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pc\Desktop\زیج vba\"/>
    </mc:Choice>
  </mc:AlternateContent>
  <bookViews>
    <workbookView xWindow="0" yWindow="0" windowWidth="19170" windowHeight="7680" tabRatio="863" activeTab="4"/>
  </bookViews>
  <sheets>
    <sheet name="خسوف و کسوف" sheetId="13" r:id="rId1"/>
    <sheet name="رویت هلال" sheetId="14" r:id="rId2"/>
    <sheet name="تقویم نجومی" sheetId="22" r:id="rId3"/>
    <sheet name="زایچه" sheetId="24" r:id="rId4"/>
    <sheet name="احکام نجوم" sheetId="16" r:id="rId5"/>
    <sheet name="Sheet1" sheetId="25" r:id="rId6"/>
    <sheet name="مقاله هفتم" sheetId="17" r:id="rId7"/>
    <sheet name="قوت و ضعف کواکب" sheetId="18" r:id="rId8"/>
    <sheet name="متحیره و ثوابت و اوقات" sheetId="15" r:id="rId9"/>
    <sheet name="طول و عرض ثوابت" sheetId="20" r:id="rId10"/>
    <sheet name="قمر و متحیره" sheetId="5" r:id="rId11"/>
    <sheet name="تقویم متحیره" sheetId="19" r:id="rId12"/>
    <sheet name="تعدیلات قمر" sheetId="12" r:id="rId13"/>
    <sheet name="تاریخ" sheetId="2" r:id="rId14"/>
    <sheet name="مجموع" sheetId="10" r:id="rId15"/>
    <sheet name="تعدیلات " sheetId="7" r:id="rId16"/>
    <sheet name="مقاله دوم" sheetId="9" r:id="rId17"/>
  </sheets>
  <externalReferences>
    <externalReference r:id="rId18"/>
    <externalReference r:id="rId19"/>
    <externalReference r:id="rId20"/>
    <externalReference r:id="rId21"/>
    <externalReference r:id="rId22"/>
  </externalReferences>
  <definedNames>
    <definedName name="solver_cvg" localSheetId="11" hidden="1">0.0001</definedName>
    <definedName name="solver_drv" localSheetId="11" hidden="1">1</definedName>
    <definedName name="solver_eng" localSheetId="11" hidden="1">1</definedName>
    <definedName name="solver_est" localSheetId="11" hidden="1">1</definedName>
    <definedName name="solver_itr" localSheetId="11" hidden="1">2147483647</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0</definedName>
    <definedName name="solver_nwt" localSheetId="11" hidden="1">1</definedName>
    <definedName name="solver_opt" localSheetId="11" hidden="1">'تقویم متحیره'!$AZ$12</definedName>
    <definedName name="solver_pre" localSheetId="11" hidden="1">0.000001</definedName>
    <definedName name="solver_rbv" localSheetId="11" hidden="1">1</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1</definedName>
    <definedName name="solver_val" localSheetId="11" hidden="1">0</definedName>
    <definedName name="solver_ver" localSheetId="11"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T12" i="16" l="1"/>
  <c r="HQ8" i="16" l="1"/>
  <c r="IZ17" i="16"/>
  <c r="IZ13" i="16"/>
  <c r="IZ14" i="16"/>
  <c r="IZ15" i="16" l="1"/>
  <c r="H23" i="13"/>
  <c r="H25" i="13"/>
  <c r="H26" i="13"/>
  <c r="D20" i="24" l="1"/>
  <c r="G5" i="24"/>
  <c r="DK12" i="17" l="1"/>
  <c r="DB4" i="17"/>
  <c r="D7" i="24"/>
  <c r="IN16" i="16" l="1"/>
  <c r="IM16" i="16"/>
  <c r="IL16" i="16"/>
  <c r="IN15" i="16"/>
  <c r="IM15" i="16"/>
  <c r="IL15" i="16"/>
  <c r="IN14" i="16"/>
  <c r="IM14" i="16"/>
  <c r="IL14" i="16"/>
  <c r="IN13" i="16"/>
  <c r="IM13" i="16"/>
  <c r="IL13" i="16"/>
  <c r="IN12" i="16"/>
  <c r="IM12" i="16"/>
  <c r="IL12" i="16"/>
  <c r="IN11" i="16"/>
  <c r="IM11" i="16"/>
  <c r="IL11" i="16"/>
  <c r="IN10" i="16"/>
  <c r="IM10" i="16"/>
  <c r="IL10" i="16"/>
  <c r="Y19" i="13"/>
  <c r="EG21" i="17" l="1"/>
  <c r="EG22" i="17" l="1"/>
  <c r="GG8" i="16" l="1"/>
  <c r="GG9" i="16" s="1"/>
  <c r="GG11" i="16" s="1"/>
  <c r="GG12" i="16" s="1"/>
  <c r="GG13" i="16"/>
  <c r="DA25" i="16"/>
  <c r="DA16" i="16"/>
  <c r="DA17" i="16"/>
  <c r="DA24" i="16"/>
  <c r="GG16" i="16" l="1"/>
  <c r="GG14" i="16"/>
  <c r="GG15" i="16"/>
  <c r="DC18" i="16"/>
  <c r="FJ18" i="16"/>
  <c r="FK15" i="16"/>
  <c r="FK14" i="16"/>
  <c r="FO12" i="16"/>
  <c r="FN16" i="16"/>
  <c r="FF23" i="16" l="1"/>
  <c r="FF24" i="16"/>
  <c r="FF25" i="16"/>
  <c r="FF26" i="16"/>
  <c r="FF27" i="16"/>
  <c r="FF28" i="16"/>
  <c r="FF29" i="16"/>
  <c r="FF30" i="16"/>
  <c r="FF22" i="16"/>
  <c r="FG22" i="16" s="1"/>
  <c r="FH22" i="16" s="1"/>
  <c r="GJ23" i="16"/>
  <c r="GJ24" i="16"/>
  <c r="GJ25" i="16"/>
  <c r="GJ26" i="16"/>
  <c r="GJ27" i="16"/>
  <c r="GJ28" i="16"/>
  <c r="GJ29" i="16"/>
  <c r="FN26" i="16"/>
  <c r="FO26" i="16" s="1"/>
  <c r="FP26" i="16" s="1"/>
  <c r="FQ26" i="16" s="1"/>
  <c r="FR26" i="16" s="1"/>
  <c r="FS26" i="16" s="1"/>
  <c r="FT26" i="16" s="1"/>
  <c r="FU26" i="16" s="1"/>
  <c r="FV26" i="16" s="1"/>
  <c r="FL25" i="16"/>
  <c r="FM25" i="16" s="1"/>
  <c r="FN25" i="16" s="1"/>
  <c r="FO25" i="16" s="1"/>
  <c r="FP25" i="16" s="1"/>
  <c r="FQ25" i="16" s="1"/>
  <c r="FR25" i="16" s="1"/>
  <c r="FS25" i="16" s="1"/>
  <c r="FT25" i="16" s="1"/>
  <c r="FU25" i="16" s="1"/>
  <c r="FV25" i="16" s="1"/>
  <c r="FJ23" i="16"/>
  <c r="FK23" i="16" s="1"/>
  <c r="FL23" i="16" s="1"/>
  <c r="FM23" i="16" s="1"/>
  <c r="FN23" i="16" s="1"/>
  <c r="FO23" i="16" s="1"/>
  <c r="FP23" i="16" s="1"/>
  <c r="FQ23" i="16" s="1"/>
  <c r="FR23" i="16" s="1"/>
  <c r="FS23" i="16" s="1"/>
  <c r="FT23" i="16" s="1"/>
  <c r="FU23" i="16" s="1"/>
  <c r="FV23" i="16" s="1"/>
  <c r="FJ24" i="16"/>
  <c r="FK24" i="16" s="1"/>
  <c r="FL24" i="16" s="1"/>
  <c r="FM24" i="16" s="1"/>
  <c r="FN24" i="16" s="1"/>
  <c r="FO24" i="16" s="1"/>
  <c r="FP24" i="16" s="1"/>
  <c r="FQ24" i="16" s="1"/>
  <c r="FR24" i="16" s="1"/>
  <c r="FS24" i="16" s="1"/>
  <c r="FT24" i="16" s="1"/>
  <c r="FU24" i="16" s="1"/>
  <c r="FV24" i="16" s="1"/>
  <c r="FJ22" i="16"/>
  <c r="FK22" i="16" s="1"/>
  <c r="FL22" i="16" s="1"/>
  <c r="FM22" i="16" s="1"/>
  <c r="FN22" i="16" s="1"/>
  <c r="FO22" i="16" s="1"/>
  <c r="FP22" i="16" s="1"/>
  <c r="FQ22" i="16" s="1"/>
  <c r="FR22" i="16" s="1"/>
  <c r="FS22" i="16" s="1"/>
  <c r="FT22" i="16" s="1"/>
  <c r="FU22" i="16" s="1"/>
  <c r="FV22" i="16" s="1"/>
  <c r="FH23" i="16"/>
  <c r="FH24" i="16"/>
  <c r="FH25" i="16"/>
  <c r="FI25" i="16" s="1"/>
  <c r="FJ25" i="16" s="1"/>
  <c r="FH26" i="16"/>
  <c r="FI26" i="16" s="1"/>
  <c r="FJ26" i="16" s="1"/>
  <c r="FK26" i="16" s="1"/>
  <c r="FL26" i="16" s="1"/>
  <c r="FH27" i="16"/>
  <c r="FI27" i="16" s="1"/>
  <c r="FJ27" i="16" s="1"/>
  <c r="FK27" i="16" s="1"/>
  <c r="FL27" i="16" s="1"/>
  <c r="FM27" i="16" s="1"/>
  <c r="FN27" i="16" s="1"/>
  <c r="FH28" i="16"/>
  <c r="FI28" i="16" s="1"/>
  <c r="FJ28" i="16" s="1"/>
  <c r="FK28" i="16" s="1"/>
  <c r="FL28" i="16" s="1"/>
  <c r="FM28" i="16" s="1"/>
  <c r="FN28" i="16" s="1"/>
  <c r="FO28" i="16" s="1"/>
  <c r="FP28" i="16" s="1"/>
  <c r="FH29" i="16"/>
  <c r="FI29" i="16" s="1"/>
  <c r="FJ29" i="16" s="1"/>
  <c r="FK29" i="16" s="1"/>
  <c r="FL29" i="16" s="1"/>
  <c r="FM29" i="16" s="1"/>
  <c r="FN29" i="16" s="1"/>
  <c r="FO29" i="16" s="1"/>
  <c r="FP29" i="16" s="1"/>
  <c r="FQ29" i="16" s="1"/>
  <c r="FR29" i="16" s="1"/>
  <c r="FH30" i="16"/>
  <c r="FI30" i="16" s="1"/>
  <c r="FJ30" i="16" s="1"/>
  <c r="FK30" i="16" s="1"/>
  <c r="FL30" i="16" s="1"/>
  <c r="FM30" i="16" s="1"/>
  <c r="FN30" i="16" s="1"/>
  <c r="FO30" i="16" s="1"/>
  <c r="FP30" i="16" s="1"/>
  <c r="FQ30" i="16" s="1"/>
  <c r="FR30" i="16" s="1"/>
  <c r="FS30" i="16" s="1"/>
  <c r="FT30" i="16" s="1"/>
  <c r="FV30" i="16"/>
  <c r="FT29" i="16"/>
  <c r="FU29" i="16" s="1"/>
  <c r="FV29" i="16" s="1"/>
  <c r="FR28" i="16"/>
  <c r="FS28" i="16" s="1"/>
  <c r="FT28" i="16" s="1"/>
  <c r="FU28" i="16" s="1"/>
  <c r="FV28" i="16" s="1"/>
  <c r="FP27" i="16"/>
  <c r="FQ27" i="16" s="1"/>
  <c r="FR27" i="16" s="1"/>
  <c r="FS27" i="16" s="1"/>
  <c r="FT27" i="16" s="1"/>
  <c r="FU27" i="16" s="1"/>
  <c r="FV27" i="16" s="1"/>
  <c r="DS11" i="16" l="1"/>
  <c r="FS4" i="16" l="1"/>
  <c r="S416" i="20"/>
  <c r="FS6" i="16"/>
  <c r="FD6" i="15" l="1"/>
  <c r="EX3" i="15"/>
  <c r="DC99" i="17" l="1"/>
  <c r="DD99" i="17" s="1"/>
  <c r="DC100" i="17"/>
  <c r="DD100" i="17" s="1"/>
  <c r="DI6" i="17" l="1"/>
  <c r="EH21" i="17" s="1"/>
  <c r="HM6" i="16"/>
  <c r="HB19" i="16"/>
  <c r="AW5" i="19" l="1"/>
  <c r="DH4" i="9"/>
  <c r="HH4" i="16"/>
  <c r="EF16" i="9"/>
  <c r="CZ18" i="17" l="1"/>
  <c r="AF180" i="25" l="1"/>
  <c r="AF183" i="25" l="1"/>
  <c r="AF182" i="25"/>
  <c r="AF181" i="25"/>
  <c r="AD181" i="25"/>
  <c r="AH180" i="25"/>
  <c r="AD180" i="25"/>
  <c r="AD183" i="25"/>
  <c r="AH182" i="25"/>
  <c r="AH181" i="25" l="1"/>
  <c r="AD182" i="25"/>
  <c r="AD189" i="25"/>
  <c r="AD188" i="25"/>
  <c r="AD187" i="25"/>
  <c r="AD185" i="25"/>
  <c r="AD191" i="25"/>
  <c r="AD190" i="25"/>
  <c r="AD186" i="25"/>
  <c r="AD184" i="25"/>
  <c r="AE191" i="25" l="1"/>
  <c r="AF191" i="25" s="1"/>
  <c r="AE187" i="25"/>
  <c r="AE186" i="25"/>
  <c r="AF186" i="25" s="1"/>
  <c r="AG186" i="25" s="1"/>
  <c r="AE190" i="25"/>
  <c r="AF190" i="25" s="1"/>
  <c r="AG190" i="25" s="1"/>
  <c r="AE184" i="25"/>
  <c r="AF184" i="25" s="1"/>
  <c r="AG184" i="25" s="1"/>
  <c r="AE189" i="25"/>
  <c r="AF189" i="25" s="1"/>
  <c r="AG189" i="25" s="1"/>
  <c r="AE185" i="25"/>
  <c r="AE188" i="25"/>
  <c r="AI190" i="25"/>
  <c r="AI184" i="25"/>
  <c r="AI187" i="25"/>
  <c r="AI188" i="25"/>
  <c r="AI186" i="25"/>
  <c r="AI189" i="25"/>
  <c r="AI185" i="25"/>
  <c r="AG191" i="25" l="1"/>
  <c r="AH191" i="25" s="1"/>
  <c r="AF187" i="25"/>
  <c r="AG187" i="25" s="1"/>
  <c r="AH187" i="25" s="1"/>
  <c r="AH189" i="25"/>
  <c r="AH184" i="25"/>
  <c r="AF188" i="25"/>
  <c r="AF185" i="25"/>
  <c r="AH190" i="25"/>
  <c r="AH186" i="25"/>
  <c r="AG185" i="25" l="1"/>
  <c r="AH185" i="25" s="1"/>
  <c r="AG188" i="25"/>
  <c r="AH188" i="25" s="1"/>
  <c r="DP21" i="16"/>
  <c r="DS9" i="16"/>
  <c r="EM20" i="16"/>
  <c r="DS7" i="16"/>
  <c r="DU21" i="16"/>
  <c r="DU20" i="16"/>
  <c r="DS8" i="16"/>
  <c r="AJ6" i="24" l="1"/>
  <c r="DS31" i="16"/>
  <c r="D8" i="24"/>
  <c r="DS32" i="16"/>
  <c r="DE3" i="17"/>
  <c r="P16" i="24"/>
  <c r="W5" i="24"/>
  <c r="D9" i="24"/>
  <c r="P13" i="24"/>
  <c r="P8" i="24"/>
  <c r="P10" i="24"/>
  <c r="W6" i="24"/>
  <c r="P7" i="24"/>
  <c r="P9" i="24"/>
  <c r="P11" i="24"/>
  <c r="W7" i="24"/>
  <c r="DS30" i="16"/>
  <c r="DS33" i="16"/>
  <c r="P15" i="24"/>
  <c r="P12" i="24"/>
  <c r="P6" i="24"/>
  <c r="W8" i="24"/>
  <c r="W12" i="24"/>
  <c r="W15" i="24"/>
  <c r="W9" i="24"/>
  <c r="W10" i="24"/>
  <c r="W16" i="24"/>
  <c r="W11" i="24"/>
  <c r="W14" i="24"/>
  <c r="W13" i="24"/>
  <c r="DE8" i="17" l="1"/>
  <c r="DE4" i="17"/>
  <c r="AX7" i="13"/>
  <c r="AX6" i="13"/>
  <c r="DI8" i="17"/>
  <c r="CZ12" i="17"/>
  <c r="DE7" i="17"/>
  <c r="DP59" i="17"/>
  <c r="DP60" i="17"/>
  <c r="CZ13" i="17"/>
  <c r="DP36" i="17"/>
  <c r="DP43" i="17"/>
  <c r="DP39" i="17"/>
  <c r="DP37" i="17"/>
  <c r="DP41" i="17"/>
  <c r="CZ78" i="17"/>
  <c r="DP61" i="17"/>
  <c r="DP32" i="17"/>
  <c r="DP35" i="17"/>
  <c r="DP27" i="17"/>
  <c r="DP29" i="17"/>
  <c r="DP58" i="17"/>
  <c r="DE12" i="17"/>
  <c r="DP34" i="17"/>
  <c r="DQ35" i="17" l="1"/>
  <c r="DR35" i="17" s="1"/>
  <c r="DQ34" i="17"/>
  <c r="DR34" i="17" s="1"/>
  <c r="DQ39" i="17"/>
  <c r="DR39" i="17" s="1"/>
  <c r="DQ32" i="17"/>
  <c r="DR32" i="17" s="1"/>
  <c r="DQ43" i="17"/>
  <c r="DR43" i="17" s="1"/>
  <c r="DQ37" i="17"/>
  <c r="DR37" i="17" s="1"/>
  <c r="DQ41" i="17"/>
  <c r="DR41" i="17" s="1"/>
  <c r="DQ36" i="17"/>
  <c r="DR36" i="17" s="1"/>
  <c r="DQ27" i="17"/>
  <c r="DR27" i="17" s="1"/>
  <c r="DQ29" i="17"/>
  <c r="DR29" i="17" s="1"/>
  <c r="O6" i="13"/>
  <c r="O7" i="13"/>
  <c r="DP38" i="17"/>
  <c r="DP42" i="17"/>
  <c r="DG12" i="17"/>
  <c r="N10" i="24"/>
  <c r="DP33" i="17"/>
  <c r="DP40" i="17"/>
  <c r="EI23" i="17" l="1"/>
  <c r="DI12" i="17"/>
  <c r="DB12" i="17" s="1"/>
  <c r="D27" i="24"/>
  <c r="N11" i="24"/>
  <c r="DM110" i="17" l="1"/>
  <c r="DM26" i="17"/>
  <c r="DM27" i="17"/>
  <c r="DM28" i="17"/>
  <c r="DM29" i="17"/>
  <c r="DM30" i="17"/>
  <c r="DM31" i="17"/>
  <c r="DM32" i="17"/>
  <c r="DM33" i="17"/>
  <c r="DM34" i="17"/>
  <c r="DM35" i="17"/>
  <c r="DM36" i="17"/>
  <c r="DM37" i="17"/>
  <c r="DM38" i="17"/>
  <c r="DM39" i="17"/>
  <c r="DM40" i="17"/>
  <c r="DM41" i="17"/>
  <c r="DM42" i="17"/>
  <c r="DM43" i="17"/>
  <c r="DM44" i="17"/>
  <c r="DM45" i="17"/>
  <c r="DM46" i="17"/>
  <c r="DM47" i="17"/>
  <c r="DM50" i="17"/>
  <c r="DM51" i="17"/>
  <c r="DM52" i="17"/>
  <c r="DM53" i="17"/>
  <c r="DM54" i="17"/>
  <c r="DM55" i="17"/>
  <c r="DM56" i="17"/>
  <c r="DM57" i="17"/>
  <c r="DM58" i="17"/>
  <c r="DM59" i="17"/>
  <c r="DM60" i="17"/>
  <c r="DM61" i="17"/>
  <c r="DM62" i="17"/>
  <c r="DM63" i="17"/>
  <c r="DM64" i="17"/>
  <c r="DM65" i="17"/>
  <c r="DM66" i="17"/>
  <c r="DM67" i="17"/>
  <c r="DM68" i="17"/>
  <c r="DM69" i="17"/>
  <c r="DM70" i="17"/>
  <c r="DM71" i="17"/>
  <c r="DM72" i="17"/>
  <c r="DM73" i="17"/>
  <c r="DM74" i="17"/>
  <c r="DM75" i="17"/>
  <c r="DM76" i="17"/>
  <c r="DM77" i="17"/>
  <c r="DM78" i="17"/>
  <c r="DM79" i="17"/>
  <c r="DM80" i="17"/>
  <c r="DM81" i="17"/>
  <c r="DM82" i="17"/>
  <c r="DM83" i="17"/>
  <c r="DM84" i="17"/>
  <c r="DM85" i="17"/>
  <c r="DM86" i="17"/>
  <c r="DM87" i="17"/>
  <c r="DM88" i="17"/>
  <c r="DM89" i="17"/>
  <c r="DM90" i="17"/>
  <c r="DM91" i="17"/>
  <c r="DM92" i="17"/>
  <c r="DM93" i="17"/>
  <c r="DM94" i="17"/>
  <c r="DM95" i="17"/>
  <c r="DM96" i="17"/>
  <c r="DM97" i="17"/>
  <c r="DM98" i="17"/>
  <c r="DM101" i="17"/>
  <c r="DM102" i="17"/>
  <c r="DM103" i="17"/>
  <c r="DM104" i="17"/>
  <c r="DM105" i="17"/>
  <c r="DM106" i="17"/>
  <c r="DM107" i="17"/>
  <c r="DM108" i="17"/>
  <c r="DM109" i="17"/>
  <c r="DM24" i="17"/>
  <c r="DM25" i="17"/>
  <c r="DM23" i="17"/>
  <c r="DK13" i="17"/>
  <c r="DK14" i="17"/>
  <c r="DK15" i="17"/>
  <c r="DK16" i="17"/>
  <c r="DK17" i="17"/>
  <c r="DK18" i="17"/>
  <c r="DF2" i="17" l="1"/>
  <c r="AZ10" i="19"/>
  <c r="BD8" i="19"/>
  <c r="AZ5" i="19"/>
  <c r="AY6" i="19"/>
  <c r="DG2" i="17" l="1"/>
  <c r="DH2" i="17" s="1"/>
  <c r="DI2" i="17" s="1"/>
  <c r="AZ6" i="19"/>
  <c r="DP26" i="17"/>
  <c r="AS22" i="19"/>
  <c r="AZ9" i="19"/>
  <c r="BG9" i="19"/>
  <c r="AZ14" i="19"/>
  <c r="DP24" i="17"/>
  <c r="BG8" i="19"/>
  <c r="DG15" i="17"/>
  <c r="DP23" i="17"/>
  <c r="DE16" i="17"/>
  <c r="AZ18" i="19"/>
  <c r="AZ15" i="19"/>
  <c r="DP28" i="17"/>
  <c r="DE14" i="17"/>
  <c r="DP25" i="17"/>
  <c r="AZ17" i="19"/>
  <c r="AZ12" i="19"/>
  <c r="DP22" i="17"/>
  <c r="AZ16" i="19"/>
  <c r="DQ24" i="17" l="1"/>
  <c r="DR24" i="17" s="1"/>
  <c r="DQ28" i="17"/>
  <c r="DR28" i="17" s="1"/>
  <c r="DQ25" i="17"/>
  <c r="DR25" i="17" s="1"/>
  <c r="DQ26" i="17"/>
  <c r="DR26" i="17" s="1"/>
  <c r="DQ23" i="17"/>
  <c r="DR23" i="17" s="1"/>
  <c r="DG60" i="17"/>
  <c r="DG51" i="17"/>
  <c r="EG23" i="17"/>
  <c r="EG24" i="17"/>
  <c r="DK34" i="17"/>
  <c r="DG30" i="17"/>
  <c r="DI28" i="17"/>
  <c r="DG40" i="17" s="1"/>
  <c r="DI38" i="17"/>
  <c r="DI39" i="17" s="1"/>
  <c r="DG43" i="17" s="1"/>
  <c r="DI46" i="17" s="1"/>
  <c r="DI56" i="17" s="1"/>
  <c r="DG23" i="17"/>
  <c r="DI27" i="17"/>
  <c r="DE18" i="17"/>
  <c r="DG24" i="17" s="1"/>
  <c r="DG13" i="17"/>
  <c r="DE13" i="17"/>
  <c r="DG29" i="17" s="1"/>
  <c r="DQ22" i="17"/>
  <c r="DR22" i="17" s="1"/>
  <c r="DF4" i="17"/>
  <c r="DG4" i="17" s="1"/>
  <c r="DH4" i="17" s="1"/>
  <c r="BE14" i="19"/>
  <c r="DP48" i="17"/>
  <c r="DP47" i="17"/>
  <c r="DP56" i="17"/>
  <c r="BE17" i="19"/>
  <c r="BE15" i="19"/>
  <c r="DP52" i="17"/>
  <c r="BE18" i="19"/>
  <c r="DP50" i="17"/>
  <c r="EK23" i="17"/>
  <c r="EG31" i="17"/>
  <c r="DP51" i="17"/>
  <c r="BE16" i="19"/>
  <c r="DI13" i="17" l="1"/>
  <c r="DK23" i="17"/>
  <c r="DK24" i="17" s="1"/>
  <c r="EJ35" i="17"/>
  <c r="DK96" i="17" s="1"/>
  <c r="DI35" i="17"/>
  <c r="DI36" i="17" s="1"/>
  <c r="DI44" i="17" s="1"/>
  <c r="DI45" i="17" s="1"/>
  <c r="DI47" i="17" s="1"/>
  <c r="DG50" i="17" s="1"/>
  <c r="DG37" i="17"/>
  <c r="DG38" i="17" s="1"/>
  <c r="DG32" i="17"/>
  <c r="DI40" i="17"/>
  <c r="DG39" i="17" s="1"/>
  <c r="DG53" i="17" s="1"/>
  <c r="DG63" i="17"/>
  <c r="DG70" i="17" s="1"/>
  <c r="DI62" i="17"/>
  <c r="DI65" i="17" s="1"/>
  <c r="DI101" i="17" s="1"/>
  <c r="DG18" i="17"/>
  <c r="DI23" i="17"/>
  <c r="DG27" i="17"/>
  <c r="DI37" i="17" s="1"/>
  <c r="DI43" i="17" s="1"/>
  <c r="DI31" i="17"/>
  <c r="DI32" i="17" s="1"/>
  <c r="DI33" i="17" s="1"/>
  <c r="DG34" i="17"/>
  <c r="DI29" i="17"/>
  <c r="DG33" i="17"/>
  <c r="DG44" i="17" s="1"/>
  <c r="DG47" i="17" s="1"/>
  <c r="DG58" i="17" s="1"/>
  <c r="DG35" i="17"/>
  <c r="DI41" i="17" s="1"/>
  <c r="BE6" i="24"/>
  <c r="DP57" i="17"/>
  <c r="EK24" i="17"/>
  <c r="DP49" i="17"/>
  <c r="DB23" i="17"/>
  <c r="HI7" i="16"/>
  <c r="EG32" i="17"/>
  <c r="EM21" i="17"/>
  <c r="DB13" i="17"/>
  <c r="EM22" i="17" l="1"/>
  <c r="DC23" i="17"/>
  <c r="DD23" i="17" s="1"/>
  <c r="DP31" i="17"/>
  <c r="DP30" i="17"/>
  <c r="EL24" i="17"/>
  <c r="EM24" i="17" s="1"/>
  <c r="DG80" i="17"/>
  <c r="DG73" i="17" s="1"/>
  <c r="DG17" i="17"/>
  <c r="DG16" i="17"/>
  <c r="DE17" i="17"/>
  <c r="DI80" i="17"/>
  <c r="DI73" i="17" s="1"/>
  <c r="DG14" i="17"/>
  <c r="EG26" i="17"/>
  <c r="EJ26" i="17" s="1"/>
  <c r="DI14" i="17"/>
  <c r="DI15" i="17" s="1"/>
  <c r="DI16" i="17" s="1"/>
  <c r="DI17" i="17" s="1"/>
  <c r="DI18" i="17" s="1"/>
  <c r="EJ29" i="17"/>
  <c r="DI93" i="17" s="1"/>
  <c r="DI59" i="17"/>
  <c r="DG56" i="17"/>
  <c r="DG54" i="17"/>
  <c r="DG57" i="17" s="1"/>
  <c r="DG68" i="17" s="1"/>
  <c r="DI52" i="17"/>
  <c r="DG42" i="17"/>
  <c r="DI54" i="17"/>
  <c r="DI53" i="17"/>
  <c r="DG55" i="17" s="1"/>
  <c r="DG52" i="17"/>
  <c r="DI50" i="17"/>
  <c r="DG64" i="17"/>
  <c r="DG78" i="17" s="1"/>
  <c r="DG69" i="17"/>
  <c r="DG74" i="17" s="1"/>
  <c r="DI83" i="17" s="1"/>
  <c r="DG86" i="17" s="1"/>
  <c r="DK25" i="17"/>
  <c r="DI24" i="17"/>
  <c r="DG28" i="17"/>
  <c r="DG31" i="17" s="1"/>
  <c r="DG36" i="17" s="1"/>
  <c r="DG41" i="17" s="1"/>
  <c r="DG45" i="17" s="1"/>
  <c r="DG46" i="17" s="1"/>
  <c r="DI34" i="17"/>
  <c r="EP11" i="16"/>
  <c r="ES12" i="16" s="1"/>
  <c r="DP44" i="17"/>
  <c r="DB14" i="17"/>
  <c r="EG28" i="17"/>
  <c r="DB16" i="17"/>
  <c r="DP54" i="17"/>
  <c r="DB18" i="17"/>
  <c r="DP53" i="17"/>
  <c r="EG33" i="17"/>
  <c r="DP55" i="17"/>
  <c r="DB24" i="17"/>
  <c r="DB25" i="17"/>
  <c r="DP45" i="17"/>
  <c r="DB17" i="17"/>
  <c r="DB34" i="17"/>
  <c r="DB86" i="17"/>
  <c r="DC24" i="17" l="1"/>
  <c r="DD24" i="17" s="1"/>
  <c r="DC25" i="17"/>
  <c r="DD25" i="17" s="1"/>
  <c r="DC86" i="17"/>
  <c r="DD86" i="17" s="1"/>
  <c r="DC34" i="17"/>
  <c r="DD34" i="17" s="1"/>
  <c r="DQ30" i="17"/>
  <c r="DR30" i="17" s="1"/>
  <c r="DQ31" i="17"/>
  <c r="DR31" i="17" s="1"/>
  <c r="DG95" i="17"/>
  <c r="DE15" i="17"/>
  <c r="DI67" i="17"/>
  <c r="DG79" i="17" s="1"/>
  <c r="DI87" i="17" s="1"/>
  <c r="DI103" i="17" s="1"/>
  <c r="DI105" i="17" s="1"/>
  <c r="DI106" i="17" s="1"/>
  <c r="DI109" i="17" s="1"/>
  <c r="DI71" i="17"/>
  <c r="DI85" i="17" s="1"/>
  <c r="DK95" i="17" s="1"/>
  <c r="DI63" i="17"/>
  <c r="DI75" i="17" s="1"/>
  <c r="DI57" i="17"/>
  <c r="DG59" i="17"/>
  <c r="DG67" i="17" s="1"/>
  <c r="DG77" i="17" s="1"/>
  <c r="DI66" i="17"/>
  <c r="DI72" i="17" s="1"/>
  <c r="DI84" i="17" s="1"/>
  <c r="DI61" i="17"/>
  <c r="DG62" i="17"/>
  <c r="DI64" i="17"/>
  <c r="DI69" i="17" s="1"/>
  <c r="DI78" i="17" s="1"/>
  <c r="DI42" i="17"/>
  <c r="DI58" i="17" s="1"/>
  <c r="DG61" i="17" s="1"/>
  <c r="DG65" i="17" s="1"/>
  <c r="DG66" i="17" s="1"/>
  <c r="DI68" i="17" s="1"/>
  <c r="DI70" i="17" s="1"/>
  <c r="DI77" i="17" s="1"/>
  <c r="DG94" i="17"/>
  <c r="DG71" i="17"/>
  <c r="DK26" i="17"/>
  <c r="AG4" i="24"/>
  <c r="EM25" i="16"/>
  <c r="EG29" i="17"/>
  <c r="DB15" i="17"/>
  <c r="DB26" i="17"/>
  <c r="EG27" i="17"/>
  <c r="DP46" i="17"/>
  <c r="EM21" i="16"/>
  <c r="DI79" i="17" l="1"/>
  <c r="DC26" i="17"/>
  <c r="DD26" i="17" s="1"/>
  <c r="EJ32" i="17"/>
  <c r="EG30" i="17"/>
  <c r="DI81" i="17"/>
  <c r="DG83" i="17"/>
  <c r="DG84" i="17" s="1"/>
  <c r="DI90" i="17"/>
  <c r="DG101" i="17"/>
  <c r="DG102" i="17" s="1"/>
  <c r="DI97" i="17"/>
  <c r="DK87" i="17"/>
  <c r="DG75" i="17"/>
  <c r="DG76" i="17" s="1"/>
  <c r="DG72" i="17"/>
  <c r="DG81" i="17" s="1"/>
  <c r="DK88" i="17" s="1"/>
  <c r="DI82" i="17"/>
  <c r="DI89" i="17" s="1"/>
  <c r="DK78" i="17"/>
  <c r="DG98" i="17"/>
  <c r="DG103" i="17" s="1"/>
  <c r="DG104" i="17" s="1"/>
  <c r="DK27" i="17"/>
  <c r="HB8" i="16"/>
  <c r="HB9" i="16" s="1"/>
  <c r="HB10" i="16" s="1"/>
  <c r="HB11" i="16" s="1"/>
  <c r="HI8" i="16" s="1"/>
  <c r="HC6" i="16"/>
  <c r="HD6" i="16" s="1"/>
  <c r="HE6" i="16" s="1"/>
  <c r="HB14" i="16"/>
  <c r="EU37" i="16"/>
  <c r="DB78" i="17"/>
  <c r="HB12" i="16"/>
  <c r="HR5" i="16"/>
  <c r="HI10" i="16"/>
  <c r="EG34" i="17"/>
  <c r="HB18" i="16"/>
  <c r="EU36" i="16"/>
  <c r="EU35" i="16"/>
  <c r="EU34" i="16"/>
  <c r="HM7" i="16"/>
  <c r="DB27" i="17"/>
  <c r="HO5" i="16"/>
  <c r="HO6" i="16"/>
  <c r="DC27" i="17" l="1"/>
  <c r="DD27" i="17" s="1"/>
  <c r="DC78" i="17"/>
  <c r="DD78" i="17" s="1"/>
  <c r="EG38" i="17"/>
  <c r="DI108" i="17"/>
  <c r="DG107" i="17"/>
  <c r="DK92" i="17"/>
  <c r="DK93" i="17" s="1"/>
  <c r="DI95" i="17"/>
  <c r="DG87" i="17"/>
  <c r="DI91" i="17"/>
  <c r="DG90" i="17"/>
  <c r="DG97" i="17" s="1"/>
  <c r="DG109" i="17"/>
  <c r="DG105" i="17"/>
  <c r="DG106" i="17" s="1"/>
  <c r="DK28" i="17"/>
  <c r="EV35" i="16"/>
  <c r="EW35" i="16" s="1"/>
  <c r="EV37" i="16"/>
  <c r="EW37" i="16" s="1"/>
  <c r="EV34" i="16"/>
  <c r="EW34" i="16" s="1"/>
  <c r="EV36" i="16"/>
  <c r="EW36" i="16" s="1"/>
  <c r="HM8" i="16"/>
  <c r="HN8" i="16" s="1"/>
  <c r="HE20" i="16"/>
  <c r="HB15" i="16"/>
  <c r="HB16" i="16" s="1"/>
  <c r="HB17" i="16" s="1"/>
  <c r="HC11" i="16"/>
  <c r="HF11" i="16"/>
  <c r="HE11" i="16" s="1"/>
  <c r="HD11" i="16" s="1"/>
  <c r="HF6" i="16"/>
  <c r="T38" i="14"/>
  <c r="DB95" i="17"/>
  <c r="IC10" i="16"/>
  <c r="EG39" i="17"/>
  <c r="HT10" i="16"/>
  <c r="EG36" i="17"/>
  <c r="IA10" i="16"/>
  <c r="EG40" i="17"/>
  <c r="HS10" i="16"/>
  <c r="DB87" i="17"/>
  <c r="EG35" i="17"/>
  <c r="HB20" i="16"/>
  <c r="DB28" i="17"/>
  <c r="IQ10" i="16"/>
  <c r="HN10" i="16"/>
  <c r="EG46" i="17"/>
  <c r="IE10" i="16"/>
  <c r="IF10" i="16"/>
  <c r="HI17" i="16"/>
  <c r="HQ17" i="16"/>
  <c r="HN17" i="16"/>
  <c r="HU17" i="16"/>
  <c r="HY17" i="16"/>
  <c r="HP17" i="16"/>
  <c r="HT17" i="16"/>
  <c r="HV17" i="16"/>
  <c r="HW17" i="16"/>
  <c r="IF17" i="16"/>
  <c r="HZ17" i="16"/>
  <c r="IC17" i="16"/>
  <c r="IE17" i="16"/>
  <c r="HO17" i="16"/>
  <c r="IB17" i="16"/>
  <c r="HX17" i="16"/>
  <c r="HS17" i="16"/>
  <c r="HR17" i="16"/>
  <c r="IZ10" i="16" l="1"/>
  <c r="IP7" i="16"/>
  <c r="II7" i="16"/>
  <c r="II10" i="16" s="1"/>
  <c r="IK7" i="16"/>
  <c r="IL8" i="16"/>
  <c r="IM8" i="16" s="1"/>
  <c r="IN8" i="16" s="1"/>
  <c r="IO7" i="16"/>
  <c r="IH7" i="16"/>
  <c r="HJ17" i="16"/>
  <c r="HK17" i="16" s="1"/>
  <c r="HL17" i="16" s="1"/>
  <c r="HM17" i="16" s="1"/>
  <c r="DC28" i="17"/>
  <c r="DD28" i="17" s="1"/>
  <c r="DC87" i="17"/>
  <c r="DD87" i="17" s="1"/>
  <c r="DC95" i="17"/>
  <c r="DD95" i="17" s="1"/>
  <c r="EX35" i="16"/>
  <c r="EY35" i="16" s="1"/>
  <c r="EJ37" i="17"/>
  <c r="EK26" i="17" s="1"/>
  <c r="EL26" i="17" s="1"/>
  <c r="EM26" i="17" s="1"/>
  <c r="EJ36" i="17"/>
  <c r="EK36" i="17" s="1"/>
  <c r="EL36" i="17" s="1"/>
  <c r="EM36" i="17" s="1"/>
  <c r="DI96" i="17"/>
  <c r="DG89" i="17"/>
  <c r="DG91" i="17" s="1"/>
  <c r="DG110" i="17"/>
  <c r="DI107" i="17"/>
  <c r="DK29" i="17"/>
  <c r="EX37" i="16"/>
  <c r="EY37" i="16" s="1"/>
  <c r="EX34" i="16"/>
  <c r="EY34" i="16" s="1"/>
  <c r="EX36" i="16"/>
  <c r="EY36" i="16" s="1"/>
  <c r="HI4" i="16"/>
  <c r="HB22" i="16"/>
  <c r="HB23" i="16" s="1"/>
  <c r="GJ10" i="16"/>
  <c r="GK16" i="16"/>
  <c r="GK17" i="16" s="1"/>
  <c r="GJ15" i="16"/>
  <c r="GI15" i="16"/>
  <c r="IJ7" i="16"/>
  <c r="HZ10" i="16"/>
  <c r="HP10" i="16"/>
  <c r="HO7" i="16"/>
  <c r="HB24" i="16"/>
  <c r="EG47" i="17"/>
  <c r="HU10" i="16"/>
  <c r="HQ10" i="16"/>
  <c r="HI15" i="16"/>
  <c r="EG41" i="17"/>
  <c r="DB91" i="17"/>
  <c r="HX15" i="16"/>
  <c r="GI14" i="16"/>
  <c r="HY10" i="16"/>
  <c r="HZ15" i="16"/>
  <c r="HY15" i="16"/>
  <c r="HO15" i="16"/>
  <c r="GZ24" i="16"/>
  <c r="HI12" i="16"/>
  <c r="HV10" i="16"/>
  <c r="HI21" i="16"/>
  <c r="GK15" i="16"/>
  <c r="IC12" i="16"/>
  <c r="EG48" i="17"/>
  <c r="HI16" i="16"/>
  <c r="HP15" i="16"/>
  <c r="IC15" i="16"/>
  <c r="IB16" i="16"/>
  <c r="IB12" i="16"/>
  <c r="HQ16" i="16"/>
  <c r="HT12" i="16"/>
  <c r="HR10" i="16"/>
  <c r="DB29" i="17"/>
  <c r="HQ15" i="16"/>
  <c r="HZ12" i="16"/>
  <c r="HY16" i="16"/>
  <c r="IE15" i="16"/>
  <c r="HS16" i="16"/>
  <c r="HZ16" i="16"/>
  <c r="IB15" i="16"/>
  <c r="HS12" i="16"/>
  <c r="HO10" i="16"/>
  <c r="EG42" i="17"/>
  <c r="HI11" i="16"/>
  <c r="EG37" i="17"/>
  <c r="HW10" i="16"/>
  <c r="HX10" i="16"/>
  <c r="HI14" i="16"/>
  <c r="HR14" i="16"/>
  <c r="ID11" i="16"/>
  <c r="HO16" i="16"/>
  <c r="HO14" i="16"/>
  <c r="HR15" i="16"/>
  <c r="HN16" i="16"/>
  <c r="IB11" i="16"/>
  <c r="HU16" i="16"/>
  <c r="HQ14" i="16"/>
  <c r="HI20" i="16"/>
  <c r="HU15" i="16"/>
  <c r="HI19" i="16"/>
  <c r="HT15" i="16"/>
  <c r="HI13" i="16"/>
  <c r="HY12" i="16"/>
  <c r="HW16" i="16"/>
  <c r="HY13" i="16"/>
  <c r="HW11" i="16"/>
  <c r="IQ12" i="16"/>
  <c r="HP12" i="16"/>
  <c r="HN12" i="16"/>
  <c r="HX12" i="16"/>
  <c r="HQ12" i="16"/>
  <c r="HT16" i="16"/>
  <c r="HR16" i="16"/>
  <c r="IE16" i="16"/>
  <c r="HP16" i="16"/>
  <c r="HX16" i="16"/>
  <c r="IQ16" i="16"/>
  <c r="HO11" i="16"/>
  <c r="HR11" i="16"/>
  <c r="HZ11" i="16"/>
  <c r="HT11" i="16"/>
  <c r="IC11" i="16"/>
  <c r="IE11" i="16"/>
  <c r="HY11" i="16"/>
  <c r="HQ11" i="16"/>
  <c r="HP11" i="16"/>
  <c r="HS11" i="16"/>
  <c r="HU11" i="16"/>
  <c r="HN11" i="16"/>
  <c r="IQ11" i="16"/>
  <c r="HN14" i="16"/>
  <c r="HP14" i="16"/>
  <c r="HT14" i="16"/>
  <c r="IB14" i="16"/>
  <c r="IC14" i="16"/>
  <c r="HU14" i="16"/>
  <c r="HZ14" i="16"/>
  <c r="HS14" i="16"/>
  <c r="HW14" i="16"/>
  <c r="HY14" i="16"/>
  <c r="HW13" i="16"/>
  <c r="HZ13" i="16"/>
  <c r="HX13" i="16"/>
  <c r="HO13" i="16"/>
  <c r="HP13" i="16"/>
  <c r="HQ13" i="16"/>
  <c r="HN13" i="16"/>
  <c r="HR13" i="16"/>
  <c r="HU13" i="16"/>
  <c r="HT13" i="16"/>
  <c r="IC13" i="16"/>
  <c r="IX10" i="16" l="1"/>
  <c r="IW10" i="16"/>
  <c r="IZ11" i="16"/>
  <c r="HS19" i="16"/>
  <c r="HS20" i="16" s="1"/>
  <c r="IJ13" i="16"/>
  <c r="IJ11" i="16"/>
  <c r="IJ12" i="16"/>
  <c r="IJ10" i="16"/>
  <c r="IJ16" i="16"/>
  <c r="IJ15" i="16"/>
  <c r="IJ14" i="16"/>
  <c r="IP15" i="16"/>
  <c r="IP14" i="16"/>
  <c r="IP11" i="16"/>
  <c r="IP13" i="16"/>
  <c r="IP10" i="16"/>
  <c r="IP16" i="16"/>
  <c r="IP12" i="16"/>
  <c r="II12" i="16"/>
  <c r="II16" i="16"/>
  <c r="II11" i="16"/>
  <c r="II15" i="16"/>
  <c r="II14" i="16"/>
  <c r="II13" i="16"/>
  <c r="IK10" i="16"/>
  <c r="IK12" i="16"/>
  <c r="IK14" i="16"/>
  <c r="IK16" i="16"/>
  <c r="IK11" i="16"/>
  <c r="IK13" i="16"/>
  <c r="IK15" i="16"/>
  <c r="IO16" i="16"/>
  <c r="IO12" i="16"/>
  <c r="IO15" i="16"/>
  <c r="IO14" i="16"/>
  <c r="IO11" i="16"/>
  <c r="IO13" i="16"/>
  <c r="IO10" i="16"/>
  <c r="DC91" i="17"/>
  <c r="DD91" i="17" s="1"/>
  <c r="DC29" i="17"/>
  <c r="DD29" i="17" s="1"/>
  <c r="EJ30" i="17"/>
  <c r="EK30" i="17" s="1"/>
  <c r="EL30" i="17" s="1"/>
  <c r="EM30" i="17" s="1"/>
  <c r="EK37" i="17"/>
  <c r="EL37" i="17" s="1"/>
  <c r="EM37" i="17" s="1"/>
  <c r="EJ28" i="17"/>
  <c r="EJ31" i="17"/>
  <c r="DI102" i="17"/>
  <c r="DI104" i="17" s="1"/>
  <c r="DG108" i="17"/>
  <c r="DG92" i="17"/>
  <c r="DK30" i="17"/>
  <c r="HJ20" i="16"/>
  <c r="HK20" i="16" s="1"/>
  <c r="HL20" i="16" s="1"/>
  <c r="HP6" i="16"/>
  <c r="HQ6" i="16" s="1"/>
  <c r="HJ21" i="16"/>
  <c r="HK21" i="16" s="1"/>
  <c r="HL21" i="16" s="1"/>
  <c r="HJ14" i="16"/>
  <c r="HK14" i="16" s="1"/>
  <c r="HL14" i="16" s="1"/>
  <c r="HJ13" i="16"/>
  <c r="HK13" i="16" s="1"/>
  <c r="HL13" i="16" s="1"/>
  <c r="HJ15" i="16"/>
  <c r="HK15" i="16" s="1"/>
  <c r="HL15" i="16" s="1"/>
  <c r="HJ11" i="16"/>
  <c r="HK11" i="16" s="1"/>
  <c r="HL11" i="16" s="1"/>
  <c r="HJ10" i="16"/>
  <c r="HK10" i="16" s="1"/>
  <c r="HJ12" i="16"/>
  <c r="HK12" i="16" s="1"/>
  <c r="HJ16" i="16"/>
  <c r="HK16" i="16" s="1"/>
  <c r="HJ19" i="16"/>
  <c r="HK19" i="16" s="1"/>
  <c r="HL19" i="16" s="1"/>
  <c r="HJ4" i="16"/>
  <c r="HK4" i="16" s="1"/>
  <c r="HL4" i="16" s="1"/>
  <c r="HE19" i="16"/>
  <c r="HE21" i="16" s="1"/>
  <c r="HC24" i="16"/>
  <c r="HD24" i="16" s="1"/>
  <c r="GL16" i="16"/>
  <c r="HV16" i="16"/>
  <c r="HV12" i="16"/>
  <c r="HU12" i="16"/>
  <c r="GK18" i="16"/>
  <c r="IE12" i="16"/>
  <c r="HV13" i="16"/>
  <c r="HS15" i="16"/>
  <c r="HX14" i="16"/>
  <c r="IF13" i="16"/>
  <c r="EG49" i="17"/>
  <c r="EG44" i="17"/>
  <c r="IC16" i="16"/>
  <c r="HS13" i="16"/>
  <c r="HO12" i="16"/>
  <c r="HX11" i="16"/>
  <c r="HV15" i="16"/>
  <c r="IF14" i="16"/>
  <c r="IE14" i="16"/>
  <c r="IE13" i="16"/>
  <c r="DB30" i="17"/>
  <c r="HW15" i="16"/>
  <c r="IB13" i="16"/>
  <c r="IB10" i="16"/>
  <c r="IQ13" i="16"/>
  <c r="IQ14" i="16"/>
  <c r="IQ15" i="16"/>
  <c r="HN15" i="16"/>
  <c r="HV11" i="16"/>
  <c r="IF15" i="16"/>
  <c r="GZ23" i="16"/>
  <c r="HR12" i="16"/>
  <c r="EG43" i="17"/>
  <c r="IF16" i="16"/>
  <c r="HV14" i="16"/>
  <c r="HI18" i="16"/>
  <c r="IF12" i="16"/>
  <c r="IF11" i="16"/>
  <c r="HW12" i="16"/>
  <c r="IZ16" i="16" l="1"/>
  <c r="IZ18" i="16" s="1"/>
  <c r="JB18" i="16" s="1"/>
  <c r="JA18" i="16" s="1"/>
  <c r="IR10" i="16"/>
  <c r="IR12" i="16"/>
  <c r="IR13" i="16"/>
  <c r="IR14" i="16"/>
  <c r="IR11" i="16"/>
  <c r="IR16" i="16"/>
  <c r="IR15" i="16"/>
  <c r="EJ27" i="17"/>
  <c r="DI51" i="17" s="1"/>
  <c r="DC30" i="17"/>
  <c r="DD30" i="17" s="1"/>
  <c r="DK94" i="17"/>
  <c r="DI94" i="17"/>
  <c r="EK29" i="17"/>
  <c r="EL29" i="17" s="1"/>
  <c r="EM29" i="17" s="1"/>
  <c r="EJ34" i="17"/>
  <c r="HM21" i="16"/>
  <c r="EK31" i="17"/>
  <c r="EL31" i="17" s="1"/>
  <c r="EM31" i="17" s="1"/>
  <c r="EK32" i="17"/>
  <c r="EL32" i="17" s="1"/>
  <c r="EM32" i="17" s="1"/>
  <c r="DG93" i="17"/>
  <c r="DG96" i="17"/>
  <c r="DK31" i="17"/>
  <c r="HM15" i="16"/>
  <c r="GK19" i="16"/>
  <c r="HJ18" i="16"/>
  <c r="HK18" i="16" s="1"/>
  <c r="HM13" i="16"/>
  <c r="HL10" i="16"/>
  <c r="HM10" i="16" s="1"/>
  <c r="HL12" i="16"/>
  <c r="HM12" i="16" s="1"/>
  <c r="HM11" i="16"/>
  <c r="HM20" i="16"/>
  <c r="HL16" i="16"/>
  <c r="HM16" i="16" s="1"/>
  <c r="HE24" i="16"/>
  <c r="HF24" i="16" s="1"/>
  <c r="HM14" i="16"/>
  <c r="HM19" i="16"/>
  <c r="GL15" i="16"/>
  <c r="GL17" i="16" s="1"/>
  <c r="GJ11" i="16"/>
  <c r="AE4" i="16"/>
  <c r="AE3" i="16" s="1"/>
  <c r="EG45" i="17"/>
  <c r="DB94" i="17"/>
  <c r="DB31" i="17"/>
  <c r="DB96" i="17"/>
  <c r="FN6" i="16"/>
  <c r="DB93" i="17"/>
  <c r="DI74" i="17" l="1"/>
  <c r="IS10" i="16"/>
  <c r="IT10" i="16" s="1"/>
  <c r="IW11" i="16" s="1"/>
  <c r="IW12" i="16" s="1"/>
  <c r="EJ33" i="17"/>
  <c r="EK33" i="17" s="1"/>
  <c r="EL33" i="17" s="1"/>
  <c r="EM33" i="17" s="1"/>
  <c r="DI92" i="17"/>
  <c r="EK28" i="17"/>
  <c r="EL28" i="17" s="1"/>
  <c r="EM28" i="17" s="1"/>
  <c r="EK27" i="17"/>
  <c r="EL27" i="17" s="1"/>
  <c r="EM27" i="17" s="1"/>
  <c r="GK20" i="16"/>
  <c r="GK21" i="16" s="1"/>
  <c r="DC94" i="17"/>
  <c r="DD94" i="17" s="1"/>
  <c r="DC96" i="17"/>
  <c r="DD96" i="17" s="1"/>
  <c r="DC93" i="17"/>
  <c r="DD93" i="17" s="1"/>
  <c r="DC31" i="17"/>
  <c r="DD31" i="17" s="1"/>
  <c r="EK35" i="17"/>
  <c r="EL35" i="17" s="1"/>
  <c r="EM35" i="17" s="1"/>
  <c r="DI60" i="17"/>
  <c r="DI88" i="17"/>
  <c r="DI110" i="17"/>
  <c r="DK32" i="17"/>
  <c r="HL18" i="16"/>
  <c r="HM18" i="16" s="1"/>
  <c r="AK3" i="19"/>
  <c r="DB32" i="17"/>
  <c r="R45" i="14"/>
  <c r="DB110" i="17"/>
  <c r="CA16" i="19"/>
  <c r="AS14" i="19"/>
  <c r="DB88" i="17"/>
  <c r="DB92" i="17"/>
  <c r="IU14" i="16" l="1"/>
  <c r="IU11" i="16"/>
  <c r="IU15" i="16"/>
  <c r="IU12" i="16"/>
  <c r="IU16" i="16"/>
  <c r="IU13" i="16"/>
  <c r="IU10" i="16"/>
  <c r="IT11" i="16"/>
  <c r="EK34" i="17"/>
  <c r="EL34" i="17" s="1"/>
  <c r="EM34" i="17" s="1"/>
  <c r="EO26" i="17" s="1"/>
  <c r="DC92" i="17"/>
  <c r="DD92" i="17" s="1"/>
  <c r="GJ16" i="16"/>
  <c r="DC88" i="17"/>
  <c r="DD88" i="17" s="1"/>
  <c r="DC110" i="17"/>
  <c r="DD110" i="17" s="1"/>
  <c r="DC32" i="17"/>
  <c r="DD32" i="17" s="1"/>
  <c r="DK109" i="17"/>
  <c r="DK33" i="17"/>
  <c r="DB109" i="17"/>
  <c r="DB33" i="17"/>
  <c r="AH5" i="19"/>
  <c r="IV7" i="16" l="1"/>
  <c r="IS7" i="16"/>
  <c r="IU7" i="16"/>
  <c r="IT7" i="16"/>
  <c r="IV15" i="16" s="1"/>
  <c r="EN26" i="17"/>
  <c r="EO33" i="17"/>
  <c r="EO31" i="17"/>
  <c r="EO29" i="17"/>
  <c r="EN29" i="17" s="1"/>
  <c r="EO27" i="17"/>
  <c r="EW26" i="17" s="1"/>
  <c r="EO37" i="17"/>
  <c r="EW37" i="17" s="1"/>
  <c r="EO34" i="17"/>
  <c r="EO32" i="17"/>
  <c r="EO36" i="17"/>
  <c r="EO28" i="17"/>
  <c r="EO30" i="17"/>
  <c r="EX30" i="17" s="1"/>
  <c r="EO35" i="17"/>
  <c r="EN35" i="17" s="1"/>
  <c r="DC33" i="17"/>
  <c r="DD33" i="17" s="1"/>
  <c r="DC109" i="17"/>
  <c r="DD109" i="17" s="1"/>
  <c r="DK35" i="17"/>
  <c r="EI31" i="19"/>
  <c r="EJ31" i="19" s="1"/>
  <c r="EF29" i="19"/>
  <c r="EF28" i="19" s="1"/>
  <c r="FE35" i="17"/>
  <c r="FE29" i="17"/>
  <c r="FA26" i="17"/>
  <c r="EZ29" i="17"/>
  <c r="FB35" i="17"/>
  <c r="FA29" i="17"/>
  <c r="FI29" i="17"/>
  <c r="FC29" i="17"/>
  <c r="EZ35" i="17"/>
  <c r="FB26" i="17"/>
  <c r="FF29" i="17"/>
  <c r="EY26" i="17"/>
  <c r="FG35" i="17"/>
  <c r="FC35" i="17"/>
  <c r="FB29" i="17"/>
  <c r="FH29" i="17"/>
  <c r="FC26" i="17"/>
  <c r="FF26" i="17"/>
  <c r="EY35" i="17"/>
  <c r="FD35" i="17"/>
  <c r="FH35" i="17"/>
  <c r="FD29" i="17"/>
  <c r="FI26" i="17"/>
  <c r="FG26" i="17"/>
  <c r="FE26" i="17"/>
  <c r="FF35" i="17"/>
  <c r="FA35" i="17"/>
  <c r="EY29" i="17"/>
  <c r="DB35" i="17"/>
  <c r="FH26" i="17"/>
  <c r="FD26" i="17"/>
  <c r="FI35" i="17"/>
  <c r="EZ26" i="17"/>
  <c r="FG29" i="17"/>
  <c r="IV12" i="16" l="1"/>
  <c r="IV11" i="16"/>
  <c r="IV14" i="16"/>
  <c r="IV16" i="16"/>
  <c r="IV13" i="16"/>
  <c r="IV10" i="16"/>
  <c r="IU17" i="16"/>
  <c r="EV27" i="17"/>
  <c r="ET32" i="17"/>
  <c r="EN33" i="17"/>
  <c r="DS30" i="17" s="1"/>
  <c r="EX35" i="17"/>
  <c r="EP32" i="17"/>
  <c r="EW32" i="17"/>
  <c r="ES36" i="17"/>
  <c r="EU32" i="17"/>
  <c r="EX32" i="17"/>
  <c r="ES35" i="17"/>
  <c r="EV31" i="17"/>
  <c r="ES32" i="17"/>
  <c r="ER26" i="17"/>
  <c r="EV26" i="17"/>
  <c r="EP34" i="17"/>
  <c r="EN32" i="17"/>
  <c r="EV32" i="17"/>
  <c r="EQ27" i="17"/>
  <c r="EX28" i="17"/>
  <c r="EW31" i="17"/>
  <c r="ET31" i="17"/>
  <c r="EV30" i="17"/>
  <c r="EP33" i="17"/>
  <c r="EU29" i="17"/>
  <c r="EX33" i="17"/>
  <c r="ER31" i="17"/>
  <c r="EQ31" i="17"/>
  <c r="EP28" i="17"/>
  <c r="EQ30" i="17"/>
  <c r="EV33" i="17"/>
  <c r="ER34" i="17"/>
  <c r="EX31" i="17"/>
  <c r="ES31" i="17"/>
  <c r="EN31" i="17"/>
  <c r="DS32" i="17" s="1"/>
  <c r="ER35" i="17"/>
  <c r="EW28" i="17"/>
  <c r="ER27" i="17"/>
  <c r="EQ36" i="17"/>
  <c r="EX37" i="17"/>
  <c r="EX26" i="17"/>
  <c r="EP26" i="17"/>
  <c r="EQ28" i="17"/>
  <c r="ER37" i="17"/>
  <c r="ES27" i="17"/>
  <c r="EN37" i="17"/>
  <c r="EV35" i="17"/>
  <c r="EQ26" i="17"/>
  <c r="EW35" i="17"/>
  <c r="EW36" i="17"/>
  <c r="EU26" i="17"/>
  <c r="EU31" i="17"/>
  <c r="EP31" i="17"/>
  <c r="EQ32" i="17"/>
  <c r="ER32" i="17"/>
  <c r="ET28" i="17"/>
  <c r="ES37" i="17"/>
  <c r="EN28" i="17"/>
  <c r="DE93" i="17" s="1"/>
  <c r="EU36" i="17"/>
  <c r="EU35" i="17"/>
  <c r="ET26" i="17"/>
  <c r="ES29" i="17"/>
  <c r="EP27" i="17"/>
  <c r="EX29" i="17"/>
  <c r="EW34" i="17"/>
  <c r="ET30" i="17"/>
  <c r="ES33" i="17"/>
  <c r="EN34" i="17"/>
  <c r="ES34" i="17"/>
  <c r="EQ29" i="17"/>
  <c r="EN30" i="17"/>
  <c r="DS23" i="17" s="1"/>
  <c r="EW33" i="17"/>
  <c r="EW29" i="17"/>
  <c r="ER28" i="17"/>
  <c r="ES28" i="17"/>
  <c r="EU37" i="17"/>
  <c r="EQ37" i="17"/>
  <c r="ET27" i="17"/>
  <c r="ER30" i="17"/>
  <c r="EU30" i="17"/>
  <c r="ER36" i="17"/>
  <c r="EV36" i="17"/>
  <c r="ER33" i="17"/>
  <c r="EQ33" i="17"/>
  <c r="ET34" i="17"/>
  <c r="EV29" i="17"/>
  <c r="ER29" i="17"/>
  <c r="EP37" i="17"/>
  <c r="EW27" i="17"/>
  <c r="EW30" i="17"/>
  <c r="EX36" i="17"/>
  <c r="EX34" i="17"/>
  <c r="EU28" i="17"/>
  <c r="EV28" i="17"/>
  <c r="ET37" i="17"/>
  <c r="EV37" i="17"/>
  <c r="EU27" i="17"/>
  <c r="ES30" i="17"/>
  <c r="EP30" i="17"/>
  <c r="ET36" i="17"/>
  <c r="EP36" i="17"/>
  <c r="ET33" i="17"/>
  <c r="EU33" i="17"/>
  <c r="ET35" i="17"/>
  <c r="EN36" i="17"/>
  <c r="ES26" i="17"/>
  <c r="EU34" i="17"/>
  <c r="EP29" i="17"/>
  <c r="ET29" i="17"/>
  <c r="EN27" i="17"/>
  <c r="DE35" i="17" s="1"/>
  <c r="EX27" i="17"/>
  <c r="EQ34" i="17"/>
  <c r="EP35" i="17"/>
  <c r="EQ35" i="17"/>
  <c r="EV34" i="17"/>
  <c r="DS27" i="17"/>
  <c r="DC15" i="17"/>
  <c r="DC35" i="17"/>
  <c r="DD35" i="17" s="1"/>
  <c r="DS24" i="17"/>
  <c r="DE78" i="17"/>
  <c r="DE92" i="17"/>
  <c r="DE109" i="17"/>
  <c r="DK36" i="17"/>
  <c r="EG29" i="19"/>
  <c r="EK31" i="19"/>
  <c r="EL31" i="19" s="1"/>
  <c r="EG23" i="19"/>
  <c r="EG24" i="19" s="1"/>
  <c r="FH33" i="17"/>
  <c r="FE27" i="17"/>
  <c r="EZ34" i="17"/>
  <c r="EZ30" i="17"/>
  <c r="FI30" i="17"/>
  <c r="FE34" i="17"/>
  <c r="FI31" i="17"/>
  <c r="FD33" i="17"/>
  <c r="FF31" i="17"/>
  <c r="EZ32" i="17"/>
  <c r="FB28" i="17"/>
  <c r="FD36" i="17"/>
  <c r="FF32" i="17"/>
  <c r="FH30" i="17"/>
  <c r="FB34" i="17"/>
  <c r="FH32" i="17"/>
  <c r="FA31" i="17"/>
  <c r="FG28" i="17"/>
  <c r="EY33" i="17"/>
  <c r="FA27" i="17"/>
  <c r="FI36" i="17"/>
  <c r="FB30" i="17"/>
  <c r="FB32" i="17"/>
  <c r="FB36" i="17"/>
  <c r="EY27" i="17"/>
  <c r="FI32" i="17"/>
  <c r="FA34" i="17"/>
  <c r="FE33" i="17"/>
  <c r="FG30" i="17"/>
  <c r="FA37" i="17"/>
  <c r="EZ36" i="17"/>
  <c r="FB27" i="17"/>
  <c r="EY37" i="17"/>
  <c r="FF34" i="17"/>
  <c r="FE37" i="17"/>
  <c r="FE32" i="17"/>
  <c r="FH28" i="17"/>
  <c r="DB36" i="17"/>
  <c r="FG33" i="17"/>
  <c r="FA32" i="17"/>
  <c r="FG32" i="17"/>
  <c r="FB33" i="17"/>
  <c r="EY30" i="17"/>
  <c r="FE28" i="17"/>
  <c r="FB31" i="17"/>
  <c r="FC27" i="17"/>
  <c r="FB37" i="17"/>
  <c r="FD30" i="17"/>
  <c r="FE30" i="17"/>
  <c r="FA30" i="17"/>
  <c r="FH36" i="17"/>
  <c r="FI33" i="17"/>
  <c r="FF37" i="17"/>
  <c r="EY28" i="17"/>
  <c r="FD31" i="17"/>
  <c r="FD34" i="17"/>
  <c r="FF36" i="17"/>
  <c r="FC28" i="17"/>
  <c r="FH34" i="17"/>
  <c r="FH27" i="17"/>
  <c r="FG34" i="17"/>
  <c r="FC32" i="17"/>
  <c r="FH37" i="17"/>
  <c r="FF27" i="17"/>
  <c r="FF33" i="17"/>
  <c r="EY32" i="17"/>
  <c r="EZ37" i="17"/>
  <c r="FI27" i="17"/>
  <c r="EY36" i="17"/>
  <c r="FI34" i="17"/>
  <c r="EY31" i="17"/>
  <c r="FC36" i="17"/>
  <c r="FF30" i="17"/>
  <c r="FA36" i="17"/>
  <c r="FG37" i="17"/>
  <c r="FA28" i="17"/>
  <c r="FE31" i="17"/>
  <c r="FG31" i="17"/>
  <c r="FC33" i="17"/>
  <c r="FD32" i="17"/>
  <c r="FC37" i="17"/>
  <c r="FG27" i="17"/>
  <c r="EZ28" i="17"/>
  <c r="FI28" i="17"/>
  <c r="FD27" i="17"/>
  <c r="EY34" i="17"/>
  <c r="FI37" i="17"/>
  <c r="FD28" i="17"/>
  <c r="FC31" i="17"/>
  <c r="FF28" i="17"/>
  <c r="FA33" i="17"/>
  <c r="FE36" i="17"/>
  <c r="FD37" i="17"/>
  <c r="EZ27" i="17"/>
  <c r="FC34" i="17"/>
  <c r="FG36" i="17"/>
  <c r="EZ31" i="17"/>
  <c r="FC30" i="17"/>
  <c r="FH31" i="17"/>
  <c r="EZ33" i="17"/>
  <c r="DC17" i="17" l="1"/>
  <c r="DC13" i="17"/>
  <c r="DE86" i="17"/>
  <c r="DS31" i="17"/>
  <c r="DC12" i="17"/>
  <c r="DS33" i="17"/>
  <c r="IV17" i="16"/>
  <c r="DE94" i="17"/>
  <c r="DE26" i="17"/>
  <c r="DE34" i="17"/>
  <c r="DE88" i="17"/>
  <c r="DS28" i="17"/>
  <c r="DE24" i="17"/>
  <c r="DE87" i="17"/>
  <c r="DE27" i="17"/>
  <c r="DC18" i="17"/>
  <c r="DE95" i="17"/>
  <c r="DE23" i="17"/>
  <c r="DE110" i="17"/>
  <c r="DS22" i="17"/>
  <c r="DE25" i="17"/>
  <c r="DE28" i="17"/>
  <c r="DE91" i="17"/>
  <c r="DS29" i="17"/>
  <c r="DE31" i="17"/>
  <c r="DS26" i="17"/>
  <c r="DE32" i="17"/>
  <c r="DS25" i="17"/>
  <c r="DE96" i="17"/>
  <c r="DE30" i="17"/>
  <c r="DC16" i="17"/>
  <c r="DC14" i="17"/>
  <c r="DE29" i="17"/>
  <c r="DE33" i="17"/>
  <c r="DC36" i="17"/>
  <c r="DD36" i="17" s="1"/>
  <c r="DE36" i="17"/>
  <c r="DK37" i="17"/>
  <c r="EH30" i="19"/>
  <c r="EA31" i="19"/>
  <c r="DV31" i="19"/>
  <c r="EB24" i="19"/>
  <c r="EB23" i="19"/>
  <c r="DB37" i="17"/>
  <c r="DC37" i="17" l="1"/>
  <c r="DD37" i="17" s="1"/>
  <c r="DE37" i="17"/>
  <c r="DK38" i="17"/>
  <c r="EH32" i="19"/>
  <c r="EI30" i="19"/>
  <c r="EJ30" i="19" s="1"/>
  <c r="EK30" i="19"/>
  <c r="EL30" i="19" s="1"/>
  <c r="DU28" i="19"/>
  <c r="DU30" i="19" s="1"/>
  <c r="DV32" i="19" s="1"/>
  <c r="DV33" i="19" s="1"/>
  <c r="DU24" i="19"/>
  <c r="DB38" i="17"/>
  <c r="DC38" i="17" l="1"/>
  <c r="DD38" i="17" s="1"/>
  <c r="DE38" i="17"/>
  <c r="DK39" i="17"/>
  <c r="DU32" i="19"/>
  <c r="DU33" i="19" s="1"/>
  <c r="DV30" i="19"/>
  <c r="EI32" i="19"/>
  <c r="EJ32" i="19" s="1"/>
  <c r="EH33" i="19"/>
  <c r="AI6" i="20"/>
  <c r="DB39" i="17"/>
  <c r="DC39" i="17" l="1"/>
  <c r="DD39" i="17" s="1"/>
  <c r="DE39" i="17"/>
  <c r="DK40" i="17"/>
  <c r="EI33" i="19"/>
  <c r="EJ33" i="19" s="1"/>
  <c r="EK32" i="19"/>
  <c r="EL32" i="19" s="1"/>
  <c r="C9" i="5"/>
  <c r="DB40" i="17"/>
  <c r="DC40" i="17" l="1"/>
  <c r="DD40" i="17" s="1"/>
  <c r="DE40" i="17"/>
  <c r="DK41" i="17"/>
  <c r="EK33" i="19"/>
  <c r="EL33" i="19" s="1"/>
  <c r="DB41" i="17"/>
  <c r="DC41" i="17" l="1"/>
  <c r="DD41" i="17" s="1"/>
  <c r="DE41" i="17"/>
  <c r="DK42" i="17"/>
  <c r="CC16" i="19"/>
  <c r="CD16" i="19" s="1"/>
  <c r="CC8" i="19"/>
  <c r="CC7" i="19"/>
  <c r="DB42" i="17"/>
  <c r="DC42" i="17" l="1"/>
  <c r="DD42" i="17" s="1"/>
  <c r="DE42" i="17"/>
  <c r="DK43" i="17"/>
  <c r="CE16" i="19"/>
  <c r="CF16" i="19"/>
  <c r="DB43" i="17"/>
  <c r="DC43" i="17" l="1"/>
  <c r="DD43" i="17" s="1"/>
  <c r="DE43" i="17"/>
  <c r="DK44" i="17"/>
  <c r="CD18" i="19"/>
  <c r="CE18" i="19" s="1"/>
  <c r="CF18" i="19" s="1"/>
  <c r="CC17" i="19"/>
  <c r="CC13" i="19"/>
  <c r="CD13" i="19" s="1"/>
  <c r="CF13" i="19" s="1"/>
  <c r="CD9" i="19"/>
  <c r="CE9" i="19" s="1"/>
  <c r="CF9" i="19" s="1"/>
  <c r="CD8" i="19"/>
  <c r="CD7" i="19"/>
  <c r="CE7" i="19" s="1"/>
  <c r="CF7" i="19" s="1"/>
  <c r="CG7" i="19" s="1"/>
  <c r="CH7" i="19" s="1"/>
  <c r="CC12" i="19"/>
  <c r="DB44" i="17"/>
  <c r="DC44" i="17" l="1"/>
  <c r="DD44" i="17" s="1"/>
  <c r="DE44" i="17"/>
  <c r="DK45" i="17"/>
  <c r="CH10" i="19"/>
  <c r="CD17" i="19"/>
  <c r="CE17" i="19" s="1"/>
  <c r="CF17" i="19" s="1"/>
  <c r="CG17" i="19" s="1"/>
  <c r="CI8" i="19" s="1"/>
  <c r="CI15" i="19" s="1"/>
  <c r="CD12" i="19"/>
  <c r="CE8" i="19"/>
  <c r="CF8" i="19" s="1"/>
  <c r="CG8" i="19" s="1"/>
  <c r="CH8" i="19" s="1"/>
  <c r="CH15" i="19" s="1"/>
  <c r="CE13" i="19"/>
  <c r="CD10" i="19"/>
  <c r="CD19" i="19"/>
  <c r="CC19" i="19"/>
  <c r="DB45" i="17"/>
  <c r="CC10" i="19"/>
  <c r="DC45" i="17" l="1"/>
  <c r="DD45" i="17" s="1"/>
  <c r="DE45" i="17"/>
  <c r="DK46" i="17"/>
  <c r="CH11" i="19"/>
  <c r="CA14" i="19"/>
  <c r="CG16" i="19"/>
  <c r="CI7" i="19" s="1"/>
  <c r="CF12" i="19"/>
  <c r="CE12" i="19"/>
  <c r="CC11" i="19"/>
  <c r="CF10" i="19"/>
  <c r="CC22" i="19"/>
  <c r="CD11" i="19"/>
  <c r="CE19" i="19"/>
  <c r="CC14" i="19"/>
  <c r="CC15" i="19"/>
  <c r="CD20" i="19"/>
  <c r="CD21" i="19"/>
  <c r="CC21" i="19"/>
  <c r="CD14" i="19"/>
  <c r="CF19" i="19"/>
  <c r="CC20" i="19"/>
  <c r="DB46" i="17"/>
  <c r="CD22" i="19"/>
  <c r="CD15" i="19"/>
  <c r="CE10" i="19"/>
  <c r="DC46" i="17" l="1"/>
  <c r="DD46" i="17" s="1"/>
  <c r="DE46" i="17"/>
  <c r="DK47" i="17"/>
  <c r="CH13" i="19"/>
  <c r="CH14" i="19" s="1"/>
  <c r="CH16" i="19"/>
  <c r="CH17" i="19" s="1"/>
  <c r="CH12" i="19"/>
  <c r="CI10" i="19"/>
  <c r="CI11" i="19" s="1"/>
  <c r="CF22" i="19"/>
  <c r="DB47" i="17"/>
  <c r="CF11" i="19"/>
  <c r="CE14" i="19"/>
  <c r="CF20" i="19"/>
  <c r="CE20" i="19"/>
  <c r="CE22" i="19"/>
  <c r="CE15" i="19"/>
  <c r="CF21" i="19"/>
  <c r="CF14" i="19"/>
  <c r="CE11" i="19"/>
  <c r="CE21" i="19"/>
  <c r="CF15" i="19"/>
  <c r="DC47" i="17" l="1"/>
  <c r="DD47" i="17" s="1"/>
  <c r="DE47" i="17"/>
  <c r="DK50" i="17"/>
  <c r="CG18" i="19"/>
  <c r="CI9" i="19" s="1"/>
  <c r="CH18" i="19"/>
  <c r="CG9" i="19"/>
  <c r="CH9" i="19" s="1"/>
  <c r="CI12" i="19"/>
  <c r="CI16" i="19"/>
  <c r="CI17" i="19" s="1"/>
  <c r="CI13" i="19"/>
  <c r="CI14" i="19" s="1"/>
  <c r="GG13" i="9"/>
  <c r="GG8" i="9"/>
  <c r="GG9" i="9" s="1"/>
  <c r="P23" i="7"/>
  <c r="P22" i="7"/>
  <c r="T37" i="14"/>
  <c r="U37" i="14" s="1"/>
  <c r="T46" i="14"/>
  <c r="T47" i="14"/>
  <c r="U47" i="14" s="1"/>
  <c r="U38" i="14"/>
  <c r="T43" i="14"/>
  <c r="U43" i="14" s="1"/>
  <c r="U48" i="14"/>
  <c r="U39" i="14"/>
  <c r="CH20" i="19"/>
  <c r="T42" i="14"/>
  <c r="DB50" i="17"/>
  <c r="DC50" i="17" l="1"/>
  <c r="DD50" i="17" s="1"/>
  <c r="DE50" i="17"/>
  <c r="DK51" i="17"/>
  <c r="CH19" i="19"/>
  <c r="CI18" i="19"/>
  <c r="GG11" i="9"/>
  <c r="GG12" i="9" s="1"/>
  <c r="GG14" i="9"/>
  <c r="GG10" i="9"/>
  <c r="U42" i="14"/>
  <c r="U46" i="14"/>
  <c r="T49" i="14"/>
  <c r="T40" i="14"/>
  <c r="DB51" i="17"/>
  <c r="DC51" i="17" l="1"/>
  <c r="DD51" i="17" s="1"/>
  <c r="DE51" i="17"/>
  <c r="DK52" i="17"/>
  <c r="V42" i="14"/>
  <c r="CI19" i="19"/>
  <c r="CA15" i="19" s="1"/>
  <c r="GG15" i="9"/>
  <c r="GG16" i="9"/>
  <c r="T51" i="14"/>
  <c r="T50" i="14"/>
  <c r="T41" i="14"/>
  <c r="T44" i="14"/>
  <c r="T52" i="14"/>
  <c r="T45" i="14"/>
  <c r="DB52" i="17"/>
  <c r="DC52" i="17" l="1"/>
  <c r="DD52" i="17" s="1"/>
  <c r="DE52" i="17"/>
  <c r="DK53" i="17"/>
  <c r="CJ19" i="19"/>
  <c r="CI20" i="19"/>
  <c r="CI21" i="19" s="1"/>
  <c r="GG17" i="9"/>
  <c r="GH16" i="9" s="1"/>
  <c r="GH17" i="9" s="1"/>
  <c r="DB53" i="17"/>
  <c r="DC53" i="17" l="1"/>
  <c r="DD53" i="17" s="1"/>
  <c r="DE53" i="17"/>
  <c r="DK54" i="17"/>
  <c r="V46" i="14"/>
  <c r="V47" i="14"/>
  <c r="O23" i="7"/>
  <c r="O19" i="7"/>
  <c r="O22" i="7"/>
  <c r="O21" i="7"/>
  <c r="O20" i="7"/>
  <c r="O18" i="7"/>
  <c r="O17" i="7"/>
  <c r="O16" i="7"/>
  <c r="O15" i="7"/>
  <c r="O14" i="7"/>
  <c r="DB54" i="17"/>
  <c r="DC54" i="17" l="1"/>
  <c r="DD54" i="17" s="1"/>
  <c r="DE54" i="17"/>
  <c r="DK55" i="17"/>
  <c r="W43" i="14"/>
  <c r="V43" i="14"/>
  <c r="V37" i="14"/>
  <c r="W37" i="14" s="1"/>
  <c r="X37" i="14" s="1"/>
  <c r="Y37" i="14" s="1"/>
  <c r="V39" i="14"/>
  <c r="W39" i="14" s="1"/>
  <c r="V38" i="14"/>
  <c r="W38" i="14" s="1"/>
  <c r="X38" i="14" s="1"/>
  <c r="Y38" i="14" s="1"/>
  <c r="Y45" i="14" s="1"/>
  <c r="V48" i="14"/>
  <c r="W48" i="14" s="1"/>
  <c r="W47" i="14"/>
  <c r="X47" i="14" s="1"/>
  <c r="Z38" i="14" s="1"/>
  <c r="W46" i="14"/>
  <c r="X46" i="14" s="1"/>
  <c r="Z37" i="14" s="1"/>
  <c r="DB55" i="17"/>
  <c r="DC55" i="17" l="1"/>
  <c r="DD55" i="17" s="1"/>
  <c r="DE55" i="17"/>
  <c r="DK56" i="17"/>
  <c r="Z45" i="14"/>
  <c r="R43" i="14"/>
  <c r="Z40" i="14"/>
  <c r="Z41" i="14" s="1"/>
  <c r="Z46" i="14" s="1"/>
  <c r="Y40" i="14"/>
  <c r="Y41" i="14" s="1"/>
  <c r="Y46" i="14" s="1"/>
  <c r="V49" i="14"/>
  <c r="U40" i="14"/>
  <c r="U49" i="14"/>
  <c r="DB56" i="17"/>
  <c r="DC56" i="17" l="1"/>
  <c r="DD56" i="17" s="1"/>
  <c r="DE56" i="17"/>
  <c r="DK57" i="17"/>
  <c r="Z47" i="14"/>
  <c r="Z48" i="14"/>
  <c r="Y48" i="14"/>
  <c r="Y47" i="14"/>
  <c r="Y43" i="14"/>
  <c r="Y44" i="14" s="1"/>
  <c r="Y42" i="14"/>
  <c r="Z42" i="14"/>
  <c r="Z43" i="14"/>
  <c r="Z44" i="14" s="1"/>
  <c r="W42" i="14"/>
  <c r="AA21" i="14"/>
  <c r="AB21" i="14" s="1"/>
  <c r="U44" i="14"/>
  <c r="U50" i="14"/>
  <c r="U52" i="14"/>
  <c r="V51" i="14"/>
  <c r="V40" i="14"/>
  <c r="U41" i="14"/>
  <c r="W49" i="14"/>
  <c r="U51" i="14"/>
  <c r="V50" i="14"/>
  <c r="V52" i="14"/>
  <c r="U45" i="14"/>
  <c r="DB57" i="17"/>
  <c r="W40" i="14"/>
  <c r="DC57" i="17" l="1"/>
  <c r="DD57" i="17" s="1"/>
  <c r="DE57" i="17"/>
  <c r="DK58" i="17"/>
  <c r="X48" i="14"/>
  <c r="Z39" i="14" s="1"/>
  <c r="Z49" i="14" s="1"/>
  <c r="W50" i="14"/>
  <c r="DB58" i="17"/>
  <c r="W45" i="14"/>
  <c r="W44" i="14"/>
  <c r="V45" i="14"/>
  <c r="V44" i="14"/>
  <c r="W41" i="14"/>
  <c r="V41" i="14"/>
  <c r="W51" i="14"/>
  <c r="W52" i="14"/>
  <c r="DC58" i="17" l="1"/>
  <c r="DD58" i="17" s="1"/>
  <c r="DE58" i="17"/>
  <c r="DK59" i="17"/>
  <c r="Z50" i="14"/>
  <c r="Z51" i="14" s="1"/>
  <c r="X39" i="14"/>
  <c r="Y39" i="14" s="1"/>
  <c r="Y50" i="14"/>
  <c r="DB59" i="17"/>
  <c r="DC59" i="17" l="1"/>
  <c r="DD59" i="17" s="1"/>
  <c r="DE59" i="17"/>
  <c r="DK60" i="17"/>
  <c r="Y49" i="14"/>
  <c r="R44" i="14" s="1"/>
  <c r="DB60" i="17"/>
  <c r="DC60" i="17" l="1"/>
  <c r="DD60" i="17" s="1"/>
  <c r="DE60" i="17"/>
  <c r="DK61" i="17"/>
  <c r="DB61" i="17"/>
  <c r="DC61" i="17" l="1"/>
  <c r="DD61" i="17" s="1"/>
  <c r="DE61" i="17"/>
  <c r="DK62" i="17"/>
  <c r="FT7" i="15"/>
  <c r="DB62" i="17"/>
  <c r="DC62" i="17" l="1"/>
  <c r="DD62" i="17" s="1"/>
  <c r="DE62" i="17"/>
  <c r="DK63" i="17"/>
  <c r="DB63" i="17"/>
  <c r="AX8" i="13"/>
  <c r="DC63" i="17" l="1"/>
  <c r="DD63" i="17" s="1"/>
  <c r="DE63" i="17"/>
  <c r="DK64" i="17"/>
  <c r="AL9" i="14"/>
  <c r="AS7" i="14"/>
  <c r="C4" i="14" s="1"/>
  <c r="AL5" i="14"/>
  <c r="AL4" i="14"/>
  <c r="DB64" i="17"/>
  <c r="AU8" i="13"/>
  <c r="DC64" i="17" l="1"/>
  <c r="DD64" i="17" s="1"/>
  <c r="DE64" i="17"/>
  <c r="DK65" i="17"/>
  <c r="C14" i="14"/>
  <c r="O4" i="14"/>
  <c r="BF43" i="13"/>
  <c r="BE43" i="13" s="1"/>
  <c r="BE44" i="13"/>
  <c r="DB65" i="17"/>
  <c r="DC65" i="17" l="1"/>
  <c r="DD65" i="17" s="1"/>
  <c r="DE65" i="17"/>
  <c r="DK66" i="17"/>
  <c r="BF47" i="13"/>
  <c r="BG47" i="13" s="1"/>
  <c r="BE48" i="13"/>
  <c r="BE49" i="13" s="1"/>
  <c r="BE45" i="13"/>
  <c r="BE50" i="13"/>
  <c r="DB66" i="17"/>
  <c r="BE51" i="13"/>
  <c r="DC66" i="17" l="1"/>
  <c r="DD66" i="17" s="1"/>
  <c r="DE66" i="17"/>
  <c r="DK67" i="17"/>
  <c r="BF48" i="13"/>
  <c r="BH47" i="13"/>
  <c r="BI47" i="13" s="1"/>
  <c r="BF49" i="13"/>
  <c r="BD7" i="19"/>
  <c r="AS8" i="19"/>
  <c r="DB67" i="17"/>
  <c r="DC67" i="17" l="1"/>
  <c r="DD67" i="17" s="1"/>
  <c r="DE67" i="17"/>
  <c r="DK68" i="17"/>
  <c r="BG48" i="13"/>
  <c r="BG49" i="13"/>
  <c r="DB68" i="17"/>
  <c r="DC68" i="17" l="1"/>
  <c r="DD68" i="17" s="1"/>
  <c r="DE68" i="17"/>
  <c r="DK69" i="17"/>
  <c r="BH48" i="13"/>
  <c r="BI48" i="13" s="1"/>
  <c r="BH49" i="13"/>
  <c r="BI49" i="13" s="1"/>
  <c r="BI5" i="24"/>
  <c r="BI4" i="24"/>
  <c r="BJ4" i="24" s="1"/>
  <c r="BK4" i="24" s="1"/>
  <c r="DB69" i="17"/>
  <c r="BH6" i="24"/>
  <c r="DC69" i="17" l="1"/>
  <c r="DD69" i="17" s="1"/>
  <c r="DE69" i="17"/>
  <c r="DK70" i="17"/>
  <c r="BJ5" i="24"/>
  <c r="BK5" i="24" s="1"/>
  <c r="BL8" i="24"/>
  <c r="BC9" i="24"/>
  <c r="DB70" i="17"/>
  <c r="BH9" i="24"/>
  <c r="DC70" i="17" l="1"/>
  <c r="DD70" i="17" s="1"/>
  <c r="DE70" i="17"/>
  <c r="DK71" i="17"/>
  <c r="BC7" i="24"/>
  <c r="BC10" i="24" s="1"/>
  <c r="BI9" i="24"/>
  <c r="BJ9" i="24" s="1"/>
  <c r="BK9" i="24" s="1"/>
  <c r="BD9" i="24"/>
  <c r="BE9" i="24" s="1"/>
  <c r="BF9" i="24" s="1"/>
  <c r="AX10" i="13"/>
  <c r="DB71" i="17"/>
  <c r="AS16" i="19"/>
  <c r="AS20" i="19"/>
  <c r="DC71" i="17" l="1"/>
  <c r="DD71" i="17" s="1"/>
  <c r="DE71" i="17"/>
  <c r="DK72" i="17"/>
  <c r="BH7" i="24"/>
  <c r="BC11" i="24"/>
  <c r="AY10" i="13"/>
  <c r="AZ10" i="13" s="1"/>
  <c r="BD7" i="24"/>
  <c r="BE7" i="24" s="1"/>
  <c r="BF7" i="24" s="1"/>
  <c r="BC12" i="24"/>
  <c r="BC17" i="24"/>
  <c r="BC13" i="24"/>
  <c r="BC16" i="24"/>
  <c r="BC18" i="24"/>
  <c r="BC19" i="24"/>
  <c r="BC20" i="24"/>
  <c r="BC15" i="24"/>
  <c r="BC14" i="24"/>
  <c r="AS17" i="19"/>
  <c r="AS18" i="19" s="1"/>
  <c r="AS19" i="19" s="1"/>
  <c r="AS10" i="19" s="1"/>
  <c r="AS11" i="19" s="1"/>
  <c r="AS12" i="19" s="1"/>
  <c r="AS13" i="19" s="1"/>
  <c r="DB72" i="17"/>
  <c r="DC72" i="17" l="1"/>
  <c r="DD72" i="17" s="1"/>
  <c r="DE72" i="17"/>
  <c r="DK73" i="17"/>
  <c r="BH14" i="24"/>
  <c r="BH10" i="24"/>
  <c r="BI10" i="24" s="1"/>
  <c r="BJ10" i="24" s="1"/>
  <c r="BH13" i="24"/>
  <c r="BI13" i="24" s="1"/>
  <c r="BJ13" i="24" s="1"/>
  <c r="BA10" i="13"/>
  <c r="BB10" i="13" s="1"/>
  <c r="BH16" i="24"/>
  <c r="BI16" i="24" s="1"/>
  <c r="BJ16" i="24" s="1"/>
  <c r="BK16" i="24" s="1"/>
  <c r="BH12" i="24"/>
  <c r="BI12" i="24" s="1"/>
  <c r="BJ12" i="24" s="1"/>
  <c r="BH11" i="24"/>
  <c r="BI11" i="24" s="1"/>
  <c r="BJ11" i="24" s="1"/>
  <c r="BK11" i="24" s="1"/>
  <c r="BH17" i="24"/>
  <c r="BI17" i="24" s="1"/>
  <c r="BJ17" i="24" s="1"/>
  <c r="BH19" i="24"/>
  <c r="BI19" i="24" s="1"/>
  <c r="BJ19" i="24" s="1"/>
  <c r="BH18" i="24"/>
  <c r="BI18" i="24" s="1"/>
  <c r="BJ18" i="24" s="1"/>
  <c r="BH15" i="24"/>
  <c r="BD18" i="24"/>
  <c r="BE18" i="24" s="1"/>
  <c r="BD12" i="24"/>
  <c r="BE12" i="24" s="1"/>
  <c r="BD16" i="24"/>
  <c r="BE16" i="24" s="1"/>
  <c r="BD10" i="24"/>
  <c r="BE10" i="24" s="1"/>
  <c r="BD17" i="24"/>
  <c r="BE17" i="24" s="1"/>
  <c r="BI14" i="24"/>
  <c r="BJ14" i="24" s="1"/>
  <c r="BD20" i="24"/>
  <c r="BE20" i="24" s="1"/>
  <c r="BF20" i="24" s="1"/>
  <c r="BD13" i="24"/>
  <c r="BE13" i="24" s="1"/>
  <c r="BD11" i="24"/>
  <c r="BE11" i="24" s="1"/>
  <c r="BD14" i="24"/>
  <c r="BE14" i="24" s="1"/>
  <c r="BD15" i="24"/>
  <c r="BE15" i="24" s="1"/>
  <c r="BD19" i="24"/>
  <c r="BE19" i="24" s="1"/>
  <c r="BH20" i="24"/>
  <c r="BI7" i="24"/>
  <c r="BJ7" i="24" s="1"/>
  <c r="BK7" i="24" s="1"/>
  <c r="AT8" i="19"/>
  <c r="AU8" i="19" s="1"/>
  <c r="AV8" i="19" s="1"/>
  <c r="AW13" i="19"/>
  <c r="AV13" i="19" s="1"/>
  <c r="AT13" i="19"/>
  <c r="DB73" i="17"/>
  <c r="DC73" i="17" l="1"/>
  <c r="DD73" i="17" s="1"/>
  <c r="DE73" i="17"/>
  <c r="DK74" i="17"/>
  <c r="BF13" i="24"/>
  <c r="BI15" i="24"/>
  <c r="BJ15" i="24" s="1"/>
  <c r="BK15" i="24" s="1"/>
  <c r="BK12" i="24"/>
  <c r="BK19" i="24"/>
  <c r="BF19" i="24"/>
  <c r="BI20" i="24"/>
  <c r="BJ20" i="24" s="1"/>
  <c r="BK20" i="24" s="1"/>
  <c r="BF11" i="24"/>
  <c r="BF12" i="24"/>
  <c r="BF15" i="24"/>
  <c r="BF17" i="24"/>
  <c r="BK13" i="24"/>
  <c r="BF16" i="24"/>
  <c r="BK18" i="24"/>
  <c r="BF14" i="24"/>
  <c r="BK14" i="24"/>
  <c r="BF10" i="24"/>
  <c r="BK17" i="24"/>
  <c r="BK10" i="24"/>
  <c r="BF18" i="24"/>
  <c r="AW8" i="19"/>
  <c r="AU13" i="19"/>
  <c r="AW1" i="13"/>
  <c r="AX9" i="13"/>
  <c r="DB74" i="17"/>
  <c r="DC74" i="17" l="1"/>
  <c r="DD74" i="17" s="1"/>
  <c r="DE74" i="17"/>
  <c r="DK75" i="17"/>
  <c r="AY8" i="13"/>
  <c r="AZ8" i="13" s="1"/>
  <c r="BE4" i="13"/>
  <c r="AX1" i="13"/>
  <c r="DB75" i="17"/>
  <c r="DC75" i="17" l="1"/>
  <c r="DD75" i="17" s="1"/>
  <c r="DE75" i="17"/>
  <c r="DK76" i="17"/>
  <c r="BA8" i="13"/>
  <c r="BB8" i="13" s="1"/>
  <c r="BK35" i="13"/>
  <c r="DB76" i="17"/>
  <c r="DC76" i="17" l="1"/>
  <c r="DD76" i="17" s="1"/>
  <c r="DE76" i="17"/>
  <c r="DK77" i="17"/>
  <c r="BF50" i="13"/>
  <c r="BF51" i="13"/>
  <c r="BE52" i="13"/>
  <c r="FN6" i="9"/>
  <c r="DB77" i="17"/>
  <c r="AF207" i="20"/>
  <c r="FR8" i="9"/>
  <c r="DC77" i="17" l="1"/>
  <c r="DD77" i="17" s="1"/>
  <c r="DE77" i="17"/>
  <c r="DK79" i="17"/>
  <c r="BE53" i="13"/>
  <c r="BF52" i="13"/>
  <c r="BG52" i="13" s="1"/>
  <c r="BG51" i="13"/>
  <c r="BH51" i="13" s="1"/>
  <c r="BG50" i="13"/>
  <c r="BH50" i="13" s="1"/>
  <c r="FN7" i="9"/>
  <c r="FN8" i="9"/>
  <c r="FR23" i="9"/>
  <c r="DB79" i="17"/>
  <c r="DC79" i="17" l="1"/>
  <c r="DD79" i="17" s="1"/>
  <c r="DE79" i="17"/>
  <c r="DK80" i="17"/>
  <c r="BI50" i="13"/>
  <c r="BI51" i="13"/>
  <c r="BH52" i="13"/>
  <c r="BI52" i="13" s="1"/>
  <c r="BF53" i="13"/>
  <c r="FN9" i="9"/>
  <c r="FN10" i="9" s="1"/>
  <c r="FS23" i="9"/>
  <c r="FT23" i="9" s="1"/>
  <c r="FU23" i="9" s="1"/>
  <c r="FR9" i="9"/>
  <c r="DB80" i="17"/>
  <c r="FN11" i="9"/>
  <c r="DC80" i="17" l="1"/>
  <c r="DD80" i="17" s="1"/>
  <c r="DE80" i="17"/>
  <c r="DK81" i="17"/>
  <c r="BG53" i="13"/>
  <c r="BH53" i="13" s="1"/>
  <c r="BI53" i="13" s="1"/>
  <c r="FN12" i="9"/>
  <c r="FU7" i="15"/>
  <c r="FR18" i="9"/>
  <c r="DB81" i="17"/>
  <c r="FR10" i="9"/>
  <c r="DC81" i="17" l="1"/>
  <c r="DD81" i="17" s="1"/>
  <c r="DE81" i="17"/>
  <c r="DK82" i="17"/>
  <c r="BE17" i="13"/>
  <c r="DB82" i="17"/>
  <c r="FR11" i="9"/>
  <c r="FR12" i="9"/>
  <c r="DC82" i="17" l="1"/>
  <c r="DD82" i="17" s="1"/>
  <c r="DE82" i="17"/>
  <c r="DK83" i="17"/>
  <c r="O9" i="13"/>
  <c r="DB83" i="17"/>
  <c r="AX26" i="13"/>
  <c r="AT19" i="13"/>
  <c r="AT18" i="13"/>
  <c r="DC83" i="17" l="1"/>
  <c r="DD83" i="17" s="1"/>
  <c r="DE83" i="17"/>
  <c r="DK84" i="17"/>
  <c r="AY26" i="13"/>
  <c r="O8" i="13"/>
  <c r="DB84" i="17"/>
  <c r="DC84" i="17" l="1"/>
  <c r="DD84" i="17" s="1"/>
  <c r="DE84" i="17"/>
  <c r="DG85" i="17"/>
  <c r="DK85" i="17"/>
  <c r="DK89" i="17" s="1"/>
  <c r="V42" i="13"/>
  <c r="W42" i="13"/>
  <c r="V43" i="13"/>
  <c r="W43" i="13"/>
  <c r="V44" i="13"/>
  <c r="W44" i="13"/>
  <c r="V45" i="13"/>
  <c r="W45" i="13"/>
  <c r="V46" i="13"/>
  <c r="W46" i="13"/>
  <c r="V47" i="13"/>
  <c r="W47" i="13"/>
  <c r="V48" i="13"/>
  <c r="W48" i="13"/>
  <c r="V49" i="13"/>
  <c r="W49" i="13"/>
  <c r="O10" i="13"/>
  <c r="DB89" i="17"/>
  <c r="DB85" i="17"/>
  <c r="X4" i="13"/>
  <c r="DC85" i="17" l="1"/>
  <c r="DD85" i="17" s="1"/>
  <c r="DC89" i="17"/>
  <c r="DD89" i="17" s="1"/>
  <c r="DE85" i="17"/>
  <c r="DE89" i="17"/>
  <c r="DK98" i="17"/>
  <c r="DK90" i="17"/>
  <c r="W53" i="13"/>
  <c r="W54" i="13"/>
  <c r="W55" i="13"/>
  <c r="W56" i="13"/>
  <c r="W57" i="13"/>
  <c r="W58" i="13"/>
  <c r="W59" i="13"/>
  <c r="W60" i="13"/>
  <c r="W61" i="13"/>
  <c r="V52" i="13"/>
  <c r="W52" i="13"/>
  <c r="V53" i="13"/>
  <c r="V54" i="13"/>
  <c r="V55" i="13"/>
  <c r="V56" i="13"/>
  <c r="V57" i="13"/>
  <c r="V58" i="13"/>
  <c r="V59" i="13"/>
  <c r="V60" i="13"/>
  <c r="V61" i="13"/>
  <c r="O12" i="13"/>
  <c r="DB90" i="17"/>
  <c r="X13" i="13"/>
  <c r="DB98" i="17"/>
  <c r="DC90" i="17" l="1"/>
  <c r="DD90" i="17" s="1"/>
  <c r="DC98" i="17"/>
  <c r="DD98" i="17" s="1"/>
  <c r="DE90" i="17"/>
  <c r="DE98" i="17"/>
  <c r="DK97" i="17"/>
  <c r="DK101" i="17"/>
  <c r="AL84" i="13"/>
  <c r="DB97" i="17"/>
  <c r="DB101" i="17"/>
  <c r="DC97" i="17" l="1"/>
  <c r="DD97" i="17" s="1"/>
  <c r="DC101" i="17"/>
  <c r="DD101" i="17" s="1"/>
  <c r="DE97" i="17"/>
  <c r="DE101" i="17"/>
  <c r="DK102" i="17"/>
  <c r="AF103" i="13"/>
  <c r="DB102" i="17"/>
  <c r="DC102" i="17" l="1"/>
  <c r="DD102" i="17" s="1"/>
  <c r="DE102" i="17"/>
  <c r="DK103" i="17"/>
  <c r="DB103" i="17"/>
  <c r="DC103" i="17" l="1"/>
  <c r="DD103" i="17" s="1"/>
  <c r="DE103" i="17"/>
  <c r="DK104" i="17"/>
  <c r="AC4" i="24"/>
  <c r="D17" i="24"/>
  <c r="E15" i="24"/>
  <c r="F15" i="24" s="1"/>
  <c r="AE7" i="24"/>
  <c r="AE6" i="24"/>
  <c r="AE5" i="24"/>
  <c r="AC5" i="24"/>
  <c r="AE4" i="24"/>
  <c r="AC7" i="24"/>
  <c r="DB104" i="17"/>
  <c r="L10" i="24"/>
  <c r="AC6" i="24"/>
  <c r="DC104" i="17" l="1"/>
  <c r="DD104" i="17" s="1"/>
  <c r="DE104" i="17"/>
  <c r="DK105" i="17"/>
  <c r="AG5" i="24"/>
  <c r="G15" i="24"/>
  <c r="H15" i="24" s="1"/>
  <c r="E17" i="24"/>
  <c r="I20" i="24"/>
  <c r="E20" i="24"/>
  <c r="F20" i="24" s="1"/>
  <c r="AC10" i="24"/>
  <c r="T10" i="24"/>
  <c r="T12" i="24"/>
  <c r="T6" i="24"/>
  <c r="T15" i="24"/>
  <c r="T9" i="24"/>
  <c r="D16" i="24"/>
  <c r="DB105" i="17"/>
  <c r="AC15" i="24"/>
  <c r="AC13" i="24"/>
  <c r="T7" i="24"/>
  <c r="T13" i="24"/>
  <c r="AC11" i="24"/>
  <c r="AC16" i="24"/>
  <c r="AC14" i="24"/>
  <c r="T16" i="24"/>
  <c r="AC12" i="24"/>
  <c r="DC105" i="17" l="1"/>
  <c r="DD105" i="17" s="1"/>
  <c r="DE105" i="17"/>
  <c r="DK106" i="17"/>
  <c r="E16" i="24"/>
  <c r="F16" i="24" s="1"/>
  <c r="G16" i="24" s="1"/>
  <c r="H16" i="24" s="1"/>
  <c r="AD14" i="24"/>
  <c r="AE14" i="24" s="1"/>
  <c r="AD15" i="24"/>
  <c r="AE15" i="24" s="1"/>
  <c r="AF15" i="24" s="1"/>
  <c r="AG15" i="24" s="1"/>
  <c r="AD11" i="24"/>
  <c r="AE11" i="24" s="1"/>
  <c r="AD12" i="24"/>
  <c r="AE12" i="24" s="1"/>
  <c r="AF12" i="24" s="1"/>
  <c r="AG12" i="24" s="1"/>
  <c r="Q14" i="24"/>
  <c r="AD10" i="24"/>
  <c r="AE10" i="24" s="1"/>
  <c r="AF10" i="24" s="1"/>
  <c r="AD16" i="24"/>
  <c r="AE16" i="24" s="1"/>
  <c r="AC17" i="24"/>
  <c r="AD13" i="24"/>
  <c r="AE13" i="24" s="1"/>
  <c r="AF13" i="24" s="1"/>
  <c r="AG13" i="24" s="1"/>
  <c r="AC9" i="24"/>
  <c r="E9" i="24"/>
  <c r="J20" i="24"/>
  <c r="K20" i="24" s="1"/>
  <c r="L20" i="24" s="1"/>
  <c r="F17" i="24"/>
  <c r="G17" i="24" s="1"/>
  <c r="G20" i="24"/>
  <c r="H20" i="24" s="1"/>
  <c r="DB106" i="17"/>
  <c r="I22" i="24"/>
  <c r="D10" i="24"/>
  <c r="D22" i="24"/>
  <c r="DC106" i="17" l="1"/>
  <c r="DD106" i="17" s="1"/>
  <c r="DE106" i="17"/>
  <c r="AD17" i="24"/>
  <c r="AE17" i="24" s="1"/>
  <c r="AD9" i="24"/>
  <c r="AE9" i="24" s="1"/>
  <c r="AF9" i="24" s="1"/>
  <c r="AG9" i="24" s="1"/>
  <c r="N5" i="24"/>
  <c r="Q8" i="24"/>
  <c r="R8" i="24" s="1"/>
  <c r="S8" i="24" s="1"/>
  <c r="DK107" i="17"/>
  <c r="AO9" i="24"/>
  <c r="R14" i="24"/>
  <c r="S14" i="24" s="1"/>
  <c r="AF14" i="24"/>
  <c r="AG14" i="24" s="1"/>
  <c r="AG10" i="24"/>
  <c r="E27" i="24"/>
  <c r="F27" i="24" s="1"/>
  <c r="G27" i="24" s="1"/>
  <c r="D23" i="24"/>
  <c r="E23" i="24" s="1"/>
  <c r="F23" i="24" s="1"/>
  <c r="E22" i="24"/>
  <c r="F22" i="24" s="1"/>
  <c r="J22" i="24"/>
  <c r="K22" i="24" s="1"/>
  <c r="L22" i="24" s="1"/>
  <c r="I23" i="24"/>
  <c r="AF16" i="24"/>
  <c r="AG16" i="24" s="1"/>
  <c r="E10" i="24"/>
  <c r="F10" i="24" s="1"/>
  <c r="H17" i="24"/>
  <c r="F9" i="24"/>
  <c r="G9" i="24" s="1"/>
  <c r="H9" i="24" s="1"/>
  <c r="AF11" i="24"/>
  <c r="AG11" i="24" s="1"/>
  <c r="I24" i="24"/>
  <c r="N7" i="24"/>
  <c r="D11" i="24"/>
  <c r="N6" i="24"/>
  <c r="DB107" i="17"/>
  <c r="D24" i="24"/>
  <c r="D12" i="24"/>
  <c r="N12" i="24"/>
  <c r="DC107" i="17" l="1"/>
  <c r="DD107" i="17" s="1"/>
  <c r="DE107" i="17"/>
  <c r="AF17" i="24"/>
  <c r="AG17" i="24" s="1"/>
  <c r="AU9" i="24"/>
  <c r="Q5" i="24"/>
  <c r="DK108" i="17"/>
  <c r="G22" i="24"/>
  <c r="H22" i="24" s="1"/>
  <c r="H27" i="24"/>
  <c r="D13" i="24"/>
  <c r="I19" i="24" s="1"/>
  <c r="J19" i="24" s="1"/>
  <c r="E11" i="24"/>
  <c r="F11" i="24" s="1"/>
  <c r="G11" i="24" s="1"/>
  <c r="H11" i="24" s="1"/>
  <c r="E24" i="24"/>
  <c r="F24" i="24" s="1"/>
  <c r="D14" i="24"/>
  <c r="E12" i="24"/>
  <c r="F12" i="24" s="1"/>
  <c r="G12" i="24" s="1"/>
  <c r="J24" i="24"/>
  <c r="K24" i="24" s="1"/>
  <c r="L24" i="24" s="1"/>
  <c r="G10" i="24"/>
  <c r="H10" i="24" s="1"/>
  <c r="J23" i="24"/>
  <c r="K23" i="24" s="1"/>
  <c r="L23" i="24" s="1"/>
  <c r="G23" i="24"/>
  <c r="H23" i="24" s="1"/>
  <c r="DB108" i="17"/>
  <c r="N8" i="24"/>
  <c r="N9" i="24" l="1"/>
  <c r="DC108" i="17"/>
  <c r="DD108" i="17" s="1"/>
  <c r="DE108" i="17"/>
  <c r="Q11" i="24"/>
  <c r="R11" i="24" s="1"/>
  <c r="S11" i="24" s="1"/>
  <c r="R5" i="24"/>
  <c r="S5" i="24" s="1"/>
  <c r="AR6" i="24"/>
  <c r="D19" i="24"/>
  <c r="E19" i="24" s="1"/>
  <c r="F19" i="24" s="1"/>
  <c r="K19" i="24"/>
  <c r="L19" i="24" s="1"/>
  <c r="E13" i="24"/>
  <c r="F13" i="24" s="1"/>
  <c r="G13" i="24" s="1"/>
  <c r="H13" i="24" s="1"/>
  <c r="G24" i="24"/>
  <c r="H24" i="24" s="1"/>
  <c r="H12" i="24"/>
  <c r="E14" i="24"/>
  <c r="F14" i="24" s="1"/>
  <c r="G14" i="24" s="1"/>
  <c r="H14" i="24" s="1"/>
  <c r="I21" i="24"/>
  <c r="N13" i="24"/>
  <c r="AR12" i="24" l="1"/>
  <c r="N17" i="24"/>
  <c r="J21" i="24"/>
  <c r="K21" i="24" s="1"/>
  <c r="L21" i="24" s="1"/>
  <c r="G19" i="24"/>
  <c r="H19" i="24" s="1"/>
  <c r="N18" i="24"/>
  <c r="D21" i="24"/>
  <c r="N15" i="24"/>
  <c r="N14" i="24"/>
  <c r="N25" i="24"/>
  <c r="I25" i="24"/>
  <c r="N21" i="24"/>
  <c r="J25" i="24" l="1"/>
  <c r="K25" i="24" s="1"/>
  <c r="L25" i="24" s="1"/>
  <c r="E21" i="24"/>
  <c r="F21" i="24" s="1"/>
  <c r="G21" i="24" s="1"/>
  <c r="H21" i="24" s="1"/>
  <c r="Q16" i="24"/>
  <c r="U5" i="24" s="1"/>
  <c r="V5" i="24" s="1"/>
  <c r="X5" i="24" s="1"/>
  <c r="Q15" i="24"/>
  <c r="N27" i="24"/>
  <c r="I26" i="24"/>
  <c r="N22" i="24"/>
  <c r="N26" i="24"/>
  <c r="N16" i="24"/>
  <c r="N19" i="24"/>
  <c r="D25" i="24"/>
  <c r="AL5" i="24" l="1"/>
  <c r="R15" i="24"/>
  <c r="S15" i="24" s="1"/>
  <c r="AN4" i="24"/>
  <c r="R16" i="24"/>
  <c r="S16" i="24" s="1"/>
  <c r="J26" i="24"/>
  <c r="K26" i="24" s="1"/>
  <c r="L26" i="24" s="1"/>
  <c r="Q9" i="24"/>
  <c r="E25" i="24"/>
  <c r="F25" i="24" s="1"/>
  <c r="Q7" i="24"/>
  <c r="U15" i="24"/>
  <c r="V15" i="24" s="1"/>
  <c r="X15" i="24" s="1"/>
  <c r="U16" i="24"/>
  <c r="V16" i="24" s="1"/>
  <c r="X16" i="24" s="1"/>
  <c r="N28" i="24"/>
  <c r="N20" i="24"/>
  <c r="D26" i="24"/>
  <c r="N23" i="24"/>
  <c r="Q6" i="24" l="1"/>
  <c r="AU4" i="24" s="1"/>
  <c r="AX6" i="24"/>
  <c r="R7" i="24"/>
  <c r="S7" i="24" s="1"/>
  <c r="R9" i="24"/>
  <c r="S9" i="24" s="1"/>
  <c r="Q10" i="24"/>
  <c r="E26" i="24"/>
  <c r="F26" i="24" s="1"/>
  <c r="U8" i="24"/>
  <c r="V8" i="24" s="1"/>
  <c r="X8" i="24" s="1"/>
  <c r="U9" i="24"/>
  <c r="V9" i="24" s="1"/>
  <c r="X9" i="24" s="1"/>
  <c r="AX13" i="24"/>
  <c r="G25" i="24"/>
  <c r="H25" i="24" s="1"/>
  <c r="Q13" i="24"/>
  <c r="N24" i="24"/>
  <c r="Q12" i="24" l="1"/>
  <c r="AO15" i="24" s="1"/>
  <c r="U6" i="24"/>
  <c r="V6" i="24" s="1"/>
  <c r="X6" i="24" s="1"/>
  <c r="R6" i="24"/>
  <c r="S6" i="24" s="1"/>
  <c r="U7" i="24"/>
  <c r="V7" i="24" s="1"/>
  <c r="X7" i="24" s="1"/>
  <c r="AL13" i="24"/>
  <c r="R13" i="24"/>
  <c r="S13" i="24" s="1"/>
  <c r="AV15" i="24"/>
  <c r="R10" i="24"/>
  <c r="S10" i="24" s="1"/>
  <c r="U11" i="24"/>
  <c r="V11" i="24" s="1"/>
  <c r="X11" i="24" s="1"/>
  <c r="U10" i="24"/>
  <c r="V10" i="24" s="1"/>
  <c r="X10" i="24" s="1"/>
  <c r="G26" i="24"/>
  <c r="H26" i="24" s="1"/>
  <c r="U14" i="24"/>
  <c r="V14" i="24" s="1"/>
  <c r="X14" i="24" s="1"/>
  <c r="U12" i="24" l="1"/>
  <c r="V12" i="24" s="1"/>
  <c r="X12" i="24" s="1"/>
  <c r="R12" i="24"/>
  <c r="S12" i="24" s="1"/>
  <c r="U13" i="24"/>
  <c r="V13" i="24" s="1"/>
  <c r="X13" i="24" s="1"/>
  <c r="Z5" i="24" s="1"/>
  <c r="X8" i="13"/>
  <c r="Z16" i="24" l="1"/>
  <c r="Y16" i="24" s="1"/>
  <c r="Z10" i="24"/>
  <c r="Y10" i="24" s="1"/>
  <c r="Z9" i="24"/>
  <c r="Y9" i="24" s="1"/>
  <c r="Z12" i="24"/>
  <c r="Y12" i="24" s="1"/>
  <c r="Z14" i="24"/>
  <c r="Y14" i="24" s="1"/>
  <c r="Z8" i="24"/>
  <c r="Y8" i="24" s="1"/>
  <c r="Z13" i="24"/>
  <c r="Y13" i="24" s="1"/>
  <c r="Z7" i="24"/>
  <c r="Y7" i="24" s="1"/>
  <c r="Z15" i="24"/>
  <c r="Y15" i="24" s="1"/>
  <c r="Z6" i="24"/>
  <c r="Y6" i="24" s="1"/>
  <c r="Z11" i="24"/>
  <c r="Y11" i="24" s="1"/>
  <c r="Y8" i="13"/>
  <c r="Z8" i="13" s="1"/>
  <c r="X11" i="13"/>
  <c r="AF7" i="13"/>
  <c r="S8" i="13"/>
  <c r="P8" i="13"/>
  <c r="Q8" i="13" s="1"/>
  <c r="R8" i="13" s="1"/>
  <c r="GP13" i="15"/>
  <c r="O15" i="13"/>
  <c r="O33" i="13"/>
  <c r="O16" i="13"/>
  <c r="O14" i="13"/>
  <c r="O17" i="13"/>
  <c r="O13" i="13"/>
  <c r="X9" i="13"/>
  <c r="O36" i="13"/>
  <c r="AH9" i="24" l="1"/>
  <c r="AH10" i="24"/>
  <c r="AM17" i="24" s="1"/>
  <c r="AI9" i="24"/>
  <c r="Y5" i="24"/>
  <c r="AH12" i="24" s="1"/>
  <c r="AH15" i="24"/>
  <c r="AL7" i="24" s="1"/>
  <c r="AH13" i="24"/>
  <c r="AH17" i="24"/>
  <c r="AO10" i="24" s="1"/>
  <c r="X10" i="13"/>
  <c r="Y10" i="13" s="1"/>
  <c r="Z10" i="13" s="1"/>
  <c r="Y9" i="13"/>
  <c r="Z9" i="13" s="1"/>
  <c r="AA9" i="13" s="1"/>
  <c r="AB9" i="13" s="1"/>
  <c r="AA8" i="13"/>
  <c r="AB8" i="13" s="1"/>
  <c r="Y11" i="13"/>
  <c r="Z11" i="13" s="1"/>
  <c r="P10" i="13"/>
  <c r="Q10" i="13" s="1"/>
  <c r="FK4" i="15"/>
  <c r="BG18" i="19"/>
  <c r="FT34" i="15"/>
  <c r="AZ21" i="19"/>
  <c r="O11" i="13"/>
  <c r="AZ22" i="19"/>
  <c r="AH16" i="24" l="1"/>
  <c r="AM14" i="24" s="1"/>
  <c r="AH14" i="24"/>
  <c r="AU7" i="24" s="1"/>
  <c r="AP7" i="24"/>
  <c r="AH11" i="24"/>
  <c r="AN16" i="24" s="1"/>
  <c r="AM12" i="24"/>
  <c r="AW8" i="24"/>
  <c r="AQ9" i="24"/>
  <c r="AM10" i="24"/>
  <c r="AT16" i="24"/>
  <c r="AW14" i="24"/>
  <c r="AO4" i="24"/>
  <c r="AK17" i="24"/>
  <c r="AK15" i="24"/>
  <c r="AP8" i="24"/>
  <c r="AU10" i="24"/>
  <c r="AN17" i="24"/>
  <c r="AU16" i="24"/>
  <c r="AT11" i="24"/>
  <c r="AV8" i="24"/>
  <c r="AX14" i="24"/>
  <c r="AQ8" i="24"/>
  <c r="AP13" i="24"/>
  <c r="AK7" i="24"/>
  <c r="AK9" i="24"/>
  <c r="AU5" i="24"/>
  <c r="AV17" i="24"/>
  <c r="AQ17" i="24"/>
  <c r="AQ13" i="24"/>
  <c r="AO7" i="24"/>
  <c r="AY14" i="24"/>
  <c r="AW17" i="24"/>
  <c r="AT5" i="24"/>
  <c r="AN5" i="24"/>
  <c r="AP15" i="24"/>
  <c r="AM15" i="24"/>
  <c r="AR10" i="24"/>
  <c r="AP6" i="24"/>
  <c r="AR14" i="24"/>
  <c r="AQ15" i="24"/>
  <c r="AU13" i="24"/>
  <c r="AX8" i="24"/>
  <c r="AP16" i="24"/>
  <c r="AV5" i="24"/>
  <c r="AL16" i="24"/>
  <c r="AV11" i="24"/>
  <c r="AX10" i="24"/>
  <c r="AR8" i="24"/>
  <c r="AN12" i="24"/>
  <c r="AL9" i="24"/>
  <c r="AW5" i="24"/>
  <c r="AY16" i="24"/>
  <c r="BA22" i="19"/>
  <c r="BB22" i="19" s="1"/>
  <c r="BA21" i="19"/>
  <c r="BB21" i="19" s="1"/>
  <c r="X12" i="13"/>
  <c r="AA11" i="13"/>
  <c r="AB11" i="13" s="1"/>
  <c r="AA10" i="13"/>
  <c r="AB10" i="13" s="1"/>
  <c r="R10" i="13"/>
  <c r="S10" i="13" s="1"/>
  <c r="GQ9" i="15"/>
  <c r="GQ20" i="15"/>
  <c r="GR20" i="15" s="1"/>
  <c r="EJ5" i="9"/>
  <c r="AZ19" i="19"/>
  <c r="AZ13" i="19"/>
  <c r="AP17" i="24" l="1"/>
  <c r="AL8" i="24"/>
  <c r="AX9" i="24"/>
  <c r="AV10" i="24"/>
  <c r="AW16" i="24"/>
  <c r="AR9" i="24"/>
  <c r="AN13" i="24"/>
  <c r="AV6" i="24"/>
  <c r="AP5" i="24"/>
  <c r="AR13" i="24"/>
  <c r="AY15" i="24"/>
  <c r="AS17" i="24"/>
  <c r="AW9" i="24"/>
  <c r="AN11" i="24"/>
  <c r="AU6" i="24"/>
  <c r="AU17" i="24"/>
  <c r="AK10" i="24"/>
  <c r="AX15" i="24"/>
  <c r="AS5" i="24"/>
  <c r="AO5" i="24"/>
  <c r="AT6" i="24"/>
  <c r="AT12" i="24"/>
  <c r="AN10" i="24"/>
  <c r="AL14" i="24"/>
  <c r="AO16" i="24"/>
  <c r="AL11" i="24"/>
  <c r="AU11" i="24"/>
  <c r="AK14" i="24"/>
  <c r="AM11" i="24"/>
  <c r="AM16" i="24"/>
  <c r="AV14" i="24"/>
  <c r="AV7" i="24"/>
  <c r="AO14" i="24"/>
  <c r="AM5" i="24"/>
  <c r="AT10" i="24"/>
  <c r="AK6" i="24"/>
  <c r="AQ7" i="24"/>
  <c r="AN6" i="24"/>
  <c r="AW15" i="24"/>
  <c r="AK16" i="24"/>
  <c r="AT17" i="24"/>
  <c r="AL15" i="24"/>
  <c r="AR7" i="24"/>
  <c r="AV16" i="24"/>
  <c r="AX7" i="24"/>
  <c r="AX16" i="24"/>
  <c r="AO17" i="24"/>
  <c r="AQ14" i="24"/>
  <c r="AL6" i="24"/>
  <c r="AO6" i="24"/>
  <c r="AU12" i="24"/>
  <c r="AP14" i="24"/>
  <c r="AK8" i="24"/>
  <c r="AW7" i="24"/>
  <c r="BC22" i="19"/>
  <c r="BD22" i="19" s="1"/>
  <c r="BC21" i="19"/>
  <c r="BD21" i="19" s="1"/>
  <c r="BA6" i="19"/>
  <c r="BB6" i="19" s="1"/>
  <c r="GS20" i="15"/>
  <c r="GT20" i="15" s="1"/>
  <c r="GR9" i="15"/>
  <c r="GS9" i="15" s="1"/>
  <c r="EJ6" i="9"/>
  <c r="EJ7" i="9" s="1"/>
  <c r="EJ8" i="9" s="1"/>
  <c r="AP30" i="19"/>
  <c r="AX5" i="19"/>
  <c r="EY7" i="9"/>
  <c r="AP31" i="19"/>
  <c r="EM7" i="9"/>
  <c r="AZ20" i="19"/>
  <c r="EF14" i="9"/>
  <c r="AO32" i="19"/>
  <c r="AP32" i="19" l="1"/>
  <c r="BH8" i="19" s="1"/>
  <c r="BC6" i="19"/>
  <c r="BA20" i="19"/>
  <c r="BB20" i="19" s="1"/>
  <c r="GT9" i="15"/>
  <c r="EO7" i="9"/>
  <c r="EM10" i="9"/>
  <c r="BC20" i="19" l="1"/>
  <c r="BD20" i="19" s="1"/>
  <c r="BA19" i="19"/>
  <c r="BB19" i="19" s="1"/>
  <c r="BC19" i="19" s="1"/>
  <c r="BD19" i="19" s="1"/>
  <c r="FK3" i="15"/>
  <c r="FT4" i="15"/>
  <c r="FZ4" i="15" s="1"/>
  <c r="FK6" i="15"/>
  <c r="FT6" i="15" s="1"/>
  <c r="FU6" i="15" s="1"/>
  <c r="FK2" i="15"/>
  <c r="FT2" i="15" s="1"/>
  <c r="FF6" i="15"/>
  <c r="EM16" i="9"/>
  <c r="EM12" i="9"/>
  <c r="FT3" i="15" l="1"/>
  <c r="GF3" i="15" s="1"/>
  <c r="GP3" i="15" s="1"/>
  <c r="FK7" i="15"/>
  <c r="FG6" i="15"/>
  <c r="FH6" i="15" s="1"/>
  <c r="FL6" i="15"/>
  <c r="FT43" i="15"/>
  <c r="FU43" i="15" s="1"/>
  <c r="FQ14" i="15"/>
  <c r="GF4" i="15"/>
  <c r="GP4" i="15" s="1"/>
  <c r="GF2" i="15"/>
  <c r="GK12" i="15"/>
  <c r="GK14" i="15" s="1"/>
  <c r="GF12" i="15" s="1"/>
  <c r="EM23" i="9"/>
  <c r="EM14" i="9"/>
  <c r="EM13" i="9"/>
  <c r="EX15" i="15"/>
  <c r="FK22" i="15"/>
  <c r="FZ18" i="15"/>
  <c r="EM17" i="9"/>
  <c r="GF20" i="15"/>
  <c r="FQ15" i="15" l="1"/>
  <c r="FT13" i="15" s="1"/>
  <c r="FQ16" i="15"/>
  <c r="FK25" i="15"/>
  <c r="FL25" i="15" s="1"/>
  <c r="FL22" i="15"/>
  <c r="FM22" i="15" s="1"/>
  <c r="FL7" i="15"/>
  <c r="FM7" i="15" s="1"/>
  <c r="FN7" i="15" s="1"/>
  <c r="FO7" i="15" s="1"/>
  <c r="EN14" i="9"/>
  <c r="EO14" i="9" s="1"/>
  <c r="EP14" i="9" s="1"/>
  <c r="FZ2" i="15"/>
  <c r="GP2" i="15"/>
  <c r="FZ3" i="15"/>
  <c r="FK13" i="15"/>
  <c r="FL13" i="15" s="1"/>
  <c r="FM13" i="15" s="1"/>
  <c r="FI6" i="15"/>
  <c r="FM6" i="15"/>
  <c r="FN6" i="15" s="1"/>
  <c r="GG12" i="15"/>
  <c r="GH12" i="15" s="1"/>
  <c r="GI12" i="15" s="1"/>
  <c r="GJ12" i="15" s="1"/>
  <c r="FV43" i="15"/>
  <c r="FW43" i="15" s="1"/>
  <c r="GA18" i="15"/>
  <c r="GG20" i="15"/>
  <c r="GP27" i="15"/>
  <c r="EM18" i="9"/>
  <c r="EX11" i="15"/>
  <c r="FN22" i="15" l="1"/>
  <c r="FO22" i="15" s="1"/>
  <c r="GQ27" i="15"/>
  <c r="FN13" i="15"/>
  <c r="FO13" i="15" s="1"/>
  <c r="FM25" i="15"/>
  <c r="FN25" i="15" s="1"/>
  <c r="FO25" i="15" s="1"/>
  <c r="FO6" i="15"/>
  <c r="FX43" i="15"/>
  <c r="GB18" i="15"/>
  <c r="GC18" i="15" s="1"/>
  <c r="GD18" i="15" s="1"/>
  <c r="GH20" i="15"/>
  <c r="GI20" i="15" s="1"/>
  <c r="EX12" i="15"/>
  <c r="EX13" i="15" s="1"/>
  <c r="EX14" i="15" s="1"/>
  <c r="EY3" i="15" l="1"/>
  <c r="EZ3" i="15" s="1"/>
  <c r="FA3" i="15" s="1"/>
  <c r="GR27" i="15"/>
  <c r="GS27" i="15" s="1"/>
  <c r="GT27" i="15" s="1"/>
  <c r="GJ20" i="15"/>
  <c r="FT22" i="15"/>
  <c r="EX9" i="15"/>
  <c r="FB3" i="15" l="1"/>
  <c r="EX5" i="15"/>
  <c r="EX6" i="15" s="1"/>
  <c r="EX7" i="15" s="1"/>
  <c r="EX8" i="15" s="1"/>
  <c r="FD5" i="15" s="1"/>
  <c r="FT25" i="15"/>
  <c r="FV6" i="15"/>
  <c r="FW6" i="15" s="1"/>
  <c r="GF6" i="15"/>
  <c r="GP6" i="15" s="1"/>
  <c r="FV7" i="15"/>
  <c r="FW7" i="15" s="1"/>
  <c r="FX7" i="15" s="1"/>
  <c r="FU34" i="15"/>
  <c r="FV34" i="15" s="1"/>
  <c r="FU22" i="15"/>
  <c r="FV22" i="15" s="1"/>
  <c r="FU13" i="15"/>
  <c r="FV13" i="15" s="1"/>
  <c r="FW13" i="15" s="1"/>
  <c r="FD18" i="15"/>
  <c r="FD16" i="15"/>
  <c r="FD12" i="15"/>
  <c r="FD15" i="15"/>
  <c r="FD8" i="15"/>
  <c r="FD13" i="15"/>
  <c r="FD10" i="15"/>
  <c r="FD17" i="15"/>
  <c r="FD11" i="15"/>
  <c r="FD9" i="15"/>
  <c r="FD14" i="15"/>
  <c r="FE9" i="15" l="1"/>
  <c r="FE17" i="15"/>
  <c r="FB16" i="15"/>
  <c r="FE13" i="15"/>
  <c r="FI5" i="15"/>
  <c r="FH5" i="15" s="1"/>
  <c r="FG5" i="15" s="1"/>
  <c r="EY8" i="15"/>
  <c r="FB8" i="15"/>
  <c r="FA8" i="15" s="1"/>
  <c r="EZ8" i="15" s="1"/>
  <c r="FK5" i="15"/>
  <c r="FF5" i="15"/>
  <c r="FZ6" i="15"/>
  <c r="GG6" i="15"/>
  <c r="GH6" i="15" s="1"/>
  <c r="FX6" i="15"/>
  <c r="FW34" i="15"/>
  <c r="FX34" i="15" s="1"/>
  <c r="FX13" i="15"/>
  <c r="FW22" i="15"/>
  <c r="FX22" i="15" s="1"/>
  <c r="FU25" i="15"/>
  <c r="FV25" i="15" s="1"/>
  <c r="X208" i="20"/>
  <c r="X196" i="20"/>
  <c r="X197" i="20"/>
  <c r="X198" i="20"/>
  <c r="X199" i="20"/>
  <c r="X200" i="20"/>
  <c r="X201" i="20"/>
  <c r="X202" i="20"/>
  <c r="X203" i="20"/>
  <c r="X204" i="20"/>
  <c r="X205" i="20"/>
  <c r="X206" i="20"/>
  <c r="X207" i="20"/>
  <c r="FE22" i="15"/>
  <c r="FE26" i="15"/>
  <c r="FE27" i="15"/>
  <c r="FE20" i="15"/>
  <c r="FK8" i="15"/>
  <c r="FE19" i="15"/>
  <c r="FE25" i="15"/>
  <c r="FE21" i="15"/>
  <c r="FF9" i="15" l="1"/>
  <c r="FG9" i="15" s="1"/>
  <c r="FH9" i="15" s="1"/>
  <c r="FI9" i="15" s="1"/>
  <c r="FF17" i="15"/>
  <c r="FG17" i="15" s="1"/>
  <c r="FF21" i="15"/>
  <c r="FG21" i="15" s="1"/>
  <c r="FF19" i="15"/>
  <c r="FG19" i="15" s="1"/>
  <c r="FF20" i="15"/>
  <c r="FG20" i="15" s="1"/>
  <c r="FF27" i="15"/>
  <c r="FG27" i="15" s="1"/>
  <c r="FH27" i="15" s="1"/>
  <c r="FF26" i="15"/>
  <c r="FG26" i="15" s="1"/>
  <c r="FF22" i="15"/>
  <c r="FG22" i="15" s="1"/>
  <c r="FF25" i="15"/>
  <c r="FG25" i="15" s="1"/>
  <c r="FH25" i="15" s="1"/>
  <c r="FI25" i="15" s="1"/>
  <c r="FF13" i="15"/>
  <c r="FG13" i="15" s="1"/>
  <c r="FL8" i="15"/>
  <c r="FM8" i="15" s="1"/>
  <c r="FN8" i="15" s="1"/>
  <c r="FO8" i="15" s="1"/>
  <c r="FT5" i="15"/>
  <c r="FT35" i="15" s="1"/>
  <c r="GA6" i="15"/>
  <c r="GB6" i="15" s="1"/>
  <c r="GI6" i="15"/>
  <c r="GJ6" i="15" s="1"/>
  <c r="FW25" i="15"/>
  <c r="FX25" i="15" s="1"/>
  <c r="FT8" i="15"/>
  <c r="FK9" i="15"/>
  <c r="FE24" i="15"/>
  <c r="FR33" i="15"/>
  <c r="FT36" i="15"/>
  <c r="FH17" i="15" l="1"/>
  <c r="FI17" i="15" s="1"/>
  <c r="FH19" i="15"/>
  <c r="FI19" i="15" s="1"/>
  <c r="FH20" i="15"/>
  <c r="FI20" i="15" s="1"/>
  <c r="FH21" i="15"/>
  <c r="FI21" i="15" s="1"/>
  <c r="FI27" i="15"/>
  <c r="FF24" i="15"/>
  <c r="FG24" i="15" s="1"/>
  <c r="FH24" i="15" s="1"/>
  <c r="FI24" i="15" s="1"/>
  <c r="FH26" i="15"/>
  <c r="FI26" i="15" s="1"/>
  <c r="FH22" i="15"/>
  <c r="FI22" i="15" s="1"/>
  <c r="FH13" i="15"/>
  <c r="FI13" i="15" s="1"/>
  <c r="FL9" i="15"/>
  <c r="FM9" i="15" s="1"/>
  <c r="FU8" i="15"/>
  <c r="FV8" i="15" s="1"/>
  <c r="FT37" i="15"/>
  <c r="FU36" i="15"/>
  <c r="FV36" i="15" s="1"/>
  <c r="AS24" i="19"/>
  <c r="GF5" i="15"/>
  <c r="GC6" i="15"/>
  <c r="GD6" i="15" s="1"/>
  <c r="GF7" i="15"/>
  <c r="FT9" i="15"/>
  <c r="FK10" i="15"/>
  <c r="FL10" i="15" l="1"/>
  <c r="FM10" i="15" s="1"/>
  <c r="FN10" i="15" s="1"/>
  <c r="FO10" i="15" s="1"/>
  <c r="FK17" i="15"/>
  <c r="FL17" i="15" s="1"/>
  <c r="FM17" i="15" s="1"/>
  <c r="FN17" i="15" s="1"/>
  <c r="FO17" i="15" s="1"/>
  <c r="FK11" i="15"/>
  <c r="FL11" i="15" s="1"/>
  <c r="FM11" i="15" s="1"/>
  <c r="FN11" i="15" s="1"/>
  <c r="FN9" i="15"/>
  <c r="FO9" i="15" s="1"/>
  <c r="FU9" i="15"/>
  <c r="FV9" i="15" s="1"/>
  <c r="FW9" i="15" s="1"/>
  <c r="FX9" i="15" s="1"/>
  <c r="GG7" i="15"/>
  <c r="GH7" i="15" s="1"/>
  <c r="FU35" i="15"/>
  <c r="FV35" i="15" s="1"/>
  <c r="GP5" i="15"/>
  <c r="FZ5" i="15"/>
  <c r="FT38" i="15"/>
  <c r="FU37" i="15"/>
  <c r="FV37" i="15" s="1"/>
  <c r="FW8" i="15"/>
  <c r="FX8" i="15" s="1"/>
  <c r="FW36" i="15"/>
  <c r="FX36" i="15" s="1"/>
  <c r="FZ7" i="15"/>
  <c r="FT10" i="15"/>
  <c r="GF8" i="15"/>
  <c r="FT39" i="15"/>
  <c r="FT40" i="15" l="1"/>
  <c r="FE11" i="15" s="1"/>
  <c r="FK18" i="15"/>
  <c r="FL18" i="15" s="1"/>
  <c r="FT11" i="15"/>
  <c r="FU11" i="15" s="1"/>
  <c r="FV11" i="15" s="1"/>
  <c r="FW11" i="15" s="1"/>
  <c r="FX11" i="15" s="1"/>
  <c r="FU10" i="15"/>
  <c r="FV10" i="15" s="1"/>
  <c r="FT17" i="15"/>
  <c r="FT18" i="15" s="1"/>
  <c r="FO11" i="15"/>
  <c r="GG8" i="15"/>
  <c r="GH8" i="15" s="1"/>
  <c r="GI7" i="15"/>
  <c r="GJ7" i="15" s="1"/>
  <c r="GA7" i="15"/>
  <c r="GB7" i="15" s="1"/>
  <c r="FU39" i="15"/>
  <c r="FV39" i="15" s="1"/>
  <c r="FW37" i="15"/>
  <c r="FX37" i="15" s="1"/>
  <c r="FZ19" i="15"/>
  <c r="GA19" i="15" s="1"/>
  <c r="GB19" i="15" s="1"/>
  <c r="GC19" i="15" s="1"/>
  <c r="GD19" i="15" s="1"/>
  <c r="FW35" i="15"/>
  <c r="FX35" i="15" s="1"/>
  <c r="FU38" i="15"/>
  <c r="FV38" i="15" s="1"/>
  <c r="FW38" i="15" s="1"/>
  <c r="FX38" i="15" s="1"/>
  <c r="FK12" i="15"/>
  <c r="FT24" i="15"/>
  <c r="FE23" i="15"/>
  <c r="FK24" i="15"/>
  <c r="FZ8" i="15"/>
  <c r="GF9" i="15"/>
  <c r="FT23" i="15"/>
  <c r="FK23" i="15"/>
  <c r="FF23" i="15" l="1"/>
  <c r="FG23" i="15" s="1"/>
  <c r="FH23" i="15" s="1"/>
  <c r="FI23" i="15" s="1"/>
  <c r="FU40" i="15"/>
  <c r="FV40" i="15" s="1"/>
  <c r="GR3" i="15" s="1"/>
  <c r="FU17" i="15"/>
  <c r="FV17" i="15" s="1"/>
  <c r="FW17" i="15" s="1"/>
  <c r="FX17" i="15" s="1"/>
  <c r="FW10" i="15"/>
  <c r="FX10" i="15" s="1"/>
  <c r="FK26" i="15"/>
  <c r="FL26" i="15" s="1"/>
  <c r="FM26" i="15" s="1"/>
  <c r="FL24" i="15"/>
  <c r="FM24" i="15" s="1"/>
  <c r="FN24" i="15" s="1"/>
  <c r="FO24" i="15" s="1"/>
  <c r="FL23" i="15"/>
  <c r="FM23" i="15" s="1"/>
  <c r="FL12" i="15"/>
  <c r="FM12" i="15" s="1"/>
  <c r="FN12" i="15" s="1"/>
  <c r="FO12" i="15" s="1"/>
  <c r="GF10" i="15"/>
  <c r="GG10" i="15" s="1"/>
  <c r="GH10" i="15" s="1"/>
  <c r="GI10" i="15" s="1"/>
  <c r="GG9" i="15"/>
  <c r="GH9" i="15" s="1"/>
  <c r="GI9" i="15" s="1"/>
  <c r="GJ9" i="15" s="1"/>
  <c r="GF16" i="15"/>
  <c r="GG16" i="15" s="1"/>
  <c r="GH16" i="15" s="1"/>
  <c r="GI16" i="15" s="1"/>
  <c r="FU23" i="15"/>
  <c r="FV23" i="15" s="1"/>
  <c r="FW23" i="15" s="1"/>
  <c r="FU24" i="15"/>
  <c r="FV24" i="15" s="1"/>
  <c r="FW24" i="15" s="1"/>
  <c r="FT26" i="15"/>
  <c r="FU18" i="15"/>
  <c r="FV18" i="15" s="1"/>
  <c r="FW18" i="15" s="1"/>
  <c r="GI8" i="15"/>
  <c r="GJ8" i="15" s="1"/>
  <c r="FM18" i="15"/>
  <c r="FN18" i="15" s="1"/>
  <c r="GA8" i="15"/>
  <c r="GB8" i="15" s="1"/>
  <c r="FZ20" i="15"/>
  <c r="FT41" i="15"/>
  <c r="FT42" i="15"/>
  <c r="FT45" i="15" s="1"/>
  <c r="FZ37" i="15" s="1"/>
  <c r="FZ38" i="15" s="1"/>
  <c r="FE18" i="15" s="1"/>
  <c r="GC7" i="15"/>
  <c r="GD7" i="15" s="1"/>
  <c r="FW39" i="15"/>
  <c r="FX39" i="15" s="1"/>
  <c r="EM6" i="15"/>
  <c r="EP8" i="15" s="1"/>
  <c r="FZ9" i="15"/>
  <c r="FK14" i="15"/>
  <c r="FZ11" i="15"/>
  <c r="EM5" i="15"/>
  <c r="FT12" i="15"/>
  <c r="EP9" i="15"/>
  <c r="FT44" i="15" l="1"/>
  <c r="FE10" i="15" s="1"/>
  <c r="GR2" i="15"/>
  <c r="FN23" i="15"/>
  <c r="FO23" i="15" s="1"/>
  <c r="GA9" i="15"/>
  <c r="GB9" i="15" s="1"/>
  <c r="FZ10" i="15"/>
  <c r="GA10" i="15" s="1"/>
  <c r="GB10" i="15" s="1"/>
  <c r="FN26" i="15"/>
  <c r="FO26" i="15" s="1"/>
  <c r="GJ16" i="15"/>
  <c r="GF17" i="15"/>
  <c r="FU12" i="15"/>
  <c r="FV12" i="15" s="1"/>
  <c r="FW12" i="15" s="1"/>
  <c r="FX12" i="15" s="1"/>
  <c r="FX24" i="15"/>
  <c r="GJ10" i="15"/>
  <c r="FL14" i="15"/>
  <c r="FM14" i="15" s="1"/>
  <c r="FN14" i="15" s="1"/>
  <c r="FO14" i="15" s="1"/>
  <c r="FK15" i="15"/>
  <c r="FU26" i="15"/>
  <c r="FX18" i="15"/>
  <c r="FX23" i="15"/>
  <c r="GA11" i="15"/>
  <c r="GB11" i="15" s="1"/>
  <c r="GC8" i="15"/>
  <c r="GD8" i="15" s="1"/>
  <c r="FO18" i="15"/>
  <c r="FW40" i="15"/>
  <c r="FU42" i="15"/>
  <c r="FV42" i="15" s="1"/>
  <c r="GA20" i="15"/>
  <c r="GB20" i="15" s="1"/>
  <c r="FU41" i="15"/>
  <c r="FV41" i="15" s="1"/>
  <c r="FF11" i="15"/>
  <c r="FG11" i="15" s="1"/>
  <c r="R3" i="20"/>
  <c r="O6" i="20" s="1"/>
  <c r="GF21" i="15"/>
  <c r="FK16" i="15"/>
  <c r="EP4" i="15"/>
  <c r="EP3" i="15"/>
  <c r="FK31" i="15"/>
  <c r="FZ12" i="15"/>
  <c r="FT14" i="15"/>
  <c r="FT31" i="15"/>
  <c r="FZ13" i="15"/>
  <c r="GF11" i="15"/>
  <c r="FX40" i="15" l="1"/>
  <c r="GR4" i="15"/>
  <c r="GC9" i="15"/>
  <c r="GD9" i="15" s="1"/>
  <c r="GC10" i="15"/>
  <c r="GD10" i="15" s="1"/>
  <c r="GA13" i="15"/>
  <c r="GB13" i="15" s="1"/>
  <c r="GC13" i="15" s="1"/>
  <c r="FZ14" i="15"/>
  <c r="GA14" i="15" s="1"/>
  <c r="GB14" i="15" s="1"/>
  <c r="GC14" i="15" s="1"/>
  <c r="FZ32" i="15"/>
  <c r="FZ26" i="15"/>
  <c r="GA26" i="15" s="1"/>
  <c r="GB26" i="15" s="1"/>
  <c r="GC26" i="15" s="1"/>
  <c r="GD26" i="15" s="1"/>
  <c r="GA12" i="15"/>
  <c r="GB12" i="15" s="1"/>
  <c r="FZ22" i="15"/>
  <c r="GA22" i="15" s="1"/>
  <c r="GB22" i="15" s="1"/>
  <c r="GC22" i="15" s="1"/>
  <c r="GD22" i="15" s="1"/>
  <c r="GG21" i="15"/>
  <c r="GH21" i="15" s="1"/>
  <c r="GI21" i="15" s="1"/>
  <c r="GJ21" i="15" s="1"/>
  <c r="GG17" i="15"/>
  <c r="FU14" i="15"/>
  <c r="FV14" i="15" s="1"/>
  <c r="FT15" i="15"/>
  <c r="FU15" i="15" s="1"/>
  <c r="FL31" i="15"/>
  <c r="FM31" i="15" s="1"/>
  <c r="FN31" i="15" s="1"/>
  <c r="GG11" i="15"/>
  <c r="GH11" i="15" s="1"/>
  <c r="GF13" i="15"/>
  <c r="FU31" i="15"/>
  <c r="FV31" i="15" s="1"/>
  <c r="FW31" i="15" s="1"/>
  <c r="FX31" i="15" s="1"/>
  <c r="FL16" i="15"/>
  <c r="FM16" i="15" s="1"/>
  <c r="FN16" i="15" s="1"/>
  <c r="FO16" i="15" s="1"/>
  <c r="FV26" i="15"/>
  <c r="FW26" i="15" s="1"/>
  <c r="FX26" i="15" s="1"/>
  <c r="FL15" i="15"/>
  <c r="FM15" i="15" s="1"/>
  <c r="FN15" i="15" s="1"/>
  <c r="FO15" i="15" s="1"/>
  <c r="GC11" i="15"/>
  <c r="GD11" i="15" s="1"/>
  <c r="FW41" i="15"/>
  <c r="FX41" i="15" s="1"/>
  <c r="GC20" i="15"/>
  <c r="GD20" i="15" s="1"/>
  <c r="FH11" i="15"/>
  <c r="FI11" i="15" s="1"/>
  <c r="FE14" i="15"/>
  <c r="FU45" i="15"/>
  <c r="FV45" i="15" s="1"/>
  <c r="FW45" i="15" s="1"/>
  <c r="FX45" i="15" s="1"/>
  <c r="FW42" i="15"/>
  <c r="FX42" i="15" s="1"/>
  <c r="FU44" i="15"/>
  <c r="FV44" i="15" s="1"/>
  <c r="EP5" i="15"/>
  <c r="AM7" i="13"/>
  <c r="FZ33" i="15"/>
  <c r="FK19" i="15"/>
  <c r="FZ23" i="15"/>
  <c r="EP6" i="15"/>
  <c r="FZ15" i="15"/>
  <c r="GS3" i="15"/>
  <c r="FZ27" i="15"/>
  <c r="GF25" i="15"/>
  <c r="FT16" i="15"/>
  <c r="GD13" i="15" l="1"/>
  <c r="GI11" i="15"/>
  <c r="GJ11" i="15" s="1"/>
  <c r="GC12" i="15"/>
  <c r="GD12" i="15" s="1"/>
  <c r="GA33" i="15"/>
  <c r="GB33" i="15" s="1"/>
  <c r="GA27" i="15"/>
  <c r="GB27" i="15" s="1"/>
  <c r="GA23" i="15"/>
  <c r="GB23" i="15" s="1"/>
  <c r="GC23" i="15" s="1"/>
  <c r="GD23" i="15" s="1"/>
  <c r="GA15" i="15"/>
  <c r="GB15" i="15" s="1"/>
  <c r="GC15" i="15" s="1"/>
  <c r="GD15" i="15" s="1"/>
  <c r="FO31" i="15"/>
  <c r="GA32" i="15"/>
  <c r="FW14" i="15"/>
  <c r="FX14" i="15" s="1"/>
  <c r="GG25" i="15"/>
  <c r="GH25" i="15" s="1"/>
  <c r="GH17" i="15"/>
  <c r="GI17" i="15" s="1"/>
  <c r="GJ17" i="15" s="1"/>
  <c r="FU16" i="15"/>
  <c r="FV16" i="15" s="1"/>
  <c r="FW16" i="15" s="1"/>
  <c r="GD14" i="15"/>
  <c r="GF14" i="15"/>
  <c r="GG13" i="15"/>
  <c r="GH13" i="15" s="1"/>
  <c r="GI13" i="15" s="1"/>
  <c r="GJ13" i="15" s="1"/>
  <c r="FL19" i="15"/>
  <c r="FM19" i="15" s="1"/>
  <c r="FN19" i="15" s="1"/>
  <c r="FO19" i="15" s="1"/>
  <c r="FV15" i="15"/>
  <c r="FW15" i="15" s="1"/>
  <c r="FX15" i="15" s="1"/>
  <c r="FW44" i="15"/>
  <c r="FX44" i="15" s="1"/>
  <c r="FF14" i="15"/>
  <c r="FG14" i="15" s="1"/>
  <c r="FF10" i="15"/>
  <c r="FG10" i="15" s="1"/>
  <c r="EP7" i="15"/>
  <c r="EZ14" i="16"/>
  <c r="EZ15" i="16" s="1"/>
  <c r="FB15" i="16" s="1"/>
  <c r="FB16" i="16"/>
  <c r="FB14" i="16"/>
  <c r="GF15" i="15"/>
  <c r="FZ28" i="15"/>
  <c r="FZ24" i="15"/>
  <c r="FK21" i="15"/>
  <c r="FK20" i="15"/>
  <c r="FZ16" i="15"/>
  <c r="FZ34" i="15"/>
  <c r="FA14" i="16"/>
  <c r="EP2" i="15"/>
  <c r="FT19" i="15"/>
  <c r="GP7" i="15"/>
  <c r="FB19" i="16" l="1"/>
  <c r="GQ7" i="15"/>
  <c r="GR7" i="15" s="1"/>
  <c r="GS7" i="15" s="1"/>
  <c r="GT7" i="15" s="1"/>
  <c r="GI25" i="15"/>
  <c r="GJ25" i="15" s="1"/>
  <c r="GC33" i="15"/>
  <c r="GD33" i="15" s="1"/>
  <c r="GA16" i="15"/>
  <c r="GB16" i="15" s="1"/>
  <c r="GA34" i="15"/>
  <c r="GB34" i="15" s="1"/>
  <c r="GA28" i="15"/>
  <c r="GB28" i="15" s="1"/>
  <c r="GA24" i="15"/>
  <c r="GB24" i="15" s="1"/>
  <c r="GB32" i="15"/>
  <c r="GC32" i="15" s="1"/>
  <c r="GC27" i="15"/>
  <c r="GD27" i="15" s="1"/>
  <c r="FL21" i="15"/>
  <c r="FM21" i="15" s="1"/>
  <c r="FN21" i="15" s="1"/>
  <c r="FO21" i="15" s="1"/>
  <c r="FK27" i="15"/>
  <c r="FL27" i="15" s="1"/>
  <c r="GG15" i="15"/>
  <c r="GH15" i="15" s="1"/>
  <c r="FU19" i="15"/>
  <c r="FV19" i="15" s="1"/>
  <c r="FW19" i="15" s="1"/>
  <c r="FX19" i="15" s="1"/>
  <c r="FX16" i="15"/>
  <c r="GG14" i="15"/>
  <c r="GH14" i="15" s="1"/>
  <c r="FL20" i="15"/>
  <c r="FM20" i="15" s="1"/>
  <c r="FH10" i="15"/>
  <c r="FI10" i="15" s="1"/>
  <c r="FH14" i="15"/>
  <c r="FI14" i="15" s="1"/>
  <c r="AS25" i="19"/>
  <c r="EP12" i="15"/>
  <c r="EP10" i="15"/>
  <c r="IQ4" i="9"/>
  <c r="FZ29" i="15"/>
  <c r="GP8" i="15"/>
  <c r="FZ25" i="15"/>
  <c r="FZ17" i="15"/>
  <c r="EP13" i="15"/>
  <c r="GF18" i="15"/>
  <c r="AS26" i="19"/>
  <c r="FT20" i="15"/>
  <c r="FT21" i="15"/>
  <c r="FZ35" i="15"/>
  <c r="IQ15" i="9"/>
  <c r="AT26" i="19" l="1"/>
  <c r="AU26" i="19" s="1"/>
  <c r="AV26" i="19" s="1"/>
  <c r="GQ8" i="15"/>
  <c r="GR8" i="15" s="1"/>
  <c r="GG18" i="15"/>
  <c r="GH18" i="15" s="1"/>
  <c r="GC24" i="15"/>
  <c r="GD24" i="15" s="1"/>
  <c r="FU21" i="15"/>
  <c r="FV21" i="15" s="1"/>
  <c r="FW21" i="15" s="1"/>
  <c r="FX21" i="15" s="1"/>
  <c r="FT27" i="15"/>
  <c r="FT28" i="15" s="1"/>
  <c r="FU28" i="15" s="1"/>
  <c r="FV28" i="15" s="1"/>
  <c r="FW28" i="15" s="1"/>
  <c r="GI15" i="15"/>
  <c r="GJ15" i="15" s="1"/>
  <c r="GC16" i="15"/>
  <c r="GD16" i="15" s="1"/>
  <c r="FZ30" i="15"/>
  <c r="GA30" i="15" s="1"/>
  <c r="GB30" i="15" s="1"/>
  <c r="GA29" i="15"/>
  <c r="GB29" i="15" s="1"/>
  <c r="GC29" i="15" s="1"/>
  <c r="GD29" i="15" s="1"/>
  <c r="GA17" i="15"/>
  <c r="GB17" i="15" s="1"/>
  <c r="GC17" i="15" s="1"/>
  <c r="FZ21" i="15"/>
  <c r="GA21" i="15" s="1"/>
  <c r="GB21" i="15" s="1"/>
  <c r="GC21" i="15" s="1"/>
  <c r="GD21" i="15" s="1"/>
  <c r="GA25" i="15"/>
  <c r="GB25" i="15" s="1"/>
  <c r="GC25" i="15" s="1"/>
  <c r="FZ31" i="15"/>
  <c r="GA31" i="15" s="1"/>
  <c r="GB31" i="15" s="1"/>
  <c r="GC31" i="15" s="1"/>
  <c r="FZ36" i="15"/>
  <c r="GA36" i="15" s="1"/>
  <c r="GB36" i="15" s="1"/>
  <c r="GA35" i="15"/>
  <c r="GB35" i="15" s="1"/>
  <c r="GC35" i="15" s="1"/>
  <c r="GD35" i="15" s="1"/>
  <c r="GC28" i="15"/>
  <c r="GD28" i="15" s="1"/>
  <c r="GD32" i="15"/>
  <c r="FK28" i="15"/>
  <c r="FL28" i="15" s="1"/>
  <c r="FM28" i="15" s="1"/>
  <c r="GC34" i="15"/>
  <c r="GD34" i="15" s="1"/>
  <c r="GI14" i="15"/>
  <c r="GJ14" i="15" s="1"/>
  <c r="FN20" i="15"/>
  <c r="FO20" i="15" s="1"/>
  <c r="FU20" i="15"/>
  <c r="FV20" i="15" s="1"/>
  <c r="FM27" i="15"/>
  <c r="FN27" i="15" s="1"/>
  <c r="FO27" i="15" s="1"/>
  <c r="EQ12" i="15"/>
  <c r="ER12" i="15" s="1"/>
  <c r="EP11" i="15"/>
  <c r="EQ11" i="15" s="1"/>
  <c r="ER11" i="15" s="1"/>
  <c r="EP14" i="15"/>
  <c r="EQ14" i="15" s="1"/>
  <c r="ER14" i="15" s="1"/>
  <c r="EQ13" i="15"/>
  <c r="ER13" i="15" s="1"/>
  <c r="AV21" i="19"/>
  <c r="IQ5" i="9"/>
  <c r="IQ6" i="9" s="1"/>
  <c r="Z9" i="14"/>
  <c r="GP14" i="15"/>
  <c r="GP10" i="15"/>
  <c r="IQ8" i="9"/>
  <c r="X5" i="14"/>
  <c r="GF19" i="15"/>
  <c r="AW26" i="19" l="1"/>
  <c r="AL7" i="14"/>
  <c r="GQ10" i="15"/>
  <c r="GR10" i="15" s="1"/>
  <c r="GQ14" i="15"/>
  <c r="GR14" i="15" s="1"/>
  <c r="GS8" i="15"/>
  <c r="GT8" i="15" s="1"/>
  <c r="FX28" i="15"/>
  <c r="GI18" i="15"/>
  <c r="GJ18" i="15" s="1"/>
  <c r="GG19" i="15"/>
  <c r="GH19" i="15" s="1"/>
  <c r="GI19" i="15" s="1"/>
  <c r="GJ19" i="15" s="1"/>
  <c r="GF22" i="15"/>
  <c r="GF23" i="15" s="1"/>
  <c r="GG23" i="15" s="1"/>
  <c r="GD31" i="15"/>
  <c r="FT29" i="15"/>
  <c r="FU29" i="15" s="1"/>
  <c r="FV29" i="15" s="1"/>
  <c r="FU27" i="15"/>
  <c r="FV27" i="15" s="1"/>
  <c r="FW27" i="15" s="1"/>
  <c r="FX27" i="15" s="1"/>
  <c r="FK29" i="15"/>
  <c r="FL29" i="15" s="1"/>
  <c r="FM29" i="15" s="1"/>
  <c r="FN29" i="15" s="1"/>
  <c r="GC36" i="15"/>
  <c r="GD36" i="15" s="1"/>
  <c r="GD25" i="15"/>
  <c r="GC30" i="15"/>
  <c r="GD30" i="15" s="1"/>
  <c r="GD17" i="15"/>
  <c r="FW20" i="15"/>
  <c r="FX20" i="15" s="1"/>
  <c r="FN28" i="15"/>
  <c r="FO28" i="15" s="1"/>
  <c r="ES12" i="15"/>
  <c r="ET12" i="15" s="1"/>
  <c r="ES13" i="15"/>
  <c r="ET13" i="15" s="1"/>
  <c r="ES11" i="15"/>
  <c r="ET11" i="15" s="1"/>
  <c r="ES14" i="15"/>
  <c r="ET14" i="15" s="1"/>
  <c r="AV22" i="19"/>
  <c r="AV23" i="19" s="1"/>
  <c r="GP12" i="15"/>
  <c r="Z13" i="14"/>
  <c r="GP15" i="15"/>
  <c r="GP21" i="15"/>
  <c r="CI12" i="14"/>
  <c r="GQ12" i="15" l="1"/>
  <c r="GR12" i="15" s="1"/>
  <c r="GS12" i="15" s="1"/>
  <c r="GT12" i="15" s="1"/>
  <c r="GQ21" i="15"/>
  <c r="GR21" i="15" s="1"/>
  <c r="GS10" i="15"/>
  <c r="GT10" i="15" s="1"/>
  <c r="GQ15" i="15"/>
  <c r="GR15" i="15" s="1"/>
  <c r="GS14" i="15"/>
  <c r="GT14" i="15" s="1"/>
  <c r="GG22" i="15"/>
  <c r="GH22" i="15" s="1"/>
  <c r="GI22" i="15" s="1"/>
  <c r="FW29" i="15"/>
  <c r="FX29" i="15" s="1"/>
  <c r="FO29" i="15"/>
  <c r="GH23" i="15"/>
  <c r="GI23" i="15" s="1"/>
  <c r="CJ35" i="16"/>
  <c r="GF24" i="15"/>
  <c r="FK30" i="15"/>
  <c r="CI9" i="14"/>
  <c r="AQ25" i="19"/>
  <c r="AQ26" i="19"/>
  <c r="FT30" i="15"/>
  <c r="GP23" i="15"/>
  <c r="GP16" i="15"/>
  <c r="Z14" i="14"/>
  <c r="GQ23" i="15" l="1"/>
  <c r="GR23" i="15" s="1"/>
  <c r="GS23" i="15" s="1"/>
  <c r="GT23" i="15" s="1"/>
  <c r="GQ16" i="15"/>
  <c r="GR16" i="15" s="1"/>
  <c r="GP17" i="15"/>
  <c r="GP18" i="15" s="1"/>
  <c r="GP22" i="15"/>
  <c r="GQ22" i="15" s="1"/>
  <c r="GR22" i="15" s="1"/>
  <c r="GS22" i="15" s="1"/>
  <c r="GT22" i="15" s="1"/>
  <c r="GS15" i="15"/>
  <c r="GT15" i="15" s="1"/>
  <c r="GS21" i="15"/>
  <c r="GT21" i="15" s="1"/>
  <c r="GF26" i="15"/>
  <c r="GG26" i="15" s="1"/>
  <c r="GH26" i="15" s="1"/>
  <c r="GI26" i="15" s="1"/>
  <c r="GG24" i="15"/>
  <c r="GH24" i="15" s="1"/>
  <c r="GI24" i="15" s="1"/>
  <c r="GJ24" i="15" s="1"/>
  <c r="FL30" i="15"/>
  <c r="FM30" i="15" s="1"/>
  <c r="FN30" i="15" s="1"/>
  <c r="FO30" i="15" s="1"/>
  <c r="FK32" i="15"/>
  <c r="FL32" i="15" s="1"/>
  <c r="FM32" i="15" s="1"/>
  <c r="FN32" i="15" s="1"/>
  <c r="FO32" i="15" s="1"/>
  <c r="GJ22" i="15"/>
  <c r="FT32" i="15"/>
  <c r="FU32" i="15" s="1"/>
  <c r="FU30" i="15"/>
  <c r="FV30" i="15" s="1"/>
  <c r="FW30" i="15" s="1"/>
  <c r="FX30" i="15" s="1"/>
  <c r="GJ23" i="15"/>
  <c r="CJ24" i="16"/>
  <c r="CJ18" i="16"/>
  <c r="CJ17" i="16"/>
  <c r="CN2" i="16"/>
  <c r="CK8" i="16"/>
  <c r="Z23" i="14"/>
  <c r="Z15" i="14"/>
  <c r="CJ4" i="16"/>
  <c r="BF5" i="16"/>
  <c r="GP24" i="15"/>
  <c r="Z22" i="14"/>
  <c r="GP19" i="15"/>
  <c r="Z16" i="14"/>
  <c r="Z24" i="14" l="1"/>
  <c r="GQ24" i="15"/>
  <c r="GR24" i="15" s="1"/>
  <c r="GQ17" i="15"/>
  <c r="GR17" i="15" s="1"/>
  <c r="GS17" i="15" s="1"/>
  <c r="GS16" i="15"/>
  <c r="GT16" i="15" s="1"/>
  <c r="GQ19" i="15"/>
  <c r="GR19" i="15" s="1"/>
  <c r="GQ18" i="15"/>
  <c r="GR18" i="15" s="1"/>
  <c r="GS18" i="15" s="1"/>
  <c r="GT18" i="15" s="1"/>
  <c r="GF27" i="15"/>
  <c r="GG27" i="15" s="1"/>
  <c r="GH27" i="15" s="1"/>
  <c r="GI27" i="15" s="1"/>
  <c r="GJ27" i="15" s="1"/>
  <c r="FT33" i="15"/>
  <c r="FK33" i="15"/>
  <c r="FK34" i="15" s="1"/>
  <c r="FE16" i="15" s="1"/>
  <c r="FV32" i="15"/>
  <c r="FW32" i="15" s="1"/>
  <c r="FX32" i="15" s="1"/>
  <c r="GJ26" i="15"/>
  <c r="CJ19" i="16"/>
  <c r="CJ22" i="16" s="1"/>
  <c r="CL8" i="16"/>
  <c r="CM8" i="16" s="1"/>
  <c r="GP25" i="15"/>
  <c r="FT46" i="15" l="1"/>
  <c r="FE8" i="15" s="1"/>
  <c r="FF8" i="15" s="1"/>
  <c r="FG8" i="15" s="1"/>
  <c r="FH8" i="15" s="1"/>
  <c r="FI8" i="15" s="1"/>
  <c r="GP26" i="15"/>
  <c r="GQ26" i="15" s="1"/>
  <c r="GR26" i="15" s="1"/>
  <c r="GS26" i="15" s="1"/>
  <c r="GT26" i="15" s="1"/>
  <c r="AA32" i="14"/>
  <c r="Z26" i="14"/>
  <c r="Z28" i="14"/>
  <c r="GS24" i="15"/>
  <c r="GT24" i="15" s="1"/>
  <c r="GT17" i="15"/>
  <c r="GQ25" i="15"/>
  <c r="GR25" i="15" s="1"/>
  <c r="GS19" i="15"/>
  <c r="GT19" i="15" s="1"/>
  <c r="GF28" i="15"/>
  <c r="FE15" i="15" s="1"/>
  <c r="FL33" i="15"/>
  <c r="FM33" i="15" s="1"/>
  <c r="FN33" i="15" s="1"/>
  <c r="FO33" i="15" s="1"/>
  <c r="FU33" i="15"/>
  <c r="FV33" i="15" s="1"/>
  <c r="FW33" i="15" s="1"/>
  <c r="FU46" i="15"/>
  <c r="FL34" i="15"/>
  <c r="FM34" i="15" s="1"/>
  <c r="FN34" i="15" s="1"/>
  <c r="FO34" i="15" s="1"/>
  <c r="CN8" i="16"/>
  <c r="CF5" i="16"/>
  <c r="Z29" i="14" l="1"/>
  <c r="AA29" i="14" s="1"/>
  <c r="AA30" i="14" s="1"/>
  <c r="Z27" i="14"/>
  <c r="GS25" i="15"/>
  <c r="GT25" i="15" s="1"/>
  <c r="FE12" i="15"/>
  <c r="FF12" i="15" s="1"/>
  <c r="FG12" i="15" s="1"/>
  <c r="FH12" i="15" s="1"/>
  <c r="FF15" i="15"/>
  <c r="FG15" i="15" s="1"/>
  <c r="GG28" i="15"/>
  <c r="GH28" i="15" s="1"/>
  <c r="GI28" i="15" s="1"/>
  <c r="GJ28" i="15" s="1"/>
  <c r="FX33" i="15"/>
  <c r="GA37" i="15"/>
  <c r="FV46" i="15"/>
  <c r="FW46" i="15" s="1"/>
  <c r="FX46" i="15" s="1"/>
  <c r="FF16" i="15"/>
  <c r="FG16" i="15" s="1"/>
  <c r="BZ3" i="16"/>
  <c r="BZ4" i="16" s="1"/>
  <c r="BJ2" i="16"/>
  <c r="CR17" i="16"/>
  <c r="CR13" i="16"/>
  <c r="CB7" i="16"/>
  <c r="CB8" i="16"/>
  <c r="CR11" i="16"/>
  <c r="CR12" i="16"/>
  <c r="Z30" i="14" l="1"/>
  <c r="Z31" i="14" s="1"/>
  <c r="AB29" i="14"/>
  <c r="AB30" i="14" s="1"/>
  <c r="AB31" i="14" s="1"/>
  <c r="FI12" i="15"/>
  <c r="FH15" i="15"/>
  <c r="FI15" i="15" s="1"/>
  <c r="GB37" i="15"/>
  <c r="GC37" i="15" s="1"/>
  <c r="GD37" i="15" s="1"/>
  <c r="GA38" i="15"/>
  <c r="FH16" i="15"/>
  <c r="FI16" i="15" s="1"/>
  <c r="CJ5" i="16"/>
  <c r="JU4" i="9"/>
  <c r="JW4" i="9"/>
  <c r="JY4" i="9"/>
  <c r="JU5" i="9"/>
  <c r="JW5" i="9"/>
  <c r="JW6" i="9"/>
  <c r="JW7" i="9"/>
  <c r="CJ7" i="16"/>
  <c r="CJ42" i="16"/>
  <c r="IZ8" i="9"/>
  <c r="CJ41" i="16"/>
  <c r="IZ7" i="9"/>
  <c r="CB12" i="16"/>
  <c r="JU6" i="9"/>
  <c r="CB10" i="16"/>
  <c r="JU7" i="9"/>
  <c r="CJ9" i="16"/>
  <c r="BF4" i="16"/>
  <c r="GB38" i="15" l="1"/>
  <c r="GC38" i="15" s="1"/>
  <c r="GD38" i="15" s="1"/>
  <c r="FF18" i="15"/>
  <c r="FG18" i="15" s="1"/>
  <c r="JY5" i="9"/>
  <c r="BF7" i="16"/>
  <c r="JM7" i="9"/>
  <c r="CJ28" i="16"/>
  <c r="BF9" i="16"/>
  <c r="JM10" i="9"/>
  <c r="JM9" i="9"/>
  <c r="JJ10" i="9"/>
  <c r="CB13" i="16"/>
  <c r="JU10" i="9"/>
  <c r="JM6" i="9"/>
  <c r="IZ9" i="9"/>
  <c r="CK28" i="16" l="1"/>
  <c r="CL28" i="16" s="1"/>
  <c r="FH18" i="15"/>
  <c r="FI18" i="15" s="1"/>
  <c r="CC13" i="16"/>
  <c r="CD13" i="16" s="1"/>
  <c r="CE13" i="16" s="1"/>
  <c r="JV10" i="9"/>
  <c r="JW10" i="9" s="1"/>
  <c r="JU9" i="9"/>
  <c r="JA9" i="9"/>
  <c r="CB15" i="16"/>
  <c r="JU11" i="9"/>
  <c r="CJ29" i="16"/>
  <c r="JJ11" i="9"/>
  <c r="IZ10" i="9"/>
  <c r="JC6" i="9"/>
  <c r="CB14" i="16"/>
  <c r="CM28" i="16" l="1"/>
  <c r="CN28" i="16" s="1"/>
  <c r="CC15" i="16"/>
  <c r="CD15" i="16" s="1"/>
  <c r="CE15" i="16" s="1"/>
  <c r="CF15" i="16" s="1"/>
  <c r="CF13" i="16"/>
  <c r="JA10" i="9"/>
  <c r="JB10" i="9" s="1"/>
  <c r="JX10" i="9"/>
  <c r="JY10" i="9" s="1"/>
  <c r="JL8" i="9"/>
  <c r="KM9" i="9" s="1"/>
  <c r="JV9" i="9"/>
  <c r="JW9" i="9" s="1"/>
  <c r="JB9" i="9"/>
  <c r="JC9" i="9" s="1"/>
  <c r="JD9" i="9" s="1"/>
  <c r="JV11" i="9"/>
  <c r="JW11" i="9" s="1"/>
  <c r="IZ12" i="9"/>
  <c r="CB17" i="16"/>
  <c r="CB16" i="16"/>
  <c r="IZ11" i="9"/>
  <c r="CC16" i="16" l="1"/>
  <c r="CD16" i="16" s="1"/>
  <c r="CE16" i="16" s="1"/>
  <c r="CF16" i="16" s="1"/>
  <c r="JA11" i="9"/>
  <c r="JB11" i="9" s="1"/>
  <c r="JC11" i="9" s="1"/>
  <c r="JD11" i="9" s="1"/>
  <c r="JC10" i="9"/>
  <c r="JD10" i="9" s="1"/>
  <c r="JX9" i="9"/>
  <c r="JY9" i="9" s="1"/>
  <c r="JX11" i="9"/>
  <c r="JY11" i="9" s="1"/>
  <c r="JA12" i="9"/>
  <c r="IZ13" i="9"/>
  <c r="JA13" i="9" s="1"/>
  <c r="JU12" i="9"/>
  <c r="JM12" i="9"/>
  <c r="CB18" i="16"/>
  <c r="JV12" i="9" l="1"/>
  <c r="JW12" i="9" s="1"/>
  <c r="JB13" i="9"/>
  <c r="JC13" i="9" s="1"/>
  <c r="JD13" i="9" s="1"/>
  <c r="JB12" i="9"/>
  <c r="IZ14" i="9"/>
  <c r="JA14" i="9" s="1"/>
  <c r="JB14" i="9" s="1"/>
  <c r="JM13" i="9"/>
  <c r="JU13" i="9"/>
  <c r="JX12" i="9" l="1"/>
  <c r="JY12" i="9" s="1"/>
  <c r="JV13" i="9"/>
  <c r="JW13" i="9" s="1"/>
  <c r="JC12" i="9"/>
  <c r="JD12" i="9" s="1"/>
  <c r="JC14" i="9"/>
  <c r="JD14" i="9" s="1"/>
  <c r="JL14" i="9"/>
  <c r="KG9" i="9" s="1"/>
  <c r="JA15" i="9"/>
  <c r="JB15" i="9" s="1"/>
  <c r="JU14" i="9"/>
  <c r="JV14" i="9" l="1"/>
  <c r="JW14" i="9" s="1"/>
  <c r="JX14" i="9" s="1"/>
  <c r="JX13" i="9"/>
  <c r="JY13" i="9" s="1"/>
  <c r="JC15" i="9"/>
  <c r="JD15" i="9" s="1"/>
  <c r="IZ17" i="9"/>
  <c r="JE19" i="9" s="1"/>
  <c r="JF19" i="9" s="1"/>
  <c r="JA17" i="9"/>
  <c r="JB17" i="9" s="1"/>
  <c r="IZ20" i="9"/>
  <c r="JE20" i="9" s="1"/>
  <c r="JF20" i="9" s="1"/>
  <c r="JG20" i="9" s="1"/>
  <c r="JA20" i="9"/>
  <c r="JB20" i="9" s="1"/>
  <c r="IZ22" i="9"/>
  <c r="IZ27" i="9"/>
  <c r="JM15" i="9"/>
  <c r="JM16" i="9"/>
  <c r="JU15" i="9"/>
  <c r="IZ16" i="9"/>
  <c r="JE22" i="9"/>
  <c r="JC20" i="9" l="1"/>
  <c r="JD20" i="9" s="1"/>
  <c r="JG19" i="9"/>
  <c r="JH19" i="9" s="1"/>
  <c r="JC17" i="9"/>
  <c r="JD17" i="9" s="1"/>
  <c r="JA22" i="9"/>
  <c r="JB22" i="9" s="1"/>
  <c r="IZ23" i="9"/>
  <c r="IZ19" i="9"/>
  <c r="JA16" i="9"/>
  <c r="JB16" i="9" s="1"/>
  <c r="JC16" i="9" s="1"/>
  <c r="JE23" i="9"/>
  <c r="JF22" i="9"/>
  <c r="JG22" i="9" s="1"/>
  <c r="JH22" i="9" s="1"/>
  <c r="JV15" i="9"/>
  <c r="JW15" i="9" s="1"/>
  <c r="JH20" i="9"/>
  <c r="JY14" i="9"/>
  <c r="JJ5" i="9"/>
  <c r="JA27" i="9"/>
  <c r="JE21" i="9"/>
  <c r="JE24" i="9"/>
  <c r="JJ6" i="9"/>
  <c r="JJ12" i="9"/>
  <c r="IZ24" i="9"/>
  <c r="JJ7" i="9"/>
  <c r="JB27" i="9" l="1"/>
  <c r="JC27" i="9" s="1"/>
  <c r="JD27" i="9" s="1"/>
  <c r="JF21" i="9"/>
  <c r="JG21" i="9" s="1"/>
  <c r="JH21" i="9" s="1"/>
  <c r="JF24" i="9"/>
  <c r="JG24" i="9" s="1"/>
  <c r="JA24" i="9"/>
  <c r="JB24" i="9" s="1"/>
  <c r="JC24" i="9" s="1"/>
  <c r="JD16" i="9"/>
  <c r="JX15" i="9"/>
  <c r="JY15" i="9" s="1"/>
  <c r="JC22" i="9"/>
  <c r="JD22" i="9" s="1"/>
  <c r="JF23" i="9"/>
  <c r="JG23" i="9" s="1"/>
  <c r="JA19" i="9"/>
  <c r="JB19" i="9" s="1"/>
  <c r="JC19" i="9" s="1"/>
  <c r="JA23" i="9"/>
  <c r="JB23" i="9" s="1"/>
  <c r="JC23" i="9" s="1"/>
  <c r="JL11" i="9"/>
  <c r="JL5" i="9"/>
  <c r="JE25" i="9"/>
  <c r="IZ21" i="9"/>
  <c r="JJ8" i="9"/>
  <c r="JH24" i="9" l="1"/>
  <c r="JA21" i="9"/>
  <c r="JB21" i="9" s="1"/>
  <c r="JF25" i="9"/>
  <c r="JJ9" i="9"/>
  <c r="JD24" i="9"/>
  <c r="JH23" i="9"/>
  <c r="JD23" i="9"/>
  <c r="JD19" i="9"/>
  <c r="KJ6" i="9"/>
  <c r="KJ12" i="9"/>
  <c r="JJ13" i="9"/>
  <c r="IZ25" i="9"/>
  <c r="JE26" i="9"/>
  <c r="JF26" i="9" l="1"/>
  <c r="JG26" i="9" s="1"/>
  <c r="JC21" i="9"/>
  <c r="JD21" i="9" s="1"/>
  <c r="JJ17" i="9"/>
  <c r="JA25" i="9"/>
  <c r="JG25" i="9"/>
  <c r="JH25" i="9" s="1"/>
  <c r="IZ26" i="9"/>
  <c r="JJ25" i="9"/>
  <c r="JJ14" i="9"/>
  <c r="JJ18" i="9"/>
  <c r="JJ15" i="9"/>
  <c r="JH26" i="9" l="1"/>
  <c r="JA26" i="9"/>
  <c r="JB26" i="9" s="1"/>
  <c r="JL16" i="9"/>
  <c r="KF4" i="9" s="1"/>
  <c r="JL15" i="9"/>
  <c r="JB25" i="9"/>
  <c r="DH6" i="16"/>
  <c r="JJ27" i="9"/>
  <c r="JJ16" i="9"/>
  <c r="JJ19" i="9"/>
  <c r="JJ21" i="9"/>
  <c r="JJ26" i="9"/>
  <c r="JC26" i="9" l="1"/>
  <c r="JD26" i="9" s="1"/>
  <c r="JN16" i="9"/>
  <c r="JO16" i="9" s="1"/>
  <c r="JP16" i="9" s="1"/>
  <c r="JN5" i="9"/>
  <c r="JO5" i="9" s="1"/>
  <c r="JP5" i="9" s="1"/>
  <c r="JL7" i="9"/>
  <c r="JL9" i="9"/>
  <c r="JC25" i="9"/>
  <c r="JD25" i="9" s="1"/>
  <c r="JN15" i="9"/>
  <c r="JO15" i="9" s="1"/>
  <c r="JP15" i="9" s="1"/>
  <c r="KD5" i="9"/>
  <c r="AH13" i="16"/>
  <c r="AH9" i="16"/>
  <c r="AH11" i="16" s="1"/>
  <c r="AH12" i="16" s="1"/>
  <c r="BF13" i="16"/>
  <c r="BD10" i="16"/>
  <c r="JJ23" i="9"/>
  <c r="JJ20" i="9"/>
  <c r="JJ28" i="9"/>
  <c r="JJ22" i="9"/>
  <c r="AH14" i="16" l="1"/>
  <c r="JL6" i="9"/>
  <c r="JN7" i="9" s="1"/>
  <c r="JO7" i="9" s="1"/>
  <c r="JP7" i="9" s="1"/>
  <c r="JL13" i="9"/>
  <c r="JL10" i="9"/>
  <c r="JN8" i="9"/>
  <c r="JO8" i="9" s="1"/>
  <c r="JP8" i="9" s="1"/>
  <c r="KP6" i="9"/>
  <c r="KP13" i="9"/>
  <c r="JN9" i="9"/>
  <c r="JO9" i="9" s="1"/>
  <c r="JP9" i="9" s="1"/>
  <c r="AE10" i="16"/>
  <c r="AE2" i="16"/>
  <c r="AE1" i="16" s="1"/>
  <c r="JJ24" i="9"/>
  <c r="BF21" i="16"/>
  <c r="BF10" i="16"/>
  <c r="KM4" i="9" l="1"/>
  <c r="JN6" i="9"/>
  <c r="JO6" i="9" s="1"/>
  <c r="JP6" i="9" s="1"/>
  <c r="JL12" i="9"/>
  <c r="JN13" i="9" s="1"/>
  <c r="JO13" i="9" s="1"/>
  <c r="JP13" i="9" s="1"/>
  <c r="JN10" i="9"/>
  <c r="JO10" i="9" s="1"/>
  <c r="JP10" i="9" s="1"/>
  <c r="KN15" i="9"/>
  <c r="JN11" i="9"/>
  <c r="JO11" i="9" s="1"/>
  <c r="JP11" i="9" s="1"/>
  <c r="KD13" i="9"/>
  <c r="JN14" i="9"/>
  <c r="JO14" i="9" s="1"/>
  <c r="JP14" i="9" s="1"/>
  <c r="JN12" i="9" l="1"/>
  <c r="JO12" i="9" s="1"/>
  <c r="JP12" i="9" s="1"/>
  <c r="JR15" i="9" s="1"/>
  <c r="JQ15" i="9" s="1"/>
  <c r="KG15" i="9"/>
  <c r="AH6" i="19"/>
  <c r="JR16" i="9" l="1"/>
  <c r="JQ16" i="9" s="1"/>
  <c r="JR9" i="9"/>
  <c r="JQ9" i="9" s="1"/>
  <c r="JR11" i="9"/>
  <c r="JQ11" i="9" s="1"/>
  <c r="JR8" i="9"/>
  <c r="JQ8" i="9" s="1"/>
  <c r="JR14" i="9"/>
  <c r="JQ14" i="9" s="1"/>
  <c r="JR10" i="9"/>
  <c r="JQ10" i="9" s="1"/>
  <c r="JR6" i="9"/>
  <c r="JQ6" i="9" s="1"/>
  <c r="JR12" i="9"/>
  <c r="JQ12" i="9" s="1"/>
  <c r="JR13" i="9"/>
  <c r="JQ13" i="9" s="1"/>
  <c r="JR5" i="9"/>
  <c r="JR7" i="9"/>
  <c r="JQ7" i="9" s="1"/>
  <c r="AH7" i="19"/>
  <c r="BF30" i="16"/>
  <c r="BF18" i="16"/>
  <c r="JZ10" i="9" l="1"/>
  <c r="JZ15" i="9"/>
  <c r="JZ12" i="9"/>
  <c r="JZ9" i="9"/>
  <c r="JQ5" i="9"/>
  <c r="JZ11" i="9" s="1"/>
  <c r="JZ13" i="9"/>
  <c r="AZ6" i="16"/>
  <c r="BF20" i="16"/>
  <c r="BF12" i="16"/>
  <c r="BF11" i="16"/>
  <c r="BF22" i="16"/>
  <c r="BF23" i="16"/>
  <c r="BF25" i="16"/>
  <c r="JZ14" i="9" l="1"/>
  <c r="KJ7" i="9" s="1"/>
  <c r="KF5" i="9"/>
  <c r="KE10" i="9"/>
  <c r="KC15" i="9"/>
  <c r="KC7" i="9"/>
  <c r="KL11" i="9"/>
  <c r="KE17" i="9"/>
  <c r="KH8" i="9"/>
  <c r="KH13" i="9"/>
  <c r="KL16" i="9"/>
  <c r="KL5" i="9"/>
  <c r="KN8" i="9"/>
  <c r="KO14" i="9"/>
  <c r="KE5" i="9"/>
  <c r="KL10" i="9"/>
  <c r="KG14" i="9"/>
  <c r="KC6" i="9"/>
  <c r="KD11" i="9"/>
  <c r="KK17" i="9"/>
  <c r="KN7" i="9"/>
  <c r="KN14" i="9"/>
  <c r="KH7" i="9"/>
  <c r="KC14" i="9"/>
  <c r="KE16" i="9"/>
  <c r="KK5" i="9"/>
  <c r="KM6" i="9"/>
  <c r="KF10" i="9"/>
  <c r="KP15" i="9"/>
  <c r="KI9" i="9"/>
  <c r="KM11" i="9"/>
  <c r="KD14" i="9"/>
  <c r="KG16" i="9"/>
  <c r="KO9" i="9"/>
  <c r="KI13" i="9"/>
  <c r="KM17" i="9"/>
  <c r="KG5" i="9"/>
  <c r="KC10" i="9"/>
  <c r="KM5" i="9"/>
  <c r="KM10" i="9"/>
  <c r="KM16" i="9"/>
  <c r="KO8" i="9"/>
  <c r="KE12" i="9"/>
  <c r="KC17" i="9"/>
  <c r="KI8" i="9"/>
  <c r="KP14" i="9"/>
  <c r="KF17" i="9"/>
  <c r="KG4" i="9"/>
  <c r="KC9" i="9"/>
  <c r="KH15" i="9"/>
  <c r="KF6" i="9"/>
  <c r="KE11" i="9"/>
  <c r="KF16" i="9"/>
  <c r="KI7" i="9"/>
  <c r="KL12" i="9"/>
  <c r="KC16" i="9"/>
  <c r="KO7" i="9"/>
  <c r="KH14" i="9"/>
  <c r="KL17" i="9"/>
  <c r="KL6" i="9"/>
  <c r="KC8" i="9"/>
  <c r="KO15" i="9"/>
  <c r="KD7" i="9"/>
  <c r="KF12" i="9"/>
  <c r="KN17" i="9"/>
  <c r="KG7" i="9"/>
  <c r="KM13" i="9"/>
  <c r="KD16" i="9"/>
  <c r="KP8" i="9"/>
  <c r="KQ14" i="9"/>
  <c r="KH16" i="9"/>
  <c r="KN5" i="9"/>
  <c r="KJ8" i="9"/>
  <c r="KI15" i="9"/>
  <c r="BG23" i="16"/>
  <c r="BH23" i="16" s="1"/>
  <c r="BG18" i="16"/>
  <c r="BH18" i="16" s="1"/>
  <c r="BF14" i="16"/>
  <c r="C26" i="16"/>
  <c r="BF31" i="16"/>
  <c r="BF24" i="16"/>
  <c r="BF15" i="16"/>
  <c r="KM12" i="9" l="1"/>
  <c r="KG17" i="9"/>
  <c r="KM7" i="9"/>
  <c r="KG6" i="9"/>
  <c r="KF11" i="9"/>
  <c r="KP7" i="9"/>
  <c r="KP16" i="9"/>
  <c r="KN16" i="9"/>
  <c r="KD6" i="9"/>
  <c r="KD15" i="9"/>
  <c r="KI14" i="9"/>
  <c r="BS5" i="16"/>
  <c r="BS6" i="16" s="1"/>
  <c r="BI23" i="16"/>
  <c r="BJ23" i="16" s="1"/>
  <c r="BG20" i="16"/>
  <c r="BH20" i="16" s="1"/>
  <c r="BI18" i="16"/>
  <c r="BJ18" i="16" s="1"/>
  <c r="AK27" i="16"/>
  <c r="AL27" i="16" s="1"/>
  <c r="AM27" i="16" s="1"/>
  <c r="BF16" i="16"/>
  <c r="R6" i="16"/>
  <c r="BI20" i="16" l="1"/>
  <c r="BJ20" i="16" s="1"/>
  <c r="C28" i="16"/>
  <c r="AN27" i="16"/>
  <c r="AO27" i="16" s="1"/>
  <c r="BF17" i="16"/>
  <c r="AL14" i="16" l="1"/>
  <c r="AM14" i="16" s="1"/>
  <c r="AK12" i="16"/>
  <c r="AK10" i="16"/>
  <c r="AK11" i="16" s="1"/>
  <c r="AK8" i="16"/>
  <c r="AK9" i="16"/>
  <c r="AK13" i="16" l="1"/>
  <c r="AL13" i="16" s="1"/>
  <c r="AM13" i="16" s="1"/>
  <c r="AN14" i="16"/>
  <c r="AO14" i="16" s="1"/>
  <c r="C27" i="16"/>
  <c r="AK22" i="16"/>
  <c r="AK34" i="16"/>
  <c r="AK37" i="16"/>
  <c r="AK21" i="16"/>
  <c r="AK32" i="16"/>
  <c r="AK24" i="16"/>
  <c r="AK16" i="16"/>
  <c r="AK36" i="16"/>
  <c r="AK38" i="16"/>
  <c r="AN13" i="16" l="1"/>
  <c r="AO13" i="16" s="1"/>
  <c r="AL32" i="16"/>
  <c r="AM32" i="16" s="1"/>
  <c r="AK28" i="16"/>
  <c r="AL28" i="16" s="1"/>
  <c r="AM28" i="16" s="1"/>
  <c r="AN28" i="16" s="1"/>
  <c r="AL24" i="16"/>
  <c r="AM24" i="16" s="1"/>
  <c r="AL34" i="16"/>
  <c r="AM34" i="16" s="1"/>
  <c r="AL36" i="16"/>
  <c r="AM36" i="16" s="1"/>
  <c r="AL16" i="16"/>
  <c r="AK15" i="16"/>
  <c r="R21" i="16"/>
  <c r="C44" i="16"/>
  <c r="C46" i="16" s="1"/>
  <c r="C45" i="16"/>
  <c r="C42" i="16"/>
  <c r="J44" i="16"/>
  <c r="R24" i="16"/>
  <c r="AK20" i="16"/>
  <c r="AK17" i="16" l="1"/>
  <c r="AL15" i="16"/>
  <c r="AM15" i="16"/>
  <c r="AK29" i="16"/>
  <c r="AL29" i="16" s="1"/>
  <c r="AN32" i="16"/>
  <c r="AO32" i="16" s="1"/>
  <c r="AN24" i="16"/>
  <c r="AO24" i="16" s="1"/>
  <c r="AN34" i="16"/>
  <c r="AO34" i="16" s="1"/>
  <c r="AN36" i="16"/>
  <c r="AO36" i="16" s="1"/>
  <c r="AO28" i="16"/>
  <c r="AM16" i="16"/>
  <c r="AN16" i="16" s="1"/>
  <c r="S6" i="20"/>
  <c r="AN15" i="16" l="1"/>
  <c r="AO15" i="16" s="1"/>
  <c r="AK18" i="16"/>
  <c r="AK19" i="16" s="1"/>
  <c r="AL19" i="16" s="1"/>
  <c r="AM19" i="16" s="1"/>
  <c r="AL17" i="16"/>
  <c r="AM17" i="16"/>
  <c r="AM29" i="16"/>
  <c r="AN29" i="16" s="1"/>
  <c r="AO29" i="16" s="1"/>
  <c r="AO16" i="16"/>
  <c r="AN17" i="16" l="1"/>
  <c r="AO17" i="16" s="1"/>
  <c r="AK25" i="16"/>
  <c r="AL18" i="16"/>
  <c r="AM18" i="16" s="1"/>
  <c r="AN19" i="16"/>
  <c r="AO19" i="16" s="1"/>
  <c r="IQ3" i="9"/>
  <c r="IR3" i="9"/>
  <c r="IS3" i="9" s="1"/>
  <c r="R9" i="16"/>
  <c r="R8" i="16"/>
  <c r="R14" i="16"/>
  <c r="R15" i="16"/>
  <c r="IQ7" i="9" l="1"/>
  <c r="IQ11" i="9"/>
  <c r="AN18" i="16"/>
  <c r="AO18" i="16" s="1"/>
  <c r="AK26" i="16"/>
  <c r="AK30" i="16"/>
  <c r="AL25" i="16"/>
  <c r="AM25" i="16" s="1"/>
  <c r="IT3" i="9"/>
  <c r="IU3" i="9" s="1"/>
  <c r="BU8" i="9"/>
  <c r="BU9" i="9"/>
  <c r="L6" i="20"/>
  <c r="BV12" i="9"/>
  <c r="L7" i="20"/>
  <c r="L8" i="20"/>
  <c r="R20" i="16"/>
  <c r="AK31" i="16" l="1"/>
  <c r="AL30" i="16"/>
  <c r="AL26" i="16"/>
  <c r="AM26" i="16" s="1"/>
  <c r="AN25" i="16"/>
  <c r="AO25" i="16" s="1"/>
  <c r="N50" i="20"/>
  <c r="N51" i="20"/>
  <c r="N83" i="20"/>
  <c r="N84" i="20"/>
  <c r="N98" i="20"/>
  <c r="N132" i="20"/>
  <c r="N162" i="20"/>
  <c r="N163" i="20"/>
  <c r="N174" i="20"/>
  <c r="N194" i="20"/>
  <c r="N195" i="20"/>
  <c r="N209" i="20"/>
  <c r="N239" i="20"/>
  <c r="N240" i="20"/>
  <c r="N254" i="20"/>
  <c r="N284" i="20"/>
  <c r="N285" i="20"/>
  <c r="N304" i="20"/>
  <c r="N310" i="20"/>
  <c r="N311" i="20"/>
  <c r="N327" i="20"/>
  <c r="N338" i="20"/>
  <c r="N339" i="20"/>
  <c r="N344" i="20"/>
  <c r="N365" i="20"/>
  <c r="N366" i="20"/>
  <c r="N390" i="20"/>
  <c r="N395" i="20"/>
  <c r="L38" i="20"/>
  <c r="L13" i="20"/>
  <c r="L29" i="20"/>
  <c r="L19" i="20"/>
  <c r="L32" i="20"/>
  <c r="L36" i="20"/>
  <c r="L33" i="20"/>
  <c r="L18" i="20"/>
  <c r="L25" i="20"/>
  <c r="L27" i="20"/>
  <c r="L23" i="20"/>
  <c r="L10" i="20"/>
  <c r="R22" i="16"/>
  <c r="L20" i="20"/>
  <c r="L31" i="20"/>
  <c r="L30" i="20"/>
  <c r="L17" i="20"/>
  <c r="L12" i="20"/>
  <c r="L39" i="20"/>
  <c r="L24" i="20"/>
  <c r="L22" i="20"/>
  <c r="L21" i="20"/>
  <c r="L35" i="20"/>
  <c r="L26" i="20"/>
  <c r="BU10" i="9"/>
  <c r="BU15" i="9"/>
  <c r="L34" i="20"/>
  <c r="L16" i="20"/>
  <c r="L28" i="20"/>
  <c r="L37" i="20"/>
  <c r="L9" i="20"/>
  <c r="L15" i="20"/>
  <c r="L11" i="20"/>
  <c r="AN26" i="16" l="1"/>
  <c r="AO26" i="16" s="1"/>
  <c r="AM30" i="16"/>
  <c r="AN30" i="16" s="1"/>
  <c r="AO30" i="16" s="1"/>
  <c r="AK33" i="16"/>
  <c r="AL31" i="16"/>
  <c r="AM31" i="16" s="1"/>
  <c r="J47" i="16"/>
  <c r="IR7" i="9"/>
  <c r="IS7" i="9" s="1"/>
  <c r="N396" i="20"/>
  <c r="N459" i="20"/>
  <c r="N460" i="20"/>
  <c r="N486" i="20"/>
  <c r="N500" i="20"/>
  <c r="N501" i="20"/>
  <c r="N537" i="20"/>
  <c r="N570" i="20"/>
  <c r="N571" i="20"/>
  <c r="N589" i="20"/>
  <c r="N614" i="20"/>
  <c r="N615" i="20"/>
  <c r="N647" i="20"/>
  <c r="N676" i="20"/>
  <c r="N677" i="20"/>
  <c r="N723" i="20"/>
  <c r="N762" i="20"/>
  <c r="N763" i="20"/>
  <c r="N786" i="20"/>
  <c r="N825" i="20"/>
  <c r="N826" i="20"/>
  <c r="N861" i="20"/>
  <c r="N874" i="20"/>
  <c r="N875" i="20"/>
  <c r="N905" i="20"/>
  <c r="N908" i="20"/>
  <c r="N909" i="20"/>
  <c r="N955" i="20"/>
  <c r="N983" i="20"/>
  <c r="N992" i="20"/>
  <c r="N1000" i="20"/>
  <c r="N1001" i="20"/>
  <c r="N1039" i="20"/>
  <c r="N1060" i="20"/>
  <c r="N1061" i="20"/>
  <c r="N1069" i="20"/>
  <c r="N1083" i="20"/>
  <c r="N1084" i="20"/>
  <c r="N1102" i="20"/>
  <c r="BU11" i="9"/>
  <c r="BU14" i="9"/>
  <c r="AK35" i="16" l="1"/>
  <c r="AL33" i="16"/>
  <c r="AM33" i="16" s="1"/>
  <c r="AN31" i="16"/>
  <c r="AO31" i="16" s="1"/>
  <c r="BU12" i="9"/>
  <c r="IT7" i="9"/>
  <c r="IU7" i="9" s="1"/>
  <c r="AI121" i="20"/>
  <c r="BU13" i="9"/>
  <c r="AN33" i="16" l="1"/>
  <c r="AO33" i="16" s="1"/>
  <c r="AL35" i="16"/>
  <c r="AM35" i="16" s="1"/>
  <c r="AN35" i="16" s="1"/>
  <c r="AI551" i="20"/>
  <c r="AO35" i="16" l="1"/>
  <c r="IQ12" i="9"/>
  <c r="IQ13" i="9" l="1"/>
  <c r="IQ14" i="9" l="1"/>
  <c r="IR13" i="9"/>
  <c r="IS13" i="9" s="1"/>
  <c r="IT13" i="9"/>
  <c r="IU13" i="9" s="1"/>
  <c r="M984" i="20"/>
  <c r="IU14" i="9" l="1"/>
  <c r="IT14" i="9" s="1"/>
  <c r="IR14" i="9"/>
  <c r="IS14" i="9"/>
  <c r="O7" i="20"/>
  <c r="M1059" i="20"/>
  <c r="M985" i="20"/>
  <c r="M982" i="20"/>
  <c r="M997" i="20"/>
  <c r="M975" i="20"/>
  <c r="M988" i="20"/>
  <c r="M897" i="20"/>
  <c r="M1101" i="20"/>
  <c r="M981" i="20"/>
  <c r="M990" i="20"/>
  <c r="M969" i="20"/>
  <c r="M6" i="20"/>
  <c r="M1100" i="20"/>
  <c r="M989" i="20"/>
  <c r="M962" i="20"/>
  <c r="M991" i="20"/>
  <c r="S7" i="20"/>
  <c r="M923" i="20"/>
  <c r="M858" i="20"/>
  <c r="M987" i="20"/>
  <c r="M1099" i="20"/>
  <c r="L1036" i="20"/>
  <c r="M1033" i="20"/>
  <c r="M986" i="20"/>
  <c r="N6" i="20" l="1"/>
  <c r="R6" i="20" s="1"/>
  <c r="N1059" i="20"/>
  <c r="O8" i="20"/>
  <c r="B73" i="20"/>
  <c r="AK6" i="20"/>
  <c r="S8" i="20"/>
  <c r="AL6" i="20" l="1"/>
  <c r="AM6" i="20" s="1"/>
  <c r="AJ6" i="20"/>
  <c r="O9" i="20"/>
  <c r="K5" i="19"/>
  <c r="L5" i="19" s="1"/>
  <c r="M5" i="19" s="1"/>
  <c r="S9" i="20"/>
  <c r="N5" i="19" l="1"/>
  <c r="O5" i="19" s="1"/>
  <c r="O10" i="20"/>
  <c r="BE3" i="13"/>
  <c r="S10" i="20"/>
  <c r="O11" i="20" l="1"/>
  <c r="DG7" i="13"/>
  <c r="DG4" i="13"/>
  <c r="DG3" i="13"/>
  <c r="DG2" i="13"/>
  <c r="S11" i="20"/>
  <c r="O12" i="20" l="1"/>
  <c r="S12" i="20"/>
  <c r="O13" i="20" l="1"/>
  <c r="X5" i="13"/>
  <c r="AM5" i="13"/>
  <c r="AM4" i="13"/>
  <c r="AM3" i="13"/>
  <c r="S13" i="20"/>
  <c r="Y5" i="13" l="1"/>
  <c r="Z5" i="13" s="1"/>
  <c r="O14" i="20"/>
  <c r="O15" i="20" s="1"/>
  <c r="CW9" i="13"/>
  <c r="CW6" i="13"/>
  <c r="CW5" i="13"/>
  <c r="CW4" i="13"/>
  <c r="S15" i="20"/>
  <c r="AA5" i="13" l="1"/>
  <c r="AB5" i="13" s="1"/>
  <c r="O16" i="20"/>
  <c r="BN3" i="13"/>
  <c r="BN4" i="13"/>
  <c r="BE5" i="13"/>
  <c r="S16" i="20"/>
  <c r="O17" i="20" l="1"/>
  <c r="Z11" i="14"/>
  <c r="S17" i="20"/>
  <c r="O18" i="20" l="1"/>
  <c r="FJ9" i="13"/>
  <c r="FJ10" i="13"/>
  <c r="FJ11" i="13"/>
  <c r="S18" i="20"/>
  <c r="O19" i="20" l="1"/>
  <c r="FJ14" i="13"/>
  <c r="S19" i="20"/>
  <c r="O20" i="20" l="1"/>
  <c r="S20" i="20"/>
  <c r="O21" i="20" l="1"/>
  <c r="AA11" i="14"/>
  <c r="AB11" i="14" s="1"/>
  <c r="AC11" i="14" s="1"/>
  <c r="AD11" i="14" s="1"/>
  <c r="S21" i="20"/>
  <c r="O22" i="20" l="1"/>
  <c r="AH13" i="14"/>
  <c r="AF11" i="14"/>
  <c r="DE17" i="2"/>
  <c r="DC20" i="2"/>
  <c r="DE19" i="2"/>
  <c r="DD17" i="2"/>
  <c r="DD18" i="2" s="1"/>
  <c r="DD19" i="2" s="1"/>
  <c r="DE4" i="2"/>
  <c r="DE6" i="2"/>
  <c r="S22" i="20"/>
  <c r="Q6" i="20" l="1"/>
  <c r="P6" i="20" s="1"/>
  <c r="O23" i="20"/>
  <c r="DD20" i="2"/>
  <c r="DC7" i="2"/>
  <c r="DD4" i="2"/>
  <c r="S23" i="20"/>
  <c r="O24" i="20" l="1"/>
  <c r="DD5" i="2"/>
  <c r="DD6" i="2" s="1"/>
  <c r="DD7" i="2" s="1"/>
  <c r="S24" i="20"/>
  <c r="O25" i="20" l="1"/>
  <c r="DI3" i="2"/>
  <c r="DD47" i="2"/>
  <c r="RA91" i="2"/>
  <c r="QZ91" i="2"/>
  <c r="QY91" i="2"/>
  <c r="QX91" i="2"/>
  <c r="QW91" i="2"/>
  <c r="QV91" i="2"/>
  <c r="QU91" i="2"/>
  <c r="QT91" i="2"/>
  <c r="QS91" i="2"/>
  <c r="QR91" i="2"/>
  <c r="QQ91" i="2"/>
  <c r="QP91" i="2"/>
  <c r="QO91" i="2"/>
  <c r="QN91" i="2"/>
  <c r="QM91" i="2"/>
  <c r="QL91" i="2"/>
  <c r="QK91" i="2"/>
  <c r="QJ91" i="2"/>
  <c r="QI91" i="2"/>
  <c r="QH91" i="2"/>
  <c r="QG91" i="2"/>
  <c r="QF91" i="2"/>
  <c r="QE91" i="2"/>
  <c r="QD91" i="2"/>
  <c r="QC91" i="2"/>
  <c r="QB91" i="2"/>
  <c r="QA91" i="2"/>
  <c r="PZ91" i="2"/>
  <c r="PY91" i="2"/>
  <c r="PX91" i="2"/>
  <c r="PW91" i="2"/>
  <c r="PV91" i="2"/>
  <c r="PU91" i="2"/>
  <c r="PT91" i="2"/>
  <c r="PS91" i="2"/>
  <c r="PR91" i="2"/>
  <c r="PQ91" i="2"/>
  <c r="PP91" i="2"/>
  <c r="PO91" i="2"/>
  <c r="PN91" i="2"/>
  <c r="PM91" i="2"/>
  <c r="PL91" i="2"/>
  <c r="PK91" i="2"/>
  <c r="PJ91" i="2"/>
  <c r="PI91" i="2"/>
  <c r="PH91" i="2"/>
  <c r="PG91" i="2"/>
  <c r="PF91" i="2"/>
  <c r="PE91" i="2"/>
  <c r="PD91" i="2"/>
  <c r="PC91" i="2"/>
  <c r="PB91" i="2"/>
  <c r="PA91" i="2"/>
  <c r="OZ91" i="2"/>
  <c r="OY91" i="2"/>
  <c r="OX91" i="2"/>
  <c r="OW91" i="2"/>
  <c r="OV91" i="2"/>
  <c r="OU91" i="2"/>
  <c r="OT91" i="2"/>
  <c r="OS91" i="2"/>
  <c r="OR91" i="2"/>
  <c r="OQ91" i="2"/>
  <c r="OP91" i="2"/>
  <c r="OO91" i="2"/>
  <c r="ON91" i="2"/>
  <c r="OM91" i="2"/>
  <c r="OL91" i="2"/>
  <c r="OK91" i="2"/>
  <c r="OJ91" i="2"/>
  <c r="OI91" i="2"/>
  <c r="OH91" i="2"/>
  <c r="OG91" i="2"/>
  <c r="OF91" i="2"/>
  <c r="OE91" i="2"/>
  <c r="OD91" i="2"/>
  <c r="OC91" i="2"/>
  <c r="OB91" i="2"/>
  <c r="OA91" i="2"/>
  <c r="NZ91" i="2"/>
  <c r="NY91" i="2"/>
  <c r="NX91" i="2"/>
  <c r="NW91" i="2"/>
  <c r="NV91" i="2"/>
  <c r="NU91" i="2"/>
  <c r="NT91" i="2"/>
  <c r="NS91" i="2"/>
  <c r="NR91" i="2"/>
  <c r="NQ91" i="2"/>
  <c r="NP91" i="2"/>
  <c r="NO91" i="2"/>
  <c r="NN91" i="2"/>
  <c r="NM91" i="2"/>
  <c r="NL91" i="2"/>
  <c r="NK91" i="2"/>
  <c r="NJ91" i="2"/>
  <c r="NI91" i="2"/>
  <c r="NH91" i="2"/>
  <c r="NG91" i="2"/>
  <c r="NF91" i="2"/>
  <c r="NE91" i="2"/>
  <c r="ND91" i="2"/>
  <c r="NC91" i="2"/>
  <c r="NB91" i="2"/>
  <c r="NA91" i="2"/>
  <c r="MZ91" i="2"/>
  <c r="MY91" i="2"/>
  <c r="MX91" i="2"/>
  <c r="MW91" i="2"/>
  <c r="MV91" i="2"/>
  <c r="MU91" i="2"/>
  <c r="MT91" i="2"/>
  <c r="MS91" i="2"/>
  <c r="MR91" i="2"/>
  <c r="MQ91" i="2"/>
  <c r="MP91" i="2"/>
  <c r="MO91" i="2"/>
  <c r="MN91" i="2"/>
  <c r="MM91" i="2"/>
  <c r="ML91" i="2"/>
  <c r="MK91" i="2"/>
  <c r="MJ91" i="2"/>
  <c r="MI91" i="2"/>
  <c r="MH91" i="2"/>
  <c r="MG91" i="2"/>
  <c r="MF91" i="2"/>
  <c r="ME91" i="2"/>
  <c r="MD91" i="2"/>
  <c r="MC91" i="2"/>
  <c r="MB91" i="2"/>
  <c r="MA91" i="2"/>
  <c r="LZ91" i="2"/>
  <c r="LY91" i="2"/>
  <c r="LX91" i="2"/>
  <c r="LW91" i="2"/>
  <c r="LV91" i="2"/>
  <c r="LU91" i="2"/>
  <c r="LT91" i="2"/>
  <c r="LS91" i="2"/>
  <c r="LR91" i="2"/>
  <c r="LQ91" i="2"/>
  <c r="LP91" i="2"/>
  <c r="LO91" i="2"/>
  <c r="LN91" i="2"/>
  <c r="LM91" i="2"/>
  <c r="LL91" i="2"/>
  <c r="LK91" i="2"/>
  <c r="LJ91" i="2"/>
  <c r="LI91" i="2"/>
  <c r="LH91" i="2"/>
  <c r="LG91" i="2"/>
  <c r="LF91" i="2"/>
  <c r="LE91" i="2"/>
  <c r="LD91" i="2"/>
  <c r="LC91" i="2"/>
  <c r="LB91" i="2"/>
  <c r="LA91" i="2"/>
  <c r="KZ91" i="2"/>
  <c r="KY91" i="2"/>
  <c r="KX91" i="2"/>
  <c r="KW91" i="2"/>
  <c r="KV91" i="2"/>
  <c r="KU91" i="2"/>
  <c r="KT91" i="2"/>
  <c r="KS91" i="2"/>
  <c r="KR91" i="2"/>
  <c r="KQ91" i="2"/>
  <c r="KP91" i="2"/>
  <c r="KO91" i="2"/>
  <c r="KN91" i="2"/>
  <c r="KM91" i="2"/>
  <c r="KL91" i="2"/>
  <c r="KK91" i="2"/>
  <c r="KJ91" i="2"/>
  <c r="KI91" i="2"/>
  <c r="KH91" i="2"/>
  <c r="KG91" i="2"/>
  <c r="KF91" i="2"/>
  <c r="KE91" i="2"/>
  <c r="KD91" i="2"/>
  <c r="KC91" i="2"/>
  <c r="KB91" i="2"/>
  <c r="KA91" i="2"/>
  <c r="JZ91" i="2"/>
  <c r="JY91" i="2"/>
  <c r="JX91" i="2"/>
  <c r="JW91" i="2"/>
  <c r="JV91" i="2"/>
  <c r="JU91" i="2"/>
  <c r="JT91" i="2"/>
  <c r="JS91" i="2"/>
  <c r="JR91" i="2"/>
  <c r="JQ91" i="2"/>
  <c r="JP91" i="2"/>
  <c r="JO91" i="2"/>
  <c r="JN91" i="2"/>
  <c r="JM91" i="2"/>
  <c r="JL91" i="2"/>
  <c r="JK91" i="2"/>
  <c r="JJ91" i="2"/>
  <c r="JI91" i="2"/>
  <c r="JH91" i="2"/>
  <c r="JG91" i="2"/>
  <c r="JF91" i="2"/>
  <c r="JE91" i="2"/>
  <c r="JD91" i="2"/>
  <c r="JC91" i="2"/>
  <c r="JB91" i="2"/>
  <c r="JA91" i="2"/>
  <c r="IZ91" i="2"/>
  <c r="IY91" i="2"/>
  <c r="IX91" i="2"/>
  <c r="IW91" i="2"/>
  <c r="IV91" i="2"/>
  <c r="IU91" i="2"/>
  <c r="IT91" i="2"/>
  <c r="IS91" i="2"/>
  <c r="IR91" i="2"/>
  <c r="IQ91" i="2"/>
  <c r="IP91" i="2"/>
  <c r="IO91" i="2"/>
  <c r="IN91" i="2"/>
  <c r="IM91" i="2"/>
  <c r="IL91" i="2"/>
  <c r="IK91" i="2"/>
  <c r="IJ91" i="2"/>
  <c r="II91" i="2"/>
  <c r="IH91" i="2"/>
  <c r="IG91" i="2"/>
  <c r="IF91" i="2"/>
  <c r="IE91" i="2"/>
  <c r="ID91" i="2"/>
  <c r="IC91" i="2"/>
  <c r="IB91" i="2"/>
  <c r="IA91" i="2"/>
  <c r="HZ91" i="2"/>
  <c r="HY91" i="2"/>
  <c r="HX91" i="2"/>
  <c r="HW91" i="2"/>
  <c r="HV91" i="2"/>
  <c r="HU91" i="2"/>
  <c r="HT91" i="2"/>
  <c r="HS91" i="2"/>
  <c r="HR91" i="2"/>
  <c r="HQ91" i="2"/>
  <c r="HP91" i="2"/>
  <c r="HO91" i="2"/>
  <c r="HN91" i="2"/>
  <c r="HM91" i="2"/>
  <c r="HL91" i="2"/>
  <c r="HK91" i="2"/>
  <c r="HJ91" i="2"/>
  <c r="HI91" i="2"/>
  <c r="HH91" i="2"/>
  <c r="HG91" i="2"/>
  <c r="HF91" i="2"/>
  <c r="HE91" i="2"/>
  <c r="HD91" i="2"/>
  <c r="HC91" i="2"/>
  <c r="HB91" i="2"/>
  <c r="HA91" i="2"/>
  <c r="GZ91" i="2"/>
  <c r="GY91" i="2"/>
  <c r="GX91" i="2"/>
  <c r="GW91" i="2"/>
  <c r="GV91" i="2"/>
  <c r="GU91" i="2"/>
  <c r="GT91" i="2"/>
  <c r="GS91" i="2"/>
  <c r="GR91" i="2"/>
  <c r="GQ91" i="2"/>
  <c r="GP91" i="2"/>
  <c r="GO91" i="2"/>
  <c r="GN91" i="2"/>
  <c r="GM91" i="2"/>
  <c r="GL91" i="2"/>
  <c r="GK91" i="2"/>
  <c r="GJ91" i="2"/>
  <c r="GI91" i="2"/>
  <c r="GH91" i="2"/>
  <c r="GG91" i="2"/>
  <c r="GF91" i="2"/>
  <c r="GE91" i="2"/>
  <c r="GD91" i="2"/>
  <c r="GC91" i="2"/>
  <c r="GB91" i="2"/>
  <c r="GA91" i="2"/>
  <c r="FZ91" i="2"/>
  <c r="FY91" i="2"/>
  <c r="FX91" i="2"/>
  <c r="FW91" i="2"/>
  <c r="FV91" i="2"/>
  <c r="FU91" i="2"/>
  <c r="FT91" i="2"/>
  <c r="FS91" i="2"/>
  <c r="FR91" i="2"/>
  <c r="FQ91" i="2"/>
  <c r="FP91" i="2"/>
  <c r="FO91" i="2"/>
  <c r="FN91" i="2"/>
  <c r="FM91" i="2"/>
  <c r="FL91" i="2"/>
  <c r="FK91" i="2"/>
  <c r="FJ91" i="2"/>
  <c r="FI91" i="2"/>
  <c r="FH91" i="2"/>
  <c r="FG91" i="2"/>
  <c r="FF91" i="2"/>
  <c r="FE91" i="2"/>
  <c r="FD91" i="2"/>
  <c r="FC91" i="2"/>
  <c r="FB91" i="2"/>
  <c r="FA91" i="2"/>
  <c r="EZ91" i="2"/>
  <c r="EY91" i="2"/>
  <c r="EX91" i="2"/>
  <c r="EW91" i="2"/>
  <c r="EV91" i="2"/>
  <c r="EU91" i="2"/>
  <c r="ET91" i="2"/>
  <c r="ES91" i="2"/>
  <c r="ER91" i="2"/>
  <c r="EQ91" i="2"/>
  <c r="EP91" i="2"/>
  <c r="EO91" i="2"/>
  <c r="EN91" i="2"/>
  <c r="EM91" i="2"/>
  <c r="EL91" i="2"/>
  <c r="EK91" i="2"/>
  <c r="EJ91" i="2"/>
  <c r="EI91" i="2"/>
  <c r="EH91" i="2"/>
  <c r="EG91" i="2"/>
  <c r="EF91" i="2"/>
  <c r="EE91" i="2"/>
  <c r="ED91" i="2"/>
  <c r="EC91" i="2"/>
  <c r="EB91" i="2"/>
  <c r="EA91" i="2"/>
  <c r="DZ91" i="2"/>
  <c r="DY91" i="2"/>
  <c r="DX91" i="2"/>
  <c r="DW91" i="2"/>
  <c r="DV91" i="2"/>
  <c r="DU91" i="2"/>
  <c r="DT91" i="2"/>
  <c r="DS91" i="2"/>
  <c r="DR91" i="2"/>
  <c r="DQ91" i="2"/>
  <c r="DP91" i="2"/>
  <c r="DO91" i="2"/>
  <c r="DN91" i="2"/>
  <c r="DM91" i="2"/>
  <c r="DL91" i="2"/>
  <c r="DK91" i="2"/>
  <c r="DJ91" i="2"/>
  <c r="RA80" i="2"/>
  <c r="QZ80" i="2"/>
  <c r="QY80" i="2"/>
  <c r="QX80" i="2"/>
  <c r="QW80" i="2"/>
  <c r="QV80" i="2"/>
  <c r="QU80" i="2"/>
  <c r="QT80" i="2"/>
  <c r="QS80" i="2"/>
  <c r="QR80" i="2"/>
  <c r="QQ80" i="2"/>
  <c r="QP80" i="2"/>
  <c r="QO80" i="2"/>
  <c r="QN80" i="2"/>
  <c r="QM80" i="2"/>
  <c r="QL80" i="2"/>
  <c r="QK80" i="2"/>
  <c r="QJ80" i="2"/>
  <c r="QI80" i="2"/>
  <c r="QH80" i="2"/>
  <c r="QG80" i="2"/>
  <c r="QF80" i="2"/>
  <c r="QE80" i="2"/>
  <c r="QD80" i="2"/>
  <c r="QC80" i="2"/>
  <c r="QB80" i="2"/>
  <c r="QA80" i="2"/>
  <c r="PZ80" i="2"/>
  <c r="PY80" i="2"/>
  <c r="PX80" i="2"/>
  <c r="PW80" i="2"/>
  <c r="PV80" i="2"/>
  <c r="PU80" i="2"/>
  <c r="PT80" i="2"/>
  <c r="PS80" i="2"/>
  <c r="PR80" i="2"/>
  <c r="PQ80" i="2"/>
  <c r="PP80" i="2"/>
  <c r="PO80" i="2"/>
  <c r="PN80" i="2"/>
  <c r="PM80" i="2"/>
  <c r="PL80" i="2"/>
  <c r="PK80" i="2"/>
  <c r="PJ80" i="2"/>
  <c r="PI80" i="2"/>
  <c r="PH80" i="2"/>
  <c r="PG80" i="2"/>
  <c r="PF80" i="2"/>
  <c r="PE80" i="2"/>
  <c r="PD80" i="2"/>
  <c r="PC80" i="2"/>
  <c r="PB80" i="2"/>
  <c r="PA80" i="2"/>
  <c r="OZ80" i="2"/>
  <c r="OY80" i="2"/>
  <c r="OX80" i="2"/>
  <c r="OW80" i="2"/>
  <c r="OV80" i="2"/>
  <c r="OU80" i="2"/>
  <c r="OT80" i="2"/>
  <c r="OS80" i="2"/>
  <c r="OR80" i="2"/>
  <c r="OQ80" i="2"/>
  <c r="OP80" i="2"/>
  <c r="OO80" i="2"/>
  <c r="ON80" i="2"/>
  <c r="OM80" i="2"/>
  <c r="OL80" i="2"/>
  <c r="OK80" i="2"/>
  <c r="OJ80" i="2"/>
  <c r="OI80" i="2"/>
  <c r="OH80" i="2"/>
  <c r="OG80" i="2"/>
  <c r="OF80" i="2"/>
  <c r="OE80" i="2"/>
  <c r="OD80" i="2"/>
  <c r="OC80" i="2"/>
  <c r="OB80" i="2"/>
  <c r="OA80" i="2"/>
  <c r="NZ80" i="2"/>
  <c r="NY80" i="2"/>
  <c r="NX80" i="2"/>
  <c r="NW80" i="2"/>
  <c r="NV80" i="2"/>
  <c r="NU80" i="2"/>
  <c r="NT80" i="2"/>
  <c r="NS80" i="2"/>
  <c r="NR80" i="2"/>
  <c r="NQ80" i="2"/>
  <c r="NP80" i="2"/>
  <c r="NO80" i="2"/>
  <c r="NN80" i="2"/>
  <c r="NM80" i="2"/>
  <c r="NL80" i="2"/>
  <c r="NK80" i="2"/>
  <c r="NJ80" i="2"/>
  <c r="NI80" i="2"/>
  <c r="NH80" i="2"/>
  <c r="NG80" i="2"/>
  <c r="NF80" i="2"/>
  <c r="NE80" i="2"/>
  <c r="ND80" i="2"/>
  <c r="NC80" i="2"/>
  <c r="NB80" i="2"/>
  <c r="NA80" i="2"/>
  <c r="MZ80" i="2"/>
  <c r="MY80" i="2"/>
  <c r="MX80" i="2"/>
  <c r="MW80" i="2"/>
  <c r="MV80" i="2"/>
  <c r="MU80" i="2"/>
  <c r="MT80" i="2"/>
  <c r="MS80" i="2"/>
  <c r="MR80" i="2"/>
  <c r="MQ80" i="2"/>
  <c r="MP80" i="2"/>
  <c r="MO80" i="2"/>
  <c r="MN80" i="2"/>
  <c r="MM80" i="2"/>
  <c r="ML80" i="2"/>
  <c r="MK80" i="2"/>
  <c r="MJ80" i="2"/>
  <c r="MI80" i="2"/>
  <c r="MH80" i="2"/>
  <c r="MG80" i="2"/>
  <c r="MF80" i="2"/>
  <c r="ME80" i="2"/>
  <c r="MD80" i="2"/>
  <c r="MC80" i="2"/>
  <c r="MB80" i="2"/>
  <c r="MA80" i="2"/>
  <c r="LZ80" i="2"/>
  <c r="LY80" i="2"/>
  <c r="LX80" i="2"/>
  <c r="LW80" i="2"/>
  <c r="LV80" i="2"/>
  <c r="LU80" i="2"/>
  <c r="LT80" i="2"/>
  <c r="LS80" i="2"/>
  <c r="LR80" i="2"/>
  <c r="LQ80" i="2"/>
  <c r="LP80" i="2"/>
  <c r="LO80" i="2"/>
  <c r="LN80" i="2"/>
  <c r="LM80" i="2"/>
  <c r="LL80" i="2"/>
  <c r="LK80" i="2"/>
  <c r="LJ80" i="2"/>
  <c r="LI80" i="2"/>
  <c r="LH80" i="2"/>
  <c r="LG80" i="2"/>
  <c r="LF80" i="2"/>
  <c r="LE80" i="2"/>
  <c r="LD80" i="2"/>
  <c r="LC80" i="2"/>
  <c r="LB80" i="2"/>
  <c r="LA80" i="2"/>
  <c r="KZ80" i="2"/>
  <c r="KY80" i="2"/>
  <c r="KX80" i="2"/>
  <c r="KW80" i="2"/>
  <c r="KV80" i="2"/>
  <c r="KU80" i="2"/>
  <c r="KT80" i="2"/>
  <c r="KS80" i="2"/>
  <c r="KR80" i="2"/>
  <c r="KQ80" i="2"/>
  <c r="KP80" i="2"/>
  <c r="KO80" i="2"/>
  <c r="KN80" i="2"/>
  <c r="KM80" i="2"/>
  <c r="KL80" i="2"/>
  <c r="KK80" i="2"/>
  <c r="KJ80" i="2"/>
  <c r="KI80" i="2"/>
  <c r="KH80" i="2"/>
  <c r="KG80" i="2"/>
  <c r="KF80" i="2"/>
  <c r="KE80" i="2"/>
  <c r="KD80" i="2"/>
  <c r="KC80" i="2"/>
  <c r="KB80" i="2"/>
  <c r="KA80" i="2"/>
  <c r="JZ80" i="2"/>
  <c r="JY80" i="2"/>
  <c r="JX80" i="2"/>
  <c r="JW80" i="2"/>
  <c r="JV80" i="2"/>
  <c r="JU80" i="2"/>
  <c r="JT80" i="2"/>
  <c r="JS80" i="2"/>
  <c r="JR80" i="2"/>
  <c r="JQ80" i="2"/>
  <c r="JP80" i="2"/>
  <c r="JO80" i="2"/>
  <c r="JN80" i="2"/>
  <c r="JM80" i="2"/>
  <c r="JL80" i="2"/>
  <c r="JK80" i="2"/>
  <c r="JJ80" i="2"/>
  <c r="JI80" i="2"/>
  <c r="JH80" i="2"/>
  <c r="JG80" i="2"/>
  <c r="JF80" i="2"/>
  <c r="JE80" i="2"/>
  <c r="JD80" i="2"/>
  <c r="JC80" i="2"/>
  <c r="JB80" i="2"/>
  <c r="JA80" i="2"/>
  <c r="IZ80" i="2"/>
  <c r="IY80" i="2"/>
  <c r="IX80" i="2"/>
  <c r="IW80" i="2"/>
  <c r="IV80" i="2"/>
  <c r="IU80" i="2"/>
  <c r="IT80" i="2"/>
  <c r="IS80" i="2"/>
  <c r="IR80" i="2"/>
  <c r="IQ80" i="2"/>
  <c r="IP80" i="2"/>
  <c r="IO80" i="2"/>
  <c r="IN80" i="2"/>
  <c r="IM80" i="2"/>
  <c r="IL80" i="2"/>
  <c r="IK80" i="2"/>
  <c r="IJ80" i="2"/>
  <c r="II80" i="2"/>
  <c r="IH80" i="2"/>
  <c r="IG80" i="2"/>
  <c r="IF80" i="2"/>
  <c r="IE80" i="2"/>
  <c r="ID80" i="2"/>
  <c r="IC80" i="2"/>
  <c r="IB80" i="2"/>
  <c r="IA80" i="2"/>
  <c r="HZ80" i="2"/>
  <c r="HY80" i="2"/>
  <c r="HX80" i="2"/>
  <c r="HW80" i="2"/>
  <c r="HV80" i="2"/>
  <c r="HU80" i="2"/>
  <c r="HT80" i="2"/>
  <c r="HS80" i="2"/>
  <c r="HR80" i="2"/>
  <c r="HQ80" i="2"/>
  <c r="HP80" i="2"/>
  <c r="HO80" i="2"/>
  <c r="HN80" i="2"/>
  <c r="HM80" i="2"/>
  <c r="HL80" i="2"/>
  <c r="HK80" i="2"/>
  <c r="HJ80" i="2"/>
  <c r="HI80" i="2"/>
  <c r="HH80" i="2"/>
  <c r="HG80" i="2"/>
  <c r="HF80" i="2"/>
  <c r="HE80" i="2"/>
  <c r="HD80" i="2"/>
  <c r="HC80" i="2"/>
  <c r="HB80" i="2"/>
  <c r="HA80" i="2"/>
  <c r="GZ80" i="2"/>
  <c r="GY80" i="2"/>
  <c r="GX80" i="2"/>
  <c r="GW80" i="2"/>
  <c r="GV80" i="2"/>
  <c r="GU80" i="2"/>
  <c r="GT80" i="2"/>
  <c r="GS80" i="2"/>
  <c r="GR80" i="2"/>
  <c r="GQ80" i="2"/>
  <c r="GP80" i="2"/>
  <c r="GO80" i="2"/>
  <c r="GN80" i="2"/>
  <c r="GM80" i="2"/>
  <c r="GL80" i="2"/>
  <c r="GK80" i="2"/>
  <c r="GJ80" i="2"/>
  <c r="GI80" i="2"/>
  <c r="GH80" i="2"/>
  <c r="GG80" i="2"/>
  <c r="GF80" i="2"/>
  <c r="GE80" i="2"/>
  <c r="GD80" i="2"/>
  <c r="GC80" i="2"/>
  <c r="GB80" i="2"/>
  <c r="GA80" i="2"/>
  <c r="FZ80" i="2"/>
  <c r="FY80" i="2"/>
  <c r="FX80" i="2"/>
  <c r="FW80" i="2"/>
  <c r="FV80" i="2"/>
  <c r="FU80" i="2"/>
  <c r="FT80" i="2"/>
  <c r="FS80" i="2"/>
  <c r="FR80" i="2"/>
  <c r="FQ80" i="2"/>
  <c r="FP80" i="2"/>
  <c r="FO80" i="2"/>
  <c r="FN80" i="2"/>
  <c r="FM80" i="2"/>
  <c r="FL80" i="2"/>
  <c r="FK80" i="2"/>
  <c r="FJ80" i="2"/>
  <c r="FI80" i="2"/>
  <c r="FH80" i="2"/>
  <c r="FG80" i="2"/>
  <c r="FF80" i="2"/>
  <c r="FE80" i="2"/>
  <c r="FD80" i="2"/>
  <c r="FC80" i="2"/>
  <c r="FB80" i="2"/>
  <c r="FA80" i="2"/>
  <c r="EZ80" i="2"/>
  <c r="EY80" i="2"/>
  <c r="EX80" i="2"/>
  <c r="EW80" i="2"/>
  <c r="EV80" i="2"/>
  <c r="EU80" i="2"/>
  <c r="ET80" i="2"/>
  <c r="ES80" i="2"/>
  <c r="ER80" i="2"/>
  <c r="EQ80" i="2"/>
  <c r="EP80" i="2"/>
  <c r="EO80" i="2"/>
  <c r="EN80" i="2"/>
  <c r="EM80" i="2"/>
  <c r="EL80" i="2"/>
  <c r="EK80" i="2"/>
  <c r="EJ80" i="2"/>
  <c r="EI80" i="2"/>
  <c r="EH80" i="2"/>
  <c r="EG80" i="2"/>
  <c r="EF80" i="2"/>
  <c r="EE80" i="2"/>
  <c r="ED80" i="2"/>
  <c r="EC80" i="2"/>
  <c r="EB80" i="2"/>
  <c r="EA80" i="2"/>
  <c r="DZ80" i="2"/>
  <c r="DY80" i="2"/>
  <c r="DX80" i="2"/>
  <c r="DW80" i="2"/>
  <c r="DV80" i="2"/>
  <c r="DU80" i="2"/>
  <c r="DT80" i="2"/>
  <c r="DS80" i="2"/>
  <c r="DR80" i="2"/>
  <c r="DQ80" i="2"/>
  <c r="DP80" i="2"/>
  <c r="DO80" i="2"/>
  <c r="DN80" i="2"/>
  <c r="DM80" i="2"/>
  <c r="DL80" i="2"/>
  <c r="DK80" i="2"/>
  <c r="DJ80" i="2"/>
  <c r="S25" i="20"/>
  <c r="O26" i="20" l="1"/>
  <c r="DM1" i="2"/>
  <c r="DN1" i="2" s="1"/>
  <c r="DO1" i="2" s="1"/>
  <c r="DP1" i="2" s="1"/>
  <c r="DQ1" i="2" s="1"/>
  <c r="DR1" i="2" s="1"/>
  <c r="DS1" i="2" s="1"/>
  <c r="DT1" i="2" s="1"/>
  <c r="DU1" i="2" s="1"/>
  <c r="DV1" i="2" s="1"/>
  <c r="DW1" i="2" s="1"/>
  <c r="DX1" i="2" s="1"/>
  <c r="DY1" i="2" s="1"/>
  <c r="DZ1" i="2" s="1"/>
  <c r="EA1" i="2" s="1"/>
  <c r="EB1" i="2" s="1"/>
  <c r="EC1" i="2" s="1"/>
  <c r="ED1" i="2" s="1"/>
  <c r="EE1" i="2" s="1"/>
  <c r="EF1" i="2" s="1"/>
  <c r="EG1" i="2" s="1"/>
  <c r="EH1" i="2" s="1"/>
  <c r="EI1" i="2" s="1"/>
  <c r="EJ1" i="2" s="1"/>
  <c r="EK1" i="2" s="1"/>
  <c r="EL1" i="2" s="1"/>
  <c r="EM1" i="2" s="1"/>
  <c r="EN1" i="2" s="1"/>
  <c r="EO1" i="2" s="1"/>
  <c r="EP1" i="2" s="1"/>
  <c r="EQ1" i="2" s="1"/>
  <c r="ER1" i="2" s="1"/>
  <c r="ES1" i="2" s="1"/>
  <c r="ET1" i="2" s="1"/>
  <c r="EU1" i="2" s="1"/>
  <c r="EV1" i="2" s="1"/>
  <c r="EW1" i="2" s="1"/>
  <c r="EX1" i="2" s="1"/>
  <c r="EY1" i="2" s="1"/>
  <c r="EZ1" i="2" s="1"/>
  <c r="FA1" i="2" s="1"/>
  <c r="FB1" i="2" s="1"/>
  <c r="FC1" i="2" s="1"/>
  <c r="FD1" i="2" s="1"/>
  <c r="FE1" i="2" s="1"/>
  <c r="FF1" i="2" s="1"/>
  <c r="FG1" i="2" s="1"/>
  <c r="FH1" i="2" s="1"/>
  <c r="FI1" i="2" s="1"/>
  <c r="FJ1" i="2" s="1"/>
  <c r="FK1" i="2" s="1"/>
  <c r="FL1" i="2" s="1"/>
  <c r="FM1" i="2" s="1"/>
  <c r="FN1" i="2" s="1"/>
  <c r="FO1" i="2" s="1"/>
  <c r="FP1" i="2" s="1"/>
  <c r="FQ1" i="2" s="1"/>
  <c r="FR1" i="2" s="1"/>
  <c r="FS1" i="2" s="1"/>
  <c r="FT1" i="2" s="1"/>
  <c r="FU1" i="2" s="1"/>
  <c r="FV1" i="2" s="1"/>
  <c r="FW1" i="2" s="1"/>
  <c r="FX1" i="2" s="1"/>
  <c r="FY1" i="2" s="1"/>
  <c r="FZ1" i="2" s="1"/>
  <c r="GA1" i="2" s="1"/>
  <c r="GB1" i="2" s="1"/>
  <c r="GC1" i="2" s="1"/>
  <c r="GD1" i="2" s="1"/>
  <c r="GE1" i="2" s="1"/>
  <c r="GF1" i="2" s="1"/>
  <c r="GG1" i="2" s="1"/>
  <c r="GH1" i="2" s="1"/>
  <c r="GI1" i="2" s="1"/>
  <c r="GJ1" i="2" s="1"/>
  <c r="GK1" i="2" s="1"/>
  <c r="GL1" i="2" s="1"/>
  <c r="GM1" i="2" s="1"/>
  <c r="GN1" i="2" s="1"/>
  <c r="GO1" i="2" s="1"/>
  <c r="GP1" i="2" s="1"/>
  <c r="GQ1" i="2" s="1"/>
  <c r="GR1" i="2" s="1"/>
  <c r="GS1" i="2" s="1"/>
  <c r="GT1" i="2" s="1"/>
  <c r="GU1" i="2" s="1"/>
  <c r="GV1" i="2" s="1"/>
  <c r="GW1" i="2" s="1"/>
  <c r="GX1" i="2" s="1"/>
  <c r="GY1" i="2" s="1"/>
  <c r="GZ1" i="2" s="1"/>
  <c r="HA1" i="2" s="1"/>
  <c r="HB1" i="2" s="1"/>
  <c r="HC1" i="2" s="1"/>
  <c r="HD1" i="2" s="1"/>
  <c r="HE1" i="2" s="1"/>
  <c r="HF1" i="2" s="1"/>
  <c r="HG1" i="2" s="1"/>
  <c r="HH1" i="2" s="1"/>
  <c r="HI1" i="2" s="1"/>
  <c r="HJ1" i="2" s="1"/>
  <c r="HK1" i="2" s="1"/>
  <c r="HL1" i="2" s="1"/>
  <c r="HM1" i="2" s="1"/>
  <c r="HN1" i="2" s="1"/>
  <c r="HO1" i="2" s="1"/>
  <c r="HP1" i="2" s="1"/>
  <c r="HQ1" i="2" s="1"/>
  <c r="HR1" i="2" s="1"/>
  <c r="HS1" i="2" s="1"/>
  <c r="HT1" i="2" s="1"/>
  <c r="HU1" i="2" s="1"/>
  <c r="HV1" i="2" s="1"/>
  <c r="HW1" i="2" s="1"/>
  <c r="HX1" i="2" s="1"/>
  <c r="HY1" i="2" s="1"/>
  <c r="HZ1" i="2" s="1"/>
  <c r="IA1" i="2" s="1"/>
  <c r="IB1" i="2" s="1"/>
  <c r="IC1" i="2" s="1"/>
  <c r="ID1" i="2" s="1"/>
  <c r="IE1" i="2" s="1"/>
  <c r="IF1" i="2" s="1"/>
  <c r="IG1" i="2" s="1"/>
  <c r="IH1" i="2" s="1"/>
  <c r="II1" i="2" s="1"/>
  <c r="IJ1" i="2" s="1"/>
  <c r="IK1" i="2" s="1"/>
  <c r="IL1" i="2" s="1"/>
  <c r="IM1" i="2" s="1"/>
  <c r="IN1" i="2" s="1"/>
  <c r="IO1" i="2" s="1"/>
  <c r="IP1" i="2" s="1"/>
  <c r="IQ1" i="2" s="1"/>
  <c r="IR1" i="2" s="1"/>
  <c r="IS1" i="2" s="1"/>
  <c r="IT1" i="2" s="1"/>
  <c r="IU1" i="2" s="1"/>
  <c r="IV1" i="2" s="1"/>
  <c r="IW1" i="2" s="1"/>
  <c r="IX1" i="2" s="1"/>
  <c r="IY1" i="2" s="1"/>
  <c r="IZ1" i="2" s="1"/>
  <c r="JA1" i="2" s="1"/>
  <c r="JB1" i="2" s="1"/>
  <c r="JC1" i="2" s="1"/>
  <c r="JD1" i="2" s="1"/>
  <c r="JE1" i="2" s="1"/>
  <c r="JF1" i="2" s="1"/>
  <c r="JG1" i="2" s="1"/>
  <c r="JH1" i="2" s="1"/>
  <c r="JI1" i="2" s="1"/>
  <c r="JJ1" i="2" s="1"/>
  <c r="JK1" i="2" s="1"/>
  <c r="JL1" i="2" s="1"/>
  <c r="JM1" i="2" s="1"/>
  <c r="JN1" i="2" s="1"/>
  <c r="JO1" i="2" s="1"/>
  <c r="JP1" i="2" s="1"/>
  <c r="JQ1" i="2" s="1"/>
  <c r="JR1" i="2" s="1"/>
  <c r="JS1" i="2" s="1"/>
  <c r="JT1" i="2" s="1"/>
  <c r="JU1" i="2" s="1"/>
  <c r="JV1" i="2" s="1"/>
  <c r="JW1" i="2" s="1"/>
  <c r="JX1" i="2" s="1"/>
  <c r="JY1" i="2" s="1"/>
  <c r="JZ1" i="2" s="1"/>
  <c r="KA1" i="2" s="1"/>
  <c r="KB1" i="2" s="1"/>
  <c r="KC1" i="2" s="1"/>
  <c r="KD1" i="2" s="1"/>
  <c r="KE1" i="2" s="1"/>
  <c r="KF1" i="2" s="1"/>
  <c r="KG1" i="2" s="1"/>
  <c r="KH1" i="2" s="1"/>
  <c r="KI1" i="2" s="1"/>
  <c r="KJ1" i="2" s="1"/>
  <c r="KK1" i="2" s="1"/>
  <c r="KL1" i="2" s="1"/>
  <c r="KM1" i="2" s="1"/>
  <c r="KN1" i="2" s="1"/>
  <c r="KO1" i="2" s="1"/>
  <c r="KP1" i="2" s="1"/>
  <c r="KQ1" i="2" s="1"/>
  <c r="KR1" i="2" s="1"/>
  <c r="KS1" i="2" s="1"/>
  <c r="KT1" i="2" s="1"/>
  <c r="KU1" i="2" s="1"/>
  <c r="KV1" i="2" s="1"/>
  <c r="KW1" i="2" s="1"/>
  <c r="KX1" i="2" s="1"/>
  <c r="KY1" i="2" s="1"/>
  <c r="KZ1" i="2" s="1"/>
  <c r="LA1" i="2" s="1"/>
  <c r="LB1" i="2" s="1"/>
  <c r="LC1" i="2" s="1"/>
  <c r="LD1" i="2" s="1"/>
  <c r="LE1" i="2" s="1"/>
  <c r="LF1" i="2" s="1"/>
  <c r="LG1" i="2" s="1"/>
  <c r="LH1" i="2" s="1"/>
  <c r="LI1" i="2" s="1"/>
  <c r="LJ1" i="2" s="1"/>
  <c r="LK1" i="2" s="1"/>
  <c r="LL1" i="2" s="1"/>
  <c r="LM1" i="2" s="1"/>
  <c r="LN1" i="2" s="1"/>
  <c r="LO1" i="2" s="1"/>
  <c r="LP1" i="2" s="1"/>
  <c r="LQ1" i="2" s="1"/>
  <c r="LR1" i="2" s="1"/>
  <c r="LS1" i="2" s="1"/>
  <c r="LT1" i="2" s="1"/>
  <c r="LU1" i="2" s="1"/>
  <c r="LV1" i="2" s="1"/>
  <c r="LW1" i="2" s="1"/>
  <c r="LX1" i="2" s="1"/>
  <c r="LY1" i="2" s="1"/>
  <c r="LZ1" i="2" s="1"/>
  <c r="MA1" i="2" s="1"/>
  <c r="MB1" i="2" s="1"/>
  <c r="MC1" i="2" s="1"/>
  <c r="MD1" i="2" s="1"/>
  <c r="ME1" i="2" s="1"/>
  <c r="MF1" i="2" s="1"/>
  <c r="MG1" i="2" s="1"/>
  <c r="MH1" i="2" s="1"/>
  <c r="MI1" i="2" s="1"/>
  <c r="MJ1" i="2" s="1"/>
  <c r="MK1" i="2" s="1"/>
  <c r="ML1" i="2" s="1"/>
  <c r="MM1" i="2" s="1"/>
  <c r="MN1" i="2" s="1"/>
  <c r="MO1" i="2" s="1"/>
  <c r="MP1" i="2" s="1"/>
  <c r="MQ1" i="2" s="1"/>
  <c r="MR1" i="2" s="1"/>
  <c r="MS1" i="2" s="1"/>
  <c r="MT1" i="2" s="1"/>
  <c r="MU1" i="2" s="1"/>
  <c r="MV1" i="2" s="1"/>
  <c r="MW1" i="2" s="1"/>
  <c r="MX1" i="2" s="1"/>
  <c r="MY1" i="2" s="1"/>
  <c r="MZ1" i="2" s="1"/>
  <c r="NA1" i="2" s="1"/>
  <c r="NB1" i="2" s="1"/>
  <c r="NC1" i="2" s="1"/>
  <c r="ND1" i="2" s="1"/>
  <c r="NE1" i="2" s="1"/>
  <c r="NF1" i="2" s="1"/>
  <c r="NG1" i="2" s="1"/>
  <c r="NH1" i="2" s="1"/>
  <c r="NI1" i="2" s="1"/>
  <c r="NJ1" i="2" s="1"/>
  <c r="NK1" i="2" s="1"/>
  <c r="NL1" i="2" s="1"/>
  <c r="NM1" i="2" s="1"/>
  <c r="NN1" i="2" s="1"/>
  <c r="NO1" i="2" s="1"/>
  <c r="NP1" i="2" s="1"/>
  <c r="NQ1" i="2" s="1"/>
  <c r="NR1" i="2" s="1"/>
  <c r="NS1" i="2" s="1"/>
  <c r="NT1" i="2" s="1"/>
  <c r="NU1" i="2" s="1"/>
  <c r="NV1" i="2" s="1"/>
  <c r="NW1" i="2" s="1"/>
  <c r="NX1" i="2" s="1"/>
  <c r="NY1" i="2" s="1"/>
  <c r="NZ1" i="2" s="1"/>
  <c r="OA1" i="2" s="1"/>
  <c r="OB1" i="2" s="1"/>
  <c r="OC1" i="2" s="1"/>
  <c r="OD1" i="2" s="1"/>
  <c r="OE1" i="2" s="1"/>
  <c r="OF1" i="2" s="1"/>
  <c r="OG1" i="2" s="1"/>
  <c r="OH1" i="2" s="1"/>
  <c r="OI1" i="2" s="1"/>
  <c r="OJ1" i="2" s="1"/>
  <c r="OK1" i="2" s="1"/>
  <c r="OL1" i="2" s="1"/>
  <c r="OM1" i="2" s="1"/>
  <c r="ON1" i="2" s="1"/>
  <c r="OO1" i="2" s="1"/>
  <c r="OP1" i="2" s="1"/>
  <c r="OQ1" i="2" s="1"/>
  <c r="OR1" i="2" s="1"/>
  <c r="OS1" i="2" s="1"/>
  <c r="OT1" i="2" s="1"/>
  <c r="OU1" i="2" s="1"/>
  <c r="OV1" i="2" s="1"/>
  <c r="OW1" i="2" s="1"/>
  <c r="OX1" i="2" s="1"/>
  <c r="OY1" i="2" s="1"/>
  <c r="OZ1" i="2" s="1"/>
  <c r="PA1" i="2" s="1"/>
  <c r="PB1" i="2" s="1"/>
  <c r="PC1" i="2" s="1"/>
  <c r="PD1" i="2" s="1"/>
  <c r="PE1" i="2" s="1"/>
  <c r="PF1" i="2" s="1"/>
  <c r="PG1" i="2" s="1"/>
  <c r="PH1" i="2" s="1"/>
  <c r="PI1" i="2" s="1"/>
  <c r="PJ1" i="2" s="1"/>
  <c r="PK1" i="2" s="1"/>
  <c r="PL1" i="2" s="1"/>
  <c r="PM1" i="2" s="1"/>
  <c r="PN1" i="2" s="1"/>
  <c r="PO1" i="2" s="1"/>
  <c r="PP1" i="2" s="1"/>
  <c r="PQ1" i="2" s="1"/>
  <c r="PR1" i="2" s="1"/>
  <c r="PS1" i="2" s="1"/>
  <c r="PT1" i="2" s="1"/>
  <c r="PU1" i="2" s="1"/>
  <c r="PV1" i="2" s="1"/>
  <c r="PW1" i="2" s="1"/>
  <c r="PX1" i="2" s="1"/>
  <c r="PY1" i="2" s="1"/>
  <c r="PZ1" i="2" s="1"/>
  <c r="QA1" i="2" s="1"/>
  <c r="QB1" i="2" s="1"/>
  <c r="QC1" i="2" s="1"/>
  <c r="QD1" i="2" s="1"/>
  <c r="QE1" i="2" s="1"/>
  <c r="QF1" i="2" s="1"/>
  <c r="QG1" i="2" s="1"/>
  <c r="QH1" i="2" s="1"/>
  <c r="QI1" i="2" s="1"/>
  <c r="QJ1" i="2" s="1"/>
  <c r="QK1" i="2" s="1"/>
  <c r="QL1" i="2" s="1"/>
  <c r="QM1" i="2" s="1"/>
  <c r="QN1" i="2" s="1"/>
  <c r="QO1" i="2" s="1"/>
  <c r="QP1" i="2" s="1"/>
  <c r="QQ1" i="2" s="1"/>
  <c r="QR1" i="2" s="1"/>
  <c r="QS1" i="2" s="1"/>
  <c r="QT1" i="2" s="1"/>
  <c r="QU1" i="2" s="1"/>
  <c r="QV1" i="2" s="1"/>
  <c r="QW1" i="2" s="1"/>
  <c r="QX1" i="2" s="1"/>
  <c r="QY1" i="2" s="1"/>
  <c r="QZ1" i="2" s="1"/>
  <c r="RA1" i="2" s="1"/>
  <c r="DL1" i="2"/>
  <c r="DK1" i="2"/>
  <c r="RA58" i="2"/>
  <c r="PY65" i="2"/>
  <c r="PZ65" i="2" s="1"/>
  <c r="QA65" i="2" s="1"/>
  <c r="QB65" i="2" s="1"/>
  <c r="QC65" i="2" s="1"/>
  <c r="QD65" i="2" s="1"/>
  <c r="QE65" i="2" s="1"/>
  <c r="QF65" i="2" s="1"/>
  <c r="QG65" i="2" s="1"/>
  <c r="QH65" i="2" s="1"/>
  <c r="QI65" i="2" s="1"/>
  <c r="QJ65" i="2" s="1"/>
  <c r="QK65" i="2" s="1"/>
  <c r="QL65" i="2" s="1"/>
  <c r="QM65" i="2" s="1"/>
  <c r="QN65" i="2" s="1"/>
  <c r="QO65" i="2" s="1"/>
  <c r="QP65" i="2" s="1"/>
  <c r="QQ65" i="2" s="1"/>
  <c r="QR65" i="2" s="1"/>
  <c r="QS65" i="2" s="1"/>
  <c r="QT65" i="2" s="1"/>
  <c r="QU65" i="2" s="1"/>
  <c r="QV65" i="2" s="1"/>
  <c r="QW65" i="2" s="1"/>
  <c r="QX65" i="2" s="1"/>
  <c r="QY65" i="2" s="1"/>
  <c r="QZ65" i="2" s="1"/>
  <c r="OU65" i="2"/>
  <c r="OV65" i="2" s="1"/>
  <c r="OW65" i="2" s="1"/>
  <c r="OX65" i="2" s="1"/>
  <c r="OY65" i="2" s="1"/>
  <c r="OZ65" i="2" s="1"/>
  <c r="PA65" i="2" s="1"/>
  <c r="PB65" i="2" s="1"/>
  <c r="PC65" i="2" s="1"/>
  <c r="PD65" i="2" s="1"/>
  <c r="PE65" i="2" s="1"/>
  <c r="PF65" i="2" s="1"/>
  <c r="PG65" i="2" s="1"/>
  <c r="PH65" i="2" s="1"/>
  <c r="PI65" i="2" s="1"/>
  <c r="PJ65" i="2" s="1"/>
  <c r="PK65" i="2" s="1"/>
  <c r="PL65" i="2" s="1"/>
  <c r="PM65" i="2" s="1"/>
  <c r="PN65" i="2" s="1"/>
  <c r="PO65" i="2" s="1"/>
  <c r="PP65" i="2" s="1"/>
  <c r="PQ65" i="2" s="1"/>
  <c r="PR65" i="2" s="1"/>
  <c r="PS65" i="2" s="1"/>
  <c r="PT65" i="2" s="1"/>
  <c r="PU65" i="2" s="1"/>
  <c r="PV65" i="2" s="1"/>
  <c r="PW65" i="2" s="1"/>
  <c r="NR65" i="2"/>
  <c r="NS65" i="2" s="1"/>
  <c r="NT65" i="2" s="1"/>
  <c r="NU65" i="2" s="1"/>
  <c r="NV65" i="2" s="1"/>
  <c r="NW65" i="2" s="1"/>
  <c r="NX65" i="2" s="1"/>
  <c r="NY65" i="2" s="1"/>
  <c r="NZ65" i="2" s="1"/>
  <c r="OA65" i="2" s="1"/>
  <c r="OB65" i="2" s="1"/>
  <c r="OC65" i="2" s="1"/>
  <c r="OD65" i="2" s="1"/>
  <c r="OE65" i="2" s="1"/>
  <c r="OF65" i="2" s="1"/>
  <c r="OG65" i="2" s="1"/>
  <c r="OH65" i="2" s="1"/>
  <c r="OI65" i="2" s="1"/>
  <c r="OJ65" i="2" s="1"/>
  <c r="OK65" i="2" s="1"/>
  <c r="OL65" i="2" s="1"/>
  <c r="OM65" i="2" s="1"/>
  <c r="ON65" i="2" s="1"/>
  <c r="OO65" i="2" s="1"/>
  <c r="OP65" i="2" s="1"/>
  <c r="OQ65" i="2" s="1"/>
  <c r="OR65" i="2" s="1"/>
  <c r="OS65" i="2" s="1"/>
  <c r="LK65" i="2"/>
  <c r="LL65" i="2" s="1"/>
  <c r="LM65" i="2" s="1"/>
  <c r="LN65" i="2" s="1"/>
  <c r="LO65" i="2" s="1"/>
  <c r="LP65" i="2" s="1"/>
  <c r="LQ65" i="2" s="1"/>
  <c r="LR65" i="2" s="1"/>
  <c r="LS65" i="2" s="1"/>
  <c r="LT65" i="2" s="1"/>
  <c r="LU65" i="2" s="1"/>
  <c r="LV65" i="2" s="1"/>
  <c r="LW65" i="2" s="1"/>
  <c r="LX65" i="2" s="1"/>
  <c r="LY65" i="2" s="1"/>
  <c r="LZ65" i="2" s="1"/>
  <c r="MA65" i="2" s="1"/>
  <c r="MB65" i="2" s="1"/>
  <c r="MC65" i="2" s="1"/>
  <c r="MD65" i="2" s="1"/>
  <c r="ME65" i="2" s="1"/>
  <c r="MF65" i="2" s="1"/>
  <c r="MG65" i="2" s="1"/>
  <c r="MH65" i="2" s="1"/>
  <c r="MI65" i="2" s="1"/>
  <c r="MJ65" i="2" s="1"/>
  <c r="MK65" i="2" s="1"/>
  <c r="ML65" i="2" s="1"/>
  <c r="JD65" i="2"/>
  <c r="JE65" i="2" s="1"/>
  <c r="JF65" i="2" s="1"/>
  <c r="JG65" i="2" s="1"/>
  <c r="JH65" i="2" s="1"/>
  <c r="JI65" i="2" s="1"/>
  <c r="JJ65" i="2" s="1"/>
  <c r="JK65" i="2" s="1"/>
  <c r="JL65" i="2" s="1"/>
  <c r="JM65" i="2" s="1"/>
  <c r="JN65" i="2" s="1"/>
  <c r="JO65" i="2" s="1"/>
  <c r="JP65" i="2" s="1"/>
  <c r="JQ65" i="2" s="1"/>
  <c r="JR65" i="2" s="1"/>
  <c r="JS65" i="2" s="1"/>
  <c r="JT65" i="2" s="1"/>
  <c r="JU65" i="2" s="1"/>
  <c r="JV65" i="2" s="1"/>
  <c r="JW65" i="2" s="1"/>
  <c r="JX65" i="2" s="1"/>
  <c r="JY65" i="2" s="1"/>
  <c r="JZ65" i="2" s="1"/>
  <c r="KA65" i="2" s="1"/>
  <c r="KB65" i="2" s="1"/>
  <c r="KC65" i="2" s="1"/>
  <c r="KD65" i="2" s="1"/>
  <c r="KE65" i="2" s="1"/>
  <c r="FR65" i="2"/>
  <c r="FS65" i="2" s="1"/>
  <c r="FT65" i="2" s="1"/>
  <c r="FU65" i="2" s="1"/>
  <c r="FV65" i="2" s="1"/>
  <c r="FW65" i="2" s="1"/>
  <c r="FX65" i="2" s="1"/>
  <c r="FY65" i="2" s="1"/>
  <c r="FZ65" i="2" s="1"/>
  <c r="GA65" i="2" s="1"/>
  <c r="GB65" i="2" s="1"/>
  <c r="GC65" i="2" s="1"/>
  <c r="GD65" i="2" s="1"/>
  <c r="GE65" i="2" s="1"/>
  <c r="GF65" i="2" s="1"/>
  <c r="GG65" i="2" s="1"/>
  <c r="GH65" i="2" s="1"/>
  <c r="GI65" i="2" s="1"/>
  <c r="GJ65" i="2" s="1"/>
  <c r="GK65" i="2" s="1"/>
  <c r="GL65" i="2" s="1"/>
  <c r="GM65" i="2" s="1"/>
  <c r="GN65" i="2" s="1"/>
  <c r="GO65" i="2" s="1"/>
  <c r="GP65" i="2" s="1"/>
  <c r="GQ65" i="2" s="1"/>
  <c r="GR65" i="2" s="1"/>
  <c r="GS65" i="2" s="1"/>
  <c r="GT65" i="2" s="1"/>
  <c r="OU54" i="2"/>
  <c r="OV54" i="2" s="1"/>
  <c r="OW54" i="2" s="1"/>
  <c r="OX54" i="2" s="1"/>
  <c r="OY54" i="2" s="1"/>
  <c r="OZ54" i="2" s="1"/>
  <c r="PA54" i="2" s="1"/>
  <c r="PB54" i="2" s="1"/>
  <c r="PC54" i="2" s="1"/>
  <c r="PD54" i="2" s="1"/>
  <c r="PE54" i="2" s="1"/>
  <c r="PF54" i="2" s="1"/>
  <c r="PG54" i="2" s="1"/>
  <c r="PH54" i="2" s="1"/>
  <c r="PI54" i="2" s="1"/>
  <c r="PJ54" i="2" s="1"/>
  <c r="PK54" i="2" s="1"/>
  <c r="PL54" i="2" s="1"/>
  <c r="PM54" i="2" s="1"/>
  <c r="PN54" i="2" s="1"/>
  <c r="PO54" i="2" s="1"/>
  <c r="PP54" i="2" s="1"/>
  <c r="PQ54" i="2" s="1"/>
  <c r="PR54" i="2" s="1"/>
  <c r="PS54" i="2" s="1"/>
  <c r="PT54" i="2" s="1"/>
  <c r="PU54" i="2" s="1"/>
  <c r="PV54" i="2" s="1"/>
  <c r="MN54" i="2"/>
  <c r="MO54" i="2" s="1"/>
  <c r="MP54" i="2" s="1"/>
  <c r="MQ54" i="2" s="1"/>
  <c r="MR54" i="2" s="1"/>
  <c r="MS54" i="2" s="1"/>
  <c r="MT54" i="2" s="1"/>
  <c r="MU54" i="2" s="1"/>
  <c r="MV54" i="2" s="1"/>
  <c r="MW54" i="2" s="1"/>
  <c r="MX54" i="2" s="1"/>
  <c r="MY54" i="2" s="1"/>
  <c r="MZ54" i="2" s="1"/>
  <c r="NA54" i="2" s="1"/>
  <c r="NB54" i="2" s="1"/>
  <c r="NC54" i="2" s="1"/>
  <c r="ND54" i="2" s="1"/>
  <c r="NE54" i="2" s="1"/>
  <c r="NF54" i="2" s="1"/>
  <c r="NG54" i="2" s="1"/>
  <c r="NH54" i="2" s="1"/>
  <c r="NI54" i="2" s="1"/>
  <c r="NJ54" i="2" s="1"/>
  <c r="NK54" i="2" s="1"/>
  <c r="NL54" i="2" s="1"/>
  <c r="NM54" i="2" s="1"/>
  <c r="NN54" i="2" s="1"/>
  <c r="NO54" i="2" s="1"/>
  <c r="KG54" i="2"/>
  <c r="KH54" i="2" s="1"/>
  <c r="KI54" i="2" s="1"/>
  <c r="KJ54" i="2" s="1"/>
  <c r="KK54" i="2" s="1"/>
  <c r="KL54" i="2" s="1"/>
  <c r="KM54" i="2" s="1"/>
  <c r="KN54" i="2" s="1"/>
  <c r="KO54" i="2" s="1"/>
  <c r="KP54" i="2" s="1"/>
  <c r="KQ54" i="2" s="1"/>
  <c r="KR54" i="2" s="1"/>
  <c r="KS54" i="2" s="1"/>
  <c r="KT54" i="2" s="1"/>
  <c r="KU54" i="2" s="1"/>
  <c r="KV54" i="2" s="1"/>
  <c r="KW54" i="2" s="1"/>
  <c r="KX54" i="2" s="1"/>
  <c r="KY54" i="2" s="1"/>
  <c r="KZ54" i="2" s="1"/>
  <c r="LA54" i="2" s="1"/>
  <c r="LB54" i="2" s="1"/>
  <c r="LC54" i="2" s="1"/>
  <c r="LD54" i="2" s="1"/>
  <c r="LE54" i="2" s="1"/>
  <c r="LF54" i="2" s="1"/>
  <c r="LG54" i="2" s="1"/>
  <c r="LH54" i="2" s="1"/>
  <c r="GV54" i="2"/>
  <c r="GW54" i="2" s="1"/>
  <c r="GX54" i="2" s="1"/>
  <c r="GY54" i="2" s="1"/>
  <c r="GZ54" i="2" s="1"/>
  <c r="HA54" i="2" s="1"/>
  <c r="HB54" i="2" s="1"/>
  <c r="HC54" i="2" s="1"/>
  <c r="HD54" i="2" s="1"/>
  <c r="HE54" i="2" s="1"/>
  <c r="HF54" i="2" s="1"/>
  <c r="HG54" i="2" s="1"/>
  <c r="HH54" i="2" s="1"/>
  <c r="HI54" i="2" s="1"/>
  <c r="HJ54" i="2" s="1"/>
  <c r="HK54" i="2" s="1"/>
  <c r="HL54" i="2" s="1"/>
  <c r="HM54" i="2" s="1"/>
  <c r="HN54" i="2" s="1"/>
  <c r="HO54" i="2" s="1"/>
  <c r="HP54" i="2" s="1"/>
  <c r="HQ54" i="2" s="1"/>
  <c r="HR54" i="2" s="1"/>
  <c r="HS54" i="2" s="1"/>
  <c r="HT54" i="2" s="1"/>
  <c r="HU54" i="2" s="1"/>
  <c r="HV54" i="2" s="1"/>
  <c r="HW54" i="2" s="1"/>
  <c r="GU54" i="2"/>
  <c r="EN54" i="2"/>
  <c r="EO54" i="2" s="1"/>
  <c r="EP54" i="2" s="1"/>
  <c r="EQ54" i="2" s="1"/>
  <c r="ER54" i="2" s="1"/>
  <c r="ES54" i="2" s="1"/>
  <c r="ET54" i="2" s="1"/>
  <c r="EU54" i="2" s="1"/>
  <c r="EV54" i="2" s="1"/>
  <c r="EW54" i="2" s="1"/>
  <c r="EX54" i="2" s="1"/>
  <c r="EY54" i="2" s="1"/>
  <c r="EZ54" i="2" s="1"/>
  <c r="FA54" i="2" s="1"/>
  <c r="FB54" i="2" s="1"/>
  <c r="FC54" i="2" s="1"/>
  <c r="FD54" i="2" s="1"/>
  <c r="FE54" i="2" s="1"/>
  <c r="FF54" i="2" s="1"/>
  <c r="FG54" i="2" s="1"/>
  <c r="FH54" i="2" s="1"/>
  <c r="FI54" i="2" s="1"/>
  <c r="FJ54" i="2" s="1"/>
  <c r="FK54" i="2" s="1"/>
  <c r="FL54" i="2" s="1"/>
  <c r="FM54" i="2" s="1"/>
  <c r="FN54" i="2" s="1"/>
  <c r="FO54" i="2" s="1"/>
  <c r="FP54" i="2" s="1"/>
  <c r="RA69" i="2"/>
  <c r="QZ69" i="2"/>
  <c r="QY69" i="2"/>
  <c r="QX69" i="2"/>
  <c r="QW69" i="2"/>
  <c r="QV69" i="2"/>
  <c r="QU69" i="2"/>
  <c r="QT69" i="2"/>
  <c r="QS69" i="2"/>
  <c r="QR69" i="2"/>
  <c r="QQ69" i="2"/>
  <c r="QP69" i="2"/>
  <c r="QO69" i="2"/>
  <c r="QN69" i="2"/>
  <c r="QM69" i="2"/>
  <c r="QL69" i="2"/>
  <c r="QK69" i="2"/>
  <c r="QJ69" i="2"/>
  <c r="QI69" i="2"/>
  <c r="QH69" i="2"/>
  <c r="QG69" i="2"/>
  <c r="QF69" i="2"/>
  <c r="QE69" i="2"/>
  <c r="QD69" i="2"/>
  <c r="QC69" i="2"/>
  <c r="QB69" i="2"/>
  <c r="QA69" i="2"/>
  <c r="PZ69" i="2"/>
  <c r="PY69" i="2"/>
  <c r="PX69" i="2"/>
  <c r="PW69" i="2"/>
  <c r="PV69" i="2"/>
  <c r="PU69" i="2"/>
  <c r="PT69" i="2"/>
  <c r="PS69" i="2"/>
  <c r="PR69" i="2"/>
  <c r="PQ69" i="2"/>
  <c r="PP69" i="2"/>
  <c r="PO69" i="2"/>
  <c r="PN69" i="2"/>
  <c r="PM69" i="2"/>
  <c r="PL69" i="2"/>
  <c r="PK69" i="2"/>
  <c r="PJ69" i="2"/>
  <c r="PI69" i="2"/>
  <c r="PH69" i="2"/>
  <c r="PG69" i="2"/>
  <c r="PF69" i="2"/>
  <c r="PE69" i="2"/>
  <c r="PD69" i="2"/>
  <c r="PC69" i="2"/>
  <c r="PB69" i="2"/>
  <c r="PA69" i="2"/>
  <c r="OZ69" i="2"/>
  <c r="OY69" i="2"/>
  <c r="OX69" i="2"/>
  <c r="OW69" i="2"/>
  <c r="OV69" i="2"/>
  <c r="OU69" i="2"/>
  <c r="OT69" i="2"/>
  <c r="OS69" i="2"/>
  <c r="OR69" i="2"/>
  <c r="OQ69" i="2"/>
  <c r="OP69" i="2"/>
  <c r="OO69" i="2"/>
  <c r="ON69" i="2"/>
  <c r="OM69" i="2"/>
  <c r="OL69" i="2"/>
  <c r="OK69" i="2"/>
  <c r="OJ69" i="2"/>
  <c r="OI69" i="2"/>
  <c r="OH69" i="2"/>
  <c r="OG69" i="2"/>
  <c r="OF69" i="2"/>
  <c r="OE69" i="2"/>
  <c r="OD69" i="2"/>
  <c r="OC69" i="2"/>
  <c r="OB69" i="2"/>
  <c r="OA69" i="2"/>
  <c r="NZ69" i="2"/>
  <c r="NY69" i="2"/>
  <c r="NX69" i="2"/>
  <c r="NW69" i="2"/>
  <c r="NV69" i="2"/>
  <c r="NU69" i="2"/>
  <c r="NT69" i="2"/>
  <c r="NS69" i="2"/>
  <c r="NR69" i="2"/>
  <c r="NQ69" i="2"/>
  <c r="NP69" i="2"/>
  <c r="NO69" i="2"/>
  <c r="NN69" i="2"/>
  <c r="NM69" i="2"/>
  <c r="NL69" i="2"/>
  <c r="NK69" i="2"/>
  <c r="NJ69" i="2"/>
  <c r="NI69" i="2"/>
  <c r="NH69" i="2"/>
  <c r="NG69" i="2"/>
  <c r="NF69" i="2"/>
  <c r="NE69" i="2"/>
  <c r="ND69" i="2"/>
  <c r="NC69" i="2"/>
  <c r="NB69" i="2"/>
  <c r="NA69" i="2"/>
  <c r="MZ69" i="2"/>
  <c r="MY69" i="2"/>
  <c r="MX69" i="2"/>
  <c r="MW69" i="2"/>
  <c r="MV69" i="2"/>
  <c r="MU69" i="2"/>
  <c r="MT69" i="2"/>
  <c r="MS69" i="2"/>
  <c r="MR69" i="2"/>
  <c r="MQ69" i="2"/>
  <c r="MP69" i="2"/>
  <c r="MO69" i="2"/>
  <c r="MN69" i="2"/>
  <c r="MM69" i="2"/>
  <c r="ML69" i="2"/>
  <c r="MK69" i="2"/>
  <c r="MJ69" i="2"/>
  <c r="MI69" i="2"/>
  <c r="MH69" i="2"/>
  <c r="MG69" i="2"/>
  <c r="MF69" i="2"/>
  <c r="ME69" i="2"/>
  <c r="MD69" i="2"/>
  <c r="MC69" i="2"/>
  <c r="MB69" i="2"/>
  <c r="MA69" i="2"/>
  <c r="LZ69" i="2"/>
  <c r="LY69" i="2"/>
  <c r="LX69" i="2"/>
  <c r="LW69" i="2"/>
  <c r="LV69" i="2"/>
  <c r="LU69" i="2"/>
  <c r="LT69" i="2"/>
  <c r="LS69" i="2"/>
  <c r="LR69" i="2"/>
  <c r="LQ69" i="2"/>
  <c r="LP69" i="2"/>
  <c r="LO69" i="2"/>
  <c r="LN69" i="2"/>
  <c r="LM69" i="2"/>
  <c r="LL69" i="2"/>
  <c r="LK69" i="2"/>
  <c r="LJ69" i="2"/>
  <c r="LI69" i="2"/>
  <c r="LH69" i="2"/>
  <c r="LG69" i="2"/>
  <c r="LF69" i="2"/>
  <c r="LE69" i="2"/>
  <c r="LD69" i="2"/>
  <c r="LC69" i="2"/>
  <c r="LB69" i="2"/>
  <c r="LA69" i="2"/>
  <c r="KZ69" i="2"/>
  <c r="KY69" i="2"/>
  <c r="KX69" i="2"/>
  <c r="KW69" i="2"/>
  <c r="KV69" i="2"/>
  <c r="KU69" i="2"/>
  <c r="KT69" i="2"/>
  <c r="KS69" i="2"/>
  <c r="KR69" i="2"/>
  <c r="KQ69" i="2"/>
  <c r="KP69" i="2"/>
  <c r="KO69" i="2"/>
  <c r="KN69" i="2"/>
  <c r="KM69" i="2"/>
  <c r="KL69" i="2"/>
  <c r="KK69" i="2"/>
  <c r="KJ69" i="2"/>
  <c r="KI69" i="2"/>
  <c r="KH69" i="2"/>
  <c r="KG69" i="2"/>
  <c r="KF69" i="2"/>
  <c r="KE69" i="2"/>
  <c r="KD69" i="2"/>
  <c r="KC69" i="2"/>
  <c r="KB69" i="2"/>
  <c r="KA69" i="2"/>
  <c r="JZ69" i="2"/>
  <c r="JY69" i="2"/>
  <c r="JX69" i="2"/>
  <c r="JW69" i="2"/>
  <c r="JV69" i="2"/>
  <c r="JU69" i="2"/>
  <c r="JT69" i="2"/>
  <c r="JS69" i="2"/>
  <c r="JR69" i="2"/>
  <c r="JQ69" i="2"/>
  <c r="JP69" i="2"/>
  <c r="JO69" i="2"/>
  <c r="JN69" i="2"/>
  <c r="JM69" i="2"/>
  <c r="JL69" i="2"/>
  <c r="JK69" i="2"/>
  <c r="JJ69" i="2"/>
  <c r="JI69" i="2"/>
  <c r="JH69" i="2"/>
  <c r="JG69" i="2"/>
  <c r="JF69" i="2"/>
  <c r="JE69" i="2"/>
  <c r="JD69" i="2"/>
  <c r="JC69" i="2"/>
  <c r="JB69" i="2"/>
  <c r="JA69" i="2"/>
  <c r="IZ69" i="2"/>
  <c r="IY69" i="2"/>
  <c r="IX69" i="2"/>
  <c r="IW69" i="2"/>
  <c r="IV69" i="2"/>
  <c r="IU69" i="2"/>
  <c r="IT69" i="2"/>
  <c r="IS69" i="2"/>
  <c r="IR69" i="2"/>
  <c r="IQ69" i="2"/>
  <c r="IP69" i="2"/>
  <c r="IO69" i="2"/>
  <c r="IN69" i="2"/>
  <c r="IM69" i="2"/>
  <c r="IL69" i="2"/>
  <c r="IK69" i="2"/>
  <c r="IJ69" i="2"/>
  <c r="II69" i="2"/>
  <c r="IH69" i="2"/>
  <c r="IG69" i="2"/>
  <c r="IF69" i="2"/>
  <c r="IE69" i="2"/>
  <c r="ID69" i="2"/>
  <c r="IC69" i="2"/>
  <c r="IB69" i="2"/>
  <c r="IA69" i="2"/>
  <c r="HZ69" i="2"/>
  <c r="HY69" i="2"/>
  <c r="HX69" i="2"/>
  <c r="HW69" i="2"/>
  <c r="HV69" i="2"/>
  <c r="HU69" i="2"/>
  <c r="HT69" i="2"/>
  <c r="HS69" i="2"/>
  <c r="HR69" i="2"/>
  <c r="HQ69" i="2"/>
  <c r="HP69" i="2"/>
  <c r="HO69" i="2"/>
  <c r="HN69" i="2"/>
  <c r="HM69" i="2"/>
  <c r="HL69" i="2"/>
  <c r="HK69" i="2"/>
  <c r="HJ69" i="2"/>
  <c r="HI69" i="2"/>
  <c r="HH69" i="2"/>
  <c r="HG69" i="2"/>
  <c r="HF69" i="2"/>
  <c r="HE69" i="2"/>
  <c r="HD69" i="2"/>
  <c r="HC69" i="2"/>
  <c r="HB69" i="2"/>
  <c r="HA69" i="2"/>
  <c r="GZ69" i="2"/>
  <c r="GY69" i="2"/>
  <c r="GX69" i="2"/>
  <c r="GW69" i="2"/>
  <c r="GV69" i="2"/>
  <c r="GU69" i="2"/>
  <c r="GT69" i="2"/>
  <c r="GS69" i="2"/>
  <c r="GR69" i="2"/>
  <c r="GQ69" i="2"/>
  <c r="GP69" i="2"/>
  <c r="GO69" i="2"/>
  <c r="GN69" i="2"/>
  <c r="GM69" i="2"/>
  <c r="GL69" i="2"/>
  <c r="GK69" i="2"/>
  <c r="GJ69" i="2"/>
  <c r="GI69" i="2"/>
  <c r="GH69" i="2"/>
  <c r="GG69" i="2"/>
  <c r="GF69" i="2"/>
  <c r="GE69" i="2"/>
  <c r="GD69" i="2"/>
  <c r="GC69" i="2"/>
  <c r="GB69" i="2"/>
  <c r="GA69" i="2"/>
  <c r="FZ69" i="2"/>
  <c r="FY69" i="2"/>
  <c r="FX69" i="2"/>
  <c r="FW69" i="2"/>
  <c r="FV69" i="2"/>
  <c r="FU69" i="2"/>
  <c r="FT69" i="2"/>
  <c r="FS69" i="2"/>
  <c r="FR69" i="2"/>
  <c r="FQ69" i="2"/>
  <c r="FP69" i="2"/>
  <c r="FO69" i="2"/>
  <c r="FN69" i="2"/>
  <c r="FM69" i="2"/>
  <c r="FL69" i="2"/>
  <c r="FK69" i="2"/>
  <c r="FJ69" i="2"/>
  <c r="FI69" i="2"/>
  <c r="FH69" i="2"/>
  <c r="FG69" i="2"/>
  <c r="FF69" i="2"/>
  <c r="FE69" i="2"/>
  <c r="FD69" i="2"/>
  <c r="FC69" i="2"/>
  <c r="FB69" i="2"/>
  <c r="FA69" i="2"/>
  <c r="EZ69" i="2"/>
  <c r="EY69" i="2"/>
  <c r="EX69" i="2"/>
  <c r="EW69" i="2"/>
  <c r="EV69" i="2"/>
  <c r="EU69" i="2"/>
  <c r="ET69" i="2"/>
  <c r="ES69" i="2"/>
  <c r="ER69" i="2"/>
  <c r="EQ69" i="2"/>
  <c r="EP69" i="2"/>
  <c r="EO69" i="2"/>
  <c r="EN69" i="2"/>
  <c r="EM69" i="2"/>
  <c r="EL69" i="2"/>
  <c r="EK69" i="2"/>
  <c r="EJ69" i="2"/>
  <c r="EI69" i="2"/>
  <c r="EH69" i="2"/>
  <c r="EG69" i="2"/>
  <c r="EF69" i="2"/>
  <c r="EE69" i="2"/>
  <c r="ED69" i="2"/>
  <c r="EC69" i="2"/>
  <c r="EB69" i="2"/>
  <c r="EA69" i="2"/>
  <c r="DZ69" i="2"/>
  <c r="DY69" i="2"/>
  <c r="DX69" i="2"/>
  <c r="DW69" i="2"/>
  <c r="DV69" i="2"/>
  <c r="DU69" i="2"/>
  <c r="DT69" i="2"/>
  <c r="DS69" i="2"/>
  <c r="DR69" i="2"/>
  <c r="DQ69" i="2"/>
  <c r="DP69" i="2"/>
  <c r="DO69" i="2"/>
  <c r="DN69" i="2"/>
  <c r="DM69" i="2"/>
  <c r="DL69" i="2"/>
  <c r="DK69" i="2"/>
  <c r="DJ69" i="2"/>
  <c r="QZ58" i="2"/>
  <c r="QY58" i="2"/>
  <c r="QX58" i="2"/>
  <c r="QW58" i="2"/>
  <c r="QV58" i="2"/>
  <c r="QU58" i="2"/>
  <c r="QT58" i="2"/>
  <c r="QS58" i="2"/>
  <c r="QR58" i="2"/>
  <c r="QQ58" i="2"/>
  <c r="QP58" i="2"/>
  <c r="QO58" i="2"/>
  <c r="QN58" i="2"/>
  <c r="QM58" i="2"/>
  <c r="QL58" i="2"/>
  <c r="QK58" i="2"/>
  <c r="QJ58" i="2"/>
  <c r="QI58" i="2"/>
  <c r="QH58" i="2"/>
  <c r="QG58" i="2"/>
  <c r="QF58" i="2"/>
  <c r="QE58" i="2"/>
  <c r="QD58" i="2"/>
  <c r="QC58" i="2"/>
  <c r="QB58" i="2"/>
  <c r="QA58" i="2"/>
  <c r="PZ58" i="2"/>
  <c r="PY58" i="2"/>
  <c r="PX58" i="2"/>
  <c r="PW58" i="2"/>
  <c r="PV58" i="2"/>
  <c r="PU58" i="2"/>
  <c r="PT58" i="2"/>
  <c r="PS58" i="2"/>
  <c r="PR58" i="2"/>
  <c r="PQ58" i="2"/>
  <c r="PP58" i="2"/>
  <c r="PO58" i="2"/>
  <c r="PN58" i="2"/>
  <c r="PM58" i="2"/>
  <c r="PL58" i="2"/>
  <c r="PK58" i="2"/>
  <c r="PJ58" i="2"/>
  <c r="PI58" i="2"/>
  <c r="PH58" i="2"/>
  <c r="PG58" i="2"/>
  <c r="PF58" i="2"/>
  <c r="PE58" i="2"/>
  <c r="PD58" i="2"/>
  <c r="PC58" i="2"/>
  <c r="PB58" i="2"/>
  <c r="PA58" i="2"/>
  <c r="OZ58" i="2"/>
  <c r="OY58" i="2"/>
  <c r="OX58" i="2"/>
  <c r="OW58" i="2"/>
  <c r="OV58" i="2"/>
  <c r="OU58" i="2"/>
  <c r="OT58" i="2"/>
  <c r="OS58" i="2"/>
  <c r="OR58" i="2"/>
  <c r="OQ58" i="2"/>
  <c r="OP58" i="2"/>
  <c r="OO58" i="2"/>
  <c r="ON58" i="2"/>
  <c r="OM58" i="2"/>
  <c r="OL58" i="2"/>
  <c r="OK58" i="2"/>
  <c r="OJ58" i="2"/>
  <c r="OI58" i="2"/>
  <c r="OH58" i="2"/>
  <c r="OG58" i="2"/>
  <c r="OF58" i="2"/>
  <c r="OE58" i="2"/>
  <c r="OD58" i="2"/>
  <c r="OC58" i="2"/>
  <c r="OB58" i="2"/>
  <c r="OA58" i="2"/>
  <c r="NZ58" i="2"/>
  <c r="NY58" i="2"/>
  <c r="NX58" i="2"/>
  <c r="NW58" i="2"/>
  <c r="NV58" i="2"/>
  <c r="NU58" i="2"/>
  <c r="NT58" i="2"/>
  <c r="NS58" i="2"/>
  <c r="NR58" i="2"/>
  <c r="NQ58" i="2"/>
  <c r="NP58" i="2"/>
  <c r="NO58" i="2"/>
  <c r="NN58" i="2"/>
  <c r="NM58" i="2"/>
  <c r="NL58" i="2"/>
  <c r="NK58" i="2"/>
  <c r="NJ58" i="2"/>
  <c r="NI58" i="2"/>
  <c r="NH58" i="2"/>
  <c r="NG58" i="2"/>
  <c r="NF58" i="2"/>
  <c r="NE58" i="2"/>
  <c r="ND58" i="2"/>
  <c r="NC58" i="2"/>
  <c r="NB58" i="2"/>
  <c r="NA58" i="2"/>
  <c r="MZ58" i="2"/>
  <c r="MY58" i="2"/>
  <c r="MX58" i="2"/>
  <c r="MW58" i="2"/>
  <c r="MV58" i="2"/>
  <c r="MU58" i="2"/>
  <c r="MT58" i="2"/>
  <c r="MS58" i="2"/>
  <c r="MR58" i="2"/>
  <c r="MQ58" i="2"/>
  <c r="MP58" i="2"/>
  <c r="MO58" i="2"/>
  <c r="MN58" i="2"/>
  <c r="MM58" i="2"/>
  <c r="ML58" i="2"/>
  <c r="MK58" i="2"/>
  <c r="MJ58" i="2"/>
  <c r="MI58" i="2"/>
  <c r="MH58" i="2"/>
  <c r="MG58" i="2"/>
  <c r="MF58" i="2"/>
  <c r="ME58" i="2"/>
  <c r="MD58" i="2"/>
  <c r="MC58" i="2"/>
  <c r="MB58" i="2"/>
  <c r="MA58" i="2"/>
  <c r="LZ58" i="2"/>
  <c r="LY58" i="2"/>
  <c r="LX58" i="2"/>
  <c r="LW58" i="2"/>
  <c r="LV58" i="2"/>
  <c r="LU58" i="2"/>
  <c r="LT58" i="2"/>
  <c r="LS58" i="2"/>
  <c r="LR58" i="2"/>
  <c r="LQ58" i="2"/>
  <c r="LP58" i="2"/>
  <c r="LO58" i="2"/>
  <c r="LN58" i="2"/>
  <c r="LM58" i="2"/>
  <c r="LL58" i="2"/>
  <c r="LK58" i="2"/>
  <c r="LJ58" i="2"/>
  <c r="LI58" i="2"/>
  <c r="LH58" i="2"/>
  <c r="LG58" i="2"/>
  <c r="LF58" i="2"/>
  <c r="LE58" i="2"/>
  <c r="LD58" i="2"/>
  <c r="LC58" i="2"/>
  <c r="LB58" i="2"/>
  <c r="LA58" i="2"/>
  <c r="KZ58" i="2"/>
  <c r="KY58" i="2"/>
  <c r="KX58" i="2"/>
  <c r="KW58" i="2"/>
  <c r="KV58" i="2"/>
  <c r="KU58" i="2"/>
  <c r="KT58" i="2"/>
  <c r="KS58" i="2"/>
  <c r="KR58" i="2"/>
  <c r="KQ58" i="2"/>
  <c r="KP58" i="2"/>
  <c r="KO58" i="2"/>
  <c r="KN58" i="2"/>
  <c r="KM58" i="2"/>
  <c r="KL58" i="2"/>
  <c r="KK58" i="2"/>
  <c r="KJ58" i="2"/>
  <c r="KI58" i="2"/>
  <c r="KH58" i="2"/>
  <c r="KG58" i="2"/>
  <c r="KF58" i="2"/>
  <c r="KE58" i="2"/>
  <c r="KD58" i="2"/>
  <c r="KC58" i="2"/>
  <c r="KB58" i="2"/>
  <c r="KA58" i="2"/>
  <c r="JZ58" i="2"/>
  <c r="JY58" i="2"/>
  <c r="JX58" i="2"/>
  <c r="JW58" i="2"/>
  <c r="JV58" i="2"/>
  <c r="JU58" i="2"/>
  <c r="JT58" i="2"/>
  <c r="JS58" i="2"/>
  <c r="JR58" i="2"/>
  <c r="JQ58" i="2"/>
  <c r="JP58" i="2"/>
  <c r="JO58" i="2"/>
  <c r="JN58" i="2"/>
  <c r="JM58" i="2"/>
  <c r="JL58" i="2"/>
  <c r="JK58" i="2"/>
  <c r="JJ58" i="2"/>
  <c r="JI58" i="2"/>
  <c r="JH58" i="2"/>
  <c r="JG58" i="2"/>
  <c r="JF58" i="2"/>
  <c r="JE58" i="2"/>
  <c r="JD58" i="2"/>
  <c r="JC58" i="2"/>
  <c r="JB58" i="2"/>
  <c r="JA58" i="2"/>
  <c r="IZ58" i="2"/>
  <c r="IY58" i="2"/>
  <c r="IX58" i="2"/>
  <c r="IW58" i="2"/>
  <c r="IV58" i="2"/>
  <c r="IU58" i="2"/>
  <c r="IT58" i="2"/>
  <c r="IS58" i="2"/>
  <c r="IR58" i="2"/>
  <c r="IQ58" i="2"/>
  <c r="IP58" i="2"/>
  <c r="IO58" i="2"/>
  <c r="IN58" i="2"/>
  <c r="IM58" i="2"/>
  <c r="IL58" i="2"/>
  <c r="IK58" i="2"/>
  <c r="IJ58" i="2"/>
  <c r="II58" i="2"/>
  <c r="IH58" i="2"/>
  <c r="IG58" i="2"/>
  <c r="IF58" i="2"/>
  <c r="IE58" i="2"/>
  <c r="ID58" i="2"/>
  <c r="IC58" i="2"/>
  <c r="IB58" i="2"/>
  <c r="IA58" i="2"/>
  <c r="HZ58" i="2"/>
  <c r="HY58" i="2"/>
  <c r="HX58" i="2"/>
  <c r="HW58" i="2"/>
  <c r="HV58" i="2"/>
  <c r="HU58" i="2"/>
  <c r="HT58" i="2"/>
  <c r="HS58" i="2"/>
  <c r="HR58" i="2"/>
  <c r="HQ58" i="2"/>
  <c r="HP58" i="2"/>
  <c r="HO58" i="2"/>
  <c r="HN58" i="2"/>
  <c r="HM58" i="2"/>
  <c r="HL58" i="2"/>
  <c r="HK58" i="2"/>
  <c r="HJ58" i="2"/>
  <c r="HI58" i="2"/>
  <c r="HH58" i="2"/>
  <c r="HG58" i="2"/>
  <c r="HF58" i="2"/>
  <c r="HE58" i="2"/>
  <c r="HD58" i="2"/>
  <c r="HC58" i="2"/>
  <c r="HB58" i="2"/>
  <c r="HA58" i="2"/>
  <c r="GZ58" i="2"/>
  <c r="GY58" i="2"/>
  <c r="GX58" i="2"/>
  <c r="GW58" i="2"/>
  <c r="GV58" i="2"/>
  <c r="GU58" i="2"/>
  <c r="GT58" i="2"/>
  <c r="GS58" i="2"/>
  <c r="GR58" i="2"/>
  <c r="GQ58" i="2"/>
  <c r="GP58" i="2"/>
  <c r="GO58" i="2"/>
  <c r="GN58" i="2"/>
  <c r="GM58" i="2"/>
  <c r="GL58" i="2"/>
  <c r="GK58" i="2"/>
  <c r="GJ58" i="2"/>
  <c r="GI58" i="2"/>
  <c r="GH58" i="2"/>
  <c r="GG58" i="2"/>
  <c r="GF58" i="2"/>
  <c r="GE58" i="2"/>
  <c r="GD58" i="2"/>
  <c r="GC58" i="2"/>
  <c r="GB58" i="2"/>
  <c r="GA58" i="2"/>
  <c r="FZ58" i="2"/>
  <c r="FY58" i="2"/>
  <c r="FX58" i="2"/>
  <c r="FW58" i="2"/>
  <c r="FV58" i="2"/>
  <c r="FU58" i="2"/>
  <c r="FT58" i="2"/>
  <c r="FS58" i="2"/>
  <c r="FR58" i="2"/>
  <c r="FQ58" i="2"/>
  <c r="FP58" i="2"/>
  <c r="FO58" i="2"/>
  <c r="FN58" i="2"/>
  <c r="FM58" i="2"/>
  <c r="FL58" i="2"/>
  <c r="FK58" i="2"/>
  <c r="FJ58" i="2"/>
  <c r="FI58" i="2"/>
  <c r="FH58" i="2"/>
  <c r="FG58" i="2"/>
  <c r="FF58" i="2"/>
  <c r="FE58" i="2"/>
  <c r="FD58" i="2"/>
  <c r="FC58" i="2"/>
  <c r="FB58" i="2"/>
  <c r="FA58" i="2"/>
  <c r="EZ58" i="2"/>
  <c r="EY58" i="2"/>
  <c r="EX58" i="2"/>
  <c r="EW58" i="2"/>
  <c r="EV58" i="2"/>
  <c r="EU58" i="2"/>
  <c r="ET58" i="2"/>
  <c r="ES58" i="2"/>
  <c r="ER58" i="2"/>
  <c r="EQ58" i="2"/>
  <c r="EP58" i="2"/>
  <c r="EO58" i="2"/>
  <c r="EN58" i="2"/>
  <c r="EM58" i="2"/>
  <c r="EL58" i="2"/>
  <c r="EK58" i="2"/>
  <c r="EJ58" i="2"/>
  <c r="EI58" i="2"/>
  <c r="EH58" i="2"/>
  <c r="EG58" i="2"/>
  <c r="EF58" i="2"/>
  <c r="EE58" i="2"/>
  <c r="ED58" i="2"/>
  <c r="EC58" i="2"/>
  <c r="EB58" i="2"/>
  <c r="EA58" i="2"/>
  <c r="DZ58" i="2"/>
  <c r="DY58" i="2"/>
  <c r="DX58" i="2"/>
  <c r="DW58" i="2"/>
  <c r="DV58" i="2"/>
  <c r="DU58" i="2"/>
  <c r="DT58" i="2"/>
  <c r="DS58" i="2"/>
  <c r="DR58" i="2"/>
  <c r="DQ58" i="2"/>
  <c r="DP58" i="2"/>
  <c r="DO58" i="2"/>
  <c r="DN58" i="2"/>
  <c r="DM58" i="2"/>
  <c r="DL58" i="2"/>
  <c r="DK58" i="2"/>
  <c r="DJ58" i="2"/>
  <c r="QZ47" i="2"/>
  <c r="QY47" i="2"/>
  <c r="QX47" i="2"/>
  <c r="QW47" i="2"/>
  <c r="QV47" i="2"/>
  <c r="QU47" i="2"/>
  <c r="QT47" i="2"/>
  <c r="QS47" i="2"/>
  <c r="QR47" i="2"/>
  <c r="QQ47" i="2"/>
  <c r="QP47" i="2"/>
  <c r="QO47" i="2"/>
  <c r="QN47" i="2"/>
  <c r="QM47" i="2"/>
  <c r="QL47" i="2"/>
  <c r="QK47" i="2"/>
  <c r="QJ47" i="2"/>
  <c r="QI47" i="2"/>
  <c r="QH47" i="2"/>
  <c r="QG47" i="2"/>
  <c r="QF47" i="2"/>
  <c r="QE47" i="2"/>
  <c r="QD47" i="2"/>
  <c r="QC47" i="2"/>
  <c r="QB47" i="2"/>
  <c r="QA47" i="2"/>
  <c r="PZ47" i="2"/>
  <c r="PY47" i="2"/>
  <c r="PX47" i="2"/>
  <c r="PW47" i="2"/>
  <c r="PV47" i="2"/>
  <c r="PU47" i="2"/>
  <c r="PT47" i="2"/>
  <c r="PS47" i="2"/>
  <c r="PR47" i="2"/>
  <c r="PQ47" i="2"/>
  <c r="PP47" i="2"/>
  <c r="PO47" i="2"/>
  <c r="PN47" i="2"/>
  <c r="PM47" i="2"/>
  <c r="PL47" i="2"/>
  <c r="PK47" i="2"/>
  <c r="PJ47" i="2"/>
  <c r="PI47" i="2"/>
  <c r="PH47" i="2"/>
  <c r="PG47" i="2"/>
  <c r="PF47" i="2"/>
  <c r="PE47" i="2"/>
  <c r="PD47" i="2"/>
  <c r="PC47" i="2"/>
  <c r="PB47" i="2"/>
  <c r="PA47" i="2"/>
  <c r="OZ47" i="2"/>
  <c r="OY47" i="2"/>
  <c r="OX47" i="2"/>
  <c r="OW47" i="2"/>
  <c r="OV47" i="2"/>
  <c r="OU47" i="2"/>
  <c r="OT47" i="2"/>
  <c r="OS47" i="2"/>
  <c r="OR47" i="2"/>
  <c r="OQ47" i="2"/>
  <c r="OP47" i="2"/>
  <c r="OO47" i="2"/>
  <c r="ON47" i="2"/>
  <c r="OM47" i="2"/>
  <c r="OL47" i="2"/>
  <c r="OK47" i="2"/>
  <c r="OJ47" i="2"/>
  <c r="OI47" i="2"/>
  <c r="OH47" i="2"/>
  <c r="OG47" i="2"/>
  <c r="OF47" i="2"/>
  <c r="OE47" i="2"/>
  <c r="OD47" i="2"/>
  <c r="OC47" i="2"/>
  <c r="OB47" i="2"/>
  <c r="OA47" i="2"/>
  <c r="NZ47" i="2"/>
  <c r="NY47" i="2"/>
  <c r="NX47" i="2"/>
  <c r="NW47" i="2"/>
  <c r="NV47" i="2"/>
  <c r="NU47" i="2"/>
  <c r="NT47" i="2"/>
  <c r="NS47" i="2"/>
  <c r="NR47" i="2"/>
  <c r="NQ47" i="2"/>
  <c r="NP47" i="2"/>
  <c r="NO47" i="2"/>
  <c r="NN47" i="2"/>
  <c r="NM47" i="2"/>
  <c r="NL47" i="2"/>
  <c r="NK47" i="2"/>
  <c r="NJ47" i="2"/>
  <c r="NI47" i="2"/>
  <c r="NH47" i="2"/>
  <c r="NG47" i="2"/>
  <c r="NF47" i="2"/>
  <c r="NE47" i="2"/>
  <c r="ND47" i="2"/>
  <c r="NC47" i="2"/>
  <c r="NB47" i="2"/>
  <c r="NA47" i="2"/>
  <c r="MZ47" i="2"/>
  <c r="MY47" i="2"/>
  <c r="MX47" i="2"/>
  <c r="MW47" i="2"/>
  <c r="MV47" i="2"/>
  <c r="MU47" i="2"/>
  <c r="MT47" i="2"/>
  <c r="MS47" i="2"/>
  <c r="MR47" i="2"/>
  <c r="MQ47" i="2"/>
  <c r="MP47" i="2"/>
  <c r="MO47" i="2"/>
  <c r="MN47" i="2"/>
  <c r="MM47" i="2"/>
  <c r="ML47" i="2"/>
  <c r="MK47" i="2"/>
  <c r="MJ47" i="2"/>
  <c r="MI47" i="2"/>
  <c r="MH47" i="2"/>
  <c r="MG47" i="2"/>
  <c r="MF47" i="2"/>
  <c r="ME47" i="2"/>
  <c r="MD47" i="2"/>
  <c r="MC47" i="2"/>
  <c r="MB47" i="2"/>
  <c r="MA47" i="2"/>
  <c r="LZ47" i="2"/>
  <c r="LY47" i="2"/>
  <c r="LX47" i="2"/>
  <c r="LW47" i="2"/>
  <c r="LV47" i="2"/>
  <c r="LU47" i="2"/>
  <c r="LT47" i="2"/>
  <c r="LS47" i="2"/>
  <c r="LR47" i="2"/>
  <c r="LQ47" i="2"/>
  <c r="LP47" i="2"/>
  <c r="LO47" i="2"/>
  <c r="LN47" i="2"/>
  <c r="LM47" i="2"/>
  <c r="LL47" i="2"/>
  <c r="LK47" i="2"/>
  <c r="LJ47" i="2"/>
  <c r="LI47" i="2"/>
  <c r="LH47" i="2"/>
  <c r="LG47" i="2"/>
  <c r="LF47" i="2"/>
  <c r="LE47" i="2"/>
  <c r="LD47" i="2"/>
  <c r="LC47" i="2"/>
  <c r="LB47" i="2"/>
  <c r="LA47" i="2"/>
  <c r="KZ47" i="2"/>
  <c r="KY47" i="2"/>
  <c r="KX47" i="2"/>
  <c r="KW47" i="2"/>
  <c r="KV47" i="2"/>
  <c r="KU47" i="2"/>
  <c r="KT47" i="2"/>
  <c r="KS47" i="2"/>
  <c r="KR47" i="2"/>
  <c r="KQ47" i="2"/>
  <c r="KP47" i="2"/>
  <c r="KO47" i="2"/>
  <c r="KN47" i="2"/>
  <c r="KM47" i="2"/>
  <c r="KL47" i="2"/>
  <c r="KK47" i="2"/>
  <c r="KJ47" i="2"/>
  <c r="KI47" i="2"/>
  <c r="KH47" i="2"/>
  <c r="KG47" i="2"/>
  <c r="KF47" i="2"/>
  <c r="KE47" i="2"/>
  <c r="KD47" i="2"/>
  <c r="KC47" i="2"/>
  <c r="KB47" i="2"/>
  <c r="KA47" i="2"/>
  <c r="JZ47" i="2"/>
  <c r="JY47" i="2"/>
  <c r="JX47" i="2"/>
  <c r="JW47" i="2"/>
  <c r="JV47" i="2"/>
  <c r="JU47" i="2"/>
  <c r="JT47" i="2"/>
  <c r="JS47" i="2"/>
  <c r="JR47" i="2"/>
  <c r="JQ47" i="2"/>
  <c r="JP47" i="2"/>
  <c r="JO47" i="2"/>
  <c r="JN47" i="2"/>
  <c r="JM47" i="2"/>
  <c r="JL47" i="2"/>
  <c r="JK47" i="2"/>
  <c r="JJ47" i="2"/>
  <c r="JI47" i="2"/>
  <c r="JH47" i="2"/>
  <c r="JG47" i="2"/>
  <c r="JF47" i="2"/>
  <c r="JE47" i="2"/>
  <c r="JD47" i="2"/>
  <c r="JC47" i="2"/>
  <c r="JB47" i="2"/>
  <c r="JA47" i="2"/>
  <c r="IZ47" i="2"/>
  <c r="IY47" i="2"/>
  <c r="IX47" i="2"/>
  <c r="IW47" i="2"/>
  <c r="IV47" i="2"/>
  <c r="IU47" i="2"/>
  <c r="IT47" i="2"/>
  <c r="IS47" i="2"/>
  <c r="IR47" i="2"/>
  <c r="IQ47" i="2"/>
  <c r="IP47" i="2"/>
  <c r="IO47" i="2"/>
  <c r="IN47" i="2"/>
  <c r="IM47" i="2"/>
  <c r="IL47" i="2"/>
  <c r="IK47" i="2"/>
  <c r="IJ47" i="2"/>
  <c r="II47" i="2"/>
  <c r="IH47" i="2"/>
  <c r="IG47" i="2"/>
  <c r="IF47" i="2"/>
  <c r="IE47" i="2"/>
  <c r="ID47" i="2"/>
  <c r="IC47" i="2"/>
  <c r="IB47" i="2"/>
  <c r="IA47" i="2"/>
  <c r="HZ47" i="2"/>
  <c r="HY47" i="2"/>
  <c r="HX47" i="2"/>
  <c r="HW47" i="2"/>
  <c r="HV47" i="2"/>
  <c r="HU47" i="2"/>
  <c r="HT47" i="2"/>
  <c r="HS47" i="2"/>
  <c r="HR47" i="2"/>
  <c r="HQ47" i="2"/>
  <c r="HP47" i="2"/>
  <c r="HO47" i="2"/>
  <c r="HN47" i="2"/>
  <c r="HM47" i="2"/>
  <c r="HL47" i="2"/>
  <c r="HK47" i="2"/>
  <c r="HJ47" i="2"/>
  <c r="HI47" i="2"/>
  <c r="HH47" i="2"/>
  <c r="HG47" i="2"/>
  <c r="HF47" i="2"/>
  <c r="HE47" i="2"/>
  <c r="HD47" i="2"/>
  <c r="HC47" i="2"/>
  <c r="HB47" i="2"/>
  <c r="HA47" i="2"/>
  <c r="GZ47" i="2"/>
  <c r="GY47" i="2"/>
  <c r="GX47" i="2"/>
  <c r="GW47" i="2"/>
  <c r="GV47" i="2"/>
  <c r="GU47" i="2"/>
  <c r="GT47" i="2"/>
  <c r="GS47" i="2"/>
  <c r="GR47" i="2"/>
  <c r="GQ47" i="2"/>
  <c r="GP47" i="2"/>
  <c r="GO47" i="2"/>
  <c r="GN47" i="2"/>
  <c r="GM47" i="2"/>
  <c r="GL47" i="2"/>
  <c r="GK47" i="2"/>
  <c r="GJ47" i="2"/>
  <c r="GI47" i="2"/>
  <c r="GH47" i="2"/>
  <c r="GG47" i="2"/>
  <c r="GF47" i="2"/>
  <c r="GE47" i="2"/>
  <c r="GD47" i="2"/>
  <c r="GC47" i="2"/>
  <c r="GB47" i="2"/>
  <c r="GA47" i="2"/>
  <c r="FZ47" i="2"/>
  <c r="FY47" i="2"/>
  <c r="FX47" i="2"/>
  <c r="FW47" i="2"/>
  <c r="FV47" i="2"/>
  <c r="FU47" i="2"/>
  <c r="FT47" i="2"/>
  <c r="FS47" i="2"/>
  <c r="FR47" i="2"/>
  <c r="FQ47" i="2"/>
  <c r="FP47" i="2"/>
  <c r="FO47" i="2"/>
  <c r="FN47" i="2"/>
  <c r="FM47" i="2"/>
  <c r="FL47" i="2"/>
  <c r="FK47" i="2"/>
  <c r="FJ47" i="2"/>
  <c r="FI47" i="2"/>
  <c r="FH47" i="2"/>
  <c r="FG47" i="2"/>
  <c r="FF47" i="2"/>
  <c r="FE47" i="2"/>
  <c r="FD47" i="2"/>
  <c r="FC47" i="2"/>
  <c r="FB47" i="2"/>
  <c r="FA47" i="2"/>
  <c r="EZ47" i="2"/>
  <c r="EY47" i="2"/>
  <c r="EX47" i="2"/>
  <c r="EW47" i="2"/>
  <c r="EV47" i="2"/>
  <c r="EU47" i="2"/>
  <c r="ET47" i="2"/>
  <c r="ES47" i="2"/>
  <c r="ER47" i="2"/>
  <c r="EQ47" i="2"/>
  <c r="EP47" i="2"/>
  <c r="EO47" i="2"/>
  <c r="EN47" i="2"/>
  <c r="EM47" i="2"/>
  <c r="EL47" i="2"/>
  <c r="EK47" i="2"/>
  <c r="EJ47" i="2"/>
  <c r="EI47" i="2"/>
  <c r="EH47" i="2"/>
  <c r="EG47" i="2"/>
  <c r="EF47" i="2"/>
  <c r="EE47" i="2"/>
  <c r="ED47" i="2"/>
  <c r="EC47" i="2"/>
  <c r="EB47" i="2"/>
  <c r="EA47" i="2"/>
  <c r="DZ47" i="2"/>
  <c r="DY47" i="2"/>
  <c r="DX47" i="2"/>
  <c r="DW47" i="2"/>
  <c r="DV47" i="2"/>
  <c r="DU47" i="2"/>
  <c r="DT47" i="2"/>
  <c r="DS47" i="2"/>
  <c r="DR47" i="2"/>
  <c r="DQ47" i="2"/>
  <c r="DP47" i="2"/>
  <c r="DO47" i="2"/>
  <c r="DN47" i="2"/>
  <c r="DM47" i="2"/>
  <c r="DL47" i="2"/>
  <c r="DK47" i="2"/>
  <c r="DJ47" i="2"/>
  <c r="RA36" i="2"/>
  <c r="QZ36" i="2"/>
  <c r="QY36" i="2"/>
  <c r="QX36" i="2"/>
  <c r="QW36" i="2"/>
  <c r="QV36" i="2"/>
  <c r="QU36" i="2"/>
  <c r="QT36" i="2"/>
  <c r="QS36" i="2"/>
  <c r="QR36" i="2"/>
  <c r="QQ36" i="2"/>
  <c r="QP36" i="2"/>
  <c r="QO36" i="2"/>
  <c r="QN36" i="2"/>
  <c r="QM36" i="2"/>
  <c r="QL36" i="2"/>
  <c r="QK36" i="2"/>
  <c r="QJ36" i="2"/>
  <c r="QI36" i="2"/>
  <c r="QH36" i="2"/>
  <c r="QG36" i="2"/>
  <c r="QF36" i="2"/>
  <c r="QE36" i="2"/>
  <c r="QD36" i="2"/>
  <c r="QC36" i="2"/>
  <c r="QB36" i="2"/>
  <c r="QA36" i="2"/>
  <c r="PZ36" i="2"/>
  <c r="PY36" i="2"/>
  <c r="PX36" i="2"/>
  <c r="PW36" i="2"/>
  <c r="PV36" i="2"/>
  <c r="PU36" i="2"/>
  <c r="PT36" i="2"/>
  <c r="PS36" i="2"/>
  <c r="PR36" i="2"/>
  <c r="PQ36" i="2"/>
  <c r="PP36" i="2"/>
  <c r="PO36" i="2"/>
  <c r="PN36" i="2"/>
  <c r="PM36" i="2"/>
  <c r="PL36" i="2"/>
  <c r="PK36" i="2"/>
  <c r="PJ36" i="2"/>
  <c r="PI36" i="2"/>
  <c r="PH36" i="2"/>
  <c r="PG36" i="2"/>
  <c r="PF36" i="2"/>
  <c r="PE36" i="2"/>
  <c r="PD36" i="2"/>
  <c r="PC36" i="2"/>
  <c r="PB36" i="2"/>
  <c r="PA36" i="2"/>
  <c r="OZ36" i="2"/>
  <c r="OY36" i="2"/>
  <c r="OX36" i="2"/>
  <c r="OW36" i="2"/>
  <c r="OV36" i="2"/>
  <c r="OU36" i="2"/>
  <c r="OT36" i="2"/>
  <c r="OS36" i="2"/>
  <c r="OR36" i="2"/>
  <c r="OQ36" i="2"/>
  <c r="OP36" i="2"/>
  <c r="OO36" i="2"/>
  <c r="ON36" i="2"/>
  <c r="OM36" i="2"/>
  <c r="OL36" i="2"/>
  <c r="OK36" i="2"/>
  <c r="OJ36" i="2"/>
  <c r="OI36" i="2"/>
  <c r="OH36" i="2"/>
  <c r="OG36" i="2"/>
  <c r="OF36" i="2"/>
  <c r="OE36" i="2"/>
  <c r="OD36" i="2"/>
  <c r="OC36" i="2"/>
  <c r="OB36" i="2"/>
  <c r="OA36" i="2"/>
  <c r="NZ36" i="2"/>
  <c r="NY36" i="2"/>
  <c r="NX36" i="2"/>
  <c r="NW36" i="2"/>
  <c r="NV36" i="2"/>
  <c r="NU36" i="2"/>
  <c r="NT36" i="2"/>
  <c r="NS36" i="2"/>
  <c r="NR36" i="2"/>
  <c r="NQ36" i="2"/>
  <c r="NP36" i="2"/>
  <c r="NO36" i="2"/>
  <c r="NN36" i="2"/>
  <c r="NM36" i="2"/>
  <c r="NL36" i="2"/>
  <c r="NK36" i="2"/>
  <c r="NJ36" i="2"/>
  <c r="NI36" i="2"/>
  <c r="NH36" i="2"/>
  <c r="NG36" i="2"/>
  <c r="NF36" i="2"/>
  <c r="NE36" i="2"/>
  <c r="ND36" i="2"/>
  <c r="NC36" i="2"/>
  <c r="NB36" i="2"/>
  <c r="NA36" i="2"/>
  <c r="MZ36" i="2"/>
  <c r="MY36" i="2"/>
  <c r="MX36" i="2"/>
  <c r="MW36" i="2"/>
  <c r="MV36" i="2"/>
  <c r="MU36" i="2"/>
  <c r="MT36" i="2"/>
  <c r="MS36" i="2"/>
  <c r="MR36" i="2"/>
  <c r="MQ36" i="2"/>
  <c r="MP36" i="2"/>
  <c r="MO36" i="2"/>
  <c r="MN36" i="2"/>
  <c r="MM36" i="2"/>
  <c r="ML36" i="2"/>
  <c r="MK36" i="2"/>
  <c r="MJ36" i="2"/>
  <c r="MI36" i="2"/>
  <c r="MH36" i="2"/>
  <c r="MG36" i="2"/>
  <c r="MF36" i="2"/>
  <c r="ME36" i="2"/>
  <c r="MD36" i="2"/>
  <c r="MC36" i="2"/>
  <c r="MB36" i="2"/>
  <c r="MA36" i="2"/>
  <c r="LZ36" i="2"/>
  <c r="LY36" i="2"/>
  <c r="LX36" i="2"/>
  <c r="LW36" i="2"/>
  <c r="LV36" i="2"/>
  <c r="LU36" i="2"/>
  <c r="LT36" i="2"/>
  <c r="LS36" i="2"/>
  <c r="LR36" i="2"/>
  <c r="LQ36" i="2"/>
  <c r="LP36" i="2"/>
  <c r="LO36" i="2"/>
  <c r="LN36" i="2"/>
  <c r="LM36" i="2"/>
  <c r="LL36" i="2"/>
  <c r="LK36" i="2"/>
  <c r="LJ36" i="2"/>
  <c r="LI36" i="2"/>
  <c r="LH36" i="2"/>
  <c r="LG36" i="2"/>
  <c r="LF36" i="2"/>
  <c r="LE36" i="2"/>
  <c r="LD36" i="2"/>
  <c r="LC36" i="2"/>
  <c r="LB36" i="2"/>
  <c r="LA36" i="2"/>
  <c r="KZ36" i="2"/>
  <c r="KY36" i="2"/>
  <c r="KX36" i="2"/>
  <c r="KW36" i="2"/>
  <c r="KV36" i="2"/>
  <c r="KU36" i="2"/>
  <c r="KT36" i="2"/>
  <c r="KS36" i="2"/>
  <c r="KR36" i="2"/>
  <c r="KQ36" i="2"/>
  <c r="KP36" i="2"/>
  <c r="KO36" i="2"/>
  <c r="KN36" i="2"/>
  <c r="KM36" i="2"/>
  <c r="KL36" i="2"/>
  <c r="KK36" i="2"/>
  <c r="KJ36" i="2"/>
  <c r="KI36" i="2"/>
  <c r="KH36" i="2"/>
  <c r="KG36" i="2"/>
  <c r="KF36" i="2"/>
  <c r="KE36" i="2"/>
  <c r="KD36" i="2"/>
  <c r="KC36" i="2"/>
  <c r="KB36" i="2"/>
  <c r="KA36" i="2"/>
  <c r="JZ36" i="2"/>
  <c r="JY36" i="2"/>
  <c r="JX36" i="2"/>
  <c r="JW36" i="2"/>
  <c r="JV36" i="2"/>
  <c r="JU36" i="2"/>
  <c r="JT36" i="2"/>
  <c r="JS36" i="2"/>
  <c r="JR36" i="2"/>
  <c r="JQ36" i="2"/>
  <c r="JP36" i="2"/>
  <c r="JO36" i="2"/>
  <c r="JN36" i="2"/>
  <c r="JM36" i="2"/>
  <c r="JL36" i="2"/>
  <c r="JK36" i="2"/>
  <c r="JJ36" i="2"/>
  <c r="JI36" i="2"/>
  <c r="JH36" i="2"/>
  <c r="JG36" i="2"/>
  <c r="JF36" i="2"/>
  <c r="JE36" i="2"/>
  <c r="JD36" i="2"/>
  <c r="JC36" i="2"/>
  <c r="JB36" i="2"/>
  <c r="JA36" i="2"/>
  <c r="IZ36" i="2"/>
  <c r="IY36" i="2"/>
  <c r="IX36" i="2"/>
  <c r="IW36" i="2"/>
  <c r="IV36" i="2"/>
  <c r="IU36" i="2"/>
  <c r="IT36" i="2"/>
  <c r="IS36" i="2"/>
  <c r="IR36" i="2"/>
  <c r="IQ36" i="2"/>
  <c r="IP36" i="2"/>
  <c r="IO36" i="2"/>
  <c r="IN36" i="2"/>
  <c r="IM36" i="2"/>
  <c r="IL36" i="2"/>
  <c r="IK36" i="2"/>
  <c r="IJ36" i="2"/>
  <c r="II36" i="2"/>
  <c r="IH36" i="2"/>
  <c r="IG36" i="2"/>
  <c r="IF36" i="2"/>
  <c r="IE36" i="2"/>
  <c r="ID36" i="2"/>
  <c r="IC36" i="2"/>
  <c r="IB36" i="2"/>
  <c r="IA36" i="2"/>
  <c r="HZ36" i="2"/>
  <c r="HY36" i="2"/>
  <c r="HX36" i="2"/>
  <c r="HW36" i="2"/>
  <c r="HV36" i="2"/>
  <c r="HU36" i="2"/>
  <c r="HT36" i="2"/>
  <c r="HS36" i="2"/>
  <c r="HR36" i="2"/>
  <c r="HQ36" i="2"/>
  <c r="HP36" i="2"/>
  <c r="HO36" i="2"/>
  <c r="HN36" i="2"/>
  <c r="HM36" i="2"/>
  <c r="HL36" i="2"/>
  <c r="HK36" i="2"/>
  <c r="HJ36" i="2"/>
  <c r="HI36" i="2"/>
  <c r="HH36" i="2"/>
  <c r="HG36" i="2"/>
  <c r="HF36" i="2"/>
  <c r="HE36" i="2"/>
  <c r="HD36" i="2"/>
  <c r="HC36" i="2"/>
  <c r="HB36" i="2"/>
  <c r="HA36" i="2"/>
  <c r="GZ36" i="2"/>
  <c r="GY36" i="2"/>
  <c r="GX36" i="2"/>
  <c r="GW36" i="2"/>
  <c r="GV36" i="2"/>
  <c r="GU36" i="2"/>
  <c r="GT36" i="2"/>
  <c r="GS36" i="2"/>
  <c r="GR36" i="2"/>
  <c r="GQ36" i="2"/>
  <c r="GP36" i="2"/>
  <c r="GO36" i="2"/>
  <c r="GN36" i="2"/>
  <c r="GM36" i="2"/>
  <c r="GL36" i="2"/>
  <c r="GK36" i="2"/>
  <c r="GJ36" i="2"/>
  <c r="GI36" i="2"/>
  <c r="GH36" i="2"/>
  <c r="GG36" i="2"/>
  <c r="GF36" i="2"/>
  <c r="GE36" i="2"/>
  <c r="GD36" i="2"/>
  <c r="GC36" i="2"/>
  <c r="GB36" i="2"/>
  <c r="GA36" i="2"/>
  <c r="FZ36" i="2"/>
  <c r="FY36" i="2"/>
  <c r="FX36" i="2"/>
  <c r="FW36" i="2"/>
  <c r="FV36" i="2"/>
  <c r="FU36" i="2"/>
  <c r="FT36" i="2"/>
  <c r="FS36" i="2"/>
  <c r="FR36" i="2"/>
  <c r="FQ36" i="2"/>
  <c r="FP36" i="2"/>
  <c r="FO36" i="2"/>
  <c r="FN36" i="2"/>
  <c r="FM36" i="2"/>
  <c r="FL36" i="2"/>
  <c r="FK36" i="2"/>
  <c r="FJ36" i="2"/>
  <c r="FI36" i="2"/>
  <c r="FH36" i="2"/>
  <c r="FG36" i="2"/>
  <c r="FF36" i="2"/>
  <c r="FE36" i="2"/>
  <c r="FD36" i="2"/>
  <c r="FC36" i="2"/>
  <c r="FB36" i="2"/>
  <c r="FA36" i="2"/>
  <c r="EZ36" i="2"/>
  <c r="EY36" i="2"/>
  <c r="EX36" i="2"/>
  <c r="EW36" i="2"/>
  <c r="EV36" i="2"/>
  <c r="EU36" i="2"/>
  <c r="ET36" i="2"/>
  <c r="ES36" i="2"/>
  <c r="ER36" i="2"/>
  <c r="EQ36" i="2"/>
  <c r="EP36" i="2"/>
  <c r="EO36" i="2"/>
  <c r="EN36" i="2"/>
  <c r="EM36" i="2"/>
  <c r="EL36" i="2"/>
  <c r="EK36" i="2"/>
  <c r="EJ36" i="2"/>
  <c r="EI36" i="2"/>
  <c r="EH36" i="2"/>
  <c r="EG36" i="2"/>
  <c r="EF36" i="2"/>
  <c r="EE36" i="2"/>
  <c r="ED36" i="2"/>
  <c r="EC36" i="2"/>
  <c r="EB36" i="2"/>
  <c r="EA36" i="2"/>
  <c r="DZ36" i="2"/>
  <c r="DY36" i="2"/>
  <c r="DX36" i="2"/>
  <c r="DW36" i="2"/>
  <c r="DV36" i="2"/>
  <c r="DU36" i="2"/>
  <c r="DT36" i="2"/>
  <c r="DS36" i="2"/>
  <c r="DR36" i="2"/>
  <c r="DQ36" i="2"/>
  <c r="DP36" i="2"/>
  <c r="DO36" i="2"/>
  <c r="DN36" i="2"/>
  <c r="DM36" i="2"/>
  <c r="DL36" i="2"/>
  <c r="DK36" i="2"/>
  <c r="DJ36" i="2"/>
  <c r="S26" i="20"/>
  <c r="O27" i="20" l="1"/>
  <c r="QZ14" i="2"/>
  <c r="QZ25" i="2"/>
  <c r="QY25" i="2"/>
  <c r="QX25" i="2"/>
  <c r="QW25" i="2"/>
  <c r="QV25" i="2"/>
  <c r="QU25" i="2"/>
  <c r="QT25" i="2"/>
  <c r="QS25" i="2"/>
  <c r="QR25" i="2"/>
  <c r="QQ25" i="2"/>
  <c r="QP25" i="2"/>
  <c r="QO25" i="2"/>
  <c r="QN25" i="2"/>
  <c r="QM25" i="2"/>
  <c r="QL25" i="2"/>
  <c r="QK25" i="2"/>
  <c r="QJ25" i="2"/>
  <c r="QI25" i="2"/>
  <c r="QH25" i="2"/>
  <c r="QG25" i="2"/>
  <c r="QF25" i="2"/>
  <c r="QE25" i="2"/>
  <c r="QD25" i="2"/>
  <c r="QC25" i="2"/>
  <c r="QB25" i="2"/>
  <c r="QA25" i="2"/>
  <c r="PZ25" i="2"/>
  <c r="PY25" i="2"/>
  <c r="PX25" i="2"/>
  <c r="PW25" i="2"/>
  <c r="PV25" i="2"/>
  <c r="PU25" i="2"/>
  <c r="PT25" i="2"/>
  <c r="PS25" i="2"/>
  <c r="PR25" i="2"/>
  <c r="PQ25" i="2"/>
  <c r="PP25" i="2"/>
  <c r="PO25" i="2"/>
  <c r="PN25" i="2"/>
  <c r="PM25" i="2"/>
  <c r="PL25" i="2"/>
  <c r="PK25" i="2"/>
  <c r="PJ25" i="2"/>
  <c r="PI25" i="2"/>
  <c r="PH25" i="2"/>
  <c r="PG25" i="2"/>
  <c r="PF25" i="2"/>
  <c r="PE25" i="2"/>
  <c r="PD25" i="2"/>
  <c r="PC25" i="2"/>
  <c r="PB25" i="2"/>
  <c r="PA25" i="2"/>
  <c r="OZ25" i="2"/>
  <c r="OY25" i="2"/>
  <c r="OX25" i="2"/>
  <c r="OW25" i="2"/>
  <c r="OV25" i="2"/>
  <c r="OU25" i="2"/>
  <c r="OT25" i="2"/>
  <c r="OS25" i="2"/>
  <c r="OR25" i="2"/>
  <c r="OQ25" i="2"/>
  <c r="OP25" i="2"/>
  <c r="OO25" i="2"/>
  <c r="ON25" i="2"/>
  <c r="OM25" i="2"/>
  <c r="OL25" i="2"/>
  <c r="OK25" i="2"/>
  <c r="OJ25" i="2"/>
  <c r="OI25" i="2"/>
  <c r="OH25" i="2"/>
  <c r="OG25" i="2"/>
  <c r="OF25" i="2"/>
  <c r="OE25" i="2"/>
  <c r="OD25" i="2"/>
  <c r="OC25" i="2"/>
  <c r="OB25" i="2"/>
  <c r="OA25" i="2"/>
  <c r="NZ25" i="2"/>
  <c r="NY25" i="2"/>
  <c r="NX25" i="2"/>
  <c r="NW25" i="2"/>
  <c r="NV25" i="2"/>
  <c r="NU25" i="2"/>
  <c r="NT25" i="2"/>
  <c r="NS25" i="2"/>
  <c r="NR25" i="2"/>
  <c r="NQ25" i="2"/>
  <c r="NP25" i="2"/>
  <c r="NO25" i="2"/>
  <c r="NN25" i="2"/>
  <c r="NM25" i="2"/>
  <c r="NL25" i="2"/>
  <c r="NK25" i="2"/>
  <c r="NJ25" i="2"/>
  <c r="NI25" i="2"/>
  <c r="NH25" i="2"/>
  <c r="NG25" i="2"/>
  <c r="NF25" i="2"/>
  <c r="NE25" i="2"/>
  <c r="ND25" i="2"/>
  <c r="NC25" i="2"/>
  <c r="NB25" i="2"/>
  <c r="NA25" i="2"/>
  <c r="MZ25" i="2"/>
  <c r="MY25" i="2"/>
  <c r="MX25" i="2"/>
  <c r="MW25" i="2"/>
  <c r="MV25" i="2"/>
  <c r="MU25" i="2"/>
  <c r="MT25" i="2"/>
  <c r="MS25" i="2"/>
  <c r="MR25" i="2"/>
  <c r="MQ25" i="2"/>
  <c r="MP25" i="2"/>
  <c r="MO25" i="2"/>
  <c r="MN25" i="2"/>
  <c r="MM25" i="2"/>
  <c r="ML25" i="2"/>
  <c r="MK25" i="2"/>
  <c r="MJ25" i="2"/>
  <c r="MI25" i="2"/>
  <c r="MH25" i="2"/>
  <c r="MG25" i="2"/>
  <c r="MF25" i="2"/>
  <c r="ME25" i="2"/>
  <c r="MD25" i="2"/>
  <c r="MC25" i="2"/>
  <c r="MB25" i="2"/>
  <c r="MA25" i="2"/>
  <c r="LZ25" i="2"/>
  <c r="LY25" i="2"/>
  <c r="LX25" i="2"/>
  <c r="LW25" i="2"/>
  <c r="LV25" i="2"/>
  <c r="LU25" i="2"/>
  <c r="LT25" i="2"/>
  <c r="LS25" i="2"/>
  <c r="LR25" i="2"/>
  <c r="LQ25" i="2"/>
  <c r="LP25" i="2"/>
  <c r="LO25" i="2"/>
  <c r="LN25" i="2"/>
  <c r="LM25" i="2"/>
  <c r="LL25" i="2"/>
  <c r="LK25" i="2"/>
  <c r="LJ25" i="2"/>
  <c r="LI25" i="2"/>
  <c r="LH25" i="2"/>
  <c r="LG25" i="2"/>
  <c r="LF25" i="2"/>
  <c r="LE25" i="2"/>
  <c r="LD25" i="2"/>
  <c r="LC25" i="2"/>
  <c r="LB25" i="2"/>
  <c r="LA25" i="2"/>
  <c r="KZ25" i="2"/>
  <c r="KY25" i="2"/>
  <c r="KX25" i="2"/>
  <c r="KW25" i="2"/>
  <c r="KV25" i="2"/>
  <c r="KU25" i="2"/>
  <c r="KT25" i="2"/>
  <c r="KS25" i="2"/>
  <c r="KR25" i="2"/>
  <c r="KQ25" i="2"/>
  <c r="KP25" i="2"/>
  <c r="KO25" i="2"/>
  <c r="KN25" i="2"/>
  <c r="KM25" i="2"/>
  <c r="KL25" i="2"/>
  <c r="KK25" i="2"/>
  <c r="KJ25" i="2"/>
  <c r="KI25" i="2"/>
  <c r="KH25" i="2"/>
  <c r="KG25" i="2"/>
  <c r="KF25" i="2"/>
  <c r="KE25" i="2"/>
  <c r="KD25" i="2"/>
  <c r="KC25" i="2"/>
  <c r="KB25" i="2"/>
  <c r="KA25" i="2"/>
  <c r="JZ25" i="2"/>
  <c r="JY25" i="2"/>
  <c r="JX25" i="2"/>
  <c r="JW25" i="2"/>
  <c r="JV25" i="2"/>
  <c r="JU25" i="2"/>
  <c r="JT25" i="2"/>
  <c r="JS25" i="2"/>
  <c r="JR25" i="2"/>
  <c r="JQ25" i="2"/>
  <c r="JP25" i="2"/>
  <c r="JO25" i="2"/>
  <c r="JN25" i="2"/>
  <c r="JM25" i="2"/>
  <c r="JL25" i="2"/>
  <c r="JK25" i="2"/>
  <c r="JJ25" i="2"/>
  <c r="JI25" i="2"/>
  <c r="JH25" i="2"/>
  <c r="JG25" i="2"/>
  <c r="JF25" i="2"/>
  <c r="JE25" i="2"/>
  <c r="JD25" i="2"/>
  <c r="JC25" i="2"/>
  <c r="JB25" i="2"/>
  <c r="JA25" i="2"/>
  <c r="IZ25" i="2"/>
  <c r="IY25" i="2"/>
  <c r="IX25" i="2"/>
  <c r="IW25" i="2"/>
  <c r="IV25" i="2"/>
  <c r="IU25" i="2"/>
  <c r="IT25" i="2"/>
  <c r="IS25" i="2"/>
  <c r="IR25" i="2"/>
  <c r="IQ25" i="2"/>
  <c r="IP25" i="2"/>
  <c r="IO25" i="2"/>
  <c r="IN25" i="2"/>
  <c r="IM25" i="2"/>
  <c r="IL25" i="2"/>
  <c r="IK25" i="2"/>
  <c r="IJ25" i="2"/>
  <c r="II25" i="2"/>
  <c r="IH25" i="2"/>
  <c r="IG25" i="2"/>
  <c r="IF25" i="2"/>
  <c r="IE25" i="2"/>
  <c r="ID25" i="2"/>
  <c r="IC25" i="2"/>
  <c r="IB25" i="2"/>
  <c r="IA25" i="2"/>
  <c r="HZ25" i="2"/>
  <c r="HY25" i="2"/>
  <c r="HX25" i="2"/>
  <c r="HW25" i="2"/>
  <c r="HV25" i="2"/>
  <c r="HU25" i="2"/>
  <c r="HT25" i="2"/>
  <c r="HS25" i="2"/>
  <c r="HR25" i="2"/>
  <c r="HQ25" i="2"/>
  <c r="HP25" i="2"/>
  <c r="HO25" i="2"/>
  <c r="HN25" i="2"/>
  <c r="HM25" i="2"/>
  <c r="HL25" i="2"/>
  <c r="HK25" i="2"/>
  <c r="HJ25" i="2"/>
  <c r="HI25" i="2"/>
  <c r="HH25" i="2"/>
  <c r="HG25" i="2"/>
  <c r="HF25" i="2"/>
  <c r="HE25" i="2"/>
  <c r="HD25" i="2"/>
  <c r="HC25" i="2"/>
  <c r="HB25" i="2"/>
  <c r="HA25" i="2"/>
  <c r="GZ25" i="2"/>
  <c r="GY25" i="2"/>
  <c r="GX25" i="2"/>
  <c r="GW25" i="2"/>
  <c r="GV25" i="2"/>
  <c r="GU25" i="2"/>
  <c r="GT25" i="2"/>
  <c r="GS25" i="2"/>
  <c r="GR25" i="2"/>
  <c r="GQ25" i="2"/>
  <c r="GP25" i="2"/>
  <c r="GO25" i="2"/>
  <c r="GN25" i="2"/>
  <c r="GM25" i="2"/>
  <c r="GL25" i="2"/>
  <c r="GK25" i="2"/>
  <c r="GJ25" i="2"/>
  <c r="GI25" i="2"/>
  <c r="GH25" i="2"/>
  <c r="GG25" i="2"/>
  <c r="GF25" i="2"/>
  <c r="GE25" i="2"/>
  <c r="GD25" i="2"/>
  <c r="GC25" i="2"/>
  <c r="GB25" i="2"/>
  <c r="GA25" i="2"/>
  <c r="FZ25" i="2"/>
  <c r="FY25" i="2"/>
  <c r="FX25" i="2"/>
  <c r="FW25" i="2"/>
  <c r="FV25" i="2"/>
  <c r="FU25" i="2"/>
  <c r="FT25" i="2"/>
  <c r="FS25" i="2"/>
  <c r="FR25" i="2"/>
  <c r="FQ25" i="2"/>
  <c r="FP25" i="2"/>
  <c r="FO25" i="2"/>
  <c r="FN25" i="2"/>
  <c r="FM25" i="2"/>
  <c r="FL25" i="2"/>
  <c r="FK25" i="2"/>
  <c r="FJ25" i="2"/>
  <c r="FI25" i="2"/>
  <c r="FH25" i="2"/>
  <c r="FG25" i="2"/>
  <c r="FF25" i="2"/>
  <c r="FE25" i="2"/>
  <c r="FD25" i="2"/>
  <c r="FC25" i="2"/>
  <c r="FB25" i="2"/>
  <c r="FA25" i="2"/>
  <c r="EZ25" i="2"/>
  <c r="EY25" i="2"/>
  <c r="EX25" i="2"/>
  <c r="EW25" i="2"/>
  <c r="EV25" i="2"/>
  <c r="EU25" i="2"/>
  <c r="ET25" i="2"/>
  <c r="ES25" i="2"/>
  <c r="ER25" i="2"/>
  <c r="EQ25" i="2"/>
  <c r="EP25" i="2"/>
  <c r="EO25" i="2"/>
  <c r="EN25" i="2"/>
  <c r="EM25" i="2"/>
  <c r="EL25" i="2"/>
  <c r="EK25" i="2"/>
  <c r="EJ25" i="2"/>
  <c r="EI25" i="2"/>
  <c r="EH25" i="2"/>
  <c r="EG25" i="2"/>
  <c r="EF25" i="2"/>
  <c r="EE25" i="2"/>
  <c r="ED25" i="2"/>
  <c r="EC25" i="2"/>
  <c r="EB25" i="2"/>
  <c r="EA25" i="2"/>
  <c r="DZ25" i="2"/>
  <c r="DY25" i="2"/>
  <c r="DX25" i="2"/>
  <c r="DW25" i="2"/>
  <c r="DV25" i="2"/>
  <c r="DU25" i="2"/>
  <c r="DT25" i="2"/>
  <c r="DS25" i="2"/>
  <c r="DR25" i="2"/>
  <c r="DQ25" i="2"/>
  <c r="DP25" i="2"/>
  <c r="DO25" i="2"/>
  <c r="DN25" i="2"/>
  <c r="DM25" i="2"/>
  <c r="DL25" i="2"/>
  <c r="DK25" i="2"/>
  <c r="DJ25" i="2"/>
  <c r="O28" i="20" l="1"/>
  <c r="DQ14" i="2"/>
  <c r="DR14" i="2"/>
  <c r="DS14" i="2"/>
  <c r="DT14" i="2"/>
  <c r="DU14" i="2"/>
  <c r="DV14" i="2"/>
  <c r="DW14" i="2"/>
  <c r="DX14" i="2"/>
  <c r="DY14" i="2"/>
  <c r="DZ14" i="2"/>
  <c r="EA14" i="2"/>
  <c r="EB14" i="2"/>
  <c r="EC14" i="2"/>
  <c r="ED14" i="2"/>
  <c r="EE14" i="2"/>
  <c r="EF14" i="2"/>
  <c r="EG14" i="2"/>
  <c r="EH14" i="2"/>
  <c r="EI14" i="2"/>
  <c r="EJ14" i="2"/>
  <c r="EK14" i="2"/>
  <c r="EL14" i="2"/>
  <c r="EM14" i="2"/>
  <c r="EN14" i="2"/>
  <c r="EO14" i="2"/>
  <c r="EP14" i="2"/>
  <c r="EQ14" i="2"/>
  <c r="ER14" i="2"/>
  <c r="ES14" i="2"/>
  <c r="ET14" i="2"/>
  <c r="EU14" i="2"/>
  <c r="EV14" i="2"/>
  <c r="EW14" i="2"/>
  <c r="EX14" i="2"/>
  <c r="EY14" i="2"/>
  <c r="EZ14" i="2"/>
  <c r="FA14" i="2"/>
  <c r="FB14" i="2"/>
  <c r="FC14" i="2"/>
  <c r="FD14" i="2"/>
  <c r="FE14" i="2"/>
  <c r="FF14" i="2"/>
  <c r="FG14" i="2"/>
  <c r="FH14" i="2"/>
  <c r="FI14" i="2"/>
  <c r="FJ14" i="2"/>
  <c r="FK14" i="2"/>
  <c r="FL14" i="2"/>
  <c r="FM14" i="2"/>
  <c r="FN14" i="2"/>
  <c r="FO14" i="2"/>
  <c r="FP14" i="2"/>
  <c r="FQ14" i="2"/>
  <c r="FR14" i="2"/>
  <c r="FS14" i="2"/>
  <c r="FT14" i="2"/>
  <c r="FU14" i="2"/>
  <c r="FV14" i="2"/>
  <c r="FW14" i="2"/>
  <c r="FX14" i="2"/>
  <c r="FY14" i="2"/>
  <c r="FZ14" i="2"/>
  <c r="GA14" i="2"/>
  <c r="GB14" i="2"/>
  <c r="GC14" i="2"/>
  <c r="GD14" i="2"/>
  <c r="GE14" i="2"/>
  <c r="GF14" i="2"/>
  <c r="GG14" i="2"/>
  <c r="GH14" i="2"/>
  <c r="GI14" i="2"/>
  <c r="GJ14" i="2"/>
  <c r="GK14" i="2"/>
  <c r="GL14" i="2"/>
  <c r="GM14" i="2"/>
  <c r="GN14" i="2"/>
  <c r="GO14" i="2"/>
  <c r="GP14" i="2"/>
  <c r="GQ14" i="2"/>
  <c r="GR14" i="2"/>
  <c r="GS14" i="2"/>
  <c r="GT14" i="2"/>
  <c r="GU14" i="2"/>
  <c r="GV14" i="2"/>
  <c r="GW14" i="2"/>
  <c r="GX14" i="2"/>
  <c r="GY14" i="2"/>
  <c r="GZ14" i="2"/>
  <c r="HA14" i="2"/>
  <c r="HB14" i="2"/>
  <c r="HC14" i="2"/>
  <c r="HD14" i="2"/>
  <c r="HE14" i="2"/>
  <c r="HF14" i="2"/>
  <c r="HG14" i="2"/>
  <c r="HH14" i="2"/>
  <c r="HI14" i="2"/>
  <c r="HJ14" i="2"/>
  <c r="HK14" i="2"/>
  <c r="HL14" i="2"/>
  <c r="HM14" i="2"/>
  <c r="HN14" i="2"/>
  <c r="HO14" i="2"/>
  <c r="HP14" i="2"/>
  <c r="HQ14" i="2"/>
  <c r="HR14" i="2"/>
  <c r="HS14" i="2"/>
  <c r="HT14" i="2"/>
  <c r="HU14" i="2"/>
  <c r="HV14" i="2"/>
  <c r="HW14" i="2"/>
  <c r="HX14" i="2"/>
  <c r="HY14" i="2"/>
  <c r="HZ14" i="2"/>
  <c r="IA14" i="2"/>
  <c r="IB14" i="2"/>
  <c r="IC14" i="2"/>
  <c r="ID14" i="2"/>
  <c r="IE14" i="2"/>
  <c r="IF14" i="2"/>
  <c r="IG14" i="2"/>
  <c r="IH14" i="2"/>
  <c r="II14" i="2"/>
  <c r="IJ14" i="2"/>
  <c r="IK14" i="2"/>
  <c r="IL14" i="2"/>
  <c r="IM14" i="2"/>
  <c r="IN14" i="2"/>
  <c r="IO14" i="2"/>
  <c r="IP14" i="2"/>
  <c r="IQ14" i="2"/>
  <c r="IR14" i="2"/>
  <c r="IS14" i="2"/>
  <c r="IT14" i="2"/>
  <c r="IU14" i="2"/>
  <c r="IV14" i="2"/>
  <c r="IW14" i="2"/>
  <c r="IX14" i="2"/>
  <c r="IY14" i="2"/>
  <c r="IZ14" i="2"/>
  <c r="JA14" i="2"/>
  <c r="JB14" i="2"/>
  <c r="JC14" i="2"/>
  <c r="JD14" i="2"/>
  <c r="JE14" i="2"/>
  <c r="JF14" i="2"/>
  <c r="JG14" i="2"/>
  <c r="JH14" i="2"/>
  <c r="JI14" i="2"/>
  <c r="JJ14" i="2"/>
  <c r="JK14" i="2"/>
  <c r="JL14" i="2"/>
  <c r="JM14" i="2"/>
  <c r="JN14" i="2"/>
  <c r="JO14" i="2"/>
  <c r="JP14" i="2"/>
  <c r="JQ14" i="2"/>
  <c r="JR14" i="2"/>
  <c r="JS14" i="2"/>
  <c r="JT14" i="2"/>
  <c r="JU14" i="2"/>
  <c r="JV14" i="2"/>
  <c r="JW14" i="2"/>
  <c r="JX14" i="2"/>
  <c r="JY14" i="2"/>
  <c r="JZ14" i="2"/>
  <c r="KA14" i="2"/>
  <c r="KB14" i="2"/>
  <c r="KC14" i="2"/>
  <c r="KD14" i="2"/>
  <c r="KE14" i="2"/>
  <c r="KF14" i="2"/>
  <c r="KG14" i="2"/>
  <c r="KH14" i="2"/>
  <c r="KI14" i="2"/>
  <c r="KJ14" i="2"/>
  <c r="KK14" i="2"/>
  <c r="KL14" i="2"/>
  <c r="KM14" i="2"/>
  <c r="KN14" i="2"/>
  <c r="KO14" i="2"/>
  <c r="KP14" i="2"/>
  <c r="KQ14" i="2"/>
  <c r="KR14" i="2"/>
  <c r="KS14" i="2"/>
  <c r="KT14" i="2"/>
  <c r="KU14" i="2"/>
  <c r="KV14" i="2"/>
  <c r="KW14" i="2"/>
  <c r="KX14" i="2"/>
  <c r="KY14" i="2"/>
  <c r="KZ14" i="2"/>
  <c r="LA14" i="2"/>
  <c r="LB14" i="2"/>
  <c r="LC14" i="2"/>
  <c r="LD14" i="2"/>
  <c r="LE14" i="2"/>
  <c r="LF14" i="2"/>
  <c r="LG14" i="2"/>
  <c r="LH14" i="2"/>
  <c r="LI14" i="2"/>
  <c r="LJ14" i="2"/>
  <c r="LK14" i="2"/>
  <c r="LL14" i="2"/>
  <c r="LM14" i="2"/>
  <c r="LN14" i="2"/>
  <c r="LO14" i="2"/>
  <c r="LP14" i="2"/>
  <c r="LQ14" i="2"/>
  <c r="LR14" i="2"/>
  <c r="LS14" i="2"/>
  <c r="LT14" i="2"/>
  <c r="LU14" i="2"/>
  <c r="LV14" i="2"/>
  <c r="LW14" i="2"/>
  <c r="LX14" i="2"/>
  <c r="LY14" i="2"/>
  <c r="LZ14" i="2"/>
  <c r="MA14" i="2"/>
  <c r="MB14" i="2"/>
  <c r="MC14" i="2"/>
  <c r="MD14" i="2"/>
  <c r="ME14" i="2"/>
  <c r="MF14" i="2"/>
  <c r="MG14" i="2"/>
  <c r="MH14" i="2"/>
  <c r="MI14" i="2"/>
  <c r="MJ14" i="2"/>
  <c r="MK14" i="2"/>
  <c r="ML14" i="2"/>
  <c r="MM14" i="2"/>
  <c r="MN14" i="2"/>
  <c r="MO14" i="2"/>
  <c r="MP14" i="2"/>
  <c r="MQ14" i="2"/>
  <c r="MR14" i="2"/>
  <c r="MS14" i="2"/>
  <c r="MT14" i="2"/>
  <c r="MU14" i="2"/>
  <c r="MV14" i="2"/>
  <c r="MW14" i="2"/>
  <c r="MX14" i="2"/>
  <c r="MY14" i="2"/>
  <c r="MZ14" i="2"/>
  <c r="NA14" i="2"/>
  <c r="NB14" i="2"/>
  <c r="NC14" i="2"/>
  <c r="ND14" i="2"/>
  <c r="NE14" i="2"/>
  <c r="NF14" i="2"/>
  <c r="NG14" i="2"/>
  <c r="NH14" i="2"/>
  <c r="NI14" i="2"/>
  <c r="NJ14" i="2"/>
  <c r="NK14" i="2"/>
  <c r="NL14" i="2"/>
  <c r="NM14" i="2"/>
  <c r="NN14" i="2"/>
  <c r="NO14" i="2"/>
  <c r="NP14" i="2"/>
  <c r="NQ14" i="2"/>
  <c r="NR14" i="2"/>
  <c r="NS14" i="2"/>
  <c r="NT14" i="2"/>
  <c r="NU14" i="2"/>
  <c r="NV14" i="2"/>
  <c r="NW14" i="2"/>
  <c r="NX14" i="2"/>
  <c r="NY14" i="2"/>
  <c r="NZ14" i="2"/>
  <c r="OA14" i="2"/>
  <c r="OB14" i="2"/>
  <c r="OC14" i="2"/>
  <c r="OD14" i="2"/>
  <c r="OE14" i="2"/>
  <c r="OF14" i="2"/>
  <c r="OG14" i="2"/>
  <c r="OH14" i="2"/>
  <c r="OI14" i="2"/>
  <c r="OJ14" i="2"/>
  <c r="OK14" i="2"/>
  <c r="OL14" i="2"/>
  <c r="OM14" i="2"/>
  <c r="ON14" i="2"/>
  <c r="OO14" i="2"/>
  <c r="OP14" i="2"/>
  <c r="OQ14" i="2"/>
  <c r="OR14" i="2"/>
  <c r="OS14" i="2"/>
  <c r="OT14" i="2"/>
  <c r="OU14" i="2"/>
  <c r="OV14" i="2"/>
  <c r="OW14" i="2"/>
  <c r="OX14" i="2"/>
  <c r="OY14" i="2"/>
  <c r="OZ14" i="2"/>
  <c r="PA14" i="2"/>
  <c r="PB14" i="2"/>
  <c r="PC14" i="2"/>
  <c r="PD14" i="2"/>
  <c r="PE14" i="2"/>
  <c r="PF14" i="2"/>
  <c r="PG14" i="2"/>
  <c r="PH14" i="2"/>
  <c r="PI14" i="2"/>
  <c r="PJ14" i="2"/>
  <c r="PK14" i="2"/>
  <c r="PL14" i="2"/>
  <c r="PM14" i="2"/>
  <c r="PN14" i="2"/>
  <c r="PO14" i="2"/>
  <c r="PP14" i="2"/>
  <c r="PQ14" i="2"/>
  <c r="PR14" i="2"/>
  <c r="PS14" i="2"/>
  <c r="PT14" i="2"/>
  <c r="PU14" i="2"/>
  <c r="PV14" i="2"/>
  <c r="PW14" i="2"/>
  <c r="PX14" i="2"/>
  <c r="PY14" i="2"/>
  <c r="PZ14" i="2"/>
  <c r="QA14" i="2"/>
  <c r="QB14" i="2"/>
  <c r="QC14" i="2"/>
  <c r="QD14" i="2"/>
  <c r="QE14" i="2"/>
  <c r="QF14" i="2"/>
  <c r="QG14" i="2"/>
  <c r="QH14" i="2"/>
  <c r="QI14" i="2"/>
  <c r="QJ14" i="2"/>
  <c r="QK14" i="2"/>
  <c r="QL14" i="2"/>
  <c r="QM14" i="2"/>
  <c r="QN14" i="2"/>
  <c r="QO14" i="2"/>
  <c r="QP14" i="2"/>
  <c r="QQ14" i="2"/>
  <c r="QR14" i="2"/>
  <c r="QS14" i="2"/>
  <c r="QT14" i="2"/>
  <c r="QU14" i="2"/>
  <c r="QV14" i="2"/>
  <c r="QW14" i="2"/>
  <c r="QX14" i="2"/>
  <c r="QY14" i="2"/>
  <c r="DM14" i="2"/>
  <c r="DN14" i="2"/>
  <c r="DO14" i="2"/>
  <c r="DP14" i="2"/>
  <c r="DL14" i="2"/>
  <c r="DK14" i="2"/>
  <c r="DJ14" i="2"/>
  <c r="O29" i="20" l="1"/>
  <c r="EN3" i="2"/>
  <c r="EO3" i="2"/>
  <c r="EP3" i="2"/>
  <c r="EQ3" i="2"/>
  <c r="ER3" i="2"/>
  <c r="ES3" i="2"/>
  <c r="ET3" i="2"/>
  <c r="EU3" i="2"/>
  <c r="EV3" i="2"/>
  <c r="EW3" i="2"/>
  <c r="EX3" i="2"/>
  <c r="EY3" i="2"/>
  <c r="EZ3" i="2"/>
  <c r="FA3" i="2"/>
  <c r="FB3" i="2"/>
  <c r="FC3" i="2"/>
  <c r="FD3" i="2"/>
  <c r="FE3" i="2"/>
  <c r="FF3" i="2"/>
  <c r="FG3" i="2"/>
  <c r="FH3" i="2"/>
  <c r="FI3" i="2"/>
  <c r="FJ3" i="2"/>
  <c r="FK3" i="2"/>
  <c r="FL3" i="2"/>
  <c r="FM3" i="2"/>
  <c r="FN3" i="2"/>
  <c r="FO3" i="2"/>
  <c r="FP3" i="2"/>
  <c r="FQ3" i="2"/>
  <c r="FR3" i="2"/>
  <c r="FS3" i="2"/>
  <c r="FT3" i="2"/>
  <c r="FU3" i="2"/>
  <c r="FV3" i="2"/>
  <c r="FW3" i="2"/>
  <c r="FX3" i="2"/>
  <c r="FY3" i="2"/>
  <c r="FZ3" i="2"/>
  <c r="GA3" i="2"/>
  <c r="GB3" i="2"/>
  <c r="GC3" i="2"/>
  <c r="GD3" i="2"/>
  <c r="GE3" i="2"/>
  <c r="GF3" i="2"/>
  <c r="GG3" i="2"/>
  <c r="GH3" i="2"/>
  <c r="GI3" i="2"/>
  <c r="GJ3" i="2"/>
  <c r="GK3" i="2"/>
  <c r="GL3" i="2"/>
  <c r="GM3" i="2"/>
  <c r="GN3" i="2"/>
  <c r="GO3" i="2"/>
  <c r="GP3" i="2"/>
  <c r="GQ3" i="2"/>
  <c r="GR3" i="2"/>
  <c r="GS3" i="2"/>
  <c r="GT3" i="2"/>
  <c r="GU3" i="2"/>
  <c r="GV3" i="2"/>
  <c r="GW3" i="2"/>
  <c r="GX3" i="2"/>
  <c r="GY3" i="2"/>
  <c r="GZ3" i="2"/>
  <c r="HA3" i="2"/>
  <c r="HB3" i="2"/>
  <c r="HC3" i="2"/>
  <c r="HD3" i="2"/>
  <c r="HE3" i="2"/>
  <c r="HF3" i="2"/>
  <c r="HG3" i="2"/>
  <c r="HH3" i="2"/>
  <c r="HI3" i="2"/>
  <c r="HJ3" i="2"/>
  <c r="HK3" i="2"/>
  <c r="HL3" i="2"/>
  <c r="HM3" i="2"/>
  <c r="HN3" i="2"/>
  <c r="HO3" i="2"/>
  <c r="HP3" i="2"/>
  <c r="HQ3" i="2"/>
  <c r="HR3" i="2"/>
  <c r="HS3" i="2"/>
  <c r="HT3" i="2"/>
  <c r="HU3" i="2"/>
  <c r="HV3" i="2"/>
  <c r="HW3" i="2"/>
  <c r="HX3" i="2"/>
  <c r="HY3" i="2"/>
  <c r="HZ3" i="2"/>
  <c r="IA3" i="2"/>
  <c r="IB3" i="2"/>
  <c r="IC3" i="2"/>
  <c r="ID3" i="2"/>
  <c r="IE3" i="2"/>
  <c r="IF3" i="2"/>
  <c r="IG3" i="2"/>
  <c r="IH3" i="2"/>
  <c r="II3" i="2"/>
  <c r="IJ3" i="2"/>
  <c r="IK3" i="2"/>
  <c r="IL3" i="2"/>
  <c r="IM3" i="2"/>
  <c r="IN3" i="2"/>
  <c r="IO3" i="2"/>
  <c r="IP3" i="2"/>
  <c r="IQ3" i="2"/>
  <c r="IR3" i="2"/>
  <c r="IS3" i="2"/>
  <c r="IT3" i="2"/>
  <c r="IU3" i="2"/>
  <c r="IV3" i="2"/>
  <c r="IW3" i="2"/>
  <c r="IX3" i="2"/>
  <c r="IY3" i="2"/>
  <c r="IZ3" i="2"/>
  <c r="JA3" i="2"/>
  <c r="JB3" i="2"/>
  <c r="JC3" i="2"/>
  <c r="JD3" i="2"/>
  <c r="JE3" i="2"/>
  <c r="JF3" i="2"/>
  <c r="JG3" i="2"/>
  <c r="JH3" i="2"/>
  <c r="JI3" i="2"/>
  <c r="JJ3" i="2"/>
  <c r="JK3" i="2"/>
  <c r="JL3" i="2"/>
  <c r="JM3" i="2"/>
  <c r="JN3" i="2"/>
  <c r="JO3" i="2"/>
  <c r="JP3" i="2"/>
  <c r="JQ3" i="2"/>
  <c r="JR3" i="2"/>
  <c r="JS3" i="2"/>
  <c r="JT3" i="2"/>
  <c r="JU3" i="2"/>
  <c r="JV3" i="2"/>
  <c r="JW3" i="2"/>
  <c r="JX3" i="2"/>
  <c r="JY3" i="2"/>
  <c r="JZ3" i="2"/>
  <c r="KA3" i="2"/>
  <c r="KB3" i="2"/>
  <c r="KC3" i="2"/>
  <c r="KD3" i="2"/>
  <c r="KE3" i="2"/>
  <c r="KF3" i="2"/>
  <c r="KG3" i="2"/>
  <c r="KH3" i="2"/>
  <c r="KI3" i="2"/>
  <c r="KJ3" i="2"/>
  <c r="KK3" i="2"/>
  <c r="KL3" i="2"/>
  <c r="KM3" i="2"/>
  <c r="KN3" i="2"/>
  <c r="KO3" i="2"/>
  <c r="KP3" i="2"/>
  <c r="KQ3" i="2"/>
  <c r="KR3" i="2"/>
  <c r="KS3" i="2"/>
  <c r="KT3" i="2"/>
  <c r="KU3" i="2"/>
  <c r="KV3" i="2"/>
  <c r="KW3" i="2"/>
  <c r="KX3" i="2"/>
  <c r="KY3" i="2"/>
  <c r="KZ3" i="2"/>
  <c r="LA3" i="2"/>
  <c r="LB3" i="2"/>
  <c r="LC3" i="2"/>
  <c r="LD3" i="2"/>
  <c r="LE3" i="2"/>
  <c r="LF3" i="2"/>
  <c r="LG3" i="2"/>
  <c r="LH3" i="2"/>
  <c r="LI3" i="2"/>
  <c r="LJ3" i="2"/>
  <c r="LK3" i="2"/>
  <c r="LL3" i="2"/>
  <c r="LM3" i="2"/>
  <c r="LN3" i="2"/>
  <c r="LO3" i="2"/>
  <c r="LP3" i="2"/>
  <c r="LQ3" i="2"/>
  <c r="LR3" i="2"/>
  <c r="LS3" i="2"/>
  <c r="LT3" i="2"/>
  <c r="LU3" i="2"/>
  <c r="LV3" i="2"/>
  <c r="LW3" i="2"/>
  <c r="LX3" i="2"/>
  <c r="LY3" i="2"/>
  <c r="LZ3" i="2"/>
  <c r="MA3" i="2"/>
  <c r="MB3" i="2"/>
  <c r="MC3" i="2"/>
  <c r="MD3" i="2"/>
  <c r="ME3" i="2"/>
  <c r="MF3" i="2"/>
  <c r="MG3" i="2"/>
  <c r="MH3" i="2"/>
  <c r="MI3" i="2"/>
  <c r="MJ3" i="2"/>
  <c r="MK3" i="2"/>
  <c r="ML3" i="2"/>
  <c r="MM3" i="2"/>
  <c r="MN3" i="2"/>
  <c r="MO3" i="2"/>
  <c r="MP3" i="2"/>
  <c r="MQ3" i="2"/>
  <c r="MR3" i="2"/>
  <c r="MS3" i="2"/>
  <c r="MT3" i="2"/>
  <c r="MU3" i="2"/>
  <c r="MV3" i="2"/>
  <c r="MW3" i="2"/>
  <c r="MX3" i="2"/>
  <c r="MY3" i="2"/>
  <c r="MZ3" i="2"/>
  <c r="NA3" i="2"/>
  <c r="NB3" i="2"/>
  <c r="NC3" i="2"/>
  <c r="ND3" i="2"/>
  <c r="NE3" i="2"/>
  <c r="NF3" i="2"/>
  <c r="NG3" i="2"/>
  <c r="NH3" i="2"/>
  <c r="NI3" i="2"/>
  <c r="NJ3" i="2"/>
  <c r="NK3" i="2"/>
  <c r="NL3" i="2"/>
  <c r="NM3" i="2"/>
  <c r="NN3" i="2"/>
  <c r="NO3" i="2"/>
  <c r="NP3" i="2"/>
  <c r="NQ3" i="2"/>
  <c r="NR3" i="2"/>
  <c r="NS3" i="2"/>
  <c r="NT3" i="2"/>
  <c r="NU3" i="2"/>
  <c r="NV3" i="2"/>
  <c r="NW3" i="2"/>
  <c r="NX3" i="2"/>
  <c r="NY3" i="2"/>
  <c r="NZ3" i="2"/>
  <c r="OA3" i="2"/>
  <c r="OB3" i="2"/>
  <c r="OC3" i="2"/>
  <c r="OD3" i="2"/>
  <c r="OE3" i="2"/>
  <c r="OF3" i="2"/>
  <c r="OG3" i="2"/>
  <c r="OH3" i="2"/>
  <c r="OI3" i="2"/>
  <c r="OJ3" i="2"/>
  <c r="OK3" i="2"/>
  <c r="OL3" i="2"/>
  <c r="OM3" i="2"/>
  <c r="ON3" i="2"/>
  <c r="OO3" i="2"/>
  <c r="OP3" i="2"/>
  <c r="OQ3" i="2"/>
  <c r="OR3" i="2"/>
  <c r="OS3" i="2"/>
  <c r="OT3" i="2"/>
  <c r="OU3" i="2"/>
  <c r="OV3" i="2"/>
  <c r="OW3" i="2"/>
  <c r="OX3" i="2"/>
  <c r="OY3" i="2"/>
  <c r="OZ3" i="2"/>
  <c r="PA3" i="2"/>
  <c r="PB3" i="2"/>
  <c r="PC3" i="2"/>
  <c r="PD3" i="2"/>
  <c r="PE3" i="2"/>
  <c r="PF3" i="2"/>
  <c r="PG3" i="2"/>
  <c r="PH3" i="2"/>
  <c r="PI3" i="2"/>
  <c r="PJ3" i="2"/>
  <c r="PK3" i="2"/>
  <c r="PL3" i="2"/>
  <c r="PM3" i="2"/>
  <c r="PN3" i="2"/>
  <c r="PO3" i="2"/>
  <c r="PP3" i="2"/>
  <c r="PQ3" i="2"/>
  <c r="PR3" i="2"/>
  <c r="PS3" i="2"/>
  <c r="PT3" i="2"/>
  <c r="PU3" i="2"/>
  <c r="PV3" i="2"/>
  <c r="PW3" i="2"/>
  <c r="PX3" i="2"/>
  <c r="PY3" i="2"/>
  <c r="PZ3" i="2"/>
  <c r="QA3" i="2"/>
  <c r="QB3" i="2"/>
  <c r="QC3" i="2"/>
  <c r="QD3" i="2"/>
  <c r="QE3" i="2"/>
  <c r="QF3" i="2"/>
  <c r="QG3" i="2"/>
  <c r="QH3" i="2"/>
  <c r="QI3" i="2"/>
  <c r="QJ3" i="2"/>
  <c r="QK3" i="2"/>
  <c r="QL3" i="2"/>
  <c r="QM3" i="2"/>
  <c r="QN3" i="2"/>
  <c r="QO3" i="2"/>
  <c r="QP3" i="2"/>
  <c r="QQ3" i="2"/>
  <c r="QR3" i="2"/>
  <c r="QS3" i="2"/>
  <c r="QT3" i="2"/>
  <c r="QU3" i="2"/>
  <c r="QV3" i="2"/>
  <c r="QW3" i="2"/>
  <c r="QX3" i="2"/>
  <c r="QY3" i="2"/>
  <c r="QZ3" i="2"/>
  <c r="O30" i="20" l="1"/>
  <c r="EM3" i="2"/>
  <c r="EL3" i="2"/>
  <c r="EK3" i="2"/>
  <c r="EJ3" i="2"/>
  <c r="EI3" i="2"/>
  <c r="EH3" i="2"/>
  <c r="EG3" i="2"/>
  <c r="EF3" i="2"/>
  <c r="EE3" i="2"/>
  <c r="ED3" i="2"/>
  <c r="EC3" i="2"/>
  <c r="EB3" i="2"/>
  <c r="EA3" i="2"/>
  <c r="DZ3" i="2"/>
  <c r="DY3" i="2"/>
  <c r="DX3" i="2"/>
  <c r="DW3" i="2"/>
  <c r="DV3" i="2"/>
  <c r="DU3" i="2"/>
  <c r="DT3" i="2"/>
  <c r="DS3" i="2"/>
  <c r="DR3" i="2"/>
  <c r="DQ3" i="2"/>
  <c r="DP3" i="2"/>
  <c r="DO3" i="2"/>
  <c r="DN3" i="2"/>
  <c r="DM3" i="2"/>
  <c r="DL3" i="2"/>
  <c r="DK3" i="2"/>
  <c r="DJ3" i="2"/>
  <c r="O31" i="20" l="1"/>
  <c r="DH3" i="14"/>
  <c r="O32" i="20" l="1"/>
  <c r="CG4" i="14"/>
  <c r="CG6" i="14" s="1"/>
  <c r="O33" i="20" l="1"/>
  <c r="AT5" i="2"/>
  <c r="O34" i="20" l="1"/>
  <c r="CI28" i="14"/>
  <c r="CI27" i="14"/>
  <c r="CI19" i="14"/>
  <c r="CU16" i="14"/>
  <c r="CT16" i="14"/>
  <c r="CS16" i="14"/>
  <c r="CR16" i="14"/>
  <c r="CQ16" i="14"/>
  <c r="CP16" i="14"/>
  <c r="CO16" i="14"/>
  <c r="CI16" i="14" s="1"/>
  <c r="CN16" i="14"/>
  <c r="CM16" i="14"/>
  <c r="CL16" i="14"/>
  <c r="CK16" i="14"/>
  <c r="CI15" i="14"/>
  <c r="CI8" i="14"/>
  <c r="CJ3" i="14"/>
  <c r="CK3" i="14" s="1"/>
  <c r="CL3" i="14" s="1"/>
  <c r="CM3" i="14" s="1"/>
  <c r="CN3" i="14" s="1"/>
  <c r="CO3" i="14" s="1"/>
  <c r="CP3" i="14" s="1"/>
  <c r="CQ3" i="14" s="1"/>
  <c r="CR3" i="14" s="1"/>
  <c r="CS3" i="14" s="1"/>
  <c r="CT3" i="14" s="1"/>
  <c r="CU3" i="14" s="1"/>
  <c r="O35" i="20" l="1"/>
  <c r="CV20" i="15"/>
  <c r="O36" i="20" l="1"/>
  <c r="DJ8" i="2"/>
  <c r="O37" i="20" l="1"/>
  <c r="N8" i="15"/>
  <c r="O38" i="20" l="1"/>
  <c r="N9" i="15"/>
  <c r="N7" i="15"/>
  <c r="O39" i="20" l="1"/>
  <c r="AP8" i="15"/>
  <c r="O40" i="20" l="1"/>
  <c r="O41" i="20" l="1"/>
  <c r="O42" i="20" l="1"/>
  <c r="O43" i="20" l="1"/>
  <c r="O44" i="20" l="1"/>
  <c r="O45" i="20" l="1"/>
  <c r="O46" i="20" l="1"/>
  <c r="O47" i="20" l="1"/>
  <c r="BA19" i="2"/>
  <c r="CW7" i="2"/>
  <c r="CW5" i="2"/>
  <c r="CW4" i="2"/>
  <c r="CW3" i="2"/>
  <c r="O48" i="20" l="1"/>
  <c r="CW13" i="2"/>
  <c r="CW14" i="2"/>
  <c r="CX7" i="2"/>
  <c r="J36" i="22"/>
  <c r="J42" i="22"/>
  <c r="K36" i="22"/>
  <c r="J43" i="22"/>
  <c r="O49" i="20" l="1"/>
  <c r="CY7" i="2"/>
  <c r="L36" i="22"/>
  <c r="M36" i="22" s="1"/>
  <c r="O50" i="20" l="1"/>
  <c r="CZ7" i="2"/>
  <c r="DA7" i="2" s="1"/>
  <c r="N36" i="22"/>
  <c r="BA27" i="2"/>
  <c r="BA8" i="2"/>
  <c r="BP4" i="2"/>
  <c r="CB3" i="2" s="1"/>
  <c r="CB4" i="2"/>
  <c r="R50" i="20" l="1"/>
  <c r="Q50" i="20" s="1"/>
  <c r="P50" i="20" s="1"/>
  <c r="O51" i="20"/>
  <c r="CB13" i="2"/>
  <c r="R51" i="20" l="1"/>
  <c r="Q51" i="20" s="1"/>
  <c r="P51" i="20" s="1"/>
  <c r="O52" i="20"/>
  <c r="CC7" i="2"/>
  <c r="CD7" i="2" s="1"/>
  <c r="O53" i="20" l="1"/>
  <c r="CE7" i="2"/>
  <c r="CF7" i="2" s="1"/>
  <c r="BW5" i="2"/>
  <c r="BW4" i="2"/>
  <c r="BW3" i="2"/>
  <c r="BR9" i="2"/>
  <c r="BU10" i="2" s="1"/>
  <c r="O54" i="20" l="1"/>
  <c r="BY5" i="2"/>
  <c r="BW20" i="2"/>
  <c r="BW19" i="2"/>
  <c r="BW12" i="2"/>
  <c r="BW8" i="2"/>
  <c r="BW18" i="2"/>
  <c r="BW23" i="2" s="1"/>
  <c r="BQ5" i="2"/>
  <c r="BR5" i="2" s="1"/>
  <c r="BS5" i="2" s="1"/>
  <c r="BQ4" i="2"/>
  <c r="BU5" i="2"/>
  <c r="BW9" i="2"/>
  <c r="BY3" i="2"/>
  <c r="BY9" i="2" s="1"/>
  <c r="BY4" i="2"/>
  <c r="BY12" i="2" s="1"/>
  <c r="BS9" i="2"/>
  <c r="BD16" i="2"/>
  <c r="BC16" i="2"/>
  <c r="BM16" i="2"/>
  <c r="BL16" i="2"/>
  <c r="BK16" i="2"/>
  <c r="BJ16" i="2"/>
  <c r="BI16" i="2"/>
  <c r="BH16" i="2"/>
  <c r="BG16" i="2"/>
  <c r="BA16" i="2" s="1"/>
  <c r="BF16" i="2"/>
  <c r="BE16" i="2"/>
  <c r="O55" i="20" l="1"/>
  <c r="BR4" i="2"/>
  <c r="BY8" i="2"/>
  <c r="BA28" i="2"/>
  <c r="O56" i="20" l="1"/>
  <c r="BS4" i="2"/>
  <c r="BU4" i="2"/>
  <c r="BA15" i="2"/>
  <c r="O57" i="20" l="1"/>
  <c r="BU3" i="14"/>
  <c r="BU4" i="14"/>
  <c r="BZ7" i="14"/>
  <c r="BY4" i="14"/>
  <c r="BY3" i="14"/>
  <c r="O58" i="20" l="1"/>
  <c r="CA7" i="14"/>
  <c r="CB7" i="14" s="1"/>
  <c r="BB3" i="2"/>
  <c r="O59" i="20" l="1"/>
  <c r="CC7" i="14"/>
  <c r="BC3" i="2"/>
  <c r="AW44" i="2"/>
  <c r="AW56" i="2" s="1"/>
  <c r="AV44" i="2"/>
  <c r="AV56" i="2" s="1"/>
  <c r="AU44" i="2"/>
  <c r="AU56" i="2" s="1"/>
  <c r="AT44" i="2"/>
  <c r="AT56" i="2" s="1"/>
  <c r="AS44" i="2"/>
  <c r="AS56" i="2" s="1"/>
  <c r="AR44" i="2"/>
  <c r="AR56" i="2" s="1"/>
  <c r="AQ44" i="2"/>
  <c r="AQ56" i="2" s="1"/>
  <c r="AP44" i="2"/>
  <c r="AP56" i="2" s="1"/>
  <c r="AO44" i="2"/>
  <c r="AO56" i="2" s="1"/>
  <c r="AN44" i="2"/>
  <c r="AN56" i="2" s="1"/>
  <c r="AM44" i="2"/>
  <c r="AM56" i="2" s="1"/>
  <c r="AL44" i="2"/>
  <c r="AL56" i="2" s="1"/>
  <c r="AL41" i="2"/>
  <c r="AL53" i="2" s="1"/>
  <c r="AM29" i="2"/>
  <c r="AN29" i="2" s="1"/>
  <c r="AO29" i="2" s="1"/>
  <c r="AP29" i="2" s="1"/>
  <c r="AQ29" i="2" s="1"/>
  <c r="AR29" i="2" s="1"/>
  <c r="AS29" i="2" s="1"/>
  <c r="AT29" i="2" s="1"/>
  <c r="AU29" i="2" s="1"/>
  <c r="AV29" i="2" s="1"/>
  <c r="AW29" i="2" s="1"/>
  <c r="AM17" i="2"/>
  <c r="AM41" i="2" s="1"/>
  <c r="AM53" i="2" s="1"/>
  <c r="AL16" i="2"/>
  <c r="AM16" i="2" s="1"/>
  <c r="AM6" i="2"/>
  <c r="AN6" i="2" s="1"/>
  <c r="AO6" i="2" s="1"/>
  <c r="AP6" i="2" s="1"/>
  <c r="AQ6" i="2" s="1"/>
  <c r="AR6" i="2" s="1"/>
  <c r="AS6" i="2" s="1"/>
  <c r="AT6" i="2" s="1"/>
  <c r="AU6" i="2" s="1"/>
  <c r="AV6" i="2" s="1"/>
  <c r="AW6" i="2" s="1"/>
  <c r="AM5" i="2"/>
  <c r="AN5" i="2" s="1"/>
  <c r="AO5" i="2" s="1"/>
  <c r="AP5" i="2" s="1"/>
  <c r="AQ5" i="2" s="1"/>
  <c r="AR5" i="2" s="1"/>
  <c r="AS5" i="2" s="1"/>
  <c r="AU5" i="2" s="1"/>
  <c r="AV5" i="2" s="1"/>
  <c r="AW5" i="2" s="1"/>
  <c r="AM4" i="2"/>
  <c r="AN4" i="2" s="1"/>
  <c r="AO4" i="2" s="1"/>
  <c r="AP4" i="2" s="1"/>
  <c r="AQ4" i="2" s="1"/>
  <c r="AR4" i="2" s="1"/>
  <c r="AS4" i="2" s="1"/>
  <c r="AT4" i="2" s="1"/>
  <c r="AU4" i="2" s="1"/>
  <c r="AV4" i="2" s="1"/>
  <c r="AW4" i="2" s="1"/>
  <c r="AE18" i="2"/>
  <c r="AE19" i="2" s="1"/>
  <c r="O60" i="20" l="1"/>
  <c r="BD3" i="2"/>
  <c r="AM40" i="2"/>
  <c r="AM52" i="2" s="1"/>
  <c r="AN16" i="2"/>
  <c r="AN17" i="2"/>
  <c r="AL40" i="2"/>
  <c r="AL52" i="2" s="1"/>
  <c r="AL28" i="2"/>
  <c r="E4" i="2"/>
  <c r="AF7" i="2"/>
  <c r="AF6" i="2"/>
  <c r="Z10" i="14" l="1"/>
  <c r="AA10" i="14"/>
  <c r="O61" i="20"/>
  <c r="AF9" i="2"/>
  <c r="AF13" i="2" s="1"/>
  <c r="AF15" i="2" s="1"/>
  <c r="AF16" i="2" s="1"/>
  <c r="BE3" i="2"/>
  <c r="AM28" i="2"/>
  <c r="AO16" i="2"/>
  <c r="AN40" i="2"/>
  <c r="AN52" i="2" s="1"/>
  <c r="AN41" i="2"/>
  <c r="AN53" i="2" s="1"/>
  <c r="AO17" i="2"/>
  <c r="FH7" i="16"/>
  <c r="FH9" i="16" s="1"/>
  <c r="FH10" i="16" s="1"/>
  <c r="FH11" i="16"/>
  <c r="FF7" i="16"/>
  <c r="FF9" i="16" s="1"/>
  <c r="FF10" i="16" s="1"/>
  <c r="FF11" i="16"/>
  <c r="S4" i="14"/>
  <c r="S5" i="14" s="1"/>
  <c r="FF12" i="16" l="1"/>
  <c r="FF13" i="16" s="1"/>
  <c r="FF15" i="16" s="1"/>
  <c r="O62" i="20"/>
  <c r="AF12" i="2"/>
  <c r="AF14" i="2" s="1"/>
  <c r="BF3" i="2"/>
  <c r="AO40" i="2"/>
  <c r="AO52" i="2" s="1"/>
  <c r="AP16" i="2"/>
  <c r="AN28" i="2"/>
  <c r="AO41" i="2"/>
  <c r="AO53" i="2" s="1"/>
  <c r="AP17" i="2"/>
  <c r="FH12" i="16"/>
  <c r="FH13" i="16" s="1"/>
  <c r="FH15" i="16" s="1"/>
  <c r="D44" i="14"/>
  <c r="D43" i="14"/>
  <c r="F38" i="14"/>
  <c r="H38" i="14"/>
  <c r="FS13" i="16"/>
  <c r="FS15" i="16"/>
  <c r="FN7" i="16" l="1"/>
  <c r="FN8" i="16" s="1"/>
  <c r="FJ7" i="16"/>
  <c r="FS7" i="16"/>
  <c r="FS8" i="16"/>
  <c r="FS9" i="16" s="1"/>
  <c r="FF14" i="16"/>
  <c r="FF16" i="16" s="1"/>
  <c r="FF17" i="16" s="1"/>
  <c r="FH14" i="16"/>
  <c r="FH16" i="16" s="1"/>
  <c r="FH17" i="16" s="1"/>
  <c r="O63" i="20"/>
  <c r="BG3" i="2"/>
  <c r="AP41" i="2"/>
  <c r="AP53" i="2" s="1"/>
  <c r="AQ17" i="2"/>
  <c r="AO28" i="2"/>
  <c r="AP40" i="2"/>
  <c r="AP52" i="2" s="1"/>
  <c r="AQ16" i="2"/>
  <c r="FS14" i="16"/>
  <c r="FS10" i="16"/>
  <c r="FS11" i="16" l="1"/>
  <c r="O64" i="20"/>
  <c r="BH3" i="2"/>
  <c r="AQ41" i="2"/>
  <c r="AQ53" i="2" s="1"/>
  <c r="AR17" i="2"/>
  <c r="AQ40" i="2"/>
  <c r="AQ52" i="2" s="1"/>
  <c r="AR16" i="2"/>
  <c r="AP28" i="2"/>
  <c r="BU5" i="14"/>
  <c r="FS12" i="16" l="1"/>
  <c r="O65" i="20"/>
  <c r="BI3" i="2"/>
  <c r="AQ28" i="2"/>
  <c r="AS17" i="2"/>
  <c r="AR41" i="2"/>
  <c r="AR53" i="2" s="1"/>
  <c r="AR40" i="2"/>
  <c r="AR52" i="2" s="1"/>
  <c r="AS16" i="2"/>
  <c r="O66" i="20" l="1"/>
  <c r="BJ3" i="2"/>
  <c r="AS40" i="2"/>
  <c r="AS52" i="2" s="1"/>
  <c r="AT16" i="2"/>
  <c r="AR28" i="2"/>
  <c r="AS41" i="2"/>
  <c r="AS53" i="2" s="1"/>
  <c r="AT17" i="2"/>
  <c r="O67" i="20" l="1"/>
  <c r="BK3" i="2"/>
  <c r="AT41" i="2"/>
  <c r="AT53" i="2" s="1"/>
  <c r="AU17" i="2"/>
  <c r="AT40" i="2"/>
  <c r="AT52" i="2" s="1"/>
  <c r="AU16" i="2"/>
  <c r="AS28" i="2"/>
  <c r="P36" i="13" l="1"/>
  <c r="Q36" i="13" s="1"/>
  <c r="R36" i="13" s="1"/>
  <c r="AM6" i="13"/>
  <c r="O68" i="20"/>
  <c r="BL3" i="2"/>
  <c r="AU41" i="2"/>
  <c r="AU53" i="2" s="1"/>
  <c r="AV17" i="2"/>
  <c r="AT28" i="2"/>
  <c r="AV16" i="2"/>
  <c r="AU40" i="2"/>
  <c r="AU52" i="2" s="1"/>
  <c r="S36" i="13" l="1"/>
  <c r="O69" i="20"/>
  <c r="BM3" i="2"/>
  <c r="AU28" i="2"/>
  <c r="AW17" i="2"/>
  <c r="AV41" i="2"/>
  <c r="AV53" i="2" s="1"/>
  <c r="AW16" i="2"/>
  <c r="AW40" i="2" s="1"/>
  <c r="AW52" i="2" s="1"/>
  <c r="AV40" i="2"/>
  <c r="AV52" i="2" s="1"/>
  <c r="O70" i="20" l="1"/>
  <c r="AW41" i="2"/>
  <c r="AW53" i="2" s="1"/>
  <c r="AV28" i="2"/>
  <c r="O71" i="20" l="1"/>
  <c r="AW28" i="2"/>
  <c r="BW5" i="14"/>
  <c r="BP9" i="14"/>
  <c r="BQ9" i="14" s="1"/>
  <c r="BS5" i="14"/>
  <c r="BO5" i="14"/>
  <c r="BP5" i="14" s="1"/>
  <c r="BQ5" i="14" s="1"/>
  <c r="BO4" i="14"/>
  <c r="BP4" i="14" s="1"/>
  <c r="O72" i="20" l="1"/>
  <c r="BW4" i="14"/>
  <c r="BW3" i="14"/>
  <c r="BS4" i="14"/>
  <c r="BQ4" i="14"/>
  <c r="BS10" i="14"/>
  <c r="BB28" i="14"/>
  <c r="BC28" i="14" s="1"/>
  <c r="BD28" i="14" s="1"/>
  <c r="BE28" i="14" s="1"/>
  <c r="BF28" i="14" s="1"/>
  <c r="BG28" i="14" s="1"/>
  <c r="BH28" i="14" s="1"/>
  <c r="BI28" i="14" s="1"/>
  <c r="BJ28" i="14" s="1"/>
  <c r="BK28" i="14" s="1"/>
  <c r="BL28" i="14" s="1"/>
  <c r="O73" i="20" l="1"/>
  <c r="BU12" i="14"/>
  <c r="BU9" i="14"/>
  <c r="O19" i="13" l="1"/>
  <c r="O20" i="13" s="1"/>
  <c r="O74" i="20"/>
  <c r="BU8" i="14"/>
  <c r="BW12" i="14"/>
  <c r="O75" i="20" l="1"/>
  <c r="BW9" i="14"/>
  <c r="BW8" i="14"/>
  <c r="O76" i="20" l="1"/>
  <c r="O77" i="20" l="1"/>
  <c r="AH9" i="14"/>
  <c r="O78" i="20" l="1"/>
  <c r="AA9" i="14"/>
  <c r="O79" i="20" l="1"/>
  <c r="AB9" i="14"/>
  <c r="AB10" i="14"/>
  <c r="AC10" i="14" s="1"/>
  <c r="AD10" i="14" s="1"/>
  <c r="BA15" i="14"/>
  <c r="BB5" i="14"/>
  <c r="BC5" i="14" s="1"/>
  <c r="BD5" i="14" s="1"/>
  <c r="BE5" i="14" s="1"/>
  <c r="BF5" i="14" s="1"/>
  <c r="BG5" i="14" s="1"/>
  <c r="BH5" i="14" s="1"/>
  <c r="BI5" i="14" s="1"/>
  <c r="BJ5" i="14" s="1"/>
  <c r="BK5" i="14" s="1"/>
  <c r="BL5" i="14" s="1"/>
  <c r="BB4" i="14"/>
  <c r="BC4" i="14" s="1"/>
  <c r="BD4" i="14" s="1"/>
  <c r="BE4" i="14" s="1"/>
  <c r="BF4" i="14" s="1"/>
  <c r="BG4" i="14" s="1"/>
  <c r="BH4" i="14" s="1"/>
  <c r="BI4" i="14" s="1"/>
  <c r="BJ4" i="14" s="1"/>
  <c r="BK4" i="14" s="1"/>
  <c r="BL4" i="14" s="1"/>
  <c r="BB3" i="14"/>
  <c r="BC3" i="14" s="1"/>
  <c r="BD3" i="14" s="1"/>
  <c r="BE3" i="14" s="1"/>
  <c r="BF3" i="14" s="1"/>
  <c r="BG3" i="14" s="1"/>
  <c r="BH3" i="14" s="1"/>
  <c r="BI3" i="14" s="1"/>
  <c r="BJ3" i="14" s="1"/>
  <c r="BK3" i="14" s="1"/>
  <c r="BL3" i="14" s="1"/>
  <c r="BJ43" i="14"/>
  <c r="BJ55" i="14" s="1"/>
  <c r="BK43" i="14"/>
  <c r="BK55" i="14" s="1"/>
  <c r="BL43" i="14"/>
  <c r="BL55" i="14" s="1"/>
  <c r="BB43" i="14"/>
  <c r="BB55" i="14" s="1"/>
  <c r="BC43" i="14"/>
  <c r="BC55" i="14" s="1"/>
  <c r="BD43" i="14"/>
  <c r="BD55" i="14" s="1"/>
  <c r="BE43" i="14"/>
  <c r="BE55" i="14" s="1"/>
  <c r="BF43" i="14"/>
  <c r="BF55" i="14" s="1"/>
  <c r="BG43" i="14"/>
  <c r="BG55" i="14" s="1"/>
  <c r="BH43" i="14"/>
  <c r="BH55" i="14" s="1"/>
  <c r="BI43" i="14"/>
  <c r="BI55" i="14" s="1"/>
  <c r="BA43" i="14"/>
  <c r="BA55" i="14" s="1"/>
  <c r="BA40" i="14"/>
  <c r="BA52" i="14" s="1"/>
  <c r="BB16" i="14"/>
  <c r="BB40" i="14" s="1"/>
  <c r="BB52" i="14" s="1"/>
  <c r="AC9" i="14" l="1"/>
  <c r="AF9" i="14"/>
  <c r="X14" i="13"/>
  <c r="Y14" i="13" s="1"/>
  <c r="Y13" i="13"/>
  <c r="O80" i="20"/>
  <c r="AF10" i="14"/>
  <c r="AH12" i="14"/>
  <c r="BA39" i="14"/>
  <c r="BA51" i="14" s="1"/>
  <c r="BA27" i="14"/>
  <c r="BC16" i="14"/>
  <c r="BD16" i="14" s="1"/>
  <c r="BE16" i="14" s="1"/>
  <c r="BB15" i="14"/>
  <c r="BB39" i="14" s="1"/>
  <c r="BB51" i="14" s="1"/>
  <c r="AD9" i="14" l="1"/>
  <c r="O81" i="20"/>
  <c r="BB27" i="14"/>
  <c r="BC40" i="14"/>
  <c r="BC52" i="14" s="1"/>
  <c r="BD40" i="14"/>
  <c r="BD52" i="14" s="1"/>
  <c r="BC15" i="14"/>
  <c r="BE40" i="14"/>
  <c r="BE52" i="14" s="1"/>
  <c r="BF16" i="14"/>
  <c r="O82" i="20" l="1"/>
  <c r="BC27" i="14"/>
  <c r="BD15" i="14"/>
  <c r="BC39" i="14"/>
  <c r="BC51" i="14" s="1"/>
  <c r="BF40" i="14"/>
  <c r="BF52" i="14" s="1"/>
  <c r="BG16" i="14"/>
  <c r="O83" i="20" l="1"/>
  <c r="BD27" i="14"/>
  <c r="BE15" i="14"/>
  <c r="BD39" i="14"/>
  <c r="BD51" i="14" s="1"/>
  <c r="BH16" i="14"/>
  <c r="BG40" i="14"/>
  <c r="BG52" i="14" s="1"/>
  <c r="R83" i="20" l="1"/>
  <c r="O84" i="20"/>
  <c r="BE27" i="14"/>
  <c r="BF15" i="14"/>
  <c r="BE39" i="14"/>
  <c r="BE51" i="14" s="1"/>
  <c r="BI16" i="14"/>
  <c r="BH40" i="14"/>
  <c r="BH52" i="14" s="1"/>
  <c r="R84" i="20" l="1"/>
  <c r="O85" i="20"/>
  <c r="Q83" i="20"/>
  <c r="P83" i="20" s="1"/>
  <c r="BF27" i="14"/>
  <c r="BG15" i="14"/>
  <c r="BF39" i="14"/>
  <c r="BF51" i="14" s="1"/>
  <c r="BI40" i="14"/>
  <c r="BI52" i="14" s="1"/>
  <c r="BJ16" i="14"/>
  <c r="O86" i="20" l="1"/>
  <c r="Q84" i="20"/>
  <c r="P84" i="20" s="1"/>
  <c r="BG27" i="14"/>
  <c r="BH15" i="14"/>
  <c r="BG39" i="14"/>
  <c r="BG51" i="14" s="1"/>
  <c r="BJ40" i="14"/>
  <c r="BJ52" i="14" s="1"/>
  <c r="BK16" i="14"/>
  <c r="O87" i="20" l="1"/>
  <c r="BH27" i="14"/>
  <c r="BI15" i="14"/>
  <c r="BH39" i="14"/>
  <c r="BH51" i="14" s="1"/>
  <c r="BK40" i="14"/>
  <c r="BK52" i="14" s="1"/>
  <c r="BL16" i="14"/>
  <c r="O88" i="20" l="1"/>
  <c r="BI27" i="14"/>
  <c r="BJ15" i="14"/>
  <c r="BI39" i="14"/>
  <c r="BI51" i="14" s="1"/>
  <c r="BL40" i="14"/>
  <c r="BL52" i="14" s="1"/>
  <c r="O89" i="20" l="1"/>
  <c r="BJ27" i="14"/>
  <c r="BK15" i="14"/>
  <c r="BJ39" i="14"/>
  <c r="BJ51" i="14" s="1"/>
  <c r="O90" i="20" l="1"/>
  <c r="BK27" i="14"/>
  <c r="BL15" i="14"/>
  <c r="BK39" i="14"/>
  <c r="BK51" i="14" s="1"/>
  <c r="O91" i="20" l="1"/>
  <c r="BL27" i="14"/>
  <c r="BL39" i="14"/>
  <c r="BL51" i="14" s="1"/>
  <c r="O92" i="20" l="1"/>
  <c r="AN33" i="13"/>
  <c r="O93" i="20" l="1"/>
  <c r="O94" i="20" l="1"/>
  <c r="IE9" i="13"/>
  <c r="IE8" i="13"/>
  <c r="IF25" i="13"/>
  <c r="IG25" i="13" s="1"/>
  <c r="O95" i="20" l="1"/>
  <c r="IE26" i="13"/>
  <c r="IF26" i="13" s="1"/>
  <c r="IG26" i="13" s="1"/>
  <c r="IH26" i="13" s="1"/>
  <c r="IF9" i="13"/>
  <c r="IG9" i="13" s="1"/>
  <c r="IE27" i="13"/>
  <c r="IH25" i="13"/>
  <c r="II25" i="13" s="1"/>
  <c r="BV66" i="13"/>
  <c r="BV64" i="13"/>
  <c r="BV65" i="13" s="1"/>
  <c r="BV73" i="13"/>
  <c r="BV68" i="13"/>
  <c r="BV67" i="13" l="1"/>
  <c r="BW67" i="13" s="1"/>
  <c r="O96" i="20"/>
  <c r="IH9" i="13"/>
  <c r="II26" i="13"/>
  <c r="IF27" i="13"/>
  <c r="IG27" i="13" s="1"/>
  <c r="BV69" i="13" l="1"/>
  <c r="BV70" i="13" s="1"/>
  <c r="O97" i="20"/>
  <c r="BX67" i="13"/>
  <c r="IH27" i="13"/>
  <c r="II27" i="13" s="1"/>
  <c r="AF4" i="13"/>
  <c r="AF3" i="13"/>
  <c r="BW69" i="13" l="1"/>
  <c r="BX69" i="13" s="1"/>
  <c r="O98" i="20"/>
  <c r="BY69" i="13"/>
  <c r="BZ69" i="13" s="1"/>
  <c r="BY67" i="13"/>
  <c r="BZ67" i="13" s="1"/>
  <c r="AN13" i="13"/>
  <c r="AN25" i="13"/>
  <c r="AO25" i="13" s="1"/>
  <c r="AN30" i="13"/>
  <c r="R98" i="20" l="1"/>
  <c r="Q98" i="20" s="1"/>
  <c r="P98" i="20" s="1"/>
  <c r="O99" i="20"/>
  <c r="AP25" i="13"/>
  <c r="AQ25" i="13" s="1"/>
  <c r="AO30" i="13"/>
  <c r="AO13" i="13"/>
  <c r="AP13" i="13" s="1"/>
  <c r="AQ13" i="13" s="1"/>
  <c r="AF44" i="13"/>
  <c r="O100" i="20" l="1"/>
  <c r="AP30" i="13"/>
  <c r="AQ30" i="13" s="1"/>
  <c r="AF5" i="13"/>
  <c r="O101" i="20" l="1"/>
  <c r="AF6" i="13"/>
  <c r="AF10" i="13"/>
  <c r="O102" i="20" l="1"/>
  <c r="O103" i="20" l="1"/>
  <c r="O104" i="20" l="1"/>
  <c r="Y4" i="13"/>
  <c r="Z4" i="13" s="1"/>
  <c r="O105" i="20" l="1"/>
  <c r="AA4" i="13"/>
  <c r="AB4" i="13" s="1"/>
  <c r="O106" i="20" l="1"/>
  <c r="CJ11" i="13"/>
  <c r="O107" i="20" l="1"/>
  <c r="O108" i="20" l="1"/>
  <c r="O109" i="20" l="1"/>
  <c r="X152" i="13"/>
  <c r="O110" i="20" l="1"/>
  <c r="FR3" i="13"/>
  <c r="O111" i="20" l="1"/>
  <c r="O112" i="20" l="1"/>
  <c r="O113" i="20" l="1"/>
  <c r="FS4" i="13"/>
  <c r="O114" i="20" l="1"/>
  <c r="FR63" i="13"/>
  <c r="O115" i="20" l="1"/>
  <c r="O116" i="20" l="1"/>
  <c r="O117" i="20" l="1"/>
  <c r="HD5" i="13"/>
  <c r="HJ5" i="13" s="1"/>
  <c r="HJ6" i="13"/>
  <c r="HK22" i="13" s="1"/>
  <c r="BE10" i="13"/>
  <c r="BN11" i="13" s="1"/>
  <c r="GU5" i="13"/>
  <c r="GU4" i="13"/>
  <c r="GU3" i="13"/>
  <c r="BK25" i="13" l="1"/>
  <c r="CP18" i="13"/>
  <c r="BO11" i="13"/>
  <c r="BP11" i="13" s="1"/>
  <c r="O118" i="20"/>
  <c r="BN21" i="13"/>
  <c r="BQ11" i="13" l="1"/>
  <c r="BR11" i="13" s="1"/>
  <c r="O119" i="20"/>
  <c r="FK18" i="13"/>
  <c r="FL18" i="13" s="1"/>
  <c r="FK19" i="13"/>
  <c r="FL19" i="13" s="1"/>
  <c r="FK31" i="13"/>
  <c r="FL31" i="13" s="1"/>
  <c r="FK36" i="13"/>
  <c r="FL36" i="13" s="1"/>
  <c r="FK38" i="13"/>
  <c r="FL38" i="13" s="1"/>
  <c r="O120" i="20" l="1"/>
  <c r="FM38" i="13"/>
  <c r="FN38" i="13" s="1"/>
  <c r="FM36" i="13"/>
  <c r="FN36" i="13" s="1"/>
  <c r="FM31" i="13"/>
  <c r="FN31" i="13" s="1"/>
  <c r="FM19" i="13"/>
  <c r="FN19" i="13" s="1"/>
  <c r="FM18" i="13"/>
  <c r="FN18" i="13" s="1"/>
  <c r="O121" i="20" l="1"/>
  <c r="GU14" i="13"/>
  <c r="O122" i="20" l="1"/>
  <c r="GV14" i="13"/>
  <c r="GW14" i="13" s="1"/>
  <c r="GX14" i="13" s="1"/>
  <c r="GY14" i="13" s="1"/>
  <c r="O123" i="20" l="1"/>
  <c r="X7" i="20"/>
  <c r="X8" i="20"/>
  <c r="X9" i="20"/>
  <c r="X10" i="20"/>
  <c r="X11" i="20"/>
  <c r="X12" i="20"/>
  <c r="X13" i="20"/>
  <c r="X6" i="20"/>
  <c r="T7" i="20"/>
  <c r="T8" i="20"/>
  <c r="T9" i="20"/>
  <c r="T10" i="20"/>
  <c r="T11" i="20"/>
  <c r="T12" i="20"/>
  <c r="T13" i="20"/>
  <c r="T6" i="20"/>
  <c r="O124" i="20" l="1"/>
  <c r="O125" i="20" l="1"/>
  <c r="O126" i="20" l="1"/>
  <c r="HO5" i="9"/>
  <c r="HO4" i="9"/>
  <c r="HX15" i="9"/>
  <c r="O127" i="20" l="1"/>
  <c r="HO6" i="9"/>
  <c r="HP6" i="9" s="1"/>
  <c r="HQ6" i="9" s="1"/>
  <c r="HO7" i="9"/>
  <c r="HP7" i="9" s="1"/>
  <c r="HQ7" i="9" s="1"/>
  <c r="HR7" i="9" s="1"/>
  <c r="O128" i="20" l="1"/>
  <c r="HO8" i="9"/>
  <c r="HO32" i="9" s="1"/>
  <c r="HP32" i="9" s="1"/>
  <c r="HQ32" i="9" s="1"/>
  <c r="HO9" i="9"/>
  <c r="HO10" i="9" s="1"/>
  <c r="HO11" i="9" s="1"/>
  <c r="HO12" i="9" s="1"/>
  <c r="HR6" i="9"/>
  <c r="HS6" i="9" s="1"/>
  <c r="HS7" i="9"/>
  <c r="IC5" i="9"/>
  <c r="IC6" i="9"/>
  <c r="IC8" i="9" s="1"/>
  <c r="HW15" i="9"/>
  <c r="HO13" i="9" l="1"/>
  <c r="O129" i="20"/>
  <c r="HR32" i="9"/>
  <c r="HS32" i="9" s="1"/>
  <c r="HO14" i="9"/>
  <c r="HO26" i="9"/>
  <c r="HO27" i="9"/>
  <c r="HO31" i="9"/>
  <c r="HU17" i="9"/>
  <c r="IC13" i="9"/>
  <c r="IC7" i="9"/>
  <c r="IC20" i="9" s="1"/>
  <c r="IC9" i="9"/>
  <c r="II15" i="9"/>
  <c r="HU16" i="9"/>
  <c r="CB144" i="13"/>
  <c r="O130" i="20" l="1"/>
  <c r="IC32" i="9"/>
  <c r="IC10" i="9"/>
  <c r="IC11" i="9"/>
  <c r="HP10" i="9"/>
  <c r="HQ10" i="9" s="1"/>
  <c r="ID8" i="9"/>
  <c r="IE8" i="9" s="1"/>
  <c r="ID13" i="9"/>
  <c r="ID9" i="9"/>
  <c r="IE9" i="9" s="1"/>
  <c r="ID7" i="9"/>
  <c r="ID10" i="9"/>
  <c r="O131" i="20" l="1"/>
  <c r="IC12" i="9"/>
  <c r="HV15" i="9"/>
  <c r="HR10" i="9"/>
  <c r="HS10" i="9" s="1"/>
  <c r="HP11" i="9"/>
  <c r="HQ11" i="9" s="1"/>
  <c r="HR11" i="9" s="1"/>
  <c r="IF8" i="9"/>
  <c r="IG8" i="9" s="1"/>
  <c r="ID32" i="9"/>
  <c r="IE32" i="9" s="1"/>
  <c r="IE13" i="9"/>
  <c r="IF13" i="9" s="1"/>
  <c r="IG13" i="9" s="1"/>
  <c r="IE7" i="9"/>
  <c r="IF7" i="9" s="1"/>
  <c r="IG7" i="9" s="1"/>
  <c r="IF9" i="9"/>
  <c r="IG9" i="9" s="1"/>
  <c r="ID11" i="9"/>
  <c r="IE10" i="9"/>
  <c r="HP12" i="9"/>
  <c r="P15" i="13"/>
  <c r="P16" i="13"/>
  <c r="O132" i="20" l="1"/>
  <c r="IC24" i="9"/>
  <c r="IC14" i="9"/>
  <c r="ID14" i="9" s="1"/>
  <c r="IC28" i="9"/>
  <c r="HU18" i="9"/>
  <c r="IF32" i="9"/>
  <c r="IG32" i="9" s="1"/>
  <c r="ID20" i="9"/>
  <c r="ID12" i="9"/>
  <c r="IE12" i="9" s="1"/>
  <c r="IE11" i="9"/>
  <c r="IF11" i="9" s="1"/>
  <c r="IG11" i="9" s="1"/>
  <c r="IF10" i="9"/>
  <c r="IG10" i="9" s="1"/>
  <c r="HW16" i="9"/>
  <c r="HS11" i="9"/>
  <c r="HQ12" i="9"/>
  <c r="HR12" i="9" s="1"/>
  <c r="P11" i="13"/>
  <c r="Q11" i="13" s="1"/>
  <c r="R132" i="20" l="1"/>
  <c r="Q132" i="20" s="1"/>
  <c r="P132" i="20" s="1"/>
  <c r="O133" i="20"/>
  <c r="IE20" i="9"/>
  <c r="IF20" i="9" s="1"/>
  <c r="IG20" i="9" s="1"/>
  <c r="IE14" i="9"/>
  <c r="IF14" i="9" s="1"/>
  <c r="IG14" i="9" s="1"/>
  <c r="IJ15" i="9"/>
  <c r="IF12" i="9"/>
  <c r="IG12" i="9" s="1"/>
  <c r="HS12" i="9"/>
  <c r="HP26" i="9"/>
  <c r="HQ26" i="9" s="1"/>
  <c r="R11" i="13"/>
  <c r="S11" i="13" s="1"/>
  <c r="O18" i="13"/>
  <c r="O21" i="13" s="1"/>
  <c r="V8" i="19"/>
  <c r="V7" i="19"/>
  <c r="O23" i="13"/>
  <c r="O22" i="13" l="1"/>
  <c r="O134" i="20"/>
  <c r="HP31" i="9"/>
  <c r="HQ31" i="9" s="1"/>
  <c r="HR31" i="9" s="1"/>
  <c r="HS31" i="9" s="1"/>
  <c r="ID24" i="9"/>
  <c r="IE24" i="9" s="1"/>
  <c r="ID28" i="9"/>
  <c r="IE28" i="9" s="1"/>
  <c r="HR26" i="9"/>
  <c r="HS26" i="9" s="1"/>
  <c r="HP27" i="9"/>
  <c r="X90" i="19"/>
  <c r="O135" i="20" l="1"/>
  <c r="IF24" i="9"/>
  <c r="IG24" i="9" s="1"/>
  <c r="IF28" i="9"/>
  <c r="IG28" i="9" s="1"/>
  <c r="HQ27" i="9"/>
  <c r="HR27" i="9" s="1"/>
  <c r="HS27" i="9" s="1"/>
  <c r="Y90" i="19"/>
  <c r="K55" i="19"/>
  <c r="K54" i="19"/>
  <c r="M90" i="19"/>
  <c r="O136" i="20" l="1"/>
  <c r="Z90" i="19"/>
  <c r="AA90" i="19" s="1"/>
  <c r="Q1" i="19"/>
  <c r="K102" i="19"/>
  <c r="V54" i="19"/>
  <c r="K103" i="19"/>
  <c r="V55" i="19"/>
  <c r="N90" i="19"/>
  <c r="X42" i="19"/>
  <c r="X31" i="19"/>
  <c r="Y31" i="19" s="1"/>
  <c r="AC12" i="19"/>
  <c r="AC16" i="19" s="1"/>
  <c r="AC11" i="19"/>
  <c r="AC15" i="19" s="1"/>
  <c r="O137" i="20" l="1"/>
  <c r="R1" i="19"/>
  <c r="O90" i="19"/>
  <c r="P90" i="19" s="1"/>
  <c r="Y42" i="19"/>
  <c r="Z42" i="19" s="1"/>
  <c r="AA42" i="19" s="1"/>
  <c r="Z31" i="19"/>
  <c r="AA31" i="19" s="1"/>
  <c r="M140" i="19"/>
  <c r="N140" i="19" s="1"/>
  <c r="R13" i="19"/>
  <c r="R17" i="19" s="1"/>
  <c r="R12" i="19"/>
  <c r="R16" i="19" s="1"/>
  <c r="O138" i="20" l="1"/>
  <c r="S1" i="19"/>
  <c r="T1" i="19" s="1"/>
  <c r="O140" i="19"/>
  <c r="P140" i="19" s="1"/>
  <c r="O139" i="20" l="1"/>
  <c r="M43" i="19"/>
  <c r="O140" i="20" l="1"/>
  <c r="N43" i="19"/>
  <c r="O43" i="19" s="1"/>
  <c r="P43" i="19" s="1"/>
  <c r="O141" i="20" l="1"/>
  <c r="O142" i="20" l="1"/>
  <c r="O143" i="20" l="1"/>
  <c r="M32" i="19"/>
  <c r="N32" i="19" s="1"/>
  <c r="O144" i="20" l="1"/>
  <c r="O32" i="19"/>
  <c r="P32" i="19" s="1"/>
  <c r="O145" i="20" l="1"/>
  <c r="O146" i="20" l="1"/>
  <c r="O147" i="20" l="1"/>
  <c r="U1" i="19"/>
  <c r="O148" i="20" l="1"/>
  <c r="GA21" i="9"/>
  <c r="GA15" i="9"/>
  <c r="GB15" i="9" s="1"/>
  <c r="GA16" i="9"/>
  <c r="GB16" i="9" s="1"/>
  <c r="GC16" i="9" s="1"/>
  <c r="BS9" i="7"/>
  <c r="BS8" i="7"/>
  <c r="BL8" i="7"/>
  <c r="BL9" i="7"/>
  <c r="AO31" i="7"/>
  <c r="O149" i="20" l="1"/>
  <c r="GB21" i="9"/>
  <c r="GC21" i="9" s="1"/>
  <c r="GC15" i="9"/>
  <c r="ES36" i="9"/>
  <c r="ES37" i="9" s="1"/>
  <c r="ES35" i="9"/>
  <c r="ES10" i="9"/>
  <c r="BL12" i="7"/>
  <c r="BS12" i="7"/>
  <c r="BL14" i="7"/>
  <c r="BL13" i="7"/>
  <c r="BS13" i="7"/>
  <c r="BS14" i="7"/>
  <c r="O150" i="20" l="1"/>
  <c r="ES38" i="9"/>
  <c r="BM14" i="7"/>
  <c r="BN14" i="7" s="1"/>
  <c r="BM12" i="7"/>
  <c r="BN12" i="7" s="1"/>
  <c r="BO12" i="7" s="1"/>
  <c r="BP12" i="7" s="1"/>
  <c r="BM13" i="7"/>
  <c r="BN13" i="7" s="1"/>
  <c r="BT14" i="7"/>
  <c r="BU14" i="7" s="1"/>
  <c r="BV14" i="7" s="1"/>
  <c r="BW14" i="7" s="1"/>
  <c r="BT13" i="7"/>
  <c r="BU13" i="7" s="1"/>
  <c r="BT12" i="7"/>
  <c r="BU12" i="7" s="1"/>
  <c r="BE10" i="7"/>
  <c r="BE28" i="7" s="1"/>
  <c r="BE7" i="7"/>
  <c r="O151" i="20" l="1"/>
  <c r="BO14" i="7"/>
  <c r="BP14" i="7" s="1"/>
  <c r="BO13" i="7"/>
  <c r="BP13" i="7" s="1"/>
  <c r="BV13" i="7"/>
  <c r="BW13" i="7" s="1"/>
  <c r="BV12" i="7"/>
  <c r="BW12" i="7" s="1"/>
  <c r="BE11" i="7"/>
  <c r="BE14" i="7"/>
  <c r="BE13" i="7"/>
  <c r="BE12" i="7"/>
  <c r="AG32" i="7"/>
  <c r="O152" i="20" l="1"/>
  <c r="BE16" i="7"/>
  <c r="BE18" i="7" s="1"/>
  <c r="BE20" i="7" s="1"/>
  <c r="BE29" i="7"/>
  <c r="BE17" i="7"/>
  <c r="BE19" i="7" s="1"/>
  <c r="BE21" i="7" s="1"/>
  <c r="BF27" i="7"/>
  <c r="BG27" i="7" s="1"/>
  <c r="BF11" i="7"/>
  <c r="BE15" i="7"/>
  <c r="O153" i="20" l="1"/>
  <c r="BE22" i="7"/>
  <c r="BE23" i="7" s="1"/>
  <c r="BE24" i="7" s="1"/>
  <c r="BF29" i="7"/>
  <c r="BF12" i="7"/>
  <c r="BG12" i="7" s="1"/>
  <c r="BH12" i="7" s="1"/>
  <c r="BI12" i="7" s="1"/>
  <c r="BF13" i="7"/>
  <c r="BF14" i="7"/>
  <c r="BI27" i="7"/>
  <c r="BF28" i="7"/>
  <c r="BG28" i="7" s="1"/>
  <c r="BH28" i="7" s="1"/>
  <c r="BH27" i="7"/>
  <c r="BG11" i="7"/>
  <c r="BH11" i="7" s="1"/>
  <c r="AG10" i="7"/>
  <c r="AG27" i="7" s="1"/>
  <c r="O154" i="20" l="1"/>
  <c r="BE25" i="7"/>
  <c r="BE26" i="7" s="1"/>
  <c r="BG29" i="7"/>
  <c r="BI28" i="7"/>
  <c r="BG14" i="7"/>
  <c r="BH14" i="7" s="1"/>
  <c r="BI14" i="7" s="1"/>
  <c r="BF15" i="7"/>
  <c r="BF16" i="7"/>
  <c r="BG13" i="7"/>
  <c r="BH13" i="7" s="1"/>
  <c r="BF17" i="7"/>
  <c r="BG17" i="7" s="1"/>
  <c r="AW8" i="7"/>
  <c r="O155" i="20" l="1"/>
  <c r="BE30" i="7"/>
  <c r="BH29" i="7"/>
  <c r="BI29" i="7" s="1"/>
  <c r="BF22" i="7"/>
  <c r="BG22" i="7" s="1"/>
  <c r="BH17" i="7"/>
  <c r="BI17" i="7" s="1"/>
  <c r="BF19" i="7"/>
  <c r="BG16" i="7"/>
  <c r="BH16" i="7" s="1"/>
  <c r="BI16" i="7" s="1"/>
  <c r="BI13" i="7"/>
  <c r="BF18" i="7"/>
  <c r="BG15" i="7"/>
  <c r="BH15" i="7" s="1"/>
  <c r="BI15" i="7" s="1"/>
  <c r="AW10" i="7"/>
  <c r="AW9" i="7"/>
  <c r="AO10" i="7"/>
  <c r="AO11" i="7"/>
  <c r="AP27" i="7"/>
  <c r="AQ27" i="7" s="1"/>
  <c r="AO13" i="7"/>
  <c r="AO15" i="7"/>
  <c r="AO12" i="7"/>
  <c r="AO14" i="7"/>
  <c r="O156" i="20" l="1"/>
  <c r="BH22" i="7"/>
  <c r="BI22" i="7" s="1"/>
  <c r="BF20" i="7"/>
  <c r="BG20" i="7" s="1"/>
  <c r="BF21" i="7"/>
  <c r="BG18" i="7"/>
  <c r="BH18" i="7" s="1"/>
  <c r="BG19" i="7"/>
  <c r="BH19" i="7" s="1"/>
  <c r="BF23" i="7"/>
  <c r="BG23" i="7" s="1"/>
  <c r="BH23" i="7" s="1"/>
  <c r="AW11" i="7"/>
  <c r="AW12" i="7"/>
  <c r="AO22" i="7"/>
  <c r="AO23" i="7" s="1"/>
  <c r="AO28" i="7"/>
  <c r="AP28" i="7" s="1"/>
  <c r="AW31" i="7"/>
  <c r="AR27" i="7"/>
  <c r="AS27" i="7" s="1"/>
  <c r="AW17" i="7"/>
  <c r="O157" i="20" l="1"/>
  <c r="BG21" i="7"/>
  <c r="BI23" i="7"/>
  <c r="BH20" i="7"/>
  <c r="BI20" i="7" s="1"/>
  <c r="BI18" i="7"/>
  <c r="BF24" i="7"/>
  <c r="BG24" i="7" s="1"/>
  <c r="BH24" i="7" s="1"/>
  <c r="BI19" i="7"/>
  <c r="AX11" i="7"/>
  <c r="AY11" i="7" s="1"/>
  <c r="AX12" i="7"/>
  <c r="AY12" i="7" s="1"/>
  <c r="AZ12" i="7" s="1"/>
  <c r="BA12" i="7" s="1"/>
  <c r="AW32" i="7"/>
  <c r="AW13" i="7"/>
  <c r="AX17" i="7"/>
  <c r="AY17" i="7" s="1"/>
  <c r="AX31" i="7"/>
  <c r="AQ28" i="7"/>
  <c r="AR28" i="7" s="1"/>
  <c r="AS28" i="7" s="1"/>
  <c r="AP12" i="7"/>
  <c r="AQ12" i="7" s="1"/>
  <c r="AR12" i="7" s="1"/>
  <c r="AO16" i="7"/>
  <c r="AO18" i="7" s="1"/>
  <c r="AP13" i="7"/>
  <c r="AQ13" i="7" s="1"/>
  <c r="AP11" i="7"/>
  <c r="AO29" i="7"/>
  <c r="W15" i="7"/>
  <c r="AW15" i="7"/>
  <c r="C16" i="7"/>
  <c r="AW16" i="7"/>
  <c r="W16" i="7"/>
  <c r="AW14" i="7"/>
  <c r="O158" i="20" l="1"/>
  <c r="AW24" i="7"/>
  <c r="AX24" i="7" s="1"/>
  <c r="AX15" i="7"/>
  <c r="AY15" i="7" s="1"/>
  <c r="AZ15" i="7" s="1"/>
  <c r="BA15" i="7" s="1"/>
  <c r="BH21" i="7"/>
  <c r="BI21" i="7" s="1"/>
  <c r="BI24" i="7"/>
  <c r="BF25" i="7"/>
  <c r="BG25" i="7" s="1"/>
  <c r="AZ11" i="7"/>
  <c r="BA11" i="7" s="1"/>
  <c r="AX32" i="7"/>
  <c r="AY32" i="7" s="1"/>
  <c r="AW18" i="7"/>
  <c r="AW21" i="7" s="1"/>
  <c r="AW23" i="7" s="1"/>
  <c r="AW19" i="7"/>
  <c r="AW20" i="7" s="1"/>
  <c r="AW22" i="7" s="1"/>
  <c r="AX14" i="7"/>
  <c r="AY14" i="7" s="1"/>
  <c r="AX16" i="7"/>
  <c r="AY16" i="7" s="1"/>
  <c r="AX13" i="7"/>
  <c r="AY13" i="7" s="1"/>
  <c r="AY31" i="7"/>
  <c r="AZ17" i="7"/>
  <c r="BA17" i="7" s="1"/>
  <c r="AP15" i="7"/>
  <c r="AQ15" i="7" s="1"/>
  <c r="AP14" i="7"/>
  <c r="AO17" i="7"/>
  <c r="AO19" i="7" s="1"/>
  <c r="AO21" i="7" s="1"/>
  <c r="AR13" i="7"/>
  <c r="AS13" i="7" s="1"/>
  <c r="AS12" i="7"/>
  <c r="AP29" i="7"/>
  <c r="AQ29" i="7" s="1"/>
  <c r="AQ11" i="7"/>
  <c r="AR11" i="7" s="1"/>
  <c r="AP16" i="7"/>
  <c r="P25" i="7"/>
  <c r="P26" i="7" s="1"/>
  <c r="P28" i="7" s="1"/>
  <c r="W19" i="7"/>
  <c r="W20" i="7"/>
  <c r="W27" i="7"/>
  <c r="P39" i="7"/>
  <c r="W25" i="7"/>
  <c r="W18" i="7"/>
  <c r="O159" i="20" l="1"/>
  <c r="AW26" i="7"/>
  <c r="AW27" i="7" s="1"/>
  <c r="AW28" i="7" s="1"/>
  <c r="AW29" i="7" s="1"/>
  <c r="AW30" i="7" s="1"/>
  <c r="AW33" i="7" s="1"/>
  <c r="X19" i="7"/>
  <c r="Y19" i="7" s="1"/>
  <c r="X18" i="7"/>
  <c r="Y18" i="7" s="1"/>
  <c r="X27" i="7"/>
  <c r="Y27" i="7" s="1"/>
  <c r="BF26" i="7"/>
  <c r="BH25" i="7"/>
  <c r="BI25" i="7" s="1"/>
  <c r="AZ32" i="7"/>
  <c r="BA32" i="7" s="1"/>
  <c r="AX25" i="7"/>
  <c r="AY25" i="7" s="1"/>
  <c r="AZ25" i="7" s="1"/>
  <c r="AY24" i="7"/>
  <c r="AZ24" i="7" s="1"/>
  <c r="X25" i="7"/>
  <c r="Y25" i="7" s="1"/>
  <c r="AZ14" i="7"/>
  <c r="BA14" i="7" s="1"/>
  <c r="AX19" i="7"/>
  <c r="AY19" i="7" s="1"/>
  <c r="AZ19" i="7" s="1"/>
  <c r="BA19" i="7" s="1"/>
  <c r="AX18" i="7"/>
  <c r="AY18" i="7" s="1"/>
  <c r="P29" i="7"/>
  <c r="P33" i="7" s="1"/>
  <c r="AZ16" i="7"/>
  <c r="BA16" i="7" s="1"/>
  <c r="AZ13" i="7"/>
  <c r="BA13" i="7" s="1"/>
  <c r="AZ31" i="7"/>
  <c r="BA31" i="7" s="1"/>
  <c r="AO24" i="7"/>
  <c r="AO25" i="7" s="1"/>
  <c r="AO26" i="7" s="1"/>
  <c r="AQ16" i="7"/>
  <c r="AR16" i="7" s="1"/>
  <c r="AR29" i="7"/>
  <c r="AS29" i="7" s="1"/>
  <c r="AP18" i="7"/>
  <c r="AQ18" i="7" s="1"/>
  <c r="AO20" i="7"/>
  <c r="AR15" i="7"/>
  <c r="AS15" i="7" s="1"/>
  <c r="AP17" i="7"/>
  <c r="AQ17" i="7" s="1"/>
  <c r="AQ14" i="7"/>
  <c r="AP22" i="7"/>
  <c r="AQ22" i="7" s="1"/>
  <c r="X20" i="7"/>
  <c r="Y20" i="7" s="1"/>
  <c r="Q26" i="7"/>
  <c r="R26" i="7" s="1"/>
  <c r="Q39" i="7"/>
  <c r="R39" i="7" s="1"/>
  <c r="S39" i="7" s="1"/>
  <c r="W21" i="7"/>
  <c r="O160" i="20" l="1"/>
  <c r="AX27" i="7"/>
  <c r="AY27" i="7" s="1"/>
  <c r="AX26" i="7"/>
  <c r="AY26" i="7" s="1"/>
  <c r="Z19" i="7"/>
  <c r="AA19" i="7" s="1"/>
  <c r="Z18" i="7"/>
  <c r="AA18" i="7" s="1"/>
  <c r="Z27" i="7"/>
  <c r="AA27" i="7" s="1"/>
  <c r="BF30" i="7"/>
  <c r="BG30" i="7" s="1"/>
  <c r="BG26" i="7"/>
  <c r="Z25" i="7"/>
  <c r="AA25" i="7" s="1"/>
  <c r="BA25" i="7"/>
  <c r="BA24" i="7"/>
  <c r="AZ18" i="7"/>
  <c r="BA18" i="7" s="1"/>
  <c r="AX20" i="7"/>
  <c r="AY20" i="7" s="1"/>
  <c r="AX21" i="7"/>
  <c r="AY21" i="7" s="1"/>
  <c r="AZ21" i="7" s="1"/>
  <c r="BA21" i="7" s="1"/>
  <c r="AX23" i="7"/>
  <c r="AY23" i="7" s="1"/>
  <c r="AZ23" i="7" s="1"/>
  <c r="AX22" i="7"/>
  <c r="AY22" i="7" s="1"/>
  <c r="AX28" i="7"/>
  <c r="AY28" i="7" s="1"/>
  <c r="AS16" i="7"/>
  <c r="AR18" i="7"/>
  <c r="AS18" i="7" s="1"/>
  <c r="AR22" i="7"/>
  <c r="AS22" i="7" s="1"/>
  <c r="AP19" i="7"/>
  <c r="AR17" i="7"/>
  <c r="AS17" i="7" s="1"/>
  <c r="AR14" i="7"/>
  <c r="AS14" i="7" s="1"/>
  <c r="AP23" i="7"/>
  <c r="AP20" i="7"/>
  <c r="AQ20" i="7" s="1"/>
  <c r="X21" i="7"/>
  <c r="Y21" i="7" s="1"/>
  <c r="Z20" i="7"/>
  <c r="AA20" i="7" s="1"/>
  <c r="S26" i="7"/>
  <c r="T26" i="7" s="1"/>
  <c r="T39" i="7"/>
  <c r="P34" i="7"/>
  <c r="P35" i="7"/>
  <c r="W22" i="7"/>
  <c r="O161" i="20" l="1"/>
  <c r="AZ26" i="7"/>
  <c r="BA26" i="7" s="1"/>
  <c r="AZ27" i="7"/>
  <c r="BA27" i="7" s="1"/>
  <c r="X22" i="7"/>
  <c r="Y22" i="7" s="1"/>
  <c r="W23" i="7"/>
  <c r="X23" i="7" s="1"/>
  <c r="Y23" i="7" s="1"/>
  <c r="W24" i="7"/>
  <c r="X24" i="7" s="1"/>
  <c r="Y24" i="7" s="1"/>
  <c r="BH26" i="7"/>
  <c r="BI26" i="7" s="1"/>
  <c r="BH30" i="7"/>
  <c r="BI30" i="7" s="1"/>
  <c r="BF7" i="7"/>
  <c r="AZ20" i="7"/>
  <c r="BA20" i="7" s="1"/>
  <c r="Z21" i="7"/>
  <c r="AA21" i="7" s="1"/>
  <c r="BA23" i="7"/>
  <c r="AZ28" i="7"/>
  <c r="BA28" i="7" s="1"/>
  <c r="AZ22" i="7"/>
  <c r="BA22" i="7" s="1"/>
  <c r="AX29" i="7"/>
  <c r="AY29" i="7" s="1"/>
  <c r="AR20" i="7"/>
  <c r="AS20" i="7" s="1"/>
  <c r="AP21" i="7"/>
  <c r="AQ23" i="7"/>
  <c r="AQ19" i="7"/>
  <c r="AR19" i="7" s="1"/>
  <c r="P36" i="7"/>
  <c r="P37" i="7" s="1"/>
  <c r="P38" i="7" s="1"/>
  <c r="P32" i="7"/>
  <c r="P30" i="7"/>
  <c r="Q30" i="7" s="1"/>
  <c r="R30" i="7" s="1"/>
  <c r="Q28" i="7"/>
  <c r="Q29" i="7"/>
  <c r="R29" i="7" s="1"/>
  <c r="S29" i="7" s="1"/>
  <c r="Q31" i="7"/>
  <c r="R31" i="7" s="1"/>
  <c r="S31" i="7" s="1"/>
  <c r="T31" i="7" s="1"/>
  <c r="O162" i="20" l="1"/>
  <c r="Z22" i="7"/>
  <c r="AA22" i="7" s="1"/>
  <c r="BG7" i="7"/>
  <c r="Z23" i="7"/>
  <c r="AA23" i="7" s="1"/>
  <c r="Z24" i="7"/>
  <c r="AA24" i="7" s="1"/>
  <c r="AZ29" i="7"/>
  <c r="BA29" i="7" s="1"/>
  <c r="AX30" i="7"/>
  <c r="AW7" i="7"/>
  <c r="AP24" i="7"/>
  <c r="AQ24" i="7" s="1"/>
  <c r="AR23" i="7"/>
  <c r="AS23" i="7" s="1"/>
  <c r="AQ21" i="7"/>
  <c r="AR21" i="7" s="1"/>
  <c r="AS21" i="7" s="1"/>
  <c r="AS19" i="7"/>
  <c r="R28" i="7"/>
  <c r="S28" i="7" s="1"/>
  <c r="T28" i="7" s="1"/>
  <c r="T29" i="7"/>
  <c r="Q34" i="7"/>
  <c r="R34" i="7" s="1"/>
  <c r="S34" i="7" s="1"/>
  <c r="Q32" i="7"/>
  <c r="Q33" i="7"/>
  <c r="R33" i="7" s="1"/>
  <c r="S30" i="7"/>
  <c r="T30" i="7" s="1"/>
  <c r="W26" i="7"/>
  <c r="W28" i="7"/>
  <c r="R162" i="20" l="1"/>
  <c r="Q162" i="20" s="1"/>
  <c r="P162" i="20" s="1"/>
  <c r="O163" i="20"/>
  <c r="X26" i="7"/>
  <c r="Y26" i="7" s="1"/>
  <c r="X28" i="7"/>
  <c r="Y28" i="7" s="1"/>
  <c r="BH7" i="7"/>
  <c r="BI7" i="7" s="1"/>
  <c r="AX7" i="7"/>
  <c r="AY7" i="7" s="1"/>
  <c r="AZ7" i="7" s="1"/>
  <c r="BA7" i="7" s="1"/>
  <c r="AY30" i="7"/>
  <c r="AX33" i="7"/>
  <c r="AR24" i="7"/>
  <c r="AS24" i="7" s="1"/>
  <c r="AP25" i="7"/>
  <c r="AO30" i="7"/>
  <c r="AO7" i="7" s="1"/>
  <c r="Q35" i="7"/>
  <c r="R35" i="7" s="1"/>
  <c r="S33" i="7"/>
  <c r="T33" i="7" s="1"/>
  <c r="R32" i="7"/>
  <c r="S32" i="7" s="1"/>
  <c r="T32" i="7" s="1"/>
  <c r="Q37" i="7"/>
  <c r="R37" i="7" s="1"/>
  <c r="T34" i="7"/>
  <c r="W29" i="7"/>
  <c r="O164" i="20" l="1"/>
  <c r="R163" i="20"/>
  <c r="Q163" i="20" s="1"/>
  <c r="P163" i="20" s="1"/>
  <c r="X29" i="7"/>
  <c r="Y29" i="7" s="1"/>
  <c r="Z26" i="7"/>
  <c r="AA26" i="7" s="1"/>
  <c r="AH32" i="7"/>
  <c r="AI32" i="7" s="1"/>
  <c r="Z28" i="7"/>
  <c r="AA28" i="7" s="1"/>
  <c r="AG11" i="7"/>
  <c r="AH27" i="7"/>
  <c r="AI27" i="7" s="1"/>
  <c r="AY33" i="7"/>
  <c r="AZ33" i="7" s="1"/>
  <c r="BA33" i="7" s="1"/>
  <c r="AZ30" i="7"/>
  <c r="BA30" i="7" s="1"/>
  <c r="AP30" i="7"/>
  <c r="AQ30" i="7" s="1"/>
  <c r="AQ25" i="7"/>
  <c r="AP26" i="7"/>
  <c r="AQ26" i="7" s="1"/>
  <c r="Q36" i="7"/>
  <c r="R36" i="7" s="1"/>
  <c r="S35" i="7"/>
  <c r="T35" i="7" s="1"/>
  <c r="Q38" i="7"/>
  <c r="R38" i="7" s="1"/>
  <c r="S37" i="7"/>
  <c r="T37" i="7" s="1"/>
  <c r="AG12" i="7"/>
  <c r="AG13" i="7"/>
  <c r="O165" i="20" l="1"/>
  <c r="Z29" i="7"/>
  <c r="AA29" i="7" s="1"/>
  <c r="AG16" i="7"/>
  <c r="AH13" i="7"/>
  <c r="AI13" i="7" s="1"/>
  <c r="AJ13" i="7" s="1"/>
  <c r="AK13" i="7" s="1"/>
  <c r="AH12" i="7"/>
  <c r="AI12" i="7" s="1"/>
  <c r="AG28" i="7"/>
  <c r="AH28" i="7" s="1"/>
  <c r="AI28" i="7" s="1"/>
  <c r="AH11" i="7"/>
  <c r="AI11" i="7" s="1"/>
  <c r="AJ11" i="7" s="1"/>
  <c r="AJ32" i="7"/>
  <c r="AK32" i="7" s="1"/>
  <c r="AJ27" i="7"/>
  <c r="AK27" i="7" s="1"/>
  <c r="AP7" i="7"/>
  <c r="AQ7" i="7" s="1"/>
  <c r="AR30" i="7"/>
  <c r="AS30" i="7" s="1"/>
  <c r="AR26" i="7"/>
  <c r="AS26" i="7" s="1"/>
  <c r="AR25" i="7"/>
  <c r="AS25" i="7" s="1"/>
  <c r="S36" i="7"/>
  <c r="T36" i="7" s="1"/>
  <c r="S38" i="7"/>
  <c r="T38" i="7" s="1"/>
  <c r="FR16" i="9"/>
  <c r="FR15" i="9"/>
  <c r="C15" i="7"/>
  <c r="AG15" i="7"/>
  <c r="AG14" i="7"/>
  <c r="O166" i="20" l="1"/>
  <c r="AG22" i="7"/>
  <c r="AG18" i="7"/>
  <c r="AG20" i="7" s="1"/>
  <c r="AJ28" i="7"/>
  <c r="AK28" i="7" s="1"/>
  <c r="AJ12" i="7"/>
  <c r="AK12" i="7" s="1"/>
  <c r="AH15" i="7"/>
  <c r="AI15" i="7" s="1"/>
  <c r="AG17" i="7"/>
  <c r="AG19" i="7" s="1"/>
  <c r="AH14" i="7"/>
  <c r="AI14" i="7" s="1"/>
  <c r="AH16" i="7"/>
  <c r="AI16" i="7" s="1"/>
  <c r="AJ16" i="7" s="1"/>
  <c r="AK16" i="7" s="1"/>
  <c r="AR7" i="7"/>
  <c r="AS7" i="7" s="1"/>
  <c r="C25" i="7"/>
  <c r="C20" i="7"/>
  <c r="C30" i="7"/>
  <c r="C18" i="7"/>
  <c r="C31" i="7"/>
  <c r="C19" i="7"/>
  <c r="C21" i="7"/>
  <c r="C29" i="7"/>
  <c r="C23" i="7"/>
  <c r="O167" i="20" l="1"/>
  <c r="D31" i="7"/>
  <c r="E31" i="7" s="1"/>
  <c r="D20" i="7"/>
  <c r="E20" i="7" s="1"/>
  <c r="D18" i="7"/>
  <c r="E18" i="7" s="1"/>
  <c r="D30" i="7"/>
  <c r="E30" i="7" s="1"/>
  <c r="D21" i="7"/>
  <c r="E21" i="7" s="1"/>
  <c r="D29" i="7"/>
  <c r="E29" i="7" s="1"/>
  <c r="F29" i="7" s="1"/>
  <c r="G29" i="7" s="1"/>
  <c r="H29" i="7" s="1"/>
  <c r="AH18" i="7"/>
  <c r="AI18" i="7" s="1"/>
  <c r="AH17" i="7"/>
  <c r="AI17" i="7" s="1"/>
  <c r="AG23" i="7"/>
  <c r="AH22" i="7"/>
  <c r="AJ14" i="7"/>
  <c r="AK14" i="7" s="1"/>
  <c r="AJ15" i="7"/>
  <c r="AK15" i="7" s="1"/>
  <c r="AH20" i="7"/>
  <c r="AI20" i="7" s="1"/>
  <c r="C22" i="7"/>
  <c r="D22" i="7" s="1"/>
  <c r="D19" i="7"/>
  <c r="E19" i="7" s="1"/>
  <c r="D25" i="7"/>
  <c r="E25" i="7" s="1"/>
  <c r="F25" i="7" s="1"/>
  <c r="G25" i="7" s="1"/>
  <c r="H25" i="7" s="1"/>
  <c r="D23" i="7"/>
  <c r="E23" i="7" s="1"/>
  <c r="F23" i="7" s="1"/>
  <c r="G23" i="7" s="1"/>
  <c r="H23" i="7" s="1"/>
  <c r="FC42" i="9"/>
  <c r="FA5" i="9"/>
  <c r="EZ34" i="9"/>
  <c r="EZ35" i="9" s="1"/>
  <c r="C32" i="7"/>
  <c r="C27" i="7"/>
  <c r="C26" i="7"/>
  <c r="C24" i="7"/>
  <c r="O168" i="20" l="1"/>
  <c r="D32" i="7"/>
  <c r="E32" i="7" s="1"/>
  <c r="F31" i="7"/>
  <c r="G31" i="7" s="1"/>
  <c r="H31" i="7" s="1"/>
  <c r="F20" i="7"/>
  <c r="G20" i="7" s="1"/>
  <c r="H20" i="7" s="1"/>
  <c r="F18" i="7"/>
  <c r="G18" i="7" s="1"/>
  <c r="H18" i="7" s="1"/>
  <c r="F30" i="7"/>
  <c r="G30" i="7" s="1"/>
  <c r="F21" i="7"/>
  <c r="G21" i="7" s="1"/>
  <c r="H21" i="7" s="1"/>
  <c r="D26" i="7"/>
  <c r="E26" i="7" s="1"/>
  <c r="F26" i="7" s="1"/>
  <c r="AJ18" i="7"/>
  <c r="AK18" i="7" s="1"/>
  <c r="AJ20" i="7"/>
  <c r="AK20" i="7" s="1"/>
  <c r="AJ17" i="7"/>
  <c r="AK17" i="7" s="1"/>
  <c r="D24" i="7"/>
  <c r="E24" i="7" s="1"/>
  <c r="F24" i="7" s="1"/>
  <c r="AI22" i="7"/>
  <c r="AJ22" i="7" s="1"/>
  <c r="AK22" i="7" s="1"/>
  <c r="AG21" i="7"/>
  <c r="AG29" i="7" s="1"/>
  <c r="AH19" i="7"/>
  <c r="AH23" i="7"/>
  <c r="AI23" i="7" s="1"/>
  <c r="F19" i="7"/>
  <c r="G19" i="7" s="1"/>
  <c r="H19" i="7" s="1"/>
  <c r="D27" i="7"/>
  <c r="E27" i="7" s="1"/>
  <c r="F27" i="7" s="1"/>
  <c r="G27" i="7" s="1"/>
  <c r="H27" i="7" s="1"/>
  <c r="E22" i="7"/>
  <c r="FB37" i="9"/>
  <c r="FB38" i="9" s="1"/>
  <c r="FA35" i="9"/>
  <c r="FB35" i="9" s="1"/>
  <c r="FC35" i="9" s="1"/>
  <c r="FA8" i="9"/>
  <c r="C33" i="7"/>
  <c r="O169" i="20" l="1"/>
  <c r="D33" i="7"/>
  <c r="E33" i="7" s="1"/>
  <c r="F32" i="7"/>
  <c r="G32" i="7" s="1"/>
  <c r="H30" i="7"/>
  <c r="G26" i="7"/>
  <c r="H26" i="7" s="1"/>
  <c r="AG24" i="7"/>
  <c r="AG25" i="7" s="1"/>
  <c r="AG26" i="7" s="1"/>
  <c r="AH21" i="7"/>
  <c r="G24" i="7"/>
  <c r="H24" i="7" s="1"/>
  <c r="AI19" i="7"/>
  <c r="AJ19" i="7" s="1"/>
  <c r="AK19" i="7" s="1"/>
  <c r="AJ23" i="7"/>
  <c r="AK23" i="7" s="1"/>
  <c r="F22" i="7"/>
  <c r="G22" i="7" s="1"/>
  <c r="FD35" i="9"/>
  <c r="EZ33" i="9"/>
  <c r="C34" i="7"/>
  <c r="O170" i="20" l="1"/>
  <c r="D34" i="7"/>
  <c r="E34" i="7" s="1"/>
  <c r="F33" i="7"/>
  <c r="G33" i="7" s="1"/>
  <c r="H33" i="7" s="1"/>
  <c r="H32" i="7"/>
  <c r="AI21" i="7"/>
  <c r="AJ21" i="7" s="1"/>
  <c r="AK21" i="7" s="1"/>
  <c r="AH24" i="7"/>
  <c r="AI24" i="7" s="1"/>
  <c r="H22" i="7"/>
  <c r="EY16" i="9"/>
  <c r="O171" i="20" l="1"/>
  <c r="F34" i="7"/>
  <c r="G34" i="7" s="1"/>
  <c r="AJ24" i="7"/>
  <c r="AK24" i="7" s="1"/>
  <c r="AH25" i="7"/>
  <c r="AI25" i="7" s="1"/>
  <c r="EZ16" i="9"/>
  <c r="FA16" i="9" s="1"/>
  <c r="FB16" i="9" s="1"/>
  <c r="EM15" i="9"/>
  <c r="EM19" i="9" l="1"/>
  <c r="EM20" i="9" s="1"/>
  <c r="O172" i="20"/>
  <c r="H34" i="7"/>
  <c r="AJ25" i="7"/>
  <c r="AK25" i="7" s="1"/>
  <c r="AH26" i="7"/>
  <c r="FC16" i="9"/>
  <c r="ET21" i="9"/>
  <c r="O173" i="20" l="1"/>
  <c r="AI26" i="7"/>
  <c r="AJ26" i="7" s="1"/>
  <c r="AK26" i="7" s="1"/>
  <c r="AG30" i="7"/>
  <c r="AH29" i="7"/>
  <c r="AI29" i="7" s="1"/>
  <c r="EF11" i="9"/>
  <c r="O174" i="20" l="1"/>
  <c r="AJ29" i="7"/>
  <c r="AK29" i="7" s="1"/>
  <c r="AH30" i="7"/>
  <c r="AI30" i="7" s="1"/>
  <c r="AJ30" i="7" s="1"/>
  <c r="AG7" i="7"/>
  <c r="AH7" i="7" s="1"/>
  <c r="AI7" i="7" s="1"/>
  <c r="EG11" i="9"/>
  <c r="EH11" i="9" s="1"/>
  <c r="EI11" i="9" s="1"/>
  <c r="R174" i="20" l="1"/>
  <c r="Q174" i="20" s="1"/>
  <c r="P174" i="20" s="1"/>
  <c r="O175" i="20"/>
  <c r="AJ7" i="7"/>
  <c r="AK7" i="7" s="1"/>
  <c r="AK30" i="7"/>
  <c r="EG13" i="9"/>
  <c r="EH13" i="9" s="1"/>
  <c r="O176" i="20" l="1"/>
  <c r="EI13" i="9"/>
  <c r="DC20" i="9"/>
  <c r="DC19" i="9"/>
  <c r="DC18" i="9"/>
  <c r="DC17" i="9"/>
  <c r="CH8" i="9"/>
  <c r="CH7" i="9"/>
  <c r="O177" i="20" l="1"/>
  <c r="DN33" i="9"/>
  <c r="CH5" i="9"/>
  <c r="CH6" i="9"/>
  <c r="DA19" i="9"/>
  <c r="DC21" i="9"/>
  <c r="DN20" i="9" s="1"/>
  <c r="DN22" i="9"/>
  <c r="DN32" i="9"/>
  <c r="DA17" i="9"/>
  <c r="DN18" i="9"/>
  <c r="DN23" i="9"/>
  <c r="DN24" i="9"/>
  <c r="DL9" i="9"/>
  <c r="DL12" i="9"/>
  <c r="DL11" i="9"/>
  <c r="DL8" i="9"/>
  <c r="DM8" i="9" s="1"/>
  <c r="DC36" i="9"/>
  <c r="O178" i="20" l="1"/>
  <c r="EG12" i="9"/>
  <c r="EH12" i="9" s="1"/>
  <c r="EI12" i="9" s="1"/>
  <c r="EG14" i="9"/>
  <c r="EH14" i="9" s="1"/>
  <c r="DP17" i="9"/>
  <c r="DO32" i="9"/>
  <c r="DO23" i="9"/>
  <c r="DD5" i="9"/>
  <c r="DD6" i="9"/>
  <c r="DM11" i="9"/>
  <c r="DO13" i="9"/>
  <c r="O179" i="20" l="1"/>
  <c r="EM24" i="9"/>
  <c r="EI14" i="9"/>
  <c r="DG4" i="9"/>
  <c r="CS20" i="9"/>
  <c r="CS10" i="9"/>
  <c r="BZ8" i="9"/>
  <c r="BZ7" i="9"/>
  <c r="BZ6" i="9"/>
  <c r="BZ5" i="9"/>
  <c r="CF7" i="9"/>
  <c r="CF5" i="9"/>
  <c r="O180" i="20" l="1"/>
  <c r="CS21" i="9"/>
  <c r="CS12" i="9"/>
  <c r="CS11" i="9"/>
  <c r="CH9" i="9"/>
  <c r="CS6" i="9"/>
  <c r="DM10" i="9"/>
  <c r="DO10" i="9"/>
  <c r="DO7" i="9"/>
  <c r="O181" i="20" l="1"/>
  <c r="CT11" i="9"/>
  <c r="CT20" i="9"/>
  <c r="CU5" i="9"/>
  <c r="CS8" i="9"/>
  <c r="O182" i="20" l="1"/>
  <c r="O183" i="20" l="1"/>
  <c r="AZ4" i="9"/>
  <c r="AZ8" i="9" s="1"/>
  <c r="O184" i="20" l="1"/>
  <c r="O185" i="20" l="1"/>
  <c r="O186" i="20" l="1"/>
  <c r="O187" i="20" l="1"/>
  <c r="EF17" i="9"/>
  <c r="EG17" i="9" s="1"/>
  <c r="EG16" i="9"/>
  <c r="EH16" i="9" s="1"/>
  <c r="EI16" i="9" s="1"/>
  <c r="C61" i="2"/>
  <c r="F61" i="2" s="1"/>
  <c r="N61" i="2"/>
  <c r="O61" i="2"/>
  <c r="P61" i="2" s="1"/>
  <c r="Q61" i="2" s="1"/>
  <c r="D64" i="2"/>
  <c r="E64" i="2"/>
  <c r="F64" i="2"/>
  <c r="G64" i="2"/>
  <c r="J64" i="2" s="1"/>
  <c r="E67" i="2"/>
  <c r="G67" i="2" s="1"/>
  <c r="H67" i="2" s="1"/>
  <c r="I67" i="2" s="1"/>
  <c r="J67" i="2" s="1"/>
  <c r="D70" i="2"/>
  <c r="E70" i="2" s="1"/>
  <c r="D73" i="2"/>
  <c r="E73" i="2" s="1"/>
  <c r="Q73" i="2" s="1"/>
  <c r="F73" i="2"/>
  <c r="Q74" i="2"/>
  <c r="R73" i="2" s="1"/>
  <c r="F80" i="2"/>
  <c r="G80" i="2" s="1"/>
  <c r="H80" i="2" s="1"/>
  <c r="I80" i="2" s="1"/>
  <c r="J80" i="2" s="1"/>
  <c r="D83" i="2"/>
  <c r="E83" i="2" s="1"/>
  <c r="D86" i="2"/>
  <c r="E86" i="2"/>
  <c r="Q87" i="2"/>
  <c r="Q86" i="2" s="1"/>
  <c r="S87" i="2"/>
  <c r="S86" i="2" s="1"/>
  <c r="T87" i="2"/>
  <c r="T86" i="2" s="1"/>
  <c r="U87" i="2"/>
  <c r="U86" i="2" s="1"/>
  <c r="V87" i="2"/>
  <c r="V86" i="2" s="1"/>
  <c r="W87" i="2"/>
  <c r="W86" i="2" s="1"/>
  <c r="X87" i="2"/>
  <c r="Y87" i="2"/>
  <c r="Y86" i="2" s="1"/>
  <c r="Z87" i="2"/>
  <c r="Z86" i="2" s="1"/>
  <c r="AA87" i="2"/>
  <c r="AA86" i="2" s="1"/>
  <c r="AB87" i="2"/>
  <c r="AB86" i="2" s="1"/>
  <c r="AC87" i="2"/>
  <c r="AC86" i="2" s="1"/>
  <c r="R88" i="2"/>
  <c r="V88" i="2"/>
  <c r="AA88" i="2"/>
  <c r="E92" i="2"/>
  <c r="F92" i="2" s="1"/>
  <c r="G92" i="2"/>
  <c r="E97" i="2"/>
  <c r="I97" i="2" s="1"/>
  <c r="I99" i="2" s="1"/>
  <c r="G98" i="2"/>
  <c r="J119" i="2"/>
  <c r="J121" i="2"/>
  <c r="AW21" i="9"/>
  <c r="AO21" i="9"/>
  <c r="AJ21" i="9"/>
  <c r="AB21" i="9"/>
  <c r="AC21" i="9" s="1"/>
  <c r="AO20" i="9"/>
  <c r="AB20" i="9"/>
  <c r="AW15" i="9"/>
  <c r="AO15" i="9"/>
  <c r="AJ15" i="9"/>
  <c r="AB15" i="9"/>
  <c r="AN8" i="9"/>
  <c r="AA8" i="9"/>
  <c r="AO7" i="9"/>
  <c r="AB7" i="9"/>
  <c r="AO3" i="9"/>
  <c r="AP3" i="9" s="1"/>
  <c r="AN3" i="9"/>
  <c r="AC3" i="9"/>
  <c r="AA5" i="9" s="1"/>
  <c r="AA10" i="9" s="1"/>
  <c r="AC88" i="2" l="1"/>
  <c r="X88" i="2"/>
  <c r="T88" i="2"/>
  <c r="Z88" i="2"/>
  <c r="U88" i="2"/>
  <c r="AB88" i="2"/>
  <c r="W88" i="2"/>
  <c r="S88" i="2"/>
  <c r="O188" i="20"/>
  <c r="R87" i="2"/>
  <c r="R86" i="2" s="1"/>
  <c r="I119" i="2"/>
  <c r="E119" i="2" s="1"/>
  <c r="G119" i="2" s="1"/>
  <c r="F119" i="2" s="1"/>
  <c r="H64" i="2"/>
  <c r="I64" i="2" s="1"/>
  <c r="E61" i="2"/>
  <c r="R74" i="2"/>
  <c r="S73" i="2" s="1"/>
  <c r="K64" i="2"/>
  <c r="L64" i="2" s="1"/>
  <c r="D61" i="2"/>
  <c r="I121" i="2"/>
  <c r="H121" i="2" s="1"/>
  <c r="G61" i="2"/>
  <c r="EH17" i="9"/>
  <c r="EI17" i="9" s="1"/>
  <c r="AP7" i="9"/>
  <c r="AQ7" i="9" s="1"/>
  <c r="AR7" i="9" s="1"/>
  <c r="AN5" i="9"/>
  <c r="AV10" i="9" s="1"/>
  <c r="AW10" i="9" s="1"/>
  <c r="Y88" i="2"/>
  <c r="X86" i="2"/>
  <c r="H92" i="2"/>
  <c r="J92" i="2" s="1"/>
  <c r="I92" i="2"/>
  <c r="H99" i="2"/>
  <c r="I103" i="2"/>
  <c r="I109" i="2"/>
  <c r="E99" i="2"/>
  <c r="G99" i="2" s="1"/>
  <c r="I105" i="2"/>
  <c r="I113" i="2"/>
  <c r="I117" i="2"/>
  <c r="I115" i="2"/>
  <c r="I107" i="2"/>
  <c r="I101" i="2"/>
  <c r="AC7" i="9"/>
  <c r="AB10" i="9"/>
  <c r="AC10" i="9" s="1"/>
  <c r="AD10" i="9" s="1"/>
  <c r="AE10" i="9" s="1"/>
  <c r="AA11" i="9"/>
  <c r="AI10" i="9"/>
  <c r="AJ10" i="9" s="1"/>
  <c r="AA16" i="9" s="1"/>
  <c r="AB8" i="9"/>
  <c r="AC8" i="9" s="1"/>
  <c r="AA9" i="9"/>
  <c r="AP15" i="9"/>
  <c r="AC20" i="9"/>
  <c r="AD20" i="9" s="1"/>
  <c r="AD21" i="9"/>
  <c r="AO8" i="9"/>
  <c r="AP8" i="9" s="1"/>
  <c r="AQ15" i="9"/>
  <c r="AC15" i="9"/>
  <c r="AP20" i="9"/>
  <c r="AP21" i="9"/>
  <c r="E121" i="2" l="1"/>
  <c r="G121" i="2" s="1"/>
  <c r="AN9" i="9"/>
  <c r="O189" i="20"/>
  <c r="S74" i="2"/>
  <c r="T74" i="2" s="1"/>
  <c r="H119" i="2"/>
  <c r="G120" i="2"/>
  <c r="J61" i="2"/>
  <c r="H61" i="2"/>
  <c r="I61" i="2" s="1"/>
  <c r="K61" i="2"/>
  <c r="L61" i="2" s="1"/>
  <c r="AI16" i="9"/>
  <c r="AI17" i="9" s="1"/>
  <c r="AJ17" i="9" s="1"/>
  <c r="AN11" i="9"/>
  <c r="AR15" i="9"/>
  <c r="AS15" i="9" s="1"/>
  <c r="AT15" i="9" s="1"/>
  <c r="AN10" i="9"/>
  <c r="AN16" i="9" s="1"/>
  <c r="AD7" i="9"/>
  <c r="AE7" i="9" s="1"/>
  <c r="AE21" i="9"/>
  <c r="AS7" i="9"/>
  <c r="AT7" i="9" s="1"/>
  <c r="E101" i="2"/>
  <c r="H101" i="2"/>
  <c r="H113" i="2"/>
  <c r="H114" i="2" s="1"/>
  <c r="E113" i="2"/>
  <c r="E103" i="2"/>
  <c r="H103" i="2"/>
  <c r="E107" i="2"/>
  <c r="H107" i="2"/>
  <c r="H108" i="2" s="1"/>
  <c r="H105" i="2"/>
  <c r="E105" i="2"/>
  <c r="T73" i="2"/>
  <c r="E115" i="2"/>
  <c r="H115" i="2"/>
  <c r="G100" i="2"/>
  <c r="F99" i="2"/>
  <c r="H117" i="2"/>
  <c r="E117" i="2"/>
  <c r="E109" i="2"/>
  <c r="H109" i="2"/>
  <c r="K92" i="2"/>
  <c r="L92" i="2" s="1"/>
  <c r="G122" i="2"/>
  <c r="F121" i="2"/>
  <c r="AF10" i="9"/>
  <c r="AG10" i="9" s="1"/>
  <c r="AH10" i="9" s="1"/>
  <c r="AV16" i="9"/>
  <c r="AB16" i="9"/>
  <c r="AA18" i="9"/>
  <c r="AO11" i="9"/>
  <c r="AP11" i="9" s="1"/>
  <c r="AQ11" i="9" s="1"/>
  <c r="AN12" i="9"/>
  <c r="AN13" i="9" s="1"/>
  <c r="AB11" i="9"/>
  <c r="AA12" i="9"/>
  <c r="AA13" i="9" s="1"/>
  <c r="AD15" i="9"/>
  <c r="AQ20" i="9"/>
  <c r="AO9" i="9"/>
  <c r="AP9" i="9" s="1"/>
  <c r="AN24" i="9"/>
  <c r="AD8" i="9"/>
  <c r="AE8" i="9" s="1"/>
  <c r="AQ21" i="9"/>
  <c r="AE20" i="9"/>
  <c r="AF20" i="9" s="1"/>
  <c r="AQ8" i="9"/>
  <c r="AR8" i="9" s="1"/>
  <c r="AN25" i="9"/>
  <c r="AB9" i="9"/>
  <c r="AA24" i="9"/>
  <c r="AA25" i="9"/>
  <c r="R288" i="18"/>
  <c r="O4" i="17"/>
  <c r="AO21" i="17"/>
  <c r="AT20" i="17"/>
  <c r="AO20" i="17"/>
  <c r="AT21" i="17"/>
  <c r="CG20" i="17"/>
  <c r="AJ20" i="17"/>
  <c r="AJ21" i="17"/>
  <c r="O3" i="17"/>
  <c r="CG21" i="17"/>
  <c r="AJ16" i="9" l="1"/>
  <c r="O190" i="20"/>
  <c r="ES8" i="9"/>
  <c r="ET7" i="9" s="1"/>
  <c r="ET8" i="9" s="1"/>
  <c r="AF7" i="9"/>
  <c r="AG7" i="9" s="1"/>
  <c r="AC9" i="9"/>
  <c r="AD9" i="9" s="1"/>
  <c r="AE9" i="9" s="1"/>
  <c r="AO10" i="9"/>
  <c r="AP10" i="9" s="1"/>
  <c r="AU7" i="9"/>
  <c r="AF21" i="9"/>
  <c r="AG21" i="9" s="1"/>
  <c r="G113" i="2"/>
  <c r="F113" i="2" s="1"/>
  <c r="F117" i="2"/>
  <c r="G117" i="2"/>
  <c r="G118" i="2" s="1"/>
  <c r="G105" i="2"/>
  <c r="G106" i="2" s="1"/>
  <c r="F105" i="2"/>
  <c r="M92" i="2"/>
  <c r="Q92" i="2" s="1"/>
  <c r="Q93" i="2"/>
  <c r="R93" i="2" s="1"/>
  <c r="F115" i="2"/>
  <c r="G115" i="2"/>
  <c r="G116" i="2" s="1"/>
  <c r="F103" i="2"/>
  <c r="G103" i="2"/>
  <c r="F101" i="2"/>
  <c r="G101" i="2"/>
  <c r="U73" i="2"/>
  <c r="U74" i="2"/>
  <c r="V74" i="2" s="1"/>
  <c r="G107" i="2"/>
  <c r="G108" i="2" s="1"/>
  <c r="AO25" i="9"/>
  <c r="AP25" i="9" s="1"/>
  <c r="AA26" i="9"/>
  <c r="AR20" i="9"/>
  <c r="AB24" i="9"/>
  <c r="AC24" i="9" s="1"/>
  <c r="AR21" i="9"/>
  <c r="AO13" i="9"/>
  <c r="AR11" i="9"/>
  <c r="AG20" i="9"/>
  <c r="AH20" i="9" s="1"/>
  <c r="AB18" i="9"/>
  <c r="AV17" i="9"/>
  <c r="AW17" i="9" s="1"/>
  <c r="AW16" i="9"/>
  <c r="AU15" i="9"/>
  <c r="AB13" i="9"/>
  <c r="AC13" i="9" s="1"/>
  <c r="AQ9" i="9"/>
  <c r="AE15" i="9"/>
  <c r="AC11" i="9"/>
  <c r="AD11" i="9" s="1"/>
  <c r="AF8" i="9"/>
  <c r="AG8" i="9" s="1"/>
  <c r="AH8" i="9" s="1"/>
  <c r="AC16" i="9"/>
  <c r="AN18" i="9"/>
  <c r="AO16" i="9"/>
  <c r="AP16" i="9" s="1"/>
  <c r="AN17" i="9"/>
  <c r="AB25" i="9"/>
  <c r="AC25" i="9" s="1"/>
  <c r="AS8" i="9"/>
  <c r="AT8" i="9" s="1"/>
  <c r="AU8" i="9" s="1"/>
  <c r="AO24" i="9"/>
  <c r="AP24" i="9" s="1"/>
  <c r="AB12" i="9"/>
  <c r="AC12" i="9" s="1"/>
  <c r="AD12" i="9" s="1"/>
  <c r="AA14" i="9"/>
  <c r="AO12" i="9"/>
  <c r="AN14" i="9"/>
  <c r="AA17" i="9"/>
  <c r="AA22" i="9"/>
  <c r="AJ22" i="17"/>
  <c r="R281" i="18"/>
  <c r="AO22" i="17"/>
  <c r="AT22" i="17"/>
  <c r="O5" i="17"/>
  <c r="CG22" i="17"/>
  <c r="O191" i="20" l="1"/>
  <c r="AE11" i="9"/>
  <c r="AH7" i="9"/>
  <c r="ES11" i="9"/>
  <c r="ES12" i="9" s="1"/>
  <c r="AR9" i="9"/>
  <c r="AS9" i="9" s="1"/>
  <c r="AT9" i="9" s="1"/>
  <c r="AU9" i="9" s="1"/>
  <c r="AF11" i="9"/>
  <c r="AG11" i="9" s="1"/>
  <c r="AH11" i="9" s="1"/>
  <c r="AQ24" i="9"/>
  <c r="AR24" i="9" s="1"/>
  <c r="AQ16" i="9"/>
  <c r="AR16" i="9" s="1"/>
  <c r="AS16" i="9" s="1"/>
  <c r="AS21" i="9"/>
  <c r="AF9" i="9"/>
  <c r="AG9" i="9" s="1"/>
  <c r="AH9" i="9" s="1"/>
  <c r="AH21" i="9"/>
  <c r="F107" i="2"/>
  <c r="W73" i="2"/>
  <c r="W74" i="2"/>
  <c r="V73" i="2"/>
  <c r="S93" i="2"/>
  <c r="R92" i="2"/>
  <c r="AE12" i="9"/>
  <c r="AS11" i="9"/>
  <c r="AT11" i="9" s="1"/>
  <c r="AB26" i="9"/>
  <c r="AC26" i="9" s="1"/>
  <c r="AF15" i="9"/>
  <c r="AG15" i="9" s="1"/>
  <c r="AH15" i="9" s="1"/>
  <c r="AC18" i="9"/>
  <c r="AD18" i="9" s="1"/>
  <c r="AD24" i="9"/>
  <c r="AE24" i="9" s="1"/>
  <c r="AB22" i="9"/>
  <c r="AC22" i="9" s="1"/>
  <c r="AO14" i="9"/>
  <c r="AP14" i="9" s="1"/>
  <c r="AB14" i="9"/>
  <c r="AD25" i="9"/>
  <c r="AO17" i="9"/>
  <c r="AP17" i="9" s="1"/>
  <c r="AQ17" i="9" s="1"/>
  <c r="AO18" i="9"/>
  <c r="AN22" i="9"/>
  <c r="AQ25" i="9"/>
  <c r="AR25" i="9" s="1"/>
  <c r="AB17" i="9"/>
  <c r="AP12" i="9"/>
  <c r="AD16" i="9"/>
  <c r="AQ10" i="9"/>
  <c r="AD13" i="9"/>
  <c r="AE13" i="9" s="1"/>
  <c r="AS20" i="9"/>
  <c r="AP13" i="9"/>
  <c r="N26" i="17"/>
  <c r="AO23" i="17"/>
  <c r="P5" i="17"/>
  <c r="CG23" i="17"/>
  <c r="CG24" i="17" s="1"/>
  <c r="CC19" i="17"/>
  <c r="R282" i="18"/>
  <c r="BN21" i="17"/>
  <c r="BY21" i="17"/>
  <c r="AT23" i="17"/>
  <c r="BY20" i="17"/>
  <c r="BN20" i="17"/>
  <c r="R283" i="18"/>
  <c r="AJ23" i="17"/>
  <c r="AM45" i="13" l="1"/>
  <c r="AN45" i="13" s="1"/>
  <c r="O192" i="20"/>
  <c r="AT21" i="9"/>
  <c r="AU21" i="9" s="1"/>
  <c r="AP18" i="9"/>
  <c r="AQ18" i="9" s="1"/>
  <c r="AR18" i="9" s="1"/>
  <c r="AF13" i="9"/>
  <c r="AG13" i="9" s="1"/>
  <c r="X73" i="2"/>
  <c r="X74" i="2"/>
  <c r="S92" i="2"/>
  <c r="T93" i="2"/>
  <c r="AT16" i="9"/>
  <c r="AU16" i="9" s="1"/>
  <c r="AR17" i="9"/>
  <c r="AF24" i="9"/>
  <c r="AG24" i="9" s="1"/>
  <c r="AH24" i="9" s="1"/>
  <c r="AQ13" i="9"/>
  <c r="AR13" i="9" s="1"/>
  <c r="AS13" i="9" s="1"/>
  <c r="AO22" i="9"/>
  <c r="AE16" i="9"/>
  <c r="AF16" i="9" s="1"/>
  <c r="AG16" i="9" s="1"/>
  <c r="AE25" i="9"/>
  <c r="AF25" i="9" s="1"/>
  <c r="AR10" i="9"/>
  <c r="AS24" i="9"/>
  <c r="AT24" i="9" s="1"/>
  <c r="AS25" i="9"/>
  <c r="AT25" i="9" s="1"/>
  <c r="AU25" i="9" s="1"/>
  <c r="AE18" i="9"/>
  <c r="AF18" i="9" s="1"/>
  <c r="AQ12" i="9"/>
  <c r="AC17" i="9"/>
  <c r="AS17" i="9"/>
  <c r="AQ14" i="9"/>
  <c r="AD22" i="9"/>
  <c r="AE22" i="9" s="1"/>
  <c r="AF22" i="9" s="1"/>
  <c r="AD26" i="9"/>
  <c r="AF12" i="9"/>
  <c r="AG12" i="9" s="1"/>
  <c r="AT20" i="9"/>
  <c r="AU20" i="9" s="1"/>
  <c r="AC14" i="9"/>
  <c r="AD14" i="9" s="1"/>
  <c r="AU11" i="9"/>
  <c r="AT24" i="17"/>
  <c r="N19" i="17"/>
  <c r="N33" i="17"/>
  <c r="AJ24" i="17"/>
  <c r="R295" i="18"/>
  <c r="AS6" i="16"/>
  <c r="AT6" i="16"/>
  <c r="AT8" i="16"/>
  <c r="AZ7" i="16"/>
  <c r="R285" i="18"/>
  <c r="R292" i="18"/>
  <c r="AY21" i="17"/>
  <c r="CC18" i="17"/>
  <c r="AY20" i="17"/>
  <c r="BR18" i="17"/>
  <c r="AO45" i="13" l="1"/>
  <c r="AP45" i="13" s="1"/>
  <c r="O193" i="20"/>
  <c r="AH13" i="9"/>
  <c r="AT17" i="9"/>
  <c r="AU17" i="9" s="1"/>
  <c r="AU24" i="9"/>
  <c r="AS18" i="9"/>
  <c r="AT18" i="9" s="1"/>
  <c r="AU18" i="9" s="1"/>
  <c r="AP22" i="9"/>
  <c r="Y73" i="2"/>
  <c r="Y74" i="2"/>
  <c r="T92" i="2"/>
  <c r="U93" i="2"/>
  <c r="AT13" i="9"/>
  <c r="AU13" i="9" s="1"/>
  <c r="AD17" i="9"/>
  <c r="AE17" i="9" s="1"/>
  <c r="AR12" i="9"/>
  <c r="AS12" i="9" s="1"/>
  <c r="AT12" i="9" s="1"/>
  <c r="AU12" i="9" s="1"/>
  <c r="AG22" i="9"/>
  <c r="AH22" i="9" s="1"/>
  <c r="AH16" i="9"/>
  <c r="AH12" i="9"/>
  <c r="AG25" i="9"/>
  <c r="AH25" i="9" s="1"/>
  <c r="AS10" i="9"/>
  <c r="AT10" i="9" s="1"/>
  <c r="AE26" i="9"/>
  <c r="AF26" i="9" s="1"/>
  <c r="AR14" i="9"/>
  <c r="AS14" i="9" s="1"/>
  <c r="AE14" i="9"/>
  <c r="AF14" i="9" s="1"/>
  <c r="AG14" i="9" s="1"/>
  <c r="AH14" i="9" s="1"/>
  <c r="AG18" i="9"/>
  <c r="AH18" i="9" s="1"/>
  <c r="CC21" i="17"/>
  <c r="CC2" i="17"/>
  <c r="BX4" i="17" s="1"/>
  <c r="BY4" i="17" s="1"/>
  <c r="BZ4" i="17" s="1"/>
  <c r="CA4" i="17" s="1"/>
  <c r="CB4" i="17" s="1"/>
  <c r="BN4" i="17"/>
  <c r="BO4" i="17" s="1"/>
  <c r="BP4" i="17" s="1"/>
  <c r="BQ4" i="17" s="1"/>
  <c r="BR4" i="17" s="1"/>
  <c r="BS4" i="17" s="1"/>
  <c r="BT4" i="17" s="1"/>
  <c r="BU4" i="17" s="1"/>
  <c r="AZ4" i="17"/>
  <c r="BA4" i="17" s="1"/>
  <c r="BB4" i="17" s="1"/>
  <c r="BC4" i="17" s="1"/>
  <c r="BD4" i="17" s="1"/>
  <c r="BE4" i="17" s="1"/>
  <c r="BF4" i="17" s="1"/>
  <c r="BG4" i="17" s="1"/>
  <c r="BH4" i="17" s="1"/>
  <c r="BI4" i="17" s="1"/>
  <c r="BJ4" i="17" s="1"/>
  <c r="CC20" i="17"/>
  <c r="R286" i="18"/>
  <c r="BR19" i="17"/>
  <c r="BC18" i="17"/>
  <c r="O194" i="20" l="1"/>
  <c r="AQ22" i="9"/>
  <c r="AR22" i="9" s="1"/>
  <c r="AS22" i="9" s="1"/>
  <c r="AT22" i="9" s="1"/>
  <c r="AG26" i="9"/>
  <c r="AH26" i="9" s="1"/>
  <c r="AT14" i="9"/>
  <c r="AU14" i="9" s="1"/>
  <c r="Z73" i="2"/>
  <c r="Z74" i="2"/>
  <c r="V93" i="2"/>
  <c r="U92" i="2"/>
  <c r="AU10" i="9"/>
  <c r="AF17" i="9"/>
  <c r="R287" i="18"/>
  <c r="CC22" i="17"/>
  <c r="CC23" i="17" s="1"/>
  <c r="CC24" i="17" s="1"/>
  <c r="CC25" i="17" s="1"/>
  <c r="CC4" i="17"/>
  <c r="CD4" i="17" s="1"/>
  <c r="BC19" i="17"/>
  <c r="BC21" i="17" s="1"/>
  <c r="BC22" i="17" s="1"/>
  <c r="BC20" i="17"/>
  <c r="R194" i="20" l="1"/>
  <c r="Q194" i="20" s="1"/>
  <c r="P194" i="20" s="1"/>
  <c r="O195" i="20"/>
  <c r="AG17" i="9"/>
  <c r="AH17" i="9" s="1"/>
  <c r="W93" i="2"/>
  <c r="V92" i="2"/>
  <c r="AA73" i="2"/>
  <c r="AA74" i="2"/>
  <c r="AU22" i="9"/>
  <c r="R289" i="18"/>
  <c r="R290" i="18"/>
  <c r="R291" i="18" s="1"/>
  <c r="R293" i="18" s="1"/>
  <c r="R294" i="18"/>
  <c r="O196" i="20" l="1"/>
  <c r="R195" i="20"/>
  <c r="W92" i="2"/>
  <c r="X93" i="2"/>
  <c r="AB73" i="2"/>
  <c r="AB74" i="2"/>
  <c r="R296" i="18"/>
  <c r="Q195" i="20" l="1"/>
  <c r="P195" i="20" s="1"/>
  <c r="O197" i="20"/>
  <c r="X92" i="2"/>
  <c r="Y93" i="2"/>
  <c r="GJ12" i="16"/>
  <c r="GJ21" i="16" s="1"/>
  <c r="O198" i="20" l="1"/>
  <c r="Y92" i="2"/>
  <c r="Z93" i="2"/>
  <c r="GK11" i="16"/>
  <c r="GL11" i="16" s="1"/>
  <c r="GM11" i="16" s="1"/>
  <c r="GN11" i="16" s="1"/>
  <c r="GK12" i="16"/>
  <c r="GL12" i="16" s="1"/>
  <c r="GD6" i="16"/>
  <c r="GD7" i="16"/>
  <c r="GD8" i="16" s="1"/>
  <c r="GD9" i="16" s="1"/>
  <c r="GD10" i="16" s="1"/>
  <c r="GD11" i="16" s="1"/>
  <c r="GD12" i="16" s="1"/>
  <c r="GC13" i="16"/>
  <c r="GC15" i="16"/>
  <c r="GC17" i="16" l="1"/>
  <c r="GC16" i="16"/>
  <c r="GC14" i="16"/>
  <c r="O199" i="20"/>
  <c r="AA93" i="2"/>
  <c r="Z92" i="2"/>
  <c r="GM12" i="16"/>
  <c r="GN12" i="16" s="1"/>
  <c r="O200" i="20" l="1"/>
  <c r="AA92" i="2"/>
  <c r="AB93" i="2"/>
  <c r="AB92" i="2" s="1"/>
  <c r="DV12" i="16"/>
  <c r="FK16" i="16"/>
  <c r="FJ4" i="16"/>
  <c r="DS15" i="16"/>
  <c r="FJ6" i="16"/>
  <c r="DS17" i="16"/>
  <c r="DS16" i="16"/>
  <c r="FJ8" i="16" l="1"/>
  <c r="O201" i="20"/>
  <c r="FL16" i="16"/>
  <c r="EM28" i="16"/>
  <c r="EM27" i="16"/>
  <c r="DS6" i="16"/>
  <c r="DT6" i="16" s="1"/>
  <c r="DS14" i="16"/>
  <c r="EP14" i="16"/>
  <c r="EU6" i="16"/>
  <c r="DX6" i="16"/>
  <c r="DY6" i="16" s="1"/>
  <c r="EP9" i="16"/>
  <c r="EP8" i="16"/>
  <c r="EP7" i="16"/>
  <c r="EP6" i="16"/>
  <c r="EU9" i="16"/>
  <c r="EV9" i="16" s="1"/>
  <c r="EU8" i="16"/>
  <c r="EU7" i="16"/>
  <c r="EV7" i="16" s="1"/>
  <c r="DP24" i="16"/>
  <c r="DP23" i="16"/>
  <c r="DX7" i="16"/>
  <c r="DY7" i="16" s="1"/>
  <c r="DX8" i="16"/>
  <c r="DX9" i="16"/>
  <c r="DY9" i="16" s="1"/>
  <c r="DH12" i="16"/>
  <c r="DH11" i="16"/>
  <c r="DH10" i="16"/>
  <c r="DH9" i="16"/>
  <c r="DH8" i="16"/>
  <c r="DH7" i="16"/>
  <c r="DI6" i="16"/>
  <c r="DI5" i="16"/>
  <c r="DJ5" i="16" s="1"/>
  <c r="FJ11" i="16"/>
  <c r="FJ9" i="16" l="1"/>
  <c r="FJ10" i="16" s="1"/>
  <c r="FJ17" i="16"/>
  <c r="FS18" i="9"/>
  <c r="FT18" i="9" s="1"/>
  <c r="FS12" i="9"/>
  <c r="FR14" i="9"/>
  <c r="FR13" i="9"/>
  <c r="FS13" i="9" s="1"/>
  <c r="O202" i="20"/>
  <c r="DI9" i="16"/>
  <c r="DJ9" i="16" s="1"/>
  <c r="DK9" i="16" s="1"/>
  <c r="DL9" i="16" s="1"/>
  <c r="EP16" i="16"/>
  <c r="EQ16" i="16" s="1"/>
  <c r="DI10" i="16"/>
  <c r="DJ10" i="16" s="1"/>
  <c r="EP15" i="16"/>
  <c r="EQ15" i="16" s="1"/>
  <c r="DK5" i="16"/>
  <c r="DL5" i="16" s="1"/>
  <c r="DI12" i="16"/>
  <c r="DJ12" i="16" s="1"/>
  <c r="DI11" i="16"/>
  <c r="DI8" i="16"/>
  <c r="DJ8" i="16" s="1"/>
  <c r="DI7" i="16"/>
  <c r="DJ7" i="16" s="1"/>
  <c r="DK7" i="16" s="1"/>
  <c r="DZ9" i="16"/>
  <c r="EA9" i="16" s="1"/>
  <c r="EB9" i="16" s="1"/>
  <c r="DZ7" i="16"/>
  <c r="EP17" i="16"/>
  <c r="EQ17" i="16" s="1"/>
  <c r="DY8" i="16"/>
  <c r="DZ8" i="16" s="1"/>
  <c r="EA8" i="16" s="1"/>
  <c r="EB8" i="16" s="1"/>
  <c r="ER16" i="16"/>
  <c r="EQ14" i="16"/>
  <c r="EQ8" i="16"/>
  <c r="EQ7" i="16"/>
  <c r="ER7" i="16" s="1"/>
  <c r="EQ9" i="16"/>
  <c r="ER9" i="16" s="1"/>
  <c r="EQ6" i="16"/>
  <c r="ER6" i="16" s="1"/>
  <c r="ES6" i="16" s="1"/>
  <c r="ET6" i="16" s="1"/>
  <c r="EW7" i="16"/>
  <c r="EX7" i="16" s="1"/>
  <c r="EW9" i="16"/>
  <c r="EX9" i="16" s="1"/>
  <c r="EV6" i="16"/>
  <c r="EW6" i="16" s="1"/>
  <c r="EV8" i="16"/>
  <c r="DT14" i="16"/>
  <c r="DZ6" i="16"/>
  <c r="DU6" i="16"/>
  <c r="DV6" i="16" s="1"/>
  <c r="DJ6" i="16"/>
  <c r="DK6" i="16" s="1"/>
  <c r="DB11" i="16"/>
  <c r="DA12" i="16"/>
  <c r="DA13" i="16" s="1"/>
  <c r="DB13" i="16" s="1"/>
  <c r="DA27" i="16"/>
  <c r="DA28" i="16"/>
  <c r="DA20" i="16"/>
  <c r="DA19" i="16"/>
  <c r="DB5" i="16"/>
  <c r="DA8" i="16"/>
  <c r="DA9" i="16" s="1"/>
  <c r="DB9" i="16" s="1"/>
  <c r="DC9" i="16" s="1"/>
  <c r="DB7" i="16"/>
  <c r="CS17" i="16"/>
  <c r="CT17" i="16" s="1"/>
  <c r="FJ12" i="16"/>
  <c r="FU18" i="9" l="1"/>
  <c r="DB12" i="16"/>
  <c r="DC12" i="16" s="1"/>
  <c r="O203" i="20"/>
  <c r="DK10" i="16"/>
  <c r="DL10" i="16" s="1"/>
  <c r="DK8" i="16"/>
  <c r="DL8" i="16" s="1"/>
  <c r="EA7" i="16"/>
  <c r="EB7" i="16" s="1"/>
  <c r="DJ11" i="16"/>
  <c r="DK11" i="16" s="1"/>
  <c r="DA6" i="16"/>
  <c r="DB6" i="16" s="1"/>
  <c r="DW6" i="16"/>
  <c r="ER17" i="16"/>
  <c r="ES17" i="16" s="1"/>
  <c r="ET17" i="16" s="1"/>
  <c r="EY9" i="16"/>
  <c r="DL7" i="16"/>
  <c r="DK12" i="16"/>
  <c r="DL12" i="16" s="1"/>
  <c r="ER14" i="16"/>
  <c r="ES14" i="16" s="1"/>
  <c r="ES16" i="16"/>
  <c r="ET16" i="16" s="1"/>
  <c r="ER15" i="16"/>
  <c r="ES15" i="16" s="1"/>
  <c r="EX6" i="16"/>
  <c r="EW8" i="16"/>
  <c r="EX8" i="16" s="1"/>
  <c r="ES9" i="16"/>
  <c r="ET9" i="16" s="1"/>
  <c r="ES7" i="16"/>
  <c r="ET7" i="16" s="1"/>
  <c r="EY6" i="16"/>
  <c r="EY7" i="16"/>
  <c r="ER8" i="16"/>
  <c r="DU14" i="16"/>
  <c r="DV14" i="16" s="1"/>
  <c r="DW14" i="16" s="1"/>
  <c r="EA6" i="16"/>
  <c r="EB6" i="16" s="1"/>
  <c r="DL6" i="16"/>
  <c r="DC11" i="16"/>
  <c r="DD11" i="16" s="1"/>
  <c r="DC13" i="16"/>
  <c r="DC5" i="16"/>
  <c r="DD5" i="16" s="1"/>
  <c r="DB8" i="16"/>
  <c r="DC8" i="16" s="1"/>
  <c r="DD9" i="16"/>
  <c r="DE9" i="16" s="1"/>
  <c r="DC7" i="16"/>
  <c r="CU17" i="16"/>
  <c r="CV17" i="16" s="1"/>
  <c r="O204" i="20" l="1"/>
  <c r="DC6" i="16"/>
  <c r="DD6" i="16" s="1"/>
  <c r="DE11" i="16"/>
  <c r="EY8" i="16"/>
  <c r="DL11" i="16"/>
  <c r="ET15" i="16"/>
  <c r="ET14" i="16"/>
  <c r="ES8" i="16"/>
  <c r="ET8" i="16" s="1"/>
  <c r="DD13" i="16"/>
  <c r="DE13" i="16" s="1"/>
  <c r="DD12" i="16"/>
  <c r="DE12" i="16" s="1"/>
  <c r="DE5" i="16"/>
  <c r="DD8" i="16"/>
  <c r="DE8" i="16" s="1"/>
  <c r="DD7" i="16"/>
  <c r="DE7" i="16" s="1"/>
  <c r="O205" i="20" l="1"/>
  <c r="DE6" i="16"/>
  <c r="CC27" i="16"/>
  <c r="CD27" i="16" s="1"/>
  <c r="CK35" i="16"/>
  <c r="CL35" i="16" s="1"/>
  <c r="CK34" i="16"/>
  <c r="CL34" i="16" s="1"/>
  <c r="CK32" i="16"/>
  <c r="CR18" i="16"/>
  <c r="O206" i="20" l="1"/>
  <c r="O207" i="20" s="1"/>
  <c r="CR14" i="16"/>
  <c r="CR15" i="16" s="1"/>
  <c r="CS18" i="16"/>
  <c r="CT18" i="16" s="1"/>
  <c r="CM35" i="16"/>
  <c r="CN35" i="16" s="1"/>
  <c r="CE27" i="16"/>
  <c r="CF27" i="16" s="1"/>
  <c r="CM34" i="16"/>
  <c r="CN34" i="16" s="1"/>
  <c r="CL32" i="16"/>
  <c r="CC19" i="16"/>
  <c r="CD19" i="16" s="1"/>
  <c r="CC23" i="16"/>
  <c r="CD23" i="16" s="1"/>
  <c r="CK20" i="16"/>
  <c r="CL20" i="16" s="1"/>
  <c r="CK16" i="16"/>
  <c r="CK18" i="16"/>
  <c r="CL18" i="16" s="1"/>
  <c r="CK17" i="16"/>
  <c r="CB21" i="16"/>
  <c r="CC21" i="16" s="1"/>
  <c r="CD21" i="16" s="1"/>
  <c r="CB20" i="16"/>
  <c r="CC20" i="16" s="1"/>
  <c r="CD20" i="16" s="1"/>
  <c r="CC14" i="16"/>
  <c r="CC12" i="16"/>
  <c r="CC11" i="16"/>
  <c r="BG10" i="16"/>
  <c r="CS14" i="16" l="1"/>
  <c r="CT14" i="16" s="1"/>
  <c r="CU18" i="16"/>
  <c r="CV18" i="16" s="1"/>
  <c r="CM32" i="16"/>
  <c r="CN32" i="16" s="1"/>
  <c r="CS15" i="16"/>
  <c r="CT15" i="16" s="1"/>
  <c r="CR16" i="16"/>
  <c r="CB22" i="16"/>
  <c r="CE19" i="16"/>
  <c r="CF19" i="16" s="1"/>
  <c r="CE23" i="16"/>
  <c r="CF23" i="16" s="1"/>
  <c r="CE21" i="16"/>
  <c r="CF21" i="16" s="1"/>
  <c r="CE20" i="16"/>
  <c r="CF20" i="16" s="1"/>
  <c r="CM20" i="16"/>
  <c r="CN20" i="16" s="1"/>
  <c r="CM18" i="16"/>
  <c r="CN18" i="16" s="1"/>
  <c r="CL17" i="16"/>
  <c r="CM17" i="16" s="1"/>
  <c r="CL16" i="16"/>
  <c r="CM16" i="16" s="1"/>
  <c r="CD11" i="16"/>
  <c r="CE11" i="16" s="1"/>
  <c r="CD12" i="16"/>
  <c r="CD14" i="16"/>
  <c r="CE14" i="16" s="1"/>
  <c r="BG8" i="16"/>
  <c r="BH8" i="16" s="1"/>
  <c r="BG9" i="16"/>
  <c r="BH9" i="16" s="1"/>
  <c r="C411" i="5"/>
  <c r="CU14" i="16" l="1"/>
  <c r="CV14" i="16" s="1"/>
  <c r="O208" i="20"/>
  <c r="CC10" i="16"/>
  <c r="CD10" i="16" s="1"/>
  <c r="CB26" i="16"/>
  <c r="CU15" i="16"/>
  <c r="CV15" i="16" s="1"/>
  <c r="CS16" i="16"/>
  <c r="CT16" i="16" s="1"/>
  <c r="CK19" i="16"/>
  <c r="CL19" i="16" s="1"/>
  <c r="CB25" i="16"/>
  <c r="CC22" i="16"/>
  <c r="CN17" i="16"/>
  <c r="CN16" i="16"/>
  <c r="CF11" i="16"/>
  <c r="CF14" i="16"/>
  <c r="CE12" i="16"/>
  <c r="CF12" i="16" s="1"/>
  <c r="BH10" i="16"/>
  <c r="BI10" i="16" s="1"/>
  <c r="BI8" i="16"/>
  <c r="BJ8" i="16" s="1"/>
  <c r="BI9" i="16"/>
  <c r="BJ9" i="16" s="1"/>
  <c r="CA4" i="16"/>
  <c r="BA6" i="16"/>
  <c r="BA7" i="16" s="1"/>
  <c r="BA8" i="16"/>
  <c r="BA9" i="16" s="1"/>
  <c r="BA10" i="16"/>
  <c r="BA11" i="16" s="1"/>
  <c r="BA12" i="16"/>
  <c r="BA13" i="16" s="1"/>
  <c r="BA14" i="16"/>
  <c r="BA15" i="16" s="1"/>
  <c r="BA16" i="16"/>
  <c r="BA17" i="16" s="1"/>
  <c r="BA28" i="16"/>
  <c r="BA29" i="16" s="1"/>
  <c r="BA26" i="16"/>
  <c r="BA27" i="16" s="1"/>
  <c r="BA24" i="16"/>
  <c r="BA25" i="16" s="1"/>
  <c r="BA22" i="16"/>
  <c r="BA23" i="16" s="1"/>
  <c r="BA20" i="16"/>
  <c r="BA21" i="16" s="1"/>
  <c r="BA18" i="16"/>
  <c r="BA19" i="16" s="1"/>
  <c r="AZ28" i="16"/>
  <c r="AZ29" i="16" s="1"/>
  <c r="AZ26" i="16"/>
  <c r="AZ27" i="16" s="1"/>
  <c r="AZ24" i="16"/>
  <c r="AZ25" i="16" s="1"/>
  <c r="AZ22" i="16"/>
  <c r="AZ23" i="16" s="1"/>
  <c r="AZ20" i="16"/>
  <c r="AZ21" i="16" s="1"/>
  <c r="AZ18" i="16"/>
  <c r="AZ19" i="16" s="1"/>
  <c r="AZ16" i="16"/>
  <c r="AZ17" i="16" s="1"/>
  <c r="AZ14" i="16"/>
  <c r="AZ15" i="16" s="1"/>
  <c r="AZ12" i="16"/>
  <c r="AZ13" i="16" s="1"/>
  <c r="AZ10" i="16"/>
  <c r="AZ11" i="16" s="1"/>
  <c r="AZ8" i="16"/>
  <c r="AZ9" i="16" s="1"/>
  <c r="AR28" i="16"/>
  <c r="AR26" i="16"/>
  <c r="AR24" i="16"/>
  <c r="AR22" i="16"/>
  <c r="AR20" i="16"/>
  <c r="AR18" i="16"/>
  <c r="AR16" i="16"/>
  <c r="AR14" i="16"/>
  <c r="AR12" i="16"/>
  <c r="AR10" i="16"/>
  <c r="AR8" i="16"/>
  <c r="AY28" i="16"/>
  <c r="AY29" i="16" s="1"/>
  <c r="AX28" i="16"/>
  <c r="AX29" i="16" s="1"/>
  <c r="AW28" i="16"/>
  <c r="AW29" i="16" s="1"/>
  <c r="AV28" i="16"/>
  <c r="AV29" i="16" s="1"/>
  <c r="AU28" i="16"/>
  <c r="AU29" i="16" s="1"/>
  <c r="AT28" i="16"/>
  <c r="AT29" i="16" s="1"/>
  <c r="AY26" i="16"/>
  <c r="AY27" i="16" s="1"/>
  <c r="AX26" i="16"/>
  <c r="AX27" i="16" s="1"/>
  <c r="AW26" i="16"/>
  <c r="AW27" i="16" s="1"/>
  <c r="AV26" i="16"/>
  <c r="AV27" i="16" s="1"/>
  <c r="AU26" i="16"/>
  <c r="AU27" i="16" s="1"/>
  <c r="AT26" i="16"/>
  <c r="AT27" i="16" s="1"/>
  <c r="AY24" i="16"/>
  <c r="AY25" i="16" s="1"/>
  <c r="AX24" i="16"/>
  <c r="AX25" i="16" s="1"/>
  <c r="AW24" i="16"/>
  <c r="AW25" i="16" s="1"/>
  <c r="AV24" i="16"/>
  <c r="AV25" i="16" s="1"/>
  <c r="AU24" i="16"/>
  <c r="AU25" i="16" s="1"/>
  <c r="AT24" i="16"/>
  <c r="AT25" i="16" s="1"/>
  <c r="AY22" i="16"/>
  <c r="AY23" i="16" s="1"/>
  <c r="AX22" i="16"/>
  <c r="AX23" i="16" s="1"/>
  <c r="AW22" i="16"/>
  <c r="AW23" i="16" s="1"/>
  <c r="AV22" i="16"/>
  <c r="AV23" i="16" s="1"/>
  <c r="AU22" i="16"/>
  <c r="AU23" i="16" s="1"/>
  <c r="AT22" i="16"/>
  <c r="AT23" i="16" s="1"/>
  <c r="AY20" i="16"/>
  <c r="AY21" i="16" s="1"/>
  <c r="AX20" i="16"/>
  <c r="AX21" i="16" s="1"/>
  <c r="AW20" i="16"/>
  <c r="AW21" i="16" s="1"/>
  <c r="AV20" i="16"/>
  <c r="AV21" i="16" s="1"/>
  <c r="AU20" i="16"/>
  <c r="AU21" i="16" s="1"/>
  <c r="AT20" i="16"/>
  <c r="AT21" i="16" s="1"/>
  <c r="AY18" i="16"/>
  <c r="AY19" i="16" s="1"/>
  <c r="AX18" i="16"/>
  <c r="AX19" i="16" s="1"/>
  <c r="AW18" i="16"/>
  <c r="AW19" i="16" s="1"/>
  <c r="AV18" i="16"/>
  <c r="AV19" i="16" s="1"/>
  <c r="AU18" i="16"/>
  <c r="AU19" i="16" s="1"/>
  <c r="AT18" i="16"/>
  <c r="AT19" i="16" s="1"/>
  <c r="AY16" i="16"/>
  <c r="AY17" i="16" s="1"/>
  <c r="AX16" i="16"/>
  <c r="AX17" i="16" s="1"/>
  <c r="AW16" i="16"/>
  <c r="AW17" i="16" s="1"/>
  <c r="AV16" i="16"/>
  <c r="AV17" i="16" s="1"/>
  <c r="AU16" i="16"/>
  <c r="AU17" i="16" s="1"/>
  <c r="AT16" i="16"/>
  <c r="AT17" i="16" s="1"/>
  <c r="AY14" i="16"/>
  <c r="AY15" i="16" s="1"/>
  <c r="AX14" i="16"/>
  <c r="AX15" i="16" s="1"/>
  <c r="AW14" i="16"/>
  <c r="AW15" i="16" s="1"/>
  <c r="AV14" i="16"/>
  <c r="AV15" i="16" s="1"/>
  <c r="AU14" i="16"/>
  <c r="AU15" i="16" s="1"/>
  <c r="AT14" i="16"/>
  <c r="AT15" i="16" s="1"/>
  <c r="AY12" i="16"/>
  <c r="AY13" i="16" s="1"/>
  <c r="AX12" i="16"/>
  <c r="AX13" i="16" s="1"/>
  <c r="AW12" i="16"/>
  <c r="AW13" i="16" s="1"/>
  <c r="AV12" i="16"/>
  <c r="AV13" i="16" s="1"/>
  <c r="AU12" i="16"/>
  <c r="AU13" i="16" s="1"/>
  <c r="AT12" i="16"/>
  <c r="AT13" i="16" s="1"/>
  <c r="AY10" i="16"/>
  <c r="AY11" i="16" s="1"/>
  <c r="AX10" i="16"/>
  <c r="AX11" i="16" s="1"/>
  <c r="AW10" i="16"/>
  <c r="AW11" i="16" s="1"/>
  <c r="AV10" i="16"/>
  <c r="AV11" i="16" s="1"/>
  <c r="AU10" i="16"/>
  <c r="AU11" i="16" s="1"/>
  <c r="AT10" i="16"/>
  <c r="AT11" i="16" s="1"/>
  <c r="AY8" i="16"/>
  <c r="AY9" i="16" s="1"/>
  <c r="AX8" i="16"/>
  <c r="AX9" i="16" s="1"/>
  <c r="AW8" i="16"/>
  <c r="AW9" i="16" s="1"/>
  <c r="AV8" i="16"/>
  <c r="AV9" i="16" s="1"/>
  <c r="AU8" i="16"/>
  <c r="AU9" i="16" s="1"/>
  <c r="AT9" i="16"/>
  <c r="AT7" i="16"/>
  <c r="AS26" i="16"/>
  <c r="AS27" i="16" s="1"/>
  <c r="AS28" i="16"/>
  <c r="AS29" i="16" s="1"/>
  <c r="AS8" i="16"/>
  <c r="AS9" i="16" s="1"/>
  <c r="AS10" i="16"/>
  <c r="AS11" i="16" s="1"/>
  <c r="AS12" i="16"/>
  <c r="AS13" i="16" s="1"/>
  <c r="AS14" i="16"/>
  <c r="AS15" i="16" s="1"/>
  <c r="AS16" i="16"/>
  <c r="AS17" i="16" s="1"/>
  <c r="AS18" i="16"/>
  <c r="AS19" i="16" s="1"/>
  <c r="AS20" i="16"/>
  <c r="AS21" i="16" s="1"/>
  <c r="AS22" i="16"/>
  <c r="AS23" i="16" s="1"/>
  <c r="AS24" i="16"/>
  <c r="AS25" i="16" s="1"/>
  <c r="AS7" i="16"/>
  <c r="AU6" i="16"/>
  <c r="AU7" i="16" s="1"/>
  <c r="AW6" i="16"/>
  <c r="AW7" i="16" s="1"/>
  <c r="AY6" i="16"/>
  <c r="AY7" i="16" s="1"/>
  <c r="AX6" i="16"/>
  <c r="AX7" i="16" s="1"/>
  <c r="AV6" i="16"/>
  <c r="AV7" i="16" s="1"/>
  <c r="AR6" i="16"/>
  <c r="F6" i="16"/>
  <c r="H6" i="16"/>
  <c r="M6" i="16"/>
  <c r="O6" i="16"/>
  <c r="D7" i="16"/>
  <c r="F7" i="16" s="1"/>
  <c r="K7" i="16"/>
  <c r="M7" i="16" s="1"/>
  <c r="X7" i="16"/>
  <c r="CJ23" i="16" l="1"/>
  <c r="CJ30" i="16" s="1"/>
  <c r="CJ31" i="16" s="1"/>
  <c r="CJ33" i="16" s="1"/>
  <c r="O209" i="20"/>
  <c r="CE10" i="16"/>
  <c r="CF10" i="16" s="1"/>
  <c r="CC26" i="16"/>
  <c r="CD26" i="16" s="1"/>
  <c r="CK22" i="16"/>
  <c r="CU16" i="16"/>
  <c r="CV16" i="16" s="1"/>
  <c r="CC25" i="16"/>
  <c r="CM19" i="16"/>
  <c r="CN19" i="16" s="1"/>
  <c r="CD22" i="16"/>
  <c r="CE22" i="16" s="1"/>
  <c r="CF22" i="16" s="1"/>
  <c r="BJ10" i="16"/>
  <c r="BG12" i="16"/>
  <c r="BH12" i="16" s="1"/>
  <c r="CB4" i="16"/>
  <c r="CC4" i="16" s="1"/>
  <c r="D8" i="16"/>
  <c r="F8" i="16" s="1"/>
  <c r="H7" i="16"/>
  <c r="Y7" i="16"/>
  <c r="Z7" i="16" s="1"/>
  <c r="K8" i="16"/>
  <c r="H8" i="16"/>
  <c r="O7" i="16"/>
  <c r="CJ25" i="16" l="1"/>
  <c r="CJ26" i="16" s="1"/>
  <c r="O210" i="20"/>
  <c r="R209" i="20"/>
  <c r="Q209" i="20" s="1"/>
  <c r="P209" i="20" s="1"/>
  <c r="CE26" i="16"/>
  <c r="CF26" i="16" s="1"/>
  <c r="CL22" i="16"/>
  <c r="CM22" i="16" s="1"/>
  <c r="CN22" i="16" s="1"/>
  <c r="CK23" i="16"/>
  <c r="CL23" i="16" s="1"/>
  <c r="CD25" i="16"/>
  <c r="CE25" i="16" s="1"/>
  <c r="BI12" i="16"/>
  <c r="BJ12" i="16" s="1"/>
  <c r="CD4" i="16"/>
  <c r="AA7" i="16"/>
  <c r="AB7" i="16" s="1"/>
  <c r="O8" i="16"/>
  <c r="M8" i="16"/>
  <c r="D9" i="16"/>
  <c r="F9" i="16" s="1"/>
  <c r="K9" i="16"/>
  <c r="O9" i="16" s="1"/>
  <c r="O211" i="20" l="1"/>
  <c r="CK30" i="16"/>
  <c r="CL30" i="16" s="1"/>
  <c r="CM23" i="16"/>
  <c r="CN23" i="16" s="1"/>
  <c r="CF25" i="16"/>
  <c r="CK25" i="16"/>
  <c r="CL25" i="16" s="1"/>
  <c r="CM25" i="16" s="1"/>
  <c r="CN25" i="16" s="1"/>
  <c r="M9" i="16"/>
  <c r="H9" i="16"/>
  <c r="X9" i="16"/>
  <c r="D10" i="16"/>
  <c r="H10" i="16" s="1"/>
  <c r="K10" i="16"/>
  <c r="M10" i="16" s="1"/>
  <c r="R10" i="16"/>
  <c r="X10" i="16"/>
  <c r="AE11" i="16"/>
  <c r="AE12" i="16" s="1"/>
  <c r="O212" i="20" l="1"/>
  <c r="F10" i="16"/>
  <c r="CM30" i="16"/>
  <c r="CN30" i="16" s="1"/>
  <c r="CK31" i="16"/>
  <c r="CL31" i="16" s="1"/>
  <c r="D11" i="16"/>
  <c r="F11" i="16" s="1"/>
  <c r="X11" i="16"/>
  <c r="O10" i="16"/>
  <c r="K11" i="16"/>
  <c r="K12" i="16" s="1"/>
  <c r="AE13" i="16"/>
  <c r="Y11" i="16" l="1"/>
  <c r="Z11" i="16" s="1"/>
  <c r="X12" i="16"/>
  <c r="Y12" i="16" s="1"/>
  <c r="Z12" i="16" s="1"/>
  <c r="AA12" i="16" s="1"/>
  <c r="AB12" i="16" s="1"/>
  <c r="O213" i="20"/>
  <c r="CK33" i="16"/>
  <c r="CL33" i="16" s="1"/>
  <c r="CM31" i="16"/>
  <c r="CN31" i="16" s="1"/>
  <c r="BG13" i="16"/>
  <c r="BH13" i="16" s="1"/>
  <c r="BG21" i="16"/>
  <c r="BH21" i="16" s="1"/>
  <c r="BG22" i="16"/>
  <c r="BH22" i="16" s="1"/>
  <c r="BI22" i="16" s="1"/>
  <c r="BG11" i="16"/>
  <c r="BH11" i="16" s="1"/>
  <c r="BG24" i="16"/>
  <c r="BH24" i="16" s="1"/>
  <c r="BG25" i="16"/>
  <c r="BH25" i="16" s="1"/>
  <c r="BD25" i="16"/>
  <c r="BG7" i="16"/>
  <c r="BH7" i="16" s="1"/>
  <c r="D12" i="16"/>
  <c r="H12" i="16" s="1"/>
  <c r="H11" i="16"/>
  <c r="O12" i="16"/>
  <c r="K13" i="16"/>
  <c r="M13" i="16" s="1"/>
  <c r="M12" i="16"/>
  <c r="AA11" i="16"/>
  <c r="AB11" i="16" s="1"/>
  <c r="M11" i="16"/>
  <c r="O11" i="16"/>
  <c r="Y14" i="16"/>
  <c r="Z14" i="16" s="1"/>
  <c r="AE14" i="16"/>
  <c r="BG14" i="16" l="1"/>
  <c r="BH14" i="16" s="1"/>
  <c r="O214" i="20"/>
  <c r="D13" i="16"/>
  <c r="F13" i="16" s="1"/>
  <c r="F12" i="16"/>
  <c r="CM33" i="16"/>
  <c r="CN33" i="16" s="1"/>
  <c r="BI21" i="16"/>
  <c r="BJ21" i="16" s="1"/>
  <c r="BI13" i="16"/>
  <c r="BJ13" i="16" s="1"/>
  <c r="BI7" i="16"/>
  <c r="BJ7" i="16" s="1"/>
  <c r="BI24" i="16"/>
  <c r="BJ24" i="16" s="1"/>
  <c r="BT5" i="16"/>
  <c r="BU5" i="16" s="1"/>
  <c r="BI25" i="16"/>
  <c r="BJ25" i="16" s="1"/>
  <c r="BJ22" i="16"/>
  <c r="BI11" i="16"/>
  <c r="BJ11" i="16" s="1"/>
  <c r="K14" i="16"/>
  <c r="K15" i="16" s="1"/>
  <c r="M15" i="16" s="1"/>
  <c r="AA14" i="16"/>
  <c r="AB14" i="16" s="1"/>
  <c r="O13" i="16"/>
  <c r="AH15" i="16"/>
  <c r="AH17" i="16" s="1"/>
  <c r="R16" i="16"/>
  <c r="AH16" i="16"/>
  <c r="AH18" i="16" s="1"/>
  <c r="AH19" i="16" s="1"/>
  <c r="R17" i="16"/>
  <c r="R18" i="16" s="1"/>
  <c r="Y19" i="16"/>
  <c r="Z19" i="16" s="1"/>
  <c r="D14" i="16" l="1"/>
  <c r="D15" i="16" s="1"/>
  <c r="H13" i="16"/>
  <c r="BI14" i="16"/>
  <c r="BJ14" i="16" s="1"/>
  <c r="O215" i="20"/>
  <c r="BG15" i="16"/>
  <c r="BH15" i="16" s="1"/>
  <c r="BT6" i="16"/>
  <c r="BU6" i="16" s="1"/>
  <c r="BV5" i="16"/>
  <c r="BW5" i="16" s="1"/>
  <c r="O14" i="16"/>
  <c r="R19" i="16"/>
  <c r="M14" i="16"/>
  <c r="K16" i="16"/>
  <c r="O15" i="16"/>
  <c r="AA19" i="16"/>
  <c r="AB19" i="16" s="1"/>
  <c r="H14" i="16"/>
  <c r="F14" i="16"/>
  <c r="X20" i="16"/>
  <c r="O216" i="20" l="1"/>
  <c r="BG16" i="16"/>
  <c r="BH16" i="16" s="1"/>
  <c r="BI16" i="16" s="1"/>
  <c r="BJ16" i="16" s="1"/>
  <c r="BI15" i="16"/>
  <c r="BJ15" i="16" s="1"/>
  <c r="BV6" i="16"/>
  <c r="BW6" i="16" s="1"/>
  <c r="O16" i="16"/>
  <c r="M16" i="16"/>
  <c r="K17" i="16"/>
  <c r="Y20" i="16"/>
  <c r="AC19" i="16"/>
  <c r="AD19" i="16" s="1"/>
  <c r="F15" i="16"/>
  <c r="H15" i="16"/>
  <c r="D16" i="16"/>
  <c r="X21" i="16"/>
  <c r="Y21" i="16" s="1"/>
  <c r="O217" i="20" l="1"/>
  <c r="CC18" i="16"/>
  <c r="CD18" i="16" s="1"/>
  <c r="CE18" i="16" s="1"/>
  <c r="CC17" i="16"/>
  <c r="CD17" i="16" s="1"/>
  <c r="BG17" i="16"/>
  <c r="BH17" i="16" s="1"/>
  <c r="M17" i="16"/>
  <c r="O17" i="16"/>
  <c r="K18" i="16"/>
  <c r="Z21" i="16"/>
  <c r="AA21" i="16" s="1"/>
  <c r="AB21" i="16" s="1"/>
  <c r="AC21" i="16" s="1"/>
  <c r="AE19" i="16"/>
  <c r="Z20" i="16"/>
  <c r="H16" i="16"/>
  <c r="D17" i="16"/>
  <c r="F16" i="16"/>
  <c r="R23" i="16"/>
  <c r="O218" i="20" l="1"/>
  <c r="CE17" i="16"/>
  <c r="CF17" i="16" s="1"/>
  <c r="CF18" i="16"/>
  <c r="CK26" i="16"/>
  <c r="BI17" i="16"/>
  <c r="BJ17" i="16" s="1"/>
  <c r="M18" i="16"/>
  <c r="K19" i="16"/>
  <c r="O18" i="16"/>
  <c r="AA20" i="16"/>
  <c r="AB20" i="16" s="1"/>
  <c r="AD21" i="16"/>
  <c r="AE21" i="16" s="1"/>
  <c r="H17" i="16"/>
  <c r="D18" i="16"/>
  <c r="F17" i="16"/>
  <c r="O219" i="20" l="1"/>
  <c r="CL26" i="16"/>
  <c r="CM26" i="16" s="1"/>
  <c r="O19" i="16"/>
  <c r="K20" i="16"/>
  <c r="R11" i="16" s="1"/>
  <c r="M19" i="16"/>
  <c r="AC20" i="16"/>
  <c r="AD20" i="16" s="1"/>
  <c r="AE20" i="16" s="1"/>
  <c r="H18" i="16"/>
  <c r="D19" i="16"/>
  <c r="F18" i="16"/>
  <c r="O220" i="20" l="1"/>
  <c r="CN26" i="16"/>
  <c r="M20" i="16"/>
  <c r="O20" i="16"/>
  <c r="R12" i="16"/>
  <c r="H19" i="16"/>
  <c r="D20" i="16"/>
  <c r="F19" i="16"/>
  <c r="O221" i="20" l="1"/>
  <c r="R13" i="16"/>
  <c r="F20" i="16"/>
  <c r="H20" i="16"/>
  <c r="O222" i="20" l="1"/>
  <c r="O223" i="20" l="1"/>
  <c r="C29" i="16"/>
  <c r="O224" i="20" l="1"/>
  <c r="O225" i="20" l="1"/>
  <c r="C31" i="16"/>
  <c r="O226" i="20" l="1"/>
  <c r="C32" i="16"/>
  <c r="C33" i="16" s="1"/>
  <c r="O227" i="20" l="1"/>
  <c r="O228" i="20" l="1"/>
  <c r="C38" i="16"/>
  <c r="O229" i="20" l="1"/>
  <c r="C39" i="16"/>
  <c r="C40" i="16" s="1"/>
  <c r="C41" i="16" l="1"/>
  <c r="C43" i="16" s="1"/>
  <c r="C47" i="16" s="1"/>
  <c r="O230" i="20"/>
  <c r="C49" i="16" l="1"/>
  <c r="C48" i="16"/>
  <c r="G48" i="16" s="1"/>
  <c r="O231" i="20"/>
  <c r="E46" i="16"/>
  <c r="C50" i="16" l="1"/>
  <c r="D50" i="16" s="1"/>
  <c r="D49" i="16"/>
  <c r="D51" i="16" s="1"/>
  <c r="C51" i="16"/>
  <c r="O232" i="20"/>
  <c r="D45" i="16"/>
  <c r="G46" i="16"/>
  <c r="H46" i="16"/>
  <c r="G45" i="16"/>
  <c r="D46" i="16"/>
  <c r="D43" i="16"/>
  <c r="E43" i="16"/>
  <c r="F43" i="16"/>
  <c r="F45" i="16"/>
  <c r="F46" i="16"/>
  <c r="E45" i="16"/>
  <c r="H45" i="16"/>
  <c r="O233" i="20" l="1"/>
  <c r="F47" i="16"/>
  <c r="G47" i="16"/>
  <c r="D47" i="16"/>
  <c r="H47" i="16"/>
  <c r="E47" i="16"/>
  <c r="O234" i="20" l="1"/>
  <c r="D48" i="16"/>
  <c r="H48" i="16"/>
  <c r="E48" i="16"/>
  <c r="F48" i="16"/>
  <c r="O235" i="20" l="1"/>
  <c r="O236" i="20" l="1"/>
  <c r="O237" i="20" l="1"/>
  <c r="O238" i="20" l="1"/>
  <c r="O239" i="20" l="1"/>
  <c r="AM9" i="14"/>
  <c r="AN9" i="14" s="1"/>
  <c r="R239" i="20" l="1"/>
  <c r="Q239" i="20" s="1"/>
  <c r="P239" i="20" s="1"/>
  <c r="O240" i="20"/>
  <c r="AO9" i="14"/>
  <c r="AP9" i="14" s="1"/>
  <c r="E70" i="12"/>
  <c r="F70" i="12" s="1"/>
  <c r="G70" i="12" s="1"/>
  <c r="L70" i="12"/>
  <c r="M70" i="12" s="1"/>
  <c r="N70" i="12" s="1"/>
  <c r="O70" i="12" s="1"/>
  <c r="F71" i="12"/>
  <c r="G71" i="12" s="1"/>
  <c r="F76" i="12"/>
  <c r="G76" i="12" s="1"/>
  <c r="F69" i="12"/>
  <c r="G69" i="12" s="1"/>
  <c r="H69" i="12" s="1"/>
  <c r="L69" i="12"/>
  <c r="L74" i="12" s="1"/>
  <c r="M74" i="12" s="1"/>
  <c r="N74" i="12" s="1"/>
  <c r="O74" i="12" s="1"/>
  <c r="M71" i="12"/>
  <c r="N71" i="12" s="1"/>
  <c r="O71" i="12" s="1"/>
  <c r="M76" i="12"/>
  <c r="N76" i="12" s="1"/>
  <c r="L77" i="12"/>
  <c r="M77" i="12" s="1"/>
  <c r="J241" i="5"/>
  <c r="J240" i="5"/>
  <c r="J235" i="5"/>
  <c r="J232" i="5"/>
  <c r="J231" i="5"/>
  <c r="J229" i="5"/>
  <c r="J225" i="5"/>
  <c r="K206" i="5"/>
  <c r="B312" i="5"/>
  <c r="J251" i="5"/>
  <c r="AK186" i="5"/>
  <c r="J242" i="5"/>
  <c r="C252" i="5"/>
  <c r="L75" i="12"/>
  <c r="D301" i="5"/>
  <c r="C255" i="5"/>
  <c r="D302" i="5"/>
  <c r="C230" i="5"/>
  <c r="C254" i="5"/>
  <c r="C236" i="5"/>
  <c r="B311" i="5"/>
  <c r="C245" i="5"/>
  <c r="C208" i="5"/>
  <c r="E301" i="5"/>
  <c r="C235" i="5"/>
  <c r="C253" i="5"/>
  <c r="C256" i="5"/>
  <c r="J253" i="5"/>
  <c r="C257" i="5"/>
  <c r="C218" i="5"/>
  <c r="C237" i="5"/>
  <c r="J233" i="5"/>
  <c r="C225" i="5"/>
  <c r="C242" i="5"/>
  <c r="B314" i="5"/>
  <c r="AM207" i="5"/>
  <c r="E302" i="5"/>
  <c r="R240" i="20" l="1"/>
  <c r="Q240" i="20" s="1"/>
  <c r="P240" i="20" s="1"/>
  <c r="O241" i="20"/>
  <c r="N77" i="12"/>
  <c r="O77" i="12" s="1"/>
  <c r="H76" i="12"/>
  <c r="H71" i="12"/>
  <c r="M69" i="12"/>
  <c r="N69" i="12" s="1"/>
  <c r="O69" i="12" s="1"/>
  <c r="H70" i="12"/>
  <c r="M75" i="12"/>
  <c r="N75" i="12" s="1"/>
  <c r="O75" i="12" s="1"/>
  <c r="L90" i="12"/>
  <c r="L91" i="12" s="1"/>
  <c r="O76" i="12"/>
  <c r="L78" i="12"/>
  <c r="M78" i="12" s="1"/>
  <c r="N78" i="12" s="1"/>
  <c r="B315" i="5"/>
  <c r="B316" i="5"/>
  <c r="B308" i="5"/>
  <c r="L72" i="12"/>
  <c r="AA182" i="5"/>
  <c r="C209" i="5"/>
  <c r="J234" i="5"/>
  <c r="B306" i="5"/>
  <c r="B309" i="5"/>
  <c r="B317" i="5"/>
  <c r="B310" i="5"/>
  <c r="B304" i="5"/>
  <c r="B305" i="5"/>
  <c r="C210" i="5"/>
  <c r="B307" i="5"/>
  <c r="O242" i="20" l="1"/>
  <c r="O78" i="12"/>
  <c r="M72" i="12"/>
  <c r="N72" i="12" s="1"/>
  <c r="L80" i="12"/>
  <c r="M80" i="12" s="1"/>
  <c r="N80" i="12" s="1"/>
  <c r="L73" i="12"/>
  <c r="AB182" i="5"/>
  <c r="AC182" i="5" s="1"/>
  <c r="AD182" i="5" s="1"/>
  <c r="L79" i="12"/>
  <c r="B6" i="12"/>
  <c r="E90" i="12"/>
  <c r="E91" i="12" s="1"/>
  <c r="J7" i="12"/>
  <c r="E77" i="12"/>
  <c r="E74" i="12"/>
  <c r="L82" i="12"/>
  <c r="E72" i="12"/>
  <c r="B7" i="12"/>
  <c r="E75" i="12"/>
  <c r="L92" i="12"/>
  <c r="O243" i="20" l="1"/>
  <c r="M73" i="12"/>
  <c r="N73" i="12" s="1"/>
  <c r="L93" i="12"/>
  <c r="L94" i="12"/>
  <c r="O72" i="12"/>
  <c r="AE182" i="5"/>
  <c r="E78" i="12"/>
  <c r="E79" i="12" s="1"/>
  <c r="F77" i="12"/>
  <c r="G77" i="12" s="1"/>
  <c r="F75" i="12"/>
  <c r="G75" i="12" s="1"/>
  <c r="F74" i="12"/>
  <c r="F72" i="12"/>
  <c r="G72" i="12" s="1"/>
  <c r="M82" i="12"/>
  <c r="N82" i="12" s="1"/>
  <c r="M79" i="12"/>
  <c r="N79" i="12" s="1"/>
  <c r="O80" i="12"/>
  <c r="O73" i="12"/>
  <c r="E73" i="12"/>
  <c r="E80" i="12"/>
  <c r="L81" i="12"/>
  <c r="E81" i="12"/>
  <c r="E82" i="12"/>
  <c r="E92" i="12"/>
  <c r="O244" i="20" l="1"/>
  <c r="M81" i="12"/>
  <c r="N81" i="12" s="1"/>
  <c r="L83" i="12"/>
  <c r="M83" i="12" s="1"/>
  <c r="N83" i="12" s="1"/>
  <c r="L95" i="12"/>
  <c r="H77" i="12"/>
  <c r="F78" i="12"/>
  <c r="G78" i="12" s="1"/>
  <c r="H75" i="12"/>
  <c r="F82" i="12"/>
  <c r="G82" i="12" s="1"/>
  <c r="F79" i="12"/>
  <c r="G74" i="12"/>
  <c r="H74" i="12" s="1"/>
  <c r="H72" i="12"/>
  <c r="F81" i="12"/>
  <c r="G81" i="12" s="1"/>
  <c r="F73" i="12"/>
  <c r="G73" i="12" s="1"/>
  <c r="F80" i="12"/>
  <c r="G80" i="12" s="1"/>
  <c r="O82" i="12"/>
  <c r="O79" i="12"/>
  <c r="E93" i="12"/>
  <c r="E94" i="12"/>
  <c r="E83" i="12"/>
  <c r="E84" i="12"/>
  <c r="L96" i="12"/>
  <c r="L84" i="12"/>
  <c r="O245" i="20" l="1"/>
  <c r="O81" i="12"/>
  <c r="M84" i="12"/>
  <c r="N84" i="12" s="1"/>
  <c r="O84" i="12" s="1"/>
  <c r="L85" i="12"/>
  <c r="M85" i="12" s="1"/>
  <c r="N85" i="12" s="1"/>
  <c r="L97" i="12"/>
  <c r="M97" i="12" s="1"/>
  <c r="H78" i="12"/>
  <c r="O83" i="12"/>
  <c r="G79" i="12"/>
  <c r="H79" i="12" s="1"/>
  <c r="H82" i="12"/>
  <c r="H81" i="12"/>
  <c r="H80" i="12"/>
  <c r="H73" i="12"/>
  <c r="F84" i="12"/>
  <c r="G84" i="12" s="1"/>
  <c r="F83" i="12"/>
  <c r="G83" i="12" s="1"/>
  <c r="L86" i="12"/>
  <c r="E95" i="12"/>
  <c r="E85" i="12"/>
  <c r="E96" i="12"/>
  <c r="O246" i="20" l="1"/>
  <c r="O85" i="12"/>
  <c r="H83" i="12"/>
  <c r="H84" i="12"/>
  <c r="F85" i="12"/>
  <c r="G85" i="12" s="1"/>
  <c r="M86" i="12"/>
  <c r="L87" i="12"/>
  <c r="E86" i="12"/>
  <c r="N97" i="12"/>
  <c r="O97" i="12" s="1"/>
  <c r="E97" i="12"/>
  <c r="L88" i="12"/>
  <c r="O247" i="20" l="1"/>
  <c r="H85" i="12"/>
  <c r="E87" i="12"/>
  <c r="F86" i="12"/>
  <c r="M88" i="12"/>
  <c r="N88" i="12" s="1"/>
  <c r="O88" i="12" s="1"/>
  <c r="M87" i="12"/>
  <c r="N87" i="12" s="1"/>
  <c r="O87" i="12" s="1"/>
  <c r="N86" i="12"/>
  <c r="O86" i="12" s="1"/>
  <c r="F97" i="12"/>
  <c r="G97" i="12" s="1"/>
  <c r="H97" i="12" s="1"/>
  <c r="BL11" i="15"/>
  <c r="BL9" i="15"/>
  <c r="BS9" i="15"/>
  <c r="E88" i="12"/>
  <c r="O248" i="20" l="1"/>
  <c r="F88" i="12"/>
  <c r="G88" i="12" s="1"/>
  <c r="F87" i="12"/>
  <c r="G86" i="12"/>
  <c r="H86" i="12" s="1"/>
  <c r="EE13" i="15"/>
  <c r="DX13" i="15"/>
  <c r="DQ13" i="15"/>
  <c r="DJ13" i="15"/>
  <c r="DC32" i="15"/>
  <c r="DC30" i="15"/>
  <c r="DC28" i="15"/>
  <c r="DC24" i="15"/>
  <c r="DC22" i="15"/>
  <c r="DC20" i="15"/>
  <c r="DC13" i="15"/>
  <c r="O249" i="20" l="1"/>
  <c r="H88" i="12"/>
  <c r="G87" i="12"/>
  <c r="H87" i="12" s="1"/>
  <c r="CV11" i="15"/>
  <c r="O250" i="20" l="1"/>
  <c r="EE32" i="15"/>
  <c r="EE30" i="15"/>
  <c r="EE28" i="15"/>
  <c r="EE24" i="15"/>
  <c r="EE22" i="15"/>
  <c r="EE20" i="15"/>
  <c r="DX32" i="15"/>
  <c r="DX30" i="15"/>
  <c r="DX28" i="15"/>
  <c r="DX24" i="15"/>
  <c r="DX22" i="15"/>
  <c r="DX20" i="15"/>
  <c r="DQ32" i="15"/>
  <c r="DQ30" i="15"/>
  <c r="DQ28" i="15"/>
  <c r="DQ24" i="15"/>
  <c r="DQ22" i="15"/>
  <c r="DQ20" i="15"/>
  <c r="DJ32" i="15"/>
  <c r="DJ30" i="15"/>
  <c r="DJ28" i="15"/>
  <c r="DJ24" i="15"/>
  <c r="DJ22" i="15"/>
  <c r="DJ20" i="15"/>
  <c r="CV32" i="15"/>
  <c r="CV30" i="15"/>
  <c r="CV28" i="15"/>
  <c r="CV24" i="15"/>
  <c r="CV22" i="15"/>
  <c r="O251" i="20" l="1"/>
  <c r="BM79" i="15"/>
  <c r="BN79" i="15" s="1"/>
  <c r="BL68" i="15"/>
  <c r="BL80" i="15" s="1"/>
  <c r="BM67" i="15"/>
  <c r="BM54" i="15"/>
  <c r="BN54" i="15" s="1"/>
  <c r="BL43" i="15"/>
  <c r="BL55" i="15" s="1"/>
  <c r="BM42" i="15"/>
  <c r="BZ13" i="15"/>
  <c r="BZ25" i="15" s="1"/>
  <c r="CA25" i="15" s="1"/>
  <c r="BF26" i="15"/>
  <c r="BG26" i="15" s="1"/>
  <c r="BE15" i="15"/>
  <c r="CO24" i="15"/>
  <c r="CP24" i="15" s="1"/>
  <c r="CN13" i="15"/>
  <c r="CN25" i="15" s="1"/>
  <c r="CO25" i="15" s="1"/>
  <c r="CH24" i="15"/>
  <c r="CG13" i="15"/>
  <c r="CG25" i="15" s="1"/>
  <c r="CH25" i="15" s="1"/>
  <c r="CA24" i="15"/>
  <c r="CB24" i="15" s="1"/>
  <c r="BT24" i="15"/>
  <c r="BS13" i="15"/>
  <c r="BS25" i="15" s="1"/>
  <c r="BT25" i="15" s="1"/>
  <c r="BM29" i="15"/>
  <c r="BL18" i="15"/>
  <c r="BL30" i="15" s="1"/>
  <c r="BM30" i="15" s="1"/>
  <c r="AY24" i="15"/>
  <c r="AZ24" i="15" s="1"/>
  <c r="AY12" i="15"/>
  <c r="AX13" i="15"/>
  <c r="AQ11" i="15"/>
  <c r="AP7" i="15"/>
  <c r="AI7" i="15"/>
  <c r="O252" i="20" l="1"/>
  <c r="BE27" i="15"/>
  <c r="BF27" i="15" s="1"/>
  <c r="BM80" i="15"/>
  <c r="BO79" i="15"/>
  <c r="BP79" i="15" s="1"/>
  <c r="BN67" i="15"/>
  <c r="BO67" i="15" s="1"/>
  <c r="BM55" i="15"/>
  <c r="BO54" i="15"/>
  <c r="BP54" i="15" s="1"/>
  <c r="BN42" i="15"/>
  <c r="BO42" i="15" s="1"/>
  <c r="BP42" i="15" s="1"/>
  <c r="AX25" i="15"/>
  <c r="AY25" i="15" s="1"/>
  <c r="CP25" i="15"/>
  <c r="CI25" i="15"/>
  <c r="CJ25" i="15" s="1"/>
  <c r="CB25" i="15"/>
  <c r="CC25" i="15" s="1"/>
  <c r="BU25" i="15"/>
  <c r="BV25" i="15" s="1"/>
  <c r="BN30" i="15"/>
  <c r="BO30" i="15" s="1"/>
  <c r="BH26" i="15"/>
  <c r="BI26" i="15" s="1"/>
  <c r="CI24" i="15"/>
  <c r="CJ24" i="15" s="1"/>
  <c r="CK24" i="15" s="1"/>
  <c r="BN29" i="15"/>
  <c r="BO29" i="15" s="1"/>
  <c r="BP29" i="15" s="1"/>
  <c r="CQ24" i="15"/>
  <c r="CR24" i="15" s="1"/>
  <c r="CC24" i="15"/>
  <c r="CD24" i="15" s="1"/>
  <c r="BU24" i="15"/>
  <c r="BV24" i="15" s="1"/>
  <c r="BA24" i="15"/>
  <c r="BB24" i="15" s="1"/>
  <c r="AZ12" i="15"/>
  <c r="AR11" i="15"/>
  <c r="AS11" i="15" s="1"/>
  <c r="AJ11" i="15"/>
  <c r="AK11" i="15" s="1"/>
  <c r="AJ8" i="15"/>
  <c r="O253" i="20" l="1"/>
  <c r="AZ25" i="15"/>
  <c r="BA25" i="15" s="1"/>
  <c r="BB25" i="15" s="1"/>
  <c r="BG27" i="15"/>
  <c r="BH27" i="15" s="1"/>
  <c r="BI27" i="15" s="1"/>
  <c r="BW24" i="15"/>
  <c r="AT11" i="15"/>
  <c r="BN80" i="15"/>
  <c r="BP67" i="15"/>
  <c r="BN55" i="15"/>
  <c r="BW25" i="15"/>
  <c r="CQ25" i="15"/>
  <c r="CR25" i="15" s="1"/>
  <c r="CK25" i="15"/>
  <c r="CD25" i="15"/>
  <c r="BP30" i="15"/>
  <c r="BA12" i="15"/>
  <c r="BB12" i="15" s="1"/>
  <c r="AL11" i="15"/>
  <c r="AM11" i="15" s="1"/>
  <c r="AK8" i="15"/>
  <c r="AI6" i="15"/>
  <c r="O254" i="20" l="1"/>
  <c r="BO80" i="15"/>
  <c r="BP80" i="15" s="1"/>
  <c r="BO55" i="15"/>
  <c r="BP55" i="15" s="1"/>
  <c r="AL8" i="15"/>
  <c r="AM8" i="15" s="1"/>
  <c r="X8" i="15"/>
  <c r="Y8" i="15" s="1"/>
  <c r="R254" i="20" l="1"/>
  <c r="Q254" i="20" s="1"/>
  <c r="P254" i="20" s="1"/>
  <c r="O255" i="20"/>
  <c r="Z8" i="15"/>
  <c r="AA8" i="15" s="1"/>
  <c r="EN10" i="13"/>
  <c r="O256" i="20" l="1"/>
  <c r="O37" i="15"/>
  <c r="P37" i="15" s="1"/>
  <c r="N38" i="15"/>
  <c r="N40" i="15" s="1"/>
  <c r="O257" i="20" l="1"/>
  <c r="O38" i="15"/>
  <c r="P38" i="15" s="1"/>
  <c r="N39" i="15"/>
  <c r="Q37" i="15"/>
  <c r="R37" i="15" s="1"/>
  <c r="E18" i="15"/>
  <c r="O258" i="20" l="1"/>
  <c r="Q38" i="15"/>
  <c r="R38" i="15" s="1"/>
  <c r="E14" i="15"/>
  <c r="F6" i="15"/>
  <c r="G6" i="15" s="1"/>
  <c r="F7" i="15"/>
  <c r="G7" i="15" s="1"/>
  <c r="F18" i="15"/>
  <c r="G18" i="15" s="1"/>
  <c r="L613" i="20"/>
  <c r="AH9" i="19"/>
  <c r="M1037" i="20"/>
  <c r="M880" i="20"/>
  <c r="M1034" i="20"/>
  <c r="L670" i="20"/>
  <c r="L737" i="20"/>
  <c r="KD79" i="2"/>
  <c r="M85" i="20"/>
  <c r="GD79" i="2"/>
  <c r="M587" i="20"/>
  <c r="FT90" i="2"/>
  <c r="S68" i="20"/>
  <c r="M1080" i="20"/>
  <c r="L602" i="20"/>
  <c r="IS79" i="2"/>
  <c r="M41" i="20"/>
  <c r="S37" i="20"/>
  <c r="HO15" i="9"/>
  <c r="DS79" i="2"/>
  <c r="M419" i="20"/>
  <c r="L567" i="20"/>
  <c r="M116" i="20"/>
  <c r="PA79" i="2"/>
  <c r="L925" i="20"/>
  <c r="L590" i="20"/>
  <c r="M483" i="20"/>
  <c r="L52" i="20"/>
  <c r="M637" i="20"/>
  <c r="IR90" i="2"/>
  <c r="S54" i="20"/>
  <c r="LD90" i="2"/>
  <c r="M59" i="20"/>
  <c r="KP79" i="2"/>
  <c r="L131" i="20"/>
  <c r="L488" i="20"/>
  <c r="PE79" i="2"/>
  <c r="QQ90" i="2"/>
  <c r="MK90" i="2"/>
  <c r="M343" i="20"/>
  <c r="M441" i="20"/>
  <c r="OY90" i="2"/>
  <c r="L81" i="20"/>
  <c r="M131" i="20"/>
  <c r="EE90" i="2"/>
  <c r="M183" i="20"/>
  <c r="OO90" i="2"/>
  <c r="L768" i="20"/>
  <c r="M1091" i="20"/>
  <c r="L539" i="20"/>
  <c r="L757" i="20"/>
  <c r="OM90" i="2"/>
  <c r="S70" i="20"/>
  <c r="L726" i="20"/>
  <c r="M650" i="20"/>
  <c r="M594" i="20"/>
  <c r="M157" i="20"/>
  <c r="M1106" i="20"/>
  <c r="M930" i="20"/>
  <c r="L562" i="20"/>
  <c r="L455" i="20"/>
  <c r="GK90" i="2"/>
  <c r="M899" i="20"/>
  <c r="M229" i="20"/>
  <c r="L133" i="20"/>
  <c r="M1065" i="20"/>
  <c r="NT90" i="2"/>
  <c r="M205" i="20"/>
  <c r="L853" i="20"/>
  <c r="L92" i="20"/>
  <c r="L130" i="20"/>
  <c r="NC90" i="2"/>
  <c r="FO79" i="2"/>
  <c r="L392" i="20"/>
  <c r="M152" i="20"/>
  <c r="L234" i="20"/>
  <c r="M701" i="20"/>
  <c r="M920" i="20"/>
  <c r="L429" i="20"/>
  <c r="M508" i="20"/>
  <c r="S30" i="20"/>
  <c r="L237" i="20"/>
  <c r="M795" i="20"/>
  <c r="OV79" i="2"/>
  <c r="S56" i="20"/>
  <c r="AF8" i="13"/>
  <c r="LC79" i="2"/>
  <c r="M638" i="20"/>
  <c r="M77" i="20"/>
  <c r="L812" i="20"/>
  <c r="ED79" i="2"/>
  <c r="JV79" i="2"/>
  <c r="M393" i="20"/>
  <c r="M81" i="20"/>
  <c r="L391" i="20"/>
  <c r="M244" i="20"/>
  <c r="HR90" i="2"/>
  <c r="M783" i="20"/>
  <c r="M461" i="20"/>
  <c r="L1037" i="20"/>
  <c r="M307" i="20"/>
  <c r="M78" i="20"/>
  <c r="L438" i="20"/>
  <c r="M289" i="20"/>
  <c r="M1071" i="20"/>
  <c r="L871" i="20"/>
  <c r="L923" i="20"/>
  <c r="M686" i="20"/>
  <c r="L743" i="20"/>
  <c r="S93" i="20"/>
  <c r="L125" i="20"/>
  <c r="L995" i="20"/>
  <c r="M929" i="20"/>
  <c r="M1067" i="20"/>
  <c r="S60" i="20"/>
  <c r="L202" i="20"/>
  <c r="M966" i="20"/>
  <c r="M690" i="20"/>
  <c r="M849" i="20"/>
  <c r="KF79" i="2"/>
  <c r="M870" i="20"/>
  <c r="EF79" i="2"/>
  <c r="M233" i="20"/>
  <c r="M580" i="20"/>
  <c r="M526" i="20"/>
  <c r="L855" i="20"/>
  <c r="S90" i="20"/>
  <c r="KK90" i="2"/>
  <c r="L586" i="20"/>
  <c r="L94" i="20"/>
  <c r="M642" i="20"/>
  <c r="L43" i="20"/>
  <c r="JO90" i="2"/>
  <c r="M406" i="20"/>
  <c r="M276" i="20"/>
  <c r="M333" i="20"/>
  <c r="M768" i="20"/>
  <c r="M433" i="20"/>
  <c r="L216" i="20"/>
  <c r="M364" i="20"/>
  <c r="L309" i="20"/>
  <c r="HA90" i="2"/>
  <c r="L447" i="20"/>
  <c r="M599" i="20"/>
  <c r="L517" i="20"/>
  <c r="L468" i="20"/>
  <c r="QY79" i="2"/>
  <c r="M758" i="20"/>
  <c r="L958" i="20"/>
  <c r="M1040" i="20"/>
  <c r="ML79" i="2"/>
  <c r="KF90" i="2"/>
  <c r="HD90" i="2"/>
  <c r="FC79" i="2"/>
  <c r="GC79" i="2"/>
  <c r="M218" i="20"/>
  <c r="L408" i="20"/>
  <c r="M860" i="20"/>
  <c r="M1052" i="20"/>
  <c r="LX79" i="2"/>
  <c r="FZ90" i="2"/>
  <c r="LY79" i="2"/>
  <c r="L54" i="20"/>
  <c r="L628" i="20"/>
  <c r="L910" i="20"/>
  <c r="LC90" i="2"/>
  <c r="M505" i="20"/>
  <c r="L965" i="20"/>
  <c r="L329" i="20"/>
  <c r="L323" i="20"/>
  <c r="PS90" i="2"/>
  <c r="RA79" i="2"/>
  <c r="HU79" i="2"/>
  <c r="M330" i="20"/>
  <c r="QD79" i="2"/>
  <c r="L137" i="20"/>
  <c r="M23" i="20"/>
  <c r="KB79" i="2"/>
  <c r="S42" i="20"/>
  <c r="M528" i="20"/>
  <c r="L1065" i="20"/>
  <c r="M7" i="20"/>
  <c r="S106" i="20"/>
  <c r="OK79" i="2"/>
  <c r="L759" i="20"/>
  <c r="M490" i="20"/>
  <c r="L61" i="20"/>
  <c r="M173" i="20"/>
  <c r="L124" i="20"/>
  <c r="L303" i="20"/>
  <c r="M1066" i="20"/>
  <c r="L76" i="20"/>
  <c r="M944" i="20"/>
  <c r="S89" i="20"/>
  <c r="M605" i="20"/>
  <c r="M518" i="20"/>
  <c r="M222" i="20"/>
  <c r="GM79" i="2"/>
  <c r="L464" i="20"/>
  <c r="M772" i="20"/>
  <c r="L653" i="20"/>
  <c r="M426" i="20"/>
  <c r="L473" i="20"/>
  <c r="M241" i="20"/>
  <c r="L165" i="20"/>
  <c r="L1017" i="20"/>
  <c r="M271" i="20"/>
  <c r="FZ9" i="9"/>
  <c r="L600" i="20"/>
  <c r="L371" i="20"/>
  <c r="L257" i="20"/>
  <c r="JN79" i="2"/>
  <c r="FU90" i="2"/>
  <c r="L104" i="20"/>
  <c r="L515" i="20"/>
  <c r="JQ90" i="2"/>
  <c r="L693" i="20"/>
  <c r="S34" i="20"/>
  <c r="OH90" i="2"/>
  <c r="L683" i="20"/>
  <c r="L350" i="20"/>
  <c r="M582" i="20"/>
  <c r="GY90" i="2"/>
  <c r="M1105" i="20"/>
  <c r="M175" i="20"/>
  <c r="L78" i="20"/>
  <c r="M702" i="20"/>
  <c r="IO79" i="2"/>
  <c r="PL90" i="2"/>
  <c r="M299" i="20"/>
  <c r="L695" i="20"/>
  <c r="L554" i="20"/>
  <c r="L297" i="20"/>
  <c r="M226" i="20"/>
  <c r="M551" i="20"/>
  <c r="OE79" i="2"/>
  <c r="M1024" i="20"/>
  <c r="M474" i="20"/>
  <c r="M519" i="20"/>
  <c r="DX79" i="2"/>
  <c r="PC90" i="2"/>
  <c r="KO90" i="2"/>
  <c r="M656" i="20"/>
  <c r="L1016" i="20"/>
  <c r="L278" i="20"/>
  <c r="L134" i="20"/>
  <c r="M306" i="20"/>
  <c r="S62" i="20"/>
  <c r="L551" i="20"/>
  <c r="FY79" i="2"/>
  <c r="L659" i="20"/>
  <c r="M833" i="20"/>
  <c r="L837" i="20"/>
  <c r="L283" i="20"/>
  <c r="L1070" i="20"/>
  <c r="L1028" i="20"/>
  <c r="NL90" i="2"/>
  <c r="M745" i="20"/>
  <c r="M150" i="20"/>
  <c r="M719" i="20"/>
  <c r="L166" i="20"/>
  <c r="M1074" i="20"/>
  <c r="M770" i="20"/>
  <c r="M13" i="20"/>
  <c r="M683" i="20"/>
  <c r="M371" i="20"/>
  <c r="M979" i="20"/>
  <c r="M828" i="20"/>
  <c r="L75" i="20"/>
  <c r="M648" i="20"/>
  <c r="L544" i="20"/>
  <c r="L584" i="20"/>
  <c r="L161" i="20"/>
  <c r="S119" i="20"/>
  <c r="M298" i="20"/>
  <c r="M408" i="20"/>
  <c r="GO90" i="2"/>
  <c r="M752" i="20"/>
  <c r="M106" i="20"/>
  <c r="L782" i="20"/>
  <c r="M835" i="20"/>
  <c r="L857" i="20"/>
  <c r="EQ79" i="2"/>
  <c r="HB79" i="2"/>
  <c r="AF11" i="13"/>
  <c r="M113" i="20"/>
  <c r="L709" i="20"/>
  <c r="L203" i="20"/>
  <c r="LZ90" i="2"/>
  <c r="MS90" i="2"/>
  <c r="L279" i="20"/>
  <c r="L942" i="20"/>
  <c r="KW90" i="2"/>
  <c r="S61" i="20"/>
  <c r="IC15" i="9"/>
  <c r="L238" i="20"/>
  <c r="M308" i="20"/>
  <c r="L286" i="20"/>
  <c r="L169" i="20"/>
  <c r="M17" i="20"/>
  <c r="L64" i="20"/>
  <c r="QG90" i="2"/>
  <c r="M784" i="20"/>
  <c r="L892" i="20"/>
  <c r="M1092" i="20"/>
  <c r="L306" i="20"/>
  <c r="M885" i="20"/>
  <c r="M35" i="20"/>
  <c r="NI79" i="2"/>
  <c r="QY90" i="2"/>
  <c r="M187" i="20"/>
  <c r="M297" i="20"/>
  <c r="M206" i="20"/>
  <c r="M573" i="20"/>
  <c r="S27" i="20"/>
  <c r="L226" i="20"/>
  <c r="M964" i="20"/>
  <c r="M522" i="20"/>
  <c r="L832" i="20"/>
  <c r="HX79" i="2"/>
  <c r="M792" i="20"/>
  <c r="M841" i="20"/>
  <c r="M823" i="20"/>
  <c r="L568" i="20"/>
  <c r="L921" i="20"/>
  <c r="NX90" i="2"/>
  <c r="M901" i="20"/>
  <c r="M250" i="20"/>
  <c r="L979" i="20"/>
  <c r="M437" i="20"/>
  <c r="ER90" i="2"/>
  <c r="M91" i="20"/>
  <c r="M839" i="20"/>
  <c r="M586" i="20"/>
  <c r="NM90" i="2"/>
  <c r="L820" i="20"/>
  <c r="S117" i="20"/>
  <c r="M282" i="20"/>
  <c r="L213" i="20"/>
  <c r="M263" i="20"/>
  <c r="L1053" i="20"/>
  <c r="EE79" i="2"/>
  <c r="LV79" i="2"/>
  <c r="M315" i="20"/>
  <c r="L155" i="20"/>
  <c r="GT90" i="2"/>
  <c r="M886" i="20"/>
  <c r="M268" i="20"/>
  <c r="M246" i="20"/>
  <c r="M124" i="20"/>
  <c r="L387" i="20"/>
  <c r="L367" i="20"/>
  <c r="M475" i="20"/>
  <c r="M608" i="20"/>
  <c r="M950" i="20"/>
  <c r="QC90" i="2"/>
  <c r="L775" i="20"/>
  <c r="M212" i="20"/>
  <c r="LZ79" i="2"/>
  <c r="M191" i="20"/>
  <c r="L765" i="20"/>
  <c r="M341" i="20"/>
  <c r="L816" i="20"/>
  <c r="M430" i="20"/>
  <c r="M319" i="20"/>
  <c r="M1003" i="20"/>
  <c r="M913" i="20"/>
  <c r="L680" i="20"/>
  <c r="M367" i="20"/>
  <c r="MJ90" i="2"/>
  <c r="L167" i="20"/>
  <c r="M457" i="20"/>
  <c r="L761" i="20"/>
  <c r="EQ90" i="2"/>
  <c r="FJ3" i="13"/>
  <c r="S36" i="20"/>
  <c r="L99" i="20"/>
  <c r="M1087" i="20"/>
  <c r="M917" i="20"/>
  <c r="M468" i="20"/>
  <c r="M612" i="20"/>
  <c r="M469" i="20"/>
  <c r="PI79" i="2"/>
  <c r="L953" i="20"/>
  <c r="M1017" i="20"/>
  <c r="L1082" i="20"/>
  <c r="L999" i="20"/>
  <c r="M1015" i="20"/>
  <c r="L912" i="20"/>
  <c r="X8" i="16"/>
  <c r="HD79" i="2"/>
  <c r="PL79" i="2"/>
  <c r="M710" i="20"/>
  <c r="L650" i="20"/>
  <c r="FW79" i="2"/>
  <c r="L626" i="20"/>
  <c r="NV79" i="2"/>
  <c r="LA90" i="2"/>
  <c r="L635" i="20"/>
  <c r="L1095" i="20"/>
  <c r="M97" i="20"/>
  <c r="JB90" i="2"/>
  <c r="EG79" i="2"/>
  <c r="M646" i="20"/>
  <c r="L972" i="20"/>
  <c r="M496" i="20"/>
  <c r="OS90" i="2"/>
  <c r="DQ90" i="2"/>
  <c r="MW90" i="2"/>
  <c r="M160" i="20"/>
  <c r="L819" i="20"/>
  <c r="M945" i="20"/>
  <c r="L121" i="20"/>
  <c r="PV79" i="2"/>
  <c r="FS79" i="2"/>
  <c r="L620" i="20"/>
  <c r="L844" i="20"/>
  <c r="PQ79" i="2"/>
  <c r="M470" i="20"/>
  <c r="L697" i="20"/>
  <c r="LN90" i="2"/>
  <c r="L269" i="20"/>
  <c r="L440" i="20"/>
  <c r="PO90" i="2"/>
  <c r="IT79" i="2"/>
  <c r="EW79" i="2"/>
  <c r="JE90" i="2"/>
  <c r="GL79" i="2"/>
  <c r="M38" i="20"/>
  <c r="L426" i="20"/>
  <c r="M595" i="20"/>
  <c r="M673" i="20"/>
  <c r="IE90" i="2"/>
  <c r="M653" i="20"/>
  <c r="JS90" i="2"/>
  <c r="L604" i="20"/>
  <c r="M255" i="20"/>
  <c r="L1035" i="20"/>
  <c r="M1108" i="20"/>
  <c r="S57" i="20"/>
  <c r="M208" i="20"/>
  <c r="LB90" i="2"/>
  <c r="NA90" i="2"/>
  <c r="L143" i="20"/>
  <c r="L594" i="20"/>
  <c r="L902" i="20"/>
  <c r="M1012" i="20"/>
  <c r="L112" i="20"/>
  <c r="L975" i="20"/>
  <c r="M386" i="20"/>
  <c r="M323" i="20"/>
  <c r="S86" i="20"/>
  <c r="L1091" i="20"/>
  <c r="M21" i="20"/>
  <c r="GM90" i="2"/>
  <c r="L911" i="20"/>
  <c r="L287" i="20"/>
  <c r="M1055" i="20"/>
  <c r="M394" i="20"/>
  <c r="S82" i="20"/>
  <c r="M358" i="20"/>
  <c r="M189" i="20"/>
  <c r="L1043" i="20"/>
  <c r="HF90" i="2"/>
  <c r="L117" i="20"/>
  <c r="IT90" i="2"/>
  <c r="M353" i="20"/>
  <c r="M224" i="20"/>
  <c r="QO79" i="2"/>
  <c r="M782" i="20"/>
  <c r="M155" i="20"/>
  <c r="M698" i="20"/>
  <c r="L1038" i="20"/>
  <c r="L523" i="20"/>
  <c r="L888" i="20"/>
  <c r="L838" i="20"/>
  <c r="M808" i="20"/>
  <c r="AM18" i="13"/>
  <c r="M583" i="20"/>
  <c r="FR79" i="2"/>
  <c r="L896" i="20"/>
  <c r="L753" i="20"/>
  <c r="KS79" i="2"/>
  <c r="L478" i="20"/>
  <c r="M1078" i="20"/>
  <c r="S77" i="20"/>
  <c r="M488" i="20"/>
  <c r="M295" i="20"/>
  <c r="M252" i="20"/>
  <c r="MP79" i="2"/>
  <c r="L72" i="20"/>
  <c r="L231" i="20"/>
  <c r="QH79" i="2"/>
  <c r="M512" i="20"/>
  <c r="L767" i="20"/>
  <c r="L381" i="20"/>
  <c r="L625" i="20"/>
  <c r="MO90" i="2"/>
  <c r="M137" i="20"/>
  <c r="L401" i="20"/>
  <c r="S33" i="20"/>
  <c r="NY79" i="2"/>
  <c r="L474" i="20"/>
  <c r="M937" i="20"/>
  <c r="M692" i="20"/>
  <c r="JA79" i="2"/>
  <c r="L377" i="20"/>
  <c r="L42" i="20"/>
  <c r="M258" i="20"/>
  <c r="M355" i="20"/>
  <c r="L543" i="20"/>
  <c r="M337" i="20"/>
  <c r="JX90" i="2"/>
  <c r="L824" i="20"/>
  <c r="M912" i="20"/>
  <c r="L393" i="20"/>
  <c r="M10" i="20"/>
  <c r="M58" i="20"/>
  <c r="LG90" i="2"/>
  <c r="L427" i="20"/>
  <c r="KZ90" i="2"/>
  <c r="GS90" i="2"/>
  <c r="L717" i="20"/>
  <c r="L193" i="20"/>
  <c r="M715" i="20"/>
  <c r="M685" i="20"/>
  <c r="M290" i="20"/>
  <c r="PU90" i="2"/>
  <c r="M818" i="20"/>
  <c r="S67" i="20"/>
  <c r="M568" i="20"/>
  <c r="L357" i="20"/>
  <c r="L496" i="20"/>
  <c r="M180" i="20"/>
  <c r="M1086" i="20"/>
  <c r="M179" i="20"/>
  <c r="L435" i="20"/>
  <c r="M452" i="20"/>
  <c r="M182" i="20"/>
  <c r="M600" i="20"/>
  <c r="L603" i="20"/>
  <c r="L227" i="20"/>
  <c r="M266" i="20"/>
  <c r="L471" i="20"/>
  <c r="M521" i="20"/>
  <c r="FJ2" i="13"/>
  <c r="M494" i="20"/>
  <c r="L969" i="20"/>
  <c r="L843" i="20"/>
  <c r="M193" i="20"/>
  <c r="M532" i="20"/>
  <c r="OA90" i="2"/>
  <c r="L487" i="20"/>
  <c r="M16" i="20"/>
  <c r="M313" i="20"/>
  <c r="S46" i="20"/>
  <c r="M716" i="20"/>
  <c r="M260" i="20"/>
  <c r="L128" i="20"/>
  <c r="M340" i="20"/>
  <c r="L934" i="20"/>
  <c r="M618" i="20"/>
  <c r="JY79" i="2"/>
  <c r="M66" i="20"/>
  <c r="KA79" i="2"/>
  <c r="L419" i="20"/>
  <c r="L263" i="20"/>
  <c r="PX90" i="2"/>
  <c r="M197" i="20"/>
  <c r="L629" i="20"/>
  <c r="L330" i="20"/>
  <c r="S97" i="20"/>
  <c r="M724" i="20"/>
  <c r="QK90" i="2"/>
  <c r="L675" i="20"/>
  <c r="M257" i="20"/>
  <c r="S81" i="20"/>
  <c r="L732" i="20"/>
  <c r="L368" i="20"/>
  <c r="L860" i="20"/>
  <c r="OW90" i="2"/>
  <c r="L1097" i="20"/>
  <c r="L815" i="20"/>
  <c r="L783" i="20"/>
  <c r="L771" i="20"/>
  <c r="S88" i="20"/>
  <c r="L1033" i="20"/>
  <c r="L176" i="20"/>
  <c r="JN90" i="2"/>
  <c r="M336" i="20"/>
  <c r="KZ79" i="2"/>
  <c r="OL90" i="2"/>
  <c r="GA79" i="2"/>
  <c r="L93" i="20"/>
  <c r="KB90" i="2"/>
  <c r="L295" i="20"/>
  <c r="M1089" i="20"/>
  <c r="QF79" i="2"/>
  <c r="M169" i="20"/>
  <c r="L581" i="20"/>
  <c r="L941" i="20"/>
  <c r="L1088" i="20"/>
  <c r="DN90" i="2"/>
  <c r="L873" i="20"/>
  <c r="GB79" i="2"/>
  <c r="L947" i="20"/>
  <c r="M318" i="20"/>
  <c r="M489" i="20"/>
  <c r="L476" i="20"/>
  <c r="L849" i="20"/>
  <c r="L354" i="20"/>
  <c r="M39" i="20"/>
  <c r="L221" i="20"/>
  <c r="KW79" i="2"/>
  <c r="L268" i="20"/>
  <c r="M403" i="20"/>
  <c r="M273" i="20"/>
  <c r="IM79" i="2"/>
  <c r="EP79" i="2"/>
  <c r="M451" i="20"/>
  <c r="M1073" i="20"/>
  <c r="M883" i="20"/>
  <c r="L1027" i="20"/>
  <c r="L205" i="20"/>
  <c r="L399" i="20"/>
  <c r="OX90" i="2"/>
  <c r="M301" i="20"/>
  <c r="L564" i="20"/>
  <c r="M1090" i="20"/>
  <c r="M432" i="20"/>
  <c r="L679" i="20"/>
  <c r="FP79" i="2"/>
  <c r="L157" i="20"/>
  <c r="M821" i="20"/>
  <c r="L996" i="20"/>
  <c r="FE90" i="2"/>
  <c r="M198" i="20"/>
  <c r="M766" i="20"/>
  <c r="M360" i="20"/>
  <c r="L707" i="20"/>
  <c r="M40" i="20"/>
  <c r="L582" i="20"/>
  <c r="FY90" i="2"/>
  <c r="M447" i="20"/>
  <c r="IJ79" i="2"/>
  <c r="L960" i="20"/>
  <c r="L1079" i="20"/>
  <c r="M1070" i="20"/>
  <c r="M527" i="20"/>
  <c r="HP90" i="2"/>
  <c r="L787" i="20"/>
  <c r="ER79" i="2"/>
  <c r="M712" i="20"/>
  <c r="L420" i="20"/>
  <c r="DX90" i="2"/>
  <c r="M448" i="20"/>
  <c r="ND79" i="2"/>
  <c r="PY79" i="2"/>
  <c r="L451" i="20"/>
  <c r="PH79" i="2"/>
  <c r="M416" i="20"/>
  <c r="M709" i="20"/>
  <c r="M576" i="20"/>
  <c r="L524" i="20"/>
  <c r="GT79" i="2"/>
  <c r="M1022" i="20"/>
  <c r="L469" i="20"/>
  <c r="M166" i="20"/>
  <c r="L599" i="20"/>
  <c r="L583" i="20"/>
  <c r="M922" i="20"/>
  <c r="L734" i="20"/>
  <c r="L77" i="20"/>
  <c r="M700" i="20"/>
  <c r="IH79" i="2"/>
  <c r="S110" i="20"/>
  <c r="L454" i="20"/>
  <c r="M349" i="20"/>
  <c r="M383" i="20"/>
  <c r="M400" i="20"/>
  <c r="L575" i="20"/>
  <c r="LL90" i="2"/>
  <c r="L389" i="20"/>
  <c r="HM90" i="2"/>
  <c r="L142" i="20"/>
  <c r="L573" i="20"/>
  <c r="L483" i="20"/>
  <c r="L364" i="20"/>
  <c r="JE79" i="2"/>
  <c r="M196" i="20"/>
  <c r="L1004" i="20"/>
  <c r="PI90" i="2"/>
  <c r="L970" i="20"/>
  <c r="L691" i="20"/>
  <c r="DP79" i="2"/>
  <c r="L90" i="20"/>
  <c r="L259" i="20"/>
  <c r="L623" i="20"/>
  <c r="L63" i="20"/>
  <c r="M1008" i="20"/>
  <c r="L1087" i="20"/>
  <c r="M556" i="20"/>
  <c r="M22" i="20"/>
  <c r="M741" i="20"/>
  <c r="L661" i="20"/>
  <c r="M523" i="20"/>
  <c r="M602" i="20"/>
  <c r="L1050" i="20"/>
  <c r="L671" i="20"/>
  <c r="L797" i="20"/>
  <c r="M440" i="20"/>
  <c r="M503" i="20"/>
  <c r="M31" i="20"/>
  <c r="NN79" i="2"/>
  <c r="M739" i="20"/>
  <c r="O24" i="13"/>
  <c r="M1048" i="20"/>
  <c r="L835" i="20"/>
  <c r="M34" i="20"/>
  <c r="M514" i="20"/>
  <c r="M877" i="20"/>
  <c r="M919" i="20"/>
  <c r="L814" i="20"/>
  <c r="S73" i="20"/>
  <c r="L580" i="20"/>
  <c r="L1024" i="20"/>
  <c r="GR90" i="2"/>
  <c r="L1051" i="20"/>
  <c r="AF17" i="13"/>
  <c r="FD79" i="2"/>
  <c r="M201" i="20"/>
  <c r="L597" i="20"/>
  <c r="HP79" i="2"/>
  <c r="HO17" i="9"/>
  <c r="L548" i="20"/>
  <c r="L212" i="20"/>
  <c r="HG79" i="2"/>
  <c r="NC79" i="2"/>
  <c r="QF90" i="2"/>
  <c r="DY79" i="2"/>
  <c r="M121" i="20"/>
  <c r="S45" i="20"/>
  <c r="DS90" i="2"/>
  <c r="L116" i="20"/>
  <c r="L129" i="20"/>
  <c r="L319" i="20"/>
  <c r="L553" i="20"/>
  <c r="L741" i="20"/>
  <c r="QG79" i="2"/>
  <c r="JK79" i="2"/>
  <c r="L140" i="20"/>
  <c r="L789" i="20"/>
  <c r="M428" i="20"/>
  <c r="ES79" i="2"/>
  <c r="M742" i="20"/>
  <c r="M896" i="20"/>
  <c r="M1081" i="20"/>
  <c r="L480" i="20"/>
  <c r="GL90" i="2"/>
  <c r="PP90" i="2"/>
  <c r="M855" i="20"/>
  <c r="S95" i="20"/>
  <c r="M844" i="20"/>
  <c r="M665" i="20"/>
  <c r="KV79" i="2"/>
  <c r="M1063" i="20"/>
  <c r="M279" i="20"/>
  <c r="L1076" i="20"/>
  <c r="M555" i="20"/>
  <c r="L1026" i="20"/>
  <c r="M764" i="20"/>
  <c r="HS79" i="2"/>
  <c r="M659" i="20"/>
  <c r="M916" i="20"/>
  <c r="HE79" i="2"/>
  <c r="JT79" i="2"/>
  <c r="L956" i="20"/>
  <c r="L889" i="20"/>
  <c r="M427" i="20"/>
  <c r="LS90" i="2"/>
  <c r="OP79" i="2"/>
  <c r="M100" i="20"/>
  <c r="L271" i="20"/>
  <c r="HI90" i="2"/>
  <c r="IU90" i="2"/>
  <c r="M15" i="20"/>
  <c r="FG90" i="2"/>
  <c r="M619" i="20"/>
  <c r="L450" i="20"/>
  <c r="S100" i="20"/>
  <c r="M445" i="20"/>
  <c r="M557" i="20"/>
  <c r="OW79" i="2"/>
  <c r="L731" i="20"/>
  <c r="L307" i="20"/>
  <c r="FB90" i="2"/>
  <c r="M771" i="20"/>
  <c r="M565" i="20"/>
  <c r="L491" i="20"/>
  <c r="L105" i="20"/>
  <c r="PG90" i="2"/>
  <c r="MV90" i="2"/>
  <c r="L465" i="20"/>
  <c r="L1098" i="20"/>
  <c r="L719" i="20"/>
  <c r="KQ90" i="2"/>
  <c r="L840" i="20"/>
  <c r="MZ90" i="2"/>
  <c r="MI79" i="2"/>
  <c r="L859" i="20"/>
  <c r="L48" i="20"/>
  <c r="M842" i="20"/>
  <c r="L485" i="20"/>
  <c r="KV90" i="2"/>
  <c r="M620" i="20"/>
  <c r="M8" i="20"/>
  <c r="GC90" i="2"/>
  <c r="M749" i="20"/>
  <c r="L1068" i="20"/>
  <c r="L895" i="20"/>
  <c r="L978" i="20"/>
  <c r="M389" i="20"/>
  <c r="M141" i="20"/>
  <c r="L342" i="20"/>
  <c r="L714" i="20"/>
  <c r="JM90" i="2"/>
  <c r="M590" i="20"/>
  <c r="FM90" i="2"/>
  <c r="L851" i="20"/>
  <c r="M404" i="20"/>
  <c r="L798" i="20"/>
  <c r="HZ90" i="2"/>
  <c r="L509" i="20"/>
  <c r="M562" i="20"/>
  <c r="L611" i="20"/>
  <c r="L1013" i="20"/>
  <c r="L1018" i="20"/>
  <c r="MF79" i="2"/>
  <c r="L546" i="20"/>
  <c r="EE5" i="9"/>
  <c r="L863" i="20"/>
  <c r="S85" i="20"/>
  <c r="PN90" i="2"/>
  <c r="M1044" i="20"/>
  <c r="NU90" i="2"/>
  <c r="M228" i="20"/>
  <c r="L243" i="20"/>
  <c r="FR90" i="2"/>
  <c r="M429" i="20"/>
  <c r="M492" i="20"/>
  <c r="M921" i="20"/>
  <c r="M882" i="20"/>
  <c r="L47" i="20"/>
  <c r="JD90" i="2"/>
  <c r="PA90" i="2"/>
  <c r="L778" i="20"/>
  <c r="QZ90" i="2"/>
  <c r="M275" i="20"/>
  <c r="M544" i="20"/>
  <c r="M18" i="20"/>
  <c r="QQ79" i="2"/>
  <c r="L196" i="20"/>
  <c r="LH90" i="2"/>
  <c r="M996" i="20"/>
  <c r="M748" i="20"/>
  <c r="L541" i="20"/>
  <c r="JZ90" i="2"/>
  <c r="MW79" i="2"/>
  <c r="L927" i="20"/>
  <c r="M96" i="20"/>
  <c r="HL90" i="2"/>
  <c r="MX90" i="2"/>
  <c r="L405" i="20"/>
  <c r="M946" i="20"/>
  <c r="M76" i="20"/>
  <c r="M609" i="20"/>
  <c r="DT79" i="2"/>
  <c r="M631" i="20"/>
  <c r="L560" i="20"/>
  <c r="EK90" i="2"/>
  <c r="L489" i="20"/>
  <c r="L591" i="20"/>
  <c r="JR90" i="2"/>
  <c r="L828" i="20"/>
  <c r="L448" i="20"/>
  <c r="KG79" i="2"/>
  <c r="M242" i="20"/>
  <c r="M549" i="20"/>
  <c r="M199" i="20"/>
  <c r="M756" i="20"/>
  <c r="S91" i="20"/>
  <c r="M542" i="20"/>
  <c r="L376" i="20"/>
  <c r="M387" i="20"/>
  <c r="L369" i="20"/>
  <c r="M498" i="20"/>
  <c r="M27" i="20"/>
  <c r="M942" i="20"/>
  <c r="KH79" i="2"/>
  <c r="PS79" i="2"/>
  <c r="L82" i="20"/>
  <c r="IY90" i="2"/>
  <c r="L477" i="20"/>
  <c r="L657" i="20"/>
  <c r="M806" i="20"/>
  <c r="L210" i="20"/>
  <c r="JQ79" i="2"/>
  <c r="NP79" i="2"/>
  <c r="L85" i="20"/>
  <c r="L375" i="20"/>
  <c r="M513" i="20"/>
  <c r="M438" i="20"/>
  <c r="M809" i="20"/>
  <c r="M136" i="20"/>
  <c r="M70" i="20"/>
  <c r="L807" i="20"/>
  <c r="M144" i="20"/>
  <c r="M660" i="20"/>
  <c r="FI90" i="2"/>
  <c r="LO79" i="2"/>
  <c r="M25" i="20"/>
  <c r="M625" i="20"/>
  <c r="LR79" i="2"/>
  <c r="L998" i="20"/>
  <c r="L652" i="20"/>
  <c r="PW79" i="2"/>
  <c r="M502" i="20"/>
  <c r="M321" i="20"/>
  <c r="L906" i="20"/>
  <c r="LI90" i="2"/>
  <c r="M314" i="20"/>
  <c r="L294" i="20"/>
  <c r="NB90" i="2"/>
  <c r="NS90" i="2"/>
  <c r="DE5" i="2"/>
  <c r="M755" i="20"/>
  <c r="L951" i="20"/>
  <c r="NN90" i="2"/>
  <c r="M832" i="20"/>
  <c r="M1107" i="20"/>
  <c r="LB79" i="2"/>
  <c r="L378" i="20"/>
  <c r="M560" i="20"/>
  <c r="EH90" i="2"/>
  <c r="NW79" i="2"/>
  <c r="HC90" i="2"/>
  <c r="L1020" i="20"/>
  <c r="M633" i="20"/>
  <c r="L407" i="20"/>
  <c r="M732" i="20"/>
  <c r="L852" i="20"/>
  <c r="OE90" i="2"/>
  <c r="M654" i="20"/>
  <c r="GZ90" i="2"/>
  <c r="L270" i="20"/>
  <c r="MH90" i="2"/>
  <c r="L876" i="20"/>
  <c r="QJ90" i="2"/>
  <c r="L1096" i="20"/>
  <c r="L640" i="20"/>
  <c r="M779" i="20"/>
  <c r="M1021" i="20"/>
  <c r="L1002" i="20"/>
  <c r="GG90" i="2"/>
  <c r="FK79" i="2"/>
  <c r="HQ79" i="2"/>
  <c r="M185" i="20"/>
  <c r="L803" i="20"/>
  <c r="IY79" i="2"/>
  <c r="L289" i="20"/>
  <c r="L189" i="20"/>
  <c r="L639" i="20"/>
  <c r="L533" i="20"/>
  <c r="OI90" i="2"/>
  <c r="L658" i="20"/>
  <c r="M277" i="20"/>
  <c r="L931" i="20"/>
  <c r="GJ90" i="2"/>
  <c r="M693" i="20"/>
  <c r="L188" i="20"/>
  <c r="NK90" i="2"/>
  <c r="M679" i="20"/>
  <c r="L829" i="20"/>
  <c r="M147" i="20"/>
  <c r="M900" i="20"/>
  <c r="M925" i="20"/>
  <c r="L890" i="20"/>
  <c r="L417" i="20"/>
  <c r="M248" i="20"/>
  <c r="M802" i="20"/>
  <c r="M834" i="20"/>
  <c r="QB90" i="2"/>
  <c r="L795" i="20"/>
  <c r="M1053" i="20"/>
  <c r="DE11" i="2"/>
  <c r="M727" i="20"/>
  <c r="L341" i="20"/>
  <c r="L612" i="20"/>
  <c r="M127" i="20"/>
  <c r="M539" i="20"/>
  <c r="M813" i="20"/>
  <c r="FL79" i="2"/>
  <c r="AX33" i="13"/>
  <c r="L298" i="20"/>
  <c r="OT79" i="2"/>
  <c r="EM21" i="9"/>
  <c r="OB79" i="2"/>
  <c r="M529" i="20"/>
  <c r="M572" i="20"/>
  <c r="L513" i="20"/>
  <c r="NP90" i="2"/>
  <c r="DV90" i="2"/>
  <c r="M879" i="20"/>
  <c r="PT79" i="2"/>
  <c r="JV90" i="2"/>
  <c r="MJ79" i="2"/>
  <c r="M904" i="20"/>
  <c r="KO79" i="2"/>
  <c r="M466" i="20"/>
  <c r="M616" i="20"/>
  <c r="L370" i="20"/>
  <c r="M747" i="20"/>
  <c r="M777" i="20"/>
  <c r="DE18" i="2"/>
  <c r="M507" i="20"/>
  <c r="M851" i="20"/>
  <c r="L119" i="20"/>
  <c r="M485" i="20"/>
  <c r="L558" i="20"/>
  <c r="L982" i="20"/>
  <c r="L642" i="20"/>
  <c r="M634" i="20"/>
  <c r="M12" i="20"/>
  <c r="S28" i="20"/>
  <c r="M649" i="20"/>
  <c r="M28" i="20"/>
  <c r="L801" i="20"/>
  <c r="MA90" i="2"/>
  <c r="M736" i="20"/>
  <c r="L957" i="20"/>
  <c r="M171" i="20"/>
  <c r="M20" i="20"/>
  <c r="IV90" i="2"/>
  <c r="L214" i="20"/>
  <c r="M915" i="20"/>
  <c r="L362" i="20"/>
  <c r="M578" i="20"/>
  <c r="M1027" i="20"/>
  <c r="L550" i="20"/>
  <c r="L180" i="20"/>
  <c r="M998" i="20"/>
  <c r="M19" i="20"/>
  <c r="L1057" i="20"/>
  <c r="M850" i="20"/>
  <c r="M720" i="20"/>
  <c r="M249" i="20"/>
  <c r="L708" i="20"/>
  <c r="L200" i="20"/>
  <c r="M1085" i="20"/>
  <c r="M379" i="20"/>
  <c r="M219" i="20"/>
  <c r="JA90" i="2"/>
  <c r="L1086" i="20"/>
  <c r="M62" i="20"/>
  <c r="KI90" i="2"/>
  <c r="IB79" i="2"/>
  <c r="M139" i="20"/>
  <c r="L609" i="20"/>
  <c r="M309" i="20"/>
  <c r="M796" i="20"/>
  <c r="L938" i="20"/>
  <c r="L190" i="20"/>
  <c r="L606" i="20"/>
  <c r="IH90" i="2"/>
  <c r="L633" i="20"/>
  <c r="L608" i="20"/>
  <c r="L56" i="20"/>
  <c r="ON79" i="2"/>
  <c r="QM79" i="2"/>
  <c r="L673" i="20"/>
  <c r="M973" i="20"/>
  <c r="PH90" i="2"/>
  <c r="L424" i="20"/>
  <c r="M824" i="20"/>
  <c r="L361" i="20"/>
  <c r="M803" i="20"/>
  <c r="M840" i="20"/>
  <c r="M670" i="20"/>
  <c r="L588" i="20"/>
  <c r="M491" i="20"/>
  <c r="MR90" i="2"/>
  <c r="L250" i="20"/>
  <c r="JU90" i="2"/>
  <c r="L966" i="20"/>
  <c r="HL79" i="2"/>
  <c r="L305" i="20"/>
  <c r="L841" i="20"/>
  <c r="GU90" i="2"/>
  <c r="M994" i="20"/>
  <c r="L186" i="20"/>
  <c r="GB90" i="2"/>
  <c r="MP90" i="2"/>
  <c r="HO90" i="2"/>
  <c r="M33" i="20"/>
  <c r="M350" i="20"/>
  <c r="L384" i="20"/>
  <c r="L547" i="20"/>
  <c r="M1112" i="20"/>
  <c r="M411" i="20"/>
  <c r="L555" i="20"/>
  <c r="EX79" i="2"/>
  <c r="L326" i="20"/>
  <c r="KY79" i="2"/>
  <c r="OV90" i="2"/>
  <c r="NE90" i="2"/>
  <c r="M221" i="20"/>
  <c r="L45" i="20"/>
  <c r="PK79" i="2"/>
  <c r="L744" i="20"/>
  <c r="LS79" i="2"/>
  <c r="M887" i="20"/>
  <c r="S99" i="20"/>
  <c r="M130" i="20"/>
  <c r="IZ79" i="2"/>
  <c r="L735" i="20"/>
  <c r="MC79" i="2"/>
  <c r="L516" i="20"/>
  <c r="MD79" i="2"/>
  <c r="L436" i="20"/>
  <c r="NI90" i="2"/>
  <c r="M391" i="20"/>
  <c r="M291" i="20"/>
  <c r="L646" i="20"/>
  <c r="L363" i="20"/>
  <c r="L856" i="20"/>
  <c r="M661" i="20"/>
  <c r="L423" i="20"/>
  <c r="M1020" i="20"/>
  <c r="IC16" i="9"/>
  <c r="GK79" i="2"/>
  <c r="L242" i="20"/>
  <c r="FX90" i="2"/>
  <c r="QK79" i="2"/>
  <c r="M703" i="20"/>
  <c r="M974" i="20"/>
  <c r="M744" i="20"/>
  <c r="L935" i="20"/>
  <c r="QP90" i="2"/>
  <c r="S102" i="20"/>
  <c r="L184" i="20"/>
  <c r="L850" i="20"/>
  <c r="EU90" i="2"/>
  <c r="S108" i="20"/>
  <c r="M856" i="20"/>
  <c r="M597" i="20"/>
  <c r="S83" i="20"/>
  <c r="ID79" i="2"/>
  <c r="M1025" i="20"/>
  <c r="DD46" i="2"/>
  <c r="L885" i="20"/>
  <c r="L139" i="20"/>
  <c r="S38" i="20"/>
  <c r="GU79" i="2"/>
  <c r="L532" i="20"/>
  <c r="L963" i="20"/>
  <c r="L914" i="20"/>
  <c r="L409" i="20"/>
  <c r="L899" i="20"/>
  <c r="FW90" i="2"/>
  <c r="LK79" i="2"/>
  <c r="L1085" i="20"/>
  <c r="JI79" i="2"/>
  <c r="L431" i="20"/>
  <c r="S115" i="20"/>
  <c r="KC79" i="2"/>
  <c r="M869" i="20"/>
  <c r="L520" i="20"/>
  <c r="M657" i="20"/>
  <c r="M1010" i="20"/>
  <c r="AC65" i="13"/>
  <c r="IR79" i="2"/>
  <c r="L356" i="20"/>
  <c r="L898" i="20"/>
  <c r="M790" i="20"/>
  <c r="M247" i="20"/>
  <c r="IQ90" i="2"/>
  <c r="FH79" i="2"/>
  <c r="L700" i="20"/>
  <c r="HJ90" i="2"/>
  <c r="L457" i="20"/>
  <c r="GE79" i="2"/>
  <c r="EC79" i="2"/>
  <c r="QU90" i="2"/>
  <c r="M204" i="20"/>
  <c r="M1018" i="20"/>
  <c r="L97" i="20"/>
  <c r="L528" i="20"/>
  <c r="HN90" i="2"/>
  <c r="KN79" i="2"/>
  <c r="L769" i="20"/>
  <c r="M1009" i="20"/>
  <c r="M889" i="20"/>
  <c r="M948" i="20"/>
  <c r="M760" i="20"/>
  <c r="M280" i="20"/>
  <c r="M520" i="20"/>
  <c r="L159" i="20"/>
  <c r="HT90" i="2"/>
  <c r="JT90" i="2"/>
  <c r="S105" i="20"/>
  <c r="L747" i="20"/>
  <c r="M516" i="20"/>
  <c r="S71" i="20"/>
  <c r="II79" i="2"/>
  <c r="M407" i="20"/>
  <c r="HO79" i="2"/>
  <c r="FF79" i="2"/>
  <c r="LT90" i="2"/>
  <c r="M517" i="20"/>
  <c r="HE90" i="2"/>
  <c r="M957" i="20"/>
  <c r="M1047" i="20"/>
  <c r="L1101" i="20"/>
  <c r="M424" i="20"/>
  <c r="IN90" i="2"/>
  <c r="M214" i="20"/>
  <c r="M92" i="20"/>
  <c r="M138" i="20"/>
  <c r="S84" i="20"/>
  <c r="HR79" i="2"/>
  <c r="L794" i="20"/>
  <c r="M300" i="20"/>
  <c r="M238" i="20"/>
  <c r="EV90" i="2"/>
  <c r="M42" i="20"/>
  <c r="LK90" i="2"/>
  <c r="M72" i="20"/>
  <c r="IW79" i="2"/>
  <c r="M281" i="20"/>
  <c r="M581" i="20"/>
  <c r="PM90" i="2"/>
  <c r="M361" i="20"/>
  <c r="FC90" i="2"/>
  <c r="L766" i="20"/>
  <c r="L490" i="20"/>
  <c r="L725" i="20"/>
  <c r="GH90" i="2"/>
  <c r="M1096" i="20"/>
  <c r="M890" i="20"/>
  <c r="M977" i="20"/>
  <c r="M1046" i="20"/>
  <c r="KP90" i="2"/>
  <c r="NX79" i="2"/>
  <c r="M694" i="20"/>
  <c r="ES90" i="2"/>
  <c r="M1016" i="20"/>
  <c r="L894" i="20"/>
  <c r="L89" i="20"/>
  <c r="M377" i="20"/>
  <c r="L179" i="20"/>
  <c r="MZ79" i="2"/>
  <c r="PR90" i="2"/>
  <c r="M891" i="20"/>
  <c r="L266" i="20"/>
  <c r="JB79" i="2"/>
  <c r="M167" i="20"/>
  <c r="M534" i="20"/>
  <c r="M853" i="20"/>
  <c r="L67" i="20"/>
  <c r="IG90" i="2"/>
  <c r="IM90" i="2"/>
  <c r="M362" i="20"/>
  <c r="M93" i="20"/>
  <c r="L247" i="20"/>
  <c r="KL79" i="2"/>
  <c r="L685" i="20"/>
  <c r="L740" i="20"/>
  <c r="M672" i="20"/>
  <c r="QT79" i="2"/>
  <c r="L729" i="20"/>
  <c r="L220" i="20"/>
  <c r="M413" i="20"/>
  <c r="OF90" i="2"/>
  <c r="M956" i="20"/>
  <c r="L102" i="20"/>
  <c r="M721" i="20"/>
  <c r="QE90" i="2"/>
  <c r="FZ17" i="9"/>
  <c r="M972" i="20"/>
  <c r="L100" i="20"/>
  <c r="M32" i="20"/>
  <c r="L1092" i="20"/>
  <c r="M351" i="20"/>
  <c r="GD90" i="2"/>
  <c r="L58" i="20"/>
  <c r="IG79" i="2"/>
  <c r="FZ19" i="9"/>
  <c r="M326" i="20"/>
  <c r="QU79" i="2"/>
  <c r="L463" i="20"/>
  <c r="M1019" i="20"/>
  <c r="L290" i="20"/>
  <c r="S49" i="20"/>
  <c r="L79" i="20"/>
  <c r="M778" i="20"/>
  <c r="M292" i="20"/>
  <c r="M632" i="20"/>
  <c r="L87" i="20"/>
  <c r="OP90" i="2"/>
  <c r="GP79" i="2"/>
  <c r="L275" i="20"/>
  <c r="L413" i="20"/>
  <c r="M203" i="20"/>
  <c r="NY90" i="2"/>
  <c r="L74" i="20"/>
  <c r="GY79" i="2"/>
  <c r="S66" i="20"/>
  <c r="M480" i="20"/>
  <c r="L684" i="20"/>
  <c r="QW79" i="2"/>
  <c r="M951" i="20"/>
  <c r="LD79" i="2"/>
  <c r="L225" i="20"/>
  <c r="NZ79" i="2"/>
  <c r="PC79" i="2"/>
  <c r="JK90" i="2"/>
  <c r="EY90" i="2"/>
  <c r="GJ79" i="2"/>
  <c r="M119" i="20"/>
  <c r="IC18" i="9"/>
  <c r="NF79" i="2"/>
  <c r="NA79" i="2"/>
  <c r="M1068" i="20"/>
  <c r="L577" i="20"/>
  <c r="LQ90" i="2"/>
  <c r="L224" i="20"/>
  <c r="M47" i="20"/>
  <c r="L207" i="20"/>
  <c r="M213" i="20"/>
  <c r="S103" i="20"/>
  <c r="L106" i="20"/>
  <c r="M455" i="20"/>
  <c r="L1077" i="20"/>
  <c r="M713" i="20"/>
  <c r="L158" i="20"/>
  <c r="L530" i="20"/>
  <c r="M561" i="20"/>
  <c r="L291" i="20"/>
  <c r="L512" i="20"/>
  <c r="M392" i="20"/>
  <c r="MG79" i="2"/>
  <c r="L484" i="20"/>
  <c r="L230" i="20"/>
  <c r="S101" i="20"/>
  <c r="MX79" i="2"/>
  <c r="LW79" i="2"/>
  <c r="NV90" i="2"/>
  <c r="L386" i="20"/>
  <c r="M781" i="20"/>
  <c r="M133" i="20"/>
  <c r="L324" i="20"/>
  <c r="M836" i="20"/>
  <c r="L434" i="20"/>
  <c r="M878" i="20"/>
  <c r="M820" i="20"/>
  <c r="L467" i="20"/>
  <c r="M126" i="20"/>
  <c r="JP79" i="2"/>
  <c r="M804" i="20"/>
  <c r="S43" i="20"/>
  <c r="L572" i="20"/>
  <c r="M388" i="20"/>
  <c r="M947" i="20"/>
  <c r="M854" i="20"/>
  <c r="L149" i="20"/>
  <c r="L136" i="20"/>
  <c r="FL90" i="2"/>
  <c r="KM79" i="2"/>
  <c r="M1094" i="20"/>
  <c r="M370" i="20"/>
  <c r="L682" i="20"/>
  <c r="M1109" i="20"/>
  <c r="M524" i="20"/>
  <c r="L866" i="20"/>
  <c r="L288" i="20"/>
  <c r="L147" i="20"/>
  <c r="OZ79" i="2"/>
  <c r="L644" i="20"/>
  <c r="OQ79" i="2"/>
  <c r="M436" i="20"/>
  <c r="PY90" i="2"/>
  <c r="M674" i="20"/>
  <c r="M476" i="20"/>
  <c r="M11" i="20"/>
  <c r="L916" i="20"/>
  <c r="M288" i="20"/>
  <c r="QN79" i="2"/>
  <c r="L218" i="20"/>
  <c r="L506" i="20"/>
  <c r="KG90" i="2"/>
  <c r="M262" i="20"/>
  <c r="L997" i="20"/>
  <c r="L276" i="20"/>
  <c r="M352" i="20"/>
  <c r="QI79" i="2"/>
  <c r="M814" i="20"/>
  <c r="M401" i="20"/>
  <c r="OL79" i="2"/>
  <c r="M730" i="20"/>
  <c r="OS79" i="2"/>
  <c r="M767" i="20"/>
  <c r="M696" i="20"/>
  <c r="L178" i="20"/>
  <c r="L1007" i="20"/>
  <c r="M689" i="20"/>
  <c r="M865" i="20"/>
  <c r="M737" i="20"/>
  <c r="FS90" i="2"/>
  <c r="M829" i="20"/>
  <c r="AH33" i="19"/>
  <c r="M667" i="20"/>
  <c r="M48" i="20"/>
  <c r="M902" i="20"/>
  <c r="M607" i="20"/>
  <c r="M484" i="20"/>
  <c r="L638" i="20"/>
  <c r="M267" i="20"/>
  <c r="L62" i="20"/>
  <c r="M1035" i="20"/>
  <c r="L215" i="20"/>
  <c r="L557" i="20"/>
  <c r="L171" i="20"/>
  <c r="EZ90" i="2"/>
  <c r="M259" i="20"/>
  <c r="FJ79" i="2"/>
  <c r="LT79" i="2"/>
  <c r="MR79" i="2"/>
  <c r="M397" i="20"/>
  <c r="L882" i="20"/>
  <c r="IB90" i="2"/>
  <c r="HT79" i="2"/>
  <c r="L686" i="20"/>
  <c r="L930" i="20"/>
  <c r="FZ14" i="9"/>
  <c r="L538" i="20"/>
  <c r="L733" i="20"/>
  <c r="M681" i="20"/>
  <c r="L347" i="20"/>
  <c r="QX79" i="2"/>
  <c r="L66" i="20"/>
  <c r="L944" i="20"/>
  <c r="IF79" i="2"/>
  <c r="MM79" i="2"/>
  <c r="M1030" i="20"/>
  <c r="M735" i="20"/>
  <c r="M816" i="20"/>
  <c r="L926" i="20"/>
  <c r="L1031" i="20"/>
  <c r="M378" i="20"/>
  <c r="QB79" i="2"/>
  <c r="OC90" i="2"/>
  <c r="M109" i="20"/>
  <c r="M1006" i="20"/>
  <c r="L822" i="20"/>
  <c r="L722" i="20"/>
  <c r="EA90" i="2"/>
  <c r="M671" i="20"/>
  <c r="M251" i="20"/>
  <c r="S96" i="20"/>
  <c r="L561" i="20"/>
  <c r="L746" i="20"/>
  <c r="M439" i="20"/>
  <c r="L351" i="20"/>
  <c r="L569" i="20"/>
  <c r="EG90" i="2"/>
  <c r="M36" i="20"/>
  <c r="M335" i="20"/>
  <c r="M274" i="20"/>
  <c r="M376" i="20"/>
  <c r="L776" i="20"/>
  <c r="M941" i="20"/>
  <c r="L146" i="20"/>
  <c r="M895" i="20"/>
  <c r="L185" i="20"/>
  <c r="L400" i="20"/>
  <c r="M718" i="20"/>
  <c r="L71" i="20"/>
  <c r="MF90" i="2"/>
  <c r="L802" i="20"/>
  <c r="L1075" i="20"/>
  <c r="OT90" i="2"/>
  <c r="GI79" i="2"/>
  <c r="M1050" i="20"/>
  <c r="M931" i="20"/>
  <c r="L272" i="20"/>
  <c r="QA90" i="2"/>
  <c r="L881" i="20"/>
  <c r="FP90" i="2"/>
  <c r="QX90" i="2"/>
  <c r="L821" i="20"/>
  <c r="M831" i="20"/>
  <c r="KN90" i="2"/>
  <c r="L810" i="20"/>
  <c r="KH90" i="2"/>
  <c r="M499" i="20"/>
  <c r="FO90" i="2"/>
  <c r="M564" i="20"/>
  <c r="L507" i="20"/>
  <c r="MD90" i="2"/>
  <c r="M294" i="20"/>
  <c r="LF90" i="2"/>
  <c r="FJ90" i="2"/>
  <c r="MO79" i="2"/>
  <c r="M1082" i="20"/>
  <c r="L827" i="20"/>
  <c r="L621" i="20"/>
  <c r="HW79" i="2"/>
  <c r="M682" i="20"/>
  <c r="L249" i="20"/>
  <c r="M664" i="20"/>
  <c r="L244" i="20"/>
  <c r="M935" i="20"/>
  <c r="OI79" i="2"/>
  <c r="L508" i="20"/>
  <c r="M699" i="20"/>
  <c r="M56" i="20"/>
  <c r="M999" i="20"/>
  <c r="L777" i="20"/>
  <c r="L403" i="20"/>
  <c r="L681" i="20"/>
  <c r="FK90" i="2"/>
  <c r="M785" i="20"/>
  <c r="S104" i="20"/>
  <c r="L919" i="20"/>
  <c r="DR79" i="2"/>
  <c r="FQ90" i="2"/>
  <c r="M888" i="20"/>
  <c r="M384" i="20"/>
  <c r="LR90" i="2"/>
  <c r="HQ90" i="2"/>
  <c r="L536" i="20"/>
  <c r="M296" i="20"/>
  <c r="L258" i="20"/>
  <c r="HO18" i="9"/>
  <c r="L847" i="20"/>
  <c r="L833" i="20"/>
  <c r="L273" i="20"/>
  <c r="L280" i="20"/>
  <c r="L688" i="20"/>
  <c r="L897" i="20"/>
  <c r="PG79" i="2"/>
  <c r="DJ79" i="2"/>
  <c r="L748" i="20"/>
  <c r="NJ90" i="2"/>
  <c r="NU79" i="2"/>
  <c r="M753" i="20"/>
  <c r="L618" i="20"/>
  <c r="IP79" i="2"/>
  <c r="L865" i="20"/>
  <c r="L622" i="20"/>
  <c r="L206" i="20"/>
  <c r="L1080" i="20"/>
  <c r="L1054" i="20"/>
  <c r="HF79" i="2"/>
  <c r="L932" i="20"/>
  <c r="L153" i="20"/>
  <c r="NR79" i="2"/>
  <c r="M1064" i="20"/>
  <c r="L1006" i="20"/>
  <c r="L976" i="20"/>
  <c r="MB79" i="2"/>
  <c r="L462" i="20"/>
  <c r="QR79" i="2"/>
  <c r="M95" i="20"/>
  <c r="M68" i="20"/>
  <c r="M1056" i="20"/>
  <c r="L456" i="20"/>
  <c r="MN90" i="2"/>
  <c r="L869" i="20"/>
  <c r="M1097" i="20"/>
  <c r="L703" i="20"/>
  <c r="M872" i="20"/>
  <c r="M636" i="20"/>
  <c r="L877" i="20"/>
  <c r="S50" i="20"/>
  <c r="L727" i="20"/>
  <c r="L651" i="20"/>
  <c r="JC90" i="2"/>
  <c r="L886" i="20"/>
  <c r="L566" i="20"/>
  <c r="M548" i="20"/>
  <c r="PF90" i="2"/>
  <c r="M463" i="20"/>
  <c r="M217" i="20"/>
  <c r="M817" i="20"/>
  <c r="L799" i="20"/>
  <c r="L301" i="20"/>
  <c r="L264" i="20"/>
  <c r="LP90" i="2"/>
  <c r="HH79" i="2"/>
  <c r="M234" i="20"/>
  <c r="L494" i="20"/>
  <c r="L527" i="20"/>
  <c r="M717" i="20"/>
  <c r="M822" i="20"/>
  <c r="M668" i="20"/>
  <c r="M807" i="20"/>
  <c r="MN79" i="2"/>
  <c r="L201" i="20"/>
  <c r="L49" i="20"/>
  <c r="M611" i="20"/>
  <c r="L115" i="20"/>
  <c r="JJ90" i="2"/>
  <c r="OK90" i="2"/>
  <c r="L172" i="20"/>
  <c r="M178" i="20"/>
  <c r="M188" i="20"/>
  <c r="M153" i="20"/>
  <c r="L641" i="20"/>
  <c r="L830" i="20"/>
  <c r="OO79" i="2"/>
  <c r="M329" i="20"/>
  <c r="M515" i="20"/>
  <c r="M45" i="20"/>
  <c r="L449" i="20"/>
  <c r="M932" i="20"/>
  <c r="L1062" i="20"/>
  <c r="L793" i="20"/>
  <c r="M107" i="20"/>
  <c r="M554" i="20"/>
  <c r="L1064" i="20"/>
  <c r="M704" i="20"/>
  <c r="M859" i="20"/>
  <c r="L111" i="20"/>
  <c r="M960" i="20"/>
  <c r="HK79" i="2"/>
  <c r="L587" i="20"/>
  <c r="L492" i="20"/>
  <c r="M405" i="20"/>
  <c r="LO90" i="2"/>
  <c r="M24" i="20"/>
  <c r="L630" i="20"/>
  <c r="NE79" i="2"/>
  <c r="M125" i="20"/>
  <c r="PF79" i="2"/>
  <c r="M129" i="20"/>
  <c r="IA90" i="2"/>
  <c r="L126" i="20"/>
  <c r="JU79" i="2"/>
  <c r="L632" i="20"/>
  <c r="L842" i="20"/>
  <c r="PJ79" i="2"/>
  <c r="L993" i="20"/>
  <c r="L345" i="20"/>
  <c r="L1008" i="20"/>
  <c r="L1022" i="20"/>
  <c r="L948" i="20"/>
  <c r="DI2" i="2"/>
  <c r="L706" i="20"/>
  <c r="QL90" i="2"/>
  <c r="EY6" i="9"/>
  <c r="JH79" i="2"/>
  <c r="M911" i="20"/>
  <c r="EO90" i="2"/>
  <c r="IQ79" i="2"/>
  <c r="EC90" i="2"/>
  <c r="M1062" i="20"/>
  <c r="FN90" i="2"/>
  <c r="KM90" i="2"/>
  <c r="L514" i="20"/>
  <c r="M316" i="20"/>
  <c r="FZ79" i="2"/>
  <c r="L251" i="20"/>
  <c r="NH90" i="2"/>
  <c r="M559" i="20"/>
  <c r="M146" i="20"/>
  <c r="L1030" i="20"/>
  <c r="L95" i="20"/>
  <c r="FH90" i="2"/>
  <c r="L394" i="20"/>
  <c r="OD90" i="2"/>
  <c r="M538" i="20"/>
  <c r="MV79" i="2"/>
  <c r="S72" i="20"/>
  <c r="PD79" i="2"/>
  <c r="DK90" i="2"/>
  <c r="MA79" i="2"/>
  <c r="M629" i="20"/>
  <c r="QH90" i="2"/>
  <c r="MK79" i="2"/>
  <c r="PZ79" i="2"/>
  <c r="M799" i="20"/>
  <c r="L918" i="20"/>
  <c r="M1111" i="20"/>
  <c r="L862" i="20"/>
  <c r="M963" i="20"/>
  <c r="M1007" i="20"/>
  <c r="LW90" i="2"/>
  <c r="L730" i="20"/>
  <c r="L713" i="20"/>
  <c r="M707" i="20"/>
  <c r="M481" i="20"/>
  <c r="M952" i="20"/>
  <c r="M80" i="20"/>
  <c r="M487" i="20"/>
  <c r="NR90" i="2"/>
  <c r="M669" i="20"/>
  <c r="FI79" i="2"/>
  <c r="DL79" i="2"/>
  <c r="GW79" i="2"/>
  <c r="L946" i="20"/>
  <c r="L308" i="20"/>
  <c r="IC17" i="9"/>
  <c r="L545" i="20"/>
  <c r="NB79" i="2"/>
  <c r="LL79" i="2"/>
  <c r="L498" i="20"/>
  <c r="FB79" i="2"/>
  <c r="L88" i="20"/>
  <c r="KT79" i="2"/>
  <c r="M1031" i="20"/>
  <c r="L109" i="20"/>
  <c r="L913" i="20"/>
  <c r="DL90" i="2"/>
  <c r="M705" i="20"/>
  <c r="L110" i="20"/>
  <c r="M711" i="20"/>
  <c r="L774" i="20"/>
  <c r="L262" i="20"/>
  <c r="S69" i="20"/>
  <c r="M643" i="20"/>
  <c r="GI90" i="2"/>
  <c r="FJ4" i="13"/>
  <c r="L1014" i="20"/>
  <c r="L40" i="20"/>
  <c r="L322" i="20"/>
  <c r="L872" i="20"/>
  <c r="M787" i="20"/>
  <c r="M65" i="20"/>
  <c r="OY79" i="2"/>
  <c r="L619" i="20"/>
  <c r="M1113" i="20"/>
  <c r="S29" i="20"/>
  <c r="M927" i="20"/>
  <c r="IV79" i="2"/>
  <c r="L511" i="20"/>
  <c r="AL62" i="14"/>
  <c r="L173" i="20"/>
  <c r="M458" i="20"/>
  <c r="M207" i="20"/>
  <c r="M44" i="20"/>
  <c r="L452" i="20"/>
  <c r="L355" i="20"/>
  <c r="M453" i="20"/>
  <c r="M414" i="20"/>
  <c r="L86" i="20"/>
  <c r="MQ79" i="2"/>
  <c r="L168" i="20"/>
  <c r="M1013" i="20"/>
  <c r="L360" i="20"/>
  <c r="L302" i="20"/>
  <c r="L964" i="20"/>
  <c r="L1044" i="20"/>
  <c r="QV79" i="2"/>
  <c r="X25" i="13"/>
  <c r="M695" i="20"/>
  <c r="L1067" i="20"/>
  <c r="L228" i="20"/>
  <c r="L446" i="20"/>
  <c r="L208" i="20"/>
  <c r="L198" i="20"/>
  <c r="II90" i="2"/>
  <c r="L988" i="20"/>
  <c r="IC90" i="2"/>
  <c r="M105" i="20"/>
  <c r="M926" i="20"/>
  <c r="EX90" i="2"/>
  <c r="S48" i="20"/>
  <c r="L91" i="20"/>
  <c r="L811" i="20"/>
  <c r="M774" i="20"/>
  <c r="PN79" i="2"/>
  <c r="L1089" i="20"/>
  <c r="M215" i="20"/>
  <c r="X21" i="13"/>
  <c r="LN79" i="2"/>
  <c r="M688" i="20"/>
  <c r="L504" i="20"/>
  <c r="M967" i="20"/>
  <c r="OA79" i="2"/>
  <c r="KI79" i="2"/>
  <c r="MC90" i="2"/>
  <c r="PU79" i="2"/>
  <c r="KR90" i="2"/>
  <c r="EN90" i="2"/>
  <c r="M591" i="20"/>
  <c r="GP90" i="2"/>
  <c r="QD90" i="2"/>
  <c r="M293" i="20"/>
  <c r="L432" i="20"/>
  <c r="S53" i="20"/>
  <c r="NK79" i="2"/>
  <c r="L1047" i="20"/>
  <c r="KJ79" i="2"/>
  <c r="M934" i="20"/>
  <c r="KJ90" i="2"/>
  <c r="L406" i="20"/>
  <c r="M933" i="20"/>
  <c r="L482" i="20"/>
  <c r="L442" i="20"/>
  <c r="M497" i="20"/>
  <c r="M46" i="20"/>
  <c r="L552" i="20"/>
  <c r="L160" i="20"/>
  <c r="M511" i="20"/>
  <c r="L80" i="20"/>
  <c r="S92" i="20"/>
  <c r="GR79" i="2"/>
  <c r="S58" i="20"/>
  <c r="L223" i="20"/>
  <c r="L990" i="20"/>
  <c r="L331" i="20"/>
  <c r="M211" i="20"/>
  <c r="KK79" i="2"/>
  <c r="M530" i="20"/>
  <c r="L299" i="20"/>
  <c r="S75" i="20"/>
  <c r="L924" i="20"/>
  <c r="L1042" i="20"/>
  <c r="M302" i="20"/>
  <c r="L265" i="20"/>
  <c r="M9" i="20"/>
  <c r="S47" i="20"/>
  <c r="NM79" i="2"/>
  <c r="L113" i="20"/>
  <c r="M893" i="20"/>
  <c r="M993" i="20"/>
  <c r="M550" i="20"/>
  <c r="L989" i="20"/>
  <c r="L867" i="20"/>
  <c r="L884" i="20"/>
  <c r="L466" i="20"/>
  <c r="M472" i="20"/>
  <c r="GS79" i="2"/>
  <c r="M1072" i="20"/>
  <c r="S74" i="20"/>
  <c r="L252" i="20"/>
  <c r="L654" i="20"/>
  <c r="L696" i="20"/>
  <c r="M216" i="20"/>
  <c r="NF90" i="2"/>
  <c r="M928" i="20"/>
  <c r="DU79" i="2"/>
  <c r="QW90" i="2"/>
  <c r="JD79" i="2"/>
  <c r="L182" i="20"/>
  <c r="KS90" i="2"/>
  <c r="L971" i="20"/>
  <c r="M493" i="20"/>
  <c r="L940" i="20"/>
  <c r="M793" i="20"/>
  <c r="L1072" i="20"/>
  <c r="IL79" i="2"/>
  <c r="M348" i="20"/>
  <c r="M418" i="20"/>
  <c r="MH79" i="2"/>
  <c r="QC79" i="2"/>
  <c r="L267" i="20"/>
  <c r="L883" i="20"/>
  <c r="FZ10" i="9"/>
  <c r="ET90" i="2"/>
  <c r="L217" i="20"/>
  <c r="M159" i="20"/>
  <c r="M135" i="20"/>
  <c r="LA79" i="2"/>
  <c r="OG79" i="2"/>
  <c r="M940" i="20"/>
  <c r="L689" i="20"/>
  <c r="M504" i="20"/>
  <c r="M970" i="20"/>
  <c r="L148" i="20"/>
  <c r="HO16" i="9"/>
  <c r="L952" i="20"/>
  <c r="JJ79" i="2"/>
  <c r="ML90" i="2"/>
  <c r="M264" i="20"/>
  <c r="KX90" i="2"/>
  <c r="L750" i="20"/>
  <c r="M210" i="20"/>
  <c r="L211" i="20"/>
  <c r="L525" i="20"/>
  <c r="L416" i="20"/>
  <c r="EY8" i="9"/>
  <c r="S78" i="20"/>
  <c r="M509" i="20"/>
  <c r="L772" i="20"/>
  <c r="JP90" i="2"/>
  <c r="L535" i="20"/>
  <c r="M368" i="20"/>
  <c r="L70" i="20"/>
  <c r="L1041" i="20"/>
  <c r="M236" i="20"/>
  <c r="M312" i="20"/>
  <c r="OC79" i="2"/>
  <c r="M110" i="20"/>
  <c r="M64" i="20"/>
  <c r="HG90" i="2"/>
  <c r="M546" i="20"/>
  <c r="M584" i="20"/>
  <c r="M261" i="20"/>
  <c r="QI90" i="2"/>
  <c r="M1093" i="20"/>
  <c r="HH90" i="2"/>
  <c r="L152" i="20"/>
  <c r="M272" i="20"/>
  <c r="IX90" i="2"/>
  <c r="M118" i="20"/>
  <c r="L65" i="20"/>
  <c r="L917" i="20"/>
  <c r="L779" i="20"/>
  <c r="L348" i="20"/>
  <c r="M575" i="20"/>
  <c r="L593" i="20"/>
  <c r="L44" i="20"/>
  <c r="L907" i="20"/>
  <c r="L563" i="20"/>
  <c r="M117" i="20"/>
  <c r="IC79" i="2"/>
  <c r="L752" i="20"/>
  <c r="PP79" i="2"/>
  <c r="M959" i="20"/>
  <c r="M881" i="20"/>
  <c r="M359" i="20"/>
  <c r="M936" i="20"/>
  <c r="L325" i="20"/>
  <c r="L839" i="20"/>
  <c r="HB90" i="2"/>
  <c r="QS90" i="2"/>
  <c r="HV90" i="2"/>
  <c r="MS79" i="2"/>
  <c r="L437" i="20"/>
  <c r="M253" i="20"/>
  <c r="L1073" i="20"/>
  <c r="L411" i="20"/>
  <c r="LG79" i="2"/>
  <c r="M363" i="20"/>
  <c r="HV79" i="2"/>
  <c r="S59" i="20"/>
  <c r="L1046" i="20"/>
  <c r="GV90" i="2"/>
  <c r="M545" i="20"/>
  <c r="M968" i="20"/>
  <c r="M740" i="20"/>
  <c r="S80" i="20"/>
  <c r="M82" i="20"/>
  <c r="L678" i="20"/>
  <c r="L127" i="20"/>
  <c r="LE90" i="2"/>
  <c r="L177" i="20"/>
  <c r="M464" i="20"/>
  <c r="L663" i="20"/>
  <c r="IF90" i="2"/>
  <c r="L773" i="20"/>
  <c r="M332" i="20"/>
  <c r="M373" i="20"/>
  <c r="M446" i="20"/>
  <c r="EY79" i="2"/>
  <c r="NL79" i="2"/>
  <c r="L404" i="20"/>
  <c r="JI90" i="2"/>
  <c r="L929" i="20"/>
  <c r="M914" i="20"/>
  <c r="L73" i="20"/>
  <c r="L943" i="20"/>
  <c r="L724" i="20"/>
  <c r="QE79" i="2"/>
  <c r="L441" i="20"/>
  <c r="L444" i="20"/>
  <c r="M775" i="20"/>
  <c r="DK79" i="2"/>
  <c r="L903" i="20"/>
  <c r="M409" i="20"/>
  <c r="M372" i="20"/>
  <c r="M71" i="20"/>
  <c r="L764" i="20"/>
  <c r="L120" i="20"/>
  <c r="L1049" i="20"/>
  <c r="OD79" i="2"/>
  <c r="M910" i="20"/>
  <c r="OB90" i="2"/>
  <c r="M810" i="20"/>
  <c r="L756" i="20"/>
  <c r="M202" i="20"/>
  <c r="M965" i="20"/>
  <c r="L868" i="20"/>
  <c r="L962" i="20"/>
  <c r="EM79" i="2"/>
  <c r="IA79" i="2"/>
  <c r="L1021" i="20"/>
  <c r="M708" i="20"/>
  <c r="L770" i="20"/>
  <c r="M773" i="20"/>
  <c r="M425" i="20"/>
  <c r="FN79" i="2"/>
  <c r="L412" i="20"/>
  <c r="L1029" i="20"/>
  <c r="IS90" i="2"/>
  <c r="L526" i="20"/>
  <c r="L353" i="20"/>
  <c r="L493" i="20"/>
  <c r="L245" i="20"/>
  <c r="M1054" i="20"/>
  <c r="M684" i="20"/>
  <c r="LU90" i="2"/>
  <c r="L643" i="20"/>
  <c r="NZ90" i="2"/>
  <c r="L192" i="20"/>
  <c r="M815" i="20"/>
  <c r="L574" i="20"/>
  <c r="M151" i="20"/>
  <c r="L358" i="20"/>
  <c r="NQ90" i="2"/>
  <c r="M88" i="20"/>
  <c r="L985" i="20"/>
  <c r="GV79" i="2"/>
  <c r="JF79" i="2"/>
  <c r="L790" i="20"/>
  <c r="M797" i="20"/>
  <c r="M232" i="20"/>
  <c r="OR90" i="2"/>
  <c r="M761" i="20"/>
  <c r="ET79" i="2"/>
  <c r="M176" i="20"/>
  <c r="IL90" i="2"/>
  <c r="L565" i="20"/>
  <c r="L505" i="20"/>
  <c r="M357" i="20"/>
  <c r="FE79" i="2"/>
  <c r="FV90" i="2"/>
  <c r="DP90" i="2"/>
  <c r="GN90" i="2"/>
  <c r="M864" i="20"/>
  <c r="M79" i="20"/>
  <c r="L138" i="20"/>
  <c r="L292" i="20"/>
  <c r="M731" i="20"/>
  <c r="L388" i="20"/>
  <c r="M939" i="20"/>
  <c r="M938" i="20"/>
  <c r="M165" i="20"/>
  <c r="L668" i="20"/>
  <c r="M225" i="20"/>
  <c r="M640" i="20"/>
  <c r="M536" i="20"/>
  <c r="L114" i="20"/>
  <c r="M69" i="20"/>
  <c r="FQ79" i="2"/>
  <c r="M722" i="20"/>
  <c r="M61" i="20"/>
  <c r="M37" i="20"/>
  <c r="L315" i="20"/>
  <c r="MB90" i="2"/>
  <c r="FA79" i="2"/>
  <c r="L656" i="20"/>
  <c r="QS79" i="2"/>
  <c r="OU79" i="2"/>
  <c r="M838" i="20"/>
  <c r="L788" i="20"/>
  <c r="M256" i="20"/>
  <c r="M714" i="20"/>
  <c r="L531" i="20"/>
  <c r="L479" i="20"/>
  <c r="L229" i="20"/>
  <c r="M108" i="20"/>
  <c r="M89" i="20"/>
  <c r="L510" i="20"/>
  <c r="L328" i="20"/>
  <c r="M627" i="20"/>
  <c r="ME90" i="2"/>
  <c r="L1063" i="20"/>
  <c r="LU79" i="2"/>
  <c r="M1029" i="20"/>
  <c r="S32" i="20"/>
  <c r="M765" i="20"/>
  <c r="L578" i="20"/>
  <c r="L559" i="20"/>
  <c r="LH79" i="2"/>
  <c r="M422" i="20"/>
  <c r="M170" i="20"/>
  <c r="L738" i="20"/>
  <c r="M57" i="20"/>
  <c r="L313" i="20"/>
  <c r="M421" i="20"/>
  <c r="M776" i="20"/>
  <c r="L1032" i="20"/>
  <c r="L854" i="20"/>
  <c r="L705" i="20"/>
  <c r="FR17" i="9"/>
  <c r="M412" i="20"/>
  <c r="FU79" i="2"/>
  <c r="JZ79" i="2"/>
  <c r="M1038" i="20"/>
  <c r="OQ90" i="2"/>
  <c r="M477" i="20"/>
  <c r="L135" i="20"/>
  <c r="MU79" i="2"/>
  <c r="M1042" i="20"/>
  <c r="M801" i="20"/>
  <c r="L383" i="20"/>
  <c r="L585" i="20"/>
  <c r="GA90" i="2"/>
  <c r="L219" i="20"/>
  <c r="M220" i="20"/>
  <c r="DQ79" i="2"/>
  <c r="L256" i="20"/>
  <c r="IJ90" i="2"/>
  <c r="L634" i="20"/>
  <c r="L522" i="20"/>
  <c r="L701" i="20"/>
  <c r="M691" i="20"/>
  <c r="M553" i="20"/>
  <c r="L472" i="20"/>
  <c r="M128" i="20"/>
  <c r="L439" i="20"/>
  <c r="L818" i="20"/>
  <c r="PM79" i="2"/>
  <c r="S40" i="20"/>
  <c r="L414" i="20"/>
  <c r="L901" i="20"/>
  <c r="QT90" i="2"/>
  <c r="M663" i="20"/>
  <c r="M190" i="20"/>
  <c r="FD90" i="2"/>
  <c r="M780" i="20"/>
  <c r="KU90" i="2"/>
  <c r="M601" i="20"/>
  <c r="L433" i="20"/>
  <c r="L665" i="20"/>
  <c r="L68" i="20"/>
  <c r="M510" i="20"/>
  <c r="GG79" i="2"/>
  <c r="M471" i="20"/>
  <c r="L616" i="20"/>
  <c r="OX79" i="2"/>
  <c r="L300" i="20"/>
  <c r="DD53" i="2"/>
  <c r="IW90" i="2"/>
  <c r="QL79" i="2"/>
  <c r="AF13" i="13"/>
  <c r="HA79" i="2"/>
  <c r="L781" i="20"/>
  <c r="L183" i="20"/>
  <c r="KD90" i="2"/>
  <c r="M237" i="20"/>
  <c r="L950" i="20"/>
  <c r="M443" i="20"/>
  <c r="M552" i="20"/>
  <c r="L156" i="20"/>
  <c r="M265" i="20"/>
  <c r="L402" i="20"/>
  <c r="L800" i="20"/>
  <c r="L118" i="20"/>
  <c r="L385" i="20"/>
  <c r="M585" i="20"/>
  <c r="L316" i="20"/>
  <c r="M374" i="20"/>
  <c r="L428" i="20"/>
  <c r="L181" i="20"/>
  <c r="M857" i="20"/>
  <c r="M1036" i="20"/>
  <c r="KC90" i="2"/>
  <c r="L60" i="20"/>
  <c r="M230" i="20"/>
  <c r="O34" i="13"/>
  <c r="M63" i="20"/>
  <c r="L382" i="20"/>
  <c r="M1076" i="20"/>
  <c r="M953" i="20"/>
  <c r="M200" i="20"/>
  <c r="M978" i="20"/>
  <c r="L715" i="20"/>
  <c r="L499" i="20"/>
  <c r="L760" i="20"/>
  <c r="L170" i="20"/>
  <c r="FX79" i="2"/>
  <c r="M788" i="20"/>
  <c r="L664" i="20"/>
  <c r="L954" i="20"/>
  <c r="M566" i="20"/>
  <c r="QO90" i="2"/>
  <c r="L1055" i="20"/>
  <c r="DW90" i="2"/>
  <c r="S41" i="20"/>
  <c r="M375" i="20"/>
  <c r="EV79" i="2"/>
  <c r="MM90" i="2"/>
  <c r="L939" i="20"/>
  <c r="JF90" i="2"/>
  <c r="M442" i="20"/>
  <c r="M1103" i="20"/>
  <c r="L204" i="20"/>
  <c r="L624" i="20"/>
  <c r="M101" i="20"/>
  <c r="L813" i="20"/>
  <c r="M1011" i="20"/>
  <c r="M423" i="20"/>
  <c r="M540" i="20"/>
  <c r="QP79" i="2"/>
  <c r="L296" i="20"/>
  <c r="S107" i="20"/>
  <c r="O26" i="13"/>
  <c r="M1110" i="20"/>
  <c r="M192" i="20"/>
  <c r="L359" i="20"/>
  <c r="M641" i="20"/>
  <c r="L754" i="20"/>
  <c r="L922" i="20"/>
  <c r="M380" i="20"/>
  <c r="M431" i="20"/>
  <c r="L991" i="20"/>
  <c r="OG90" i="2"/>
  <c r="L332" i="20"/>
  <c r="L101" i="20"/>
  <c r="L1009" i="20"/>
  <c r="NO90" i="2"/>
  <c r="M652" i="20"/>
  <c r="M305" i="20"/>
  <c r="M943" i="20"/>
  <c r="L352" i="20"/>
  <c r="MY90" i="2"/>
  <c r="L637" i="20"/>
  <c r="L739" i="20"/>
  <c r="M635" i="20"/>
  <c r="M181" i="20"/>
  <c r="L46" i="20"/>
  <c r="L1066" i="20"/>
  <c r="GE90" i="2"/>
  <c r="FA90" i="2"/>
  <c r="RA90" i="2"/>
  <c r="NJ79" i="2"/>
  <c r="M675" i="20"/>
  <c r="DN79" i="2"/>
  <c r="L1090" i="20"/>
  <c r="L579" i="20"/>
  <c r="L145" i="20"/>
  <c r="L1023" i="20"/>
  <c r="M789" i="20"/>
  <c r="L674" i="20"/>
  <c r="L784" i="20"/>
  <c r="M1043" i="20"/>
  <c r="IO90" i="2"/>
  <c r="PE90" i="2"/>
  <c r="L831" i="20"/>
  <c r="M1032" i="20"/>
  <c r="L241" i="20"/>
  <c r="HI79" i="2"/>
  <c r="OR79" i="2"/>
  <c r="S98" i="20"/>
  <c r="L792" i="20"/>
  <c r="S111" i="20"/>
  <c r="KE90" i="2"/>
  <c r="M156" i="20"/>
  <c r="HZ79" i="2"/>
  <c r="S94" i="20"/>
  <c r="M227" i="20"/>
  <c r="L758" i="20"/>
  <c r="S113" i="20"/>
  <c r="L1071" i="20"/>
  <c r="M342" i="20"/>
  <c r="M73" i="20"/>
  <c r="PB79" i="2"/>
  <c r="M623" i="20"/>
  <c r="IP90" i="2"/>
  <c r="L69" i="20"/>
  <c r="QN90" i="2"/>
  <c r="DU90" i="2"/>
  <c r="L666" i="20"/>
  <c r="S55" i="20"/>
  <c r="M961" i="20"/>
  <c r="L418" i="20"/>
  <c r="M558" i="20"/>
  <c r="M949" i="20"/>
  <c r="L598" i="20"/>
  <c r="L343" i="20"/>
  <c r="L503" i="20"/>
  <c r="PR79" i="2"/>
  <c r="M743" i="20"/>
  <c r="M346" i="20"/>
  <c r="L610" i="20"/>
  <c r="S31" i="20"/>
  <c r="DZ90" i="2"/>
  <c r="QM90" i="2"/>
  <c r="L255" i="20"/>
  <c r="OZ90" i="2"/>
  <c r="NQ79" i="2"/>
  <c r="JG90" i="2"/>
  <c r="NG79" i="2"/>
  <c r="M746" i="20"/>
  <c r="L986" i="20"/>
  <c r="HN79" i="2"/>
  <c r="S116" i="20"/>
  <c r="M687" i="20"/>
  <c r="M1023" i="20"/>
  <c r="L662" i="20"/>
  <c r="L461" i="20"/>
  <c r="S87" i="20"/>
  <c r="M104" i="20"/>
  <c r="L556" i="20"/>
  <c r="EN79" i="2"/>
  <c r="DV79" i="2"/>
  <c r="OH79" i="2"/>
  <c r="L1040" i="20"/>
  <c r="L1005" i="20"/>
  <c r="L41" i="20"/>
  <c r="JS79" i="2"/>
  <c r="L1010" i="20"/>
  <c r="L687" i="20"/>
  <c r="DM79" i="2"/>
  <c r="L749" i="20"/>
  <c r="M958" i="20"/>
  <c r="M680" i="20"/>
  <c r="HC79" i="2"/>
  <c r="L1058" i="20"/>
  <c r="L1015" i="20"/>
  <c r="KU79" i="2"/>
  <c r="M738" i="20"/>
  <c r="M907" i="20"/>
  <c r="L154" i="20"/>
  <c r="GF79" i="2"/>
  <c r="M918" i="20"/>
  <c r="ED90" i="2"/>
  <c r="L475" i="20"/>
  <c r="JH90" i="2"/>
  <c r="L645" i="20"/>
  <c r="M622" i="20"/>
  <c r="MU90" i="2"/>
  <c r="L728" i="20"/>
  <c r="KA90" i="2"/>
  <c r="M651" i="20"/>
  <c r="M954" i="20"/>
  <c r="M892" i="20"/>
  <c r="EA79" i="2"/>
  <c r="M852" i="20"/>
  <c r="L785" i="20"/>
  <c r="L809" i="20"/>
  <c r="L277" i="20"/>
  <c r="EI79" i="2"/>
  <c r="L1045" i="20"/>
  <c r="L421" i="20"/>
  <c r="M43" i="20"/>
  <c r="L945" i="20"/>
  <c r="M53" i="20"/>
  <c r="FZ8" i="9"/>
  <c r="L481" i="20"/>
  <c r="M87" i="20"/>
  <c r="MI90" i="2"/>
  <c r="M1057" i="20"/>
  <c r="LY90" i="2"/>
  <c r="L1093" i="20"/>
  <c r="AH14" i="19"/>
  <c r="L236" i="20"/>
  <c r="M596" i="20"/>
  <c r="L164" i="20"/>
  <c r="L430" i="20"/>
  <c r="JY90" i="2"/>
  <c r="M90" i="20"/>
  <c r="L398" i="20"/>
  <c r="M94" i="20"/>
  <c r="MG90" i="2"/>
  <c r="L710" i="20"/>
  <c r="L655" i="20"/>
  <c r="M871" i="20"/>
  <c r="HY90" i="2"/>
  <c r="M111" i="20"/>
  <c r="M186" i="20"/>
  <c r="M894" i="20"/>
  <c r="L1094" i="20"/>
  <c r="L246" i="20"/>
  <c r="M26" i="20"/>
  <c r="M613" i="20"/>
  <c r="L967" i="20"/>
  <c r="S114" i="20"/>
  <c r="M435" i="20"/>
  <c r="ON90" i="2"/>
  <c r="EB79" i="2"/>
  <c r="IN79" i="2"/>
  <c r="IU79" i="2"/>
  <c r="L293" i="20"/>
  <c r="M450" i="20"/>
  <c r="M1098" i="20"/>
  <c r="M848" i="20"/>
  <c r="AM8" i="13"/>
  <c r="IX79" i="2"/>
  <c r="M52" i="20"/>
  <c r="M1095" i="20"/>
  <c r="L994" i="20"/>
  <c r="EJ90" i="2"/>
  <c r="L53" i="20"/>
  <c r="L631" i="20"/>
  <c r="L410" i="20"/>
  <c r="L529" i="20"/>
  <c r="DM90" i="2"/>
  <c r="S109" i="20"/>
  <c r="M725" i="20"/>
  <c r="L636" i="20"/>
  <c r="L260" i="20"/>
  <c r="L281" i="20"/>
  <c r="PK90" i="2"/>
  <c r="L397" i="20"/>
  <c r="JO79" i="2"/>
  <c r="M30" i="20"/>
  <c r="KQ79" i="2"/>
  <c r="M454" i="20"/>
  <c r="M535" i="20"/>
  <c r="DT90" i="2"/>
  <c r="QA79" i="2"/>
  <c r="MT90" i="2"/>
  <c r="M630" i="20"/>
  <c r="L317" i="20"/>
  <c r="L711" i="20"/>
  <c r="L346" i="20"/>
  <c r="M862" i="20"/>
  <c r="L274" i="20"/>
  <c r="M303" i="20"/>
  <c r="FM79" i="2"/>
  <c r="M134" i="20"/>
  <c r="L1099" i="20"/>
  <c r="L312" i="20"/>
  <c r="M644" i="20"/>
  <c r="LX90" i="2"/>
  <c r="EM90" i="2"/>
  <c r="M598" i="20"/>
  <c r="M1075" i="20"/>
  <c r="M995" i="20"/>
  <c r="L55" i="20"/>
  <c r="M726" i="20"/>
  <c r="L518" i="20"/>
  <c r="L422" i="20"/>
  <c r="LF79" i="2"/>
  <c r="L720" i="20"/>
  <c r="S118" i="20"/>
  <c r="PT90" i="2"/>
  <c r="L601" i="20"/>
  <c r="L780" i="20"/>
  <c r="L702" i="20"/>
  <c r="JW79" i="2"/>
  <c r="M1028" i="20"/>
  <c r="LI79" i="2"/>
  <c r="L974" i="20"/>
  <c r="EZ79" i="2"/>
  <c r="M449" i="20"/>
  <c r="L834" i="20"/>
  <c r="L374" i="20"/>
  <c r="L669" i="20"/>
  <c r="L540" i="20"/>
  <c r="M728" i="20"/>
  <c r="MY79" i="2"/>
  <c r="M867" i="20"/>
  <c r="L596" i="20"/>
  <c r="L961" i="20"/>
  <c r="M645" i="20"/>
  <c r="M624" i="20"/>
  <c r="M837" i="20"/>
  <c r="DW79" i="2"/>
  <c r="M754" i="20"/>
  <c r="M398" i="20"/>
  <c r="M811" i="20"/>
  <c r="HU90" i="2"/>
  <c r="L235" i="20"/>
  <c r="S52" i="20"/>
  <c r="M320" i="20"/>
  <c r="L712" i="20"/>
  <c r="L372" i="20"/>
  <c r="M381" i="20"/>
  <c r="M54" i="20"/>
  <c r="M729" i="20"/>
  <c r="L380" i="20"/>
  <c r="L103" i="20"/>
  <c r="L808" i="20"/>
  <c r="M733" i="20"/>
  <c r="EL90" i="2"/>
  <c r="JC79" i="2"/>
  <c r="LQ79" i="2"/>
  <c r="EK79" i="2"/>
  <c r="M456" i="20"/>
  <c r="M287" i="20"/>
  <c r="M231" i="20"/>
  <c r="KT90" i="2"/>
  <c r="M164" i="20"/>
  <c r="GH79" i="2"/>
  <c r="M283" i="20"/>
  <c r="GX79" i="2"/>
  <c r="L379" i="20"/>
  <c r="M525" i="20"/>
  <c r="DO79" i="2"/>
  <c r="S64" i="20"/>
  <c r="L755" i="20"/>
  <c r="M223" i="20"/>
  <c r="HK90" i="2"/>
  <c r="L59" i="20"/>
  <c r="M757" i="20"/>
  <c r="M172" i="20"/>
  <c r="L649" i="20"/>
  <c r="M846" i="20"/>
  <c r="HX90" i="2"/>
  <c r="PQ90" i="2"/>
  <c r="M617" i="20"/>
  <c r="M1079" i="20"/>
  <c r="M149" i="20"/>
  <c r="L1011" i="20"/>
  <c r="L222" i="20"/>
  <c r="L495" i="20"/>
  <c r="M55" i="20"/>
  <c r="L1012" i="20"/>
  <c r="L928" i="20"/>
  <c r="L261" i="20"/>
  <c r="M876" i="20"/>
  <c r="S65" i="20"/>
  <c r="M563" i="20"/>
  <c r="AH39" i="19"/>
  <c r="IE79" i="2"/>
  <c r="L349" i="20"/>
  <c r="L425" i="20"/>
  <c r="KX79" i="2"/>
  <c r="M845" i="20"/>
  <c r="M322" i="20"/>
  <c r="M278" i="20"/>
  <c r="L751" i="20"/>
  <c r="S63" i="20"/>
  <c r="DZ79" i="2"/>
  <c r="M626" i="20"/>
  <c r="M1049" i="20"/>
  <c r="L1019" i="20"/>
  <c r="M606" i="20"/>
  <c r="M800" i="20"/>
  <c r="DJ90" i="2"/>
  <c r="EB90" i="2"/>
  <c r="OM79" i="2"/>
  <c r="L191" i="20"/>
  <c r="AF23" i="13"/>
  <c r="M473" i="20"/>
  <c r="IK90" i="2"/>
  <c r="L607" i="20"/>
  <c r="L108" i="20"/>
  <c r="OJ79" i="2"/>
  <c r="L648" i="20"/>
  <c r="M479" i="20"/>
  <c r="M402" i="20"/>
  <c r="NH79" i="2"/>
  <c r="M417" i="20"/>
  <c r="L443" i="20"/>
  <c r="JR79" i="2"/>
  <c r="M478" i="20"/>
  <c r="L595" i="20"/>
  <c r="M863" i="20"/>
  <c r="M610" i="20"/>
  <c r="M759" i="20"/>
  <c r="M812" i="20"/>
  <c r="M168" i="20"/>
  <c r="QV90" i="2"/>
  <c r="EF90" i="2"/>
  <c r="L968" i="20"/>
  <c r="AM27" i="13"/>
  <c r="L879" i="20"/>
  <c r="FV79" i="2"/>
  <c r="JG79" i="2"/>
  <c r="L736" i="20"/>
  <c r="L806" i="20"/>
  <c r="AM19" i="13"/>
  <c r="LJ79" i="2"/>
  <c r="M154" i="20"/>
  <c r="M1077" i="20"/>
  <c r="L949" i="20"/>
  <c r="L248" i="20"/>
  <c r="M541" i="20"/>
  <c r="L672" i="20"/>
  <c r="L870" i="20"/>
  <c r="M1045" i="20"/>
  <c r="FT79" i="2"/>
  <c r="S35" i="20"/>
  <c r="L199" i="20"/>
  <c r="M112" i="20"/>
  <c r="M462" i="20"/>
  <c r="L1100" i="20"/>
  <c r="NW90" i="2"/>
  <c r="L791" i="20"/>
  <c r="M655" i="20"/>
  <c r="AM23" i="13"/>
  <c r="M177" i="20"/>
  <c r="ID90" i="2"/>
  <c r="M666" i="20"/>
  <c r="M331" i="20"/>
  <c r="L915" i="20"/>
  <c r="M382" i="20"/>
  <c r="L107" i="20"/>
  <c r="M369" i="20"/>
  <c r="L175" i="20"/>
  <c r="M980" i="20"/>
  <c r="L694" i="20"/>
  <c r="L282" i="20"/>
  <c r="OJ90" i="2"/>
  <c r="M465" i="20"/>
  <c r="M734" i="20"/>
  <c r="M334" i="20"/>
  <c r="L858" i="20"/>
  <c r="QZ79" i="2"/>
  <c r="GO79" i="2"/>
  <c r="L745" i="20"/>
  <c r="M99" i="20"/>
  <c r="L1074" i="20"/>
  <c r="L336" i="20"/>
  <c r="L150" i="20"/>
  <c r="HJ79" i="2"/>
  <c r="L592" i="20"/>
  <c r="M751" i="20"/>
  <c r="L718" i="20"/>
  <c r="M29" i="20"/>
  <c r="M593" i="20"/>
  <c r="L1003" i="20"/>
  <c r="M49" i="20"/>
  <c r="M399" i="20"/>
  <c r="M317" i="20"/>
  <c r="HY79" i="2"/>
  <c r="L704" i="20"/>
  <c r="M385" i="20"/>
  <c r="EP90" i="2"/>
  <c r="DO90" i="2"/>
  <c r="GQ79" i="2"/>
  <c r="NT79" i="2"/>
  <c r="S44" i="20"/>
  <c r="L320" i="20"/>
  <c r="M769" i="20"/>
  <c r="M866" i="20"/>
  <c r="L233" i="20"/>
  <c r="L497" i="20"/>
  <c r="PB90" i="2"/>
  <c r="OF79" i="2"/>
  <c r="M794" i="20"/>
  <c r="M86" i="20"/>
  <c r="M184" i="20"/>
  <c r="GN79" i="2"/>
  <c r="L920" i="20"/>
  <c r="M347" i="20"/>
  <c r="L846" i="20"/>
  <c r="L716" i="20"/>
  <c r="M884" i="20"/>
  <c r="JX79" i="2"/>
  <c r="L502" i="20"/>
  <c r="M67" i="20"/>
  <c r="L617" i="20"/>
  <c r="HM79" i="2"/>
  <c r="M114" i="20"/>
  <c r="M148" i="20"/>
  <c r="M579" i="20"/>
  <c r="L96" i="20"/>
  <c r="FZ13" i="9"/>
  <c r="M143" i="20"/>
  <c r="M903" i="20"/>
  <c r="M577" i="20"/>
  <c r="FG79" i="2"/>
  <c r="M827" i="20"/>
  <c r="L973" i="20"/>
  <c r="KL90" i="2"/>
  <c r="M467" i="20"/>
  <c r="M1005" i="20"/>
  <c r="L253" i="20"/>
  <c r="L1078" i="20"/>
  <c r="AF14" i="13"/>
  <c r="S120" i="20"/>
  <c r="DR90" i="2"/>
  <c r="L445" i="20"/>
  <c r="HS90" i="2"/>
  <c r="LP79" i="2"/>
  <c r="L373" i="20"/>
  <c r="M697" i="20"/>
  <c r="M658" i="20"/>
  <c r="S79" i="20"/>
  <c r="NO79" i="2"/>
  <c r="AM12" i="13"/>
  <c r="L1034" i="20"/>
  <c r="M971" i="20"/>
  <c r="L836" i="20"/>
  <c r="GX90" i="2"/>
  <c r="L980" i="20"/>
  <c r="L817" i="20"/>
  <c r="L878" i="20"/>
  <c r="M847" i="20"/>
  <c r="M1026" i="20"/>
  <c r="M1002" i="20"/>
  <c r="L318" i="20"/>
  <c r="L335" i="20"/>
  <c r="M1058" i="20"/>
  <c r="L893" i="20"/>
  <c r="M444" i="20"/>
  <c r="M102" i="20"/>
  <c r="DD52" i="2"/>
  <c r="M158" i="20"/>
  <c r="L900" i="20"/>
  <c r="PZ90" i="2"/>
  <c r="M547" i="20"/>
  <c r="L627" i="20"/>
  <c r="AM10" i="13"/>
  <c r="FF90" i="2"/>
  <c r="M270" i="20"/>
  <c r="M621" i="20"/>
  <c r="EH79" i="2"/>
  <c r="L721" i="20"/>
  <c r="M898" i="20"/>
  <c r="AE12" i="19"/>
  <c r="M873" i="20"/>
  <c r="L698" i="20"/>
  <c r="L337" i="20"/>
  <c r="M843" i="20"/>
  <c r="EI90" i="2"/>
  <c r="L1081" i="20"/>
  <c r="L521" i="20"/>
  <c r="L334" i="20"/>
  <c r="M805" i="20"/>
  <c r="M1088" i="20"/>
  <c r="M588" i="20"/>
  <c r="PX79" i="2"/>
  <c r="M906" i="20"/>
  <c r="GZ79" i="2"/>
  <c r="M115" i="20"/>
  <c r="M434" i="20"/>
  <c r="M543" i="20"/>
  <c r="L796" i="20"/>
  <c r="M567" i="20"/>
  <c r="NG90" i="2"/>
  <c r="L458" i="20"/>
  <c r="M569" i="20"/>
  <c r="M533" i="20"/>
  <c r="JL90" i="2"/>
  <c r="KY90" i="2"/>
  <c r="M592" i="20"/>
  <c r="KR79" i="2"/>
  <c r="L340" i="20"/>
  <c r="PO79" i="2"/>
  <c r="L692" i="20"/>
  <c r="M1014" i="20"/>
  <c r="M495" i="20"/>
  <c r="NS79" i="2"/>
  <c r="M235" i="20"/>
  <c r="M75" i="20"/>
  <c r="M1051" i="20"/>
  <c r="QJ79" i="2"/>
  <c r="M868" i="20"/>
  <c r="M1104" i="20"/>
  <c r="JM79" i="2"/>
  <c r="M345" i="20"/>
  <c r="FX14" i="9"/>
  <c r="DI4" i="2"/>
  <c r="EU79" i="2"/>
  <c r="LE79" i="2"/>
  <c r="L977" i="20"/>
  <c r="M142" i="20"/>
  <c r="L576" i="20"/>
  <c r="L864" i="20"/>
  <c r="S76" i="20"/>
  <c r="M328" i="20"/>
  <c r="IZ90" i="2"/>
  <c r="AM20" i="13"/>
  <c r="AF12" i="13"/>
  <c r="L823" i="20"/>
  <c r="O27" i="13"/>
  <c r="EJ79" i="2"/>
  <c r="EO79" i="2"/>
  <c r="DY90" i="2"/>
  <c r="GF90" i="2"/>
  <c r="OU90" i="2"/>
  <c r="PD90" i="2"/>
  <c r="M791" i="20"/>
  <c r="L933" i="20"/>
  <c r="M245" i="20"/>
  <c r="M286" i="20"/>
  <c r="M60" i="20"/>
  <c r="ME79" i="2"/>
  <c r="M924" i="20"/>
  <c r="M976" i="20"/>
  <c r="M1004" i="20"/>
  <c r="M506" i="20"/>
  <c r="M603" i="20"/>
  <c r="L57" i="20"/>
  <c r="ND90" i="2"/>
  <c r="L1025" i="20"/>
  <c r="M120" i="20"/>
  <c r="MQ90" i="2"/>
  <c r="M410" i="20"/>
  <c r="PW90" i="2"/>
  <c r="M324" i="20"/>
  <c r="EL79" i="2"/>
  <c r="M140" i="20"/>
  <c r="LV90" i="2"/>
  <c r="S112" i="20"/>
  <c r="L937" i="20"/>
  <c r="LJ90" i="2"/>
  <c r="L699" i="20"/>
  <c r="M356" i="20"/>
  <c r="M819" i="20"/>
  <c r="PJ90" i="2"/>
  <c r="M830" i="20"/>
  <c r="L805" i="20"/>
  <c r="M798" i="20"/>
  <c r="L904" i="20"/>
  <c r="M354" i="20"/>
  <c r="L144" i="20"/>
  <c r="M269" i="20"/>
  <c r="L742" i="20"/>
  <c r="IK79" i="2"/>
  <c r="HW90" i="2"/>
  <c r="DI6" i="2"/>
  <c r="L690" i="20"/>
  <c r="L1048" i="20"/>
  <c r="M1041" i="20"/>
  <c r="PV90" i="2"/>
  <c r="EW90" i="2"/>
  <c r="L1052" i="20"/>
  <c r="L660" i="20"/>
  <c r="M662" i="20"/>
  <c r="L470" i="20"/>
  <c r="M420" i="20"/>
  <c r="L880" i="20"/>
  <c r="S39" i="20"/>
  <c r="L151" i="20"/>
  <c r="AH12" i="19"/>
  <c r="M145" i="20"/>
  <c r="L333" i="20"/>
  <c r="AF19" i="13"/>
  <c r="M604" i="20"/>
  <c r="M482" i="20"/>
  <c r="L981" i="20"/>
  <c r="L519" i="20"/>
  <c r="S51" i="20"/>
  <c r="L197" i="20"/>
  <c r="L848" i="20"/>
  <c r="L845" i="20"/>
  <c r="AM24" i="13"/>
  <c r="L187" i="20"/>
  <c r="MT79" i="2"/>
  <c r="L605" i="20"/>
  <c r="L891" i="20"/>
  <c r="L887" i="20"/>
  <c r="DD48" i="2"/>
  <c r="M574" i="20"/>
  <c r="L549" i="20"/>
  <c r="JL79" i="2"/>
  <c r="L232" i="20"/>
  <c r="L1056" i="20"/>
  <c r="LM90" i="2"/>
  <c r="L321" i="20"/>
  <c r="M531" i="20"/>
  <c r="L959" i="20"/>
  <c r="L534" i="20"/>
  <c r="L804" i="20"/>
  <c r="L987" i="20"/>
  <c r="GW90" i="2"/>
  <c r="M678" i="20"/>
  <c r="L667" i="20"/>
  <c r="L936" i="20"/>
  <c r="L141" i="20"/>
  <c r="LM79" i="2"/>
  <c r="M628" i="20"/>
  <c r="KE79" i="2"/>
  <c r="M706" i="20"/>
  <c r="GQ90" i="2"/>
  <c r="M750" i="20"/>
  <c r="JW90" i="2"/>
  <c r="L453" i="20"/>
  <c r="M639" i="20"/>
  <c r="M243" i="20"/>
  <c r="M161" i="20"/>
  <c r="M325" i="20"/>
  <c r="L542" i="20"/>
  <c r="M74" i="20"/>
  <c r="M103" i="20"/>
  <c r="QR90" i="2"/>
  <c r="L314" i="20"/>
  <c r="AF22" i="13"/>
  <c r="AM14" i="13"/>
  <c r="AM26" i="13"/>
  <c r="AM29" i="13"/>
  <c r="AM11" i="13"/>
  <c r="AM21" i="13"/>
  <c r="AM9" i="13"/>
  <c r="DE54" i="2"/>
  <c r="DD50" i="2"/>
  <c r="AM17" i="13"/>
  <c r="AM32" i="13"/>
  <c r="AM33" i="13"/>
  <c r="AM28" i="13"/>
  <c r="AM22" i="13"/>
  <c r="AM34" i="13"/>
  <c r="AN22" i="13" l="1"/>
  <c r="AO22" i="13" s="1"/>
  <c r="AP22" i="13"/>
  <c r="AQ22" i="13" s="1"/>
  <c r="AN17" i="13"/>
  <c r="AO17" i="13" s="1"/>
  <c r="AP17" i="13" s="1"/>
  <c r="AQ17" i="13" s="1"/>
  <c r="AN21" i="13"/>
  <c r="AO21" i="13" s="1"/>
  <c r="AN11" i="13"/>
  <c r="AO11" i="13" s="1"/>
  <c r="AP11" i="13" s="1"/>
  <c r="AQ11" i="13" s="1"/>
  <c r="AN26" i="13"/>
  <c r="AO26" i="13" s="1"/>
  <c r="AP26" i="13" s="1"/>
  <c r="AQ26" i="13" s="1"/>
  <c r="AN14" i="13"/>
  <c r="AO14" i="13" s="1"/>
  <c r="AP14" i="13" s="1"/>
  <c r="AQ14" i="13" s="1"/>
  <c r="N103" i="20"/>
  <c r="R103" i="20" s="1"/>
  <c r="Q103" i="20" s="1"/>
  <c r="P103" i="20" s="1"/>
  <c r="N74" i="20"/>
  <c r="R74" i="20" s="1"/>
  <c r="Q74" i="20" s="1"/>
  <c r="P74" i="20" s="1"/>
  <c r="N325" i="20"/>
  <c r="N161" i="20"/>
  <c r="R161" i="20" s="1"/>
  <c r="Q161" i="20" s="1"/>
  <c r="P161" i="20" s="1"/>
  <c r="N243" i="20"/>
  <c r="R243" i="20" s="1"/>
  <c r="Q243" i="20" s="1"/>
  <c r="P243" i="20" s="1"/>
  <c r="N639" i="20"/>
  <c r="N750" i="20"/>
  <c r="N706" i="20"/>
  <c r="N628" i="20"/>
  <c r="N678" i="20"/>
  <c r="N987" i="20"/>
  <c r="N531" i="20"/>
  <c r="N574" i="20"/>
  <c r="AN24" i="13"/>
  <c r="AO24" i="13" s="1"/>
  <c r="AP24" i="13" s="1"/>
  <c r="AQ24" i="13" s="1"/>
  <c r="AM15" i="13"/>
  <c r="N981" i="20"/>
  <c r="N482" i="20"/>
  <c r="N604" i="20"/>
  <c r="N145" i="20"/>
  <c r="R145" i="20" s="1"/>
  <c r="Q145" i="20" s="1"/>
  <c r="P145" i="20" s="1"/>
  <c r="AI12" i="19"/>
  <c r="AJ12" i="19" s="1"/>
  <c r="AK12" i="19" s="1"/>
  <c r="AL12" i="19" s="1"/>
  <c r="N420" i="20"/>
  <c r="N662" i="20"/>
  <c r="N1041" i="20"/>
  <c r="N269" i="20"/>
  <c r="N354" i="20"/>
  <c r="N798" i="20"/>
  <c r="N830" i="20"/>
  <c r="N819" i="20"/>
  <c r="N356" i="20"/>
  <c r="N140" i="20"/>
  <c r="R140" i="20" s="1"/>
  <c r="Q140" i="20" s="1"/>
  <c r="P140" i="20" s="1"/>
  <c r="N324" i="20"/>
  <c r="N410" i="20"/>
  <c r="N120" i="20"/>
  <c r="R120" i="20" s="1"/>
  <c r="Q120" i="20" s="1"/>
  <c r="P120" i="20" s="1"/>
  <c r="N603" i="20"/>
  <c r="N506" i="20"/>
  <c r="N1004" i="20"/>
  <c r="N976" i="20"/>
  <c r="N924" i="20"/>
  <c r="N60" i="20"/>
  <c r="R60" i="20" s="1"/>
  <c r="Q60" i="20" s="1"/>
  <c r="P60" i="20" s="1"/>
  <c r="N286" i="20"/>
  <c r="N245" i="20"/>
  <c r="R245" i="20" s="1"/>
  <c r="Q245" i="20" s="1"/>
  <c r="P245" i="20" s="1"/>
  <c r="N791" i="20"/>
  <c r="AG12" i="13"/>
  <c r="AH12" i="13" s="1"/>
  <c r="AI12" i="13" s="1"/>
  <c r="AJ12" i="13" s="1"/>
  <c r="AN20" i="13"/>
  <c r="AO20" i="13" s="1"/>
  <c r="AP20" i="13" s="1"/>
  <c r="AQ20" i="13" s="1"/>
  <c r="N328" i="20"/>
  <c r="N142" i="20"/>
  <c r="R142" i="20" s="1"/>
  <c r="Q142" i="20" s="1"/>
  <c r="P142" i="20" s="1"/>
  <c r="N345" i="20"/>
  <c r="N1104" i="20"/>
  <c r="N868" i="20"/>
  <c r="N1051" i="20"/>
  <c r="N75" i="20"/>
  <c r="R75" i="20" s="1"/>
  <c r="Q75" i="20" s="1"/>
  <c r="P75" i="20" s="1"/>
  <c r="N235" i="20"/>
  <c r="R235" i="20" s="1"/>
  <c r="Q235" i="20" s="1"/>
  <c r="P235" i="20" s="1"/>
  <c r="N495" i="20"/>
  <c r="N1014" i="20"/>
  <c r="N592" i="20"/>
  <c r="N533" i="20"/>
  <c r="N569" i="20"/>
  <c r="N567" i="20"/>
  <c r="N543" i="20"/>
  <c r="N434" i="20"/>
  <c r="N115" i="20"/>
  <c r="R115" i="20" s="1"/>
  <c r="Q115" i="20" s="1"/>
  <c r="P115" i="20" s="1"/>
  <c r="N906" i="20"/>
  <c r="N588" i="20"/>
  <c r="N1088" i="20"/>
  <c r="N805" i="20"/>
  <c r="N843" i="20"/>
  <c r="N873" i="20"/>
  <c r="N898" i="20"/>
  <c r="N621" i="20"/>
  <c r="N270" i="20"/>
  <c r="AN10" i="13"/>
  <c r="AO10" i="13" s="1"/>
  <c r="N547" i="20"/>
  <c r="N158" i="20"/>
  <c r="R158" i="20" s="1"/>
  <c r="Q158" i="20" s="1"/>
  <c r="P158" i="20" s="1"/>
  <c r="DD54" i="2"/>
  <c r="N102" i="20"/>
  <c r="R102" i="20" s="1"/>
  <c r="Q102" i="20" s="1"/>
  <c r="P102" i="20" s="1"/>
  <c r="N444" i="20"/>
  <c r="N1058" i="20"/>
  <c r="N1002" i="20"/>
  <c r="N1026" i="20"/>
  <c r="N847" i="20"/>
  <c r="N971" i="20"/>
  <c r="AN12" i="13"/>
  <c r="AO12" i="13" s="1"/>
  <c r="AP12" i="13" s="1"/>
  <c r="AQ12" i="13" s="1"/>
  <c r="N658" i="20"/>
  <c r="N697" i="20"/>
  <c r="N1005" i="20"/>
  <c r="N467" i="20"/>
  <c r="N827" i="20"/>
  <c r="N577" i="20"/>
  <c r="N903" i="20"/>
  <c r="N143" i="20"/>
  <c r="R143" i="20" s="1"/>
  <c r="Q143" i="20" s="1"/>
  <c r="P143" i="20" s="1"/>
  <c r="GA13" i="9"/>
  <c r="GB13" i="9" s="1"/>
  <c r="GC13" i="9" s="1"/>
  <c r="N579" i="20"/>
  <c r="N148" i="20"/>
  <c r="R148" i="20" s="1"/>
  <c r="Q148" i="20" s="1"/>
  <c r="P148" i="20" s="1"/>
  <c r="N114" i="20"/>
  <c r="R114" i="20" s="1"/>
  <c r="Q114" i="20" s="1"/>
  <c r="P114" i="20" s="1"/>
  <c r="N67" i="20"/>
  <c r="R67" i="20" s="1"/>
  <c r="Q67" i="20" s="1"/>
  <c r="P67" i="20" s="1"/>
  <c r="N884" i="20"/>
  <c r="N347" i="20"/>
  <c r="N184" i="20"/>
  <c r="R184" i="20" s="1"/>
  <c r="Q184" i="20" s="1"/>
  <c r="P184" i="20" s="1"/>
  <c r="N86" i="20"/>
  <c r="R86" i="20" s="1"/>
  <c r="Q86" i="20" s="1"/>
  <c r="P86" i="20" s="1"/>
  <c r="N794" i="20"/>
  <c r="N866" i="20"/>
  <c r="N769" i="20"/>
  <c r="N385" i="20"/>
  <c r="N317" i="20"/>
  <c r="N399" i="20"/>
  <c r="N49" i="20"/>
  <c r="R49" i="20" s="1"/>
  <c r="Q49" i="20" s="1"/>
  <c r="P49" i="20" s="1"/>
  <c r="N593" i="20"/>
  <c r="N29" i="20"/>
  <c r="R29" i="20" s="1"/>
  <c r="Q29" i="20" s="1"/>
  <c r="P29" i="20" s="1"/>
  <c r="N751" i="20"/>
  <c r="N99" i="20"/>
  <c r="R99" i="20" s="1"/>
  <c r="Q99" i="20" s="1"/>
  <c r="P99" i="20" s="1"/>
  <c r="N858" i="20"/>
  <c r="N334" i="20"/>
  <c r="N734" i="20"/>
  <c r="N465" i="20"/>
  <c r="N980" i="20"/>
  <c r="N369" i="20"/>
  <c r="N382" i="20"/>
  <c r="N331" i="20"/>
  <c r="N666" i="20"/>
  <c r="N177" i="20"/>
  <c r="R177" i="20" s="1"/>
  <c r="Q177" i="20" s="1"/>
  <c r="P177" i="20" s="1"/>
  <c r="AN23" i="13"/>
  <c r="AO23" i="13" s="1"/>
  <c r="N655" i="20"/>
  <c r="N1100" i="20"/>
  <c r="N462" i="20"/>
  <c r="N112" i="20"/>
  <c r="R112" i="20" s="1"/>
  <c r="Q112" i="20" s="1"/>
  <c r="P112" i="20" s="1"/>
  <c r="N1045" i="20"/>
  <c r="N541" i="20"/>
  <c r="N1077" i="20"/>
  <c r="N154" i="20"/>
  <c r="R154" i="20" s="1"/>
  <c r="Q154" i="20" s="1"/>
  <c r="P154" i="20" s="1"/>
  <c r="AN19" i="13"/>
  <c r="AO19" i="13" s="1"/>
  <c r="AP19" i="13" s="1"/>
  <c r="AQ19" i="13" s="1"/>
  <c r="AN27" i="13"/>
  <c r="AO27" i="13" s="1"/>
  <c r="AP27" i="13" s="1"/>
  <c r="AQ27" i="13" s="1"/>
  <c r="N168" i="20"/>
  <c r="R168" i="20" s="1"/>
  <c r="Q168" i="20" s="1"/>
  <c r="P168" i="20" s="1"/>
  <c r="N812" i="20"/>
  <c r="N759" i="20"/>
  <c r="N610" i="20"/>
  <c r="N863" i="20"/>
  <c r="N478" i="20"/>
  <c r="N417" i="20"/>
  <c r="N402" i="20"/>
  <c r="N479" i="20"/>
  <c r="N473" i="20"/>
  <c r="N800" i="20"/>
  <c r="N606" i="20"/>
  <c r="N1049" i="20"/>
  <c r="N626" i="20"/>
  <c r="N278" i="20"/>
  <c r="N322" i="20"/>
  <c r="N845" i="20"/>
  <c r="N563" i="20"/>
  <c r="N876" i="20"/>
  <c r="N55" i="20"/>
  <c r="R55" i="20" s="1"/>
  <c r="Q55" i="20" s="1"/>
  <c r="P55" i="20" s="1"/>
  <c r="N149" i="20"/>
  <c r="R149" i="20" s="1"/>
  <c r="Q149" i="20" s="1"/>
  <c r="P149" i="20" s="1"/>
  <c r="N1079" i="20"/>
  <c r="N617" i="20"/>
  <c r="N846" i="20"/>
  <c r="N172" i="20"/>
  <c r="R172" i="20" s="1"/>
  <c r="Q172" i="20" s="1"/>
  <c r="P172" i="20" s="1"/>
  <c r="N757" i="20"/>
  <c r="N223" i="20"/>
  <c r="R223" i="20" s="1"/>
  <c r="Q223" i="20" s="1"/>
  <c r="P223" i="20" s="1"/>
  <c r="N525" i="20"/>
  <c r="N283" i="20"/>
  <c r="N164" i="20"/>
  <c r="R164" i="20" s="1"/>
  <c r="Q164" i="20" s="1"/>
  <c r="P164" i="20" s="1"/>
  <c r="N231" i="20"/>
  <c r="R231" i="20" s="1"/>
  <c r="Q231" i="20" s="1"/>
  <c r="P231" i="20" s="1"/>
  <c r="N287" i="20"/>
  <c r="N456" i="20"/>
  <c r="N733" i="20"/>
  <c r="N729" i="20"/>
  <c r="N54" i="20"/>
  <c r="R54" i="20" s="1"/>
  <c r="Q54" i="20" s="1"/>
  <c r="P54" i="20" s="1"/>
  <c r="N381" i="20"/>
  <c r="N320" i="20"/>
  <c r="N811" i="20"/>
  <c r="N398" i="20"/>
  <c r="N754" i="20"/>
  <c r="N837" i="20"/>
  <c r="N624" i="20"/>
  <c r="N645" i="20"/>
  <c r="N867" i="20"/>
  <c r="N728" i="20"/>
  <c r="N449" i="20"/>
  <c r="N1028" i="20"/>
  <c r="N726" i="20"/>
  <c r="N995" i="20"/>
  <c r="N1075" i="20"/>
  <c r="N598" i="20"/>
  <c r="N644" i="20"/>
  <c r="N1099" i="20"/>
  <c r="N134" i="20"/>
  <c r="R134" i="20" s="1"/>
  <c r="Q134" i="20" s="1"/>
  <c r="P134" i="20" s="1"/>
  <c r="N303" i="20"/>
  <c r="N862" i="20"/>
  <c r="N630" i="20"/>
  <c r="N535" i="20"/>
  <c r="N454" i="20"/>
  <c r="N30" i="20"/>
  <c r="R30" i="20" s="1"/>
  <c r="Q30" i="20" s="1"/>
  <c r="P30" i="20" s="1"/>
  <c r="N725" i="20"/>
  <c r="N1095" i="20"/>
  <c r="N52" i="20"/>
  <c r="R52" i="20" s="1"/>
  <c r="Q52" i="20" s="1"/>
  <c r="P52" i="20" s="1"/>
  <c r="AN8" i="13"/>
  <c r="AO8" i="13" s="1"/>
  <c r="AP8" i="13" s="1"/>
  <c r="AQ8" i="13" s="1"/>
  <c r="N848" i="20"/>
  <c r="N1098" i="20"/>
  <c r="N450" i="20"/>
  <c r="N435" i="20"/>
  <c r="N613" i="20"/>
  <c r="N26" i="20"/>
  <c r="R26" i="20" s="1"/>
  <c r="Q26" i="20" s="1"/>
  <c r="P26" i="20" s="1"/>
  <c r="N894" i="20"/>
  <c r="N186" i="20"/>
  <c r="R186" i="20" s="1"/>
  <c r="Q186" i="20" s="1"/>
  <c r="P186" i="20" s="1"/>
  <c r="N111" i="20"/>
  <c r="R111" i="20" s="1"/>
  <c r="Q111" i="20" s="1"/>
  <c r="P111" i="20" s="1"/>
  <c r="N871" i="20"/>
  <c r="N94" i="20"/>
  <c r="R94" i="20" s="1"/>
  <c r="Q94" i="20" s="1"/>
  <c r="P94" i="20" s="1"/>
  <c r="N90" i="20"/>
  <c r="R90" i="20" s="1"/>
  <c r="Q90" i="20" s="1"/>
  <c r="P90" i="20" s="1"/>
  <c r="N596" i="20"/>
  <c r="AI14" i="19"/>
  <c r="AJ14" i="19" s="1"/>
  <c r="AK14" i="19" s="1"/>
  <c r="AL14" i="19" s="1"/>
  <c r="N1057" i="20"/>
  <c r="N87" i="20"/>
  <c r="R87" i="20" s="1"/>
  <c r="Q87" i="20" s="1"/>
  <c r="P87" i="20" s="1"/>
  <c r="N53" i="20"/>
  <c r="R53" i="20" s="1"/>
  <c r="Q53" i="20" s="1"/>
  <c r="P53" i="20" s="1"/>
  <c r="N43" i="20"/>
  <c r="R43" i="20" s="1"/>
  <c r="Q43" i="20" s="1"/>
  <c r="P43" i="20" s="1"/>
  <c r="N852" i="20"/>
  <c r="N892" i="20"/>
  <c r="N954" i="20"/>
  <c r="N651" i="20"/>
  <c r="N622" i="20"/>
  <c r="N918" i="20"/>
  <c r="N907" i="20"/>
  <c r="N738" i="20"/>
  <c r="N680" i="20"/>
  <c r="N958" i="20"/>
  <c r="N104" i="20"/>
  <c r="R104" i="20" s="1"/>
  <c r="Q104" i="20" s="1"/>
  <c r="P104" i="20" s="1"/>
  <c r="N1023" i="20"/>
  <c r="N687" i="20"/>
  <c r="N986" i="20"/>
  <c r="N746" i="20"/>
  <c r="N346" i="20"/>
  <c r="N743" i="20"/>
  <c r="N949" i="20"/>
  <c r="N558" i="20"/>
  <c r="N961" i="20"/>
  <c r="N623" i="20"/>
  <c r="N73" i="20"/>
  <c r="R73" i="20" s="1"/>
  <c r="Q73" i="20" s="1"/>
  <c r="P73" i="20" s="1"/>
  <c r="N342" i="20"/>
  <c r="N227" i="20"/>
  <c r="R227" i="20" s="1"/>
  <c r="Q227" i="20" s="1"/>
  <c r="P227" i="20" s="1"/>
  <c r="N156" i="20"/>
  <c r="R156" i="20" s="1"/>
  <c r="Q156" i="20" s="1"/>
  <c r="P156" i="20" s="1"/>
  <c r="N1032" i="20"/>
  <c r="N1043" i="20"/>
  <c r="N789" i="20"/>
  <c r="N675" i="20"/>
  <c r="N181" i="20"/>
  <c r="R181" i="20" s="1"/>
  <c r="Q181" i="20" s="1"/>
  <c r="P181" i="20" s="1"/>
  <c r="N635" i="20"/>
  <c r="N943" i="20"/>
  <c r="N305" i="20"/>
  <c r="N652" i="20"/>
  <c r="N991" i="20"/>
  <c r="N431" i="20"/>
  <c r="N380" i="20"/>
  <c r="N641" i="20"/>
  <c r="N192" i="20"/>
  <c r="R192" i="20" s="1"/>
  <c r="Q192" i="20" s="1"/>
  <c r="P192" i="20" s="1"/>
  <c r="N1110" i="20"/>
  <c r="O28" i="13"/>
  <c r="N540" i="20"/>
  <c r="N423" i="20"/>
  <c r="N1011" i="20"/>
  <c r="N101" i="20"/>
  <c r="R101" i="20" s="1"/>
  <c r="Q101" i="20" s="1"/>
  <c r="P101" i="20" s="1"/>
  <c r="N1103" i="20"/>
  <c r="N442" i="20"/>
  <c r="N375" i="20"/>
  <c r="N566" i="20"/>
  <c r="N788" i="20"/>
  <c r="N978" i="20"/>
  <c r="N200" i="20"/>
  <c r="R200" i="20" s="1"/>
  <c r="Q200" i="20" s="1"/>
  <c r="P200" i="20" s="1"/>
  <c r="N953" i="20"/>
  <c r="N1076" i="20"/>
  <c r="N63" i="20"/>
  <c r="R63" i="20" s="1"/>
  <c r="Q63" i="20" s="1"/>
  <c r="P63" i="20" s="1"/>
  <c r="N230" i="20"/>
  <c r="R230" i="20" s="1"/>
  <c r="Q230" i="20" s="1"/>
  <c r="P230" i="20" s="1"/>
  <c r="N1036" i="20"/>
  <c r="N857" i="20"/>
  <c r="N374" i="20"/>
  <c r="N585" i="20"/>
  <c r="N265" i="20"/>
  <c r="N552" i="20"/>
  <c r="N443" i="20"/>
  <c r="N237" i="20"/>
  <c r="R237" i="20" s="1"/>
  <c r="Q237" i="20" s="1"/>
  <c r="P237" i="20" s="1"/>
  <c r="N471" i="20"/>
  <c r="N510" i="20"/>
  <c r="N601" i="20"/>
  <c r="N780" i="20"/>
  <c r="N190" i="20"/>
  <c r="R190" i="20" s="1"/>
  <c r="Q190" i="20" s="1"/>
  <c r="P190" i="20" s="1"/>
  <c r="N663" i="20"/>
  <c r="N128" i="20"/>
  <c r="R128" i="20" s="1"/>
  <c r="Q128" i="20" s="1"/>
  <c r="P128" i="20" s="1"/>
  <c r="N553" i="20"/>
  <c r="N691" i="20"/>
  <c r="N220" i="20"/>
  <c r="R220" i="20" s="1"/>
  <c r="Q220" i="20" s="1"/>
  <c r="P220" i="20" s="1"/>
  <c r="N801" i="20"/>
  <c r="N1042" i="20"/>
  <c r="N477" i="20"/>
  <c r="N1038" i="20"/>
  <c r="N412" i="20"/>
  <c r="FR19" i="9"/>
  <c r="FR20" i="9" s="1"/>
  <c r="FR21" i="9" s="1"/>
  <c r="N776" i="20"/>
  <c r="N421" i="20"/>
  <c r="N57" i="20"/>
  <c r="R57" i="20" s="1"/>
  <c r="Q57" i="20" s="1"/>
  <c r="P57" i="20" s="1"/>
  <c r="N170" i="20"/>
  <c r="R170" i="20" s="1"/>
  <c r="Q170" i="20" s="1"/>
  <c r="P170" i="20" s="1"/>
  <c r="N422" i="20"/>
  <c r="N765" i="20"/>
  <c r="N1029" i="20"/>
  <c r="N627" i="20"/>
  <c r="N89" i="20"/>
  <c r="R89" i="20" s="1"/>
  <c r="Q89" i="20" s="1"/>
  <c r="P89" i="20" s="1"/>
  <c r="N108" i="20"/>
  <c r="R108" i="20" s="1"/>
  <c r="Q108" i="20" s="1"/>
  <c r="P108" i="20" s="1"/>
  <c r="N714" i="20"/>
  <c r="N256" i="20"/>
  <c r="R256" i="20" s="1"/>
  <c r="Q256" i="20" s="1"/>
  <c r="P256" i="20" s="1"/>
  <c r="N838" i="20"/>
  <c r="N37" i="20"/>
  <c r="R37" i="20" s="1"/>
  <c r="Q37" i="20" s="1"/>
  <c r="P37" i="20" s="1"/>
  <c r="N61" i="20"/>
  <c r="R61" i="20" s="1"/>
  <c r="Q61" i="20" s="1"/>
  <c r="P61" i="20" s="1"/>
  <c r="N722" i="20"/>
  <c r="N69" i="20"/>
  <c r="R69" i="20" s="1"/>
  <c r="Q69" i="20" s="1"/>
  <c r="P69" i="20" s="1"/>
  <c r="N536" i="20"/>
  <c r="N640" i="20"/>
  <c r="N225" i="20"/>
  <c r="R225" i="20" s="1"/>
  <c r="Q225" i="20" s="1"/>
  <c r="P225" i="20" s="1"/>
  <c r="N165" i="20"/>
  <c r="R165" i="20" s="1"/>
  <c r="Q165" i="20" s="1"/>
  <c r="P165" i="20" s="1"/>
  <c r="N938" i="20"/>
  <c r="N939" i="20"/>
  <c r="N731" i="20"/>
  <c r="N79" i="20"/>
  <c r="R79" i="20" s="1"/>
  <c r="Q79" i="20" s="1"/>
  <c r="P79" i="20" s="1"/>
  <c r="N864" i="20"/>
  <c r="N357" i="20"/>
  <c r="N176" i="20"/>
  <c r="R176" i="20" s="1"/>
  <c r="Q176" i="20" s="1"/>
  <c r="P176" i="20" s="1"/>
  <c r="N761" i="20"/>
  <c r="N232" i="20"/>
  <c r="R232" i="20" s="1"/>
  <c r="Q232" i="20" s="1"/>
  <c r="P232" i="20" s="1"/>
  <c r="N797" i="20"/>
  <c r="N985" i="20"/>
  <c r="L984" i="20"/>
  <c r="N984" i="20" s="1"/>
  <c r="N88" i="20"/>
  <c r="R88" i="20" s="1"/>
  <c r="Q88" i="20" s="1"/>
  <c r="P88" i="20" s="1"/>
  <c r="N151" i="20"/>
  <c r="R151" i="20" s="1"/>
  <c r="Q151" i="20" s="1"/>
  <c r="P151" i="20" s="1"/>
  <c r="N815" i="20"/>
  <c r="N684" i="20"/>
  <c r="N1054" i="20"/>
  <c r="N425" i="20"/>
  <c r="N773" i="20"/>
  <c r="N708" i="20"/>
  <c r="N962" i="20"/>
  <c r="N965" i="20"/>
  <c r="N202" i="20"/>
  <c r="R202" i="20" s="1"/>
  <c r="Q202" i="20" s="1"/>
  <c r="P202" i="20" s="1"/>
  <c r="N810" i="20"/>
  <c r="N910" i="20"/>
  <c r="N71" i="20"/>
  <c r="R71" i="20" s="1"/>
  <c r="Q71" i="20" s="1"/>
  <c r="P71" i="20" s="1"/>
  <c r="N372" i="20"/>
  <c r="N409" i="20"/>
  <c r="N775" i="20"/>
  <c r="N914" i="20"/>
  <c r="N446" i="20"/>
  <c r="N373" i="20"/>
  <c r="N332" i="20"/>
  <c r="N464" i="20"/>
  <c r="N82" i="20"/>
  <c r="R82" i="20" s="1"/>
  <c r="Q82" i="20" s="1"/>
  <c r="P82" i="20" s="1"/>
  <c r="N740" i="20"/>
  <c r="N968" i="20"/>
  <c r="N545" i="20"/>
  <c r="N363" i="20"/>
  <c r="N253" i="20"/>
  <c r="R253" i="20" s="1"/>
  <c r="Q253" i="20" s="1"/>
  <c r="P253" i="20" s="1"/>
  <c r="N936" i="20"/>
  <c r="N359" i="20"/>
  <c r="N881" i="20"/>
  <c r="N959" i="20"/>
  <c r="N117" i="20"/>
  <c r="R117" i="20" s="1"/>
  <c r="Q117" i="20" s="1"/>
  <c r="P117" i="20" s="1"/>
  <c r="N575" i="20"/>
  <c r="N118" i="20"/>
  <c r="R118" i="20" s="1"/>
  <c r="Q118" i="20" s="1"/>
  <c r="P118" i="20" s="1"/>
  <c r="N272" i="20"/>
  <c r="N1093" i="20"/>
  <c r="N261" i="20"/>
  <c r="N584" i="20"/>
  <c r="N546" i="20"/>
  <c r="N64" i="20"/>
  <c r="R64" i="20" s="1"/>
  <c r="Q64" i="20" s="1"/>
  <c r="P64" i="20" s="1"/>
  <c r="N110" i="20"/>
  <c r="R110" i="20" s="1"/>
  <c r="Q110" i="20" s="1"/>
  <c r="P110" i="20" s="1"/>
  <c r="N312" i="20"/>
  <c r="N236" i="20"/>
  <c r="R236" i="20" s="1"/>
  <c r="Q236" i="20" s="1"/>
  <c r="P236" i="20" s="1"/>
  <c r="N368" i="20"/>
  <c r="N509" i="20"/>
  <c r="N210" i="20"/>
  <c r="R210" i="20" s="1"/>
  <c r="Q210" i="20" s="1"/>
  <c r="P210" i="20" s="1"/>
  <c r="N264" i="20"/>
  <c r="HP16" i="9"/>
  <c r="HQ16" i="9" s="1"/>
  <c r="HR16" i="9" s="1"/>
  <c r="HS16" i="9" s="1"/>
  <c r="HO19" i="9"/>
  <c r="HO22" i="9" s="1"/>
  <c r="HP22" i="9" s="1"/>
  <c r="HQ22" i="9" s="1"/>
  <c r="HR22" i="9" s="1"/>
  <c r="HS22" i="9" s="1"/>
  <c r="HX16" i="9"/>
  <c r="N970" i="20"/>
  <c r="N504" i="20"/>
  <c r="N940" i="20"/>
  <c r="N135" i="20"/>
  <c r="R135" i="20" s="1"/>
  <c r="Q135" i="20" s="1"/>
  <c r="P135" i="20" s="1"/>
  <c r="N159" i="20"/>
  <c r="R159" i="20" s="1"/>
  <c r="Q159" i="20" s="1"/>
  <c r="P159" i="20" s="1"/>
  <c r="FZ11" i="9"/>
  <c r="GA11" i="9" s="1"/>
  <c r="GB11" i="9" s="1"/>
  <c r="GC11" i="9" s="1"/>
  <c r="GD11" i="9" s="1"/>
  <c r="FZ12" i="9"/>
  <c r="GA12" i="9" s="1"/>
  <c r="GB12" i="9" s="1"/>
  <c r="GC12" i="9" s="1"/>
  <c r="GD12" i="9" s="1"/>
  <c r="N418" i="20"/>
  <c r="N348" i="20"/>
  <c r="N793" i="20"/>
  <c r="N493" i="20"/>
  <c r="N928" i="20"/>
  <c r="N216" i="20"/>
  <c r="R216" i="20" s="1"/>
  <c r="Q216" i="20" s="1"/>
  <c r="P216" i="20" s="1"/>
  <c r="N1072" i="20"/>
  <c r="N472" i="20"/>
  <c r="N989" i="20"/>
  <c r="N550" i="20"/>
  <c r="N993" i="20"/>
  <c r="N893" i="20"/>
  <c r="N9" i="20"/>
  <c r="R9" i="20" s="1"/>
  <c r="N302" i="20"/>
  <c r="N530" i="20"/>
  <c r="N211" i="20"/>
  <c r="R211" i="20" s="1"/>
  <c r="Q211" i="20" s="1"/>
  <c r="P211" i="20" s="1"/>
  <c r="N990" i="20"/>
  <c r="N511" i="20"/>
  <c r="N46" i="20"/>
  <c r="R46" i="20" s="1"/>
  <c r="Q46" i="20" s="1"/>
  <c r="P46" i="20" s="1"/>
  <c r="N497" i="20"/>
  <c r="N933" i="20"/>
  <c r="N934" i="20"/>
  <c r="N293" i="20"/>
  <c r="N591" i="20"/>
  <c r="N967" i="20"/>
  <c r="N688" i="20"/>
  <c r="N215" i="20"/>
  <c r="R215" i="20" s="1"/>
  <c r="Q215" i="20" s="1"/>
  <c r="P215" i="20" s="1"/>
  <c r="N774" i="20"/>
  <c r="N926" i="20"/>
  <c r="N105" i="20"/>
  <c r="R105" i="20" s="1"/>
  <c r="Q105" i="20" s="1"/>
  <c r="P105" i="20" s="1"/>
  <c r="N988" i="20"/>
  <c r="N695" i="20"/>
  <c r="N1013" i="20"/>
  <c r="N414" i="20"/>
  <c r="N453" i="20"/>
  <c r="N44" i="20"/>
  <c r="R44" i="20" s="1"/>
  <c r="Q44" i="20" s="1"/>
  <c r="P44" i="20" s="1"/>
  <c r="N207" i="20"/>
  <c r="R207" i="20" s="1"/>
  <c r="Q207" i="20" s="1"/>
  <c r="P207" i="20" s="1"/>
  <c r="N458" i="20"/>
  <c r="N927" i="20"/>
  <c r="N1113" i="20"/>
  <c r="N65" i="20"/>
  <c r="R65" i="20" s="1"/>
  <c r="Q65" i="20" s="1"/>
  <c r="P65" i="20" s="1"/>
  <c r="N787" i="20"/>
  <c r="N643" i="20"/>
  <c r="N711" i="20"/>
  <c r="N705" i="20"/>
  <c r="N1031" i="20"/>
  <c r="ID17" i="9"/>
  <c r="IE17" i="9" s="1"/>
  <c r="IF17" i="9" s="1"/>
  <c r="IG17" i="9" s="1"/>
  <c r="IC19" i="9"/>
  <c r="ID19" i="9" s="1"/>
  <c r="IE19" i="9" s="1"/>
  <c r="IF19" i="9" s="1"/>
  <c r="IG19" i="9" s="1"/>
  <c r="N669" i="20"/>
  <c r="N487" i="20"/>
  <c r="N80" i="20"/>
  <c r="R80" i="20" s="1"/>
  <c r="Q80" i="20" s="1"/>
  <c r="P80" i="20" s="1"/>
  <c r="N952" i="20"/>
  <c r="N481" i="20"/>
  <c r="N707" i="20"/>
  <c r="N1007" i="20"/>
  <c r="N963" i="20"/>
  <c r="N1111" i="20"/>
  <c r="N799" i="20"/>
  <c r="N629" i="20"/>
  <c r="N538" i="20"/>
  <c r="N146" i="20"/>
  <c r="R146" i="20" s="1"/>
  <c r="Q146" i="20" s="1"/>
  <c r="P146" i="20" s="1"/>
  <c r="N559" i="20"/>
  <c r="N316" i="20"/>
  <c r="N1062" i="20"/>
  <c r="N911" i="20"/>
  <c r="N129" i="20"/>
  <c r="R129" i="20" s="1"/>
  <c r="Q129" i="20" s="1"/>
  <c r="P129" i="20" s="1"/>
  <c r="N125" i="20"/>
  <c r="R125" i="20" s="1"/>
  <c r="Q125" i="20" s="1"/>
  <c r="P125" i="20" s="1"/>
  <c r="N24" i="20"/>
  <c r="R24" i="20" s="1"/>
  <c r="Q24" i="20" s="1"/>
  <c r="P24" i="20" s="1"/>
  <c r="N405" i="20"/>
  <c r="N960" i="20"/>
  <c r="N859" i="20"/>
  <c r="N704" i="20"/>
  <c r="N554" i="20"/>
  <c r="N107" i="20"/>
  <c r="R107" i="20" s="1"/>
  <c r="Q107" i="20" s="1"/>
  <c r="P107" i="20" s="1"/>
  <c r="N932" i="20"/>
  <c r="N45" i="20"/>
  <c r="R45" i="20" s="1"/>
  <c r="Q45" i="20" s="1"/>
  <c r="P45" i="20" s="1"/>
  <c r="N515" i="20"/>
  <c r="N329" i="20"/>
  <c r="N153" i="20"/>
  <c r="R153" i="20" s="1"/>
  <c r="Q153" i="20" s="1"/>
  <c r="P153" i="20" s="1"/>
  <c r="N188" i="20"/>
  <c r="R188" i="20" s="1"/>
  <c r="Q188" i="20" s="1"/>
  <c r="P188" i="20" s="1"/>
  <c r="N178" i="20"/>
  <c r="R178" i="20" s="1"/>
  <c r="Q178" i="20" s="1"/>
  <c r="P178" i="20" s="1"/>
  <c r="N611" i="20"/>
  <c r="N807" i="20"/>
  <c r="N668" i="20"/>
  <c r="N822" i="20"/>
  <c r="N717" i="20"/>
  <c r="N234" i="20"/>
  <c r="R234" i="20" s="1"/>
  <c r="Q234" i="20" s="1"/>
  <c r="P234" i="20" s="1"/>
  <c r="N817" i="20"/>
  <c r="N217" i="20"/>
  <c r="R217" i="20" s="1"/>
  <c r="Q217" i="20" s="1"/>
  <c r="P217" i="20" s="1"/>
  <c r="N463" i="20"/>
  <c r="N548" i="20"/>
  <c r="N636" i="20"/>
  <c r="N872" i="20"/>
  <c r="N1097" i="20"/>
  <c r="N1056" i="20"/>
  <c r="N68" i="20"/>
  <c r="R68" i="20" s="1"/>
  <c r="Q68" i="20" s="1"/>
  <c r="P68" i="20" s="1"/>
  <c r="N95" i="20"/>
  <c r="R95" i="20" s="1"/>
  <c r="Q95" i="20" s="1"/>
  <c r="P95" i="20" s="1"/>
  <c r="N1064" i="20"/>
  <c r="N753" i="20"/>
  <c r="N897" i="20"/>
  <c r="HP18" i="9"/>
  <c r="HQ18" i="9" s="1"/>
  <c r="HR18" i="9" s="1"/>
  <c r="HS18" i="9" s="1"/>
  <c r="HX18" i="9"/>
  <c r="HO25" i="9"/>
  <c r="HO28" i="9" s="1"/>
  <c r="HP28" i="9" s="1"/>
  <c r="HQ28" i="9" s="1"/>
  <c r="HR28" i="9" s="1"/>
  <c r="HS28" i="9" s="1"/>
  <c r="N296" i="20"/>
  <c r="N384" i="20"/>
  <c r="N888" i="20"/>
  <c r="N785" i="20"/>
  <c r="N999" i="20"/>
  <c r="N56" i="20"/>
  <c r="R56" i="20" s="1"/>
  <c r="Q56" i="20" s="1"/>
  <c r="P56" i="20" s="1"/>
  <c r="N699" i="20"/>
  <c r="N935" i="20"/>
  <c r="N664" i="20"/>
  <c r="N682" i="20"/>
  <c r="N1082" i="20"/>
  <c r="N294" i="20"/>
  <c r="N564" i="20"/>
  <c r="N499" i="20"/>
  <c r="N831" i="20"/>
  <c r="N931" i="20"/>
  <c r="N1050" i="20"/>
  <c r="N718" i="20"/>
  <c r="N895" i="20"/>
  <c r="N941" i="20"/>
  <c r="N376" i="20"/>
  <c r="N274" i="20"/>
  <c r="N335" i="20"/>
  <c r="N36" i="20"/>
  <c r="R36" i="20" s="1"/>
  <c r="Q36" i="20" s="1"/>
  <c r="P36" i="20" s="1"/>
  <c r="N439" i="20"/>
  <c r="N251" i="20"/>
  <c r="R251" i="20" s="1"/>
  <c r="Q251" i="20" s="1"/>
  <c r="P251" i="20" s="1"/>
  <c r="N671" i="20"/>
  <c r="N1006" i="20"/>
  <c r="N109" i="20"/>
  <c r="R109" i="20" s="1"/>
  <c r="Q109" i="20" s="1"/>
  <c r="P109" i="20" s="1"/>
  <c r="N378" i="20"/>
  <c r="N816" i="20"/>
  <c r="N735" i="20"/>
  <c r="N1030" i="20"/>
  <c r="N681" i="20"/>
  <c r="GA14" i="9"/>
  <c r="GB14" i="9" s="1"/>
  <c r="GC14" i="9" s="1"/>
  <c r="N397" i="20"/>
  <c r="N259" i="20"/>
  <c r="N1035" i="20"/>
  <c r="N267" i="20"/>
  <c r="N484" i="20"/>
  <c r="N607" i="20"/>
  <c r="N902" i="20"/>
  <c r="N48" i="20"/>
  <c r="R48" i="20" s="1"/>
  <c r="Q48" i="20" s="1"/>
  <c r="P48" i="20" s="1"/>
  <c r="N667" i="20"/>
  <c r="N829" i="20"/>
  <c r="N737" i="20"/>
  <c r="N865" i="20"/>
  <c r="N689" i="20"/>
  <c r="N696" i="20"/>
  <c r="N767" i="20"/>
  <c r="N730" i="20"/>
  <c r="N401" i="20"/>
  <c r="N814" i="20"/>
  <c r="N352" i="20"/>
  <c r="N997" i="20"/>
  <c r="N262" i="20"/>
  <c r="N288" i="20"/>
  <c r="N11" i="20"/>
  <c r="R11" i="20" s="1"/>
  <c r="N476" i="20"/>
  <c r="N674" i="20"/>
  <c r="N436" i="20"/>
  <c r="N524" i="20"/>
  <c r="N1109" i="20"/>
  <c r="N370" i="20"/>
  <c r="N1094" i="20"/>
  <c r="N854" i="20"/>
  <c r="N947" i="20"/>
  <c r="N388" i="20"/>
  <c r="N804" i="20"/>
  <c r="N126" i="20"/>
  <c r="R126" i="20" s="1"/>
  <c r="Q126" i="20" s="1"/>
  <c r="P126" i="20" s="1"/>
  <c r="N820" i="20"/>
  <c r="N878" i="20"/>
  <c r="N836" i="20"/>
  <c r="N133" i="20"/>
  <c r="R133" i="20" s="1"/>
  <c r="Q133" i="20" s="1"/>
  <c r="P133" i="20" s="1"/>
  <c r="N781" i="20"/>
  <c r="N392" i="20"/>
  <c r="N561" i="20"/>
  <c r="N713" i="20"/>
  <c r="N455" i="20"/>
  <c r="N213" i="20"/>
  <c r="R213" i="20" s="1"/>
  <c r="Q213" i="20" s="1"/>
  <c r="P213" i="20" s="1"/>
  <c r="N47" i="20"/>
  <c r="R47" i="20" s="1"/>
  <c r="Q47" i="20" s="1"/>
  <c r="P47" i="20" s="1"/>
  <c r="N1068" i="20"/>
  <c r="IC27" i="9"/>
  <c r="IC29" i="9" s="1"/>
  <c r="ID29" i="9" s="1"/>
  <c r="IE29" i="9" s="1"/>
  <c r="IF29" i="9" s="1"/>
  <c r="IG29" i="9" s="1"/>
  <c r="ID18" i="9"/>
  <c r="IE18" i="9" s="1"/>
  <c r="IF18" i="9" s="1"/>
  <c r="IG18" i="9" s="1"/>
  <c r="IJ18" i="9"/>
  <c r="N119" i="20"/>
  <c r="R119" i="20" s="1"/>
  <c r="Q119" i="20" s="1"/>
  <c r="P119" i="20" s="1"/>
  <c r="N951" i="20"/>
  <c r="N480" i="20"/>
  <c r="N203" i="20"/>
  <c r="R203" i="20" s="1"/>
  <c r="Q203" i="20" s="1"/>
  <c r="P203" i="20" s="1"/>
  <c r="N632" i="20"/>
  <c r="N292" i="20"/>
  <c r="N778" i="20"/>
  <c r="N1019" i="20"/>
  <c r="N326" i="20"/>
  <c r="GA19" i="9"/>
  <c r="GB19" i="9" s="1"/>
  <c r="GC19" i="9" s="1"/>
  <c r="N351" i="20"/>
  <c r="N32" i="20"/>
  <c r="R32" i="20" s="1"/>
  <c r="Q32" i="20" s="1"/>
  <c r="P32" i="20" s="1"/>
  <c r="N972" i="20"/>
  <c r="GA17" i="9"/>
  <c r="GB17" i="9" s="1"/>
  <c r="GC17" i="9" s="1"/>
  <c r="N721" i="20"/>
  <c r="N956" i="20"/>
  <c r="N413" i="20"/>
  <c r="N672" i="20"/>
  <c r="N93" i="20"/>
  <c r="R93" i="20" s="1"/>
  <c r="Q93" i="20" s="1"/>
  <c r="P93" i="20" s="1"/>
  <c r="N362" i="20"/>
  <c r="N853" i="20"/>
  <c r="N534" i="20"/>
  <c r="N167" i="20"/>
  <c r="R167" i="20" s="1"/>
  <c r="Q167" i="20" s="1"/>
  <c r="P167" i="20" s="1"/>
  <c r="N891" i="20"/>
  <c r="N377" i="20"/>
  <c r="N1016" i="20"/>
  <c r="N694" i="20"/>
  <c r="N1046" i="20"/>
  <c r="N977" i="20"/>
  <c r="N890" i="20"/>
  <c r="N1096" i="20"/>
  <c r="N361" i="20"/>
  <c r="N581" i="20"/>
  <c r="N281" i="20"/>
  <c r="N72" i="20"/>
  <c r="R72" i="20" s="1"/>
  <c r="Q72" i="20" s="1"/>
  <c r="P72" i="20" s="1"/>
  <c r="N42" i="20"/>
  <c r="R42" i="20" s="1"/>
  <c r="Q42" i="20" s="1"/>
  <c r="P42" i="20" s="1"/>
  <c r="N238" i="20"/>
  <c r="R238" i="20" s="1"/>
  <c r="Q238" i="20" s="1"/>
  <c r="P238" i="20" s="1"/>
  <c r="N300" i="20"/>
  <c r="N138" i="20"/>
  <c r="R138" i="20" s="1"/>
  <c r="Q138" i="20" s="1"/>
  <c r="P138" i="20" s="1"/>
  <c r="N92" i="20"/>
  <c r="R92" i="20" s="1"/>
  <c r="Q92" i="20" s="1"/>
  <c r="P92" i="20" s="1"/>
  <c r="N214" i="20"/>
  <c r="R214" i="20" s="1"/>
  <c r="Q214" i="20" s="1"/>
  <c r="P214" i="20" s="1"/>
  <c r="N424" i="20"/>
  <c r="N1101" i="20"/>
  <c r="N1047" i="20"/>
  <c r="N957" i="20"/>
  <c r="N517" i="20"/>
  <c r="N407" i="20"/>
  <c r="N516" i="20"/>
  <c r="N520" i="20"/>
  <c r="N280" i="20"/>
  <c r="N760" i="20"/>
  <c r="N948" i="20"/>
  <c r="N889" i="20"/>
  <c r="N1009" i="20"/>
  <c r="N1018" i="20"/>
  <c r="N204" i="20"/>
  <c r="R204" i="20" s="1"/>
  <c r="Q204" i="20" s="1"/>
  <c r="P204" i="20" s="1"/>
  <c r="N247" i="20"/>
  <c r="R247" i="20" s="1"/>
  <c r="Q247" i="20" s="1"/>
  <c r="P247" i="20" s="1"/>
  <c r="N790" i="20"/>
  <c r="N1010" i="20"/>
  <c r="N657" i="20"/>
  <c r="N869" i="20"/>
  <c r="N1025" i="20"/>
  <c r="N597" i="20"/>
  <c r="N856" i="20"/>
  <c r="N744" i="20"/>
  <c r="N974" i="20"/>
  <c r="N703" i="20"/>
  <c r="IC23" i="9"/>
  <c r="IJ16" i="9"/>
  <c r="ID16" i="9"/>
  <c r="IE16" i="9" s="1"/>
  <c r="IF16" i="9" s="1"/>
  <c r="IG16" i="9" s="1"/>
  <c r="N1020" i="20"/>
  <c r="N661" i="20"/>
  <c r="N291" i="20"/>
  <c r="N391" i="20"/>
  <c r="N130" i="20"/>
  <c r="R130" i="20" s="1"/>
  <c r="Q130" i="20" s="1"/>
  <c r="P130" i="20" s="1"/>
  <c r="N887" i="20"/>
  <c r="N221" i="20"/>
  <c r="R221" i="20" s="1"/>
  <c r="Q221" i="20" s="1"/>
  <c r="P221" i="20" s="1"/>
  <c r="N411" i="20"/>
  <c r="N1112" i="20"/>
  <c r="N350" i="20"/>
  <c r="N33" i="20"/>
  <c r="R33" i="20" s="1"/>
  <c r="Q33" i="20" s="1"/>
  <c r="P33" i="20" s="1"/>
  <c r="N994" i="20"/>
  <c r="N491" i="20"/>
  <c r="N670" i="20"/>
  <c r="N840" i="20"/>
  <c r="N803" i="20"/>
  <c r="N824" i="20"/>
  <c r="N973" i="20"/>
  <c r="N796" i="20"/>
  <c r="N309" i="20"/>
  <c r="N139" i="20"/>
  <c r="R139" i="20" s="1"/>
  <c r="Q139" i="20" s="1"/>
  <c r="P139" i="20" s="1"/>
  <c r="N62" i="20"/>
  <c r="R62" i="20" s="1"/>
  <c r="Q62" i="20" s="1"/>
  <c r="P62" i="20" s="1"/>
  <c r="N219" i="20"/>
  <c r="R219" i="20" s="1"/>
  <c r="Q219" i="20" s="1"/>
  <c r="P219" i="20" s="1"/>
  <c r="N379" i="20"/>
  <c r="N1085" i="20"/>
  <c r="N249" i="20"/>
  <c r="R249" i="20" s="1"/>
  <c r="Q249" i="20" s="1"/>
  <c r="P249" i="20" s="1"/>
  <c r="N720" i="20"/>
  <c r="N850" i="20"/>
  <c r="N19" i="20"/>
  <c r="R19" i="20" s="1"/>
  <c r="Q19" i="20" s="1"/>
  <c r="P19" i="20" s="1"/>
  <c r="N998" i="20"/>
  <c r="N1027" i="20"/>
  <c r="N578" i="20"/>
  <c r="N915" i="20"/>
  <c r="N20" i="20"/>
  <c r="R20" i="20" s="1"/>
  <c r="Q20" i="20" s="1"/>
  <c r="P20" i="20" s="1"/>
  <c r="N171" i="20"/>
  <c r="R171" i="20" s="1"/>
  <c r="Q171" i="20" s="1"/>
  <c r="P171" i="20" s="1"/>
  <c r="N736" i="20"/>
  <c r="N28" i="20"/>
  <c r="R28" i="20" s="1"/>
  <c r="Q28" i="20" s="1"/>
  <c r="P28" i="20" s="1"/>
  <c r="N649" i="20"/>
  <c r="N12" i="20"/>
  <c r="R12" i="20" s="1"/>
  <c r="N634" i="20"/>
  <c r="N982" i="20"/>
  <c r="N485" i="20"/>
  <c r="N851" i="20"/>
  <c r="N507" i="20"/>
  <c r="DE20" i="2"/>
  <c r="DE21" i="2" s="1"/>
  <c r="N777" i="20"/>
  <c r="N747" i="20"/>
  <c r="N616" i="20"/>
  <c r="N466" i="20"/>
  <c r="N904" i="20"/>
  <c r="N879" i="20"/>
  <c r="N572" i="20"/>
  <c r="N529" i="20"/>
  <c r="AY33" i="13"/>
  <c r="AZ33" i="13" s="1"/>
  <c r="N813" i="20"/>
  <c r="N539" i="20"/>
  <c r="N127" i="20"/>
  <c r="R127" i="20" s="1"/>
  <c r="Q127" i="20" s="1"/>
  <c r="P127" i="20" s="1"/>
  <c r="N727" i="20"/>
  <c r="N1053" i="20"/>
  <c r="N834" i="20"/>
  <c r="N802" i="20"/>
  <c r="N248" i="20"/>
  <c r="R248" i="20" s="1"/>
  <c r="Q248" i="20" s="1"/>
  <c r="P248" i="20" s="1"/>
  <c r="N925" i="20"/>
  <c r="N900" i="20"/>
  <c r="N147" i="20"/>
  <c r="R147" i="20" s="1"/>
  <c r="Q147" i="20" s="1"/>
  <c r="P147" i="20" s="1"/>
  <c r="N679" i="20"/>
  <c r="N693" i="20"/>
  <c r="N277" i="20"/>
  <c r="N185" i="20"/>
  <c r="R185" i="20" s="1"/>
  <c r="Q185" i="20" s="1"/>
  <c r="P185" i="20" s="1"/>
  <c r="N1021" i="20"/>
  <c r="N779" i="20"/>
  <c r="N654" i="20"/>
  <c r="N732" i="20"/>
  <c r="N633" i="20"/>
  <c r="N560" i="20"/>
  <c r="N1107" i="20"/>
  <c r="N832" i="20"/>
  <c r="N755" i="20"/>
  <c r="DE7" i="2"/>
  <c r="DE8" i="2" s="1"/>
  <c r="N314" i="20"/>
  <c r="N321" i="20"/>
  <c r="N502" i="20"/>
  <c r="N625" i="20"/>
  <c r="N25" i="20"/>
  <c r="R25" i="20" s="1"/>
  <c r="Q25" i="20" s="1"/>
  <c r="P25" i="20" s="1"/>
  <c r="N660" i="20"/>
  <c r="N144" i="20"/>
  <c r="R144" i="20" s="1"/>
  <c r="Q144" i="20" s="1"/>
  <c r="P144" i="20" s="1"/>
  <c r="N70" i="20"/>
  <c r="R70" i="20" s="1"/>
  <c r="Q70" i="20" s="1"/>
  <c r="P70" i="20" s="1"/>
  <c r="N136" i="20"/>
  <c r="R136" i="20" s="1"/>
  <c r="Q136" i="20" s="1"/>
  <c r="P136" i="20" s="1"/>
  <c r="N809" i="20"/>
  <c r="N438" i="20"/>
  <c r="N513" i="20"/>
  <c r="N806" i="20"/>
  <c r="N942" i="20"/>
  <c r="N27" i="20"/>
  <c r="R27" i="20" s="1"/>
  <c r="Q27" i="20" s="1"/>
  <c r="P27" i="20" s="1"/>
  <c r="N498" i="20"/>
  <c r="N387" i="20"/>
  <c r="N542" i="20"/>
  <c r="N756" i="20"/>
  <c r="N199" i="20"/>
  <c r="R199" i="20" s="1"/>
  <c r="Q199" i="20" s="1"/>
  <c r="P199" i="20" s="1"/>
  <c r="N549" i="20"/>
  <c r="N242" i="20"/>
  <c r="R242" i="20" s="1"/>
  <c r="Q242" i="20" s="1"/>
  <c r="P242" i="20" s="1"/>
  <c r="N631" i="20"/>
  <c r="N609" i="20"/>
  <c r="N76" i="20"/>
  <c r="R76" i="20" s="1"/>
  <c r="Q76" i="20" s="1"/>
  <c r="P76" i="20" s="1"/>
  <c r="N946" i="20"/>
  <c r="N96" i="20"/>
  <c r="R96" i="20" s="1"/>
  <c r="Q96" i="20" s="1"/>
  <c r="P96" i="20" s="1"/>
  <c r="N748" i="20"/>
  <c r="N996" i="20"/>
  <c r="N18" i="20"/>
  <c r="R18" i="20" s="1"/>
  <c r="Q18" i="20" s="1"/>
  <c r="P18" i="20" s="1"/>
  <c r="N544" i="20"/>
  <c r="N275" i="20"/>
  <c r="N882" i="20"/>
  <c r="N921" i="20"/>
  <c r="N492" i="20"/>
  <c r="N429" i="20"/>
  <c r="N228" i="20"/>
  <c r="R228" i="20" s="1"/>
  <c r="Q228" i="20" s="1"/>
  <c r="P228" i="20" s="1"/>
  <c r="N1044" i="20"/>
  <c r="N562" i="20"/>
  <c r="N404" i="20"/>
  <c r="N590" i="20"/>
  <c r="N141" i="20"/>
  <c r="R141" i="20" s="1"/>
  <c r="Q141" i="20" s="1"/>
  <c r="P141" i="20" s="1"/>
  <c r="N389" i="20"/>
  <c r="N749" i="20"/>
  <c r="N8" i="20"/>
  <c r="R8" i="20" s="1"/>
  <c r="N620" i="20"/>
  <c r="N842" i="20"/>
  <c r="N565" i="20"/>
  <c r="N771" i="20"/>
  <c r="N557" i="20"/>
  <c r="N445" i="20"/>
  <c r="N619" i="20"/>
  <c r="N15" i="20"/>
  <c r="R15" i="20" s="1"/>
  <c r="Q15" i="20" s="1"/>
  <c r="P15" i="20" s="1"/>
  <c r="N100" i="20"/>
  <c r="R100" i="20" s="1"/>
  <c r="Q100" i="20" s="1"/>
  <c r="P100" i="20" s="1"/>
  <c r="N427" i="20"/>
  <c r="N916" i="20"/>
  <c r="N659" i="20"/>
  <c r="N764" i="20"/>
  <c r="N555" i="20"/>
  <c r="N279" i="20"/>
  <c r="N1063" i="20"/>
  <c r="N665" i="20"/>
  <c r="N844" i="20"/>
  <c r="N855" i="20"/>
  <c r="N1081" i="20"/>
  <c r="N896" i="20"/>
  <c r="N742" i="20"/>
  <c r="N428" i="20"/>
  <c r="N121" i="20"/>
  <c r="R121" i="20" s="1"/>
  <c r="Q121" i="20" s="1"/>
  <c r="P121" i="20" s="1"/>
  <c r="HV18" i="9"/>
  <c r="HO20" i="9"/>
  <c r="HO21" i="9" s="1"/>
  <c r="HO23" i="9" s="1"/>
  <c r="HP23" i="9" s="1"/>
  <c r="HQ23" i="9" s="1"/>
  <c r="HR23" i="9" s="1"/>
  <c r="HS23" i="9" s="1"/>
  <c r="HP17" i="9"/>
  <c r="HQ17" i="9" s="1"/>
  <c r="HR17" i="9" s="1"/>
  <c r="HS17" i="9" s="1"/>
  <c r="N201" i="20"/>
  <c r="R201" i="20" s="1"/>
  <c r="Q201" i="20" s="1"/>
  <c r="P201" i="20" s="1"/>
  <c r="N919" i="20"/>
  <c r="N877" i="20"/>
  <c r="N514" i="20"/>
  <c r="N34" i="20"/>
  <c r="R34" i="20" s="1"/>
  <c r="Q34" i="20" s="1"/>
  <c r="P34" i="20" s="1"/>
  <c r="N1048" i="20"/>
  <c r="P24" i="13"/>
  <c r="N739" i="20"/>
  <c r="N31" i="20"/>
  <c r="R31" i="20" s="1"/>
  <c r="Q31" i="20" s="1"/>
  <c r="P31" i="20" s="1"/>
  <c r="N503" i="20"/>
  <c r="N440" i="20"/>
  <c r="N602" i="20"/>
  <c r="N523" i="20"/>
  <c r="N741" i="20"/>
  <c r="N22" i="20"/>
  <c r="R22" i="20" s="1"/>
  <c r="Q22" i="20" s="1"/>
  <c r="P22" i="20" s="1"/>
  <c r="N556" i="20"/>
  <c r="N1008" i="20"/>
  <c r="N196" i="20"/>
  <c r="R196" i="20" s="1"/>
  <c r="Q196" i="20" s="1"/>
  <c r="P196" i="20" s="1"/>
  <c r="N400" i="20"/>
  <c r="N383" i="20"/>
  <c r="N349" i="20"/>
  <c r="N700" i="20"/>
  <c r="N922" i="20"/>
  <c r="N166" i="20"/>
  <c r="R166" i="20" s="1"/>
  <c r="Q166" i="20" s="1"/>
  <c r="P166" i="20" s="1"/>
  <c r="N1022" i="20"/>
  <c r="N576" i="20"/>
  <c r="N709" i="20"/>
  <c r="N416" i="20"/>
  <c r="R416" i="20" s="1"/>
  <c r="Q416" i="20" s="1"/>
  <c r="P416" i="20" s="1"/>
  <c r="N448" i="20"/>
  <c r="N712" i="20"/>
  <c r="N527" i="20"/>
  <c r="N1070" i="20"/>
  <c r="N447" i="20"/>
  <c r="N40" i="20"/>
  <c r="R40" i="20" s="1"/>
  <c r="Q40" i="20" s="1"/>
  <c r="P40" i="20" s="1"/>
  <c r="N360" i="20"/>
  <c r="N766" i="20"/>
  <c r="N198" i="20"/>
  <c r="R198" i="20" s="1"/>
  <c r="Q198" i="20" s="1"/>
  <c r="P198" i="20" s="1"/>
  <c r="N821" i="20"/>
  <c r="N432" i="20"/>
  <c r="N1090" i="20"/>
  <c r="N301" i="20"/>
  <c r="N883" i="20"/>
  <c r="N1073" i="20"/>
  <c r="N451" i="20"/>
  <c r="N273" i="20"/>
  <c r="N403" i="20"/>
  <c r="N39" i="20"/>
  <c r="R39" i="20" s="1"/>
  <c r="Q39" i="20" s="1"/>
  <c r="P39" i="20" s="1"/>
  <c r="N489" i="20"/>
  <c r="N318" i="20"/>
  <c r="N169" i="20"/>
  <c r="R169" i="20" s="1"/>
  <c r="Q169" i="20" s="1"/>
  <c r="P169" i="20" s="1"/>
  <c r="N1089" i="20"/>
  <c r="N336" i="20"/>
  <c r="N1033" i="20"/>
  <c r="N257" i="20"/>
  <c r="R257" i="20" s="1"/>
  <c r="Q257" i="20" s="1"/>
  <c r="P257" i="20" s="1"/>
  <c r="N724" i="20"/>
  <c r="N197" i="20"/>
  <c r="R197" i="20" s="1"/>
  <c r="Q197" i="20" s="1"/>
  <c r="P197" i="20" s="1"/>
  <c r="N66" i="20"/>
  <c r="R66" i="20" s="1"/>
  <c r="Q66" i="20" s="1"/>
  <c r="P66" i="20" s="1"/>
  <c r="N618" i="20"/>
  <c r="N340" i="20"/>
  <c r="N260" i="20"/>
  <c r="N716" i="20"/>
  <c r="N313" i="20"/>
  <c r="N16" i="20"/>
  <c r="R16" i="20" s="1"/>
  <c r="Q16" i="20" s="1"/>
  <c r="P16" i="20" s="1"/>
  <c r="N532" i="20"/>
  <c r="N193" i="20"/>
  <c r="R193" i="20" s="1"/>
  <c r="Q193" i="20" s="1"/>
  <c r="P193" i="20" s="1"/>
  <c r="N969" i="20"/>
  <c r="N494" i="20"/>
  <c r="N521" i="20"/>
  <c r="N266" i="20"/>
  <c r="N600" i="20"/>
  <c r="N182" i="20"/>
  <c r="R182" i="20" s="1"/>
  <c r="Q182" i="20" s="1"/>
  <c r="P182" i="20" s="1"/>
  <c r="N452" i="20"/>
  <c r="N179" i="20"/>
  <c r="R179" i="20" s="1"/>
  <c r="Q179" i="20" s="1"/>
  <c r="P179" i="20" s="1"/>
  <c r="N1086" i="20"/>
  <c r="N180" i="20"/>
  <c r="R180" i="20" s="1"/>
  <c r="Q180" i="20" s="1"/>
  <c r="P180" i="20" s="1"/>
  <c r="N568" i="20"/>
  <c r="N818" i="20"/>
  <c r="N290" i="20"/>
  <c r="N685" i="20"/>
  <c r="N715" i="20"/>
  <c r="N58" i="20"/>
  <c r="R58" i="20" s="1"/>
  <c r="Q58" i="20" s="1"/>
  <c r="P58" i="20" s="1"/>
  <c r="N10" i="20"/>
  <c r="R10" i="20" s="1"/>
  <c r="N912" i="20"/>
  <c r="N337" i="20"/>
  <c r="N355" i="20"/>
  <c r="N258" i="20"/>
  <c r="R258" i="20" s="1"/>
  <c r="Q258" i="20" s="1"/>
  <c r="P258" i="20" s="1"/>
  <c r="N692" i="20"/>
  <c r="N937" i="20"/>
  <c r="N137" i="20"/>
  <c r="R137" i="20" s="1"/>
  <c r="Q137" i="20" s="1"/>
  <c r="P137" i="20" s="1"/>
  <c r="N512" i="20"/>
  <c r="N252" i="20"/>
  <c r="R252" i="20" s="1"/>
  <c r="Q252" i="20" s="1"/>
  <c r="P252" i="20" s="1"/>
  <c r="N295" i="20"/>
  <c r="N488" i="20"/>
  <c r="N1078" i="20"/>
  <c r="N583" i="20"/>
  <c r="AN18" i="13"/>
  <c r="AO18" i="13" s="1"/>
  <c r="AP18" i="13" s="1"/>
  <c r="AQ18" i="13" s="1"/>
  <c r="N808" i="20"/>
  <c r="N698" i="20"/>
  <c r="N155" i="20"/>
  <c r="R155" i="20" s="1"/>
  <c r="Q155" i="20" s="1"/>
  <c r="P155" i="20" s="1"/>
  <c r="N782" i="20"/>
  <c r="N224" i="20"/>
  <c r="R224" i="20" s="1"/>
  <c r="Q224" i="20" s="1"/>
  <c r="P224" i="20" s="1"/>
  <c r="N353" i="20"/>
  <c r="N189" i="20"/>
  <c r="R189" i="20" s="1"/>
  <c r="Q189" i="20" s="1"/>
  <c r="P189" i="20" s="1"/>
  <c r="N358" i="20"/>
  <c r="N394" i="20"/>
  <c r="N1055" i="20"/>
  <c r="N21" i="20"/>
  <c r="R21" i="20" s="1"/>
  <c r="Q21" i="20" s="1"/>
  <c r="P21" i="20" s="1"/>
  <c r="N323" i="20"/>
  <c r="N386" i="20"/>
  <c r="N975" i="20"/>
  <c r="N1012" i="20"/>
  <c r="N208" i="20"/>
  <c r="R208" i="20" s="1"/>
  <c r="Q208" i="20" s="1"/>
  <c r="P208" i="20" s="1"/>
  <c r="N1108" i="20"/>
  <c r="N255" i="20"/>
  <c r="R255" i="20" s="1"/>
  <c r="Q255" i="20" s="1"/>
  <c r="P255" i="20" s="1"/>
  <c r="N653" i="20"/>
  <c r="N673" i="20"/>
  <c r="N595" i="20"/>
  <c r="N38" i="20"/>
  <c r="R38" i="20" s="1"/>
  <c r="Q38" i="20" s="1"/>
  <c r="P38" i="20" s="1"/>
  <c r="N470" i="20"/>
  <c r="N945" i="20"/>
  <c r="N160" i="20"/>
  <c r="R160" i="20" s="1"/>
  <c r="Q160" i="20" s="1"/>
  <c r="P160" i="20" s="1"/>
  <c r="N496" i="20"/>
  <c r="N646" i="20"/>
  <c r="N97" i="20"/>
  <c r="R97" i="20" s="1"/>
  <c r="Q97" i="20" s="1"/>
  <c r="P97" i="20" s="1"/>
  <c r="N710" i="20"/>
  <c r="X13" i="16"/>
  <c r="Y8" i="16"/>
  <c r="Z8" i="16" s="1"/>
  <c r="AA8" i="16" s="1"/>
  <c r="AB8" i="16"/>
  <c r="N1015" i="20"/>
  <c r="N1017" i="20"/>
  <c r="N469" i="20"/>
  <c r="N612" i="20"/>
  <c r="N468" i="20"/>
  <c r="N917" i="20"/>
  <c r="N1087" i="20"/>
  <c r="N457" i="20"/>
  <c r="N367" i="20"/>
  <c r="N913" i="20"/>
  <c r="N1003" i="20"/>
  <c r="N319" i="20"/>
  <c r="N430" i="20"/>
  <c r="N341" i="20"/>
  <c r="N191" i="20"/>
  <c r="R191" i="20" s="1"/>
  <c r="Q191" i="20" s="1"/>
  <c r="P191" i="20" s="1"/>
  <c r="N212" i="20"/>
  <c r="R212" i="20" s="1"/>
  <c r="Q212" i="20" s="1"/>
  <c r="P212" i="20" s="1"/>
  <c r="N950" i="20"/>
  <c r="N608" i="20"/>
  <c r="N475" i="20"/>
  <c r="N124" i="20"/>
  <c r="R124" i="20" s="1"/>
  <c r="Q124" i="20" s="1"/>
  <c r="P124" i="20" s="1"/>
  <c r="N246" i="20"/>
  <c r="R246" i="20" s="1"/>
  <c r="Q246" i="20" s="1"/>
  <c r="P246" i="20" s="1"/>
  <c r="N268" i="20"/>
  <c r="N886" i="20"/>
  <c r="N315" i="20"/>
  <c r="N263" i="20"/>
  <c r="N282" i="20"/>
  <c r="N586" i="20"/>
  <c r="N839" i="20"/>
  <c r="N91" i="20"/>
  <c r="R91" i="20" s="1"/>
  <c r="Q91" i="20" s="1"/>
  <c r="P91" i="20" s="1"/>
  <c r="N437" i="20"/>
  <c r="N250" i="20"/>
  <c r="R250" i="20" s="1"/>
  <c r="Q250" i="20" s="1"/>
  <c r="P250" i="20" s="1"/>
  <c r="N901" i="20"/>
  <c r="N823" i="20"/>
  <c r="N841" i="20"/>
  <c r="N792" i="20"/>
  <c r="N522" i="20"/>
  <c r="N964" i="20"/>
  <c r="N573" i="20"/>
  <c r="N206" i="20"/>
  <c r="R206" i="20" s="1"/>
  <c r="Q206" i="20" s="1"/>
  <c r="P206" i="20" s="1"/>
  <c r="N297" i="20"/>
  <c r="N187" i="20"/>
  <c r="R187" i="20" s="1"/>
  <c r="Q187" i="20" s="1"/>
  <c r="P187" i="20" s="1"/>
  <c r="N35" i="20"/>
  <c r="R35" i="20" s="1"/>
  <c r="Q35" i="20" s="1"/>
  <c r="P35" i="20" s="1"/>
  <c r="N885" i="20"/>
  <c r="N1092" i="20"/>
  <c r="N784" i="20"/>
  <c r="N17" i="20"/>
  <c r="R17" i="20" s="1"/>
  <c r="Q17" i="20" s="1"/>
  <c r="P17" i="20" s="1"/>
  <c r="N308" i="20"/>
  <c r="ID15" i="9"/>
  <c r="IE15" i="9" s="1"/>
  <c r="IF15" i="9" s="1"/>
  <c r="IG15" i="9" s="1"/>
  <c r="N113" i="20"/>
  <c r="R113" i="20" s="1"/>
  <c r="Q113" i="20" s="1"/>
  <c r="P113" i="20" s="1"/>
  <c r="N835" i="20"/>
  <c r="N106" i="20"/>
  <c r="R106" i="20" s="1"/>
  <c r="Q106" i="20" s="1"/>
  <c r="P106" i="20" s="1"/>
  <c r="N752" i="20"/>
  <c r="N408" i="20"/>
  <c r="N298" i="20"/>
  <c r="N648" i="20"/>
  <c r="N828" i="20"/>
  <c r="N979" i="20"/>
  <c r="N371" i="20"/>
  <c r="N683" i="20"/>
  <c r="N13" i="20"/>
  <c r="R13" i="20" s="1"/>
  <c r="N770" i="20"/>
  <c r="N1074" i="20"/>
  <c r="N719" i="20"/>
  <c r="N150" i="20"/>
  <c r="R150" i="20" s="1"/>
  <c r="Q150" i="20" s="1"/>
  <c r="P150" i="20" s="1"/>
  <c r="N745" i="20"/>
  <c r="N833" i="20"/>
  <c r="N306" i="20"/>
  <c r="N656" i="20"/>
  <c r="N519" i="20"/>
  <c r="N474" i="20"/>
  <c r="N1024" i="20"/>
  <c r="N551" i="20"/>
  <c r="N226" i="20"/>
  <c r="R226" i="20" s="1"/>
  <c r="Q226" i="20" s="1"/>
  <c r="P226" i="20" s="1"/>
  <c r="N299" i="20"/>
  <c r="N702" i="20"/>
  <c r="N175" i="20"/>
  <c r="R175" i="20" s="1"/>
  <c r="Q175" i="20" s="1"/>
  <c r="P175" i="20" s="1"/>
  <c r="N1105" i="20"/>
  <c r="N582" i="20"/>
  <c r="N271" i="20"/>
  <c r="N241" i="20"/>
  <c r="R241" i="20" s="1"/>
  <c r="Q241" i="20" s="1"/>
  <c r="P241" i="20" s="1"/>
  <c r="N426" i="20"/>
  <c r="N772" i="20"/>
  <c r="N222" i="20"/>
  <c r="R222" i="20" s="1"/>
  <c r="Q222" i="20" s="1"/>
  <c r="P222" i="20" s="1"/>
  <c r="N518" i="20"/>
  <c r="N605" i="20"/>
  <c r="N944" i="20"/>
  <c r="N1066" i="20"/>
  <c r="N173" i="20"/>
  <c r="R173" i="20" s="1"/>
  <c r="Q173" i="20" s="1"/>
  <c r="P173" i="20" s="1"/>
  <c r="N490" i="20"/>
  <c r="N7" i="20"/>
  <c r="R7" i="20" s="1"/>
  <c r="N528" i="20"/>
  <c r="N23" i="20"/>
  <c r="R23" i="20" s="1"/>
  <c r="Q23" i="20" s="1"/>
  <c r="P23" i="20" s="1"/>
  <c r="N330" i="20"/>
  <c r="N505" i="20"/>
  <c r="N1052" i="20"/>
  <c r="N860" i="20"/>
  <c r="N218" i="20"/>
  <c r="R218" i="20" s="1"/>
  <c r="Q218" i="20" s="1"/>
  <c r="P218" i="20" s="1"/>
  <c r="N1040" i="20"/>
  <c r="N758" i="20"/>
  <c r="N599" i="20"/>
  <c r="N364" i="20"/>
  <c r="N433" i="20"/>
  <c r="N768" i="20"/>
  <c r="N333" i="20"/>
  <c r="N276" i="20"/>
  <c r="N406" i="20"/>
  <c r="N642" i="20"/>
  <c r="N526" i="20"/>
  <c r="N580" i="20"/>
  <c r="N233" i="20"/>
  <c r="R233" i="20" s="1"/>
  <c r="Q233" i="20" s="1"/>
  <c r="P233" i="20" s="1"/>
  <c r="N870" i="20"/>
  <c r="N849" i="20"/>
  <c r="N690" i="20"/>
  <c r="N966" i="20"/>
  <c r="N1067" i="20"/>
  <c r="N929" i="20"/>
  <c r="N686" i="20"/>
  <c r="N923" i="20"/>
  <c r="N1071" i="20"/>
  <c r="N289" i="20"/>
  <c r="N78" i="20"/>
  <c r="R78" i="20" s="1"/>
  <c r="Q78" i="20" s="1"/>
  <c r="P78" i="20" s="1"/>
  <c r="N307" i="20"/>
  <c r="N461" i="20"/>
  <c r="N783" i="20"/>
  <c r="N244" i="20"/>
  <c r="R244" i="20" s="1"/>
  <c r="Q244" i="20" s="1"/>
  <c r="P244" i="20" s="1"/>
  <c r="N81" i="20"/>
  <c r="R81" i="20" s="1"/>
  <c r="Q81" i="20" s="1"/>
  <c r="P81" i="20" s="1"/>
  <c r="N393" i="20"/>
  <c r="N77" i="20"/>
  <c r="R77" i="20" s="1"/>
  <c r="Q77" i="20" s="1"/>
  <c r="P77" i="20" s="1"/>
  <c r="N638" i="20"/>
  <c r="N795" i="20"/>
  <c r="N508" i="20"/>
  <c r="N920" i="20"/>
  <c r="N701" i="20"/>
  <c r="N152" i="20"/>
  <c r="R152" i="20" s="1"/>
  <c r="Q152" i="20" s="1"/>
  <c r="P152" i="20" s="1"/>
  <c r="N205" i="20"/>
  <c r="R205" i="20" s="1"/>
  <c r="Q205" i="20" s="1"/>
  <c r="P205" i="20" s="1"/>
  <c r="N1065" i="20"/>
  <c r="N229" i="20"/>
  <c r="R229" i="20" s="1"/>
  <c r="Q229" i="20" s="1"/>
  <c r="P229" i="20" s="1"/>
  <c r="N899" i="20"/>
  <c r="N930" i="20"/>
  <c r="N1106" i="20"/>
  <c r="N157" i="20"/>
  <c r="R157" i="20" s="1"/>
  <c r="Q157" i="20" s="1"/>
  <c r="P157" i="20" s="1"/>
  <c r="N594" i="20"/>
  <c r="N650" i="20"/>
  <c r="N1091" i="20"/>
  <c r="N183" i="20"/>
  <c r="R183" i="20" s="1"/>
  <c r="Q183" i="20" s="1"/>
  <c r="P183" i="20" s="1"/>
  <c r="N131" i="20"/>
  <c r="R131" i="20" s="1"/>
  <c r="Q131" i="20" s="1"/>
  <c r="P131" i="20" s="1"/>
  <c r="N441" i="20"/>
  <c r="N343" i="20"/>
  <c r="N59" i="20"/>
  <c r="R59" i="20" s="1"/>
  <c r="Q59" i="20" s="1"/>
  <c r="P59" i="20" s="1"/>
  <c r="N637" i="20"/>
  <c r="N483" i="20"/>
  <c r="N116" i="20"/>
  <c r="R116" i="20" s="1"/>
  <c r="Q116" i="20" s="1"/>
  <c r="P116" i="20" s="1"/>
  <c r="N419" i="20"/>
  <c r="HP15" i="9"/>
  <c r="HQ15" i="9" s="1"/>
  <c r="HR15" i="9" s="1"/>
  <c r="HS15" i="9" s="1"/>
  <c r="HV16" i="9"/>
  <c r="N41" i="20"/>
  <c r="R41" i="20" s="1"/>
  <c r="Q41" i="20" s="1"/>
  <c r="P41" i="20" s="1"/>
  <c r="N1080" i="20"/>
  <c r="N587" i="20"/>
  <c r="N85" i="20"/>
  <c r="R85" i="20" s="1"/>
  <c r="Q85" i="20" s="1"/>
  <c r="P85" i="20" s="1"/>
  <c r="N1034" i="20"/>
  <c r="N880" i="20"/>
  <c r="N1037" i="20"/>
  <c r="AI9" i="19"/>
  <c r="AJ9" i="19" s="1"/>
  <c r="AK9" i="19" s="1"/>
  <c r="AL9" i="19" s="1"/>
  <c r="AJ121" i="20"/>
  <c r="Q10" i="20"/>
  <c r="P10" i="20" s="1"/>
  <c r="O259" i="20"/>
  <c r="O39" i="15"/>
  <c r="P39" i="15" s="1"/>
  <c r="H18" i="15"/>
  <c r="I18" i="15" s="1"/>
  <c r="H7" i="15"/>
  <c r="I7" i="15" s="1"/>
  <c r="H6" i="15"/>
  <c r="I6" i="15" s="1"/>
  <c r="I172" i="5"/>
  <c r="I181" i="5"/>
  <c r="U181" i="5"/>
  <c r="I186" i="5"/>
  <c r="I189" i="5"/>
  <c r="U172" i="5"/>
  <c r="O172" i="5"/>
  <c r="AA189" i="5"/>
  <c r="C172" i="5"/>
  <c r="AA181" i="5"/>
  <c r="AA187" i="5"/>
  <c r="O181" i="5"/>
  <c r="C400" i="5"/>
  <c r="U186" i="5"/>
  <c r="C181" i="5"/>
  <c r="U189" i="5"/>
  <c r="AK9" i="20"/>
  <c r="AK10" i="20"/>
  <c r="AK7" i="20"/>
  <c r="AF24" i="13"/>
  <c r="DI5" i="2"/>
  <c r="AK11" i="20"/>
  <c r="AK12" i="20"/>
  <c r="O25" i="13"/>
  <c r="EY9" i="9"/>
  <c r="AK8" i="20"/>
  <c r="AK13" i="20"/>
  <c r="EY10" i="9"/>
  <c r="HO29" i="9" l="1"/>
  <c r="HP29" i="9" s="1"/>
  <c r="HQ29" i="9" s="1"/>
  <c r="HR29" i="9" s="1"/>
  <c r="HS29" i="9" s="1"/>
  <c r="HP25" i="9"/>
  <c r="HQ25" i="9" s="1"/>
  <c r="HR25" i="9" s="1"/>
  <c r="HS25" i="9" s="1"/>
  <c r="ID27" i="9"/>
  <c r="IE27" i="9" s="1"/>
  <c r="IF27" i="9" s="1"/>
  <c r="IG27" i="9" s="1"/>
  <c r="HP20" i="9"/>
  <c r="HQ20" i="9" s="1"/>
  <c r="HR20" i="9" s="1"/>
  <c r="HS20" i="9" s="1"/>
  <c r="IC21" i="9"/>
  <c r="ID21" i="9" s="1"/>
  <c r="IE21" i="9" s="1"/>
  <c r="IF21" i="9" s="1"/>
  <c r="IG21" i="9" s="1"/>
  <c r="BA33" i="13"/>
  <c r="BB33" i="13" s="1"/>
  <c r="AL13" i="20"/>
  <c r="AM13" i="20" s="1"/>
  <c r="AL8" i="20"/>
  <c r="AM8" i="20" s="1"/>
  <c r="O29" i="13"/>
  <c r="O30" i="13" s="1"/>
  <c r="AL12" i="20"/>
  <c r="AM12" i="20" s="1"/>
  <c r="AL11" i="20"/>
  <c r="AM11" i="20" s="1"/>
  <c r="AL7" i="20"/>
  <c r="AM7" i="20" s="1"/>
  <c r="AL10" i="20"/>
  <c r="AM10" i="20" s="1"/>
  <c r="AL9" i="20"/>
  <c r="AM9" i="20" s="1"/>
  <c r="Q13" i="20"/>
  <c r="P13" i="20" s="1"/>
  <c r="Q8" i="20"/>
  <c r="P8" i="20" s="1"/>
  <c r="HO24" i="9"/>
  <c r="HP24" i="9" s="1"/>
  <c r="HQ24" i="9" s="1"/>
  <c r="HR24" i="9" s="1"/>
  <c r="HS24" i="9" s="1"/>
  <c r="Q12" i="20"/>
  <c r="P12" i="20" s="1"/>
  <c r="Q11" i="20"/>
  <c r="P11" i="20" s="1"/>
  <c r="IC30" i="9"/>
  <c r="AP10" i="13"/>
  <c r="AQ10" i="13" s="1"/>
  <c r="Q7" i="20"/>
  <c r="P7" i="20" s="1"/>
  <c r="X15" i="16"/>
  <c r="Y15" i="16" s="1"/>
  <c r="Z15" i="16" s="1"/>
  <c r="AA15" i="16" s="1"/>
  <c r="AB15" i="16" s="1"/>
  <c r="Y13" i="16"/>
  <c r="Z13" i="16" s="1"/>
  <c r="AA13" i="16" s="1"/>
  <c r="AB13" i="16" s="1"/>
  <c r="ID23" i="9"/>
  <c r="IE23" i="9" s="1"/>
  <c r="IF23" i="9" s="1"/>
  <c r="IG23" i="9" s="1"/>
  <c r="IC25" i="9"/>
  <c r="AP21" i="13"/>
  <c r="AQ21" i="13" s="1"/>
  <c r="HP21" i="9"/>
  <c r="HQ21" i="9" s="1"/>
  <c r="HR21" i="9" s="1"/>
  <c r="HS21" i="9" s="1"/>
  <c r="HV17" i="9"/>
  <c r="HP19" i="9"/>
  <c r="HQ19" i="9" s="1"/>
  <c r="HR19" i="9" s="1"/>
  <c r="HS19" i="9" s="1"/>
  <c r="Q9" i="20"/>
  <c r="P9" i="20" s="1"/>
  <c r="AP23" i="13"/>
  <c r="AQ23" i="13" s="1"/>
  <c r="HO30" i="9"/>
  <c r="HW18" i="9" s="1"/>
  <c r="O35" i="13"/>
  <c r="R259" i="20"/>
  <c r="Q259" i="20" s="1"/>
  <c r="P259" i="20" s="1"/>
  <c r="O260" i="20"/>
  <c r="Q39" i="15"/>
  <c r="R39" i="15" s="1"/>
  <c r="O40" i="15"/>
  <c r="P40" i="15" s="1"/>
  <c r="U176" i="5"/>
  <c r="I176" i="5"/>
  <c r="C176" i="5"/>
  <c r="O175" i="5"/>
  <c r="AA175" i="5"/>
  <c r="O176" i="5"/>
  <c r="AA176" i="5"/>
  <c r="C175" i="5"/>
  <c r="I175" i="5"/>
  <c r="U175" i="5"/>
  <c r="EY11" i="9"/>
  <c r="AF25" i="13"/>
  <c r="O31" i="13"/>
  <c r="O32" i="13"/>
  <c r="O37" i="13"/>
  <c r="H13" i="13"/>
  <c r="H19" i="13"/>
  <c r="H9" i="13"/>
  <c r="H15" i="13"/>
  <c r="IC22" i="9" l="1"/>
  <c r="ID22" i="9" s="1"/>
  <c r="IE22" i="9" s="1"/>
  <c r="IF22" i="9" s="1"/>
  <c r="IG22" i="9" s="1"/>
  <c r="X15" i="13"/>
  <c r="H3" i="13"/>
  <c r="H2" i="13"/>
  <c r="ID30" i="9"/>
  <c r="IE30" i="9" s="1"/>
  <c r="IF30" i="9" s="1"/>
  <c r="IG30" i="9" s="1"/>
  <c r="II18" i="9"/>
  <c r="ID25" i="9"/>
  <c r="IE25" i="9" s="1"/>
  <c r="IF25" i="9" s="1"/>
  <c r="IG25" i="9" s="1"/>
  <c r="IC26" i="9"/>
  <c r="HP30" i="9"/>
  <c r="HQ30" i="9" s="1"/>
  <c r="HR30" i="9" s="1"/>
  <c r="HS30" i="9" s="1"/>
  <c r="HO33" i="9"/>
  <c r="HO34" i="9" s="1"/>
  <c r="HP34" i="9" s="1"/>
  <c r="HQ34" i="9" s="1"/>
  <c r="HR34" i="9" s="1"/>
  <c r="HS34" i="9" s="1"/>
  <c r="R260" i="20"/>
  <c r="Q260" i="20" s="1"/>
  <c r="P260" i="20" s="1"/>
  <c r="O261" i="20"/>
  <c r="Q40" i="15"/>
  <c r="R40" i="15" s="1"/>
  <c r="O177" i="5"/>
  <c r="O178" i="5" s="1"/>
  <c r="O179" i="5"/>
  <c r="X23" i="13"/>
  <c r="H6" i="13"/>
  <c r="H8" i="13"/>
  <c r="G3" i="13"/>
  <c r="F3" i="13"/>
  <c r="H5" i="13"/>
  <c r="F6" i="13"/>
  <c r="G8" i="13"/>
  <c r="G2" i="13"/>
  <c r="F2" i="13"/>
  <c r="H4" i="13"/>
  <c r="F4" i="13" s="1"/>
  <c r="G6" i="13"/>
  <c r="G4" i="13"/>
  <c r="H7" i="13"/>
  <c r="G7" i="13"/>
  <c r="F7" i="13"/>
  <c r="G5" i="13"/>
  <c r="F5" i="13"/>
  <c r="HW17" i="9" l="1"/>
  <c r="H16" i="13"/>
  <c r="I10" i="13"/>
  <c r="H21" i="13"/>
  <c r="H22" i="13" s="1"/>
  <c r="Y23" i="13"/>
  <c r="Z23" i="13" s="1"/>
  <c r="AA23" i="13" s="1"/>
  <c r="AB23" i="13" s="1"/>
  <c r="X16" i="13"/>
  <c r="Y16" i="13" s="1"/>
  <c r="X17" i="13"/>
  <c r="Y15" i="13"/>
  <c r="II16" i="9"/>
  <c r="IC31" i="9"/>
  <c r="ID26" i="9"/>
  <c r="IE26" i="9" s="1"/>
  <c r="IF26" i="9" s="1"/>
  <c r="IG26" i="9" s="1"/>
  <c r="HP33" i="9"/>
  <c r="HQ33" i="9" s="1"/>
  <c r="HR33" i="9" s="1"/>
  <c r="HS33" i="9" s="1"/>
  <c r="E11" i="13"/>
  <c r="F11" i="13"/>
  <c r="I11" i="13"/>
  <c r="H11" i="13"/>
  <c r="G11" i="13"/>
  <c r="R261" i="20"/>
  <c r="Q261" i="20" s="1"/>
  <c r="P261" i="20" s="1"/>
  <c r="O262" i="20"/>
  <c r="O180" i="5"/>
  <c r="F8" i="13"/>
  <c r="Y17" i="13" l="1"/>
  <c r="X18" i="13"/>
  <c r="IC33" i="9"/>
  <c r="ID31" i="9"/>
  <c r="IE31" i="9" s="1"/>
  <c r="IF31" i="9" s="1"/>
  <c r="IG31" i="9" s="1"/>
  <c r="H12" i="13"/>
  <c r="G12" i="13" s="1"/>
  <c r="O263" i="20"/>
  <c r="R262" i="20"/>
  <c r="Q262" i="20" s="1"/>
  <c r="P262" i="20" s="1"/>
  <c r="Y18" i="13" l="1"/>
  <c r="X19" i="13"/>
  <c r="ID33" i="9"/>
  <c r="IE33" i="9" s="1"/>
  <c r="IF33" i="9" s="1"/>
  <c r="IG33" i="9" s="1"/>
  <c r="IC34" i="9"/>
  <c r="R263" i="20"/>
  <c r="Q263" i="20" s="1"/>
  <c r="P263" i="20" s="1"/>
  <c r="O264" i="20"/>
  <c r="X20" i="13" l="1"/>
  <c r="Z19" i="13"/>
  <c r="AA19" i="13" s="1"/>
  <c r="AB19" i="13" s="1"/>
  <c r="II17" i="9"/>
  <c r="ID34" i="9"/>
  <c r="IE34" i="9" s="1"/>
  <c r="IF34" i="9" s="1"/>
  <c r="IG34" i="9" s="1"/>
  <c r="AI33" i="19"/>
  <c r="AJ33" i="19" s="1"/>
  <c r="AK33" i="19" s="1"/>
  <c r="AL33" i="19" s="1"/>
  <c r="AI39" i="19"/>
  <c r="AJ39" i="19" s="1"/>
  <c r="AK39" i="19" s="1"/>
  <c r="AL39" i="19" s="1"/>
  <c r="AI7" i="19"/>
  <c r="AJ7" i="19" s="1"/>
  <c r="R264" i="20"/>
  <c r="Q264" i="20" s="1"/>
  <c r="P264" i="20" s="1"/>
  <c r="O265" i="20"/>
  <c r="AK7" i="19" l="1"/>
  <c r="AL7" i="19" s="1"/>
  <c r="O266" i="20"/>
  <c r="R265" i="20"/>
  <c r="Q265" i="20" s="1"/>
  <c r="P265" i="20" s="1"/>
  <c r="R266" i="20" l="1"/>
  <c r="Q266" i="20" s="1"/>
  <c r="P266" i="20" s="1"/>
  <c r="O267" i="20"/>
  <c r="R267" i="20" l="1"/>
  <c r="Q267" i="20" s="1"/>
  <c r="P267" i="20" s="1"/>
  <c r="O268" i="20"/>
  <c r="R268" i="20" l="1"/>
  <c r="Q268" i="20" s="1"/>
  <c r="P268" i="20" s="1"/>
  <c r="O269" i="20"/>
  <c r="R269" i="20" l="1"/>
  <c r="Q269" i="20" s="1"/>
  <c r="P269" i="20" s="1"/>
  <c r="O270" i="20"/>
  <c r="BW14" i="13"/>
  <c r="BX14" i="13" s="1"/>
  <c r="O271" i="20" l="1"/>
  <c r="R270" i="20"/>
  <c r="Q270" i="20" s="1"/>
  <c r="P270" i="20" s="1"/>
  <c r="BY14" i="13"/>
  <c r="BZ14" i="13" s="1"/>
  <c r="R271" i="20" l="1"/>
  <c r="Q271" i="20" s="1"/>
  <c r="P271" i="20" s="1"/>
  <c r="O272" i="20"/>
  <c r="DL89" i="13"/>
  <c r="DL88" i="13"/>
  <c r="R272" i="20" l="1"/>
  <c r="Q272" i="20" s="1"/>
  <c r="P272" i="20" s="1"/>
  <c r="O273" i="20"/>
  <c r="O274" i="20" l="1"/>
  <c r="R273" i="20"/>
  <c r="Q273" i="20" s="1"/>
  <c r="P273" i="20" s="1"/>
  <c r="CQ18" i="13"/>
  <c r="CR18" i="13" s="1"/>
  <c r="O275" i="20" l="1"/>
  <c r="R274" i="20"/>
  <c r="Q274" i="20" s="1"/>
  <c r="P274" i="20" s="1"/>
  <c r="BO21" i="13"/>
  <c r="BP21" i="13" s="1"/>
  <c r="BQ21" i="13" s="1"/>
  <c r="CS18" i="13"/>
  <c r="CT18" i="13" s="1"/>
  <c r="BE29" i="13"/>
  <c r="BE28" i="13"/>
  <c r="BF8" i="13"/>
  <c r="BG8" i="13" s="1"/>
  <c r="R275" i="20" l="1"/>
  <c r="Q275" i="20" s="1"/>
  <c r="P275" i="20" s="1"/>
  <c r="O276" i="20"/>
  <c r="BR21" i="13"/>
  <c r="CC5" i="13"/>
  <c r="CC4" i="13"/>
  <c r="BH8" i="13"/>
  <c r="O163" i="13"/>
  <c r="O164" i="13"/>
  <c r="O277" i="20" l="1"/>
  <c r="R276" i="20"/>
  <c r="DN87" i="13"/>
  <c r="DL90" i="13"/>
  <c r="DO87" i="13" s="1"/>
  <c r="DM87" i="13"/>
  <c r="Q276" i="20" l="1"/>
  <c r="P276" i="20" s="1"/>
  <c r="R277" i="20"/>
  <c r="O278" i="20"/>
  <c r="DQ87" i="13"/>
  <c r="DP87" i="13"/>
  <c r="EC87" i="13"/>
  <c r="O279" i="20" l="1"/>
  <c r="R278" i="20"/>
  <c r="Q277" i="20"/>
  <c r="P277" i="20" s="1"/>
  <c r="DR87" i="13"/>
  <c r="AG148" i="13"/>
  <c r="O129" i="13"/>
  <c r="O125" i="13"/>
  <c r="Q278" i="20" l="1"/>
  <c r="P278" i="20" s="1"/>
  <c r="R279" i="20"/>
  <c r="O280" i="20"/>
  <c r="DS87" i="13"/>
  <c r="DU87" i="13"/>
  <c r="P129" i="13"/>
  <c r="P125" i="13"/>
  <c r="Q279" i="20" l="1"/>
  <c r="P279" i="20" s="1"/>
  <c r="R280" i="20"/>
  <c r="O281" i="20"/>
  <c r="DT87" i="13"/>
  <c r="DV87" i="13" s="1"/>
  <c r="EH87" i="13"/>
  <c r="Q129" i="13"/>
  <c r="R129" i="13" s="1"/>
  <c r="Q125" i="13"/>
  <c r="R125" i="13" s="1"/>
  <c r="Y159" i="13"/>
  <c r="Z159" i="13" s="1"/>
  <c r="AA159" i="13" s="1"/>
  <c r="Y150" i="13"/>
  <c r="Z150" i="13" s="1"/>
  <c r="AA150" i="13" s="1"/>
  <c r="O282" i="20" l="1"/>
  <c r="R281" i="20"/>
  <c r="Q280" i="20"/>
  <c r="P280" i="20" s="1"/>
  <c r="EI87" i="13"/>
  <c r="EF87" i="13"/>
  <c r="EG87" i="13" s="1"/>
  <c r="Q281" i="20" l="1"/>
  <c r="P281" i="20" s="1"/>
  <c r="O283" i="20"/>
  <c r="R282" i="20"/>
  <c r="FK2" i="13"/>
  <c r="FL2" i="13" s="1"/>
  <c r="FK3" i="13"/>
  <c r="FL3" i="13" s="1"/>
  <c r="FK4" i="13"/>
  <c r="FL4" i="13" s="1"/>
  <c r="O284" i="20" l="1"/>
  <c r="R283" i="20"/>
  <c r="Q283" i="20" s="1"/>
  <c r="P283" i="20" s="1"/>
  <c r="Q282" i="20"/>
  <c r="P282" i="20" s="1"/>
  <c r="FM2" i="13"/>
  <c r="FN2" i="13" s="1"/>
  <c r="FM3" i="13"/>
  <c r="FN3" i="13" s="1"/>
  <c r="FM4" i="13"/>
  <c r="FN4" i="13" s="1"/>
  <c r="R284" i="20" l="1"/>
  <c r="O285" i="20"/>
  <c r="AG146" i="13"/>
  <c r="AG145" i="13"/>
  <c r="R285" i="20" l="1"/>
  <c r="Q285" i="20" s="1"/>
  <c r="P285" i="20" s="1"/>
  <c r="O286" i="20"/>
  <c r="Q284" i="20"/>
  <c r="P284" i="20" s="1"/>
  <c r="AG183" i="13"/>
  <c r="R286" i="20" l="1"/>
  <c r="Q286" i="20" s="1"/>
  <c r="P286" i="20" s="1"/>
  <c r="O287" i="20"/>
  <c r="BF27" i="13"/>
  <c r="BG27" i="13" s="1"/>
  <c r="BH27" i="13" s="1"/>
  <c r="R287" i="20" l="1"/>
  <c r="O288" i="20"/>
  <c r="P163" i="13"/>
  <c r="Q163" i="13" s="1"/>
  <c r="J247" i="5"/>
  <c r="J258" i="5"/>
  <c r="FN9" i="16" l="1"/>
  <c r="R288" i="20"/>
  <c r="O289" i="20"/>
  <c r="Q287" i="20"/>
  <c r="P287" i="20" s="1"/>
  <c r="R163" i="13"/>
  <c r="S163" i="13" s="1"/>
  <c r="F326" i="5"/>
  <c r="E326" i="5"/>
  <c r="R289" i="20" l="1"/>
  <c r="O290" i="20"/>
  <c r="Q288" i="20"/>
  <c r="P288" i="20" s="1"/>
  <c r="P164" i="13"/>
  <c r="O165" i="13"/>
  <c r="P165" i="13" s="1"/>
  <c r="Q165" i="13" s="1"/>
  <c r="C491" i="5"/>
  <c r="G345" i="5"/>
  <c r="R290" i="20" l="1"/>
  <c r="O291" i="20"/>
  <c r="Q289" i="20"/>
  <c r="P289" i="20" s="1"/>
  <c r="Q164" i="13"/>
  <c r="R164" i="13" s="1"/>
  <c r="R165" i="13"/>
  <c r="S165" i="13" s="1"/>
  <c r="R291" i="20" l="1"/>
  <c r="O292" i="20"/>
  <c r="Q290" i="20"/>
  <c r="P290" i="20" s="1"/>
  <c r="S164" i="13"/>
  <c r="P12" i="13"/>
  <c r="Q15" i="13"/>
  <c r="R292" i="20" l="1"/>
  <c r="Q292" i="20" s="1"/>
  <c r="P292" i="20" s="1"/>
  <c r="O293" i="20"/>
  <c r="Q291" i="20"/>
  <c r="P291" i="20" s="1"/>
  <c r="EP17" i="13"/>
  <c r="EQ17" i="13" s="1"/>
  <c r="P17" i="13"/>
  <c r="P33" i="13"/>
  <c r="Q33" i="13" s="1"/>
  <c r="R15" i="13"/>
  <c r="S15" i="13" s="1"/>
  <c r="Q12" i="13"/>
  <c r="Q16" i="13"/>
  <c r="P13" i="13"/>
  <c r="Q13" i="13" s="1"/>
  <c r="P19" i="13"/>
  <c r="P37" i="13" l="1"/>
  <c r="R293" i="20"/>
  <c r="Q293" i="20" s="1"/>
  <c r="P293" i="20" s="1"/>
  <c r="O294" i="20"/>
  <c r="ER17" i="13"/>
  <c r="ES17" i="13" s="1"/>
  <c r="R33" i="13"/>
  <c r="S33" i="13" s="1"/>
  <c r="P34" i="13"/>
  <c r="Q34" i="13" s="1"/>
  <c r="R12" i="13"/>
  <c r="S12" i="13" s="1"/>
  <c r="P20" i="13"/>
  <c r="Q20" i="13" s="1"/>
  <c r="R20" i="13" s="1"/>
  <c r="Q19" i="13"/>
  <c r="R19" i="13" s="1"/>
  <c r="R16" i="13"/>
  <c r="S16" i="13" s="1"/>
  <c r="P14" i="13"/>
  <c r="Q14" i="13" s="1"/>
  <c r="R14" i="13" s="1"/>
  <c r="R13" i="13"/>
  <c r="S13" i="13" s="1"/>
  <c r="Q17" i="13"/>
  <c r="R17" i="13" s="1"/>
  <c r="D557" i="5"/>
  <c r="H352" i="5"/>
  <c r="D563" i="5"/>
  <c r="C492" i="5"/>
  <c r="G352" i="5"/>
  <c r="D564" i="5"/>
  <c r="D562" i="5"/>
  <c r="Q37" i="13" l="1"/>
  <c r="R37" i="13" s="1"/>
  <c r="R294" i="20"/>
  <c r="Q294" i="20" s="1"/>
  <c r="P294" i="20" s="1"/>
  <c r="O295" i="20"/>
  <c r="Z13" i="13"/>
  <c r="AA13" i="13" s="1"/>
  <c r="AB13" i="13" s="1"/>
  <c r="R34" i="13"/>
  <c r="S34" i="13" s="1"/>
  <c r="S17" i="13"/>
  <c r="P18" i="13"/>
  <c r="Q18" i="13" s="1"/>
  <c r="R18" i="13" s="1"/>
  <c r="S20" i="13"/>
  <c r="S14" i="13"/>
  <c r="S19" i="13"/>
  <c r="P26" i="13"/>
  <c r="P27" i="13"/>
  <c r="Q27" i="13" s="1"/>
  <c r="R27" i="13" s="1"/>
  <c r="H353" i="5"/>
  <c r="E564" i="5"/>
  <c r="F564" i="5" s="1"/>
  <c r="G564" i="5" s="1"/>
  <c r="D550" i="5"/>
  <c r="D547" i="5"/>
  <c r="D551" i="5"/>
  <c r="C329" i="5"/>
  <c r="C334" i="5"/>
  <c r="C355" i="5"/>
  <c r="C336" i="5"/>
  <c r="D554" i="5"/>
  <c r="C493" i="5"/>
  <c r="G337" i="5"/>
  <c r="S37" i="13" l="1"/>
  <c r="R295" i="20"/>
  <c r="Q295" i="20" s="1"/>
  <c r="P295" i="20" s="1"/>
  <c r="O296" i="20"/>
  <c r="Z14" i="13"/>
  <c r="AA14" i="13" s="1"/>
  <c r="AB14" i="13" s="1"/>
  <c r="P30" i="13"/>
  <c r="Q30" i="13" s="1"/>
  <c r="R30" i="13" s="1"/>
  <c r="P29" i="13"/>
  <c r="Q29" i="13" s="1"/>
  <c r="Z15" i="13"/>
  <c r="AA15" i="13" s="1"/>
  <c r="AB15" i="13" s="1"/>
  <c r="Z17" i="13"/>
  <c r="P32" i="13"/>
  <c r="Q32" i="13" s="1"/>
  <c r="Q26" i="13"/>
  <c r="R26" i="13" s="1"/>
  <c r="S27" i="13"/>
  <c r="S18" i="13"/>
  <c r="P21" i="13"/>
  <c r="Q21" i="13" s="1"/>
  <c r="R21" i="13" s="1"/>
  <c r="S21" i="13" s="1"/>
  <c r="P28" i="13"/>
  <c r="Q28" i="13" s="1"/>
  <c r="G326" i="5"/>
  <c r="H564" i="5"/>
  <c r="C535" i="5"/>
  <c r="C538" i="5"/>
  <c r="D538" i="5" s="1"/>
  <c r="E538" i="5" s="1"/>
  <c r="C537" i="5"/>
  <c r="D552" i="5"/>
  <c r="C495" i="5"/>
  <c r="C494" i="5"/>
  <c r="R296" i="20" l="1"/>
  <c r="Q296" i="20" s="1"/>
  <c r="P296" i="20" s="1"/>
  <c r="O297" i="20"/>
  <c r="Z16" i="13"/>
  <c r="AA16" i="13" s="1"/>
  <c r="AB16" i="13" s="1"/>
  <c r="P31" i="13"/>
  <c r="Q31" i="13" s="1"/>
  <c r="S30" i="13"/>
  <c r="R29" i="13"/>
  <c r="S29" i="13" s="1"/>
  <c r="AA17" i="13"/>
  <c r="AB17" i="13" s="1"/>
  <c r="D495" i="5"/>
  <c r="E495" i="5" s="1"/>
  <c r="F495" i="5" s="1"/>
  <c r="G495" i="5" s="1"/>
  <c r="R28" i="13"/>
  <c r="S28" i="13" s="1"/>
  <c r="S26" i="13"/>
  <c r="R32" i="13"/>
  <c r="S32" i="13" s="1"/>
  <c r="P23" i="13"/>
  <c r="Q23" i="13" s="1"/>
  <c r="R23" i="13" s="1"/>
  <c r="Q24" i="13"/>
  <c r="H337" i="5"/>
  <c r="I337" i="5" s="1"/>
  <c r="D537" i="5"/>
  <c r="E537" i="5" s="1"/>
  <c r="F538" i="5"/>
  <c r="G538" i="5" s="1"/>
  <c r="C525" i="5"/>
  <c r="D526" i="5"/>
  <c r="E526" i="5" s="1"/>
  <c r="C527" i="5"/>
  <c r="C520" i="5"/>
  <c r="C516" i="5"/>
  <c r="C500" i="5"/>
  <c r="C501" i="5" s="1"/>
  <c r="C539" i="5"/>
  <c r="C540" i="5"/>
  <c r="D553" i="5"/>
  <c r="C517" i="5"/>
  <c r="EM29" i="16" l="1"/>
  <c r="EM30" i="16" s="1"/>
  <c r="EM31" i="16" s="1"/>
  <c r="ES32" i="16" s="1"/>
  <c r="R297" i="20"/>
  <c r="Q297" i="20" s="1"/>
  <c r="P297" i="20" s="1"/>
  <c r="O298" i="20"/>
  <c r="R31" i="13"/>
  <c r="S31" i="13" s="1"/>
  <c r="Z18" i="13"/>
  <c r="AG8" i="13"/>
  <c r="AH8" i="13" s="1"/>
  <c r="AI8" i="13" s="1"/>
  <c r="S23" i="13"/>
  <c r="R24" i="13"/>
  <c r="S24" i="13" s="1"/>
  <c r="P25" i="13"/>
  <c r="Q25" i="13" s="1"/>
  <c r="R25" i="13" s="1"/>
  <c r="J337" i="5"/>
  <c r="K337" i="5" s="1"/>
  <c r="D540" i="5"/>
  <c r="E540" i="5" s="1"/>
  <c r="C541" i="5"/>
  <c r="D539" i="5"/>
  <c r="E539" i="5" s="1"/>
  <c r="D501" i="5"/>
  <c r="E501" i="5" s="1"/>
  <c r="F537" i="5"/>
  <c r="G537" i="5" s="1"/>
  <c r="D527" i="5"/>
  <c r="E527" i="5" s="1"/>
  <c r="F526" i="5"/>
  <c r="G526" i="5" s="1"/>
  <c r="D517" i="5"/>
  <c r="E517" i="5" s="1"/>
  <c r="F517" i="5" s="1"/>
  <c r="C528" i="5"/>
  <c r="C502" i="5"/>
  <c r="C529" i="5"/>
  <c r="C518" i="5"/>
  <c r="C503" i="5"/>
  <c r="EP34" i="16" l="1"/>
  <c r="EQ34" i="16" s="1"/>
  <c r="ER34" i="16" s="1"/>
  <c r="ES34" i="16" s="1"/>
  <c r="ET34" i="16" s="1"/>
  <c r="EP37" i="16"/>
  <c r="EQ37" i="16" s="1"/>
  <c r="ER37" i="16" s="1"/>
  <c r="ES37" i="16" s="1"/>
  <c r="ET37" i="16" s="1"/>
  <c r="EP36" i="16"/>
  <c r="EQ36" i="16" s="1"/>
  <c r="ER36" i="16" s="1"/>
  <c r="ES36" i="16" s="1"/>
  <c r="ET36" i="16" s="1"/>
  <c r="R298" i="20"/>
  <c r="Q298" i="20" s="1"/>
  <c r="P298" i="20" s="1"/>
  <c r="O299" i="20"/>
  <c r="D528" i="5"/>
  <c r="E528" i="5" s="1"/>
  <c r="D529" i="5"/>
  <c r="E529" i="5" s="1"/>
  <c r="C530" i="5"/>
  <c r="D530" i="5" s="1"/>
  <c r="E530" i="5" s="1"/>
  <c r="F530" i="5" s="1"/>
  <c r="G530" i="5" s="1"/>
  <c r="AA18" i="13"/>
  <c r="AB18" i="13" s="1"/>
  <c r="AJ8" i="13"/>
  <c r="F501" i="5"/>
  <c r="G501" i="5" s="1"/>
  <c r="S25" i="13"/>
  <c r="D541" i="5"/>
  <c r="E541" i="5" s="1"/>
  <c r="F541" i="5" s="1"/>
  <c r="G541" i="5" s="1"/>
  <c r="F539" i="5"/>
  <c r="G539" i="5" s="1"/>
  <c r="F540" i="5"/>
  <c r="G540" i="5" s="1"/>
  <c r="D503" i="5"/>
  <c r="E503" i="5" s="1"/>
  <c r="C504" i="5"/>
  <c r="D502" i="5"/>
  <c r="E502" i="5" s="1"/>
  <c r="D518" i="5"/>
  <c r="E518" i="5" s="1"/>
  <c r="F527" i="5"/>
  <c r="G527" i="5" s="1"/>
  <c r="G517" i="5"/>
  <c r="C509" i="5"/>
  <c r="C510" i="5"/>
  <c r="Q10" i="12"/>
  <c r="C521" i="5"/>
  <c r="C542" i="5"/>
  <c r="C519" i="5"/>
  <c r="EP35" i="16" l="1"/>
  <c r="EQ35" i="16" s="1"/>
  <c r="ER35" i="16" s="1"/>
  <c r="ES35" i="16" s="1"/>
  <c r="ET35" i="16" s="1"/>
  <c r="R299" i="20"/>
  <c r="Q299" i="20" s="1"/>
  <c r="P299" i="20" s="1"/>
  <c r="O300" i="20"/>
  <c r="F528" i="5"/>
  <c r="G528" i="5" s="1"/>
  <c r="D519" i="5"/>
  <c r="E519" i="5" s="1"/>
  <c r="F529" i="5"/>
  <c r="G529" i="5" s="1"/>
  <c r="D504" i="5"/>
  <c r="E504" i="5" s="1"/>
  <c r="C511" i="5"/>
  <c r="D511" i="5" s="1"/>
  <c r="D542" i="5"/>
  <c r="E542" i="5" s="1"/>
  <c r="F518" i="5"/>
  <c r="G518" i="5" s="1"/>
  <c r="F502" i="5"/>
  <c r="G502" i="5" s="1"/>
  <c r="F503" i="5"/>
  <c r="G503" i="5" s="1"/>
  <c r="D521" i="5"/>
  <c r="E521" i="5" s="1"/>
  <c r="C505" i="5"/>
  <c r="C531" i="5"/>
  <c r="C532" i="5"/>
  <c r="R300" i="20" l="1"/>
  <c r="O301" i="20"/>
  <c r="D532" i="5"/>
  <c r="E532" i="5" s="1"/>
  <c r="D531" i="5"/>
  <c r="E531" i="5" s="1"/>
  <c r="F531" i="5" s="1"/>
  <c r="G531" i="5" s="1"/>
  <c r="F519" i="5"/>
  <c r="G519" i="5" s="1"/>
  <c r="F504" i="5"/>
  <c r="G504" i="5" s="1"/>
  <c r="D505" i="5"/>
  <c r="E505" i="5" s="1"/>
  <c r="C506" i="5"/>
  <c r="D506" i="5" s="1"/>
  <c r="E511" i="5"/>
  <c r="F542" i="5"/>
  <c r="G542" i="5" s="1"/>
  <c r="F521" i="5"/>
  <c r="G521" i="5" s="1"/>
  <c r="F511" i="5"/>
  <c r="G511" i="5" s="1"/>
  <c r="D492" i="5"/>
  <c r="E492" i="5" s="1"/>
  <c r="D487" i="5"/>
  <c r="E487" i="5" s="1"/>
  <c r="C480" i="5"/>
  <c r="C481" i="5"/>
  <c r="C486" i="5" s="1"/>
  <c r="D486" i="5" s="1"/>
  <c r="E486" i="5" s="1"/>
  <c r="C445" i="5"/>
  <c r="R301" i="20" l="1"/>
  <c r="O302" i="20"/>
  <c r="Q300" i="20"/>
  <c r="P300" i="20" s="1"/>
  <c r="F532" i="5"/>
  <c r="G532" i="5" s="1"/>
  <c r="F505" i="5"/>
  <c r="G505" i="5" s="1"/>
  <c r="E506" i="5"/>
  <c r="F506" i="5" s="1"/>
  <c r="D493" i="5"/>
  <c r="E493" i="5" s="1"/>
  <c r="F492" i="5"/>
  <c r="G492" i="5" s="1"/>
  <c r="C483" i="5"/>
  <c r="D483" i="5" s="1"/>
  <c r="E483" i="5" s="1"/>
  <c r="F487" i="5"/>
  <c r="G487" i="5" s="1"/>
  <c r="F486" i="5"/>
  <c r="G486" i="5" s="1"/>
  <c r="R302" i="20" l="1"/>
  <c r="Q302" i="20" s="1"/>
  <c r="P302" i="20" s="1"/>
  <c r="O303" i="20"/>
  <c r="Q301" i="20"/>
  <c r="P301" i="20" s="1"/>
  <c r="G506" i="5"/>
  <c r="F493" i="5"/>
  <c r="G493" i="5" s="1"/>
  <c r="D494" i="5"/>
  <c r="E494" i="5" s="1"/>
  <c r="F483" i="5"/>
  <c r="G483" i="5" s="1"/>
  <c r="AK178" i="5"/>
  <c r="AK179" i="5" s="1"/>
  <c r="AL179" i="5" s="1"/>
  <c r="AK173" i="5"/>
  <c r="AL174" i="5" s="1"/>
  <c r="AK172" i="5"/>
  <c r="C261" i="5"/>
  <c r="AL177" i="5"/>
  <c r="R303" i="20" l="1"/>
  <c r="O304" i="20"/>
  <c r="AK180" i="5"/>
  <c r="AL180" i="5" s="1"/>
  <c r="AM180" i="5" s="1"/>
  <c r="AN180" i="5" s="1"/>
  <c r="AO180" i="5" s="1"/>
  <c r="F494" i="5"/>
  <c r="G494" i="5" s="1"/>
  <c r="AL186" i="5"/>
  <c r="AM186" i="5" s="1"/>
  <c r="AM179" i="5"/>
  <c r="AK175" i="5"/>
  <c r="AK181" i="5" s="1"/>
  <c r="AM177" i="5"/>
  <c r="AM174" i="5"/>
  <c r="AN174" i="5" s="1"/>
  <c r="AK182" i="5"/>
  <c r="R304" i="20" l="1"/>
  <c r="O305" i="20"/>
  <c r="Q303" i="20"/>
  <c r="P303" i="20" s="1"/>
  <c r="AN186" i="5"/>
  <c r="AO186" i="5" s="1"/>
  <c r="AK183" i="5"/>
  <c r="AL182" i="5"/>
  <c r="AM182" i="5" s="1"/>
  <c r="AL181" i="5"/>
  <c r="AN179" i="5"/>
  <c r="AO179" i="5" s="1"/>
  <c r="AO174" i="5"/>
  <c r="AL175" i="5"/>
  <c r="AM175" i="5" s="1"/>
  <c r="AK176" i="5"/>
  <c r="AN177" i="5"/>
  <c r="AO177" i="5" s="1"/>
  <c r="AN207" i="5"/>
  <c r="AO207" i="5" s="1"/>
  <c r="DU53" i="12"/>
  <c r="DU54" i="12"/>
  <c r="DV55" i="12" s="1"/>
  <c r="DU55" i="12"/>
  <c r="DU56" i="12"/>
  <c r="DV57" i="12" s="1"/>
  <c r="DU57" i="12"/>
  <c r="DU58" i="12"/>
  <c r="DV59" i="12" s="1"/>
  <c r="DU59" i="12"/>
  <c r="DU60" i="12"/>
  <c r="DV61" i="12" s="1"/>
  <c r="DU61" i="12"/>
  <c r="DU62" i="12"/>
  <c r="DV63" i="12" s="1"/>
  <c r="DU63" i="12"/>
  <c r="DV64" i="12" s="1"/>
  <c r="DU64" i="12"/>
  <c r="DV65" i="12" s="1"/>
  <c r="DU65" i="12"/>
  <c r="DU66" i="12"/>
  <c r="DV67" i="12" s="1"/>
  <c r="DU67" i="12"/>
  <c r="DU68" i="12"/>
  <c r="DV69" i="12" s="1"/>
  <c r="DU69" i="12"/>
  <c r="DU70" i="12"/>
  <c r="DV71" i="12" s="1"/>
  <c r="DU71" i="12"/>
  <c r="DV72" i="12" s="1"/>
  <c r="DU72" i="12"/>
  <c r="DV73" i="12" s="1"/>
  <c r="DU73" i="12"/>
  <c r="DU74" i="12"/>
  <c r="DV75" i="12" s="1"/>
  <c r="DU75" i="12"/>
  <c r="DU76" i="12"/>
  <c r="DV77" i="12" s="1"/>
  <c r="DU77" i="12"/>
  <c r="DU78" i="12"/>
  <c r="DU52" i="12"/>
  <c r="DV53" i="12" s="1"/>
  <c r="DQ50" i="12"/>
  <c r="DU50" i="12"/>
  <c r="DU51" i="12"/>
  <c r="DU80" i="12" s="1"/>
  <c r="EC54" i="12"/>
  <c r="ED54" i="12" s="1"/>
  <c r="AK184" i="5"/>
  <c r="R305" i="20" l="1"/>
  <c r="Q305" i="20" s="1"/>
  <c r="P305" i="20" s="1"/>
  <c r="O306" i="20"/>
  <c r="Q304" i="20"/>
  <c r="P304" i="20" s="1"/>
  <c r="DV76" i="12"/>
  <c r="DV60" i="12"/>
  <c r="DV56" i="12"/>
  <c r="DV68" i="12"/>
  <c r="DV78" i="12"/>
  <c r="DV74" i="12"/>
  <c r="DV70" i="12"/>
  <c r="DV66" i="12"/>
  <c r="DV62" i="12"/>
  <c r="DV58" i="12"/>
  <c r="DV54" i="12"/>
  <c r="DV52" i="12"/>
  <c r="AK185" i="5"/>
  <c r="AL184" i="5"/>
  <c r="AM184" i="5" s="1"/>
  <c r="AL183" i="5"/>
  <c r="AM183" i="5" s="1"/>
  <c r="AM181" i="5"/>
  <c r="AN181" i="5" s="1"/>
  <c r="AO181" i="5" s="1"/>
  <c r="AN182" i="5"/>
  <c r="AO182" i="5" s="1"/>
  <c r="AL176" i="5"/>
  <c r="AM176" i="5" s="1"/>
  <c r="AN175" i="5"/>
  <c r="AO175" i="5" s="1"/>
  <c r="AP207" i="5"/>
  <c r="AQ207" i="5" s="1"/>
  <c r="EE54" i="12"/>
  <c r="EC50" i="12"/>
  <c r="EC49" i="12"/>
  <c r="EC56" i="12" s="1"/>
  <c r="ED56" i="12" s="1"/>
  <c r="EE56" i="12" s="1"/>
  <c r="DQ51" i="12"/>
  <c r="R306" i="20" l="1"/>
  <c r="O307" i="20"/>
  <c r="DV80" i="12"/>
  <c r="AA177" i="5"/>
  <c r="AA178" i="5" s="1"/>
  <c r="AN184" i="5"/>
  <c r="AO184" i="5" s="1"/>
  <c r="AL185" i="5"/>
  <c r="AM185" i="5" s="1"/>
  <c r="AN183" i="5"/>
  <c r="AO183" i="5" s="1"/>
  <c r="AN176" i="5"/>
  <c r="AO176" i="5" s="1"/>
  <c r="EF56" i="12"/>
  <c r="EC51" i="12"/>
  <c r="ED52" i="12" s="1"/>
  <c r="EE52" i="12" s="1"/>
  <c r="EC53" i="12"/>
  <c r="EC55" i="12"/>
  <c r="ED55" i="12" s="1"/>
  <c r="EE55" i="12" s="1"/>
  <c r="EF55" i="12" s="1"/>
  <c r="EG55" i="12" s="1"/>
  <c r="EH55" i="12" s="1"/>
  <c r="EF54" i="12"/>
  <c r="EG56" i="12"/>
  <c r="EH56" i="12" s="1"/>
  <c r="C262" i="5"/>
  <c r="DQ78" i="12"/>
  <c r="DQ77" i="12"/>
  <c r="DQ76" i="12"/>
  <c r="DR77" i="12" s="1"/>
  <c r="DQ75" i="12"/>
  <c r="DQ74" i="12"/>
  <c r="DQ73" i="12"/>
  <c r="DQ72" i="12"/>
  <c r="DR73" i="12" s="1"/>
  <c r="DQ71" i="12"/>
  <c r="DQ70" i="12"/>
  <c r="DR71" i="12" s="1"/>
  <c r="DQ69" i="12"/>
  <c r="DR70" i="12" s="1"/>
  <c r="DQ68" i="12"/>
  <c r="DQ67" i="12"/>
  <c r="DR68" i="12" s="1"/>
  <c r="DQ66" i="12"/>
  <c r="DQ65" i="12"/>
  <c r="DQ64" i="12"/>
  <c r="DQ63" i="12"/>
  <c r="DQ62" i="12"/>
  <c r="DQ61" i="12"/>
  <c r="DR62" i="12" s="1"/>
  <c r="DQ53" i="12"/>
  <c r="DQ54" i="12"/>
  <c r="DQ55" i="12"/>
  <c r="DQ56" i="12"/>
  <c r="DR57" i="12" s="1"/>
  <c r="DQ57" i="12"/>
  <c r="DQ58" i="12"/>
  <c r="DR58" i="12" s="1"/>
  <c r="DQ59" i="12"/>
  <c r="DQ60" i="12"/>
  <c r="DR61" i="12" s="1"/>
  <c r="DQ52" i="12"/>
  <c r="DR52" i="12" s="1"/>
  <c r="AA179" i="5"/>
  <c r="R307" i="20" l="1"/>
  <c r="Q307" i="20" s="1"/>
  <c r="P307" i="20" s="1"/>
  <c r="O308" i="20"/>
  <c r="Q306" i="20"/>
  <c r="P306" i="20" s="1"/>
  <c r="DR69" i="12"/>
  <c r="DR74" i="12"/>
  <c r="DR78" i="12"/>
  <c r="DR65" i="12"/>
  <c r="DR54" i="12"/>
  <c r="DR60" i="12"/>
  <c r="DR56" i="12"/>
  <c r="DR67" i="12"/>
  <c r="DR72" i="12"/>
  <c r="DR76" i="12"/>
  <c r="DQ80" i="12"/>
  <c r="AN185" i="5"/>
  <c r="AO185" i="5" s="1"/>
  <c r="DR59" i="12"/>
  <c r="DR75" i="12"/>
  <c r="DR53" i="12"/>
  <c r="DR66" i="12"/>
  <c r="DR55" i="12"/>
  <c r="ED53" i="12"/>
  <c r="EE53" i="12" s="1"/>
  <c r="EG54" i="12"/>
  <c r="EH54" i="12" s="1"/>
  <c r="EF52" i="12"/>
  <c r="EG52" i="12" s="1"/>
  <c r="DR64" i="12"/>
  <c r="DR63" i="12"/>
  <c r="DL80" i="12"/>
  <c r="DM80" i="12" s="1"/>
  <c r="DN80" i="12" s="1"/>
  <c r="DN43" i="12"/>
  <c r="DN42" i="12"/>
  <c r="DN34" i="12"/>
  <c r="DL34" i="12" s="1"/>
  <c r="DN35" i="12"/>
  <c r="DL35" i="12" s="1"/>
  <c r="DN36" i="12"/>
  <c r="DL36" i="12" s="1"/>
  <c r="DN37" i="12"/>
  <c r="DL37" i="12" s="1"/>
  <c r="DN38" i="12"/>
  <c r="DN39" i="12"/>
  <c r="DL39" i="12" s="1"/>
  <c r="DN33" i="12"/>
  <c r="DL33" i="12" s="1"/>
  <c r="R308" i="20" l="1"/>
  <c r="O309" i="20"/>
  <c r="DR80" i="12"/>
  <c r="EF53" i="12"/>
  <c r="EG53" i="12" s="1"/>
  <c r="EH53" i="12" s="1"/>
  <c r="EH52" i="12"/>
  <c r="DO80" i="12"/>
  <c r="DP80" i="12" s="1"/>
  <c r="DN40" i="12"/>
  <c r="DL38" i="12"/>
  <c r="DL40" i="12" s="1"/>
  <c r="BE356" i="5"/>
  <c r="BE357" i="5" s="1"/>
  <c r="BF357" i="5" s="1"/>
  <c r="BE352" i="5"/>
  <c r="BE353" i="5" s="1"/>
  <c r="BE349" i="5"/>
  <c r="BF349" i="5" s="1"/>
  <c r="BG349" i="5" s="1"/>
  <c r="BF346" i="5"/>
  <c r="BE345" i="5"/>
  <c r="BE343" i="5"/>
  <c r="BE347" i="5" s="1"/>
  <c r="BE348" i="5" s="1"/>
  <c r="BE340" i="5"/>
  <c r="BE339" i="5"/>
  <c r="DT8" i="16" l="1"/>
  <c r="DU8" i="16" s="1"/>
  <c r="DV8" i="16" s="1"/>
  <c r="DW8" i="16" s="1"/>
  <c r="DT17" i="16"/>
  <c r="DU17" i="16" s="1"/>
  <c r="DV17" i="16" s="1"/>
  <c r="DW17" i="16" s="1"/>
  <c r="DT16" i="16"/>
  <c r="DU16" i="16" s="1"/>
  <c r="DV16" i="16" s="1"/>
  <c r="DW16" i="16" s="1"/>
  <c r="DT9" i="16"/>
  <c r="DU9" i="16" s="1"/>
  <c r="DV9" i="16" s="1"/>
  <c r="DW9" i="16" s="1"/>
  <c r="DP25" i="16"/>
  <c r="DP26" i="16" s="1"/>
  <c r="DP27" i="16" s="1"/>
  <c r="DV28" i="16" s="1"/>
  <c r="DT15" i="16"/>
  <c r="DT7" i="16"/>
  <c r="DU7" i="16" s="1"/>
  <c r="R309" i="20"/>
  <c r="Q309" i="20" s="1"/>
  <c r="P309" i="20" s="1"/>
  <c r="O310" i="20"/>
  <c r="Q308" i="20"/>
  <c r="P308" i="20" s="1"/>
  <c r="BE350" i="5"/>
  <c r="BE351" i="5" s="1"/>
  <c r="BF351" i="5" s="1"/>
  <c r="BF352" i="5"/>
  <c r="BG352" i="5" s="1"/>
  <c r="BE354" i="5"/>
  <c r="BF354" i="5" s="1"/>
  <c r="BE341" i="5"/>
  <c r="BG357" i="5"/>
  <c r="BH357" i="5"/>
  <c r="BH349" i="5"/>
  <c r="BI349" i="5" s="1"/>
  <c r="BG346" i="5"/>
  <c r="BH346" i="5" s="1"/>
  <c r="DT33" i="16"/>
  <c r="DV7" i="16" l="1"/>
  <c r="DW7" i="16" s="1"/>
  <c r="R310" i="20"/>
  <c r="Q310" i="20" s="1"/>
  <c r="P310" i="20" s="1"/>
  <c r="O311" i="20"/>
  <c r="BG354" i="5"/>
  <c r="BG351" i="5"/>
  <c r="BH351" i="5" s="1"/>
  <c r="BI351" i="5" s="1"/>
  <c r="BF350" i="5"/>
  <c r="BG350" i="5" s="1"/>
  <c r="BF341" i="5"/>
  <c r="BG341" i="5" s="1"/>
  <c r="BE342" i="5"/>
  <c r="BE344" i="5" s="1"/>
  <c r="BI357" i="5"/>
  <c r="BH352" i="5"/>
  <c r="BI352" i="5" s="1"/>
  <c r="BH354" i="5"/>
  <c r="BI354" i="5" s="1"/>
  <c r="BI346" i="5"/>
  <c r="BH341" i="5"/>
  <c r="BI341" i="5" s="1"/>
  <c r="AK347" i="5"/>
  <c r="AN326" i="5"/>
  <c r="AA347" i="5"/>
  <c r="AD326" i="5"/>
  <c r="AS352" i="5"/>
  <c r="AT352" i="5" s="1"/>
  <c r="AU352" i="5" s="1"/>
  <c r="AS353" i="5"/>
  <c r="AT353" i="5" s="1"/>
  <c r="AU353" i="5" s="1"/>
  <c r="AS354" i="5"/>
  <c r="AT354" i="5" s="1"/>
  <c r="AU354" i="5" s="1"/>
  <c r="AS355" i="5"/>
  <c r="AT355" i="5" s="1"/>
  <c r="AU355" i="5" s="1"/>
  <c r="AS356" i="5"/>
  <c r="AT356" i="5" s="1"/>
  <c r="AU356" i="5" s="1"/>
  <c r="AS357" i="5"/>
  <c r="AT357" i="5" s="1"/>
  <c r="AU357" i="5" s="1"/>
  <c r="AS358" i="5"/>
  <c r="AT358" i="5" s="1"/>
  <c r="AU358" i="5" s="1"/>
  <c r="AS359" i="5"/>
  <c r="AT359" i="5" s="1"/>
  <c r="AU359" i="5" s="1"/>
  <c r="AS360" i="5"/>
  <c r="AT360" i="5" s="1"/>
  <c r="AU360" i="5" s="1"/>
  <c r="AS361" i="5"/>
  <c r="AT361" i="5" s="1"/>
  <c r="AU361" i="5" s="1"/>
  <c r="AS362" i="5"/>
  <c r="AT362" i="5" s="1"/>
  <c r="AU362" i="5" s="1"/>
  <c r="AS363" i="5"/>
  <c r="AT363" i="5" s="1"/>
  <c r="AU363" i="5" s="1"/>
  <c r="AS364" i="5"/>
  <c r="AT364" i="5" s="1"/>
  <c r="AU364" i="5" s="1"/>
  <c r="AS365" i="5"/>
  <c r="AT365" i="5" s="1"/>
  <c r="AU365" i="5" s="1"/>
  <c r="AS366" i="5"/>
  <c r="AT366" i="5" s="1"/>
  <c r="AU366" i="5" s="1"/>
  <c r="AS367" i="5"/>
  <c r="AT367" i="5" s="1"/>
  <c r="AU367" i="5" s="1"/>
  <c r="AS368" i="5"/>
  <c r="AT368" i="5" s="1"/>
  <c r="AU368" i="5" s="1"/>
  <c r="AS369" i="5"/>
  <c r="AT369" i="5" s="1"/>
  <c r="AS370" i="5"/>
  <c r="AT370" i="5" s="1"/>
  <c r="AS371" i="5"/>
  <c r="AT371" i="5" s="1"/>
  <c r="AS372" i="5"/>
  <c r="AT372" i="5" s="1"/>
  <c r="AS373" i="5"/>
  <c r="AT373" i="5" s="1"/>
  <c r="S326" i="5"/>
  <c r="R326" i="5"/>
  <c r="C328" i="5"/>
  <c r="DU15" i="16" l="1"/>
  <c r="DV15" i="16" s="1"/>
  <c r="DU33" i="16"/>
  <c r="DV33" i="16" s="1"/>
  <c r="DW33" i="16" s="1"/>
  <c r="DX33" i="16" s="1"/>
  <c r="R311" i="20"/>
  <c r="O312" i="20"/>
  <c r="AU372" i="5"/>
  <c r="AV372" i="5" s="1"/>
  <c r="BF342" i="5"/>
  <c r="BG342" i="5" s="1"/>
  <c r="AU373" i="5"/>
  <c r="AV373" i="5" s="1"/>
  <c r="AV367" i="5"/>
  <c r="BH350" i="5"/>
  <c r="BI350" i="5" s="1"/>
  <c r="AV359" i="5"/>
  <c r="AV363" i="5"/>
  <c r="BF344" i="5"/>
  <c r="BG344" i="5" s="1"/>
  <c r="BH344" i="5" s="1"/>
  <c r="AV355" i="5"/>
  <c r="AV365" i="5"/>
  <c r="AV357" i="5"/>
  <c r="AV361" i="5"/>
  <c r="AV353" i="5"/>
  <c r="AU371" i="5"/>
  <c r="AV371" i="5" s="1"/>
  <c r="AV368" i="5"/>
  <c r="AV366" i="5"/>
  <c r="AV364" i="5"/>
  <c r="AV362" i="5"/>
  <c r="AV360" i="5"/>
  <c r="AV358" i="5"/>
  <c r="AV356" i="5"/>
  <c r="AV354" i="5"/>
  <c r="AV352" i="5"/>
  <c r="AU370" i="5"/>
  <c r="AV370" i="5" s="1"/>
  <c r="AU369" i="5"/>
  <c r="AV369" i="5" s="1"/>
  <c r="R347" i="5"/>
  <c r="R353" i="5"/>
  <c r="G338" i="5"/>
  <c r="C330" i="5"/>
  <c r="DW15" i="16" l="1"/>
  <c r="R312" i="20"/>
  <c r="O313" i="20"/>
  <c r="Q311" i="20"/>
  <c r="P311" i="20" s="1"/>
  <c r="BI344" i="5"/>
  <c r="BH342" i="5"/>
  <c r="BI342" i="5" s="1"/>
  <c r="C177" i="5"/>
  <c r="C178" i="5" s="1"/>
  <c r="C384" i="5"/>
  <c r="C385" i="5"/>
  <c r="C387" i="5"/>
  <c r="C396" i="5"/>
  <c r="C388" i="5"/>
  <c r="C331" i="5"/>
  <c r="C179" i="5"/>
  <c r="R313" i="20" l="1"/>
  <c r="O314" i="20"/>
  <c r="Q312" i="20"/>
  <c r="P312" i="20" s="1"/>
  <c r="C332" i="5"/>
  <c r="C383" i="5"/>
  <c r="C180" i="5"/>
  <c r="C392" i="5"/>
  <c r="C393" i="5" s="1"/>
  <c r="C389" i="5"/>
  <c r="AK379" i="5"/>
  <c r="AS379" i="5" s="1"/>
  <c r="C394" i="5"/>
  <c r="C390" i="5"/>
  <c r="R314" i="20" l="1"/>
  <c r="O315" i="20"/>
  <c r="Q313" i="20"/>
  <c r="P313" i="20" s="1"/>
  <c r="R315" i="20" l="1"/>
  <c r="Q315" i="20" s="1"/>
  <c r="P315" i="20" s="1"/>
  <c r="O316" i="20"/>
  <c r="Q314" i="20"/>
  <c r="P314" i="20" s="1"/>
  <c r="P227" i="5"/>
  <c r="P223" i="5"/>
  <c r="P221" i="5"/>
  <c r="P224" i="5" s="1"/>
  <c r="P225" i="5" s="1"/>
  <c r="P226" i="5" s="1"/>
  <c r="P222" i="5"/>
  <c r="R316" i="20" l="1"/>
  <c r="Q316" i="20" s="1"/>
  <c r="P316" i="20" s="1"/>
  <c r="O317" i="20"/>
  <c r="FJ14" i="16" l="1"/>
  <c r="FK17" i="16"/>
  <c r="FL17" i="16" s="1"/>
  <c r="O318" i="20"/>
  <c r="R317" i="20"/>
  <c r="C282" i="5"/>
  <c r="AK409" i="5"/>
  <c r="AL379" i="5"/>
  <c r="C283" i="5"/>
  <c r="Q317" i="20" l="1"/>
  <c r="P317" i="20" s="1"/>
  <c r="R318" i="20"/>
  <c r="O319" i="20"/>
  <c r="BJ456" i="5"/>
  <c r="AB444" i="5"/>
  <c r="BT464" i="5"/>
  <c r="BC464" i="5"/>
  <c r="AL464" i="5"/>
  <c r="U464" i="5"/>
  <c r="D464" i="5"/>
  <c r="E464" i="5" s="1"/>
  <c r="F464" i="5" s="1"/>
  <c r="BT463" i="5"/>
  <c r="BU463" i="5" s="1"/>
  <c r="BC463" i="5"/>
  <c r="AL463" i="5"/>
  <c r="U463" i="5"/>
  <c r="V463" i="5" s="1"/>
  <c r="W463" i="5" s="1"/>
  <c r="D463" i="5"/>
  <c r="E463" i="5" s="1"/>
  <c r="BS456" i="5"/>
  <c r="BT456" i="5" s="1"/>
  <c r="BU456" i="5" s="1"/>
  <c r="BB456" i="5"/>
  <c r="AK456" i="5"/>
  <c r="AL456" i="5" s="1"/>
  <c r="AM456" i="5" s="1"/>
  <c r="T456" i="5"/>
  <c r="D456" i="5"/>
  <c r="E456" i="5" s="1"/>
  <c r="C456" i="5"/>
  <c r="BS447" i="5"/>
  <c r="BT447" i="5" s="1"/>
  <c r="BU447" i="5" s="1"/>
  <c r="BV447" i="5" s="1"/>
  <c r="BB447" i="5"/>
  <c r="AL447" i="5"/>
  <c r="AM447" i="5" s="1"/>
  <c r="AN447" i="5" s="1"/>
  <c r="AK447" i="5"/>
  <c r="T447" i="5"/>
  <c r="C447" i="5"/>
  <c r="CA446" i="5"/>
  <c r="BS446" i="5" s="1"/>
  <c r="BJ446" i="5"/>
  <c r="BB446" i="5" s="1"/>
  <c r="AS446" i="5"/>
  <c r="AK446" i="5" s="1"/>
  <c r="AB446" i="5"/>
  <c r="T446" i="5" s="1"/>
  <c r="C446" i="5"/>
  <c r="K446" i="5" s="1"/>
  <c r="CA445" i="5"/>
  <c r="BS445" i="5" s="1"/>
  <c r="BJ445" i="5"/>
  <c r="BB445" i="5" s="1"/>
  <c r="AS445" i="5"/>
  <c r="AK445" i="5" s="1"/>
  <c r="AB445" i="5"/>
  <c r="T445" i="5" s="1"/>
  <c r="K445" i="5"/>
  <c r="CA444" i="5"/>
  <c r="BJ444" i="5"/>
  <c r="BB444" i="5" s="1"/>
  <c r="AS444" i="5"/>
  <c r="C444" i="5"/>
  <c r="CA441" i="5"/>
  <c r="CA440" i="5" s="1"/>
  <c r="BJ441" i="5"/>
  <c r="BB441" i="5" s="1"/>
  <c r="BB440" i="5" s="1"/>
  <c r="AS441" i="5"/>
  <c r="AS440" i="5" s="1"/>
  <c r="AB441" i="5"/>
  <c r="T441" i="5" s="1"/>
  <c r="T440" i="5" s="1"/>
  <c r="C441" i="5"/>
  <c r="CB439" i="5"/>
  <c r="CA456" i="5" s="1"/>
  <c r="CA439" i="5"/>
  <c r="CA454" i="5" s="1"/>
  <c r="BM439" i="5"/>
  <c r="BL439" i="5"/>
  <c r="BJ439" i="5"/>
  <c r="AV439" i="5"/>
  <c r="AU439" i="5"/>
  <c r="AT439" i="5"/>
  <c r="AS456" i="5" s="1"/>
  <c r="AS439" i="5"/>
  <c r="AC439" i="5"/>
  <c r="AB456" i="5" s="1"/>
  <c r="AB439" i="5"/>
  <c r="L439" i="5"/>
  <c r="K456" i="5" s="1"/>
  <c r="K439" i="5"/>
  <c r="K447" i="5" s="1"/>
  <c r="R319" i="20" l="1"/>
  <c r="O320" i="20"/>
  <c r="Q318" i="20"/>
  <c r="P318" i="20" s="1"/>
  <c r="BV463" i="5"/>
  <c r="BW463" i="5" s="1"/>
  <c r="BU464" i="5"/>
  <c r="BV464" i="5" s="1"/>
  <c r="BD464" i="5"/>
  <c r="BE464" i="5" s="1"/>
  <c r="BF464" i="5" s="1"/>
  <c r="BB443" i="5"/>
  <c r="BJ443" i="5"/>
  <c r="BJ461" i="5"/>
  <c r="BK461" i="5" s="1"/>
  <c r="BL461" i="5" s="1"/>
  <c r="BJ440" i="5"/>
  <c r="CA443" i="5"/>
  <c r="BS444" i="5"/>
  <c r="BS443" i="5" s="1"/>
  <c r="BS441" i="5"/>
  <c r="BS440" i="5" s="1"/>
  <c r="AB440" i="5"/>
  <c r="D447" i="5"/>
  <c r="E447" i="5" s="1"/>
  <c r="K454" i="5"/>
  <c r="C443" i="5"/>
  <c r="D443" i="5" s="1"/>
  <c r="E443" i="5" s="1"/>
  <c r="F443" i="5" s="1"/>
  <c r="AS443" i="5"/>
  <c r="AK444" i="5"/>
  <c r="AK443" i="5" s="1"/>
  <c r="AL443" i="5" s="1"/>
  <c r="AK441" i="5"/>
  <c r="AK457" i="5" s="1"/>
  <c r="U440" i="5"/>
  <c r="V440" i="5" s="1"/>
  <c r="AS447" i="5"/>
  <c r="AS454" i="5"/>
  <c r="AT456" i="5"/>
  <c r="AU456" i="5" s="1"/>
  <c r="AV456" i="5" s="1"/>
  <c r="AW456" i="5" s="1"/>
  <c r="BC440" i="5"/>
  <c r="K441" i="5"/>
  <c r="K440" i="5" s="1"/>
  <c r="C440" i="5"/>
  <c r="BB458" i="5"/>
  <c r="BB457" i="5"/>
  <c r="AB454" i="5"/>
  <c r="AB447" i="5"/>
  <c r="BT440" i="5"/>
  <c r="BU440" i="5" s="1"/>
  <c r="BC443" i="5"/>
  <c r="BD443" i="5" s="1"/>
  <c r="BJ454" i="5"/>
  <c r="BJ447" i="5"/>
  <c r="K444" i="5"/>
  <c r="K443" i="5" s="1"/>
  <c r="U447" i="5"/>
  <c r="V447" i="5" s="1"/>
  <c r="W447" i="5" s="1"/>
  <c r="BC447" i="5"/>
  <c r="T452" i="5"/>
  <c r="AS458" i="5"/>
  <c r="AS459" i="5"/>
  <c r="BJ459" i="5"/>
  <c r="BJ458" i="5"/>
  <c r="C452" i="5"/>
  <c r="AK452" i="5"/>
  <c r="AO447" i="5"/>
  <c r="CA447" i="5"/>
  <c r="BB452" i="5"/>
  <c r="BC456" i="5"/>
  <c r="BD456" i="5" s="1"/>
  <c r="U456" i="5"/>
  <c r="AC456" i="5"/>
  <c r="AS461" i="5"/>
  <c r="CB456" i="5"/>
  <c r="CC456" i="5" s="1"/>
  <c r="CD456" i="5" s="1"/>
  <c r="L456" i="5"/>
  <c r="M456" i="5" s="1"/>
  <c r="N456" i="5" s="1"/>
  <c r="BK456" i="5"/>
  <c r="BL456" i="5" s="1"/>
  <c r="BM456" i="5" s="1"/>
  <c r="BS452" i="5"/>
  <c r="F463" i="5"/>
  <c r="G463" i="5" s="1"/>
  <c r="BW447" i="5"/>
  <c r="BD463" i="5"/>
  <c r="BE463" i="5" s="1"/>
  <c r="BF463" i="5" s="1"/>
  <c r="F456" i="5"/>
  <c r="G456" i="5" s="1"/>
  <c r="AN456" i="5"/>
  <c r="AO456" i="5" s="1"/>
  <c r="AM463" i="5"/>
  <c r="V464" i="5"/>
  <c r="W464" i="5" s="1"/>
  <c r="X464" i="5" s="1"/>
  <c r="BV456" i="5"/>
  <c r="BW456" i="5" s="1"/>
  <c r="G464" i="5"/>
  <c r="AM464" i="5"/>
  <c r="AN464" i="5" s="1"/>
  <c r="AO464" i="5" s="1"/>
  <c r="X463" i="5"/>
  <c r="BT434" i="5"/>
  <c r="BC434" i="5"/>
  <c r="AL434" i="5"/>
  <c r="U434" i="5"/>
  <c r="D434" i="5"/>
  <c r="E434" i="5" s="1"/>
  <c r="BT433" i="5"/>
  <c r="BC433" i="5"/>
  <c r="BD433" i="5" s="1"/>
  <c r="AL433" i="5"/>
  <c r="U433" i="5"/>
  <c r="V433" i="5" s="1"/>
  <c r="D433" i="5"/>
  <c r="BS426" i="5"/>
  <c r="BT426" i="5" s="1"/>
  <c r="BU426" i="5" s="1"/>
  <c r="BB426" i="5"/>
  <c r="BC426" i="5" s="1"/>
  <c r="AK426" i="5"/>
  <c r="T426" i="5"/>
  <c r="U426" i="5" s="1"/>
  <c r="C426" i="5"/>
  <c r="BS417" i="5"/>
  <c r="BT417" i="5" s="1"/>
  <c r="BU417" i="5" s="1"/>
  <c r="BB417" i="5"/>
  <c r="BC417" i="5" s="1"/>
  <c r="BD417" i="5" s="1"/>
  <c r="AK417" i="5"/>
  <c r="AL417" i="5" s="1"/>
  <c r="T417" i="5"/>
  <c r="T422" i="5" s="1"/>
  <c r="C417" i="5"/>
  <c r="D417" i="5" s="1"/>
  <c r="CA416" i="5"/>
  <c r="BS416" i="5" s="1"/>
  <c r="BJ416" i="5"/>
  <c r="BB416" i="5" s="1"/>
  <c r="AS416" i="5"/>
  <c r="AK416" i="5" s="1"/>
  <c r="AB416" i="5"/>
  <c r="T416" i="5" s="1"/>
  <c r="C416" i="5"/>
  <c r="K416" i="5" s="1"/>
  <c r="CA415" i="5"/>
  <c r="BS415" i="5" s="1"/>
  <c r="BJ415" i="5"/>
  <c r="BB415" i="5" s="1"/>
  <c r="AS415" i="5"/>
  <c r="AK415" i="5" s="1"/>
  <c r="AB415" i="5"/>
  <c r="T415" i="5" s="1"/>
  <c r="C415" i="5"/>
  <c r="K415" i="5" s="1"/>
  <c r="CA414" i="5"/>
  <c r="BJ414" i="5"/>
  <c r="BB414" i="5" s="1"/>
  <c r="AS414" i="5"/>
  <c r="AB414" i="5"/>
  <c r="T414" i="5" s="1"/>
  <c r="C414" i="5"/>
  <c r="CA411" i="5"/>
  <c r="CA410" i="5" s="1"/>
  <c r="BJ411" i="5"/>
  <c r="BB411" i="5" s="1"/>
  <c r="BB428" i="5" s="1"/>
  <c r="BC428" i="5" s="1"/>
  <c r="AS411" i="5"/>
  <c r="AS410" i="5" s="1"/>
  <c r="AB411" i="5"/>
  <c r="T411" i="5" s="1"/>
  <c r="T410" i="5" s="1"/>
  <c r="C410" i="5"/>
  <c r="CB409" i="5"/>
  <c r="CA426" i="5" s="1"/>
  <c r="CA409" i="5"/>
  <c r="BM409" i="5"/>
  <c r="BL409" i="5"/>
  <c r="BK409" i="5"/>
  <c r="BJ426" i="5" s="1"/>
  <c r="BK426" i="5" s="1"/>
  <c r="BJ409" i="5"/>
  <c r="BJ424" i="5" s="1"/>
  <c r="AV409" i="5"/>
  <c r="AU409" i="5"/>
  <c r="AT409" i="5"/>
  <c r="AS426" i="5" s="1"/>
  <c r="AT426" i="5" s="1"/>
  <c r="AS409" i="5"/>
  <c r="AC409" i="5"/>
  <c r="AB426" i="5" s="1"/>
  <c r="AB409" i="5"/>
  <c r="AB424" i="5" s="1"/>
  <c r="L409" i="5"/>
  <c r="K426" i="5" s="1"/>
  <c r="K409" i="5"/>
  <c r="R320" i="20" l="1"/>
  <c r="O321" i="20"/>
  <c r="Q319" i="20"/>
  <c r="P319" i="20" s="1"/>
  <c r="AK440" i="5"/>
  <c r="AK458" i="5"/>
  <c r="AL458" i="5" s="1"/>
  <c r="C422" i="5"/>
  <c r="C423" i="5" s="1"/>
  <c r="AB417" i="5"/>
  <c r="BW464" i="5"/>
  <c r="AM434" i="5"/>
  <c r="AN434" i="5" s="1"/>
  <c r="BU434" i="5"/>
  <c r="BV434" i="5" s="1"/>
  <c r="BW434" i="5" s="1"/>
  <c r="D422" i="5"/>
  <c r="BE433" i="5"/>
  <c r="BF433" i="5" s="1"/>
  <c r="F447" i="5"/>
  <c r="G447" i="5" s="1"/>
  <c r="G443" i="5"/>
  <c r="AM443" i="5"/>
  <c r="AN443" i="5" s="1"/>
  <c r="AO443" i="5" s="1"/>
  <c r="W440" i="5"/>
  <c r="X440" i="5" s="1"/>
  <c r="BE456" i="5"/>
  <c r="BF456" i="5" s="1"/>
  <c r="AT461" i="5"/>
  <c r="AU461" i="5" s="1"/>
  <c r="V456" i="5"/>
  <c r="W456" i="5" s="1"/>
  <c r="AK453" i="5"/>
  <c r="AL452" i="5"/>
  <c r="AM452" i="5" s="1"/>
  <c r="AT458" i="5"/>
  <c r="AU458" i="5" s="1"/>
  <c r="BN456" i="5"/>
  <c r="X447" i="5"/>
  <c r="AL440" i="5"/>
  <c r="BC457" i="5"/>
  <c r="AT459" i="5"/>
  <c r="AU459" i="5" s="1"/>
  <c r="AV459" i="5" s="1"/>
  <c r="AN463" i="5"/>
  <c r="AO463" i="5" s="1"/>
  <c r="CE456" i="5"/>
  <c r="O456" i="5"/>
  <c r="AD456" i="5"/>
  <c r="AE456" i="5" s="1"/>
  <c r="AF456" i="5" s="1"/>
  <c r="BD447" i="5"/>
  <c r="BK458" i="5"/>
  <c r="BL458" i="5" s="1"/>
  <c r="BE443" i="5"/>
  <c r="BF443" i="5" s="1"/>
  <c r="BC458" i="5"/>
  <c r="BD440" i="5"/>
  <c r="C453" i="5"/>
  <c r="D452" i="5"/>
  <c r="E452" i="5" s="1"/>
  <c r="F452" i="5" s="1"/>
  <c r="BT443" i="5"/>
  <c r="BU443" i="5" s="1"/>
  <c r="BV443" i="5" s="1"/>
  <c r="BW443" i="5" s="1"/>
  <c r="BM461" i="5"/>
  <c r="BN461" i="5" s="1"/>
  <c r="AL457" i="5"/>
  <c r="AM457" i="5" s="1"/>
  <c r="AN457" i="5" s="1"/>
  <c r="BS453" i="5"/>
  <c r="BT452" i="5"/>
  <c r="BU452" i="5" s="1"/>
  <c r="BB453" i="5"/>
  <c r="BC452" i="5"/>
  <c r="BK459" i="5"/>
  <c r="T453" i="5"/>
  <c r="U452" i="5"/>
  <c r="V452" i="5" s="1"/>
  <c r="W452" i="5" s="1"/>
  <c r="BV440" i="5"/>
  <c r="BW440" i="5" s="1"/>
  <c r="D440" i="5"/>
  <c r="BE440" i="5"/>
  <c r="AM417" i="5"/>
  <c r="AK422" i="5"/>
  <c r="AL422" i="5" s="1"/>
  <c r="AM422" i="5" s="1"/>
  <c r="T423" i="5"/>
  <c r="U423" i="5" s="1"/>
  <c r="V423" i="5" s="1"/>
  <c r="W423" i="5" s="1"/>
  <c r="U422" i="5"/>
  <c r="V422" i="5" s="1"/>
  <c r="W422" i="5" s="1"/>
  <c r="X422" i="5" s="1"/>
  <c r="BB413" i="5"/>
  <c r="BC413" i="5" s="1"/>
  <c r="BD413" i="5" s="1"/>
  <c r="BJ410" i="5"/>
  <c r="BJ431" i="5"/>
  <c r="BK431" i="5" s="1"/>
  <c r="BL431" i="5" s="1"/>
  <c r="BJ429" i="5"/>
  <c r="BK429" i="5" s="1"/>
  <c r="BL429" i="5" s="1"/>
  <c r="BB410" i="5"/>
  <c r="BC410" i="5" s="1"/>
  <c r="BB427" i="5"/>
  <c r="BC427" i="5" s="1"/>
  <c r="BD427" i="5" s="1"/>
  <c r="CA413" i="5"/>
  <c r="BS414" i="5"/>
  <c r="BS413" i="5" s="1"/>
  <c r="BT413" i="5" s="1"/>
  <c r="BS411" i="5"/>
  <c r="T413" i="5"/>
  <c r="U413" i="5" s="1"/>
  <c r="V413" i="5" s="1"/>
  <c r="U410" i="5"/>
  <c r="V410" i="5" s="1"/>
  <c r="AB410" i="5"/>
  <c r="C413" i="5"/>
  <c r="D413" i="5" s="1"/>
  <c r="E413" i="5" s="1"/>
  <c r="AS413" i="5"/>
  <c r="AK414" i="5"/>
  <c r="AK413" i="5" s="1"/>
  <c r="AL413" i="5" s="1"/>
  <c r="AK411" i="5"/>
  <c r="AK428" i="5" s="1"/>
  <c r="AL428" i="5" s="1"/>
  <c r="AS431" i="5"/>
  <c r="AT431" i="5" s="1"/>
  <c r="D410" i="5"/>
  <c r="E410" i="5" s="1"/>
  <c r="D423" i="5"/>
  <c r="E423" i="5" s="1"/>
  <c r="F423" i="5" s="1"/>
  <c r="D426" i="5"/>
  <c r="E426" i="5" s="1"/>
  <c r="BJ428" i="5"/>
  <c r="K424" i="5"/>
  <c r="K417" i="5"/>
  <c r="K414" i="5"/>
  <c r="K413" i="5" s="1"/>
  <c r="K411" i="5"/>
  <c r="K410" i="5" s="1"/>
  <c r="BV417" i="5"/>
  <c r="BW417" i="5" s="1"/>
  <c r="BD426" i="5"/>
  <c r="BE426" i="5" s="1"/>
  <c r="AS424" i="5"/>
  <c r="AS417" i="5"/>
  <c r="CA424" i="5"/>
  <c r="CA417" i="5"/>
  <c r="BD428" i="5"/>
  <c r="BE428" i="5" s="1"/>
  <c r="AB413" i="5"/>
  <c r="E417" i="5"/>
  <c r="U417" i="5"/>
  <c r="BB422" i="5"/>
  <c r="BE417" i="5"/>
  <c r="BF417" i="5" s="1"/>
  <c r="BJ417" i="5"/>
  <c r="BS422" i="5"/>
  <c r="L426" i="5"/>
  <c r="AC426" i="5"/>
  <c r="AD426" i="5" s="1"/>
  <c r="AU426" i="5"/>
  <c r="BV426" i="5"/>
  <c r="BW426" i="5" s="1"/>
  <c r="AS429" i="5"/>
  <c r="AS428" i="5"/>
  <c r="BL426" i="5"/>
  <c r="BM426" i="5" s="1"/>
  <c r="BN426" i="5" s="1"/>
  <c r="BJ413" i="5"/>
  <c r="V426" i="5"/>
  <c r="W426" i="5" s="1"/>
  <c r="AL426" i="5"/>
  <c r="AM426" i="5" s="1"/>
  <c r="CB426" i="5"/>
  <c r="AM433" i="5"/>
  <c r="AN433" i="5" s="1"/>
  <c r="AO433" i="5" s="1"/>
  <c r="W433" i="5"/>
  <c r="X433" i="5" s="1"/>
  <c r="V434" i="5"/>
  <c r="F434" i="5"/>
  <c r="G434" i="5" s="1"/>
  <c r="E433" i="5"/>
  <c r="F433" i="5" s="1"/>
  <c r="BU433" i="5"/>
  <c r="BV433" i="5" s="1"/>
  <c r="BD434" i="5"/>
  <c r="BE434" i="5" s="1"/>
  <c r="BT404" i="5"/>
  <c r="BT403" i="5"/>
  <c r="BS396" i="5"/>
  <c r="BT396" i="5" s="1"/>
  <c r="BU396" i="5" s="1"/>
  <c r="BS387" i="5"/>
  <c r="BT387" i="5" s="1"/>
  <c r="CA386" i="5"/>
  <c r="BS386" i="5" s="1"/>
  <c r="CA385" i="5"/>
  <c r="BS385" i="5" s="1"/>
  <c r="CA384" i="5"/>
  <c r="CA381" i="5"/>
  <c r="CA380" i="5" s="1"/>
  <c r="CD379" i="5"/>
  <c r="CC379" i="5"/>
  <c r="CA398" i="5" s="1"/>
  <c r="CB379" i="5"/>
  <c r="CA396" i="5" s="1"/>
  <c r="CA379" i="5"/>
  <c r="CA394" i="5" s="1"/>
  <c r="BC404" i="5"/>
  <c r="BC403" i="5"/>
  <c r="BB396" i="5"/>
  <c r="BC396" i="5" s="1"/>
  <c r="BD396" i="5" s="1"/>
  <c r="BB387" i="5"/>
  <c r="BC387" i="5" s="1"/>
  <c r="BJ386" i="5"/>
  <c r="BB386" i="5" s="1"/>
  <c r="BJ385" i="5"/>
  <c r="BB385" i="5" s="1"/>
  <c r="BJ384" i="5"/>
  <c r="BJ381" i="5"/>
  <c r="BJ380" i="5" s="1"/>
  <c r="BM379" i="5"/>
  <c r="BL379" i="5"/>
  <c r="BJ398" i="5" s="1"/>
  <c r="BK379" i="5"/>
  <c r="BJ396" i="5" s="1"/>
  <c r="BJ379" i="5"/>
  <c r="BJ394" i="5" s="1"/>
  <c r="AT379" i="5"/>
  <c r="AS396" i="5" s="1"/>
  <c r="AC379" i="5"/>
  <c r="AB396" i="5" s="1"/>
  <c r="AB379" i="5"/>
  <c r="AB394" i="5" s="1"/>
  <c r="L379" i="5"/>
  <c r="K396" i="5" s="1"/>
  <c r="K379" i="5"/>
  <c r="K394" i="5" s="1"/>
  <c r="AK396" i="5"/>
  <c r="AL396" i="5" s="1"/>
  <c r="AM396" i="5" s="1"/>
  <c r="AL404" i="5"/>
  <c r="AM404" i="5" s="1"/>
  <c r="AL403" i="5"/>
  <c r="AK387" i="5"/>
  <c r="AS386" i="5"/>
  <c r="AK386" i="5" s="1"/>
  <c r="AS385" i="5"/>
  <c r="AK385" i="5" s="1"/>
  <c r="AS384" i="5"/>
  <c r="AK384" i="5" s="1"/>
  <c r="AS381" i="5"/>
  <c r="AK381" i="5" s="1"/>
  <c r="AK380" i="5" s="1"/>
  <c r="U404" i="5"/>
  <c r="V404" i="5" s="1"/>
  <c r="W404" i="5" s="1"/>
  <c r="X404" i="5" s="1"/>
  <c r="U403" i="5"/>
  <c r="T396" i="5"/>
  <c r="U396" i="5" s="1"/>
  <c r="V396" i="5" s="1"/>
  <c r="AB387" i="5"/>
  <c r="T387" i="5"/>
  <c r="U387" i="5" s="1"/>
  <c r="V387" i="5" s="1"/>
  <c r="AB386" i="5"/>
  <c r="T386" i="5" s="1"/>
  <c r="AB385" i="5"/>
  <c r="T385" i="5" s="1"/>
  <c r="AB384" i="5"/>
  <c r="T384" i="5" s="1"/>
  <c r="AB381" i="5"/>
  <c r="AB380" i="5" s="1"/>
  <c r="R321" i="20" l="1"/>
  <c r="Q321" i="20" s="1"/>
  <c r="P321" i="20" s="1"/>
  <c r="O322" i="20"/>
  <c r="Q320" i="20"/>
  <c r="P320" i="20" s="1"/>
  <c r="T392" i="5"/>
  <c r="T393" i="5" s="1"/>
  <c r="BS392" i="5"/>
  <c r="BT392" i="5" s="1"/>
  <c r="BU392" i="5" s="1"/>
  <c r="BS410" i="5"/>
  <c r="AL386" i="5"/>
  <c r="BJ383" i="5"/>
  <c r="AK423" i="5"/>
  <c r="AL423" i="5" s="1"/>
  <c r="E422" i="5"/>
  <c r="F422" i="5" s="1"/>
  <c r="G422" i="5" s="1"/>
  <c r="AU431" i="5"/>
  <c r="AV431" i="5" s="1"/>
  <c r="AW431" i="5" s="1"/>
  <c r="BM458" i="5"/>
  <c r="BN458" i="5" s="1"/>
  <c r="G433" i="5"/>
  <c r="BF426" i="5"/>
  <c r="X456" i="5"/>
  <c r="M426" i="5"/>
  <c r="N426" i="5" s="1"/>
  <c r="O426" i="5" s="1"/>
  <c r="AO434" i="5"/>
  <c r="BD452" i="5"/>
  <c r="BE452" i="5" s="1"/>
  <c r="BE447" i="5"/>
  <c r="BF447" i="5" s="1"/>
  <c r="BF440" i="5"/>
  <c r="BD457" i="5"/>
  <c r="BE457" i="5" s="1"/>
  <c r="BF457" i="5" s="1"/>
  <c r="G452" i="5"/>
  <c r="AV458" i="5"/>
  <c r="AW458" i="5" s="1"/>
  <c r="X452" i="5"/>
  <c r="BV452" i="5"/>
  <c r="BW452" i="5" s="1"/>
  <c r="E440" i="5"/>
  <c r="F440" i="5" s="1"/>
  <c r="BD458" i="5"/>
  <c r="BE458" i="5" s="1"/>
  <c r="AM458" i="5"/>
  <c r="AN458" i="5" s="1"/>
  <c r="AW459" i="5"/>
  <c r="AM440" i="5"/>
  <c r="AN440" i="5" s="1"/>
  <c r="AL453" i="5"/>
  <c r="AM453" i="5" s="1"/>
  <c r="AV461" i="5"/>
  <c r="AW461" i="5" s="1"/>
  <c r="D453" i="5"/>
  <c r="E453" i="5" s="1"/>
  <c r="BT453" i="5"/>
  <c r="AN452" i="5"/>
  <c r="AO452" i="5" s="1"/>
  <c r="U453" i="5"/>
  <c r="BC453" i="5"/>
  <c r="BD453" i="5" s="1"/>
  <c r="BE453" i="5" s="1"/>
  <c r="BL459" i="5"/>
  <c r="BM459" i="5" s="1"/>
  <c r="BN459" i="5" s="1"/>
  <c r="AO457" i="5"/>
  <c r="AN417" i="5"/>
  <c r="AO417" i="5" s="1"/>
  <c r="AS387" i="5"/>
  <c r="AS394" i="5"/>
  <c r="BB392" i="5"/>
  <c r="BB393" i="5" s="1"/>
  <c r="X426" i="5"/>
  <c r="BD410" i="5"/>
  <c r="BE410" i="5" s="1"/>
  <c r="BM429" i="5"/>
  <c r="BN429" i="5" s="1"/>
  <c r="BU413" i="5"/>
  <c r="BV413" i="5" s="1"/>
  <c r="BW413" i="5" s="1"/>
  <c r="W413" i="5"/>
  <c r="X413" i="5" s="1"/>
  <c r="W410" i="5"/>
  <c r="X410" i="5" s="1"/>
  <c r="F413" i="5"/>
  <c r="F410" i="5"/>
  <c r="G410" i="5" s="1"/>
  <c r="AK427" i="5"/>
  <c r="AL427" i="5" s="1"/>
  <c r="AK410" i="5"/>
  <c r="X423" i="5"/>
  <c r="BM431" i="5"/>
  <c r="BN431" i="5" s="1"/>
  <c r="F426" i="5"/>
  <c r="G426" i="5" s="1"/>
  <c r="BE413" i="5"/>
  <c r="BF413" i="5" s="1"/>
  <c r="AV426" i="5"/>
  <c r="AW426" i="5" s="1"/>
  <c r="AM428" i="5"/>
  <c r="BE427" i="5"/>
  <c r="BF427" i="5" s="1"/>
  <c r="G423" i="5"/>
  <c r="AL410" i="5"/>
  <c r="AM410" i="5" s="1"/>
  <c r="AT429" i="5"/>
  <c r="AU429" i="5" s="1"/>
  <c r="AV429" i="5" s="1"/>
  <c r="F417" i="5"/>
  <c r="G417" i="5" s="1"/>
  <c r="W434" i="5"/>
  <c r="X434" i="5" s="1"/>
  <c r="BF428" i="5"/>
  <c r="AE426" i="5"/>
  <c r="AF426" i="5" s="1"/>
  <c r="G413" i="5"/>
  <c r="AM413" i="5"/>
  <c r="AN413" i="5" s="1"/>
  <c r="AT428" i="5"/>
  <c r="V417" i="5"/>
  <c r="W417" i="5" s="1"/>
  <c r="X417" i="5" s="1"/>
  <c r="BT410" i="5"/>
  <c r="BU410" i="5" s="1"/>
  <c r="BF434" i="5"/>
  <c r="CC426" i="5"/>
  <c r="CD426" i="5" s="1"/>
  <c r="BW433" i="5"/>
  <c r="AN426" i="5"/>
  <c r="AO426" i="5" s="1"/>
  <c r="BT422" i="5"/>
  <c r="BS423" i="5"/>
  <c r="BC422" i="5"/>
  <c r="BD422" i="5" s="1"/>
  <c r="BE422" i="5" s="1"/>
  <c r="BB423" i="5"/>
  <c r="AN422" i="5"/>
  <c r="AO422" i="5" s="1"/>
  <c r="BK428" i="5"/>
  <c r="BL428" i="5" s="1"/>
  <c r="CA383" i="5"/>
  <c r="BS384" i="5"/>
  <c r="BS383" i="5" s="1"/>
  <c r="BT383" i="5" s="1"/>
  <c r="CA401" i="5"/>
  <c r="CB401" i="5" s="1"/>
  <c r="CC401" i="5" s="1"/>
  <c r="BS381" i="5"/>
  <c r="BS380" i="5" s="1"/>
  <c r="BT380" i="5" s="1"/>
  <c r="BU380" i="5" s="1"/>
  <c r="BB384" i="5"/>
  <c r="BB383" i="5" s="1"/>
  <c r="BC383" i="5" s="1"/>
  <c r="BD383" i="5" s="1"/>
  <c r="BJ401" i="5"/>
  <c r="BK401" i="5" s="1"/>
  <c r="BL401" i="5" s="1"/>
  <c r="BB381" i="5"/>
  <c r="BB380" i="5" s="1"/>
  <c r="CB398" i="5"/>
  <c r="CC398" i="5" s="1"/>
  <c r="CB396" i="5"/>
  <c r="BU387" i="5"/>
  <c r="BV387" i="5" s="1"/>
  <c r="BS393" i="5"/>
  <c r="BV396" i="5"/>
  <c r="BW396" i="5" s="1"/>
  <c r="CA399" i="5"/>
  <c r="BU403" i="5"/>
  <c r="BV403" i="5" s="1"/>
  <c r="BW403" i="5" s="1"/>
  <c r="BU404" i="5"/>
  <c r="BV404" i="5" s="1"/>
  <c r="CA387" i="5"/>
  <c r="BK396" i="5"/>
  <c r="BK398" i="5"/>
  <c r="BL398" i="5" s="1"/>
  <c r="BC380" i="5"/>
  <c r="BD380" i="5" s="1"/>
  <c r="BE380" i="5" s="1"/>
  <c r="BF380" i="5" s="1"/>
  <c r="BD387" i="5"/>
  <c r="BE387" i="5" s="1"/>
  <c r="BE396" i="5"/>
  <c r="BF396" i="5" s="1"/>
  <c r="BJ399" i="5"/>
  <c r="BD403" i="5"/>
  <c r="BE403" i="5" s="1"/>
  <c r="BB398" i="5"/>
  <c r="BD404" i="5"/>
  <c r="BJ387" i="5"/>
  <c r="T383" i="5"/>
  <c r="U383" i="5" s="1"/>
  <c r="T381" i="5"/>
  <c r="T380" i="5" s="1"/>
  <c r="U380" i="5" s="1"/>
  <c r="AK392" i="5"/>
  <c r="AL392" i="5" s="1"/>
  <c r="AB383" i="5"/>
  <c r="AL387" i="5"/>
  <c r="AM387" i="5" s="1"/>
  <c r="AS380" i="5"/>
  <c r="AN404" i="5"/>
  <c r="AO404" i="5" s="1"/>
  <c r="AL380" i="5"/>
  <c r="AM380" i="5" s="1"/>
  <c r="AK383" i="5"/>
  <c r="AT396" i="5"/>
  <c r="AU396" i="5" s="1"/>
  <c r="AS383" i="5"/>
  <c r="AN396" i="5"/>
  <c r="AO396" i="5" s="1"/>
  <c r="AM403" i="5"/>
  <c r="AC396" i="5"/>
  <c r="AD396" i="5" s="1"/>
  <c r="AE396" i="5" s="1"/>
  <c r="W387" i="5"/>
  <c r="X387" i="5" s="1"/>
  <c r="U392" i="5"/>
  <c r="W396" i="5"/>
  <c r="X396" i="5" s="1"/>
  <c r="V403" i="5"/>
  <c r="L396" i="5"/>
  <c r="M396" i="5" s="1"/>
  <c r="D396" i="5"/>
  <c r="E396" i="5" s="1"/>
  <c r="K387" i="5"/>
  <c r="K388" i="5"/>
  <c r="DA29" i="16" l="1"/>
  <c r="DA31" i="16" s="1"/>
  <c r="DA21" i="16"/>
  <c r="DA30" i="16" s="1"/>
  <c r="R322" i="20"/>
  <c r="O323" i="20"/>
  <c r="V380" i="5"/>
  <c r="W380" i="5" s="1"/>
  <c r="BB397" i="5"/>
  <c r="BC397" i="5" s="1"/>
  <c r="BD397" i="5" s="1"/>
  <c r="BE397" i="5" s="1"/>
  <c r="BF397" i="5" s="1"/>
  <c r="V383" i="5"/>
  <c r="W383" i="5" s="1"/>
  <c r="AM386" i="5"/>
  <c r="AN386" i="5" s="1"/>
  <c r="AO386" i="5" s="1"/>
  <c r="BC392" i="5"/>
  <c r="BD392" i="5" s="1"/>
  <c r="AK393" i="5"/>
  <c r="AL393" i="5" s="1"/>
  <c r="V453" i="5"/>
  <c r="W453" i="5" s="1"/>
  <c r="X453" i="5" s="1"/>
  <c r="BF453" i="5"/>
  <c r="BF452" i="5"/>
  <c r="F453" i="5"/>
  <c r="G453" i="5" s="1"/>
  <c r="G440" i="5"/>
  <c r="AO440" i="5"/>
  <c r="AO458" i="5"/>
  <c r="AN453" i="5"/>
  <c r="AO453" i="5" s="1"/>
  <c r="BU453" i="5"/>
  <c r="BF458" i="5"/>
  <c r="BF410" i="5"/>
  <c r="BV410" i="5"/>
  <c r="BW410" i="5" s="1"/>
  <c r="BF422" i="5"/>
  <c r="BM428" i="5"/>
  <c r="BN428" i="5" s="1"/>
  <c r="CE426" i="5"/>
  <c r="AM423" i="5"/>
  <c r="AN423" i="5" s="1"/>
  <c r="AN410" i="5"/>
  <c r="AO410" i="5" s="1"/>
  <c r="BC423" i="5"/>
  <c r="BD423" i="5" s="1"/>
  <c r="BT423" i="5"/>
  <c r="BU423" i="5" s="1"/>
  <c r="AM427" i="5"/>
  <c r="AU428" i="5"/>
  <c r="AN428" i="5"/>
  <c r="AO428" i="5" s="1"/>
  <c r="AW429" i="5"/>
  <c r="BU422" i="5"/>
  <c r="BV422" i="5" s="1"/>
  <c r="AO413" i="5"/>
  <c r="BS398" i="5"/>
  <c r="BT398" i="5" s="1"/>
  <c r="BU398" i="5" s="1"/>
  <c r="BV398" i="5" s="1"/>
  <c r="BS397" i="5"/>
  <c r="BT397" i="5" s="1"/>
  <c r="BV380" i="5"/>
  <c r="BW380" i="5" s="1"/>
  <c r="AN387" i="5"/>
  <c r="AO387" i="5" s="1"/>
  <c r="BV392" i="5"/>
  <c r="BW392" i="5" s="1"/>
  <c r="BF403" i="5"/>
  <c r="CC396" i="5"/>
  <c r="CD398" i="5"/>
  <c r="CE398" i="5" s="1"/>
  <c r="BW387" i="5"/>
  <c r="CD401" i="5"/>
  <c r="CE401" i="5" s="1"/>
  <c r="BU383" i="5"/>
  <c r="BV383" i="5" s="1"/>
  <c r="BT393" i="5"/>
  <c r="BW404" i="5"/>
  <c r="CB399" i="5"/>
  <c r="CC399" i="5" s="1"/>
  <c r="CD399" i="5" s="1"/>
  <c r="BM401" i="5"/>
  <c r="BN401" i="5" s="1"/>
  <c r="BF387" i="5"/>
  <c r="BC398" i="5"/>
  <c r="BD398" i="5" s="1"/>
  <c r="BC393" i="5"/>
  <c r="BD393" i="5" s="1"/>
  <c r="BE393" i="5" s="1"/>
  <c r="BF393" i="5" s="1"/>
  <c r="BM398" i="5"/>
  <c r="BN398" i="5" s="1"/>
  <c r="BE383" i="5"/>
  <c r="BF383" i="5" s="1"/>
  <c r="BL396" i="5"/>
  <c r="BM396" i="5" s="1"/>
  <c r="BK399" i="5"/>
  <c r="BL399" i="5" s="1"/>
  <c r="BE404" i="5"/>
  <c r="BF404" i="5" s="1"/>
  <c r="AV396" i="5"/>
  <c r="AW396" i="5" s="1"/>
  <c r="AN380" i="5"/>
  <c r="AO380" i="5" s="1"/>
  <c r="AL383" i="5"/>
  <c r="AN403" i="5"/>
  <c r="AO403" i="5" s="1"/>
  <c r="AM392" i="5"/>
  <c r="AN392" i="5" s="1"/>
  <c r="W403" i="5"/>
  <c r="X403" i="5" s="1"/>
  <c r="X380" i="5"/>
  <c r="AF396" i="5"/>
  <c r="V392" i="5"/>
  <c r="W392" i="5" s="1"/>
  <c r="X383" i="5"/>
  <c r="U393" i="5"/>
  <c r="F396" i="5"/>
  <c r="G396" i="5" s="1"/>
  <c r="N396" i="5"/>
  <c r="O396" i="5" s="1"/>
  <c r="K389" i="5"/>
  <c r="C386" i="5"/>
  <c r="C381" i="5"/>
  <c r="K385" i="5"/>
  <c r="CK7" i="16" l="1"/>
  <c r="CL7" i="16" s="1"/>
  <c r="CM7" i="16" s="1"/>
  <c r="CN7" i="16" s="1"/>
  <c r="DA32" i="16"/>
  <c r="O324" i="20"/>
  <c r="R323" i="20"/>
  <c r="Q323" i="20" s="1"/>
  <c r="P323" i="20" s="1"/>
  <c r="Q322" i="20"/>
  <c r="P322" i="20" s="1"/>
  <c r="K386" i="5"/>
  <c r="C398" i="5"/>
  <c r="C380" i="5"/>
  <c r="C397" i="5"/>
  <c r="BE392" i="5"/>
  <c r="BF392" i="5" s="1"/>
  <c r="BV453" i="5"/>
  <c r="BW453" i="5" s="1"/>
  <c r="AO423" i="5"/>
  <c r="BW422" i="5"/>
  <c r="BV423" i="5"/>
  <c r="BW423" i="5" s="1"/>
  <c r="BE423" i="5"/>
  <c r="BF423" i="5" s="1"/>
  <c r="AN427" i="5"/>
  <c r="AO427" i="5" s="1"/>
  <c r="AV428" i="5"/>
  <c r="AW428" i="5" s="1"/>
  <c r="BW383" i="5"/>
  <c r="N379" i="5"/>
  <c r="BM399" i="5"/>
  <c r="BN399" i="5" s="1"/>
  <c r="CD396" i="5"/>
  <c r="CE396" i="5" s="1"/>
  <c r="BU397" i="5"/>
  <c r="BV397" i="5" s="1"/>
  <c r="CE399" i="5"/>
  <c r="BW398" i="5"/>
  <c r="BU393" i="5"/>
  <c r="BN396" i="5"/>
  <c r="BE398" i="5"/>
  <c r="BF398" i="5" s="1"/>
  <c r="K384" i="5"/>
  <c r="K383" i="5" s="1"/>
  <c r="K381" i="5"/>
  <c r="AM383" i="5"/>
  <c r="AN383" i="5" s="1"/>
  <c r="AO383" i="5" s="1"/>
  <c r="AO392" i="5"/>
  <c r="AM393" i="5"/>
  <c r="AN393" i="5" s="1"/>
  <c r="AO393" i="5" s="1"/>
  <c r="V393" i="5"/>
  <c r="X392" i="5"/>
  <c r="F317" i="5"/>
  <c r="F319" i="5"/>
  <c r="F320" i="5"/>
  <c r="F321" i="5"/>
  <c r="F318" i="5"/>
  <c r="I184" i="5"/>
  <c r="C391" i="5"/>
  <c r="K390" i="5"/>
  <c r="K397" i="5"/>
  <c r="K395" i="5"/>
  <c r="C401" i="5"/>
  <c r="I185" i="5"/>
  <c r="CK9" i="16" l="1"/>
  <c r="CL9" i="16" s="1"/>
  <c r="CM9" i="16" s="1"/>
  <c r="CN9" i="16" s="1"/>
  <c r="R324" i="20"/>
  <c r="Q324" i="20" s="1"/>
  <c r="P324" i="20" s="1"/>
  <c r="O325" i="20"/>
  <c r="D380" i="5"/>
  <c r="E380" i="5" s="1"/>
  <c r="K401" i="5"/>
  <c r="L401" i="5" s="1"/>
  <c r="M401" i="5" s="1"/>
  <c r="N401" i="5" s="1"/>
  <c r="O401" i="5" s="1"/>
  <c r="C395" i="5"/>
  <c r="C399" i="5" s="1"/>
  <c r="C402" i="5" s="1"/>
  <c r="C405" i="5" s="1"/>
  <c r="M379" i="5"/>
  <c r="BW397" i="5"/>
  <c r="BV393" i="5"/>
  <c r="BW393" i="5" s="1"/>
  <c r="L397" i="5"/>
  <c r="M397" i="5" s="1"/>
  <c r="L390" i="5"/>
  <c r="M390" i="5" s="1"/>
  <c r="K380" i="5"/>
  <c r="W393" i="5"/>
  <c r="X393" i="5" s="1"/>
  <c r="D383" i="5"/>
  <c r="E383" i="5" s="1"/>
  <c r="F383" i="5" s="1"/>
  <c r="G383" i="5" s="1"/>
  <c r="F380" i="5"/>
  <c r="G380" i="5" s="1"/>
  <c r="DN7" i="12"/>
  <c r="J355" i="5"/>
  <c r="K357" i="5"/>
  <c r="K358" i="5"/>
  <c r="K356" i="5"/>
  <c r="K376" i="5"/>
  <c r="K375" i="5"/>
  <c r="K374" i="5"/>
  <c r="K391" i="5"/>
  <c r="I187" i="5"/>
  <c r="K403" i="5"/>
  <c r="R325" i="20" l="1"/>
  <c r="O326" i="20"/>
  <c r="K399" i="5"/>
  <c r="K398" i="5"/>
  <c r="I177" i="5"/>
  <c r="I178" i="5" s="1"/>
  <c r="N397" i="5"/>
  <c r="O397" i="5" s="1"/>
  <c r="L403" i="5"/>
  <c r="M403" i="5" s="1"/>
  <c r="N403" i="5" s="1"/>
  <c r="O403" i="5" s="1"/>
  <c r="L391" i="5"/>
  <c r="M391" i="5" s="1"/>
  <c r="N391" i="5" s="1"/>
  <c r="O391" i="5" s="1"/>
  <c r="N390" i="5"/>
  <c r="O390" i="5" s="1"/>
  <c r="L395" i="5"/>
  <c r="M395" i="5" s="1"/>
  <c r="K366" i="5"/>
  <c r="K363" i="5"/>
  <c r="K364" i="5" s="1"/>
  <c r="K362" i="5"/>
  <c r="K360" i="5"/>
  <c r="K361" i="5" s="1"/>
  <c r="I179" i="5"/>
  <c r="K404" i="5"/>
  <c r="O327" i="20" l="1"/>
  <c r="R326" i="20"/>
  <c r="Q326" i="20" s="1"/>
  <c r="P326" i="20" s="1"/>
  <c r="Q325" i="20"/>
  <c r="P325" i="20" s="1"/>
  <c r="L399" i="5"/>
  <c r="M399" i="5" s="1"/>
  <c r="N399" i="5" s="1"/>
  <c r="O399" i="5" s="1"/>
  <c r="I180" i="5"/>
  <c r="L364" i="5"/>
  <c r="M364" i="5" s="1"/>
  <c r="L404" i="5"/>
  <c r="M404" i="5" s="1"/>
  <c r="N404" i="5" s="1"/>
  <c r="O404" i="5" s="1"/>
  <c r="N395" i="5"/>
  <c r="O395" i="5" s="1"/>
  <c r="L398" i="5"/>
  <c r="M398" i="5" s="1"/>
  <c r="N398" i="5" s="1"/>
  <c r="O398" i="5" s="1"/>
  <c r="K359" i="5"/>
  <c r="K367" i="5" s="1"/>
  <c r="DN23" i="12"/>
  <c r="DN24" i="12" s="1"/>
  <c r="DN20" i="12"/>
  <c r="DN19" i="12"/>
  <c r="DN8" i="12"/>
  <c r="DN5" i="12"/>
  <c r="K400" i="5"/>
  <c r="R327" i="20" l="1"/>
  <c r="O328" i="20"/>
  <c r="K402" i="5"/>
  <c r="K405" i="5" s="1"/>
  <c r="L405" i="5" s="1"/>
  <c r="M405" i="5" s="1"/>
  <c r="N405" i="5" s="1"/>
  <c r="O405" i="5" s="1"/>
  <c r="L400" i="5"/>
  <c r="M400" i="5" s="1"/>
  <c r="N400" i="5" s="1"/>
  <c r="O400" i="5" s="1"/>
  <c r="N364" i="5"/>
  <c r="O364" i="5" s="1"/>
  <c r="DN6" i="12"/>
  <c r="DN12" i="12" s="1"/>
  <c r="DN14" i="12" s="1"/>
  <c r="D387" i="5"/>
  <c r="E387" i="5" s="1"/>
  <c r="D388" i="5"/>
  <c r="E388" i="5" s="1"/>
  <c r="D389" i="5"/>
  <c r="E389" i="5" s="1"/>
  <c r="D390" i="5"/>
  <c r="E390" i="5" s="1"/>
  <c r="D391" i="5"/>
  <c r="E391" i="5" s="1"/>
  <c r="D392" i="5"/>
  <c r="E392" i="5" s="1"/>
  <c r="D393" i="5"/>
  <c r="E393" i="5" s="1"/>
  <c r="D394" i="5"/>
  <c r="E394" i="5" s="1"/>
  <c r="D395" i="5"/>
  <c r="E395" i="5" s="1"/>
  <c r="D397" i="5"/>
  <c r="E397" i="5" s="1"/>
  <c r="D398" i="5"/>
  <c r="E398" i="5" s="1"/>
  <c r="D399" i="5"/>
  <c r="E399" i="5" s="1"/>
  <c r="D400" i="5"/>
  <c r="E400" i="5" s="1"/>
  <c r="D401" i="5"/>
  <c r="E401" i="5" s="1"/>
  <c r="D402" i="5"/>
  <c r="E402" i="5" s="1"/>
  <c r="D403" i="5"/>
  <c r="E403" i="5" s="1"/>
  <c r="D404" i="5"/>
  <c r="E404" i="5" s="1"/>
  <c r="D405" i="5"/>
  <c r="E405" i="5" s="1"/>
  <c r="D406" i="5"/>
  <c r="E406" i="5" s="1"/>
  <c r="D407" i="5"/>
  <c r="E407" i="5" s="1"/>
  <c r="D436" i="5"/>
  <c r="D437" i="5"/>
  <c r="O185" i="5"/>
  <c r="O186" i="5"/>
  <c r="O187" i="5"/>
  <c r="R328" i="20" l="1"/>
  <c r="Q328" i="20" s="1"/>
  <c r="P328" i="20" s="1"/>
  <c r="O329" i="20"/>
  <c r="Q327" i="20"/>
  <c r="P327" i="20" s="1"/>
  <c r="L402" i="5"/>
  <c r="M402" i="5" s="1"/>
  <c r="DN13" i="12"/>
  <c r="DN15" i="12" s="1"/>
  <c r="DN16" i="12" s="1"/>
  <c r="DN17" i="12" s="1"/>
  <c r="E437" i="5"/>
  <c r="F437" i="5" s="1"/>
  <c r="E436" i="5"/>
  <c r="F436" i="5" s="1"/>
  <c r="F407" i="5"/>
  <c r="G407" i="5" s="1"/>
  <c r="F406" i="5"/>
  <c r="G406" i="5" s="1"/>
  <c r="F405" i="5"/>
  <c r="G405" i="5" s="1"/>
  <c r="F404" i="5"/>
  <c r="G404" i="5" s="1"/>
  <c r="F403" i="5"/>
  <c r="G403" i="5" s="1"/>
  <c r="F402" i="5"/>
  <c r="G402" i="5" s="1"/>
  <c r="F401" i="5"/>
  <c r="G401" i="5" s="1"/>
  <c r="F400" i="5"/>
  <c r="G400" i="5" s="1"/>
  <c r="F399" i="5"/>
  <c r="G399" i="5" s="1"/>
  <c r="F398" i="5"/>
  <c r="G398" i="5" s="1"/>
  <c r="F397" i="5"/>
  <c r="G397" i="5" s="1"/>
  <c r="F395" i="5"/>
  <c r="G395" i="5" s="1"/>
  <c r="F394" i="5"/>
  <c r="G394" i="5" s="1"/>
  <c r="F393" i="5"/>
  <c r="G393" i="5" s="1"/>
  <c r="F392" i="5"/>
  <c r="G392" i="5" s="1"/>
  <c r="F391" i="5"/>
  <c r="G391" i="5" s="1"/>
  <c r="F390" i="5"/>
  <c r="G390" i="5" s="1"/>
  <c r="F389" i="5"/>
  <c r="G389" i="5" s="1"/>
  <c r="F388" i="5"/>
  <c r="G388" i="5" s="1"/>
  <c r="F387" i="5"/>
  <c r="G387" i="5" s="1"/>
  <c r="T311" i="5"/>
  <c r="T312" i="5" s="1"/>
  <c r="U312" i="5" s="1"/>
  <c r="O330" i="20" l="1"/>
  <c r="R329" i="20"/>
  <c r="N402" i="5"/>
  <c r="O402" i="5" s="1"/>
  <c r="G437" i="5"/>
  <c r="G436" i="5"/>
  <c r="V312" i="5"/>
  <c r="W312" i="5" s="1"/>
  <c r="C353" i="5"/>
  <c r="Q329" i="20" l="1"/>
  <c r="P329" i="20" s="1"/>
  <c r="R330" i="20"/>
  <c r="O331" i="20"/>
  <c r="C318" i="5"/>
  <c r="D318" i="5" s="1"/>
  <c r="C319" i="5"/>
  <c r="D319" i="5" s="1"/>
  <c r="E319" i="5" s="1"/>
  <c r="C320" i="5"/>
  <c r="D320" i="5" s="1"/>
  <c r="E320" i="5" s="1"/>
  <c r="C321" i="5"/>
  <c r="D321" i="5" s="1"/>
  <c r="R331" i="20" l="1"/>
  <c r="O332" i="20"/>
  <c r="Q330" i="20"/>
  <c r="P330" i="20" s="1"/>
  <c r="C314" i="5"/>
  <c r="D314" i="5" s="1"/>
  <c r="C312" i="5"/>
  <c r="D312" i="5" s="1"/>
  <c r="E312" i="5" s="1"/>
  <c r="C311" i="5"/>
  <c r="D311" i="5" s="1"/>
  <c r="E311" i="5" s="1"/>
  <c r="E321" i="5"/>
  <c r="E318" i="5"/>
  <c r="B303" i="5"/>
  <c r="R332" i="20" l="1"/>
  <c r="Q332" i="20" s="1"/>
  <c r="P332" i="20" s="1"/>
  <c r="O333" i="20"/>
  <c r="Q331" i="20"/>
  <c r="P331" i="20" s="1"/>
  <c r="C317" i="5"/>
  <c r="D317" i="5" s="1"/>
  <c r="C316" i="5"/>
  <c r="D316" i="5" s="1"/>
  <c r="E316" i="5" s="1"/>
  <c r="C315" i="5"/>
  <c r="D315" i="5" s="1"/>
  <c r="E315" i="5" s="1"/>
  <c r="C310" i="5"/>
  <c r="D310" i="5" s="1"/>
  <c r="C307" i="5"/>
  <c r="D307" i="5" s="1"/>
  <c r="C306" i="5"/>
  <c r="D306" i="5" s="1"/>
  <c r="E306" i="5" s="1"/>
  <c r="C304" i="5"/>
  <c r="D304" i="5" s="1"/>
  <c r="E314" i="5"/>
  <c r="J270" i="5"/>
  <c r="J271" i="5" s="1"/>
  <c r="NR24" i="2"/>
  <c r="AN46" i="2"/>
  <c r="IE46" i="2"/>
  <c r="KM2" i="2"/>
  <c r="OD24" i="2"/>
  <c r="BM12" i="2"/>
  <c r="AP19" i="15"/>
  <c r="FM2" i="2"/>
  <c r="NE68" i="2"/>
  <c r="JI46" i="2"/>
  <c r="NB68" i="2"/>
  <c r="QJ13" i="2"/>
  <c r="DY68" i="2"/>
  <c r="S324" i="20"/>
  <c r="FN68" i="2"/>
  <c r="S314" i="20"/>
  <c r="KQ57" i="2"/>
  <c r="DK35" i="2"/>
  <c r="AM326" i="5"/>
  <c r="PJ24" i="2"/>
  <c r="N6" i="15"/>
  <c r="QV2" i="2"/>
  <c r="EL35" i="2"/>
  <c r="KP57" i="2"/>
  <c r="DX13" i="2"/>
  <c r="DS46" i="2"/>
  <c r="IZ35" i="2"/>
  <c r="D475" i="5"/>
  <c r="S175" i="20"/>
  <c r="QK35" i="2"/>
  <c r="NZ24" i="2"/>
  <c r="PE2" i="2"/>
  <c r="W409" i="5"/>
  <c r="CA425" i="5"/>
  <c r="DN2" i="2"/>
  <c r="AG174" i="13"/>
  <c r="PI57" i="2"/>
  <c r="KW68" i="2"/>
  <c r="ED46" i="2"/>
  <c r="ND13" i="2"/>
  <c r="DT30" i="16"/>
  <c r="HJ35" i="2"/>
  <c r="GQ68" i="2"/>
  <c r="GT35" i="2"/>
  <c r="IR24" i="2"/>
  <c r="BC21" i="14"/>
  <c r="OV68" i="2"/>
  <c r="KY35" i="2"/>
  <c r="MZ68" i="2"/>
  <c r="DZ13" i="2"/>
  <c r="BH18" i="14"/>
  <c r="AH36" i="19"/>
  <c r="DY13" i="2"/>
  <c r="QC68" i="2"/>
  <c r="JR24" i="2"/>
  <c r="BL56" i="15"/>
  <c r="QY46" i="2"/>
  <c r="GG24" i="2"/>
  <c r="BP14" i="9"/>
  <c r="S265" i="20"/>
  <c r="EP68" i="2"/>
  <c r="LL13" i="2"/>
  <c r="S139" i="20"/>
  <c r="NM13" i="2"/>
  <c r="FD11" i="13"/>
  <c r="IA24" i="2"/>
  <c r="BA57" i="14"/>
  <c r="HL2" i="2"/>
  <c r="GI13" i="2"/>
  <c r="JT2" i="2"/>
  <c r="CR10" i="14"/>
  <c r="AS425" i="5"/>
  <c r="KM6" i="2"/>
  <c r="MJ24" i="2"/>
  <c r="DH8" i="9"/>
  <c r="OA13" i="2"/>
  <c r="N34" i="15"/>
  <c r="S208" i="20"/>
  <c r="IZ13" i="2"/>
  <c r="BB460" i="5"/>
  <c r="BA6" i="14"/>
  <c r="AF101" i="13"/>
  <c r="CR19" i="9"/>
  <c r="JZ46" i="2"/>
  <c r="CR14" i="9"/>
  <c r="EW68" i="2"/>
  <c r="AH11" i="19"/>
  <c r="OX2" i="2"/>
  <c r="K371" i="5"/>
  <c r="QK13" i="2"/>
  <c r="NI57" i="2"/>
  <c r="IO46" i="2"/>
  <c r="OY46" i="2"/>
  <c r="O150" i="13"/>
  <c r="JP13" i="2"/>
  <c r="JT46" i="2"/>
  <c r="JT57" i="2"/>
  <c r="PU35" i="2"/>
  <c r="JT6" i="2"/>
  <c r="BF45" i="14"/>
  <c r="KE35" i="2"/>
  <c r="KP24" i="2"/>
  <c r="LZ13" i="2"/>
  <c r="NV2" i="2"/>
  <c r="FU68" i="2"/>
  <c r="S159" i="20"/>
  <c r="OV24" i="2"/>
  <c r="NH13" i="2"/>
  <c r="AP46" i="2"/>
  <c r="LR13" i="2"/>
  <c r="JV46" i="2"/>
  <c r="QZ57" i="2"/>
  <c r="EQ35" i="2"/>
  <c r="GD68" i="2"/>
  <c r="GY57" i="2"/>
  <c r="E439" i="5"/>
  <c r="MQ46" i="2"/>
  <c r="BH12" i="2"/>
  <c r="AH43" i="19"/>
  <c r="LJ35" i="2"/>
  <c r="S300" i="20"/>
  <c r="PA68" i="2"/>
  <c r="AP16" i="15"/>
  <c r="KQ2" i="2"/>
  <c r="AB457" i="5"/>
  <c r="QQ46" i="2"/>
  <c r="BJ464" i="5"/>
  <c r="PE68" i="2"/>
  <c r="BV409" i="5"/>
  <c r="QQ68" i="2"/>
  <c r="BK7" i="2"/>
  <c r="LO35" i="2"/>
  <c r="QR24" i="2"/>
  <c r="EX57" i="2"/>
  <c r="LU68" i="2"/>
  <c r="BZ8" i="15"/>
  <c r="DY24" i="2"/>
  <c r="FS35" i="2"/>
  <c r="PC2" i="2"/>
  <c r="S182" i="20"/>
  <c r="HV57" i="2"/>
  <c r="GO13" i="2"/>
  <c r="KQ24" i="2"/>
  <c r="BG6" i="14"/>
  <c r="BG8" i="14" s="1"/>
  <c r="HZ68" i="2"/>
  <c r="QM46" i="2"/>
  <c r="KX68" i="2"/>
  <c r="S157" i="20"/>
  <c r="QY13" i="2"/>
  <c r="QM35" i="2"/>
  <c r="DY2" i="2"/>
  <c r="KH24" i="2"/>
  <c r="KL35" i="2"/>
  <c r="OP35" i="2"/>
  <c r="PY2" i="2"/>
  <c r="JI68" i="2"/>
  <c r="DX24" i="2"/>
  <c r="NS35" i="2"/>
  <c r="OH24" i="2"/>
  <c r="LN46" i="2"/>
  <c r="GY46" i="2"/>
  <c r="KB2" i="2"/>
  <c r="OG35" i="2"/>
  <c r="KN68" i="2"/>
  <c r="QL24" i="2"/>
  <c r="EB57" i="2"/>
  <c r="OR2" i="2"/>
  <c r="NR57" i="2"/>
  <c r="HF2" i="2"/>
  <c r="AU31" i="2"/>
  <c r="OC46" i="2"/>
  <c r="DP57" i="2"/>
  <c r="KZ57" i="2"/>
  <c r="FZ46" i="2"/>
  <c r="PV24" i="2"/>
  <c r="BA45" i="14"/>
  <c r="IX68" i="2"/>
  <c r="OW24" i="2"/>
  <c r="BP11" i="2"/>
  <c r="OM46" i="2"/>
  <c r="LR35" i="2"/>
  <c r="HV2" i="2"/>
  <c r="PO46" i="2"/>
  <c r="ES13" i="9"/>
  <c r="NF46" i="2"/>
  <c r="KM68" i="2"/>
  <c r="KG57" i="2"/>
  <c r="FX35" i="2"/>
  <c r="LL46" i="2"/>
  <c r="QW35" i="2"/>
  <c r="EF29" i="15"/>
  <c r="KD2" i="2"/>
  <c r="KD6" i="2" s="1"/>
  <c r="PU68" i="2"/>
  <c r="DD23" i="15"/>
  <c r="EO68" i="2"/>
  <c r="OG46" i="2"/>
  <c r="GU27" i="13"/>
  <c r="LB2" i="2"/>
  <c r="AX7" i="15"/>
  <c r="DR2" i="2"/>
  <c r="AH42" i="19"/>
  <c r="OZ57" i="2"/>
  <c r="DK68" i="2"/>
  <c r="OT46" i="2"/>
  <c r="AS404" i="5"/>
  <c r="BF30" i="14"/>
  <c r="CO18" i="15"/>
  <c r="JY35" i="2"/>
  <c r="S257" i="20"/>
  <c r="IB46" i="2"/>
  <c r="GB2" i="2"/>
  <c r="JN46" i="2"/>
  <c r="HY35" i="2"/>
  <c r="FF68" i="2"/>
  <c r="GG2" i="2"/>
  <c r="OU46" i="2"/>
  <c r="GO57" i="2"/>
  <c r="EJ24" i="2"/>
  <c r="LQ57" i="2"/>
  <c r="GD2" i="2"/>
  <c r="NE24" i="2"/>
  <c r="AC56" i="13"/>
  <c r="JU13" i="2"/>
  <c r="PN13" i="2"/>
  <c r="QO68" i="2"/>
  <c r="FC2" i="2"/>
  <c r="LY57" i="2"/>
  <c r="AP5" i="15"/>
  <c r="T418" i="5"/>
  <c r="GB5" i="2"/>
  <c r="S216" i="20"/>
  <c r="BB424" i="5"/>
  <c r="KU24" i="2"/>
  <c r="IG57" i="2"/>
  <c r="KN46" i="2"/>
  <c r="AN22" i="2"/>
  <c r="GF13" i="2"/>
  <c r="BC10" i="2"/>
  <c r="GA57" i="2"/>
  <c r="HY68" i="2"/>
  <c r="OJ68" i="2"/>
  <c r="HZ13" i="2"/>
  <c r="S222" i="20"/>
  <c r="DY21" i="15"/>
  <c r="QV46" i="2"/>
  <c r="GG13" i="2"/>
  <c r="PX68" i="2"/>
  <c r="QT46" i="2"/>
  <c r="DT13" i="2"/>
  <c r="OU35" i="2"/>
  <c r="NQ13" i="2"/>
  <c r="MU35" i="2"/>
  <c r="IV13" i="2"/>
  <c r="EZ57" i="2"/>
  <c r="IV35" i="2"/>
  <c r="EQ13" i="2"/>
  <c r="BB400" i="5"/>
  <c r="JC35" i="2"/>
  <c r="S277" i="20"/>
  <c r="DY8" i="9"/>
  <c r="OK57" i="2"/>
  <c r="GS68" i="2"/>
  <c r="LD24" i="2"/>
  <c r="T461" i="5"/>
  <c r="PL57" i="2"/>
  <c r="S173" i="20"/>
  <c r="IA13" i="2"/>
  <c r="K463" i="5"/>
  <c r="S248" i="20"/>
  <c r="LN68" i="2"/>
  <c r="OV35" i="2"/>
  <c r="NY46" i="2"/>
  <c r="MV35" i="2"/>
  <c r="JI35" i="2"/>
  <c r="MY46" i="2"/>
  <c r="GX35" i="2"/>
  <c r="AU19" i="2"/>
  <c r="ND57" i="2"/>
  <c r="BI33" i="14"/>
  <c r="BB10" i="2"/>
  <c r="FP24" i="2"/>
  <c r="DN46" i="2"/>
  <c r="HX2" i="2"/>
  <c r="JQ24" i="2"/>
  <c r="BH14" i="9"/>
  <c r="JM35" i="2"/>
  <c r="QT24" i="2"/>
  <c r="KO68" i="2"/>
  <c r="BS401" i="5"/>
  <c r="HO24" i="2"/>
  <c r="JN13" i="2"/>
  <c r="DN24" i="2"/>
  <c r="GD57" i="2"/>
  <c r="QZ35" i="2"/>
  <c r="CG26" i="15"/>
  <c r="QP68" i="2"/>
  <c r="LH35" i="2"/>
  <c r="MP24" i="2"/>
  <c r="FR2" i="2"/>
  <c r="FR5" i="2" s="1"/>
  <c r="FK2" i="2"/>
  <c r="T431" i="5"/>
  <c r="KL68" i="2"/>
  <c r="MG68" i="2"/>
  <c r="PZ35" i="2"/>
  <c r="MX2" i="2"/>
  <c r="GJ2" i="2"/>
  <c r="PE5" i="2"/>
  <c r="HP24" i="2"/>
  <c r="KJ57" i="2"/>
  <c r="GC24" i="2"/>
  <c r="LP24" i="2"/>
  <c r="BS460" i="5"/>
  <c r="LX35" i="2"/>
  <c r="BJ463" i="5"/>
  <c r="LD46" i="2"/>
  <c r="CA463" i="5"/>
  <c r="MU57" i="2"/>
  <c r="ML24" i="2"/>
  <c r="J28" i="16"/>
  <c r="NX13" i="2"/>
  <c r="OP57" i="2"/>
  <c r="HJ24" i="2"/>
  <c r="EP2" i="2"/>
  <c r="EP4" i="2" s="1"/>
  <c r="IQ13" i="2"/>
  <c r="DZ2" i="2"/>
  <c r="AO10" i="2"/>
  <c r="OB68" i="2"/>
  <c r="OG57" i="2"/>
  <c r="NU68" i="2"/>
  <c r="JQ2" i="2"/>
  <c r="AQ7" i="2"/>
  <c r="CI14" i="14"/>
  <c r="HC35" i="2"/>
  <c r="ER46" i="2"/>
  <c r="DZ5" i="2"/>
  <c r="HA13" i="2"/>
  <c r="ES18" i="9"/>
  <c r="BB8" i="9"/>
  <c r="AG166" i="13"/>
  <c r="C363" i="5"/>
  <c r="BG18" i="14"/>
  <c r="QQ2" i="2"/>
  <c r="OB35" i="2"/>
  <c r="GT68" i="2"/>
  <c r="S198" i="20"/>
  <c r="S172" i="20"/>
  <c r="AX14" i="15"/>
  <c r="IK46" i="2"/>
  <c r="DH9" i="9"/>
  <c r="H39" i="14"/>
  <c r="JZ24" i="2"/>
  <c r="BK9" i="2"/>
  <c r="GB6" i="2"/>
  <c r="AI10" i="15"/>
  <c r="JE57" i="2"/>
  <c r="OG68" i="2"/>
  <c r="MA24" i="2"/>
  <c r="KY68" i="2"/>
  <c r="MJ35" i="2"/>
  <c r="KK2" i="2"/>
  <c r="X23" i="16"/>
  <c r="DR13" i="2"/>
  <c r="AQ31" i="2"/>
  <c r="S168" i="20"/>
  <c r="LR24" i="2"/>
  <c r="PS57" i="2"/>
  <c r="EE2" i="2"/>
  <c r="FM35" i="2"/>
  <c r="JC46" i="2"/>
  <c r="JB46" i="2"/>
  <c r="HN35" i="2"/>
  <c r="FH13" i="2"/>
  <c r="BJ457" i="5"/>
  <c r="QI68" i="2"/>
  <c r="N11" i="15"/>
  <c r="MK13" i="2"/>
  <c r="JH2" i="2"/>
  <c r="QA68" i="2"/>
  <c r="IZ68" i="2"/>
  <c r="NH46" i="2"/>
  <c r="MY68" i="2"/>
  <c r="QL13" i="2"/>
  <c r="S178" i="20"/>
  <c r="FE13" i="2"/>
  <c r="KB24" i="2"/>
  <c r="KE57" i="2"/>
  <c r="HT13" i="2"/>
  <c r="BT18" i="15"/>
  <c r="PB24" i="2"/>
  <c r="BJ21" i="14"/>
  <c r="NU13" i="2"/>
  <c r="C366" i="5"/>
  <c r="AP22" i="2"/>
  <c r="S151" i="20"/>
  <c r="PL13" i="2"/>
  <c r="LM24" i="2"/>
  <c r="HT46" i="2"/>
  <c r="QK46" i="2"/>
  <c r="MM2" i="2"/>
  <c r="N21" i="15"/>
  <c r="IL57" i="2"/>
  <c r="FE2" i="2"/>
  <c r="HA35" i="2"/>
  <c r="QP2" i="2"/>
  <c r="HI2" i="2"/>
  <c r="QT68" i="2"/>
  <c r="LG46" i="2"/>
  <c r="MV24" i="2"/>
  <c r="LS35" i="2"/>
  <c r="AF18" i="13"/>
  <c r="OZ24" i="2"/>
  <c r="S140" i="20"/>
  <c r="EW35" i="2"/>
  <c r="AS397" i="5"/>
  <c r="CA433" i="5"/>
  <c r="CW29" i="15"/>
  <c r="GQ2" i="2"/>
  <c r="EH57" i="2"/>
  <c r="OY57" i="2"/>
  <c r="PX13" i="2"/>
  <c r="JR57" i="2"/>
  <c r="CH8" i="2"/>
  <c r="EU46" i="2"/>
  <c r="OY24" i="2"/>
  <c r="JY24" i="2"/>
  <c r="NX35" i="2"/>
  <c r="FM5" i="2"/>
  <c r="GU57" i="2"/>
  <c r="IL24" i="2"/>
  <c r="IK2" i="2"/>
  <c r="PY68" i="2"/>
  <c r="EV17" i="13"/>
  <c r="BP8" i="2"/>
  <c r="EA68" i="2"/>
  <c r="JK57" i="2"/>
  <c r="DA33" i="16"/>
  <c r="DY25" i="15"/>
  <c r="LI2" i="2"/>
  <c r="EQ46" i="2"/>
  <c r="CD10" i="12"/>
  <c r="PL2" i="2"/>
  <c r="AV31" i="2"/>
  <c r="BM73" i="15"/>
  <c r="S243" i="20"/>
  <c r="HZ12" i="13"/>
  <c r="PE4" i="2"/>
  <c r="OR68" i="2"/>
  <c r="MN68" i="2"/>
  <c r="JJ57" i="2"/>
  <c r="CA448" i="5"/>
  <c r="KK57" i="2"/>
  <c r="BB388" i="5"/>
  <c r="MQ57" i="2"/>
  <c r="IH2" i="2"/>
  <c r="EO57" i="2"/>
  <c r="D472" i="5"/>
  <c r="OK13" i="2"/>
  <c r="PV46" i="2"/>
  <c r="GJ57" i="2"/>
  <c r="FJ57" i="2"/>
  <c r="OI24" i="2"/>
  <c r="D476" i="5"/>
  <c r="BJ6" i="14"/>
  <c r="ES16" i="9"/>
  <c r="BL7" i="15"/>
  <c r="BE7" i="2"/>
  <c r="LK2" i="2"/>
  <c r="K448" i="5"/>
  <c r="NH24" i="2"/>
  <c r="IE24" i="2"/>
  <c r="KR68" i="2"/>
  <c r="LN13" i="2"/>
  <c r="DX8" i="15"/>
  <c r="KX24" i="2"/>
  <c r="OH57" i="2"/>
  <c r="FP2" i="2"/>
  <c r="FV57" i="2"/>
  <c r="EL2" i="2"/>
  <c r="KD5" i="2"/>
  <c r="PL5" i="2"/>
  <c r="EY57" i="2"/>
  <c r="PQ57" i="2"/>
  <c r="GN13" i="2"/>
  <c r="HW2" i="2"/>
  <c r="HL13" i="2"/>
  <c r="BK10" i="2"/>
  <c r="QF35" i="2"/>
  <c r="OY35" i="2"/>
  <c r="BC45" i="14"/>
  <c r="QS35" i="2"/>
  <c r="GK24" i="2"/>
  <c r="LH2" i="2"/>
  <c r="OS13" i="2"/>
  <c r="ES15" i="9"/>
  <c r="S249" i="20"/>
  <c r="ET13" i="2"/>
  <c r="CP11" i="2"/>
  <c r="NJ57" i="2"/>
  <c r="DC35" i="9"/>
  <c r="ID2" i="2"/>
  <c r="MC2" i="2"/>
  <c r="LY13" i="2"/>
  <c r="MP57" i="2"/>
  <c r="BK6" i="14"/>
  <c r="EH24" i="2"/>
  <c r="IR68" i="2"/>
  <c r="KZ2" i="2"/>
  <c r="C40" i="22"/>
  <c r="N30" i="15"/>
  <c r="DP68" i="2"/>
  <c r="AS58" i="2"/>
  <c r="DN41" i="12"/>
  <c r="ND46" i="2"/>
  <c r="S292" i="20"/>
  <c r="O169" i="13"/>
  <c r="DV68" i="2"/>
  <c r="HC13" i="2"/>
  <c r="NY57" i="2"/>
  <c r="S213" i="20"/>
  <c r="QA2" i="2"/>
  <c r="IK57" i="2"/>
  <c r="FG2" i="2"/>
  <c r="MQ13" i="2"/>
  <c r="JQ46" i="2"/>
  <c r="AR349" i="5"/>
  <c r="CN7" i="9"/>
  <c r="EF35" i="2"/>
  <c r="FM6" i="2"/>
  <c r="GC57" i="2"/>
  <c r="HY24" i="2"/>
  <c r="DX46" i="2"/>
  <c r="QF68" i="2"/>
  <c r="BE33" i="14"/>
  <c r="DW35" i="2"/>
  <c r="QE35" i="2"/>
  <c r="HF68" i="2"/>
  <c r="ED35" i="2"/>
  <c r="IA68" i="2"/>
  <c r="PT68" i="2"/>
  <c r="S221" i="20"/>
  <c r="EF23" i="15"/>
  <c r="BZ10" i="9"/>
  <c r="HY2" i="2"/>
  <c r="K372" i="5"/>
  <c r="MB35" i="2"/>
  <c r="FG35" i="2"/>
  <c r="DT46" i="2"/>
  <c r="GS24" i="2"/>
  <c r="IN24" i="2"/>
  <c r="QH35" i="2"/>
  <c r="LJ68" i="2"/>
  <c r="BK9" i="14"/>
  <c r="BI10" i="2"/>
  <c r="GR24" i="2"/>
  <c r="N32" i="15"/>
  <c r="BZ16" i="9"/>
  <c r="PU57" i="2"/>
  <c r="LY46" i="2"/>
  <c r="JH46" i="2"/>
  <c r="QJ57" i="2"/>
  <c r="OJ57" i="2"/>
  <c r="HS46" i="2"/>
  <c r="GW46" i="2"/>
  <c r="OU2" i="2"/>
  <c r="LM57" i="2"/>
  <c r="KN2" i="2"/>
  <c r="LH46" i="2"/>
  <c r="PX57" i="2"/>
  <c r="FM13" i="2"/>
  <c r="BJ57" i="14"/>
  <c r="JX68" i="2"/>
  <c r="DO2" i="2"/>
  <c r="QQ57" i="2"/>
  <c r="DD6" i="14"/>
  <c r="FX24" i="2"/>
  <c r="GB35" i="2"/>
  <c r="EY13" i="2"/>
  <c r="AQ58" i="2"/>
  <c r="NO13" i="2"/>
  <c r="S263" i="20"/>
  <c r="CN9" i="9"/>
  <c r="DJ24" i="2"/>
  <c r="HI46" i="2"/>
  <c r="NL57" i="2"/>
  <c r="BL69" i="15"/>
  <c r="BH9" i="14"/>
  <c r="AQ19" i="2"/>
  <c r="OZ35" i="2"/>
  <c r="BF32" i="15"/>
  <c r="FN2" i="2"/>
  <c r="LM2" i="2"/>
  <c r="MZ46" i="2"/>
  <c r="ND68" i="2"/>
  <c r="QT57" i="2"/>
  <c r="ND24" i="2"/>
  <c r="LX24" i="2"/>
  <c r="OS2" i="2"/>
  <c r="PJ46" i="2"/>
  <c r="JF46" i="2"/>
  <c r="C418" i="5"/>
  <c r="KH57" i="2"/>
  <c r="BB9" i="14"/>
  <c r="PI35" i="2"/>
  <c r="EN68" i="2"/>
  <c r="JN35" i="2"/>
  <c r="NR46" i="2"/>
  <c r="FT46" i="2"/>
  <c r="AH29" i="19"/>
  <c r="OX13" i="2"/>
  <c r="EM2" i="2"/>
  <c r="LZ35" i="2"/>
  <c r="OZ46" i="2"/>
  <c r="KE2" i="2"/>
  <c r="AO58" i="2"/>
  <c r="GF57" i="2"/>
  <c r="MW2" i="2"/>
  <c r="ED68" i="2"/>
  <c r="MF46" i="2"/>
  <c r="JK68" i="2"/>
  <c r="S271" i="20"/>
  <c r="QY35" i="2"/>
  <c r="BA10" i="2"/>
  <c r="EI68" i="2"/>
  <c r="LX13" i="2"/>
  <c r="KD4" i="2"/>
  <c r="MD46" i="2"/>
  <c r="BK11" i="2"/>
  <c r="OB46" i="2"/>
  <c r="OV57" i="2"/>
  <c r="S286" i="20"/>
  <c r="AL7" i="2"/>
  <c r="S158" i="20"/>
  <c r="GM35" i="2"/>
  <c r="ES22" i="9"/>
  <c r="EY46" i="2"/>
  <c r="JO13" i="2"/>
  <c r="BB12" i="2"/>
  <c r="AT7" i="2"/>
  <c r="NN35" i="2"/>
  <c r="HD18" i="13"/>
  <c r="BF20" i="15"/>
  <c r="IJ35" i="2"/>
  <c r="AG152" i="13"/>
  <c r="S196" i="20"/>
  <c r="EI35" i="2"/>
  <c r="QI2" i="2"/>
  <c r="AP10" i="2"/>
  <c r="AP12" i="2" s="1"/>
  <c r="IN13" i="2"/>
  <c r="AL19" i="2"/>
  <c r="EB46" i="2"/>
  <c r="MZ13" i="2"/>
  <c r="FA46" i="2"/>
  <c r="MK2" i="2"/>
  <c r="QU35" i="2"/>
  <c r="FH24" i="2"/>
  <c r="CA30" i="15"/>
  <c r="CM10" i="14"/>
  <c r="BQ11" i="2"/>
  <c r="S303" i="20"/>
  <c r="NN24" i="2"/>
  <c r="BJ455" i="5"/>
  <c r="FY35" i="2"/>
  <c r="S227" i="20"/>
  <c r="KC24" i="2"/>
  <c r="MQ68" i="2"/>
  <c r="JS46" i="2"/>
  <c r="RA35" i="2"/>
  <c r="HU35" i="2"/>
  <c r="QU13" i="2"/>
  <c r="BI45" i="14"/>
  <c r="HU24" i="2"/>
  <c r="S138" i="20"/>
  <c r="S264" i="20"/>
  <c r="EQ36" i="12"/>
  <c r="EY24" i="2"/>
  <c r="HN24" i="2"/>
  <c r="AS457" i="5"/>
  <c r="PI68" i="2"/>
  <c r="EL11" i="13"/>
  <c r="EG24" i="2"/>
  <c r="QY57" i="2"/>
  <c r="OT2" i="2"/>
  <c r="BD21" i="14"/>
  <c r="QN13" i="2"/>
  <c r="AG163" i="13"/>
  <c r="E20" i="15"/>
  <c r="ME24" i="2"/>
  <c r="AM46" i="2"/>
  <c r="GV68" i="2"/>
  <c r="PV13" i="2"/>
  <c r="BL18" i="14"/>
  <c r="NF57" i="2"/>
  <c r="AT31" i="2"/>
  <c r="DJ57" i="2"/>
  <c r="GV2" i="2"/>
  <c r="FT13" i="2"/>
  <c r="MI24" i="2"/>
  <c r="DM57" i="2"/>
  <c r="BZ18" i="9"/>
  <c r="MC35" i="2"/>
  <c r="FO13" i="2"/>
  <c r="AO7" i="2"/>
  <c r="BC12" i="2"/>
  <c r="DY16" i="9"/>
  <c r="EF57" i="2"/>
  <c r="OG13" i="2"/>
  <c r="DU57" i="2"/>
  <c r="EJ2" i="2"/>
  <c r="IE35" i="2"/>
  <c r="JK46" i="2"/>
  <c r="MO13" i="2"/>
  <c r="M140" i="13"/>
  <c r="ID35" i="2"/>
  <c r="GL68" i="2"/>
  <c r="FF13" i="2"/>
  <c r="GA13" i="2"/>
  <c r="IJ57" i="2"/>
  <c r="NK13" i="2"/>
  <c r="NI68" i="2"/>
  <c r="M143" i="13"/>
  <c r="GT46" i="2"/>
  <c r="BB6" i="14"/>
  <c r="AF31" i="13"/>
  <c r="FS13" i="2"/>
  <c r="GP57" i="2"/>
  <c r="BU12" i="2"/>
  <c r="EX35" i="2"/>
  <c r="MC57" i="2"/>
  <c r="S171" i="20"/>
  <c r="QB2" i="2"/>
  <c r="OE46" i="2"/>
  <c r="HB2" i="2"/>
  <c r="JP46" i="2"/>
  <c r="QC57" i="2"/>
  <c r="IK13" i="2"/>
  <c r="ET46" i="2"/>
  <c r="HB13" i="2"/>
  <c r="HZ17" i="13"/>
  <c r="HV5" i="2"/>
  <c r="BN8" i="14"/>
  <c r="GC46" i="2"/>
  <c r="GU30" i="13"/>
  <c r="AU46" i="2"/>
  <c r="HX68" i="2"/>
  <c r="BF57" i="14"/>
  <c r="QR46" i="2"/>
  <c r="BF12" i="2"/>
  <c r="NH57" i="2"/>
  <c r="BD18" i="14"/>
  <c r="QQ4" i="2"/>
  <c r="DR46" i="2"/>
  <c r="QD68" i="2"/>
  <c r="AY18" i="15"/>
  <c r="EJ4" i="2"/>
  <c r="S236" i="20"/>
  <c r="IX35" i="2"/>
  <c r="JI57" i="2"/>
  <c r="C424" i="5"/>
  <c r="JU35" i="2"/>
  <c r="IU57" i="2"/>
  <c r="NF2" i="2"/>
  <c r="BL81" i="15"/>
  <c r="EO35" i="2"/>
  <c r="OR13" i="2"/>
  <c r="BD57" i="14"/>
  <c r="KS24" i="2"/>
  <c r="CA388" i="5"/>
  <c r="S302" i="20"/>
  <c r="KK5" i="2"/>
  <c r="NP2" i="2"/>
  <c r="DL41" i="12"/>
  <c r="EE46" i="2"/>
  <c r="CD8" i="12"/>
  <c r="KT35" i="2"/>
  <c r="W11" i="15"/>
  <c r="O154" i="13"/>
  <c r="LX46" i="2"/>
  <c r="LH13" i="2"/>
  <c r="BZ14" i="15"/>
  <c r="QB57" i="2"/>
  <c r="DK13" i="2"/>
  <c r="O155" i="13"/>
  <c r="BG30" i="14"/>
  <c r="E409" i="5"/>
  <c r="FZ57" i="2"/>
  <c r="LP2" i="2"/>
  <c r="JD46" i="2"/>
  <c r="GR57" i="2"/>
  <c r="ES14" i="9"/>
  <c r="KB13" i="2"/>
  <c r="AN19" i="2"/>
  <c r="QF24" i="2"/>
  <c r="LS46" i="2"/>
  <c r="IE68" i="2"/>
  <c r="AG162" i="13"/>
  <c r="QG13" i="2"/>
  <c r="LY35" i="2"/>
  <c r="KV2" i="2"/>
  <c r="FL2" i="2"/>
  <c r="JZ68" i="2"/>
  <c r="KI24" i="2"/>
  <c r="IQ68" i="2"/>
  <c r="QB46" i="2"/>
  <c r="PR35" i="2"/>
  <c r="KT2" i="2"/>
  <c r="BE36" i="13"/>
  <c r="GI57" i="2"/>
  <c r="BL7" i="2"/>
  <c r="W9" i="15"/>
  <c r="NM35" i="2"/>
  <c r="EU57" i="2"/>
  <c r="OX57" i="2"/>
  <c r="AS395" i="5"/>
  <c r="MX68" i="2"/>
  <c r="C430" i="5"/>
  <c r="MR24" i="2"/>
  <c r="MN35" i="2"/>
  <c r="GV35" i="2"/>
  <c r="AS434" i="5"/>
  <c r="FG13" i="2"/>
  <c r="S246" i="20"/>
  <c r="PA35" i="2"/>
  <c r="FJ24" i="2"/>
  <c r="DJ8" i="9"/>
  <c r="IS2" i="2"/>
  <c r="LC2" i="2"/>
  <c r="EP13" i="2"/>
  <c r="GN46" i="2"/>
  <c r="V439" i="5"/>
  <c r="EU13" i="2"/>
  <c r="DW2" i="2"/>
  <c r="FZ22" i="9"/>
  <c r="NR13" i="2"/>
  <c r="BD7" i="2"/>
  <c r="BK45" i="14"/>
  <c r="OC57" i="2"/>
  <c r="BZ9" i="9"/>
  <c r="PZ57" i="2"/>
  <c r="MF35" i="2"/>
  <c r="MM35" i="2"/>
  <c r="BI6" i="14"/>
  <c r="IV24" i="2"/>
  <c r="DJ9" i="15"/>
  <c r="IY35" i="2"/>
  <c r="DN57" i="2"/>
  <c r="HZ35" i="2"/>
  <c r="KH35" i="2"/>
  <c r="S325" i="20"/>
  <c r="JE13" i="2"/>
  <c r="CQ10" i="14"/>
  <c r="AM16" i="13"/>
  <c r="OR35" i="2"/>
  <c r="JA13" i="2"/>
  <c r="LC46" i="2"/>
  <c r="QG57" i="2"/>
  <c r="KN57" i="2"/>
  <c r="FU46" i="2"/>
  <c r="BZ9" i="15"/>
  <c r="JY68" i="2"/>
  <c r="PU46" i="2"/>
  <c r="HS57" i="2"/>
  <c r="FS24" i="2"/>
  <c r="S150" i="20"/>
  <c r="BP10" i="9"/>
  <c r="PY57" i="2"/>
  <c r="ID57" i="2"/>
  <c r="DR68" i="2"/>
  <c r="EV68" i="2"/>
  <c r="IZ57" i="2"/>
  <c r="IC68" i="2"/>
  <c r="EO24" i="2"/>
  <c r="OA46" i="2"/>
  <c r="EM13" i="2"/>
  <c r="GR2" i="2"/>
  <c r="NN68" i="2"/>
  <c r="EW57" i="2"/>
  <c r="BC7" i="2"/>
  <c r="GP2" i="2"/>
  <c r="ON2" i="2"/>
  <c r="JJ2" i="2"/>
  <c r="J41" i="16"/>
  <c r="FX68" i="2"/>
  <c r="QE13" i="2"/>
  <c r="DK29" i="15"/>
  <c r="IU46" i="2"/>
  <c r="QH2" i="2"/>
  <c r="QH5" i="2" s="1"/>
  <c r="IV46" i="2"/>
  <c r="PM46" i="2"/>
  <c r="JM68" i="2"/>
  <c r="DM13" i="2"/>
  <c r="S254" i="20"/>
  <c r="AR58" i="2"/>
  <c r="KH13" i="2"/>
  <c r="S146" i="20"/>
  <c r="PL68" i="2"/>
  <c r="DK46" i="2"/>
  <c r="BJ404" i="5"/>
  <c r="GS2" i="2"/>
  <c r="GS6" i="2" s="1"/>
  <c r="PW2" i="2"/>
  <c r="S219" i="20"/>
  <c r="PC13" i="2"/>
  <c r="GU13" i="2"/>
  <c r="S321" i="20"/>
  <c r="S176" i="20"/>
  <c r="MI35" i="2"/>
  <c r="BH57" i="14"/>
  <c r="GB68" i="2"/>
  <c r="JC2" i="2"/>
  <c r="FP46" i="2"/>
  <c r="AB448" i="5"/>
  <c r="FE35" i="2"/>
  <c r="OL57" i="2"/>
  <c r="DQ8" i="15"/>
  <c r="T448" i="5"/>
  <c r="KS35" i="2"/>
  <c r="OB57" i="2"/>
  <c r="DO35" i="2"/>
  <c r="GP24" i="2"/>
  <c r="AG164" i="13"/>
  <c r="P188" i="13"/>
  <c r="LC57" i="2"/>
  <c r="S294" i="20"/>
  <c r="S287" i="20"/>
  <c r="ID24" i="2"/>
  <c r="NG46" i="2"/>
  <c r="DL2" i="2"/>
  <c r="GX2" i="2"/>
  <c r="EE10" i="15"/>
  <c r="OE68" i="2"/>
  <c r="MM57" i="2"/>
  <c r="OW68" i="2"/>
  <c r="EK46" i="2"/>
  <c r="PT2" i="2"/>
  <c r="LK13" i="2"/>
  <c r="QY68" i="2"/>
  <c r="AR348" i="5"/>
  <c r="BE30" i="14"/>
  <c r="KY2" i="2"/>
  <c r="AE148" i="13"/>
  <c r="PF13" i="2"/>
  <c r="X6" i="13"/>
  <c r="AP7" i="2"/>
  <c r="EJ68" i="2"/>
  <c r="LG57" i="2"/>
  <c r="BJ12" i="2"/>
  <c r="LF68" i="2"/>
  <c r="AM19" i="2"/>
  <c r="GI2" i="2"/>
  <c r="EP35" i="2"/>
  <c r="HR24" i="2"/>
  <c r="DJ2" i="2"/>
  <c r="FD13" i="2"/>
  <c r="LL68" i="2"/>
  <c r="BB7" i="2"/>
  <c r="DF11" i="9"/>
  <c r="PH46" i="2"/>
  <c r="BA9" i="14"/>
  <c r="BA11" i="14" s="1"/>
  <c r="PG2" i="2"/>
  <c r="HJ2" i="2"/>
  <c r="FZ24" i="2"/>
  <c r="OO2" i="2"/>
  <c r="S252" i="20"/>
  <c r="EE13" i="2"/>
  <c r="FQ2" i="2"/>
  <c r="IS24" i="2"/>
  <c r="BB448" i="5"/>
  <c r="S192" i="20"/>
  <c r="JM46" i="2"/>
  <c r="AK388" i="5"/>
  <c r="JN57" i="2"/>
  <c r="HD35" i="2"/>
  <c r="S136" i="20"/>
  <c r="AO19" i="2"/>
  <c r="S234" i="20"/>
  <c r="C365" i="5"/>
  <c r="LU24" i="2"/>
  <c r="HL35" i="2"/>
  <c r="ES2" i="2"/>
  <c r="HX35" i="2"/>
  <c r="FD2" i="2"/>
  <c r="NY24" i="2"/>
  <c r="JL57" i="2"/>
  <c r="BP10" i="2"/>
  <c r="IG24" i="2"/>
  <c r="S210" i="20"/>
  <c r="IT35" i="2"/>
  <c r="BB6" i="9"/>
  <c r="NV57" i="2"/>
  <c r="BM85" i="15"/>
  <c r="FV46" i="2"/>
  <c r="IR2" i="2"/>
  <c r="HD57" i="2"/>
  <c r="QR68" i="2"/>
  <c r="OT4" i="2"/>
  <c r="PM35" i="2"/>
  <c r="EL13" i="2"/>
  <c r="QX24" i="2"/>
  <c r="GU2" i="2"/>
  <c r="FY13" i="2"/>
  <c r="MG24" i="2"/>
  <c r="O151" i="13"/>
  <c r="EL68" i="2"/>
  <c r="IJ2" i="2"/>
  <c r="DS57" i="2"/>
  <c r="PR46" i="2"/>
  <c r="OB24" i="2"/>
  <c r="OD68" i="2"/>
  <c r="DJ46" i="2"/>
  <c r="OT6" i="2"/>
  <c r="IR5" i="2"/>
  <c r="NA57" i="2"/>
  <c r="JJ46" i="2"/>
  <c r="HF57" i="2"/>
  <c r="BH33" i="14"/>
  <c r="FV2" i="2"/>
  <c r="KS13" i="2"/>
  <c r="MS46" i="2"/>
  <c r="EW2" i="2"/>
  <c r="BC30" i="14"/>
  <c r="DK33" i="15"/>
  <c r="DU68" i="2"/>
  <c r="CW15" i="14"/>
  <c r="DX2" i="2"/>
  <c r="EL24" i="2"/>
  <c r="QS24" i="2"/>
  <c r="OJ24" i="2"/>
  <c r="GP35" i="2"/>
  <c r="AH34" i="19"/>
  <c r="AP58" i="2"/>
  <c r="S156" i="20"/>
  <c r="KJ24" i="2"/>
  <c r="OB2" i="2"/>
  <c r="JB35" i="2"/>
  <c r="EV57" i="2"/>
  <c r="BL10" i="2"/>
  <c r="AK431" i="5"/>
  <c r="QC46" i="2"/>
  <c r="S179" i="20"/>
  <c r="CO30" i="15"/>
  <c r="IY46" i="2"/>
  <c r="PD46" i="2"/>
  <c r="NQ24" i="2"/>
  <c r="BA7" i="2"/>
  <c r="LO13" i="2"/>
  <c r="FU35" i="2"/>
  <c r="EQ37" i="12"/>
  <c r="LL35" i="2"/>
  <c r="NW46" i="2"/>
  <c r="FN35" i="2"/>
  <c r="GI6" i="2"/>
  <c r="KV46" i="2"/>
  <c r="OX24" i="2"/>
  <c r="AB427" i="5"/>
  <c r="N31" i="15"/>
  <c r="S282" i="20"/>
  <c r="JZ2" i="2"/>
  <c r="DR23" i="15"/>
  <c r="AH35" i="19"/>
  <c r="PB68" i="2"/>
  <c r="MG57" i="2"/>
  <c r="S318" i="20"/>
  <c r="AM10" i="2"/>
  <c r="S309" i="20"/>
  <c r="FQ68" i="2"/>
  <c r="BB394" i="5"/>
  <c r="QH57" i="2"/>
  <c r="NF68" i="2"/>
  <c r="AN7" i="2"/>
  <c r="MS2" i="2"/>
  <c r="IY2" i="2"/>
  <c r="IJ68" i="2"/>
  <c r="QE68" i="2"/>
  <c r="HS24" i="2"/>
  <c r="IJ13" i="2"/>
  <c r="GI24" i="2"/>
  <c r="ID68" i="2"/>
  <c r="GZ2" i="2"/>
  <c r="S317" i="20"/>
  <c r="NL24" i="2"/>
  <c r="AV7" i="2"/>
  <c r="KF68" i="2"/>
  <c r="S283" i="20"/>
  <c r="N36" i="15"/>
  <c r="JR2" i="2"/>
  <c r="NS24" i="2"/>
  <c r="OU68" i="2"/>
  <c r="AH17" i="19"/>
  <c r="FT2" i="2"/>
  <c r="NC2" i="2"/>
  <c r="LF46" i="2"/>
  <c r="LB57" i="2"/>
  <c r="NW35" i="2"/>
  <c r="HO46" i="2"/>
  <c r="LB68" i="2"/>
  <c r="JG24" i="2"/>
  <c r="KB57" i="2"/>
  <c r="KP35" i="2"/>
  <c r="IP35" i="2"/>
  <c r="AP10" i="15"/>
  <c r="AT10" i="2"/>
  <c r="EH2" i="2"/>
  <c r="MY13" i="2"/>
  <c r="AW34" i="2"/>
  <c r="FX13" i="2"/>
  <c r="HW57" i="2"/>
  <c r="EQ24" i="2"/>
  <c r="PI13" i="2"/>
  <c r="FK46" i="2"/>
  <c r="FU57" i="2"/>
  <c r="MK68" i="2"/>
  <c r="PV2" i="2"/>
  <c r="DX10" i="15"/>
  <c r="BF33" i="14"/>
  <c r="NL13" i="2"/>
  <c r="QS2" i="2"/>
  <c r="NM46" i="2"/>
  <c r="S244" i="20"/>
  <c r="MU24" i="2"/>
  <c r="QC35" i="2"/>
  <c r="NG24" i="2"/>
  <c r="OW57" i="2"/>
  <c r="PD13" i="2"/>
  <c r="KT24" i="2"/>
  <c r="HJ13" i="2"/>
  <c r="J39" i="16"/>
  <c r="AW22" i="2"/>
  <c r="JE24" i="2"/>
  <c r="KM24" i="2"/>
  <c r="DO13" i="2"/>
  <c r="OI57" i="2"/>
  <c r="QD57" i="2"/>
  <c r="BD33" i="14"/>
  <c r="IW68" i="2"/>
  <c r="NM24" i="2"/>
  <c r="MD2" i="2"/>
  <c r="EQ2" i="2"/>
  <c r="J49" i="16"/>
  <c r="S298" i="20"/>
  <c r="CT10" i="14"/>
  <c r="CR7" i="14"/>
  <c r="HH2" i="2"/>
  <c r="HW4" i="2"/>
  <c r="PB46" i="2"/>
  <c r="HR13" i="2"/>
  <c r="ES6" i="2"/>
  <c r="EQ6" i="2"/>
  <c r="HH57" i="2"/>
  <c r="HY6" i="2"/>
  <c r="PW6" i="2"/>
  <c r="AU7" i="2"/>
  <c r="NX24" i="2"/>
  <c r="CR19" i="16"/>
  <c r="X153" i="13"/>
  <c r="EN24" i="2"/>
  <c r="S209" i="20"/>
  <c r="IM57" i="2"/>
  <c r="NJ35" i="2"/>
  <c r="IW46" i="2"/>
  <c r="PT46" i="2"/>
  <c r="DU24" i="2"/>
  <c r="GX13" i="2"/>
  <c r="BJ388" i="5"/>
  <c r="LP6" i="2"/>
  <c r="LN2" i="2"/>
  <c r="FX2" i="2"/>
  <c r="AP34" i="2"/>
  <c r="BW10" i="14"/>
  <c r="GT13" i="2"/>
  <c r="IV2" i="2"/>
  <c r="LM35" i="2"/>
  <c r="GU68" i="2"/>
  <c r="DL24" i="2"/>
  <c r="KO35" i="2"/>
  <c r="PF57" i="2"/>
  <c r="BD22" i="14"/>
  <c r="KZ68" i="2"/>
  <c r="DJ26" i="9"/>
  <c r="QU24" i="2"/>
  <c r="DE8" i="9"/>
  <c r="FD57" i="2"/>
  <c r="D359" i="5"/>
  <c r="OA35" i="2"/>
  <c r="NC68" i="2"/>
  <c r="JT24" i="2"/>
  <c r="GZ5" i="2"/>
  <c r="BC6" i="14"/>
  <c r="JJ5" i="2"/>
  <c r="JH68" i="2"/>
  <c r="HL68" i="2"/>
  <c r="FU13" i="2"/>
  <c r="JV24" i="2"/>
  <c r="BS11" i="2"/>
  <c r="DO4" i="2"/>
  <c r="IY5" i="2"/>
  <c r="FB13" i="2"/>
  <c r="II2" i="2"/>
  <c r="II6" i="2" s="1"/>
  <c r="GZ35" i="2"/>
  <c r="HD46" i="2"/>
  <c r="S204" i="20"/>
  <c r="EA35" i="2"/>
  <c r="DW13" i="2"/>
  <c r="S152" i="20"/>
  <c r="EL46" i="2"/>
  <c r="KC13" i="2"/>
  <c r="LF57" i="2"/>
  <c r="LM68" i="2"/>
  <c r="KF24" i="2"/>
  <c r="KW57" i="2"/>
  <c r="JT68" i="2"/>
  <c r="KL46" i="2"/>
  <c r="CN12" i="14"/>
  <c r="HB57" i="2"/>
  <c r="AB418" i="5"/>
  <c r="MJ13" i="2"/>
  <c r="GR46" i="2"/>
  <c r="JP2" i="2"/>
  <c r="EP57" i="2"/>
  <c r="LR46" i="2"/>
  <c r="S231" i="20"/>
  <c r="EI13" i="2"/>
  <c r="AI19" i="15"/>
  <c r="II24" i="2"/>
  <c r="IH46" i="2"/>
  <c r="BH9" i="9"/>
  <c r="OR46" i="2"/>
  <c r="GO68" i="2"/>
  <c r="FH2" i="2"/>
  <c r="PK46" i="2"/>
  <c r="BN18" i="14"/>
  <c r="LO24" i="2"/>
  <c r="FZ35" i="2"/>
  <c r="HP57" i="2"/>
  <c r="NA68" i="2"/>
  <c r="FO57" i="2"/>
  <c r="W10" i="15"/>
  <c r="IX13" i="2"/>
  <c r="FE24" i="2"/>
  <c r="KM35" i="2"/>
  <c r="FJ13" i="2"/>
  <c r="PO68" i="2"/>
  <c r="HU2" i="2"/>
  <c r="HU5" i="2" s="1"/>
  <c r="MR68" i="2"/>
  <c r="S225" i="20"/>
  <c r="S128" i="20"/>
  <c r="DX35" i="2"/>
  <c r="HW68" i="2"/>
  <c r="PR24" i="2"/>
  <c r="NT68" i="2"/>
  <c r="KV35" i="2"/>
  <c r="J37" i="22"/>
  <c r="IN68" i="2"/>
  <c r="M139" i="13"/>
  <c r="MD68" i="2"/>
  <c r="OC2" i="2"/>
  <c r="EN13" i="2"/>
  <c r="AF40" i="13"/>
  <c r="AK424" i="5"/>
  <c r="OP13" i="2"/>
  <c r="LH57" i="2"/>
  <c r="DY15" i="9"/>
  <c r="PG35" i="2"/>
  <c r="NE46" i="2"/>
  <c r="JW68" i="2"/>
  <c r="LM4" i="2"/>
  <c r="DM46" i="2"/>
  <c r="HE68" i="2"/>
  <c r="S127" i="20"/>
  <c r="JA46" i="2"/>
  <c r="JI13" i="2"/>
  <c r="AF26" i="13"/>
  <c r="S315" i="20"/>
  <c r="DY87" i="13"/>
  <c r="BD45" i="14"/>
  <c r="AS19" i="2"/>
  <c r="T394" i="5"/>
  <c r="OS4" i="2"/>
  <c r="CH9" i="2"/>
  <c r="FF57" i="2"/>
  <c r="LQ2" i="2"/>
  <c r="IV6" i="2"/>
  <c r="NN57" i="2"/>
  <c r="OA2" i="2"/>
  <c r="DW68" i="2"/>
  <c r="EF31" i="15"/>
  <c r="KK4" i="2"/>
  <c r="KX35" i="2"/>
  <c r="OW46" i="2"/>
  <c r="GU35" i="2"/>
  <c r="HS35" i="2"/>
  <c r="CS12" i="14"/>
  <c r="S193" i="20"/>
  <c r="LD2" i="2"/>
  <c r="BL20" i="14"/>
  <c r="QP6" i="2"/>
  <c r="QL2" i="2"/>
  <c r="CI10" i="2"/>
  <c r="AI12" i="15"/>
  <c r="FC57" i="2"/>
  <c r="OT35" i="2"/>
  <c r="S147" i="20"/>
  <c r="KK24" i="2"/>
  <c r="CW23" i="15"/>
  <c r="PW35" i="2"/>
  <c r="BC32" i="14"/>
  <c r="S188" i="20"/>
  <c r="CQ17" i="9"/>
  <c r="IN2" i="2"/>
  <c r="BS26" i="15"/>
  <c r="JL68" i="2"/>
  <c r="BO8" i="14"/>
  <c r="AW10" i="2"/>
  <c r="OV46" i="2"/>
  <c r="GL46" i="2"/>
  <c r="LG68" i="2"/>
  <c r="IF13" i="2"/>
  <c r="JZ6" i="2"/>
  <c r="HW46" i="2"/>
  <c r="BG20" i="14"/>
  <c r="BF19" i="16"/>
  <c r="AP9" i="2"/>
  <c r="DR5" i="2"/>
  <c r="JM57" i="2"/>
  <c r="JR6" i="2"/>
  <c r="AU33" i="2"/>
  <c r="JY57" i="2"/>
  <c r="CR15" i="9"/>
  <c r="LL57" i="2"/>
  <c r="BI34" i="14"/>
  <c r="EL10" i="13"/>
  <c r="GY68" i="2"/>
  <c r="BS431" i="5"/>
  <c r="QA5" i="2"/>
  <c r="QD46" i="2"/>
  <c r="S134" i="20"/>
  <c r="LY2" i="2"/>
  <c r="E10" i="15"/>
  <c r="HS68" i="2"/>
  <c r="KU35" i="2"/>
  <c r="FI35" i="2"/>
  <c r="PP68" i="2"/>
  <c r="BL21" i="14"/>
  <c r="JB68" i="2"/>
  <c r="JA35" i="2"/>
  <c r="HI13" i="2"/>
  <c r="DM24" i="2"/>
  <c r="NA2" i="2"/>
  <c r="HB35" i="2"/>
  <c r="EH35" i="2"/>
  <c r="GU9" i="13"/>
  <c r="PD68" i="2"/>
  <c r="FQ46" i="2"/>
  <c r="NN2" i="2"/>
  <c r="QR13" i="2"/>
  <c r="IE29" i="13"/>
  <c r="KR46" i="2"/>
  <c r="MR46" i="2"/>
  <c r="OY2" i="2"/>
  <c r="BA12" i="2"/>
  <c r="IG2" i="2"/>
  <c r="NI24" i="2"/>
  <c r="IQ24" i="2"/>
  <c r="S145" i="20"/>
  <c r="OQ68" i="2"/>
  <c r="EC46" i="2"/>
  <c r="FD46" i="2"/>
  <c r="KF46" i="2"/>
  <c r="S272" i="20"/>
  <c r="FF2" i="2"/>
  <c r="FF4" i="2" s="1"/>
  <c r="OY6" i="2"/>
  <c r="AL34" i="2"/>
  <c r="PY24" i="2"/>
  <c r="QW68" i="2"/>
  <c r="DM35" i="2"/>
  <c r="S297" i="20"/>
  <c r="OE35" i="2"/>
  <c r="JN68" i="2"/>
  <c r="IE10" i="13"/>
  <c r="HA57" i="2"/>
  <c r="AG171" i="13"/>
  <c r="PW13" i="2"/>
  <c r="D46" i="14"/>
  <c r="EN35" i="2"/>
  <c r="BP16" i="9"/>
  <c r="BT30" i="15"/>
  <c r="IA46" i="2"/>
  <c r="FS46" i="2"/>
  <c r="ND2" i="2"/>
  <c r="ND4" i="2" s="1"/>
  <c r="LT2" i="2"/>
  <c r="LT4" i="2" s="1"/>
  <c r="JX57" i="2"/>
  <c r="OK24" i="2"/>
  <c r="NN46" i="2"/>
  <c r="QO13" i="2"/>
  <c r="ML57" i="2"/>
  <c r="BE45" i="14"/>
  <c r="LO68" i="2"/>
  <c r="OT13" i="2"/>
  <c r="NP24" i="2"/>
  <c r="FC13" i="2"/>
  <c r="JS13" i="2"/>
  <c r="AG160" i="13"/>
  <c r="BB431" i="5"/>
  <c r="S255" i="20"/>
  <c r="S190" i="20"/>
  <c r="EG46" i="2"/>
  <c r="AH30" i="19"/>
  <c r="EG2" i="2"/>
  <c r="OX46" i="2"/>
  <c r="QX57" i="2"/>
  <c r="IH13" i="2"/>
  <c r="K455" i="5"/>
  <c r="S166" i="20"/>
  <c r="JB24" i="2"/>
  <c r="HW13" i="2"/>
  <c r="OU57" i="2"/>
  <c r="EU35" i="2"/>
  <c r="IJ46" i="2"/>
  <c r="LZ46" i="2"/>
  <c r="AO22" i="2"/>
  <c r="KZ46" i="2"/>
  <c r="LP46" i="2"/>
  <c r="LT57" i="2"/>
  <c r="HB6" i="2"/>
  <c r="JV2" i="2"/>
  <c r="DR6" i="2"/>
  <c r="DZ35" i="2"/>
  <c r="IH68" i="2"/>
  <c r="FC6" i="2"/>
  <c r="ON46" i="2"/>
  <c r="JH13" i="2"/>
  <c r="QI57" i="2"/>
  <c r="JC24" i="2"/>
  <c r="MO46" i="2"/>
  <c r="GN24" i="2"/>
  <c r="JJ35" i="2"/>
  <c r="PC46" i="2"/>
  <c r="OF35" i="2"/>
  <c r="JD35" i="2"/>
  <c r="MR2" i="2"/>
  <c r="NK24" i="2"/>
  <c r="KO13" i="2"/>
  <c r="QN35" i="2"/>
  <c r="CQ18" i="15"/>
  <c r="LK46" i="2"/>
  <c r="AU9" i="2"/>
  <c r="S155" i="20"/>
  <c r="QJ2" i="2"/>
  <c r="OI68" i="2"/>
  <c r="BL9" i="14"/>
  <c r="BL11" i="14" s="1"/>
  <c r="DK21" i="15"/>
  <c r="KQ68" i="2"/>
  <c r="DD10" i="9"/>
  <c r="KI2" i="2"/>
  <c r="BK21" i="14"/>
  <c r="S327" i="20"/>
  <c r="S205" i="20"/>
  <c r="JQ57" i="2"/>
  <c r="HX5" i="2"/>
  <c r="BU439" i="5"/>
  <c r="BA13" i="2"/>
  <c r="BF34" i="14"/>
  <c r="HH68" i="2"/>
  <c r="S304" i="20"/>
  <c r="FP13" i="2"/>
  <c r="KC57" i="2"/>
  <c r="PH57" i="2"/>
  <c r="IY13" i="2"/>
  <c r="EA46" i="2"/>
  <c r="NO2" i="2"/>
  <c r="S181" i="20"/>
  <c r="QN46" i="2"/>
  <c r="ON24" i="2"/>
  <c r="LB13" i="2"/>
  <c r="GC68" i="2"/>
  <c r="CT7" i="14"/>
  <c r="AB395" i="5"/>
  <c r="S163" i="20"/>
  <c r="HV13" i="2"/>
  <c r="DJ68" i="2"/>
  <c r="OT24" i="2"/>
  <c r="MI2" i="2"/>
  <c r="EW5" i="2"/>
  <c r="DR4" i="2"/>
  <c r="DI19" i="9"/>
  <c r="NK57" i="2"/>
  <c r="JU24" i="2"/>
  <c r="DR57" i="2"/>
  <c r="EU2" i="2"/>
  <c r="EU4" i="2" s="1"/>
  <c r="FP57" i="2"/>
  <c r="IS35" i="2"/>
  <c r="MM13" i="2"/>
  <c r="KV13" i="2"/>
  <c r="PT24" i="2"/>
  <c r="GP13" i="2"/>
  <c r="MW57" i="2"/>
  <c r="OE13" i="2"/>
  <c r="DE10" i="9"/>
  <c r="AG151" i="13"/>
  <c r="BK12" i="2"/>
  <c r="BK14" i="2" s="1"/>
  <c r="JF13" i="2"/>
  <c r="KR57" i="2"/>
  <c r="BE28" i="15"/>
  <c r="ES25" i="9"/>
  <c r="IB2" i="2"/>
  <c r="KG13" i="2"/>
  <c r="NG2" i="2"/>
  <c r="DD25" i="15"/>
  <c r="KM46" i="2"/>
  <c r="NE57" i="2"/>
  <c r="CA457" i="5"/>
  <c r="FR68" i="2"/>
  <c r="NG13" i="2"/>
  <c r="MH35" i="2"/>
  <c r="KK13" i="2"/>
  <c r="HO68" i="2"/>
  <c r="AP18" i="15"/>
  <c r="FI57" i="2"/>
  <c r="QX35" i="2"/>
  <c r="PW24" i="2"/>
  <c r="OS68" i="2"/>
  <c r="HT68" i="2"/>
  <c r="IE11" i="13"/>
  <c r="NU57" i="2"/>
  <c r="JS68" i="2"/>
  <c r="BJ403" i="5"/>
  <c r="MA35" i="2"/>
  <c r="AH21" i="19"/>
  <c r="KX2" i="2"/>
  <c r="EV35" i="2"/>
  <c r="S184" i="20"/>
  <c r="EV2" i="2"/>
  <c r="AV46" i="2"/>
  <c r="HI24" i="2"/>
  <c r="BC22" i="14"/>
  <c r="OI46" i="2"/>
  <c r="W379" i="5"/>
  <c r="EQ68" i="2"/>
  <c r="KT13" i="2"/>
  <c r="EM57" i="2"/>
  <c r="PO35" i="2"/>
  <c r="BL12" i="2"/>
  <c r="BS12" i="14"/>
  <c r="MF57" i="2"/>
  <c r="FO46" i="2"/>
  <c r="GM57" i="2"/>
  <c r="OO46" i="2"/>
  <c r="QF13" i="2"/>
  <c r="LG35" i="2"/>
  <c r="AC54" i="13"/>
  <c r="EQ57" i="2"/>
  <c r="KU57" i="2"/>
  <c r="N12" i="15"/>
  <c r="JR4" i="2"/>
  <c r="GP68" i="2"/>
  <c r="FK6" i="2"/>
  <c r="BE12" i="2"/>
  <c r="HM57" i="2"/>
  <c r="EC24" i="2"/>
  <c r="CP9" i="2"/>
  <c r="HN57" i="2"/>
  <c r="S307" i="20"/>
  <c r="II57" i="2"/>
  <c r="FK68" i="2"/>
  <c r="BS8" i="15"/>
  <c r="IC13" i="2"/>
  <c r="C468" i="5"/>
  <c r="EA57" i="2"/>
  <c r="JU46" i="2"/>
  <c r="BF10" i="2"/>
  <c r="MV57" i="2"/>
  <c r="LA68" i="2"/>
  <c r="JU57" i="2"/>
  <c r="S144" i="20"/>
  <c r="MC13" i="2"/>
  <c r="PX2" i="2"/>
  <c r="PX6" i="2" s="1"/>
  <c r="AQ33" i="2"/>
  <c r="NC5" i="2"/>
  <c r="OQ24" i="2"/>
  <c r="FE6" i="2"/>
  <c r="AB397" i="5"/>
  <c r="N16" i="15"/>
  <c r="GE46" i="2"/>
  <c r="JP24" i="2"/>
  <c r="PY35" i="2"/>
  <c r="O171" i="13"/>
  <c r="KX46" i="2"/>
  <c r="ID6" i="2"/>
  <c r="KB5" i="2"/>
  <c r="JC6" i="2"/>
  <c r="QM57" i="2"/>
  <c r="HZ24" i="13"/>
  <c r="AK394" i="5"/>
  <c r="MT68" i="2"/>
  <c r="FR24" i="2"/>
  <c r="PE46" i="2"/>
  <c r="AN23" i="2"/>
  <c r="EK35" i="2"/>
  <c r="AB464" i="5"/>
  <c r="FV4" i="2"/>
  <c r="S207" i="20"/>
  <c r="LM13" i="2"/>
  <c r="MS35" i="2"/>
  <c r="EV22" i="13"/>
  <c r="IP57" i="2"/>
  <c r="HP2" i="2"/>
  <c r="EC13" i="2"/>
  <c r="PG24" i="2"/>
  <c r="FT5" i="2"/>
  <c r="CA404" i="5"/>
  <c r="DY5" i="2"/>
  <c r="IU13" i="2"/>
  <c r="CH18" i="15"/>
  <c r="S238" i="20"/>
  <c r="GF2" i="2"/>
  <c r="PS35" i="2"/>
  <c r="KG46" i="2"/>
  <c r="EB24" i="2"/>
  <c r="IB4" i="2"/>
  <c r="NJ13" i="2"/>
  <c r="AS388" i="5"/>
  <c r="KX57" i="2"/>
  <c r="JW35" i="2"/>
  <c r="KT68" i="2"/>
  <c r="JO68" i="2"/>
  <c r="CI13" i="14"/>
  <c r="IW35" i="2"/>
  <c r="IT68" i="2"/>
  <c r="AN58" i="2"/>
  <c r="JG35" i="2"/>
  <c r="AE147" i="13"/>
  <c r="S261" i="20"/>
  <c r="HZ57" i="2"/>
  <c r="QV5" i="2"/>
  <c r="FK24" i="2"/>
  <c r="LH5" i="2"/>
  <c r="FQ13" i="2"/>
  <c r="JD24" i="2"/>
  <c r="BE12" i="15"/>
  <c r="MA13" i="2"/>
  <c r="FN13" i="2"/>
  <c r="K425" i="5"/>
  <c r="QS46" i="2"/>
  <c r="KC46" i="2"/>
  <c r="S221" i="5"/>
  <c r="FL6" i="2"/>
  <c r="BI8" i="14"/>
  <c r="IL2" i="2"/>
  <c r="QZ46" i="2"/>
  <c r="HC46" i="2"/>
  <c r="KP46" i="2"/>
  <c r="PS46" i="2"/>
  <c r="KQ35" i="2"/>
  <c r="FT35" i="2"/>
  <c r="AU34" i="2"/>
  <c r="S239" i="20"/>
  <c r="PB35" i="2"/>
  <c r="IZ2" i="2"/>
  <c r="OL35" i="2"/>
  <c r="EF21" i="15"/>
  <c r="AS448" i="5"/>
  <c r="FW46" i="2"/>
  <c r="EG13" i="2"/>
  <c r="QX68" i="2"/>
  <c r="GV46" i="2"/>
  <c r="DH2" i="14"/>
  <c r="BM48" i="15"/>
  <c r="HD13" i="2"/>
  <c r="ON57" i="2"/>
  <c r="EZ13" i="2"/>
  <c r="S187" i="20"/>
  <c r="LC5" i="2"/>
  <c r="HF35" i="2"/>
  <c r="HG68" i="2"/>
  <c r="MJ68" i="2"/>
  <c r="QI24" i="2"/>
  <c r="CQ12" i="14"/>
  <c r="GQ6" i="2"/>
  <c r="AN9" i="2"/>
  <c r="FH46" i="2"/>
  <c r="GH57" i="2"/>
  <c r="JZ5" i="2"/>
  <c r="HX46" i="2"/>
  <c r="QB35" i="2"/>
  <c r="JT13" i="2"/>
  <c r="PO24" i="2"/>
  <c r="FA13" i="2"/>
  <c r="BZ12" i="9"/>
  <c r="HE57" i="2"/>
  <c r="ND35" i="2"/>
  <c r="NK46" i="2"/>
  <c r="MS13" i="2"/>
  <c r="OI13" i="2"/>
  <c r="KO24" i="2"/>
  <c r="NI2" i="2"/>
  <c r="NA35" i="2"/>
  <c r="ES57" i="2"/>
  <c r="OB5" i="2"/>
  <c r="BH20" i="14"/>
  <c r="OR6" i="2"/>
  <c r="AG158" i="13"/>
  <c r="BI57" i="14"/>
  <c r="AR31" i="2"/>
  <c r="QB13" i="2"/>
  <c r="PO13" i="2"/>
  <c r="DR24" i="2"/>
  <c r="EK57" i="2"/>
  <c r="QG46" i="2"/>
  <c r="GZ13" i="2"/>
  <c r="NV68" i="2"/>
  <c r="GE35" i="2"/>
  <c r="HU57" i="2"/>
  <c r="S185" i="20"/>
  <c r="IY6" i="2"/>
  <c r="K418" i="5"/>
  <c r="DT24" i="2"/>
  <c r="BB14" i="2"/>
  <c r="K457" i="5"/>
  <c r="FN4" i="2"/>
  <c r="FG4" i="2"/>
  <c r="PE24" i="2"/>
  <c r="MK46" i="2"/>
  <c r="K433" i="5"/>
  <c r="N13" i="15"/>
  <c r="JP5" i="2"/>
  <c r="AT11" i="2"/>
  <c r="LG13" i="2"/>
  <c r="EW24" i="2"/>
  <c r="AK400" i="5"/>
  <c r="PZ24" i="2"/>
  <c r="AU22" i="2"/>
  <c r="MU13" i="2"/>
  <c r="S319" i="20"/>
  <c r="LY6" i="2"/>
  <c r="OD46" i="2"/>
  <c r="QI46" i="2"/>
  <c r="FR57" i="2"/>
  <c r="LP35" i="2"/>
  <c r="BB33" i="14"/>
  <c r="LU57" i="2"/>
  <c r="DY29" i="15"/>
  <c r="ES23" i="9"/>
  <c r="AB359" i="5"/>
  <c r="E9" i="15"/>
  <c r="KV57" i="2"/>
  <c r="DJ12" i="9"/>
  <c r="HF4" i="2"/>
  <c r="HB46" i="2"/>
  <c r="FY2" i="2"/>
  <c r="GU46" i="2"/>
  <c r="S228" i="20"/>
  <c r="KE5" i="2"/>
  <c r="MA2" i="2"/>
  <c r="AH18" i="19"/>
  <c r="S330" i="20"/>
  <c r="IG68" i="2"/>
  <c r="PJ68" i="2"/>
  <c r="JG46" i="2"/>
  <c r="PQ24" i="2"/>
  <c r="IM2" i="2"/>
  <c r="JA24" i="2"/>
  <c r="AU23" i="2"/>
  <c r="FG46" i="2"/>
  <c r="NC6" i="2"/>
  <c r="DN5" i="2"/>
  <c r="AM34" i="2"/>
  <c r="PJ57" i="2"/>
  <c r="KO2" i="2"/>
  <c r="NQ46" i="2"/>
  <c r="QB68" i="2"/>
  <c r="DQ35" i="2"/>
  <c r="FC35" i="2"/>
  <c r="CB9" i="2"/>
  <c r="HM46" i="2"/>
  <c r="MB24" i="2"/>
  <c r="DC8" i="15"/>
  <c r="NM57" i="2"/>
  <c r="QX2" i="2"/>
  <c r="EX68" i="2"/>
  <c r="PI46" i="2"/>
  <c r="LQ46" i="2"/>
  <c r="DK31" i="15"/>
  <c r="LA24" i="2"/>
  <c r="AI16" i="15"/>
  <c r="QT2" i="2"/>
  <c r="OM35" i="2"/>
  <c r="BK30" i="14"/>
  <c r="QJ46" i="2"/>
  <c r="AL46" i="2"/>
  <c r="NU46" i="2"/>
  <c r="S130" i="20"/>
  <c r="MB13" i="2"/>
  <c r="HL46" i="2"/>
  <c r="BL11" i="2"/>
  <c r="DD114" i="14"/>
  <c r="AM21" i="2"/>
  <c r="CW21" i="15"/>
  <c r="FK5" i="2"/>
  <c r="JV5" i="2"/>
  <c r="OS46" i="2"/>
  <c r="FR46" i="2"/>
  <c r="LI24" i="2"/>
  <c r="QL57" i="2"/>
  <c r="IY24" i="2"/>
  <c r="OD2" i="2"/>
  <c r="KX13" i="2"/>
  <c r="NH68" i="2"/>
  <c r="C461" i="5"/>
  <c r="JW2" i="2"/>
  <c r="LV2" i="2"/>
  <c r="S165" i="20"/>
  <c r="BG57" i="14"/>
  <c r="DF8" i="9"/>
  <c r="EZ35" i="2"/>
  <c r="EJ13" i="2"/>
  <c r="FV68" i="2"/>
  <c r="HW24" i="2"/>
  <c r="EE9" i="15"/>
  <c r="EF2" i="2"/>
  <c r="AN31" i="2"/>
  <c r="LK35" i="2"/>
  <c r="S241" i="20"/>
  <c r="NE2" i="2"/>
  <c r="AB358" i="5"/>
  <c r="DL4" i="2"/>
  <c r="OM68" i="2"/>
  <c r="PI24" i="2"/>
  <c r="FY46" i="2"/>
  <c r="PQ68" i="2"/>
  <c r="ES29" i="9"/>
  <c r="LF35" i="2"/>
  <c r="QA6" i="2"/>
  <c r="BE9" i="14"/>
  <c r="NO57" i="2"/>
  <c r="BC17" i="2"/>
  <c r="FR13" i="2"/>
  <c r="AP12" i="15"/>
  <c r="LM6" i="2"/>
  <c r="S154" i="20"/>
  <c r="FD24" i="2"/>
  <c r="BD11" i="2"/>
  <c r="GF35" i="2"/>
  <c r="JW6" i="2"/>
  <c r="BJ448" i="5"/>
  <c r="JB57" i="2"/>
  <c r="GI68" i="2"/>
  <c r="NI13" i="2"/>
  <c r="CA395" i="5"/>
  <c r="S266" i="20"/>
  <c r="OR57" i="2"/>
  <c r="OZ13" i="2"/>
  <c r="BJ433" i="5"/>
  <c r="X22" i="16"/>
  <c r="GG35" i="2"/>
  <c r="GJ35" i="2"/>
  <c r="S200" i="20"/>
  <c r="QS57" i="2"/>
  <c r="BB57" i="14"/>
  <c r="IU2" i="2"/>
  <c r="KD68" i="2"/>
  <c r="BU10" i="14"/>
  <c r="HC24" i="2"/>
  <c r="S195" i="20"/>
  <c r="AO31" i="2"/>
  <c r="MR6" i="2"/>
  <c r="BJ9" i="14"/>
  <c r="LV5" i="2"/>
  <c r="NQ35" i="2"/>
  <c r="JR13" i="2"/>
  <c r="KB6" i="2"/>
  <c r="NA4" i="2"/>
  <c r="LT68" i="2"/>
  <c r="BE9" i="15"/>
  <c r="GV24" i="2"/>
  <c r="MR4" i="2"/>
  <c r="QI35" i="2"/>
  <c r="S169" i="20"/>
  <c r="BL6" i="14"/>
  <c r="LE57" i="2"/>
  <c r="LB46" i="2"/>
  <c r="NJ46" i="2"/>
  <c r="DN68" i="2"/>
  <c r="BE14" i="2"/>
  <c r="KP2" i="2"/>
  <c r="EN57" i="2"/>
  <c r="BZ26" i="15"/>
  <c r="NK2" i="2"/>
  <c r="C460" i="5"/>
  <c r="KI35" i="2"/>
  <c r="BJ8" i="14"/>
  <c r="PM68" i="2"/>
  <c r="BJ14" i="2"/>
  <c r="E12" i="15"/>
  <c r="GA46" i="2"/>
  <c r="S267" i="20"/>
  <c r="K434" i="5"/>
  <c r="AH31" i="19"/>
  <c r="QC24" i="2"/>
  <c r="PI2" i="2"/>
  <c r="PG68" i="2"/>
  <c r="J37" i="16"/>
  <c r="EF68" i="2"/>
  <c r="FK13" i="2"/>
  <c r="HI4" i="2"/>
  <c r="PC24" i="2"/>
  <c r="NT46" i="2"/>
  <c r="S177" i="20"/>
  <c r="LR57" i="2"/>
  <c r="EE8" i="15"/>
  <c r="AG172" i="13"/>
  <c r="HR68" i="2"/>
  <c r="BG32" i="14"/>
  <c r="AQ9" i="2"/>
  <c r="KB4" i="2"/>
  <c r="IK6" i="2"/>
  <c r="GU12" i="13"/>
  <c r="DY35" i="2"/>
  <c r="DT57" i="2"/>
  <c r="MY2" i="2"/>
  <c r="LI35" i="2"/>
  <c r="JX13" i="2"/>
  <c r="KR24" i="2"/>
  <c r="S217" i="20"/>
  <c r="DK26" i="9"/>
  <c r="MA68" i="2"/>
  <c r="BK18" i="14"/>
  <c r="FX57" i="2"/>
  <c r="QV13" i="2"/>
  <c r="KA2" i="2"/>
  <c r="NB2" i="2"/>
  <c r="LZ57" i="2"/>
  <c r="H41" i="14"/>
  <c r="GA35" i="2"/>
  <c r="AV33" i="2"/>
  <c r="PH35" i="2"/>
  <c r="EQ40" i="12"/>
  <c r="NB4" i="2"/>
  <c r="AP36" i="2"/>
  <c r="MS4" i="2"/>
  <c r="BQ11" i="14"/>
  <c r="GX57" i="2"/>
  <c r="HJ18" i="13"/>
  <c r="EA2" i="2"/>
  <c r="AG221" i="13"/>
  <c r="HP46" i="2"/>
  <c r="GB13" i="2"/>
  <c r="CQ16" i="9"/>
  <c r="ET68" i="2"/>
  <c r="S316" i="20"/>
  <c r="AN34" i="2"/>
  <c r="AN35" i="2" s="1"/>
  <c r="NK35" i="2"/>
  <c r="KW13" i="2"/>
  <c r="LX2" i="2"/>
  <c r="OT5" i="2"/>
  <c r="PC57" i="2"/>
  <c r="S313" i="20"/>
  <c r="FA57" i="2"/>
  <c r="JW24" i="2"/>
  <c r="LV35" i="2"/>
  <c r="JE68" i="2"/>
  <c r="LV13" i="2"/>
  <c r="NP57" i="2"/>
  <c r="CP14" i="9"/>
  <c r="AT34" i="2"/>
  <c r="MS6" i="2"/>
  <c r="EK13" i="2"/>
  <c r="MW46" i="2"/>
  <c r="MI46" i="2"/>
  <c r="QV24" i="2"/>
  <c r="AT58" i="2"/>
  <c r="NG68" i="2"/>
  <c r="PR68" i="2"/>
  <c r="DM2" i="2"/>
  <c r="GS4" i="2"/>
  <c r="QO46" i="2"/>
  <c r="PA13" i="2"/>
  <c r="FN24" i="2"/>
  <c r="IF68" i="2"/>
  <c r="S310" i="20"/>
  <c r="ND5" i="2"/>
  <c r="EJ57" i="2"/>
  <c r="KT46" i="2"/>
  <c r="KH2" i="2"/>
  <c r="KY46" i="2"/>
  <c r="JT5" i="2"/>
  <c r="FA35" i="2"/>
  <c r="QJ68" i="2"/>
  <c r="MO35" i="2"/>
  <c r="OO6" i="2"/>
  <c r="HV6" i="2"/>
  <c r="BC9" i="2"/>
  <c r="IJ5" i="2"/>
  <c r="GS35" i="2"/>
  <c r="NL2" i="2"/>
  <c r="N22" i="15"/>
  <c r="PV68" i="2"/>
  <c r="JA68" i="2"/>
  <c r="S142" i="20"/>
  <c r="JR68" i="2"/>
  <c r="NX2" i="2"/>
  <c r="AR34" i="2"/>
  <c r="BA21" i="14"/>
  <c r="PC35" i="2"/>
  <c r="NA46" i="2"/>
  <c r="PY5" i="2"/>
  <c r="KQ6" i="2"/>
  <c r="BE6" i="14"/>
  <c r="OH35" i="2"/>
  <c r="NM2" i="2"/>
  <c r="LI13" i="2"/>
  <c r="GJ13" i="2"/>
  <c r="LP5" i="2"/>
  <c r="FK35" i="2"/>
  <c r="MK6" i="2"/>
  <c r="OQ2" i="2"/>
  <c r="MC5" i="2"/>
  <c r="DQ10" i="15"/>
  <c r="EV6" i="2"/>
  <c r="LY4" i="2"/>
  <c r="F409" i="5"/>
  <c r="S328" i="20"/>
  <c r="K464" i="5"/>
  <c r="JO46" i="2"/>
  <c r="X154" i="13"/>
  <c r="MT13" i="2"/>
  <c r="MN2" i="2"/>
  <c r="BS394" i="5"/>
  <c r="OO35" i="2"/>
  <c r="KD35" i="2"/>
  <c r="MT57" i="2"/>
  <c r="QT13" i="2"/>
  <c r="S226" i="20"/>
  <c r="EK2" i="2"/>
  <c r="FO35" i="2"/>
  <c r="BI35" i="14"/>
  <c r="KD24" i="2"/>
  <c r="MT35" i="2"/>
  <c r="OQ57" i="2"/>
  <c r="KT57" i="2"/>
  <c r="BG45" i="14"/>
  <c r="BI18" i="14"/>
  <c r="S131" i="20"/>
  <c r="BS448" i="5"/>
  <c r="HZ9" i="13"/>
  <c r="AM7" i="2"/>
  <c r="GZ46" i="2"/>
  <c r="IX57" i="2"/>
  <c r="LQ24" i="2"/>
  <c r="KB68" i="2"/>
  <c r="FG57" i="2"/>
  <c r="CW9" i="2"/>
  <c r="N10" i="15"/>
  <c r="LO2" i="2"/>
  <c r="GD4" i="2"/>
  <c r="MM6" i="2"/>
  <c r="KR13" i="2"/>
  <c r="D471" i="5"/>
  <c r="MJ57" i="2"/>
  <c r="CP7" i="14"/>
  <c r="T430" i="5"/>
  <c r="DX5" i="2"/>
  <c r="FQ35" i="2"/>
  <c r="EL6" i="2"/>
  <c r="KI68" i="2"/>
  <c r="HF13" i="2"/>
  <c r="AI18" i="15"/>
  <c r="NQ2" i="2"/>
  <c r="IK35" i="2"/>
  <c r="BF18" i="14"/>
  <c r="IT24" i="2"/>
  <c r="EE24" i="2"/>
  <c r="MG46" i="2"/>
  <c r="GJ4" i="2"/>
  <c r="LO46" i="2"/>
  <c r="KE68" i="2"/>
  <c r="BE57" i="14"/>
  <c r="GB24" i="2"/>
  <c r="ON68" i="2"/>
  <c r="LW68" i="2"/>
  <c r="S215" i="20"/>
  <c r="OC35" i="2"/>
  <c r="CN9" i="15"/>
  <c r="OH68" i="2"/>
  <c r="MY57" i="2"/>
  <c r="IS57" i="2"/>
  <c r="GT2" i="2"/>
  <c r="J26" i="16"/>
  <c r="HO35" i="2"/>
  <c r="MH46" i="2"/>
  <c r="HV35" i="2"/>
  <c r="S129" i="20"/>
  <c r="QP4" i="2"/>
  <c r="BH10" i="14"/>
  <c r="GB4" i="2"/>
  <c r="OP24" i="2"/>
  <c r="OQ13" i="2"/>
  <c r="IC35" i="2"/>
  <c r="AM31" i="2"/>
  <c r="PX46" i="2"/>
  <c r="HE35" i="2"/>
  <c r="PP2" i="2"/>
  <c r="HM2" i="2"/>
  <c r="GI46" i="2"/>
  <c r="KI6" i="2"/>
  <c r="OV2" i="2"/>
  <c r="QA24" i="2"/>
  <c r="MV68" i="2"/>
  <c r="JM24" i="2"/>
  <c r="GX24" i="2"/>
  <c r="JN24" i="2"/>
  <c r="AH32" i="19"/>
  <c r="EU68" i="2"/>
  <c r="OC5" i="2"/>
  <c r="FL57" i="2"/>
  <c r="GH13" i="2"/>
  <c r="JO2" i="2"/>
  <c r="GZ57" i="2"/>
  <c r="MU2" i="2"/>
  <c r="OK68" i="2"/>
  <c r="JL24" i="2"/>
  <c r="FY24" i="2"/>
  <c r="S124" i="20"/>
  <c r="BG33" i="14"/>
  <c r="NP68" i="2"/>
  <c r="NA13" i="2"/>
  <c r="MV2" i="2"/>
  <c r="DT68" i="2"/>
  <c r="PS24" i="2"/>
  <c r="OO57" i="2"/>
  <c r="QJ24" i="2"/>
  <c r="NI35" i="2"/>
  <c r="IY68" i="2"/>
  <c r="HQ68" i="2"/>
  <c r="AB463" i="5"/>
  <c r="BZ11" i="9"/>
  <c r="DR31" i="15"/>
  <c r="NG57" i="2"/>
  <c r="FA2" i="2"/>
  <c r="S125" i="20"/>
  <c r="LM46" i="2"/>
  <c r="S137" i="20"/>
  <c r="AK460" i="5"/>
  <c r="HA2" i="2"/>
  <c r="HT57" i="2"/>
  <c r="KI57" i="2"/>
  <c r="AH22" i="19"/>
  <c r="DU13" i="2"/>
  <c r="JQ35" i="2"/>
  <c r="HK46" i="2"/>
  <c r="IC57" i="2"/>
  <c r="CW31" i="15"/>
  <c r="PM13" i="2"/>
  <c r="PW57" i="2"/>
  <c r="GY24" i="2"/>
  <c r="AL21" i="2"/>
  <c r="MF24" i="2"/>
  <c r="OU13" i="2"/>
  <c r="AF9" i="13"/>
  <c r="JZ4" i="2"/>
  <c r="AB388" i="5"/>
  <c r="FD5" i="2"/>
  <c r="IZ6" i="2"/>
  <c r="DX68" i="2"/>
  <c r="NJ24" i="2"/>
  <c r="ET35" i="2"/>
  <c r="DH12" i="9"/>
  <c r="QW46" i="2"/>
  <c r="PM24" i="2"/>
  <c r="FM4" i="2"/>
  <c r="ES13" i="2"/>
  <c r="S201" i="20"/>
  <c r="LD57" i="2"/>
  <c r="GL35" i="2"/>
  <c r="AG154" i="13"/>
  <c r="KV5" i="2"/>
  <c r="QO24" i="2"/>
  <c r="S250" i="20"/>
  <c r="BE9" i="2"/>
  <c r="MR35" i="2"/>
  <c r="IO24" i="2"/>
  <c r="EE4" i="2"/>
  <c r="NV46" i="2"/>
  <c r="BE11" i="14"/>
  <c r="QE57" i="2"/>
  <c r="BQ12" i="2"/>
  <c r="LA13" i="2"/>
  <c r="JZ13" i="2"/>
  <c r="PE57" i="2"/>
  <c r="BD6" i="14"/>
  <c r="EV21" i="13"/>
  <c r="AH16" i="19"/>
  <c r="HC57" i="2"/>
  <c r="JW46" i="2"/>
  <c r="LV24" i="2"/>
  <c r="ML46" i="2"/>
  <c r="KZ5" i="2"/>
  <c r="BB454" i="5"/>
  <c r="V379" i="5"/>
  <c r="DW24" i="2"/>
  <c r="S305" i="20"/>
  <c r="BB45" i="14"/>
  <c r="HD2" i="2"/>
  <c r="BU409" i="5"/>
  <c r="S247" i="20"/>
  <c r="N15" i="15"/>
  <c r="C454" i="5"/>
  <c r="NB35" i="2"/>
  <c r="NS2" i="2"/>
  <c r="EP24" i="2"/>
  <c r="NF24" i="2"/>
  <c r="CP10" i="14"/>
  <c r="BL45" i="14"/>
  <c r="KH68" i="2"/>
  <c r="AH44" i="19"/>
  <c r="QF46" i="2"/>
  <c r="HT2" i="2"/>
  <c r="QM24" i="2"/>
  <c r="AR325" i="5"/>
  <c r="BM60" i="15"/>
  <c r="GD35" i="2"/>
  <c r="DZ46" i="2"/>
  <c r="HI35" i="2"/>
  <c r="BB11" i="14"/>
  <c r="IG46" i="2"/>
  <c r="C38" i="22"/>
  <c r="C39" i="22" s="1"/>
  <c r="AS31" i="2"/>
  <c r="CA403" i="5"/>
  <c r="LD35" i="2"/>
  <c r="PS13" i="2"/>
  <c r="PL24" i="2"/>
  <c r="IL13" i="2"/>
  <c r="HP6" i="2"/>
  <c r="CA427" i="5"/>
  <c r="AW31" i="2"/>
  <c r="MK5" i="2"/>
  <c r="EQ5" i="2"/>
  <c r="AR10" i="2"/>
  <c r="N19" i="15"/>
  <c r="PP24" i="2"/>
  <c r="MR13" i="2"/>
  <c r="FE57" i="2"/>
  <c r="EM5" i="2"/>
  <c r="OX68" i="2"/>
  <c r="T400" i="5"/>
  <c r="LI46" i="2"/>
  <c r="GU28" i="13"/>
  <c r="EU24" i="2"/>
  <c r="JR46" i="2"/>
  <c r="S199" i="20"/>
  <c r="BO15" i="2"/>
  <c r="GN68" i="2"/>
  <c r="AS22" i="2"/>
  <c r="DL28" i="9"/>
  <c r="S233" i="20"/>
  <c r="QZ13" i="2"/>
  <c r="LF13" i="2"/>
  <c r="LF2" i="2"/>
  <c r="DW6" i="2"/>
  <c r="E13" i="19"/>
  <c r="JC68" i="2"/>
  <c r="ON13" i="2"/>
  <c r="N17" i="15"/>
  <c r="AH15" i="19"/>
  <c r="NR35" i="2"/>
  <c r="EG5" i="2"/>
  <c r="IY57" i="2"/>
  <c r="KF57" i="2"/>
  <c r="LT24" i="2"/>
  <c r="MT46" i="2"/>
  <c r="GX68" i="2"/>
  <c r="AS464" i="5"/>
  <c r="NW57" i="2"/>
  <c r="FV35" i="2"/>
  <c r="FY57" i="2"/>
  <c r="PZ68" i="2"/>
  <c r="LJ24" i="2"/>
  <c r="BW10" i="2"/>
  <c r="AG157" i="13"/>
  <c r="CK7" i="14"/>
  <c r="FV24" i="2"/>
  <c r="QH4" i="2"/>
  <c r="AW46" i="2"/>
  <c r="EE57" i="2"/>
  <c r="F439" i="5"/>
  <c r="FH35" i="2"/>
  <c r="IF2" i="2"/>
  <c r="IF4" i="2" s="1"/>
  <c r="LA2" i="2"/>
  <c r="LA6" i="2" s="1"/>
  <c r="MO2" i="2"/>
  <c r="MO6" i="2" s="1"/>
  <c r="EI2" i="2"/>
  <c r="AS427" i="5"/>
  <c r="BS424" i="5"/>
  <c r="QH46" i="2"/>
  <c r="QM13" i="2"/>
  <c r="BJ427" i="5"/>
  <c r="DJ13" i="2"/>
  <c r="BH30" i="14"/>
  <c r="AR22" i="2"/>
  <c r="LT13" i="2"/>
  <c r="GY2" i="2"/>
  <c r="IW2" i="2"/>
  <c r="IW6" i="2" s="1"/>
  <c r="DJ8" i="15"/>
  <c r="BM10" i="2"/>
  <c r="LE35" i="2"/>
  <c r="PV5" i="2"/>
  <c r="DN4" i="2"/>
  <c r="IT13" i="2"/>
  <c r="HU46" i="2"/>
  <c r="BF14" i="2"/>
  <c r="GP6" i="2"/>
  <c r="NU2" i="2"/>
  <c r="AH10" i="19"/>
  <c r="GG5" i="2"/>
  <c r="LY5" i="2"/>
  <c r="MK57" i="2"/>
  <c r="JO35" i="2"/>
  <c r="MW24" i="2"/>
  <c r="DQ68" i="2"/>
  <c r="EY68" i="2"/>
  <c r="BM14" i="2"/>
  <c r="S270" i="20"/>
  <c r="S288" i="20"/>
  <c r="LJ2" i="2"/>
  <c r="GK57" i="2"/>
  <c r="PD24" i="2"/>
  <c r="MS24" i="2"/>
  <c r="FF24" i="2"/>
  <c r="DO24" i="2"/>
  <c r="QA57" i="2"/>
  <c r="GP5" i="2"/>
  <c r="IS4" i="2"/>
  <c r="S308" i="20"/>
  <c r="QN57" i="2"/>
  <c r="II5" i="2"/>
  <c r="AG159" i="13"/>
  <c r="FR4" i="2"/>
  <c r="MP13" i="2"/>
  <c r="GD5" i="2"/>
  <c r="S121" i="20"/>
  <c r="DL6" i="2"/>
  <c r="LQ4" i="2"/>
  <c r="LU46" i="2"/>
  <c r="PD57" i="2"/>
  <c r="BC13" i="2"/>
  <c r="LZ68" i="2"/>
  <c r="OR24" i="2"/>
  <c r="NX68" i="2"/>
  <c r="FT24" i="2"/>
  <c r="KL2" i="2"/>
  <c r="NH2" i="2"/>
  <c r="AH60" i="14"/>
  <c r="MY35" i="2"/>
  <c r="EF25" i="15"/>
  <c r="AH24" i="19"/>
  <c r="FL24" i="2"/>
  <c r="C488" i="5"/>
  <c r="DR21" i="15"/>
  <c r="LX57" i="2"/>
  <c r="PN46" i="2"/>
  <c r="AC59" i="13"/>
  <c r="MI57" i="2"/>
  <c r="JN2" i="2"/>
  <c r="S189" i="20"/>
  <c r="LJ57" i="2"/>
  <c r="PK35" i="2"/>
  <c r="DW46" i="2"/>
  <c r="HY13" i="2"/>
  <c r="CL10" i="14"/>
  <c r="JI24" i="2"/>
  <c r="LS57" i="2"/>
  <c r="BI21" i="14"/>
  <c r="AH38" i="19"/>
  <c r="R319" i="5"/>
  <c r="OG2" i="2"/>
  <c r="S275" i="20"/>
  <c r="QB24" i="2"/>
  <c r="ES35" i="2"/>
  <c r="LY24" i="2"/>
  <c r="QW2" i="2"/>
  <c r="EB2" i="2"/>
  <c r="KE46" i="2"/>
  <c r="DS13" i="2"/>
  <c r="ES19" i="9"/>
  <c r="LB24" i="2"/>
  <c r="HR57" i="2"/>
  <c r="BF7" i="2"/>
  <c r="EG4" i="2"/>
  <c r="JH4" i="2"/>
  <c r="BN10" i="14"/>
  <c r="BB418" i="5"/>
  <c r="HZ25" i="13"/>
  <c r="JJ24" i="2"/>
  <c r="KY57" i="2"/>
  <c r="JC57" i="2"/>
  <c r="QS68" i="2"/>
  <c r="OB13" i="2"/>
  <c r="MX35" i="2"/>
  <c r="ES46" i="2"/>
  <c r="JG68" i="2"/>
  <c r="HS13" i="2"/>
  <c r="PK2" i="2"/>
  <c r="CR18" i="9"/>
  <c r="IU35" i="2"/>
  <c r="S242" i="20"/>
  <c r="N24" i="15"/>
  <c r="KZ24" i="2"/>
  <c r="AM22" i="2"/>
  <c r="AM11" i="2"/>
  <c r="AP24" i="2"/>
  <c r="DS68" i="2"/>
  <c r="BH45" i="14"/>
  <c r="EX46" i="2"/>
  <c r="MG2" i="2"/>
  <c r="DV24" i="2"/>
  <c r="LE46" i="2"/>
  <c r="OF24" i="2"/>
  <c r="HD24" i="2"/>
  <c r="MW68" i="2"/>
  <c r="PW46" i="2"/>
  <c r="DZ24" i="2"/>
  <c r="S289" i="20"/>
  <c r="IF46" i="2"/>
  <c r="EV24" i="2"/>
  <c r="MK4" i="2"/>
  <c r="IW4" i="2"/>
  <c r="GH24" i="2"/>
  <c r="EO2" i="2"/>
  <c r="IO35" i="2"/>
  <c r="FF5" i="2"/>
  <c r="DQ9" i="15"/>
  <c r="DP2" i="2"/>
  <c r="NX57" i="2"/>
  <c r="IK68" i="2"/>
  <c r="JV35" i="2"/>
  <c r="QS4" i="2"/>
  <c r="IF35" i="2"/>
  <c r="GZ68" i="2"/>
  <c r="LE68" i="2"/>
  <c r="IX2" i="2"/>
  <c r="IX6" i="2" s="1"/>
  <c r="EH5" i="2"/>
  <c r="AS23" i="2"/>
  <c r="PA24" i="2"/>
  <c r="GU29" i="13"/>
  <c r="S143" i="20"/>
  <c r="JA57" i="2"/>
  <c r="HH35" i="2"/>
  <c r="BP13" i="2"/>
  <c r="NP4" i="2"/>
  <c r="QV68" i="2"/>
  <c r="QK68" i="2"/>
  <c r="AG150" i="13"/>
  <c r="NY68" i="2"/>
  <c r="MD35" i="2"/>
  <c r="DT32" i="16"/>
  <c r="AQ34" i="2"/>
  <c r="GZ24" i="2"/>
  <c r="FW57" i="2"/>
  <c r="MS57" i="2"/>
  <c r="NF35" i="2"/>
  <c r="HI68" i="2"/>
  <c r="JY2" i="2"/>
  <c r="S202" i="20"/>
  <c r="PD35" i="2"/>
  <c r="DP13" i="2"/>
  <c r="AS455" i="5"/>
  <c r="PM57" i="2"/>
  <c r="PJ13" i="2"/>
  <c r="FP35" i="2"/>
  <c r="AH40" i="19"/>
  <c r="BJ7" i="2"/>
  <c r="JZ57" i="2"/>
  <c r="JF57" i="2"/>
  <c r="DR33" i="15"/>
  <c r="S153" i="20"/>
  <c r="HA24" i="2"/>
  <c r="PA46" i="2"/>
  <c r="OC6" i="2"/>
  <c r="S306" i="20"/>
  <c r="NT35" i="2"/>
  <c r="NC4" i="2"/>
  <c r="GD6" i="2"/>
  <c r="BB9" i="2"/>
  <c r="LE13" i="2"/>
  <c r="HN2" i="2"/>
  <c r="JH6" i="2"/>
  <c r="MQ24" i="2"/>
  <c r="QM2" i="2"/>
  <c r="FX4" i="2"/>
  <c r="PF68" i="2"/>
  <c r="BG21" i="14"/>
  <c r="BJ18" i="14"/>
  <c r="ER35" i="2"/>
  <c r="FJ35" i="2"/>
  <c r="OE57" i="2"/>
  <c r="AG161" i="13"/>
  <c r="II13" i="2"/>
  <c r="KX4" i="2"/>
  <c r="JD13" i="2"/>
  <c r="PK13" i="2"/>
  <c r="BK32" i="14"/>
  <c r="PP13" i="2"/>
  <c r="NY2" i="2"/>
  <c r="HD6" i="2"/>
  <c r="GT24" i="2"/>
  <c r="EX2" i="2"/>
  <c r="OJ35" i="2"/>
  <c r="HI57" i="2"/>
  <c r="IC24" i="2"/>
  <c r="JD68" i="2"/>
  <c r="MA57" i="2"/>
  <c r="BC14" i="2"/>
  <c r="S312" i="20"/>
  <c r="DM4" i="2"/>
  <c r="QZ2" i="2"/>
  <c r="KC68" i="2"/>
  <c r="OK35" i="2"/>
  <c r="AO46" i="2"/>
  <c r="MB57" i="2"/>
  <c r="PZ2" i="2"/>
  <c r="OO68" i="2"/>
  <c r="CT11" i="14"/>
  <c r="QX5" i="2"/>
  <c r="EZ46" i="2"/>
  <c r="BN17" i="14"/>
  <c r="KI5" i="2"/>
  <c r="HX24" i="2"/>
  <c r="IZ24" i="2"/>
  <c r="NC35" i="2"/>
  <c r="DJ35" i="2"/>
  <c r="BJ425" i="5"/>
  <c r="IO13" i="2"/>
  <c r="QU57" i="2"/>
  <c r="IM46" i="2"/>
  <c r="BD9" i="14"/>
  <c r="S296" i="20"/>
  <c r="EF33" i="15"/>
  <c r="LJ46" i="2"/>
  <c r="ML68" i="2"/>
  <c r="GY13" i="2"/>
  <c r="CN8" i="15"/>
  <c r="HI5" i="2"/>
  <c r="C28" i="7"/>
  <c r="LY68" i="2"/>
  <c r="DW4" i="2"/>
  <c r="KB35" i="2"/>
  <c r="JU2" i="2"/>
  <c r="LA46" i="2"/>
  <c r="NR2" i="2"/>
  <c r="NM6" i="2"/>
  <c r="II35" i="2"/>
  <c r="AH26" i="19"/>
  <c r="KQ13" i="2"/>
  <c r="ES68" i="2"/>
  <c r="HQ57" i="2"/>
  <c r="HM24" i="2"/>
  <c r="AH13" i="19"/>
  <c r="BB30" i="14"/>
  <c r="GK2" i="2"/>
  <c r="ME68" i="2"/>
  <c r="BD10" i="2"/>
  <c r="DI5" i="14"/>
  <c r="IP68" i="2"/>
  <c r="KG35" i="2"/>
  <c r="QS5" i="2"/>
  <c r="S256" i="20"/>
  <c r="NI5" i="2"/>
  <c r="FW24" i="2"/>
  <c r="QE24" i="2"/>
  <c r="BM7" i="2"/>
  <c r="IP46" i="2"/>
  <c r="GR5" i="2"/>
  <c r="BA14" i="2"/>
  <c r="DE11" i="9"/>
  <c r="DV13" i="2"/>
  <c r="HZ2" i="2"/>
  <c r="II4" i="2"/>
  <c r="W7" i="15"/>
  <c r="KG2" i="2"/>
  <c r="QZ24" i="2"/>
  <c r="GI35" i="2"/>
  <c r="EW46" i="2"/>
  <c r="EK24" i="2"/>
  <c r="CP12" i="14"/>
  <c r="GQ57" i="2"/>
  <c r="GM46" i="2"/>
  <c r="S235" i="20"/>
  <c r="QV4" i="2"/>
  <c r="IG13" i="2"/>
  <c r="MX46" i="2"/>
  <c r="QI13" i="2"/>
  <c r="JP4" i="2"/>
  <c r="EE35" i="2"/>
  <c r="NS6" i="2"/>
  <c r="GK5" i="2"/>
  <c r="BL23" i="14"/>
  <c r="S259" i="20"/>
  <c r="FL13" i="2"/>
  <c r="PA57" i="2"/>
  <c r="AF100" i="13"/>
  <c r="GL13" i="2"/>
  <c r="OC24" i="2"/>
  <c r="HG57" i="2"/>
  <c r="EE5" i="2"/>
  <c r="JW13" i="2"/>
  <c r="KH6" i="2"/>
  <c r="BJ10" i="14"/>
  <c r="GQ35" i="2"/>
  <c r="JV4" i="2"/>
  <c r="S331" i="20"/>
  <c r="CS13" i="14"/>
  <c r="BF17" i="2"/>
  <c r="BE10" i="14"/>
  <c r="ID4" i="2"/>
  <c r="BI20" i="14"/>
  <c r="IN6" i="2"/>
  <c r="NH6" i="2"/>
  <c r="CP14" i="14"/>
  <c r="EA5" i="2"/>
  <c r="NC46" i="2"/>
  <c r="HU6" i="2"/>
  <c r="ER13" i="2"/>
  <c r="AO11" i="2"/>
  <c r="NC24" i="2"/>
  <c r="BS14" i="15"/>
  <c r="KU2" i="2"/>
  <c r="IM13" i="2"/>
  <c r="QO57" i="2"/>
  <c r="PS2" i="2"/>
  <c r="KF13" i="2"/>
  <c r="KD57" i="2"/>
  <c r="BB9" i="9"/>
  <c r="EA24" i="2"/>
  <c r="MO68" i="2"/>
  <c r="LU13" i="2"/>
  <c r="GW24" i="2"/>
  <c r="KG68" i="2"/>
  <c r="HZ46" i="2"/>
  <c r="KU13" i="2"/>
  <c r="LZ24" i="2"/>
  <c r="LP57" i="2"/>
  <c r="JO57" i="2"/>
  <c r="OK2" i="2"/>
  <c r="KS2" i="2"/>
  <c r="BM23" i="15"/>
  <c r="AU10" i="2"/>
  <c r="PQ35" i="2"/>
  <c r="DP24" i="2"/>
  <c r="IC2" i="2"/>
  <c r="EW13" i="2"/>
  <c r="ML2" i="2"/>
  <c r="S240" i="20"/>
  <c r="DL68" i="2"/>
  <c r="HJ4" i="2"/>
  <c r="LW24" i="2"/>
  <c r="LS2" i="2"/>
  <c r="LT6" i="2"/>
  <c r="KO46" i="2"/>
  <c r="OW35" i="2"/>
  <c r="MQ35" i="2"/>
  <c r="JS24" i="2"/>
  <c r="AB433" i="5"/>
  <c r="FH68" i="2"/>
  <c r="KY24" i="2"/>
  <c r="MP68" i="2"/>
  <c r="IT2" i="2"/>
  <c r="BM17" i="2"/>
  <c r="S141" i="20"/>
  <c r="OU5" i="2"/>
  <c r="GA24" i="2"/>
  <c r="OG24" i="2"/>
  <c r="QF57" i="2"/>
  <c r="F41" i="14"/>
  <c r="JT35" i="2"/>
  <c r="IQ2" i="2"/>
  <c r="FK57" i="2"/>
  <c r="BS388" i="5"/>
  <c r="GZ4" i="2"/>
  <c r="FZ2" i="2"/>
  <c r="LN35" i="2"/>
  <c r="HK13" i="2"/>
  <c r="IT4" i="2"/>
  <c r="PL4" i="2"/>
  <c r="MB68" i="2"/>
  <c r="PF24" i="2"/>
  <c r="CL7" i="14"/>
  <c r="GA68" i="2"/>
  <c r="DZ57" i="2"/>
  <c r="IW13" i="2"/>
  <c r="LA5" i="2"/>
  <c r="S285" i="20"/>
  <c r="HK35" i="2"/>
  <c r="BS461" i="5"/>
  <c r="KY6" i="2"/>
  <c r="S220" i="20"/>
  <c r="NT13" i="2"/>
  <c r="FS68" i="2"/>
  <c r="CS10" i="14"/>
  <c r="CU10" i="14"/>
  <c r="JN4" i="2"/>
  <c r="HU68" i="2"/>
  <c r="S237" i="20"/>
  <c r="NB57" i="2"/>
  <c r="AB434" i="5"/>
  <c r="DN13" i="2"/>
  <c r="LI6" i="2"/>
  <c r="FL35" i="2"/>
  <c r="OC68" i="2"/>
  <c r="DX87" i="13"/>
  <c r="OI2" i="2"/>
  <c r="KE4" i="2"/>
  <c r="DU35" i="2"/>
  <c r="MG5" i="2"/>
  <c r="BL33" i="14"/>
  <c r="X25" i="16"/>
  <c r="IB35" i="2"/>
  <c r="FO24" i="2"/>
  <c r="CN14" i="15"/>
  <c r="DJ6" i="2"/>
  <c r="CM12" i="14"/>
  <c r="MO24" i="2"/>
  <c r="G349" i="5"/>
  <c r="HY4" i="2"/>
  <c r="OC13" i="2"/>
  <c r="EJ5" i="2"/>
  <c r="AS7" i="2"/>
  <c r="BD10" i="14"/>
  <c r="QN2" i="2"/>
  <c r="IP13" i="2"/>
  <c r="NR4" i="2"/>
  <c r="BK23" i="14"/>
  <c r="AS9" i="2"/>
  <c r="KN5" i="2"/>
  <c r="OQ6" i="2"/>
  <c r="DX6" i="2"/>
  <c r="ML4" i="2"/>
  <c r="HT6" i="2"/>
  <c r="IN5" i="2"/>
  <c r="CL9" i="14"/>
  <c r="EA4" i="2"/>
  <c r="KG6" i="2"/>
  <c r="AV34" i="2"/>
  <c r="DY23" i="15"/>
  <c r="X24" i="16"/>
  <c r="PC6" i="2"/>
  <c r="AM58" i="2"/>
  <c r="QT35" i="2"/>
  <c r="EH68" i="2"/>
  <c r="JP57" i="2"/>
  <c r="PK6" i="2"/>
  <c r="OS24" i="2"/>
  <c r="KT4" i="2"/>
  <c r="FM24" i="2"/>
  <c r="BF35" i="14"/>
  <c r="S273" i="20"/>
  <c r="LI57" i="2"/>
  <c r="K365" i="5"/>
  <c r="QM68" i="2"/>
  <c r="QU2" i="2"/>
  <c r="NW2" i="2"/>
  <c r="LB35" i="2"/>
  <c r="OL46" i="2"/>
  <c r="AV10" i="2"/>
  <c r="ES5" i="2"/>
  <c r="KM5" i="2"/>
  <c r="FX46" i="2"/>
  <c r="MB46" i="2"/>
  <c r="LW2" i="2"/>
  <c r="JB2" i="2"/>
  <c r="DZ6" i="2"/>
  <c r="GI4" i="2"/>
  <c r="NE35" i="2"/>
  <c r="GH46" i="2"/>
  <c r="QV6" i="2"/>
  <c r="GO35" i="2"/>
  <c r="AW36" i="2"/>
  <c r="MN4" i="2"/>
  <c r="S212" i="20"/>
  <c r="ML5" i="2"/>
  <c r="AG176" i="13"/>
  <c r="NL46" i="2"/>
  <c r="QY24" i="2"/>
  <c r="MN6" i="2"/>
  <c r="FD35" i="2"/>
  <c r="BB18" i="14"/>
  <c r="QX6" i="2"/>
  <c r="AH25" i="19"/>
  <c r="HZ15" i="13"/>
  <c r="FN57" i="2"/>
  <c r="S299" i="20"/>
  <c r="BA17" i="2"/>
  <c r="AP19" i="2"/>
  <c r="AS46" i="2"/>
  <c r="S323" i="20"/>
  <c r="CG9" i="15"/>
  <c r="FL46" i="2"/>
  <c r="HQ46" i="2"/>
  <c r="KG24" i="2"/>
  <c r="AO9" i="2"/>
  <c r="DN35" i="2"/>
  <c r="HO57" i="2"/>
  <c r="BO11" i="14"/>
  <c r="ML35" i="2"/>
  <c r="GD46" i="2"/>
  <c r="LS24" i="2"/>
  <c r="MH57" i="2"/>
  <c r="CW33" i="15"/>
  <c r="CO7" i="14"/>
  <c r="QV35" i="2"/>
  <c r="DM26" i="9"/>
  <c r="MS5" i="2"/>
  <c r="S206" i="20"/>
  <c r="PW68" i="2"/>
  <c r="AS403" i="5"/>
  <c r="KH46" i="2"/>
  <c r="JB6" i="2"/>
  <c r="KU4" i="2"/>
  <c r="GU31" i="13"/>
  <c r="PS68" i="2"/>
  <c r="HR2" i="2"/>
  <c r="DL5" i="2"/>
  <c r="PH24" i="2"/>
  <c r="HR35" i="2"/>
  <c r="DK25" i="15"/>
  <c r="AW58" i="2"/>
  <c r="EX24" i="2"/>
  <c r="BJ13" i="2"/>
  <c r="LC13" i="2"/>
  <c r="DH11" i="9"/>
  <c r="AM35" i="2"/>
  <c r="CN10" i="14"/>
  <c r="EB13" i="2"/>
  <c r="FM46" i="2"/>
  <c r="OB4" i="2"/>
  <c r="QZ6" i="2"/>
  <c r="IE12" i="13"/>
  <c r="ES17" i="9"/>
  <c r="EG57" i="2"/>
  <c r="IE2" i="2"/>
  <c r="J29" i="16"/>
  <c r="MI13" i="2"/>
  <c r="BE18" i="14"/>
  <c r="MZ57" i="2"/>
  <c r="GQ24" i="2"/>
  <c r="AQ35" i="2"/>
  <c r="DQ2" i="2"/>
  <c r="OJ13" i="2"/>
  <c r="DK2" i="2"/>
  <c r="AU21" i="2"/>
  <c r="PE35" i="2"/>
  <c r="GO24" i="2"/>
  <c r="QJ5" i="2"/>
  <c r="S332" i="20"/>
  <c r="QB6" i="2"/>
  <c r="IN4" i="2"/>
  <c r="BH32" i="14"/>
  <c r="DY6" i="2"/>
  <c r="LP4" i="2"/>
  <c r="NO5" i="2"/>
  <c r="PZ6" i="2"/>
  <c r="IL4" i="2"/>
  <c r="CL11" i="14"/>
  <c r="OO13" i="2"/>
  <c r="PG4" i="2"/>
  <c r="GT57" i="2"/>
  <c r="K427" i="5"/>
  <c r="JS57" i="2"/>
  <c r="AW11" i="2"/>
  <c r="CJ12" i="14"/>
  <c r="LI68" i="2"/>
  <c r="BZ15" i="9"/>
  <c r="NP5" i="2"/>
  <c r="LI4" i="2"/>
  <c r="S135" i="20"/>
  <c r="FN46" i="2"/>
  <c r="HO2" i="2"/>
  <c r="QA46" i="2"/>
  <c r="PU13" i="2"/>
  <c r="S224" i="20"/>
  <c r="GO46" i="2"/>
  <c r="HR46" i="2"/>
  <c r="HS2" i="2"/>
  <c r="S162" i="20"/>
  <c r="PW4" i="2"/>
  <c r="BJ395" i="5"/>
  <c r="AM12" i="2"/>
  <c r="NH4" i="2"/>
  <c r="NB6" i="2"/>
  <c r="IN46" i="2"/>
  <c r="EI24" i="2"/>
  <c r="GV6" i="2"/>
  <c r="NY13" i="2"/>
  <c r="DK24" i="2"/>
  <c r="OV13" i="2"/>
  <c r="JV57" i="2"/>
  <c r="PU24" i="2"/>
  <c r="DS24" i="2"/>
  <c r="S258" i="20"/>
  <c r="NX5" i="2"/>
  <c r="LJ5" i="2"/>
  <c r="HS6" i="2"/>
  <c r="OD6" i="2"/>
  <c r="IR6" i="2"/>
  <c r="QD35" i="2"/>
  <c r="MH2" i="2"/>
  <c r="KM4" i="2"/>
  <c r="HY5" i="2"/>
  <c r="AO34" i="2"/>
  <c r="DD33" i="15"/>
  <c r="BG23" i="14"/>
  <c r="R25" i="16"/>
  <c r="EE68" i="2"/>
  <c r="NP35" i="2"/>
  <c r="HV4" i="2"/>
  <c r="PZ5" i="2"/>
  <c r="OJ46" i="2"/>
  <c r="AU36" i="2"/>
  <c r="EO46" i="2"/>
  <c r="AF15" i="13"/>
  <c r="AK430" i="5"/>
  <c r="GK46" i="2"/>
  <c r="HQ13" i="2"/>
  <c r="HN6" i="2"/>
  <c r="OF46" i="2"/>
  <c r="JG13" i="2"/>
  <c r="NV4" i="2"/>
  <c r="AT33" i="2"/>
  <c r="CT9" i="14"/>
  <c r="HI6" i="2"/>
  <c r="BL10" i="14"/>
  <c r="BF11" i="2"/>
  <c r="BL14" i="2"/>
  <c r="FC5" i="2"/>
  <c r="IJ4" i="2"/>
  <c r="FT6" i="2"/>
  <c r="EM6" i="2"/>
  <c r="JN6" i="2"/>
  <c r="MU6" i="2"/>
  <c r="EB4" i="2"/>
  <c r="LV6" i="2"/>
  <c r="IU6" i="2"/>
  <c r="NK6" i="2"/>
  <c r="J38" i="16"/>
  <c r="PS5" i="2"/>
  <c r="LS5" i="2"/>
  <c r="QU4" i="2"/>
  <c r="NW5" i="2"/>
  <c r="LW5" i="2"/>
  <c r="JB5" i="2"/>
  <c r="BB20" i="14"/>
  <c r="CO11" i="14"/>
  <c r="IE6" i="2"/>
  <c r="CJ14" i="14"/>
  <c r="MH4" i="2"/>
  <c r="OU6" i="2"/>
  <c r="NB46" i="2"/>
  <c r="FU2" i="2"/>
  <c r="NL68" i="2"/>
  <c r="AH8" i="19"/>
  <c r="JH57" i="2"/>
  <c r="BZ13" i="9"/>
  <c r="OY13" i="2"/>
  <c r="BE16" i="15"/>
  <c r="NK5" i="2"/>
  <c r="AV35" i="2"/>
  <c r="JX2" i="2"/>
  <c r="NW13" i="2"/>
  <c r="KK46" i="2"/>
  <c r="EI5" i="2"/>
  <c r="OY5" i="2"/>
  <c r="IE4" i="2"/>
  <c r="OF68" i="2"/>
  <c r="PY4" i="2"/>
  <c r="S301" i="20"/>
  <c r="GH68" i="2"/>
  <c r="AI9" i="15"/>
  <c r="FG24" i="2"/>
  <c r="GY4" i="2"/>
  <c r="S322" i="20"/>
  <c r="DT2" i="2"/>
  <c r="DT6" i="2" s="1"/>
  <c r="AR23" i="2"/>
  <c r="BB32" i="14"/>
  <c r="DK4" i="2"/>
  <c r="HP13" i="2"/>
  <c r="GW2" i="2"/>
  <c r="GW4" i="2" s="1"/>
  <c r="FY6" i="2"/>
  <c r="QX46" i="2"/>
  <c r="S148" i="20"/>
  <c r="GX5" i="2"/>
  <c r="HA68" i="2"/>
  <c r="IZ46" i="2"/>
  <c r="DQ5" i="2"/>
  <c r="NY4" i="2"/>
  <c r="IL6" i="2"/>
  <c r="CA418" i="5"/>
  <c r="LW46" i="2"/>
  <c r="NL35" i="2"/>
  <c r="CO10" i="14"/>
  <c r="IG4" i="2"/>
  <c r="NL4" i="2"/>
  <c r="PG5" i="2"/>
  <c r="BJ434" i="5"/>
  <c r="KS4" i="2"/>
  <c r="BE8" i="14"/>
  <c r="JX4" i="2"/>
  <c r="FN6" i="2"/>
  <c r="AO12" i="2"/>
  <c r="AM9" i="2"/>
  <c r="BI22" i="14"/>
  <c r="HN5" i="2"/>
  <c r="HM4" i="2"/>
  <c r="GI5" i="2"/>
  <c r="FQ5" i="2"/>
  <c r="IJ6" i="2"/>
  <c r="ON6" i="2"/>
  <c r="BA23" i="14"/>
  <c r="JN5" i="2"/>
  <c r="QW6" i="2"/>
  <c r="MG4" i="2"/>
  <c r="T388" i="5"/>
  <c r="NV24" i="2"/>
  <c r="GU33" i="13"/>
  <c r="MD13" i="2"/>
  <c r="OF57" i="2"/>
  <c r="NU24" i="2"/>
  <c r="CI7" i="14"/>
  <c r="CI11" i="14" s="1"/>
  <c r="C364" i="5"/>
  <c r="LL2" i="2"/>
  <c r="LL6" i="2" s="1"/>
  <c r="BG12" i="2"/>
  <c r="HC68" i="2"/>
  <c r="CW25" i="15"/>
  <c r="LH24" i="2"/>
  <c r="FM68" i="2"/>
  <c r="S194" i="20"/>
  <c r="IF24" i="2"/>
  <c r="JZ35" i="2"/>
  <c r="ND6" i="2"/>
  <c r="IK24" i="2"/>
  <c r="AH37" i="19"/>
  <c r="BB401" i="5"/>
  <c r="LC24" i="2"/>
  <c r="NM68" i="2"/>
  <c r="NI4" i="2"/>
  <c r="DQ46" i="2"/>
  <c r="GG6" i="2"/>
  <c r="KV24" i="2"/>
  <c r="PY6" i="2"/>
  <c r="CN13" i="14"/>
  <c r="DL46" i="2"/>
  <c r="OO24" i="2"/>
  <c r="AG167" i="13"/>
  <c r="PK68" i="2"/>
  <c r="GE2" i="2"/>
  <c r="GE4" i="2" s="1"/>
  <c r="AW12" i="2"/>
  <c r="BR11" i="2"/>
  <c r="BR13" i="2" s="1"/>
  <c r="FE4" i="2"/>
  <c r="FJ46" i="2"/>
  <c r="FH6" i="2"/>
  <c r="KZ13" i="2"/>
  <c r="JV68" i="2"/>
  <c r="NV13" i="2"/>
  <c r="GF5" i="2"/>
  <c r="GV13" i="2"/>
  <c r="S149" i="20"/>
  <c r="FU24" i="2"/>
  <c r="NJ2" i="2"/>
  <c r="BS418" i="5"/>
  <c r="QD2" i="2"/>
  <c r="KW2" i="2"/>
  <c r="EK68" i="2"/>
  <c r="IZ4" i="2"/>
  <c r="BC33" i="14"/>
  <c r="MU68" i="2"/>
  <c r="KJ46" i="2"/>
  <c r="MM4" i="2"/>
  <c r="JM2" i="2"/>
  <c r="IL35" i="2"/>
  <c r="OT68" i="2"/>
  <c r="MP35" i="2"/>
  <c r="FB35" i="2"/>
  <c r="LO57" i="2"/>
  <c r="QB4" i="2"/>
  <c r="HE13" i="2"/>
  <c r="IU68" i="2"/>
  <c r="NS13" i="2"/>
  <c r="DD9" i="14"/>
  <c r="BD12" i="2"/>
  <c r="BD14" i="2" s="1"/>
  <c r="EC35" i="2"/>
  <c r="NR68" i="2"/>
  <c r="NM5" i="2"/>
  <c r="BD20" i="14"/>
  <c r="HM68" i="2"/>
  <c r="JV13" i="2"/>
  <c r="DY9" i="9"/>
  <c r="EJ35" i="2"/>
  <c r="AK461" i="5"/>
  <c r="BS400" i="5"/>
  <c r="HN46" i="2"/>
  <c r="EZ24" i="2"/>
  <c r="GE13" i="2"/>
  <c r="EM24" i="2"/>
  <c r="OA4" i="2"/>
  <c r="LC35" i="2"/>
  <c r="PB2" i="2"/>
  <c r="DJ10" i="15"/>
  <c r="OH46" i="2"/>
  <c r="OP2" i="2"/>
  <c r="OP6" i="2" s="1"/>
  <c r="AX8" i="15"/>
  <c r="CJ10" i="14"/>
  <c r="HX13" i="2"/>
  <c r="KV68" i="2"/>
  <c r="NG4" i="2"/>
  <c r="AK376" i="5"/>
  <c r="LC6" i="2"/>
  <c r="NH35" i="2"/>
  <c r="NS57" i="2"/>
  <c r="OG5" i="2"/>
  <c r="MT24" i="2"/>
  <c r="MW35" i="2"/>
  <c r="JF68" i="2"/>
  <c r="OM2" i="2"/>
  <c r="OM6" i="2" s="1"/>
  <c r="KS68" i="2"/>
  <c r="GE5" i="2"/>
  <c r="FA4" i="2"/>
  <c r="QL35" i="2"/>
  <c r="LH6" i="2"/>
  <c r="KJ68" i="2"/>
  <c r="LG24" i="2"/>
  <c r="PG46" i="2"/>
  <c r="EO20" i="13"/>
  <c r="F39" i="14"/>
  <c r="HG13" i="2"/>
  <c r="QS13" i="2"/>
  <c r="J38" i="22"/>
  <c r="OH2" i="2"/>
  <c r="IM68" i="2"/>
  <c r="BH7" i="9"/>
  <c r="AV58" i="2"/>
  <c r="BL30" i="14"/>
  <c r="NI6" i="2"/>
  <c r="EG68" i="2"/>
  <c r="OG4" i="2"/>
  <c r="BF21" i="14"/>
  <c r="EV46" i="2"/>
  <c r="HZ5" i="2"/>
  <c r="JB13" i="2"/>
  <c r="S291" i="20"/>
  <c r="HJ57" i="2"/>
  <c r="GW35" i="2"/>
  <c r="DK23" i="15"/>
  <c r="S290" i="20"/>
  <c r="DV35" i="2"/>
  <c r="ME2" i="2"/>
  <c r="CK10" i="14"/>
  <c r="DH6" i="14"/>
  <c r="GR35" i="2"/>
  <c r="K369" i="5"/>
  <c r="FS2" i="2"/>
  <c r="FS6" i="2" s="1"/>
  <c r="IT46" i="2"/>
  <c r="PE6" i="2"/>
  <c r="EO18" i="13"/>
  <c r="QK57" i="2"/>
  <c r="NJ6" i="2"/>
  <c r="DP4" i="2"/>
  <c r="IS46" i="2"/>
  <c r="IA2" i="2"/>
  <c r="IA6" i="2" s="1"/>
  <c r="PQ46" i="2"/>
  <c r="MZ24" i="2"/>
  <c r="CI10" i="14"/>
  <c r="LN57" i="2"/>
  <c r="S174" i="20"/>
  <c r="EQ38" i="12"/>
  <c r="OZ68" i="2"/>
  <c r="GK6" i="2"/>
  <c r="IB5" i="2"/>
  <c r="QB5" i="2"/>
  <c r="DJ5" i="2"/>
  <c r="HW5" i="2"/>
  <c r="EL4" i="2"/>
  <c r="GS5" i="2"/>
  <c r="NL6" i="2"/>
  <c r="EV5" i="2"/>
  <c r="BO10" i="14"/>
  <c r="MA5" i="2"/>
  <c r="PP5" i="2"/>
  <c r="NB5" i="2"/>
  <c r="DD15" i="14"/>
  <c r="LZ2" i="2"/>
  <c r="BK11" i="14"/>
  <c r="BY9" i="14"/>
  <c r="HH5" i="2"/>
  <c r="HL24" i="2"/>
  <c r="AW19" i="2"/>
  <c r="AW21" i="2" s="1"/>
  <c r="KB46" i="2"/>
  <c r="OV4" i="2"/>
  <c r="MX5" i="2"/>
  <c r="IE13" i="13"/>
  <c r="QQ5" i="2"/>
  <c r="IW24" i="2"/>
  <c r="PZ4" i="2"/>
  <c r="HX57" i="2"/>
  <c r="MU46" i="2"/>
  <c r="S160" i="20"/>
  <c r="DY11" i="9"/>
  <c r="FT57" i="2"/>
  <c r="EX13" i="2"/>
  <c r="EC57" i="2"/>
  <c r="KP13" i="2"/>
  <c r="CO14" i="9"/>
  <c r="BD35" i="14"/>
  <c r="GM68" i="2"/>
  <c r="JJ6" i="2"/>
  <c r="EF24" i="2"/>
  <c r="GN2" i="2"/>
  <c r="GN6" i="2" s="1"/>
  <c r="KZ35" i="2"/>
  <c r="PT4" i="2"/>
  <c r="EL57" i="2"/>
  <c r="LZ6" i="2"/>
  <c r="LG2" i="2"/>
  <c r="QD24" i="2"/>
  <c r="FL68" i="2"/>
  <c r="JA2" i="2"/>
  <c r="JA4" i="2" s="1"/>
  <c r="LB6" i="2"/>
  <c r="AC61" i="13"/>
  <c r="PX4" i="2"/>
  <c r="KS57" i="2"/>
  <c r="OS35" i="2"/>
  <c r="MJ46" i="2"/>
  <c r="JJ68" i="2"/>
  <c r="KK68" i="2"/>
  <c r="AR46" i="2"/>
  <c r="EL5" i="2"/>
  <c r="BB17" i="2"/>
  <c r="DD29" i="15"/>
  <c r="NT57" i="2"/>
  <c r="CN7" i="14"/>
  <c r="NQ57" i="2"/>
  <c r="MX24" i="2"/>
  <c r="AT19" i="2"/>
  <c r="BG10" i="2"/>
  <c r="AK454" i="5"/>
  <c r="DO68" i="2"/>
  <c r="S280" i="20"/>
  <c r="LP13" i="2"/>
  <c r="EO13" i="2"/>
  <c r="NS5" i="2"/>
  <c r="LD13" i="2"/>
  <c r="BJ397" i="5"/>
  <c r="LD68" i="2"/>
  <c r="DX9" i="15"/>
  <c r="S281" i="20"/>
  <c r="MZ2" i="2"/>
  <c r="NB13" i="2"/>
  <c r="MZ5" i="2"/>
  <c r="OF2" i="2"/>
  <c r="EV4" i="2"/>
  <c r="KA6" i="2"/>
  <c r="QW13" i="2"/>
  <c r="GJ5" i="2"/>
  <c r="FD68" i="2"/>
  <c r="GW68" i="2"/>
  <c r="MM5" i="2"/>
  <c r="CP11" i="14"/>
  <c r="QA13" i="2"/>
  <c r="GQ46" i="2"/>
  <c r="BE13" i="2"/>
  <c r="LA35" i="2"/>
  <c r="IH4" i="2"/>
  <c r="IA35" i="2"/>
  <c r="IT57" i="2"/>
  <c r="QY2" i="2"/>
  <c r="LE2" i="2"/>
  <c r="LE4" i="2" s="1"/>
  <c r="PC68" i="2"/>
  <c r="O170" i="13"/>
  <c r="OP46" i="2"/>
  <c r="AT22" i="2"/>
  <c r="AT23" i="2" s="1"/>
  <c r="LC68" i="2"/>
  <c r="DX4" i="2"/>
  <c r="QJ35" i="2"/>
  <c r="KQ4" i="2"/>
  <c r="NZ2" i="2"/>
  <c r="BG34" i="14"/>
  <c r="GG4" i="2"/>
  <c r="GS46" i="2"/>
  <c r="FA24" i="2"/>
  <c r="AF34" i="13"/>
  <c r="KF35" i="2"/>
  <c r="KC35" i="2"/>
  <c r="GM13" i="2"/>
  <c r="HC2" i="2"/>
  <c r="AS433" i="5"/>
  <c r="GS13" i="2"/>
  <c r="FL4" i="2"/>
  <c r="LW35" i="2"/>
  <c r="MX4" i="2"/>
  <c r="OF13" i="2"/>
  <c r="BD17" i="2"/>
  <c r="LG4" i="2"/>
  <c r="QL4" i="2"/>
  <c r="CP13" i="14"/>
  <c r="DD10" i="14"/>
  <c r="AL36" i="2"/>
  <c r="BA9" i="2"/>
  <c r="MV6" i="2"/>
  <c r="NF4" i="2"/>
  <c r="PP4" i="2"/>
  <c r="BG14" i="2"/>
  <c r="FZ4" i="2"/>
  <c r="IA4" i="2"/>
  <c r="QN4" i="2"/>
  <c r="QY4" i="2"/>
  <c r="DM30" i="9"/>
  <c r="AQ46" i="2"/>
  <c r="EH46" i="2"/>
  <c r="ME46" i="2"/>
  <c r="PC5" i="2"/>
  <c r="OV6" i="2"/>
  <c r="DW57" i="2"/>
  <c r="CK9" i="14"/>
  <c r="FQ57" i="2"/>
  <c r="HU4" i="2"/>
  <c r="JV6" i="2"/>
  <c r="FZ68" i="2"/>
  <c r="AM23" i="2"/>
  <c r="FM57" i="2"/>
  <c r="AH19" i="19"/>
  <c r="DL29" i="9"/>
  <c r="NO46" i="2"/>
  <c r="JF2" i="2"/>
  <c r="PY46" i="2"/>
  <c r="LL24" i="2"/>
  <c r="EG6" i="16"/>
  <c r="HN68" i="2"/>
  <c r="GH2" i="2"/>
  <c r="GH9" i="2" s="1"/>
  <c r="FP4" i="2"/>
  <c r="NN4" i="2"/>
  <c r="EG5" i="16"/>
  <c r="BV439" i="5"/>
  <c r="PN35" i="2"/>
  <c r="GF46" i="2"/>
  <c r="DO5" i="2"/>
  <c r="HK57" i="2"/>
  <c r="GM2" i="2"/>
  <c r="HX4" i="2"/>
  <c r="PT6" i="2"/>
  <c r="IC5" i="2"/>
  <c r="CS17" i="14"/>
  <c r="IL46" i="2"/>
  <c r="W17" i="15"/>
  <c r="BD30" i="14"/>
  <c r="GG68" i="2"/>
  <c r="PX24" i="2"/>
  <c r="E12" i="19"/>
  <c r="EJ46" i="2"/>
  <c r="DJ11" i="9"/>
  <c r="BC23" i="14"/>
  <c r="HP5" i="2"/>
  <c r="MM68" i="2"/>
  <c r="BJ30" i="14"/>
  <c r="FC46" i="2"/>
  <c r="NO24" i="2"/>
  <c r="HX6" i="2"/>
  <c r="BJ45" i="14"/>
  <c r="QG24" i="2"/>
  <c r="KP6" i="2"/>
  <c r="NZ57" i="2"/>
  <c r="QV57" i="2"/>
  <c r="EV19" i="13"/>
  <c r="EP5" i="2"/>
  <c r="EU6" i="2"/>
  <c r="LR68" i="2"/>
  <c r="IP24" i="2"/>
  <c r="S170" i="20"/>
  <c r="FD10" i="13"/>
  <c r="BI30" i="14"/>
  <c r="LK4" i="2"/>
  <c r="MH13" i="2"/>
  <c r="QM4" i="2"/>
  <c r="PL35" i="2"/>
  <c r="EF6" i="2"/>
  <c r="BH14" i="2"/>
  <c r="HK2" i="2"/>
  <c r="N18" i="15"/>
  <c r="BA18" i="14"/>
  <c r="OK4" i="2"/>
  <c r="FP5" i="2"/>
  <c r="JS2" i="2"/>
  <c r="JS6" i="2" s="1"/>
  <c r="GJ68" i="2"/>
  <c r="BK57" i="14"/>
  <c r="JP35" i="2"/>
  <c r="GX4" i="2"/>
  <c r="HL57" i="2"/>
  <c r="GW13" i="2"/>
  <c r="HG46" i="2"/>
  <c r="D474" i="5"/>
  <c r="NX46" i="2"/>
  <c r="EF46" i="2"/>
  <c r="IK4" i="2"/>
  <c r="ER57" i="2"/>
  <c r="DV2" i="2"/>
  <c r="DV4" i="2" s="1"/>
  <c r="BF6" i="14"/>
  <c r="BF8" i="14" s="1"/>
  <c r="QH24" i="2"/>
  <c r="NP46" i="2"/>
  <c r="EI6" i="2"/>
  <c r="FX5" i="2"/>
  <c r="EM46" i="2"/>
  <c r="OK5" i="2"/>
  <c r="CA455" i="5"/>
  <c r="BE10" i="2"/>
  <c r="KW46" i="2"/>
  <c r="S329" i="20"/>
  <c r="HZ19" i="13"/>
  <c r="GQ5" i="2"/>
  <c r="OQ35" i="2"/>
  <c r="HM35" i="2"/>
  <c r="MH24" i="2"/>
  <c r="BE8" i="15"/>
  <c r="IU5" i="2"/>
  <c r="PP35" i="2"/>
  <c r="QX4" i="2"/>
  <c r="DP5" i="2"/>
  <c r="QA4" i="2"/>
  <c r="FL5" i="2"/>
  <c r="BB11" i="2"/>
  <c r="BC34" i="14"/>
  <c r="BK8" i="14"/>
  <c r="PT5" i="2"/>
  <c r="KO6" i="2"/>
  <c r="NF5" i="2"/>
  <c r="GY6" i="2"/>
  <c r="KL6" i="2"/>
  <c r="FJ13" i="16"/>
  <c r="LD6" i="2"/>
  <c r="CI17" i="14"/>
  <c r="HJ68" i="2"/>
  <c r="MY4" i="2"/>
  <c r="RA57" i="2"/>
  <c r="CH30" i="15"/>
  <c r="BL22" i="14"/>
  <c r="NQ4" i="2"/>
  <c r="BF23" i="14"/>
  <c r="QP5" i="2"/>
  <c r="AR12" i="2"/>
  <c r="FO68" i="2"/>
  <c r="DK5" i="2"/>
  <c r="HR6" i="2"/>
  <c r="PR13" i="2"/>
  <c r="Q109" i="19"/>
  <c r="AH41" i="19"/>
  <c r="QI5" i="2"/>
  <c r="OH5" i="2"/>
  <c r="JM4" i="2"/>
  <c r="JJ13" i="2"/>
  <c r="IH5" i="2"/>
  <c r="IP2" i="2"/>
  <c r="IP6" i="2"/>
  <c r="MI6" i="2"/>
  <c r="LB4" i="2"/>
  <c r="HO4" i="2"/>
  <c r="PB6" i="2"/>
  <c r="AQ21" i="2"/>
  <c r="EB5" i="2"/>
  <c r="JM6" i="2"/>
  <c r="S274" i="20"/>
  <c r="BJ10" i="2"/>
  <c r="BF9" i="14"/>
  <c r="KK35" i="2"/>
  <c r="LW57" i="2"/>
  <c r="GG57" i="2"/>
  <c r="KA68" i="2"/>
  <c r="IO57" i="2"/>
  <c r="BH21" i="14"/>
  <c r="BH22" i="14" s="1"/>
  <c r="DN6" i="2"/>
  <c r="FE68" i="2"/>
  <c r="HW6" i="2"/>
  <c r="LV46" i="2"/>
  <c r="LU2" i="2"/>
  <c r="ET2" i="2"/>
  <c r="CA18" i="15"/>
  <c r="S211" i="20"/>
  <c r="HV68" i="2"/>
  <c r="BM35" i="15"/>
  <c r="JE35" i="2"/>
  <c r="DR29" i="15"/>
  <c r="PY13" i="2"/>
  <c r="FQ6" i="2"/>
  <c r="OD13" i="2"/>
  <c r="FB57" i="2"/>
  <c r="KC2" i="2"/>
  <c r="FQ24" i="2"/>
  <c r="FB46" i="2"/>
  <c r="CN14" i="14"/>
  <c r="DM31" i="9"/>
  <c r="OY68" i="2"/>
  <c r="JL2" i="2"/>
  <c r="JL6" i="2" s="1"/>
  <c r="S276" i="20"/>
  <c r="AK418" i="5"/>
  <c r="EK4" i="2"/>
  <c r="GX6" i="2"/>
  <c r="BS454" i="5"/>
  <c r="BY10" i="2"/>
  <c r="MV46" i="2"/>
  <c r="NT24" i="2"/>
  <c r="ET24" i="2"/>
  <c r="GC2" i="2"/>
  <c r="AG156" i="13"/>
  <c r="DY31" i="15"/>
  <c r="FI24" i="2"/>
  <c r="GB57" i="2"/>
  <c r="ON4" i="2"/>
  <c r="CL12" i="14"/>
  <c r="CL13" i="14" s="1"/>
  <c r="QZ68" i="2"/>
  <c r="LE24" i="2"/>
  <c r="PV35" i="2"/>
  <c r="EH10" i="16"/>
  <c r="PO57" i="2"/>
  <c r="MW13" i="2"/>
  <c r="NG35" i="2"/>
  <c r="W15" i="15"/>
  <c r="T460" i="5"/>
  <c r="IB68" i="2"/>
  <c r="GU5" i="2"/>
  <c r="LQ5" i="2"/>
  <c r="IL68" i="2"/>
  <c r="AG218" i="13"/>
  <c r="CU12" i="14"/>
  <c r="M142" i="13"/>
  <c r="HY46" i="2"/>
  <c r="CU17" i="14"/>
  <c r="JF35" i="2"/>
  <c r="MN5" i="2"/>
  <c r="KU46" i="2"/>
  <c r="MF13" i="2"/>
  <c r="FF35" i="2"/>
  <c r="PX5" i="2"/>
  <c r="LH68" i="2"/>
  <c r="JL46" i="2"/>
  <c r="QC2" i="2"/>
  <c r="BE11" i="2"/>
  <c r="KA46" i="2"/>
  <c r="LX68" i="2"/>
  <c r="NE13" i="2"/>
  <c r="NO68" i="2"/>
  <c r="GO2" i="2"/>
  <c r="GO4" i="2" s="1"/>
  <c r="EI57" i="2"/>
  <c r="PR57" i="2"/>
  <c r="NF13" i="2"/>
  <c r="KA13" i="2"/>
  <c r="EP46" i="2"/>
  <c r="IA57" i="2"/>
  <c r="DS2" i="2"/>
  <c r="NB24" i="2"/>
  <c r="BC18" i="14"/>
  <c r="AL22" i="2"/>
  <c r="AL23" i="2" s="1"/>
  <c r="S126" i="20"/>
  <c r="BB461" i="5"/>
  <c r="BS11" i="15"/>
  <c r="CR20" i="12"/>
  <c r="JG57" i="2"/>
  <c r="BE34" i="14"/>
  <c r="NU6" i="2"/>
  <c r="NP13" i="2"/>
  <c r="OB6" i="2"/>
  <c r="HV24" i="2"/>
  <c r="W12" i="15"/>
  <c r="PP57" i="2"/>
  <c r="QT5" i="2"/>
  <c r="GJ24" i="2"/>
  <c r="HD4" i="2"/>
  <c r="LW13" i="2"/>
  <c r="NZ13" i="2"/>
  <c r="GW57" i="2"/>
  <c r="JQ68" i="2"/>
  <c r="HF46" i="2"/>
  <c r="NJ68" i="2"/>
  <c r="MD24" i="2"/>
  <c r="QX13" i="2"/>
  <c r="JL35" i="2"/>
  <c r="PF46" i="2"/>
  <c r="S253" i="20"/>
  <c r="MK24" i="2"/>
  <c r="QD4" i="2"/>
  <c r="QU68" i="2"/>
  <c r="HT24" i="2"/>
  <c r="AB404" i="5"/>
  <c r="PX35" i="2"/>
  <c r="QH13" i="2"/>
  <c r="IW57" i="2"/>
  <c r="LO6" i="2"/>
  <c r="QE46" i="2"/>
  <c r="EH13" i="2"/>
  <c r="QP24" i="2"/>
  <c r="CN17" i="14"/>
  <c r="GQ13" i="2"/>
  <c r="DC10" i="15"/>
  <c r="QQ24" i="2"/>
  <c r="NV35" i="2"/>
  <c r="IS5" i="2"/>
  <c r="OW2" i="2"/>
  <c r="FZ20" i="9"/>
  <c r="GV57" i="2"/>
  <c r="DV46" i="2"/>
  <c r="OS5" i="2"/>
  <c r="DQ57" i="2"/>
  <c r="DS35" i="2"/>
  <c r="OQ46" i="2"/>
  <c r="CW8" i="2"/>
  <c r="CW10" i="2" s="1"/>
  <c r="AS21" i="2"/>
  <c r="CK12" i="14"/>
  <c r="P187" i="13"/>
  <c r="AS418" i="5"/>
  <c r="EZ68" i="2"/>
  <c r="MP46" i="2"/>
  <c r="S251" i="20"/>
  <c r="S295" i="20"/>
  <c r="C431" i="5"/>
  <c r="KI4" i="2"/>
  <c r="LB5" i="2"/>
  <c r="PN24" i="2"/>
  <c r="C367" i="5"/>
  <c r="MX6" i="2"/>
  <c r="LT5" i="2"/>
  <c r="NE6" i="2"/>
  <c r="BE35" i="14"/>
  <c r="EO5" i="2"/>
  <c r="AS33" i="2"/>
  <c r="BJ11" i="2"/>
  <c r="NY5" i="2"/>
  <c r="HN4" i="2"/>
  <c r="MI5" i="2"/>
  <c r="IM5" i="2"/>
  <c r="KG5" i="2"/>
  <c r="DD11" i="14"/>
  <c r="OM24" i="2"/>
  <c r="JI2" i="2"/>
  <c r="QP46" i="2"/>
  <c r="AT12" i="2"/>
  <c r="LV68" i="2"/>
  <c r="PE13" i="2"/>
  <c r="MG13" i="2"/>
  <c r="EO26" i="13"/>
  <c r="NW24" i="2"/>
  <c r="JQ13" i="2"/>
  <c r="BH6" i="14"/>
  <c r="BH8" i="14" s="1"/>
  <c r="FV13" i="2"/>
  <c r="DM6" i="2"/>
  <c r="MQ2" i="2"/>
  <c r="IM35" i="2"/>
  <c r="JO6" i="2"/>
  <c r="PJ35" i="2"/>
  <c r="MH68" i="2"/>
  <c r="W16" i="15"/>
  <c r="ME13" i="2"/>
  <c r="GU10" i="13"/>
  <c r="FG5" i="2"/>
  <c r="DY4" i="2"/>
  <c r="FS57" i="2"/>
  <c r="MB2" i="2"/>
  <c r="S133" i="20"/>
  <c r="JR35" i="2"/>
  <c r="IR46" i="2"/>
  <c r="S278" i="20"/>
  <c r="IF57" i="2"/>
  <c r="GX46" i="2"/>
  <c r="S167" i="20"/>
  <c r="JK2" i="2"/>
  <c r="JK5" i="2" s="1"/>
  <c r="QG68" i="2"/>
  <c r="S269" i="20"/>
  <c r="IX46" i="2"/>
  <c r="O168" i="13"/>
  <c r="NA5" i="2"/>
  <c r="AQ10" i="2"/>
  <c r="HD5" i="2"/>
  <c r="JE2" i="2"/>
  <c r="JE4" i="2" s="1"/>
  <c r="FB68" i="2"/>
  <c r="JR5" i="2"/>
  <c r="QW57" i="2"/>
  <c r="OX5" i="2"/>
  <c r="AF20" i="13"/>
  <c r="CG14" i="15"/>
  <c r="B313" i="5"/>
  <c r="KN4" i="2"/>
  <c r="MM46" i="2"/>
  <c r="HL6" i="2"/>
  <c r="OA24" i="2"/>
  <c r="II46" i="2"/>
  <c r="FH4" i="2"/>
  <c r="GD24" i="2"/>
  <c r="AL58" i="2"/>
  <c r="BG9" i="14"/>
  <c r="BG10" i="14" s="1"/>
  <c r="FW68" i="2"/>
  <c r="CM7" i="14"/>
  <c r="FT68" i="2"/>
  <c r="IR13" i="2"/>
  <c r="CA434" i="5"/>
  <c r="ES24" i="2"/>
  <c r="JS35" i="2"/>
  <c r="LN5" i="2"/>
  <c r="HZ24" i="2"/>
  <c r="PK24" i="2"/>
  <c r="GJ6" i="2"/>
  <c r="KN6" i="2"/>
  <c r="JF24" i="2"/>
  <c r="FC68" i="2"/>
  <c r="PH2" i="2"/>
  <c r="PH6" i="2" s="1"/>
  <c r="FZ5" i="2"/>
  <c r="OM13" i="2"/>
  <c r="KY13" i="2"/>
  <c r="JU68" i="2"/>
  <c r="IM6" i="2"/>
  <c r="OT57" i="2"/>
  <c r="HE2" i="2"/>
  <c r="KY4" i="2"/>
  <c r="S180" i="20"/>
  <c r="HE46" i="2"/>
  <c r="ED24" i="2"/>
  <c r="MC68" i="2"/>
  <c r="FA5" i="2"/>
  <c r="HN13" i="2"/>
  <c r="GH35" i="2"/>
  <c r="FE46" i="2"/>
  <c r="KL4" i="2"/>
  <c r="PG57" i="2"/>
  <c r="JP68" i="2"/>
  <c r="DW87" i="13"/>
  <c r="LS13" i="2"/>
  <c r="HQ2" i="2"/>
  <c r="S311" i="20"/>
  <c r="HV46" i="2"/>
  <c r="KL13" i="2"/>
  <c r="KM13" i="2"/>
  <c r="OL2" i="2"/>
  <c r="QQ35" i="2"/>
  <c r="IS68" i="2"/>
  <c r="OH13" i="2"/>
  <c r="OJ2" i="2"/>
  <c r="NT2" i="2"/>
  <c r="GL2" i="2"/>
  <c r="C362" i="5"/>
  <c r="NZ46" i="2"/>
  <c r="KH5" i="2"/>
  <c r="BF20" i="14"/>
  <c r="QN5" i="2"/>
  <c r="EJ6" i="2"/>
  <c r="ES4" i="2"/>
  <c r="DZ4" i="2"/>
  <c r="OO5" i="2"/>
  <c r="BM11" i="2"/>
  <c r="JK6" i="2"/>
  <c r="JU6" i="2"/>
  <c r="NO4" i="2"/>
  <c r="GT5" i="2"/>
  <c r="IM4" i="2"/>
  <c r="AT21" i="2"/>
  <c r="CU13" i="14"/>
  <c r="KG4" i="2"/>
  <c r="LE5" i="2"/>
  <c r="FS5" i="2"/>
  <c r="HC4" i="2"/>
  <c r="HE5" i="2"/>
  <c r="AT24" i="2"/>
  <c r="QR2" i="2"/>
  <c r="QR4" i="2" s="1"/>
  <c r="S230" i="20"/>
  <c r="KJ2" i="2"/>
  <c r="LT35" i="2"/>
  <c r="EA13" i="2"/>
  <c r="BG7" i="2"/>
  <c r="OE2" i="2"/>
  <c r="OE6" i="2" s="1"/>
  <c r="NY6" i="2"/>
  <c r="EN46" i="2"/>
  <c r="IO2" i="2"/>
  <c r="IO6" i="2" s="1"/>
  <c r="IO68" i="2"/>
  <c r="BE32" i="14"/>
  <c r="JW57" i="2"/>
  <c r="S279" i="20"/>
  <c r="PO2" i="2"/>
  <c r="BH15" i="9"/>
  <c r="CB28" i="16"/>
  <c r="DM27" i="9"/>
  <c r="MF2" i="2"/>
  <c r="BQ8" i="2"/>
  <c r="AV22" i="2"/>
  <c r="AV23" i="2" s="1"/>
  <c r="S223" i="20"/>
  <c r="EM68" i="2"/>
  <c r="DU2" i="2"/>
  <c r="DU4" i="2" s="1"/>
  <c r="KW35" i="2"/>
  <c r="KR2" i="2"/>
  <c r="KR6" i="2" s="1"/>
  <c r="PG13" i="2"/>
  <c r="QE2" i="2"/>
  <c r="HY57" i="2"/>
  <c r="GF68" i="2"/>
  <c r="DO46" i="2"/>
  <c r="K216" i="5"/>
  <c r="T424" i="5"/>
  <c r="IN57" i="2"/>
  <c r="AB425" i="5"/>
  <c r="JY46" i="2"/>
  <c r="GK68" i="2"/>
  <c r="OD5" i="2"/>
  <c r="S284" i="20"/>
  <c r="EV13" i="2"/>
  <c r="AX9" i="15"/>
  <c r="BI9" i="14"/>
  <c r="QQ6" i="2"/>
  <c r="GU6" i="2"/>
  <c r="LD4" i="2"/>
  <c r="BM13" i="2"/>
  <c r="LV57" i="2"/>
  <c r="QO35" i="2"/>
  <c r="NV6" i="2"/>
  <c r="ML13" i="2"/>
  <c r="HF24" i="2"/>
  <c r="S161" i="20"/>
  <c r="PR2" i="2"/>
  <c r="JX35" i="2"/>
  <c r="AH28" i="19"/>
  <c r="QL68" i="2"/>
  <c r="AP31" i="2"/>
  <c r="IS13" i="2"/>
  <c r="KQ46" i="2"/>
  <c r="DD31" i="15"/>
  <c r="QO2" i="2"/>
  <c r="DO57" i="2"/>
  <c r="HQ24" i="2"/>
  <c r="DC9" i="15"/>
  <c r="AM33" i="2"/>
  <c r="BC9" i="14"/>
  <c r="ER68" i="2"/>
  <c r="EF13" i="2"/>
  <c r="DY10" i="9"/>
  <c r="OL24" i="2"/>
  <c r="CQ14" i="14"/>
  <c r="BD13" i="2"/>
  <c r="QT4" i="2"/>
  <c r="KL57" i="2"/>
  <c r="BL17" i="2"/>
  <c r="QG35" i="2"/>
  <c r="GP4" i="2"/>
  <c r="KA35" i="2"/>
  <c r="OD57" i="2"/>
  <c r="BJ418" i="5"/>
  <c r="NQ68" i="2"/>
  <c r="BL8" i="15"/>
  <c r="DZ68" i="2"/>
  <c r="HB24" i="2"/>
  <c r="FV5" i="2"/>
  <c r="QK2" i="2"/>
  <c r="QK4" i="2" s="1"/>
  <c r="KD46" i="2"/>
  <c r="J27" i="16"/>
  <c r="BP11" i="9"/>
  <c r="HZ14" i="13"/>
  <c r="QP13" i="2"/>
  <c r="AH23" i="19"/>
  <c r="GB46" i="2"/>
  <c r="S191" i="20"/>
  <c r="DR25" i="15"/>
  <c r="MW5" i="2"/>
  <c r="HJ5" i="2"/>
  <c r="MC6" i="2"/>
  <c r="HQ4" i="2"/>
  <c r="FI68" i="2"/>
  <c r="OR5" i="2"/>
  <c r="MS68" i="2"/>
  <c r="C448" i="5"/>
  <c r="QC13" i="2"/>
  <c r="PP46" i="2"/>
  <c r="GC35" i="2"/>
  <c r="HK24" i="2"/>
  <c r="CJ10" i="16"/>
  <c r="OA6" i="2"/>
  <c r="OX4" i="2"/>
  <c r="BA8" i="14"/>
  <c r="MV4" i="2"/>
  <c r="OI4" i="2"/>
  <c r="CN9" i="14"/>
  <c r="DM5" i="2"/>
  <c r="KA5" i="2"/>
  <c r="FF6" i="2"/>
  <c r="BG22" i="14"/>
  <c r="BJ32" i="14"/>
  <c r="KW5" i="2"/>
  <c r="NQ6" i="2"/>
  <c r="R6" i="19"/>
  <c r="BR12" i="2"/>
  <c r="GO6" i="2"/>
  <c r="MY5" i="2"/>
  <c r="BG11" i="14"/>
  <c r="BC10" i="14"/>
  <c r="AE146" i="13"/>
  <c r="GE24" i="2"/>
  <c r="CJ7" i="14"/>
  <c r="CJ9" i="14" s="1"/>
  <c r="DJ9" i="9"/>
  <c r="DS4" i="2"/>
  <c r="JM13" i="2"/>
  <c r="CO12" i="14"/>
  <c r="HQ35" i="2"/>
  <c r="OE24" i="2"/>
  <c r="OI35" i="2"/>
  <c r="PQ13" i="2"/>
  <c r="IH24" i="2"/>
  <c r="KI46" i="2"/>
  <c r="NV5" i="2"/>
  <c r="FG68" i="2"/>
  <c r="LT46" i="2"/>
  <c r="BK33" i="14"/>
  <c r="RA68" i="2"/>
  <c r="QG2" i="2"/>
  <c r="QG4" i="2" s="1"/>
  <c r="AP23" i="2"/>
  <c r="PB13" i="2"/>
  <c r="HW35" i="2"/>
  <c r="JY6" i="2"/>
  <c r="IT6" i="2"/>
  <c r="BH13" i="2"/>
  <c r="LL4" i="2"/>
  <c r="CP17" i="14"/>
  <c r="DL13" i="2"/>
  <c r="KA4" i="2"/>
  <c r="BB34" i="14"/>
  <c r="BJ23" i="14"/>
  <c r="ME35" i="2"/>
  <c r="FB2" i="2"/>
  <c r="MT2" i="2"/>
  <c r="MT5" i="2" s="1"/>
  <c r="BL57" i="14"/>
  <c r="MI68" i="2"/>
  <c r="KN24" i="2"/>
  <c r="CK11" i="14"/>
  <c r="AR19" i="2"/>
  <c r="DK57" i="2"/>
  <c r="CP9" i="14"/>
  <c r="JT4" i="2"/>
  <c r="GM4" i="2"/>
  <c r="GO5" i="2"/>
  <c r="CO9" i="14"/>
  <c r="OI5" i="2"/>
  <c r="MG35" i="2"/>
  <c r="OW13" i="2"/>
  <c r="EI4" i="2"/>
  <c r="OQ4" i="2"/>
  <c r="BH34" i="14"/>
  <c r="S186" i="20"/>
  <c r="IC46" i="2"/>
  <c r="JH35" i="2"/>
  <c r="AL9" i="2"/>
  <c r="BF10" i="14"/>
  <c r="AH20" i="19"/>
  <c r="ID13" i="2"/>
  <c r="ID5" i="2"/>
  <c r="BI32" i="14"/>
  <c r="NS4" i="2"/>
  <c r="FU6" i="2"/>
  <c r="MY6" i="2"/>
  <c r="JS5" i="2"/>
  <c r="JH24" i="2"/>
  <c r="IB13" i="2"/>
  <c r="CR9" i="14"/>
  <c r="AF21" i="13"/>
  <c r="E11" i="15"/>
  <c r="OC4" i="2"/>
  <c r="BB21" i="14"/>
  <c r="BB23" i="14" s="1"/>
  <c r="PN2" i="2"/>
  <c r="MZ35" i="2"/>
  <c r="BD23" i="14"/>
  <c r="JG2" i="2"/>
  <c r="LA57" i="2"/>
  <c r="MC46" i="2"/>
  <c r="IB57" i="2"/>
  <c r="KU68" i="2"/>
  <c r="KD13" i="2"/>
  <c r="PN68" i="2"/>
  <c r="PK57" i="2"/>
  <c r="HT35" i="2"/>
  <c r="S164" i="20"/>
  <c r="EQ39" i="12"/>
  <c r="AN36" i="2"/>
  <c r="FI46" i="2"/>
  <c r="NU4" i="2"/>
  <c r="DM68" i="2"/>
  <c r="IR35" i="2"/>
  <c r="HK68" i="2"/>
  <c r="MK35" i="2"/>
  <c r="FA68" i="2"/>
  <c r="QH6" i="2"/>
  <c r="IG35" i="2"/>
  <c r="AT36" i="2"/>
  <c r="HG2" i="2"/>
  <c r="AS34" i="2"/>
  <c r="AS36" i="2" s="1"/>
  <c r="FI13" i="2"/>
  <c r="OO4" i="2"/>
  <c r="MA6" i="2"/>
  <c r="GF24" i="2"/>
  <c r="QI4" i="2"/>
  <c r="IX24" i="2"/>
  <c r="KO5" i="2"/>
  <c r="PZ13" i="2"/>
  <c r="IV57" i="2"/>
  <c r="KN13" i="2"/>
  <c r="AR327" i="5"/>
  <c r="BF26" i="16"/>
  <c r="LL5" i="2"/>
  <c r="IL5" i="2"/>
  <c r="NK68" i="2"/>
  <c r="AG155" i="13"/>
  <c r="CR11" i="14"/>
  <c r="IF6" i="2"/>
  <c r="FJ2" i="2"/>
  <c r="MF68" i="2"/>
  <c r="BJ33" i="14"/>
  <c r="FN10" i="16"/>
  <c r="DH4" i="14"/>
  <c r="S320" i="20"/>
  <c r="OS57" i="2"/>
  <c r="BB22" i="14"/>
  <c r="MC24" i="2"/>
  <c r="KI13" i="2"/>
  <c r="DQ24" i="2"/>
  <c r="CR20" i="16"/>
  <c r="CR21" i="16" s="1"/>
  <c r="MV5" i="2"/>
  <c r="BB430" i="5"/>
  <c r="LN24" i="2"/>
  <c r="EQ4" i="2"/>
  <c r="MP2" i="2"/>
  <c r="JH5" i="2"/>
  <c r="IE13" i="2"/>
  <c r="FW2" i="2"/>
  <c r="S218" i="20"/>
  <c r="GR6" i="2"/>
  <c r="HP68" i="2"/>
  <c r="FW35" i="2"/>
  <c r="J39" i="22"/>
  <c r="MD5" i="2"/>
  <c r="BJ20" i="14"/>
  <c r="MP6" i="2"/>
  <c r="DD13" i="14"/>
  <c r="PB57" i="2"/>
  <c r="AS10" i="2"/>
  <c r="PA2" i="2"/>
  <c r="NY35" i="2"/>
  <c r="S326" i="20"/>
  <c r="BC57" i="14"/>
  <c r="EZ2" i="2"/>
  <c r="GR4" i="2"/>
  <c r="GS57" i="2"/>
  <c r="S293" i="20"/>
  <c r="BS430" i="5"/>
  <c r="MR5" i="2"/>
  <c r="FP6" i="2"/>
  <c r="IB24" i="2"/>
  <c r="FK4" i="2"/>
  <c r="LK24" i="2"/>
  <c r="JQ6" i="2"/>
  <c r="JL4" i="2"/>
  <c r="FE5" i="2"/>
  <c r="MD57" i="2"/>
  <c r="KE24" i="2"/>
  <c r="FV6" i="2"/>
  <c r="FC24" i="2"/>
  <c r="HB68" i="2"/>
  <c r="KW24" i="2"/>
  <c r="ID46" i="2"/>
  <c r="OA57" i="2"/>
  <c r="CM13" i="14"/>
  <c r="PC4" i="2"/>
  <c r="AN33" i="2"/>
  <c r="GT4" i="2"/>
  <c r="OH6" i="2"/>
  <c r="FC4" i="2"/>
  <c r="BF13" i="2"/>
  <c r="AR11" i="2"/>
  <c r="C52" i="16"/>
  <c r="PF2" i="2"/>
  <c r="PF6" i="2" s="1"/>
  <c r="OX6" i="2"/>
  <c r="MU4" i="2"/>
  <c r="EY35" i="2"/>
  <c r="JC4" i="2"/>
  <c r="QO6" i="2"/>
  <c r="IQ57" i="2"/>
  <c r="PT35" i="2"/>
  <c r="OX35" i="2"/>
  <c r="PI5" i="2"/>
  <c r="OF5" i="2"/>
  <c r="MF5" i="2"/>
  <c r="S232" i="20"/>
  <c r="FS4" i="2"/>
  <c r="AB357" i="5"/>
  <c r="NF6" i="2"/>
  <c r="BB35" i="14"/>
  <c r="NZ5" i="2"/>
  <c r="GY5" i="2"/>
  <c r="OG6" i="2"/>
  <c r="OU4" i="2"/>
  <c r="OM5" i="2"/>
  <c r="PG6" i="2"/>
  <c r="DH5" i="14"/>
  <c r="LD5" i="2"/>
  <c r="NJ5" i="2"/>
  <c r="FT4" i="2"/>
  <c r="LU4" i="2"/>
  <c r="QM6" i="2"/>
  <c r="EB6" i="2"/>
  <c r="NK4" i="2"/>
  <c r="GN4" i="2"/>
  <c r="IC6" i="2"/>
  <c r="LS4" i="2"/>
  <c r="GL4" i="2"/>
  <c r="KJ6" i="2"/>
  <c r="QU6" i="2"/>
  <c r="JF4" i="2"/>
  <c r="CQ17" i="14"/>
  <c r="AV12" i="2"/>
  <c r="DU6" i="2"/>
  <c r="EZ4" i="2"/>
  <c r="QE5" i="2"/>
  <c r="BI10" i="14"/>
  <c r="C18" i="19"/>
  <c r="BO13" i="14"/>
  <c r="JS4" i="2"/>
  <c r="BE20" i="14"/>
  <c r="FU4" i="2"/>
  <c r="PF4" i="2"/>
  <c r="HS4" i="2"/>
  <c r="FB5" i="2"/>
  <c r="DT4" i="2"/>
  <c r="GW6" i="2"/>
  <c r="IP5" i="2"/>
  <c r="BC20" i="14"/>
  <c r="DD16" i="14"/>
  <c r="IQ6" i="2"/>
  <c r="JU4" i="2"/>
  <c r="GK4" i="2"/>
  <c r="LO4" i="2"/>
  <c r="S333" i="20"/>
  <c r="EH4" i="2"/>
  <c r="JO4" i="2"/>
  <c r="QD6" i="2"/>
  <c r="OP4" i="2"/>
  <c r="KU6" i="2"/>
  <c r="AU11" i="2"/>
  <c r="JK4" i="2"/>
  <c r="AS12" i="2"/>
  <c r="IO5" i="2"/>
  <c r="NW4" i="2"/>
  <c r="CQ13" i="14"/>
  <c r="GH6" i="2"/>
  <c r="EZ5" i="2"/>
  <c r="QE6" i="2"/>
  <c r="C17" i="19"/>
  <c r="DV6" i="2"/>
  <c r="DQ4" i="2"/>
  <c r="PF5" i="2"/>
  <c r="MT4" i="2"/>
  <c r="DT5" i="2"/>
  <c r="DR35" i="2"/>
  <c r="MN57" i="2"/>
  <c r="FB24" i="2"/>
  <c r="NW68" i="2"/>
  <c r="BN11" i="14"/>
  <c r="EC2" i="2"/>
  <c r="HG24" i="2"/>
  <c r="QR57" i="2"/>
  <c r="GV5" i="2"/>
  <c r="NO35" i="2"/>
  <c r="OL13" i="2"/>
  <c r="FJ68" i="2"/>
  <c r="S245" i="20"/>
  <c r="PU2" i="2"/>
  <c r="AL10" i="2"/>
  <c r="NA6" i="2"/>
  <c r="JY5" i="2"/>
  <c r="DJ4" i="2"/>
  <c r="GY35" i="2"/>
  <c r="QU46" i="2"/>
  <c r="FR35" i="2"/>
  <c r="OR4" i="2"/>
  <c r="QZ5" i="2"/>
  <c r="BF22" i="14"/>
  <c r="KZ4" i="2"/>
  <c r="BP11" i="14"/>
  <c r="DT35" i="2"/>
  <c r="V409" i="5"/>
  <c r="OP68" i="2"/>
  <c r="IU24" i="2"/>
  <c r="FO2" i="2"/>
  <c r="FO4" i="2" s="1"/>
  <c r="BD34" i="14"/>
  <c r="HF6" i="2"/>
  <c r="GK13" i="2"/>
  <c r="DD12" i="14"/>
  <c r="ME57" i="2"/>
  <c r="JC13" i="2"/>
  <c r="NR6" i="2"/>
  <c r="DY46" i="2"/>
  <c r="DD8" i="14"/>
  <c r="AO33" i="2"/>
  <c r="QZ4" i="2"/>
  <c r="GG46" i="2"/>
  <c r="FN5" i="2"/>
  <c r="KP5" i="2"/>
  <c r="NZ68" i="2"/>
  <c r="BA33" i="14"/>
  <c r="AL31" i="2"/>
  <c r="JX46" i="2"/>
  <c r="EY2" i="2"/>
  <c r="QF2" i="2"/>
  <c r="PZ46" i="2"/>
  <c r="MN46" i="2"/>
  <c r="AB403" i="5"/>
  <c r="QK6" i="2"/>
  <c r="GK35" i="2"/>
  <c r="HC6" i="2"/>
  <c r="PR6" i="2"/>
  <c r="BI7" i="2"/>
  <c r="IF5" i="2"/>
  <c r="OA68" i="2"/>
  <c r="HB4" i="2"/>
  <c r="OA5" i="2"/>
  <c r="JQ5" i="2"/>
  <c r="BZ17" i="9"/>
  <c r="BN19" i="14"/>
  <c r="AW24" i="2"/>
  <c r="PJ2" i="2"/>
  <c r="HM13" i="2"/>
  <c r="PH5" i="2"/>
  <c r="GT6" i="2"/>
  <c r="BJ35" i="14"/>
  <c r="EP6" i="2"/>
  <c r="JX5" i="2"/>
  <c r="LF6" i="2"/>
  <c r="EO4" i="2"/>
  <c r="PS6" i="2"/>
  <c r="JE6" i="2"/>
  <c r="OE5" i="2"/>
  <c r="JF6" i="2"/>
  <c r="AV24" i="2"/>
  <c r="KR4" i="2"/>
  <c r="JB4" i="2"/>
  <c r="L24" i="19"/>
  <c r="CJ11" i="16"/>
  <c r="CJ12" i="16" s="1"/>
  <c r="HO6" i="2"/>
  <c r="CR22" i="16"/>
  <c r="CJ13" i="16"/>
  <c r="BA30" i="14"/>
  <c r="BA32" i="14" s="1"/>
  <c r="IQ46" i="2"/>
  <c r="S203" i="20"/>
  <c r="ON35" i="2"/>
  <c r="BU35" i="12"/>
  <c r="X7" i="13"/>
  <c r="AS463" i="5"/>
  <c r="DD21" i="15"/>
  <c r="NI46" i="2"/>
  <c r="CT12" i="14"/>
  <c r="CT17" i="14" s="1"/>
  <c r="PT57" i="2"/>
  <c r="C368" i="5"/>
  <c r="QA35" i="2"/>
  <c r="BB8" i="14"/>
  <c r="EF5" i="2"/>
  <c r="FH57" i="2"/>
  <c r="JD2" i="2"/>
  <c r="PD2" i="2"/>
  <c r="KO57" i="2"/>
  <c r="MW6" i="2"/>
  <c r="PL46" i="2"/>
  <c r="AV19" i="2"/>
  <c r="KV4" i="2"/>
  <c r="LF24" i="2"/>
  <c r="NJ4" i="2"/>
  <c r="DL35" i="2"/>
  <c r="DP35" i="2"/>
  <c r="DT31" i="16"/>
  <c r="IJ24" i="2"/>
  <c r="AG153" i="13"/>
  <c r="S132" i="20"/>
  <c r="GN35" i="2"/>
  <c r="GJ46" i="2"/>
  <c r="CP10" i="2"/>
  <c r="GA2" i="2"/>
  <c r="CN26" i="15"/>
  <c r="AH27" i="19"/>
  <c r="AN10" i="2"/>
  <c r="AN12" i="2" s="1"/>
  <c r="IN35" i="2"/>
  <c r="LJ6" i="2"/>
  <c r="BL32" i="14"/>
  <c r="FD4" i="2"/>
  <c r="HM6" i="2"/>
  <c r="LR2" i="2"/>
  <c r="JL13" i="2"/>
  <c r="BJ17" i="2"/>
  <c r="KP68" i="2"/>
  <c r="LQ13" i="2"/>
  <c r="BI12" i="2"/>
  <c r="BJ22" i="14"/>
  <c r="IQ35" i="2"/>
  <c r="HZ13" i="13"/>
  <c r="GG9" i="2"/>
  <c r="GU24" i="2"/>
  <c r="AQ22" i="2"/>
  <c r="JE46" i="2"/>
  <c r="QW24" i="2"/>
  <c r="DD49" i="2"/>
  <c r="S197" i="20"/>
  <c r="JY13" i="2"/>
  <c r="HB5" i="2"/>
  <c r="MW4" i="2"/>
  <c r="BB10" i="14"/>
  <c r="PF35" i="2"/>
  <c r="PK4" i="2"/>
  <c r="MO57" i="2"/>
  <c r="S268" i="20"/>
  <c r="KA57" i="2"/>
  <c r="CA464" i="5"/>
  <c r="AO24" i="2"/>
  <c r="BF32" i="14"/>
  <c r="QW4" i="2"/>
  <c r="OJ6" i="2"/>
  <c r="HA4" i="2"/>
  <c r="HM5" i="2"/>
  <c r="QY5" i="2"/>
  <c r="ME4" i="2"/>
  <c r="MN24" i="2"/>
  <c r="NC13" i="2"/>
  <c r="CL14" i="14"/>
  <c r="NS68" i="2"/>
  <c r="NA24" i="2"/>
  <c r="OD35" i="2"/>
  <c r="OY4" i="2"/>
  <c r="EG6" i="2"/>
  <c r="QJ4" i="2"/>
  <c r="FW13" i="2"/>
  <c r="FP68" i="2"/>
  <c r="JK35" i="2"/>
  <c r="BH10" i="2"/>
  <c r="KJ13" i="2"/>
  <c r="MR57" i="2"/>
  <c r="BH8" i="9"/>
  <c r="LK57" i="2"/>
  <c r="DP46" i="2"/>
  <c r="LS68" i="2"/>
  <c r="M141" i="13"/>
  <c r="MM24" i="2"/>
  <c r="BL44" i="15"/>
  <c r="HG35" i="2"/>
  <c r="BP12" i="2"/>
  <c r="FQ4" i="2"/>
  <c r="KX5" i="2"/>
  <c r="PH13" i="2"/>
  <c r="BG11" i="2"/>
  <c r="BI14" i="2"/>
  <c r="GV4" i="2"/>
  <c r="HA6" i="2"/>
  <c r="NH5" i="2"/>
  <c r="HK6" i="2"/>
  <c r="JK24" i="2"/>
  <c r="NC57" i="2"/>
  <c r="BH10" i="9"/>
  <c r="MX57" i="2"/>
  <c r="QL5" i="2"/>
  <c r="JC5" i="2"/>
  <c r="PO4" i="2"/>
  <c r="JQ4" i="2"/>
  <c r="DY33" i="15"/>
  <c r="DV57" i="2"/>
  <c r="HZ4" i="2"/>
  <c r="BK35" i="14"/>
  <c r="MC4" i="2"/>
  <c r="MO5" i="2"/>
  <c r="KF2" i="2"/>
  <c r="PH4" i="2"/>
  <c r="QR35" i="2"/>
  <c r="LK68" i="2"/>
  <c r="DQ13" i="2"/>
  <c r="FG6" i="2"/>
  <c r="FJ4" i="2"/>
  <c r="GA5" i="2"/>
  <c r="MZ4" i="2"/>
  <c r="LM5" i="2"/>
  <c r="FD6" i="2"/>
  <c r="AO21" i="2"/>
  <c r="LF5" i="2"/>
  <c r="EO6" i="2"/>
  <c r="BH17" i="2"/>
  <c r="AQ12" i="2"/>
  <c r="GL6" i="2"/>
  <c r="QU5" i="2"/>
  <c r="DU5" i="2"/>
  <c r="R8" i="19"/>
  <c r="CO14" i="14"/>
  <c r="FU5" i="2"/>
  <c r="HS5" i="2"/>
  <c r="MH6" i="2"/>
  <c r="CJ14" i="16"/>
  <c r="V21" i="16"/>
  <c r="AR7" i="2"/>
  <c r="AR9" i="2" s="1"/>
  <c r="LQ68" i="2"/>
  <c r="S262" i="20"/>
  <c r="EB35" i="2"/>
  <c r="HH24" i="2"/>
  <c r="DY57" i="2"/>
  <c r="QQ13" i="2"/>
  <c r="LQ35" i="2"/>
  <c r="HP4" i="2"/>
  <c r="IH35" i="2"/>
  <c r="IM24" i="2"/>
  <c r="IE57" i="2"/>
  <c r="QH68" i="2"/>
  <c r="DI6" i="14"/>
  <c r="ET57" i="2"/>
  <c r="LF4" i="2"/>
  <c r="QD13" i="2"/>
  <c r="KT6" i="2"/>
  <c r="KR35" i="2"/>
  <c r="HD68" i="2"/>
  <c r="CV8" i="15"/>
  <c r="BE21" i="14"/>
  <c r="ED57" i="2"/>
  <c r="KL24" i="2"/>
  <c r="MV13" i="2"/>
  <c r="LP68" i="2"/>
  <c r="EM35" i="2"/>
  <c r="QN24" i="2"/>
  <c r="FZ13" i="2"/>
  <c r="KQ5" i="2"/>
  <c r="FW5" i="2"/>
  <c r="JJ4" i="2"/>
  <c r="MY24" i="2"/>
  <c r="HU13" i="2"/>
  <c r="OM4" i="2"/>
  <c r="GP46" i="2"/>
  <c r="PN57" i="2"/>
  <c r="HQ5" i="2"/>
  <c r="KO4" i="2"/>
  <c r="EG35" i="2"/>
  <c r="EA6" i="2"/>
  <c r="AK401" i="5"/>
  <c r="MX13" i="2"/>
  <c r="IX5" i="2"/>
  <c r="BA10" i="14"/>
  <c r="AT35" i="2"/>
  <c r="EM4" i="2"/>
  <c r="QD5" i="2"/>
  <c r="KS5" i="2"/>
  <c r="LE6" i="2"/>
  <c r="PA6" i="2"/>
  <c r="GH4" i="2"/>
  <c r="L12" i="19"/>
  <c r="DV5" i="2"/>
  <c r="MT6" i="2"/>
  <c r="GD13" i="2"/>
  <c r="HE24" i="2"/>
  <c r="DA37" i="16"/>
  <c r="GR68" i="2"/>
  <c r="FF46" i="2"/>
  <c r="FH5" i="2"/>
  <c r="AK377" i="5"/>
  <c r="OU24" i="2"/>
  <c r="EI46" i="2"/>
  <c r="W439" i="5"/>
  <c r="IH57" i="2"/>
  <c r="IR4" i="2"/>
  <c r="BL13" i="2"/>
  <c r="BB13" i="2"/>
  <c r="BF9" i="2"/>
  <c r="IV68" i="2"/>
  <c r="JP6" i="2"/>
  <c r="NN5" i="2"/>
  <c r="BL12" i="15"/>
  <c r="GL57" i="2"/>
  <c r="S229" i="20"/>
  <c r="KJ35" i="2"/>
  <c r="S214" i="20"/>
  <c r="DL57" i="2"/>
  <c r="T401" i="5"/>
  <c r="KV6" i="2"/>
  <c r="IR57" i="2"/>
  <c r="DX57" i="2"/>
  <c r="QI6" i="2"/>
  <c r="HP35" i="2"/>
  <c r="HH13" i="2"/>
  <c r="ER2" i="2"/>
  <c r="QL46" i="2"/>
  <c r="ER24" i="2"/>
  <c r="FI2" i="2"/>
  <c r="JK13" i="2"/>
  <c r="JO24" i="2"/>
  <c r="CV9" i="15"/>
  <c r="CV13" i="15" s="1"/>
  <c r="S183" i="20"/>
  <c r="FY5" i="2"/>
  <c r="BC8" i="14"/>
  <c r="CT13" i="14"/>
  <c r="IA5" i="2"/>
  <c r="PV57" i="2"/>
  <c r="LJ13" i="2"/>
  <c r="NO6" i="2"/>
  <c r="GR13" i="2"/>
  <c r="BH7" i="2"/>
  <c r="DU46" i="2"/>
  <c r="CG8" i="15"/>
  <c r="KA24" i="2"/>
  <c r="AW35" i="2"/>
  <c r="DD117" i="14"/>
  <c r="E8" i="15"/>
  <c r="AQ24" i="2"/>
  <c r="MJ2" i="2"/>
  <c r="MJ4" i="2" s="1"/>
  <c r="EB68" i="2"/>
  <c r="KM57" i="2"/>
  <c r="QP57" i="2"/>
  <c r="MD6" i="2"/>
  <c r="CS7" i="14"/>
  <c r="CS11" i="14" s="1"/>
  <c r="NN13" i="2"/>
  <c r="KN35" i="2"/>
  <c r="GE57" i="2"/>
  <c r="GE68" i="2"/>
  <c r="OL68" i="2"/>
  <c r="HF5" i="2"/>
  <c r="BL31" i="15"/>
  <c r="QK24" i="2"/>
  <c r="HH46" i="2"/>
  <c r="MA46" i="2"/>
  <c r="PS4" i="2"/>
  <c r="HH4" i="2"/>
  <c r="MI4" i="2"/>
  <c r="BK20" i="14"/>
  <c r="AN11" i="2"/>
  <c r="JD57" i="2"/>
  <c r="PT13" i="2"/>
  <c r="AP6" i="15"/>
  <c r="AP9" i="15" s="1"/>
  <c r="OQ5" i="2"/>
  <c r="KY5" i="2"/>
  <c r="FY68" i="2"/>
  <c r="GL24" i="2"/>
  <c r="HJ46" i="2"/>
  <c r="GN57" i="2"/>
  <c r="QP35" i="2"/>
  <c r="AW7" i="2"/>
  <c r="AW9" i="2" s="1"/>
  <c r="CS14" i="14"/>
  <c r="PH68" i="2"/>
  <c r="NU35" i="2"/>
  <c r="S260" i="20"/>
  <c r="IG5" i="2"/>
  <c r="NZ35" i="2"/>
  <c r="JW5" i="2"/>
  <c r="LK6" i="2"/>
  <c r="PV4" i="2"/>
  <c r="II68" i="2"/>
  <c r="HL5" i="2"/>
  <c r="JX24" i="2"/>
  <c r="PL6" i="2"/>
  <c r="FY4" i="2"/>
  <c r="GC13" i="2"/>
  <c r="KS46" i="2"/>
  <c r="OM57" i="2"/>
  <c r="GA6" i="2"/>
  <c r="AU35" i="2"/>
  <c r="AP35" i="2"/>
  <c r="FO6" i="2"/>
  <c r="EY4" i="2"/>
  <c r="LN6" i="2"/>
  <c r="KE13" i="2"/>
  <c r="OZ2" i="2"/>
  <c r="PQ2" i="2"/>
  <c r="NS46" i="2"/>
  <c r="QN68" i="2"/>
  <c r="DD116" i="14"/>
  <c r="DI21" i="9"/>
  <c r="O153" i="13"/>
  <c r="EC68" i="2"/>
  <c r="QS6" i="2"/>
  <c r="MA4" i="2"/>
  <c r="CU7" i="14"/>
  <c r="HR4" i="2"/>
  <c r="MD4" i="2"/>
  <c r="PM2" i="2"/>
  <c r="PP6" i="2"/>
  <c r="AU58" i="2"/>
  <c r="DO6" i="2"/>
  <c r="EW6" i="2"/>
  <c r="EN2" i="2"/>
  <c r="LU35" i="2"/>
  <c r="FX6" i="2"/>
  <c r="KL5" i="2"/>
  <c r="CK13" i="14"/>
  <c r="LJ4" i="2"/>
  <c r="AN24" i="2"/>
  <c r="OP5" i="2"/>
  <c r="AT9" i="2"/>
  <c r="OH4" i="2"/>
  <c r="LH4" i="2"/>
  <c r="KE6" i="2"/>
  <c r="QF4" i="2"/>
  <c r="AN21" i="2"/>
  <c r="ON5" i="2"/>
  <c r="EK6" i="2"/>
  <c r="QW5" i="2"/>
  <c r="NE5" i="2"/>
  <c r="AV21" i="2"/>
  <c r="LR6" i="2"/>
  <c r="MQ6" i="2"/>
  <c r="KS6" i="2"/>
  <c r="IC4" i="2"/>
  <c r="JA5" i="2"/>
  <c r="MJ6" i="2"/>
  <c r="CM14" i="14"/>
  <c r="QR6" i="2"/>
  <c r="OE4" i="2"/>
  <c r="CB29" i="16"/>
  <c r="JF5" i="2"/>
  <c r="BQ10" i="2"/>
  <c r="AV11" i="2"/>
  <c r="GH5" i="2"/>
  <c r="KR5" i="2"/>
  <c r="QE4" i="2"/>
  <c r="BA35" i="14"/>
  <c r="C20" i="19"/>
  <c r="AP21" i="2"/>
  <c r="BA20" i="14"/>
  <c r="IE5" i="2"/>
  <c r="CJ11" i="14"/>
  <c r="CJ13" i="14"/>
  <c r="HO5" i="2"/>
  <c r="QG5" i="2"/>
  <c r="FB6" i="2"/>
  <c r="AR21" i="2"/>
  <c r="GW5" i="2"/>
  <c r="AO36" i="2"/>
  <c r="PM4" i="2"/>
  <c r="IP4" i="2"/>
  <c r="CJ15" i="16"/>
  <c r="ED2" i="2"/>
  <c r="IQ5" i="2"/>
  <c r="AK448" i="5"/>
  <c r="CQ7" i="14"/>
  <c r="HO13" i="2"/>
  <c r="AT46" i="2"/>
  <c r="ED13" i="2"/>
  <c r="OK46" i="2"/>
  <c r="GM24" i="2"/>
  <c r="CA397" i="5"/>
  <c r="MN13" i="2"/>
  <c r="IX4" i="2"/>
  <c r="FO5" i="2"/>
  <c r="CR12" i="14"/>
  <c r="MP4" i="2"/>
  <c r="HA46" i="2"/>
  <c r="IV4" i="2"/>
  <c r="LO5" i="2"/>
  <c r="BL34" i="14"/>
  <c r="GL5" i="2"/>
  <c r="GU4" i="2"/>
  <c r="BK13" i="2"/>
  <c r="MU5" i="2"/>
  <c r="PI4" i="2"/>
  <c r="JA6" i="2"/>
  <c r="QR5" i="2"/>
  <c r="NW6" i="2"/>
  <c r="LW6" i="2"/>
  <c r="CO17" i="14"/>
  <c r="CJ17" i="14"/>
  <c r="QG6" i="2"/>
  <c r="MH5" i="2"/>
  <c r="NG6" i="2"/>
  <c r="GF6" i="2"/>
  <c r="LX6" i="2"/>
  <c r="LX5" i="2"/>
  <c r="NX6" i="2"/>
  <c r="AR35" i="2"/>
  <c r="HT5" i="2"/>
  <c r="HT4" i="2"/>
  <c r="EX4" i="2"/>
  <c r="EX5" i="2"/>
  <c r="EX6" i="2"/>
  <c r="KW6" i="2"/>
  <c r="PB5" i="2"/>
  <c r="ME5" i="2"/>
  <c r="ME6" i="2"/>
  <c r="LZ5" i="2"/>
  <c r="LG5" i="2"/>
  <c r="OF6" i="2"/>
  <c r="NZ6" i="2"/>
  <c r="GM5" i="2"/>
  <c r="E16" i="19"/>
  <c r="C19" i="19"/>
  <c r="L29" i="19"/>
  <c r="C21" i="19"/>
  <c r="E23" i="19"/>
  <c r="R7" i="19"/>
  <c r="HK5" i="2"/>
  <c r="LU6" i="2"/>
  <c r="LU5" i="2"/>
  <c r="ET4" i="2"/>
  <c r="ET6" i="2"/>
  <c r="KC6" i="2"/>
  <c r="KC5" i="2"/>
  <c r="KC4" i="2"/>
  <c r="GC4" i="2"/>
  <c r="GC6" i="2"/>
  <c r="QC4" i="2"/>
  <c r="QC5" i="2"/>
  <c r="DS6" i="2"/>
  <c r="OW6" i="2"/>
  <c r="OW4" i="2"/>
  <c r="CK17" i="14"/>
  <c r="CK14" i="14"/>
  <c r="JI6" i="2"/>
  <c r="JI5" i="2"/>
  <c r="MQ4" i="2"/>
  <c r="MQ5" i="2"/>
  <c r="MB5" i="2"/>
  <c r="MB4" i="2"/>
  <c r="CM9" i="14"/>
  <c r="CM11" i="14"/>
  <c r="HE4" i="2"/>
  <c r="OL4" i="2"/>
  <c r="OL5" i="2"/>
  <c r="OJ5" i="2"/>
  <c r="NT4" i="2"/>
  <c r="NT6" i="2"/>
  <c r="KJ4" i="2"/>
  <c r="KJ5" i="2"/>
  <c r="BG13" i="2"/>
  <c r="BG17" i="2"/>
  <c r="PO5" i="2"/>
  <c r="MF6" i="2"/>
  <c r="PR4" i="2"/>
  <c r="QO5" i="2"/>
  <c r="PN4" i="2"/>
  <c r="PN6" i="2"/>
  <c r="PN5" i="2"/>
  <c r="JG5" i="2"/>
  <c r="JG6" i="2"/>
  <c r="HG5" i="2"/>
  <c r="HG4" i="2"/>
  <c r="HG6" i="2"/>
  <c r="FJ6" i="2"/>
  <c r="FW4" i="2"/>
  <c r="FW6" i="2"/>
  <c r="PA5" i="2"/>
  <c r="PA4" i="2"/>
  <c r="BN12" i="14"/>
  <c r="BN13" i="14"/>
  <c r="EC5" i="2"/>
  <c r="EC4" i="2"/>
  <c r="PU6" i="2"/>
  <c r="PU4" i="2"/>
  <c r="AL12" i="2"/>
  <c r="AL11" i="2"/>
  <c r="BP13" i="14"/>
  <c r="EY5" i="2"/>
  <c r="EY6" i="2"/>
  <c r="QF6" i="2"/>
  <c r="BI9" i="2"/>
  <c r="PJ5" i="2"/>
  <c r="PJ4" i="2"/>
  <c r="PJ6" i="2"/>
  <c r="JD5" i="2"/>
  <c r="JD6" i="2"/>
  <c r="PD5" i="2"/>
  <c r="PD6" i="2"/>
  <c r="LR4" i="2"/>
  <c r="LR5" i="2"/>
  <c r="BI13" i="2"/>
  <c r="KF4" i="2"/>
  <c r="KF6" i="2"/>
  <c r="KF5" i="2"/>
  <c r="BE22" i="14"/>
  <c r="BE23" i="14"/>
  <c r="ER4" i="2"/>
  <c r="ER5" i="2"/>
  <c r="ER6" i="2"/>
  <c r="FI6" i="2"/>
  <c r="FI4" i="2"/>
  <c r="FI5" i="2"/>
  <c r="BH9" i="2"/>
  <c r="BH11" i="2"/>
  <c r="DD118" i="14"/>
  <c r="OZ4" i="2"/>
  <c r="OZ6" i="2"/>
  <c r="OZ5" i="2"/>
  <c r="PQ4" i="2"/>
  <c r="PQ6" i="2"/>
  <c r="CU9" i="14"/>
  <c r="CU11" i="14"/>
  <c r="CU14" i="14"/>
  <c r="PM5" i="2"/>
  <c r="PM6" i="2"/>
  <c r="EN4" i="2"/>
  <c r="EN6" i="2"/>
  <c r="EN5" i="2"/>
  <c r="ED6" i="2"/>
  <c r="ED4" i="2"/>
  <c r="ED5" i="2"/>
  <c r="CQ11" i="14"/>
  <c r="CQ9" i="14"/>
  <c r="CR14" i="14"/>
  <c r="CR13" i="14"/>
  <c r="CK15" i="16" l="1"/>
  <c r="CL15" i="16" s="1"/>
  <c r="CM15" i="16" s="1"/>
  <c r="CN15" i="16" s="1"/>
  <c r="CK12" i="16"/>
  <c r="CL12" i="16" s="1"/>
  <c r="CM12" i="16" s="1"/>
  <c r="CN12" i="16" s="1"/>
  <c r="CK14" i="16"/>
  <c r="CL14" i="16" s="1"/>
  <c r="CM14" i="16" s="1"/>
  <c r="CN14" i="16" s="1"/>
  <c r="DU7" i="2"/>
  <c r="DU8" i="2" s="1"/>
  <c r="CS22" i="16"/>
  <c r="CT22" i="16" s="1"/>
  <c r="CQ19" i="14"/>
  <c r="CK19" i="14"/>
  <c r="CV17" i="14"/>
  <c r="CO19" i="14"/>
  <c r="CI18" i="14" s="1"/>
  <c r="CI20" i="14" s="1"/>
  <c r="CI21" i="14" s="1"/>
  <c r="CP19" i="14"/>
  <c r="CU19" i="14"/>
  <c r="CN19" i="14"/>
  <c r="CT19" i="14"/>
  <c r="CS19" i="14"/>
  <c r="CR19" i="14"/>
  <c r="FV7" i="2"/>
  <c r="FV8" i="2" s="1"/>
  <c r="CK11" i="16"/>
  <c r="CL11" i="16" s="1"/>
  <c r="CM11" i="16" s="1"/>
  <c r="CN11" i="16" s="1"/>
  <c r="K1" i="19"/>
  <c r="L1" i="19" s="1"/>
  <c r="M1" i="19" s="1"/>
  <c r="N1" i="19" s="1"/>
  <c r="O1" i="19" s="1"/>
  <c r="L8" i="19"/>
  <c r="M8" i="19" s="1"/>
  <c r="N8" i="19" s="1"/>
  <c r="O8" i="19" s="1"/>
  <c r="P8" i="19" s="1"/>
  <c r="DV7" i="2"/>
  <c r="DV8" i="2" s="1"/>
  <c r="AV14" i="2"/>
  <c r="AV42" i="2" s="1"/>
  <c r="AV26" i="2"/>
  <c r="CC29" i="16"/>
  <c r="CD29" i="16" s="1"/>
  <c r="CE29" i="16" s="1"/>
  <c r="CF29" i="16" s="1"/>
  <c r="AQ9" i="15"/>
  <c r="AR9" i="15" s="1"/>
  <c r="AS9" i="15" s="1"/>
  <c r="AT9" i="15" s="1"/>
  <c r="BE25" i="14"/>
  <c r="CW13" i="15"/>
  <c r="CX13" i="15" s="1"/>
  <c r="CY13" i="15" s="1"/>
  <c r="CZ13" i="15" s="1"/>
  <c r="K38" i="16"/>
  <c r="L38" i="16" s="1"/>
  <c r="M38" i="16" s="1"/>
  <c r="N38" i="16" s="1"/>
  <c r="GB7" i="2"/>
  <c r="GB8" i="2" s="1"/>
  <c r="BK434" i="5"/>
  <c r="BL434" i="5" s="1"/>
  <c r="AL430" i="5"/>
  <c r="AM430" i="5" s="1"/>
  <c r="F11" i="15"/>
  <c r="G11" i="15" s="1"/>
  <c r="H11" i="15" s="1"/>
  <c r="I11" i="15" s="1"/>
  <c r="AL401" i="5"/>
  <c r="AM401" i="5" s="1"/>
  <c r="CA419" i="5"/>
  <c r="BG13" i="14"/>
  <c r="BG41" i="14" s="1"/>
  <c r="AI41" i="19"/>
  <c r="AJ41" i="19" s="1"/>
  <c r="AK41" i="19" s="1"/>
  <c r="AL41" i="19" s="1"/>
  <c r="AI20" i="19"/>
  <c r="AJ20" i="19" s="1"/>
  <c r="AK20" i="19" s="1"/>
  <c r="AL20" i="19" s="1"/>
  <c r="BZ22" i="9"/>
  <c r="R109" i="19"/>
  <c r="S109" i="19" s="1"/>
  <c r="T109" i="19" s="1"/>
  <c r="U109" i="19" s="1"/>
  <c r="F16" i="19"/>
  <c r="G16" i="19" s="1"/>
  <c r="H16" i="19" s="1"/>
  <c r="I16" i="19" s="1"/>
  <c r="AR43" i="2"/>
  <c r="AJ9" i="15"/>
  <c r="AK9" i="15" s="1"/>
  <c r="P153" i="13"/>
  <c r="Q153" i="13" s="1"/>
  <c r="R153" i="13" s="1"/>
  <c r="S153" i="13" s="1"/>
  <c r="O157" i="13"/>
  <c r="P157" i="13" s="1"/>
  <c r="Q157" i="13" s="1"/>
  <c r="R157" i="13" s="1"/>
  <c r="S157" i="13" s="1"/>
  <c r="F23" i="19"/>
  <c r="G23" i="19" s="1"/>
  <c r="H23" i="19" s="1"/>
  <c r="I23" i="19" s="1"/>
  <c r="BB37" i="14"/>
  <c r="DN21" i="9"/>
  <c r="CS21" i="16"/>
  <c r="CT21" i="16" s="1"/>
  <c r="CU21" i="16" s="1"/>
  <c r="CV21" i="16" s="1"/>
  <c r="BL25" i="14"/>
  <c r="BK395" i="5"/>
  <c r="BL395" i="5" s="1"/>
  <c r="BM395" i="5" s="1"/>
  <c r="BN395" i="5" s="1"/>
  <c r="AP26" i="2"/>
  <c r="L7" i="19"/>
  <c r="M7" i="19" s="1"/>
  <c r="N7" i="19" s="1"/>
  <c r="O7" i="19" s="1"/>
  <c r="P7" i="19" s="1"/>
  <c r="BH12" i="9"/>
  <c r="BH13" i="9" s="1"/>
  <c r="BH16" i="9" s="1"/>
  <c r="AR14" i="2"/>
  <c r="AR42" i="2" s="1"/>
  <c r="BE17" i="15"/>
  <c r="BF17" i="15" s="1"/>
  <c r="BG17" i="15" s="1"/>
  <c r="BH17" i="15" s="1"/>
  <c r="BI17" i="15" s="1"/>
  <c r="BE18" i="15"/>
  <c r="BE19" i="15" s="1"/>
  <c r="BF19" i="15" s="1"/>
  <c r="BG19" i="15" s="1"/>
  <c r="BH19" i="15" s="1"/>
  <c r="BI19" i="15" s="1"/>
  <c r="BF16" i="15"/>
  <c r="BG16" i="15" s="1"/>
  <c r="BH16" i="15" s="1"/>
  <c r="BI16" i="15" s="1"/>
  <c r="BZ14" i="9"/>
  <c r="AI8" i="19"/>
  <c r="AJ8" i="19" s="1"/>
  <c r="AK8" i="19" s="1"/>
  <c r="AL8" i="19" s="1"/>
  <c r="AW14" i="2"/>
  <c r="AW42" i="2" s="1"/>
  <c r="FP7" i="2"/>
  <c r="FP8" i="2" s="1"/>
  <c r="L427" i="5"/>
  <c r="M427" i="5" s="1"/>
  <c r="FJ15" i="16"/>
  <c r="AL14" i="2"/>
  <c r="AL42" i="2" s="1"/>
  <c r="AL54" i="2" s="1"/>
  <c r="BR14" i="2"/>
  <c r="L6" i="19"/>
  <c r="M6" i="19" s="1"/>
  <c r="N6" i="19" s="1"/>
  <c r="O6" i="19" s="1"/>
  <c r="P6" i="19" s="1"/>
  <c r="BG25" i="14"/>
  <c r="AP38" i="2"/>
  <c r="BN14" i="14"/>
  <c r="BQ7" i="14" s="1"/>
  <c r="AU38" i="2"/>
  <c r="DN7" i="2"/>
  <c r="DN8" i="2" s="1"/>
  <c r="BF8" i="15"/>
  <c r="BG8" i="15" s="1"/>
  <c r="CK10" i="16"/>
  <c r="CL10" i="16" s="1"/>
  <c r="CM10" i="16" s="1"/>
  <c r="CN10" i="16" s="1"/>
  <c r="HZ20" i="13"/>
  <c r="HZ21" i="13" s="1"/>
  <c r="HZ23" i="13" s="1"/>
  <c r="C449" i="5"/>
  <c r="D449" i="5" s="1"/>
  <c r="D448" i="5"/>
  <c r="E448" i="5" s="1"/>
  <c r="F448" i="5" s="1"/>
  <c r="BE42" i="14"/>
  <c r="J24" i="16"/>
  <c r="K24" i="16" s="1"/>
  <c r="L24" i="16" s="1"/>
  <c r="M24" i="16" s="1"/>
  <c r="J32" i="16"/>
  <c r="K32" i="16" s="1"/>
  <c r="L32" i="16" s="1"/>
  <c r="M32" i="16" s="1"/>
  <c r="N32" i="16" s="1"/>
  <c r="K29" i="16"/>
  <c r="L29" i="16" s="1"/>
  <c r="M29" i="16" s="1"/>
  <c r="N29" i="16" s="1"/>
  <c r="CB397" i="5"/>
  <c r="CC397" i="5" s="1"/>
  <c r="CB455" i="5"/>
  <c r="CC455" i="5" s="1"/>
  <c r="ET18" i="9"/>
  <c r="ES24" i="9" s="1"/>
  <c r="FY7" i="2"/>
  <c r="FY8" i="2" s="1"/>
  <c r="IE15" i="13"/>
  <c r="IE17" i="13" s="1"/>
  <c r="IE19" i="13" s="1"/>
  <c r="BP14" i="2"/>
  <c r="AI23" i="19"/>
  <c r="AJ23" i="19" s="1"/>
  <c r="AK23" i="19" s="1"/>
  <c r="AL23" i="19" s="1"/>
  <c r="K27" i="16"/>
  <c r="L27" i="16" s="1"/>
  <c r="M27" i="16" s="1"/>
  <c r="N27" i="16" s="1"/>
  <c r="AC403" i="5"/>
  <c r="AD403" i="5" s="1"/>
  <c r="AE403" i="5" s="1"/>
  <c r="BL45" i="15"/>
  <c r="BM45" i="15" s="1"/>
  <c r="BN45" i="15" s="1"/>
  <c r="BO45" i="15" s="1"/>
  <c r="BP45" i="15" s="1"/>
  <c r="BM44" i="15"/>
  <c r="BN44" i="15" s="1"/>
  <c r="BO44" i="15" s="1"/>
  <c r="BP44" i="15" s="1"/>
  <c r="BL46" i="15"/>
  <c r="E474" i="5"/>
  <c r="F474" i="5" s="1"/>
  <c r="G474" i="5" s="1"/>
  <c r="H474" i="5" s="1"/>
  <c r="FW7" i="2"/>
  <c r="FW8" i="2" s="1"/>
  <c r="BM8" i="15"/>
  <c r="BN8" i="15" s="1"/>
  <c r="BO8" i="15" s="1"/>
  <c r="BP8" i="15" s="1"/>
  <c r="BL10" i="15"/>
  <c r="BM10" i="15" s="1"/>
  <c r="BN10" i="15" s="1"/>
  <c r="BO10" i="15" s="1"/>
  <c r="BP10" i="15" s="1"/>
  <c r="DM7" i="2"/>
  <c r="DM8" i="2" s="1"/>
  <c r="BJ419" i="5"/>
  <c r="N141" i="13"/>
  <c r="O141" i="13" s="1"/>
  <c r="GV31" i="13"/>
  <c r="GW31" i="13" s="1"/>
  <c r="GX31" i="13" s="1"/>
  <c r="GY31" i="13" s="1"/>
  <c r="BA42" i="14"/>
  <c r="BA54" i="14" s="1"/>
  <c r="O18" i="15"/>
  <c r="P18" i="15" s="1"/>
  <c r="Q18" i="15" s="1"/>
  <c r="R18" i="15" s="1"/>
  <c r="AT403" i="5"/>
  <c r="AU403" i="5" s="1"/>
  <c r="DN26" i="9"/>
  <c r="DO26" i="9" s="1"/>
  <c r="DP23" i="9" s="1"/>
  <c r="DB23" i="9" s="1"/>
  <c r="DI8" i="9" s="1"/>
  <c r="DI12" i="9" s="1"/>
  <c r="DX10" i="9"/>
  <c r="DD9" i="15"/>
  <c r="DE9" i="15" s="1"/>
  <c r="DF9" i="15" s="1"/>
  <c r="DG9" i="15" s="1"/>
  <c r="DC11" i="15"/>
  <c r="EW19" i="13"/>
  <c r="EX19" i="13" s="1"/>
  <c r="EY19" i="13" s="1"/>
  <c r="EZ19" i="13" s="1"/>
  <c r="AI28" i="19"/>
  <c r="AJ28" i="19" s="1"/>
  <c r="AK28" i="19" s="1"/>
  <c r="AL28" i="19" s="1"/>
  <c r="CH9" i="15"/>
  <c r="CI9" i="15" s="1"/>
  <c r="CJ9" i="15" s="1"/>
  <c r="CK9" i="15" s="1"/>
  <c r="AP43" i="2"/>
  <c r="DK11" i="9"/>
  <c r="BB42" i="14"/>
  <c r="BB54" i="14" s="1"/>
  <c r="BT430" i="5"/>
  <c r="BU430" i="5" s="1"/>
  <c r="V9" i="19"/>
  <c r="AH176" i="13"/>
  <c r="AI176" i="13" s="1"/>
  <c r="AC425" i="5"/>
  <c r="AD425" i="5" s="1"/>
  <c r="U424" i="5"/>
  <c r="V424" i="5" s="1"/>
  <c r="W424" i="5" s="1"/>
  <c r="CD439" i="5"/>
  <c r="CA461" i="5" s="1"/>
  <c r="CB461" i="5" s="1"/>
  <c r="CC461" i="5" s="1"/>
  <c r="BS458" i="5"/>
  <c r="BT458" i="5" s="1"/>
  <c r="BU458" i="5" s="1"/>
  <c r="EG7" i="16"/>
  <c r="EG9" i="16" s="1"/>
  <c r="EG11" i="16" s="1"/>
  <c r="EG12" i="16" s="1"/>
  <c r="BR8" i="2"/>
  <c r="CC28" i="16"/>
  <c r="CD28" i="16" s="1"/>
  <c r="CE28" i="16" s="1"/>
  <c r="CF28" i="16" s="1"/>
  <c r="DN29" i="9"/>
  <c r="K368" i="5"/>
  <c r="AL448" i="5"/>
  <c r="AM448" i="5" s="1"/>
  <c r="AK449" i="5"/>
  <c r="AL449" i="5" s="1"/>
  <c r="AM449" i="5" s="1"/>
  <c r="AN449" i="5" s="1"/>
  <c r="AO449" i="5" s="1"/>
  <c r="Y24" i="16"/>
  <c r="Z24" i="16" s="1"/>
  <c r="AA24" i="16" s="1"/>
  <c r="AN14" i="2"/>
  <c r="AN42" i="2" s="1"/>
  <c r="FX7" i="2"/>
  <c r="FX8" i="2" s="1"/>
  <c r="CL19" i="14"/>
  <c r="ES7" i="2"/>
  <c r="ES8" i="2" s="1"/>
  <c r="BE19" i="2"/>
  <c r="D362" i="5"/>
  <c r="E362" i="5" s="1"/>
  <c r="F362" i="5" s="1"/>
  <c r="AT433" i="5"/>
  <c r="AU433" i="5" s="1"/>
  <c r="CN16" i="15"/>
  <c r="CO14" i="15"/>
  <c r="CP14" i="15" s="1"/>
  <c r="CN15" i="15"/>
  <c r="CO15" i="15" s="1"/>
  <c r="CP15" i="15" s="1"/>
  <c r="CQ15" i="15" s="1"/>
  <c r="CR15" i="15" s="1"/>
  <c r="CB464" i="5"/>
  <c r="CC464" i="5" s="1"/>
  <c r="CD464" i="5" s="1"/>
  <c r="AG34" i="13"/>
  <c r="AH34" i="13" s="1"/>
  <c r="AI34" i="13" s="1"/>
  <c r="AJ34" i="13" s="1"/>
  <c r="BM31" i="15"/>
  <c r="BN31" i="15" s="1"/>
  <c r="BO31" i="15" s="1"/>
  <c r="BP31" i="15" s="1"/>
  <c r="BL32" i="15"/>
  <c r="BL33" i="15"/>
  <c r="X26" i="16"/>
  <c r="Y26" i="16" s="1"/>
  <c r="Z26" i="16" s="1"/>
  <c r="AA26" i="16" s="1"/>
  <c r="AB26" i="16" s="1"/>
  <c r="AC26" i="16" s="1"/>
  <c r="AD26" i="16" s="1"/>
  <c r="AE26" i="16" s="1"/>
  <c r="Y25" i="16"/>
  <c r="Z25" i="16" s="1"/>
  <c r="AA25" i="16" s="1"/>
  <c r="AB25" i="16" s="1"/>
  <c r="AC25" i="16" s="1"/>
  <c r="AD25" i="16" s="1"/>
  <c r="AE25" i="16" s="1"/>
  <c r="EA87" i="13"/>
  <c r="ED87" i="13" s="1"/>
  <c r="P170" i="13"/>
  <c r="Q170" i="13" s="1"/>
  <c r="AC434" i="5"/>
  <c r="AD434" i="5" s="1"/>
  <c r="AE434" i="5" s="1"/>
  <c r="BB13" i="14"/>
  <c r="BB41" i="14" s="1"/>
  <c r="BB53" i="14" s="1"/>
  <c r="BT461" i="5"/>
  <c r="BU461" i="5" s="1"/>
  <c r="BV461" i="5" s="1"/>
  <c r="BW461" i="5" s="1"/>
  <c r="BC430" i="5"/>
  <c r="BD430" i="5" s="1"/>
  <c r="DX11" i="15"/>
  <c r="DY9" i="15"/>
  <c r="DZ9" i="15" s="1"/>
  <c r="EA9" i="15" s="1"/>
  <c r="EB9" i="15" s="1"/>
  <c r="CB434" i="5"/>
  <c r="CC434" i="5" s="1"/>
  <c r="BK397" i="5"/>
  <c r="BL397" i="5" s="1"/>
  <c r="BM397" i="5" s="1"/>
  <c r="CS20" i="16"/>
  <c r="CT20" i="16" s="1"/>
  <c r="CU20" i="16" s="1"/>
  <c r="CV20" i="16" s="1"/>
  <c r="BT388" i="5"/>
  <c r="BU388" i="5" s="1"/>
  <c r="BS389" i="5"/>
  <c r="BS390" i="5" s="1"/>
  <c r="BT390" i="5" s="1"/>
  <c r="BU390" i="5" s="1"/>
  <c r="BV390" i="5" s="1"/>
  <c r="BW390" i="5" s="1"/>
  <c r="DD51" i="2"/>
  <c r="AL454" i="5"/>
  <c r="AM454" i="5" s="1"/>
  <c r="F43" i="14"/>
  <c r="F45" i="14" s="1"/>
  <c r="F47" i="14" s="1"/>
  <c r="AT43" i="2"/>
  <c r="BD37" i="14"/>
  <c r="C313" i="5"/>
  <c r="D313" i="5" s="1"/>
  <c r="CG16" i="15"/>
  <c r="CG15" i="15"/>
  <c r="CH14" i="15"/>
  <c r="CI14" i="15" s="1"/>
  <c r="CJ14" i="15" s="1"/>
  <c r="CK14" i="15" s="1"/>
  <c r="BL19" i="2"/>
  <c r="BH19" i="2"/>
  <c r="BI19" i="2"/>
  <c r="BC19" i="2"/>
  <c r="BG19" i="2"/>
  <c r="BA18" i="2" s="1"/>
  <c r="BA20" i="2" s="1"/>
  <c r="BN17" i="2"/>
  <c r="BK19" i="2"/>
  <c r="BF19" i="2"/>
  <c r="BJ19" i="2"/>
  <c r="BM19" i="2"/>
  <c r="AF86" i="13"/>
  <c r="AF27" i="13"/>
  <c r="EM7" i="2"/>
  <c r="EM8" i="2" s="1"/>
  <c r="BB25" i="14"/>
  <c r="AC433" i="5"/>
  <c r="AD433" i="5" s="1"/>
  <c r="F8" i="15"/>
  <c r="G8" i="15" s="1"/>
  <c r="H8" i="15" s="1"/>
  <c r="I8" i="15" s="1"/>
  <c r="X151" i="13"/>
  <c r="Y151" i="13" s="1"/>
  <c r="Z151" i="13" s="1"/>
  <c r="AA151" i="13" s="1"/>
  <c r="P168" i="13"/>
  <c r="Q168" i="13" s="1"/>
  <c r="R168" i="13" s="1"/>
  <c r="S168" i="13" s="1"/>
  <c r="AW38" i="2"/>
  <c r="FN12" i="16"/>
  <c r="FN11" i="16"/>
  <c r="FN13" i="16"/>
  <c r="FN14" i="16"/>
  <c r="FN15" i="16" s="1"/>
  <c r="FO15" i="16" s="1"/>
  <c r="FP15" i="16" s="1"/>
  <c r="CG10" i="15"/>
  <c r="CH8" i="15"/>
  <c r="CI8" i="15" s="1"/>
  <c r="CJ8" i="15" s="1"/>
  <c r="CK8" i="15" s="1"/>
  <c r="AD409" i="5"/>
  <c r="AB429" i="5" s="1"/>
  <c r="AC429" i="5" s="1"/>
  <c r="AD429" i="5" s="1"/>
  <c r="T427" i="5"/>
  <c r="U427" i="5" s="1"/>
  <c r="V427" i="5" s="1"/>
  <c r="BJ25" i="14"/>
  <c r="GV10" i="13"/>
  <c r="GW10" i="13" s="1"/>
  <c r="GX10" i="13" s="1"/>
  <c r="GY10" i="13" s="1"/>
  <c r="X16" i="15"/>
  <c r="Y16" i="15" s="1"/>
  <c r="Z16" i="15" s="1"/>
  <c r="CW8" i="15"/>
  <c r="CX8" i="15" s="1"/>
  <c r="CY8" i="15" s="1"/>
  <c r="CZ8" i="15" s="1"/>
  <c r="CV10" i="15"/>
  <c r="AZ9" i="9"/>
  <c r="IF13" i="13"/>
  <c r="IG13" i="13" s="1"/>
  <c r="IH13" i="13" s="1"/>
  <c r="II13" i="13" s="1"/>
  <c r="IE20" i="13"/>
  <c r="IF20" i="13" s="1"/>
  <c r="IG20" i="13" s="1"/>
  <c r="IH20" i="13" s="1"/>
  <c r="II20" i="13" s="1"/>
  <c r="EP26" i="13"/>
  <c r="EQ26" i="13" s="1"/>
  <c r="AW43" i="2"/>
  <c r="BS16" i="15"/>
  <c r="BT14" i="15"/>
  <c r="BU14" i="15" s="1"/>
  <c r="BV14" i="15" s="1"/>
  <c r="BW14" i="15" s="1"/>
  <c r="BS15" i="15"/>
  <c r="BT15" i="15" s="1"/>
  <c r="BU15" i="15" s="1"/>
  <c r="AH155" i="13"/>
  <c r="AI155" i="13" s="1"/>
  <c r="BF25" i="14"/>
  <c r="RB1" i="2"/>
  <c r="DJ12" i="2" s="1"/>
  <c r="RB7" i="2"/>
  <c r="EW7" i="2"/>
  <c r="EW8" i="2" s="1"/>
  <c r="BE13" i="14"/>
  <c r="BE41" i="14" s="1"/>
  <c r="BG26" i="16"/>
  <c r="BH26" i="16" s="1"/>
  <c r="BI26" i="16" s="1"/>
  <c r="BJ26" i="16" s="1"/>
  <c r="D367" i="5"/>
  <c r="E367" i="5" s="1"/>
  <c r="AS327" i="5"/>
  <c r="AT327" i="5" s="1"/>
  <c r="AU327" i="5" s="1"/>
  <c r="ER38" i="12"/>
  <c r="ES38" i="12" s="1"/>
  <c r="ET38" i="12" s="1"/>
  <c r="D431" i="5"/>
  <c r="E431" i="5" s="1"/>
  <c r="CW9" i="15"/>
  <c r="CX9" i="15" s="1"/>
  <c r="CY9" i="15" s="1"/>
  <c r="CZ9" i="15" s="1"/>
  <c r="AG100" i="13"/>
  <c r="AH100" i="13" s="1"/>
  <c r="AS419" i="5"/>
  <c r="Q187" i="13"/>
  <c r="R187" i="13" s="1"/>
  <c r="AI27" i="19"/>
  <c r="AJ27" i="19" s="1"/>
  <c r="AK27" i="19" s="1"/>
  <c r="AL27" i="19" s="1"/>
  <c r="EP18" i="13"/>
  <c r="EQ18" i="13" s="1"/>
  <c r="CO26" i="15"/>
  <c r="CP26" i="15" s="1"/>
  <c r="CQ26" i="15" s="1"/>
  <c r="CR26" i="15" s="1"/>
  <c r="CN28" i="15"/>
  <c r="CO28" i="15" s="1"/>
  <c r="CP28" i="15" s="1"/>
  <c r="CQ28" i="15" s="1"/>
  <c r="CR28" i="15" s="1"/>
  <c r="CN27" i="15"/>
  <c r="CO27" i="15" s="1"/>
  <c r="CP27" i="15" s="1"/>
  <c r="CQ27" i="15" s="1"/>
  <c r="CR27" i="15" s="1"/>
  <c r="L369" i="5"/>
  <c r="M369" i="5" s="1"/>
  <c r="N369" i="5" s="1"/>
  <c r="O369" i="5" s="1"/>
  <c r="GA20" i="9"/>
  <c r="GB20" i="9" s="1"/>
  <c r="GC20" i="9" s="1"/>
  <c r="CS16" i="9"/>
  <c r="CT16" i="9" s="1"/>
  <c r="DD10" i="15"/>
  <c r="DE10" i="15" s="1"/>
  <c r="DF10" i="15" s="1"/>
  <c r="DG10" i="15" s="1"/>
  <c r="AH221" i="13"/>
  <c r="AI221" i="13" s="1"/>
  <c r="HK19" i="13"/>
  <c r="X7" i="15"/>
  <c r="Y7" i="15" s="1"/>
  <c r="Z7" i="15" s="1"/>
  <c r="ER40" i="12"/>
  <c r="ES40" i="12" s="1"/>
  <c r="AC404" i="5"/>
  <c r="AD404" i="5" s="1"/>
  <c r="F49" i="14"/>
  <c r="F50" i="14" s="1"/>
  <c r="F51" i="14" s="1"/>
  <c r="AI153" i="13"/>
  <c r="AJ153" i="13" s="1"/>
  <c r="BK42" i="14"/>
  <c r="DL27" i="9"/>
  <c r="DL31" i="9"/>
  <c r="DN30" i="9"/>
  <c r="DO30" i="9" s="1"/>
  <c r="DN27" i="9"/>
  <c r="DL26" i="9"/>
  <c r="DL30" i="9"/>
  <c r="EP20" i="13"/>
  <c r="EQ20" i="13" s="1"/>
  <c r="ER20" i="13" s="1"/>
  <c r="ES20" i="13" s="1"/>
  <c r="DU31" i="16"/>
  <c r="DV31" i="16" s="1"/>
  <c r="DW31" i="16" s="1"/>
  <c r="DX31" i="16" s="1"/>
  <c r="HJ7" i="13"/>
  <c r="AI13" i="19"/>
  <c r="AJ13" i="19" s="1"/>
  <c r="AK13" i="19" s="1"/>
  <c r="AL13" i="19" s="1"/>
  <c r="AH172" i="13"/>
  <c r="AI172" i="13" s="1"/>
  <c r="AJ172" i="13" s="1"/>
  <c r="X12" i="15"/>
  <c r="Y12" i="15" s="1"/>
  <c r="Z12" i="15" s="1"/>
  <c r="AA12" i="15" s="1"/>
  <c r="W13" i="15"/>
  <c r="EE12" i="15"/>
  <c r="EF12" i="15" s="1"/>
  <c r="EG12" i="15" s="1"/>
  <c r="EH12" i="15" s="1"/>
  <c r="EI12" i="15" s="1"/>
  <c r="EF8" i="15"/>
  <c r="EG8" i="15" s="1"/>
  <c r="EH8" i="15" s="1"/>
  <c r="EI8" i="15" s="1"/>
  <c r="U401" i="5"/>
  <c r="V401" i="5" s="1"/>
  <c r="AI26" i="19"/>
  <c r="AJ26" i="19" s="1"/>
  <c r="AK26" i="19" s="1"/>
  <c r="AL26" i="19" s="1"/>
  <c r="BE37" i="14"/>
  <c r="K37" i="16"/>
  <c r="L37" i="16" s="1"/>
  <c r="M37" i="16" s="1"/>
  <c r="N37" i="16" s="1"/>
  <c r="BT11" i="15"/>
  <c r="BU11" i="15" s="1"/>
  <c r="BV11" i="15" s="1"/>
  <c r="BW11" i="15" s="1"/>
  <c r="AM379" i="5"/>
  <c r="AK397" i="5" s="1"/>
  <c r="AL397" i="5" s="1"/>
  <c r="BC461" i="5"/>
  <c r="BD461" i="5" s="1"/>
  <c r="L434" i="5"/>
  <c r="M434" i="5" s="1"/>
  <c r="BC42" i="14"/>
  <c r="F12" i="15"/>
  <c r="G12" i="15" s="1"/>
  <c r="H12" i="15" s="1"/>
  <c r="I12" i="15" s="1"/>
  <c r="E13" i="15"/>
  <c r="D28" i="7"/>
  <c r="E28" i="7" s="1"/>
  <c r="F28" i="7" s="1"/>
  <c r="G28" i="7" s="1"/>
  <c r="H28" i="7" s="1"/>
  <c r="AX10" i="15"/>
  <c r="CO8" i="15"/>
  <c r="CP8" i="15" s="1"/>
  <c r="CN10" i="15"/>
  <c r="D460" i="5"/>
  <c r="E460" i="5" s="1"/>
  <c r="DK10" i="15"/>
  <c r="DL10" i="15" s="1"/>
  <c r="DM10" i="15" s="1"/>
  <c r="DN10" i="15" s="1"/>
  <c r="AV43" i="2"/>
  <c r="BZ27" i="15"/>
  <c r="BZ28" i="15"/>
  <c r="CA26" i="15"/>
  <c r="CB26" i="15" s="1"/>
  <c r="BT400" i="5"/>
  <c r="BU400" i="5" s="1"/>
  <c r="BV400" i="5" s="1"/>
  <c r="BK425" i="5"/>
  <c r="BL425" i="5" s="1"/>
  <c r="BM425" i="5" s="1"/>
  <c r="BN425" i="5" s="1"/>
  <c r="AL461" i="5"/>
  <c r="AM461" i="5" s="1"/>
  <c r="AN461" i="5" s="1"/>
  <c r="BL13" i="15"/>
  <c r="BM13" i="15" s="1"/>
  <c r="BN13" i="15" s="1"/>
  <c r="BO13" i="15" s="1"/>
  <c r="BP13" i="15" s="1"/>
  <c r="BM12" i="15"/>
  <c r="BN12" i="15" s="1"/>
  <c r="BO12" i="15" s="1"/>
  <c r="BP12" i="15" s="1"/>
  <c r="BE10" i="15"/>
  <c r="BF10" i="15" s="1"/>
  <c r="BG10" i="15" s="1"/>
  <c r="BH10" i="15" s="1"/>
  <c r="BI10" i="15" s="1"/>
  <c r="BF9" i="15"/>
  <c r="BG9" i="15" s="1"/>
  <c r="BH9" i="15" s="1"/>
  <c r="BI9" i="15" s="1"/>
  <c r="BU11" i="14"/>
  <c r="AH150" i="13"/>
  <c r="AI150" i="13" s="1"/>
  <c r="AJ150" i="13" s="1"/>
  <c r="AK150" i="13" s="1"/>
  <c r="N142" i="13"/>
  <c r="O142" i="13" s="1"/>
  <c r="P142" i="13" s="1"/>
  <c r="Q142" i="13" s="1"/>
  <c r="AD379" i="5"/>
  <c r="AB399" i="5" s="1"/>
  <c r="AC399" i="5" s="1"/>
  <c r="AD399" i="5" s="1"/>
  <c r="AE399" i="5" s="1"/>
  <c r="AF399" i="5" s="1"/>
  <c r="T397" i="5"/>
  <c r="U397" i="5" s="1"/>
  <c r="V397" i="5" s="1"/>
  <c r="BC454" i="5"/>
  <c r="BD454" i="5" s="1"/>
  <c r="Y22" i="16"/>
  <c r="Z22" i="16" s="1"/>
  <c r="AA22" i="16" s="1"/>
  <c r="AB22" i="16" s="1"/>
  <c r="AC22" i="16" s="1"/>
  <c r="AD22" i="16" s="1"/>
  <c r="AE22" i="16" s="1"/>
  <c r="BK433" i="5"/>
  <c r="BL433" i="5" s="1"/>
  <c r="BM433" i="5" s="1"/>
  <c r="AI16" i="19"/>
  <c r="AJ16" i="19" s="1"/>
  <c r="AK16" i="19" s="1"/>
  <c r="AL16" i="19" s="1"/>
  <c r="GV29" i="13"/>
  <c r="GW29" i="13" s="1"/>
  <c r="GU32" i="13"/>
  <c r="GU34" i="13" s="1"/>
  <c r="GV34" i="13" s="1"/>
  <c r="GW34" i="13" s="1"/>
  <c r="GX34" i="13" s="1"/>
  <c r="GY34" i="13" s="1"/>
  <c r="AH218" i="13"/>
  <c r="AI218" i="13" s="1"/>
  <c r="EW21" i="13"/>
  <c r="EX21" i="13" s="1"/>
  <c r="EY21" i="13" s="1"/>
  <c r="EZ21" i="13" s="1"/>
  <c r="CB395" i="5"/>
  <c r="CC395" i="5" s="1"/>
  <c r="CD395" i="5" s="1"/>
  <c r="CE395" i="5" s="1"/>
  <c r="ER39" i="12"/>
  <c r="ES39" i="12" s="1"/>
  <c r="ET39" i="12" s="1"/>
  <c r="BJ449" i="5"/>
  <c r="EY7" i="2"/>
  <c r="EY8" i="2" s="1"/>
  <c r="DQ11" i="15"/>
  <c r="DR9" i="15"/>
  <c r="DS9" i="15" s="1"/>
  <c r="DT9" i="15" s="1"/>
  <c r="AP13" i="15"/>
  <c r="AP14" i="15" s="1"/>
  <c r="AQ12" i="15"/>
  <c r="AR12" i="15" s="1"/>
  <c r="AS12" i="15" s="1"/>
  <c r="AT12" i="15" s="1"/>
  <c r="BD19" i="2"/>
  <c r="AH154" i="13"/>
  <c r="AI154" i="13" s="1"/>
  <c r="AJ154" i="13" s="1"/>
  <c r="AK154" i="13" s="1"/>
  <c r="AG170" i="13"/>
  <c r="AH170" i="13" s="1"/>
  <c r="AI170" i="13" s="1"/>
  <c r="AJ170" i="13" s="1"/>
  <c r="AK170" i="13" s="1"/>
  <c r="U460" i="5"/>
  <c r="V460" i="5" s="1"/>
  <c r="W460" i="5" s="1"/>
  <c r="X15" i="15"/>
  <c r="Y15" i="15" s="1"/>
  <c r="AB389" i="5"/>
  <c r="AG9" i="13"/>
  <c r="AH9" i="13" s="1"/>
  <c r="AI9" i="13" s="1"/>
  <c r="AJ9" i="13" s="1"/>
  <c r="EF9" i="15"/>
  <c r="EG9" i="15" s="1"/>
  <c r="EH9" i="15" s="1"/>
  <c r="EI9" i="15" s="1"/>
  <c r="EE11" i="15"/>
  <c r="AM14" i="2"/>
  <c r="AM42" i="2" s="1"/>
  <c r="O24" i="15"/>
  <c r="P24" i="15" s="1"/>
  <c r="Q24" i="15" s="1"/>
  <c r="R24" i="15" s="1"/>
  <c r="DG8" i="9"/>
  <c r="DN8" i="9" s="1"/>
  <c r="DO8" i="9" s="1"/>
  <c r="DG5" i="9" s="1"/>
  <c r="DG9" i="9"/>
  <c r="DN9" i="9" s="1"/>
  <c r="D461" i="5"/>
  <c r="E461" i="5" s="1"/>
  <c r="AI22" i="19"/>
  <c r="AJ22" i="19" s="1"/>
  <c r="AK22" i="19" s="1"/>
  <c r="AL22" i="19" s="1"/>
  <c r="AL460" i="5"/>
  <c r="AM460" i="5" s="1"/>
  <c r="AN460" i="5" s="1"/>
  <c r="HZ26" i="13"/>
  <c r="BB419" i="5"/>
  <c r="BC419" i="5" s="1"/>
  <c r="BC418" i="5"/>
  <c r="BD418" i="5" s="1"/>
  <c r="BE418" i="5" s="1"/>
  <c r="BF418" i="5" s="1"/>
  <c r="BT418" i="5"/>
  <c r="BU418" i="5" s="1"/>
  <c r="BV418" i="5" s="1"/>
  <c r="BS419" i="5"/>
  <c r="BT419" i="5" s="1"/>
  <c r="BU419" i="5" s="1"/>
  <c r="BX11" i="9"/>
  <c r="AC463" i="5"/>
  <c r="AD463" i="5" s="1"/>
  <c r="AE463" i="5" s="1"/>
  <c r="ES20" i="9"/>
  <c r="D368" i="5"/>
  <c r="E368" i="5" s="1"/>
  <c r="AJ16" i="15"/>
  <c r="AK16" i="15" s="1"/>
  <c r="AL16" i="15"/>
  <c r="AM16" i="15" s="1"/>
  <c r="AI38" i="19"/>
  <c r="AJ38" i="19" s="1"/>
  <c r="AK38" i="19" s="1"/>
  <c r="AL38" i="19" s="1"/>
  <c r="GG7" i="2"/>
  <c r="GG8" i="2" s="1"/>
  <c r="GH8" i="2" s="1"/>
  <c r="GI8" i="2" s="1"/>
  <c r="GJ8" i="2" s="1"/>
  <c r="GK8" i="2" s="1"/>
  <c r="GL8" i="2" s="1"/>
  <c r="GM8" i="2" s="1"/>
  <c r="GN8" i="2" s="1"/>
  <c r="GO8" i="2" s="1"/>
  <c r="GP8" i="2" s="1"/>
  <c r="GQ8" i="2" s="1"/>
  <c r="GR8" i="2" s="1"/>
  <c r="GS8" i="2" s="1"/>
  <c r="GT8" i="2" s="1"/>
  <c r="GU8" i="2" s="1"/>
  <c r="GV8" i="2" s="1"/>
  <c r="GW8" i="2" s="1"/>
  <c r="GX8" i="2" s="1"/>
  <c r="GY8" i="2" s="1"/>
  <c r="GZ8" i="2" s="1"/>
  <c r="HA8" i="2" s="1"/>
  <c r="HB8" i="2" s="1"/>
  <c r="HC8" i="2" s="1"/>
  <c r="HD8" i="2" s="1"/>
  <c r="HE8" i="2" s="1"/>
  <c r="HF8" i="2" s="1"/>
  <c r="HG8" i="2" s="1"/>
  <c r="HH8" i="2" s="1"/>
  <c r="HI8" i="2" s="1"/>
  <c r="HJ8" i="2" s="1"/>
  <c r="HK8" i="2" s="1"/>
  <c r="HL8" i="2" s="1"/>
  <c r="HM8" i="2" s="1"/>
  <c r="HN8" i="2" s="1"/>
  <c r="HO8" i="2" s="1"/>
  <c r="HP8" i="2" s="1"/>
  <c r="HQ8" i="2" s="1"/>
  <c r="HR8" i="2" s="1"/>
  <c r="HS8" i="2" s="1"/>
  <c r="HT8" i="2" s="1"/>
  <c r="HU8" i="2" s="1"/>
  <c r="HV8" i="2" s="1"/>
  <c r="HW8" i="2" s="1"/>
  <c r="HX8" i="2" s="1"/>
  <c r="HY8" i="2" s="1"/>
  <c r="HZ8" i="2" s="1"/>
  <c r="IA8" i="2" s="1"/>
  <c r="IB8" i="2" s="1"/>
  <c r="IC8" i="2" s="1"/>
  <c r="ID8" i="2" s="1"/>
  <c r="IE8" i="2" s="1"/>
  <c r="IF8" i="2" s="1"/>
  <c r="IG8" i="2" s="1"/>
  <c r="IH8" i="2" s="1"/>
  <c r="II8" i="2" s="1"/>
  <c r="IJ8" i="2" s="1"/>
  <c r="IK8" i="2" s="1"/>
  <c r="IL8" i="2" s="1"/>
  <c r="IM8" i="2" s="1"/>
  <c r="IN8" i="2" s="1"/>
  <c r="IO8" i="2" s="1"/>
  <c r="IP8" i="2" s="1"/>
  <c r="IQ8" i="2" s="1"/>
  <c r="IR8" i="2" s="1"/>
  <c r="IS8" i="2" s="1"/>
  <c r="IT8" i="2" s="1"/>
  <c r="IU8" i="2" s="1"/>
  <c r="IV8" i="2" s="1"/>
  <c r="IW8" i="2" s="1"/>
  <c r="IX8" i="2" s="1"/>
  <c r="IY8" i="2" s="1"/>
  <c r="IZ8" i="2" s="1"/>
  <c r="JA8" i="2" s="1"/>
  <c r="JB8" i="2" s="1"/>
  <c r="JC8" i="2" s="1"/>
  <c r="JD8" i="2" s="1"/>
  <c r="JE8" i="2" s="1"/>
  <c r="JF8" i="2" s="1"/>
  <c r="JG8" i="2" s="1"/>
  <c r="JH8" i="2" s="1"/>
  <c r="JI8" i="2" s="1"/>
  <c r="JJ8" i="2" s="1"/>
  <c r="JK8" i="2" s="1"/>
  <c r="JL8" i="2" s="1"/>
  <c r="JM8" i="2" s="1"/>
  <c r="JN8" i="2" s="1"/>
  <c r="JO8" i="2" s="1"/>
  <c r="JP8" i="2" s="1"/>
  <c r="JQ8" i="2" s="1"/>
  <c r="JR8" i="2" s="1"/>
  <c r="JS8" i="2" s="1"/>
  <c r="JT8" i="2" s="1"/>
  <c r="JU8" i="2" s="1"/>
  <c r="JV8" i="2" s="1"/>
  <c r="JW8" i="2" s="1"/>
  <c r="JX8" i="2" s="1"/>
  <c r="JY8" i="2" s="1"/>
  <c r="JZ8" i="2" s="1"/>
  <c r="KA8" i="2" s="1"/>
  <c r="KB8" i="2" s="1"/>
  <c r="KC8" i="2" s="1"/>
  <c r="KD8" i="2" s="1"/>
  <c r="KE8" i="2" s="1"/>
  <c r="KF8" i="2" s="1"/>
  <c r="KG8" i="2" s="1"/>
  <c r="KH8" i="2" s="1"/>
  <c r="KI8" i="2" s="1"/>
  <c r="KJ8" i="2" s="1"/>
  <c r="KK8" i="2" s="1"/>
  <c r="KL8" i="2" s="1"/>
  <c r="KM8" i="2" s="1"/>
  <c r="KN8" i="2" s="1"/>
  <c r="KO8" i="2" s="1"/>
  <c r="KP8" i="2" s="1"/>
  <c r="KQ8" i="2" s="1"/>
  <c r="KR8" i="2" s="1"/>
  <c r="KS8" i="2" s="1"/>
  <c r="KT8" i="2" s="1"/>
  <c r="KU8" i="2" s="1"/>
  <c r="KV8" i="2" s="1"/>
  <c r="KW8" i="2" s="1"/>
  <c r="KX8" i="2" s="1"/>
  <c r="KY8" i="2" s="1"/>
  <c r="KZ8" i="2" s="1"/>
  <c r="LA8" i="2" s="1"/>
  <c r="LB8" i="2" s="1"/>
  <c r="LC8" i="2" s="1"/>
  <c r="LD8" i="2" s="1"/>
  <c r="LE8" i="2" s="1"/>
  <c r="LF8" i="2" s="1"/>
  <c r="LG8" i="2" s="1"/>
  <c r="LH8" i="2" s="1"/>
  <c r="LI8" i="2" s="1"/>
  <c r="LJ8" i="2" s="1"/>
  <c r="LK8" i="2" s="1"/>
  <c r="LL8" i="2" s="1"/>
  <c r="LM8" i="2" s="1"/>
  <c r="LN8" i="2" s="1"/>
  <c r="LO8" i="2" s="1"/>
  <c r="LP8" i="2" s="1"/>
  <c r="LQ8" i="2" s="1"/>
  <c r="LR8" i="2" s="1"/>
  <c r="LS8" i="2" s="1"/>
  <c r="LT8" i="2" s="1"/>
  <c r="LU8" i="2" s="1"/>
  <c r="LV8" i="2" s="1"/>
  <c r="LW8" i="2" s="1"/>
  <c r="LX8" i="2" s="1"/>
  <c r="LY8" i="2" s="1"/>
  <c r="LZ8" i="2" s="1"/>
  <c r="MA8" i="2" s="1"/>
  <c r="MB8" i="2" s="1"/>
  <c r="MC8" i="2" s="1"/>
  <c r="MD8" i="2" s="1"/>
  <c r="ME8" i="2" s="1"/>
  <c r="MF8" i="2" s="1"/>
  <c r="MG8" i="2" s="1"/>
  <c r="MH8" i="2" s="1"/>
  <c r="MI8" i="2" s="1"/>
  <c r="MJ8" i="2" s="1"/>
  <c r="MK8" i="2" s="1"/>
  <c r="ML8" i="2" s="1"/>
  <c r="MM8" i="2" s="1"/>
  <c r="MN8" i="2" s="1"/>
  <c r="MO8" i="2" s="1"/>
  <c r="MP8" i="2" s="1"/>
  <c r="MQ8" i="2" s="1"/>
  <c r="MR8" i="2" s="1"/>
  <c r="MS8" i="2" s="1"/>
  <c r="MT8" i="2" s="1"/>
  <c r="MU8" i="2" s="1"/>
  <c r="MV8" i="2" s="1"/>
  <c r="MW8" i="2" s="1"/>
  <c r="MX8" i="2" s="1"/>
  <c r="MY8" i="2" s="1"/>
  <c r="MZ8" i="2" s="1"/>
  <c r="NA8" i="2" s="1"/>
  <c r="NB8" i="2" s="1"/>
  <c r="NC8" i="2" s="1"/>
  <c r="ND8" i="2" s="1"/>
  <c r="NE8" i="2" s="1"/>
  <c r="NF8" i="2" s="1"/>
  <c r="NG8" i="2" s="1"/>
  <c r="NH8" i="2" s="1"/>
  <c r="NI8" i="2" s="1"/>
  <c r="NJ8" i="2" s="1"/>
  <c r="NK8" i="2" s="1"/>
  <c r="NL8" i="2" s="1"/>
  <c r="NM8" i="2" s="1"/>
  <c r="NN8" i="2" s="1"/>
  <c r="NO8" i="2" s="1"/>
  <c r="NP8" i="2" s="1"/>
  <c r="NQ8" i="2" s="1"/>
  <c r="NR8" i="2" s="1"/>
  <c r="NS8" i="2" s="1"/>
  <c r="NT8" i="2" s="1"/>
  <c r="NU8" i="2" s="1"/>
  <c r="NV8" i="2" s="1"/>
  <c r="NW8" i="2" s="1"/>
  <c r="NX8" i="2" s="1"/>
  <c r="NY8" i="2" s="1"/>
  <c r="NZ8" i="2" s="1"/>
  <c r="OA8" i="2" s="1"/>
  <c r="OB8" i="2" s="1"/>
  <c r="OC8" i="2" s="1"/>
  <c r="OD8" i="2" s="1"/>
  <c r="OE8" i="2" s="1"/>
  <c r="OF8" i="2" s="1"/>
  <c r="OG8" i="2" s="1"/>
  <c r="OH8" i="2" s="1"/>
  <c r="OI8" i="2" s="1"/>
  <c r="OJ8" i="2" s="1"/>
  <c r="OK8" i="2" s="1"/>
  <c r="OL8" i="2" s="1"/>
  <c r="OM8" i="2" s="1"/>
  <c r="ON8" i="2" s="1"/>
  <c r="OO8" i="2" s="1"/>
  <c r="OP8" i="2" s="1"/>
  <c r="OQ8" i="2" s="1"/>
  <c r="OR8" i="2" s="1"/>
  <c r="OS8" i="2" s="1"/>
  <c r="OT8" i="2" s="1"/>
  <c r="OU8" i="2" s="1"/>
  <c r="OV8" i="2" s="1"/>
  <c r="OW8" i="2" s="1"/>
  <c r="OX8" i="2" s="1"/>
  <c r="OY8" i="2" s="1"/>
  <c r="OZ8" i="2" s="1"/>
  <c r="PA8" i="2" s="1"/>
  <c r="PB8" i="2" s="1"/>
  <c r="PC8" i="2" s="1"/>
  <c r="PD8" i="2" s="1"/>
  <c r="PE8" i="2" s="1"/>
  <c r="PF8" i="2" s="1"/>
  <c r="PG8" i="2" s="1"/>
  <c r="PH8" i="2" s="1"/>
  <c r="PI8" i="2" s="1"/>
  <c r="PJ8" i="2" s="1"/>
  <c r="PK8" i="2" s="1"/>
  <c r="PL8" i="2" s="1"/>
  <c r="PM8" i="2" s="1"/>
  <c r="PN8" i="2" s="1"/>
  <c r="PO8" i="2" s="1"/>
  <c r="PP8" i="2" s="1"/>
  <c r="PQ8" i="2" s="1"/>
  <c r="PR8" i="2" s="1"/>
  <c r="PS8" i="2" s="1"/>
  <c r="PT8" i="2" s="1"/>
  <c r="PU8" i="2" s="1"/>
  <c r="PV8" i="2" s="1"/>
  <c r="PW8" i="2" s="1"/>
  <c r="PX8" i="2" s="1"/>
  <c r="PY8" i="2" s="1"/>
  <c r="PZ8" i="2" s="1"/>
  <c r="QA8" i="2" s="1"/>
  <c r="QB8" i="2" s="1"/>
  <c r="QC8" i="2" s="1"/>
  <c r="QD8" i="2" s="1"/>
  <c r="QE8" i="2" s="1"/>
  <c r="QF8" i="2" s="1"/>
  <c r="QG8" i="2" s="1"/>
  <c r="QH8" i="2" s="1"/>
  <c r="QI8" i="2" s="1"/>
  <c r="QJ8" i="2" s="1"/>
  <c r="QK8" i="2" s="1"/>
  <c r="QL8" i="2" s="1"/>
  <c r="QM8" i="2" s="1"/>
  <c r="QN8" i="2" s="1"/>
  <c r="QO8" i="2" s="1"/>
  <c r="QP8" i="2" s="1"/>
  <c r="QQ8" i="2" s="1"/>
  <c r="QR8" i="2" s="1"/>
  <c r="QS8" i="2" s="1"/>
  <c r="QT8" i="2" s="1"/>
  <c r="QU8" i="2" s="1"/>
  <c r="QV8" i="2" s="1"/>
  <c r="QW8" i="2" s="1"/>
  <c r="QX8" i="2" s="1"/>
  <c r="QY8" i="2" s="1"/>
  <c r="QZ8" i="2" s="1"/>
  <c r="AH156" i="13"/>
  <c r="AI156" i="13" s="1"/>
  <c r="DD8" i="15"/>
  <c r="DE8" i="15" s="1"/>
  <c r="DF8" i="15" s="1"/>
  <c r="DG8" i="15" s="1"/>
  <c r="DC12" i="15"/>
  <c r="AG168" i="13"/>
  <c r="AG203" i="13" s="1"/>
  <c r="AH203" i="13" s="1"/>
  <c r="AI203" i="13" s="1"/>
  <c r="AN161" i="13"/>
  <c r="AN162" i="13" s="1"/>
  <c r="AH161" i="13"/>
  <c r="AI161" i="13" s="1"/>
  <c r="AJ161" i="13" s="1"/>
  <c r="AK161" i="13" s="1"/>
  <c r="AG222" i="13"/>
  <c r="AH222" i="13" s="1"/>
  <c r="AI222" i="13" s="1"/>
  <c r="AI32" i="19"/>
  <c r="AJ32" i="19" s="1"/>
  <c r="AK32" i="19" s="1"/>
  <c r="AL32" i="19" s="1"/>
  <c r="D488" i="5"/>
  <c r="E488" i="5" s="1"/>
  <c r="F488" i="5" s="1"/>
  <c r="G488" i="5" s="1"/>
  <c r="T458" i="5"/>
  <c r="U458" i="5" s="1"/>
  <c r="V458" i="5" s="1"/>
  <c r="W458" i="5" s="1"/>
  <c r="X458" i="5" s="1"/>
  <c r="AE439" i="5"/>
  <c r="AB461" i="5" s="1"/>
  <c r="AC461" i="5" s="1"/>
  <c r="AD461" i="5" s="1"/>
  <c r="AE461" i="5" s="1"/>
  <c r="DO7" i="2"/>
  <c r="DO8" i="2" s="1"/>
  <c r="AI24" i="19"/>
  <c r="AJ24" i="19" s="1"/>
  <c r="AK24" i="19" s="1"/>
  <c r="AL24" i="19" s="1"/>
  <c r="BJ42" i="14"/>
  <c r="BY11" i="2"/>
  <c r="BY13" i="2" s="1"/>
  <c r="BY14" i="2" s="1"/>
  <c r="BY16" i="2" s="1"/>
  <c r="BT454" i="5"/>
  <c r="BU454" i="5" s="1"/>
  <c r="BV454" i="5" s="1"/>
  <c r="BW454" i="5" s="1"/>
  <c r="AI18" i="19"/>
  <c r="AJ18" i="19" s="1"/>
  <c r="K26" i="16"/>
  <c r="L26" i="16" s="1"/>
  <c r="AH159" i="13"/>
  <c r="AI159" i="13" s="1"/>
  <c r="AJ159" i="13" s="1"/>
  <c r="AK159" i="13" s="1"/>
  <c r="AG181" i="13"/>
  <c r="AH181" i="13" s="1"/>
  <c r="AI181" i="13" s="1"/>
  <c r="CO9" i="15"/>
  <c r="CP9" i="15" s="1"/>
  <c r="CQ9" i="15" s="1"/>
  <c r="CR9" i="15" s="1"/>
  <c r="F9" i="15"/>
  <c r="G9" i="15" s="1"/>
  <c r="H9" i="15" s="1"/>
  <c r="I9" i="15" s="1"/>
  <c r="AK419" i="5"/>
  <c r="AK420" i="5" s="1"/>
  <c r="AL418" i="5"/>
  <c r="AM418" i="5" s="1"/>
  <c r="AN418" i="5" s="1"/>
  <c r="AC359" i="5"/>
  <c r="AD359" i="5" s="1"/>
  <c r="AE359" i="5" s="1"/>
  <c r="AH167" i="13"/>
  <c r="AI167" i="13" s="1"/>
  <c r="AJ167" i="13" s="1"/>
  <c r="BF42" i="14"/>
  <c r="AI20" i="15"/>
  <c r="AJ18" i="15"/>
  <c r="AK18" i="15" s="1"/>
  <c r="AL400" i="5"/>
  <c r="AM400" i="5" s="1"/>
  <c r="AN400" i="5" s="1"/>
  <c r="AO400" i="5" s="1"/>
  <c r="DN31" i="9"/>
  <c r="AT14" i="2"/>
  <c r="AT42" i="2" s="1"/>
  <c r="DY7" i="2"/>
  <c r="DY8" i="2" s="1"/>
  <c r="O13" i="15"/>
  <c r="P13" i="15" s="1"/>
  <c r="N20" i="15"/>
  <c r="O20" i="15" s="1"/>
  <c r="P20" i="15" s="1"/>
  <c r="Q20" i="15" s="1"/>
  <c r="R20" i="15" s="1"/>
  <c r="AI10" i="19"/>
  <c r="AJ10" i="19" s="1"/>
  <c r="AK10" i="19" s="1"/>
  <c r="AL10" i="19" s="1"/>
  <c r="U430" i="5"/>
  <c r="V430" i="5" s="1"/>
  <c r="W430" i="5" s="1"/>
  <c r="L433" i="5"/>
  <c r="M433" i="5" s="1"/>
  <c r="N433" i="5" s="1"/>
  <c r="AN379" i="5"/>
  <c r="AK398" i="5" s="1"/>
  <c r="AL398" i="5" s="1"/>
  <c r="L457" i="5"/>
  <c r="M457" i="5" s="1"/>
  <c r="O10" i="15"/>
  <c r="P10" i="15" s="1"/>
  <c r="Q10" i="15" s="1"/>
  <c r="R10" i="15" s="1"/>
  <c r="K419" i="5"/>
  <c r="DJ12" i="15"/>
  <c r="DK8" i="15"/>
  <c r="DL8" i="15" s="1"/>
  <c r="DM8" i="15" s="1"/>
  <c r="DN8" i="15" s="1"/>
  <c r="AT463" i="5"/>
  <c r="AU463" i="5" s="1"/>
  <c r="BK427" i="5"/>
  <c r="BL427" i="5" s="1"/>
  <c r="BM427" i="5" s="1"/>
  <c r="BT448" i="5"/>
  <c r="BU448" i="5" s="1"/>
  <c r="BV448" i="5" s="1"/>
  <c r="BS449" i="5"/>
  <c r="BT449" i="5" s="1"/>
  <c r="BU449" i="5" s="1"/>
  <c r="BI42" i="14"/>
  <c r="BT424" i="5"/>
  <c r="BU424" i="5" s="1"/>
  <c r="AT427" i="5"/>
  <c r="AU427" i="5" s="1"/>
  <c r="AH158" i="13"/>
  <c r="AI158" i="13" s="1"/>
  <c r="C458" i="5"/>
  <c r="D458" i="5" s="1"/>
  <c r="E458" i="5" s="1"/>
  <c r="F458" i="5" s="1"/>
  <c r="N439" i="5"/>
  <c r="K461" i="5" s="1"/>
  <c r="L461" i="5" s="1"/>
  <c r="M461" i="5" s="1"/>
  <c r="N461" i="5" s="1"/>
  <c r="Y7" i="13"/>
  <c r="Z7" i="13" s="1"/>
  <c r="AA7" i="13" s="1"/>
  <c r="AB7" i="13" s="1"/>
  <c r="BC401" i="5"/>
  <c r="BD401" i="5" s="1"/>
  <c r="BE401" i="5" s="1"/>
  <c r="AH157" i="13"/>
  <c r="AI157" i="13" s="1"/>
  <c r="AJ157" i="13" s="1"/>
  <c r="AK157" i="13" s="1"/>
  <c r="BT394" i="5"/>
  <c r="BU394" i="5" s="1"/>
  <c r="BW11" i="2"/>
  <c r="X155" i="13"/>
  <c r="X156" i="13" s="1"/>
  <c r="Y156" i="13" s="1"/>
  <c r="Z156" i="13" s="1"/>
  <c r="AA156" i="13" s="1"/>
  <c r="Y154" i="13"/>
  <c r="Z154" i="13" s="1"/>
  <c r="AA154" i="13" s="1"/>
  <c r="L464" i="5"/>
  <c r="M464" i="5" s="1"/>
  <c r="AT464" i="5"/>
  <c r="AU464" i="5" s="1"/>
  <c r="C428" i="5"/>
  <c r="D428" i="5" s="1"/>
  <c r="N409" i="5"/>
  <c r="K431" i="5" s="1"/>
  <c r="L431" i="5" s="1"/>
  <c r="M431" i="5" s="1"/>
  <c r="N431" i="5" s="1"/>
  <c r="DR10" i="15"/>
  <c r="DS10" i="15" s="1"/>
  <c r="DT10" i="15" s="1"/>
  <c r="AI15" i="19"/>
  <c r="AJ15" i="19" s="1"/>
  <c r="AK15" i="19" s="1"/>
  <c r="AL15" i="19" s="1"/>
  <c r="O17" i="15"/>
  <c r="P17" i="15" s="1"/>
  <c r="AI40" i="19"/>
  <c r="AJ40" i="19" s="1"/>
  <c r="AK40" i="19" s="1"/>
  <c r="AL40" i="19" s="1"/>
  <c r="K57" i="19"/>
  <c r="V10" i="19"/>
  <c r="GV9" i="13"/>
  <c r="GW9" i="13" s="1"/>
  <c r="GX9" i="13" s="1"/>
  <c r="GY9" i="13" s="1"/>
  <c r="DN28" i="9"/>
  <c r="DO28" i="9" s="1"/>
  <c r="BM15" i="2"/>
  <c r="BN15" i="2" s="1"/>
  <c r="AS449" i="5"/>
  <c r="GV28" i="13"/>
  <c r="GW28" i="13" s="1"/>
  <c r="GX28" i="13" s="1"/>
  <c r="GY28" i="13" s="1"/>
  <c r="O22" i="15"/>
  <c r="P22" i="15" s="1"/>
  <c r="F10" i="15"/>
  <c r="G10" i="15" s="1"/>
  <c r="H10" i="15" s="1"/>
  <c r="I10" i="15" s="1"/>
  <c r="U400" i="5"/>
  <c r="V400" i="5" s="1"/>
  <c r="AT455" i="5"/>
  <c r="AU455" i="5" s="1"/>
  <c r="AV455" i="5" s="1"/>
  <c r="BT431" i="5"/>
  <c r="BU431" i="5" s="1"/>
  <c r="EL12" i="13"/>
  <c r="EO13" i="13" s="1"/>
  <c r="EP13" i="13" s="1"/>
  <c r="EQ13" i="13" s="1"/>
  <c r="EO10" i="13"/>
  <c r="EP10" i="13" s="1"/>
  <c r="EQ10" i="13" s="1"/>
  <c r="ER10" i="13" s="1"/>
  <c r="ES10" i="13" s="1"/>
  <c r="BI37" i="14"/>
  <c r="O19" i="15"/>
  <c r="P19" i="15" s="1"/>
  <c r="Q19" i="15" s="1"/>
  <c r="R19" i="15" s="1"/>
  <c r="ER7" i="2"/>
  <c r="ER8" i="2" s="1"/>
  <c r="AN38" i="2"/>
  <c r="CB427" i="5"/>
  <c r="CC427" i="5" s="1"/>
  <c r="BG19" i="16"/>
  <c r="BH19" i="16" s="1"/>
  <c r="BI19" i="16" s="1"/>
  <c r="BJ19" i="16" s="1"/>
  <c r="BD19" i="16"/>
  <c r="BF27" i="16" s="1"/>
  <c r="BG27" i="16" s="1"/>
  <c r="BH27" i="16" s="1"/>
  <c r="BI27" i="16" s="1"/>
  <c r="BJ27" i="16" s="1"/>
  <c r="DZ7" i="2"/>
  <c r="DZ8" i="2" s="1"/>
  <c r="EA8" i="2" s="1"/>
  <c r="EB8" i="2" s="1"/>
  <c r="EC8" i="2" s="1"/>
  <c r="ED8" i="2" s="1"/>
  <c r="EE8" i="2" s="1"/>
  <c r="EF8" i="2" s="1"/>
  <c r="EG8" i="2" s="1"/>
  <c r="EH8" i="2" s="1"/>
  <c r="EI8" i="2" s="1"/>
  <c r="EJ8" i="2" s="1"/>
  <c r="EX7" i="2"/>
  <c r="EX8" i="2" s="1"/>
  <c r="CB404" i="5"/>
  <c r="CC404" i="5" s="1"/>
  <c r="FU7" i="2"/>
  <c r="FU8" i="2" s="1"/>
  <c r="L425" i="5"/>
  <c r="M425" i="5" s="1"/>
  <c r="N425" i="5" s="1"/>
  <c r="D364" i="5"/>
  <c r="E364" i="5" s="1"/>
  <c r="AC395" i="5"/>
  <c r="AD395" i="5" s="1"/>
  <c r="EW22" i="13"/>
  <c r="EX22" i="13" s="1"/>
  <c r="BP8" i="14"/>
  <c r="BS28" i="15"/>
  <c r="BT28" i="15" s="1"/>
  <c r="BU28" i="15" s="1"/>
  <c r="BV28" i="15" s="1"/>
  <c r="BW28" i="15" s="1"/>
  <c r="BS27" i="15"/>
  <c r="BT27" i="15" s="1"/>
  <c r="BU27" i="15" s="1"/>
  <c r="BV27" i="15" s="1"/>
  <c r="BW27" i="15" s="1"/>
  <c r="BT26" i="15"/>
  <c r="BU26" i="15" s="1"/>
  <c r="BV26" i="15" s="1"/>
  <c r="BW26" i="15" s="1"/>
  <c r="CB403" i="5"/>
  <c r="CC403" i="5" s="1"/>
  <c r="CD403" i="5" s="1"/>
  <c r="CS17" i="9"/>
  <c r="AC464" i="5"/>
  <c r="AD464" i="5" s="1"/>
  <c r="BF12" i="15"/>
  <c r="BG12" i="15" s="1"/>
  <c r="BH12" i="15" s="1"/>
  <c r="BI12" i="15" s="1"/>
  <c r="AL394" i="5"/>
  <c r="AM394" i="5" s="1"/>
  <c r="AJ12" i="15"/>
  <c r="AK12" i="15" s="1"/>
  <c r="AL12" i="15" s="1"/>
  <c r="AM12" i="15" s="1"/>
  <c r="AI13" i="15"/>
  <c r="BF37" i="14"/>
  <c r="CC439" i="5"/>
  <c r="CA458" i="5" s="1"/>
  <c r="BS457" i="5"/>
  <c r="BT457" i="5" s="1"/>
  <c r="BU457" i="5" s="1"/>
  <c r="P171" i="13"/>
  <c r="Q171" i="13" s="1"/>
  <c r="R171" i="13" s="1"/>
  <c r="S171" i="13" s="1"/>
  <c r="O16" i="15"/>
  <c r="P16" i="15" s="1"/>
  <c r="Q16" i="15" s="1"/>
  <c r="R16" i="15" s="1"/>
  <c r="N28" i="15"/>
  <c r="O28" i="15" s="1"/>
  <c r="P28" i="15" s="1"/>
  <c r="Q28" i="15" s="1"/>
  <c r="R28" i="15" s="1"/>
  <c r="AC397" i="5"/>
  <c r="AD397" i="5" s="1"/>
  <c r="AE397" i="5" s="1"/>
  <c r="AF397" i="5" s="1"/>
  <c r="E359" i="5"/>
  <c r="F359" i="5" s="1"/>
  <c r="G359" i="5" s="1"/>
  <c r="DK10" i="9"/>
  <c r="BD25" i="14"/>
  <c r="BW11" i="14"/>
  <c r="BW13" i="14" s="1"/>
  <c r="BW14" i="14" s="1"/>
  <c r="BW16" i="14" s="1"/>
  <c r="U394" i="5"/>
  <c r="V394" i="5" s="1"/>
  <c r="D468" i="5"/>
  <c r="E468" i="5" s="1"/>
  <c r="AS43" i="2"/>
  <c r="BJ389" i="5"/>
  <c r="BT8" i="15"/>
  <c r="BU8" i="15" s="1"/>
  <c r="BV8" i="15" s="1"/>
  <c r="BW8" i="15" s="1"/>
  <c r="BS10" i="15"/>
  <c r="DZ87" i="13"/>
  <c r="EB87" i="13" s="1"/>
  <c r="EE87" i="13" s="1"/>
  <c r="EJ87" i="13" s="1"/>
  <c r="EK87" i="13" s="1"/>
  <c r="EL87" i="13" s="1"/>
  <c r="EM87" i="13" s="1"/>
  <c r="EN87" i="13" s="1"/>
  <c r="EO87" i="13" s="1"/>
  <c r="AF28" i="13"/>
  <c r="AF41" i="13" s="1"/>
  <c r="Y153" i="13"/>
  <c r="Z153" i="13" s="1"/>
  <c r="AA153" i="13" s="1"/>
  <c r="CS19" i="16"/>
  <c r="CT19" i="16" s="1"/>
  <c r="O12" i="15"/>
  <c r="P12" i="15" s="1"/>
  <c r="Q12" i="15" s="1"/>
  <c r="R12" i="15" s="1"/>
  <c r="N23" i="15"/>
  <c r="O23" i="15" s="1"/>
  <c r="P23" i="15" s="1"/>
  <c r="Q23" i="15" s="1"/>
  <c r="R23" i="15" s="1"/>
  <c r="AL424" i="5"/>
  <c r="AM424" i="5" s="1"/>
  <c r="AN424" i="5" s="1"/>
  <c r="AO424" i="5" s="1"/>
  <c r="K49" i="16"/>
  <c r="L49" i="16" s="1"/>
  <c r="M49" i="16" s="1"/>
  <c r="N49" i="16" s="1"/>
  <c r="J45" i="16"/>
  <c r="K45" i="16" s="1"/>
  <c r="L45" i="16" s="1"/>
  <c r="M45" i="16" s="1"/>
  <c r="N45" i="16" s="1"/>
  <c r="K41" i="16"/>
  <c r="L41" i="16" s="1"/>
  <c r="M41" i="16" s="1"/>
  <c r="N41" i="16" s="1"/>
  <c r="AI44" i="19"/>
  <c r="AJ44" i="19" s="1"/>
  <c r="AK44" i="19" s="1"/>
  <c r="AL44" i="19" s="1"/>
  <c r="AG40" i="13"/>
  <c r="AH40" i="13" s="1"/>
  <c r="CQ14" i="9"/>
  <c r="CS18" i="9"/>
  <c r="CT18" i="9" s="1"/>
  <c r="CQ19" i="9"/>
  <c r="CQ15" i="9"/>
  <c r="CQ18" i="9"/>
  <c r="CS15" i="9"/>
  <c r="K39" i="16"/>
  <c r="L39" i="16" s="1"/>
  <c r="M39" i="16" s="1"/>
  <c r="N39" i="16" s="1"/>
  <c r="AI29" i="19"/>
  <c r="AJ29" i="19" s="1"/>
  <c r="AK29" i="19" s="1"/>
  <c r="AL29" i="19" s="1"/>
  <c r="N139" i="13"/>
  <c r="O139" i="13" s="1"/>
  <c r="P139" i="13" s="1"/>
  <c r="CA9" i="15"/>
  <c r="CB9" i="15" s="1"/>
  <c r="CC9" i="15" s="1"/>
  <c r="CD9" i="15" s="1"/>
  <c r="DY10" i="15"/>
  <c r="DZ10" i="15" s="1"/>
  <c r="EA10" i="15" s="1"/>
  <c r="EB10" i="15" s="1"/>
  <c r="C419" i="5"/>
  <c r="C420" i="5" s="1"/>
  <c r="D418" i="5"/>
  <c r="E418" i="5" s="1"/>
  <c r="AS10" i="15"/>
  <c r="AT10" i="15" s="1"/>
  <c r="AQ10" i="15"/>
  <c r="AR10" i="15" s="1"/>
  <c r="L455" i="5"/>
  <c r="M455" i="5" s="1"/>
  <c r="N455" i="5" s="1"/>
  <c r="DJ11" i="15"/>
  <c r="DK9" i="15"/>
  <c r="DL9" i="15" s="1"/>
  <c r="DM9" i="15" s="1"/>
  <c r="DN9" i="15" s="1"/>
  <c r="AQ43" i="2"/>
  <c r="BL70" i="15"/>
  <c r="BM70" i="15" s="1"/>
  <c r="BN70" i="15" s="1"/>
  <c r="BO70" i="15" s="1"/>
  <c r="BP70" i="15" s="1"/>
  <c r="BL71" i="15"/>
  <c r="BM69" i="15"/>
  <c r="BN69" i="15" s="1"/>
  <c r="BO69" i="15" s="1"/>
  <c r="BP69" i="15" s="1"/>
  <c r="T398" i="5"/>
  <c r="U398" i="5" s="1"/>
  <c r="V398" i="5" s="1"/>
  <c r="AE379" i="5"/>
  <c r="AB401" i="5" s="1"/>
  <c r="AC401" i="5" s="1"/>
  <c r="AD401" i="5" s="1"/>
  <c r="CS9" i="9"/>
  <c r="AI17" i="19"/>
  <c r="AJ17" i="19" s="1"/>
  <c r="AK17" i="19" s="1"/>
  <c r="AL17" i="19" s="1"/>
  <c r="GA22" i="9"/>
  <c r="GB22" i="9" s="1"/>
  <c r="GC22" i="9" s="1"/>
  <c r="BC25" i="14"/>
  <c r="T457" i="5"/>
  <c r="U457" i="5" s="1"/>
  <c r="V457" i="5" s="1"/>
  <c r="AD439" i="5"/>
  <c r="AB458" i="5" s="1"/>
  <c r="AC458" i="5" s="1"/>
  <c r="AD458" i="5" s="1"/>
  <c r="O36" i="15"/>
  <c r="P36" i="15" s="1"/>
  <c r="DK8" i="9"/>
  <c r="DG3" i="9" s="1"/>
  <c r="DY7" i="9" s="1"/>
  <c r="DY13" i="9" s="1"/>
  <c r="DY14" i="9" s="1"/>
  <c r="DY17" i="9" s="1"/>
  <c r="EF15" i="9" s="1"/>
  <c r="EG15" i="9" s="1"/>
  <c r="EH15" i="9" s="1"/>
  <c r="EI15" i="9" s="1"/>
  <c r="AI30" i="19"/>
  <c r="AJ30" i="19" s="1"/>
  <c r="AK30" i="19" s="1"/>
  <c r="AL30" i="19" s="1"/>
  <c r="AT434" i="5"/>
  <c r="AU434" i="5" s="1"/>
  <c r="D430" i="5"/>
  <c r="E430" i="5" s="1"/>
  <c r="AT395" i="5"/>
  <c r="AU395" i="5" s="1"/>
  <c r="AV395" i="5" s="1"/>
  <c r="BC394" i="5"/>
  <c r="BD394" i="5" s="1"/>
  <c r="BE394" i="5" s="1"/>
  <c r="BF394" i="5" s="1"/>
  <c r="X9" i="15"/>
  <c r="Y9" i="15" s="1"/>
  <c r="Z9" i="15" s="1"/>
  <c r="AA9" i="15" s="1"/>
  <c r="BC431" i="5"/>
  <c r="BD431" i="5" s="1"/>
  <c r="BE431" i="5" s="1"/>
  <c r="O32" i="15"/>
  <c r="P32" i="15" s="1"/>
  <c r="Q32" i="15" s="1"/>
  <c r="R32" i="15" s="1"/>
  <c r="AH160" i="13"/>
  <c r="AI160" i="13" s="1"/>
  <c r="AJ160" i="13" s="1"/>
  <c r="AK160" i="13" s="1"/>
  <c r="AI35" i="19"/>
  <c r="AJ35" i="19" s="1"/>
  <c r="AK35" i="19" s="1"/>
  <c r="AL35" i="19" s="1"/>
  <c r="AI21" i="19"/>
  <c r="AJ21" i="19" s="1"/>
  <c r="AK21" i="19" s="1"/>
  <c r="AL21" i="19" s="1"/>
  <c r="O31" i="15"/>
  <c r="P31" i="15" s="1"/>
  <c r="Q31" i="15" s="1"/>
  <c r="R31" i="15" s="1"/>
  <c r="AC427" i="5"/>
  <c r="AD427" i="5" s="1"/>
  <c r="AE427" i="5" s="1"/>
  <c r="GV33" i="13"/>
  <c r="GW33" i="13" s="1"/>
  <c r="GX33" i="13" s="1"/>
  <c r="GY33" i="13" s="1"/>
  <c r="AH162" i="13"/>
  <c r="AI162" i="13" s="1"/>
  <c r="AJ162" i="13" s="1"/>
  <c r="AK162" i="13" s="1"/>
  <c r="BX10" i="9"/>
  <c r="BK403" i="5"/>
  <c r="BL403" i="5" s="1"/>
  <c r="BM403" i="5" s="1"/>
  <c r="ER37" i="12"/>
  <c r="ES37" i="12" s="1"/>
  <c r="X10" i="15"/>
  <c r="Y10" i="15" s="1"/>
  <c r="Z10" i="15" s="1"/>
  <c r="AN43" i="2"/>
  <c r="AS389" i="5"/>
  <c r="M409" i="5"/>
  <c r="K428" i="5" s="1"/>
  <c r="L428" i="5" s="1"/>
  <c r="M428" i="5" s="1"/>
  <c r="N428" i="5" s="1"/>
  <c r="C427" i="5"/>
  <c r="D427" i="5" s="1"/>
  <c r="E427" i="5" s="1"/>
  <c r="F427" i="5" s="1"/>
  <c r="G427" i="5" s="1"/>
  <c r="IF11" i="13"/>
  <c r="IG11" i="13" s="1"/>
  <c r="IH11" i="13" s="1"/>
  <c r="II11" i="13" s="1"/>
  <c r="IE14" i="13"/>
  <c r="IE16" i="13" s="1"/>
  <c r="IE18" i="13" s="1"/>
  <c r="IF18" i="13" s="1"/>
  <c r="IG18" i="13" s="1"/>
  <c r="IH18" i="13" s="1"/>
  <c r="II18" i="13" s="1"/>
  <c r="AL431" i="5"/>
  <c r="AM431" i="5" s="1"/>
  <c r="P155" i="13"/>
  <c r="Q155" i="13" s="1"/>
  <c r="R155" i="13" s="1"/>
  <c r="S155" i="13" s="1"/>
  <c r="BZ15" i="15"/>
  <c r="CA15" i="15" s="1"/>
  <c r="CB15" i="15" s="1"/>
  <c r="BZ16" i="15"/>
  <c r="BZ17" i="15" s="1"/>
  <c r="CA14" i="15"/>
  <c r="CB14" i="15" s="1"/>
  <c r="CC14" i="15" s="1"/>
  <c r="CD14" i="15" s="1"/>
  <c r="CS7" i="9"/>
  <c r="CU6" i="9" s="1"/>
  <c r="AS349" i="5"/>
  <c r="AT349" i="5" s="1"/>
  <c r="AU349" i="5" s="1"/>
  <c r="P154" i="13"/>
  <c r="Q154" i="13" s="1"/>
  <c r="R154" i="13" s="1"/>
  <c r="S154" i="13" s="1"/>
  <c r="X11" i="15"/>
  <c r="Y11" i="15" s="1"/>
  <c r="AI34" i="19"/>
  <c r="AJ34" i="19" s="1"/>
  <c r="AK34" i="19" s="1"/>
  <c r="AL34" i="19" s="1"/>
  <c r="CU15" i="14"/>
  <c r="CV15" i="14" s="1"/>
  <c r="P169" i="13"/>
  <c r="Q169" i="13" s="1"/>
  <c r="CA389" i="5"/>
  <c r="DO41" i="12"/>
  <c r="DP41" i="12" s="1"/>
  <c r="BL83" i="15"/>
  <c r="BM83" i="15" s="1"/>
  <c r="BN83" i="15" s="1"/>
  <c r="BO83" i="15" s="1"/>
  <c r="BP83" i="15" s="1"/>
  <c r="BM81" i="15"/>
  <c r="BN81" i="15" s="1"/>
  <c r="BO81" i="15" s="1"/>
  <c r="BP81" i="15" s="1"/>
  <c r="BL82" i="15"/>
  <c r="BM82" i="15" s="1"/>
  <c r="BN82" i="15" s="1"/>
  <c r="BO82" i="15" s="1"/>
  <c r="BP82" i="15" s="1"/>
  <c r="O30" i="15"/>
  <c r="P30" i="15" s="1"/>
  <c r="Q30" i="15" s="1"/>
  <c r="R30" i="15" s="1"/>
  <c r="D40" i="22"/>
  <c r="E40" i="22" s="1"/>
  <c r="AP20" i="15"/>
  <c r="AQ18" i="15"/>
  <c r="AR18" i="15" s="1"/>
  <c r="AS18" i="15"/>
  <c r="AT18" i="15" s="1"/>
  <c r="D424" i="5"/>
  <c r="E424" i="5" s="1"/>
  <c r="D454" i="5"/>
  <c r="E454" i="5" s="1"/>
  <c r="F454" i="5" s="1"/>
  <c r="G454" i="5" s="1"/>
  <c r="DC37" i="9"/>
  <c r="BD42" i="14"/>
  <c r="BD54" i="14" s="1"/>
  <c r="CQ11" i="2"/>
  <c r="CR11" i="2" s="1"/>
  <c r="CS11" i="2" s="1"/>
  <c r="CT11" i="2" s="1"/>
  <c r="BG9" i="9"/>
  <c r="O152" i="13"/>
  <c r="P152" i="13" s="1"/>
  <c r="Q152" i="13" s="1"/>
  <c r="R152" i="13" s="1"/>
  <c r="S152" i="13" s="1"/>
  <c r="P151" i="13"/>
  <c r="Q151" i="13" s="1"/>
  <c r="GV30" i="13"/>
  <c r="GW30" i="13" s="1"/>
  <c r="GX30" i="13" s="1"/>
  <c r="GY30" i="13" s="1"/>
  <c r="O15" i="15"/>
  <c r="P15" i="15" s="1"/>
  <c r="Q15" i="15" s="1"/>
  <c r="R15" i="15" s="1"/>
  <c r="CB457" i="5"/>
  <c r="CC457" i="5" s="1"/>
  <c r="CD457" i="5" s="1"/>
  <c r="AZ6" i="9"/>
  <c r="BB10" i="9" s="1"/>
  <c r="DX12" i="15"/>
  <c r="DX14" i="15" s="1"/>
  <c r="DY8" i="15"/>
  <c r="DZ8" i="15" s="1"/>
  <c r="EA8" i="15" s="1"/>
  <c r="EB8" i="15" s="1"/>
  <c r="D365" i="5"/>
  <c r="E365" i="5" s="1"/>
  <c r="F365" i="5" s="1"/>
  <c r="AH171" i="13"/>
  <c r="AI171" i="13" s="1"/>
  <c r="AG173" i="13"/>
  <c r="AH173" i="13" s="1"/>
  <c r="AO43" i="2"/>
  <c r="AO55" i="2" s="1"/>
  <c r="N143" i="13"/>
  <c r="O143" i="13" s="1"/>
  <c r="K449" i="5"/>
  <c r="AK389" i="5"/>
  <c r="AL389" i="5" s="1"/>
  <c r="AL388" i="5"/>
  <c r="AM388" i="5" s="1"/>
  <c r="IF10" i="13"/>
  <c r="IG10" i="13" s="1"/>
  <c r="IH10" i="13" s="1"/>
  <c r="II10" i="13" s="1"/>
  <c r="BC448" i="5"/>
  <c r="BD448" i="5" s="1"/>
  <c r="BE448" i="5" s="1"/>
  <c r="BB449" i="5"/>
  <c r="BB450" i="5" s="1"/>
  <c r="BC450" i="5" s="1"/>
  <c r="BD450" i="5" s="1"/>
  <c r="BE450" i="5" s="1"/>
  <c r="BF450" i="5" s="1"/>
  <c r="N140" i="13"/>
  <c r="O140" i="13" s="1"/>
  <c r="BS427" i="5"/>
  <c r="BT427" i="5" s="1"/>
  <c r="BU427" i="5" s="1"/>
  <c r="CC409" i="5"/>
  <c r="CA429" i="5" s="1"/>
  <c r="CB429" i="5" s="1"/>
  <c r="CC429" i="5" s="1"/>
  <c r="CD429" i="5" s="1"/>
  <c r="CE429" i="5" s="1"/>
  <c r="AB419" i="5"/>
  <c r="BF28" i="15"/>
  <c r="BG28" i="15" s="1"/>
  <c r="BH28" i="15" s="1"/>
  <c r="BI28" i="15" s="1"/>
  <c r="BE30" i="15"/>
  <c r="BE29" i="15"/>
  <c r="BF29" i="15" s="1"/>
  <c r="BG29" i="15" s="1"/>
  <c r="BH29" i="15" s="1"/>
  <c r="BI29" i="15" s="1"/>
  <c r="BC388" i="5"/>
  <c r="BD388" i="5" s="1"/>
  <c r="BE388" i="5" s="1"/>
  <c r="BB389" i="5"/>
  <c r="BB390" i="5" s="1"/>
  <c r="DG11" i="9"/>
  <c r="DN11" i="9" s="1"/>
  <c r="DO11" i="9" s="1"/>
  <c r="DG12" i="9"/>
  <c r="DN12" i="9" s="1"/>
  <c r="CA449" i="5"/>
  <c r="AM43" i="2"/>
  <c r="BL42" i="14"/>
  <c r="BL54" i="14" s="1"/>
  <c r="Y6" i="13"/>
  <c r="Z6" i="13" s="1"/>
  <c r="AA6" i="13" s="1"/>
  <c r="AB6" i="13" s="1"/>
  <c r="AH151" i="13"/>
  <c r="AI151" i="13" s="1"/>
  <c r="AJ151" i="13" s="1"/>
  <c r="AG149" i="13"/>
  <c r="AH149" i="13" s="1"/>
  <c r="AI149" i="13" s="1"/>
  <c r="AH163" i="13"/>
  <c r="AI163" i="13" s="1"/>
  <c r="AG169" i="13"/>
  <c r="AG180" i="13" s="1"/>
  <c r="AH180" i="13" s="1"/>
  <c r="AI180" i="13" s="1"/>
  <c r="AJ180" i="13" s="1"/>
  <c r="AK180" i="13" s="1"/>
  <c r="AS348" i="5"/>
  <c r="AT348" i="5" s="1"/>
  <c r="AU348" i="5" s="1"/>
  <c r="AV348" i="5" s="1"/>
  <c r="EV18" i="13"/>
  <c r="EW18" i="13" s="1"/>
  <c r="EX18" i="13" s="1"/>
  <c r="EY18" i="13" s="1"/>
  <c r="EZ18" i="13" s="1"/>
  <c r="EW17" i="13"/>
  <c r="EX17" i="13" s="1"/>
  <c r="AT457" i="5"/>
  <c r="AU457" i="5" s="1"/>
  <c r="EF10" i="15"/>
  <c r="EG10" i="15" s="1"/>
  <c r="ER36" i="12"/>
  <c r="ES36" i="12" s="1"/>
  <c r="U388" i="5"/>
  <c r="V388" i="5" s="1"/>
  <c r="W388" i="5" s="1"/>
  <c r="T389" i="5"/>
  <c r="T390" i="5" s="1"/>
  <c r="U390" i="5" s="1"/>
  <c r="V390" i="5" s="1"/>
  <c r="W390" i="5" s="1"/>
  <c r="X390" i="5" s="1"/>
  <c r="Q188" i="13"/>
  <c r="R188" i="13" s="1"/>
  <c r="AH164" i="13"/>
  <c r="AI164" i="13" s="1"/>
  <c r="AJ164" i="13" s="1"/>
  <c r="AG165" i="13"/>
  <c r="AH165" i="13" s="1"/>
  <c r="AI165" i="13" s="1"/>
  <c r="BK464" i="5"/>
  <c r="BL464" i="5" s="1"/>
  <c r="CB433" i="5"/>
  <c r="CC433" i="5" s="1"/>
  <c r="AT397" i="5"/>
  <c r="AU397" i="5" s="1"/>
  <c r="AC457" i="5"/>
  <c r="AD457" i="5" s="1"/>
  <c r="AE457" i="5" s="1"/>
  <c r="AQ16" i="15"/>
  <c r="AR16" i="15" s="1"/>
  <c r="AS16" i="15" s="1"/>
  <c r="O11" i="15"/>
  <c r="P11" i="15" s="1"/>
  <c r="N25" i="15"/>
  <c r="T449" i="5"/>
  <c r="U449" i="5" s="1"/>
  <c r="V449" i="5" s="1"/>
  <c r="W449" i="5" s="1"/>
  <c r="U448" i="5"/>
  <c r="V448" i="5" s="1"/>
  <c r="W448" i="5" s="1"/>
  <c r="M439" i="5"/>
  <c r="K459" i="5" s="1"/>
  <c r="L459" i="5" s="1"/>
  <c r="M459" i="5" s="1"/>
  <c r="N459" i="5" s="1"/>
  <c r="C457" i="5"/>
  <c r="D457" i="5" s="1"/>
  <c r="E457" i="5" s="1"/>
  <c r="BK457" i="5"/>
  <c r="BL457" i="5" s="1"/>
  <c r="BM457" i="5" s="1"/>
  <c r="BN457" i="5" s="1"/>
  <c r="BK455" i="5"/>
  <c r="BL455" i="5" s="1"/>
  <c r="AF42" i="13"/>
  <c r="AF43" i="13" s="1"/>
  <c r="AF45" i="13" s="1"/>
  <c r="DR8" i="15"/>
  <c r="DS8" i="15" s="1"/>
  <c r="DQ12" i="15"/>
  <c r="Y23" i="16"/>
  <c r="Z23" i="16" s="1"/>
  <c r="BC424" i="5"/>
  <c r="BD424" i="5" s="1"/>
  <c r="BE424" i="5" s="1"/>
  <c r="BF424" i="5" s="1"/>
  <c r="AB449" i="5"/>
  <c r="T419" i="5"/>
  <c r="T420" i="5" s="1"/>
  <c r="U418" i="5"/>
  <c r="V418" i="5" s="1"/>
  <c r="W418" i="5" s="1"/>
  <c r="AJ10" i="15"/>
  <c r="AK10" i="15" s="1"/>
  <c r="AL10" i="15" s="1"/>
  <c r="AM10" i="15" s="1"/>
  <c r="F44" i="14"/>
  <c r="F46" i="14" s="1"/>
  <c r="F48" i="14" s="1"/>
  <c r="P150" i="13"/>
  <c r="Q150" i="13" s="1"/>
  <c r="R150" i="13" s="1"/>
  <c r="AX15" i="15"/>
  <c r="AY15" i="15" s="1"/>
  <c r="AZ15" i="15" s="1"/>
  <c r="AX16" i="15"/>
  <c r="AY14" i="15"/>
  <c r="AZ14" i="15" s="1"/>
  <c r="BA14" i="15" s="1"/>
  <c r="BB14" i="15" s="1"/>
  <c r="DU32" i="16"/>
  <c r="DV32" i="16" s="1"/>
  <c r="DW32" i="16" s="1"/>
  <c r="DX32" i="16" s="1"/>
  <c r="L371" i="5"/>
  <c r="M371" i="5" s="1"/>
  <c r="BG42" i="14"/>
  <c r="AI11" i="19"/>
  <c r="AJ11" i="19" s="1"/>
  <c r="D363" i="5"/>
  <c r="E363" i="5" s="1"/>
  <c r="AH166" i="13"/>
  <c r="AI166" i="13" s="1"/>
  <c r="AJ166" i="13" s="1"/>
  <c r="AK166" i="13" s="1"/>
  <c r="CS14" i="9"/>
  <c r="CT14" i="9" s="1"/>
  <c r="CU11" i="9" s="1"/>
  <c r="CG12" i="9" s="1"/>
  <c r="CS19" i="9"/>
  <c r="AG101" i="13"/>
  <c r="AH101" i="13" s="1"/>
  <c r="AI101" i="13" s="1"/>
  <c r="AJ101" i="13" s="1"/>
  <c r="BC460" i="5"/>
  <c r="BD460" i="5" s="1"/>
  <c r="BE460" i="5" s="1"/>
  <c r="BF460" i="5" s="1"/>
  <c r="O21" i="15"/>
  <c r="P21" i="15" s="1"/>
  <c r="Q21" i="15" s="1"/>
  <c r="AT404" i="5"/>
  <c r="AU404" i="5" s="1"/>
  <c r="AV404" i="5" s="1"/>
  <c r="N35" i="15"/>
  <c r="O34" i="15"/>
  <c r="P34" i="15" s="1"/>
  <c r="Q34" i="15" s="1"/>
  <c r="R34" i="15" s="1"/>
  <c r="AI42" i="19"/>
  <c r="AJ42" i="19" s="1"/>
  <c r="AK42" i="19" s="1"/>
  <c r="AL42" i="19" s="1"/>
  <c r="AL43" i="2"/>
  <c r="AX23" i="15"/>
  <c r="AT425" i="5"/>
  <c r="AU425" i="5" s="1"/>
  <c r="GV27" i="13"/>
  <c r="GW27" i="13" s="1"/>
  <c r="GX27" i="13" s="1"/>
  <c r="GY27" i="13" s="1"/>
  <c r="K28" i="16"/>
  <c r="L28" i="16" s="1"/>
  <c r="M28" i="16" s="1"/>
  <c r="N28" i="16" s="1"/>
  <c r="FD13" i="13"/>
  <c r="FD12" i="13"/>
  <c r="CB463" i="5"/>
  <c r="CC463" i="5" s="1"/>
  <c r="CD463" i="5" s="1"/>
  <c r="CE463" i="5" s="1"/>
  <c r="BK463" i="5"/>
  <c r="BL463" i="5" s="1"/>
  <c r="BM463" i="5" s="1"/>
  <c r="BT460" i="5"/>
  <c r="BU460" i="5" s="1"/>
  <c r="BP17" i="9"/>
  <c r="BP20" i="9" s="1"/>
  <c r="BP18" i="9"/>
  <c r="BP19" i="9" s="1"/>
  <c r="BM56" i="15"/>
  <c r="BN56" i="15" s="1"/>
  <c r="BO56" i="15" s="1"/>
  <c r="BP56" i="15" s="1"/>
  <c r="BL58" i="15"/>
  <c r="BM58" i="15" s="1"/>
  <c r="BN58" i="15" s="1"/>
  <c r="BO58" i="15" s="1"/>
  <c r="BP58" i="15" s="1"/>
  <c r="BL57" i="15"/>
  <c r="BK404" i="5"/>
  <c r="BL404" i="5" s="1"/>
  <c r="AI36" i="19"/>
  <c r="AJ36" i="19" s="1"/>
  <c r="AK36" i="19" s="1"/>
  <c r="AL36" i="19" s="1"/>
  <c r="BH42" i="14"/>
  <c r="U431" i="5"/>
  <c r="V431" i="5" s="1"/>
  <c r="W431" i="5" s="1"/>
  <c r="AH152" i="13"/>
  <c r="AI152" i="13" s="1"/>
  <c r="AJ152" i="13" s="1"/>
  <c r="AK152" i="13" s="1"/>
  <c r="AG179" i="13"/>
  <c r="AH179" i="13" s="1"/>
  <c r="AI179" i="13" s="1"/>
  <c r="AJ179" i="13" s="1"/>
  <c r="D366" i="5"/>
  <c r="E366" i="5" s="1"/>
  <c r="CG28" i="15"/>
  <c r="CG29" i="15" s="1"/>
  <c r="CH29" i="15" s="1"/>
  <c r="CI29" i="15" s="1"/>
  <c r="CJ29" i="15" s="1"/>
  <c r="CK29" i="15" s="1"/>
  <c r="CH26" i="15"/>
  <c r="CI26" i="15" s="1"/>
  <c r="CJ26" i="15" s="1"/>
  <c r="CG27" i="15"/>
  <c r="CH27" i="15" s="1"/>
  <c r="CI27" i="15" s="1"/>
  <c r="CJ27" i="15" s="1"/>
  <c r="CK27" i="15" s="1"/>
  <c r="CG30" i="15"/>
  <c r="DU30" i="16"/>
  <c r="DV30" i="16" s="1"/>
  <c r="DW30" i="16" s="1"/>
  <c r="DX30" i="16" s="1"/>
  <c r="BT401" i="5"/>
  <c r="BU401" i="5" s="1"/>
  <c r="BV401" i="5" s="1"/>
  <c r="BW401" i="5" s="1"/>
  <c r="HE19" i="13"/>
  <c r="AH174" i="13"/>
  <c r="AI174" i="13" s="1"/>
  <c r="AJ174" i="13" s="1"/>
  <c r="AK174" i="13" s="1"/>
  <c r="CB425" i="5"/>
  <c r="CC425" i="5" s="1"/>
  <c r="T428" i="5"/>
  <c r="U428" i="5" s="1"/>
  <c r="AE409" i="5"/>
  <c r="AB431" i="5" s="1"/>
  <c r="AC431" i="5" s="1"/>
  <c r="AD431" i="5" s="1"/>
  <c r="AE431" i="5" s="1"/>
  <c r="AU43" i="2"/>
  <c r="L463" i="5"/>
  <c r="M463" i="5" s="1"/>
  <c r="N463" i="5" s="1"/>
  <c r="O463" i="5" s="1"/>
  <c r="U461" i="5"/>
  <c r="V461" i="5" s="1"/>
  <c r="BZ10" i="15"/>
  <c r="BZ12" i="15" s="1"/>
  <c r="CA12" i="15" s="1"/>
  <c r="CB12" i="15" s="1"/>
  <c r="CC12" i="15" s="1"/>
  <c r="CD12" i="15" s="1"/>
  <c r="CA8" i="15"/>
  <c r="CB8" i="15" s="1"/>
  <c r="CC8" i="15" s="1"/>
  <c r="CD8" i="15" s="1"/>
  <c r="BC400" i="5"/>
  <c r="BD400" i="5" s="1"/>
  <c r="DN19" i="9"/>
  <c r="DP18" i="9" s="1"/>
  <c r="CD409" i="5"/>
  <c r="CA431" i="5" s="1"/>
  <c r="CB431" i="5" s="1"/>
  <c r="CC431" i="5" s="1"/>
  <c r="BS428" i="5"/>
  <c r="BT428" i="5" s="1"/>
  <c r="BU428" i="5" s="1"/>
  <c r="BV428" i="5" s="1"/>
  <c r="BW428" i="5" s="1"/>
  <c r="BV430" i="5"/>
  <c r="BW430" i="5" s="1"/>
  <c r="N434" i="5"/>
  <c r="O434" i="5" s="1"/>
  <c r="HZ22" i="13"/>
  <c r="BA13" i="14"/>
  <c r="BA41" i="14" s="1"/>
  <c r="FQ7" i="2"/>
  <c r="FQ8" i="2" s="1"/>
  <c r="FT7" i="2"/>
  <c r="FT8" i="2" s="1"/>
  <c r="BL18" i="2"/>
  <c r="AO14" i="2"/>
  <c r="AO42" i="2" s="1"/>
  <c r="AT38" i="2"/>
  <c r="CR18" i="14"/>
  <c r="AN26" i="2"/>
  <c r="EQ7" i="2"/>
  <c r="EQ8" i="2" s="1"/>
  <c r="EP7" i="2"/>
  <c r="EP8" i="2" s="1"/>
  <c r="FC7" i="2"/>
  <c r="FC8" i="2" s="1"/>
  <c r="FD8" i="2" s="1"/>
  <c r="FE8" i="2" s="1"/>
  <c r="FF8" i="2" s="1"/>
  <c r="FG8" i="2" s="1"/>
  <c r="FH8" i="2" s="1"/>
  <c r="FI8" i="2" s="1"/>
  <c r="FJ8" i="2" s="1"/>
  <c r="FK8" i="2" s="1"/>
  <c r="FL8" i="2" s="1"/>
  <c r="FM8" i="2" s="1"/>
  <c r="BL13" i="14"/>
  <c r="BL41" i="14" s="1"/>
  <c r="AT26" i="2"/>
  <c r="CK13" i="16"/>
  <c r="CL13" i="16" s="1"/>
  <c r="CM13" i="16" s="1"/>
  <c r="CN13" i="16" s="1"/>
  <c r="FO7" i="2"/>
  <c r="FO8" i="2" s="1"/>
  <c r="FN7" i="2"/>
  <c r="FN8" i="2" s="1"/>
  <c r="EN7" i="2"/>
  <c r="EN8" i="2" s="1"/>
  <c r="EO7" i="2"/>
  <c r="EO8" i="2" s="1"/>
  <c r="CI29" i="14"/>
  <c r="CI23" i="14"/>
  <c r="CI25" i="14" s="1"/>
  <c r="CI30" i="14" s="1"/>
  <c r="BL84" i="15"/>
  <c r="BM84" i="15" s="1"/>
  <c r="BN84" i="15" s="1"/>
  <c r="BO84" i="15" s="1"/>
  <c r="BP84" i="15" s="1"/>
  <c r="AT55" i="2"/>
  <c r="DK12" i="2"/>
  <c r="DJ11" i="2"/>
  <c r="DK11" i="2" s="1"/>
  <c r="DL11" i="2" s="1"/>
  <c r="DM11" i="2" s="1"/>
  <c r="DN11" i="2" s="1"/>
  <c r="DO11" i="2" s="1"/>
  <c r="DP11" i="2" s="1"/>
  <c r="DQ11" i="2" s="1"/>
  <c r="DR11" i="2" s="1"/>
  <c r="DS11" i="2" s="1"/>
  <c r="DT11" i="2" s="1"/>
  <c r="DU11" i="2" s="1"/>
  <c r="DV11" i="2" s="1"/>
  <c r="DW11" i="2" s="1"/>
  <c r="DX11" i="2" s="1"/>
  <c r="DY11" i="2" s="1"/>
  <c r="DZ11" i="2" s="1"/>
  <c r="EA11" i="2" s="1"/>
  <c r="EB11" i="2" s="1"/>
  <c r="EC11" i="2" s="1"/>
  <c r="ED11" i="2" s="1"/>
  <c r="EE11" i="2" s="1"/>
  <c r="EF11" i="2" s="1"/>
  <c r="EG11" i="2" s="1"/>
  <c r="EH11" i="2" s="1"/>
  <c r="EI11" i="2" s="1"/>
  <c r="EJ11" i="2" s="1"/>
  <c r="EK11" i="2" s="1"/>
  <c r="EL11" i="2" s="1"/>
  <c r="EM11" i="2" s="1"/>
  <c r="EN11" i="2" s="1"/>
  <c r="EO11" i="2" s="1"/>
  <c r="EP11" i="2" s="1"/>
  <c r="EQ11" i="2" s="1"/>
  <c r="ER11" i="2" s="1"/>
  <c r="ES11" i="2" s="1"/>
  <c r="ET11" i="2" s="1"/>
  <c r="EU11" i="2" s="1"/>
  <c r="EV11" i="2" s="1"/>
  <c r="EW11" i="2" s="1"/>
  <c r="EX11" i="2" s="1"/>
  <c r="EY11" i="2" s="1"/>
  <c r="EZ11" i="2" s="1"/>
  <c r="FA11" i="2" s="1"/>
  <c r="FB11" i="2" s="1"/>
  <c r="FC11" i="2" s="1"/>
  <c r="FD11" i="2" s="1"/>
  <c r="FE11" i="2" s="1"/>
  <c r="FF11" i="2" s="1"/>
  <c r="FG11" i="2" s="1"/>
  <c r="FH11" i="2" s="1"/>
  <c r="FI11" i="2" s="1"/>
  <c r="FJ11" i="2" s="1"/>
  <c r="FK11" i="2" s="1"/>
  <c r="FL11" i="2" s="1"/>
  <c r="FM11" i="2" s="1"/>
  <c r="FN11" i="2" s="1"/>
  <c r="FO11" i="2" s="1"/>
  <c r="FP11" i="2" s="1"/>
  <c r="FQ11" i="2" s="1"/>
  <c r="FR11" i="2" s="1"/>
  <c r="FS11" i="2" s="1"/>
  <c r="FT11" i="2" s="1"/>
  <c r="FU11" i="2" s="1"/>
  <c r="FV11" i="2" s="1"/>
  <c r="FW11" i="2" s="1"/>
  <c r="FX11" i="2" s="1"/>
  <c r="FY11" i="2" s="1"/>
  <c r="FZ11" i="2" s="1"/>
  <c r="GA11" i="2" s="1"/>
  <c r="GB11" i="2" s="1"/>
  <c r="GC11" i="2" s="1"/>
  <c r="GD11" i="2" s="1"/>
  <c r="GE11" i="2" s="1"/>
  <c r="GF11" i="2" s="1"/>
  <c r="GG11" i="2" s="1"/>
  <c r="GH11" i="2" s="1"/>
  <c r="GI11" i="2" s="1"/>
  <c r="GJ11" i="2" s="1"/>
  <c r="GK11" i="2" s="1"/>
  <c r="GL11" i="2" s="1"/>
  <c r="GM11" i="2" s="1"/>
  <c r="GN11" i="2" s="1"/>
  <c r="GO11" i="2" s="1"/>
  <c r="GP11" i="2" s="1"/>
  <c r="GQ11" i="2" s="1"/>
  <c r="GR11" i="2" s="1"/>
  <c r="GS11" i="2" s="1"/>
  <c r="GT11" i="2" s="1"/>
  <c r="GU11" i="2" s="1"/>
  <c r="GV11" i="2" s="1"/>
  <c r="GW11" i="2" s="1"/>
  <c r="GX11" i="2" s="1"/>
  <c r="GY11" i="2" s="1"/>
  <c r="GZ11" i="2" s="1"/>
  <c r="HA11" i="2" s="1"/>
  <c r="HB11" i="2" s="1"/>
  <c r="HC11" i="2" s="1"/>
  <c r="HD11" i="2" s="1"/>
  <c r="HE11" i="2" s="1"/>
  <c r="HF11" i="2" s="1"/>
  <c r="HG11" i="2" s="1"/>
  <c r="HH11" i="2" s="1"/>
  <c r="HI11" i="2" s="1"/>
  <c r="HJ11" i="2" s="1"/>
  <c r="HK11" i="2" s="1"/>
  <c r="HL11" i="2" s="1"/>
  <c r="HM11" i="2" s="1"/>
  <c r="HN11" i="2" s="1"/>
  <c r="HO11" i="2" s="1"/>
  <c r="HP11" i="2" s="1"/>
  <c r="HQ11" i="2" s="1"/>
  <c r="HR11" i="2" s="1"/>
  <c r="HS11" i="2" s="1"/>
  <c r="HT11" i="2" s="1"/>
  <c r="HU11" i="2" s="1"/>
  <c r="HV11" i="2" s="1"/>
  <c r="HW11" i="2" s="1"/>
  <c r="HX11" i="2" s="1"/>
  <c r="HY11" i="2" s="1"/>
  <c r="HZ11" i="2" s="1"/>
  <c r="IA11" i="2" s="1"/>
  <c r="IB11" i="2" s="1"/>
  <c r="IC11" i="2" s="1"/>
  <c r="ID11" i="2" s="1"/>
  <c r="IE11" i="2" s="1"/>
  <c r="IF11" i="2" s="1"/>
  <c r="IG11" i="2" s="1"/>
  <c r="IH11" i="2" s="1"/>
  <c r="II11" i="2" s="1"/>
  <c r="IJ11" i="2" s="1"/>
  <c r="IK11" i="2" s="1"/>
  <c r="IL11" i="2" s="1"/>
  <c r="IM11" i="2" s="1"/>
  <c r="IN11" i="2" s="1"/>
  <c r="IO11" i="2" s="1"/>
  <c r="IP11" i="2" s="1"/>
  <c r="IQ11" i="2" s="1"/>
  <c r="IR11" i="2" s="1"/>
  <c r="IS11" i="2" s="1"/>
  <c r="IT11" i="2" s="1"/>
  <c r="IU11" i="2" s="1"/>
  <c r="IV11" i="2" s="1"/>
  <c r="IW11" i="2" s="1"/>
  <c r="IX11" i="2" s="1"/>
  <c r="IY11" i="2" s="1"/>
  <c r="IZ11" i="2" s="1"/>
  <c r="JA11" i="2" s="1"/>
  <c r="JB11" i="2" s="1"/>
  <c r="JC11" i="2" s="1"/>
  <c r="JD11" i="2" s="1"/>
  <c r="JE11" i="2" s="1"/>
  <c r="JF11" i="2" s="1"/>
  <c r="JG11" i="2" s="1"/>
  <c r="JH11" i="2" s="1"/>
  <c r="JI11" i="2" s="1"/>
  <c r="JJ11" i="2" s="1"/>
  <c r="JK11" i="2" s="1"/>
  <c r="JL11" i="2" s="1"/>
  <c r="JM11" i="2" s="1"/>
  <c r="JN11" i="2" s="1"/>
  <c r="JO11" i="2" s="1"/>
  <c r="JP11" i="2" s="1"/>
  <c r="JQ11" i="2" s="1"/>
  <c r="JR11" i="2" s="1"/>
  <c r="JS11" i="2" s="1"/>
  <c r="JT11" i="2" s="1"/>
  <c r="JU11" i="2" s="1"/>
  <c r="JV11" i="2" s="1"/>
  <c r="JW11" i="2" s="1"/>
  <c r="JX11" i="2" s="1"/>
  <c r="JY11" i="2" s="1"/>
  <c r="JZ11" i="2" s="1"/>
  <c r="KA11" i="2" s="1"/>
  <c r="KB11" i="2" s="1"/>
  <c r="KC11" i="2" s="1"/>
  <c r="KD11" i="2" s="1"/>
  <c r="KE11" i="2" s="1"/>
  <c r="KF11" i="2" s="1"/>
  <c r="KG11" i="2" s="1"/>
  <c r="KH11" i="2" s="1"/>
  <c r="KI11" i="2" s="1"/>
  <c r="KJ11" i="2" s="1"/>
  <c r="KK11" i="2" s="1"/>
  <c r="KL11" i="2" s="1"/>
  <c r="KM11" i="2" s="1"/>
  <c r="KN11" i="2" s="1"/>
  <c r="KO11" i="2" s="1"/>
  <c r="KP11" i="2" s="1"/>
  <c r="KQ11" i="2" s="1"/>
  <c r="KR11" i="2" s="1"/>
  <c r="KS11" i="2" s="1"/>
  <c r="KT11" i="2" s="1"/>
  <c r="KU11" i="2" s="1"/>
  <c r="KV11" i="2" s="1"/>
  <c r="KW11" i="2" s="1"/>
  <c r="KX11" i="2" s="1"/>
  <c r="KY11" i="2" s="1"/>
  <c r="KZ11" i="2" s="1"/>
  <c r="LA11" i="2" s="1"/>
  <c r="LB11" i="2" s="1"/>
  <c r="LC11" i="2" s="1"/>
  <c r="LD11" i="2" s="1"/>
  <c r="LE11" i="2" s="1"/>
  <c r="LF11" i="2" s="1"/>
  <c r="LG11" i="2" s="1"/>
  <c r="LH11" i="2" s="1"/>
  <c r="LI11" i="2" s="1"/>
  <c r="LJ11" i="2" s="1"/>
  <c r="LK11" i="2" s="1"/>
  <c r="LL11" i="2" s="1"/>
  <c r="LM11" i="2" s="1"/>
  <c r="LN11" i="2" s="1"/>
  <c r="LO11" i="2" s="1"/>
  <c r="LP11" i="2" s="1"/>
  <c r="LQ11" i="2" s="1"/>
  <c r="LR11" i="2" s="1"/>
  <c r="LS11" i="2" s="1"/>
  <c r="LT11" i="2" s="1"/>
  <c r="LU11" i="2" s="1"/>
  <c r="LV11" i="2" s="1"/>
  <c r="LW11" i="2" s="1"/>
  <c r="LX11" i="2" s="1"/>
  <c r="LY11" i="2" s="1"/>
  <c r="LZ11" i="2" s="1"/>
  <c r="MA11" i="2" s="1"/>
  <c r="MB11" i="2" s="1"/>
  <c r="MC11" i="2" s="1"/>
  <c r="MD11" i="2" s="1"/>
  <c r="ME11" i="2" s="1"/>
  <c r="MF11" i="2" s="1"/>
  <c r="MG11" i="2" s="1"/>
  <c r="MH11" i="2" s="1"/>
  <c r="MI11" i="2" s="1"/>
  <c r="MJ11" i="2" s="1"/>
  <c r="MK11" i="2" s="1"/>
  <c r="ML11" i="2" s="1"/>
  <c r="MM11" i="2" s="1"/>
  <c r="MN11" i="2" s="1"/>
  <c r="MO11" i="2" s="1"/>
  <c r="MP11" i="2" s="1"/>
  <c r="MQ11" i="2" s="1"/>
  <c r="MR11" i="2" s="1"/>
  <c r="MS11" i="2" s="1"/>
  <c r="MT11" i="2" s="1"/>
  <c r="MU11" i="2" s="1"/>
  <c r="MV11" i="2" s="1"/>
  <c r="MW11" i="2" s="1"/>
  <c r="MX11" i="2" s="1"/>
  <c r="MY11" i="2" s="1"/>
  <c r="MZ11" i="2" s="1"/>
  <c r="NA11" i="2" s="1"/>
  <c r="NB11" i="2" s="1"/>
  <c r="NC11" i="2" s="1"/>
  <c r="ND11" i="2" s="1"/>
  <c r="NE11" i="2" s="1"/>
  <c r="NF11" i="2" s="1"/>
  <c r="NG11" i="2" s="1"/>
  <c r="NH11" i="2" s="1"/>
  <c r="NI11" i="2" s="1"/>
  <c r="NJ11" i="2" s="1"/>
  <c r="NK11" i="2" s="1"/>
  <c r="NL11" i="2" s="1"/>
  <c r="NM11" i="2" s="1"/>
  <c r="NN11" i="2" s="1"/>
  <c r="NO11" i="2" s="1"/>
  <c r="NP11" i="2" s="1"/>
  <c r="NQ11" i="2" s="1"/>
  <c r="NR11" i="2" s="1"/>
  <c r="NS11" i="2" s="1"/>
  <c r="NT11" i="2" s="1"/>
  <c r="NU11" i="2" s="1"/>
  <c r="NV11" i="2" s="1"/>
  <c r="NW11" i="2" s="1"/>
  <c r="NX11" i="2" s="1"/>
  <c r="NY11" i="2" s="1"/>
  <c r="NZ11" i="2" s="1"/>
  <c r="OA11" i="2" s="1"/>
  <c r="OB11" i="2" s="1"/>
  <c r="OC11" i="2" s="1"/>
  <c r="OD11" i="2" s="1"/>
  <c r="OE11" i="2" s="1"/>
  <c r="OF11" i="2" s="1"/>
  <c r="OG11" i="2" s="1"/>
  <c r="OH11" i="2" s="1"/>
  <c r="OI11" i="2" s="1"/>
  <c r="OJ11" i="2" s="1"/>
  <c r="OK11" i="2" s="1"/>
  <c r="OL11" i="2" s="1"/>
  <c r="OM11" i="2" s="1"/>
  <c r="ON11" i="2" s="1"/>
  <c r="OO11" i="2" s="1"/>
  <c r="OP11" i="2" s="1"/>
  <c r="OQ11" i="2" s="1"/>
  <c r="OR11" i="2" s="1"/>
  <c r="OS11" i="2" s="1"/>
  <c r="OT11" i="2" s="1"/>
  <c r="OU11" i="2" s="1"/>
  <c r="OV11" i="2" s="1"/>
  <c r="OW11" i="2" s="1"/>
  <c r="OX11" i="2" s="1"/>
  <c r="OY11" i="2" s="1"/>
  <c r="OZ11" i="2" s="1"/>
  <c r="PA11" i="2" s="1"/>
  <c r="PB11" i="2" s="1"/>
  <c r="PC11" i="2" s="1"/>
  <c r="PD11" i="2" s="1"/>
  <c r="PE11" i="2" s="1"/>
  <c r="PF11" i="2" s="1"/>
  <c r="PG11" i="2" s="1"/>
  <c r="PH11" i="2" s="1"/>
  <c r="PI11" i="2" s="1"/>
  <c r="PJ11" i="2" s="1"/>
  <c r="PK11" i="2" s="1"/>
  <c r="PL11" i="2" s="1"/>
  <c r="PM11" i="2" s="1"/>
  <c r="PN11" i="2" s="1"/>
  <c r="PO11" i="2" s="1"/>
  <c r="PP11" i="2" s="1"/>
  <c r="PQ11" i="2" s="1"/>
  <c r="PR11" i="2" s="1"/>
  <c r="PS11" i="2" s="1"/>
  <c r="PT11" i="2" s="1"/>
  <c r="PU11" i="2" s="1"/>
  <c r="PV11" i="2" s="1"/>
  <c r="PW11" i="2" s="1"/>
  <c r="PX11" i="2" s="1"/>
  <c r="PY11" i="2" s="1"/>
  <c r="PZ11" i="2" s="1"/>
  <c r="QA11" i="2" s="1"/>
  <c r="QB11" i="2" s="1"/>
  <c r="QC11" i="2" s="1"/>
  <c r="QD11" i="2" s="1"/>
  <c r="QE11" i="2" s="1"/>
  <c r="QF11" i="2" s="1"/>
  <c r="QG11" i="2" s="1"/>
  <c r="QH11" i="2" s="1"/>
  <c r="QI11" i="2" s="1"/>
  <c r="QJ11" i="2" s="1"/>
  <c r="QK11" i="2" s="1"/>
  <c r="QL11" i="2" s="1"/>
  <c r="QM11" i="2" s="1"/>
  <c r="QN11" i="2" s="1"/>
  <c r="QO11" i="2" s="1"/>
  <c r="QP11" i="2" s="1"/>
  <c r="QQ11" i="2" s="1"/>
  <c r="QR11" i="2" s="1"/>
  <c r="QS11" i="2" s="1"/>
  <c r="QT11" i="2" s="1"/>
  <c r="QU11" i="2" s="1"/>
  <c r="QV11" i="2" s="1"/>
  <c r="QW11" i="2" s="1"/>
  <c r="QX11" i="2" s="1"/>
  <c r="QY11" i="2" s="1"/>
  <c r="QZ11" i="2" s="1"/>
  <c r="BS29" i="15"/>
  <c r="BT29" i="15" s="1"/>
  <c r="BU29" i="15" s="1"/>
  <c r="AK153" i="13"/>
  <c r="AA16" i="15"/>
  <c r="CK26" i="15"/>
  <c r="DD12" i="15"/>
  <c r="DE12" i="15" s="1"/>
  <c r="DF12" i="15" s="1"/>
  <c r="DG12" i="15" s="1"/>
  <c r="DC14" i="15"/>
  <c r="AS55" i="2"/>
  <c r="BJ18" i="2"/>
  <c r="BD18" i="2"/>
  <c r="BF18" i="2"/>
  <c r="BC18" i="2"/>
  <c r="BB18" i="2"/>
  <c r="BN18" i="2" s="1"/>
  <c r="BL14" i="15"/>
  <c r="AR55" i="2"/>
  <c r="CA28" i="15"/>
  <c r="CB28" i="15" s="1"/>
  <c r="CC28" i="15" s="1"/>
  <c r="CD28" i="15" s="1"/>
  <c r="BZ29" i="15"/>
  <c r="AQ13" i="15"/>
  <c r="AR13" i="15" s="1"/>
  <c r="AS13" i="15" s="1"/>
  <c r="AT13" i="15" s="1"/>
  <c r="AW54" i="2"/>
  <c r="CA10" i="15"/>
  <c r="CB10" i="15" s="1"/>
  <c r="CC10" i="15" s="1"/>
  <c r="CD10" i="15" s="1"/>
  <c r="CH28" i="15"/>
  <c r="CI28" i="15" s="1"/>
  <c r="CJ28" i="15" s="1"/>
  <c r="CK28" i="15" s="1"/>
  <c r="AR54" i="2"/>
  <c r="DU10" i="15"/>
  <c r="BV15" i="15"/>
  <c r="BW15" i="15" s="1"/>
  <c r="Z11" i="15"/>
  <c r="AA11" i="15" s="1"/>
  <c r="DK11" i="15"/>
  <c r="DL11" i="15" s="1"/>
  <c r="DM11" i="15" s="1"/>
  <c r="DN11" i="15" s="1"/>
  <c r="DT8" i="15"/>
  <c r="DU8" i="15" s="1"/>
  <c r="AW55" i="2"/>
  <c r="BS9" i="14"/>
  <c r="X13" i="15"/>
  <c r="Y13" i="15" s="1"/>
  <c r="Z13" i="15" s="1"/>
  <c r="AA13" i="15" s="1"/>
  <c r="BF28" i="16"/>
  <c r="BA21" i="2"/>
  <c r="BS7" i="2"/>
  <c r="BJ54" i="14"/>
  <c r="F52" i="14"/>
  <c r="F53" i="14" s="1"/>
  <c r="F54" i="14" s="1"/>
  <c r="BG53" i="14"/>
  <c r="AL55" i="2"/>
  <c r="K105" i="19"/>
  <c r="V57" i="19"/>
  <c r="BG54" i="14"/>
  <c r="CH10" i="15"/>
  <c r="CI10" i="15" s="1"/>
  <c r="CJ10" i="15" s="1"/>
  <c r="CK10" i="15" s="1"/>
  <c r="CG12" i="15"/>
  <c r="F13" i="15"/>
  <c r="G13" i="15" s="1"/>
  <c r="H13" i="15" s="1"/>
  <c r="I13" i="15" s="1"/>
  <c r="CH16" i="15"/>
  <c r="CG17" i="15"/>
  <c r="CH17" i="15" s="1"/>
  <c r="CI17" i="15" s="1"/>
  <c r="CJ17" i="15" s="1"/>
  <c r="CK17" i="15" s="1"/>
  <c r="BF18" i="15"/>
  <c r="BG18" i="15" s="1"/>
  <c r="BH18" i="15" s="1"/>
  <c r="BI18" i="15" s="1"/>
  <c r="AM54" i="2"/>
  <c r="BE53" i="14"/>
  <c r="BS8" i="14"/>
  <c r="CC15" i="15"/>
  <c r="CD15" i="15" s="1"/>
  <c r="R333" i="20"/>
  <c r="O334" i="20"/>
  <c r="C309" i="5"/>
  <c r="D309" i="5" s="1"/>
  <c r="E309" i="5" s="1"/>
  <c r="C308" i="5"/>
  <c r="D308" i="5" s="1"/>
  <c r="E308" i="5" s="1"/>
  <c r="C305" i="5"/>
  <c r="D305" i="5" s="1"/>
  <c r="C303" i="5"/>
  <c r="D303" i="5" s="1"/>
  <c r="E303" i="5" s="1"/>
  <c r="E304" i="5"/>
  <c r="E307" i="5"/>
  <c r="E317" i="5"/>
  <c r="E310" i="5"/>
  <c r="J272" i="5"/>
  <c r="K271" i="5"/>
  <c r="C271" i="5"/>
  <c r="C285" i="5"/>
  <c r="J273" i="5"/>
  <c r="DD119" i="14"/>
  <c r="QF5" i="2"/>
  <c r="FJ5" i="2"/>
  <c r="PR5" i="2"/>
  <c r="NT5" i="2"/>
  <c r="MB6" i="2"/>
  <c r="ET5" i="2"/>
  <c r="HC5" i="2"/>
  <c r="MZ6" i="2"/>
  <c r="PB4" i="2"/>
  <c r="DK6" i="2"/>
  <c r="OI6" i="2"/>
  <c r="OK6" i="2"/>
  <c r="AQ36" i="2"/>
  <c r="HA5" i="2"/>
  <c r="NM4" i="2"/>
  <c r="KP4" i="2"/>
  <c r="GF4" i="2"/>
  <c r="AO23" i="2"/>
  <c r="PV6" i="2"/>
  <c r="BA11" i="2"/>
  <c r="LC4" i="2"/>
  <c r="IH6" i="2"/>
  <c r="BG46" i="14"/>
  <c r="BI11" i="14"/>
  <c r="AS11" i="2"/>
  <c r="LS6" i="2"/>
  <c r="BE46" i="14"/>
  <c r="EF4" i="2"/>
  <c r="AT48" i="2"/>
  <c r="EK5" i="2"/>
  <c r="BK22" i="14"/>
  <c r="DJ15" i="15"/>
  <c r="LX4" i="2"/>
  <c r="AO45" i="2"/>
  <c r="AR60" i="2"/>
  <c r="BS13" i="14"/>
  <c r="DJ19" i="2"/>
  <c r="EC6" i="2"/>
  <c r="AM45" i="2"/>
  <c r="BB58" i="14"/>
  <c r="AV48" i="2"/>
  <c r="AR47" i="2"/>
  <c r="DC15" i="15"/>
  <c r="BB46" i="14"/>
  <c r="AU12" i="2"/>
  <c r="PI6" i="2"/>
  <c r="IU4" i="2"/>
  <c r="BC35" i="14"/>
  <c r="FA6" i="2"/>
  <c r="JL5" i="2"/>
  <c r="DA38" i="16"/>
  <c r="QJ6" i="2"/>
  <c r="DN44" i="12"/>
  <c r="LI5" i="2"/>
  <c r="PW5" i="2"/>
  <c r="BE56" i="14"/>
  <c r="BL8" i="14"/>
  <c r="AC6" i="19"/>
  <c r="W28" i="19"/>
  <c r="LN4" i="2"/>
  <c r="BB451" i="5"/>
  <c r="AL47" i="2"/>
  <c r="BO12" i="14"/>
  <c r="AN47" i="2"/>
  <c r="AW45" i="2"/>
  <c r="BJ11" i="14"/>
  <c r="KH4" i="2"/>
  <c r="KZ6" i="2"/>
  <c r="AY30" i="15"/>
  <c r="BL46" i="14"/>
  <c r="BG58" i="14"/>
  <c r="AF16" i="13"/>
  <c r="PQ5" i="2"/>
  <c r="DQ6" i="2"/>
  <c r="J40" i="22"/>
  <c r="JI4" i="2"/>
  <c r="QM5" i="2"/>
  <c r="BL19" i="15"/>
  <c r="BF29" i="16"/>
  <c r="CA450" i="5"/>
  <c r="AP33" i="2"/>
  <c r="CS9" i="14"/>
  <c r="NE4" i="2"/>
  <c r="EH6" i="2"/>
  <c r="BS13" i="2"/>
  <c r="BA47" i="14"/>
  <c r="BF11" i="14"/>
  <c r="AW47" i="2"/>
  <c r="IT5" i="2"/>
  <c r="PK5" i="2"/>
  <c r="AG207" i="20"/>
  <c r="BS12" i="2"/>
  <c r="AC7" i="19"/>
  <c r="AS390" i="5"/>
  <c r="IO4" i="2"/>
  <c r="EW4" i="2"/>
  <c r="CJ27" i="16"/>
  <c r="BQ12" i="14"/>
  <c r="BM9" i="2"/>
  <c r="AM57" i="2"/>
  <c r="K420" i="5"/>
  <c r="AQ23" i="2"/>
  <c r="BP12" i="14"/>
  <c r="BK34" i="14"/>
  <c r="MF4" i="2"/>
  <c r="OJ4" i="2"/>
  <c r="DS5" i="2"/>
  <c r="HK4" i="2"/>
  <c r="NZ4" i="2"/>
  <c r="CN11" i="14"/>
  <c r="KW4" i="2"/>
  <c r="HR5" i="2"/>
  <c r="CL17" i="14"/>
  <c r="NR5" i="2"/>
  <c r="AM24" i="2"/>
  <c r="BG35" i="14"/>
  <c r="AR36" i="2"/>
  <c r="QT6" i="2"/>
  <c r="KX6" i="2"/>
  <c r="AL35" i="2"/>
  <c r="AV9" i="2"/>
  <c r="HJ6" i="2"/>
  <c r="BL9" i="2"/>
  <c r="IK5" i="2"/>
  <c r="BG47" i="14"/>
  <c r="AG177" i="13"/>
  <c r="AL50" i="13"/>
  <c r="ML6" i="2"/>
  <c r="OW5" i="2"/>
  <c r="EE15" i="15"/>
  <c r="NU5" i="2"/>
  <c r="JG4" i="2"/>
  <c r="BC11" i="2"/>
  <c r="BK10" i="14"/>
  <c r="DA34" i="16"/>
  <c r="BL44" i="14"/>
  <c r="DJ17" i="2"/>
  <c r="AM60" i="2"/>
  <c r="BL47" i="14"/>
  <c r="BS14" i="14"/>
  <c r="JO5" i="2"/>
  <c r="BG44" i="14"/>
  <c r="AV47" i="2"/>
  <c r="AR48" i="2"/>
  <c r="BB44" i="14"/>
  <c r="BB47" i="14"/>
  <c r="KU5" i="2"/>
  <c r="E16" i="15"/>
  <c r="DP6" i="2"/>
  <c r="AM48" i="2"/>
  <c r="IW5" i="2"/>
  <c r="AW33" i="2"/>
  <c r="CH10" i="2"/>
  <c r="BH35" i="14"/>
  <c r="KK6" i="2"/>
  <c r="AO48" i="2"/>
  <c r="AL60" i="2"/>
  <c r="DQ15" i="15"/>
  <c r="W11" i="19"/>
  <c r="W12" i="19"/>
  <c r="AR328" i="5"/>
  <c r="FR6" i="2"/>
  <c r="DJ20" i="2"/>
  <c r="AL48" i="2"/>
  <c r="BD32" i="14"/>
  <c r="AN48" i="2"/>
  <c r="PU5" i="2"/>
  <c r="BD8" i="14"/>
  <c r="LQ6" i="2"/>
  <c r="EE6" i="2"/>
  <c r="AP11" i="2"/>
  <c r="DJ15" i="2"/>
  <c r="BB59" i="14"/>
  <c r="AW60" i="2"/>
  <c r="CA420" i="5"/>
  <c r="BZ19" i="9"/>
  <c r="LW4" i="2"/>
  <c r="BL35" i="14"/>
  <c r="GA4" i="2"/>
  <c r="BD11" i="14"/>
  <c r="BA22" i="14"/>
  <c r="W29" i="19"/>
  <c r="BA44" i="14"/>
  <c r="BJ420" i="5"/>
  <c r="EZ6" i="2"/>
  <c r="MO4" i="2"/>
  <c r="IG6" i="2"/>
  <c r="AL57" i="2"/>
  <c r="T391" i="5"/>
  <c r="J30" i="16"/>
  <c r="PD4" i="2"/>
  <c r="GE6" i="2"/>
  <c r="AB420" i="5"/>
  <c r="AU24" i="2"/>
  <c r="BE58" i="14"/>
  <c r="QK5" i="2"/>
  <c r="AV45" i="2"/>
  <c r="AX26" i="15"/>
  <c r="BB56" i="14"/>
  <c r="AP21" i="15"/>
  <c r="JW4" i="2"/>
  <c r="BI17" i="2"/>
  <c r="MP5" i="2"/>
  <c r="BC11" i="14"/>
  <c r="PO6" i="2"/>
  <c r="OL6" i="2"/>
  <c r="QC6" i="2"/>
  <c r="GM6" i="2"/>
  <c r="QY6" i="2"/>
  <c r="LG6" i="2"/>
  <c r="CO13" i="14"/>
  <c r="AV36" i="2"/>
  <c r="FZ6" i="2"/>
  <c r="JU5" i="2"/>
  <c r="BI23" i="14"/>
  <c r="OV5" i="2"/>
  <c r="NX4" i="2"/>
  <c r="AM36" i="2"/>
  <c r="NG5" i="2"/>
  <c r="NN6" i="2"/>
  <c r="GZ6" i="2"/>
  <c r="BD9" i="2"/>
  <c r="OS6" i="2"/>
  <c r="GQ4" i="2"/>
  <c r="BE44" i="14"/>
  <c r="BA34" i="14"/>
  <c r="HQ6" i="2"/>
  <c r="GN5" i="2"/>
  <c r="AS35" i="2"/>
  <c r="CT14" i="14"/>
  <c r="N14" i="15"/>
  <c r="BP10" i="14"/>
  <c r="AW23" i="2"/>
  <c r="BK17" i="2"/>
  <c r="BQ13" i="2"/>
  <c r="BS391" i="5"/>
  <c r="AL59" i="2"/>
  <c r="S334" i="20"/>
  <c r="AR57" i="2"/>
  <c r="BG59" i="14"/>
  <c r="AR24" i="2"/>
  <c r="EU5" i="2"/>
  <c r="BG56" i="14"/>
  <c r="CW11" i="2"/>
  <c r="AW48" i="2"/>
  <c r="BE17" i="2"/>
  <c r="AL33" i="2"/>
  <c r="AT45" i="2"/>
  <c r="AS420" i="5"/>
  <c r="E15" i="15"/>
  <c r="JM5" i="2"/>
  <c r="AM47" i="2"/>
  <c r="AR33" i="2"/>
  <c r="JY4" i="2"/>
  <c r="IS6" i="2"/>
  <c r="ES26" i="9"/>
  <c r="AL45" i="2"/>
  <c r="DJ16" i="2"/>
  <c r="AR59" i="2"/>
  <c r="AB390" i="5"/>
  <c r="AC5" i="19"/>
  <c r="W23" i="19"/>
  <c r="KT5" i="2"/>
  <c r="AR45" i="2"/>
  <c r="J31" i="16"/>
  <c r="K370" i="5"/>
  <c r="MJ5" i="2"/>
  <c r="AL24" i="2"/>
  <c r="LV4" i="2"/>
  <c r="NP6" i="2"/>
  <c r="N41" i="15"/>
  <c r="W14" i="15"/>
  <c r="AW57" i="2"/>
  <c r="DA39" i="16"/>
  <c r="AO35" i="2"/>
  <c r="BQ13" i="14"/>
  <c r="BR10" i="2"/>
  <c r="DX15" i="15"/>
  <c r="HZ6" i="2"/>
  <c r="JD4" i="2"/>
  <c r="IV5" i="2"/>
  <c r="BS10" i="2"/>
  <c r="BS11" i="14"/>
  <c r="BI11" i="2"/>
  <c r="BJ34" i="14"/>
  <c r="QO4" i="2"/>
  <c r="BG9" i="2"/>
  <c r="HE6" i="2"/>
  <c r="GC5" i="2"/>
  <c r="DD14" i="14"/>
  <c r="OF4" i="2"/>
  <c r="LZ4" i="2"/>
  <c r="JX6" i="2"/>
  <c r="QN6" i="2"/>
  <c r="IQ4" i="2"/>
  <c r="BJ9" i="2"/>
  <c r="AS24" i="2"/>
  <c r="NQ5" i="2"/>
  <c r="NL5" i="2"/>
  <c r="IZ5" i="2"/>
  <c r="IB6" i="2"/>
  <c r="HH6" i="2"/>
  <c r="IY4" i="2"/>
  <c r="DW5" i="2"/>
  <c r="BH11" i="14"/>
  <c r="CB30" i="16"/>
  <c r="CJ36" i="16" s="1"/>
  <c r="BE47" i="14"/>
  <c r="AT47" i="2"/>
  <c r="QL6" i="2"/>
  <c r="LK5" i="2"/>
  <c r="AM59" i="2"/>
  <c r="BA46" i="14"/>
  <c r="L30" i="19"/>
  <c r="FB4" i="2"/>
  <c r="CM17" i="14"/>
  <c r="EO19" i="13"/>
  <c r="MG6" i="2"/>
  <c r="LA4" i="2"/>
  <c r="AN45" i="2"/>
  <c r="HL4" i="2"/>
  <c r="AW59" i="2"/>
  <c r="BH23" i="14"/>
  <c r="BZ20" i="9"/>
  <c r="JE5" i="2"/>
  <c r="OD4" i="2"/>
  <c r="AO47" i="2"/>
  <c r="BE59" i="14"/>
  <c r="CR17" i="14"/>
  <c r="AQ11" i="2"/>
  <c r="BJ390" i="5"/>
  <c r="CA390" i="5"/>
  <c r="BJ450" i="5"/>
  <c r="AS450" i="5"/>
  <c r="K450" i="5"/>
  <c r="BC389" i="5" l="1"/>
  <c r="BD389" i="5" s="1"/>
  <c r="BE389" i="5" s="1"/>
  <c r="BF389" i="5" s="1"/>
  <c r="AF403" i="5"/>
  <c r="AE464" i="5"/>
  <c r="AF464" i="5" s="1"/>
  <c r="AV327" i="5"/>
  <c r="AK450" i="5"/>
  <c r="AL450" i="5" s="1"/>
  <c r="AM450" i="5" s="1"/>
  <c r="AN450" i="5" s="1"/>
  <c r="AO450" i="5" s="1"/>
  <c r="W427" i="5"/>
  <c r="X427" i="5" s="1"/>
  <c r="AL419" i="5"/>
  <c r="AM419" i="5" s="1"/>
  <c r="AN419" i="5" s="1"/>
  <c r="F367" i="5"/>
  <c r="G367" i="5" s="1"/>
  <c r="BW448" i="5"/>
  <c r="BH13" i="14"/>
  <c r="BH41" i="14" s="1"/>
  <c r="DW7" i="2"/>
  <c r="DW8" i="2" s="1"/>
  <c r="DX7" i="2"/>
  <c r="DX8" i="2" s="1"/>
  <c r="AS26" i="2"/>
  <c r="GD7" i="2"/>
  <c r="GD8" i="2" s="1"/>
  <c r="GC7" i="2"/>
  <c r="GC8" i="2" s="1"/>
  <c r="BJ37" i="14"/>
  <c r="AM38" i="2"/>
  <c r="BI25" i="14"/>
  <c r="GA7" i="2"/>
  <c r="GA8" i="2" s="1"/>
  <c r="FZ7" i="2"/>
  <c r="FZ8" i="2" s="1"/>
  <c r="AV38" i="2"/>
  <c r="BC13" i="14"/>
  <c r="BC41" i="14" s="1"/>
  <c r="AL38" i="2"/>
  <c r="AR38" i="2"/>
  <c r="BG37" i="14"/>
  <c r="AM26" i="2"/>
  <c r="CM19" i="14"/>
  <c r="DT7" i="2"/>
  <c r="DT8" i="2" s="1"/>
  <c r="DS7" i="2"/>
  <c r="DS8" i="2" s="1"/>
  <c r="BK37" i="14"/>
  <c r="BP14" i="14"/>
  <c r="AQ26" i="2"/>
  <c r="AO26" i="2"/>
  <c r="AQ38" i="2"/>
  <c r="DL7" i="2"/>
  <c r="DL8" i="2" s="1"/>
  <c r="DK7" i="2"/>
  <c r="DK8" i="2" s="1"/>
  <c r="ET7" i="2"/>
  <c r="ET8" i="2" s="1"/>
  <c r="DD121" i="14"/>
  <c r="CI26" i="14"/>
  <c r="R21" i="15"/>
  <c r="AL18" i="15"/>
  <c r="AM18" i="15" s="1"/>
  <c r="S187" i="13"/>
  <c r="T187" i="13" s="1"/>
  <c r="W397" i="5"/>
  <c r="X397" i="5" s="1"/>
  <c r="AJ149" i="13"/>
  <c r="AK149" i="13" s="1"/>
  <c r="AE395" i="5"/>
  <c r="AF395" i="5" s="1"/>
  <c r="AN388" i="5"/>
  <c r="AO388" i="5" s="1"/>
  <c r="AK11" i="19"/>
  <c r="AL11" i="19" s="1"/>
  <c r="Q22" i="15"/>
  <c r="R22" i="15" s="1"/>
  <c r="M26" i="16"/>
  <c r="N26" i="16" s="1"/>
  <c r="CQ8" i="15"/>
  <c r="CR8" i="15" s="1"/>
  <c r="BZ18" i="15"/>
  <c r="S188" i="13"/>
  <c r="T188" i="13" s="1"/>
  <c r="AI100" i="13"/>
  <c r="AJ100" i="13" s="1"/>
  <c r="BL59" i="15"/>
  <c r="BN403" i="5"/>
  <c r="CD455" i="5"/>
  <c r="CE455" i="5" s="1"/>
  <c r="AE425" i="5"/>
  <c r="AF425" i="5" s="1"/>
  <c r="CD404" i="5"/>
  <c r="CE404" i="5" s="1"/>
  <c r="AE433" i="5"/>
  <c r="AF433" i="5" s="1"/>
  <c r="BN397" i="5"/>
  <c r="AM398" i="5"/>
  <c r="AN398" i="5" s="1"/>
  <c r="BH8" i="15"/>
  <c r="BI8" i="15" s="1"/>
  <c r="CU22" i="16"/>
  <c r="CV22" i="16" s="1"/>
  <c r="N371" i="5"/>
  <c r="O371" i="5" s="1"/>
  <c r="W457" i="5"/>
  <c r="X457" i="5" s="1"/>
  <c r="AV464" i="5"/>
  <c r="AW464" i="5" s="1"/>
  <c r="W394" i="5"/>
  <c r="X394" i="5" s="1"/>
  <c r="AV379" i="5"/>
  <c r="AS401" i="5" s="1"/>
  <c r="AT401" i="5" s="1"/>
  <c r="AU401" i="5" s="1"/>
  <c r="AV401" i="5" s="1"/>
  <c r="AW401" i="5" s="1"/>
  <c r="AV427" i="5"/>
  <c r="AW427" i="5" s="1"/>
  <c r="F366" i="5"/>
  <c r="G366" i="5" s="1"/>
  <c r="ET37" i="12"/>
  <c r="EU37" i="12" s="1"/>
  <c r="EV37" i="12" s="1"/>
  <c r="BE400" i="5"/>
  <c r="BF400" i="5" s="1"/>
  <c r="CD425" i="5"/>
  <c r="CE425" i="5" s="1"/>
  <c r="K429" i="5"/>
  <c r="L429" i="5" s="1"/>
  <c r="M429" i="5" s="1"/>
  <c r="N429" i="5" s="1"/>
  <c r="O429" i="5" s="1"/>
  <c r="AV397" i="5"/>
  <c r="AW397" i="5" s="1"/>
  <c r="F363" i="5"/>
  <c r="G363" i="5" s="1"/>
  <c r="P140" i="13"/>
  <c r="Q140" i="13" s="1"/>
  <c r="U389" i="5"/>
  <c r="V389" i="5" s="1"/>
  <c r="W389" i="5" s="1"/>
  <c r="X389" i="5" s="1"/>
  <c r="BV427" i="5"/>
  <c r="BW427" i="5" s="1"/>
  <c r="AB459" i="5"/>
  <c r="AC459" i="5" s="1"/>
  <c r="AD459" i="5" s="1"/>
  <c r="AE459" i="5" s="1"/>
  <c r="AF459" i="5" s="1"/>
  <c r="N457" i="5"/>
  <c r="O457" i="5" s="1"/>
  <c r="O156" i="13"/>
  <c r="P156" i="13" s="1"/>
  <c r="Q156" i="13" s="1"/>
  <c r="R156" i="13" s="1"/>
  <c r="AN431" i="5"/>
  <c r="AO431" i="5" s="1"/>
  <c r="F457" i="5"/>
  <c r="G457" i="5" s="1"/>
  <c r="CE457" i="5"/>
  <c r="AV434" i="5"/>
  <c r="AW434" i="5" s="1"/>
  <c r="ES27" i="9"/>
  <c r="ES31" i="9" s="1"/>
  <c r="E313" i="5"/>
  <c r="C450" i="5"/>
  <c r="D450" i="5" s="1"/>
  <c r="E450" i="5" s="1"/>
  <c r="F450" i="5" s="1"/>
  <c r="G450" i="5" s="1"/>
  <c r="AJ222" i="13"/>
  <c r="AK222" i="13" s="1"/>
  <c r="AB24" i="16"/>
  <c r="AC24" i="16" s="1"/>
  <c r="AD24" i="16" s="1"/>
  <c r="AE24" i="16" s="1"/>
  <c r="AK164" i="13"/>
  <c r="E449" i="5"/>
  <c r="F449" i="5" s="1"/>
  <c r="G449" i="5" s="1"/>
  <c r="AV433" i="5"/>
  <c r="AW433" i="5" s="1"/>
  <c r="R151" i="13"/>
  <c r="S151" i="13" s="1"/>
  <c r="BE454" i="5"/>
  <c r="BF454" i="5" s="1"/>
  <c r="W401" i="5"/>
  <c r="X401" i="5" s="1"/>
  <c r="W398" i="5"/>
  <c r="X398" i="5" s="1"/>
  <c r="Y155" i="13"/>
  <c r="Z155" i="13" s="1"/>
  <c r="AA155" i="13" s="1"/>
  <c r="AN401" i="5"/>
  <c r="AO401" i="5" s="1"/>
  <c r="EV10" i="13"/>
  <c r="EV13" i="13" s="1"/>
  <c r="EW13" i="13" s="1"/>
  <c r="EX13" i="13" s="1"/>
  <c r="BW400" i="5"/>
  <c r="AJ158" i="13"/>
  <c r="AK158" i="13" s="1"/>
  <c r="AJ181" i="13"/>
  <c r="AK181" i="13" s="1"/>
  <c r="CE464" i="5"/>
  <c r="AE458" i="5"/>
  <c r="AF458" i="5" s="1"/>
  <c r="GX29" i="13"/>
  <c r="GY29" i="13" s="1"/>
  <c r="BS450" i="5"/>
  <c r="BT450" i="5" s="1"/>
  <c r="BU450" i="5" s="1"/>
  <c r="BV450" i="5" s="1"/>
  <c r="BW450" i="5" s="1"/>
  <c r="O428" i="5"/>
  <c r="AO418" i="5"/>
  <c r="ES30" i="9"/>
  <c r="AU379" i="5"/>
  <c r="AS398" i="5" s="1"/>
  <c r="AT398" i="5" s="1"/>
  <c r="AU398" i="5" s="1"/>
  <c r="AV398" i="5" s="1"/>
  <c r="AW398" i="5" s="1"/>
  <c r="BV449" i="5"/>
  <c r="BW449" i="5" s="1"/>
  <c r="X424" i="5"/>
  <c r="F468" i="5"/>
  <c r="G468" i="5" s="1"/>
  <c r="ET40" i="12"/>
  <c r="EU40" i="12" s="1"/>
  <c r="EV40" i="12" s="1"/>
  <c r="X460" i="5"/>
  <c r="X160" i="13"/>
  <c r="Y160" i="13" s="1"/>
  <c r="Z160" i="13" s="1"/>
  <c r="AA160" i="13" s="1"/>
  <c r="BW418" i="5"/>
  <c r="BF401" i="5"/>
  <c r="AI173" i="13"/>
  <c r="AJ173" i="13" s="1"/>
  <c r="AK173" i="13" s="1"/>
  <c r="EY17" i="13"/>
  <c r="EZ17" i="13" s="1"/>
  <c r="X418" i="5"/>
  <c r="FD14" i="13"/>
  <c r="BB420" i="5"/>
  <c r="AJ171" i="13"/>
  <c r="AK171" i="13" s="1"/>
  <c r="AG182" i="13"/>
  <c r="AH182" i="13" s="1"/>
  <c r="AI182" i="13" s="1"/>
  <c r="AJ182" i="13" s="1"/>
  <c r="AK182" i="13" s="1"/>
  <c r="CA459" i="5"/>
  <c r="CB459" i="5" s="1"/>
  <c r="CC459" i="5" s="1"/>
  <c r="CD459" i="5" s="1"/>
  <c r="CE459" i="5" s="1"/>
  <c r="BV388" i="5"/>
  <c r="BW388" i="5" s="1"/>
  <c r="AJ163" i="13"/>
  <c r="AK163" i="13" s="1"/>
  <c r="BF448" i="5"/>
  <c r="O431" i="5"/>
  <c r="O425" i="5"/>
  <c r="BE430" i="5"/>
  <c r="BF430" i="5" s="1"/>
  <c r="BV431" i="5"/>
  <c r="BW431" i="5" s="1"/>
  <c r="AE429" i="5"/>
  <c r="AF429" i="5" s="1"/>
  <c r="AJ156" i="13"/>
  <c r="AK156" i="13" s="1"/>
  <c r="CD431" i="5"/>
  <c r="CE431" i="5" s="1"/>
  <c r="F461" i="5"/>
  <c r="G461" i="5" s="1"/>
  <c r="DI11" i="9"/>
  <c r="BE461" i="5"/>
  <c r="BF461" i="5" s="1"/>
  <c r="AK167" i="13"/>
  <c r="DI9" i="9"/>
  <c r="AF457" i="5"/>
  <c r="BF431" i="5"/>
  <c r="AJ203" i="13"/>
  <c r="AK203" i="13" s="1"/>
  <c r="F424" i="5"/>
  <c r="G424" i="5" s="1"/>
  <c r="AO461" i="5"/>
  <c r="X448" i="5"/>
  <c r="BM455" i="5"/>
  <c r="BN455" i="5" s="1"/>
  <c r="BV458" i="5"/>
  <c r="BW458" i="5" s="1"/>
  <c r="AV457" i="5"/>
  <c r="AW457" i="5" s="1"/>
  <c r="BN433" i="5"/>
  <c r="AJ218" i="13"/>
  <c r="AK218" i="13" s="1"/>
  <c r="AW395" i="5"/>
  <c r="AH169" i="13"/>
  <c r="AI169" i="13" s="1"/>
  <c r="AJ169" i="13" s="1"/>
  <c r="BV424" i="5"/>
  <c r="BW424" i="5" s="1"/>
  <c r="AN430" i="5"/>
  <c r="AO430" i="5" s="1"/>
  <c r="BN427" i="5"/>
  <c r="F364" i="5"/>
  <c r="G364" i="5" s="1"/>
  <c r="BT389" i="5"/>
  <c r="BU389" i="5" s="1"/>
  <c r="BV389" i="5" s="1"/>
  <c r="BW389" i="5" s="1"/>
  <c r="N464" i="5"/>
  <c r="O464" i="5" s="1"/>
  <c r="AB428" i="5"/>
  <c r="AC428" i="5" s="1"/>
  <c r="F431" i="5"/>
  <c r="G431" i="5" s="1"/>
  <c r="BD419" i="5"/>
  <c r="BE419" i="5" s="1"/>
  <c r="BF419" i="5" s="1"/>
  <c r="AG188" i="13"/>
  <c r="AH188" i="13" s="1"/>
  <c r="AI188" i="13" s="1"/>
  <c r="EU39" i="12"/>
  <c r="EV39" i="12" s="1"/>
  <c r="AK179" i="13"/>
  <c r="BV394" i="5"/>
  <c r="BW394" i="5" s="1"/>
  <c r="CD434" i="5"/>
  <c r="CE434" i="5" s="1"/>
  <c r="AV349" i="5"/>
  <c r="AJ176" i="13"/>
  <c r="AK176" i="13" s="1"/>
  <c r="BN463" i="5"/>
  <c r="AN448" i="5"/>
  <c r="AO448" i="5" s="1"/>
  <c r="AJ155" i="13"/>
  <c r="AK155" i="13" s="1"/>
  <c r="AM389" i="5"/>
  <c r="AN389" i="5" s="1"/>
  <c r="AW404" i="5"/>
  <c r="P141" i="13"/>
  <c r="Q141" i="13" s="1"/>
  <c r="AB398" i="5"/>
  <c r="AC398" i="5" s="1"/>
  <c r="AD398" i="5" s="1"/>
  <c r="AE398" i="5" s="1"/>
  <c r="AF398" i="5" s="1"/>
  <c r="AN394" i="5"/>
  <c r="AO394" i="5" s="1"/>
  <c r="G458" i="5"/>
  <c r="F368" i="5"/>
  <c r="G368" i="5" s="1"/>
  <c r="X27" i="16"/>
  <c r="Y27" i="16" s="1"/>
  <c r="Z27" i="16" s="1"/>
  <c r="AA27" i="16" s="1"/>
  <c r="AB27" i="16" s="1"/>
  <c r="AC27" i="16" s="1"/>
  <c r="AD27" i="16" s="1"/>
  <c r="AE27" i="16" s="1"/>
  <c r="BV419" i="5"/>
  <c r="BW419" i="5" s="1"/>
  <c r="BS420" i="5"/>
  <c r="BT420" i="5" s="1"/>
  <c r="BU420" i="5" s="1"/>
  <c r="BV420" i="5" s="1"/>
  <c r="BW420" i="5" s="1"/>
  <c r="X388" i="5"/>
  <c r="CE403" i="5"/>
  <c r="AG204" i="13"/>
  <c r="AH204" i="13" s="1"/>
  <c r="AI204" i="13" s="1"/>
  <c r="AJ204" i="13" s="1"/>
  <c r="AK204" i="13" s="1"/>
  <c r="ER26" i="13"/>
  <c r="ES26" i="13" s="1"/>
  <c r="O455" i="5"/>
  <c r="F430" i="5"/>
  <c r="G430" i="5" s="1"/>
  <c r="V428" i="5"/>
  <c r="W428" i="5" s="1"/>
  <c r="BV460" i="5"/>
  <c r="BW460" i="5" s="1"/>
  <c r="AW455" i="5"/>
  <c r="W461" i="5"/>
  <c r="X461" i="5" s="1"/>
  <c r="BM434" i="5"/>
  <c r="BN434" i="5" s="1"/>
  <c r="F460" i="5"/>
  <c r="G460" i="5" s="1"/>
  <c r="CD433" i="5"/>
  <c r="CE433" i="5" s="1"/>
  <c r="ER18" i="13"/>
  <c r="ES18" i="13" s="1"/>
  <c r="R169" i="13"/>
  <c r="S169" i="13" s="1"/>
  <c r="R170" i="13"/>
  <c r="S170" i="13" s="1"/>
  <c r="DQ41" i="12"/>
  <c r="DR41" i="12" s="1"/>
  <c r="DS41" i="12" s="1"/>
  <c r="X449" i="5"/>
  <c r="CD461" i="5"/>
  <c r="CE461" i="5" s="1"/>
  <c r="D419" i="5"/>
  <c r="E419" i="5" s="1"/>
  <c r="F419" i="5" s="1"/>
  <c r="G419" i="5" s="1"/>
  <c r="AG185" i="13"/>
  <c r="AH185" i="13" s="1"/>
  <c r="AI185" i="13" s="1"/>
  <c r="AJ185" i="13" s="1"/>
  <c r="AK185" i="13" s="1"/>
  <c r="AH168" i="13"/>
  <c r="AI168" i="13" s="1"/>
  <c r="AJ168" i="13" s="1"/>
  <c r="AK168" i="13" s="1"/>
  <c r="X430" i="5"/>
  <c r="AV403" i="5"/>
  <c r="AW403" i="5" s="1"/>
  <c r="AF461" i="5"/>
  <c r="AE404" i="5"/>
  <c r="AF404" i="5" s="1"/>
  <c r="AJ165" i="13"/>
  <c r="AK165" i="13" s="1"/>
  <c r="AV463" i="5"/>
  <c r="AW463" i="5" s="1"/>
  <c r="AK172" i="13"/>
  <c r="BM404" i="5"/>
  <c r="BN404" i="5" s="1"/>
  <c r="ET36" i="12"/>
  <c r="EU36" i="12" s="1"/>
  <c r="CK36" i="16"/>
  <c r="CL36" i="16" s="1"/>
  <c r="CM36" i="16" s="1"/>
  <c r="CN36" i="16" s="1"/>
  <c r="CJ37" i="16"/>
  <c r="BK450" i="5"/>
  <c r="BL450" i="5" s="1"/>
  <c r="CB390" i="5"/>
  <c r="CC390" i="5" s="1"/>
  <c r="CD390" i="5" s="1"/>
  <c r="AT450" i="5"/>
  <c r="AU450" i="5" s="1"/>
  <c r="BK420" i="5"/>
  <c r="BL420" i="5" s="1"/>
  <c r="CB450" i="5"/>
  <c r="CC450" i="5" s="1"/>
  <c r="L420" i="5"/>
  <c r="M420" i="5" s="1"/>
  <c r="BL21" i="15"/>
  <c r="BM19" i="15"/>
  <c r="BN19" i="15" s="1"/>
  <c r="BO19" i="15" s="1"/>
  <c r="BP19" i="15" s="1"/>
  <c r="BL20" i="15"/>
  <c r="BM20" i="15" s="1"/>
  <c r="BN20" i="15" s="1"/>
  <c r="BO20" i="15" s="1"/>
  <c r="BP20" i="15" s="1"/>
  <c r="BK390" i="5"/>
  <c r="BL390" i="5" s="1"/>
  <c r="BA25" i="14"/>
  <c r="BD13" i="14"/>
  <c r="BD41" i="14" s="1"/>
  <c r="AQ14" i="2"/>
  <c r="AQ42" i="2" s="1"/>
  <c r="DY15" i="15"/>
  <c r="DZ15" i="15" s="1"/>
  <c r="EA15" i="15" s="1"/>
  <c r="EB15" i="15" s="1"/>
  <c r="BL37" i="14"/>
  <c r="J41" i="22"/>
  <c r="J49" i="22" s="1"/>
  <c r="K40" i="22"/>
  <c r="L40" i="22" s="1"/>
  <c r="M40" i="22" s="1"/>
  <c r="N40" i="22" s="1"/>
  <c r="DR7" i="2"/>
  <c r="DR8" i="2" s="1"/>
  <c r="BQ14" i="14"/>
  <c r="AO38" i="2"/>
  <c r="CB420" i="5"/>
  <c r="CC420" i="5" s="1"/>
  <c r="CD420" i="5" s="1"/>
  <c r="AF29" i="13"/>
  <c r="AP14" i="2"/>
  <c r="AP42" i="2" s="1"/>
  <c r="AX28" i="15"/>
  <c r="AX27" i="15"/>
  <c r="AY27" i="15" s="1"/>
  <c r="AZ27" i="15" s="1"/>
  <c r="BA27" i="15" s="1"/>
  <c r="BB27" i="15" s="1"/>
  <c r="AY26" i="15"/>
  <c r="AZ26" i="15" s="1"/>
  <c r="N43" i="15"/>
  <c r="O43" i="15" s="1"/>
  <c r="P43" i="15" s="1"/>
  <c r="Q43" i="15" s="1"/>
  <c r="R43" i="15" s="1"/>
  <c r="O41" i="15"/>
  <c r="P41" i="15" s="1"/>
  <c r="N42" i="15"/>
  <c r="O42" i="15" s="1"/>
  <c r="P42" i="15" s="1"/>
  <c r="Q42" i="15" s="1"/>
  <c r="R42" i="15" s="1"/>
  <c r="BJ13" i="14"/>
  <c r="BJ41" i="14" s="1"/>
  <c r="AL26" i="2"/>
  <c r="AN50" i="2"/>
  <c r="L370" i="5"/>
  <c r="M370" i="5" s="1"/>
  <c r="BO14" i="14"/>
  <c r="K31" i="16"/>
  <c r="L31" i="16" s="1"/>
  <c r="AL50" i="2"/>
  <c r="BZ21" i="9"/>
  <c r="BZ23" i="9" s="1"/>
  <c r="FS7" i="2"/>
  <c r="FS8" i="2" s="1"/>
  <c r="FR7" i="2"/>
  <c r="FR8" i="2" s="1"/>
  <c r="L450" i="5"/>
  <c r="M450" i="5" s="1"/>
  <c r="AT390" i="5"/>
  <c r="AU390" i="5" s="1"/>
  <c r="AS328" i="5"/>
  <c r="AT328" i="5" s="1"/>
  <c r="AU328" i="5" s="1"/>
  <c r="AR329" i="5"/>
  <c r="AR341" i="5" s="1"/>
  <c r="AS341" i="5" s="1"/>
  <c r="AT341" i="5" s="1"/>
  <c r="AU341" i="5" s="1"/>
  <c r="AV341" i="5" s="1"/>
  <c r="BH25" i="14"/>
  <c r="AU26" i="2"/>
  <c r="AC390" i="5"/>
  <c r="AD390" i="5" s="1"/>
  <c r="DR15" i="15"/>
  <c r="DS15" i="15" s="1"/>
  <c r="DT15" i="15" s="1"/>
  <c r="DU15" i="15" s="1"/>
  <c r="AC420" i="5"/>
  <c r="AD420" i="5" s="1"/>
  <c r="BH37" i="14"/>
  <c r="AH207" i="20"/>
  <c r="AI207" i="20" s="1"/>
  <c r="AJ207" i="20" s="1"/>
  <c r="GF7" i="2"/>
  <c r="GF8" i="2" s="1"/>
  <c r="GE7" i="2"/>
  <c r="GE8" i="2" s="1"/>
  <c r="FB7" i="2"/>
  <c r="FB8" i="2" s="1"/>
  <c r="AM50" i="2"/>
  <c r="BC37" i="14"/>
  <c r="DQ7" i="2"/>
  <c r="DQ8" i="2" s="1"/>
  <c r="DP7" i="2"/>
  <c r="DP8" i="2" s="1"/>
  <c r="E17" i="15"/>
  <c r="F17" i="15" s="1"/>
  <c r="G17" i="15" s="1"/>
  <c r="H17" i="15" s="1"/>
  <c r="I17" i="15" s="1"/>
  <c r="F15" i="15"/>
  <c r="G15" i="15" s="1"/>
  <c r="H15" i="15" s="1"/>
  <c r="I15" i="15" s="1"/>
  <c r="F16" i="15"/>
  <c r="G16" i="15" s="1"/>
  <c r="EP19" i="13"/>
  <c r="EQ19" i="13" s="1"/>
  <c r="ER19" i="13" s="1"/>
  <c r="ES19" i="13" s="1"/>
  <c r="AT420" i="5"/>
  <c r="AU420" i="5" s="1"/>
  <c r="AV420" i="5" s="1"/>
  <c r="AU14" i="2"/>
  <c r="AU42" i="2" s="1"/>
  <c r="BB49" i="14"/>
  <c r="DD15" i="15"/>
  <c r="DE15" i="15" s="1"/>
  <c r="J34" i="16"/>
  <c r="J35" i="16" s="1"/>
  <c r="K30" i="16"/>
  <c r="L30" i="16" s="1"/>
  <c r="AW50" i="2"/>
  <c r="AR50" i="2"/>
  <c r="CX11" i="2"/>
  <c r="CY11" i="2" s="1"/>
  <c r="CZ11" i="2" s="1"/>
  <c r="DA11" i="2" s="1"/>
  <c r="CW12" i="2"/>
  <c r="CW20" i="2" s="1"/>
  <c r="AV50" i="2"/>
  <c r="EV7" i="2"/>
  <c r="EV8" i="2" s="1"/>
  <c r="EU7" i="2"/>
  <c r="EU8" i="2" s="1"/>
  <c r="BF13" i="14"/>
  <c r="BF41" i="14" s="1"/>
  <c r="AR26" i="2"/>
  <c r="BQ14" i="2"/>
  <c r="BK13" i="14"/>
  <c r="BK41" i="14" s="1"/>
  <c r="DK15" i="15"/>
  <c r="DL15" i="15" s="1"/>
  <c r="AW26" i="2"/>
  <c r="BK25" i="14"/>
  <c r="EL7" i="2"/>
  <c r="EL8" i="2" s="1"/>
  <c r="EK7" i="2"/>
  <c r="EK8" i="2" s="1"/>
  <c r="O14" i="15"/>
  <c r="P14" i="15" s="1"/>
  <c r="AT50" i="2"/>
  <c r="EF15" i="15"/>
  <c r="EG15" i="15" s="1"/>
  <c r="AS38" i="2"/>
  <c r="BE49" i="14"/>
  <c r="AM50" i="13"/>
  <c r="AN50" i="13" s="1"/>
  <c r="AS14" i="2"/>
  <c r="AS42" i="2" s="1"/>
  <c r="EZ7" i="2"/>
  <c r="EZ8" i="2" s="1"/>
  <c r="FA7" i="2"/>
  <c r="FA8" i="2" s="1"/>
  <c r="BA37" i="14"/>
  <c r="AH177" i="13"/>
  <c r="AI177" i="13" s="1"/>
  <c r="AJ177" i="13" s="1"/>
  <c r="AK177" i="13" s="1"/>
  <c r="AG178" i="13"/>
  <c r="AH178" i="13" s="1"/>
  <c r="AI178" i="13" s="1"/>
  <c r="AJ178" i="13" s="1"/>
  <c r="BI13" i="14"/>
  <c r="BI41" i="14" s="1"/>
  <c r="BG49" i="14"/>
  <c r="CC30" i="16"/>
  <c r="CD30" i="16" s="1"/>
  <c r="CE30" i="16" s="1"/>
  <c r="CF30" i="16" s="1"/>
  <c r="BE31" i="15"/>
  <c r="BF31" i="15" s="1"/>
  <c r="BG31" i="15" s="1"/>
  <c r="BF30" i="15"/>
  <c r="BG30" i="15" s="1"/>
  <c r="BH30" i="15" s="1"/>
  <c r="BI30" i="15" s="1"/>
  <c r="CO10" i="15"/>
  <c r="CP10" i="15" s="1"/>
  <c r="CQ10" i="15" s="1"/>
  <c r="CN12" i="15"/>
  <c r="BC54" i="14"/>
  <c r="BT16" i="15"/>
  <c r="BU16" i="15" s="1"/>
  <c r="BV16" i="15" s="1"/>
  <c r="BW16" i="15" s="1"/>
  <c r="BS17" i="15"/>
  <c r="CV12" i="15"/>
  <c r="CW10" i="15"/>
  <c r="CX10" i="15" s="1"/>
  <c r="CY10" i="15" s="1"/>
  <c r="CZ10" i="15" s="1"/>
  <c r="CH15" i="15"/>
  <c r="CI15" i="15" s="1"/>
  <c r="DY11" i="15"/>
  <c r="DZ11" i="15" s="1"/>
  <c r="EA11" i="15" s="1"/>
  <c r="EB11" i="15" s="1"/>
  <c r="BL34" i="15"/>
  <c r="BM34" i="15" s="1"/>
  <c r="BN34" i="15" s="1"/>
  <c r="BO34" i="15" s="1"/>
  <c r="BP34" i="15" s="1"/>
  <c r="BM33" i="15"/>
  <c r="BN33" i="15" s="1"/>
  <c r="BO33" i="15" s="1"/>
  <c r="BP33" i="15" s="1"/>
  <c r="BS8" i="2"/>
  <c r="AP55" i="2"/>
  <c r="CR10" i="15"/>
  <c r="O433" i="5"/>
  <c r="DY12" i="15"/>
  <c r="DZ12" i="15" s="1"/>
  <c r="EA12" i="15" s="1"/>
  <c r="EB12" i="15" s="1"/>
  <c r="CA16" i="15"/>
  <c r="CB16" i="15" s="1"/>
  <c r="CC16" i="15" s="1"/>
  <c r="CD16" i="15" s="1"/>
  <c r="EE14" i="15"/>
  <c r="EF14" i="15" s="1"/>
  <c r="EG14" i="15" s="1"/>
  <c r="EH14" i="15" s="1"/>
  <c r="EI14" i="15" s="1"/>
  <c r="U419" i="5"/>
  <c r="V419" i="5" s="1"/>
  <c r="W419" i="5" s="1"/>
  <c r="X419" i="5" s="1"/>
  <c r="J33" i="16"/>
  <c r="K33" i="16" s="1"/>
  <c r="L33" i="16" s="1"/>
  <c r="G362" i="5"/>
  <c r="G448" i="5"/>
  <c r="AF427" i="5"/>
  <c r="O158" i="13"/>
  <c r="P158" i="13" s="1"/>
  <c r="Q158" i="13" s="1"/>
  <c r="R158" i="13" s="1"/>
  <c r="S158" i="13" s="1"/>
  <c r="BF388" i="5"/>
  <c r="AF434" i="5"/>
  <c r="EY22" i="13"/>
  <c r="EZ22" i="13" s="1"/>
  <c r="Q139" i="13"/>
  <c r="S150" i="13"/>
  <c r="CD427" i="5"/>
  <c r="CE427" i="5" s="1"/>
  <c r="IF14" i="13"/>
  <c r="IG14" i="13" s="1"/>
  <c r="IH14" i="13" s="1"/>
  <c r="II14" i="13" s="1"/>
  <c r="BH54" i="14"/>
  <c r="O35" i="15"/>
  <c r="P35" i="15" s="1"/>
  <c r="Q35" i="15" s="1"/>
  <c r="R35" i="15" s="1"/>
  <c r="AT16" i="15"/>
  <c r="EH10" i="15"/>
  <c r="EI10" i="15" s="1"/>
  <c r="BC390" i="5"/>
  <c r="BD390" i="5" s="1"/>
  <c r="BE390" i="5" s="1"/>
  <c r="BF390" i="5" s="1"/>
  <c r="AZ10" i="9"/>
  <c r="AZ11" i="9" s="1"/>
  <c r="AQ55" i="2"/>
  <c r="D420" i="5"/>
  <c r="E420" i="5" s="1"/>
  <c r="F420" i="5" s="1"/>
  <c r="G420" i="5" s="1"/>
  <c r="CU19" i="16"/>
  <c r="CV19" i="16" s="1"/>
  <c r="BF54" i="14"/>
  <c r="Z15" i="15"/>
  <c r="AA15" i="15" s="1"/>
  <c r="CC26" i="15"/>
  <c r="CD26" i="15" s="1"/>
  <c r="AV55" i="2"/>
  <c r="AA7" i="15"/>
  <c r="BG18" i="2"/>
  <c r="BH18" i="2"/>
  <c r="BE18" i="2"/>
  <c r="BI18" i="2"/>
  <c r="BM18" i="2"/>
  <c r="BK18" i="2"/>
  <c r="BM32" i="15"/>
  <c r="BN32" i="15" s="1"/>
  <c r="BO32" i="15" s="1"/>
  <c r="BP32" i="15"/>
  <c r="CN17" i="15"/>
  <c r="CO17" i="15" s="1"/>
  <c r="CP17" i="15" s="1"/>
  <c r="CO16" i="15"/>
  <c r="CP16" i="15" s="1"/>
  <c r="CQ16" i="15" s="1"/>
  <c r="CR16" i="15" s="1"/>
  <c r="AN54" i="2"/>
  <c r="DR11" i="15"/>
  <c r="CN29" i="15"/>
  <c r="BE11" i="15"/>
  <c r="BF11" i="15" s="1"/>
  <c r="BG11" i="15" s="1"/>
  <c r="BH11" i="15" s="1"/>
  <c r="BI11" i="15" s="1"/>
  <c r="BI54" i="14"/>
  <c r="AJ221" i="13"/>
  <c r="AK221" i="13" s="1"/>
  <c r="IE21" i="13"/>
  <c r="E428" i="5"/>
  <c r="F428" i="5" s="1"/>
  <c r="G428" i="5" s="1"/>
  <c r="X157" i="13"/>
  <c r="X161" i="13" s="1"/>
  <c r="Y161" i="13" s="1"/>
  <c r="Z161" i="13" s="1"/>
  <c r="AA161" i="13" s="1"/>
  <c r="AO460" i="5"/>
  <c r="ER13" i="13"/>
  <c r="ES13" i="13" s="1"/>
  <c r="AF463" i="5"/>
  <c r="AA23" i="16"/>
  <c r="AB23" i="16" s="1"/>
  <c r="AC23" i="16" s="1"/>
  <c r="AD23" i="16" s="1"/>
  <c r="AE23" i="16" s="1"/>
  <c r="AF431" i="5"/>
  <c r="O459" i="5"/>
  <c r="U420" i="5"/>
  <c r="V420" i="5" s="1"/>
  <c r="W420" i="5" s="1"/>
  <c r="DQ14" i="15"/>
  <c r="DR12" i="15"/>
  <c r="DS12" i="15" s="1"/>
  <c r="DT12" i="15" s="1"/>
  <c r="DU12" i="15" s="1"/>
  <c r="AN55" i="2"/>
  <c r="BS12" i="15"/>
  <c r="BT10" i="15"/>
  <c r="BU10" i="15" s="1"/>
  <c r="BV10" i="15" s="1"/>
  <c r="BW10" i="15" s="1"/>
  <c r="AL420" i="5"/>
  <c r="AM420" i="5" s="1"/>
  <c r="AN420" i="5" s="1"/>
  <c r="AO420" i="5" s="1"/>
  <c r="BH53" i="14"/>
  <c r="BK54" i="14"/>
  <c r="CQ14" i="15"/>
  <c r="CR14" i="15" s="1"/>
  <c r="DD11" i="15"/>
  <c r="DE11" i="15" s="1"/>
  <c r="DF11" i="15" s="1"/>
  <c r="DG11" i="15" s="1"/>
  <c r="AV54" i="2"/>
  <c r="AX17" i="15"/>
  <c r="AY17" i="15" s="1"/>
  <c r="AZ17" i="15" s="1"/>
  <c r="BA17" i="15" s="1"/>
  <c r="BB17" i="15" s="1"/>
  <c r="AY16" i="15"/>
  <c r="AZ16" i="15" s="1"/>
  <c r="BA16" i="15" s="1"/>
  <c r="BB16" i="15" s="1"/>
  <c r="AM55" i="2"/>
  <c r="DK12" i="15"/>
  <c r="DL12" i="15" s="1"/>
  <c r="DM12" i="15" s="1"/>
  <c r="DN12" i="15" s="1"/>
  <c r="DJ14" i="15"/>
  <c r="CA27" i="15"/>
  <c r="CB27" i="15" s="1"/>
  <c r="CC27" i="15" s="1"/>
  <c r="CD27" i="15"/>
  <c r="BM57" i="15"/>
  <c r="BN57" i="15" s="1"/>
  <c r="BO57" i="15" s="1"/>
  <c r="BC449" i="5"/>
  <c r="BD449" i="5" s="1"/>
  <c r="BE449" i="5" s="1"/>
  <c r="IF16" i="13"/>
  <c r="IG16" i="13" s="1"/>
  <c r="IH16" i="13" s="1"/>
  <c r="II16" i="13" s="1"/>
  <c r="Q11" i="15"/>
  <c r="R11" i="15" s="1"/>
  <c r="BS30" i="15"/>
  <c r="AK151" i="13"/>
  <c r="BU9" i="2"/>
  <c r="BE32" i="15"/>
  <c r="BV457" i="5"/>
  <c r="BW457" i="5" s="1"/>
  <c r="AK18" i="19"/>
  <c r="AL18" i="19" s="1"/>
  <c r="AN454" i="5"/>
  <c r="AO454" i="5" s="1"/>
  <c r="AX18" i="15"/>
  <c r="K458" i="5"/>
  <c r="L458" i="5" s="1"/>
  <c r="M458" i="5" s="1"/>
  <c r="AE401" i="5"/>
  <c r="AF401" i="5" s="1"/>
  <c r="N427" i="5"/>
  <c r="O427" i="5" s="1"/>
  <c r="O461" i="5"/>
  <c r="CA428" i="5"/>
  <c r="CB428" i="5" s="1"/>
  <c r="CC428" i="5" s="1"/>
  <c r="F418" i="5"/>
  <c r="G418" i="5" s="1"/>
  <c r="AK390" i="5"/>
  <c r="AL390" i="5" s="1"/>
  <c r="AM390" i="5" s="1"/>
  <c r="AN390" i="5" s="1"/>
  <c r="AO390" i="5" s="1"/>
  <c r="X431" i="5"/>
  <c r="CD397" i="5"/>
  <c r="CE397" i="5" s="1"/>
  <c r="EU38" i="12"/>
  <c r="EV38" i="12" s="1"/>
  <c r="P143" i="13"/>
  <c r="Q143" i="13" s="1"/>
  <c r="AG175" i="13"/>
  <c r="AH175" i="13" s="1"/>
  <c r="AI175" i="13" s="1"/>
  <c r="AJ175" i="13" s="1"/>
  <c r="AK175" i="13" s="1"/>
  <c r="GV32" i="13"/>
  <c r="GW32" i="13" s="1"/>
  <c r="GX32" i="13" s="1"/>
  <c r="GY32" i="13" s="1"/>
  <c r="W400" i="5"/>
  <c r="X400" i="5" s="1"/>
  <c r="AV425" i="5"/>
  <c r="AW425" i="5" s="1"/>
  <c r="G365" i="5"/>
  <c r="BM464" i="5"/>
  <c r="BN464" i="5" s="1"/>
  <c r="AM397" i="5"/>
  <c r="AN397" i="5" s="1"/>
  <c r="AI40" i="13"/>
  <c r="AJ40" i="13" s="1"/>
  <c r="AU55" i="2"/>
  <c r="N26" i="15"/>
  <c r="N44" i="15"/>
  <c r="O44" i="15" s="1"/>
  <c r="P44" i="15" s="1"/>
  <c r="Q44" i="15" s="1"/>
  <c r="R44" i="15" s="1"/>
  <c r="F40" i="22"/>
  <c r="G40" i="22" s="1"/>
  <c r="AA10" i="15"/>
  <c r="Q36" i="15"/>
  <c r="R36" i="15" s="1"/>
  <c r="BL72" i="15"/>
  <c r="BM72" i="15" s="1"/>
  <c r="BN72" i="15" s="1"/>
  <c r="BO72" i="15" s="1"/>
  <c r="BP72" i="15" s="1"/>
  <c r="BM71" i="15"/>
  <c r="BN71" i="15" s="1"/>
  <c r="BO71" i="15" s="1"/>
  <c r="BP71" i="15" s="1"/>
  <c r="AJ13" i="15"/>
  <c r="AK13" i="15" s="1"/>
  <c r="AL13" i="15" s="1"/>
  <c r="AM13" i="15" s="1"/>
  <c r="AI14" i="15"/>
  <c r="BQ8" i="14"/>
  <c r="Q17" i="15"/>
  <c r="R17" i="15" s="1"/>
  <c r="Q13" i="15"/>
  <c r="R13" i="15" s="1"/>
  <c r="AT54" i="2"/>
  <c r="EF11" i="15"/>
  <c r="EG11" i="15" s="1"/>
  <c r="EH11" i="15" s="1"/>
  <c r="EI11" i="15" s="1"/>
  <c r="DU9" i="15"/>
  <c r="AF67" i="13"/>
  <c r="AF68" i="13" s="1"/>
  <c r="AF46" i="13"/>
  <c r="BL47" i="15"/>
  <c r="BM46" i="15"/>
  <c r="BN46" i="15" s="1"/>
  <c r="BO46" i="15" s="1"/>
  <c r="BP46" i="15"/>
  <c r="BE54" i="14"/>
  <c r="AL9" i="15"/>
  <c r="AM9" i="15" s="1"/>
  <c r="CJ18" i="14"/>
  <c r="CV18" i="14" s="1"/>
  <c r="CT18" i="14"/>
  <c r="CK18" i="14"/>
  <c r="CP18" i="14"/>
  <c r="CQ18" i="14"/>
  <c r="CS18" i="14"/>
  <c r="CN18" i="14"/>
  <c r="CL18" i="14"/>
  <c r="CO18" i="14"/>
  <c r="CU18" i="14"/>
  <c r="CM18" i="14"/>
  <c r="AF71" i="13"/>
  <c r="AF88" i="13" s="1"/>
  <c r="AL57" i="13"/>
  <c r="AM57" i="13" s="1"/>
  <c r="AN57" i="13" s="1"/>
  <c r="AO57" i="13" s="1"/>
  <c r="AP57" i="13" s="1"/>
  <c r="AO419" i="5"/>
  <c r="AO398" i="5"/>
  <c r="CK27" i="16"/>
  <c r="CL27" i="16" s="1"/>
  <c r="CM27" i="16" s="1"/>
  <c r="CN27" i="16" s="1"/>
  <c r="BA49" i="14"/>
  <c r="AW62" i="2"/>
  <c r="AW63" i="2" s="1"/>
  <c r="BC451" i="5"/>
  <c r="BD451" i="5" s="1"/>
  <c r="BB455" i="5"/>
  <c r="BG61" i="14"/>
  <c r="BG62" i="14" s="1"/>
  <c r="AR62" i="2"/>
  <c r="AR63" i="2" s="1"/>
  <c r="BG29" i="16"/>
  <c r="BH29" i="16" s="1"/>
  <c r="BI29" i="16" s="1"/>
  <c r="BJ29" i="16" s="1"/>
  <c r="BS16" i="16"/>
  <c r="BT16" i="16" s="1"/>
  <c r="BU16" i="16" s="1"/>
  <c r="BV16" i="16" s="1"/>
  <c r="BW16" i="16" s="1"/>
  <c r="AL62" i="2"/>
  <c r="AL63" i="2" s="1"/>
  <c r="AX63" i="2" s="1"/>
  <c r="BB61" i="14"/>
  <c r="BB62" i="14" s="1"/>
  <c r="DJ18" i="2"/>
  <c r="BS14" i="2"/>
  <c r="X14" i="15"/>
  <c r="Y14" i="15" s="1"/>
  <c r="Z14" i="15" s="1"/>
  <c r="AA14" i="15" s="1"/>
  <c r="BT391" i="5"/>
  <c r="BU391" i="5" s="1"/>
  <c r="BV391" i="5" s="1"/>
  <c r="BS395" i="5"/>
  <c r="U391" i="5"/>
  <c r="V391" i="5" s="1"/>
  <c r="T395" i="5"/>
  <c r="BL49" i="14"/>
  <c r="AO50" i="2"/>
  <c r="CX20" i="2"/>
  <c r="CY20" i="2" s="1"/>
  <c r="CZ20" i="2" s="1"/>
  <c r="DA20" i="2" s="1"/>
  <c r="E19" i="15"/>
  <c r="BV29" i="15"/>
  <c r="BW29" i="15" s="1"/>
  <c r="BM59" i="15"/>
  <c r="BN59" i="15" s="1"/>
  <c r="BO59" i="15" s="1"/>
  <c r="BP59" i="15" s="1"/>
  <c r="BL60" i="15"/>
  <c r="BA53" i="14"/>
  <c r="BA29" i="2"/>
  <c r="BA23" i="2"/>
  <c r="BA25" i="2" s="1"/>
  <c r="AQ14" i="15"/>
  <c r="AR14" i="15" s="1"/>
  <c r="AS14" i="15" s="1"/>
  <c r="AT14" i="15" s="1"/>
  <c r="AP15" i="15"/>
  <c r="CN30" i="15"/>
  <c r="CO29" i="15"/>
  <c r="CP29" i="15" s="1"/>
  <c r="CQ29" i="15" s="1"/>
  <c r="CR29" i="15" s="1"/>
  <c r="BL15" i="15"/>
  <c r="BM14" i="15"/>
  <c r="BN14" i="15" s="1"/>
  <c r="BO14" i="15" s="1"/>
  <c r="BP14" i="15" s="1"/>
  <c r="CB458" i="5"/>
  <c r="CC458" i="5" s="1"/>
  <c r="CW17" i="2"/>
  <c r="M33" i="16"/>
  <c r="N33" i="16" s="1"/>
  <c r="CI16" i="15"/>
  <c r="CJ16" i="15" s="1"/>
  <c r="BA15" i="15"/>
  <c r="BB15" i="15" s="1"/>
  <c r="BG28" i="16"/>
  <c r="BH28" i="16" s="1"/>
  <c r="BI28" i="16" s="1"/>
  <c r="BJ28" i="16" s="1"/>
  <c r="BM4" i="16"/>
  <c r="BS4" i="16"/>
  <c r="DY14" i="15"/>
  <c r="DZ14" i="15" s="1"/>
  <c r="EA14" i="15" s="1"/>
  <c r="EB14" i="15" s="1"/>
  <c r="DX16" i="15"/>
  <c r="CA17" i="15"/>
  <c r="CB17" i="15" s="1"/>
  <c r="BL85" i="15"/>
  <c r="CK37" i="16"/>
  <c r="CL37" i="16" s="1"/>
  <c r="CM37" i="16" s="1"/>
  <c r="CN37" i="16" s="1"/>
  <c r="CH12" i="15"/>
  <c r="CI12" i="15" s="1"/>
  <c r="CJ12" i="15" s="1"/>
  <c r="CK12" i="15" s="1"/>
  <c r="CG18" i="15"/>
  <c r="DL12" i="2"/>
  <c r="CQ17" i="15"/>
  <c r="CR17" i="15" s="1"/>
  <c r="BU8" i="2"/>
  <c r="BW21" i="2"/>
  <c r="CA29" i="15"/>
  <c r="CB29" i="15" s="1"/>
  <c r="CC29" i="15" s="1"/>
  <c r="CD29" i="15" s="1"/>
  <c r="BZ30" i="15"/>
  <c r="DD14" i="15"/>
  <c r="DE14" i="15" s="1"/>
  <c r="DF14" i="15" s="1"/>
  <c r="DG14" i="15" s="1"/>
  <c r="DC16" i="15"/>
  <c r="BL53" i="14"/>
  <c r="DM15" i="15"/>
  <c r="DN15" i="15" s="1"/>
  <c r="AO54" i="2"/>
  <c r="BS15" i="14"/>
  <c r="BS16" i="14" s="1"/>
  <c r="AM62" i="2"/>
  <c r="AM63" i="2" s="1"/>
  <c r="BE61" i="14"/>
  <c r="BE62" i="14" s="1"/>
  <c r="BH31" i="15"/>
  <c r="BI31" i="15" s="1"/>
  <c r="CI31" i="14"/>
  <c r="CI32" i="14"/>
  <c r="BU6" i="14"/>
  <c r="BU13" i="14" s="1"/>
  <c r="BU14" i="14" s="1"/>
  <c r="BU16" i="14" s="1"/>
  <c r="BY5" i="14"/>
  <c r="J44" i="22"/>
  <c r="J47" i="22" s="1"/>
  <c r="J45" i="22"/>
  <c r="J48" i="22" s="1"/>
  <c r="K49" i="22"/>
  <c r="L49" i="22" s="1"/>
  <c r="M49" i="22" s="1"/>
  <c r="N49" i="22" s="1"/>
  <c r="J46" i="22"/>
  <c r="O335" i="20"/>
  <c r="R334" i="20"/>
  <c r="Q333" i="20"/>
  <c r="P333" i="20" s="1"/>
  <c r="E305" i="5"/>
  <c r="C272" i="5"/>
  <c r="C273" i="5" s="1"/>
  <c r="K273" i="5"/>
  <c r="J274" i="5"/>
  <c r="L271" i="5"/>
  <c r="M271" i="5" s="1"/>
  <c r="K272" i="5"/>
  <c r="L272" i="5" s="1"/>
  <c r="D285" i="5"/>
  <c r="E285" i="5" s="1"/>
  <c r="F285" i="5" s="1"/>
  <c r="C274" i="5"/>
  <c r="BH44" i="14"/>
  <c r="BH46" i="14"/>
  <c r="BH47" i="14"/>
  <c r="BC46" i="14"/>
  <c r="BC44" i="14"/>
  <c r="BC47" i="14"/>
  <c r="C451" i="5"/>
  <c r="BD44" i="14"/>
  <c r="AP47" i="2"/>
  <c r="AS47" i="2"/>
  <c r="AN60" i="2"/>
  <c r="AV60" i="2"/>
  <c r="J36" i="16"/>
  <c r="AO60" i="2"/>
  <c r="BS7" i="16"/>
  <c r="AU47" i="2"/>
  <c r="BL59" i="14"/>
  <c r="CA391" i="5"/>
  <c r="AQ48" i="2"/>
  <c r="BJ46" i="14"/>
  <c r="AB391" i="5"/>
  <c r="BU14" i="2"/>
  <c r="AO57" i="2"/>
  <c r="BF44" i="14"/>
  <c r="BK47" i="14"/>
  <c r="BI47" i="14"/>
  <c r="AT60" i="2"/>
  <c r="S335" i="20"/>
  <c r="CH11" i="2"/>
  <c r="BB11" i="9"/>
  <c r="AV59" i="2"/>
  <c r="BY8" i="14"/>
  <c r="AU48" i="2"/>
  <c r="BJ421" i="5"/>
  <c r="BJ47" i="14"/>
  <c r="AO59" i="2"/>
  <c r="BK46" i="14"/>
  <c r="BB391" i="5"/>
  <c r="BA56" i="14"/>
  <c r="AN59" i="2"/>
  <c r="BL58" i="14"/>
  <c r="AQ45" i="2"/>
  <c r="DK20" i="2"/>
  <c r="DK15" i="2"/>
  <c r="AK451" i="5"/>
  <c r="BB421" i="5"/>
  <c r="BD47" i="14"/>
  <c r="AP48" i="2"/>
  <c r="T421" i="5"/>
  <c r="BU11" i="2"/>
  <c r="AF30" i="13"/>
  <c r="BA58" i="14"/>
  <c r="AQ47" i="2"/>
  <c r="AB421" i="5"/>
  <c r="BJ451" i="5"/>
  <c r="BF47" i="14"/>
  <c r="DK17" i="2"/>
  <c r="C421" i="5"/>
  <c r="AP45" i="2"/>
  <c r="BS451" i="5"/>
  <c r="AK421" i="5"/>
  <c r="K451" i="5"/>
  <c r="AS421" i="5"/>
  <c r="BI46" i="14"/>
  <c r="AS451" i="5"/>
  <c r="BS421" i="5"/>
  <c r="BD46" i="14"/>
  <c r="AS45" i="2"/>
  <c r="AV57" i="2"/>
  <c r="BH59" i="14"/>
  <c r="AK391" i="5"/>
  <c r="BL56" i="14"/>
  <c r="CJ39" i="16"/>
  <c r="AS391" i="5"/>
  <c r="AN57" i="2"/>
  <c r="CJ40" i="16"/>
  <c r="BJ391" i="5"/>
  <c r="CA421" i="5"/>
  <c r="BZ24" i="9"/>
  <c r="DA35" i="16"/>
  <c r="W13" i="19"/>
  <c r="CA451" i="5"/>
  <c r="BF46" i="14"/>
  <c r="BI44" i="14"/>
  <c r="AT57" i="2"/>
  <c r="DK16" i="2"/>
  <c r="DK19" i="2"/>
  <c r="BQ10" i="14"/>
  <c r="K421" i="5"/>
  <c r="AS48" i="2"/>
  <c r="BH58" i="14"/>
  <c r="BA59" i="14"/>
  <c r="AU45" i="2"/>
  <c r="CJ38" i="16"/>
  <c r="BJ44" i="14"/>
  <c r="BH56" i="14"/>
  <c r="BK44" i="14"/>
  <c r="AT59" i="2"/>
  <c r="BU13" i="2"/>
  <c r="AJ188" i="13" l="1"/>
  <c r="AK188" i="13" s="1"/>
  <c r="EV36" i="12"/>
  <c r="AL451" i="5"/>
  <c r="AM451" i="5" s="1"/>
  <c r="AK455" i="5"/>
  <c r="AK459" i="5" s="1"/>
  <c r="AK462" i="5" s="1"/>
  <c r="AL462" i="5" s="1"/>
  <c r="AM462" i="5" s="1"/>
  <c r="AN462" i="5" s="1"/>
  <c r="BC49" i="14"/>
  <c r="BH49" i="14"/>
  <c r="Q14" i="15"/>
  <c r="R14" i="15" s="1"/>
  <c r="CJ15" i="15"/>
  <c r="CK15" i="15" s="1"/>
  <c r="AO50" i="13"/>
  <c r="AP50" i="13" s="1"/>
  <c r="EH15" i="15"/>
  <c r="EI15" i="15" s="1"/>
  <c r="CC17" i="15"/>
  <c r="CD17" i="15" s="1"/>
  <c r="CK16" i="15"/>
  <c r="BC53" i="14"/>
  <c r="N450" i="5"/>
  <c r="O450" i="5" s="1"/>
  <c r="EY13" i="13"/>
  <c r="EZ13" i="13" s="1"/>
  <c r="S156" i="13"/>
  <c r="Q177" i="13"/>
  <c r="P178" i="13" s="1"/>
  <c r="P189" i="13" s="1"/>
  <c r="Q189" i="13" s="1"/>
  <c r="R189" i="13" s="1"/>
  <c r="S189" i="13" s="1"/>
  <c r="T189" i="13" s="1"/>
  <c r="D451" i="5"/>
  <c r="E451" i="5" s="1"/>
  <c r="F451" i="5" s="1"/>
  <c r="G451" i="5" s="1"/>
  <c r="C455" i="5"/>
  <c r="D455" i="5" s="1"/>
  <c r="E455" i="5" s="1"/>
  <c r="F455" i="5" s="1"/>
  <c r="AK178" i="13"/>
  <c r="CD428" i="5"/>
  <c r="CE428" i="5" s="1"/>
  <c r="EW10" i="13"/>
  <c r="EX10" i="13" s="1"/>
  <c r="EY10" i="13" s="1"/>
  <c r="EZ10" i="13" s="1"/>
  <c r="AS399" i="5"/>
  <c r="AT399" i="5" s="1"/>
  <c r="BM420" i="5"/>
  <c r="BN420" i="5" s="1"/>
  <c r="BB425" i="5"/>
  <c r="BB429" i="5" s="1"/>
  <c r="BC421" i="5"/>
  <c r="BD421" i="5" s="1"/>
  <c r="BE421" i="5" s="1"/>
  <c r="BF421" i="5" s="1"/>
  <c r="AG184" i="13"/>
  <c r="AG195" i="13" s="1"/>
  <c r="AG196" i="13" s="1"/>
  <c r="AD428" i="5"/>
  <c r="AE428" i="5" s="1"/>
  <c r="CE390" i="5"/>
  <c r="BC420" i="5"/>
  <c r="BD420" i="5" s="1"/>
  <c r="BE420" i="5" s="1"/>
  <c r="BF420" i="5" s="1"/>
  <c r="N458" i="5"/>
  <c r="O458" i="5" s="1"/>
  <c r="AS329" i="5"/>
  <c r="AT329" i="5" s="1"/>
  <c r="AU329" i="5" s="1"/>
  <c r="AV450" i="5"/>
  <c r="AW450" i="5" s="1"/>
  <c r="AW420" i="5"/>
  <c r="BF449" i="5"/>
  <c r="BM390" i="5"/>
  <c r="BN390" i="5" s="1"/>
  <c r="AE390" i="5"/>
  <c r="AF390" i="5" s="1"/>
  <c r="N420" i="5"/>
  <c r="O420" i="5" s="1"/>
  <c r="AV328" i="5"/>
  <c r="AK169" i="13"/>
  <c r="AE420" i="5"/>
  <c r="AF420" i="5" s="1"/>
  <c r="AO389" i="5"/>
  <c r="X428" i="5"/>
  <c r="AG205" i="13"/>
  <c r="AG206" i="13" s="1"/>
  <c r="AH206" i="13" s="1"/>
  <c r="AI206" i="13" s="1"/>
  <c r="AJ206" i="13" s="1"/>
  <c r="BS425" i="5"/>
  <c r="BT425" i="5" s="1"/>
  <c r="BU425" i="5" s="1"/>
  <c r="BT421" i="5"/>
  <c r="BU421" i="5" s="1"/>
  <c r="CE420" i="5"/>
  <c r="AV390" i="5"/>
  <c r="AW390" i="5" s="1"/>
  <c r="BM450" i="5"/>
  <c r="BN450" i="5" s="1"/>
  <c r="Y157" i="13"/>
  <c r="Z157" i="13" s="1"/>
  <c r="AA157" i="13" s="1"/>
  <c r="O159" i="13"/>
  <c r="N370" i="5"/>
  <c r="O370" i="5" s="1"/>
  <c r="D421" i="5"/>
  <c r="E421" i="5" s="1"/>
  <c r="C425" i="5"/>
  <c r="CH14" i="2"/>
  <c r="CH12" i="2"/>
  <c r="CI11" i="2"/>
  <c r="CJ11" i="2" s="1"/>
  <c r="CK11" i="2" s="1"/>
  <c r="CL11" i="2" s="1"/>
  <c r="AT451" i="5"/>
  <c r="AU451" i="5" s="1"/>
  <c r="AT62" i="2"/>
  <c r="AT63" i="2" s="1"/>
  <c r="BC391" i="5"/>
  <c r="BD391" i="5" s="1"/>
  <c r="BE391" i="5" s="1"/>
  <c r="BF391" i="5" s="1"/>
  <c r="BB395" i="5"/>
  <c r="BI49" i="14"/>
  <c r="BK49" i="14"/>
  <c r="BF49" i="14"/>
  <c r="AT421" i="5"/>
  <c r="AU421" i="5" s="1"/>
  <c r="AV421" i="5" s="1"/>
  <c r="CB451" i="5"/>
  <c r="CC451" i="5" s="1"/>
  <c r="BK451" i="5"/>
  <c r="BL451" i="5" s="1"/>
  <c r="BM451" i="5" s="1"/>
  <c r="BN451" i="5" s="1"/>
  <c r="AC421" i="5"/>
  <c r="AD421" i="5" s="1"/>
  <c r="AE421" i="5" s="1"/>
  <c r="AF421" i="5" s="1"/>
  <c r="AC391" i="5"/>
  <c r="AD391" i="5" s="1"/>
  <c r="AE391" i="5" s="1"/>
  <c r="L451" i="5"/>
  <c r="M451" i="5" s="1"/>
  <c r="CG11" i="9"/>
  <c r="BJ49" i="14"/>
  <c r="CB421" i="5"/>
  <c r="CC421" i="5" s="1"/>
  <c r="CD421" i="5" s="1"/>
  <c r="AQ50" i="2"/>
  <c r="BK391" i="5"/>
  <c r="BL391" i="5" s="1"/>
  <c r="BK421" i="5"/>
  <c r="BL421" i="5" s="1"/>
  <c r="CB391" i="5"/>
  <c r="CC391" i="5" s="1"/>
  <c r="CK38" i="16"/>
  <c r="CL38" i="16" s="1"/>
  <c r="CM38" i="16" s="1"/>
  <c r="CN38" i="16" s="1"/>
  <c r="AL421" i="5"/>
  <c r="AM421" i="5" s="1"/>
  <c r="AK425" i="5"/>
  <c r="AU50" i="2"/>
  <c r="AT391" i="5"/>
  <c r="AU391" i="5" s="1"/>
  <c r="AV391" i="5" s="1"/>
  <c r="AF32" i="13"/>
  <c r="AK395" i="5"/>
  <c r="AK399" i="5" s="1"/>
  <c r="AL399" i="5" s="1"/>
  <c r="AM399" i="5" s="1"/>
  <c r="AN399" i="5" s="1"/>
  <c r="AO399" i="5" s="1"/>
  <c r="AL391" i="5"/>
  <c r="AM391" i="5" s="1"/>
  <c r="AV62" i="2"/>
  <c r="AV63" i="2" s="1"/>
  <c r="BH61" i="14"/>
  <c r="BH62" i="14" s="1"/>
  <c r="U421" i="5"/>
  <c r="V421" i="5" s="1"/>
  <c r="W421" i="5" s="1"/>
  <c r="X421" i="5" s="1"/>
  <c r="T425" i="5"/>
  <c r="AN62" i="2"/>
  <c r="AN63" i="2" s="1"/>
  <c r="BB12" i="9"/>
  <c r="AS50" i="2"/>
  <c r="AP50" i="2"/>
  <c r="BD49" i="14"/>
  <c r="L421" i="5"/>
  <c r="M421" i="5" s="1"/>
  <c r="N421" i="5" s="1"/>
  <c r="BM47" i="15"/>
  <c r="BN47" i="15" s="1"/>
  <c r="BO47" i="15" s="1"/>
  <c r="BP47" i="15" s="1"/>
  <c r="BL48" i="15"/>
  <c r="X420" i="5"/>
  <c r="Q41" i="15"/>
  <c r="R41" i="15" s="1"/>
  <c r="BE13" i="15"/>
  <c r="BF13" i="15" s="1"/>
  <c r="BG13" i="15" s="1"/>
  <c r="BH13" i="15" s="1"/>
  <c r="BI13" i="15" s="1"/>
  <c r="CD450" i="5"/>
  <c r="CE450" i="5" s="1"/>
  <c r="AL64" i="13"/>
  <c r="AM64" i="13" s="1"/>
  <c r="AN64" i="13" s="1"/>
  <c r="AO64" i="13" s="1"/>
  <c r="AP64" i="13" s="1"/>
  <c r="AF47" i="13"/>
  <c r="AL48" i="13"/>
  <c r="AM48" i="13" s="1"/>
  <c r="AN48" i="13" s="1"/>
  <c r="AO48" i="13" s="1"/>
  <c r="AP48" i="13" s="1"/>
  <c r="AJ14" i="15"/>
  <c r="AK14" i="15" s="1"/>
  <c r="AL14" i="15" s="1"/>
  <c r="AM14" i="15" s="1"/>
  <c r="AI15" i="15"/>
  <c r="N27" i="15"/>
  <c r="O26" i="15"/>
  <c r="P26" i="15" s="1"/>
  <c r="Q26" i="15" s="1"/>
  <c r="R26" i="15" s="1"/>
  <c r="BL35" i="15"/>
  <c r="IF21" i="13"/>
  <c r="IG21" i="13" s="1"/>
  <c r="IH21" i="13" s="1"/>
  <c r="II21" i="13" s="1"/>
  <c r="IE22" i="13"/>
  <c r="IE23" i="13" s="1"/>
  <c r="CW12" i="15"/>
  <c r="CX12" i="15" s="1"/>
  <c r="CY12" i="15" s="1"/>
  <c r="CZ12" i="15" s="1"/>
  <c r="CV14" i="15"/>
  <c r="CO12" i="15"/>
  <c r="CP12" i="15" s="1"/>
  <c r="CQ12" i="15" s="1"/>
  <c r="CR12" i="15" s="1"/>
  <c r="CN18" i="15"/>
  <c r="BP57" i="15"/>
  <c r="BI53" i="14"/>
  <c r="BK53" i="14"/>
  <c r="BF53" i="14"/>
  <c r="CW16" i="2"/>
  <c r="CW19" i="2" s="1"/>
  <c r="CW15" i="2"/>
  <c r="CW18" i="2" s="1"/>
  <c r="DF15" i="15"/>
  <c r="DG15" i="15" s="1"/>
  <c r="M31" i="16"/>
  <c r="N31" i="16" s="1"/>
  <c r="AX29" i="15"/>
  <c r="AY28" i="15"/>
  <c r="AZ28" i="15" s="1"/>
  <c r="BA28" i="15" s="1"/>
  <c r="BB28" i="15" s="1"/>
  <c r="BL22" i="15"/>
  <c r="BM22" i="15" s="1"/>
  <c r="BN22" i="15" s="1"/>
  <c r="BO22" i="15" s="1"/>
  <c r="BP22" i="15" s="1"/>
  <c r="BM21" i="15"/>
  <c r="BN21" i="15" s="1"/>
  <c r="BO21" i="15" s="1"/>
  <c r="BP21" i="15" s="1"/>
  <c r="EE16" i="15"/>
  <c r="EE19" i="15" s="1"/>
  <c r="K34" i="16"/>
  <c r="L34" i="16" s="1"/>
  <c r="M34" i="16" s="1"/>
  <c r="N34" i="16" s="1"/>
  <c r="BL73" i="15"/>
  <c r="DJ16" i="15"/>
  <c r="DK14" i="15"/>
  <c r="DL14" i="15" s="1"/>
  <c r="DM14" i="15" s="1"/>
  <c r="DN14" i="15" s="1"/>
  <c r="DR14" i="15"/>
  <c r="DS14" i="15" s="1"/>
  <c r="DT14" i="15" s="1"/>
  <c r="DU14" i="15" s="1"/>
  <c r="DQ16" i="15"/>
  <c r="DS11" i="15"/>
  <c r="DT11" i="15" s="1"/>
  <c r="BT17" i="15"/>
  <c r="BU17" i="15" s="1"/>
  <c r="BV17" i="15" s="1"/>
  <c r="AF60" i="13"/>
  <c r="AF61" i="13" s="1"/>
  <c r="BJ53" i="14"/>
  <c r="BA26" i="15"/>
  <c r="BB26" i="15" s="1"/>
  <c r="AQ54" i="2"/>
  <c r="AU54" i="2"/>
  <c r="AF35" i="13"/>
  <c r="H16" i="15"/>
  <c r="I16" i="15" s="1"/>
  <c r="AO397" i="5"/>
  <c r="BS18" i="15"/>
  <c r="BT12" i="15"/>
  <c r="BU12" i="15" s="1"/>
  <c r="BV12" i="15" s="1"/>
  <c r="BW12" i="15" s="1"/>
  <c r="AS54" i="2"/>
  <c r="M30" i="16"/>
  <c r="N30" i="16" s="1"/>
  <c r="AP54" i="2"/>
  <c r="BD53" i="14"/>
  <c r="G455" i="5"/>
  <c r="CD458" i="5"/>
  <c r="CE458" i="5" s="1"/>
  <c r="BW391" i="5"/>
  <c r="W391" i="5"/>
  <c r="X391" i="5" s="1"/>
  <c r="CK40" i="16"/>
  <c r="CL40" i="16" s="1"/>
  <c r="CM40" i="16" s="1"/>
  <c r="CN40" i="16" s="1"/>
  <c r="AO62" i="2"/>
  <c r="AO63" i="2" s="1"/>
  <c r="BT7" i="16"/>
  <c r="BU7" i="16" s="1"/>
  <c r="BA61" i="14"/>
  <c r="BA62" i="14" s="1"/>
  <c r="BM62" i="14" s="1"/>
  <c r="BL61" i="14"/>
  <c r="BL62" i="14" s="1"/>
  <c r="BU15" i="2"/>
  <c r="BU16" i="2" s="1"/>
  <c r="CK39" i="16"/>
  <c r="CL39" i="16" s="1"/>
  <c r="CM39" i="16" s="1"/>
  <c r="CN39" i="16" s="1"/>
  <c r="K36" i="16"/>
  <c r="L36" i="16" s="1"/>
  <c r="M36" i="16"/>
  <c r="N36" i="16" s="1"/>
  <c r="J40" i="16"/>
  <c r="BS455" i="5"/>
  <c r="BT451" i="5"/>
  <c r="BU451" i="5" s="1"/>
  <c r="DK18" i="2"/>
  <c r="DM12" i="2"/>
  <c r="DC19" i="15"/>
  <c r="DD16" i="15"/>
  <c r="DE16" i="15" s="1"/>
  <c r="DF16" i="15" s="1"/>
  <c r="DG16" i="15" s="1"/>
  <c r="BT4" i="16"/>
  <c r="BU4" i="16" s="1"/>
  <c r="BV4" i="16" s="1"/>
  <c r="BW4" i="16" s="1"/>
  <c r="T399" i="5"/>
  <c r="U395" i="5"/>
  <c r="V395" i="5" s="1"/>
  <c r="W395" i="5" s="1"/>
  <c r="X395" i="5" s="1"/>
  <c r="AN3" i="2"/>
  <c r="AK5" i="2"/>
  <c r="AP17" i="15"/>
  <c r="AQ17" i="15" s="1"/>
  <c r="AR17" i="15" s="1"/>
  <c r="AS17" i="15" s="1"/>
  <c r="AT17" i="15" s="1"/>
  <c r="AQ15" i="15"/>
  <c r="AR15" i="15" s="1"/>
  <c r="AS15" i="15" s="1"/>
  <c r="AT15" i="15" s="1"/>
  <c r="BT395" i="5"/>
  <c r="BU395" i="5" s="1"/>
  <c r="BV395" i="5" s="1"/>
  <c r="BW395" i="5" s="1"/>
  <c r="BS399" i="5"/>
  <c r="BW6" i="2"/>
  <c r="BW13" i="2" s="1"/>
  <c r="BW14" i="2" s="1"/>
  <c r="BW16" i="2" s="1"/>
  <c r="CB5" i="2"/>
  <c r="BM6" i="16"/>
  <c r="BN4" i="16"/>
  <c r="BO4" i="16" s="1"/>
  <c r="BP4" i="16" s="1"/>
  <c r="BQ4" i="16" s="1"/>
  <c r="BM8" i="16"/>
  <c r="BM7" i="16"/>
  <c r="BM9" i="16"/>
  <c r="BM10" i="16"/>
  <c r="BM5" i="16"/>
  <c r="BA26" i="2"/>
  <c r="BA30" i="2"/>
  <c r="K35" i="16"/>
  <c r="L35" i="16" s="1"/>
  <c r="M35" i="16" s="1"/>
  <c r="N35" i="16" s="1"/>
  <c r="BE451" i="5"/>
  <c r="BF451" i="5" s="1"/>
  <c r="BM15" i="15"/>
  <c r="BN15" i="15" s="1"/>
  <c r="BO15" i="15" s="1"/>
  <c r="BP15" i="15" s="1"/>
  <c r="BL16" i="15"/>
  <c r="BE14" i="15"/>
  <c r="DY16" i="15"/>
  <c r="DZ16" i="15" s="1"/>
  <c r="EA16" i="15" s="1"/>
  <c r="EB16" i="15" s="1"/>
  <c r="DX19" i="15"/>
  <c r="BB459" i="5"/>
  <c r="BC455" i="5"/>
  <c r="BD455" i="5" s="1"/>
  <c r="BE455" i="5" s="1"/>
  <c r="AO462" i="5"/>
  <c r="Q334" i="20"/>
  <c r="P334" i="20" s="1"/>
  <c r="R335" i="20"/>
  <c r="Q335" i="20" s="1"/>
  <c r="P335" i="20" s="1"/>
  <c r="O336" i="20"/>
  <c r="D272" i="5"/>
  <c r="E272" i="5" s="1"/>
  <c r="F272" i="5" s="1"/>
  <c r="M272" i="5"/>
  <c r="K274" i="5"/>
  <c r="L274" i="5" s="1"/>
  <c r="J275" i="5"/>
  <c r="L273" i="5"/>
  <c r="M273" i="5" s="1"/>
  <c r="D274" i="5"/>
  <c r="E274" i="5" s="1"/>
  <c r="F274" i="5" s="1"/>
  <c r="D273" i="5"/>
  <c r="E273" i="5" s="1"/>
  <c r="F273" i="5" s="1"/>
  <c r="J223" i="5"/>
  <c r="J222" i="5"/>
  <c r="R211" i="5"/>
  <c r="R216" i="5"/>
  <c r="AF217" i="5"/>
  <c r="AF216" i="5"/>
  <c r="Y217" i="5"/>
  <c r="Y216" i="5"/>
  <c r="R217" i="5"/>
  <c r="J276" i="5"/>
  <c r="W14" i="19"/>
  <c r="AB430" i="5"/>
  <c r="BJ58" i="14"/>
  <c r="DL16" i="2"/>
  <c r="BM15" i="16"/>
  <c r="BF56" i="14"/>
  <c r="AU59" i="2"/>
  <c r="CA460" i="5"/>
  <c r="BI56" i="14"/>
  <c r="AP57" i="2"/>
  <c r="AS57" i="2"/>
  <c r="BM12" i="16"/>
  <c r="BK59" i="14"/>
  <c r="T165" i="13"/>
  <c r="BS8" i="16"/>
  <c r="AS430" i="5"/>
  <c r="CA430" i="5"/>
  <c r="BJ59" i="14"/>
  <c r="BY10" i="14"/>
  <c r="DL19" i="2"/>
  <c r="AU60" i="2"/>
  <c r="K460" i="5"/>
  <c r="BI58" i="14"/>
  <c r="AP59" i="2"/>
  <c r="AS460" i="5"/>
  <c r="K430" i="5"/>
  <c r="BD56" i="14"/>
  <c r="BM14" i="16"/>
  <c r="CA400" i="5"/>
  <c r="CB8" i="2"/>
  <c r="BF58" i="14"/>
  <c r="BI59" i="14"/>
  <c r="AS59" i="2"/>
  <c r="AQ59" i="2"/>
  <c r="BD58" i="14"/>
  <c r="BF59" i="14"/>
  <c r="AS60" i="2"/>
  <c r="AQ57" i="2"/>
  <c r="BJ460" i="5"/>
  <c r="BM13" i="16"/>
  <c r="AF33" i="13"/>
  <c r="X24" i="13" s="1"/>
  <c r="AB400" i="5"/>
  <c r="BJ400" i="5"/>
  <c r="BC56" i="14"/>
  <c r="BC59" i="14"/>
  <c r="BC58" i="14"/>
  <c r="X165" i="13"/>
  <c r="AS400" i="5"/>
  <c r="AF36" i="13"/>
  <c r="BM16" i="16"/>
  <c r="DL17" i="2"/>
  <c r="AU57" i="2"/>
  <c r="O161" i="13"/>
  <c r="O160" i="13"/>
  <c r="DL15" i="2"/>
  <c r="BM11" i="16"/>
  <c r="BJ430" i="5"/>
  <c r="BK58" i="14"/>
  <c r="AQ60" i="2"/>
  <c r="BD59" i="14"/>
  <c r="BS12" i="16"/>
  <c r="DL20" i="2"/>
  <c r="BJ56" i="14"/>
  <c r="AP60" i="2"/>
  <c r="BK56" i="14"/>
  <c r="S336" i="20"/>
  <c r="Q178" i="13" l="1"/>
  <c r="R178" i="13" s="1"/>
  <c r="AN451" i="5"/>
  <c r="AO451" i="5" s="1"/>
  <c r="C459" i="5"/>
  <c r="D459" i="5" s="1"/>
  <c r="E459" i="5" s="1"/>
  <c r="F459" i="5" s="1"/>
  <c r="G459" i="5" s="1"/>
  <c r="BC61" i="14"/>
  <c r="BC62" i="14" s="1"/>
  <c r="EF16" i="15"/>
  <c r="EG16" i="15" s="1"/>
  <c r="EH16" i="15" s="1"/>
  <c r="EI16" i="15" s="1"/>
  <c r="AL455" i="5"/>
  <c r="AM455" i="5" s="1"/>
  <c r="AN455" i="5" s="1"/>
  <c r="AO455" i="5" s="1"/>
  <c r="AL459" i="5"/>
  <c r="AM459" i="5" s="1"/>
  <c r="AN459" i="5" s="1"/>
  <c r="BC425" i="5"/>
  <c r="BD425" i="5" s="1"/>
  <c r="BE425" i="5" s="1"/>
  <c r="BF425" i="5" s="1"/>
  <c r="AU399" i="5"/>
  <c r="AV399" i="5" s="1"/>
  <c r="AW399" i="5" s="1"/>
  <c r="AH205" i="13"/>
  <c r="AI205" i="13" s="1"/>
  <c r="AJ205" i="13" s="1"/>
  <c r="AK205" i="13" s="1"/>
  <c r="AF428" i="5"/>
  <c r="AV451" i="5"/>
  <c r="AW451" i="5" s="1"/>
  <c r="BV421" i="5"/>
  <c r="BW421" i="5" s="1"/>
  <c r="AG186" i="13"/>
  <c r="AN163" i="13"/>
  <c r="AN164" i="13" s="1"/>
  <c r="AH184" i="13"/>
  <c r="AI184" i="13" s="1"/>
  <c r="AJ184" i="13" s="1"/>
  <c r="AK184" i="13" s="1"/>
  <c r="R177" i="13"/>
  <c r="P179" i="13" s="1"/>
  <c r="Q179" i="13" s="1"/>
  <c r="AG207" i="13"/>
  <c r="AG224" i="13" s="1"/>
  <c r="AH224" i="13" s="1"/>
  <c r="AI224" i="13" s="1"/>
  <c r="AJ224" i="13" s="1"/>
  <c r="C462" i="5"/>
  <c r="C465" i="5" s="1"/>
  <c r="D465" i="5" s="1"/>
  <c r="E465" i="5" s="1"/>
  <c r="F465" i="5" s="1"/>
  <c r="BM391" i="5"/>
  <c r="BN391" i="5" s="1"/>
  <c r="AV329" i="5"/>
  <c r="O421" i="5"/>
  <c r="BV425" i="5"/>
  <c r="BW425" i="5" s="1"/>
  <c r="BS429" i="5"/>
  <c r="BS432" i="5" s="1"/>
  <c r="BT432" i="5" s="1"/>
  <c r="BU432" i="5" s="1"/>
  <c r="BV432" i="5" s="1"/>
  <c r="BW432" i="5" s="1"/>
  <c r="BM421" i="5"/>
  <c r="BN421" i="5" s="1"/>
  <c r="AL395" i="5"/>
  <c r="AM395" i="5" s="1"/>
  <c r="AN395" i="5" s="1"/>
  <c r="AO395" i="5" s="1"/>
  <c r="CE421" i="5"/>
  <c r="AW421" i="5"/>
  <c r="AK402" i="5"/>
  <c r="AL402" i="5" s="1"/>
  <c r="AM402" i="5" s="1"/>
  <c r="Y165" i="13"/>
  <c r="Z165" i="13" s="1"/>
  <c r="AA165" i="13" s="1"/>
  <c r="CD451" i="5"/>
  <c r="CE451" i="5" s="1"/>
  <c r="N451" i="5"/>
  <c r="O451" i="5" s="1"/>
  <c r="P159" i="13"/>
  <c r="Q159" i="13" s="1"/>
  <c r="R159" i="13" s="1"/>
  <c r="S159" i="13" s="1"/>
  <c r="Y24" i="13"/>
  <c r="Z24" i="13" s="1"/>
  <c r="AA24" i="13" s="1"/>
  <c r="AB24" i="13" s="1"/>
  <c r="BJ402" i="5"/>
  <c r="BK402" i="5" s="1"/>
  <c r="BL402" i="5" s="1"/>
  <c r="BM402" i="5" s="1"/>
  <c r="BK400" i="5"/>
  <c r="BL400" i="5" s="1"/>
  <c r="BJ462" i="5"/>
  <c r="BJ465" i="5" s="1"/>
  <c r="BB465" i="5" s="1"/>
  <c r="BC465" i="5" s="1"/>
  <c r="BD465" i="5" s="1"/>
  <c r="BK460" i="5"/>
  <c r="BL460" i="5" s="1"/>
  <c r="BM460" i="5" s="1"/>
  <c r="AS432" i="5"/>
  <c r="AS435" i="5" s="1"/>
  <c r="AT435" i="5" s="1"/>
  <c r="AU435" i="5" s="1"/>
  <c r="AV435" i="5" s="1"/>
  <c r="AT430" i="5"/>
  <c r="AU430" i="5" s="1"/>
  <c r="BD61" i="14"/>
  <c r="BD62" i="14" s="1"/>
  <c r="AQ62" i="2"/>
  <c r="AQ63" i="2" s="1"/>
  <c r="BK61" i="14"/>
  <c r="BK62" i="14" s="1"/>
  <c r="L430" i="5"/>
  <c r="M430" i="5" s="1"/>
  <c r="N430" i="5" s="1"/>
  <c r="K432" i="5"/>
  <c r="L432" i="5" s="1"/>
  <c r="BJ432" i="5"/>
  <c r="BK432" i="5" s="1"/>
  <c r="BK430" i="5"/>
  <c r="BL430" i="5" s="1"/>
  <c r="AC400" i="5"/>
  <c r="AD400" i="5" s="1"/>
  <c r="AB402" i="5"/>
  <c r="AB405" i="5" s="1"/>
  <c r="AC405" i="5" s="1"/>
  <c r="AD405" i="5" s="1"/>
  <c r="AS462" i="5"/>
  <c r="AT462" i="5" s="1"/>
  <c r="AT460" i="5"/>
  <c r="AU460" i="5" s="1"/>
  <c r="AS62" i="2"/>
  <c r="AS63" i="2" s="1"/>
  <c r="AP62" i="2"/>
  <c r="AP63" i="2" s="1"/>
  <c r="O162" i="13"/>
  <c r="P162" i="13" s="1"/>
  <c r="Q162" i="13" s="1"/>
  <c r="R162" i="13" s="1"/>
  <c r="S162" i="13" s="1"/>
  <c r="P160" i="13"/>
  <c r="Q160" i="13" s="1"/>
  <c r="BI61" i="14"/>
  <c r="BI62" i="14" s="1"/>
  <c r="X167" i="13"/>
  <c r="X169" i="13" s="1"/>
  <c r="Y169" i="13" s="1"/>
  <c r="Z169" i="13" s="1"/>
  <c r="AA169" i="13" s="1"/>
  <c r="P161" i="13"/>
  <c r="Q161" i="13" s="1"/>
  <c r="AF48" i="13"/>
  <c r="K462" i="5"/>
  <c r="K465" i="5" s="1"/>
  <c r="L465" i="5" s="1"/>
  <c r="M465" i="5" s="1"/>
  <c r="L460" i="5"/>
  <c r="M460" i="5" s="1"/>
  <c r="N460" i="5" s="1"/>
  <c r="O460" i="5" s="1"/>
  <c r="CA462" i="5"/>
  <c r="CB462" i="5" s="1"/>
  <c r="CC462" i="5" s="1"/>
  <c r="CD462" i="5" s="1"/>
  <c r="CE462" i="5" s="1"/>
  <c r="CB460" i="5"/>
  <c r="CC460" i="5" s="1"/>
  <c r="AU62" i="2"/>
  <c r="AU63" i="2" s="1"/>
  <c r="BF61" i="14"/>
  <c r="BF62" i="14" s="1"/>
  <c r="BJ61" i="14"/>
  <c r="BJ62" i="14" s="1"/>
  <c r="AT400" i="5"/>
  <c r="AU400" i="5" s="1"/>
  <c r="AV400" i="5" s="1"/>
  <c r="AS402" i="5"/>
  <c r="AS405" i="5" s="1"/>
  <c r="AT405" i="5" s="1"/>
  <c r="CA402" i="5"/>
  <c r="CB402" i="5" s="1"/>
  <c r="CC402" i="5" s="1"/>
  <c r="CB400" i="5"/>
  <c r="CC400" i="5" s="1"/>
  <c r="CD400" i="5" s="1"/>
  <c r="CB430" i="5"/>
  <c r="CC430" i="5" s="1"/>
  <c r="CA432" i="5"/>
  <c r="CA435" i="5" s="1"/>
  <c r="CB435" i="5" s="1"/>
  <c r="CC435" i="5" s="1"/>
  <c r="AB432" i="5"/>
  <c r="AB435" i="5" s="1"/>
  <c r="T435" i="5" s="1"/>
  <c r="U435" i="5" s="1"/>
  <c r="V435" i="5" s="1"/>
  <c r="W435" i="5" s="1"/>
  <c r="AC430" i="5"/>
  <c r="AD430" i="5" s="1"/>
  <c r="AE430" i="5" s="1"/>
  <c r="U425" i="5"/>
  <c r="V425" i="5" s="1"/>
  <c r="W425" i="5" s="1"/>
  <c r="X425" i="5" s="1"/>
  <c r="T429" i="5"/>
  <c r="CH19" i="2"/>
  <c r="CH16" i="2"/>
  <c r="AF391" i="5"/>
  <c r="AW391" i="5"/>
  <c r="BW17" i="15"/>
  <c r="DQ19" i="15"/>
  <c r="DR16" i="15"/>
  <c r="DS16" i="15" s="1"/>
  <c r="DT16" i="15" s="1"/>
  <c r="DU16" i="15" s="1"/>
  <c r="AI17" i="15"/>
  <c r="AJ17" i="15" s="1"/>
  <c r="AK17" i="15" s="1"/>
  <c r="AL17" i="15" s="1"/>
  <c r="AM17" i="15" s="1"/>
  <c r="AJ15" i="15"/>
  <c r="AK15" i="15" s="1"/>
  <c r="AL15" i="15" s="1"/>
  <c r="AM15" i="15" s="1"/>
  <c r="BC395" i="5"/>
  <c r="BD395" i="5" s="1"/>
  <c r="BE395" i="5" s="1"/>
  <c r="BF395" i="5" s="1"/>
  <c r="BB399" i="5"/>
  <c r="F421" i="5"/>
  <c r="G421" i="5" s="1"/>
  <c r="O27" i="15"/>
  <c r="P27" i="15" s="1"/>
  <c r="Q27" i="15" s="1"/>
  <c r="R27" i="15" s="1"/>
  <c r="AF62" i="13"/>
  <c r="AF63" i="13" s="1"/>
  <c r="AL71" i="13"/>
  <c r="AM71" i="13" s="1"/>
  <c r="AN71" i="13" s="1"/>
  <c r="AO71" i="13" s="1"/>
  <c r="AP71" i="13" s="1"/>
  <c r="AF49" i="13"/>
  <c r="AL76" i="13"/>
  <c r="AM76" i="13" s="1"/>
  <c r="AN76" i="13" s="1"/>
  <c r="AO76" i="13" s="1"/>
  <c r="AP76" i="13" s="1"/>
  <c r="AN391" i="5"/>
  <c r="AO391" i="5" s="1"/>
  <c r="CW14" i="15"/>
  <c r="CX14" i="15" s="1"/>
  <c r="CY14" i="15" s="1"/>
  <c r="CZ14" i="15" s="1"/>
  <c r="CV19" i="15"/>
  <c r="AF50" i="13"/>
  <c r="AN421" i="5"/>
  <c r="AO421" i="5" s="1"/>
  <c r="C429" i="5"/>
  <c r="D425" i="5"/>
  <c r="E425" i="5" s="1"/>
  <c r="F425" i="5" s="1"/>
  <c r="G425" i="5" s="1"/>
  <c r="DJ27" i="15"/>
  <c r="DK16" i="15"/>
  <c r="DL16" i="15" s="1"/>
  <c r="DM16" i="15" s="1"/>
  <c r="DJ19" i="15"/>
  <c r="CD391" i="5"/>
  <c r="CE391" i="5" s="1"/>
  <c r="DU11" i="15"/>
  <c r="AY29" i="15"/>
  <c r="AZ29" i="15" s="1"/>
  <c r="BA29" i="15" s="1"/>
  <c r="BB29" i="15" s="1"/>
  <c r="AX30" i="15"/>
  <c r="AL425" i="5"/>
  <c r="AM425" i="5" s="1"/>
  <c r="AN425" i="5" s="1"/>
  <c r="AO425" i="5" s="1"/>
  <c r="AK429" i="5"/>
  <c r="CI12" i="2"/>
  <c r="CJ12" i="2" s="1"/>
  <c r="CK12" i="2" s="1"/>
  <c r="CL12" i="2" s="1"/>
  <c r="CH20" i="2"/>
  <c r="CI20" i="2" s="1"/>
  <c r="CJ20" i="2" s="1"/>
  <c r="CK20" i="2" s="1"/>
  <c r="CL20" i="2" s="1"/>
  <c r="AG197" i="13"/>
  <c r="AG198" i="13" s="1"/>
  <c r="AH195" i="13"/>
  <c r="AI195" i="13" s="1"/>
  <c r="AJ195" i="13" s="1"/>
  <c r="AK195" i="13" s="1"/>
  <c r="S178" i="13"/>
  <c r="T178" i="13" s="1"/>
  <c r="BF455" i="5"/>
  <c r="N465" i="5"/>
  <c r="O465" i="5" s="1"/>
  <c r="BN15" i="16"/>
  <c r="BO15" i="16" s="1"/>
  <c r="BP15" i="16" s="1"/>
  <c r="BN12" i="16"/>
  <c r="BO12" i="16" s="1"/>
  <c r="BP12" i="16" s="1"/>
  <c r="BQ12" i="16" s="1"/>
  <c r="BT12" i="16"/>
  <c r="BU12" i="16" s="1"/>
  <c r="BS15" i="16"/>
  <c r="BT15" i="16" s="1"/>
  <c r="BU15" i="16" s="1"/>
  <c r="BV15" i="16" s="1"/>
  <c r="BW15" i="16" s="1"/>
  <c r="DL18" i="2"/>
  <c r="BN16" i="16"/>
  <c r="BO16" i="16" s="1"/>
  <c r="BP16" i="16" s="1"/>
  <c r="BQ16" i="16" s="1"/>
  <c r="BN13" i="16"/>
  <c r="BO13" i="16" s="1"/>
  <c r="BN11" i="16"/>
  <c r="BO11" i="16" s="1"/>
  <c r="BP11" i="16" s="1"/>
  <c r="BQ11" i="16" s="1"/>
  <c r="BN14" i="16"/>
  <c r="BO14" i="16" s="1"/>
  <c r="BP14" i="16" s="1"/>
  <c r="BQ14" i="16" s="1"/>
  <c r="BT8" i="16"/>
  <c r="BU8" i="16" s="1"/>
  <c r="BV8" i="16" s="1"/>
  <c r="BW8" i="16" s="1"/>
  <c r="BS10" i="16"/>
  <c r="DX25" i="15"/>
  <c r="DX21" i="15"/>
  <c r="DX27" i="15"/>
  <c r="DX23" i="15"/>
  <c r="DC27" i="15"/>
  <c r="DC25" i="15"/>
  <c r="DC23" i="15"/>
  <c r="DC21" i="15"/>
  <c r="BF14" i="15"/>
  <c r="BG14" i="15" s="1"/>
  <c r="BH14" i="15" s="1"/>
  <c r="BI14" i="15" s="1"/>
  <c r="BE20" i="15"/>
  <c r="BL17" i="15"/>
  <c r="BM16" i="15"/>
  <c r="BN16" i="15" s="1"/>
  <c r="BO16" i="15" s="1"/>
  <c r="BP16" i="15" s="1"/>
  <c r="BN9" i="16"/>
  <c r="BO9" i="16" s="1"/>
  <c r="BP9" i="16" s="1"/>
  <c r="BQ9" i="16" s="1"/>
  <c r="BN6" i="16"/>
  <c r="BO6" i="16" s="1"/>
  <c r="BP6" i="16" s="1"/>
  <c r="BQ6" i="16" s="1"/>
  <c r="BS402" i="5"/>
  <c r="BT402" i="5" s="1"/>
  <c r="BU402" i="5" s="1"/>
  <c r="BV402" i="5" s="1"/>
  <c r="BW402" i="5" s="1"/>
  <c r="BT399" i="5"/>
  <c r="BU399" i="5" s="1"/>
  <c r="BV399" i="5" s="1"/>
  <c r="BW399" i="5" s="1"/>
  <c r="BV451" i="5"/>
  <c r="BW451" i="5" s="1"/>
  <c r="K40" i="16"/>
  <c r="L40" i="16" s="1"/>
  <c r="M40" i="16" s="1"/>
  <c r="N40" i="16" s="1"/>
  <c r="J42" i="16"/>
  <c r="BV7" i="16"/>
  <c r="BW7" i="16" s="1"/>
  <c r="BN10" i="16"/>
  <c r="BO10" i="16" s="1"/>
  <c r="BP10" i="16" s="1"/>
  <c r="BQ10" i="16" s="1"/>
  <c r="T402" i="5"/>
  <c r="U399" i="5"/>
  <c r="BA32" i="2"/>
  <c r="BA31" i="2"/>
  <c r="BN7" i="16"/>
  <c r="BO7" i="16" s="1"/>
  <c r="BP7" i="16" s="1"/>
  <c r="BQ7" i="16" s="1"/>
  <c r="CB14" i="2"/>
  <c r="DN12" i="2"/>
  <c r="BC459" i="5"/>
  <c r="BD459" i="5" s="1"/>
  <c r="BE459" i="5" s="1"/>
  <c r="BB462" i="5"/>
  <c r="EE27" i="15"/>
  <c r="EE23" i="15"/>
  <c r="EE21" i="15"/>
  <c r="EE25" i="15"/>
  <c r="BN5" i="16"/>
  <c r="BO5" i="16" s="1"/>
  <c r="BP5" i="16" s="1"/>
  <c r="BQ5" i="16" s="1"/>
  <c r="BN8" i="16"/>
  <c r="BO8" i="16" s="1"/>
  <c r="BP8" i="16" s="1"/>
  <c r="BQ8" i="16" s="1"/>
  <c r="BT455" i="5"/>
  <c r="BU455" i="5" s="1"/>
  <c r="BV455" i="5" s="1"/>
  <c r="BS459" i="5"/>
  <c r="BC2" i="14"/>
  <c r="AZ4" i="14"/>
  <c r="AK206" i="13"/>
  <c r="BC429" i="5"/>
  <c r="BD429" i="5" s="1"/>
  <c r="BE429" i="5" s="1"/>
  <c r="BB432" i="5"/>
  <c r="R336" i="20"/>
  <c r="O337" i="20"/>
  <c r="Y218" i="5"/>
  <c r="AF218" i="5"/>
  <c r="AF211" i="5" s="1"/>
  <c r="AG211" i="5" s="1"/>
  <c r="AH211" i="5" s="1"/>
  <c r="M274" i="5"/>
  <c r="K275" i="5"/>
  <c r="D218" i="5"/>
  <c r="R207" i="5"/>
  <c r="S211" i="5"/>
  <c r="U218" i="5"/>
  <c r="T218" i="5"/>
  <c r="S218" i="5"/>
  <c r="Y211" i="5"/>
  <c r="Y207" i="5"/>
  <c r="AF207" i="5"/>
  <c r="AG206" i="5"/>
  <c r="AH206" i="5" s="1"/>
  <c r="Z206" i="5"/>
  <c r="K211" i="5"/>
  <c r="K207" i="5"/>
  <c r="K208" i="5"/>
  <c r="J230" i="5"/>
  <c r="R208" i="5"/>
  <c r="J224" i="5"/>
  <c r="Y208" i="5"/>
  <c r="AF208" i="5"/>
  <c r="X166" i="13"/>
  <c r="BY11" i="14"/>
  <c r="N29" i="15"/>
  <c r="DM17" i="2"/>
  <c r="DM20" i="2"/>
  <c r="AB65" i="13"/>
  <c r="W15" i="19"/>
  <c r="AK94" i="13"/>
  <c r="CB10" i="2"/>
  <c r="BS11" i="16"/>
  <c r="BS9" i="16"/>
  <c r="W16" i="19"/>
  <c r="S337" i="20"/>
  <c r="AF37" i="13"/>
  <c r="DM16" i="2"/>
  <c r="DM19" i="2"/>
  <c r="AL46" i="13"/>
  <c r="DM15" i="2"/>
  <c r="Y166" i="13" l="1"/>
  <c r="Z166" i="13" s="1"/>
  <c r="AA166" i="13" s="1"/>
  <c r="AO459" i="5"/>
  <c r="AF51" i="13"/>
  <c r="AF52" i="13" s="1"/>
  <c r="BJ435" i="5"/>
  <c r="BB435" i="5" s="1"/>
  <c r="BC435" i="5" s="1"/>
  <c r="R161" i="13"/>
  <c r="S161" i="13" s="1"/>
  <c r="AG187" i="13"/>
  <c r="AG199" i="13"/>
  <c r="AG225" i="13"/>
  <c r="AH225" i="13" s="1"/>
  <c r="AI225" i="13" s="1"/>
  <c r="AJ225" i="13" s="1"/>
  <c r="BS435" i="5"/>
  <c r="BT435" i="5" s="1"/>
  <c r="BU435" i="5" s="1"/>
  <c r="AH186" i="13"/>
  <c r="AI186" i="13" s="1"/>
  <c r="AJ186" i="13" s="1"/>
  <c r="AK186" i="13" s="1"/>
  <c r="BE465" i="5"/>
  <c r="BF465" i="5" s="1"/>
  <c r="AE400" i="5"/>
  <c r="AF400" i="5" s="1"/>
  <c r="P190" i="13"/>
  <c r="Q190" i="13" s="1"/>
  <c r="R190" i="13" s="1"/>
  <c r="S190" i="13" s="1"/>
  <c r="T190" i="13" s="1"/>
  <c r="R179" i="13"/>
  <c r="S179" i="13" s="1"/>
  <c r="T179" i="13" s="1"/>
  <c r="M432" i="5"/>
  <c r="N432" i="5" s="1"/>
  <c r="AT402" i="5"/>
  <c r="AU402" i="5" s="1"/>
  <c r="AV402" i="5" s="1"/>
  <c r="AW402" i="5" s="1"/>
  <c r="BM430" i="5"/>
  <c r="BN430" i="5" s="1"/>
  <c r="AK405" i="5"/>
  <c r="AL405" i="5" s="1"/>
  <c r="AM405" i="5" s="1"/>
  <c r="CB432" i="5"/>
  <c r="CC432" i="5" s="1"/>
  <c r="K435" i="5"/>
  <c r="L435" i="5" s="1"/>
  <c r="M435" i="5" s="1"/>
  <c r="N435" i="5" s="1"/>
  <c r="BK465" i="5"/>
  <c r="BL465" i="5" s="1"/>
  <c r="BM465" i="5" s="1"/>
  <c r="BN465" i="5" s="1"/>
  <c r="L462" i="5"/>
  <c r="M462" i="5" s="1"/>
  <c r="BK462" i="5"/>
  <c r="BL462" i="5" s="1"/>
  <c r="BM462" i="5" s="1"/>
  <c r="BN462" i="5" s="1"/>
  <c r="AH207" i="13"/>
  <c r="AI207" i="13" s="1"/>
  <c r="AJ207" i="13" s="1"/>
  <c r="AK207" i="13" s="1"/>
  <c r="G465" i="5"/>
  <c r="D462" i="5"/>
  <c r="E462" i="5" s="1"/>
  <c r="F462" i="5" s="1"/>
  <c r="G462" i="5" s="1"/>
  <c r="CD435" i="5"/>
  <c r="CE435" i="5" s="1"/>
  <c r="AK224" i="13"/>
  <c r="BT429" i="5"/>
  <c r="BU429" i="5" s="1"/>
  <c r="BV429" i="5" s="1"/>
  <c r="BW429" i="5" s="1"/>
  <c r="BN402" i="5"/>
  <c r="AU462" i="5"/>
  <c r="AV462" i="5" s="1"/>
  <c r="CE400" i="5"/>
  <c r="BJ405" i="5"/>
  <c r="BB405" i="5" s="1"/>
  <c r="BC405" i="5" s="1"/>
  <c r="BD405" i="5" s="1"/>
  <c r="CA465" i="5"/>
  <c r="BS465" i="5" s="1"/>
  <c r="BT465" i="5" s="1"/>
  <c r="BM400" i="5"/>
  <c r="BN400" i="5" s="1"/>
  <c r="AW400" i="5"/>
  <c r="AV460" i="5"/>
  <c r="AW460" i="5" s="1"/>
  <c r="AS465" i="5"/>
  <c r="AT465" i="5" s="1"/>
  <c r="AU465" i="5" s="1"/>
  <c r="AK435" i="5"/>
  <c r="AL435" i="5" s="1"/>
  <c r="AM435" i="5" s="1"/>
  <c r="AF430" i="5"/>
  <c r="AT432" i="5"/>
  <c r="AU432" i="5" s="1"/>
  <c r="AV432" i="5" s="1"/>
  <c r="R160" i="13"/>
  <c r="S160" i="13" s="1"/>
  <c r="AN402" i="5"/>
  <c r="AO402" i="5" s="1"/>
  <c r="CD460" i="5"/>
  <c r="CE460" i="5" s="1"/>
  <c r="O430" i="5"/>
  <c r="CD430" i="5"/>
  <c r="CE430" i="5" s="1"/>
  <c r="BL432" i="5"/>
  <c r="BM432" i="5" s="1"/>
  <c r="AV430" i="5"/>
  <c r="AW430" i="5" s="1"/>
  <c r="AW435" i="5"/>
  <c r="O166" i="13"/>
  <c r="P166" i="13" s="1"/>
  <c r="Q166" i="13" s="1"/>
  <c r="R166" i="13" s="1"/>
  <c r="S166" i="13" s="1"/>
  <c r="AC402" i="5"/>
  <c r="AD402" i="5" s="1"/>
  <c r="AE402" i="5" s="1"/>
  <c r="AF402" i="5" s="1"/>
  <c r="CA405" i="5"/>
  <c r="BS405" i="5" s="1"/>
  <c r="BT405" i="5" s="1"/>
  <c r="BU405" i="5" s="1"/>
  <c r="X435" i="5"/>
  <c r="AC435" i="5"/>
  <c r="AD435" i="5" s="1"/>
  <c r="AE435" i="5" s="1"/>
  <c r="AF435" i="5" s="1"/>
  <c r="BN460" i="5"/>
  <c r="CD402" i="5"/>
  <c r="CE402" i="5" s="1"/>
  <c r="AE405" i="5"/>
  <c r="AF405" i="5" s="1"/>
  <c r="AC432" i="5"/>
  <c r="AD432" i="5" s="1"/>
  <c r="AE432" i="5" s="1"/>
  <c r="AF432" i="5" s="1"/>
  <c r="O29" i="15"/>
  <c r="P29" i="15" s="1"/>
  <c r="Q29" i="15" s="1"/>
  <c r="R29" i="15" s="1"/>
  <c r="AL47" i="13"/>
  <c r="AM46" i="13"/>
  <c r="AN46" i="13" s="1"/>
  <c r="AO46" i="13" s="1"/>
  <c r="AP46" i="13" s="1"/>
  <c r="AL429" i="5"/>
  <c r="AM429" i="5" s="1"/>
  <c r="AN429" i="5" s="1"/>
  <c r="AK432" i="5"/>
  <c r="DN16" i="15"/>
  <c r="AF74" i="13"/>
  <c r="AF64" i="13"/>
  <c r="AF65" i="13" s="1"/>
  <c r="AB63" i="13"/>
  <c r="AF72" i="13"/>
  <c r="AF73" i="13" s="1"/>
  <c r="AF75" i="13"/>
  <c r="AF76" i="13" s="1"/>
  <c r="BC399" i="5"/>
  <c r="BD399" i="5" s="1"/>
  <c r="BE399" i="5" s="1"/>
  <c r="BF399" i="5" s="1"/>
  <c r="BB402" i="5"/>
  <c r="BC402" i="5" s="1"/>
  <c r="BD402" i="5" s="1"/>
  <c r="DJ33" i="15"/>
  <c r="DJ31" i="15"/>
  <c r="DJ29" i="15"/>
  <c r="DQ23" i="15"/>
  <c r="DQ27" i="15"/>
  <c r="DQ21" i="15"/>
  <c r="DQ25" i="15"/>
  <c r="CH17" i="2"/>
  <c r="CH18" i="2"/>
  <c r="DJ21" i="15"/>
  <c r="DJ25" i="15"/>
  <c r="DJ23" i="15"/>
  <c r="CV23" i="15"/>
  <c r="CV27" i="15"/>
  <c r="CV25" i="15"/>
  <c r="CV21" i="15"/>
  <c r="D429" i="5"/>
  <c r="E429" i="5" s="1"/>
  <c r="F429" i="5" s="1"/>
  <c r="G429" i="5" s="1"/>
  <c r="C432" i="5"/>
  <c r="U429" i="5"/>
  <c r="V429" i="5" s="1"/>
  <c r="W429" i="5" s="1"/>
  <c r="X429" i="5" s="1"/>
  <c r="T432" i="5"/>
  <c r="U432" i="5" s="1"/>
  <c r="V432" i="5" s="1"/>
  <c r="W432" i="5" s="1"/>
  <c r="X432" i="5" s="1"/>
  <c r="Y167" i="13"/>
  <c r="Z167" i="13" s="1"/>
  <c r="AA167" i="13" s="1"/>
  <c r="X168" i="13"/>
  <c r="Y168" i="13" s="1"/>
  <c r="Z168" i="13" s="1"/>
  <c r="AA168" i="13" s="1"/>
  <c r="AH197" i="13"/>
  <c r="AI197" i="13" s="1"/>
  <c r="AJ197" i="13" s="1"/>
  <c r="AK197" i="13" s="1"/>
  <c r="BF459" i="5"/>
  <c r="BT11" i="16"/>
  <c r="BU11" i="16" s="1"/>
  <c r="BV11" i="16" s="1"/>
  <c r="BW11" i="16" s="1"/>
  <c r="BS14" i="16"/>
  <c r="BT14" i="16" s="1"/>
  <c r="BU14" i="16" s="1"/>
  <c r="BV14" i="16" s="1"/>
  <c r="BW14" i="16" s="1"/>
  <c r="BY12" i="14"/>
  <c r="BY13" i="14" s="1"/>
  <c r="BZ11" i="14"/>
  <c r="CA11" i="14" s="1"/>
  <c r="CB11" i="14" s="1"/>
  <c r="CC11" i="14" s="1"/>
  <c r="DM18" i="2"/>
  <c r="BS13" i="16"/>
  <c r="BT13" i="16" s="1"/>
  <c r="BU13" i="16" s="1"/>
  <c r="BV13" i="16" s="1"/>
  <c r="BW13" i="16" s="1"/>
  <c r="BT9" i="16"/>
  <c r="BU9" i="16" s="1"/>
  <c r="BV9" i="16" s="1"/>
  <c r="BW9" i="16" s="1"/>
  <c r="BT10" i="16"/>
  <c r="BU10" i="16" s="1"/>
  <c r="BV10" i="16" s="1"/>
  <c r="BW10" i="16" s="1"/>
  <c r="T405" i="5"/>
  <c r="U405" i="5" s="1"/>
  <c r="V405" i="5" s="1"/>
  <c r="W405" i="5" s="1"/>
  <c r="U402" i="5"/>
  <c r="V402" i="5" s="1"/>
  <c r="W402" i="5" s="1"/>
  <c r="X402" i="5" s="1"/>
  <c r="DX29" i="15"/>
  <c r="DX33" i="15"/>
  <c r="DX31" i="15"/>
  <c r="DO12" i="2"/>
  <c r="DC29" i="15"/>
  <c r="DC31" i="15"/>
  <c r="DC33" i="15"/>
  <c r="BP13" i="16"/>
  <c r="BQ13" i="16" s="1"/>
  <c r="BV12" i="16"/>
  <c r="BW12" i="16" s="1"/>
  <c r="BQ15" i="16"/>
  <c r="BT459" i="5"/>
  <c r="BU459" i="5" s="1"/>
  <c r="BV459" i="5" s="1"/>
  <c r="BW459" i="5" s="1"/>
  <c r="BS462" i="5"/>
  <c r="BC462" i="5"/>
  <c r="BD462" i="5" s="1"/>
  <c r="BW455" i="5"/>
  <c r="EE31" i="15"/>
  <c r="EE33" i="15"/>
  <c r="EE29" i="15"/>
  <c r="V399" i="5"/>
  <c r="W399" i="5" s="1"/>
  <c r="X399" i="5" s="1"/>
  <c r="K42" i="16"/>
  <c r="L42" i="16" s="1"/>
  <c r="M42" i="16" s="1"/>
  <c r="N42" i="16" s="1"/>
  <c r="J43" i="16"/>
  <c r="BM17" i="15"/>
  <c r="BN17" i="15" s="1"/>
  <c r="BO17" i="15" s="1"/>
  <c r="BP17" i="15" s="1"/>
  <c r="BL23" i="15"/>
  <c r="AH198" i="13"/>
  <c r="AI198" i="13" s="1"/>
  <c r="BF429" i="5"/>
  <c r="BC432" i="5"/>
  <c r="BD432" i="5" s="1"/>
  <c r="AU405" i="5"/>
  <c r="AV405" i="5" s="1"/>
  <c r="R337" i="20"/>
  <c r="O338" i="20"/>
  <c r="Q336" i="20"/>
  <c r="P336" i="20" s="1"/>
  <c r="L207" i="5"/>
  <c r="M207" i="5" s="1"/>
  <c r="N207" i="5" s="1"/>
  <c r="O207" i="5" s="1"/>
  <c r="AG207" i="5"/>
  <c r="AH207" i="5" s="1"/>
  <c r="AI207" i="5" s="1"/>
  <c r="AJ207" i="5" s="1"/>
  <c r="S207" i="5"/>
  <c r="T207" i="5" s="1"/>
  <c r="U207" i="5" s="1"/>
  <c r="V207" i="5" s="1"/>
  <c r="K224" i="5"/>
  <c r="L224" i="5" s="1"/>
  <c r="M224" i="5" s="1"/>
  <c r="N224" i="5" s="1"/>
  <c r="AG218" i="5"/>
  <c r="AH218" i="5" s="1"/>
  <c r="C246" i="5"/>
  <c r="K276" i="5"/>
  <c r="J277" i="5"/>
  <c r="L275" i="5"/>
  <c r="M275" i="5" s="1"/>
  <c r="R218" i="5"/>
  <c r="E218" i="5"/>
  <c r="F218" i="5" s="1"/>
  <c r="AI218" i="5"/>
  <c r="AJ218" i="5" s="1"/>
  <c r="S208" i="5"/>
  <c r="T211" i="5"/>
  <c r="U211" i="5" s="1"/>
  <c r="V211" i="5" s="1"/>
  <c r="AG208" i="5"/>
  <c r="AI206" i="5"/>
  <c r="AJ206" i="5" s="1"/>
  <c r="AI211" i="5"/>
  <c r="AJ211" i="5" s="1"/>
  <c r="Z208" i="5"/>
  <c r="AA206" i="5"/>
  <c r="AB206" i="5" s="1"/>
  <c r="Z207" i="5"/>
  <c r="AA207" i="5" s="1"/>
  <c r="Z211" i="5"/>
  <c r="L208" i="5"/>
  <c r="L211" i="5"/>
  <c r="M211" i="5" s="1"/>
  <c r="BW60" i="12"/>
  <c r="BX60" i="12" s="1"/>
  <c r="BV55" i="12"/>
  <c r="BW55" i="12" s="1"/>
  <c r="AP53" i="12"/>
  <c r="BG51" i="12"/>
  <c r="BF51" i="12"/>
  <c r="AY50" i="12"/>
  <c r="AC50" i="12"/>
  <c r="AD50" i="12" s="1"/>
  <c r="AD49" i="12"/>
  <c r="R49" i="12"/>
  <c r="S49" i="12" s="1"/>
  <c r="BM48" i="12"/>
  <c r="BG48" i="12"/>
  <c r="AW48" i="12"/>
  <c r="AO48" i="12" s="1"/>
  <c r="AC48" i="12"/>
  <c r="BN47" i="12"/>
  <c r="BG47" i="12"/>
  <c r="AD47" i="12"/>
  <c r="R47" i="12"/>
  <c r="S47" i="12" s="1"/>
  <c r="T47" i="12" s="1"/>
  <c r="BN46" i="12"/>
  <c r="BG46" i="12"/>
  <c r="AY46" i="12"/>
  <c r="AY47" i="12" s="1"/>
  <c r="AK46" i="12"/>
  <c r="AD46" i="12"/>
  <c r="Y46" i="12"/>
  <c r="Q46" i="12" s="1"/>
  <c r="J46" i="12"/>
  <c r="K46" i="12" s="1"/>
  <c r="L46" i="12" s="1"/>
  <c r="D46" i="12"/>
  <c r="BW45" i="12"/>
  <c r="BX45" i="12" s="1"/>
  <c r="BY45" i="12" s="1"/>
  <c r="BM45" i="12"/>
  <c r="BG45" i="12"/>
  <c r="BH45" i="12" s="1"/>
  <c r="BI45" i="12" s="1"/>
  <c r="AW45" i="12"/>
  <c r="AO45" i="12" s="1"/>
  <c r="AK45" i="12"/>
  <c r="AD45" i="12"/>
  <c r="Y45" i="12"/>
  <c r="Q45" i="12" s="1"/>
  <c r="J45" i="12"/>
  <c r="K45" i="12" s="1"/>
  <c r="D45" i="12"/>
  <c r="E45" i="12" s="1"/>
  <c r="BN44" i="12"/>
  <c r="BG44" i="12"/>
  <c r="BH44" i="12" s="1"/>
  <c r="BI44" i="12" s="1"/>
  <c r="AP44" i="12"/>
  <c r="AQ44" i="12" s="1"/>
  <c r="AD44" i="12"/>
  <c r="AC44" i="12"/>
  <c r="K44" i="12"/>
  <c r="E44" i="12"/>
  <c r="BN43" i="12"/>
  <c r="BM43" i="12"/>
  <c r="BF43" i="12"/>
  <c r="BF49" i="12" s="1"/>
  <c r="BF50" i="12" s="1"/>
  <c r="AP43" i="12"/>
  <c r="AD43" i="12"/>
  <c r="R43" i="12"/>
  <c r="J43" i="12"/>
  <c r="D43" i="12"/>
  <c r="D49" i="12" s="1"/>
  <c r="AP42" i="12"/>
  <c r="AD42" i="12"/>
  <c r="AE42" i="12" s="1"/>
  <c r="AF42" i="12" s="1"/>
  <c r="R42" i="12"/>
  <c r="S42" i="12" s="1"/>
  <c r="K42" i="12"/>
  <c r="E42" i="12"/>
  <c r="BV41" i="12"/>
  <c r="BV42" i="12" s="1"/>
  <c r="BV43" i="12" s="1"/>
  <c r="AP41" i="12"/>
  <c r="AQ41" i="12" s="1"/>
  <c r="AR41" i="12" s="1"/>
  <c r="AD41" i="12"/>
  <c r="R41" i="12"/>
  <c r="DY27" i="12"/>
  <c r="CV27" i="12"/>
  <c r="DY26" i="12"/>
  <c r="CV26" i="12"/>
  <c r="CW26" i="12" s="1"/>
  <c r="CX26" i="12" s="1"/>
  <c r="CY26" i="12" s="1"/>
  <c r="FY25" i="12"/>
  <c r="DY25" i="12"/>
  <c r="CV25" i="12"/>
  <c r="CW25" i="12" s="1"/>
  <c r="GG24" i="12"/>
  <c r="FY24" i="12"/>
  <c r="FZ24" i="12" s="1"/>
  <c r="GA24" i="12" s="1"/>
  <c r="DY24" i="12"/>
  <c r="DZ24" i="12" s="1"/>
  <c r="CV24" i="12"/>
  <c r="GG22" i="12"/>
  <c r="FY22" i="12"/>
  <c r="FB22" i="12"/>
  <c r="FC22" i="12" s="1"/>
  <c r="DY22" i="12"/>
  <c r="DD22" i="12"/>
  <c r="CV22" i="12"/>
  <c r="BW22" i="12"/>
  <c r="BX22" i="12" s="1"/>
  <c r="R22" i="12"/>
  <c r="Q22" i="12"/>
  <c r="GQ21" i="12"/>
  <c r="EQ21" i="12"/>
  <c r="DN21" i="12"/>
  <c r="DN22" i="12" s="1"/>
  <c r="AZ21" i="12"/>
  <c r="BA21" i="12" s="1"/>
  <c r="FB19" i="12"/>
  <c r="FB20" i="12" s="1"/>
  <c r="Q19" i="12"/>
  <c r="Q20" i="12" s="1"/>
  <c r="Q21" i="12" s="1"/>
  <c r="GG18" i="12"/>
  <c r="FY18" i="12"/>
  <c r="FZ18" i="12" s="1"/>
  <c r="FB18" i="12"/>
  <c r="DZ18" i="12"/>
  <c r="EA18" i="12" s="1"/>
  <c r="DY18" i="12"/>
  <c r="DD18" i="12"/>
  <c r="DE18" i="12" s="1"/>
  <c r="CV18" i="12"/>
  <c r="CW18" i="12" s="1"/>
  <c r="BW18" i="12"/>
  <c r="BX18" i="12" s="1"/>
  <c r="Q18" i="12"/>
  <c r="GG17" i="12"/>
  <c r="FY17" i="12"/>
  <c r="FZ17" i="12" s="1"/>
  <c r="FB17" i="12"/>
  <c r="DY17" i="12"/>
  <c r="DZ17" i="12" s="1"/>
  <c r="DD17" i="12"/>
  <c r="DE17" i="12" s="1"/>
  <c r="CV17" i="12"/>
  <c r="CL17" i="12"/>
  <c r="CM17" i="12" s="1"/>
  <c r="AZ15" i="12"/>
  <c r="AQ15" i="12"/>
  <c r="AP15" i="12"/>
  <c r="Q12" i="12"/>
  <c r="GQ11" i="12"/>
  <c r="EQ11" i="12"/>
  <c r="DN11" i="12"/>
  <c r="AZ11" i="12"/>
  <c r="AD11" i="12"/>
  <c r="R11" i="12"/>
  <c r="GQ10" i="12"/>
  <c r="FS10" i="12"/>
  <c r="EQ10" i="12"/>
  <c r="EE10" i="12"/>
  <c r="DN10" i="12"/>
  <c r="DN18" i="12" s="1"/>
  <c r="CM10" i="12"/>
  <c r="CN10" i="12" s="1"/>
  <c r="AY10" i="12"/>
  <c r="AZ10" i="12" s="1"/>
  <c r="AW10" i="12"/>
  <c r="AO10" i="12"/>
  <c r="R10" i="12"/>
  <c r="GR9" i="12"/>
  <c r="GS9" i="12" s="1"/>
  <c r="GH9" i="12"/>
  <c r="FZ9" i="12"/>
  <c r="GA9" i="12" s="1"/>
  <c r="GB9" i="12" s="1"/>
  <c r="FD9" i="12"/>
  <c r="FE9" i="12" s="1"/>
  <c r="FF9" i="12" s="1"/>
  <c r="FC9" i="12"/>
  <c r="ER9" i="12"/>
  <c r="EH9" i="12"/>
  <c r="EI9" i="12" s="1"/>
  <c r="DZ9" i="12"/>
  <c r="EA9" i="12" s="1"/>
  <c r="EB9" i="12" s="1"/>
  <c r="DO9" i="12"/>
  <c r="DE9" i="12"/>
  <c r="CW9" i="12"/>
  <c r="CX9" i="12" s="1"/>
  <c r="CD9" i="12"/>
  <c r="BN9" i="12"/>
  <c r="BO9" i="12" s="1"/>
  <c r="BG9" i="12"/>
  <c r="BH9" i="12" s="1"/>
  <c r="AD9" i="12"/>
  <c r="R9" i="12"/>
  <c r="HQ8" i="12"/>
  <c r="HR8" i="12" s="1"/>
  <c r="HJ8" i="12"/>
  <c r="HK8" i="12" s="1"/>
  <c r="HD8" i="12"/>
  <c r="HE8" i="12" s="1"/>
  <c r="GG8" i="12"/>
  <c r="FY8" i="12"/>
  <c r="FB8" i="12"/>
  <c r="EG8" i="12"/>
  <c r="DY8" i="12"/>
  <c r="DW8" i="12"/>
  <c r="DD8" i="12"/>
  <c r="CV8" i="12"/>
  <c r="BW8" i="12"/>
  <c r="BN8" i="12"/>
  <c r="BG8" i="12"/>
  <c r="AK8" i="12"/>
  <c r="AC8" i="12"/>
  <c r="Y8" i="12"/>
  <c r="R8" i="12"/>
  <c r="HK7" i="12"/>
  <c r="HL7" i="12" s="1"/>
  <c r="HM7" i="12" s="1"/>
  <c r="HE7" i="12"/>
  <c r="GQ7" i="12"/>
  <c r="GQ8" i="12" s="1"/>
  <c r="GG7" i="12"/>
  <c r="FZ7" i="12"/>
  <c r="FT7" i="12"/>
  <c r="FB7" i="12"/>
  <c r="EQ7" i="12"/>
  <c r="EQ8" i="12" s="1"/>
  <c r="EG7" i="12"/>
  <c r="DZ7" i="12"/>
  <c r="DD7" i="12"/>
  <c r="CW7" i="12"/>
  <c r="AY7" i="12"/>
  <c r="AW7" i="12"/>
  <c r="AO7" i="12"/>
  <c r="AK7" i="12"/>
  <c r="AD7" i="12"/>
  <c r="AE7" i="12" s="1"/>
  <c r="AC7" i="12"/>
  <c r="AC12" i="12" s="1"/>
  <c r="Y7" i="12"/>
  <c r="R7" i="12"/>
  <c r="S7" i="12" s="1"/>
  <c r="D7" i="12"/>
  <c r="FT6" i="12"/>
  <c r="FB6" i="12"/>
  <c r="EE6" i="12"/>
  <c r="DY6" i="12"/>
  <c r="DY11" i="12" s="1"/>
  <c r="CV6" i="12"/>
  <c r="CV10" i="12" s="1"/>
  <c r="CL6" i="12"/>
  <c r="CM6" i="12" s="1"/>
  <c r="CJ6" i="12"/>
  <c r="BN6" i="12"/>
  <c r="BO6" i="12" s="1"/>
  <c r="BG6" i="12"/>
  <c r="AZ6" i="12"/>
  <c r="BA6" i="12" s="1"/>
  <c r="AP6" i="12"/>
  <c r="AC6" i="12"/>
  <c r="Q6" i="12"/>
  <c r="K6" i="12"/>
  <c r="E6" i="12"/>
  <c r="HL5" i="12"/>
  <c r="HK5" i="12"/>
  <c r="HF5" i="12"/>
  <c r="HG5" i="12" s="1"/>
  <c r="HE5" i="12"/>
  <c r="GG5" i="12"/>
  <c r="GG6" i="12" s="1"/>
  <c r="GG11" i="12" s="1"/>
  <c r="FY5" i="12"/>
  <c r="FT5" i="12"/>
  <c r="FT8" i="12" s="1"/>
  <c r="FB5" i="12"/>
  <c r="EQ5" i="12"/>
  <c r="DY5" i="12"/>
  <c r="DD5" i="12"/>
  <c r="DD6" i="12" s="1"/>
  <c r="DD10" i="12" s="1"/>
  <c r="CV5" i="12"/>
  <c r="CM5" i="12"/>
  <c r="CE5" i="12"/>
  <c r="CF5" i="12" s="1"/>
  <c r="CG5" i="12" s="1"/>
  <c r="BV5" i="12"/>
  <c r="BV10" i="12" s="1"/>
  <c r="BM5" i="12"/>
  <c r="BF5" i="12"/>
  <c r="AZ5" i="12"/>
  <c r="BA5" i="12" s="1"/>
  <c r="AP5" i="12"/>
  <c r="AD5" i="12"/>
  <c r="AE5" i="12" s="1"/>
  <c r="R5" i="12"/>
  <c r="J5" i="12"/>
  <c r="J13" i="12" s="1"/>
  <c r="D5" i="12"/>
  <c r="D9" i="12" s="1"/>
  <c r="GT4" i="12"/>
  <c r="GQ26" i="12" s="1"/>
  <c r="GS4" i="12"/>
  <c r="GQ25" i="12" s="1"/>
  <c r="GR4" i="12"/>
  <c r="GQ23" i="12" s="1"/>
  <c r="GQ4" i="12"/>
  <c r="GQ20" i="12" s="1"/>
  <c r="GJ4" i="12"/>
  <c r="FT4" i="12"/>
  <c r="ET4" i="12"/>
  <c r="EQ26" i="12" s="1"/>
  <c r="ER26" i="12" s="1"/>
  <c r="EQ25" i="12"/>
  <c r="EQ23" i="12"/>
  <c r="EL4" i="12"/>
  <c r="EK4" i="12"/>
  <c r="EJ4" i="12"/>
  <c r="EI4" i="12"/>
  <c r="EG24" i="12" s="1"/>
  <c r="EH4" i="12"/>
  <c r="EG22" i="12" s="1"/>
  <c r="EG4" i="12"/>
  <c r="EG5" i="12" s="1"/>
  <c r="EG6" i="12" s="1"/>
  <c r="EE4" i="12"/>
  <c r="EE8" i="12" s="1"/>
  <c r="DN25" i="12"/>
  <c r="CR4" i="12"/>
  <c r="CM4" i="12"/>
  <c r="CE4" i="12"/>
  <c r="CF4" i="12" s="1"/>
  <c r="CD4" i="12"/>
  <c r="CD6" i="12" s="1"/>
  <c r="BW4" i="12"/>
  <c r="BX4" i="12" s="1"/>
  <c r="BY4" i="12" s="1"/>
  <c r="AZ4" i="12"/>
  <c r="BA4" i="12" s="1"/>
  <c r="BB4" i="12" s="1"/>
  <c r="AP4" i="12"/>
  <c r="AD4" i="12"/>
  <c r="R4" i="12"/>
  <c r="K4" i="12"/>
  <c r="E4" i="12"/>
  <c r="F4" i="12" s="1"/>
  <c r="CL3" i="12"/>
  <c r="CE3" i="12"/>
  <c r="CF3" i="12" s="1"/>
  <c r="BW3" i="12"/>
  <c r="AZ3" i="12"/>
  <c r="BA3" i="12" s="1"/>
  <c r="AP3" i="12"/>
  <c r="AD3" i="12"/>
  <c r="R3" i="12"/>
  <c r="R209" i="5"/>
  <c r="Y210" i="5"/>
  <c r="AF210" i="5"/>
  <c r="AF209" i="5"/>
  <c r="Y209" i="5"/>
  <c r="K210" i="5"/>
  <c r="K209" i="5"/>
  <c r="R210" i="5"/>
  <c r="DN16" i="2"/>
  <c r="F23" i="10"/>
  <c r="T26" i="12"/>
  <c r="F24" i="10"/>
  <c r="F8" i="10"/>
  <c r="I24" i="10"/>
  <c r="I7" i="10"/>
  <c r="L26" i="10"/>
  <c r="L18" i="10"/>
  <c r="L10" i="10"/>
  <c r="F22" i="10"/>
  <c r="I22" i="10"/>
  <c r="O7" i="10"/>
  <c r="DN17" i="2"/>
  <c r="I25" i="10"/>
  <c r="F25" i="10"/>
  <c r="F16" i="10"/>
  <c r="F15" i="10"/>
  <c r="I6" i="10"/>
  <c r="F19" i="10"/>
  <c r="Q23" i="12"/>
  <c r="L24" i="10"/>
  <c r="F13" i="10"/>
  <c r="L8" i="10"/>
  <c r="CL22" i="12"/>
  <c r="AF38" i="13"/>
  <c r="L12" i="10"/>
  <c r="I23" i="10"/>
  <c r="DN15" i="2"/>
  <c r="F14" i="10"/>
  <c r="L15" i="10"/>
  <c r="L19" i="10"/>
  <c r="L9" i="10"/>
  <c r="L20" i="10"/>
  <c r="DN19" i="2"/>
  <c r="CB11" i="2"/>
  <c r="L23" i="10"/>
  <c r="F10" i="10"/>
  <c r="L16" i="10"/>
  <c r="O6" i="10"/>
  <c r="DN20" i="2"/>
  <c r="S338" i="20"/>
  <c r="F12" i="10"/>
  <c r="I26" i="10"/>
  <c r="L11" i="10"/>
  <c r="L17" i="10"/>
  <c r="L25" i="10"/>
  <c r="F9" i="10"/>
  <c r="F27" i="10"/>
  <c r="L6" i="10"/>
  <c r="F11" i="10"/>
  <c r="F21" i="10"/>
  <c r="L21" i="10"/>
  <c r="I27" i="10"/>
  <c r="BD435" i="5" l="1"/>
  <c r="BE435" i="5" s="1"/>
  <c r="BK435" i="5"/>
  <c r="BL435" i="5" s="1"/>
  <c r="BM435" i="5" s="1"/>
  <c r="BN435" i="5" s="1"/>
  <c r="AK465" i="5"/>
  <c r="AL465" i="5" s="1"/>
  <c r="AM465" i="5" s="1"/>
  <c r="AN465" i="5" s="1"/>
  <c r="AO465" i="5" s="1"/>
  <c r="BE405" i="5"/>
  <c r="BF405" i="5" s="1"/>
  <c r="AV465" i="5"/>
  <c r="AW465" i="5" s="1"/>
  <c r="AN405" i="5"/>
  <c r="AO405" i="5" s="1"/>
  <c r="CB465" i="5"/>
  <c r="CC465" i="5" s="1"/>
  <c r="CD465" i="5" s="1"/>
  <c r="CE465" i="5" s="1"/>
  <c r="BV435" i="5"/>
  <c r="BW435" i="5" s="1"/>
  <c r="BK405" i="5"/>
  <c r="BL405" i="5" s="1"/>
  <c r="AW432" i="5"/>
  <c r="AK225" i="13"/>
  <c r="N462" i="5"/>
  <c r="O462" i="5" s="1"/>
  <c r="AH199" i="13"/>
  <c r="AI199" i="13" s="1"/>
  <c r="AJ199" i="13" s="1"/>
  <c r="AG200" i="13"/>
  <c r="AO429" i="5"/>
  <c r="BU465" i="5"/>
  <c r="BV465" i="5" s="1"/>
  <c r="O432" i="5"/>
  <c r="AG189" i="13"/>
  <c r="AH187" i="13"/>
  <c r="AN435" i="5"/>
  <c r="AO435" i="5" s="1"/>
  <c r="CD432" i="5"/>
  <c r="CE432" i="5" s="1"/>
  <c r="CB405" i="5"/>
  <c r="CC405" i="5" s="1"/>
  <c r="BE402" i="5"/>
  <c r="BF402" i="5" s="1"/>
  <c r="O435" i="5"/>
  <c r="AW462" i="5"/>
  <c r="BV405" i="5"/>
  <c r="BW405" i="5" s="1"/>
  <c r="BN432" i="5"/>
  <c r="X170" i="13"/>
  <c r="Y170" i="13" s="1"/>
  <c r="Z170" i="13" s="1"/>
  <c r="AA170" i="13" s="1"/>
  <c r="O167" i="13"/>
  <c r="O172" i="13" s="1"/>
  <c r="O174" i="13" s="1"/>
  <c r="CB12" i="2"/>
  <c r="CB20" i="2" s="1"/>
  <c r="CC11" i="2"/>
  <c r="CD11" i="2" s="1"/>
  <c r="CE11" i="2" s="1"/>
  <c r="CF11" i="2" s="1"/>
  <c r="DQ33" i="15"/>
  <c r="DQ29" i="15"/>
  <c r="DQ31" i="15"/>
  <c r="AL432" i="5"/>
  <c r="AM432" i="5" s="1"/>
  <c r="AN432" i="5" s="1"/>
  <c r="AL49" i="13"/>
  <c r="AM47" i="13"/>
  <c r="AN47" i="13" s="1"/>
  <c r="AO47" i="13" s="1"/>
  <c r="AP47" i="13" s="1"/>
  <c r="H20" i="13"/>
  <c r="AF66" i="13"/>
  <c r="V37" i="13"/>
  <c r="W37" i="13" s="1"/>
  <c r="X37" i="13" s="1"/>
  <c r="C435" i="5"/>
  <c r="D435" i="5" s="1"/>
  <c r="E435" i="5" s="1"/>
  <c r="F435" i="5" s="1"/>
  <c r="G435" i="5" s="1"/>
  <c r="D432" i="5"/>
  <c r="E432" i="5" s="1"/>
  <c r="F432" i="5" s="1"/>
  <c r="G432" i="5" s="1"/>
  <c r="CV31" i="15"/>
  <c r="CV33" i="15"/>
  <c r="CV29" i="15"/>
  <c r="AF77" i="13"/>
  <c r="X405" i="5"/>
  <c r="BE462" i="5"/>
  <c r="BF462" i="5" s="1"/>
  <c r="DN18" i="2"/>
  <c r="K43" i="16"/>
  <c r="L43" i="16" s="1"/>
  <c r="M43" i="16" s="1"/>
  <c r="N43" i="16" s="1"/>
  <c r="J46" i="16"/>
  <c r="BZ13" i="14"/>
  <c r="CA13" i="14" s="1"/>
  <c r="CB13" i="14" s="1"/>
  <c r="CC13" i="14" s="1"/>
  <c r="BY17" i="14"/>
  <c r="DP12" i="2"/>
  <c r="BT462" i="5"/>
  <c r="BU462" i="5" s="1"/>
  <c r="AJ198" i="13"/>
  <c r="AK198" i="13" s="1"/>
  <c r="BE432" i="5"/>
  <c r="BF432" i="5" s="1"/>
  <c r="AW405" i="5"/>
  <c r="R338" i="20"/>
  <c r="O339" i="20"/>
  <c r="Q337" i="20"/>
  <c r="P337" i="20" s="1"/>
  <c r="S3" i="12"/>
  <c r="T3" i="12" s="1"/>
  <c r="U3" i="12" s="1"/>
  <c r="V3" i="12" s="1"/>
  <c r="EG26" i="12"/>
  <c r="HM5" i="12"/>
  <c r="FY6" i="12"/>
  <c r="FY10" i="12" s="1"/>
  <c r="FZ10" i="12" s="1"/>
  <c r="J8" i="12"/>
  <c r="J10" i="12"/>
  <c r="J11" i="12" s="1"/>
  <c r="J12" i="12" s="1"/>
  <c r="CO10" i="12"/>
  <c r="CP10" i="12" s="1"/>
  <c r="BR49" i="12"/>
  <c r="K5" i="12"/>
  <c r="L5" i="12" s="1"/>
  <c r="S43" i="12"/>
  <c r="T43" i="12" s="1"/>
  <c r="U43" i="12" s="1"/>
  <c r="V43" i="12" s="1"/>
  <c r="R46" i="12"/>
  <c r="S46" i="12" s="1"/>
  <c r="R45" i="12"/>
  <c r="Q44" i="12"/>
  <c r="R44" i="12" s="1"/>
  <c r="AS41" i="12"/>
  <c r="AT41" i="12" s="1"/>
  <c r="S4" i="12"/>
  <c r="BW5" i="12"/>
  <c r="BX5" i="12" s="1"/>
  <c r="BY5" i="12" s="1"/>
  <c r="AE11" i="12"/>
  <c r="AG11" i="12" s="1"/>
  <c r="FY12" i="12"/>
  <c r="FZ12" i="12" s="1"/>
  <c r="AE41" i="12"/>
  <c r="AF41" i="12" s="1"/>
  <c r="F42" i="12"/>
  <c r="G42" i="12" s="1"/>
  <c r="K43" i="12"/>
  <c r="L43" i="12" s="1"/>
  <c r="M43" i="12" s="1"/>
  <c r="BG43" i="12"/>
  <c r="BH43" i="12" s="1"/>
  <c r="F44" i="12"/>
  <c r="G44" i="12" s="1"/>
  <c r="BO44" i="12"/>
  <c r="BP44" i="12" s="1"/>
  <c r="BQ44" i="12" s="1"/>
  <c r="BJ45" i="12"/>
  <c r="E46" i="12"/>
  <c r="F46" i="12" s="1"/>
  <c r="U47" i="12"/>
  <c r="V47" i="12" s="1"/>
  <c r="D48" i="12"/>
  <c r="BH48" i="12"/>
  <c r="BI48" i="12" s="1"/>
  <c r="BN48" i="12"/>
  <c r="BO48" i="12" s="1"/>
  <c r="J49" i="12"/>
  <c r="K49" i="12" s="1"/>
  <c r="BM51" i="12"/>
  <c r="E5" i="12"/>
  <c r="F5" i="12" s="1"/>
  <c r="L6" i="12"/>
  <c r="M6" i="12" s="1"/>
  <c r="K7" i="12"/>
  <c r="L7" i="12" s="1"/>
  <c r="M7" i="12" s="1"/>
  <c r="EA7" i="12"/>
  <c r="EB7" i="12" s="1"/>
  <c r="EC7" i="12" s="1"/>
  <c r="ED7" i="12" s="1"/>
  <c r="AE3" i="12"/>
  <c r="AF3" i="12" s="1"/>
  <c r="L4" i="12"/>
  <c r="M4" i="12" s="1"/>
  <c r="T4" i="12"/>
  <c r="U4" i="12" s="1"/>
  <c r="S5" i="12"/>
  <c r="T5" i="12" s="1"/>
  <c r="U5" i="12" s="1"/>
  <c r="V5" i="12" s="1"/>
  <c r="AF5" i="12"/>
  <c r="AG5" i="12" s="1"/>
  <c r="AH5" i="12" s="1"/>
  <c r="F6" i="12"/>
  <c r="G6" i="12" s="1"/>
  <c r="E7" i="12"/>
  <c r="F7" i="12" s="1"/>
  <c r="G7" i="12" s="1"/>
  <c r="D8" i="12"/>
  <c r="E8" i="12" s="1"/>
  <c r="BH8" i="12"/>
  <c r="BO8" i="12"/>
  <c r="BP8" i="12" s="1"/>
  <c r="BX8" i="12"/>
  <c r="BY8" i="12" s="1"/>
  <c r="DP9" i="12"/>
  <c r="DQ9" i="12" s="1"/>
  <c r="S11" i="12"/>
  <c r="T11" i="12" s="1"/>
  <c r="U11" i="12" s="1"/>
  <c r="AF11" i="12"/>
  <c r="EQ28" i="12"/>
  <c r="EQ27" i="12"/>
  <c r="DZ27" i="12"/>
  <c r="EA27" i="12" s="1"/>
  <c r="AQ42" i="12"/>
  <c r="AR42" i="12" s="1"/>
  <c r="AS42" i="12" s="1"/>
  <c r="E43" i="12"/>
  <c r="F43" i="12" s="1"/>
  <c r="G43" i="12" s="1"/>
  <c r="BG49" i="12"/>
  <c r="BH49" i="12" s="1"/>
  <c r="GG25" i="12"/>
  <c r="GH25" i="12" s="1"/>
  <c r="BV6" i="12"/>
  <c r="BV7" i="12" s="1"/>
  <c r="BV9" i="12" s="1"/>
  <c r="EG27" i="12"/>
  <c r="EH27" i="12" s="1"/>
  <c r="K8" i="12"/>
  <c r="J9" i="12"/>
  <c r="K9" i="12" s="1"/>
  <c r="BN45" i="12"/>
  <c r="BO45" i="12" s="1"/>
  <c r="CN5" i="12"/>
  <c r="CO5" i="12" s="1"/>
  <c r="CP5" i="12" s="1"/>
  <c r="CQ5" i="12" s="1"/>
  <c r="DO22" i="12"/>
  <c r="K277" i="5"/>
  <c r="L276" i="5"/>
  <c r="M276" i="5" s="1"/>
  <c r="G218" i="5"/>
  <c r="K212" i="5"/>
  <c r="T208" i="5"/>
  <c r="AG210" i="5"/>
  <c r="AH210" i="5" s="1"/>
  <c r="AF212" i="5"/>
  <c r="AG209" i="5"/>
  <c r="AH209" i="5" s="1"/>
  <c r="AH208" i="5"/>
  <c r="Z209" i="5"/>
  <c r="Z210" i="5"/>
  <c r="AA210" i="5" s="1"/>
  <c r="Y212" i="5"/>
  <c r="AC206" i="5"/>
  <c r="AA208" i="5"/>
  <c r="AB207" i="5"/>
  <c r="AC207" i="5" s="1"/>
  <c r="AA211" i="5"/>
  <c r="M208" i="5"/>
  <c r="N208" i="5" s="1"/>
  <c r="O208" i="5" s="1"/>
  <c r="J226" i="5" s="1"/>
  <c r="L209" i="5"/>
  <c r="M209" i="5" s="1"/>
  <c r="L210" i="5"/>
  <c r="M210" i="5" s="1"/>
  <c r="N211" i="5"/>
  <c r="O211" i="5" s="1"/>
  <c r="CE8" i="12"/>
  <c r="CF8" i="12" s="1"/>
  <c r="CE10" i="12"/>
  <c r="CF10" i="12" s="1"/>
  <c r="U26" i="12"/>
  <c r="R23" i="12"/>
  <c r="BV35" i="12"/>
  <c r="BW35" i="12" s="1"/>
  <c r="EG11" i="12"/>
  <c r="EG10" i="12"/>
  <c r="ER8" i="12"/>
  <c r="ES8" i="12" s="1"/>
  <c r="EH26" i="12"/>
  <c r="CE6" i="12"/>
  <c r="GR8" i="12"/>
  <c r="AE4" i="12"/>
  <c r="AQ4" i="12"/>
  <c r="AR4" i="12" s="1"/>
  <c r="GR25" i="12"/>
  <c r="GS25" i="12" s="1"/>
  <c r="BG5" i="12"/>
  <c r="DD12" i="12"/>
  <c r="DE10" i="12"/>
  <c r="DZ11" i="12"/>
  <c r="DY13" i="12"/>
  <c r="AP7" i="12"/>
  <c r="BF7" i="12"/>
  <c r="AZ7" i="12"/>
  <c r="BA7" i="12" s="1"/>
  <c r="CX7" i="12"/>
  <c r="CY7" i="12" s="1"/>
  <c r="CZ7" i="12" s="1"/>
  <c r="GA7" i="12"/>
  <c r="GB7" i="12" s="1"/>
  <c r="GC7" i="12" s="1"/>
  <c r="GD7" i="12" s="1"/>
  <c r="S8" i="12"/>
  <c r="AC10" i="12"/>
  <c r="E9" i="12"/>
  <c r="F9" i="12" s="1"/>
  <c r="AE9" i="12"/>
  <c r="AF9" i="12" s="1"/>
  <c r="CE9" i="12"/>
  <c r="CF9" i="12" s="1"/>
  <c r="DF9" i="12"/>
  <c r="FG9" i="12"/>
  <c r="AP10" i="12"/>
  <c r="AQ10" i="12" s="1"/>
  <c r="AR10" i="12" s="1"/>
  <c r="DY10" i="12"/>
  <c r="BA11" i="12"/>
  <c r="BB11" i="12" s="1"/>
  <c r="BC11" i="12" s="1"/>
  <c r="DD11" i="12"/>
  <c r="R12" i="12"/>
  <c r="S12" i="12" s="1"/>
  <c r="BA15" i="12"/>
  <c r="BB15" i="12" s="1"/>
  <c r="BC15" i="12" s="1"/>
  <c r="BX3" i="12"/>
  <c r="BY3" i="12" s="1"/>
  <c r="BZ3" i="12" s="1"/>
  <c r="CM3" i="12"/>
  <c r="CN3" i="12" s="1"/>
  <c r="CN4" i="12"/>
  <c r="GR26" i="12"/>
  <c r="GS26" i="12" s="1"/>
  <c r="BB5" i="12"/>
  <c r="BC5" i="12" s="1"/>
  <c r="BW10" i="12"/>
  <c r="CH5" i="12"/>
  <c r="FT11" i="12"/>
  <c r="FT9" i="12"/>
  <c r="FS8" i="12"/>
  <c r="BH6" i="12"/>
  <c r="CN6" i="12"/>
  <c r="CO6" i="12" s="1"/>
  <c r="CP6" i="12" s="1"/>
  <c r="CQ6" i="12" s="1"/>
  <c r="T7" i="12"/>
  <c r="U7" i="12" s="1"/>
  <c r="V7" i="12" s="1"/>
  <c r="AD12" i="12"/>
  <c r="HF7" i="12"/>
  <c r="HG7" i="12" s="1"/>
  <c r="AD8" i="12"/>
  <c r="AE8" i="12" s="1"/>
  <c r="AO8" i="12"/>
  <c r="AY8" i="12"/>
  <c r="HF8" i="12"/>
  <c r="HG8" i="12" s="1"/>
  <c r="HS8" i="12"/>
  <c r="HT8" i="12" s="1"/>
  <c r="BI9" i="12"/>
  <c r="BJ9" i="12" s="1"/>
  <c r="CY9" i="12"/>
  <c r="CZ9" i="12" s="1"/>
  <c r="ES9" i="12"/>
  <c r="S10" i="12"/>
  <c r="T10" i="12" s="1"/>
  <c r="BV11" i="12"/>
  <c r="CV11" i="12"/>
  <c r="S9" i="12"/>
  <c r="T9" i="12" s="1"/>
  <c r="BB3" i="12"/>
  <c r="BC3" i="12" s="1"/>
  <c r="CG3" i="12"/>
  <c r="CH3" i="12" s="1"/>
  <c r="G4" i="12"/>
  <c r="BZ4" i="12"/>
  <c r="DO25" i="12"/>
  <c r="EG25" i="12"/>
  <c r="EQ24" i="12"/>
  <c r="ER23" i="12"/>
  <c r="ES23" i="12" s="1"/>
  <c r="AQ5" i="12"/>
  <c r="BN5" i="12"/>
  <c r="BO5" i="12" s="1"/>
  <c r="BB6" i="12"/>
  <c r="BC6" i="12" s="1"/>
  <c r="BP6" i="12"/>
  <c r="BQ6" i="12" s="1"/>
  <c r="FB11" i="12"/>
  <c r="FB10" i="12"/>
  <c r="CD7" i="12"/>
  <c r="DD27" i="12"/>
  <c r="DD24" i="12"/>
  <c r="DD26" i="12"/>
  <c r="DD25" i="12"/>
  <c r="EJ9" i="12"/>
  <c r="EK9" i="12" s="1"/>
  <c r="GT9" i="12"/>
  <c r="GU9" i="12" s="1"/>
  <c r="GG10" i="12"/>
  <c r="DN26" i="12"/>
  <c r="FC20" i="12"/>
  <c r="CW27" i="12"/>
  <c r="CX27" i="12" s="1"/>
  <c r="AQ3" i="12"/>
  <c r="BC4" i="12"/>
  <c r="EG18" i="12"/>
  <c r="EG17" i="12"/>
  <c r="ER25" i="12"/>
  <c r="ES25" i="12" s="1"/>
  <c r="GQ24" i="12"/>
  <c r="GR23" i="12"/>
  <c r="BH5" i="12"/>
  <c r="EQ18" i="12"/>
  <c r="EQ6" i="12"/>
  <c r="EQ12" i="12" s="1"/>
  <c r="GG13" i="12"/>
  <c r="Q15" i="12"/>
  <c r="R6" i="12"/>
  <c r="S6" i="12" s="1"/>
  <c r="Q13" i="12"/>
  <c r="AC15" i="12"/>
  <c r="AC13" i="12"/>
  <c r="AD6" i="12"/>
  <c r="AE6" i="12" s="1"/>
  <c r="AQ6" i="12"/>
  <c r="AR6" i="12" s="1"/>
  <c r="CV12" i="12"/>
  <c r="CW10" i="12"/>
  <c r="CX10" i="12" s="1"/>
  <c r="AQ7" i="12"/>
  <c r="DO8" i="12"/>
  <c r="GS8" i="12"/>
  <c r="GT8" i="12" s="1"/>
  <c r="HL8" i="12"/>
  <c r="HM8" i="12" s="1"/>
  <c r="BP9" i="12"/>
  <c r="BQ9" i="12" s="1"/>
  <c r="GI9" i="12"/>
  <c r="AO11" i="12"/>
  <c r="EO11" i="12"/>
  <c r="FR10" i="12"/>
  <c r="GH11" i="12"/>
  <c r="EQ13" i="12"/>
  <c r="R21" i="12"/>
  <c r="S21" i="12" s="1"/>
  <c r="GA17" i="12"/>
  <c r="GB17" i="12" s="1"/>
  <c r="BY18" i="12"/>
  <c r="BZ18" i="12" s="1"/>
  <c r="BB21" i="12"/>
  <c r="BC21" i="12" s="1"/>
  <c r="BY22" i="12"/>
  <c r="BZ22" i="12" s="1"/>
  <c r="EH24" i="12"/>
  <c r="EI24" i="12" s="1"/>
  <c r="GH24" i="12"/>
  <c r="GI24" i="12" s="1"/>
  <c r="GJ24" i="12" s="1"/>
  <c r="CG4" i="12"/>
  <c r="CH4" i="12" s="1"/>
  <c r="DO19" i="12"/>
  <c r="DP19" i="12" s="1"/>
  <c r="DN27" i="12"/>
  <c r="EG23" i="12"/>
  <c r="EH22" i="12"/>
  <c r="ES26" i="12"/>
  <c r="GQ5" i="12"/>
  <c r="AF7" i="12"/>
  <c r="AG7" i="12" s="1"/>
  <c r="CL7" i="12"/>
  <c r="FB25" i="12"/>
  <c r="FB26" i="12"/>
  <c r="FB27" i="12"/>
  <c r="FB24" i="12"/>
  <c r="CL9" i="12"/>
  <c r="CL18" i="12" s="1"/>
  <c r="EC9" i="12"/>
  <c r="ED9" i="12" s="1"/>
  <c r="GC9" i="12"/>
  <c r="GD9" i="12" s="1"/>
  <c r="D10" i="12"/>
  <c r="GA10" i="12"/>
  <c r="GB10" i="12" s="1"/>
  <c r="CN17" i="12"/>
  <c r="CO17" i="12" s="1"/>
  <c r="CP17" i="12" s="1"/>
  <c r="FC18" i="12"/>
  <c r="FD18" i="12" s="1"/>
  <c r="GA18" i="12"/>
  <c r="DO23" i="12"/>
  <c r="DN28" i="12"/>
  <c r="EQ20" i="12"/>
  <c r="EQ19" i="12"/>
  <c r="GR20" i="12"/>
  <c r="BA10" i="12"/>
  <c r="BB10" i="12" s="1"/>
  <c r="BF10" i="12"/>
  <c r="FY11" i="12"/>
  <c r="AY12" i="12"/>
  <c r="D13" i="12"/>
  <c r="DF17" i="12"/>
  <c r="EA17" i="12"/>
  <c r="EB17" i="12" s="1"/>
  <c r="EB18" i="12"/>
  <c r="EC18" i="12" s="1"/>
  <c r="GH18" i="12"/>
  <c r="GI18" i="12" s="1"/>
  <c r="GQ19" i="12"/>
  <c r="DE22" i="12"/>
  <c r="DF22" i="12" s="1"/>
  <c r="DD23" i="12"/>
  <c r="CV23" i="12"/>
  <c r="DZ26" i="12"/>
  <c r="EA26" i="12" s="1"/>
  <c r="BX55" i="12"/>
  <c r="BY55" i="12" s="1"/>
  <c r="BZ55" i="12" s="1"/>
  <c r="CW17" i="12"/>
  <c r="FC17" i="12"/>
  <c r="GH17" i="12"/>
  <c r="GI17" i="12" s="1"/>
  <c r="DF18" i="12"/>
  <c r="CW22" i="12"/>
  <c r="CX22" i="12" s="1"/>
  <c r="FD22" i="12"/>
  <c r="CX25" i="12"/>
  <c r="CY25" i="12" s="1"/>
  <c r="BV44" i="12"/>
  <c r="BW43" i="12"/>
  <c r="AE49" i="12"/>
  <c r="AF49" i="12" s="1"/>
  <c r="AR15" i="12"/>
  <c r="AS15" i="12" s="1"/>
  <c r="CX18" i="12"/>
  <c r="EA24" i="12"/>
  <c r="EB24" i="12" s="1"/>
  <c r="DZ22" i="12"/>
  <c r="EA22" i="12" s="1"/>
  <c r="FZ22" i="12"/>
  <c r="GG23" i="12"/>
  <c r="DY23" i="12"/>
  <c r="DZ25" i="12"/>
  <c r="FZ25" i="12"/>
  <c r="GA25" i="12" s="1"/>
  <c r="GB25" i="12" s="1"/>
  <c r="BP46" i="12"/>
  <c r="BO46" i="12"/>
  <c r="FB23" i="12"/>
  <c r="GH22" i="12"/>
  <c r="FY23" i="12"/>
  <c r="CW24" i="12"/>
  <c r="CZ26" i="12"/>
  <c r="DA26" i="12" s="1"/>
  <c r="AQ43" i="12"/>
  <c r="AR43" i="12" s="1"/>
  <c r="AE45" i="12"/>
  <c r="GB24" i="12"/>
  <c r="L42" i="12"/>
  <c r="M42" i="12" s="1"/>
  <c r="DY28" i="12"/>
  <c r="BW42" i="12"/>
  <c r="BX42" i="12" s="1"/>
  <c r="BV47" i="12"/>
  <c r="AE43" i="12"/>
  <c r="AF43" i="12" s="1"/>
  <c r="AP45" i="12"/>
  <c r="AQ45" i="12" s="1"/>
  <c r="AO46" i="12"/>
  <c r="AY54" i="12"/>
  <c r="AY55" i="12"/>
  <c r="S41" i="12"/>
  <c r="BW41" i="12"/>
  <c r="BF52" i="12"/>
  <c r="BG50" i="12"/>
  <c r="AE46" i="12"/>
  <c r="AF46" i="12" s="1"/>
  <c r="BO47" i="12"/>
  <c r="BP47" i="12" s="1"/>
  <c r="T42" i="12"/>
  <c r="BO43" i="12"/>
  <c r="L45" i="12"/>
  <c r="M45" i="12" s="1"/>
  <c r="BM49" i="12"/>
  <c r="BZ45" i="12"/>
  <c r="AD48" i="12"/>
  <c r="AE50" i="12"/>
  <c r="BN51" i="12"/>
  <c r="BO51" i="12" s="1"/>
  <c r="L44" i="12"/>
  <c r="M44" i="12" s="1"/>
  <c r="BH46" i="12"/>
  <c r="BI46" i="12" s="1"/>
  <c r="BJ46" i="12" s="1"/>
  <c r="AE47" i="12"/>
  <c r="BH47" i="12"/>
  <c r="BI47" i="12" s="1"/>
  <c r="BJ47" i="12" s="1"/>
  <c r="D50" i="12"/>
  <c r="E49" i="12"/>
  <c r="F49" i="12" s="1"/>
  <c r="Q51" i="12"/>
  <c r="S44" i="12"/>
  <c r="AC51" i="12"/>
  <c r="AC53" i="12"/>
  <c r="AE44" i="12"/>
  <c r="AF44" i="12" s="1"/>
  <c r="AS44" i="12"/>
  <c r="AR44" i="12"/>
  <c r="BJ44" i="12"/>
  <c r="F45" i="12"/>
  <c r="G45" i="12" s="1"/>
  <c r="Q50" i="12"/>
  <c r="M46" i="12"/>
  <c r="E48" i="12"/>
  <c r="F48" i="12" s="1"/>
  <c r="AO49" i="12"/>
  <c r="AP48" i="12"/>
  <c r="AQ48" i="12" s="1"/>
  <c r="L49" i="12"/>
  <c r="M49" i="12" s="1"/>
  <c r="BY60" i="12"/>
  <c r="BZ60" i="12" s="1"/>
  <c r="AG42" i="12"/>
  <c r="D60" i="12"/>
  <c r="D52" i="12"/>
  <c r="J52" i="12"/>
  <c r="D47" i="12"/>
  <c r="J47" i="12"/>
  <c r="Q48" i="12"/>
  <c r="BH51" i="12"/>
  <c r="BI51" i="12" s="1"/>
  <c r="J48" i="12"/>
  <c r="T49" i="12"/>
  <c r="AY60" i="12"/>
  <c r="AY61" i="12" s="1"/>
  <c r="AY51" i="12"/>
  <c r="AQ53" i="12"/>
  <c r="AR53" i="12" s="1"/>
  <c r="AF213" i="5"/>
  <c r="K213" i="5"/>
  <c r="J227" i="5"/>
  <c r="Y213" i="5"/>
  <c r="DO15" i="2"/>
  <c r="L13" i="10"/>
  <c r="O12" i="10"/>
  <c r="O11" i="10"/>
  <c r="DO20" i="2"/>
  <c r="O9" i="10"/>
  <c r="F17" i="10"/>
  <c r="S339" i="20"/>
  <c r="DO17" i="2"/>
  <c r="DO19" i="2"/>
  <c r="F26" i="10"/>
  <c r="L14" i="10"/>
  <c r="F18" i="10"/>
  <c r="DO16" i="2"/>
  <c r="O8" i="10"/>
  <c r="BF435" i="5" l="1"/>
  <c r="BM405" i="5"/>
  <c r="BN405" i="5" s="1"/>
  <c r="BW465" i="5"/>
  <c r="AK199" i="13"/>
  <c r="AG190" i="13"/>
  <c r="AH189" i="13"/>
  <c r="AI189" i="13" s="1"/>
  <c r="AJ189" i="13" s="1"/>
  <c r="AK189" i="13" s="1"/>
  <c r="P172" i="13"/>
  <c r="Q172" i="13" s="1"/>
  <c r="R172" i="13" s="1"/>
  <c r="AH200" i="13"/>
  <c r="AI200" i="13" s="1"/>
  <c r="AJ200" i="13" s="1"/>
  <c r="AK200" i="13" s="1"/>
  <c r="P177" i="13"/>
  <c r="AG201" i="13"/>
  <c r="AG210" i="13"/>
  <c r="AH210" i="13" s="1"/>
  <c r="AI210" i="13" s="1"/>
  <c r="AJ210" i="13" s="1"/>
  <c r="AK210" i="13" s="1"/>
  <c r="AG208" i="13"/>
  <c r="AG211" i="13"/>
  <c r="AI187" i="13"/>
  <c r="AJ187" i="13" s="1"/>
  <c r="X158" i="13"/>
  <c r="Y158" i="13" s="1"/>
  <c r="Z158" i="13" s="1"/>
  <c r="AA158" i="13" s="1"/>
  <c r="AG147" i="13"/>
  <c r="CD405" i="5"/>
  <c r="CE405" i="5" s="1"/>
  <c r="X162" i="13"/>
  <c r="X163" i="13" s="1"/>
  <c r="X164" i="13" s="1"/>
  <c r="P167" i="13"/>
  <c r="Q167" i="13" s="1"/>
  <c r="R167" i="13" s="1"/>
  <c r="S167" i="13" s="1"/>
  <c r="X171" i="13"/>
  <c r="AM49" i="13"/>
  <c r="AN49" i="13" s="1"/>
  <c r="AO49" i="13" s="1"/>
  <c r="AP49" i="13" s="1"/>
  <c r="AL51" i="13"/>
  <c r="AO432" i="5"/>
  <c r="AF90" i="13"/>
  <c r="AF78" i="13"/>
  <c r="AB77" i="13"/>
  <c r="AB78" i="13" s="1"/>
  <c r="AF93" i="13" s="1"/>
  <c r="CB16" i="2"/>
  <c r="CB19" i="2" s="1"/>
  <c r="CC20" i="2"/>
  <c r="CD20" i="2" s="1"/>
  <c r="CE20" i="2" s="1"/>
  <c r="CF20" i="2" s="1"/>
  <c r="CB17" i="2"/>
  <c r="CB15" i="2"/>
  <c r="CB18" i="2" s="1"/>
  <c r="BV462" i="5"/>
  <c r="BW462" i="5" s="1"/>
  <c r="DO18" i="2"/>
  <c r="K46" i="16"/>
  <c r="L46" i="16" s="1"/>
  <c r="M46" i="16" s="1"/>
  <c r="N46" i="16" s="1"/>
  <c r="J48" i="16"/>
  <c r="K48" i="16" s="1"/>
  <c r="L48" i="16" s="1"/>
  <c r="M48" i="16" s="1"/>
  <c r="N48" i="16" s="1"/>
  <c r="DQ12" i="2"/>
  <c r="O340" i="20"/>
  <c r="R339" i="20"/>
  <c r="Q338" i="20"/>
  <c r="P338" i="20" s="1"/>
  <c r="J50" i="12"/>
  <c r="J51" i="12" s="1"/>
  <c r="AH11" i="12"/>
  <c r="BI43" i="12"/>
  <c r="BJ43" i="12" s="1"/>
  <c r="S45" i="12"/>
  <c r="T45" i="12" s="1"/>
  <c r="W47" i="12"/>
  <c r="X47" i="12" s="1"/>
  <c r="BW6" i="12"/>
  <c r="BW7" i="12"/>
  <c r="BX7" i="12" s="1"/>
  <c r="CY27" i="12"/>
  <c r="J14" i="12"/>
  <c r="J15" i="12" s="1"/>
  <c r="J16" i="12" s="1"/>
  <c r="J17" i="12" s="1"/>
  <c r="G5" i="12"/>
  <c r="K10" i="12"/>
  <c r="L10" i="12" s="1"/>
  <c r="M10" i="12" s="1"/>
  <c r="M5" i="12"/>
  <c r="L8" i="12"/>
  <c r="M8" i="12" s="1"/>
  <c r="U46" i="12"/>
  <c r="T46" i="12"/>
  <c r="AI11" i="12"/>
  <c r="AJ11" i="12" s="1"/>
  <c r="BI49" i="12"/>
  <c r="BJ49" i="12" s="1"/>
  <c r="Q53" i="12"/>
  <c r="R53" i="12" s="1"/>
  <c r="CQ10" i="12"/>
  <c r="G46" i="12"/>
  <c r="EB27" i="12"/>
  <c r="EC27" i="12" s="1"/>
  <c r="ED27" i="12" s="1"/>
  <c r="AU41" i="12"/>
  <c r="AV41" i="12" s="1"/>
  <c r="BP51" i="12"/>
  <c r="BQ51" i="12" s="1"/>
  <c r="V4" i="12"/>
  <c r="W4" i="12" s="1"/>
  <c r="X4" i="12" s="1"/>
  <c r="T12" i="12"/>
  <c r="U12" i="12" s="1"/>
  <c r="CY10" i="12"/>
  <c r="CZ10" i="12" s="1"/>
  <c r="DA10" i="12" s="1"/>
  <c r="BP48" i="12"/>
  <c r="BQ48" i="12" s="1"/>
  <c r="G49" i="12"/>
  <c r="AS4" i="12"/>
  <c r="EI27" i="12"/>
  <c r="EJ27" i="12" s="1"/>
  <c r="EK27" i="12" s="1"/>
  <c r="EL27" i="12" s="1"/>
  <c r="DR9" i="12"/>
  <c r="DS9" i="12" s="1"/>
  <c r="BP45" i="12"/>
  <c r="BQ45" i="12" s="1"/>
  <c r="BI8" i="12"/>
  <c r="BJ8" i="12" s="1"/>
  <c r="GV9" i="12"/>
  <c r="AG44" i="12"/>
  <c r="AH44" i="12" s="1"/>
  <c r="BZ5" i="12"/>
  <c r="U10" i="12"/>
  <c r="AG41" i="12"/>
  <c r="G48" i="12"/>
  <c r="BH50" i="12"/>
  <c r="BI50" i="12" s="1"/>
  <c r="BJ50" i="12" s="1"/>
  <c r="BQ46" i="12"/>
  <c r="CY22" i="12"/>
  <c r="CZ22" i="12" s="1"/>
  <c r="DA22" i="12" s="1"/>
  <c r="ED18" i="12"/>
  <c r="DG17" i="12"/>
  <c r="DH17" i="12" s="1"/>
  <c r="DI17" i="12" s="1"/>
  <c r="GC10" i="12"/>
  <c r="GD10" i="12" s="1"/>
  <c r="F8" i="12"/>
  <c r="G8" i="12" s="1"/>
  <c r="AG3" i="12"/>
  <c r="BX6" i="12"/>
  <c r="BZ8" i="12"/>
  <c r="BJ48" i="12"/>
  <c r="AH7" i="12"/>
  <c r="V46" i="12"/>
  <c r="W46" i="12" s="1"/>
  <c r="X46" i="12" s="1"/>
  <c r="W43" i="12"/>
  <c r="X43" i="12" s="1"/>
  <c r="EJ24" i="12"/>
  <c r="EK24" i="12" s="1"/>
  <c r="EL24" i="12" s="1"/>
  <c r="U9" i="12"/>
  <c r="V9" i="12" s="1"/>
  <c r="BQ8" i="12"/>
  <c r="DN29" i="12"/>
  <c r="L277" i="5"/>
  <c r="M277" i="5" s="1"/>
  <c r="K227" i="5"/>
  <c r="L227" i="5" s="1"/>
  <c r="M227" i="5" s="1"/>
  <c r="N227" i="5" s="1"/>
  <c r="K226" i="5"/>
  <c r="L226" i="5" s="1"/>
  <c r="K214" i="5"/>
  <c r="CG9" i="12"/>
  <c r="CH9" i="12" s="1"/>
  <c r="U208" i="5"/>
  <c r="V208" i="5" s="1"/>
  <c r="AI210" i="5"/>
  <c r="AJ210" i="5" s="1"/>
  <c r="AA209" i="5"/>
  <c r="AB209" i="5" s="1"/>
  <c r="AG212" i="5"/>
  <c r="AI209" i="5"/>
  <c r="AJ209" i="5" s="1"/>
  <c r="AI208" i="5"/>
  <c r="AJ208" i="5" s="1"/>
  <c r="AB208" i="5"/>
  <c r="AC208" i="5" s="1"/>
  <c r="AB210" i="5"/>
  <c r="AC210" i="5" s="1"/>
  <c r="AB211" i="5"/>
  <c r="AC211" i="5" s="1"/>
  <c r="Z212" i="5"/>
  <c r="L213" i="5"/>
  <c r="M213" i="5" s="1"/>
  <c r="N210" i="5"/>
  <c r="L212" i="5"/>
  <c r="N209" i="5"/>
  <c r="CG8" i="12"/>
  <c r="CH8" i="12" s="1"/>
  <c r="AI5" i="12"/>
  <c r="AJ5" i="12" s="1"/>
  <c r="CG10" i="12"/>
  <c r="CH10" i="12" s="1"/>
  <c r="FE18" i="12"/>
  <c r="FF18" i="12" s="1"/>
  <c r="FG18" i="12" s="1"/>
  <c r="EB26" i="12"/>
  <c r="EC26" i="12" s="1"/>
  <c r="DG22" i="12"/>
  <c r="DH22" i="12" s="1"/>
  <c r="DI22" i="12" s="1"/>
  <c r="DQ19" i="12"/>
  <c r="AT4" i="12"/>
  <c r="AU4" i="12" s="1"/>
  <c r="AV4" i="12" s="1"/>
  <c r="BG52" i="12"/>
  <c r="CY18" i="12"/>
  <c r="BC10" i="12"/>
  <c r="DG9" i="12"/>
  <c r="DH9" i="12" s="1"/>
  <c r="DI9" i="12" s="1"/>
  <c r="AF6" i="12"/>
  <c r="AG6" i="12" s="1"/>
  <c r="DE12" i="12"/>
  <c r="GI25" i="12"/>
  <c r="CO4" i="12"/>
  <c r="CP4" i="12" s="1"/>
  <c r="GU8" i="12"/>
  <c r="GV8" i="12" s="1"/>
  <c r="DP8" i="12"/>
  <c r="AI7" i="12"/>
  <c r="EL9" i="12"/>
  <c r="BX35" i="12"/>
  <c r="BY35" i="12" s="1"/>
  <c r="S23" i="12"/>
  <c r="AO50" i="12"/>
  <c r="AP49" i="12"/>
  <c r="AD53" i="12"/>
  <c r="GI22" i="12"/>
  <c r="GJ22" i="12" s="1"/>
  <c r="EC24" i="12"/>
  <c r="GQ22" i="12"/>
  <c r="GR19" i="12"/>
  <c r="GS19" i="12" s="1"/>
  <c r="ER20" i="12"/>
  <c r="ES20" i="12" s="1"/>
  <c r="E10" i="12"/>
  <c r="F10" i="12" s="1"/>
  <c r="D11" i="12"/>
  <c r="T21" i="12"/>
  <c r="U21" i="12" s="1"/>
  <c r="V21" i="12" s="1"/>
  <c r="FD17" i="12"/>
  <c r="FE17" i="12" s="1"/>
  <c r="DE24" i="12"/>
  <c r="ET23" i="12"/>
  <c r="FS11" i="12"/>
  <c r="FT12" i="12"/>
  <c r="DY12" i="12"/>
  <c r="DZ10" i="12"/>
  <c r="DZ13" i="12"/>
  <c r="AS6" i="12"/>
  <c r="GI11" i="12"/>
  <c r="AZ61" i="12"/>
  <c r="Q52" i="12"/>
  <c r="R51" i="12"/>
  <c r="AG46" i="12"/>
  <c r="AH46" i="12" s="1"/>
  <c r="AI46" i="12" s="1"/>
  <c r="BY42" i="12"/>
  <c r="BZ42" i="12" s="1"/>
  <c r="AR45" i="12"/>
  <c r="AS45" i="12" s="1"/>
  <c r="AT45" i="12" s="1"/>
  <c r="DZ28" i="12"/>
  <c r="EA28" i="12" s="1"/>
  <c r="DY29" i="12"/>
  <c r="GA22" i="12"/>
  <c r="GB22" i="12" s="1"/>
  <c r="ED24" i="12"/>
  <c r="D26" i="12"/>
  <c r="E13" i="12"/>
  <c r="GB18" i="12"/>
  <c r="EC17" i="12"/>
  <c r="ED17" i="12" s="1"/>
  <c r="FC27" i="12"/>
  <c r="FD27" i="12" s="1"/>
  <c r="GK24" i="12"/>
  <c r="GL24" i="12" s="1"/>
  <c r="GC17" i="12"/>
  <c r="GD17" i="12" s="1"/>
  <c r="EH17" i="12"/>
  <c r="EI17" i="12" s="1"/>
  <c r="EJ17" i="12" s="1"/>
  <c r="CZ27" i="12"/>
  <c r="DA27" i="12" s="1"/>
  <c r="DE27" i="12"/>
  <c r="DF27" i="12" s="1"/>
  <c r="DG27" i="12" s="1"/>
  <c r="ER24" i="12"/>
  <c r="CV13" i="12"/>
  <c r="CW11" i="12"/>
  <c r="CX11" i="12" s="1"/>
  <c r="K48" i="12"/>
  <c r="BF53" i="12"/>
  <c r="K47" i="12"/>
  <c r="L47" i="12" s="1"/>
  <c r="E52" i="12"/>
  <c r="F52" i="12" s="1"/>
  <c r="G52" i="12" s="1"/>
  <c r="T44" i="12"/>
  <c r="D51" i="12"/>
  <c r="E50" i="12"/>
  <c r="AF50" i="12"/>
  <c r="AG50" i="12" s="1"/>
  <c r="AT44" i="12"/>
  <c r="BP43" i="12"/>
  <c r="BQ43" i="12" s="1"/>
  <c r="U42" i="12"/>
  <c r="BQ47" i="12"/>
  <c r="AP46" i="12"/>
  <c r="AO47" i="12"/>
  <c r="AT42" i="12"/>
  <c r="AU42" i="12" s="1"/>
  <c r="AV42" i="12" s="1"/>
  <c r="AR48" i="12"/>
  <c r="AG45" i="12"/>
  <c r="AH45" i="12" s="1"/>
  <c r="AF45" i="12"/>
  <c r="AS43" i="12"/>
  <c r="CX24" i="12"/>
  <c r="GC25" i="12"/>
  <c r="GD25" i="12" s="1"/>
  <c r="EB22" i="12"/>
  <c r="EC22" i="12" s="1"/>
  <c r="ED22" i="12" s="1"/>
  <c r="AG49" i="12"/>
  <c r="AH49" i="12" s="1"/>
  <c r="BX43" i="12"/>
  <c r="GJ17" i="12"/>
  <c r="GK17" i="12" s="1"/>
  <c r="GC24" i="12"/>
  <c r="GD24" i="12" s="1"/>
  <c r="DE23" i="12"/>
  <c r="DF23" i="12" s="1"/>
  <c r="AZ12" i="12"/>
  <c r="AY13" i="12"/>
  <c r="ER27" i="12"/>
  <c r="DO24" i="12"/>
  <c r="K13" i="12"/>
  <c r="FC26" i="12"/>
  <c r="FD26" i="12" s="1"/>
  <c r="AJ7" i="12"/>
  <c r="EH23" i="12"/>
  <c r="CX17" i="12"/>
  <c r="FQ10" i="12"/>
  <c r="AS10" i="12"/>
  <c r="AG9" i="12"/>
  <c r="AH9" i="12" s="1"/>
  <c r="AC14" i="12"/>
  <c r="AD13" i="12"/>
  <c r="AE13" i="12" s="1"/>
  <c r="GJ11" i="12"/>
  <c r="ER12" i="12"/>
  <c r="EQ14" i="12"/>
  <c r="GS23" i="12"/>
  <c r="EH18" i="12"/>
  <c r="EI18" i="12" s="1"/>
  <c r="AR3" i="12"/>
  <c r="FD20" i="12"/>
  <c r="DO26" i="12"/>
  <c r="DP26" i="12" s="1"/>
  <c r="L9" i="12"/>
  <c r="M9" i="12" s="1"/>
  <c r="DE25" i="12"/>
  <c r="DF25" i="12" s="1"/>
  <c r="CE7" i="12"/>
  <c r="CF7" i="12" s="1"/>
  <c r="EH25" i="12"/>
  <c r="EI25" i="12" s="1"/>
  <c r="EJ25" i="12" s="1"/>
  <c r="BV12" i="12"/>
  <c r="BW11" i="12"/>
  <c r="BX11" i="12" s="1"/>
  <c r="BV23" i="12"/>
  <c r="BW9" i="12"/>
  <c r="BX9" i="12" s="1"/>
  <c r="BY9" i="12" s="1"/>
  <c r="G9" i="12"/>
  <c r="AO9" i="12"/>
  <c r="AP8" i="12"/>
  <c r="BB7" i="12"/>
  <c r="BC7" i="12" s="1"/>
  <c r="FR8" i="12"/>
  <c r="GA12" i="12"/>
  <c r="DE11" i="12"/>
  <c r="DF11" i="12" s="1"/>
  <c r="DG11" i="12" s="1"/>
  <c r="DD13" i="12"/>
  <c r="AD10" i="12"/>
  <c r="EA11" i="12"/>
  <c r="BI6" i="12"/>
  <c r="BJ6" i="12" s="1"/>
  <c r="T6" i="12"/>
  <c r="U6" i="12" s="1"/>
  <c r="DF10" i="12"/>
  <c r="AF4" i="12"/>
  <c r="AG4" i="12" s="1"/>
  <c r="CO3" i="12"/>
  <c r="CP3" i="12" s="1"/>
  <c r="T8" i="12"/>
  <c r="CF6" i="12"/>
  <c r="CG6" i="12" s="1"/>
  <c r="DA7" i="12"/>
  <c r="W7" i="12"/>
  <c r="X7" i="12" s="1"/>
  <c r="EG28" i="12"/>
  <c r="EH10" i="12"/>
  <c r="EG12" i="12"/>
  <c r="V26" i="12"/>
  <c r="W26" i="12" s="1"/>
  <c r="AY52" i="12"/>
  <c r="AY56" i="12" s="1"/>
  <c r="AY57" i="12" s="1"/>
  <c r="AY58" i="12" s="1"/>
  <c r="K52" i="12"/>
  <c r="L52" i="12" s="1"/>
  <c r="U49" i="12"/>
  <c r="V49" i="12" s="1"/>
  <c r="W49" i="12" s="1"/>
  <c r="FC23" i="12"/>
  <c r="DZ23" i="12"/>
  <c r="EA23" i="12" s="1"/>
  <c r="FC24" i="12"/>
  <c r="Q14" i="12"/>
  <c r="R13" i="12"/>
  <c r="S13" i="12" s="1"/>
  <c r="ET25" i="12"/>
  <c r="EU25" i="12" s="1"/>
  <c r="GH10" i="12"/>
  <c r="GI10" i="12" s="1"/>
  <c r="GG12" i="12"/>
  <c r="FC10" i="12"/>
  <c r="FB12" i="12"/>
  <c r="GT26" i="12"/>
  <c r="GU26" i="12" s="1"/>
  <c r="GV26" i="12" s="1"/>
  <c r="BM7" i="12"/>
  <c r="BG7" i="12"/>
  <c r="BH7" i="12" s="1"/>
  <c r="BI7" i="12" s="1"/>
  <c r="BF11" i="12"/>
  <c r="GJ9" i="12"/>
  <c r="R48" i="12"/>
  <c r="BX41" i="12"/>
  <c r="BY41" i="12" s="1"/>
  <c r="CZ25" i="12"/>
  <c r="DA25" i="12" s="1"/>
  <c r="GS20" i="12"/>
  <c r="DO28" i="12"/>
  <c r="DP28" i="12" s="1"/>
  <c r="CL8" i="12"/>
  <c r="CM7" i="12"/>
  <c r="CN7" i="12" s="1"/>
  <c r="ET26" i="12"/>
  <c r="FP10" i="12"/>
  <c r="R15" i="12"/>
  <c r="BI5" i="12"/>
  <c r="BJ5" i="12" s="1"/>
  <c r="FB13" i="12"/>
  <c r="FC11" i="12"/>
  <c r="FD11" i="12" s="1"/>
  <c r="FE11" i="12" s="1"/>
  <c r="EU23" i="12"/>
  <c r="EV23" i="12" s="1"/>
  <c r="ET9" i="12"/>
  <c r="EU9" i="12" s="1"/>
  <c r="EV9" i="12" s="1"/>
  <c r="AY9" i="12"/>
  <c r="AY22" i="12" s="1"/>
  <c r="AZ8" i="12"/>
  <c r="BA8" i="12" s="1"/>
  <c r="AS53" i="12"/>
  <c r="AT53" i="12" s="1"/>
  <c r="BJ51" i="12"/>
  <c r="E47" i="12"/>
  <c r="E60" i="12"/>
  <c r="F60" i="12" s="1"/>
  <c r="R50" i="12"/>
  <c r="AD51" i="12"/>
  <c r="AC52" i="12"/>
  <c r="AC54" i="12" s="1"/>
  <c r="AF47" i="12"/>
  <c r="AE48" i="12"/>
  <c r="BN49" i="12"/>
  <c r="BM50" i="12"/>
  <c r="AH42" i="12"/>
  <c r="AG43" i="12"/>
  <c r="T41" i="12"/>
  <c r="BW47" i="12"/>
  <c r="BV48" i="12"/>
  <c r="AH41" i="12"/>
  <c r="FZ23" i="12"/>
  <c r="GA23" i="12" s="1"/>
  <c r="GB23" i="12" s="1"/>
  <c r="FE22" i="12"/>
  <c r="EA25" i="12"/>
  <c r="EB25" i="12" s="1"/>
  <c r="GH23" i="12"/>
  <c r="GI23" i="12" s="1"/>
  <c r="CL19" i="12"/>
  <c r="CM18" i="12"/>
  <c r="BV46" i="12"/>
  <c r="BW44" i="12"/>
  <c r="BX44" i="12" s="1"/>
  <c r="BY44" i="12" s="1"/>
  <c r="CW23" i="12"/>
  <c r="AT15" i="12"/>
  <c r="AU15" i="12" s="1"/>
  <c r="DO20" i="12"/>
  <c r="DP20" i="12" s="1"/>
  <c r="GJ18" i="12"/>
  <c r="GK18" i="12" s="1"/>
  <c r="FY13" i="12"/>
  <c r="FZ11" i="12"/>
  <c r="BF12" i="12"/>
  <c r="BM10" i="12"/>
  <c r="BG10" i="12"/>
  <c r="BH10" i="12" s="1"/>
  <c r="BI10" i="12" s="1"/>
  <c r="BF13" i="12"/>
  <c r="EQ22" i="12"/>
  <c r="ER19" i="12"/>
  <c r="DP23" i="12"/>
  <c r="DQ23" i="12" s="1"/>
  <c r="EI22" i="12"/>
  <c r="DG18" i="12"/>
  <c r="CQ17" i="12"/>
  <c r="CL21" i="12"/>
  <c r="CM9" i="12"/>
  <c r="CN9" i="12" s="1"/>
  <c r="CO9" i="12" s="1"/>
  <c r="CL11" i="12"/>
  <c r="CL12" i="12" s="1"/>
  <c r="FC25" i="12"/>
  <c r="GQ18" i="12"/>
  <c r="GQ13" i="12"/>
  <c r="GQ6" i="12"/>
  <c r="GQ12" i="12" s="1"/>
  <c r="W5" i="12"/>
  <c r="X5" i="12" s="1"/>
  <c r="DO27" i="12"/>
  <c r="DP27" i="12" s="1"/>
  <c r="DQ27" i="12" s="1"/>
  <c r="EQ15" i="12"/>
  <c r="ER13" i="12"/>
  <c r="ES13" i="12" s="1"/>
  <c r="AP11" i="12"/>
  <c r="AO12" i="12"/>
  <c r="AQ11" i="12"/>
  <c r="AR7" i="12"/>
  <c r="CW12" i="12"/>
  <c r="CX12" i="12"/>
  <c r="AD15" i="12"/>
  <c r="AE15" i="12" s="1"/>
  <c r="AF15" i="12" s="1"/>
  <c r="AC16" i="12"/>
  <c r="GH13" i="12"/>
  <c r="GG14" i="12"/>
  <c r="ER18" i="12"/>
  <c r="GR24" i="12"/>
  <c r="GS24" i="12" s="1"/>
  <c r="GT24" i="12" s="1"/>
  <c r="K11" i="12"/>
  <c r="L11" i="12" s="1"/>
  <c r="M11" i="12" s="1"/>
  <c r="DE26" i="12"/>
  <c r="DF26" i="12" s="1"/>
  <c r="BP5" i="12"/>
  <c r="BQ5" i="12"/>
  <c r="AR5" i="12"/>
  <c r="ER28" i="12"/>
  <c r="DP25" i="12"/>
  <c r="V10" i="12"/>
  <c r="DA9" i="12"/>
  <c r="HU8" i="12"/>
  <c r="AE12" i="12"/>
  <c r="AF12" i="12" s="1"/>
  <c r="FS9" i="12"/>
  <c r="BX10" i="12"/>
  <c r="BY10" i="12" s="1"/>
  <c r="V11" i="12"/>
  <c r="W11" i="12" s="1"/>
  <c r="AF8" i="12"/>
  <c r="AG8" i="12" s="1"/>
  <c r="GT25" i="12"/>
  <c r="GU25" i="12" s="1"/>
  <c r="EI26" i="12"/>
  <c r="W3" i="12"/>
  <c r="X3" i="12" s="1"/>
  <c r="ET8" i="12"/>
  <c r="EU8" i="12" s="1"/>
  <c r="EV8" i="12" s="1"/>
  <c r="EH11" i="12"/>
  <c r="EI11" i="12" s="1"/>
  <c r="EJ11" i="12" s="1"/>
  <c r="EG13" i="12"/>
  <c r="K215" i="5"/>
  <c r="DP19" i="2"/>
  <c r="DP16" i="2"/>
  <c r="DP17" i="2"/>
  <c r="DP20" i="2"/>
  <c r="S340" i="20"/>
  <c r="DP15" i="2"/>
  <c r="AK187" i="13" l="1"/>
  <c r="AG209" i="13"/>
  <c r="AH208" i="13"/>
  <c r="AI208" i="13" s="1"/>
  <c r="AJ208" i="13" s="1"/>
  <c r="AK208" i="13" s="1"/>
  <c r="S172" i="13"/>
  <c r="AG202" i="13"/>
  <c r="AH202" i="13" s="1"/>
  <c r="AI202" i="13" s="1"/>
  <c r="AJ202" i="13" s="1"/>
  <c r="AK202" i="13" s="1"/>
  <c r="AH201" i="13"/>
  <c r="AI201" i="13" s="1"/>
  <c r="AJ201" i="13" s="1"/>
  <c r="AK201" i="13" s="1"/>
  <c r="AH211" i="13"/>
  <c r="AI211" i="13" s="1"/>
  <c r="AJ211" i="13" s="1"/>
  <c r="AK211" i="13" s="1"/>
  <c r="AG212" i="13"/>
  <c r="AH212" i="13" s="1"/>
  <c r="AI212" i="13" s="1"/>
  <c r="AJ212" i="13" s="1"/>
  <c r="AK212" i="13" s="1"/>
  <c r="P181" i="13"/>
  <c r="Q181" i="13" s="1"/>
  <c r="R181" i="13" s="1"/>
  <c r="S181" i="13" s="1"/>
  <c r="T181" i="13" s="1"/>
  <c r="P182" i="13"/>
  <c r="P180" i="13"/>
  <c r="Q180" i="13" s="1"/>
  <c r="R180" i="13" s="1"/>
  <c r="S180" i="13" s="1"/>
  <c r="T180" i="13" s="1"/>
  <c r="AH190" i="13"/>
  <c r="AI190" i="13" s="1"/>
  <c r="AJ190" i="13" s="1"/>
  <c r="AK190" i="13" s="1"/>
  <c r="AG191" i="13"/>
  <c r="Y162" i="13"/>
  <c r="Z162" i="13" s="1"/>
  <c r="AA162" i="13" s="1"/>
  <c r="X172" i="13"/>
  <c r="AL52" i="13"/>
  <c r="AL66" i="13"/>
  <c r="AM51" i="13"/>
  <c r="AN51" i="13" s="1"/>
  <c r="AO51" i="13" s="1"/>
  <c r="AP51" i="13" s="1"/>
  <c r="DP18" i="2"/>
  <c r="DR12" i="2"/>
  <c r="Q339" i="20"/>
  <c r="P339" i="20" s="1"/>
  <c r="O341" i="20"/>
  <c r="R340" i="20"/>
  <c r="U45" i="12"/>
  <c r="V45" i="12"/>
  <c r="W45" i="12" s="1"/>
  <c r="K50" i="12"/>
  <c r="L50" i="12" s="1"/>
  <c r="M50" i="12" s="1"/>
  <c r="W9" i="12"/>
  <c r="X9" i="12" s="1"/>
  <c r="Q54" i="12"/>
  <c r="ET13" i="12"/>
  <c r="EU13" i="12" s="1"/>
  <c r="EI23" i="12"/>
  <c r="EJ23" i="12" s="1"/>
  <c r="BY6" i="12"/>
  <c r="BZ6" i="12" s="1"/>
  <c r="BJ10" i="12"/>
  <c r="GJ10" i="12"/>
  <c r="V12" i="12"/>
  <c r="W12" i="12" s="1"/>
  <c r="DI10" i="12"/>
  <c r="DG10" i="12"/>
  <c r="DH10" i="12" s="1"/>
  <c r="GC22" i="12"/>
  <c r="GD22" i="12" s="1"/>
  <c r="W10" i="12"/>
  <c r="X10" i="12" s="1"/>
  <c r="BX47" i="12"/>
  <c r="BY47" i="12" s="1"/>
  <c r="BZ47" i="12" s="1"/>
  <c r="AS5" i="12"/>
  <c r="AT5" i="12" s="1"/>
  <c r="EK25" i="12"/>
  <c r="EL25" i="12" s="1"/>
  <c r="DG25" i="12"/>
  <c r="DH25" i="12" s="1"/>
  <c r="DI25" i="12" s="1"/>
  <c r="GK9" i="12"/>
  <c r="GL9" i="12" s="1"/>
  <c r="EK17" i="12"/>
  <c r="EL17" i="12" s="1"/>
  <c r="AI44" i="12"/>
  <c r="AJ44" i="12" s="1"/>
  <c r="AH3" i="12"/>
  <c r="AI3" i="12" s="1"/>
  <c r="AJ3" i="12" s="1"/>
  <c r="CY12" i="12"/>
  <c r="CZ12" i="12" s="1"/>
  <c r="DA12" i="12" s="1"/>
  <c r="FO10" i="12"/>
  <c r="FN10" i="12" s="1"/>
  <c r="FM10" i="12" s="1"/>
  <c r="L13" i="12"/>
  <c r="M13" i="12" s="1"/>
  <c r="BA12" i="12"/>
  <c r="BB12" i="12" s="1"/>
  <c r="AI49" i="12"/>
  <c r="AJ49" i="12" s="1"/>
  <c r="GK11" i="12"/>
  <c r="GK22" i="12"/>
  <c r="GL22" i="12" s="1"/>
  <c r="ED26" i="12"/>
  <c r="ES27" i="12"/>
  <c r="EV25" i="12"/>
  <c r="ET20" i="12"/>
  <c r="EU20" i="12" s="1"/>
  <c r="ES19" i="12"/>
  <c r="ET19" i="12" s="1"/>
  <c r="DO13" i="12"/>
  <c r="DQ26" i="12"/>
  <c r="DR26" i="12" s="1"/>
  <c r="DP24" i="12"/>
  <c r="DQ24" i="12" s="1"/>
  <c r="DR19" i="12"/>
  <c r="DS19" i="12" s="1"/>
  <c r="O209" i="5"/>
  <c r="M226" i="5"/>
  <c r="N226" i="5" s="1"/>
  <c r="J257" i="5" s="1"/>
  <c r="J259" i="5" s="1"/>
  <c r="O210" i="5"/>
  <c r="AC209" i="5"/>
  <c r="AF214" i="5"/>
  <c r="AG213" i="5"/>
  <c r="AH213" i="5" s="1"/>
  <c r="AH212" i="5"/>
  <c r="Y214" i="5"/>
  <c r="Z213" i="5"/>
  <c r="AA213" i="5" s="1"/>
  <c r="AB213" i="5" s="1"/>
  <c r="AA212" i="5"/>
  <c r="M212" i="5"/>
  <c r="N212" i="5" s="1"/>
  <c r="O212" i="5" s="1"/>
  <c r="L214" i="5"/>
  <c r="M214" i="5" s="1"/>
  <c r="N213" i="5"/>
  <c r="O213" i="5" s="1"/>
  <c r="X26" i="12"/>
  <c r="T23" i="12"/>
  <c r="U23" i="12" s="1"/>
  <c r="FF17" i="12"/>
  <c r="FG17" i="12" s="1"/>
  <c r="FF11" i="12"/>
  <c r="FG11" i="12" s="1"/>
  <c r="BZ9" i="12"/>
  <c r="AZ22" i="12"/>
  <c r="BA22" i="12" s="1"/>
  <c r="BB22" i="12" s="1"/>
  <c r="AY23" i="12"/>
  <c r="GU24" i="12"/>
  <c r="DQ28" i="12"/>
  <c r="DR28" i="12" s="1"/>
  <c r="EB23" i="12"/>
  <c r="EC23" i="12" s="1"/>
  <c r="ED23" i="12" s="1"/>
  <c r="EJ18" i="12"/>
  <c r="EK18" i="12" s="1"/>
  <c r="EL18" i="12" s="1"/>
  <c r="DY19" i="12" s="1"/>
  <c r="DY20" i="12" s="1"/>
  <c r="BY11" i="12"/>
  <c r="BZ11" i="12" s="1"/>
  <c r="GJ23" i="12"/>
  <c r="GK23" i="12" s="1"/>
  <c r="GL23" i="12" s="1"/>
  <c r="GQ15" i="12"/>
  <c r="GR13" i="12"/>
  <c r="GS13" i="12" s="1"/>
  <c r="GT13" i="12" s="1"/>
  <c r="BG12" i="12"/>
  <c r="AF48" i="12"/>
  <c r="R14" i="12"/>
  <c r="S14" i="12" s="1"/>
  <c r="AO17" i="12"/>
  <c r="AO16" i="12"/>
  <c r="AP9" i="12"/>
  <c r="AQ9" i="12" s="1"/>
  <c r="AF13" i="12"/>
  <c r="AG13" i="12" s="1"/>
  <c r="AH13" i="12" s="1"/>
  <c r="DG23" i="12"/>
  <c r="DH23" i="12" s="1"/>
  <c r="CY17" i="12"/>
  <c r="CZ17" i="12" s="1"/>
  <c r="CW13" i="12"/>
  <c r="CX13" i="12" s="1"/>
  <c r="CV14" i="12"/>
  <c r="DH27" i="12"/>
  <c r="DI27" i="12" s="1"/>
  <c r="EJ22" i="12"/>
  <c r="EK22" i="12" s="1"/>
  <c r="EL22" i="12" s="1"/>
  <c r="X49" i="12"/>
  <c r="DZ12" i="12"/>
  <c r="AI42" i="12"/>
  <c r="AJ42" i="12" s="1"/>
  <c r="BZ41" i="12"/>
  <c r="AD54" i="12"/>
  <c r="AE54" i="12" s="1"/>
  <c r="AC55" i="12"/>
  <c r="AO60" i="12"/>
  <c r="AO51" i="12"/>
  <c r="AP50" i="12"/>
  <c r="AQ50" i="12" s="1"/>
  <c r="AR50" i="12" s="1"/>
  <c r="DQ8" i="12"/>
  <c r="DR8" i="12" s="1"/>
  <c r="DS8" i="12" s="1"/>
  <c r="AT6" i="12"/>
  <c r="GJ25" i="12"/>
  <c r="GK25" i="12" s="1"/>
  <c r="AT10" i="12"/>
  <c r="AU10" i="12" s="1"/>
  <c r="AV10" i="12" s="1"/>
  <c r="AU45" i="12"/>
  <c r="AV45" i="12" s="1"/>
  <c r="GH14" i="12"/>
  <c r="GI14" i="12" s="1"/>
  <c r="GG15" i="12"/>
  <c r="FY14" i="12"/>
  <c r="FZ13" i="12"/>
  <c r="BG11" i="12"/>
  <c r="FC12" i="12"/>
  <c r="FD12" i="12" s="1"/>
  <c r="R54" i="12"/>
  <c r="S54" i="12" s="1"/>
  <c r="EH13" i="12"/>
  <c r="EG14" i="12"/>
  <c r="K12" i="12"/>
  <c r="L12" i="12" s="1"/>
  <c r="M12" i="12" s="1"/>
  <c r="ES18" i="12"/>
  <c r="GI13" i="12"/>
  <c r="GJ13" i="12" s="1"/>
  <c r="GR18" i="12"/>
  <c r="GS18" i="12" s="1"/>
  <c r="GT18" i="12" s="1"/>
  <c r="CM21" i="12"/>
  <c r="CN21" i="12" s="1"/>
  <c r="CO21" i="12" s="1"/>
  <c r="BH13" i="12"/>
  <c r="BG13" i="12"/>
  <c r="BZ44" i="12"/>
  <c r="GC23" i="12"/>
  <c r="GD23" i="12" s="1"/>
  <c r="BV49" i="12"/>
  <c r="BW48" i="12"/>
  <c r="BO49" i="12"/>
  <c r="BP49" i="12" s="1"/>
  <c r="BQ49" i="12" s="1"/>
  <c r="GH12" i="12"/>
  <c r="GI12" i="12" s="1"/>
  <c r="FD23" i="12"/>
  <c r="FE23" i="12" s="1"/>
  <c r="EI10" i="12"/>
  <c r="EJ10" i="12" s="1"/>
  <c r="BV19" i="12"/>
  <c r="BV13" i="12"/>
  <c r="BX12" i="12"/>
  <c r="BY12" i="12" s="1"/>
  <c r="BZ12" i="12" s="1"/>
  <c r="BW12" i="12"/>
  <c r="CG7" i="12"/>
  <c r="CH7" i="12" s="1"/>
  <c r="GT23" i="12"/>
  <c r="ER14" i="12"/>
  <c r="V6" i="12"/>
  <c r="W6" i="12" s="1"/>
  <c r="X6" i="12" s="1"/>
  <c r="DP22" i="12"/>
  <c r="DQ22" i="12" s="1"/>
  <c r="EU26" i="12"/>
  <c r="EV26" i="12" s="1"/>
  <c r="AI41" i="12"/>
  <c r="AJ41" i="12" s="1"/>
  <c r="F50" i="12"/>
  <c r="G50" i="12" s="1"/>
  <c r="BG53" i="12"/>
  <c r="F13" i="12"/>
  <c r="G13" i="12" s="1"/>
  <c r="EC25" i="12"/>
  <c r="ED25" i="12" s="1"/>
  <c r="DY31" i="12"/>
  <c r="DZ29" i="12"/>
  <c r="EA29" i="12" s="1"/>
  <c r="AH50" i="12"/>
  <c r="AI50" i="12" s="1"/>
  <c r="R52" i="12"/>
  <c r="DY14" i="12"/>
  <c r="DF24" i="12"/>
  <c r="GR22" i="12"/>
  <c r="CY24" i="12"/>
  <c r="AJ46" i="12"/>
  <c r="AS3" i="12"/>
  <c r="DF12" i="12"/>
  <c r="DG12" i="12" s="1"/>
  <c r="BH52" i="12"/>
  <c r="FE20" i="12"/>
  <c r="FF20" i="12" s="1"/>
  <c r="FG20" i="12" s="1"/>
  <c r="AS7" i="12"/>
  <c r="AT7" i="12" s="1"/>
  <c r="BY7" i="12"/>
  <c r="BZ7" i="12" s="1"/>
  <c r="GL11" i="12"/>
  <c r="AH43" i="12"/>
  <c r="AI43" i="12" s="1"/>
  <c r="AJ43" i="12" s="1"/>
  <c r="DH18" i="12"/>
  <c r="DI18" i="12" s="1"/>
  <c r="CV19" i="12" s="1"/>
  <c r="CV20" i="12" s="1"/>
  <c r="AD52" i="12"/>
  <c r="S50" i="12"/>
  <c r="T50" i="12" s="1"/>
  <c r="G60" i="12"/>
  <c r="F47" i="12"/>
  <c r="G47" i="12" s="1"/>
  <c r="BB8" i="12"/>
  <c r="BC8" i="12" s="1"/>
  <c r="FC13" i="12"/>
  <c r="FB14" i="12"/>
  <c r="S15" i="12"/>
  <c r="CO7" i="12"/>
  <c r="CP7" i="12" s="1"/>
  <c r="CQ7" i="12" s="1"/>
  <c r="S48" i="12"/>
  <c r="T48" i="12" s="1"/>
  <c r="BJ7" i="12"/>
  <c r="FD24" i="12"/>
  <c r="FE24" i="12" s="1"/>
  <c r="S53" i="12"/>
  <c r="M52" i="12"/>
  <c r="U8" i="12"/>
  <c r="V8" i="12" s="1"/>
  <c r="GV25" i="12"/>
  <c r="EB11" i="12"/>
  <c r="EC11" i="12" s="1"/>
  <c r="DD14" i="12"/>
  <c r="DE13" i="12"/>
  <c r="DF13" i="12" s="1"/>
  <c r="AQ8" i="12"/>
  <c r="AR8" i="12" s="1"/>
  <c r="BV25" i="12"/>
  <c r="BW23" i="12"/>
  <c r="BX23" i="12" s="1"/>
  <c r="BV24" i="12"/>
  <c r="DQ25" i="12"/>
  <c r="DR25" i="12" s="1"/>
  <c r="DS25" i="12" s="1"/>
  <c r="GL18" i="12"/>
  <c r="FY19" i="12" s="1"/>
  <c r="FY20" i="12" s="1"/>
  <c r="AT43" i="12"/>
  <c r="AU43" i="12" s="1"/>
  <c r="AQ46" i="12"/>
  <c r="AS48" i="12"/>
  <c r="AT48" i="12" s="1"/>
  <c r="J53" i="12"/>
  <c r="J54" i="12" s="1"/>
  <c r="K51" i="12"/>
  <c r="M47" i="12"/>
  <c r="L48" i="12"/>
  <c r="M48" i="12" s="1"/>
  <c r="CQ3" i="12"/>
  <c r="CY11" i="12"/>
  <c r="CZ11" i="12" s="1"/>
  <c r="DA11" i="12" s="1"/>
  <c r="FE27" i="12"/>
  <c r="FF27" i="12" s="1"/>
  <c r="FG27" i="12" s="1"/>
  <c r="EB28" i="12"/>
  <c r="EC28" i="12" s="1"/>
  <c r="S51" i="12"/>
  <c r="BA61" i="12"/>
  <c r="BB61" i="12" s="1"/>
  <c r="EA13" i="12"/>
  <c r="EA10" i="12"/>
  <c r="FR11" i="12"/>
  <c r="DG24" i="12"/>
  <c r="D12" i="12"/>
  <c r="E11" i="12"/>
  <c r="G10" i="12"/>
  <c r="GT19" i="12"/>
  <c r="V42" i="12"/>
  <c r="AE53" i="12"/>
  <c r="AQ49" i="12"/>
  <c r="AI9" i="12"/>
  <c r="AJ9" i="12" s="1"/>
  <c r="AU44" i="12"/>
  <c r="AV44" i="12" s="1"/>
  <c r="FF22" i="12"/>
  <c r="FG22" i="12" s="1"/>
  <c r="GC18" i="12"/>
  <c r="GD18" i="12" s="1"/>
  <c r="EK11" i="12"/>
  <c r="EL11" i="12" s="1"/>
  <c r="DR27" i="12"/>
  <c r="DS27" i="12" s="1"/>
  <c r="ER22" i="12"/>
  <c r="CM12" i="12"/>
  <c r="CN12" i="12" s="1"/>
  <c r="BM11" i="12"/>
  <c r="BM12" i="12" s="1"/>
  <c r="BR11" i="12"/>
  <c r="BN7" i="12"/>
  <c r="CH6" i="12"/>
  <c r="AG12" i="12"/>
  <c r="GV24" i="12"/>
  <c r="AG15" i="12"/>
  <c r="CM11" i="12"/>
  <c r="CN11" i="12" s="1"/>
  <c r="DQ20" i="12"/>
  <c r="DR20" i="12" s="1"/>
  <c r="AE51" i="12"/>
  <c r="AF51" i="12" s="1"/>
  <c r="AY17" i="12"/>
  <c r="AY16" i="12"/>
  <c r="AZ9" i="12"/>
  <c r="BA9" i="12" s="1"/>
  <c r="BB9" i="12" s="1"/>
  <c r="BF14" i="12"/>
  <c r="T13" i="12"/>
  <c r="AH8" i="12"/>
  <c r="ES28" i="12"/>
  <c r="DG26" i="12"/>
  <c r="DH26" i="12" s="1"/>
  <c r="AD16" i="12"/>
  <c r="AC17" i="12"/>
  <c r="AR11" i="12"/>
  <c r="EQ16" i="12"/>
  <c r="ER15" i="12"/>
  <c r="FD25" i="12"/>
  <c r="FE25" i="12" s="1"/>
  <c r="CP9" i="12"/>
  <c r="CQ9" i="12" s="1"/>
  <c r="DR23" i="12"/>
  <c r="DS23" i="12" s="1"/>
  <c r="GA11" i="12"/>
  <c r="CN18" i="12"/>
  <c r="CO18" i="12" s="1"/>
  <c r="CM19" i="12"/>
  <c r="EJ26" i="12"/>
  <c r="EK26" i="12" s="1"/>
  <c r="BZ10" i="12"/>
  <c r="FR9" i="12"/>
  <c r="FQ9" i="12" s="1"/>
  <c r="AH4" i="12"/>
  <c r="AI4" i="12" s="1"/>
  <c r="AJ4" i="12" s="1"/>
  <c r="EQ29" i="12"/>
  <c r="AO22" i="12"/>
  <c r="AP12" i="12"/>
  <c r="AO13" i="12"/>
  <c r="AV15" i="12"/>
  <c r="GQ14" i="12"/>
  <c r="GR12" i="12"/>
  <c r="GS12" i="12" s="1"/>
  <c r="BM13" i="12"/>
  <c r="BN10" i="12"/>
  <c r="CX23" i="12"/>
  <c r="BW46" i="12"/>
  <c r="BX46" i="12" s="1"/>
  <c r="BV61" i="12"/>
  <c r="U41" i="12"/>
  <c r="V41" i="12" s="1"/>
  <c r="BN50" i="12"/>
  <c r="BO50" i="12" s="1"/>
  <c r="BM52" i="12"/>
  <c r="AG47" i="12"/>
  <c r="AH47" i="12" s="1"/>
  <c r="Q55" i="12"/>
  <c r="AU53" i="12"/>
  <c r="AV53" i="12" s="1"/>
  <c r="Q16" i="12"/>
  <c r="CL20" i="12"/>
  <c r="CM8" i="12"/>
  <c r="CN8" i="12" s="1"/>
  <c r="X11" i="12"/>
  <c r="FD10" i="12"/>
  <c r="U13" i="12"/>
  <c r="DO12" i="12"/>
  <c r="U44" i="12"/>
  <c r="V44" i="12" s="1"/>
  <c r="EH12" i="12"/>
  <c r="EG29" i="12"/>
  <c r="EH28" i="12"/>
  <c r="EI28" i="12" s="1"/>
  <c r="AE10" i="12"/>
  <c r="DH11" i="12"/>
  <c r="DI11" i="12" s="1"/>
  <c r="FQ8" i="12"/>
  <c r="ES12" i="12"/>
  <c r="AD14" i="12"/>
  <c r="FE26" i="12"/>
  <c r="FF26" i="12" s="1"/>
  <c r="GT20" i="12"/>
  <c r="GU20" i="12" s="1"/>
  <c r="GV20" i="12" s="1"/>
  <c r="AY14" i="12"/>
  <c r="AZ13" i="12"/>
  <c r="BA13" i="12" s="1"/>
  <c r="AO54" i="12"/>
  <c r="AO55" i="12"/>
  <c r="AP47" i="12"/>
  <c r="E51" i="12"/>
  <c r="D53" i="12"/>
  <c r="ES24" i="12"/>
  <c r="E26" i="12"/>
  <c r="F26" i="12" s="1"/>
  <c r="G26" i="12" s="1"/>
  <c r="CL13" i="12"/>
  <c r="AI45" i="12"/>
  <c r="AJ45" i="12" s="1"/>
  <c r="FS12" i="12"/>
  <c r="CQ4" i="12"/>
  <c r="GB12" i="12"/>
  <c r="GC12" i="12" s="1"/>
  <c r="AH6" i="12"/>
  <c r="BY43" i="12"/>
  <c r="BZ43" i="12" s="1"/>
  <c r="CZ18" i="12"/>
  <c r="DA18" i="12" s="1"/>
  <c r="GL17" i="12"/>
  <c r="Y215" i="5"/>
  <c r="AF215" i="5"/>
  <c r="J260" i="5"/>
  <c r="DQ16" i="2"/>
  <c r="S341" i="20"/>
  <c r="DQ19" i="2"/>
  <c r="DQ15" i="2"/>
  <c r="DQ20" i="2"/>
  <c r="DQ17" i="2"/>
  <c r="AG194" i="13" l="1"/>
  <c r="AH194" i="13" s="1"/>
  <c r="AI194" i="13" s="1"/>
  <c r="AJ194" i="13" s="1"/>
  <c r="AK194" i="13" s="1"/>
  <c r="AG192" i="13"/>
  <c r="AH191" i="13"/>
  <c r="AI191" i="13" s="1"/>
  <c r="AJ191" i="13" s="1"/>
  <c r="AK191" i="13" s="1"/>
  <c r="AG193" i="13"/>
  <c r="Q182" i="13"/>
  <c r="R182" i="13" s="1"/>
  <c r="S182" i="13" s="1"/>
  <c r="T182" i="13" s="1"/>
  <c r="P183" i="13"/>
  <c r="AH209" i="13"/>
  <c r="AI209" i="13" s="1"/>
  <c r="AJ209" i="13" s="1"/>
  <c r="AK209" i="13" s="1"/>
  <c r="AG213" i="13"/>
  <c r="AM66" i="13"/>
  <c r="AN66" i="13" s="1"/>
  <c r="AO66" i="13" s="1"/>
  <c r="AP66" i="13" s="1"/>
  <c r="AL53" i="13"/>
  <c r="AL67" i="13" s="1"/>
  <c r="AM67" i="13" s="1"/>
  <c r="AN67" i="13" s="1"/>
  <c r="AO67" i="13" s="1"/>
  <c r="AP67" i="13" s="1"/>
  <c r="AM52" i="13"/>
  <c r="AN52" i="13" s="1"/>
  <c r="AO52" i="13" s="1"/>
  <c r="AP52" i="13" s="1"/>
  <c r="DQ18" i="2"/>
  <c r="DS12" i="2"/>
  <c r="Q340" i="20"/>
  <c r="P340" i="20" s="1"/>
  <c r="R341" i="20"/>
  <c r="O342" i="20"/>
  <c r="EI13" i="12"/>
  <c r="EJ13" i="12" s="1"/>
  <c r="X45" i="12"/>
  <c r="EV13" i="12"/>
  <c r="EK23" i="12"/>
  <c r="EL23" i="12" s="1"/>
  <c r="AS8" i="12"/>
  <c r="BO10" i="12"/>
  <c r="BP10" i="12" s="1"/>
  <c r="BQ10" i="12" s="1"/>
  <c r="X12" i="12"/>
  <c r="V13" i="12"/>
  <c r="GT12" i="12"/>
  <c r="GU12" i="12" s="1"/>
  <c r="GV12" i="12" s="1"/>
  <c r="BZ46" i="12"/>
  <c r="DH12" i="12"/>
  <c r="DI12" i="12" s="1"/>
  <c r="FF23" i="12"/>
  <c r="BX48" i="12"/>
  <c r="BY48" i="12" s="1"/>
  <c r="BZ48" i="12" s="1"/>
  <c r="AI13" i="12"/>
  <c r="AJ13" i="12" s="1"/>
  <c r="BY46" i="12"/>
  <c r="FG23" i="12"/>
  <c r="EI12" i="12"/>
  <c r="EJ12" i="12" s="1"/>
  <c r="EL26" i="12"/>
  <c r="GB11" i="12"/>
  <c r="GC11" i="12" s="1"/>
  <c r="GD11" i="12" s="1"/>
  <c r="DG13" i="12"/>
  <c r="U48" i="12"/>
  <c r="AQ12" i="12"/>
  <c r="AR12" i="12" s="1"/>
  <c r="AS12" i="12" s="1"/>
  <c r="AT12" i="12" s="1"/>
  <c r="GK13" i="12"/>
  <c r="GL13" i="12" s="1"/>
  <c r="BO7" i="12"/>
  <c r="BP7" i="12" s="1"/>
  <c r="DH24" i="12"/>
  <c r="DI24" i="12" s="1"/>
  <c r="CY13" i="12"/>
  <c r="CZ13" i="12" s="1"/>
  <c r="DA13" i="12" s="1"/>
  <c r="BC22" i="12"/>
  <c r="AU5" i="12"/>
  <c r="AV5" i="12" s="1"/>
  <c r="GK10" i="12"/>
  <c r="GL10" i="12" s="1"/>
  <c r="AH12" i="12"/>
  <c r="AG48" i="12"/>
  <c r="AH48" i="12" s="1"/>
  <c r="AI48" i="12" s="1"/>
  <c r="AJ48" i="12" s="1"/>
  <c r="FG26" i="12"/>
  <c r="BI13" i="12"/>
  <c r="BJ13" i="12" s="1"/>
  <c r="GA13" i="12"/>
  <c r="GB13" i="12" s="1"/>
  <c r="GC13" i="12" s="1"/>
  <c r="GD13" i="12" s="1"/>
  <c r="DA17" i="12"/>
  <c r="T14" i="12"/>
  <c r="V14" i="12" s="1"/>
  <c r="W14" i="12" s="1"/>
  <c r="X14" i="12" s="1"/>
  <c r="BC12" i="12"/>
  <c r="ET27" i="12"/>
  <c r="EU27" i="12" s="1"/>
  <c r="EV27" i="12" s="1"/>
  <c r="ES22" i="12"/>
  <c r="EU19" i="12"/>
  <c r="EV19" i="12" s="1"/>
  <c r="EG19" i="12" s="1"/>
  <c r="EG20" i="12" s="1"/>
  <c r="EV20" i="12"/>
  <c r="CO11" i="12"/>
  <c r="CP18" i="12"/>
  <c r="CQ18" i="12" s="1"/>
  <c r="CN19" i="12"/>
  <c r="CO19" i="12" s="1"/>
  <c r="DO15" i="12"/>
  <c r="DP15" i="12" s="1"/>
  <c r="DS26" i="12"/>
  <c r="DR24" i="12"/>
  <c r="DS24" i="12" s="1"/>
  <c r="DR22" i="12"/>
  <c r="DS22" i="12" s="1"/>
  <c r="DS20" i="12"/>
  <c r="DD19" i="12" s="1"/>
  <c r="DD20" i="12" s="1"/>
  <c r="DE20" i="12" s="1"/>
  <c r="DP12" i="12"/>
  <c r="DQ12" i="12" s="1"/>
  <c r="DP13" i="12"/>
  <c r="DQ13" i="12" s="1"/>
  <c r="DR13" i="12" s="1"/>
  <c r="DS13" i="12" s="1"/>
  <c r="J237" i="5"/>
  <c r="K230" i="5"/>
  <c r="L230" i="5" s="1"/>
  <c r="M230" i="5" s="1"/>
  <c r="N230" i="5" s="1"/>
  <c r="K251" i="5"/>
  <c r="L251" i="5" s="1"/>
  <c r="K242" i="5"/>
  <c r="L242" i="5" s="1"/>
  <c r="M242" i="5" s="1"/>
  <c r="N242" i="5" s="1"/>
  <c r="J243" i="5"/>
  <c r="AI212" i="5"/>
  <c r="AJ212" i="5" s="1"/>
  <c r="AB212" i="5"/>
  <c r="AC212" i="5" s="1"/>
  <c r="AG214" i="5"/>
  <c r="AI213" i="5"/>
  <c r="AJ213" i="5" s="1"/>
  <c r="AC213" i="5"/>
  <c r="Z214" i="5"/>
  <c r="N214" i="5"/>
  <c r="O214" i="5" s="1"/>
  <c r="L215" i="5"/>
  <c r="AI47" i="12"/>
  <c r="AJ47" i="12" s="1"/>
  <c r="CO12" i="12"/>
  <c r="CP12" i="12" s="1"/>
  <c r="EJ28" i="12"/>
  <c r="EK28" i="12" s="1"/>
  <c r="EL28" i="12" s="1"/>
  <c r="W8" i="12"/>
  <c r="X8" i="12" s="1"/>
  <c r="FF24" i="12"/>
  <c r="FG24" i="12" s="1"/>
  <c r="CP21" i="12"/>
  <c r="CQ21" i="12" s="1"/>
  <c r="GJ14" i="12"/>
  <c r="U14" i="12"/>
  <c r="EH20" i="12"/>
  <c r="EI20" i="12" s="1"/>
  <c r="CW20" i="12"/>
  <c r="AU7" i="12"/>
  <c r="AV7" i="12" s="1"/>
  <c r="FE12" i="12"/>
  <c r="FF12" i="12" s="1"/>
  <c r="FG12" i="12" s="1"/>
  <c r="DZ20" i="12"/>
  <c r="BB13" i="12"/>
  <c r="BC13" i="12" s="1"/>
  <c r="FR12" i="12"/>
  <c r="R16" i="12"/>
  <c r="S16" i="12" s="1"/>
  <c r="Q17" i="12"/>
  <c r="BN12" i="12"/>
  <c r="BO12" i="12" s="1"/>
  <c r="ER29" i="12"/>
  <c r="ES29" i="12" s="1"/>
  <c r="ET29" i="12" s="1"/>
  <c r="EQ30" i="12"/>
  <c r="BG14" i="12"/>
  <c r="BH14" i="12" s="1"/>
  <c r="ED28" i="12"/>
  <c r="AO61" i="12"/>
  <c r="AP60" i="12"/>
  <c r="AR9" i="12"/>
  <c r="AS9" i="12" s="1"/>
  <c r="GD12" i="12"/>
  <c r="FQ12" i="12"/>
  <c r="FP12" i="12" s="1"/>
  <c r="F51" i="12"/>
  <c r="G51" i="12" s="1"/>
  <c r="W41" i="12"/>
  <c r="X41" i="12" s="1"/>
  <c r="AQ47" i="12"/>
  <c r="DO14" i="12"/>
  <c r="CO8" i="12"/>
  <c r="CP8" i="12" s="1"/>
  <c r="CQ8" i="12" s="1"/>
  <c r="BP50" i="12"/>
  <c r="BQ50" i="12" s="1"/>
  <c r="BV63" i="12"/>
  <c r="BV62" i="12"/>
  <c r="BW61" i="12"/>
  <c r="CY23" i="12"/>
  <c r="CZ23" i="12" s="1"/>
  <c r="DA23" i="12" s="1"/>
  <c r="BF15" i="12"/>
  <c r="AO14" i="12"/>
  <c r="AO18" i="12" s="1"/>
  <c r="AP13" i="12"/>
  <c r="AP22" i="12"/>
  <c r="AO23" i="12"/>
  <c r="FF25" i="12"/>
  <c r="FG25" i="12" s="1"/>
  <c r="ES15" i="12"/>
  <c r="ET15" i="12" s="1"/>
  <c r="AE16" i="12"/>
  <c r="ET18" i="12"/>
  <c r="BC9" i="12"/>
  <c r="FP9" i="12"/>
  <c r="BM14" i="12"/>
  <c r="AG51" i="12"/>
  <c r="CZ24" i="12"/>
  <c r="DA24" i="12" s="1"/>
  <c r="F11" i="12"/>
  <c r="G11" i="12" s="1"/>
  <c r="BC61" i="12"/>
  <c r="L51" i="12"/>
  <c r="M51" i="12" s="1"/>
  <c r="AU48" i="12"/>
  <c r="AV48" i="12" s="1"/>
  <c r="BY23" i="12"/>
  <c r="BZ23" i="12" s="1"/>
  <c r="FP8" i="12"/>
  <c r="FO8" i="12" s="1"/>
  <c r="FN8" i="12" s="1"/>
  <c r="AE52" i="12"/>
  <c r="AT3" i="12"/>
  <c r="GS22" i="12"/>
  <c r="S52" i="12"/>
  <c r="DZ31" i="12"/>
  <c r="BH53" i="12"/>
  <c r="BI53" i="12" s="1"/>
  <c r="BJ53" i="12" s="1"/>
  <c r="ES14" i="12"/>
  <c r="BV20" i="12"/>
  <c r="BW19" i="12"/>
  <c r="T53" i="12"/>
  <c r="W13" i="12"/>
  <c r="X13" i="12" s="1"/>
  <c r="T15" i="12"/>
  <c r="GU18" i="12"/>
  <c r="GV18" i="12" s="1"/>
  <c r="EG15" i="12"/>
  <c r="EH14" i="12"/>
  <c r="EI14" i="12" s="1"/>
  <c r="BH11" i="12"/>
  <c r="BI11" i="12" s="1"/>
  <c r="GK14" i="12"/>
  <c r="GL14" i="12" s="1"/>
  <c r="AI8" i="12"/>
  <c r="AJ8" i="12" s="1"/>
  <c r="AD55" i="12"/>
  <c r="AR46" i="12"/>
  <c r="AS46" i="12" s="1"/>
  <c r="BH12" i="12"/>
  <c r="BI12" i="12" s="1"/>
  <c r="GU13" i="12"/>
  <c r="GV13" i="12" s="1"/>
  <c r="GQ16" i="12"/>
  <c r="GR15" i="12"/>
  <c r="GS15" i="12" s="1"/>
  <c r="T51" i="12"/>
  <c r="EB13" i="12"/>
  <c r="EC13" i="12" s="1"/>
  <c r="W42" i="12"/>
  <c r="X42" i="12" s="1"/>
  <c r="DS28" i="12"/>
  <c r="CM13" i="12"/>
  <c r="BN52" i="12"/>
  <c r="BO52" i="12" s="1"/>
  <c r="BM53" i="12"/>
  <c r="J55" i="12"/>
  <c r="K54" i="12"/>
  <c r="BW25" i="12"/>
  <c r="BX25" i="12" s="1"/>
  <c r="FD13" i="12"/>
  <c r="FE13" i="12" s="1"/>
  <c r="BV14" i="12"/>
  <c r="BW13" i="12"/>
  <c r="K15" i="12"/>
  <c r="AU6" i="12"/>
  <c r="AV6" i="12" s="1"/>
  <c r="BI52" i="12"/>
  <c r="BJ52" i="12" s="1"/>
  <c r="AP54" i="12"/>
  <c r="AQ54" i="12" s="1"/>
  <c r="AY18" i="12"/>
  <c r="AZ14" i="12"/>
  <c r="BA14" i="12" s="1"/>
  <c r="BB14" i="12" s="1"/>
  <c r="EU12" i="12"/>
  <c r="ET12" i="12"/>
  <c r="AF10" i="12"/>
  <c r="AG10" i="12" s="1"/>
  <c r="BN13" i="12"/>
  <c r="BO13" i="12" s="1"/>
  <c r="BP13" i="12" s="1"/>
  <c r="DI26" i="12"/>
  <c r="AZ16" i="12"/>
  <c r="BA16" i="12" s="1"/>
  <c r="BN11" i="12"/>
  <c r="BO11" i="12" s="1"/>
  <c r="BP11" i="12" s="1"/>
  <c r="AF53" i="12"/>
  <c r="AG53" i="12" s="1"/>
  <c r="AH53" i="12" s="1"/>
  <c r="E12" i="12"/>
  <c r="F12" i="12" s="1"/>
  <c r="D14" i="12"/>
  <c r="D15" i="12" s="1"/>
  <c r="FQ11" i="12"/>
  <c r="ET24" i="12"/>
  <c r="DI23" i="12"/>
  <c r="BW24" i="12"/>
  <c r="FB15" i="12"/>
  <c r="FC14" i="12"/>
  <c r="U50" i="12"/>
  <c r="V50" i="12" s="1"/>
  <c r="AR49" i="12"/>
  <c r="GT22" i="12"/>
  <c r="EB29" i="12"/>
  <c r="EC29" i="12" s="1"/>
  <c r="ET14" i="12"/>
  <c r="EU14" i="12" s="1"/>
  <c r="AT8" i="12"/>
  <c r="AU8" i="12" s="1"/>
  <c r="GJ12" i="12"/>
  <c r="AS11" i="12"/>
  <c r="K14" i="12"/>
  <c r="L14" i="12" s="1"/>
  <c r="M14" i="12" s="1"/>
  <c r="T54" i="12"/>
  <c r="U54" i="12" s="1"/>
  <c r="FY15" i="12"/>
  <c r="FZ14" i="12"/>
  <c r="GH15" i="12"/>
  <c r="GG16" i="12"/>
  <c r="AS50" i="12"/>
  <c r="AI6" i="12"/>
  <c r="AJ6" i="12" s="1"/>
  <c r="GU19" i="12"/>
  <c r="GV19" i="12" s="1"/>
  <c r="GG19" i="12" s="1"/>
  <c r="GG20" i="12" s="1"/>
  <c r="EK10" i="12"/>
  <c r="EL10" i="12" s="1"/>
  <c r="EQ17" i="12"/>
  <c r="ER16" i="12"/>
  <c r="ES16" i="12" s="1"/>
  <c r="ET16" i="12" s="1"/>
  <c r="AV43" i="12"/>
  <c r="DD15" i="12"/>
  <c r="DE14" i="12"/>
  <c r="AP17" i="12"/>
  <c r="F53" i="12"/>
  <c r="E53" i="12"/>
  <c r="D54" i="12"/>
  <c r="AP55" i="12"/>
  <c r="AQ55" i="12" s="1"/>
  <c r="AE14" i="12"/>
  <c r="EH29" i="12"/>
  <c r="EI29" i="12" s="1"/>
  <c r="EG31" i="12"/>
  <c r="FE10" i="12"/>
  <c r="FF10" i="12" s="1"/>
  <c r="CM20" i="12"/>
  <c r="R55" i="12"/>
  <c r="GR14" i="12"/>
  <c r="AD17" i="12"/>
  <c r="AE17" i="12" s="1"/>
  <c r="AF17" i="12" s="1"/>
  <c r="ET28" i="12"/>
  <c r="EU28" i="12" s="1"/>
  <c r="BA17" i="12"/>
  <c r="AZ17" i="12"/>
  <c r="EB10" i="12"/>
  <c r="K53" i="12"/>
  <c r="L53" i="12" s="1"/>
  <c r="FZ20" i="12"/>
  <c r="GA20" i="12" s="1"/>
  <c r="ED11" i="12"/>
  <c r="W44" i="12"/>
  <c r="X44" i="12" s="1"/>
  <c r="DY15" i="12"/>
  <c r="DZ14" i="12"/>
  <c r="V48" i="12"/>
  <c r="W48" i="12" s="1"/>
  <c r="BV56" i="12"/>
  <c r="BW49" i="12"/>
  <c r="BX49" i="12" s="1"/>
  <c r="BV50" i="12"/>
  <c r="GU23" i="12"/>
  <c r="GV23" i="12" s="1"/>
  <c r="GL25" i="12"/>
  <c r="AO52" i="12"/>
  <c r="AP51" i="12"/>
  <c r="AF54" i="12"/>
  <c r="EA12" i="12"/>
  <c r="EB12" i="12" s="1"/>
  <c r="CV15" i="12"/>
  <c r="CW14" i="12"/>
  <c r="AP16" i="12"/>
  <c r="AQ16" i="12" s="1"/>
  <c r="AH15" i="12"/>
  <c r="AI15" i="12" s="1"/>
  <c r="AJ15" i="12" s="1"/>
  <c r="AJ50" i="12"/>
  <c r="AZ23" i="12"/>
  <c r="BA23" i="12" s="1"/>
  <c r="EC10" i="12"/>
  <c r="J244" i="5"/>
  <c r="DR16" i="2"/>
  <c r="DR20" i="2"/>
  <c r="DR19" i="2"/>
  <c r="DR15" i="2"/>
  <c r="S342" i="20"/>
  <c r="DR17" i="2"/>
  <c r="AG214" i="13" l="1"/>
  <c r="AG219" i="13"/>
  <c r="AH213" i="13"/>
  <c r="AI213" i="13" s="1"/>
  <c r="AJ213" i="13" s="1"/>
  <c r="AK213" i="13" s="1"/>
  <c r="AH193" i="13"/>
  <c r="AI193" i="13" s="1"/>
  <c r="P184" i="13"/>
  <c r="Q183" i="13"/>
  <c r="R183" i="13" s="1"/>
  <c r="S183" i="13" s="1"/>
  <c r="T183" i="13" s="1"/>
  <c r="P191" i="13"/>
  <c r="AH192" i="13"/>
  <c r="AI192" i="13" s="1"/>
  <c r="AM53" i="13"/>
  <c r="AN53" i="13" s="1"/>
  <c r="AO53" i="13" s="1"/>
  <c r="AP53" i="13" s="1"/>
  <c r="AL54" i="13"/>
  <c r="AL59" i="13"/>
  <c r="AM59" i="13" s="1"/>
  <c r="AN59" i="13" s="1"/>
  <c r="AO59" i="13" s="1"/>
  <c r="AP59" i="13" s="1"/>
  <c r="AL61" i="13"/>
  <c r="DR18" i="2"/>
  <c r="DT12" i="2"/>
  <c r="R342" i="20"/>
  <c r="O343" i="20"/>
  <c r="Q341" i="20"/>
  <c r="P341" i="20" s="1"/>
  <c r="GI15" i="12"/>
  <c r="GJ15" i="12" s="1"/>
  <c r="EK13" i="12"/>
  <c r="EL13" i="12" s="1"/>
  <c r="AI12" i="12"/>
  <c r="AJ12" i="12" s="1"/>
  <c r="AQ17" i="12"/>
  <c r="BI14" i="12"/>
  <c r="BJ14" i="12" s="1"/>
  <c r="ED10" i="12"/>
  <c r="G12" i="12"/>
  <c r="BX61" i="12"/>
  <c r="BY61" i="12" s="1"/>
  <c r="BZ61" i="12" s="1"/>
  <c r="BP12" i="12"/>
  <c r="BQ12" i="12" s="1"/>
  <c r="AR17" i="12"/>
  <c r="EK12" i="12"/>
  <c r="EL12" i="12" s="1"/>
  <c r="BY49" i="12"/>
  <c r="BZ49" i="12" s="1"/>
  <c r="GB20" i="12"/>
  <c r="GC20" i="12" s="1"/>
  <c r="BJ11" i="12"/>
  <c r="GU22" i="12"/>
  <c r="DH13" i="12"/>
  <c r="DI13" i="12" s="1"/>
  <c r="M53" i="12"/>
  <c r="BB17" i="12"/>
  <c r="BC17" i="12" s="1"/>
  <c r="EJ29" i="12"/>
  <c r="G53" i="12"/>
  <c r="GL12" i="12"/>
  <c r="FO9" i="12"/>
  <c r="BY25" i="12"/>
  <c r="BZ25" i="12" s="1"/>
  <c r="L54" i="12"/>
  <c r="M54" i="12" s="1"/>
  <c r="EJ14" i="12"/>
  <c r="EK14" i="12" s="1"/>
  <c r="EA20" i="12"/>
  <c r="EB20" i="12" s="1"/>
  <c r="BQ11" i="12"/>
  <c r="X48" i="12"/>
  <c r="FG10" i="12"/>
  <c r="GK12" i="12"/>
  <c r="BX19" i="12"/>
  <c r="BY19" i="12" s="1"/>
  <c r="BQ7" i="12"/>
  <c r="EU24" i="12"/>
  <c r="EV24" i="12" s="1"/>
  <c r="EV14" i="12"/>
  <c r="EV12" i="12"/>
  <c r="ET22" i="12"/>
  <c r="EU22" i="12" s="1"/>
  <c r="EV22" i="12" s="1"/>
  <c r="C267" i="5"/>
  <c r="CQ12" i="12"/>
  <c r="CP19" i="12"/>
  <c r="CQ19" i="12" s="1"/>
  <c r="CP11" i="12"/>
  <c r="CQ11" i="12" s="1"/>
  <c r="DR12" i="12"/>
  <c r="DS12" i="12" s="1"/>
  <c r="M251" i="5"/>
  <c r="N251" i="5" s="1"/>
  <c r="K253" i="5"/>
  <c r="K244" i="5"/>
  <c r="L244" i="5" s="1"/>
  <c r="K243" i="5"/>
  <c r="L243" i="5" s="1"/>
  <c r="M243" i="5" s="1"/>
  <c r="N243" i="5" s="1"/>
  <c r="K237" i="5"/>
  <c r="AH214" i="5"/>
  <c r="AA214" i="5"/>
  <c r="AB214" i="5" s="1"/>
  <c r="AG215" i="5"/>
  <c r="Z215" i="5"/>
  <c r="M215" i="5"/>
  <c r="BB23" i="12"/>
  <c r="BC23" i="12" s="1"/>
  <c r="T16" i="12"/>
  <c r="V54" i="12"/>
  <c r="W54" i="12" s="1"/>
  <c r="GV22" i="12"/>
  <c r="GT15" i="12"/>
  <c r="FM8" i="12"/>
  <c r="EK29" i="12"/>
  <c r="EL29" i="12" s="1"/>
  <c r="GG21" i="12"/>
  <c r="GH20" i="12"/>
  <c r="DQ15" i="12"/>
  <c r="AT9" i="12"/>
  <c r="AU9" i="12" s="1"/>
  <c r="AV9" i="12" s="1"/>
  <c r="EJ20" i="12"/>
  <c r="AO56" i="12"/>
  <c r="AP52" i="12"/>
  <c r="AQ52" i="12" s="1"/>
  <c r="BW56" i="12"/>
  <c r="AZ18" i="12"/>
  <c r="AY19" i="12"/>
  <c r="AP23" i="12"/>
  <c r="AQ23" i="12" s="1"/>
  <c r="BG15" i="12"/>
  <c r="ER30" i="12"/>
  <c r="ES30" i="12" s="1"/>
  <c r="EQ32" i="12"/>
  <c r="ED29" i="12"/>
  <c r="AV8" i="12"/>
  <c r="EV28" i="12"/>
  <c r="W50" i="12"/>
  <c r="X50" i="12" s="1"/>
  <c r="AG54" i="12"/>
  <c r="AH54" i="12" s="1"/>
  <c r="AI54" i="12" s="1"/>
  <c r="AJ54" i="12" s="1"/>
  <c r="AQ51" i="12"/>
  <c r="BW50" i="12"/>
  <c r="BV51" i="12"/>
  <c r="BX50" i="12"/>
  <c r="AU3" i="12"/>
  <c r="AV3" i="12" s="1"/>
  <c r="AG17" i="12"/>
  <c r="GS14" i="12"/>
  <c r="S55" i="12"/>
  <c r="D55" i="12"/>
  <c r="E54" i="12"/>
  <c r="F54" i="12" s="1"/>
  <c r="DF14" i="12"/>
  <c r="EU16" i="12"/>
  <c r="EV16" i="12" s="1"/>
  <c r="FY16" i="12"/>
  <c r="FZ15" i="12"/>
  <c r="GA15" i="12" s="1"/>
  <c r="GB15" i="12" s="1"/>
  <c r="AH51" i="12"/>
  <c r="FD14" i="12"/>
  <c r="FE14" i="12" s="1"/>
  <c r="BB16" i="12"/>
  <c r="BC16" i="12" s="1"/>
  <c r="BQ13" i="12"/>
  <c r="BC14" i="12"/>
  <c r="L15" i="12"/>
  <c r="M15" i="12" s="1"/>
  <c r="BV15" i="12"/>
  <c r="BW14" i="12"/>
  <c r="BX14" i="12" s="1"/>
  <c r="BP52" i="12"/>
  <c r="BQ52" i="12" s="1"/>
  <c r="CN13" i="12"/>
  <c r="GU15" i="12"/>
  <c r="AE55" i="12"/>
  <c r="EH15" i="12"/>
  <c r="EI15" i="12" s="1"/>
  <c r="EG16" i="12"/>
  <c r="BV21" i="12"/>
  <c r="BW20" i="12"/>
  <c r="BX20" i="12" s="1"/>
  <c r="BV26" i="12"/>
  <c r="FF13" i="12"/>
  <c r="FG13" i="12" s="1"/>
  <c r="AR47" i="12"/>
  <c r="ED13" i="12"/>
  <c r="EU29" i="12"/>
  <c r="EV29" i="12" s="1"/>
  <c r="R17" i="12"/>
  <c r="S17" i="12" s="1"/>
  <c r="BJ12" i="12"/>
  <c r="CX20" i="12"/>
  <c r="CY20" i="12" s="1"/>
  <c r="U51" i="12"/>
  <c r="V51" i="12" s="1"/>
  <c r="DY16" i="12"/>
  <c r="DZ15" i="12"/>
  <c r="EA15" i="12" s="1"/>
  <c r="DO16" i="12"/>
  <c r="DP16" i="12" s="1"/>
  <c r="T52" i="12"/>
  <c r="U52" i="12" s="1"/>
  <c r="CX14" i="12"/>
  <c r="CY14" i="12" s="1"/>
  <c r="DD16" i="12"/>
  <c r="DE15" i="12"/>
  <c r="GA14" i="12"/>
  <c r="BX24" i="12"/>
  <c r="BY24" i="12" s="1"/>
  <c r="BZ24" i="12" s="1"/>
  <c r="AR54" i="12"/>
  <c r="FO12" i="12"/>
  <c r="FN12" i="12" s="1"/>
  <c r="BX13" i="12"/>
  <c r="BY13" i="12" s="1"/>
  <c r="BZ13" i="12" s="1"/>
  <c r="BN53" i="12"/>
  <c r="BO53" i="12" s="1"/>
  <c r="BP53" i="12" s="1"/>
  <c r="BQ53" i="12" s="1"/>
  <c r="GQ17" i="12"/>
  <c r="GR16" i="12"/>
  <c r="EC12" i="12"/>
  <c r="ED12" i="12" s="1"/>
  <c r="U53" i="12"/>
  <c r="BN14" i="12"/>
  <c r="BO14" i="12" s="1"/>
  <c r="BM15" i="12"/>
  <c r="AT11" i="12"/>
  <c r="AQ22" i="12"/>
  <c r="AR22" i="12" s="1"/>
  <c r="AQ13" i="12"/>
  <c r="DP14" i="12"/>
  <c r="DQ14" i="12" s="1"/>
  <c r="DR14" i="12" s="1"/>
  <c r="DS14" i="12" s="1"/>
  <c r="AQ60" i="12"/>
  <c r="AP61" i="12"/>
  <c r="FP11" i="12"/>
  <c r="AT50" i="12"/>
  <c r="AU50" i="12" s="1"/>
  <c r="AF52" i="12"/>
  <c r="DF20" i="12"/>
  <c r="DG20" i="12" s="1"/>
  <c r="GI16" i="12"/>
  <c r="GJ16" i="12" s="1"/>
  <c r="GH16" i="12"/>
  <c r="AS49" i="12"/>
  <c r="FC15" i="12"/>
  <c r="FD15" i="12" s="1"/>
  <c r="FB16" i="12"/>
  <c r="E15" i="12"/>
  <c r="D16" i="12"/>
  <c r="D17" i="12" s="1"/>
  <c r="D18" i="12" s="1"/>
  <c r="J56" i="12"/>
  <c r="K55" i="12"/>
  <c r="AT46" i="12"/>
  <c r="BW62" i="12"/>
  <c r="CW15" i="12"/>
  <c r="CV16" i="12"/>
  <c r="AR51" i="12"/>
  <c r="AR55" i="12"/>
  <c r="AS55" i="12" s="1"/>
  <c r="AT55" i="12" s="1"/>
  <c r="AU55" i="12" s="1"/>
  <c r="ER17" i="12"/>
  <c r="AR16" i="12"/>
  <c r="EA14" i="12"/>
  <c r="EB14" i="12" s="1"/>
  <c r="CN20" i="12"/>
  <c r="CO20" i="12" s="1"/>
  <c r="E14" i="12"/>
  <c r="F14" i="12" s="1"/>
  <c r="G14" i="12" s="1"/>
  <c r="AH10" i="12"/>
  <c r="AF14" i="12"/>
  <c r="K16" i="12"/>
  <c r="U15" i="12"/>
  <c r="EA31" i="12"/>
  <c r="EB31" i="12" s="1"/>
  <c r="EU18" i="12"/>
  <c r="EV18" i="12" s="1"/>
  <c r="AF16" i="12"/>
  <c r="AP14" i="12"/>
  <c r="AU12" i="12"/>
  <c r="AV12" i="12" s="1"/>
  <c r="BW63" i="12"/>
  <c r="BX63" i="12" s="1"/>
  <c r="AI53" i="12"/>
  <c r="AJ53" i="12" s="1"/>
  <c r="EU15" i="12"/>
  <c r="EV15" i="12" s="1"/>
  <c r="AU46" i="12"/>
  <c r="C268" i="5"/>
  <c r="J245" i="5"/>
  <c r="AL55" i="13"/>
  <c r="DS16" i="2"/>
  <c r="AL62" i="13"/>
  <c r="S343" i="20"/>
  <c r="DS19" i="2"/>
  <c r="DS17" i="2"/>
  <c r="DS15" i="2"/>
  <c r="G298" i="5"/>
  <c r="DS20" i="2"/>
  <c r="AJ192" i="13" l="1"/>
  <c r="AK192" i="13" s="1"/>
  <c r="P186" i="13"/>
  <c r="P185" i="13"/>
  <c r="Q184" i="13"/>
  <c r="R184" i="13" s="1"/>
  <c r="S184" i="13" s="1"/>
  <c r="T184" i="13" s="1"/>
  <c r="AG228" i="13"/>
  <c r="AG223" i="13"/>
  <c r="AH219" i="13"/>
  <c r="AI219" i="13" s="1"/>
  <c r="AJ219" i="13" s="1"/>
  <c r="AK219" i="13" s="1"/>
  <c r="P192" i="13"/>
  <c r="Q191" i="13"/>
  <c r="R191" i="13" s="1"/>
  <c r="S191" i="13" s="1"/>
  <c r="T191" i="13" s="1"/>
  <c r="AJ193" i="13"/>
  <c r="AK193" i="13" s="1"/>
  <c r="AG229" i="13"/>
  <c r="AH229" i="13" s="1"/>
  <c r="AI229" i="13" s="1"/>
  <c r="AJ229" i="13" s="1"/>
  <c r="AK229" i="13" s="1"/>
  <c r="AH214" i="13"/>
  <c r="AI214" i="13" s="1"/>
  <c r="AJ214" i="13" s="1"/>
  <c r="AK214" i="13" s="1"/>
  <c r="AG215" i="13"/>
  <c r="AG226" i="13"/>
  <c r="AL63" i="13"/>
  <c r="AM62" i="13"/>
  <c r="AN62" i="13" s="1"/>
  <c r="AO62" i="13" s="1"/>
  <c r="AP62" i="13" s="1"/>
  <c r="AL56" i="13"/>
  <c r="AM55" i="13"/>
  <c r="AN55" i="13" s="1"/>
  <c r="AO55" i="13" s="1"/>
  <c r="AP55" i="13" s="1"/>
  <c r="AM61" i="13"/>
  <c r="AN61" i="13" s="1"/>
  <c r="AO61" i="13" s="1"/>
  <c r="AP61" i="13" s="1"/>
  <c r="AM54" i="13"/>
  <c r="AN54" i="13" s="1"/>
  <c r="AO54" i="13" s="1"/>
  <c r="AP54" i="13" s="1"/>
  <c r="DS18" i="2"/>
  <c r="DU12" i="2"/>
  <c r="R343" i="20"/>
  <c r="Q343" i="20" s="1"/>
  <c r="P343" i="20" s="1"/>
  <c r="O344" i="20"/>
  <c r="Q342" i="20"/>
  <c r="P342" i="20" s="1"/>
  <c r="GK15" i="12"/>
  <c r="GL15" i="12"/>
  <c r="AS17" i="12"/>
  <c r="AT17" i="12" s="1"/>
  <c r="AU17" i="12" s="1"/>
  <c r="AV17" i="12" s="1"/>
  <c r="AS51" i="12"/>
  <c r="GU14" i="12"/>
  <c r="GV14" i="12" s="1"/>
  <c r="GT14" i="12"/>
  <c r="AQ14" i="12"/>
  <c r="AR14" i="12" s="1"/>
  <c r="GV15" i="12"/>
  <c r="BY20" i="12"/>
  <c r="BZ20" i="12" s="1"/>
  <c r="EC20" i="12"/>
  <c r="ED20" i="12" s="1"/>
  <c r="AT51" i="12"/>
  <c r="AU51" i="12" s="1"/>
  <c r="CX15" i="12"/>
  <c r="GD20" i="12"/>
  <c r="GB14" i="12"/>
  <c r="GC14" i="12" s="1"/>
  <c r="EL14" i="12"/>
  <c r="AS22" i="12"/>
  <c r="AT22" i="12" s="1"/>
  <c r="AU22" i="12" s="1"/>
  <c r="AV22" i="12" s="1"/>
  <c r="X54" i="12"/>
  <c r="AG14" i="12"/>
  <c r="AH14" i="12" s="1"/>
  <c r="AI14" i="12" s="1"/>
  <c r="AJ14" i="12" s="1"/>
  <c r="AV55" i="12"/>
  <c r="AV46" i="12"/>
  <c r="GK16" i="12"/>
  <c r="GL16" i="12" s="1"/>
  <c r="AV11" i="12"/>
  <c r="BY14" i="12"/>
  <c r="BZ14" i="12" s="1"/>
  <c r="U16" i="12"/>
  <c r="V16" i="12" s="1"/>
  <c r="AU11" i="12"/>
  <c r="BZ19" i="12"/>
  <c r="FN9" i="12"/>
  <c r="FM9" i="12" s="1"/>
  <c r="EK20" i="12"/>
  <c r="EL20" i="12" s="1"/>
  <c r="C269" i="5"/>
  <c r="DR15" i="12"/>
  <c r="DS15" i="12" s="1"/>
  <c r="L253" i="5"/>
  <c r="M253" i="5" s="1"/>
  <c r="N253" i="5" s="1"/>
  <c r="D283" i="5"/>
  <c r="E283" i="5" s="1"/>
  <c r="D268" i="5"/>
  <c r="E268" i="5" s="1"/>
  <c r="F268" i="5" s="1"/>
  <c r="D266" i="5"/>
  <c r="E266" i="5" s="1"/>
  <c r="F266" i="5" s="1"/>
  <c r="D267" i="5"/>
  <c r="E267" i="5" s="1"/>
  <c r="D265" i="5"/>
  <c r="E265" i="5" s="1"/>
  <c r="F265" i="5" s="1"/>
  <c r="K245" i="5"/>
  <c r="L245" i="5" s="1"/>
  <c r="M245" i="5" s="1"/>
  <c r="J246" i="5"/>
  <c r="M244" i="5"/>
  <c r="N244" i="5" s="1"/>
  <c r="L237" i="5"/>
  <c r="M237" i="5" s="1"/>
  <c r="N237" i="5" s="1"/>
  <c r="AI214" i="5"/>
  <c r="AJ214" i="5" s="1"/>
  <c r="AC214" i="5"/>
  <c r="AH215" i="5"/>
  <c r="AA215" i="5"/>
  <c r="N215" i="5"/>
  <c r="O215" i="5" s="1"/>
  <c r="V52" i="12"/>
  <c r="W52" i="12" s="1"/>
  <c r="X52" i="12" s="1"/>
  <c r="BW21" i="12"/>
  <c r="T55" i="12"/>
  <c r="U55" i="12" s="1"/>
  <c r="L16" i="12"/>
  <c r="M16" i="12" s="1"/>
  <c r="L55" i="12"/>
  <c r="M55" i="12" s="1"/>
  <c r="DE16" i="12"/>
  <c r="DF16" i="12" s="1"/>
  <c r="DG16" i="12" s="1"/>
  <c r="DD21" i="12"/>
  <c r="DD28" i="12"/>
  <c r="BW15" i="12"/>
  <c r="BX15" i="12" s="1"/>
  <c r="BV16" i="12"/>
  <c r="W51" i="12"/>
  <c r="X51" i="12" s="1"/>
  <c r="AG52" i="12"/>
  <c r="BW26" i="12"/>
  <c r="BX26" i="12" s="1"/>
  <c r="BY26" i="12" s="1"/>
  <c r="BV27" i="12"/>
  <c r="EH16" i="12"/>
  <c r="EI16" i="12" s="1"/>
  <c r="EG21" i="12"/>
  <c r="CO13" i="12"/>
  <c r="CP13" i="12" s="1"/>
  <c r="BA18" i="12"/>
  <c r="CZ14" i="12"/>
  <c r="DA14" i="12" s="1"/>
  <c r="BX62" i="12"/>
  <c r="FC16" i="12"/>
  <c r="FD16" i="12" s="1"/>
  <c r="FB21" i="12"/>
  <c r="FB28" i="12"/>
  <c r="GR17" i="12"/>
  <c r="EB15" i="12"/>
  <c r="EC15" i="12" s="1"/>
  <c r="ED15" i="12" s="1"/>
  <c r="AR13" i="12"/>
  <c r="AF55" i="12"/>
  <c r="AG55" i="12" s="1"/>
  <c r="FM12" i="12"/>
  <c r="BY50" i="12"/>
  <c r="BZ50" i="12" s="1"/>
  <c r="AR23" i="12"/>
  <c r="AS23" i="12" s="1"/>
  <c r="BX56" i="12"/>
  <c r="GH21" i="12"/>
  <c r="AP18" i="12"/>
  <c r="AO19" i="12"/>
  <c r="ES17" i="12"/>
  <c r="ET17" i="12" s="1"/>
  <c r="CW16" i="12"/>
  <c r="CX16" i="12" s="1"/>
  <c r="CV21" i="12"/>
  <c r="CV28" i="12"/>
  <c r="K56" i="12"/>
  <c r="L56" i="12" s="1"/>
  <c r="M56" i="12" s="1"/>
  <c r="J57" i="12"/>
  <c r="F15" i="12"/>
  <c r="G15" i="12" s="1"/>
  <c r="BN15" i="12"/>
  <c r="BP14" i="12"/>
  <c r="BQ14" i="12" s="1"/>
  <c r="GS16" i="12"/>
  <c r="AI10" i="12"/>
  <c r="AJ10" i="12" s="1"/>
  <c r="DF15" i="12"/>
  <c r="AV50" i="12"/>
  <c r="EJ15" i="12"/>
  <c r="EK15" i="12" s="1"/>
  <c r="EL15" i="12" s="1"/>
  <c r="FZ16" i="12"/>
  <c r="GA16" i="12" s="1"/>
  <c r="GB16" i="12" s="1"/>
  <c r="FY21" i="12"/>
  <c r="G54" i="12"/>
  <c r="AI51" i="12"/>
  <c r="AJ51" i="12" s="1"/>
  <c r="BH15" i="12"/>
  <c r="BI15" i="12" s="1"/>
  <c r="AP56" i="12"/>
  <c r="AO57" i="12"/>
  <c r="GI20" i="12"/>
  <c r="GJ20" i="12" s="1"/>
  <c r="FO11" i="12"/>
  <c r="FN11" i="12" s="1"/>
  <c r="AS54" i="12"/>
  <c r="E16" i="12"/>
  <c r="AH17" i="12"/>
  <c r="BY63" i="12"/>
  <c r="BZ63" i="12" s="1"/>
  <c r="DG14" i="12"/>
  <c r="AQ61" i="12"/>
  <c r="DO17" i="12"/>
  <c r="GC15" i="12"/>
  <c r="GD15" i="12" s="1"/>
  <c r="D56" i="12"/>
  <c r="E55" i="12"/>
  <c r="F55" i="12" s="1"/>
  <c r="AZ19" i="12"/>
  <c r="BA19" i="12" s="1"/>
  <c r="BB19" i="12" s="1"/>
  <c r="AY20" i="12"/>
  <c r="AR60" i="12"/>
  <c r="AG16" i="12"/>
  <c r="V15" i="12"/>
  <c r="K17" i="12"/>
  <c r="J18" i="12"/>
  <c r="FE15" i="12"/>
  <c r="FF15" i="12" s="1"/>
  <c r="AT49" i="12"/>
  <c r="DH20" i="12"/>
  <c r="DI20" i="12" s="1"/>
  <c r="V53" i="12"/>
  <c r="W53" i="12" s="1"/>
  <c r="DQ16" i="12"/>
  <c r="DR16" i="12" s="1"/>
  <c r="DZ16" i="12"/>
  <c r="DY21" i="12"/>
  <c r="CZ20" i="12"/>
  <c r="DA20" i="12" s="1"/>
  <c r="T17" i="12"/>
  <c r="AS47" i="12"/>
  <c r="EC31" i="12"/>
  <c r="ED31" i="12" s="1"/>
  <c r="FF14" i="12"/>
  <c r="FG14" i="12" s="1"/>
  <c r="CP20" i="12"/>
  <c r="CQ20" i="12" s="1"/>
  <c r="EC14" i="12"/>
  <c r="ED14" i="12" s="1"/>
  <c r="BW51" i="12"/>
  <c r="BV52" i="12"/>
  <c r="AS16" i="12"/>
  <c r="AT16" i="12" s="1"/>
  <c r="ET30" i="12"/>
  <c r="AR52" i="12"/>
  <c r="AS52" i="12" s="1"/>
  <c r="C270" i="5"/>
  <c r="DT17" i="2"/>
  <c r="DT19" i="2"/>
  <c r="DT20" i="2"/>
  <c r="S344" i="20"/>
  <c r="DT15" i="2"/>
  <c r="DT16" i="2"/>
  <c r="Q185" i="13" l="1"/>
  <c r="R185" i="13" s="1"/>
  <c r="AH226" i="13"/>
  <c r="AI226" i="13" s="1"/>
  <c r="AJ226" i="13" s="1"/>
  <c r="AK226" i="13" s="1"/>
  <c r="AH223" i="13"/>
  <c r="AI223" i="13" s="1"/>
  <c r="AJ223" i="13" s="1"/>
  <c r="Q186" i="13"/>
  <c r="R186" i="13" s="1"/>
  <c r="Q192" i="13"/>
  <c r="R192" i="13" s="1"/>
  <c r="AG216" i="13"/>
  <c r="AG227" i="13" s="1"/>
  <c r="AH227" i="13" s="1"/>
  <c r="AI227" i="13" s="1"/>
  <c r="AJ227" i="13" s="1"/>
  <c r="AK227" i="13" s="1"/>
  <c r="AH215" i="13"/>
  <c r="AI215" i="13" s="1"/>
  <c r="AJ215" i="13" s="1"/>
  <c r="AK215" i="13" s="1"/>
  <c r="AH228" i="13"/>
  <c r="AI228" i="13" s="1"/>
  <c r="AJ228" i="13" s="1"/>
  <c r="AK228" i="13" s="1"/>
  <c r="AL58" i="13"/>
  <c r="AM56" i="13"/>
  <c r="AN56" i="13" s="1"/>
  <c r="AO56" i="13" s="1"/>
  <c r="AP56" i="13" s="1"/>
  <c r="AL65" i="13"/>
  <c r="AM63" i="13"/>
  <c r="AN63" i="13" s="1"/>
  <c r="AO63" i="13" s="1"/>
  <c r="AP63" i="13" s="1"/>
  <c r="DT18" i="2"/>
  <c r="DV12" i="2"/>
  <c r="R344" i="20"/>
  <c r="O345" i="20"/>
  <c r="AS14" i="12"/>
  <c r="AT14" i="12" s="1"/>
  <c r="BB18" i="12"/>
  <c r="BC18" i="12" s="1"/>
  <c r="AV51" i="12"/>
  <c r="AQ18" i="12"/>
  <c r="AU16" i="12"/>
  <c r="AR61" i="12"/>
  <c r="AS61" i="12" s="1"/>
  <c r="BY15" i="12"/>
  <c r="BZ15" i="12" s="1"/>
  <c r="GD14" i="12"/>
  <c r="BX51" i="12"/>
  <c r="BY51" i="12" s="1"/>
  <c r="BZ51" i="12" s="1"/>
  <c r="AT23" i="12"/>
  <c r="AU23" i="12" s="1"/>
  <c r="AV23" i="12" s="1"/>
  <c r="CQ13" i="12"/>
  <c r="W16" i="12"/>
  <c r="X16" i="12" s="1"/>
  <c r="CY15" i="12"/>
  <c r="EU17" i="12"/>
  <c r="EV17" i="12" s="1"/>
  <c r="C275" i="5"/>
  <c r="C276" i="5" s="1"/>
  <c r="DS16" i="12"/>
  <c r="F283" i="5"/>
  <c r="F267" i="5"/>
  <c r="D270" i="5"/>
  <c r="E270" i="5" s="1"/>
  <c r="F270" i="5" s="1"/>
  <c r="D269" i="5"/>
  <c r="E269" i="5" s="1"/>
  <c r="F269" i="5" s="1"/>
  <c r="N245" i="5"/>
  <c r="J248" i="5"/>
  <c r="J249" i="5"/>
  <c r="K246" i="5"/>
  <c r="L246" i="5" s="1"/>
  <c r="AI215" i="5"/>
  <c r="AJ215" i="5" s="1"/>
  <c r="AB215" i="5"/>
  <c r="AC215" i="5" s="1"/>
  <c r="GC16" i="12"/>
  <c r="V55" i="12"/>
  <c r="GK20" i="12"/>
  <c r="GL20" i="12"/>
  <c r="GD16" i="12"/>
  <c r="AS60" i="12"/>
  <c r="AT60" i="12" s="1"/>
  <c r="E17" i="12"/>
  <c r="F17" i="12" s="1"/>
  <c r="AP57" i="12"/>
  <c r="AQ57" i="12" s="1"/>
  <c r="AO58" i="12"/>
  <c r="CY16" i="12"/>
  <c r="CZ16" i="12" s="1"/>
  <c r="DH14" i="12"/>
  <c r="DI14" i="12" s="1"/>
  <c r="G55" i="12"/>
  <c r="AQ56" i="12"/>
  <c r="BY56" i="12"/>
  <c r="BZ56" i="12" s="1"/>
  <c r="AP19" i="12"/>
  <c r="AO20" i="12"/>
  <c r="GS17" i="12"/>
  <c r="W55" i="12"/>
  <c r="BV28" i="12"/>
  <c r="BX27" i="12"/>
  <c r="BY27" i="12" s="1"/>
  <c r="BW27" i="12"/>
  <c r="BW16" i="12"/>
  <c r="BV17" i="12"/>
  <c r="AI17" i="12"/>
  <c r="AJ17" i="12" s="1"/>
  <c r="EU30" i="12"/>
  <c r="EV30" i="12" s="1"/>
  <c r="EA16" i="12"/>
  <c r="EB16" i="12" s="1"/>
  <c r="L17" i="12"/>
  <c r="M17" i="12" s="1"/>
  <c r="AH52" i="12"/>
  <c r="AI52" i="12" s="1"/>
  <c r="BC19" i="12"/>
  <c r="DP17" i="12"/>
  <c r="F16" i="12"/>
  <c r="G16" i="12" s="1"/>
  <c r="AR56" i="12"/>
  <c r="FZ21" i="12"/>
  <c r="GA21" i="12" s="1"/>
  <c r="GB21" i="12" s="1"/>
  <c r="AT47" i="12"/>
  <c r="BO15" i="12"/>
  <c r="CV29" i="12"/>
  <c r="CW28" i="12"/>
  <c r="GT17" i="12"/>
  <c r="FC21" i="12"/>
  <c r="FD21" i="12" s="1"/>
  <c r="EH21" i="12"/>
  <c r="BZ26" i="12"/>
  <c r="DH16" i="12"/>
  <c r="DI16" i="12" s="1"/>
  <c r="BX21" i="12"/>
  <c r="DG15" i="12"/>
  <c r="GT16" i="12"/>
  <c r="AU49" i="12"/>
  <c r="AV49" i="12" s="1"/>
  <c r="BV53" i="12"/>
  <c r="BW52" i="12"/>
  <c r="BX52" i="12" s="1"/>
  <c r="J19" i="12"/>
  <c r="K18" i="12"/>
  <c r="DE28" i="12"/>
  <c r="DF28" i="12" s="1"/>
  <c r="DD29" i="12"/>
  <c r="AH16" i="12"/>
  <c r="DO18" i="12"/>
  <c r="DP18" i="12" s="1"/>
  <c r="FM11" i="12"/>
  <c r="BJ15" i="12"/>
  <c r="J58" i="12"/>
  <c r="K57" i="12"/>
  <c r="BY62" i="12"/>
  <c r="BZ62" i="12" s="1"/>
  <c r="GI21" i="12"/>
  <c r="FB29" i="12"/>
  <c r="FC28" i="12"/>
  <c r="DE21" i="12"/>
  <c r="BY21" i="12"/>
  <c r="BZ21" i="12" s="1"/>
  <c r="AT54" i="12"/>
  <c r="X53" i="12"/>
  <c r="DZ21" i="12"/>
  <c r="EA21" i="12" s="1"/>
  <c r="BA20" i="12"/>
  <c r="BB20" i="12" s="1"/>
  <c r="AZ20" i="12"/>
  <c r="E56" i="12"/>
  <c r="D57" i="12"/>
  <c r="W15" i="12"/>
  <c r="X15" i="12" s="1"/>
  <c r="AS13" i="12"/>
  <c r="CW21" i="12"/>
  <c r="AV16" i="12"/>
  <c r="AT52" i="12"/>
  <c r="AH55" i="12"/>
  <c r="FE16" i="12"/>
  <c r="FF16" i="12" s="1"/>
  <c r="EJ16" i="12"/>
  <c r="EK16" i="12" s="1"/>
  <c r="EL16" i="12" s="1"/>
  <c r="U17" i="12"/>
  <c r="FG15" i="12"/>
  <c r="AT13" i="12"/>
  <c r="J250" i="5"/>
  <c r="C277" i="5"/>
  <c r="DU19" i="2"/>
  <c r="DU16" i="2"/>
  <c r="DU17" i="2"/>
  <c r="DU15" i="2"/>
  <c r="S345" i="20"/>
  <c r="DU20" i="2"/>
  <c r="S186" i="13" l="1"/>
  <c r="T186" i="13" s="1"/>
  <c r="AG230" i="13"/>
  <c r="AH216" i="13"/>
  <c r="AI216" i="13" s="1"/>
  <c r="AJ216" i="13" s="1"/>
  <c r="AK216" i="13" s="1"/>
  <c r="AG220" i="13"/>
  <c r="AH220" i="13" s="1"/>
  <c r="AI220" i="13" s="1"/>
  <c r="AJ220" i="13" s="1"/>
  <c r="AK220" i="13" s="1"/>
  <c r="AG217" i="13"/>
  <c r="AH217" i="13" s="1"/>
  <c r="AI217" i="13" s="1"/>
  <c r="AJ217" i="13" s="1"/>
  <c r="AK217" i="13" s="1"/>
  <c r="S192" i="13"/>
  <c r="T192" i="13" s="1"/>
  <c r="AK223" i="13"/>
  <c r="S185" i="13"/>
  <c r="T185" i="13" s="1"/>
  <c r="AL68" i="13"/>
  <c r="AM65" i="13"/>
  <c r="AN65" i="13" s="1"/>
  <c r="AO65" i="13" s="1"/>
  <c r="AP65" i="13" s="1"/>
  <c r="AL72" i="13"/>
  <c r="AM58" i="13"/>
  <c r="AN58" i="13" s="1"/>
  <c r="AO58" i="13" s="1"/>
  <c r="AP58" i="13" s="1"/>
  <c r="AL60" i="13"/>
  <c r="AM60" i="13" s="1"/>
  <c r="AN60" i="13" s="1"/>
  <c r="AO60" i="13" s="1"/>
  <c r="AP60" i="13" s="1"/>
  <c r="AL73" i="13"/>
  <c r="AM73" i="13" s="1"/>
  <c r="AN73" i="13" s="1"/>
  <c r="AO73" i="13" s="1"/>
  <c r="AP73" i="13" s="1"/>
  <c r="DU18" i="2"/>
  <c r="DW12" i="2"/>
  <c r="R345" i="20"/>
  <c r="Q345" i="20" s="1"/>
  <c r="P345" i="20" s="1"/>
  <c r="O346" i="20"/>
  <c r="Q344" i="20"/>
  <c r="P344" i="20" s="1"/>
  <c r="AU14" i="12"/>
  <c r="AV14" i="12" s="1"/>
  <c r="CX28" i="12"/>
  <c r="CY28" i="12" s="1"/>
  <c r="CZ28" i="12" s="1"/>
  <c r="DA28" i="12" s="1"/>
  <c r="L18" i="12"/>
  <c r="M18" i="12" s="1"/>
  <c r="AT61" i="12"/>
  <c r="AU61" i="12" s="1"/>
  <c r="AV61" i="12" s="1"/>
  <c r="X55" i="12"/>
  <c r="AR18" i="12"/>
  <c r="BY52" i="12"/>
  <c r="BZ52" i="12" s="1"/>
  <c r="AJ52" i="12"/>
  <c r="DA16" i="12"/>
  <c r="G17" i="12"/>
  <c r="AU47" i="12"/>
  <c r="AV47" i="12" s="1"/>
  <c r="CZ15" i="12"/>
  <c r="DA15" i="12" s="1"/>
  <c r="C278" i="5"/>
  <c r="D275" i="5"/>
  <c r="E275" i="5" s="1"/>
  <c r="F275" i="5" s="1"/>
  <c r="K234" i="5"/>
  <c r="L234" i="5" s="1"/>
  <c r="M234" i="5" s="1"/>
  <c r="N234" i="5" s="1"/>
  <c r="J265" i="5" s="1"/>
  <c r="K250" i="5"/>
  <c r="L250" i="5" s="1"/>
  <c r="M250" i="5" s="1"/>
  <c r="N250" i="5" s="1"/>
  <c r="J252" i="5"/>
  <c r="J236" i="5"/>
  <c r="K233" i="5"/>
  <c r="L233" i="5" s="1"/>
  <c r="M246" i="5"/>
  <c r="N246" i="5" s="1"/>
  <c r="K248" i="5"/>
  <c r="L248" i="5" s="1"/>
  <c r="M248" i="5" s="1"/>
  <c r="N248" i="5" s="1"/>
  <c r="K249" i="5"/>
  <c r="L249" i="5" s="1"/>
  <c r="GC21" i="12"/>
  <c r="GD21" i="12" s="1"/>
  <c r="EC16" i="12"/>
  <c r="ED16" i="12" s="1"/>
  <c r="AU60" i="12"/>
  <c r="AV60" i="12" s="1"/>
  <c r="BC20" i="12"/>
  <c r="BZ27" i="12"/>
  <c r="GU16" i="12"/>
  <c r="GV16" i="12" s="1"/>
  <c r="D19" i="12"/>
  <c r="E18" i="12"/>
  <c r="F18" i="12" s="1"/>
  <c r="G18" i="12" s="1"/>
  <c r="CL14" i="12"/>
  <c r="L57" i="12"/>
  <c r="M57" i="12" s="1"/>
  <c r="AI16" i="12"/>
  <c r="AJ16" i="12" s="1"/>
  <c r="BW53" i="12"/>
  <c r="BV54" i="12"/>
  <c r="EI21" i="12"/>
  <c r="EJ21" i="12" s="1"/>
  <c r="DQ17" i="12"/>
  <c r="DR17" i="12" s="1"/>
  <c r="BW17" i="12"/>
  <c r="AS56" i="12"/>
  <c r="BP15" i="12"/>
  <c r="BQ15" i="12" s="1"/>
  <c r="AU54" i="12"/>
  <c r="AV54" i="12" s="1"/>
  <c r="CX21" i="12"/>
  <c r="CY21" i="12" s="1"/>
  <c r="F56" i="12"/>
  <c r="G56" i="12" s="1"/>
  <c r="EB21" i="12"/>
  <c r="EC21" i="12" s="1"/>
  <c r="ED21" i="12" s="1"/>
  <c r="DF21" i="12"/>
  <c r="DG21" i="12" s="1"/>
  <c r="DH21" i="12" s="1"/>
  <c r="DI21" i="12" s="1"/>
  <c r="FD28" i="12"/>
  <c r="K58" i="12"/>
  <c r="L58" i="12" s="1"/>
  <c r="J59" i="12"/>
  <c r="DN30" i="12"/>
  <c r="DO29" i="12"/>
  <c r="DQ18" i="12"/>
  <c r="DR18" i="12" s="1"/>
  <c r="EG30" i="12"/>
  <c r="DE29" i="12"/>
  <c r="DF29" i="12" s="1"/>
  <c r="J20" i="12"/>
  <c r="J21" i="12" s="1"/>
  <c r="K21" i="12" s="1"/>
  <c r="L21" i="12" s="1"/>
  <c r="M21" i="12" s="1"/>
  <c r="K19" i="12"/>
  <c r="L19" i="12" s="1"/>
  <c r="M19" i="12" s="1"/>
  <c r="DH15" i="12"/>
  <c r="DI15" i="12" s="1"/>
  <c r="FG16" i="12"/>
  <c r="FE21" i="12"/>
  <c r="FF21" i="12" s="1"/>
  <c r="BX16" i="12"/>
  <c r="BY16" i="12" s="1"/>
  <c r="BW28" i="12"/>
  <c r="BV29" i="12"/>
  <c r="AP20" i="12"/>
  <c r="AQ20" i="12" s="1"/>
  <c r="AQ19" i="12"/>
  <c r="AR19" i="12" s="1"/>
  <c r="AP58" i="12"/>
  <c r="V17" i="12"/>
  <c r="W17" i="12" s="1"/>
  <c r="X17" i="12" s="1"/>
  <c r="AU52" i="12"/>
  <c r="AV52" i="12" s="1"/>
  <c r="GU17" i="12"/>
  <c r="GV17" i="12" s="1"/>
  <c r="AR57" i="12"/>
  <c r="AI55" i="12"/>
  <c r="AJ55" i="12" s="1"/>
  <c r="AU13" i="12"/>
  <c r="AV13" i="12" s="1"/>
  <c r="D58" i="12"/>
  <c r="E57" i="12"/>
  <c r="F57" i="12" s="1"/>
  <c r="G57" i="12" s="1"/>
  <c r="FC29" i="12"/>
  <c r="FD29" i="12" s="1"/>
  <c r="FE29" i="12" s="1"/>
  <c r="FT14" i="12"/>
  <c r="DG28" i="12"/>
  <c r="DH28" i="12" s="1"/>
  <c r="DI28" i="12" s="1"/>
  <c r="CW29" i="12"/>
  <c r="DY30" i="12"/>
  <c r="GJ21" i="12"/>
  <c r="C291" i="5"/>
  <c r="J238" i="5"/>
  <c r="C297" i="5"/>
  <c r="DV19" i="2"/>
  <c r="DV15" i="2"/>
  <c r="DV16" i="2"/>
  <c r="DV20" i="2"/>
  <c r="DV17" i="2"/>
  <c r="S346" i="20"/>
  <c r="AH230" i="13" l="1"/>
  <c r="AI230" i="13" s="1"/>
  <c r="AJ230" i="13" s="1"/>
  <c r="AK230" i="13" s="1"/>
  <c r="AG231" i="13"/>
  <c r="AL74" i="13"/>
  <c r="AM72" i="13"/>
  <c r="AN72" i="13" s="1"/>
  <c r="AO72" i="13" s="1"/>
  <c r="AP72" i="13" s="1"/>
  <c r="AL69" i="13"/>
  <c r="AM68" i="13"/>
  <c r="AN68" i="13" s="1"/>
  <c r="AO68" i="13" s="1"/>
  <c r="AP68" i="13" s="1"/>
  <c r="DV18" i="2"/>
  <c r="DX12" i="2"/>
  <c r="R346" i="20"/>
  <c r="O347" i="20"/>
  <c r="C279" i="5"/>
  <c r="FG21" i="12"/>
  <c r="AS18" i="12"/>
  <c r="M58" i="12"/>
  <c r="CZ21" i="12"/>
  <c r="GK21" i="12"/>
  <c r="GL21" i="12" s="1"/>
  <c r="C280" i="5"/>
  <c r="DS18" i="12"/>
  <c r="M233" i="5"/>
  <c r="N233" i="5" s="1"/>
  <c r="J264" i="5" s="1"/>
  <c r="M249" i="5"/>
  <c r="N249" i="5" s="1"/>
  <c r="D277" i="5"/>
  <c r="E277" i="5" s="1"/>
  <c r="F277" i="5" s="1"/>
  <c r="D276" i="5"/>
  <c r="E276" i="5" s="1"/>
  <c r="F276" i="5" s="1"/>
  <c r="K236" i="5"/>
  <c r="L236" i="5" s="1"/>
  <c r="M236" i="5" s="1"/>
  <c r="K252" i="5"/>
  <c r="L252" i="5" s="1"/>
  <c r="M252" i="5" s="1"/>
  <c r="N252" i="5" s="1"/>
  <c r="J254" i="5"/>
  <c r="FF29" i="12"/>
  <c r="DG29" i="12"/>
  <c r="DH29" i="12" s="1"/>
  <c r="DI29" i="12" s="1"/>
  <c r="AS20" i="12"/>
  <c r="D59" i="12"/>
  <c r="E58" i="12"/>
  <c r="AS19" i="12"/>
  <c r="BZ16" i="12"/>
  <c r="EH30" i="12"/>
  <c r="FE28" i="12"/>
  <c r="BX17" i="12"/>
  <c r="BY17" i="12" s="1"/>
  <c r="BW54" i="12"/>
  <c r="BX54" i="12" s="1"/>
  <c r="AS57" i="12"/>
  <c r="EK21" i="12"/>
  <c r="EL21" i="12" s="1"/>
  <c r="AT19" i="12"/>
  <c r="AU19" i="12" s="1"/>
  <c r="AT20" i="12"/>
  <c r="AR20" i="12"/>
  <c r="BX28" i="12"/>
  <c r="K59" i="12"/>
  <c r="J60" i="12"/>
  <c r="AT56" i="12"/>
  <c r="BX53" i="12"/>
  <c r="BY53" i="12" s="1"/>
  <c r="DA21" i="12"/>
  <c r="D20" i="12"/>
  <c r="E19" i="12"/>
  <c r="DZ30" i="12"/>
  <c r="EA30" i="12" s="1"/>
  <c r="FG29" i="12"/>
  <c r="BW29" i="12"/>
  <c r="BX29" i="12" s="1"/>
  <c r="BV30" i="12"/>
  <c r="EQ31" i="12"/>
  <c r="DO30" i="12"/>
  <c r="DP30" i="12" s="1"/>
  <c r="CX29" i="12"/>
  <c r="FT20" i="12"/>
  <c r="FT17" i="12"/>
  <c r="FT16" i="12"/>
  <c r="AQ58" i="12"/>
  <c r="K20" i="12"/>
  <c r="DP29" i="12"/>
  <c r="DS17" i="12"/>
  <c r="CM14" i="12"/>
  <c r="CL15" i="12"/>
  <c r="J266" i="5"/>
  <c r="J255" i="5"/>
  <c r="C298" i="5"/>
  <c r="C281" i="5"/>
  <c r="DW19" i="2"/>
  <c r="DW16" i="2"/>
  <c r="DW17" i="2"/>
  <c r="DW15" i="2"/>
  <c r="S347" i="20"/>
  <c r="DW20" i="2"/>
  <c r="AH231" i="13" l="1"/>
  <c r="AI231" i="13" s="1"/>
  <c r="AJ231" i="13" s="1"/>
  <c r="AK231" i="13" s="1"/>
  <c r="AG232" i="13"/>
  <c r="AM69" i="13"/>
  <c r="AN69" i="13" s="1"/>
  <c r="AO69" i="13" s="1"/>
  <c r="AP69" i="13" s="1"/>
  <c r="AL70" i="13"/>
  <c r="AM74" i="13"/>
  <c r="AN74" i="13" s="1"/>
  <c r="AO74" i="13" s="1"/>
  <c r="AP74" i="13" s="1"/>
  <c r="AL75" i="13"/>
  <c r="AM75" i="13" s="1"/>
  <c r="AN75" i="13" s="1"/>
  <c r="AO75" i="13" s="1"/>
  <c r="AP75" i="13" s="1"/>
  <c r="DW18" i="2"/>
  <c r="DY12" i="2"/>
  <c r="R347" i="20"/>
  <c r="Q347" i="20" s="1"/>
  <c r="P347" i="20" s="1"/>
  <c r="O348" i="20"/>
  <c r="Q346" i="20"/>
  <c r="P346" i="20" s="1"/>
  <c r="AV19" i="12"/>
  <c r="EB30" i="12"/>
  <c r="EC30" i="12" s="1"/>
  <c r="ED30" i="12" s="1"/>
  <c r="F19" i="12"/>
  <c r="G19" i="12" s="1"/>
  <c r="BY54" i="12"/>
  <c r="BZ54" i="12" s="1"/>
  <c r="AT18" i="12"/>
  <c r="AU18" i="12" s="1"/>
  <c r="BZ17" i="12"/>
  <c r="F58" i="12"/>
  <c r="G58" i="12" s="1"/>
  <c r="C284" i="5"/>
  <c r="C286" i="5" s="1"/>
  <c r="K266" i="5"/>
  <c r="L266" i="5" s="1"/>
  <c r="M266" i="5" s="1"/>
  <c r="N266" i="5" s="1"/>
  <c r="D298" i="5"/>
  <c r="E298" i="5" s="1"/>
  <c r="F298" i="5" s="1"/>
  <c r="D291" i="5"/>
  <c r="E291" i="5" s="1"/>
  <c r="D297" i="5"/>
  <c r="E297" i="5" s="1"/>
  <c r="C295" i="5"/>
  <c r="C289" i="5"/>
  <c r="N236" i="5"/>
  <c r="J267" i="5" s="1"/>
  <c r="J268" i="5" s="1"/>
  <c r="D278" i="5"/>
  <c r="E278" i="5" s="1"/>
  <c r="K238" i="5"/>
  <c r="L238" i="5" s="1"/>
  <c r="K255" i="5"/>
  <c r="K254" i="5"/>
  <c r="L254" i="5" s="1"/>
  <c r="M254" i="5" s="1"/>
  <c r="N254" i="5" s="1"/>
  <c r="BY29" i="12"/>
  <c r="BZ29" i="12" s="1"/>
  <c r="FS20" i="12"/>
  <c r="ER31" i="12"/>
  <c r="CN14" i="12"/>
  <c r="CY29" i="12"/>
  <c r="DQ30" i="12"/>
  <c r="DR30" i="12" s="1"/>
  <c r="DS30" i="12" s="1"/>
  <c r="E20" i="12"/>
  <c r="D21" i="12"/>
  <c r="D23" i="12" s="1"/>
  <c r="L59" i="12"/>
  <c r="M59" i="12" s="1"/>
  <c r="AU56" i="12"/>
  <c r="AV56" i="12" s="1"/>
  <c r="AR58" i="12"/>
  <c r="E59" i="12"/>
  <c r="L20" i="12"/>
  <c r="M20" i="12" s="1"/>
  <c r="FT18" i="12"/>
  <c r="FS16" i="12"/>
  <c r="K60" i="12"/>
  <c r="L60" i="12"/>
  <c r="M60" i="12" s="1"/>
  <c r="D62" i="12"/>
  <c r="EI30" i="12"/>
  <c r="AU20" i="12"/>
  <c r="AV20" i="12" s="1"/>
  <c r="BY28" i="12"/>
  <c r="BZ28" i="12" s="1"/>
  <c r="CM15" i="12"/>
  <c r="CN15" i="12" s="1"/>
  <c r="DQ29" i="12"/>
  <c r="DR29" i="12" s="1"/>
  <c r="DS29" i="12" s="1"/>
  <c r="AT57" i="12"/>
  <c r="AU57" i="12" s="1"/>
  <c r="FS17" i="12"/>
  <c r="FR17" i="12" s="1"/>
  <c r="BW30" i="12"/>
  <c r="BX30" i="12" s="1"/>
  <c r="BY30" i="12" s="1"/>
  <c r="BZ30" i="12" s="1"/>
  <c r="BV31" i="12"/>
  <c r="BZ53" i="12"/>
  <c r="FF28" i="12"/>
  <c r="FG28" i="12" s="1"/>
  <c r="C290" i="5"/>
  <c r="C296" i="5"/>
  <c r="C287" i="5"/>
  <c r="DX17" i="2"/>
  <c r="S348" i="20"/>
  <c r="DX15" i="2"/>
  <c r="DX16" i="2"/>
  <c r="DX19" i="2"/>
  <c r="DX20" i="2"/>
  <c r="AH232" i="13" l="1"/>
  <c r="AI232" i="13" s="1"/>
  <c r="AJ232" i="13" s="1"/>
  <c r="AK232" i="13" s="1"/>
  <c r="AG233" i="13"/>
  <c r="AL77" i="13"/>
  <c r="AM70" i="13"/>
  <c r="AN70" i="13" s="1"/>
  <c r="AO70" i="13" s="1"/>
  <c r="AP70" i="13" s="1"/>
  <c r="DX18" i="2"/>
  <c r="DZ12" i="2"/>
  <c r="R348" i="20"/>
  <c r="Q348" i="20" s="1"/>
  <c r="P348" i="20" s="1"/>
  <c r="O349" i="20"/>
  <c r="FQ17" i="12"/>
  <c r="F59" i="12"/>
  <c r="G59" i="12" s="1"/>
  <c r="AV18" i="12"/>
  <c r="CZ29" i="12"/>
  <c r="DA29" i="12" s="1"/>
  <c r="FP17" i="12"/>
  <c r="FO17" i="12" s="1"/>
  <c r="FN17" i="12" s="1"/>
  <c r="F20" i="12"/>
  <c r="G20" i="12" s="1"/>
  <c r="ES31" i="12"/>
  <c r="K268" i="5"/>
  <c r="L268" i="5" s="1"/>
  <c r="D296" i="5"/>
  <c r="E296" i="5" s="1"/>
  <c r="F296" i="5" s="1"/>
  <c r="D289" i="5"/>
  <c r="E289" i="5" s="1"/>
  <c r="F289" i="5" s="1"/>
  <c r="F291" i="5"/>
  <c r="D295" i="5"/>
  <c r="E295" i="5" s="1"/>
  <c r="F295" i="5" s="1"/>
  <c r="F297" i="5"/>
  <c r="D281" i="5"/>
  <c r="E281" i="5" s="1"/>
  <c r="F281" i="5" s="1"/>
  <c r="D279" i="5"/>
  <c r="E279" i="5" s="1"/>
  <c r="F279" i="5" s="1"/>
  <c r="D280" i="5"/>
  <c r="E280" i="5" s="1"/>
  <c r="F280" i="5" s="1"/>
  <c r="F278" i="5"/>
  <c r="L255" i="5"/>
  <c r="M255" i="5" s="1"/>
  <c r="N255" i="5" s="1"/>
  <c r="M238" i="5"/>
  <c r="N238" i="5" s="1"/>
  <c r="F62" i="12"/>
  <c r="D63" i="12"/>
  <c r="E62" i="12"/>
  <c r="BV40" i="12"/>
  <c r="G62" i="12"/>
  <c r="D65" i="12"/>
  <c r="FR20" i="12"/>
  <c r="FQ20" i="12" s="1"/>
  <c r="AS58" i="12"/>
  <c r="BV32" i="12"/>
  <c r="BW31" i="12"/>
  <c r="BX31" i="12" s="1"/>
  <c r="BY31" i="12" s="1"/>
  <c r="CO15" i="12"/>
  <c r="CP15" i="12" s="1"/>
  <c r="AT58" i="12"/>
  <c r="AU58" i="12" s="1"/>
  <c r="CO14" i="12"/>
  <c r="FT19" i="12"/>
  <c r="FS18" i="12"/>
  <c r="EJ30" i="12"/>
  <c r="EK30" i="12" s="1"/>
  <c r="EL30" i="12" s="1"/>
  <c r="E21" i="12"/>
  <c r="FR16" i="12"/>
  <c r="FQ16" i="12" s="1"/>
  <c r="AV57" i="12"/>
  <c r="DY19" i="2"/>
  <c r="DY17" i="2"/>
  <c r="S349" i="20"/>
  <c r="DY15" i="2"/>
  <c r="DY16" i="2"/>
  <c r="DY20" i="2"/>
  <c r="AG234" i="13" l="1"/>
  <c r="AH234" i="13" s="1"/>
  <c r="AI234" i="13" s="1"/>
  <c r="AJ234" i="13" s="1"/>
  <c r="AK234" i="13" s="1"/>
  <c r="AH233" i="13"/>
  <c r="AI233" i="13" s="1"/>
  <c r="AJ233" i="13" s="1"/>
  <c r="AK233" i="13" s="1"/>
  <c r="AM77" i="13"/>
  <c r="AN77" i="13" s="1"/>
  <c r="AO77" i="13" s="1"/>
  <c r="AP77" i="13" s="1"/>
  <c r="AL78" i="13"/>
  <c r="DY18" i="2"/>
  <c r="EA12" i="2"/>
  <c r="R349" i="20"/>
  <c r="Q349" i="20" s="1"/>
  <c r="P349" i="20" s="1"/>
  <c r="O350" i="20"/>
  <c r="AV58" i="12"/>
  <c r="FM17" i="12"/>
  <c r="ET31" i="12"/>
  <c r="EU31" i="12" s="1"/>
  <c r="EV31" i="12" s="1"/>
  <c r="M268" i="5"/>
  <c r="N268" i="5" s="1"/>
  <c r="D290" i="5"/>
  <c r="E290" i="5" s="1"/>
  <c r="D284" i="5"/>
  <c r="E284" i="5" s="1"/>
  <c r="D64" i="12"/>
  <c r="E63" i="12"/>
  <c r="D66" i="12"/>
  <c r="F21" i="12"/>
  <c r="G21" i="12" s="1"/>
  <c r="CP14" i="12"/>
  <c r="CQ14" i="12" s="1"/>
  <c r="BZ31" i="12"/>
  <c r="BW32" i="12"/>
  <c r="FT21" i="12"/>
  <c r="FS19" i="12"/>
  <c r="FP16" i="12"/>
  <c r="BV57" i="12"/>
  <c r="BW40" i="12"/>
  <c r="FR18" i="12"/>
  <c r="FP20" i="12"/>
  <c r="FO20" i="12" s="1"/>
  <c r="CQ15" i="12"/>
  <c r="CL16" i="12"/>
  <c r="E23" i="12"/>
  <c r="F23" i="12" s="1"/>
  <c r="G23" i="12" s="1"/>
  <c r="DZ16" i="2"/>
  <c r="DZ17" i="2"/>
  <c r="DZ19" i="2"/>
  <c r="S350" i="20"/>
  <c r="DZ20" i="2"/>
  <c r="DZ15" i="2"/>
  <c r="DZ18" i="2" l="1"/>
  <c r="EB12" i="2"/>
  <c r="R350" i="20"/>
  <c r="O351" i="20"/>
  <c r="F63" i="12"/>
  <c r="G63" i="12" s="1"/>
  <c r="FQ18" i="12"/>
  <c r="FP18" i="12" s="1"/>
  <c r="FO18" i="12" s="1"/>
  <c r="FN18" i="12" s="1"/>
  <c r="BX40" i="12"/>
  <c r="BY40" i="12" s="1"/>
  <c r="BZ40" i="12" s="1"/>
  <c r="C292" i="5"/>
  <c r="C294" i="5"/>
  <c r="F284" i="5"/>
  <c r="F290" i="5"/>
  <c r="D287" i="5"/>
  <c r="E287" i="5" s="1"/>
  <c r="F287" i="5" s="1"/>
  <c r="D286" i="5"/>
  <c r="E286" i="5" s="1"/>
  <c r="F286" i="5" s="1"/>
  <c r="BW57" i="12"/>
  <c r="BX57" i="12" s="1"/>
  <c r="BY57" i="12" s="1"/>
  <c r="BZ57" i="12" s="1"/>
  <c r="BV58" i="12"/>
  <c r="BX32" i="12"/>
  <c r="BY32" i="12" s="1"/>
  <c r="FO16" i="12"/>
  <c r="FS21" i="12"/>
  <c r="FR21" i="12" s="1"/>
  <c r="FQ21" i="12" s="1"/>
  <c r="FT22" i="12"/>
  <c r="E64" i="12"/>
  <c r="F64" i="12" s="1"/>
  <c r="G64" i="12" s="1"/>
  <c r="FN20" i="12"/>
  <c r="FM20" i="12" s="1"/>
  <c r="CM16" i="12"/>
  <c r="CN16" i="12" s="1"/>
  <c r="FR19" i="12"/>
  <c r="C293" i="5"/>
  <c r="EA16" i="2"/>
  <c r="EA17" i="2"/>
  <c r="EA19" i="2"/>
  <c r="EA15" i="2"/>
  <c r="EA20" i="2"/>
  <c r="S351" i="20"/>
  <c r="EA18" i="2" l="1"/>
  <c r="EC12" i="2"/>
  <c r="R351" i="20"/>
  <c r="O352" i="20"/>
  <c r="Q350" i="20"/>
  <c r="P350" i="20" s="1"/>
  <c r="BZ32" i="12"/>
  <c r="D293" i="5"/>
  <c r="E293" i="5" s="1"/>
  <c r="F293" i="5" s="1"/>
  <c r="D292" i="5"/>
  <c r="E292" i="5" s="1"/>
  <c r="F292" i="5" s="1"/>
  <c r="D294" i="5"/>
  <c r="E294" i="5" s="1"/>
  <c r="F294" i="5" s="1"/>
  <c r="CO16" i="12"/>
  <c r="CP16" i="12" s="1"/>
  <c r="FT23" i="12"/>
  <c r="FS22" i="12"/>
  <c r="FR22" i="12" s="1"/>
  <c r="BV64" i="12"/>
  <c r="BW58" i="12"/>
  <c r="BV59" i="12"/>
  <c r="FP21" i="12"/>
  <c r="FO21" i="12" s="1"/>
  <c r="FM18" i="12"/>
  <c r="FQ19" i="12"/>
  <c r="FN16" i="12"/>
  <c r="FM16" i="12" s="1"/>
  <c r="EB16" i="2"/>
  <c r="EB15" i="2"/>
  <c r="EB20" i="2"/>
  <c r="EB19" i="2"/>
  <c r="S352" i="20"/>
  <c r="EB17" i="2"/>
  <c r="EB18" i="2" l="1"/>
  <c r="ED12" i="2"/>
  <c r="R352" i="20"/>
  <c r="Q352" i="20" s="1"/>
  <c r="P352" i="20" s="1"/>
  <c r="O353" i="20"/>
  <c r="Q351" i="20"/>
  <c r="P351" i="20" s="1"/>
  <c r="CQ16" i="12"/>
  <c r="BW64" i="12"/>
  <c r="BV65" i="12"/>
  <c r="FT26" i="12"/>
  <c r="FU26" i="12"/>
  <c r="FN21" i="12"/>
  <c r="FM21" i="12" s="1"/>
  <c r="FP19" i="12"/>
  <c r="BX58" i="12"/>
  <c r="FQ22" i="12"/>
  <c r="FP22" i="12" s="1"/>
  <c r="BW59" i="12"/>
  <c r="BX59" i="12" s="1"/>
  <c r="S353" i="20"/>
  <c r="EC15" i="2"/>
  <c r="EC19" i="2"/>
  <c r="EC20" i="2"/>
  <c r="EC16" i="2"/>
  <c r="EC17" i="2"/>
  <c r="EC18" i="2" l="1"/>
  <c r="EE12" i="2"/>
  <c r="R353" i="20"/>
  <c r="O354" i="20"/>
  <c r="FO22" i="12"/>
  <c r="BY59" i="12"/>
  <c r="BZ59" i="12" s="1"/>
  <c r="BX64" i="12"/>
  <c r="BY64" i="12" s="1"/>
  <c r="BY58" i="12"/>
  <c r="BZ58" i="12" s="1"/>
  <c r="FS26" i="12"/>
  <c r="FR26" i="12"/>
  <c r="GC4" i="12" s="1"/>
  <c r="FO19" i="12"/>
  <c r="FN19" i="12" s="1"/>
  <c r="BV66" i="12"/>
  <c r="BW65" i="12"/>
  <c r="FN22" i="12"/>
  <c r="FM22" i="12" s="1"/>
  <c r="S354" i="20"/>
  <c r="ED17" i="2"/>
  <c r="ED15" i="2"/>
  <c r="ED20" i="2"/>
  <c r="ED19" i="2"/>
  <c r="ED16" i="2"/>
  <c r="ED18" i="2" l="1"/>
  <c r="EF12" i="2"/>
  <c r="R354" i="20"/>
  <c r="O355" i="20"/>
  <c r="Q353" i="20"/>
  <c r="P353" i="20" s="1"/>
  <c r="FQ26" i="12"/>
  <c r="GD4" i="12" s="1"/>
  <c r="GL4" i="12" s="1"/>
  <c r="GG27" i="12" s="1"/>
  <c r="BZ64" i="12"/>
  <c r="FY26" i="12"/>
  <c r="GU4" i="12"/>
  <c r="GQ27" i="12" s="1"/>
  <c r="GK4" i="12"/>
  <c r="GG26" i="12" s="1"/>
  <c r="FM19" i="12"/>
  <c r="BX65" i="12"/>
  <c r="BV67" i="12"/>
  <c r="BW66" i="12"/>
  <c r="EE19" i="2"/>
  <c r="EE16" i="2"/>
  <c r="EE20" i="2"/>
  <c r="S355" i="20"/>
  <c r="EE17" i="2"/>
  <c r="EE15" i="2"/>
  <c r="EE18" i="2" l="1"/>
  <c r="EG12" i="2"/>
  <c r="R355" i="20"/>
  <c r="O356" i="20"/>
  <c r="Q354" i="20"/>
  <c r="P354" i="20" s="1"/>
  <c r="FY27" i="12"/>
  <c r="FY28" i="12" s="1"/>
  <c r="GV4" i="12"/>
  <c r="GQ28" i="12" s="1"/>
  <c r="GQ29" i="12" s="1"/>
  <c r="FP26" i="12"/>
  <c r="GH26" i="12"/>
  <c r="GG28" i="12"/>
  <c r="GH27" i="12"/>
  <c r="GR27" i="12"/>
  <c r="FZ27" i="12"/>
  <c r="FZ26" i="12"/>
  <c r="BX66" i="12"/>
  <c r="BY66" i="12" s="1"/>
  <c r="BW67" i="12"/>
  <c r="BV68" i="12"/>
  <c r="BY65" i="12"/>
  <c r="BZ65" i="12" s="1"/>
  <c r="S356" i="20"/>
  <c r="EF19" i="2"/>
  <c r="EF20" i="2"/>
  <c r="EF16" i="2"/>
  <c r="EF17" i="2"/>
  <c r="EF15" i="2"/>
  <c r="EF18" i="2" l="1"/>
  <c r="EH12" i="2"/>
  <c r="O357" i="20"/>
  <c r="R356" i="20"/>
  <c r="Q355" i="20"/>
  <c r="P355" i="20" s="1"/>
  <c r="GR28" i="12"/>
  <c r="GS28" i="12"/>
  <c r="FO26" i="12"/>
  <c r="FN26" i="12" s="1"/>
  <c r="GI27" i="12"/>
  <c r="GJ27" i="12" s="1"/>
  <c r="BX67" i="12"/>
  <c r="BY67" i="12" s="1"/>
  <c r="GT28" i="12"/>
  <c r="GU28" i="12" s="1"/>
  <c r="GA27" i="12"/>
  <c r="GB27" i="12" s="1"/>
  <c r="GG29" i="12"/>
  <c r="GH28" i="12"/>
  <c r="GI28" i="12" s="1"/>
  <c r="GI26" i="12"/>
  <c r="GJ26" i="12" s="1"/>
  <c r="BZ66" i="12"/>
  <c r="FZ28" i="12"/>
  <c r="GA28" i="12" s="1"/>
  <c r="FY29" i="12"/>
  <c r="BV69" i="12"/>
  <c r="BW68" i="12"/>
  <c r="BX68" i="12" s="1"/>
  <c r="BY68" i="12" s="1"/>
  <c r="GQ30" i="12"/>
  <c r="GR29" i="12"/>
  <c r="GA26" i="12"/>
  <c r="GB26" i="12" s="1"/>
  <c r="GS27" i="12"/>
  <c r="EG20" i="2"/>
  <c r="EG16" i="2"/>
  <c r="EG15" i="2"/>
  <c r="EG19" i="2"/>
  <c r="EG17" i="2"/>
  <c r="S357" i="20"/>
  <c r="EG18" i="2" l="1"/>
  <c r="EI12" i="2"/>
  <c r="Q356" i="20"/>
  <c r="P356" i="20" s="1"/>
  <c r="R357" i="20"/>
  <c r="O358" i="20"/>
  <c r="GC27" i="12"/>
  <c r="GD27" i="12" s="1"/>
  <c r="FM26" i="12"/>
  <c r="GK27" i="12"/>
  <c r="GL27" i="12" s="1"/>
  <c r="GB28" i="12"/>
  <c r="GC28" i="12" s="1"/>
  <c r="GD28" i="12" s="1"/>
  <c r="BZ67" i="12"/>
  <c r="BZ68" i="12"/>
  <c r="GC26" i="12"/>
  <c r="GD26" i="12" s="1"/>
  <c r="GS29" i="12"/>
  <c r="GT29" i="12" s="1"/>
  <c r="GU29" i="12" s="1"/>
  <c r="GH29" i="12"/>
  <c r="GG31" i="12"/>
  <c r="GI29" i="12"/>
  <c r="GJ29" i="12" s="1"/>
  <c r="GK26" i="12"/>
  <c r="GL26" i="12" s="1"/>
  <c r="GV28" i="12"/>
  <c r="FY31" i="12"/>
  <c r="FZ29" i="12"/>
  <c r="GA29" i="12" s="1"/>
  <c r="GB29" i="12" s="1"/>
  <c r="GJ28" i="12"/>
  <c r="GT27" i="12"/>
  <c r="GQ32" i="12"/>
  <c r="GR30" i="12"/>
  <c r="GS30" i="12" s="1"/>
  <c r="GT30" i="12" s="1"/>
  <c r="BW69" i="12"/>
  <c r="BX69" i="12" s="1"/>
  <c r="BY69" i="12" s="1"/>
  <c r="BV70" i="12"/>
  <c r="EH17" i="2"/>
  <c r="EH20" i="2"/>
  <c r="EH15" i="2"/>
  <c r="EH16" i="2"/>
  <c r="EH19" i="2"/>
  <c r="S358" i="20"/>
  <c r="EH18" i="2" l="1"/>
  <c r="EJ12" i="2"/>
  <c r="Q357" i="20"/>
  <c r="P357" i="20" s="1"/>
  <c r="R358" i="20"/>
  <c r="O359" i="20"/>
  <c r="GK29" i="12"/>
  <c r="GL29" i="12" s="1"/>
  <c r="GV29" i="12"/>
  <c r="GU30" i="12"/>
  <c r="GV30" i="12" s="1"/>
  <c r="GH31" i="12"/>
  <c r="GI31" i="12" s="1"/>
  <c r="GJ31" i="12" s="1"/>
  <c r="GK28" i="12"/>
  <c r="GL28" i="12" s="1"/>
  <c r="GU27" i="12"/>
  <c r="GV27" i="12" s="1"/>
  <c r="BZ69" i="12"/>
  <c r="GC29" i="12"/>
  <c r="GD29" i="12" s="1"/>
  <c r="BW70" i="12"/>
  <c r="FZ31" i="12"/>
  <c r="GA31" i="12" s="1"/>
  <c r="GB31" i="12" s="1"/>
  <c r="HP3" i="12"/>
  <c r="EI17" i="2"/>
  <c r="EI15" i="2"/>
  <c r="EI16" i="2"/>
  <c r="EI20" i="2"/>
  <c r="EI19" i="2"/>
  <c r="S359" i="20"/>
  <c r="EI18" i="2" l="1"/>
  <c r="EK12" i="2"/>
  <c r="Q358" i="20"/>
  <c r="P358" i="20" s="1"/>
  <c r="R359" i="20"/>
  <c r="O360" i="20"/>
  <c r="GC31" i="12"/>
  <c r="GD31" i="12" s="1"/>
  <c r="GK31" i="12"/>
  <c r="GL31" i="12" s="1"/>
  <c r="BX70" i="12"/>
  <c r="HQ3" i="12"/>
  <c r="HR3" i="12" s="1"/>
  <c r="HP4" i="12"/>
  <c r="EJ16" i="2"/>
  <c r="EJ15" i="2"/>
  <c r="EJ19" i="2"/>
  <c r="EJ20" i="2"/>
  <c r="S360" i="20"/>
  <c r="EJ17" i="2"/>
  <c r="EJ18" i="2" l="1"/>
  <c r="EL12" i="2"/>
  <c r="Q359" i="20"/>
  <c r="P359" i="20" s="1"/>
  <c r="R360" i="20"/>
  <c r="Q360" i="20" s="1"/>
  <c r="P360" i="20" s="1"/>
  <c r="O361" i="20"/>
  <c r="HS3" i="12"/>
  <c r="BY70" i="12"/>
  <c r="BZ70" i="12" s="1"/>
  <c r="HB7" i="12"/>
  <c r="HQ4" i="12"/>
  <c r="HR4" i="12" s="1"/>
  <c r="EK17" i="2"/>
  <c r="EK15" i="2"/>
  <c r="EK16" i="2"/>
  <c r="EK19" i="2"/>
  <c r="EK20" i="2"/>
  <c r="S361" i="20"/>
  <c r="EK18" i="2" l="1"/>
  <c r="EM12" i="2"/>
  <c r="R361" i="20"/>
  <c r="O362" i="20"/>
  <c r="HS4" i="12"/>
  <c r="HT3" i="12"/>
  <c r="HU3" i="12" s="1"/>
  <c r="HD6" i="12"/>
  <c r="HJ6" i="12"/>
  <c r="EL19" i="2"/>
  <c r="EL17" i="2"/>
  <c r="EL20" i="2"/>
  <c r="S362" i="20"/>
  <c r="EL16" i="2"/>
  <c r="EL15" i="2"/>
  <c r="EL18" i="2" l="1"/>
  <c r="EN12" i="2"/>
  <c r="R362" i="20"/>
  <c r="Q362" i="20" s="1"/>
  <c r="P362" i="20" s="1"/>
  <c r="O363" i="20"/>
  <c r="Q361" i="20"/>
  <c r="P361" i="20" s="1"/>
  <c r="HT4" i="12"/>
  <c r="HU4" i="12" s="1"/>
  <c r="HJ22" i="12"/>
  <c r="HJ14" i="12"/>
  <c r="HJ9" i="12"/>
  <c r="HJ10" i="12"/>
  <c r="HK6" i="12"/>
  <c r="HL6" i="12" s="1"/>
  <c r="HM6" i="12" s="1"/>
  <c r="HJ11" i="12"/>
  <c r="HD14" i="12"/>
  <c r="HD10" i="12"/>
  <c r="HE6" i="12"/>
  <c r="HF6" i="12" s="1"/>
  <c r="HG6" i="12" s="1"/>
  <c r="HD9" i="12"/>
  <c r="HD11" i="12"/>
  <c r="EM17" i="2"/>
  <c r="EM20" i="2"/>
  <c r="EM16" i="2"/>
  <c r="S363" i="20"/>
  <c r="EM15" i="2"/>
  <c r="EM19" i="2"/>
  <c r="EM18" i="2" l="1"/>
  <c r="EO12" i="2"/>
  <c r="R363" i="20"/>
  <c r="Q363" i="20" s="1"/>
  <c r="P363" i="20" s="1"/>
  <c r="O364" i="20"/>
  <c r="HE10" i="12"/>
  <c r="HK9" i="12"/>
  <c r="HL9" i="12" s="1"/>
  <c r="HM9" i="12" s="1"/>
  <c r="HE11" i="12"/>
  <c r="HF11" i="12" s="1"/>
  <c r="HG11" i="12" s="1"/>
  <c r="HD12" i="12"/>
  <c r="HE9" i="12"/>
  <c r="HF9" i="12" s="1"/>
  <c r="HG9" i="12" s="1"/>
  <c r="HK14" i="12"/>
  <c r="HL14" i="12" s="1"/>
  <c r="HM14" i="12" s="1"/>
  <c r="HK11" i="12"/>
  <c r="HL11" i="12" s="1"/>
  <c r="HM11" i="12" s="1"/>
  <c r="HJ12" i="12"/>
  <c r="HE14" i="12"/>
  <c r="HF14" i="12" s="1"/>
  <c r="HG14" i="12" s="1"/>
  <c r="HK10" i="12"/>
  <c r="HK22" i="12"/>
  <c r="HL22" i="12" s="1"/>
  <c r="HM22" i="12" s="1"/>
  <c r="S364" i="20"/>
  <c r="EN16" i="2"/>
  <c r="EN19" i="2"/>
  <c r="EN17" i="2"/>
  <c r="EN15" i="2"/>
  <c r="EN20" i="2"/>
  <c r="EN18" i="2" l="1"/>
  <c r="EP12" i="2"/>
  <c r="R364" i="20"/>
  <c r="Q364" i="20" s="1"/>
  <c r="P364" i="20" s="1"/>
  <c r="O365" i="20"/>
  <c r="HL10" i="12"/>
  <c r="HM10" i="12" s="1"/>
  <c r="HF10" i="12"/>
  <c r="HG10" i="12" s="1"/>
  <c r="HJ13" i="12"/>
  <c r="HK12" i="12"/>
  <c r="HL12" i="12" s="1"/>
  <c r="HM12" i="12" s="1"/>
  <c r="HD13" i="12"/>
  <c r="HE12" i="12"/>
  <c r="HF12" i="12" s="1"/>
  <c r="HG12" i="12" s="1"/>
  <c r="EO19" i="2"/>
  <c r="S365" i="20"/>
  <c r="EO16" i="2"/>
  <c r="EO17" i="2"/>
  <c r="EO15" i="2"/>
  <c r="EO20" i="2"/>
  <c r="EO18" i="2" l="1"/>
  <c r="EQ12" i="2"/>
  <c r="R365" i="20"/>
  <c r="Q365" i="20" s="1"/>
  <c r="P365" i="20" s="1"/>
  <c r="O366" i="20"/>
  <c r="HE13" i="12"/>
  <c r="HF13" i="12" s="1"/>
  <c r="HG13" i="12" s="1"/>
  <c r="HD15" i="12"/>
  <c r="HK13" i="12"/>
  <c r="HJ15" i="12"/>
  <c r="EP15" i="2"/>
  <c r="EP17" i="2"/>
  <c r="EP16" i="2"/>
  <c r="S366" i="20"/>
  <c r="EP19" i="2"/>
  <c r="EP20" i="2"/>
  <c r="EP18" i="2" l="1"/>
  <c r="ER12" i="2"/>
  <c r="R366" i="20"/>
  <c r="O367" i="20"/>
  <c r="HE15" i="12"/>
  <c r="HF15" i="12" s="1"/>
  <c r="HG15" i="12" s="1"/>
  <c r="HK15" i="12"/>
  <c r="HL15" i="12" s="1"/>
  <c r="HM15" i="12" s="1"/>
  <c r="HD16" i="12"/>
  <c r="HJ16" i="12"/>
  <c r="HL13" i="12"/>
  <c r="HM13" i="12" s="1"/>
  <c r="EQ15" i="2"/>
  <c r="EQ16" i="2"/>
  <c r="EQ17" i="2"/>
  <c r="EQ20" i="2"/>
  <c r="S367" i="20"/>
  <c r="EQ19" i="2"/>
  <c r="EQ18" i="2" l="1"/>
  <c r="ES12" i="2"/>
  <c r="R367" i="20"/>
  <c r="Q367" i="20" s="1"/>
  <c r="P367" i="20" s="1"/>
  <c r="O368" i="20"/>
  <c r="Q366" i="20"/>
  <c r="P366" i="20" s="1"/>
  <c r="HE16" i="12"/>
  <c r="HF16" i="12" s="1"/>
  <c r="HG16" i="12" s="1"/>
  <c r="HD17" i="12"/>
  <c r="HJ17" i="12"/>
  <c r="HK16" i="12"/>
  <c r="HL16" i="12" s="1"/>
  <c r="HM16" i="12" s="1"/>
  <c r="ER20" i="2"/>
  <c r="ER15" i="2"/>
  <c r="ER16" i="2"/>
  <c r="S368" i="20"/>
  <c r="ER19" i="2"/>
  <c r="ER17" i="2"/>
  <c r="ER18" i="2" l="1"/>
  <c r="ET12" i="2"/>
  <c r="R368" i="20"/>
  <c r="O369" i="20"/>
  <c r="HD18" i="12"/>
  <c r="HE17" i="12"/>
  <c r="HF17" i="12" s="1"/>
  <c r="HK17" i="12"/>
  <c r="HL17" i="12" s="1"/>
  <c r="HJ18" i="12"/>
  <c r="ES15" i="2"/>
  <c r="ES16" i="2"/>
  <c r="ES17" i="2"/>
  <c r="ES20" i="2"/>
  <c r="S369" i="20"/>
  <c r="ES19" i="2"/>
  <c r="ES18" i="2" l="1"/>
  <c r="EU12" i="2"/>
  <c r="R369" i="20"/>
  <c r="O370" i="20"/>
  <c r="Q368" i="20"/>
  <c r="P368" i="20" s="1"/>
  <c r="HJ19" i="12"/>
  <c r="HK18" i="12"/>
  <c r="HL18" i="12" s="1"/>
  <c r="HM17" i="12"/>
  <c r="HD19" i="12"/>
  <c r="HE18" i="12"/>
  <c r="HF18" i="12" s="1"/>
  <c r="HG18" i="12" s="1"/>
  <c r="HG17" i="12"/>
  <c r="S370" i="20"/>
  <c r="ET16" i="2"/>
  <c r="ET19" i="2"/>
  <c r="ET15" i="2"/>
  <c r="ET20" i="2"/>
  <c r="ET17" i="2"/>
  <c r="ET18" i="2" l="1"/>
  <c r="EV12" i="2"/>
  <c r="R370" i="20"/>
  <c r="O371" i="20"/>
  <c r="Q369" i="20"/>
  <c r="P369" i="20" s="1"/>
  <c r="HM18" i="12"/>
  <c r="HE19" i="12"/>
  <c r="HD20" i="12"/>
  <c r="HJ20" i="12"/>
  <c r="HK19" i="12"/>
  <c r="HL19" i="12" s="1"/>
  <c r="HM19" i="12" s="1"/>
  <c r="EU16" i="2"/>
  <c r="EU15" i="2"/>
  <c r="EU19" i="2"/>
  <c r="S371" i="20"/>
  <c r="EU20" i="2"/>
  <c r="EU17" i="2"/>
  <c r="EU18" i="2" l="1"/>
  <c r="EW12" i="2"/>
  <c r="R371" i="20"/>
  <c r="O372" i="20"/>
  <c r="Q370" i="20"/>
  <c r="P370" i="20" s="1"/>
  <c r="HK20" i="12"/>
  <c r="HJ21" i="12"/>
  <c r="HF19" i="12"/>
  <c r="HG19" i="12" s="1"/>
  <c r="HD21" i="12"/>
  <c r="HE20" i="12"/>
  <c r="HF20" i="12" s="1"/>
  <c r="HG20" i="12" s="1"/>
  <c r="S372" i="20"/>
  <c r="EV20" i="2"/>
  <c r="EV15" i="2"/>
  <c r="EV17" i="2"/>
  <c r="EV19" i="2"/>
  <c r="EV16" i="2"/>
  <c r="EV18" i="2" l="1"/>
  <c r="EX12" i="2"/>
  <c r="O373" i="20"/>
  <c r="R372" i="20"/>
  <c r="Q371" i="20"/>
  <c r="P371" i="20" s="1"/>
  <c r="HL20" i="12"/>
  <c r="HM20" i="12" s="1"/>
  <c r="HE21" i="12"/>
  <c r="HF21" i="12" s="1"/>
  <c r="HD22" i="12"/>
  <c r="HK21" i="12"/>
  <c r="HL21" i="12" s="1"/>
  <c r="HM21" i="12" s="1"/>
  <c r="EW17" i="2"/>
  <c r="EW19" i="2"/>
  <c r="EW15" i="2"/>
  <c r="S373" i="20"/>
  <c r="EW16" i="2"/>
  <c r="EW20" i="2"/>
  <c r="EW18" i="2" l="1"/>
  <c r="EY12" i="2"/>
  <c r="Q372" i="20"/>
  <c r="P372" i="20" s="1"/>
  <c r="O374" i="20"/>
  <c r="R373" i="20"/>
  <c r="Q373" i="20" s="1"/>
  <c r="P373" i="20" s="1"/>
  <c r="HG21" i="12"/>
  <c r="HD24" i="12"/>
  <c r="HE22" i="12"/>
  <c r="HF22" i="12" s="1"/>
  <c r="EX20" i="2"/>
  <c r="S374" i="20"/>
  <c r="EX16" i="2"/>
  <c r="EX15" i="2"/>
  <c r="EX17" i="2"/>
  <c r="EX19" i="2"/>
  <c r="EX18" i="2" l="1"/>
  <c r="EZ12" i="2"/>
  <c r="R374" i="20"/>
  <c r="O375" i="20"/>
  <c r="HD25" i="12"/>
  <c r="HD26" i="12" s="1"/>
  <c r="HP5" i="12" s="1"/>
  <c r="D24" i="12"/>
  <c r="D25" i="12" s="1"/>
  <c r="HE24" i="12"/>
  <c r="HG22" i="12"/>
  <c r="EY20" i="2"/>
  <c r="EY17" i="2"/>
  <c r="EY15" i="2"/>
  <c r="EY19" i="2"/>
  <c r="S375" i="20"/>
  <c r="EY16" i="2"/>
  <c r="EY18" i="2" l="1"/>
  <c r="FA12" i="2"/>
  <c r="R375" i="20"/>
  <c r="O376" i="20"/>
  <c r="Q374" i="20"/>
  <c r="P374" i="20" s="1"/>
  <c r="HF24" i="12"/>
  <c r="HG24" i="12" s="1"/>
  <c r="HP7" i="12"/>
  <c r="HQ5" i="12"/>
  <c r="HR5" i="12" s="1"/>
  <c r="HS5" i="12" s="1"/>
  <c r="HP6" i="12"/>
  <c r="S376" i="20"/>
  <c r="EZ19" i="2"/>
  <c r="EZ20" i="2"/>
  <c r="EZ17" i="2"/>
  <c r="EZ16" i="2"/>
  <c r="EZ15" i="2"/>
  <c r="EZ18" i="2" l="1"/>
  <c r="FB12" i="2"/>
  <c r="R376" i="20"/>
  <c r="O377" i="20"/>
  <c r="Q375" i="20"/>
  <c r="P375" i="20" s="1"/>
  <c r="HT5" i="12"/>
  <c r="HU5" i="12" s="1"/>
  <c r="HQ7" i="12"/>
  <c r="HQ6" i="12"/>
  <c r="HR6" i="12" s="1"/>
  <c r="HS6" i="12" s="1"/>
  <c r="S377" i="20"/>
  <c r="FA15" i="2"/>
  <c r="FA19" i="2"/>
  <c r="FA17" i="2"/>
  <c r="FA20" i="2"/>
  <c r="FA16" i="2"/>
  <c r="FA18" i="2" l="1"/>
  <c r="FC12" i="2"/>
  <c r="R377" i="20"/>
  <c r="Q377" i="20" s="1"/>
  <c r="P377" i="20" s="1"/>
  <c r="O378" i="20"/>
  <c r="Q376" i="20"/>
  <c r="P376" i="20" s="1"/>
  <c r="HT6" i="12"/>
  <c r="HU6" i="12" s="1"/>
  <c r="HR7" i="12"/>
  <c r="FB15" i="2"/>
  <c r="S378" i="20"/>
  <c r="FB20" i="2"/>
  <c r="FB19" i="2"/>
  <c r="FB17" i="2"/>
  <c r="FB16" i="2"/>
  <c r="FB18" i="2" l="1"/>
  <c r="FD12" i="2"/>
  <c r="R378" i="20"/>
  <c r="O379" i="20"/>
  <c r="HS7" i="12"/>
  <c r="HT7" i="12" s="1"/>
  <c r="HU7" i="12" s="1"/>
  <c r="FC16" i="2"/>
  <c r="FC20" i="2"/>
  <c r="FC19" i="2"/>
  <c r="FC17" i="2"/>
  <c r="FC15" i="2"/>
  <c r="S379" i="20"/>
  <c r="FC18" i="2" l="1"/>
  <c r="FE12" i="2"/>
  <c r="R379" i="20"/>
  <c r="Q379" i="20" s="1"/>
  <c r="P379" i="20" s="1"/>
  <c r="O380" i="20"/>
  <c r="Q378" i="20"/>
  <c r="P378" i="20" s="1"/>
  <c r="D223" i="5"/>
  <c r="E223" i="5" s="1"/>
  <c r="D224" i="5"/>
  <c r="E224" i="5" s="1"/>
  <c r="D232" i="5"/>
  <c r="E232" i="5" s="1"/>
  <c r="D233" i="5"/>
  <c r="E233" i="5" s="1"/>
  <c r="D234" i="5"/>
  <c r="E234" i="5" s="1"/>
  <c r="D243" i="5"/>
  <c r="E243" i="5" s="1"/>
  <c r="D244" i="5"/>
  <c r="E244" i="5" s="1"/>
  <c r="D222" i="5"/>
  <c r="S380" i="20"/>
  <c r="FD17" i="2"/>
  <c r="FD19" i="2"/>
  <c r="FD16" i="2"/>
  <c r="FD20" i="2"/>
  <c r="FD15" i="2"/>
  <c r="FD18" i="2" l="1"/>
  <c r="FF12" i="2"/>
  <c r="R380" i="20"/>
  <c r="O381" i="20"/>
  <c r="D253" i="5"/>
  <c r="E253" i="5" s="1"/>
  <c r="F253" i="5" s="1"/>
  <c r="G253" i="5" s="1"/>
  <c r="D256" i="5"/>
  <c r="E256" i="5" s="1"/>
  <c r="F256" i="5" s="1"/>
  <c r="D254" i="5"/>
  <c r="E254" i="5" s="1"/>
  <c r="D255" i="5"/>
  <c r="E255" i="5" s="1"/>
  <c r="D257" i="5"/>
  <c r="E257" i="5" s="1"/>
  <c r="F257" i="5" s="1"/>
  <c r="G257" i="5" s="1"/>
  <c r="D252" i="5"/>
  <c r="E252" i="5" s="1"/>
  <c r="C238" i="5"/>
  <c r="C239" i="5" s="1"/>
  <c r="C226" i="5"/>
  <c r="C227" i="5" s="1"/>
  <c r="D230" i="5"/>
  <c r="E230" i="5" s="1"/>
  <c r="D236" i="5"/>
  <c r="E236" i="5" s="1"/>
  <c r="D245" i="5"/>
  <c r="E245" i="5" s="1"/>
  <c r="F245" i="5" s="1"/>
  <c r="G245" i="5" s="1"/>
  <c r="D235" i="5"/>
  <c r="E235" i="5" s="1"/>
  <c r="D237" i="5"/>
  <c r="E237" i="5" s="1"/>
  <c r="F232" i="5"/>
  <c r="G232" i="5" s="1"/>
  <c r="F224" i="5"/>
  <c r="G224" i="5" s="1"/>
  <c r="F223" i="5"/>
  <c r="G223" i="5" s="1"/>
  <c r="F244" i="5"/>
  <c r="G244" i="5" s="1"/>
  <c r="F243" i="5"/>
  <c r="G243" i="5" s="1"/>
  <c r="F234" i="5"/>
  <c r="G234" i="5" s="1"/>
  <c r="F233" i="5"/>
  <c r="G233" i="5" s="1"/>
  <c r="E222" i="5"/>
  <c r="F222" i="5" s="1"/>
  <c r="D246" i="5"/>
  <c r="E246" i="5" s="1"/>
  <c r="D206" i="5"/>
  <c r="E206" i="5" s="1"/>
  <c r="C183" i="5"/>
  <c r="C240" i="5"/>
  <c r="C228" i="5"/>
  <c r="FE20" i="2"/>
  <c r="FE15" i="2"/>
  <c r="S381" i="20"/>
  <c r="FE17" i="2"/>
  <c r="FE16" i="2"/>
  <c r="FE19" i="2"/>
  <c r="FE18" i="2" l="1"/>
  <c r="FG12" i="2"/>
  <c r="R381" i="20"/>
  <c r="Q381" i="20" s="1"/>
  <c r="P381" i="20" s="1"/>
  <c r="O382" i="20"/>
  <c r="Q380" i="20"/>
  <c r="P380" i="20" s="1"/>
  <c r="G222" i="5"/>
  <c r="C241" i="5"/>
  <c r="F252" i="5"/>
  <c r="G252" i="5" s="1"/>
  <c r="F254" i="5"/>
  <c r="G254" i="5" s="1"/>
  <c r="F255" i="5"/>
  <c r="G255" i="5" s="1"/>
  <c r="G256" i="5"/>
  <c r="C229" i="5"/>
  <c r="C247" i="5" s="1"/>
  <c r="F230" i="5"/>
  <c r="G230" i="5" s="1"/>
  <c r="F236" i="5"/>
  <c r="G236" i="5" s="1"/>
  <c r="F235" i="5"/>
  <c r="G235" i="5" s="1"/>
  <c r="D225" i="5"/>
  <c r="E225" i="5" s="1"/>
  <c r="D238" i="5"/>
  <c r="F237" i="5"/>
  <c r="G237" i="5" s="1"/>
  <c r="F246" i="5"/>
  <c r="G246" i="5" s="1"/>
  <c r="F206" i="5"/>
  <c r="G206" i="5" s="1"/>
  <c r="C211" i="5"/>
  <c r="FF16" i="2"/>
  <c r="FF17" i="2"/>
  <c r="FF15" i="2"/>
  <c r="S382" i="20"/>
  <c r="FF20" i="2"/>
  <c r="FF19" i="2"/>
  <c r="FF18" i="2" l="1"/>
  <c r="FH12" i="2"/>
  <c r="R382" i="20"/>
  <c r="O383" i="20"/>
  <c r="D211" i="5"/>
  <c r="E211" i="5" s="1"/>
  <c r="D226" i="5"/>
  <c r="E226" i="5" s="1"/>
  <c r="E238" i="5"/>
  <c r="F238" i="5" s="1"/>
  <c r="G238" i="5" s="1"/>
  <c r="D239" i="5"/>
  <c r="E239" i="5" s="1"/>
  <c r="F225" i="5"/>
  <c r="G225" i="5" s="1"/>
  <c r="D241" i="5"/>
  <c r="E241" i="5" s="1"/>
  <c r="C196" i="5"/>
  <c r="P186" i="5"/>
  <c r="O184" i="5"/>
  <c r="O188" i="5"/>
  <c r="FG20" i="2"/>
  <c r="FG19" i="2"/>
  <c r="FG15" i="2"/>
  <c r="C198" i="5"/>
  <c r="FG16" i="2"/>
  <c r="FG17" i="2"/>
  <c r="S383" i="20"/>
  <c r="FG18" i="2" l="1"/>
  <c r="FI12" i="2"/>
  <c r="R383" i="20"/>
  <c r="Q383" i="20" s="1"/>
  <c r="P383" i="20" s="1"/>
  <c r="O384" i="20"/>
  <c r="Q382" i="20"/>
  <c r="P382" i="20" s="1"/>
  <c r="O189" i="5"/>
  <c r="F226" i="5"/>
  <c r="G226" i="5" s="1"/>
  <c r="F211" i="5"/>
  <c r="G211" i="5" s="1"/>
  <c r="F239" i="5"/>
  <c r="G239" i="5" s="1"/>
  <c r="F241" i="5"/>
  <c r="G241" i="5" s="1"/>
  <c r="D240" i="5"/>
  <c r="E240" i="5" s="1"/>
  <c r="D227" i="5"/>
  <c r="E227" i="5" s="1"/>
  <c r="C199" i="5"/>
  <c r="C200" i="5" s="1"/>
  <c r="C201" i="5" s="1"/>
  <c r="Q186" i="5"/>
  <c r="AB183" i="5"/>
  <c r="AA184" i="5"/>
  <c r="V183" i="5"/>
  <c r="W183" i="5" s="1"/>
  <c r="U184" i="5"/>
  <c r="U185" i="5"/>
  <c r="AA185" i="5"/>
  <c r="FH20" i="2"/>
  <c r="FH19" i="2"/>
  <c r="S384" i="20"/>
  <c r="FH17" i="2"/>
  <c r="FH15" i="2"/>
  <c r="FH16" i="2"/>
  <c r="C202" i="5"/>
  <c r="FH18" i="2" l="1"/>
  <c r="FJ12" i="2"/>
  <c r="R384" i="20"/>
  <c r="Q384" i="20" s="1"/>
  <c r="P384" i="20" s="1"/>
  <c r="O385" i="20"/>
  <c r="V184" i="5"/>
  <c r="W184" i="5" s="1"/>
  <c r="AB184" i="5"/>
  <c r="AC184" i="5" s="1"/>
  <c r="F227" i="5"/>
  <c r="G227" i="5" s="1"/>
  <c r="D228" i="5"/>
  <c r="E228" i="5" s="1"/>
  <c r="F228" i="5" s="1"/>
  <c r="G228" i="5" s="1"/>
  <c r="F240" i="5"/>
  <c r="G240" i="5" s="1"/>
  <c r="J189" i="5"/>
  <c r="K189" i="5" s="1"/>
  <c r="J186" i="5"/>
  <c r="K186" i="5" s="1"/>
  <c r="L186" i="5" s="1"/>
  <c r="P189" i="5"/>
  <c r="Q189" i="5" s="1"/>
  <c r="R189" i="5" s="1"/>
  <c r="R186" i="5"/>
  <c r="S186" i="5" s="1"/>
  <c r="AC183" i="5"/>
  <c r="AD183" i="5" s="1"/>
  <c r="X184" i="5"/>
  <c r="Y184" i="5" s="1"/>
  <c r="X183" i="5"/>
  <c r="Y183" i="5" s="1"/>
  <c r="P185" i="5"/>
  <c r="P183" i="5"/>
  <c r="J184" i="5"/>
  <c r="K184" i="5" s="1"/>
  <c r="D183" i="5"/>
  <c r="E183" i="5" s="1"/>
  <c r="C184" i="5"/>
  <c r="U187" i="5"/>
  <c r="AA186" i="5"/>
  <c r="C185" i="5"/>
  <c r="FI20" i="2"/>
  <c r="FI17" i="2"/>
  <c r="S385" i="20"/>
  <c r="FI15" i="2"/>
  <c r="FI19" i="2"/>
  <c r="FI16" i="2"/>
  <c r="FI18" i="2" l="1"/>
  <c r="FK12" i="2"/>
  <c r="R385" i="20"/>
  <c r="Q385" i="20" s="1"/>
  <c r="P385" i="20" s="1"/>
  <c r="O386" i="20"/>
  <c r="AD184" i="5"/>
  <c r="AE184" i="5" s="1"/>
  <c r="D229" i="5"/>
  <c r="E229" i="5" s="1"/>
  <c r="D181" i="5"/>
  <c r="E181" i="5" s="1"/>
  <c r="M186" i="5"/>
  <c r="L189" i="5"/>
  <c r="M189" i="5" s="1"/>
  <c r="S189" i="5"/>
  <c r="AB185" i="5"/>
  <c r="AE183" i="5"/>
  <c r="V185" i="5"/>
  <c r="W185" i="5" s="1"/>
  <c r="D184" i="5"/>
  <c r="E184" i="5" s="1"/>
  <c r="P187" i="5"/>
  <c r="Q187" i="5" s="1"/>
  <c r="R187" i="5" s="1"/>
  <c r="Q185" i="5"/>
  <c r="R185" i="5" s="1"/>
  <c r="Q183" i="5"/>
  <c r="R183" i="5" s="1"/>
  <c r="J185" i="5"/>
  <c r="K185" i="5" s="1"/>
  <c r="L184" i="5"/>
  <c r="M184" i="5" s="1"/>
  <c r="D185" i="5"/>
  <c r="E185" i="5" s="1"/>
  <c r="F185" i="5" s="1"/>
  <c r="F183" i="5"/>
  <c r="G183" i="5" s="1"/>
  <c r="AB174" i="5"/>
  <c r="AC174" i="5" s="1"/>
  <c r="V173" i="5"/>
  <c r="W173" i="5" s="1"/>
  <c r="V174" i="5"/>
  <c r="W174" i="5" s="1"/>
  <c r="P173" i="5"/>
  <c r="Q173" i="5" s="1"/>
  <c r="P174" i="5"/>
  <c r="Q174" i="5" s="1"/>
  <c r="J173" i="5"/>
  <c r="K173" i="5" s="1"/>
  <c r="J174" i="5"/>
  <c r="K174" i="5" s="1"/>
  <c r="D173" i="5"/>
  <c r="E173" i="5" s="1"/>
  <c r="D174" i="5"/>
  <c r="E174" i="5" s="1"/>
  <c r="C186" i="5"/>
  <c r="C216" i="5"/>
  <c r="FJ19" i="2"/>
  <c r="FJ17" i="2"/>
  <c r="FJ15" i="2"/>
  <c r="S386" i="20"/>
  <c r="FJ16" i="2"/>
  <c r="FJ20" i="2"/>
  <c r="FJ18" i="2" l="1"/>
  <c r="FL12" i="2"/>
  <c r="R386" i="20"/>
  <c r="Q386" i="20" s="1"/>
  <c r="P386" i="20" s="1"/>
  <c r="O387" i="20"/>
  <c r="F184" i="5"/>
  <c r="G184" i="5" s="1"/>
  <c r="F229" i="5"/>
  <c r="G229" i="5" s="1"/>
  <c r="D216" i="5"/>
  <c r="E216" i="5" s="1"/>
  <c r="J181" i="5"/>
  <c r="V181" i="5"/>
  <c r="W181" i="5" s="1"/>
  <c r="AB181" i="5"/>
  <c r="AC181" i="5" s="1"/>
  <c r="P181" i="5"/>
  <c r="Q181" i="5" s="1"/>
  <c r="F181" i="5"/>
  <c r="G181" i="5" s="1"/>
  <c r="D186" i="5"/>
  <c r="E186" i="5" s="1"/>
  <c r="F186" i="5" s="1"/>
  <c r="J187" i="5"/>
  <c r="K187" i="5" s="1"/>
  <c r="L187" i="5" s="1"/>
  <c r="I188" i="5"/>
  <c r="J188" i="5" s="1"/>
  <c r="AA188" i="5"/>
  <c r="AB188" i="5" s="1"/>
  <c r="AC188" i="5" s="1"/>
  <c r="AD188" i="5" s="1"/>
  <c r="AB186" i="5"/>
  <c r="C188" i="5"/>
  <c r="D188" i="5" s="1"/>
  <c r="E188" i="5" s="1"/>
  <c r="F188" i="5" s="1"/>
  <c r="AC185" i="5"/>
  <c r="U188" i="5"/>
  <c r="X185" i="5"/>
  <c r="Y185" i="5" s="1"/>
  <c r="S185" i="5"/>
  <c r="S183" i="5"/>
  <c r="S187" i="5"/>
  <c r="L185" i="5"/>
  <c r="M185" i="5" s="1"/>
  <c r="G185" i="5"/>
  <c r="AB172" i="5"/>
  <c r="AC172" i="5" s="1"/>
  <c r="V172" i="5"/>
  <c r="W172" i="5" s="1"/>
  <c r="AD174" i="5"/>
  <c r="AE174" i="5" s="1"/>
  <c r="X174" i="5"/>
  <c r="Y174" i="5" s="1"/>
  <c r="X173" i="5"/>
  <c r="Y173" i="5" s="1"/>
  <c r="R174" i="5"/>
  <c r="S174" i="5" s="1"/>
  <c r="R173" i="5"/>
  <c r="S173" i="5" s="1"/>
  <c r="L174" i="5"/>
  <c r="M174" i="5" s="1"/>
  <c r="L173" i="5"/>
  <c r="M173" i="5" s="1"/>
  <c r="F173" i="5"/>
  <c r="G173" i="5" s="1"/>
  <c r="F174" i="5"/>
  <c r="G174" i="5" s="1"/>
  <c r="C39" i="5"/>
  <c r="C40" i="5" s="1"/>
  <c r="N41" i="5"/>
  <c r="M41" i="5"/>
  <c r="N42" i="5"/>
  <c r="M40" i="5"/>
  <c r="I17" i="10"/>
  <c r="FK20" i="2"/>
  <c r="O41" i="5"/>
  <c r="FK19" i="2"/>
  <c r="FK16" i="2"/>
  <c r="FK17" i="2"/>
  <c r="I21" i="10"/>
  <c r="FK15" i="2"/>
  <c r="S387" i="20"/>
  <c r="I20" i="10"/>
  <c r="M45" i="5"/>
  <c r="FK18" i="2" l="1"/>
  <c r="FM12" i="2"/>
  <c r="R387" i="20"/>
  <c r="Q387" i="20" s="1"/>
  <c r="P387" i="20" s="1"/>
  <c r="O388" i="20"/>
  <c r="U177" i="5"/>
  <c r="U178" i="5" s="1"/>
  <c r="F216" i="5"/>
  <c r="G216" i="5" s="1"/>
  <c r="AD181" i="5"/>
  <c r="AE181" i="5" s="1"/>
  <c r="R181" i="5"/>
  <c r="S181" i="5" s="1"/>
  <c r="X181" i="5"/>
  <c r="Y181" i="5" s="1"/>
  <c r="K181" i="5"/>
  <c r="G186" i="5"/>
  <c r="M187" i="5"/>
  <c r="AC186" i="5"/>
  <c r="AD185" i="5"/>
  <c r="AE185" i="5" s="1"/>
  <c r="AE188" i="5"/>
  <c r="V188" i="5"/>
  <c r="K188" i="5"/>
  <c r="G188" i="5"/>
  <c r="J172" i="5"/>
  <c r="K172" i="5" s="1"/>
  <c r="V175" i="5"/>
  <c r="W175" i="5" s="1"/>
  <c r="AB176" i="5"/>
  <c r="AC176" i="5" s="1"/>
  <c r="AD176" i="5" s="1"/>
  <c r="AB177" i="5"/>
  <c r="AC177" i="5" s="1"/>
  <c r="P172" i="5"/>
  <c r="Q172" i="5" s="1"/>
  <c r="AB175" i="5"/>
  <c r="AC175" i="5" s="1"/>
  <c r="AD175" i="5" s="1"/>
  <c r="AE175" i="5" s="1"/>
  <c r="AD172" i="5"/>
  <c r="AE172" i="5" s="1"/>
  <c r="V176" i="5"/>
  <c r="W176" i="5" s="1"/>
  <c r="X172" i="5"/>
  <c r="Y172" i="5" s="1"/>
  <c r="N43" i="5"/>
  <c r="L165" i="5"/>
  <c r="K165" i="5" s="1"/>
  <c r="M167" i="5"/>
  <c r="U179" i="5"/>
  <c r="I8" i="10"/>
  <c r="J151" i="5"/>
  <c r="FL19" i="2"/>
  <c r="M42" i="5"/>
  <c r="I10" i="10"/>
  <c r="I14" i="10"/>
  <c r="O42" i="5"/>
  <c r="FL16" i="2"/>
  <c r="I16" i="10"/>
  <c r="J168" i="5"/>
  <c r="I11" i="10"/>
  <c r="F6" i="10"/>
  <c r="FL15" i="2"/>
  <c r="I13" i="10"/>
  <c r="I15" i="10"/>
  <c r="FL20" i="2"/>
  <c r="J149" i="5"/>
  <c r="S388" i="20"/>
  <c r="F7" i="10"/>
  <c r="I9" i="10"/>
  <c r="J147" i="5"/>
  <c r="FL17" i="2"/>
  <c r="I12" i="10"/>
  <c r="FL18" i="2" l="1"/>
  <c r="FN12" i="2"/>
  <c r="R388" i="20"/>
  <c r="Q388" i="20" s="1"/>
  <c r="P388" i="20" s="1"/>
  <c r="O389" i="20"/>
  <c r="U180" i="5"/>
  <c r="X176" i="5"/>
  <c r="Y176" i="5" s="1"/>
  <c r="L181" i="5"/>
  <c r="M181" i="5" s="1"/>
  <c r="L172" i="5"/>
  <c r="M172" i="5" s="1"/>
  <c r="AD186" i="5"/>
  <c r="AE186" i="5" s="1"/>
  <c r="W188" i="5"/>
  <c r="X188" i="5" s="1"/>
  <c r="Y188" i="5" s="1"/>
  <c r="L188" i="5"/>
  <c r="M188" i="5" s="1"/>
  <c r="R172" i="5"/>
  <c r="S172" i="5" s="1"/>
  <c r="M43" i="5"/>
  <c r="J175" i="5"/>
  <c r="K175" i="5" s="1"/>
  <c r="J177" i="5"/>
  <c r="K177" i="5" s="1"/>
  <c r="J176" i="5"/>
  <c r="K176" i="5" s="1"/>
  <c r="X175" i="5"/>
  <c r="Y175" i="5" s="1"/>
  <c r="P175" i="5"/>
  <c r="Q175" i="5" s="1"/>
  <c r="P176" i="5"/>
  <c r="Q176" i="5" s="1"/>
  <c r="V177" i="5"/>
  <c r="W177" i="5" s="1"/>
  <c r="X177" i="5" s="1"/>
  <c r="Y177" i="5" s="1"/>
  <c r="AD177" i="5"/>
  <c r="AE177" i="5" s="1"/>
  <c r="AE176" i="5"/>
  <c r="M127" i="5"/>
  <c r="M150" i="5"/>
  <c r="J148" i="5"/>
  <c r="M149" i="5"/>
  <c r="L127" i="5"/>
  <c r="O128" i="5"/>
  <c r="J150" i="5"/>
  <c r="J152" i="5"/>
  <c r="L125" i="5"/>
  <c r="J144" i="5"/>
  <c r="M148" i="5"/>
  <c r="S389" i="20"/>
  <c r="FM16" i="2"/>
  <c r="FM15" i="2"/>
  <c r="K125" i="5"/>
  <c r="L129" i="5"/>
  <c r="I19" i="10"/>
  <c r="F20" i="10"/>
  <c r="I18" i="10"/>
  <c r="FM20" i="2"/>
  <c r="FM17" i="2"/>
  <c r="FM19" i="2"/>
  <c r="FM18" i="2" l="1"/>
  <c r="FO12" i="2"/>
  <c r="O390" i="20"/>
  <c r="R389" i="20"/>
  <c r="Q389" i="20" s="1"/>
  <c r="P389" i="20" s="1"/>
  <c r="AB178" i="5"/>
  <c r="AC178" i="5" s="1"/>
  <c r="R176" i="5"/>
  <c r="S176" i="5" s="1"/>
  <c r="L176" i="5"/>
  <c r="M176" i="5" s="1"/>
  <c r="L175" i="5"/>
  <c r="M175" i="5" s="1"/>
  <c r="J178" i="5"/>
  <c r="K178" i="5" s="1"/>
  <c r="L177" i="5"/>
  <c r="M177" i="5" s="1"/>
  <c r="R175" i="5"/>
  <c r="S175" i="5" s="1"/>
  <c r="P177" i="5"/>
  <c r="Q177" i="5" s="1"/>
  <c r="V179" i="5"/>
  <c r="W179" i="5" s="1"/>
  <c r="V178" i="5"/>
  <c r="W178" i="5" s="1"/>
  <c r="AA180" i="5"/>
  <c r="AB179" i="5"/>
  <c r="AC179" i="5" s="1"/>
  <c r="J153" i="5"/>
  <c r="J140" i="5"/>
  <c r="J141" i="5" s="1"/>
  <c r="J142" i="5" s="1"/>
  <c r="J143" i="5" s="1"/>
  <c r="K104" i="5"/>
  <c r="J154" i="5"/>
  <c r="FN20" i="2"/>
  <c r="L116" i="5"/>
  <c r="K131" i="5"/>
  <c r="J125" i="5"/>
  <c r="L128" i="5"/>
  <c r="N123" i="5"/>
  <c r="FN16" i="2"/>
  <c r="M152" i="5"/>
  <c r="J157" i="5"/>
  <c r="M136" i="5"/>
  <c r="M151" i="5"/>
  <c r="FN19" i="2"/>
  <c r="FN15" i="2"/>
  <c r="S390" i="20"/>
  <c r="FN17" i="2"/>
  <c r="M153" i="5"/>
  <c r="K136" i="5"/>
  <c r="FN18" i="2" l="1"/>
  <c r="FP12" i="2"/>
  <c r="R390" i="20"/>
  <c r="Q390" i="20" s="1"/>
  <c r="P390" i="20" s="1"/>
  <c r="O391" i="20"/>
  <c r="AD178" i="5"/>
  <c r="AE178" i="5" s="1"/>
  <c r="K132" i="5"/>
  <c r="J137" i="5" s="1"/>
  <c r="J138" i="5" s="1"/>
  <c r="R177" i="5"/>
  <c r="S177" i="5" s="1"/>
  <c r="X178" i="5"/>
  <c r="Y178" i="5" s="1"/>
  <c r="P179" i="5"/>
  <c r="Q179" i="5" s="1"/>
  <c r="X179" i="5"/>
  <c r="Y179" i="5" s="1"/>
  <c r="P178" i="5"/>
  <c r="Q178" i="5" s="1"/>
  <c r="L178" i="5"/>
  <c r="M178" i="5" s="1"/>
  <c r="V180" i="5"/>
  <c r="W180" i="5" s="1"/>
  <c r="AD179" i="5"/>
  <c r="AE179" i="5" s="1"/>
  <c r="AB180" i="5"/>
  <c r="AC180" i="5" s="1"/>
  <c r="K133" i="5"/>
  <c r="K134" i="5"/>
  <c r="L117" i="5"/>
  <c r="S112" i="5"/>
  <c r="T112" i="5"/>
  <c r="J155" i="5"/>
  <c r="FO16" i="2"/>
  <c r="S391" i="20"/>
  <c r="K135" i="5"/>
  <c r="J139" i="5"/>
  <c r="FO15" i="2"/>
  <c r="L136" i="5"/>
  <c r="FO19" i="2"/>
  <c r="FO17" i="2"/>
  <c r="FO20" i="2"/>
  <c r="FO18" i="2" l="1"/>
  <c r="FQ12" i="2"/>
  <c r="O392" i="20"/>
  <c r="R391" i="20"/>
  <c r="Q391" i="20" s="1"/>
  <c r="P391" i="20" s="1"/>
  <c r="J180" i="5"/>
  <c r="K180" i="5" s="1"/>
  <c r="J179" i="5"/>
  <c r="K179" i="5" s="1"/>
  <c r="X180" i="5"/>
  <c r="Y180" i="5" s="1"/>
  <c r="R178" i="5"/>
  <c r="S178" i="5" s="1"/>
  <c r="R179" i="5"/>
  <c r="S179" i="5" s="1"/>
  <c r="P180" i="5"/>
  <c r="Q180" i="5" s="1"/>
  <c r="AD180" i="5"/>
  <c r="AE180" i="5" s="1"/>
  <c r="J156" i="5"/>
  <c r="J158" i="5" s="1"/>
  <c r="R112" i="5"/>
  <c r="J106" i="5"/>
  <c r="P115" i="5"/>
  <c r="J111" i="5"/>
  <c r="FP19" i="2"/>
  <c r="FP17" i="2"/>
  <c r="J159" i="5"/>
  <c r="S392" i="20"/>
  <c r="FP20" i="2"/>
  <c r="FP15" i="2"/>
  <c r="FP16" i="2"/>
  <c r="FP18" i="2" l="1"/>
  <c r="FR12" i="2"/>
  <c r="R392" i="20"/>
  <c r="Q392" i="20" s="1"/>
  <c r="P392" i="20" s="1"/>
  <c r="O393" i="20"/>
  <c r="L180" i="5"/>
  <c r="M180" i="5" s="1"/>
  <c r="L179" i="5"/>
  <c r="M179" i="5" s="1"/>
  <c r="R180" i="5"/>
  <c r="S180" i="5" s="1"/>
  <c r="L92" i="5"/>
  <c r="FQ15" i="2"/>
  <c r="K111" i="5"/>
  <c r="FQ17" i="2"/>
  <c r="H90" i="5"/>
  <c r="G92" i="5"/>
  <c r="K106" i="5"/>
  <c r="F92" i="5"/>
  <c r="FQ16" i="2"/>
  <c r="FQ19" i="2"/>
  <c r="P90" i="5"/>
  <c r="S393" i="20"/>
  <c r="F90" i="5"/>
  <c r="G90" i="5"/>
  <c r="H92" i="5"/>
  <c r="P94" i="5"/>
  <c r="FQ20" i="2"/>
  <c r="FQ18" i="2" l="1"/>
  <c r="FS12" i="2"/>
  <c r="R393" i="20"/>
  <c r="Q393" i="20" s="1"/>
  <c r="P393" i="20" s="1"/>
  <c r="O394" i="20"/>
  <c r="K92" i="5"/>
  <c r="J92" i="5"/>
  <c r="C9" i="9"/>
  <c r="B60" i="5"/>
  <c r="FR15" i="2"/>
  <c r="FR20" i="2"/>
  <c r="B61" i="5"/>
  <c r="B63" i="5"/>
  <c r="L106" i="5"/>
  <c r="S394" i="20"/>
  <c r="H82" i="5"/>
  <c r="M90" i="5"/>
  <c r="K90" i="5"/>
  <c r="L111" i="5"/>
  <c r="J90" i="5"/>
  <c r="N92" i="5"/>
  <c r="Q92" i="5"/>
  <c r="K38" i="9"/>
  <c r="FR17" i="2"/>
  <c r="FR19" i="2"/>
  <c r="O92" i="5"/>
  <c r="B74" i="5"/>
  <c r="H76" i="5"/>
  <c r="FR16" i="2"/>
  <c r="FR18" i="2" l="1"/>
  <c r="FT12" i="2"/>
  <c r="R394" i="20"/>
  <c r="Q394" i="20" s="1"/>
  <c r="P394" i="20" s="1"/>
  <c r="O395" i="20"/>
  <c r="C10" i="9"/>
  <c r="P92" i="5"/>
  <c r="FS16" i="2"/>
  <c r="S395" i="20"/>
  <c r="K37" i="9"/>
  <c r="M106" i="5"/>
  <c r="K36" i="9"/>
  <c r="K40" i="9"/>
  <c r="FS15" i="2"/>
  <c r="FS19" i="2"/>
  <c r="B76" i="5"/>
  <c r="L90" i="5"/>
  <c r="H78" i="5"/>
  <c r="B62" i="5"/>
  <c r="FS20" i="2"/>
  <c r="H77" i="5"/>
  <c r="B64" i="5"/>
  <c r="FS17" i="2"/>
  <c r="K41" i="9"/>
  <c r="M111" i="5"/>
  <c r="FS18" i="2" l="1"/>
  <c r="FU12" i="2"/>
  <c r="R395" i="20"/>
  <c r="O396" i="20"/>
  <c r="O397" i="20" s="1"/>
  <c r="N90" i="5"/>
  <c r="R92" i="5"/>
  <c r="T92" i="5" s="1"/>
  <c r="B66" i="5"/>
  <c r="H79" i="5"/>
  <c r="H80" i="5" s="1"/>
  <c r="C32" i="9"/>
  <c r="FT17" i="2"/>
  <c r="S396" i="20"/>
  <c r="B79" i="5"/>
  <c r="FT20" i="2"/>
  <c r="FT15" i="2"/>
  <c r="FT19" i="2"/>
  <c r="O90" i="5"/>
  <c r="B77" i="5"/>
  <c r="B65" i="5"/>
  <c r="N106" i="5"/>
  <c r="N111" i="5"/>
  <c r="O111" i="5"/>
  <c r="FT16" i="2"/>
  <c r="U92" i="5"/>
  <c r="FT18" i="2" l="1"/>
  <c r="FV12" i="2"/>
  <c r="R396" i="20"/>
  <c r="Q396" i="20" s="1"/>
  <c r="P396" i="20" s="1"/>
  <c r="Q395" i="20"/>
  <c r="P395" i="20" s="1"/>
  <c r="L118" i="5"/>
  <c r="P111" i="5"/>
  <c r="V92" i="5"/>
  <c r="C11" i="9"/>
  <c r="C46" i="9"/>
  <c r="B78" i="5"/>
  <c r="FU16" i="2"/>
  <c r="B67" i="5"/>
  <c r="FU15" i="2"/>
  <c r="FU20" i="2"/>
  <c r="W92" i="5"/>
  <c r="S397" i="20"/>
  <c r="FU19" i="2"/>
  <c r="FU17" i="2"/>
  <c r="FU18" i="2" l="1"/>
  <c r="FW12" i="2"/>
  <c r="O398" i="20"/>
  <c r="R397" i="20"/>
  <c r="C29" i="9"/>
  <c r="C31" i="9" s="1"/>
  <c r="C28" i="9"/>
  <c r="C12" i="9"/>
  <c r="C36" i="9"/>
  <c r="D53" i="9"/>
  <c r="E53" i="9" s="1"/>
  <c r="S398" i="20"/>
  <c r="FV20" i="2"/>
  <c r="FV17" i="2"/>
  <c r="FV15" i="2"/>
  <c r="B80" i="5"/>
  <c r="FV19" i="2"/>
  <c r="FV16" i="2"/>
  <c r="FV18" i="2" l="1"/>
  <c r="FX12" i="2"/>
  <c r="Q397" i="20"/>
  <c r="P397" i="20" s="1"/>
  <c r="R398" i="20"/>
  <c r="Q398" i="20" s="1"/>
  <c r="P398" i="20" s="1"/>
  <c r="O399" i="20"/>
  <c r="F53" i="9"/>
  <c r="FW15" i="2"/>
  <c r="FW19" i="2"/>
  <c r="B81" i="5"/>
  <c r="FW16" i="2"/>
  <c r="FW20" i="2"/>
  <c r="S399" i="20"/>
  <c r="FW17" i="2"/>
  <c r="FW18" i="2" l="1"/>
  <c r="FY12" i="2"/>
  <c r="R399" i="20"/>
  <c r="Q399" i="20" s="1"/>
  <c r="P399" i="20" s="1"/>
  <c r="O400" i="20"/>
  <c r="G53" i="9"/>
  <c r="S400" i="20"/>
  <c r="FX17" i="2"/>
  <c r="FX15" i="2"/>
  <c r="FX19" i="2"/>
  <c r="FX20" i="2"/>
  <c r="FX16" i="2"/>
  <c r="FX18" i="2" l="1"/>
  <c r="FZ12" i="2"/>
  <c r="R400" i="20"/>
  <c r="Q400" i="20" s="1"/>
  <c r="P400" i="20" s="1"/>
  <c r="O401" i="20"/>
  <c r="H53" i="9"/>
  <c r="I53" i="9" s="1"/>
  <c r="J53" i="9" s="1"/>
  <c r="FY17" i="2"/>
  <c r="FY15" i="2"/>
  <c r="FY19" i="2"/>
  <c r="S401" i="20"/>
  <c r="FY20" i="2"/>
  <c r="FY16" i="2"/>
  <c r="FY18" i="2" l="1"/>
  <c r="GA12" i="2"/>
  <c r="O402" i="20"/>
  <c r="R401" i="20"/>
  <c r="C50" i="9"/>
  <c r="C49" i="9"/>
  <c r="D32" i="9"/>
  <c r="E32" i="9" s="1"/>
  <c r="X23" i="9"/>
  <c r="Y23" i="9" s="1"/>
  <c r="Q23" i="9"/>
  <c r="R23" i="9" s="1"/>
  <c r="Y21" i="9"/>
  <c r="Q21" i="9"/>
  <c r="R21" i="9" s="1"/>
  <c r="L21" i="9"/>
  <c r="K46" i="9" s="1"/>
  <c r="L46" i="9" s="1"/>
  <c r="D21" i="9"/>
  <c r="E21" i="9" s="1"/>
  <c r="D20" i="9"/>
  <c r="Y19" i="9"/>
  <c r="Q19" i="9"/>
  <c r="P17" i="9"/>
  <c r="P15" i="9"/>
  <c r="P16" i="9" s="1"/>
  <c r="L15" i="9"/>
  <c r="D15" i="9"/>
  <c r="Q14" i="9"/>
  <c r="P9" i="9"/>
  <c r="C8" i="9"/>
  <c r="D7" i="9"/>
  <c r="P6" i="9"/>
  <c r="Q3" i="9"/>
  <c r="E3" i="9"/>
  <c r="P2" i="9"/>
  <c r="FZ19" i="2"/>
  <c r="FZ16" i="2"/>
  <c r="FZ20" i="2"/>
  <c r="FZ17" i="2"/>
  <c r="FZ15" i="2"/>
  <c r="S402" i="20"/>
  <c r="FZ18" i="2" l="1"/>
  <c r="GB12" i="2"/>
  <c r="Q401" i="20"/>
  <c r="P401" i="20" s="1"/>
  <c r="R402" i="20"/>
  <c r="Q402" i="20" s="1"/>
  <c r="P402" i="20" s="1"/>
  <c r="O403" i="20"/>
  <c r="C52" i="9"/>
  <c r="D49" i="9"/>
  <c r="E49" i="9" s="1"/>
  <c r="D50" i="9"/>
  <c r="E50" i="9" s="1"/>
  <c r="C39" i="9"/>
  <c r="C35" i="9"/>
  <c r="K28" i="9"/>
  <c r="L28" i="9" s="1"/>
  <c r="C25" i="9"/>
  <c r="K10" i="9"/>
  <c r="L10" i="9" s="1"/>
  <c r="D8" i="9"/>
  <c r="Q16" i="9"/>
  <c r="P10" i="9"/>
  <c r="Q9" i="9"/>
  <c r="R9" i="9" s="1"/>
  <c r="S9" i="9" s="1"/>
  <c r="Q2" i="9"/>
  <c r="R2" i="9" s="1"/>
  <c r="Y28" i="9"/>
  <c r="P4" i="9"/>
  <c r="F21" i="9"/>
  <c r="S23" i="9"/>
  <c r="D46" i="9"/>
  <c r="E15" i="9"/>
  <c r="F15" i="9" s="1"/>
  <c r="E20" i="9"/>
  <c r="F20" i="9" s="1"/>
  <c r="R19" i="9"/>
  <c r="R3" i="9"/>
  <c r="S3" i="9" s="1"/>
  <c r="Q6" i="9"/>
  <c r="R6" i="9" s="1"/>
  <c r="E7" i="9"/>
  <c r="F7" i="9" s="1"/>
  <c r="Q15" i="9"/>
  <c r="Q17" i="9"/>
  <c r="P18" i="9"/>
  <c r="R14" i="9"/>
  <c r="S21" i="9"/>
  <c r="T21" i="9" s="1"/>
  <c r="F32" i="9"/>
  <c r="G32" i="9" s="1"/>
  <c r="H32" i="9" s="1"/>
  <c r="C51" i="9"/>
  <c r="GA17" i="2"/>
  <c r="GA15" i="2"/>
  <c r="GA19" i="2"/>
  <c r="GA20" i="2"/>
  <c r="S403" i="20"/>
  <c r="GA16" i="2"/>
  <c r="GA18" i="2" l="1"/>
  <c r="GC12" i="2"/>
  <c r="O404" i="20"/>
  <c r="R403" i="20"/>
  <c r="F49" i="9"/>
  <c r="G49" i="9" s="1"/>
  <c r="S2" i="9"/>
  <c r="T2" i="9" s="1"/>
  <c r="U2" i="9" s="1"/>
  <c r="V2" i="9" s="1"/>
  <c r="U21" i="9"/>
  <c r="V21" i="9" s="1"/>
  <c r="C16" i="9"/>
  <c r="C17" i="9" s="1"/>
  <c r="C37" i="9" s="1"/>
  <c r="C38" i="9" s="1"/>
  <c r="D51" i="9"/>
  <c r="F50" i="9"/>
  <c r="G50" i="9" s="1"/>
  <c r="H50" i="9" s="1"/>
  <c r="H49" i="9"/>
  <c r="D52" i="9"/>
  <c r="E52" i="9" s="1"/>
  <c r="K16" i="9"/>
  <c r="L16" i="9" s="1"/>
  <c r="D25" i="9"/>
  <c r="C33" i="9"/>
  <c r="Q18" i="9"/>
  <c r="P24" i="9"/>
  <c r="D10" i="9"/>
  <c r="R15" i="9"/>
  <c r="S6" i="9"/>
  <c r="T6" i="9" s="1"/>
  <c r="U6" i="9" s="1"/>
  <c r="S19" i="9"/>
  <c r="T19" i="9" s="1"/>
  <c r="P5" i="9"/>
  <c r="Q4" i="9"/>
  <c r="Q10" i="9"/>
  <c r="P11" i="9"/>
  <c r="E8" i="9"/>
  <c r="F8" i="9" s="1"/>
  <c r="T9" i="9"/>
  <c r="D11" i="9"/>
  <c r="G15" i="9"/>
  <c r="H15" i="9" s="1"/>
  <c r="E46" i="9"/>
  <c r="I32" i="9"/>
  <c r="J32" i="9" s="1"/>
  <c r="D35" i="9"/>
  <c r="G7" i="9"/>
  <c r="H7" i="9" s="1"/>
  <c r="P20" i="9"/>
  <c r="R16" i="9"/>
  <c r="T23" i="9"/>
  <c r="G21" i="9"/>
  <c r="R17" i="9"/>
  <c r="S14" i="9"/>
  <c r="T14" i="9" s="1"/>
  <c r="T3" i="9"/>
  <c r="G20" i="9"/>
  <c r="H20" i="9" s="1"/>
  <c r="D9" i="9"/>
  <c r="C24" i="9"/>
  <c r="C26" i="9"/>
  <c r="C40" i="9"/>
  <c r="D39" i="9"/>
  <c r="E39" i="9" s="1"/>
  <c r="GB20" i="2"/>
  <c r="S404" i="20"/>
  <c r="GB19" i="2"/>
  <c r="GB16" i="2"/>
  <c r="GB15" i="2"/>
  <c r="GB17" i="2"/>
  <c r="GB18" i="2" l="1"/>
  <c r="GD12" i="2"/>
  <c r="Q403" i="20"/>
  <c r="P403" i="20" s="1"/>
  <c r="R404" i="20"/>
  <c r="O405" i="20"/>
  <c r="U19" i="9"/>
  <c r="V19" i="9" s="1"/>
  <c r="W19" i="9" s="1"/>
  <c r="R18" i="9"/>
  <c r="S18" i="9" s="1"/>
  <c r="T18" i="9" s="1"/>
  <c r="I50" i="9"/>
  <c r="J50" i="9" s="1"/>
  <c r="W21" i="9"/>
  <c r="C18" i="9"/>
  <c r="C14" i="9"/>
  <c r="C13" i="9"/>
  <c r="D13" i="9" s="1"/>
  <c r="E13" i="9" s="1"/>
  <c r="F52" i="9"/>
  <c r="G52" i="9" s="1"/>
  <c r="H52" i="9" s="1"/>
  <c r="I52" i="9" s="1"/>
  <c r="F39" i="9"/>
  <c r="G39" i="9" s="1"/>
  <c r="K17" i="9"/>
  <c r="L17" i="9" s="1"/>
  <c r="I49" i="9"/>
  <c r="J49" i="9" s="1"/>
  <c r="E51" i="9"/>
  <c r="F51" i="9" s="1"/>
  <c r="G51" i="9" s="1"/>
  <c r="E35" i="9"/>
  <c r="F35" i="9" s="1"/>
  <c r="G35" i="9" s="1"/>
  <c r="E25" i="9"/>
  <c r="F25" i="9" s="1"/>
  <c r="W2" i="9"/>
  <c r="I7" i="9"/>
  <c r="J7" i="9" s="1"/>
  <c r="D12" i="9"/>
  <c r="Q5" i="9"/>
  <c r="R5" i="9" s="1"/>
  <c r="I20" i="9"/>
  <c r="J20" i="9" s="1"/>
  <c r="I15" i="9"/>
  <c r="J15" i="9" s="1"/>
  <c r="D26" i="9"/>
  <c r="P22" i="9"/>
  <c r="Q20" i="9"/>
  <c r="P27" i="9"/>
  <c r="F46" i="9"/>
  <c r="E9" i="9"/>
  <c r="F9" i="9" s="1"/>
  <c r="H21" i="9"/>
  <c r="D36" i="9"/>
  <c r="Q11" i="9"/>
  <c r="R11" i="9" s="1"/>
  <c r="S11" i="9" s="1"/>
  <c r="P12" i="9"/>
  <c r="R4" i="9"/>
  <c r="U3" i="9"/>
  <c r="E10" i="9"/>
  <c r="S16" i="9"/>
  <c r="T16" i="9" s="1"/>
  <c r="S15" i="9"/>
  <c r="C44" i="9"/>
  <c r="D28" i="9"/>
  <c r="G8" i="9"/>
  <c r="D24" i="9"/>
  <c r="E24" i="9" s="1"/>
  <c r="F24" i="9" s="1"/>
  <c r="C27" i="9"/>
  <c r="C30" i="9"/>
  <c r="D29" i="9"/>
  <c r="U14" i="9"/>
  <c r="D16" i="9"/>
  <c r="U23" i="9"/>
  <c r="S17" i="9"/>
  <c r="E11" i="9"/>
  <c r="F11" i="9" s="1"/>
  <c r="R10" i="9"/>
  <c r="U9" i="9"/>
  <c r="V9" i="9" s="1"/>
  <c r="V6" i="9"/>
  <c r="W6" i="9" s="1"/>
  <c r="Q24" i="9"/>
  <c r="P25" i="9"/>
  <c r="D33" i="9"/>
  <c r="E33" i="9" s="1"/>
  <c r="F33" i="9" s="1"/>
  <c r="GC16" i="2"/>
  <c r="GC15" i="2"/>
  <c r="GC19" i="2"/>
  <c r="S405" i="20"/>
  <c r="GC20" i="2"/>
  <c r="GC17" i="2"/>
  <c r="GC18" i="2" l="1"/>
  <c r="GE12" i="2"/>
  <c r="K29" i="9"/>
  <c r="C22" i="9"/>
  <c r="Q404" i="20"/>
  <c r="P404" i="20" s="1"/>
  <c r="R405" i="20"/>
  <c r="O406" i="20"/>
  <c r="U18" i="9"/>
  <c r="V18" i="9" s="1"/>
  <c r="W18" i="9" s="1"/>
  <c r="H39" i="9"/>
  <c r="I39" i="9" s="1"/>
  <c r="H51" i="9"/>
  <c r="I51" i="9" s="1"/>
  <c r="J51" i="9" s="1"/>
  <c r="J52" i="9"/>
  <c r="C47" i="9"/>
  <c r="G33" i="9"/>
  <c r="H33" i="9" s="1"/>
  <c r="E29" i="9"/>
  <c r="F29" i="9" s="1"/>
  <c r="G9" i="9"/>
  <c r="H9" i="9" s="1"/>
  <c r="H35" i="9"/>
  <c r="C41" i="9"/>
  <c r="D41" i="9" s="1"/>
  <c r="E41" i="9" s="1"/>
  <c r="F41" i="9" s="1"/>
  <c r="G25" i="9"/>
  <c r="H25" i="9" s="1"/>
  <c r="I25" i="9" s="1"/>
  <c r="T11" i="9"/>
  <c r="U11" i="9" s="1"/>
  <c r="V11" i="9" s="1"/>
  <c r="W11" i="9" s="1"/>
  <c r="S5" i="9"/>
  <c r="T5" i="9" s="1"/>
  <c r="U5" i="9" s="1"/>
  <c r="D31" i="9"/>
  <c r="R24" i="9"/>
  <c r="S24" i="9" s="1"/>
  <c r="S10" i="9"/>
  <c r="D18" i="9"/>
  <c r="E18" i="9" s="1"/>
  <c r="D27" i="9"/>
  <c r="V3" i="9"/>
  <c r="W3" i="9" s="1"/>
  <c r="T15" i="9"/>
  <c r="U15" i="9" s="1"/>
  <c r="Q22" i="9"/>
  <c r="R22" i="9" s="1"/>
  <c r="P26" i="9"/>
  <c r="G46" i="9"/>
  <c r="C34" i="9"/>
  <c r="E16" i="9"/>
  <c r="V14" i="9"/>
  <c r="W14" i="9" s="1"/>
  <c r="G24" i="9"/>
  <c r="L29" i="9"/>
  <c r="K47" i="9"/>
  <c r="U16" i="9"/>
  <c r="Q12" i="9"/>
  <c r="R12" i="9" s="1"/>
  <c r="E36" i="9"/>
  <c r="F36" i="9" s="1"/>
  <c r="R20" i="9"/>
  <c r="D14" i="9"/>
  <c r="H8" i="9"/>
  <c r="I8" i="9" s="1"/>
  <c r="J8" i="9" s="1"/>
  <c r="F13" i="9"/>
  <c r="I21" i="9"/>
  <c r="J21" i="9" s="1"/>
  <c r="V23" i="9"/>
  <c r="W23" i="9" s="1"/>
  <c r="S4" i="9"/>
  <c r="D17" i="9"/>
  <c r="E17" i="9" s="1"/>
  <c r="Q25" i="9"/>
  <c r="P28" i="9"/>
  <c r="T17" i="9"/>
  <c r="U17" i="9" s="1"/>
  <c r="D30" i="9"/>
  <c r="E28" i="9"/>
  <c r="F10" i="9"/>
  <c r="G10" i="9" s="1"/>
  <c r="Q27" i="9"/>
  <c r="E26" i="9"/>
  <c r="E12" i="9"/>
  <c r="W9" i="9"/>
  <c r="G11" i="9"/>
  <c r="H11" i="9" s="1"/>
  <c r="M4" i="7"/>
  <c r="C6" i="7"/>
  <c r="M3" i="7"/>
  <c r="C5" i="7"/>
  <c r="D5" i="7" s="1"/>
  <c r="D3" i="7"/>
  <c r="E3" i="7" s="1"/>
  <c r="D4" i="7"/>
  <c r="E4" i="7" s="1"/>
  <c r="GD19" i="2"/>
  <c r="GD20" i="2"/>
  <c r="GD17" i="2"/>
  <c r="GD15" i="2"/>
  <c r="S406" i="20"/>
  <c r="GD16" i="2"/>
  <c r="GD18" i="2" l="1"/>
  <c r="GF12" i="2"/>
  <c r="Q405" i="20"/>
  <c r="P405" i="20" s="1"/>
  <c r="R406" i="20"/>
  <c r="O407" i="20"/>
  <c r="M6" i="7"/>
  <c r="R27" i="9"/>
  <c r="S27" i="9" s="1"/>
  <c r="T27" i="9" s="1"/>
  <c r="U27" i="9" s="1"/>
  <c r="J39" i="9"/>
  <c r="T4" i="9"/>
  <c r="U4" i="9" s="1"/>
  <c r="V4" i="9" s="1"/>
  <c r="V5" i="9"/>
  <c r="W5" i="9" s="1"/>
  <c r="C42" i="9"/>
  <c r="C43" i="9" s="1"/>
  <c r="I35" i="9"/>
  <c r="J35" i="9" s="1"/>
  <c r="E14" i="9"/>
  <c r="F14" i="9" s="1"/>
  <c r="G14" i="9" s="1"/>
  <c r="J25" i="9"/>
  <c r="E30" i="9"/>
  <c r="F30" i="9" s="1"/>
  <c r="G29" i="9"/>
  <c r="F28" i="9"/>
  <c r="G28" i="9" s="1"/>
  <c r="H28" i="9" s="1"/>
  <c r="G13" i="9"/>
  <c r="I11" i="9"/>
  <c r="J11" i="9" s="1"/>
  <c r="T24" i="9"/>
  <c r="F17" i="9"/>
  <c r="G17" i="9" s="1"/>
  <c r="D47" i="9"/>
  <c r="C48" i="9"/>
  <c r="H46" i="9"/>
  <c r="I46" i="9" s="1"/>
  <c r="Q26" i="9"/>
  <c r="R26" i="9" s="1"/>
  <c r="G36" i="9"/>
  <c r="G41" i="9"/>
  <c r="H41" i="9" s="1"/>
  <c r="I41" i="9" s="1"/>
  <c r="F16" i="9"/>
  <c r="G16" i="9" s="1"/>
  <c r="H16" i="9" s="1"/>
  <c r="V16" i="9"/>
  <c r="W16" i="9" s="1"/>
  <c r="I9" i="9"/>
  <c r="J9" i="9" s="1"/>
  <c r="V17" i="9"/>
  <c r="W17" i="9" s="1"/>
  <c r="R25" i="9"/>
  <c r="S12" i="9"/>
  <c r="K48" i="9"/>
  <c r="L48" i="9" s="1"/>
  <c r="L47" i="9"/>
  <c r="S22" i="9"/>
  <c r="T22" i="9" s="1"/>
  <c r="D37" i="9"/>
  <c r="E37" i="9" s="1"/>
  <c r="E27" i="9"/>
  <c r="F18" i="9"/>
  <c r="T10" i="9"/>
  <c r="U10" i="9" s="1"/>
  <c r="E31" i="9"/>
  <c r="F31" i="9" s="1"/>
  <c r="H24" i="9"/>
  <c r="I24" i="9" s="1"/>
  <c r="J24" i="9" s="1"/>
  <c r="S20" i="9"/>
  <c r="D34" i="9"/>
  <c r="E34" i="9" s="1"/>
  <c r="F34" i="9" s="1"/>
  <c r="H10" i="9"/>
  <c r="I10" i="9" s="1"/>
  <c r="F26" i="9"/>
  <c r="Q28" i="9"/>
  <c r="R28" i="9" s="1"/>
  <c r="I33" i="9"/>
  <c r="J33" i="9" s="1"/>
  <c r="F12" i="9"/>
  <c r="D22" i="9"/>
  <c r="E22" i="9" s="1"/>
  <c r="V15" i="9"/>
  <c r="W15" i="9" s="1"/>
  <c r="U24" i="9"/>
  <c r="V24" i="9" s="1"/>
  <c r="N3" i="7"/>
  <c r="O3" i="7" s="1"/>
  <c r="M5" i="7"/>
  <c r="N5" i="7" s="1"/>
  <c r="O5" i="7" s="1"/>
  <c r="P5" i="7" s="1"/>
  <c r="N6" i="7"/>
  <c r="O6" i="7" s="1"/>
  <c r="N4" i="7"/>
  <c r="O4" i="7" s="1"/>
  <c r="P4" i="7" s="1"/>
  <c r="D6" i="7"/>
  <c r="E6" i="7" s="1"/>
  <c r="E5" i="7"/>
  <c r="F5" i="7" s="1"/>
  <c r="G5" i="7" s="1"/>
  <c r="H5" i="7" s="1"/>
  <c r="C7" i="7"/>
  <c r="F3" i="7"/>
  <c r="G3" i="7" s="1"/>
  <c r="F4" i="7"/>
  <c r="G4" i="7" s="1"/>
  <c r="GE16" i="2"/>
  <c r="S407" i="20"/>
  <c r="GE19" i="2"/>
  <c r="GE15" i="2"/>
  <c r="GE20" i="2"/>
  <c r="GE17" i="2"/>
  <c r="GE18" i="2" l="1"/>
  <c r="GG12" i="2"/>
  <c r="Q406" i="20"/>
  <c r="P406" i="20" s="1"/>
  <c r="O408" i="20"/>
  <c r="R407" i="20"/>
  <c r="Q407" i="20" s="1"/>
  <c r="P407" i="20" s="1"/>
  <c r="M7" i="7"/>
  <c r="N7" i="7" s="1"/>
  <c r="O7" i="7" s="1"/>
  <c r="W4" i="9"/>
  <c r="S26" i="9"/>
  <c r="T26" i="9" s="1"/>
  <c r="U26" i="9" s="1"/>
  <c r="V26" i="9" s="1"/>
  <c r="D42" i="9"/>
  <c r="E42" i="9" s="1"/>
  <c r="G26" i="9"/>
  <c r="H26" i="9" s="1"/>
  <c r="I26" i="9" s="1"/>
  <c r="J26" i="9" s="1"/>
  <c r="H29" i="9"/>
  <c r="I29" i="9" s="1"/>
  <c r="J29" i="9" s="1"/>
  <c r="I28" i="9"/>
  <c r="J28" i="9" s="1"/>
  <c r="G30" i="9"/>
  <c r="H30" i="9" s="1"/>
  <c r="I30" i="9" s="1"/>
  <c r="J41" i="9"/>
  <c r="D48" i="9"/>
  <c r="E48" i="9" s="1"/>
  <c r="F48" i="9" s="1"/>
  <c r="U22" i="9"/>
  <c r="V22" i="9" s="1"/>
  <c r="W22" i="9" s="1"/>
  <c r="F22" i="9"/>
  <c r="G22" i="9" s="1"/>
  <c r="W24" i="9"/>
  <c r="V27" i="9"/>
  <c r="W27" i="9" s="1"/>
  <c r="G12" i="9"/>
  <c r="H12" i="9" s="1"/>
  <c r="H13" i="9"/>
  <c r="I13" i="9" s="1"/>
  <c r="S28" i="9"/>
  <c r="F37" i="9"/>
  <c r="G37" i="9" s="1"/>
  <c r="H17" i="9"/>
  <c r="I17" i="9" s="1"/>
  <c r="J17" i="9" s="1"/>
  <c r="J46" i="9"/>
  <c r="E47" i="9"/>
  <c r="H14" i="9"/>
  <c r="V10" i="9"/>
  <c r="W10" i="9" s="1"/>
  <c r="D43" i="9"/>
  <c r="F27" i="9"/>
  <c r="J10" i="9"/>
  <c r="T12" i="9"/>
  <c r="G18" i="9"/>
  <c r="H18" i="9" s="1"/>
  <c r="D38" i="9"/>
  <c r="G34" i="9"/>
  <c r="H34" i="9" s="1"/>
  <c r="H36" i="9"/>
  <c r="I36" i="9" s="1"/>
  <c r="G31" i="9"/>
  <c r="H31" i="9" s="1"/>
  <c r="T20" i="9"/>
  <c r="I16" i="9"/>
  <c r="J16" i="9" s="1"/>
  <c r="S25" i="9"/>
  <c r="M8" i="7"/>
  <c r="N8" i="7" s="1"/>
  <c r="O8" i="7" s="1"/>
  <c r="P6" i="7"/>
  <c r="Q6" i="7" s="1"/>
  <c r="R6" i="7" s="1"/>
  <c r="S6" i="7" s="1"/>
  <c r="T6" i="7" s="1"/>
  <c r="Q5" i="7"/>
  <c r="R5" i="7" s="1"/>
  <c r="M9" i="7"/>
  <c r="Q4" i="7"/>
  <c r="R4" i="7" s="1"/>
  <c r="S4" i="7" s="1"/>
  <c r="P3" i="7"/>
  <c r="H4" i="7"/>
  <c r="I4" i="7" s="1"/>
  <c r="D7" i="7"/>
  <c r="E7" i="7" s="1"/>
  <c r="C8" i="7"/>
  <c r="F6" i="7"/>
  <c r="G6" i="7" s="1"/>
  <c r="I5" i="7"/>
  <c r="J5" i="7" s="1"/>
  <c r="H3" i="7"/>
  <c r="GF15" i="2"/>
  <c r="GF17" i="2"/>
  <c r="GF19" i="2"/>
  <c r="S408" i="20"/>
  <c r="GF20" i="2"/>
  <c r="GF16" i="2"/>
  <c r="GF18" i="2" l="1"/>
  <c r="GH12" i="2"/>
  <c r="R408" i="20"/>
  <c r="O409" i="20"/>
  <c r="P7" i="7"/>
  <c r="Q7" i="7" s="1"/>
  <c r="F42" i="9"/>
  <c r="G42" i="9" s="1"/>
  <c r="J36" i="9"/>
  <c r="J30" i="9"/>
  <c r="J13" i="9"/>
  <c r="G48" i="9"/>
  <c r="H48" i="9" s="1"/>
  <c r="I48" i="9" s="1"/>
  <c r="J48" i="9" s="1"/>
  <c r="E38" i="9"/>
  <c r="F38" i="9" s="1"/>
  <c r="I12" i="9"/>
  <c r="J12" i="9" s="1"/>
  <c r="U12" i="9"/>
  <c r="V12" i="9" s="1"/>
  <c r="E43" i="9"/>
  <c r="T28" i="9"/>
  <c r="U28" i="9" s="1"/>
  <c r="I31" i="9"/>
  <c r="J31" i="9" s="1"/>
  <c r="H22" i="9"/>
  <c r="I22" i="9" s="1"/>
  <c r="J22" i="9" s="1"/>
  <c r="G27" i="9"/>
  <c r="I18" i="9"/>
  <c r="J18" i="9" s="1"/>
  <c r="I34" i="9"/>
  <c r="J34" i="9" s="1"/>
  <c r="I14" i="9"/>
  <c r="J14" i="9" s="1"/>
  <c r="U20" i="9"/>
  <c r="V20" i="9" s="1"/>
  <c r="T25" i="9"/>
  <c r="W26" i="9"/>
  <c r="F47" i="9"/>
  <c r="H37" i="9"/>
  <c r="I37" i="9" s="1"/>
  <c r="P8" i="7"/>
  <c r="Q8" i="7" s="1"/>
  <c r="S5" i="7"/>
  <c r="T5" i="7" s="1"/>
  <c r="R7" i="7"/>
  <c r="M10" i="7"/>
  <c r="N9" i="7"/>
  <c r="O9" i="7" s="1"/>
  <c r="J4" i="7"/>
  <c r="T4" i="7"/>
  <c r="Q3" i="7"/>
  <c r="D8" i="7"/>
  <c r="C9" i="7"/>
  <c r="H6" i="7"/>
  <c r="I6" i="7" s="1"/>
  <c r="J6" i="7" s="1"/>
  <c r="F7" i="7"/>
  <c r="G7" i="7" s="1"/>
  <c r="H7" i="7" s="1"/>
  <c r="I3" i="7"/>
  <c r="J3" i="7" s="1"/>
  <c r="S409" i="20"/>
  <c r="GG19" i="2"/>
  <c r="GG15" i="2"/>
  <c r="GG17" i="2"/>
  <c r="GG20" i="2"/>
  <c r="GG16" i="2"/>
  <c r="GG18" i="2" l="1"/>
  <c r="GI12" i="2"/>
  <c r="R409" i="20"/>
  <c r="Q409" i="20" s="1"/>
  <c r="P409" i="20" s="1"/>
  <c r="O410" i="20"/>
  <c r="Q408" i="20"/>
  <c r="P408" i="20" s="1"/>
  <c r="H42" i="9"/>
  <c r="I42" i="9" s="1"/>
  <c r="R8" i="7"/>
  <c r="S8" i="7" s="1"/>
  <c r="T8" i="7" s="1"/>
  <c r="U25" i="9"/>
  <c r="V25" i="9" s="1"/>
  <c r="W25" i="9" s="1"/>
  <c r="G38" i="9"/>
  <c r="H38" i="9" s="1"/>
  <c r="I38" i="9" s="1"/>
  <c r="J38" i="9" s="1"/>
  <c r="W20" i="9"/>
  <c r="W12" i="9"/>
  <c r="G47" i="9"/>
  <c r="H47" i="9" s="1"/>
  <c r="V28" i="9"/>
  <c r="W28" i="9" s="1"/>
  <c r="J37" i="9"/>
  <c r="H27" i="9"/>
  <c r="F43" i="9"/>
  <c r="N10" i="7"/>
  <c r="O10" i="7" s="1"/>
  <c r="P10" i="7" s="1"/>
  <c r="P9" i="7"/>
  <c r="Q9" i="7" s="1"/>
  <c r="S7" i="7"/>
  <c r="T7" i="7" s="1"/>
  <c r="R3" i="7"/>
  <c r="S3" i="7" s="1"/>
  <c r="D9" i="7"/>
  <c r="E9" i="7" s="1"/>
  <c r="C10" i="7"/>
  <c r="I7" i="7"/>
  <c r="J7" i="7" s="1"/>
  <c r="E8" i="7"/>
  <c r="GH16" i="2"/>
  <c r="GH19" i="2"/>
  <c r="GH15" i="2"/>
  <c r="S410" i="20"/>
  <c r="GH20" i="2"/>
  <c r="GH17" i="2"/>
  <c r="GH18" i="2" l="1"/>
  <c r="GJ12" i="2"/>
  <c r="J42" i="9"/>
  <c r="O411" i="20"/>
  <c r="R410" i="20"/>
  <c r="G43" i="9"/>
  <c r="H43" i="9" s="1"/>
  <c r="I27" i="9"/>
  <c r="J27" i="9" s="1"/>
  <c r="I47" i="9"/>
  <c r="J47" i="9" s="1"/>
  <c r="R9" i="7"/>
  <c r="S9" i="7" s="1"/>
  <c r="T9" i="7" s="1"/>
  <c r="Q10" i="7"/>
  <c r="R10" i="7" s="1"/>
  <c r="T3" i="7"/>
  <c r="F9" i="7"/>
  <c r="G9" i="7" s="1"/>
  <c r="D10" i="7"/>
  <c r="F8" i="7"/>
  <c r="C50" i="5"/>
  <c r="C49" i="5"/>
  <c r="C46" i="5"/>
  <c r="GI20" i="2"/>
  <c r="S411" i="20"/>
  <c r="GI19" i="2"/>
  <c r="GI16" i="2"/>
  <c r="GI17" i="2"/>
  <c r="GI15" i="2"/>
  <c r="GI18" i="2" l="1"/>
  <c r="GK12" i="2"/>
  <c r="Q410" i="20"/>
  <c r="P410" i="20" s="1"/>
  <c r="R411" i="20"/>
  <c r="O412" i="20"/>
  <c r="C52" i="5"/>
  <c r="I43" i="9"/>
  <c r="J43" i="9" s="1"/>
  <c r="S10" i="7"/>
  <c r="T10" i="7" s="1"/>
  <c r="G8" i="7"/>
  <c r="H8" i="7" s="1"/>
  <c r="I8" i="7" s="1"/>
  <c r="H9" i="7"/>
  <c r="I9" i="7" s="1"/>
  <c r="J9" i="7" s="1"/>
  <c r="E10" i="7"/>
  <c r="F10" i="7" s="1"/>
  <c r="C51" i="5"/>
  <c r="GJ20" i="2"/>
  <c r="GJ19" i="2"/>
  <c r="S412" i="20"/>
  <c r="GJ15" i="2"/>
  <c r="GJ17" i="2"/>
  <c r="GJ16" i="2"/>
  <c r="GJ18" i="2" l="1"/>
  <c r="GL12" i="2"/>
  <c r="R412" i="20"/>
  <c r="Q412" i="20" s="1"/>
  <c r="P412" i="20" s="1"/>
  <c r="O413" i="20"/>
  <c r="Q411" i="20"/>
  <c r="P411" i="20" s="1"/>
  <c r="J8" i="7"/>
  <c r="G10" i="7"/>
  <c r="H10" i="7" s="1"/>
  <c r="D46" i="5"/>
  <c r="GK15" i="2"/>
  <c r="GK17" i="2"/>
  <c r="GK16" i="2"/>
  <c r="S413" i="20"/>
  <c r="GK19" i="2"/>
  <c r="GK20" i="2"/>
  <c r="GK18" i="2" l="1"/>
  <c r="GM12" i="2"/>
  <c r="R413" i="20"/>
  <c r="Q413" i="20" s="1"/>
  <c r="P413" i="20" s="1"/>
  <c r="O414" i="20"/>
  <c r="I10" i="7"/>
  <c r="J10" i="7" s="1"/>
  <c r="E46" i="5"/>
  <c r="F46" i="5" s="1"/>
  <c r="GL20" i="2"/>
  <c r="GL16" i="2"/>
  <c r="GL19" i="2"/>
  <c r="S414" i="20"/>
  <c r="GL17" i="2"/>
  <c r="GL15" i="2"/>
  <c r="GL18" i="2" l="1"/>
  <c r="GN12" i="2"/>
  <c r="O415" i="20"/>
  <c r="R414" i="20"/>
  <c r="Q414" i="20" s="1"/>
  <c r="P414" i="20" s="1"/>
  <c r="G46" i="5"/>
  <c r="Q23" i="5"/>
  <c r="R23" i="5" s="1"/>
  <c r="P15" i="5"/>
  <c r="P16" i="5" s="1"/>
  <c r="X23" i="5"/>
  <c r="GM17" i="2"/>
  <c r="GM20" i="2"/>
  <c r="GM19" i="2"/>
  <c r="GM15" i="2"/>
  <c r="GM16" i="2"/>
  <c r="GM18" i="2" l="1"/>
  <c r="GO12" i="2"/>
  <c r="O416" i="20"/>
  <c r="H46" i="5"/>
  <c r="S23" i="5"/>
  <c r="T23" i="5" s="1"/>
  <c r="Q19" i="5"/>
  <c r="R19" i="5" s="1"/>
  <c r="Q21" i="5"/>
  <c r="R21" i="5" s="1"/>
  <c r="GN20" i="2"/>
  <c r="GN17" i="2"/>
  <c r="GN16" i="2"/>
  <c r="GN15" i="2"/>
  <c r="GN19" i="2"/>
  <c r="GN18" i="2" l="1"/>
  <c r="GP12" i="2"/>
  <c r="O417" i="20"/>
  <c r="I46" i="5"/>
  <c r="J46" i="5" s="1"/>
  <c r="U23" i="5"/>
  <c r="S19" i="5"/>
  <c r="T19" i="5" s="1"/>
  <c r="S21" i="5"/>
  <c r="Y21" i="5"/>
  <c r="Y23" i="5"/>
  <c r="Y19" i="5"/>
  <c r="P9" i="5"/>
  <c r="P10" i="5" s="1"/>
  <c r="P17" i="5"/>
  <c r="P18" i="5" s="1"/>
  <c r="Q15" i="5"/>
  <c r="Q14" i="5"/>
  <c r="P6" i="5"/>
  <c r="Q6" i="5" s="1"/>
  <c r="R6" i="5" s="1"/>
  <c r="S417" i="20"/>
  <c r="GO17" i="2"/>
  <c r="GO16" i="2"/>
  <c r="GO15" i="2"/>
  <c r="GO19" i="2"/>
  <c r="GO20" i="2"/>
  <c r="GO18" i="2" l="1"/>
  <c r="GQ12" i="2"/>
  <c r="R417" i="20"/>
  <c r="O418" i="20"/>
  <c r="V23" i="5"/>
  <c r="W23" i="5" s="1"/>
  <c r="Q18" i="5"/>
  <c r="R18" i="5" s="1"/>
  <c r="S18" i="5" s="1"/>
  <c r="T21" i="5"/>
  <c r="U21" i="5" s="1"/>
  <c r="V21" i="5" s="1"/>
  <c r="W21" i="5" s="1"/>
  <c r="U19" i="5"/>
  <c r="V19" i="5" s="1"/>
  <c r="Q10" i="5"/>
  <c r="R10" i="5" s="1"/>
  <c r="P11" i="5"/>
  <c r="Q11" i="5" s="1"/>
  <c r="R11" i="5" s="1"/>
  <c r="S11" i="5" s="1"/>
  <c r="R15" i="5"/>
  <c r="Q17" i="5"/>
  <c r="R17" i="5" s="1"/>
  <c r="R14" i="5"/>
  <c r="S6" i="5"/>
  <c r="GP17" i="2"/>
  <c r="GP19" i="2"/>
  <c r="GP20" i="2"/>
  <c r="S418" i="20"/>
  <c r="GP16" i="2"/>
  <c r="GP15" i="2"/>
  <c r="GP18" i="2" l="1"/>
  <c r="GR12" i="2"/>
  <c r="R418" i="20"/>
  <c r="O419" i="20"/>
  <c r="Q417" i="20"/>
  <c r="P417" i="20" s="1"/>
  <c r="S10" i="5"/>
  <c r="T10" i="5" s="1"/>
  <c r="U10" i="5" s="1"/>
  <c r="P12" i="5"/>
  <c r="Q12" i="5" s="1"/>
  <c r="Q16" i="5"/>
  <c r="P20" i="5"/>
  <c r="W19" i="5"/>
  <c r="T11" i="5"/>
  <c r="U11" i="5" s="1"/>
  <c r="V11" i="5" s="1"/>
  <c r="S17" i="5"/>
  <c r="T17" i="5" s="1"/>
  <c r="S15" i="5"/>
  <c r="T15" i="5" s="1"/>
  <c r="T18" i="5"/>
  <c r="U18" i="5" s="1"/>
  <c r="S14" i="5"/>
  <c r="T14" i="5" s="1"/>
  <c r="U14" i="5" s="1"/>
  <c r="T6" i="5"/>
  <c r="GQ20" i="2"/>
  <c r="GQ19" i="2"/>
  <c r="GQ17" i="2"/>
  <c r="S419" i="20"/>
  <c r="GQ15" i="2"/>
  <c r="GQ16" i="2"/>
  <c r="GQ18" i="2" l="1"/>
  <c r="GS12" i="2"/>
  <c r="R419" i="20"/>
  <c r="Q419" i="20" s="1"/>
  <c r="P419" i="20" s="1"/>
  <c r="O420" i="20"/>
  <c r="Q418" i="20"/>
  <c r="P418" i="20" s="1"/>
  <c r="V10" i="5"/>
  <c r="W10" i="5" s="1"/>
  <c r="P27" i="5"/>
  <c r="P22" i="5"/>
  <c r="R16" i="5"/>
  <c r="S16" i="5" s="1"/>
  <c r="Q20" i="5"/>
  <c r="W11" i="5"/>
  <c r="R12" i="5"/>
  <c r="S12" i="5" s="1"/>
  <c r="U17" i="5"/>
  <c r="V17" i="5" s="1"/>
  <c r="W17" i="5" s="1"/>
  <c r="U15" i="5"/>
  <c r="V15" i="5" s="1"/>
  <c r="W15" i="5" s="1"/>
  <c r="V18" i="5"/>
  <c r="W18" i="5" s="1"/>
  <c r="V14" i="5"/>
  <c r="W14" i="5" s="1"/>
  <c r="Q9" i="5"/>
  <c r="U6" i="5"/>
  <c r="V6" i="5" s="1"/>
  <c r="GR19" i="2"/>
  <c r="GR15" i="2"/>
  <c r="GR17" i="2"/>
  <c r="S420" i="20"/>
  <c r="GR16" i="2"/>
  <c r="GR20" i="2"/>
  <c r="GR18" i="2" l="1"/>
  <c r="GT12" i="2"/>
  <c r="R420" i="20"/>
  <c r="Q420" i="20" s="1"/>
  <c r="P420" i="20" s="1"/>
  <c r="O421" i="20"/>
  <c r="Q27" i="5"/>
  <c r="R20" i="5"/>
  <c r="Q22" i="5"/>
  <c r="T16" i="5"/>
  <c r="T12" i="5"/>
  <c r="U12" i="5" s="1"/>
  <c r="R9" i="5"/>
  <c r="W6" i="5"/>
  <c r="S421" i="20"/>
  <c r="GS15" i="2"/>
  <c r="GS16" i="2"/>
  <c r="GS19" i="2"/>
  <c r="GS17" i="2"/>
  <c r="GS20" i="2"/>
  <c r="GS18" i="2" l="1"/>
  <c r="GU12" i="2"/>
  <c r="R421" i="20"/>
  <c r="Q421" i="20" s="1"/>
  <c r="P421" i="20" s="1"/>
  <c r="O422" i="20"/>
  <c r="R27" i="5"/>
  <c r="S27" i="5" s="1"/>
  <c r="S20" i="5"/>
  <c r="T20" i="5" s="1"/>
  <c r="U16" i="5"/>
  <c r="V16" i="5" s="1"/>
  <c r="W16" i="5" s="1"/>
  <c r="R22" i="5"/>
  <c r="V12" i="5"/>
  <c r="W12" i="5" s="1"/>
  <c r="S9" i="5"/>
  <c r="GT15" i="2"/>
  <c r="GT16" i="2"/>
  <c r="S422" i="20"/>
  <c r="GT20" i="2"/>
  <c r="GT17" i="2"/>
  <c r="GT19" i="2"/>
  <c r="GT18" i="2" l="1"/>
  <c r="GV12" i="2"/>
  <c r="R422" i="20"/>
  <c r="Q422" i="20" s="1"/>
  <c r="P422" i="20" s="1"/>
  <c r="O423" i="20"/>
  <c r="T27" i="5"/>
  <c r="U27" i="5" s="1"/>
  <c r="V27" i="5" s="1"/>
  <c r="W27" i="5" s="1"/>
  <c r="S22" i="5"/>
  <c r="T22" i="5" s="1"/>
  <c r="U22" i="5" s="1"/>
  <c r="U20" i="5"/>
  <c r="V20" i="5" s="1"/>
  <c r="W20" i="5" s="1"/>
  <c r="T9" i="5"/>
  <c r="U9" i="5" s="1"/>
  <c r="Q3" i="5"/>
  <c r="R3" i="5" s="1"/>
  <c r="P2" i="5"/>
  <c r="P4" i="5" s="1"/>
  <c r="P5" i="5" s="1"/>
  <c r="GU17" i="2"/>
  <c r="GU15" i="2"/>
  <c r="S423" i="20"/>
  <c r="GU16" i="2"/>
  <c r="GU20" i="2"/>
  <c r="GU19" i="2"/>
  <c r="GU18" i="2" l="1"/>
  <c r="GW12" i="2"/>
  <c r="R423" i="20"/>
  <c r="Q423" i="20" s="1"/>
  <c r="P423" i="20" s="1"/>
  <c r="O424" i="20"/>
  <c r="Y28" i="5"/>
  <c r="P24" i="5"/>
  <c r="Q2" i="5"/>
  <c r="V22" i="5"/>
  <c r="W22" i="5" s="1"/>
  <c r="V9" i="5"/>
  <c r="W9" i="5" s="1"/>
  <c r="Q4" i="5"/>
  <c r="S3" i="5"/>
  <c r="T3" i="5" s="1"/>
  <c r="R2" i="5"/>
  <c r="GV19" i="2"/>
  <c r="GV15" i="2"/>
  <c r="GV20" i="2"/>
  <c r="GV17" i="2"/>
  <c r="GV16" i="2"/>
  <c r="S424" i="20"/>
  <c r="GV18" i="2" l="1"/>
  <c r="GX12" i="2"/>
  <c r="O425" i="20"/>
  <c r="R424" i="20"/>
  <c r="Q424" i="20" s="1"/>
  <c r="P424" i="20" s="1"/>
  <c r="P25" i="5"/>
  <c r="Q24" i="5"/>
  <c r="R24" i="5" s="1"/>
  <c r="S24" i="5" s="1"/>
  <c r="T24" i="5" s="1"/>
  <c r="U24" i="5" s="1"/>
  <c r="Q5" i="5"/>
  <c r="R5" i="5" s="1"/>
  <c r="R4" i="5"/>
  <c r="U3" i="5"/>
  <c r="V3" i="5" s="1"/>
  <c r="S2" i="5"/>
  <c r="D20" i="5"/>
  <c r="C32" i="5"/>
  <c r="D32" i="5" s="1"/>
  <c r="E32" i="5" s="1"/>
  <c r="GW19" i="2"/>
  <c r="GW20" i="2"/>
  <c r="S425" i="20"/>
  <c r="GW16" i="2"/>
  <c r="GW17" i="2"/>
  <c r="GW15" i="2"/>
  <c r="GW18" i="2" l="1"/>
  <c r="GY12" i="2"/>
  <c r="R425" i="20"/>
  <c r="O426" i="20"/>
  <c r="E20" i="5"/>
  <c r="V24" i="5"/>
  <c r="W24" i="5" s="1"/>
  <c r="Q25" i="5"/>
  <c r="R25" i="5" s="1"/>
  <c r="S25" i="5" s="1"/>
  <c r="P26" i="5"/>
  <c r="P28" i="5"/>
  <c r="S5" i="5"/>
  <c r="T5" i="5" s="1"/>
  <c r="S4" i="5"/>
  <c r="W3" i="5"/>
  <c r="T2" i="5"/>
  <c r="F32" i="5"/>
  <c r="D7" i="2"/>
  <c r="C7" i="2"/>
  <c r="B7" i="2"/>
  <c r="P46" i="2"/>
  <c r="Q46" i="2" s="1"/>
  <c r="R46" i="2" s="1"/>
  <c r="S46" i="2" s="1"/>
  <c r="T46" i="2" s="1"/>
  <c r="U46" i="2" s="1"/>
  <c r="V46" i="2" s="1"/>
  <c r="W46" i="2" s="1"/>
  <c r="X46" i="2" s="1"/>
  <c r="Y46" i="2" s="1"/>
  <c r="Z46" i="2" s="1"/>
  <c r="O28" i="2"/>
  <c r="P28" i="2" s="1"/>
  <c r="Q28" i="2" s="1"/>
  <c r="R28" i="2" s="1"/>
  <c r="S28" i="2" s="1"/>
  <c r="T28" i="2" s="1"/>
  <c r="U28" i="2" s="1"/>
  <c r="V28" i="2" s="1"/>
  <c r="W28" i="2" s="1"/>
  <c r="X28" i="2" s="1"/>
  <c r="Y28" i="2" s="1"/>
  <c r="Z28" i="2" s="1"/>
  <c r="D22" i="2"/>
  <c r="D31" i="2" s="1"/>
  <c r="D34" i="2" s="1"/>
  <c r="D37" i="2" s="1"/>
  <c r="D40" i="2" s="1"/>
  <c r="D43" i="2" s="1"/>
  <c r="D46" i="2" s="1"/>
  <c r="D49" i="2" s="1"/>
  <c r="C22" i="2"/>
  <c r="C31" i="2" s="1"/>
  <c r="C34" i="2" s="1"/>
  <c r="C37" i="2" s="1"/>
  <c r="C40" i="2" s="1"/>
  <c r="C43" i="2" s="1"/>
  <c r="C46" i="2" s="1"/>
  <c r="B22" i="2"/>
  <c r="B25" i="2" s="1"/>
  <c r="B28" i="2" s="1"/>
  <c r="B10" i="2"/>
  <c r="B13" i="2" s="1"/>
  <c r="B16" i="2" s="1"/>
  <c r="B19" i="2" s="1"/>
  <c r="C10" i="2"/>
  <c r="C13" i="2" s="1"/>
  <c r="C16" i="2" s="1"/>
  <c r="C19" i="2" s="1"/>
  <c r="D10" i="2"/>
  <c r="D28" i="2" s="1"/>
  <c r="E22" i="2"/>
  <c r="E25" i="2" s="1"/>
  <c r="GX19" i="2"/>
  <c r="GX15" i="2"/>
  <c r="GX20" i="2"/>
  <c r="GX16" i="2"/>
  <c r="S426" i="20"/>
  <c r="GX17" i="2"/>
  <c r="GX18" i="2" l="1"/>
  <c r="GZ12" i="2"/>
  <c r="O427" i="20"/>
  <c r="R426" i="20"/>
  <c r="Q425" i="20"/>
  <c r="P425" i="20" s="1"/>
  <c r="C49" i="2"/>
  <c r="D13" i="2"/>
  <c r="D16" i="2" s="1"/>
  <c r="D19" i="2" s="1"/>
  <c r="C25" i="2"/>
  <c r="T25" i="5"/>
  <c r="Q28" i="5"/>
  <c r="Q26" i="5"/>
  <c r="R26" i="5" s="1"/>
  <c r="F20" i="5"/>
  <c r="U25" i="5"/>
  <c r="V25" i="5" s="1"/>
  <c r="W25" i="5" s="1"/>
  <c r="U5" i="5"/>
  <c r="V5" i="5" s="1"/>
  <c r="T4" i="5"/>
  <c r="U4" i="5" s="1"/>
  <c r="U2" i="5"/>
  <c r="G32" i="5"/>
  <c r="H32" i="5" s="1"/>
  <c r="E10" i="2"/>
  <c r="B31" i="2"/>
  <c r="B34" i="2" s="1"/>
  <c r="B37" i="2" s="1"/>
  <c r="B40" i="2" s="1"/>
  <c r="B43" i="2" s="1"/>
  <c r="B46" i="2" s="1"/>
  <c r="B49" i="2" s="1"/>
  <c r="G30" i="2"/>
  <c r="E7" i="2"/>
  <c r="D25" i="2"/>
  <c r="C28" i="2"/>
  <c r="G29" i="2" s="1"/>
  <c r="E31" i="2"/>
  <c r="E34" i="2" s="1"/>
  <c r="E3" i="5"/>
  <c r="D21" i="5"/>
  <c r="E21" i="5" s="1"/>
  <c r="GY15" i="2"/>
  <c r="GY17" i="2"/>
  <c r="GY19" i="2"/>
  <c r="GY16" i="2"/>
  <c r="S427" i="20"/>
  <c r="GY20" i="2"/>
  <c r="GY18" i="2" l="1"/>
  <c r="HA12" i="2"/>
  <c r="Q426" i="20"/>
  <c r="P426" i="20" s="1"/>
  <c r="R427" i="20"/>
  <c r="Q427" i="20" s="1"/>
  <c r="P427" i="20" s="1"/>
  <c r="O428" i="20"/>
  <c r="E13" i="2"/>
  <c r="E16" i="2" s="1"/>
  <c r="E37" i="2"/>
  <c r="E40" i="2" s="1"/>
  <c r="E28" i="2"/>
  <c r="R28" i="5"/>
  <c r="G20" i="5"/>
  <c r="H20" i="5" s="1"/>
  <c r="S26" i="5"/>
  <c r="C10" i="5"/>
  <c r="C11" i="5"/>
  <c r="K28" i="5"/>
  <c r="L28" i="5" s="1"/>
  <c r="C28" i="5"/>
  <c r="W5" i="5"/>
  <c r="V4" i="5"/>
  <c r="W4" i="5" s="1"/>
  <c r="V2" i="5"/>
  <c r="W2" i="5" s="1"/>
  <c r="I32" i="5"/>
  <c r="J32" i="5" s="1"/>
  <c r="K10" i="5"/>
  <c r="F21" i="5"/>
  <c r="G21" i="5" s="1"/>
  <c r="P21" i="2"/>
  <c r="Z48" i="2"/>
  <c r="O7" i="2"/>
  <c r="P7" i="2" s="1"/>
  <c r="Q7" i="2" s="1"/>
  <c r="R7" i="2" s="1"/>
  <c r="S7" i="2" s="1"/>
  <c r="T7" i="2" s="1"/>
  <c r="U7" i="2" s="1"/>
  <c r="V7" i="2" s="1"/>
  <c r="W7" i="2" s="1"/>
  <c r="X7" i="2" s="1"/>
  <c r="Y7" i="2" s="1"/>
  <c r="Z7" i="2" s="1"/>
  <c r="AA7" i="2" s="1"/>
  <c r="O4" i="2"/>
  <c r="P4" i="2" s="1"/>
  <c r="Q4" i="2" s="1"/>
  <c r="R4" i="2" s="1"/>
  <c r="S4" i="2" s="1"/>
  <c r="T4" i="2" s="1"/>
  <c r="U4" i="2" s="1"/>
  <c r="V4" i="2" s="1"/>
  <c r="J2" i="2" s="1"/>
  <c r="O34" i="2"/>
  <c r="P34" i="2" s="1"/>
  <c r="Q34" i="2" s="1"/>
  <c r="R34" i="2" s="1"/>
  <c r="S34" i="2" s="1"/>
  <c r="T34" i="2" s="1"/>
  <c r="U34" i="2" s="1"/>
  <c r="V34" i="2" s="1"/>
  <c r="W34" i="2" s="1"/>
  <c r="X34" i="2" s="1"/>
  <c r="Y34" i="2" s="1"/>
  <c r="Z34" i="2" s="1"/>
  <c r="AA34" i="2" s="1"/>
  <c r="O31" i="2"/>
  <c r="P31" i="2" s="1"/>
  <c r="Q31" i="2" s="1"/>
  <c r="R31" i="2" s="1"/>
  <c r="S31" i="2" s="1"/>
  <c r="T31" i="2" s="1"/>
  <c r="U31" i="2" s="1"/>
  <c r="V31" i="2" s="1"/>
  <c r="W31" i="2" s="1"/>
  <c r="X31" i="2" s="1"/>
  <c r="Y31" i="2" s="1"/>
  <c r="Z31" i="2" s="1"/>
  <c r="AA31" i="2" s="1"/>
  <c r="O22" i="2"/>
  <c r="O10" i="2"/>
  <c r="P10" i="2" s="1"/>
  <c r="Q10" i="2" s="1"/>
  <c r="R10" i="2" s="1"/>
  <c r="S10" i="2" s="1"/>
  <c r="T10" i="2" s="1"/>
  <c r="U10" i="2" s="1"/>
  <c r="V10" i="2" s="1"/>
  <c r="W10" i="2" s="1"/>
  <c r="X10" i="2" s="1"/>
  <c r="Y10" i="2" s="1"/>
  <c r="Z10" i="2" s="1"/>
  <c r="AA10" i="2" s="1"/>
  <c r="P49" i="2"/>
  <c r="Q49" i="2" s="1"/>
  <c r="R49" i="2" s="1"/>
  <c r="S49" i="2" s="1"/>
  <c r="T49" i="2" s="1"/>
  <c r="U49" i="2" s="1"/>
  <c r="V49" i="2" s="1"/>
  <c r="GZ20" i="2"/>
  <c r="GZ19" i="2"/>
  <c r="GZ17" i="2"/>
  <c r="S428" i="20"/>
  <c r="GZ16" i="2"/>
  <c r="GZ15" i="2"/>
  <c r="GZ18" i="2" l="1"/>
  <c r="HB12" i="2"/>
  <c r="R428" i="20"/>
  <c r="O429" i="20"/>
  <c r="W4" i="2"/>
  <c r="X4" i="2" s="1"/>
  <c r="Y4" i="2" s="1"/>
  <c r="Z4" i="2" s="1"/>
  <c r="AA4" i="2" s="1"/>
  <c r="E19" i="2"/>
  <c r="E43" i="2"/>
  <c r="I20" i="5"/>
  <c r="J20" i="5" s="1"/>
  <c r="C25" i="5"/>
  <c r="C33" i="5" s="1"/>
  <c r="T26" i="5"/>
  <c r="U26" i="5" s="1"/>
  <c r="V26" i="5" s="1"/>
  <c r="S28" i="5"/>
  <c r="T28" i="5" s="1"/>
  <c r="C26" i="5"/>
  <c r="D35" i="5"/>
  <c r="E35" i="5" s="1"/>
  <c r="F35" i="5" s="1"/>
  <c r="G35" i="5" s="1"/>
  <c r="H35" i="5" s="1"/>
  <c r="I35" i="5" s="1"/>
  <c r="J35" i="5" s="1"/>
  <c r="D39" i="5"/>
  <c r="E39" i="5" s="1"/>
  <c r="C44" i="5"/>
  <c r="C36" i="5"/>
  <c r="C12" i="5"/>
  <c r="W49" i="2"/>
  <c r="X49" i="2" s="1"/>
  <c r="Y49" i="2" s="1"/>
  <c r="Z49" i="2" s="1"/>
  <c r="H21" i="5"/>
  <c r="I21" i="5" s="1"/>
  <c r="P22" i="2"/>
  <c r="Q22" i="2" s="1"/>
  <c r="R22" i="2" s="1"/>
  <c r="S22" i="2" s="1"/>
  <c r="T22" i="2" s="1"/>
  <c r="U22" i="2" s="1"/>
  <c r="V22" i="2" s="1"/>
  <c r="L21" i="5"/>
  <c r="K46" i="5" s="1"/>
  <c r="L46" i="5" s="1"/>
  <c r="L15" i="5"/>
  <c r="D15" i="5"/>
  <c r="D7" i="5"/>
  <c r="C8" i="5"/>
  <c r="HA20" i="2"/>
  <c r="S429" i="20"/>
  <c r="HA15" i="2"/>
  <c r="HA16" i="2"/>
  <c r="HA17" i="2"/>
  <c r="HA19" i="2"/>
  <c r="HA18" i="2" l="1"/>
  <c r="HC12" i="2"/>
  <c r="R429" i="20"/>
  <c r="O430" i="20"/>
  <c r="Q428" i="20"/>
  <c r="P428" i="20" s="1"/>
  <c r="E46" i="2"/>
  <c r="D26" i="5"/>
  <c r="E26" i="5" s="1"/>
  <c r="U28" i="5"/>
  <c r="V28" i="5" s="1"/>
  <c r="W28" i="5" s="1"/>
  <c r="W26" i="5"/>
  <c r="F39" i="5"/>
  <c r="D36" i="5"/>
  <c r="E36" i="5" s="1"/>
  <c r="W22" i="2"/>
  <c r="X22" i="2" s="1"/>
  <c r="Y22" i="2" s="1"/>
  <c r="Z22" i="2" s="1"/>
  <c r="J21" i="5"/>
  <c r="E15" i="5"/>
  <c r="F15" i="5" s="1"/>
  <c r="E7" i="5"/>
  <c r="F7" i="5" s="1"/>
  <c r="HB19" i="2"/>
  <c r="S430" i="20"/>
  <c r="HB20" i="2"/>
  <c r="HB15" i="2"/>
  <c r="HB16" i="2"/>
  <c r="HB17" i="2"/>
  <c r="HB18" i="2" l="1"/>
  <c r="HD12" i="2"/>
  <c r="R430" i="20"/>
  <c r="O431" i="20"/>
  <c r="Q429" i="20"/>
  <c r="P429" i="20" s="1"/>
  <c r="E49" i="2"/>
  <c r="F26" i="5"/>
  <c r="G39" i="5"/>
  <c r="H39" i="5" s="1"/>
  <c r="F36" i="5"/>
  <c r="G36" i="5" s="1"/>
  <c r="H36" i="5" s="1"/>
  <c r="I36" i="5" s="1"/>
  <c r="G15" i="5"/>
  <c r="H15" i="5" s="1"/>
  <c r="G7" i="5"/>
  <c r="H7" i="5" s="1"/>
  <c r="S431" i="20"/>
  <c r="HC16" i="2"/>
  <c r="HC20" i="2"/>
  <c r="HC17" i="2"/>
  <c r="HC15" i="2"/>
  <c r="HC19" i="2"/>
  <c r="HC18" i="2" l="1"/>
  <c r="HE12" i="2"/>
  <c r="O432" i="20"/>
  <c r="R431" i="20"/>
  <c r="Q430" i="20"/>
  <c r="P430" i="20" s="1"/>
  <c r="G26" i="5"/>
  <c r="H26" i="5" s="1"/>
  <c r="I26" i="5" s="1"/>
  <c r="J36" i="5"/>
  <c r="I39" i="5"/>
  <c r="J39" i="5" s="1"/>
  <c r="I15" i="5"/>
  <c r="J15" i="5" s="1"/>
  <c r="I7" i="5"/>
  <c r="J7" i="5" s="1"/>
  <c r="HD20" i="2"/>
  <c r="HD16" i="2"/>
  <c r="HD19" i="2"/>
  <c r="HD17" i="2"/>
  <c r="S432" i="20"/>
  <c r="HD15" i="2"/>
  <c r="HD18" i="2" l="1"/>
  <c r="HF12" i="2"/>
  <c r="Q431" i="20"/>
  <c r="P431" i="20" s="1"/>
  <c r="R432" i="20"/>
  <c r="Q432" i="20" s="1"/>
  <c r="P432" i="20" s="1"/>
  <c r="O433" i="20"/>
  <c r="J26" i="5"/>
  <c r="D8" i="5"/>
  <c r="S433" i="20"/>
  <c r="HE19" i="2"/>
  <c r="HE20" i="2"/>
  <c r="HE17" i="2"/>
  <c r="HE15" i="2"/>
  <c r="HE16" i="2"/>
  <c r="HE18" i="2" l="1"/>
  <c r="HG12" i="2"/>
  <c r="O434" i="20"/>
  <c r="R433" i="20"/>
  <c r="E8" i="5"/>
  <c r="F8" i="5" s="1"/>
  <c r="HF19" i="2"/>
  <c r="HF15" i="2"/>
  <c r="HF16" i="2"/>
  <c r="HF17" i="2"/>
  <c r="S434" i="20"/>
  <c r="HF20" i="2"/>
  <c r="HF18" i="2" l="1"/>
  <c r="HH12" i="2"/>
  <c r="Q433" i="20"/>
  <c r="P433" i="20" s="1"/>
  <c r="R434" i="20"/>
  <c r="Q434" i="20" s="1"/>
  <c r="P434" i="20" s="1"/>
  <c r="O435" i="20"/>
  <c r="D10" i="5"/>
  <c r="G8" i="5"/>
  <c r="HG19" i="2"/>
  <c r="HG16" i="2"/>
  <c r="HG15" i="2"/>
  <c r="HG17" i="2"/>
  <c r="HG20" i="2"/>
  <c r="S435" i="20"/>
  <c r="HG18" i="2" l="1"/>
  <c r="HI12" i="2"/>
  <c r="R435" i="20"/>
  <c r="Q435" i="20" s="1"/>
  <c r="P435" i="20" s="1"/>
  <c r="O436" i="20"/>
  <c r="C29" i="5"/>
  <c r="C24" i="5"/>
  <c r="C27" i="5" s="1"/>
  <c r="D11" i="5"/>
  <c r="E11" i="5" s="1"/>
  <c r="F11" i="5" s="1"/>
  <c r="C13" i="5"/>
  <c r="L10" i="5"/>
  <c r="H8" i="5"/>
  <c r="I8" i="5" s="1"/>
  <c r="J8" i="5" s="1"/>
  <c r="D9" i="5"/>
  <c r="E9" i="5" s="1"/>
  <c r="F9" i="5" s="1"/>
  <c r="E10" i="5"/>
  <c r="HH17" i="2"/>
  <c r="HH20" i="2"/>
  <c r="HH15" i="2"/>
  <c r="S436" i="20"/>
  <c r="HH16" i="2"/>
  <c r="HH19" i="2"/>
  <c r="HH18" i="2" l="1"/>
  <c r="HJ12" i="2"/>
  <c r="R436" i="20"/>
  <c r="Q436" i="20" s="1"/>
  <c r="P436" i="20" s="1"/>
  <c r="O437" i="20"/>
  <c r="D25" i="5"/>
  <c r="E25" i="5" s="1"/>
  <c r="C31" i="5"/>
  <c r="C30" i="5"/>
  <c r="D29" i="5"/>
  <c r="E29" i="5" s="1"/>
  <c r="C16" i="5"/>
  <c r="C17" i="5" s="1"/>
  <c r="C41" i="5" s="1"/>
  <c r="K16" i="5"/>
  <c r="C34" i="5"/>
  <c r="D24" i="5"/>
  <c r="E24" i="5" s="1"/>
  <c r="D12" i="5"/>
  <c r="E12" i="5" s="1"/>
  <c r="C14" i="5"/>
  <c r="D13" i="5"/>
  <c r="G11" i="5"/>
  <c r="D28" i="5"/>
  <c r="E28" i="5" s="1"/>
  <c r="F28" i="5" s="1"/>
  <c r="F10" i="5"/>
  <c r="G9" i="5"/>
  <c r="S437" i="20"/>
  <c r="HI20" i="2"/>
  <c r="HI16" i="2"/>
  <c r="HI19" i="2"/>
  <c r="HI15" i="2"/>
  <c r="HI17" i="2"/>
  <c r="HI18" i="2" l="1"/>
  <c r="HK12" i="2"/>
  <c r="R437" i="20"/>
  <c r="Q437" i="20" s="1"/>
  <c r="P437" i="20" s="1"/>
  <c r="O438" i="20"/>
  <c r="C18" i="5"/>
  <c r="C37" i="5"/>
  <c r="C38" i="5" s="1"/>
  <c r="D16" i="5"/>
  <c r="E16" i="5" s="1"/>
  <c r="F16" i="5" s="1"/>
  <c r="G16" i="5" s="1"/>
  <c r="F29" i="5"/>
  <c r="G29" i="5" s="1"/>
  <c r="D33" i="5"/>
  <c r="E33" i="5" s="1"/>
  <c r="F33" i="5" s="1"/>
  <c r="D31" i="5"/>
  <c r="E31" i="5" s="1"/>
  <c r="D30" i="5"/>
  <c r="E30" i="5" s="1"/>
  <c r="F25" i="5"/>
  <c r="D27" i="5"/>
  <c r="E27" i="5" s="1"/>
  <c r="F27" i="5" s="1"/>
  <c r="F24" i="5"/>
  <c r="L16" i="5"/>
  <c r="K17" i="5"/>
  <c r="D34" i="5"/>
  <c r="E34" i="5" s="1"/>
  <c r="D17" i="5"/>
  <c r="E17" i="5" s="1"/>
  <c r="D18" i="5"/>
  <c r="E18" i="5" s="1"/>
  <c r="F18" i="5" s="1"/>
  <c r="G18" i="5" s="1"/>
  <c r="H11" i="5"/>
  <c r="D14" i="5"/>
  <c r="E14" i="5" s="1"/>
  <c r="E13" i="5"/>
  <c r="F12" i="5"/>
  <c r="G12" i="5" s="1"/>
  <c r="G28" i="5"/>
  <c r="H28" i="5" s="1"/>
  <c r="I28" i="5" s="1"/>
  <c r="J28" i="5" s="1"/>
  <c r="G10" i="5"/>
  <c r="H10" i="5" s="1"/>
  <c r="H9" i="5"/>
  <c r="I9" i="5" s="1"/>
  <c r="HJ20" i="2"/>
  <c r="HJ15" i="2"/>
  <c r="S438" i="20"/>
  <c r="HJ19" i="2"/>
  <c r="HJ16" i="2"/>
  <c r="HJ17" i="2"/>
  <c r="HJ18" i="2" l="1"/>
  <c r="HL12" i="2"/>
  <c r="R438" i="20"/>
  <c r="Q438" i="20" s="1"/>
  <c r="P438" i="20" s="1"/>
  <c r="O439" i="20"/>
  <c r="H29" i="5"/>
  <c r="I29" i="5" s="1"/>
  <c r="L17" i="5"/>
  <c r="C42" i="5" s="1"/>
  <c r="C43" i="5" s="1"/>
  <c r="K29" i="5"/>
  <c r="H16" i="5"/>
  <c r="I16" i="5" s="1"/>
  <c r="J16" i="5" s="1"/>
  <c r="D41" i="5"/>
  <c r="E41" i="5" s="1"/>
  <c r="F41" i="5" s="1"/>
  <c r="D37" i="5"/>
  <c r="E37" i="5" s="1"/>
  <c r="F31" i="5"/>
  <c r="G31" i="5" s="1"/>
  <c r="G33" i="5"/>
  <c r="G25" i="5"/>
  <c r="H25" i="5" s="1"/>
  <c r="I25" i="5" s="1"/>
  <c r="J25" i="5" s="1"/>
  <c r="F30" i="5"/>
  <c r="G24" i="5"/>
  <c r="H24" i="5" s="1"/>
  <c r="I24" i="5" s="1"/>
  <c r="G27" i="5"/>
  <c r="F34" i="5"/>
  <c r="H18" i="5"/>
  <c r="I18" i="5" s="1"/>
  <c r="J18" i="5" s="1"/>
  <c r="F17" i="5"/>
  <c r="G17" i="5" s="1"/>
  <c r="H12" i="5"/>
  <c r="I12" i="5" s="1"/>
  <c r="J12" i="5" s="1"/>
  <c r="F14" i="5"/>
  <c r="G14" i="5" s="1"/>
  <c r="F13" i="5"/>
  <c r="G13" i="5" s="1"/>
  <c r="H13" i="5" s="1"/>
  <c r="I11" i="5"/>
  <c r="J11" i="5" s="1"/>
  <c r="I10" i="5"/>
  <c r="J10" i="5" s="1"/>
  <c r="J9" i="5"/>
  <c r="HK16" i="2"/>
  <c r="HK15" i="2"/>
  <c r="HK20" i="2"/>
  <c r="S439" i="20"/>
  <c r="HK17" i="2"/>
  <c r="HK19" i="2"/>
  <c r="HK18" i="2" l="1"/>
  <c r="HM12" i="2"/>
  <c r="J29" i="5"/>
  <c r="R439" i="20"/>
  <c r="Q439" i="20" s="1"/>
  <c r="P439" i="20" s="1"/>
  <c r="O440" i="20"/>
  <c r="C22" i="5"/>
  <c r="D22" i="5" s="1"/>
  <c r="E22" i="5" s="1"/>
  <c r="L29" i="5"/>
  <c r="C47" i="5"/>
  <c r="D47" i="5" s="1"/>
  <c r="E47" i="5" s="1"/>
  <c r="F47" i="5" s="1"/>
  <c r="G47" i="5" s="1"/>
  <c r="K47" i="5"/>
  <c r="K48" i="5" s="1"/>
  <c r="L48" i="5" s="1"/>
  <c r="H31" i="5"/>
  <c r="I31" i="5" s="1"/>
  <c r="J31" i="5" s="1"/>
  <c r="G41" i="5"/>
  <c r="H41" i="5" s="1"/>
  <c r="I41" i="5" s="1"/>
  <c r="J41" i="5" s="1"/>
  <c r="F37" i="5"/>
  <c r="D42" i="5"/>
  <c r="E42" i="5" s="1"/>
  <c r="F42" i="5" s="1"/>
  <c r="G42" i="5" s="1"/>
  <c r="D38" i="5"/>
  <c r="E38" i="5" s="1"/>
  <c r="H33" i="5"/>
  <c r="I33" i="5" s="1"/>
  <c r="J33" i="5" s="1"/>
  <c r="G30" i="5"/>
  <c r="H30" i="5" s="1"/>
  <c r="J24" i="5"/>
  <c r="F22" i="5"/>
  <c r="H27" i="5"/>
  <c r="I27" i="5" s="1"/>
  <c r="J27" i="5" s="1"/>
  <c r="H17" i="5"/>
  <c r="I17" i="5" s="1"/>
  <c r="J17" i="5" s="1"/>
  <c r="G34" i="5"/>
  <c r="H34" i="5" s="1"/>
  <c r="I34" i="5" s="1"/>
  <c r="I13" i="5"/>
  <c r="J13" i="5" s="1"/>
  <c r="H14" i="5"/>
  <c r="I14" i="5" s="1"/>
  <c r="J14" i="5" s="1"/>
  <c r="HL15" i="2"/>
  <c r="S440" i="20"/>
  <c r="HL20" i="2"/>
  <c r="HL16" i="2"/>
  <c r="HL19" i="2"/>
  <c r="HL17" i="2"/>
  <c r="HL18" i="2" l="1"/>
  <c r="HN12" i="2"/>
  <c r="R440" i="20"/>
  <c r="Q440" i="20" s="1"/>
  <c r="P440" i="20" s="1"/>
  <c r="O441" i="20"/>
  <c r="C48" i="5"/>
  <c r="L47" i="5"/>
  <c r="H47" i="5"/>
  <c r="I47" i="5" s="1"/>
  <c r="J47" i="5" s="1"/>
  <c r="F38" i="5"/>
  <c r="H42" i="5"/>
  <c r="I42" i="5" s="1"/>
  <c r="J42" i="5" s="1"/>
  <c r="G37" i="5"/>
  <c r="H37" i="5" s="1"/>
  <c r="D43" i="5"/>
  <c r="E43" i="5" s="1"/>
  <c r="I30" i="5"/>
  <c r="J30" i="5" s="1"/>
  <c r="G22" i="5"/>
  <c r="H22" i="5" s="1"/>
  <c r="I22" i="5" s="1"/>
  <c r="J34" i="5"/>
  <c r="HM19" i="2"/>
  <c r="HM15" i="2"/>
  <c r="S441" i="20"/>
  <c r="HM20" i="2"/>
  <c r="HM17" i="2"/>
  <c r="HM16" i="2"/>
  <c r="HM18" i="2" l="1"/>
  <c r="HO12" i="2"/>
  <c r="R441" i="20"/>
  <c r="Q441" i="20" s="1"/>
  <c r="P441" i="20" s="1"/>
  <c r="O442" i="20"/>
  <c r="I37" i="5"/>
  <c r="J37" i="5" s="1"/>
  <c r="G38" i="5"/>
  <c r="H38" i="5" s="1"/>
  <c r="F43" i="5"/>
  <c r="G43" i="5" s="1"/>
  <c r="H43" i="5" s="1"/>
  <c r="J22" i="5"/>
  <c r="HN17" i="2"/>
  <c r="HN19" i="2"/>
  <c r="HN16" i="2"/>
  <c r="S442" i="20"/>
  <c r="HN15" i="2"/>
  <c r="HN20" i="2"/>
  <c r="HN18" i="2" l="1"/>
  <c r="HP12" i="2"/>
  <c r="R442" i="20"/>
  <c r="Q442" i="20" s="1"/>
  <c r="P442" i="20" s="1"/>
  <c r="O443" i="20"/>
  <c r="I38" i="5"/>
  <c r="J38" i="5" s="1"/>
  <c r="I43" i="5"/>
  <c r="J43" i="5" s="1"/>
  <c r="HO16" i="2"/>
  <c r="HO17" i="2"/>
  <c r="S443" i="20"/>
  <c r="HO15" i="2"/>
  <c r="HO20" i="2"/>
  <c r="HO19" i="2"/>
  <c r="HO18" i="2" l="1"/>
  <c r="HQ12" i="2"/>
  <c r="R443" i="20"/>
  <c r="Q443" i="20" s="1"/>
  <c r="P443" i="20" s="1"/>
  <c r="O444" i="20"/>
  <c r="A7" i="2"/>
  <c r="J5" i="2" s="1"/>
  <c r="A10" i="2"/>
  <c r="J8" i="2" s="1"/>
  <c r="A22" i="2"/>
  <c r="A31" i="2" s="1"/>
  <c r="HP20" i="2"/>
  <c r="S444" i="20"/>
  <c r="HP16" i="2"/>
  <c r="HP19" i="2"/>
  <c r="HP15" i="2"/>
  <c r="HP17" i="2"/>
  <c r="HP18" i="2" l="1"/>
  <c r="HR12" i="2"/>
  <c r="R444" i="20"/>
  <c r="Q444" i="20" s="1"/>
  <c r="P444" i="20" s="1"/>
  <c r="O445" i="20"/>
  <c r="A34" i="2"/>
  <c r="J32" i="2" s="1"/>
  <c r="J29" i="2"/>
  <c r="J20" i="2"/>
  <c r="A25" i="2"/>
  <c r="A13" i="2"/>
  <c r="J11" i="2" s="1"/>
  <c r="HQ15" i="2"/>
  <c r="S445" i="20"/>
  <c r="HQ20" i="2"/>
  <c r="HQ19" i="2"/>
  <c r="HQ16" i="2"/>
  <c r="HQ17" i="2"/>
  <c r="HQ18" i="2" l="1"/>
  <c r="HS12" i="2"/>
  <c r="R445" i="20"/>
  <c r="Q445" i="20" s="1"/>
  <c r="P445" i="20" s="1"/>
  <c r="O446" i="20"/>
  <c r="J23" i="2"/>
  <c r="A28" i="2"/>
  <c r="A16" i="2"/>
  <c r="A37" i="2"/>
  <c r="HR20" i="2"/>
  <c r="HR19" i="2"/>
  <c r="G34" i="2"/>
  <c r="HR15" i="2"/>
  <c r="S446" i="20"/>
  <c r="HR16" i="2"/>
  <c r="HR17" i="2"/>
  <c r="HR18" i="2" l="1"/>
  <c r="HT12" i="2"/>
  <c r="R446" i="20"/>
  <c r="Q446" i="20" s="1"/>
  <c r="P446" i="20" s="1"/>
  <c r="O447" i="20"/>
  <c r="J26" i="2"/>
  <c r="G31" i="2"/>
  <c r="G32" i="2" s="1"/>
  <c r="G33" i="2" s="1"/>
  <c r="A40" i="2"/>
  <c r="J35" i="2"/>
  <c r="A19" i="2"/>
  <c r="J17" i="2" s="1"/>
  <c r="J14" i="2"/>
  <c r="HS16" i="2"/>
  <c r="HS15" i="2"/>
  <c r="HS20" i="2"/>
  <c r="S447" i="20"/>
  <c r="HS19" i="2"/>
  <c r="HS17" i="2"/>
  <c r="HS18" i="2" l="1"/>
  <c r="HU12" i="2"/>
  <c r="R447" i="20"/>
  <c r="Q447" i="20" s="1"/>
  <c r="P447" i="20" s="1"/>
  <c r="O448" i="20"/>
  <c r="A43" i="2"/>
  <c r="J38" i="2"/>
  <c r="D172" i="5"/>
  <c r="S448" i="20"/>
  <c r="HT15" i="2"/>
  <c r="HT20" i="2"/>
  <c r="HT17" i="2"/>
  <c r="HT16" i="2"/>
  <c r="HT19" i="2"/>
  <c r="HT18" i="2" l="1"/>
  <c r="HV12" i="2"/>
  <c r="R448" i="20"/>
  <c r="Q448" i="20" s="1"/>
  <c r="P448" i="20" s="1"/>
  <c r="O449" i="20"/>
  <c r="A46" i="2"/>
  <c r="J44" i="2" s="1"/>
  <c r="J41" i="2"/>
  <c r="E172" i="5"/>
  <c r="F172" i="5" s="1"/>
  <c r="HU20" i="2"/>
  <c r="HU19" i="2"/>
  <c r="S449" i="20"/>
  <c r="HU17" i="2"/>
  <c r="HU15" i="2"/>
  <c r="HU16" i="2"/>
  <c r="HU18" i="2" l="1"/>
  <c r="HW12" i="2"/>
  <c r="R449" i="20"/>
  <c r="Q449" i="20" s="1"/>
  <c r="P449" i="20" s="1"/>
  <c r="O450" i="20"/>
  <c r="A49" i="2"/>
  <c r="G172" i="5"/>
  <c r="D176" i="5"/>
  <c r="E176" i="5" s="1"/>
  <c r="HV20" i="2"/>
  <c r="HV19" i="2"/>
  <c r="HV17" i="2"/>
  <c r="S450" i="20"/>
  <c r="HV15" i="2"/>
  <c r="HV16" i="2"/>
  <c r="HV18" i="2" l="1"/>
  <c r="HX12" i="2"/>
  <c r="R450" i="20"/>
  <c r="Q450" i="20" s="1"/>
  <c r="P450" i="20" s="1"/>
  <c r="O451" i="20"/>
  <c r="J47" i="2"/>
  <c r="G3" i="2" s="1"/>
  <c r="D175" i="5"/>
  <c r="E175" i="5" s="1"/>
  <c r="F176" i="5"/>
  <c r="G176" i="5" s="1"/>
  <c r="D177" i="5"/>
  <c r="HW16" i="2"/>
  <c r="S451" i="20"/>
  <c r="HW17" i="2"/>
  <c r="HW19" i="2"/>
  <c r="HW20" i="2"/>
  <c r="HW15" i="2"/>
  <c r="HW18" i="2" l="1"/>
  <c r="HY12" i="2"/>
  <c r="R451" i="20"/>
  <c r="Q451" i="20" s="1"/>
  <c r="P451" i="20" s="1"/>
  <c r="O452" i="20"/>
  <c r="G27" i="2"/>
  <c r="D179" i="5"/>
  <c r="F175" i="5"/>
  <c r="G175" i="5" s="1"/>
  <c r="E177" i="5"/>
  <c r="F177" i="5" s="1"/>
  <c r="D178" i="5"/>
  <c r="E178" i="5" s="1"/>
  <c r="HX15" i="2"/>
  <c r="HX17" i="2"/>
  <c r="HX20" i="2"/>
  <c r="S452" i="20"/>
  <c r="HX19" i="2"/>
  <c r="HX16" i="2"/>
  <c r="HX18" i="2" l="1"/>
  <c r="HZ12" i="2"/>
  <c r="R452" i="20"/>
  <c r="Q452" i="20" s="1"/>
  <c r="P452" i="20" s="1"/>
  <c r="O453" i="20"/>
  <c r="H7" i="2"/>
  <c r="I26" i="2"/>
  <c r="I27" i="2"/>
  <c r="I28" i="2"/>
  <c r="F178" i="5"/>
  <c r="G178" i="5" s="1"/>
  <c r="G177" i="5"/>
  <c r="D180" i="5"/>
  <c r="E179" i="5"/>
  <c r="HY15" i="2"/>
  <c r="HY16" i="2"/>
  <c r="HY19" i="2"/>
  <c r="HY20" i="2"/>
  <c r="S453" i="20"/>
  <c r="HY17" i="2"/>
  <c r="HY18" i="2" l="1"/>
  <c r="IA12" i="2"/>
  <c r="R453" i="20"/>
  <c r="O454" i="20"/>
  <c r="E180" i="5"/>
  <c r="F180" i="5" s="1"/>
  <c r="F179" i="5"/>
  <c r="G179" i="5" s="1"/>
  <c r="HZ16" i="2"/>
  <c r="S454" i="20"/>
  <c r="HZ19" i="2"/>
  <c r="HZ15" i="2"/>
  <c r="HZ17" i="2"/>
  <c r="HZ20" i="2"/>
  <c r="HZ18" i="2" l="1"/>
  <c r="IB12" i="2"/>
  <c r="R454" i="20"/>
  <c r="Q454" i="20" s="1"/>
  <c r="P454" i="20" s="1"/>
  <c r="O455" i="20"/>
  <c r="Q453" i="20"/>
  <c r="P453" i="20" s="1"/>
  <c r="G180" i="5"/>
  <c r="IA15" i="2"/>
  <c r="S455" i="20"/>
  <c r="IA19" i="2"/>
  <c r="IA17" i="2"/>
  <c r="IA20" i="2"/>
  <c r="IA16" i="2"/>
  <c r="IA18" i="2" l="1"/>
  <c r="IC12" i="2"/>
  <c r="R455" i="20"/>
  <c r="Q455" i="20" s="1"/>
  <c r="P455" i="20" s="1"/>
  <c r="O456" i="20"/>
  <c r="G207" i="5"/>
  <c r="IB19" i="2"/>
  <c r="IB20" i="2"/>
  <c r="S456" i="20"/>
  <c r="IB16" i="2"/>
  <c r="IB17" i="2"/>
  <c r="IB15" i="2"/>
  <c r="IB18" i="2" l="1"/>
  <c r="ID12" i="2"/>
  <c r="O457" i="20"/>
  <c r="R456" i="20"/>
  <c r="Q456" i="20" s="1"/>
  <c r="P456" i="20" s="1"/>
  <c r="D208" i="5"/>
  <c r="E208" i="5" s="1"/>
  <c r="IC20" i="2"/>
  <c r="S457" i="20"/>
  <c r="IC16" i="2"/>
  <c r="IC17" i="2"/>
  <c r="IC19" i="2"/>
  <c r="IC15" i="2"/>
  <c r="IC18" i="2" l="1"/>
  <c r="IE12" i="2"/>
  <c r="R457" i="20"/>
  <c r="Q457" i="20" s="1"/>
  <c r="P457" i="20" s="1"/>
  <c r="O458" i="20"/>
  <c r="F208" i="5"/>
  <c r="G208" i="5" s="1"/>
  <c r="D210" i="5"/>
  <c r="E210" i="5" s="1"/>
  <c r="C212" i="5"/>
  <c r="D209" i="5"/>
  <c r="E209" i="5" s="1"/>
  <c r="F209" i="5" s="1"/>
  <c r="G209" i="5" s="1"/>
  <c r="C213" i="5"/>
  <c r="ID19" i="2"/>
  <c r="ID17" i="2"/>
  <c r="ID20" i="2"/>
  <c r="S458" i="20"/>
  <c r="ID16" i="2"/>
  <c r="ID15" i="2"/>
  <c r="ID18" i="2" l="1"/>
  <c r="IF12" i="2"/>
  <c r="R458" i="20"/>
  <c r="Q458" i="20" s="1"/>
  <c r="P458" i="20" s="1"/>
  <c r="O459" i="20"/>
  <c r="F210" i="5"/>
  <c r="G210" i="5" s="1"/>
  <c r="D213" i="5"/>
  <c r="E213" i="5" s="1"/>
  <c r="C214" i="5"/>
  <c r="D212" i="5"/>
  <c r="E212" i="5" s="1"/>
  <c r="S206" i="5"/>
  <c r="T206" i="5" s="1"/>
  <c r="C215" i="5"/>
  <c r="IE17" i="2"/>
  <c r="IE16" i="2"/>
  <c r="IE19" i="2"/>
  <c r="S459" i="20"/>
  <c r="IE15" i="2"/>
  <c r="IE20" i="2"/>
  <c r="IE18" i="2" l="1"/>
  <c r="IG12" i="2"/>
  <c r="R459" i="20"/>
  <c r="Q459" i="20" s="1"/>
  <c r="P459" i="20" s="1"/>
  <c r="O460" i="20"/>
  <c r="F212" i="5"/>
  <c r="G212" i="5" s="1"/>
  <c r="D214" i="5"/>
  <c r="U206" i="5"/>
  <c r="F213" i="5"/>
  <c r="G213" i="5" s="1"/>
  <c r="S210" i="5"/>
  <c r="T210" i="5" s="1"/>
  <c r="R212" i="5"/>
  <c r="R213" i="5"/>
  <c r="S460" i="20"/>
  <c r="IF20" i="2"/>
  <c r="IF17" i="2"/>
  <c r="IF15" i="2"/>
  <c r="IF19" i="2"/>
  <c r="IF16" i="2"/>
  <c r="IF18" i="2" l="1"/>
  <c r="IH12" i="2"/>
  <c r="R460" i="20"/>
  <c r="Q460" i="20" s="1"/>
  <c r="P460" i="20" s="1"/>
  <c r="O461" i="20"/>
  <c r="D215" i="5"/>
  <c r="E215" i="5" s="1"/>
  <c r="F215" i="5" s="1"/>
  <c r="C217" i="5"/>
  <c r="E214" i="5"/>
  <c r="S209" i="5"/>
  <c r="U210" i="5"/>
  <c r="V210" i="5" s="1"/>
  <c r="S212" i="5"/>
  <c r="T212" i="5" s="1"/>
  <c r="U212" i="5" s="1"/>
  <c r="IG17" i="2"/>
  <c r="S461" i="20"/>
  <c r="IG16" i="2"/>
  <c r="IG15" i="2"/>
  <c r="IG19" i="2"/>
  <c r="IG20" i="2"/>
  <c r="IG18" i="2" l="1"/>
  <c r="II12" i="2"/>
  <c r="R461" i="20"/>
  <c r="Q461" i="20" s="1"/>
  <c r="P461" i="20" s="1"/>
  <c r="O462" i="20"/>
  <c r="S213" i="5"/>
  <c r="T213" i="5" s="1"/>
  <c r="U213" i="5" s="1"/>
  <c r="V213" i="5" s="1"/>
  <c r="R214" i="5"/>
  <c r="G215" i="5"/>
  <c r="T209" i="5"/>
  <c r="U209" i="5" s="1"/>
  <c r="D217" i="5"/>
  <c r="E217" i="5" s="1"/>
  <c r="F214" i="5"/>
  <c r="G214" i="5" s="1"/>
  <c r="V212" i="5"/>
  <c r="V206" i="5"/>
  <c r="IH15" i="2"/>
  <c r="IH20" i="2"/>
  <c r="IH17" i="2"/>
  <c r="IH19" i="2"/>
  <c r="IH16" i="2"/>
  <c r="S462" i="20"/>
  <c r="IH18" i="2" l="1"/>
  <c r="IJ12" i="2"/>
  <c r="R462" i="20"/>
  <c r="Q462" i="20" s="1"/>
  <c r="P462" i="20" s="1"/>
  <c r="O463" i="20"/>
  <c r="S214" i="5"/>
  <c r="T214" i="5" s="1"/>
  <c r="U214" i="5" s="1"/>
  <c r="F217" i="5"/>
  <c r="G217" i="5" s="1"/>
  <c r="V209" i="5"/>
  <c r="R215" i="5"/>
  <c r="II17" i="2"/>
  <c r="S463" i="20"/>
  <c r="II16" i="2"/>
  <c r="II20" i="2"/>
  <c r="II19" i="2"/>
  <c r="II15" i="2"/>
  <c r="II18" i="2" l="1"/>
  <c r="IK12" i="2"/>
  <c r="R463" i="20"/>
  <c r="Q463" i="20" s="1"/>
  <c r="P463" i="20" s="1"/>
  <c r="O464" i="20"/>
  <c r="V214" i="5"/>
  <c r="S215" i="5"/>
  <c r="T215" i="5" s="1"/>
  <c r="IJ19" i="2"/>
  <c r="IJ17" i="2"/>
  <c r="S464" i="20"/>
  <c r="IJ16" i="2"/>
  <c r="IJ15" i="2"/>
  <c r="IJ20" i="2"/>
  <c r="IJ18" i="2" l="1"/>
  <c r="IL12" i="2"/>
  <c r="R464" i="20"/>
  <c r="Q464" i="20" s="1"/>
  <c r="P464" i="20" s="1"/>
  <c r="O465" i="20"/>
  <c r="U215" i="5"/>
  <c r="V215" i="5" s="1"/>
  <c r="IK19" i="2"/>
  <c r="IK20" i="2"/>
  <c r="IK16" i="2"/>
  <c r="IK15" i="2"/>
  <c r="S465" i="20"/>
  <c r="IK17" i="2"/>
  <c r="IK18" i="2" l="1"/>
  <c r="IM12" i="2"/>
  <c r="R465" i="20"/>
  <c r="Q465" i="20" s="1"/>
  <c r="P465" i="20" s="1"/>
  <c r="O466" i="20"/>
  <c r="T444" i="5"/>
  <c r="AB443" i="5"/>
  <c r="IL17" i="2"/>
  <c r="IL15" i="2"/>
  <c r="AB455" i="5"/>
  <c r="IL20" i="2"/>
  <c r="IL19" i="2"/>
  <c r="S466" i="20"/>
  <c r="AB450" i="5"/>
  <c r="IL16" i="2"/>
  <c r="IL18" i="2" l="1"/>
  <c r="IN12" i="2"/>
  <c r="O467" i="20"/>
  <c r="R466" i="20"/>
  <c r="Q466" i="20" s="1"/>
  <c r="P466" i="20" s="1"/>
  <c r="AC450" i="5"/>
  <c r="AD450" i="5" s="1"/>
  <c r="AC455" i="5"/>
  <c r="AD455" i="5" s="1"/>
  <c r="T443" i="5"/>
  <c r="T450" i="5"/>
  <c r="IM20" i="2"/>
  <c r="IM16" i="2"/>
  <c r="S467" i="20"/>
  <c r="IM19" i="2"/>
  <c r="IM15" i="2"/>
  <c r="T454" i="5"/>
  <c r="T451" i="5"/>
  <c r="AB451" i="5"/>
  <c r="IM17" i="2"/>
  <c r="IM18" i="2" l="1"/>
  <c r="IO12" i="2"/>
  <c r="R467" i="20"/>
  <c r="O468" i="20"/>
  <c r="AE450" i="5"/>
  <c r="AF450" i="5" s="1"/>
  <c r="AC451" i="5"/>
  <c r="AD451" i="5" s="1"/>
  <c r="AE451" i="5" s="1"/>
  <c r="AF451" i="5" s="1"/>
  <c r="U451" i="5"/>
  <c r="V451" i="5" s="1"/>
  <c r="W451" i="5" s="1"/>
  <c r="T455" i="5"/>
  <c r="U454" i="5"/>
  <c r="U450" i="5"/>
  <c r="V450" i="5" s="1"/>
  <c r="U443" i="5"/>
  <c r="V443" i="5" s="1"/>
  <c r="AE455" i="5"/>
  <c r="AF455" i="5" s="1"/>
  <c r="IN16" i="2"/>
  <c r="IN15" i="2"/>
  <c r="IN19" i="2"/>
  <c r="AB460" i="5"/>
  <c r="S468" i="20"/>
  <c r="IN17" i="2"/>
  <c r="IN20" i="2"/>
  <c r="IN18" i="2" l="1"/>
  <c r="IP12" i="2"/>
  <c r="R468" i="20"/>
  <c r="O469" i="20"/>
  <c r="Q467" i="20"/>
  <c r="P467" i="20" s="1"/>
  <c r="AC460" i="5"/>
  <c r="AD460" i="5" s="1"/>
  <c r="AE460" i="5" s="1"/>
  <c r="AB462" i="5"/>
  <c r="W450" i="5"/>
  <c r="X450" i="5" s="1"/>
  <c r="V454" i="5"/>
  <c r="W454" i="5" s="1"/>
  <c r="X454" i="5" s="1"/>
  <c r="X451" i="5"/>
  <c r="W443" i="5"/>
  <c r="X443" i="5" s="1"/>
  <c r="U455" i="5"/>
  <c r="T459" i="5"/>
  <c r="IO15" i="2"/>
  <c r="IO16" i="2"/>
  <c r="IO17" i="2"/>
  <c r="IO20" i="2"/>
  <c r="S469" i="20"/>
  <c r="IO19" i="2"/>
  <c r="IO18" i="2" l="1"/>
  <c r="IQ12" i="2"/>
  <c r="R469" i="20"/>
  <c r="Q469" i="20" s="1"/>
  <c r="P469" i="20" s="1"/>
  <c r="O470" i="20"/>
  <c r="Q468" i="20"/>
  <c r="P468" i="20" s="1"/>
  <c r="AB465" i="5"/>
  <c r="AC462" i="5"/>
  <c r="AD462" i="5" s="1"/>
  <c r="AE462" i="5" s="1"/>
  <c r="AF462" i="5" s="1"/>
  <c r="AF460" i="5"/>
  <c r="V455" i="5"/>
  <c r="W455" i="5" s="1"/>
  <c r="U459" i="5"/>
  <c r="V459" i="5" s="1"/>
  <c r="T462" i="5"/>
  <c r="IP20" i="2"/>
  <c r="IP19" i="2"/>
  <c r="IP16" i="2"/>
  <c r="IP15" i="2"/>
  <c r="S470" i="20"/>
  <c r="IP17" i="2"/>
  <c r="IP18" i="2" l="1"/>
  <c r="IR12" i="2"/>
  <c r="R470" i="20"/>
  <c r="Q470" i="20" s="1"/>
  <c r="P470" i="20" s="1"/>
  <c r="O471" i="20"/>
  <c r="AC465" i="5"/>
  <c r="T465" i="5"/>
  <c r="U465" i="5" s="1"/>
  <c r="V465" i="5" s="1"/>
  <c r="W459" i="5"/>
  <c r="X459" i="5" s="1"/>
  <c r="U462" i="5"/>
  <c r="X455" i="5"/>
  <c r="IQ17" i="2"/>
  <c r="IQ20" i="2"/>
  <c r="IQ19" i="2"/>
  <c r="IQ15" i="2"/>
  <c r="IQ16" i="2"/>
  <c r="S471" i="20"/>
  <c r="IQ18" i="2" l="1"/>
  <c r="IS12" i="2"/>
  <c r="R471" i="20"/>
  <c r="Q471" i="20" s="1"/>
  <c r="P471" i="20" s="1"/>
  <c r="O472" i="20"/>
  <c r="W465" i="5"/>
  <c r="X465" i="5" s="1"/>
  <c r="AD465" i="5"/>
  <c r="AE465" i="5" s="1"/>
  <c r="AF465" i="5" s="1"/>
  <c r="V462" i="5"/>
  <c r="W462" i="5" s="1"/>
  <c r="IR15" i="2"/>
  <c r="IR16" i="2"/>
  <c r="IR19" i="2"/>
  <c r="IR20" i="2"/>
  <c r="S472" i="20"/>
  <c r="IR17" i="2"/>
  <c r="IR18" i="2" l="1"/>
  <c r="IT12" i="2"/>
  <c r="R472" i="20"/>
  <c r="O473" i="20"/>
  <c r="X462" i="5"/>
  <c r="IS19" i="2"/>
  <c r="S473" i="20"/>
  <c r="IS16" i="2"/>
  <c r="IS17" i="2"/>
  <c r="IS15" i="2"/>
  <c r="IS20" i="2"/>
  <c r="IS18" i="2" l="1"/>
  <c r="IU12" i="2"/>
  <c r="O474" i="20"/>
  <c r="R473" i="20"/>
  <c r="Q472" i="20"/>
  <c r="P472" i="20" s="1"/>
  <c r="T326" i="5"/>
  <c r="IT20" i="2"/>
  <c r="R334" i="5"/>
  <c r="IT19" i="2"/>
  <c r="R328" i="5"/>
  <c r="R355" i="5"/>
  <c r="IT16" i="2"/>
  <c r="R329" i="5"/>
  <c r="V349" i="5"/>
  <c r="R336" i="5"/>
  <c r="IT17" i="2"/>
  <c r="S474" i="20"/>
  <c r="IT15" i="2"/>
  <c r="V337" i="5"/>
  <c r="IT18" i="2" l="1"/>
  <c r="IV12" i="2"/>
  <c r="Q473" i="20"/>
  <c r="P473" i="20" s="1"/>
  <c r="O475" i="20"/>
  <c r="R474" i="20"/>
  <c r="D328" i="5"/>
  <c r="E328" i="5" s="1"/>
  <c r="D336" i="5"/>
  <c r="E336" i="5" s="1"/>
  <c r="D334" i="5"/>
  <c r="E334" i="5" s="1"/>
  <c r="D329" i="5"/>
  <c r="E329" i="5" s="1"/>
  <c r="F329" i="5" s="1"/>
  <c r="D355" i="5"/>
  <c r="E355" i="5" s="1"/>
  <c r="F355" i="5" s="1"/>
  <c r="S328" i="5"/>
  <c r="S334" i="5"/>
  <c r="S355" i="5"/>
  <c r="T355" i="5" s="1"/>
  <c r="U355" i="5" s="1"/>
  <c r="S336" i="5"/>
  <c r="T336" i="5" s="1"/>
  <c r="U336" i="5" s="1"/>
  <c r="S329" i="5"/>
  <c r="T329" i="5" s="1"/>
  <c r="U329" i="5" s="1"/>
  <c r="V338" i="5"/>
  <c r="R330" i="5"/>
  <c r="IU17" i="2"/>
  <c r="S475" i="20"/>
  <c r="IU16" i="2"/>
  <c r="IU15" i="2"/>
  <c r="IU19" i="2"/>
  <c r="IU20" i="2"/>
  <c r="IU18" i="2" l="1"/>
  <c r="IW12" i="2"/>
  <c r="Q474" i="20"/>
  <c r="P474" i="20" s="1"/>
  <c r="O476" i="20"/>
  <c r="R475" i="20"/>
  <c r="Q475" i="20" s="1"/>
  <c r="P475" i="20" s="1"/>
  <c r="F336" i="5"/>
  <c r="D330" i="5"/>
  <c r="E330" i="5" s="1"/>
  <c r="F330" i="5" s="1"/>
  <c r="S330" i="5"/>
  <c r="T330" i="5" s="1"/>
  <c r="U330" i="5" s="1"/>
  <c r="F334" i="5"/>
  <c r="F328" i="5"/>
  <c r="T334" i="5"/>
  <c r="U334" i="5" s="1"/>
  <c r="T328" i="5"/>
  <c r="U328" i="5" s="1"/>
  <c r="IV16" i="2"/>
  <c r="S476" i="20"/>
  <c r="IV19" i="2"/>
  <c r="IV15" i="2"/>
  <c r="IV20" i="2"/>
  <c r="IV17" i="2"/>
  <c r="R331" i="5"/>
  <c r="IV18" i="2" l="1"/>
  <c r="IX12" i="2"/>
  <c r="O477" i="20"/>
  <c r="R476" i="20"/>
  <c r="Q476" i="20" s="1"/>
  <c r="P476" i="20" s="1"/>
  <c r="R332" i="5"/>
  <c r="S332" i="5" s="1"/>
  <c r="R333" i="5"/>
  <c r="S333" i="5" s="1"/>
  <c r="T333" i="5" s="1"/>
  <c r="U333" i="5" s="1"/>
  <c r="S331" i="5"/>
  <c r="T331" i="5" s="1"/>
  <c r="C333" i="5"/>
  <c r="D331" i="5"/>
  <c r="E331" i="5" s="1"/>
  <c r="C337" i="5"/>
  <c r="S477" i="20"/>
  <c r="IW20" i="2"/>
  <c r="IW15" i="2"/>
  <c r="IW17" i="2"/>
  <c r="IW16" i="2"/>
  <c r="IW19" i="2"/>
  <c r="IW18" i="2" l="1"/>
  <c r="IY12" i="2"/>
  <c r="R477" i="20"/>
  <c r="Q477" i="20" s="1"/>
  <c r="P477" i="20" s="1"/>
  <c r="O478" i="20"/>
  <c r="D333" i="5"/>
  <c r="E333" i="5" s="1"/>
  <c r="F333" i="5" s="1"/>
  <c r="T332" i="5"/>
  <c r="U332" i="5" s="1"/>
  <c r="D332" i="5"/>
  <c r="E332" i="5" s="1"/>
  <c r="F332" i="5" s="1"/>
  <c r="U331" i="5"/>
  <c r="F331" i="5"/>
  <c r="D337" i="5"/>
  <c r="E337" i="5" s="1"/>
  <c r="F337" i="5" s="1"/>
  <c r="C335" i="5"/>
  <c r="R335" i="5"/>
  <c r="S478" i="20"/>
  <c r="R338" i="5"/>
  <c r="IX20" i="2"/>
  <c r="IX19" i="2"/>
  <c r="R337" i="5"/>
  <c r="IX16" i="2"/>
  <c r="IX15" i="2"/>
  <c r="IX17" i="2"/>
  <c r="IX18" i="2" l="1"/>
  <c r="IZ12" i="2"/>
  <c r="R478" i="20"/>
  <c r="Q478" i="20" s="1"/>
  <c r="P478" i="20" s="1"/>
  <c r="O479" i="20"/>
  <c r="S335" i="5"/>
  <c r="T335" i="5" s="1"/>
  <c r="U335" i="5" s="1"/>
  <c r="S337" i="5"/>
  <c r="T337" i="5" s="1"/>
  <c r="D335" i="5"/>
  <c r="E335" i="5" s="1"/>
  <c r="F335" i="5" s="1"/>
  <c r="R340" i="5"/>
  <c r="S340" i="5" s="1"/>
  <c r="T340" i="5" s="1"/>
  <c r="U340" i="5" s="1"/>
  <c r="R339" i="5"/>
  <c r="S339" i="5" s="1"/>
  <c r="T339" i="5" s="1"/>
  <c r="U339" i="5" s="1"/>
  <c r="S338" i="5"/>
  <c r="T338" i="5" s="1"/>
  <c r="U338" i="5" s="1"/>
  <c r="R342" i="5"/>
  <c r="R348" i="5" s="1"/>
  <c r="C338" i="5"/>
  <c r="IY19" i="2"/>
  <c r="IY20" i="2"/>
  <c r="IY16" i="2"/>
  <c r="IY15" i="2"/>
  <c r="IY17" i="2"/>
  <c r="S479" i="20"/>
  <c r="IY18" i="2" l="1"/>
  <c r="JA12" i="2"/>
  <c r="R479" i="20"/>
  <c r="O480" i="20"/>
  <c r="C339" i="5"/>
  <c r="C340" i="5"/>
  <c r="C342" i="5"/>
  <c r="U337" i="5"/>
  <c r="D338" i="5"/>
  <c r="E338" i="5" s="1"/>
  <c r="F338" i="5" s="1"/>
  <c r="S342" i="5"/>
  <c r="T342" i="5" s="1"/>
  <c r="U342" i="5" s="1"/>
  <c r="S348" i="5"/>
  <c r="T348" i="5" s="1"/>
  <c r="C341" i="5"/>
  <c r="IZ17" i="2"/>
  <c r="IZ15" i="2"/>
  <c r="IZ16" i="2"/>
  <c r="R341" i="5"/>
  <c r="S480" i="20"/>
  <c r="IZ19" i="2"/>
  <c r="IZ20" i="2"/>
  <c r="IZ18" i="2" l="1"/>
  <c r="JB12" i="2"/>
  <c r="O481" i="20"/>
  <c r="R480" i="20"/>
  <c r="Q480" i="20" s="1"/>
  <c r="P480" i="20" s="1"/>
  <c r="Q479" i="20"/>
  <c r="P479" i="20" s="1"/>
  <c r="D340" i="5"/>
  <c r="E340" i="5" s="1"/>
  <c r="F340" i="5" s="1"/>
  <c r="D339" i="5"/>
  <c r="E339" i="5" s="1"/>
  <c r="F339" i="5" s="1"/>
  <c r="S341" i="5"/>
  <c r="T341" i="5" s="1"/>
  <c r="U341" i="5" s="1"/>
  <c r="D342" i="5"/>
  <c r="E342" i="5" s="1"/>
  <c r="F342" i="5" s="1"/>
  <c r="D341" i="5"/>
  <c r="E341" i="5" s="1"/>
  <c r="F341" i="5" s="1"/>
  <c r="U348" i="5"/>
  <c r="C343" i="5"/>
  <c r="JA17" i="2"/>
  <c r="JA19" i="2"/>
  <c r="JA16" i="2"/>
  <c r="JA15" i="2"/>
  <c r="JA20" i="2"/>
  <c r="S481" i="20"/>
  <c r="R343" i="5"/>
  <c r="JA18" i="2" l="1"/>
  <c r="JC12" i="2"/>
  <c r="R481" i="20"/>
  <c r="O482" i="20"/>
  <c r="C346" i="5"/>
  <c r="R344" i="5"/>
  <c r="R349" i="5" s="1"/>
  <c r="S349" i="5" s="1"/>
  <c r="T349" i="5" s="1"/>
  <c r="U349" i="5" s="1"/>
  <c r="R346" i="5"/>
  <c r="S346" i="5" s="1"/>
  <c r="T346" i="5" s="1"/>
  <c r="U346" i="5" s="1"/>
  <c r="R345" i="5"/>
  <c r="S345" i="5" s="1"/>
  <c r="T345" i="5" s="1"/>
  <c r="U345" i="5" s="1"/>
  <c r="S343" i="5"/>
  <c r="T343" i="5" s="1"/>
  <c r="U343" i="5" s="1"/>
  <c r="C345" i="5"/>
  <c r="D345" i="5" s="1"/>
  <c r="E345" i="5" s="1"/>
  <c r="F345" i="5" s="1"/>
  <c r="C344" i="5"/>
  <c r="D343" i="5"/>
  <c r="E343" i="5" s="1"/>
  <c r="F343" i="5" s="1"/>
  <c r="C347" i="5"/>
  <c r="JB20" i="2"/>
  <c r="JB16" i="2"/>
  <c r="JB15" i="2"/>
  <c r="JB19" i="2"/>
  <c r="R352" i="5"/>
  <c r="S482" i="20"/>
  <c r="JB17" i="2"/>
  <c r="R350" i="5"/>
  <c r="JB18" i="2" l="1"/>
  <c r="JD12" i="2"/>
  <c r="O483" i="20"/>
  <c r="R482" i="20"/>
  <c r="Q482" i="20" s="1"/>
  <c r="P482" i="20" s="1"/>
  <c r="Q481" i="20"/>
  <c r="P481" i="20" s="1"/>
  <c r="C348" i="5"/>
  <c r="C349" i="5" s="1"/>
  <c r="S344" i="5"/>
  <c r="T344" i="5" s="1"/>
  <c r="U344" i="5" s="1"/>
  <c r="D347" i="5"/>
  <c r="E347" i="5" s="1"/>
  <c r="F347" i="5" s="1"/>
  <c r="D346" i="5"/>
  <c r="E346" i="5" s="1"/>
  <c r="F346" i="5" s="1"/>
  <c r="S352" i="5"/>
  <c r="T352" i="5" s="1"/>
  <c r="R354" i="5"/>
  <c r="S354" i="5" s="1"/>
  <c r="T354" i="5" s="1"/>
  <c r="S350" i="5"/>
  <c r="T350" i="5" s="1"/>
  <c r="U350" i="5" s="1"/>
  <c r="D344" i="5"/>
  <c r="E344" i="5" s="1"/>
  <c r="F344" i="5" s="1"/>
  <c r="C350" i="5"/>
  <c r="JC19" i="2"/>
  <c r="JC15" i="2"/>
  <c r="JC17" i="2"/>
  <c r="JC16" i="2"/>
  <c r="R351" i="5"/>
  <c r="S483" i="20"/>
  <c r="JC20" i="2"/>
  <c r="JC18" i="2" l="1"/>
  <c r="JE12" i="2"/>
  <c r="O484" i="20"/>
  <c r="R483" i="20"/>
  <c r="Q483" i="20" s="1"/>
  <c r="P483" i="20" s="1"/>
  <c r="D348" i="5"/>
  <c r="E348" i="5" s="1"/>
  <c r="F348" i="5" s="1"/>
  <c r="U352" i="5"/>
  <c r="S351" i="5"/>
  <c r="T351" i="5" s="1"/>
  <c r="U351" i="5" s="1"/>
  <c r="AR331" i="5"/>
  <c r="AS331" i="5" s="1"/>
  <c r="AT331" i="5" s="1"/>
  <c r="D349" i="5"/>
  <c r="E349" i="5" s="1"/>
  <c r="F349" i="5" s="1"/>
  <c r="U354" i="5"/>
  <c r="C351" i="5"/>
  <c r="C352" i="5"/>
  <c r="JD15" i="2"/>
  <c r="JD19" i="2"/>
  <c r="JD16" i="2"/>
  <c r="JD20" i="2"/>
  <c r="S484" i="20"/>
  <c r="JD17" i="2"/>
  <c r="JD18" i="2" l="1"/>
  <c r="JF12" i="2"/>
  <c r="R484" i="20"/>
  <c r="Q484" i="20" s="1"/>
  <c r="P484" i="20" s="1"/>
  <c r="O485" i="20"/>
  <c r="D350" i="5"/>
  <c r="E350" i="5" s="1"/>
  <c r="F350" i="5" s="1"/>
  <c r="D352" i="5"/>
  <c r="E352" i="5" s="1"/>
  <c r="F352" i="5" s="1"/>
  <c r="C354" i="5"/>
  <c r="D354" i="5" s="1"/>
  <c r="E354" i="5" s="1"/>
  <c r="F354" i="5" s="1"/>
  <c r="AU331" i="5"/>
  <c r="AV331" i="5" s="1"/>
  <c r="JE17" i="2"/>
  <c r="S485" i="20"/>
  <c r="JE20" i="2"/>
  <c r="JE19" i="2"/>
  <c r="JE15" i="2"/>
  <c r="JE16" i="2"/>
  <c r="JE18" i="2" l="1"/>
  <c r="JG12" i="2"/>
  <c r="R485" i="20"/>
  <c r="O486" i="20"/>
  <c r="D351" i="5"/>
  <c r="E351" i="5" s="1"/>
  <c r="F351" i="5" s="1"/>
  <c r="AR330" i="5"/>
  <c r="AR332" i="5" s="1"/>
  <c r="JF16" i="2"/>
  <c r="JF19" i="2"/>
  <c r="JF17" i="2"/>
  <c r="S486" i="20"/>
  <c r="JF15" i="2"/>
  <c r="JF20" i="2"/>
  <c r="JF18" i="2" l="1"/>
  <c r="JH12" i="2"/>
  <c r="R486" i="20"/>
  <c r="Q486" i="20" s="1"/>
  <c r="P486" i="20" s="1"/>
  <c r="O487" i="20"/>
  <c r="Q485" i="20"/>
  <c r="P485" i="20" s="1"/>
  <c r="AS330" i="5"/>
  <c r="AT330" i="5" s="1"/>
  <c r="AU330" i="5" s="1"/>
  <c r="AR334" i="5"/>
  <c r="AS334" i="5" s="1"/>
  <c r="AT334" i="5" s="1"/>
  <c r="AU334" i="5" s="1"/>
  <c r="AV334" i="5" s="1"/>
  <c r="AS332" i="5"/>
  <c r="AR342" i="5"/>
  <c r="AR333" i="5"/>
  <c r="AS333" i="5" s="1"/>
  <c r="AT333" i="5" s="1"/>
  <c r="JG17" i="2"/>
  <c r="S487" i="20"/>
  <c r="JG19" i="2"/>
  <c r="JG20" i="2"/>
  <c r="JG16" i="2"/>
  <c r="JG15" i="2"/>
  <c r="JG18" i="2" l="1"/>
  <c r="JI12" i="2"/>
  <c r="O488" i="20"/>
  <c r="R487" i="20"/>
  <c r="Q487" i="20" s="1"/>
  <c r="P487" i="20" s="1"/>
  <c r="AR335" i="5"/>
  <c r="AR336" i="5" s="1"/>
  <c r="AU333" i="5"/>
  <c r="AV333" i="5" s="1"/>
  <c r="AS342" i="5"/>
  <c r="AT342" i="5" s="1"/>
  <c r="AU342" i="5" s="1"/>
  <c r="AR343" i="5"/>
  <c r="AS343" i="5" s="1"/>
  <c r="AT343" i="5" s="1"/>
  <c r="AU343" i="5" s="1"/>
  <c r="AV330" i="5"/>
  <c r="AT332" i="5"/>
  <c r="AU332" i="5" s="1"/>
  <c r="AV332" i="5" s="1"/>
  <c r="JH19" i="2"/>
  <c r="JH17" i="2"/>
  <c r="JH16" i="2"/>
  <c r="JH20" i="2"/>
  <c r="S488" i="20"/>
  <c r="JH15" i="2"/>
  <c r="JH18" i="2" l="1"/>
  <c r="JJ12" i="2"/>
  <c r="O489" i="20"/>
  <c r="R488" i="20"/>
  <c r="Q488" i="20" s="1"/>
  <c r="P488" i="20" s="1"/>
  <c r="AS335" i="5"/>
  <c r="AT335" i="5" s="1"/>
  <c r="AU335" i="5" s="1"/>
  <c r="AV335" i="5" s="1"/>
  <c r="AV343" i="5"/>
  <c r="AS336" i="5"/>
  <c r="AT336" i="5" s="1"/>
  <c r="AU336" i="5" s="1"/>
  <c r="AV336" i="5" s="1"/>
  <c r="AC326" i="5"/>
  <c r="AV342" i="5"/>
  <c r="AA329" i="5"/>
  <c r="AR337" i="5"/>
  <c r="AA336" i="5"/>
  <c r="AE337" i="5"/>
  <c r="AA328" i="5"/>
  <c r="AE349" i="5"/>
  <c r="AA334" i="5"/>
  <c r="JI19" i="2"/>
  <c r="JI17" i="2"/>
  <c r="JI16" i="2"/>
  <c r="JI20" i="2"/>
  <c r="JI15" i="2"/>
  <c r="S489" i="20"/>
  <c r="JI18" i="2" l="1"/>
  <c r="JK12" i="2"/>
  <c r="O490" i="20"/>
  <c r="R489" i="20"/>
  <c r="AS337" i="5"/>
  <c r="AT337" i="5" s="1"/>
  <c r="AU337" i="5" s="1"/>
  <c r="AB328" i="5"/>
  <c r="AC328" i="5" s="1"/>
  <c r="AB336" i="5"/>
  <c r="AC336" i="5" s="1"/>
  <c r="AD336" i="5" s="1"/>
  <c r="AB334" i="5"/>
  <c r="AC334" i="5" s="1"/>
  <c r="AD334" i="5" s="1"/>
  <c r="AB329" i="5"/>
  <c r="AC329" i="5" s="1"/>
  <c r="AD329" i="5" s="1"/>
  <c r="JJ19" i="2"/>
  <c r="S490" i="20"/>
  <c r="AA330" i="5"/>
  <c r="JJ20" i="2"/>
  <c r="JJ16" i="2"/>
  <c r="JJ17" i="2"/>
  <c r="AE338" i="5"/>
  <c r="JJ15" i="2"/>
  <c r="JJ18" i="2" l="1"/>
  <c r="JL12" i="2"/>
  <c r="Q489" i="20"/>
  <c r="P489" i="20" s="1"/>
  <c r="R490" i="20"/>
  <c r="Q490" i="20" s="1"/>
  <c r="P490" i="20" s="1"/>
  <c r="O491" i="20"/>
  <c r="AB330" i="5"/>
  <c r="AC330" i="5" s="1"/>
  <c r="AD330" i="5" s="1"/>
  <c r="AV337" i="5"/>
  <c r="AD328" i="5"/>
  <c r="JK17" i="2"/>
  <c r="JK15" i="2"/>
  <c r="JK16" i="2"/>
  <c r="JK20" i="2"/>
  <c r="JK19" i="2"/>
  <c r="S491" i="20"/>
  <c r="AA331" i="5"/>
  <c r="JK18" i="2" l="1"/>
  <c r="JM12" i="2"/>
  <c r="R491" i="20"/>
  <c r="Q491" i="20" s="1"/>
  <c r="P491" i="20" s="1"/>
  <c r="O492" i="20"/>
  <c r="AA333" i="5"/>
  <c r="AB333" i="5" s="1"/>
  <c r="AC333" i="5" s="1"/>
  <c r="AD333" i="5" s="1"/>
  <c r="AB331" i="5"/>
  <c r="AC331" i="5" s="1"/>
  <c r="AD331" i="5" s="1"/>
  <c r="AA332" i="5"/>
  <c r="JL17" i="2"/>
  <c r="JL16" i="2"/>
  <c r="JL20" i="2"/>
  <c r="S492" i="20"/>
  <c r="JL15" i="2"/>
  <c r="JL19" i="2"/>
  <c r="AA337" i="5"/>
  <c r="JL18" i="2" l="1"/>
  <c r="JN12" i="2"/>
  <c r="R492" i="20"/>
  <c r="Q492" i="20" s="1"/>
  <c r="P492" i="20" s="1"/>
  <c r="O493" i="20"/>
  <c r="AB332" i="5"/>
  <c r="AC332" i="5" s="1"/>
  <c r="AD332" i="5" s="1"/>
  <c r="AB337" i="5"/>
  <c r="AC337" i="5" s="1"/>
  <c r="AD337" i="5" s="1"/>
  <c r="JM19" i="2"/>
  <c r="JM17" i="2"/>
  <c r="JM16" i="2"/>
  <c r="S493" i="20"/>
  <c r="JM20" i="2"/>
  <c r="AA335" i="5"/>
  <c r="JM15" i="2"/>
  <c r="JM18" i="2" l="1"/>
  <c r="JO12" i="2"/>
  <c r="R493" i="20"/>
  <c r="O494" i="20"/>
  <c r="AB335" i="5"/>
  <c r="AC335" i="5" s="1"/>
  <c r="AD335" i="5" s="1"/>
  <c r="JN15" i="2"/>
  <c r="JN19" i="2"/>
  <c r="JN17" i="2"/>
  <c r="JN16" i="2"/>
  <c r="JN20" i="2"/>
  <c r="AA338" i="5"/>
  <c r="S494" i="20"/>
  <c r="JN18" i="2" l="1"/>
  <c r="JP12" i="2"/>
  <c r="R494" i="20"/>
  <c r="Q494" i="20" s="1"/>
  <c r="P494" i="20" s="1"/>
  <c r="O495" i="20"/>
  <c r="Q493" i="20"/>
  <c r="P493" i="20" s="1"/>
  <c r="AA339" i="5"/>
  <c r="AB339" i="5" s="1"/>
  <c r="AC339" i="5" s="1"/>
  <c r="AD339" i="5" s="1"/>
  <c r="AA342" i="5"/>
  <c r="AA348" i="5" s="1"/>
  <c r="AB348" i="5" s="1"/>
  <c r="AC348" i="5" s="1"/>
  <c r="AD348" i="5" s="1"/>
  <c r="AA340" i="5"/>
  <c r="AB340" i="5" s="1"/>
  <c r="AC340" i="5" s="1"/>
  <c r="AD340" i="5" s="1"/>
  <c r="AB338" i="5"/>
  <c r="AC338" i="5" s="1"/>
  <c r="AD338" i="5" s="1"/>
  <c r="AK336" i="5"/>
  <c r="JO19" i="2"/>
  <c r="JO17" i="2"/>
  <c r="JO15" i="2"/>
  <c r="AK334" i="5"/>
  <c r="AK328" i="5"/>
  <c r="S495" i="20"/>
  <c r="AK329" i="5"/>
  <c r="JO20" i="2"/>
  <c r="AO337" i="5"/>
  <c r="AO349" i="5"/>
  <c r="JO16" i="2"/>
  <c r="JO18" i="2" l="1"/>
  <c r="JQ12" i="2"/>
  <c r="R495" i="20"/>
  <c r="Q495" i="20" s="1"/>
  <c r="P495" i="20" s="1"/>
  <c r="O496" i="20"/>
  <c r="AB342" i="5"/>
  <c r="AC342" i="5" s="1"/>
  <c r="AD342" i="5" s="1"/>
  <c r="AL336" i="5"/>
  <c r="AM336" i="5" s="1"/>
  <c r="AN336" i="5" s="1"/>
  <c r="AL329" i="5"/>
  <c r="AM329" i="5" s="1"/>
  <c r="AN329" i="5" s="1"/>
  <c r="AL328" i="5"/>
  <c r="AM328" i="5" s="1"/>
  <c r="AN328" i="5" s="1"/>
  <c r="AL334" i="5"/>
  <c r="AM334" i="5" s="1"/>
  <c r="AN334" i="5" s="1"/>
  <c r="JP17" i="2"/>
  <c r="JP16" i="2"/>
  <c r="AA343" i="5"/>
  <c r="JP19" i="2"/>
  <c r="AK330" i="5"/>
  <c r="AA341" i="5"/>
  <c r="JP15" i="2"/>
  <c r="JP20" i="2"/>
  <c r="AO338" i="5"/>
  <c r="S496" i="20"/>
  <c r="JP18" i="2" l="1"/>
  <c r="JR12" i="2"/>
  <c r="R496" i="20"/>
  <c r="Q496" i="20" s="1"/>
  <c r="P496" i="20" s="1"/>
  <c r="O497" i="20"/>
  <c r="AB341" i="5"/>
  <c r="AC341" i="5" s="1"/>
  <c r="AD341" i="5" s="1"/>
  <c r="AA346" i="5"/>
  <c r="AB346" i="5" s="1"/>
  <c r="AC346" i="5" s="1"/>
  <c r="AD346" i="5" s="1"/>
  <c r="AA344" i="5"/>
  <c r="AB344" i="5" s="1"/>
  <c r="AC344" i="5" s="1"/>
  <c r="AD344" i="5" s="1"/>
  <c r="AA345" i="5"/>
  <c r="AB345" i="5" s="1"/>
  <c r="AC345" i="5" s="1"/>
  <c r="AD345" i="5" s="1"/>
  <c r="AB343" i="5"/>
  <c r="AC343" i="5" s="1"/>
  <c r="AL330" i="5"/>
  <c r="AM330" i="5" s="1"/>
  <c r="AN330" i="5" s="1"/>
  <c r="JQ17" i="2"/>
  <c r="JQ15" i="2"/>
  <c r="JQ20" i="2"/>
  <c r="JQ16" i="2"/>
  <c r="S497" i="20"/>
  <c r="JQ19" i="2"/>
  <c r="AK331" i="5"/>
  <c r="AA350" i="5"/>
  <c r="JQ18" i="2" l="1"/>
  <c r="JS12" i="2"/>
  <c r="R497" i="20"/>
  <c r="O498" i="20"/>
  <c r="AA349" i="5"/>
  <c r="AB349" i="5" s="1"/>
  <c r="AC349" i="5" s="1"/>
  <c r="AD349" i="5" s="1"/>
  <c r="AD343" i="5"/>
  <c r="AK333" i="5"/>
  <c r="AL333" i="5" s="1"/>
  <c r="AM333" i="5" s="1"/>
  <c r="AL331" i="5"/>
  <c r="AM331" i="5" s="1"/>
  <c r="AN331" i="5" s="1"/>
  <c r="AK332" i="5"/>
  <c r="AB350" i="5"/>
  <c r="AC350" i="5" s="1"/>
  <c r="AD350" i="5" s="1"/>
  <c r="JR20" i="2"/>
  <c r="JR16" i="2"/>
  <c r="JR17" i="2"/>
  <c r="JR15" i="2"/>
  <c r="AK337" i="5"/>
  <c r="JR19" i="2"/>
  <c r="AA351" i="5"/>
  <c r="S498" i="20"/>
  <c r="JR18" i="2" l="1"/>
  <c r="JT12" i="2"/>
  <c r="R498" i="20"/>
  <c r="O499" i="20"/>
  <c r="Q497" i="20"/>
  <c r="P497" i="20" s="1"/>
  <c r="AL332" i="5"/>
  <c r="AN333" i="5"/>
  <c r="AL337" i="5"/>
  <c r="AM337" i="5" s="1"/>
  <c r="AN337" i="5" s="1"/>
  <c r="AR338" i="5"/>
  <c r="AB351" i="5"/>
  <c r="AC351" i="5" s="1"/>
  <c r="AD351" i="5" s="1"/>
  <c r="S499" i="20"/>
  <c r="AK335" i="5"/>
  <c r="JS17" i="2"/>
  <c r="JS19" i="2"/>
  <c r="JS16" i="2"/>
  <c r="JS20" i="2"/>
  <c r="JS15" i="2"/>
  <c r="JS18" i="2" l="1"/>
  <c r="JU12" i="2"/>
  <c r="O500" i="20"/>
  <c r="R499" i="20"/>
  <c r="Q499" i="20" s="1"/>
  <c r="P499" i="20" s="1"/>
  <c r="Q498" i="20"/>
  <c r="P498" i="20" s="1"/>
  <c r="AL335" i="5"/>
  <c r="AM335" i="5" s="1"/>
  <c r="AN335" i="5" s="1"/>
  <c r="AM332" i="5"/>
  <c r="AN332" i="5" s="1"/>
  <c r="AS338" i="5"/>
  <c r="AT338" i="5" s="1"/>
  <c r="AU338" i="5" s="1"/>
  <c r="AR339" i="5"/>
  <c r="S500" i="20"/>
  <c r="JT19" i="2"/>
  <c r="JT17" i="2"/>
  <c r="JT15" i="2"/>
  <c r="JT20" i="2"/>
  <c r="AK338" i="5"/>
  <c r="JT16" i="2"/>
  <c r="JT18" i="2" l="1"/>
  <c r="JV12" i="2"/>
  <c r="R500" i="20"/>
  <c r="O501" i="20"/>
  <c r="AK342" i="5"/>
  <c r="AL342" i="5" s="1"/>
  <c r="AM342" i="5" s="1"/>
  <c r="AN342" i="5" s="1"/>
  <c r="AK339" i="5"/>
  <c r="AL339" i="5" s="1"/>
  <c r="AM339" i="5" s="1"/>
  <c r="AL338" i="5"/>
  <c r="AM338" i="5" s="1"/>
  <c r="AN338" i="5" s="1"/>
  <c r="AK340" i="5"/>
  <c r="AL340" i="5" s="1"/>
  <c r="AM340" i="5" s="1"/>
  <c r="AN340" i="5" s="1"/>
  <c r="AV338" i="5"/>
  <c r="AR340" i="5"/>
  <c r="AS339" i="5"/>
  <c r="AT339" i="5" s="1"/>
  <c r="AU339" i="5" s="1"/>
  <c r="AV339" i="5" s="1"/>
  <c r="JU16" i="2"/>
  <c r="JU17" i="2"/>
  <c r="S501" i="20"/>
  <c r="JU19" i="2"/>
  <c r="JU20" i="2"/>
  <c r="JU15" i="2"/>
  <c r="JU18" i="2" l="1"/>
  <c r="JW12" i="2"/>
  <c r="R501" i="20"/>
  <c r="Q501" i="20" s="1"/>
  <c r="P501" i="20" s="1"/>
  <c r="O502" i="20"/>
  <c r="Q500" i="20"/>
  <c r="P500" i="20" s="1"/>
  <c r="AK348" i="5"/>
  <c r="AL348" i="5" s="1"/>
  <c r="AM348" i="5" s="1"/>
  <c r="AN348" i="5" s="1"/>
  <c r="AN339" i="5"/>
  <c r="AS340" i="5"/>
  <c r="AR344" i="5"/>
  <c r="JV19" i="2"/>
  <c r="JV16" i="2"/>
  <c r="AK343" i="5"/>
  <c r="JV20" i="2"/>
  <c r="S502" i="20"/>
  <c r="JV15" i="2"/>
  <c r="AK341" i="5"/>
  <c r="JV17" i="2"/>
  <c r="JV18" i="2" l="1"/>
  <c r="JX12" i="2"/>
  <c r="R502" i="20"/>
  <c r="Q502" i="20" s="1"/>
  <c r="P502" i="20" s="1"/>
  <c r="O503" i="20"/>
  <c r="AL341" i="5"/>
  <c r="AM341" i="5" s="1"/>
  <c r="AN341" i="5" s="1"/>
  <c r="AK344" i="5"/>
  <c r="AK349" i="5" s="1"/>
  <c r="AL343" i="5"/>
  <c r="AM343" i="5" s="1"/>
  <c r="AN343" i="5" s="1"/>
  <c r="AK346" i="5"/>
  <c r="AL346" i="5" s="1"/>
  <c r="AM346" i="5" s="1"/>
  <c r="AN346" i="5" s="1"/>
  <c r="AK345" i="5"/>
  <c r="AL345" i="5" s="1"/>
  <c r="AM345" i="5" s="1"/>
  <c r="AN345" i="5" s="1"/>
  <c r="AT340" i="5"/>
  <c r="AU340" i="5" s="1"/>
  <c r="AS344" i="5"/>
  <c r="AT344" i="5" s="1"/>
  <c r="AU344" i="5" s="1"/>
  <c r="AR345" i="5"/>
  <c r="JW17" i="2"/>
  <c r="JW15" i="2"/>
  <c r="JW20" i="2"/>
  <c r="S503" i="20"/>
  <c r="JW16" i="2"/>
  <c r="AK350" i="5"/>
  <c r="JW19" i="2"/>
  <c r="JW18" i="2" l="1"/>
  <c r="JY12" i="2"/>
  <c r="R503" i="20"/>
  <c r="O504" i="20"/>
  <c r="AL344" i="5"/>
  <c r="AM344" i="5" s="1"/>
  <c r="AN344" i="5" s="1"/>
  <c r="AV340" i="5"/>
  <c r="AL350" i="5"/>
  <c r="AM350" i="5" s="1"/>
  <c r="AN350" i="5" s="1"/>
  <c r="AV344" i="5"/>
  <c r="AS345" i="5"/>
  <c r="AR350" i="5"/>
  <c r="AL349" i="5"/>
  <c r="AM349" i="5" s="1"/>
  <c r="AN349" i="5" s="1"/>
  <c r="S504" i="20"/>
  <c r="JX20" i="2"/>
  <c r="JX15" i="2"/>
  <c r="JX16" i="2"/>
  <c r="AK351" i="5"/>
  <c r="JX17" i="2"/>
  <c r="JX19" i="2"/>
  <c r="AR346" i="5"/>
  <c r="JX18" i="2" l="1"/>
  <c r="JZ12" i="2"/>
  <c r="R504" i="20"/>
  <c r="O505" i="20"/>
  <c r="Q503" i="20"/>
  <c r="P503" i="20" s="1"/>
  <c r="AS346" i="5"/>
  <c r="AT346" i="5" s="1"/>
  <c r="AU346" i="5" s="1"/>
  <c r="AR347" i="5"/>
  <c r="AL351" i="5"/>
  <c r="AM351" i="5" s="1"/>
  <c r="AN351" i="5" s="1"/>
  <c r="AT345" i="5"/>
  <c r="AU345" i="5" s="1"/>
  <c r="AS350" i="5"/>
  <c r="AT350" i="5" s="1"/>
  <c r="AU350" i="5" s="1"/>
  <c r="S505" i="20"/>
  <c r="JY19" i="2"/>
  <c r="JY17" i="2"/>
  <c r="AR351" i="5"/>
  <c r="JY16" i="2"/>
  <c r="JY20" i="2"/>
  <c r="JY15" i="2"/>
  <c r="JY18" i="2" l="1"/>
  <c r="KA12" i="2"/>
  <c r="R505" i="20"/>
  <c r="O506" i="20"/>
  <c r="Q504" i="20"/>
  <c r="P504" i="20" s="1"/>
  <c r="AV345" i="5"/>
  <c r="AS351" i="5"/>
  <c r="AT351" i="5" s="1"/>
  <c r="AU351" i="5" s="1"/>
  <c r="AS347" i="5"/>
  <c r="AT347" i="5" s="1"/>
  <c r="AU347" i="5" s="1"/>
  <c r="AV347" i="5" s="1"/>
  <c r="AV350" i="5"/>
  <c r="AV346" i="5"/>
  <c r="JZ19" i="2"/>
  <c r="JZ16" i="2"/>
  <c r="JZ15" i="2"/>
  <c r="S506" i="20"/>
  <c r="JZ20" i="2"/>
  <c r="JZ17" i="2"/>
  <c r="JZ18" i="2" l="1"/>
  <c r="KB12" i="2"/>
  <c r="O507" i="20"/>
  <c r="R506" i="20"/>
  <c r="Q506" i="20" s="1"/>
  <c r="P506" i="20" s="1"/>
  <c r="Q505" i="20"/>
  <c r="P505" i="20" s="1"/>
  <c r="AV351" i="5"/>
  <c r="KA16" i="2"/>
  <c r="KA19" i="2"/>
  <c r="KA20" i="2"/>
  <c r="S507" i="20"/>
  <c r="KA17" i="2"/>
  <c r="KA15" i="2"/>
  <c r="KA18" i="2" l="1"/>
  <c r="KC12" i="2"/>
  <c r="O508" i="20"/>
  <c r="R507" i="20"/>
  <c r="Q507" i="20" s="1"/>
  <c r="P507" i="20" s="1"/>
  <c r="C562" i="5"/>
  <c r="E562" i="5"/>
  <c r="F562" i="5" s="1"/>
  <c r="E563" i="5"/>
  <c r="F563" i="5" s="1"/>
  <c r="S508" i="20"/>
  <c r="KB19" i="2"/>
  <c r="KB20" i="2"/>
  <c r="KB17" i="2"/>
  <c r="KB16" i="2"/>
  <c r="KB15" i="2"/>
  <c r="KB18" i="2" l="1"/>
  <c r="KD12" i="2"/>
  <c r="R508" i="20"/>
  <c r="O509" i="20"/>
  <c r="G562" i="5"/>
  <c r="H562" i="5" s="1"/>
  <c r="G563" i="5"/>
  <c r="H563" i="5" s="1"/>
  <c r="KC16" i="2"/>
  <c r="KC19" i="2"/>
  <c r="KC15" i="2"/>
  <c r="KC17" i="2"/>
  <c r="S509" i="20"/>
  <c r="KC20" i="2"/>
  <c r="KC18" i="2" l="1"/>
  <c r="KE12" i="2"/>
  <c r="R509" i="20"/>
  <c r="O510" i="20"/>
  <c r="Q508" i="20"/>
  <c r="P508" i="20" s="1"/>
  <c r="KD20" i="2"/>
  <c r="KD19" i="2"/>
  <c r="S510" i="20"/>
  <c r="KD15" i="2"/>
  <c r="KD16" i="2"/>
  <c r="KD17" i="2"/>
  <c r="KD18" i="2" l="1"/>
  <c r="KF12" i="2"/>
  <c r="R510" i="20"/>
  <c r="O511" i="20"/>
  <c r="Q509" i="20"/>
  <c r="P509" i="20" s="1"/>
  <c r="KE20" i="2"/>
  <c r="KE19" i="2"/>
  <c r="KE16" i="2"/>
  <c r="KE17" i="2"/>
  <c r="S511" i="20"/>
  <c r="KE15" i="2"/>
  <c r="KE18" i="2" l="1"/>
  <c r="KG12" i="2"/>
  <c r="O512" i="20"/>
  <c r="R511" i="20"/>
  <c r="Q510" i="20"/>
  <c r="P510" i="20" s="1"/>
  <c r="KF20" i="2"/>
  <c r="KF19" i="2"/>
  <c r="KF16" i="2"/>
  <c r="KF15" i="2"/>
  <c r="S512" i="20"/>
  <c r="KF17" i="2"/>
  <c r="KF18" i="2" l="1"/>
  <c r="KH12" i="2"/>
  <c r="Q511" i="20"/>
  <c r="P511" i="20" s="1"/>
  <c r="R512" i="20"/>
  <c r="Q512" i="20" s="1"/>
  <c r="P512" i="20" s="1"/>
  <c r="O513" i="20"/>
  <c r="KG16" i="2"/>
  <c r="S513" i="20"/>
  <c r="KG20" i="2"/>
  <c r="KG15" i="2"/>
  <c r="KG19" i="2"/>
  <c r="KG17" i="2"/>
  <c r="KG18" i="2" l="1"/>
  <c r="KI12" i="2"/>
  <c r="R513" i="20"/>
  <c r="O514" i="20"/>
  <c r="KH19" i="2"/>
  <c r="KH16" i="2"/>
  <c r="KH17" i="2"/>
  <c r="KH20" i="2"/>
  <c r="KH15" i="2"/>
  <c r="S514" i="20"/>
  <c r="KH18" i="2" l="1"/>
  <c r="KJ12" i="2"/>
  <c r="O515" i="20"/>
  <c r="R514" i="20"/>
  <c r="Q514" i="20" s="1"/>
  <c r="P514" i="20" s="1"/>
  <c r="Q513" i="20"/>
  <c r="P513" i="20" s="1"/>
  <c r="S515" i="20"/>
  <c r="KI16" i="2"/>
  <c r="KI19" i="2"/>
  <c r="KI17" i="2"/>
  <c r="KI15" i="2"/>
  <c r="KI20" i="2"/>
  <c r="KI18" i="2" l="1"/>
  <c r="KK12" i="2"/>
  <c r="R515" i="20"/>
  <c r="Q515" i="20" s="1"/>
  <c r="P515" i="20" s="1"/>
  <c r="O516" i="20"/>
  <c r="KJ15" i="2"/>
  <c r="KJ16" i="2"/>
  <c r="KJ20" i="2"/>
  <c r="KJ19" i="2"/>
  <c r="KJ17" i="2"/>
  <c r="S516" i="20"/>
  <c r="KJ18" i="2" l="1"/>
  <c r="KL12" i="2"/>
  <c r="R516" i="20"/>
  <c r="Q516" i="20" s="1"/>
  <c r="P516" i="20" s="1"/>
  <c r="O517" i="20"/>
  <c r="KK15" i="2"/>
  <c r="KK17" i="2"/>
  <c r="S517" i="20"/>
  <c r="KK19" i="2"/>
  <c r="KK16" i="2"/>
  <c r="KK20" i="2"/>
  <c r="KK18" i="2" l="1"/>
  <c r="KM12" i="2"/>
  <c r="R517" i="20"/>
  <c r="Q517" i="20" s="1"/>
  <c r="P517" i="20" s="1"/>
  <c r="O518" i="20"/>
  <c r="KL19" i="2"/>
  <c r="KL17" i="2"/>
  <c r="KL20" i="2"/>
  <c r="KL15" i="2"/>
  <c r="S518" i="20"/>
  <c r="KL16" i="2"/>
  <c r="KL18" i="2" l="1"/>
  <c r="KN12" i="2"/>
  <c r="O519" i="20"/>
  <c r="R518" i="20"/>
  <c r="KM20" i="2"/>
  <c r="S519" i="20"/>
  <c r="KM19" i="2"/>
  <c r="KM16" i="2"/>
  <c r="KM15" i="2"/>
  <c r="KM17" i="2"/>
  <c r="KM18" i="2" l="1"/>
  <c r="KO12" i="2"/>
  <c r="Q518" i="20"/>
  <c r="P518" i="20" s="1"/>
  <c r="R519" i="20"/>
  <c r="Q519" i="20" s="1"/>
  <c r="P519" i="20" s="1"/>
  <c r="O520" i="20"/>
  <c r="S520" i="20"/>
  <c r="KN20" i="2"/>
  <c r="KN15" i="2"/>
  <c r="KN17" i="2"/>
  <c r="KN16" i="2"/>
  <c r="KN19" i="2"/>
  <c r="KN18" i="2" l="1"/>
  <c r="KP12" i="2"/>
  <c r="O521" i="20"/>
  <c r="R520" i="20"/>
  <c r="Q520" i="20" s="1"/>
  <c r="P520" i="20" s="1"/>
  <c r="KO15" i="2"/>
  <c r="KO17" i="2"/>
  <c r="KO20" i="2"/>
  <c r="KO16" i="2"/>
  <c r="S521" i="20"/>
  <c r="KO19" i="2"/>
  <c r="KO18" i="2" l="1"/>
  <c r="KQ12" i="2"/>
  <c r="R521" i="20"/>
  <c r="O522" i="20"/>
  <c r="KP17" i="2"/>
  <c r="KP20" i="2"/>
  <c r="S522" i="20"/>
  <c r="KP16" i="2"/>
  <c r="KP15" i="2"/>
  <c r="KP19" i="2"/>
  <c r="KP18" i="2" l="1"/>
  <c r="KR12" i="2"/>
  <c r="R522" i="20"/>
  <c r="Q522" i="20" s="1"/>
  <c r="P522" i="20" s="1"/>
  <c r="O523" i="20"/>
  <c r="Q521" i="20"/>
  <c r="P521" i="20" s="1"/>
  <c r="KQ17" i="2"/>
  <c r="KQ16" i="2"/>
  <c r="KQ15" i="2"/>
  <c r="S523" i="20"/>
  <c r="KQ20" i="2"/>
  <c r="KQ19" i="2"/>
  <c r="KQ18" i="2" l="1"/>
  <c r="KS12" i="2"/>
  <c r="R523" i="20"/>
  <c r="O524" i="20"/>
  <c r="KR15" i="2"/>
  <c r="KR17" i="2"/>
  <c r="KR16" i="2"/>
  <c r="KR20" i="2"/>
  <c r="S524" i="20"/>
  <c r="KR19" i="2"/>
  <c r="KR18" i="2" l="1"/>
  <c r="KT12" i="2"/>
  <c r="O525" i="20"/>
  <c r="R524" i="20"/>
  <c r="Q524" i="20" s="1"/>
  <c r="P524" i="20" s="1"/>
  <c r="Q523" i="20"/>
  <c r="P523" i="20" s="1"/>
  <c r="KS17" i="2"/>
  <c r="KS16" i="2"/>
  <c r="KS15" i="2"/>
  <c r="S525" i="20"/>
  <c r="KS20" i="2"/>
  <c r="KS19" i="2"/>
  <c r="KS18" i="2" l="1"/>
  <c r="KU12" i="2"/>
  <c r="O526" i="20"/>
  <c r="R525" i="20"/>
  <c r="Q525" i="20" s="1"/>
  <c r="P525" i="20" s="1"/>
  <c r="KT16" i="2"/>
  <c r="KT19" i="2"/>
  <c r="KT17" i="2"/>
  <c r="KT20" i="2"/>
  <c r="KT15" i="2"/>
  <c r="S526" i="20"/>
  <c r="KT18" i="2" l="1"/>
  <c r="KV12" i="2"/>
  <c r="O527" i="20"/>
  <c r="R526" i="20"/>
  <c r="KU20" i="2"/>
  <c r="KU17" i="2"/>
  <c r="S527" i="20"/>
  <c r="KU19" i="2"/>
  <c r="KU15" i="2"/>
  <c r="KU16" i="2"/>
  <c r="KU18" i="2" l="1"/>
  <c r="KW12" i="2"/>
  <c r="Q526" i="20"/>
  <c r="P526" i="20" s="1"/>
  <c r="O528" i="20"/>
  <c r="R527" i="20"/>
  <c r="Q527" i="20" s="1"/>
  <c r="P527" i="20" s="1"/>
  <c r="S528" i="20"/>
  <c r="KV20" i="2"/>
  <c r="KV17" i="2"/>
  <c r="KV16" i="2"/>
  <c r="KV19" i="2"/>
  <c r="KV15" i="2"/>
  <c r="KV18" i="2" l="1"/>
  <c r="KX12" i="2"/>
  <c r="O529" i="20"/>
  <c r="R528" i="20"/>
  <c r="Q528" i="20" s="1"/>
  <c r="P528" i="20" s="1"/>
  <c r="KW16" i="2"/>
  <c r="KW19" i="2"/>
  <c r="KW15" i="2"/>
  <c r="S529" i="20"/>
  <c r="KW17" i="2"/>
  <c r="KW20" i="2"/>
  <c r="KW18" i="2" l="1"/>
  <c r="KY12" i="2"/>
  <c r="R529" i="20"/>
  <c r="Q529" i="20" s="1"/>
  <c r="P529" i="20" s="1"/>
  <c r="O530" i="20"/>
  <c r="FK61" i="13"/>
  <c r="FL61" i="13" s="1"/>
  <c r="KX15" i="2"/>
  <c r="KX16" i="2"/>
  <c r="KX17" i="2"/>
  <c r="S530" i="20"/>
  <c r="KX19" i="2"/>
  <c r="KX20" i="2"/>
  <c r="KX18" i="2" l="1"/>
  <c r="KZ12" i="2"/>
  <c r="R530" i="20"/>
  <c r="O531" i="20"/>
  <c r="FK33" i="13"/>
  <c r="FL33" i="13" s="1"/>
  <c r="FM61" i="13"/>
  <c r="FN61" i="13" s="1"/>
  <c r="KY17" i="2"/>
  <c r="KY16" i="2"/>
  <c r="S531" i="20"/>
  <c r="KY19" i="2"/>
  <c r="KY20" i="2"/>
  <c r="KY15" i="2"/>
  <c r="KY18" i="2" l="1"/>
  <c r="LA12" i="2"/>
  <c r="R531" i="20"/>
  <c r="Q531" i="20" s="1"/>
  <c r="P531" i="20" s="1"/>
  <c r="O532" i="20"/>
  <c r="Q530" i="20"/>
  <c r="P530" i="20" s="1"/>
  <c r="FM33" i="13"/>
  <c r="FN33" i="13" s="1"/>
  <c r="KZ17" i="2"/>
  <c r="S532" i="20"/>
  <c r="KZ20" i="2"/>
  <c r="KZ16" i="2"/>
  <c r="KZ15" i="2"/>
  <c r="KZ19" i="2"/>
  <c r="KZ18" i="2" l="1"/>
  <c r="LB12" i="2"/>
  <c r="O533" i="20"/>
  <c r="R532" i="20"/>
  <c r="LA20" i="2"/>
  <c r="LA15" i="2"/>
  <c r="LA17" i="2"/>
  <c r="S533" i="20"/>
  <c r="LA19" i="2"/>
  <c r="LA16" i="2"/>
  <c r="LA18" i="2" l="1"/>
  <c r="LC12" i="2"/>
  <c r="Q532" i="20"/>
  <c r="P532" i="20" s="1"/>
  <c r="O534" i="20"/>
  <c r="R533" i="20"/>
  <c r="LB15" i="2"/>
  <c r="LB20" i="2"/>
  <c r="LB19" i="2"/>
  <c r="S534" i="20"/>
  <c r="LB17" i="2"/>
  <c r="LB16" i="2"/>
  <c r="LB18" i="2" l="1"/>
  <c r="LD12" i="2"/>
  <c r="O535" i="20"/>
  <c r="R534" i="20"/>
  <c r="Q534" i="20" s="1"/>
  <c r="P534" i="20" s="1"/>
  <c r="Q533" i="20"/>
  <c r="P533" i="20" s="1"/>
  <c r="LC19" i="2"/>
  <c r="S535" i="20"/>
  <c r="LC20" i="2"/>
  <c r="LC15" i="2"/>
  <c r="LC16" i="2"/>
  <c r="LC17" i="2"/>
  <c r="LC18" i="2" l="1"/>
  <c r="LE12" i="2"/>
  <c r="R535" i="20"/>
  <c r="Q535" i="20" s="1"/>
  <c r="P535" i="20" s="1"/>
  <c r="O536" i="20"/>
  <c r="LD15" i="2"/>
  <c r="LD17" i="2"/>
  <c r="S536" i="20"/>
  <c r="LD16" i="2"/>
  <c r="LD20" i="2"/>
  <c r="LD19" i="2"/>
  <c r="LD18" i="2" l="1"/>
  <c r="LF12" i="2"/>
  <c r="R536" i="20"/>
  <c r="O537" i="20"/>
  <c r="LE19" i="2"/>
  <c r="S537" i="20"/>
  <c r="LE15" i="2"/>
  <c r="LE16" i="2"/>
  <c r="LE20" i="2"/>
  <c r="LE17" i="2"/>
  <c r="LE18" i="2" l="1"/>
  <c r="LG12" i="2"/>
  <c r="R537" i="20"/>
  <c r="Q537" i="20" s="1"/>
  <c r="P537" i="20" s="1"/>
  <c r="O538" i="20"/>
  <c r="Q536" i="20"/>
  <c r="P536" i="20" s="1"/>
  <c r="LF17" i="2"/>
  <c r="LF16" i="2"/>
  <c r="LF19" i="2"/>
  <c r="LF20" i="2"/>
  <c r="S538" i="20"/>
  <c r="LF15" i="2"/>
  <c r="LF18" i="2" l="1"/>
  <c r="LH12" i="2"/>
  <c r="R538" i="20"/>
  <c r="O539" i="20"/>
  <c r="LG15" i="2"/>
  <c r="LG17" i="2"/>
  <c r="LG20" i="2"/>
  <c r="S539" i="20"/>
  <c r="LG19" i="2"/>
  <c r="LG16" i="2"/>
  <c r="LG18" i="2" l="1"/>
  <c r="LI12" i="2"/>
  <c r="O540" i="20"/>
  <c r="R539" i="20"/>
  <c r="Q539" i="20" s="1"/>
  <c r="P539" i="20" s="1"/>
  <c r="Q538" i="20"/>
  <c r="P538" i="20" s="1"/>
  <c r="LH17" i="2"/>
  <c r="S540" i="20"/>
  <c r="LH19" i="2"/>
  <c r="LH15" i="2"/>
  <c r="LH16" i="2"/>
  <c r="LH20" i="2"/>
  <c r="LH18" i="2" l="1"/>
  <c r="LJ12" i="2"/>
  <c r="O541" i="20"/>
  <c r="R540" i="20"/>
  <c r="LI16" i="2"/>
  <c r="LI15" i="2"/>
  <c r="LI19" i="2"/>
  <c r="LI17" i="2"/>
  <c r="S541" i="20"/>
  <c r="LI20" i="2"/>
  <c r="LI18" i="2" l="1"/>
  <c r="LK12" i="2"/>
  <c r="Q540" i="20"/>
  <c r="P540" i="20" s="1"/>
  <c r="O542" i="20"/>
  <c r="R541" i="20"/>
  <c r="Q541" i="20" s="1"/>
  <c r="P541" i="20" s="1"/>
  <c r="LJ20" i="2"/>
  <c r="LJ15" i="2"/>
  <c r="LJ19" i="2"/>
  <c r="LJ16" i="2"/>
  <c r="S542" i="20"/>
  <c r="LJ17" i="2"/>
  <c r="LJ18" i="2" l="1"/>
  <c r="LL12" i="2"/>
  <c r="R542" i="20"/>
  <c r="Q542" i="20" s="1"/>
  <c r="P542" i="20" s="1"/>
  <c r="O543" i="20"/>
  <c r="S543" i="20"/>
  <c r="LK19" i="2"/>
  <c r="LK17" i="2"/>
  <c r="LK15" i="2"/>
  <c r="LK16" i="2"/>
  <c r="LK20" i="2"/>
  <c r="LK18" i="2" l="1"/>
  <c r="LM12" i="2"/>
  <c r="O544" i="20"/>
  <c r="R543" i="20"/>
  <c r="Q543" i="20" s="1"/>
  <c r="P543" i="20" s="1"/>
  <c r="LL15" i="2"/>
  <c r="LL20" i="2"/>
  <c r="S544" i="20"/>
  <c r="LL16" i="2"/>
  <c r="LL19" i="2"/>
  <c r="LL17" i="2"/>
  <c r="LL18" i="2" l="1"/>
  <c r="LN12" i="2"/>
  <c r="O545" i="20"/>
  <c r="R544" i="20"/>
  <c r="LM16" i="2"/>
  <c r="LM20" i="2"/>
  <c r="LM19" i="2"/>
  <c r="LM17" i="2"/>
  <c r="S545" i="20"/>
  <c r="LM15" i="2"/>
  <c r="LM18" i="2" l="1"/>
  <c r="LO12" i="2"/>
  <c r="Q544" i="20"/>
  <c r="P544" i="20" s="1"/>
  <c r="R545" i="20"/>
  <c r="Q545" i="20" s="1"/>
  <c r="P545" i="20" s="1"/>
  <c r="O546" i="20"/>
  <c r="LN20" i="2"/>
  <c r="LN15" i="2"/>
  <c r="LN17" i="2"/>
  <c r="LN16" i="2"/>
  <c r="S546" i="20"/>
  <c r="LN19" i="2"/>
  <c r="LN18" i="2" l="1"/>
  <c r="LP12" i="2"/>
  <c r="O547" i="20"/>
  <c r="R546" i="20"/>
  <c r="LO15" i="2"/>
  <c r="LO16" i="2"/>
  <c r="LO17" i="2"/>
  <c r="S547" i="20"/>
  <c r="LO20" i="2"/>
  <c r="LO19" i="2"/>
  <c r="LO18" i="2" l="1"/>
  <c r="LQ12" i="2"/>
  <c r="Q546" i="20"/>
  <c r="P546" i="20" s="1"/>
  <c r="R547" i="20"/>
  <c r="O548" i="20"/>
  <c r="LP17" i="2"/>
  <c r="S548" i="20"/>
  <c r="LP16" i="2"/>
  <c r="LP15" i="2"/>
  <c r="LP20" i="2"/>
  <c r="LP19" i="2"/>
  <c r="LP18" i="2" l="1"/>
  <c r="LR12" i="2"/>
  <c r="Q547" i="20"/>
  <c r="P547" i="20" s="1"/>
  <c r="O549" i="20"/>
  <c r="R548" i="20"/>
  <c r="S549" i="20"/>
  <c r="LQ16" i="2"/>
  <c r="LQ20" i="2"/>
  <c r="LQ19" i="2"/>
  <c r="LQ15" i="2"/>
  <c r="LQ17" i="2"/>
  <c r="LQ18" i="2" l="1"/>
  <c r="LS12" i="2"/>
  <c r="Q548" i="20"/>
  <c r="P548" i="20" s="1"/>
  <c r="R549" i="20"/>
  <c r="O550" i="20"/>
  <c r="LR16" i="2"/>
  <c r="LR20" i="2"/>
  <c r="LR15" i="2"/>
  <c r="LR19" i="2"/>
  <c r="S550" i="20"/>
  <c r="LR17" i="2"/>
  <c r="LR18" i="2" l="1"/>
  <c r="LT12" i="2"/>
  <c r="R550" i="20"/>
  <c r="O551" i="20"/>
  <c r="Q549" i="20"/>
  <c r="P549" i="20" s="1"/>
  <c r="S551" i="20"/>
  <c r="LS20" i="2"/>
  <c r="LS16" i="2"/>
  <c r="LS15" i="2"/>
  <c r="LS19" i="2"/>
  <c r="LS17" i="2"/>
  <c r="LS18" i="2" l="1"/>
  <c r="LU12" i="2"/>
  <c r="O552" i="20"/>
  <c r="R551" i="20"/>
  <c r="Q551" i="20" s="1"/>
  <c r="Q550" i="20"/>
  <c r="P550" i="20" s="1"/>
  <c r="LT15" i="2"/>
  <c r="S552" i="20"/>
  <c r="LT17" i="2"/>
  <c r="LT16" i="2"/>
  <c r="LT20" i="2"/>
  <c r="LT19" i="2"/>
  <c r="LT18" i="2" l="1"/>
  <c r="LV12" i="2"/>
  <c r="P551" i="20"/>
  <c r="AJ551" i="20"/>
  <c r="R552" i="20"/>
  <c r="O553" i="20"/>
  <c r="LU20" i="2"/>
  <c r="LU16" i="2"/>
  <c r="LU17" i="2"/>
  <c r="LU15" i="2"/>
  <c r="S553" i="20"/>
  <c r="LU19" i="2"/>
  <c r="LU18" i="2" l="1"/>
  <c r="LW12" i="2"/>
  <c r="Q552" i="20"/>
  <c r="P552" i="20" s="1"/>
  <c r="R553" i="20"/>
  <c r="Q553" i="20" s="1"/>
  <c r="P553" i="20" s="1"/>
  <c r="O554" i="20"/>
  <c r="LV16" i="2"/>
  <c r="LV19" i="2"/>
  <c r="LV15" i="2"/>
  <c r="S554" i="20"/>
  <c r="LV20" i="2"/>
  <c r="LV17" i="2"/>
  <c r="LV18" i="2" l="1"/>
  <c r="LX12" i="2"/>
  <c r="R554" i="20"/>
  <c r="O555" i="20"/>
  <c r="LW15" i="2"/>
  <c r="LW20" i="2"/>
  <c r="LW19" i="2"/>
  <c r="S555" i="20"/>
  <c r="LW17" i="2"/>
  <c r="LW16" i="2"/>
  <c r="LW18" i="2" l="1"/>
  <c r="LY12" i="2"/>
  <c r="R555" i="20"/>
  <c r="Q555" i="20" s="1"/>
  <c r="P555" i="20" s="1"/>
  <c r="O556" i="20"/>
  <c r="Q554" i="20"/>
  <c r="P554" i="20" s="1"/>
  <c r="S556" i="20"/>
  <c r="LX16" i="2"/>
  <c r="LX15" i="2"/>
  <c r="LX20" i="2"/>
  <c r="LX19" i="2"/>
  <c r="LX17" i="2"/>
  <c r="LX18" i="2" l="1"/>
  <c r="LZ12" i="2"/>
  <c r="R556" i="20"/>
  <c r="O557" i="20"/>
  <c r="S557" i="20"/>
  <c r="LY16" i="2"/>
  <c r="LY15" i="2"/>
  <c r="LY20" i="2"/>
  <c r="LY17" i="2"/>
  <c r="LY19" i="2"/>
  <c r="LY18" i="2" l="1"/>
  <c r="MA12" i="2"/>
  <c r="R557" i="20"/>
  <c r="Q557" i="20" s="1"/>
  <c r="P557" i="20" s="1"/>
  <c r="O558" i="20"/>
  <c r="Q556" i="20"/>
  <c r="P556" i="20" s="1"/>
  <c r="LZ20" i="2"/>
  <c r="LZ15" i="2"/>
  <c r="LZ16" i="2"/>
  <c r="S558" i="20"/>
  <c r="LZ17" i="2"/>
  <c r="LZ19" i="2"/>
  <c r="LZ18" i="2" l="1"/>
  <c r="MB12" i="2"/>
  <c r="R558" i="20"/>
  <c r="O559" i="20"/>
  <c r="MA20" i="2"/>
  <c r="S559" i="20"/>
  <c r="MA16" i="2"/>
  <c r="MA19" i="2"/>
  <c r="MA17" i="2"/>
  <c r="MA15" i="2"/>
  <c r="MA18" i="2" l="1"/>
  <c r="MC12" i="2"/>
  <c r="R559" i="20"/>
  <c r="Q559" i="20" s="1"/>
  <c r="P559" i="20" s="1"/>
  <c r="O560" i="20"/>
  <c r="Q558" i="20"/>
  <c r="P558" i="20" s="1"/>
  <c r="S560" i="20"/>
  <c r="MB15" i="2"/>
  <c r="MB17" i="2"/>
  <c r="MB19" i="2"/>
  <c r="MB20" i="2"/>
  <c r="MB16" i="2"/>
  <c r="MB18" i="2" l="1"/>
  <c r="MD12" i="2"/>
  <c r="R560" i="20"/>
  <c r="Q560" i="20" s="1"/>
  <c r="P560" i="20" s="1"/>
  <c r="O561" i="20"/>
  <c r="MC17" i="2"/>
  <c r="MC15" i="2"/>
  <c r="MC16" i="2"/>
  <c r="MC19" i="2"/>
  <c r="S561" i="20"/>
  <c r="MC20" i="2"/>
  <c r="MC18" i="2" l="1"/>
  <c r="ME12" i="2"/>
  <c r="O562" i="20"/>
  <c r="R561" i="20"/>
  <c r="Q561" i="20" s="1"/>
  <c r="P561" i="20" s="1"/>
  <c r="MD15" i="2"/>
  <c r="MD17" i="2"/>
  <c r="MD20" i="2"/>
  <c r="S562" i="20"/>
  <c r="MD19" i="2"/>
  <c r="MD16" i="2"/>
  <c r="MD18" i="2" l="1"/>
  <c r="MF12" i="2"/>
  <c r="R562" i="20"/>
  <c r="Q562" i="20" s="1"/>
  <c r="P562" i="20" s="1"/>
  <c r="O563" i="20"/>
  <c r="ME19" i="2"/>
  <c r="ME20" i="2"/>
  <c r="S563" i="20"/>
  <c r="ME17" i="2"/>
  <c r="ME16" i="2"/>
  <c r="ME15" i="2"/>
  <c r="ME18" i="2" l="1"/>
  <c r="MG12" i="2"/>
  <c r="R563" i="20"/>
  <c r="Q563" i="20" s="1"/>
  <c r="P563" i="20" s="1"/>
  <c r="O564" i="20"/>
  <c r="MF17" i="2"/>
  <c r="MF15" i="2"/>
  <c r="S564" i="20"/>
  <c r="MF20" i="2"/>
  <c r="MF19" i="2"/>
  <c r="MF16" i="2"/>
  <c r="MF18" i="2" l="1"/>
  <c r="MH12" i="2"/>
  <c r="R564" i="20"/>
  <c r="Q564" i="20" s="1"/>
  <c r="P564" i="20" s="1"/>
  <c r="O565" i="20"/>
  <c r="MG15" i="2"/>
  <c r="MG17" i="2"/>
  <c r="MG16" i="2"/>
  <c r="S565" i="20"/>
  <c r="MG20" i="2"/>
  <c r="MG19" i="2"/>
  <c r="MG18" i="2" l="1"/>
  <c r="MI12" i="2"/>
  <c r="O566" i="20"/>
  <c r="R565" i="20"/>
  <c r="Q565" i="20" s="1"/>
  <c r="P565" i="20" s="1"/>
  <c r="MH17" i="2"/>
  <c r="MH15" i="2"/>
  <c r="MH19" i="2"/>
  <c r="MH20" i="2"/>
  <c r="MH16" i="2"/>
  <c r="S566" i="20"/>
  <c r="MH18" i="2" l="1"/>
  <c r="MJ12" i="2"/>
  <c r="O567" i="20"/>
  <c r="R566" i="20"/>
  <c r="S567" i="20"/>
  <c r="MI15" i="2"/>
  <c r="MI16" i="2"/>
  <c r="MI19" i="2"/>
  <c r="MI17" i="2"/>
  <c r="MI20" i="2"/>
  <c r="MI18" i="2" l="1"/>
  <c r="MK12" i="2"/>
  <c r="Q566" i="20"/>
  <c r="P566" i="20" s="1"/>
  <c r="O568" i="20"/>
  <c r="R567" i="20"/>
  <c r="Q567" i="20" s="1"/>
  <c r="P567" i="20" s="1"/>
  <c r="MJ17" i="2"/>
  <c r="MJ20" i="2"/>
  <c r="S568" i="20"/>
  <c r="MJ16" i="2"/>
  <c r="MJ19" i="2"/>
  <c r="MJ15" i="2"/>
  <c r="MJ18" i="2" l="1"/>
  <c r="ML12" i="2"/>
  <c r="R568" i="20"/>
  <c r="Q568" i="20" s="1"/>
  <c r="P568" i="20" s="1"/>
  <c r="O569" i="20"/>
  <c r="MK15" i="2"/>
  <c r="S569" i="20"/>
  <c r="MK16" i="2"/>
  <c r="MK17" i="2"/>
  <c r="MK20" i="2"/>
  <c r="MK19" i="2"/>
  <c r="MK18" i="2" l="1"/>
  <c r="MM12" i="2"/>
  <c r="R569" i="20"/>
  <c r="Q569" i="20" s="1"/>
  <c r="P569" i="20" s="1"/>
  <c r="O570" i="20"/>
  <c r="ML16" i="2"/>
  <c r="ML20" i="2"/>
  <c r="ML17" i="2"/>
  <c r="ML19" i="2"/>
  <c r="S570" i="20"/>
  <c r="ML15" i="2"/>
  <c r="ML18" i="2" l="1"/>
  <c r="MN12" i="2"/>
  <c r="R570" i="20"/>
  <c r="O571" i="20"/>
  <c r="MM20" i="2"/>
  <c r="MM17" i="2"/>
  <c r="S571" i="20"/>
  <c r="MM16" i="2"/>
  <c r="MM15" i="2"/>
  <c r="MM19" i="2"/>
  <c r="MM18" i="2" l="1"/>
  <c r="MO12" i="2"/>
  <c r="R571" i="20"/>
  <c r="Q571" i="20" s="1"/>
  <c r="P571" i="20" s="1"/>
  <c r="O572" i="20"/>
  <c r="Q570" i="20"/>
  <c r="P570" i="20" s="1"/>
  <c r="MN20" i="2"/>
  <c r="MN19" i="2"/>
  <c r="MN17" i="2"/>
  <c r="S572" i="20"/>
  <c r="MN16" i="2"/>
  <c r="MN15" i="2"/>
  <c r="MN18" i="2" l="1"/>
  <c r="MP12" i="2"/>
  <c r="R572" i="20"/>
  <c r="Q572" i="20" s="1"/>
  <c r="P572" i="20" s="1"/>
  <c r="O573" i="20"/>
  <c r="MO19" i="2"/>
  <c r="MO16" i="2"/>
  <c r="S573" i="20"/>
  <c r="MO15" i="2"/>
  <c r="MO20" i="2"/>
  <c r="MO17" i="2"/>
  <c r="MO18" i="2" l="1"/>
  <c r="MQ12" i="2"/>
  <c r="R573" i="20"/>
  <c r="Q573" i="20" s="1"/>
  <c r="P573" i="20" s="1"/>
  <c r="O574" i="20"/>
  <c r="MP17" i="2"/>
  <c r="MP16" i="2"/>
  <c r="MP15" i="2"/>
  <c r="MP19" i="2"/>
  <c r="MP20" i="2"/>
  <c r="S574" i="20"/>
  <c r="MP18" i="2" l="1"/>
  <c r="MR12" i="2"/>
  <c r="R574" i="20"/>
  <c r="Q574" i="20" s="1"/>
  <c r="P574" i="20" s="1"/>
  <c r="O575" i="20"/>
  <c r="MQ17" i="2"/>
  <c r="MQ15" i="2"/>
  <c r="MQ19" i="2"/>
  <c r="MQ16" i="2"/>
  <c r="S575" i="20"/>
  <c r="MQ20" i="2"/>
  <c r="MQ18" i="2" l="1"/>
  <c r="MS12" i="2"/>
  <c r="R575" i="20"/>
  <c r="Q575" i="20" s="1"/>
  <c r="P575" i="20" s="1"/>
  <c r="O576" i="20"/>
  <c r="MR19" i="2"/>
  <c r="MR17" i="2"/>
  <c r="MR16" i="2"/>
  <c r="MR15" i="2"/>
  <c r="S576" i="20"/>
  <c r="MR20" i="2"/>
  <c r="MR18" i="2" l="1"/>
  <c r="MT12" i="2"/>
  <c r="R576" i="20"/>
  <c r="Q576" i="20" s="1"/>
  <c r="P576" i="20" s="1"/>
  <c r="O577" i="20"/>
  <c r="EY21" i="9"/>
  <c r="MS17" i="2"/>
  <c r="MS20" i="2"/>
  <c r="MS15" i="2"/>
  <c r="S577" i="20"/>
  <c r="MS16" i="2"/>
  <c r="EY15" i="9"/>
  <c r="MS19" i="2"/>
  <c r="MS18" i="2" l="1"/>
  <c r="MU12" i="2"/>
  <c r="R577" i="20"/>
  <c r="O578" i="20"/>
  <c r="FE18" i="9"/>
  <c r="FE15" i="9"/>
  <c r="EZ21" i="9"/>
  <c r="FC21" i="9" s="1"/>
  <c r="FF21" i="9" s="1"/>
  <c r="FI21" i="9" s="1"/>
  <c r="FA21" i="9"/>
  <c r="FD21" i="9" s="1"/>
  <c r="FG21" i="9" s="1"/>
  <c r="FJ21" i="9" s="1"/>
  <c r="FB21" i="9"/>
  <c r="FE21" i="9" s="1"/>
  <c r="FH21" i="9" s="1"/>
  <c r="S578" i="20"/>
  <c r="MT20" i="2"/>
  <c r="MT16" i="2"/>
  <c r="MT19" i="2"/>
  <c r="MT15" i="2"/>
  <c r="MT17" i="2"/>
  <c r="MT18" i="2" l="1"/>
  <c r="MV12" i="2"/>
  <c r="R578" i="20"/>
  <c r="Q578" i="20" s="1"/>
  <c r="P578" i="20" s="1"/>
  <c r="O579" i="20"/>
  <c r="Q577" i="20"/>
  <c r="P577" i="20" s="1"/>
  <c r="EZ15" i="9"/>
  <c r="FA15" i="9" s="1"/>
  <c r="FB15" i="9" s="1"/>
  <c r="FA22" i="9"/>
  <c r="FA23" i="9" s="1"/>
  <c r="FE22" i="9"/>
  <c r="FE23" i="9" s="1"/>
  <c r="FB22" i="9"/>
  <c r="FB23" i="9" s="1"/>
  <c r="FF22" i="9"/>
  <c r="EY22" i="9"/>
  <c r="EY28" i="9" s="1"/>
  <c r="FC22" i="9"/>
  <c r="FC23" i="9" s="1"/>
  <c r="EZ22" i="9"/>
  <c r="EZ23" i="9" s="1"/>
  <c r="FD22" i="9"/>
  <c r="FD23" i="9" s="1"/>
  <c r="FE16" i="9"/>
  <c r="FH15" i="9"/>
  <c r="FG22" i="9"/>
  <c r="MU15" i="2"/>
  <c r="FH17" i="9"/>
  <c r="FA25" i="9"/>
  <c r="FI22" i="9"/>
  <c r="MU19" i="2"/>
  <c r="FB25" i="9"/>
  <c r="S579" i="20"/>
  <c r="EZ25" i="9"/>
  <c r="FD24" i="9"/>
  <c r="FE25" i="9"/>
  <c r="FJ22" i="9"/>
  <c r="MU16" i="2"/>
  <c r="MU17" i="2"/>
  <c r="FA24" i="9"/>
  <c r="FB24" i="9"/>
  <c r="FH16" i="9"/>
  <c r="EZ24" i="9"/>
  <c r="MU20" i="2"/>
  <c r="FF24" i="9"/>
  <c r="FE24" i="9"/>
  <c r="FD25" i="9"/>
  <c r="FH22" i="9"/>
  <c r="FC24" i="9"/>
  <c r="FC25" i="9"/>
  <c r="FH18" i="9"/>
  <c r="MU18" i="2" l="1"/>
  <c r="MW12" i="2"/>
  <c r="R579" i="20"/>
  <c r="Q579" i="20" s="1"/>
  <c r="P579" i="20" s="1"/>
  <c r="O580" i="20"/>
  <c r="FI18" i="9"/>
  <c r="FI17" i="9"/>
  <c r="FC15" i="9"/>
  <c r="FI15" i="9"/>
  <c r="FI16" i="9"/>
  <c r="EY23" i="9"/>
  <c r="FH23" i="9"/>
  <c r="FI23" i="9"/>
  <c r="FG23" i="9"/>
  <c r="FJ23" i="9"/>
  <c r="FF23" i="9"/>
  <c r="FD26" i="9"/>
  <c r="FD27" i="9" s="1"/>
  <c r="FC26" i="9"/>
  <c r="FC27" i="9" s="1"/>
  <c r="EZ26" i="9"/>
  <c r="EZ27" i="9" s="1"/>
  <c r="FE26" i="9"/>
  <c r="FE27" i="9" s="1"/>
  <c r="FB26" i="9"/>
  <c r="FB27" i="9" s="1"/>
  <c r="FA26" i="9"/>
  <c r="FA27" i="9" s="1"/>
  <c r="FJ17" i="9"/>
  <c r="FJ24" i="9"/>
  <c r="FI25" i="9"/>
  <c r="FG24" i="9"/>
  <c r="FJ18" i="9"/>
  <c r="FJ16" i="9"/>
  <c r="EY25" i="9"/>
  <c r="MV20" i="2"/>
  <c r="FJ15" i="9"/>
  <c r="FG25" i="9"/>
  <c r="S580" i="20"/>
  <c r="EY24" i="9"/>
  <c r="MV15" i="2"/>
  <c r="FJ25" i="9"/>
  <c r="MV17" i="2"/>
  <c r="FH25" i="9"/>
  <c r="MV16" i="2"/>
  <c r="FH24" i="9"/>
  <c r="FI24" i="9"/>
  <c r="FF25" i="9"/>
  <c r="MV19" i="2"/>
  <c r="MV18" i="2" l="1"/>
  <c r="MX12" i="2"/>
  <c r="R580" i="20"/>
  <c r="Q580" i="20" s="1"/>
  <c r="P580" i="20" s="1"/>
  <c r="O581" i="20"/>
  <c r="EY13" i="9"/>
  <c r="EY18" i="9"/>
  <c r="EZ18" i="9" s="1"/>
  <c r="FA18" i="9" s="1"/>
  <c r="FB18" i="9" s="1"/>
  <c r="FC18" i="9" s="1"/>
  <c r="EY12" i="9"/>
  <c r="EY17" i="9"/>
  <c r="EZ17" i="9" s="1"/>
  <c r="FA17" i="9" s="1"/>
  <c r="EZ32" i="9"/>
  <c r="FA32" i="9" s="1"/>
  <c r="FB32" i="9" s="1"/>
  <c r="FC32" i="9" s="1"/>
  <c r="FD32" i="9" s="1"/>
  <c r="FB41" i="9"/>
  <c r="FB42" i="9" s="1"/>
  <c r="EY26" i="9"/>
  <c r="EZ36" i="9" s="1"/>
  <c r="FJ26" i="9"/>
  <c r="FJ27" i="9" s="1"/>
  <c r="FI26" i="9"/>
  <c r="FI27" i="9" s="1"/>
  <c r="FG26" i="9"/>
  <c r="FG27" i="9" s="1"/>
  <c r="FF26" i="9"/>
  <c r="FF27" i="9" s="1"/>
  <c r="FH26" i="9"/>
  <c r="FH27" i="9" s="1"/>
  <c r="MW16" i="2"/>
  <c r="MW15" i="2"/>
  <c r="S581" i="20"/>
  <c r="MW20" i="2"/>
  <c r="MW17" i="2"/>
  <c r="MW19" i="2"/>
  <c r="MW18" i="2" l="1"/>
  <c r="MY12" i="2"/>
  <c r="R581" i="20"/>
  <c r="Q581" i="20" s="1"/>
  <c r="P581" i="20" s="1"/>
  <c r="O582" i="20"/>
  <c r="FB17" i="9"/>
  <c r="FC17" i="9" s="1"/>
  <c r="FD18" i="9"/>
  <c r="FD17" i="9"/>
  <c r="FD15" i="9"/>
  <c r="FD16" i="9"/>
  <c r="EY27" i="9"/>
  <c r="EY29" i="9" s="1"/>
  <c r="EY30" i="9" s="1"/>
  <c r="EY31" i="9" s="1"/>
  <c r="EZ31" i="9" s="1"/>
  <c r="FA31" i="9" s="1"/>
  <c r="FB31" i="9" s="1"/>
  <c r="FC31" i="9" s="1"/>
  <c r="FD31" i="9" s="1"/>
  <c r="FE31" i="9" s="1"/>
  <c r="FF31" i="9" s="1"/>
  <c r="FG31" i="9" s="1"/>
  <c r="FH31" i="9" s="1"/>
  <c r="FI31" i="9" s="1"/>
  <c r="FJ31" i="9" s="1"/>
  <c r="FA36" i="9"/>
  <c r="FB36" i="9" s="1"/>
  <c r="FC36" i="9" s="1"/>
  <c r="FD36" i="9" s="1"/>
  <c r="MX19" i="2"/>
  <c r="S582" i="20"/>
  <c r="FF16" i="9"/>
  <c r="MX16" i="2"/>
  <c r="MX15" i="2"/>
  <c r="FF17" i="9"/>
  <c r="FF18" i="9"/>
  <c r="MX17" i="2"/>
  <c r="MX20" i="2"/>
  <c r="FF15" i="9"/>
  <c r="MX18" i="2" l="1"/>
  <c r="MZ12" i="2"/>
  <c r="R582" i="20"/>
  <c r="O583" i="20"/>
  <c r="FM21" i="9"/>
  <c r="FM22" i="9" s="1"/>
  <c r="FK16" i="9"/>
  <c r="S583" i="20"/>
  <c r="FN18" i="9"/>
  <c r="FN15" i="9"/>
  <c r="MY16" i="2"/>
  <c r="FN17" i="9"/>
  <c r="MY17" i="2"/>
  <c r="MY19" i="2"/>
  <c r="FK15" i="9"/>
  <c r="FN16" i="9"/>
  <c r="FK17" i="9"/>
  <c r="FK18" i="9"/>
  <c r="MY15" i="2"/>
  <c r="MY20" i="2"/>
  <c r="MY18" i="2" l="1"/>
  <c r="NA12" i="2"/>
  <c r="O584" i="20"/>
  <c r="R583" i="20"/>
  <c r="Q582" i="20"/>
  <c r="P582" i="20" s="1"/>
  <c r="FS17" i="9"/>
  <c r="FT17" i="9" s="1"/>
  <c r="FU17" i="9" s="1"/>
  <c r="S584" i="20"/>
  <c r="MZ16" i="2"/>
  <c r="MZ17" i="2"/>
  <c r="FL17" i="9"/>
  <c r="MZ15" i="2"/>
  <c r="FL18" i="9"/>
  <c r="MZ19" i="2"/>
  <c r="FL15" i="9"/>
  <c r="FL16" i="9"/>
  <c r="MZ20" i="2"/>
  <c r="MZ18" i="2" l="1"/>
  <c r="NB12" i="2"/>
  <c r="Q583" i="20"/>
  <c r="P583" i="20" s="1"/>
  <c r="O585" i="20"/>
  <c r="R584" i="20"/>
  <c r="Q584" i="20" s="1"/>
  <c r="P584" i="20" s="1"/>
  <c r="FR24" i="9"/>
  <c r="FS19" i="9"/>
  <c r="FT19" i="9" s="1"/>
  <c r="NA17" i="2"/>
  <c r="S585" i="20"/>
  <c r="NA15" i="2"/>
  <c r="NA19" i="2"/>
  <c r="NA16" i="2"/>
  <c r="NA20" i="2"/>
  <c r="NA18" i="2" l="1"/>
  <c r="NC12" i="2"/>
  <c r="FS24" i="9"/>
  <c r="FT24" i="9" s="1"/>
  <c r="FU24" i="9" s="1"/>
  <c r="O586" i="20"/>
  <c r="R585" i="20"/>
  <c r="FU19" i="9"/>
  <c r="FV21" i="9"/>
  <c r="FS20" i="9"/>
  <c r="FT20" i="9" s="1"/>
  <c r="FU20" i="9" s="1"/>
  <c r="FS21" i="9"/>
  <c r="FT21" i="9" s="1"/>
  <c r="FU21" i="9" s="1"/>
  <c r="NB20" i="2"/>
  <c r="NB17" i="2"/>
  <c r="NB15" i="2"/>
  <c r="NB16" i="2"/>
  <c r="S586" i="20"/>
  <c r="NB19" i="2"/>
  <c r="NB18" i="2" l="1"/>
  <c r="ND12" i="2"/>
  <c r="Q585" i="20"/>
  <c r="P585" i="20" s="1"/>
  <c r="O587" i="20"/>
  <c r="R586" i="20"/>
  <c r="Q586" i="20" s="1"/>
  <c r="P586" i="20" s="1"/>
  <c r="AC13" i="19"/>
  <c r="AC17" i="19" s="1"/>
  <c r="AC18" i="19" s="1"/>
  <c r="NC15" i="2"/>
  <c r="NC20" i="2"/>
  <c r="NC17" i="2"/>
  <c r="S587" i="20"/>
  <c r="NC19" i="2"/>
  <c r="NC16" i="2"/>
  <c r="NC18" i="2" l="1"/>
  <c r="NE12" i="2"/>
  <c r="R587" i="20"/>
  <c r="O588" i="20"/>
  <c r="X28" i="19"/>
  <c r="Y28" i="19" s="1"/>
  <c r="X12" i="19"/>
  <c r="Y12" i="19" s="1"/>
  <c r="W6" i="19"/>
  <c r="X6" i="19" s="1"/>
  <c r="Y6" i="19" s="1"/>
  <c r="Z6" i="19" s="1"/>
  <c r="AA6" i="19" s="1"/>
  <c r="X23" i="19"/>
  <c r="Y23" i="19" s="1"/>
  <c r="AC20" i="19"/>
  <c r="AC19" i="19"/>
  <c r="W24" i="19"/>
  <c r="ND19" i="2"/>
  <c r="ND15" i="2"/>
  <c r="S588" i="20"/>
  <c r="ND20" i="2"/>
  <c r="ND16" i="2"/>
  <c r="ND17" i="2"/>
  <c r="ND18" i="2" l="1"/>
  <c r="NF12" i="2"/>
  <c r="R588" i="20"/>
  <c r="O589" i="20"/>
  <c r="Q587" i="20"/>
  <c r="P587" i="20" s="1"/>
  <c r="Z28" i="19"/>
  <c r="AA28" i="19" s="1"/>
  <c r="Z12" i="19"/>
  <c r="AA12" i="19" s="1"/>
  <c r="X29" i="19"/>
  <c r="Y29" i="19" s="1"/>
  <c r="Z23" i="19"/>
  <c r="AA23" i="19" s="1"/>
  <c r="X24" i="19"/>
  <c r="W7" i="19"/>
  <c r="NE17" i="2"/>
  <c r="S589" i="20"/>
  <c r="NE19" i="2"/>
  <c r="NE15" i="2"/>
  <c r="NE16" i="2"/>
  <c r="NE20" i="2"/>
  <c r="NE18" i="2" l="1"/>
  <c r="NG12" i="2"/>
  <c r="R589" i="20"/>
  <c r="Q589" i="20" s="1"/>
  <c r="P589" i="20" s="1"/>
  <c r="O590" i="20"/>
  <c r="Q588" i="20"/>
  <c r="P588" i="20" s="1"/>
  <c r="Z29" i="19"/>
  <c r="AA29" i="19" s="1"/>
  <c r="W17" i="19"/>
  <c r="Y24" i="19"/>
  <c r="Z24" i="19" s="1"/>
  <c r="X7" i="19"/>
  <c r="Y7" i="19" s="1"/>
  <c r="Z7" i="19" s="1"/>
  <c r="AA7" i="19" s="1"/>
  <c r="W5" i="19"/>
  <c r="X5" i="19" s="1"/>
  <c r="NF20" i="2"/>
  <c r="S590" i="20"/>
  <c r="NF17" i="2"/>
  <c r="NF15" i="2"/>
  <c r="NF19" i="2"/>
  <c r="W18" i="19"/>
  <c r="NF16" i="2"/>
  <c r="NF18" i="2" l="1"/>
  <c r="NH12" i="2"/>
  <c r="R590" i="20"/>
  <c r="Q590" i="20" s="1"/>
  <c r="P590" i="20" s="1"/>
  <c r="O591" i="20"/>
  <c r="Y5" i="19"/>
  <c r="Z5" i="19" s="1"/>
  <c r="AA5" i="19" s="1"/>
  <c r="AA24" i="19"/>
  <c r="X17" i="19"/>
  <c r="Y17" i="19" s="1"/>
  <c r="NG15" i="2"/>
  <c r="NG16" i="2"/>
  <c r="W19" i="19"/>
  <c r="W20" i="19"/>
  <c r="NG17" i="2"/>
  <c r="NG20" i="2"/>
  <c r="S591" i="20"/>
  <c r="NG19" i="2"/>
  <c r="NG18" i="2" l="1"/>
  <c r="NI12" i="2"/>
  <c r="R591" i="20"/>
  <c r="Q591" i="20" s="1"/>
  <c r="P591" i="20" s="1"/>
  <c r="O592" i="20"/>
  <c r="Z17" i="19"/>
  <c r="AA17" i="19" s="1"/>
  <c r="NH15" i="2"/>
  <c r="W22" i="19"/>
  <c r="W32" i="19"/>
  <c r="S592" i="20"/>
  <c r="NH20" i="2"/>
  <c r="NH17" i="2"/>
  <c r="W47" i="19"/>
  <c r="NH19" i="2"/>
  <c r="W21" i="19"/>
  <c r="NH16" i="2"/>
  <c r="NH18" i="2" l="1"/>
  <c r="NJ12" i="2"/>
  <c r="R592" i="20"/>
  <c r="Q592" i="20" s="1"/>
  <c r="P592" i="20" s="1"/>
  <c r="O593" i="20"/>
  <c r="X11" i="19"/>
  <c r="NI15" i="2"/>
  <c r="S593" i="20"/>
  <c r="W30" i="19"/>
  <c r="W25" i="19"/>
  <c r="NI16" i="2"/>
  <c r="NI20" i="2"/>
  <c r="NI17" i="2"/>
  <c r="NI19" i="2"/>
  <c r="NI18" i="2" l="1"/>
  <c r="NK12" i="2"/>
  <c r="R593" i="20"/>
  <c r="Q593" i="20" s="1"/>
  <c r="P593" i="20" s="1"/>
  <c r="O594" i="20"/>
  <c r="X13" i="19"/>
  <c r="Y13" i="19" s="1"/>
  <c r="Z13" i="19" s="1"/>
  <c r="AA13" i="19" s="1"/>
  <c r="Y11" i="19"/>
  <c r="NJ20" i="2"/>
  <c r="NJ15" i="2"/>
  <c r="W49" i="19"/>
  <c r="NJ19" i="2"/>
  <c r="S594" i="20"/>
  <c r="NJ16" i="2"/>
  <c r="NJ17" i="2"/>
  <c r="NJ18" i="2" l="1"/>
  <c r="NL12" i="2"/>
  <c r="R594" i="20"/>
  <c r="Q594" i="20" s="1"/>
  <c r="P594" i="20" s="1"/>
  <c r="O595" i="20"/>
  <c r="X14" i="19"/>
  <c r="Y14" i="19" s="1"/>
  <c r="Z14" i="19" s="1"/>
  <c r="Z11" i="19"/>
  <c r="AA11" i="19" s="1"/>
  <c r="NK17" i="2"/>
  <c r="S595" i="20"/>
  <c r="NK20" i="2"/>
  <c r="NK19" i="2"/>
  <c r="NK16" i="2"/>
  <c r="NK15" i="2"/>
  <c r="NK18" i="2" l="1"/>
  <c r="NM12" i="2"/>
  <c r="R595" i="20"/>
  <c r="Q595" i="20" s="1"/>
  <c r="P595" i="20" s="1"/>
  <c r="O596" i="20"/>
  <c r="AA14" i="19"/>
  <c r="X15" i="19"/>
  <c r="Y15" i="19" s="1"/>
  <c r="X16" i="19"/>
  <c r="Y16" i="19" s="1"/>
  <c r="NL16" i="2"/>
  <c r="NL15" i="2"/>
  <c r="NL19" i="2"/>
  <c r="NL17" i="2"/>
  <c r="NL20" i="2"/>
  <c r="S596" i="20"/>
  <c r="NL18" i="2" l="1"/>
  <c r="NN12" i="2"/>
  <c r="R596" i="20"/>
  <c r="Q596" i="20" s="1"/>
  <c r="P596" i="20" s="1"/>
  <c r="O597" i="20"/>
  <c r="Z15" i="19"/>
  <c r="AA15" i="19" s="1"/>
  <c r="Z16" i="19"/>
  <c r="AA16" i="19" s="1"/>
  <c r="W52" i="19"/>
  <c r="X18" i="19"/>
  <c r="Y18" i="19" s="1"/>
  <c r="Z18" i="19" s="1"/>
  <c r="NM19" i="2"/>
  <c r="S597" i="20"/>
  <c r="NM17" i="2"/>
  <c r="NM16" i="2"/>
  <c r="NM20" i="2"/>
  <c r="NM15" i="2"/>
  <c r="NM18" i="2" l="1"/>
  <c r="NO12" i="2"/>
  <c r="O598" i="20"/>
  <c r="R597" i="20"/>
  <c r="Q597" i="20" s="1"/>
  <c r="P597" i="20" s="1"/>
  <c r="X19" i="19"/>
  <c r="Y19" i="19" s="1"/>
  <c r="Z19" i="19" s="1"/>
  <c r="AA19" i="19" s="1"/>
  <c r="X20" i="19"/>
  <c r="Y20" i="19" s="1"/>
  <c r="Z20" i="19" s="1"/>
  <c r="AA18" i="19"/>
  <c r="S598" i="20"/>
  <c r="NN19" i="2"/>
  <c r="NN20" i="2"/>
  <c r="NN15" i="2"/>
  <c r="NN17" i="2"/>
  <c r="NN16" i="2"/>
  <c r="NN18" i="2" l="1"/>
  <c r="NP12" i="2"/>
  <c r="R598" i="20"/>
  <c r="Q598" i="20" s="1"/>
  <c r="P598" i="20" s="1"/>
  <c r="O599" i="20"/>
  <c r="X32" i="19"/>
  <c r="Y32" i="19" s="1"/>
  <c r="Z32" i="19" s="1"/>
  <c r="AA32" i="19" s="1"/>
  <c r="X21" i="19"/>
  <c r="Y21" i="19" s="1"/>
  <c r="Z21" i="19" s="1"/>
  <c r="AA21" i="19" s="1"/>
  <c r="X22" i="19"/>
  <c r="Y22" i="19" s="1"/>
  <c r="Z22" i="19" s="1"/>
  <c r="AA22" i="19" s="1"/>
  <c r="X47" i="19"/>
  <c r="Y47" i="19" s="1"/>
  <c r="AA20" i="19"/>
  <c r="S599" i="20"/>
  <c r="NO19" i="2"/>
  <c r="NO16" i="2"/>
  <c r="NO17" i="2"/>
  <c r="NO20" i="2"/>
  <c r="NO15" i="2"/>
  <c r="NO18" i="2" l="1"/>
  <c r="NQ12" i="2"/>
  <c r="R599" i="20"/>
  <c r="Q599" i="20" s="1"/>
  <c r="P599" i="20" s="1"/>
  <c r="O600" i="20"/>
  <c r="W33" i="19"/>
  <c r="W34" i="19" s="1"/>
  <c r="X30" i="19"/>
  <c r="Y30" i="19" s="1"/>
  <c r="Z30" i="19" s="1"/>
  <c r="AA30" i="19" s="1"/>
  <c r="W26" i="19"/>
  <c r="W27" i="19" s="1"/>
  <c r="X25" i="19"/>
  <c r="Y25" i="19" s="1"/>
  <c r="Z47" i="19"/>
  <c r="AA47" i="19" s="1"/>
  <c r="K56" i="19"/>
  <c r="L75" i="19"/>
  <c r="NP16" i="2"/>
  <c r="W35" i="19"/>
  <c r="W38" i="19"/>
  <c r="NP19" i="2"/>
  <c r="NP20" i="2"/>
  <c r="NP17" i="2"/>
  <c r="N55" i="19"/>
  <c r="NP15" i="2"/>
  <c r="L70" i="19"/>
  <c r="N54" i="19"/>
  <c r="N56" i="19"/>
  <c r="S600" i="20"/>
  <c r="NP18" i="2" l="1"/>
  <c r="NR12" i="2"/>
  <c r="R600" i="20"/>
  <c r="Q600" i="20" s="1"/>
  <c r="P600" i="20" s="1"/>
  <c r="O601" i="20"/>
  <c r="X27" i="19"/>
  <c r="Y27" i="19" s="1"/>
  <c r="Z27" i="19" s="1"/>
  <c r="L13" i="19"/>
  <c r="L14" i="19" s="1"/>
  <c r="X33" i="19"/>
  <c r="Y33" i="19" s="1"/>
  <c r="Z25" i="19"/>
  <c r="AA25" i="19" s="1"/>
  <c r="X26" i="19"/>
  <c r="Y26" i="19" s="1"/>
  <c r="Z26" i="19" s="1"/>
  <c r="AA26" i="19" s="1"/>
  <c r="X49" i="19"/>
  <c r="Y49" i="19" s="1"/>
  <c r="Z49" i="19" s="1"/>
  <c r="X38" i="19"/>
  <c r="Y38" i="19" s="1"/>
  <c r="Z38" i="19" s="1"/>
  <c r="X35" i="19"/>
  <c r="Y35" i="19" s="1"/>
  <c r="Z35" i="19" s="1"/>
  <c r="AA35" i="19" s="1"/>
  <c r="X34" i="19"/>
  <c r="Y34" i="19" s="1"/>
  <c r="E15" i="19"/>
  <c r="O54" i="19"/>
  <c r="P54" i="19" s="1"/>
  <c r="Q54" i="19" s="1"/>
  <c r="R54" i="19" s="1"/>
  <c r="O55" i="19"/>
  <c r="P55" i="19" s="1"/>
  <c r="L59" i="19"/>
  <c r="O56" i="19"/>
  <c r="L64" i="19"/>
  <c r="M70" i="19"/>
  <c r="N70" i="19" s="1"/>
  <c r="O70" i="19" s="1"/>
  <c r="L71" i="19"/>
  <c r="M75" i="19"/>
  <c r="N75" i="19" s="1"/>
  <c r="M29" i="19"/>
  <c r="N29" i="19" s="1"/>
  <c r="L18" i="19"/>
  <c r="M24" i="19"/>
  <c r="L25" i="19"/>
  <c r="M12" i="19"/>
  <c r="V56" i="19"/>
  <c r="K104" i="19"/>
  <c r="R14" i="19"/>
  <c r="R18" i="19" s="1"/>
  <c r="R19" i="19" s="1"/>
  <c r="L58" i="19"/>
  <c r="L104" i="19"/>
  <c r="W36" i="19"/>
  <c r="W75" i="19"/>
  <c r="L103" i="19"/>
  <c r="Y55" i="19"/>
  <c r="Y54" i="19"/>
  <c r="NQ19" i="2"/>
  <c r="L126" i="19"/>
  <c r="L15" i="19"/>
  <c r="NQ15" i="2"/>
  <c r="W70" i="19"/>
  <c r="L102" i="19"/>
  <c r="L76" i="19"/>
  <c r="S601" i="20"/>
  <c r="NQ16" i="2"/>
  <c r="NQ17" i="2"/>
  <c r="Y56" i="19"/>
  <c r="L121" i="19"/>
  <c r="NQ20" i="2"/>
  <c r="NQ18" i="2" l="1"/>
  <c r="NS12" i="2"/>
  <c r="R601" i="20"/>
  <c r="O602" i="20"/>
  <c r="AA27" i="19"/>
  <c r="Z33" i="19"/>
  <c r="AA33" i="19" s="1"/>
  <c r="AA49" i="19"/>
  <c r="AA38" i="19"/>
  <c r="M76" i="19"/>
  <c r="N76" i="19" s="1"/>
  <c r="O76" i="19" s="1"/>
  <c r="L77" i="19"/>
  <c r="M77" i="19" s="1"/>
  <c r="N77" i="19" s="1"/>
  <c r="O77" i="19" s="1"/>
  <c r="Z34" i="19"/>
  <c r="AA34" i="19" s="1"/>
  <c r="X36" i="19"/>
  <c r="Y36" i="19" s="1"/>
  <c r="M30" i="19"/>
  <c r="N30" i="19" s="1"/>
  <c r="O30" i="19" s="1"/>
  <c r="P30" i="19" s="1"/>
  <c r="F15" i="19"/>
  <c r="G15" i="19" s="1"/>
  <c r="O29" i="19"/>
  <c r="P29" i="19" s="1"/>
  <c r="M15" i="19"/>
  <c r="M121" i="19"/>
  <c r="L122" i="19"/>
  <c r="M126" i="19"/>
  <c r="N126" i="19" s="1"/>
  <c r="N104" i="19"/>
  <c r="L107" i="19"/>
  <c r="N102" i="19"/>
  <c r="L112" i="19"/>
  <c r="N103" i="19"/>
  <c r="L106" i="19"/>
  <c r="Z55" i="19"/>
  <c r="AA55" i="19" s="1"/>
  <c r="W59" i="19"/>
  <c r="X70" i="19"/>
  <c r="Y70" i="19" s="1"/>
  <c r="W71" i="19"/>
  <c r="Z56" i="19"/>
  <c r="AA56" i="19" s="1"/>
  <c r="W64" i="19"/>
  <c r="X75" i="19"/>
  <c r="Y75" i="19" s="1"/>
  <c r="Z75" i="19" s="1"/>
  <c r="Z54" i="19"/>
  <c r="AA54" i="19" s="1"/>
  <c r="AB54" i="19" s="1"/>
  <c r="AC54" i="19" s="1"/>
  <c r="W58" i="19"/>
  <c r="O75" i="19"/>
  <c r="P75" i="19" s="1"/>
  <c r="M58" i="19"/>
  <c r="L60" i="19"/>
  <c r="M14" i="19"/>
  <c r="M71" i="19"/>
  <c r="R20" i="19"/>
  <c r="R21" i="19"/>
  <c r="N24" i="19"/>
  <c r="P70" i="19"/>
  <c r="M64" i="19"/>
  <c r="N64" i="19" s="1"/>
  <c r="M59" i="19"/>
  <c r="N59" i="19" s="1"/>
  <c r="N12" i="19"/>
  <c r="O12" i="19" s="1"/>
  <c r="M25" i="19"/>
  <c r="N25" i="19" s="1"/>
  <c r="M18" i="19"/>
  <c r="N18" i="19" s="1"/>
  <c r="P56" i="19"/>
  <c r="Q56" i="19" s="1"/>
  <c r="R56" i="19" s="1"/>
  <c r="Q55" i="19"/>
  <c r="R55" i="19" s="1"/>
  <c r="M13" i="19"/>
  <c r="N13" i="19" s="1"/>
  <c r="NR20" i="2"/>
  <c r="NR17" i="2"/>
  <c r="L127" i="19"/>
  <c r="NR16" i="2"/>
  <c r="S602" i="20"/>
  <c r="NR15" i="2"/>
  <c r="L17" i="19"/>
  <c r="W37" i="19"/>
  <c r="NR19" i="2"/>
  <c r="W76" i="19"/>
  <c r="L61" i="19"/>
  <c r="L16" i="19"/>
  <c r="NR18" i="2" l="1"/>
  <c r="NT12" i="2"/>
  <c r="R602" i="20"/>
  <c r="Q602" i="20" s="1"/>
  <c r="P602" i="20" s="1"/>
  <c r="O603" i="20"/>
  <c r="Q601" i="20"/>
  <c r="P601" i="20" s="1"/>
  <c r="P76" i="19"/>
  <c r="X37" i="19"/>
  <c r="Y37" i="19" s="1"/>
  <c r="W39" i="19"/>
  <c r="Z36" i="19"/>
  <c r="AA36" i="19" s="1"/>
  <c r="M127" i="19"/>
  <c r="N127" i="19" s="1"/>
  <c r="X76" i="19"/>
  <c r="Y76" i="19" s="1"/>
  <c r="Z76" i="19" s="1"/>
  <c r="W77" i="19"/>
  <c r="X77" i="19" s="1"/>
  <c r="Y77" i="19" s="1"/>
  <c r="M17" i="19"/>
  <c r="N17" i="19" s="1"/>
  <c r="O17" i="19" s="1"/>
  <c r="M16" i="19"/>
  <c r="N16" i="19" s="1"/>
  <c r="L19" i="19"/>
  <c r="AB56" i="19"/>
  <c r="AC56" i="19" s="1"/>
  <c r="H15" i="19"/>
  <c r="I15" i="19" s="1"/>
  <c r="AB55" i="19"/>
  <c r="AC55" i="19" s="1"/>
  <c r="O24" i="19"/>
  <c r="P24" i="19" s="1"/>
  <c r="O25" i="19"/>
  <c r="P25" i="19" s="1"/>
  <c r="M61" i="19"/>
  <c r="N61" i="19" s="1"/>
  <c r="O61" i="19" s="1"/>
  <c r="P61" i="19" s="1"/>
  <c r="O18" i="19"/>
  <c r="P18" i="19" s="1"/>
  <c r="O126" i="19"/>
  <c r="P126" i="19" s="1"/>
  <c r="O64" i="19"/>
  <c r="P64" i="19" s="1"/>
  <c r="Z70" i="19"/>
  <c r="AA70" i="19" s="1"/>
  <c r="M60" i="19"/>
  <c r="X58" i="19"/>
  <c r="W60" i="19"/>
  <c r="X64" i="19"/>
  <c r="X71" i="19"/>
  <c r="Y71" i="19" s="1"/>
  <c r="Z71" i="19" s="1"/>
  <c r="O102" i="19"/>
  <c r="P102" i="19" s="1"/>
  <c r="N71" i="19"/>
  <c r="O71" i="19" s="1"/>
  <c r="P71" i="19" s="1"/>
  <c r="AA75" i="19"/>
  <c r="M106" i="19"/>
  <c r="N106" i="19" s="1"/>
  <c r="L108" i="19"/>
  <c r="M107" i="19"/>
  <c r="N121" i="19"/>
  <c r="O121" i="19" s="1"/>
  <c r="O13" i="19"/>
  <c r="P13" i="19" s="1"/>
  <c r="O59" i="19"/>
  <c r="P59" i="19" s="1"/>
  <c r="P77" i="19"/>
  <c r="N14" i="19"/>
  <c r="O14" i="19" s="1"/>
  <c r="N58" i="19"/>
  <c r="O58" i="19" s="1"/>
  <c r="X59" i="19"/>
  <c r="O103" i="19"/>
  <c r="P103" i="19" s="1"/>
  <c r="Q103" i="19" s="1"/>
  <c r="R103" i="19" s="1"/>
  <c r="O104" i="19"/>
  <c r="P104" i="19" s="1"/>
  <c r="Q104" i="19" s="1"/>
  <c r="R104" i="19" s="1"/>
  <c r="N15" i="19"/>
  <c r="O15" i="19" s="1"/>
  <c r="P12" i="19"/>
  <c r="M112" i="19"/>
  <c r="N112" i="19" s="1"/>
  <c r="M122" i="19"/>
  <c r="NS17" i="2"/>
  <c r="NS16" i="2"/>
  <c r="NS20" i="2"/>
  <c r="L62" i="19"/>
  <c r="L63" i="19"/>
  <c r="L20" i="19"/>
  <c r="S603" i="20"/>
  <c r="NS15" i="2"/>
  <c r="NS19" i="2"/>
  <c r="W61" i="19"/>
  <c r="W40" i="19"/>
  <c r="L109" i="19"/>
  <c r="L21" i="19"/>
  <c r="NS18" i="2" l="1"/>
  <c r="NU12" i="2"/>
  <c r="R603" i="20"/>
  <c r="O604" i="20"/>
  <c r="M19" i="19"/>
  <c r="N19" i="19" s="1"/>
  <c r="X40" i="19"/>
  <c r="Y40" i="19" s="1"/>
  <c r="X39" i="19"/>
  <c r="Y39" i="19" s="1"/>
  <c r="Z39" i="19" s="1"/>
  <c r="AA39" i="19" s="1"/>
  <c r="Z37" i="19"/>
  <c r="AA37" i="19" s="1"/>
  <c r="O127" i="19"/>
  <c r="P127" i="19" s="1"/>
  <c r="O16" i="19"/>
  <c r="P16" i="19" s="1"/>
  <c r="L53" i="19"/>
  <c r="M63" i="19"/>
  <c r="N63" i="19" s="1"/>
  <c r="M62" i="19"/>
  <c r="N62" i="19" s="1"/>
  <c r="M21" i="19"/>
  <c r="N21" i="19" s="1"/>
  <c r="L23" i="19"/>
  <c r="M20" i="19"/>
  <c r="N20" i="19" s="1"/>
  <c r="O20" i="19" s="1"/>
  <c r="L22" i="19"/>
  <c r="M22" i="19" s="1"/>
  <c r="N22" i="19" s="1"/>
  <c r="P14" i="19"/>
  <c r="Q102" i="19"/>
  <c r="R102" i="19" s="1"/>
  <c r="P17" i="19"/>
  <c r="AA71" i="19"/>
  <c r="N60" i="19"/>
  <c r="M109" i="19"/>
  <c r="N109" i="19" s="1"/>
  <c r="L110" i="19"/>
  <c r="X61" i="19"/>
  <c r="Y61" i="19" s="1"/>
  <c r="M108" i="19"/>
  <c r="N108" i="19" s="1"/>
  <c r="O108" i="19" s="1"/>
  <c r="L111" i="19"/>
  <c r="N122" i="19"/>
  <c r="O122" i="19" s="1"/>
  <c r="O112" i="19"/>
  <c r="P112" i="19" s="1"/>
  <c r="P121" i="19"/>
  <c r="Y59" i="19"/>
  <c r="N107" i="19"/>
  <c r="O107" i="19" s="1"/>
  <c r="O106" i="19"/>
  <c r="P106" i="19" s="1"/>
  <c r="Z77" i="19"/>
  <c r="AA77" i="19" s="1"/>
  <c r="Y64" i="19"/>
  <c r="Z64" i="19" s="1"/>
  <c r="AA76" i="19"/>
  <c r="Y58" i="19"/>
  <c r="Z58" i="19" s="1"/>
  <c r="P15" i="19"/>
  <c r="P58" i="19"/>
  <c r="X60" i="19"/>
  <c r="NT16" i="2"/>
  <c r="L48" i="19"/>
  <c r="NT17" i="2"/>
  <c r="W63" i="19"/>
  <c r="L33" i="19"/>
  <c r="NT15" i="2"/>
  <c r="NT19" i="2"/>
  <c r="NT20" i="2"/>
  <c r="S604" i="20"/>
  <c r="W41" i="19"/>
  <c r="L31" i="19"/>
  <c r="W62" i="19"/>
  <c r="L65" i="19"/>
  <c r="NT18" i="2" l="1"/>
  <c r="NV12" i="2"/>
  <c r="L113" i="19"/>
  <c r="R604" i="20"/>
  <c r="O605" i="20"/>
  <c r="Q603" i="20"/>
  <c r="P603" i="20" s="1"/>
  <c r="O19" i="19"/>
  <c r="P19" i="19" s="1"/>
  <c r="M33" i="19"/>
  <c r="N33" i="19" s="1"/>
  <c r="M48" i="19"/>
  <c r="N48" i="19" s="1"/>
  <c r="O48" i="19" s="1"/>
  <c r="W45" i="19"/>
  <c r="X41" i="19"/>
  <c r="Y41" i="19" s="1"/>
  <c r="Z40" i="19"/>
  <c r="AA40" i="19" s="1"/>
  <c r="L26" i="19"/>
  <c r="O21" i="19"/>
  <c r="P21" i="19" s="1"/>
  <c r="O63" i="19"/>
  <c r="P63" i="19" s="1"/>
  <c r="L34" i="19"/>
  <c r="L35" i="19" s="1"/>
  <c r="M31" i="19"/>
  <c r="N31" i="19" s="1"/>
  <c r="O31" i="19" s="1"/>
  <c r="X62" i="19"/>
  <c r="Y62" i="19" s="1"/>
  <c r="Z62" i="19" s="1"/>
  <c r="L98" i="19"/>
  <c r="M65" i="19"/>
  <c r="N65" i="19" s="1"/>
  <c r="X63" i="19"/>
  <c r="Y63" i="19" s="1"/>
  <c r="M23" i="19"/>
  <c r="N23" i="19" s="1"/>
  <c r="O23" i="19" s="1"/>
  <c r="O109" i="19"/>
  <c r="P109" i="19" s="1"/>
  <c r="Z59" i="19"/>
  <c r="AA59" i="19" s="1"/>
  <c r="AA58" i="19"/>
  <c r="AA64" i="19"/>
  <c r="P107" i="19"/>
  <c r="P122" i="19"/>
  <c r="O60" i="19"/>
  <c r="P60" i="19" s="1"/>
  <c r="M111" i="19"/>
  <c r="O62" i="19"/>
  <c r="P62" i="19" s="1"/>
  <c r="Y60" i="19"/>
  <c r="Z60" i="19" s="1"/>
  <c r="AA60" i="19" s="1"/>
  <c r="P108" i="19"/>
  <c r="Z61" i="19"/>
  <c r="AA61" i="19" s="1"/>
  <c r="O22" i="19"/>
  <c r="P22" i="19" s="1"/>
  <c r="P20" i="19"/>
  <c r="M110" i="19"/>
  <c r="N110" i="19" s="1"/>
  <c r="O110" i="19" s="1"/>
  <c r="W43" i="19"/>
  <c r="NU17" i="2"/>
  <c r="L66" i="19"/>
  <c r="S605" i="20"/>
  <c r="NU20" i="2"/>
  <c r="NU19" i="2"/>
  <c r="NU15" i="2"/>
  <c r="L50" i="19"/>
  <c r="L36" i="19"/>
  <c r="W46" i="19"/>
  <c r="L67" i="19"/>
  <c r="NU16" i="2"/>
  <c r="L114" i="19"/>
  <c r="W65" i="19"/>
  <c r="NU18" i="2" l="1"/>
  <c r="NW12" i="2"/>
  <c r="L115" i="19"/>
  <c r="R605" i="20"/>
  <c r="Q605" i="20" s="1"/>
  <c r="P605" i="20" s="1"/>
  <c r="O606" i="20"/>
  <c r="Q604" i="20"/>
  <c r="P604" i="20" s="1"/>
  <c r="L78" i="19"/>
  <c r="X45" i="19"/>
  <c r="Y45" i="19" s="1"/>
  <c r="M26" i="19"/>
  <c r="N26" i="19" s="1"/>
  <c r="O26" i="19" s="1"/>
  <c r="O33" i="19"/>
  <c r="P33" i="19" s="1"/>
  <c r="P48" i="19"/>
  <c r="X43" i="19"/>
  <c r="Y43" i="19" s="1"/>
  <c r="K3" i="19" s="1"/>
  <c r="Z41" i="19"/>
  <c r="AA41" i="19" s="1"/>
  <c r="X46" i="19"/>
  <c r="Y46" i="19" s="1"/>
  <c r="Z46" i="19" s="1"/>
  <c r="W48" i="19"/>
  <c r="W50" i="19" s="1"/>
  <c r="M67" i="19"/>
  <c r="N67" i="19" s="1"/>
  <c r="O67" i="19" s="1"/>
  <c r="P67" i="19" s="1"/>
  <c r="W44" i="19"/>
  <c r="E19" i="19" s="1"/>
  <c r="F19" i="19" s="1"/>
  <c r="G19" i="19" s="1"/>
  <c r="L27" i="19"/>
  <c r="M27" i="19" s="1"/>
  <c r="M50" i="19"/>
  <c r="N50" i="19" s="1"/>
  <c r="O50" i="19" s="1"/>
  <c r="Z63" i="19"/>
  <c r="AA63" i="19" s="1"/>
  <c r="M66" i="19"/>
  <c r="N66" i="19" s="1"/>
  <c r="O66" i="19" s="1"/>
  <c r="P31" i="19"/>
  <c r="M34" i="19"/>
  <c r="N34" i="19" s="1"/>
  <c r="P23" i="19"/>
  <c r="X65" i="19"/>
  <c r="Y65" i="19" s="1"/>
  <c r="Z65" i="19" s="1"/>
  <c r="W98" i="19"/>
  <c r="AA62" i="19"/>
  <c r="O65" i="19"/>
  <c r="P65" i="19" s="1"/>
  <c r="M114" i="19"/>
  <c r="M36" i="19"/>
  <c r="N36" i="19" s="1"/>
  <c r="L37" i="19"/>
  <c r="M113" i="19"/>
  <c r="N113" i="19" s="1"/>
  <c r="M35" i="19"/>
  <c r="N111" i="19"/>
  <c r="O111" i="19" s="1"/>
  <c r="P110" i="19"/>
  <c r="NV17" i="2"/>
  <c r="NV20" i="2"/>
  <c r="L79" i="19"/>
  <c r="NV16" i="2"/>
  <c r="W66" i="19"/>
  <c r="L93" i="19"/>
  <c r="L38" i="19"/>
  <c r="S606" i="20"/>
  <c r="W67" i="19"/>
  <c r="W51" i="19"/>
  <c r="L69" i="19"/>
  <c r="NV19" i="2"/>
  <c r="L68" i="19"/>
  <c r="NV15" i="2"/>
  <c r="NV18" i="2" l="1"/>
  <c r="NX12" i="2"/>
  <c r="R606" i="20"/>
  <c r="Q606" i="20" s="1"/>
  <c r="P606" i="20" s="1"/>
  <c r="O607" i="20"/>
  <c r="L3" i="19"/>
  <c r="M3" i="19" s="1"/>
  <c r="Z45" i="19"/>
  <c r="AA45" i="19" s="1"/>
  <c r="M78" i="19"/>
  <c r="N78" i="19" s="1"/>
  <c r="L28" i="19"/>
  <c r="X48" i="19"/>
  <c r="Y48" i="19" s="1"/>
  <c r="Z48" i="19" s="1"/>
  <c r="AA48" i="19" s="1"/>
  <c r="X66" i="19"/>
  <c r="Y66" i="19" s="1"/>
  <c r="Z66" i="19" s="1"/>
  <c r="AA66" i="19" s="1"/>
  <c r="AA46" i="19"/>
  <c r="X44" i="19"/>
  <c r="Y44" i="19" s="1"/>
  <c r="Z44" i="19" s="1"/>
  <c r="AA44" i="19" s="1"/>
  <c r="M93" i="19"/>
  <c r="N93" i="19" s="1"/>
  <c r="M79" i="19"/>
  <c r="N79" i="19" s="1"/>
  <c r="O79" i="19" s="1"/>
  <c r="P79" i="19" s="1"/>
  <c r="W78" i="19"/>
  <c r="X67" i="19"/>
  <c r="Y67" i="19" s="1"/>
  <c r="Z67" i="19" s="1"/>
  <c r="P50" i="19"/>
  <c r="Z43" i="19"/>
  <c r="AA43" i="19" s="1"/>
  <c r="X51" i="19"/>
  <c r="Y51" i="19" s="1"/>
  <c r="Z51" i="19" s="1"/>
  <c r="O34" i="19"/>
  <c r="P34" i="19" s="1"/>
  <c r="H19" i="19"/>
  <c r="I19" i="19" s="1"/>
  <c r="X50" i="19"/>
  <c r="M68" i="19"/>
  <c r="N68" i="19" s="1"/>
  <c r="M69" i="19"/>
  <c r="N69" i="19" s="1"/>
  <c r="O69" i="19" s="1"/>
  <c r="P66" i="19"/>
  <c r="AA65" i="19"/>
  <c r="P26" i="19"/>
  <c r="M38" i="19"/>
  <c r="N38" i="19" s="1"/>
  <c r="O113" i="19"/>
  <c r="P113" i="19" s="1"/>
  <c r="N27" i="19"/>
  <c r="O27" i="19" s="1"/>
  <c r="P27" i="19" s="1"/>
  <c r="N35" i="19"/>
  <c r="O35" i="19" s="1"/>
  <c r="P35" i="19" s="1"/>
  <c r="M37" i="19"/>
  <c r="N37" i="19" s="1"/>
  <c r="O37" i="19" s="1"/>
  <c r="O36" i="19"/>
  <c r="P36" i="19" s="1"/>
  <c r="N114" i="19"/>
  <c r="P111" i="19"/>
  <c r="M115" i="19"/>
  <c r="N115" i="19" s="1"/>
  <c r="L116" i="19"/>
  <c r="NW15" i="2"/>
  <c r="S607" i="20"/>
  <c r="L118" i="19"/>
  <c r="L39" i="19"/>
  <c r="L80" i="19"/>
  <c r="W68" i="19"/>
  <c r="L72" i="19"/>
  <c r="NW16" i="2"/>
  <c r="NW17" i="2"/>
  <c r="W69" i="19"/>
  <c r="NW20" i="2"/>
  <c r="W93" i="19"/>
  <c r="W79" i="19"/>
  <c r="L117" i="19"/>
  <c r="NW19" i="2"/>
  <c r="NW18" i="2" l="1"/>
  <c r="NY12" i="2"/>
  <c r="R607" i="20"/>
  <c r="Q607" i="20" s="1"/>
  <c r="P607" i="20" s="1"/>
  <c r="O608" i="20"/>
  <c r="N3" i="19"/>
  <c r="O3" i="19" s="1"/>
  <c r="O78" i="19"/>
  <c r="P78" i="19" s="1"/>
  <c r="M28" i="19"/>
  <c r="N28" i="19" s="1"/>
  <c r="X78" i="19"/>
  <c r="Y78" i="19" s="1"/>
  <c r="Z78" i="19" s="1"/>
  <c r="AA78" i="19" s="1"/>
  <c r="X93" i="19"/>
  <c r="Y93" i="19" s="1"/>
  <c r="Z93" i="19" s="1"/>
  <c r="AA93" i="19" s="1"/>
  <c r="M80" i="19"/>
  <c r="N80" i="19" s="1"/>
  <c r="O80" i="19" s="1"/>
  <c r="L81" i="19"/>
  <c r="M81" i="19" s="1"/>
  <c r="N81" i="19" s="1"/>
  <c r="O81" i="19" s="1"/>
  <c r="L40" i="19"/>
  <c r="M39" i="19"/>
  <c r="N39" i="19" s="1"/>
  <c r="X68" i="19"/>
  <c r="Y68" i="19" s="1"/>
  <c r="X69" i="19"/>
  <c r="Y69" i="19" s="1"/>
  <c r="Z69" i="19" s="1"/>
  <c r="AA67" i="19"/>
  <c r="O93" i="19"/>
  <c r="P93" i="19" s="1"/>
  <c r="X79" i="19"/>
  <c r="Y79" i="19" s="1"/>
  <c r="Z79" i="19" s="1"/>
  <c r="AA79" i="19" s="1"/>
  <c r="AA51" i="19"/>
  <c r="P69" i="19"/>
  <c r="Y50" i="19"/>
  <c r="Z50" i="19" s="1"/>
  <c r="AA50" i="19" s="1"/>
  <c r="L73" i="19"/>
  <c r="L74" i="19" s="1"/>
  <c r="M72" i="19"/>
  <c r="N72" i="19" s="1"/>
  <c r="O72" i="19" s="1"/>
  <c r="P72" i="19" s="1"/>
  <c r="O68" i="19"/>
  <c r="P68" i="19" s="1"/>
  <c r="M117" i="19"/>
  <c r="M118" i="19"/>
  <c r="L129" i="19"/>
  <c r="O38" i="19"/>
  <c r="P38" i="19" s="1"/>
  <c r="L148" i="19"/>
  <c r="M116" i="19"/>
  <c r="O114" i="19"/>
  <c r="P114" i="19" s="1"/>
  <c r="O115" i="19"/>
  <c r="P115" i="19" s="1"/>
  <c r="P37" i="19"/>
  <c r="NX20" i="2"/>
  <c r="L95" i="19"/>
  <c r="L143" i="19"/>
  <c r="NX19" i="2"/>
  <c r="L119" i="19"/>
  <c r="L41" i="19"/>
  <c r="L120" i="19"/>
  <c r="W72" i="19"/>
  <c r="NX17" i="2"/>
  <c r="W80" i="19"/>
  <c r="NX16" i="2"/>
  <c r="NX15" i="2"/>
  <c r="L86" i="19"/>
  <c r="L130" i="19"/>
  <c r="S608" i="20"/>
  <c r="NX18" i="2" l="1"/>
  <c r="NZ12" i="2"/>
  <c r="L82" i="19"/>
  <c r="M82" i="19" s="1"/>
  <c r="N82" i="19" s="1"/>
  <c r="O82" i="19" s="1"/>
  <c r="P82" i="19" s="1"/>
  <c r="R608" i="20"/>
  <c r="Q608" i="20" s="1"/>
  <c r="P608" i="20" s="1"/>
  <c r="O609" i="20"/>
  <c r="O28" i="19"/>
  <c r="P28" i="19" s="1"/>
  <c r="M40" i="19"/>
  <c r="N40" i="19" s="1"/>
  <c r="O40" i="19" s="1"/>
  <c r="W81" i="19"/>
  <c r="X81" i="19" s="1"/>
  <c r="Y81" i="19" s="1"/>
  <c r="X80" i="19"/>
  <c r="Y80" i="19" s="1"/>
  <c r="Z80" i="19" s="1"/>
  <c r="P81" i="19"/>
  <c r="Z68" i="19"/>
  <c r="AA68" i="19" s="1"/>
  <c r="M95" i="19"/>
  <c r="N95" i="19" s="1"/>
  <c r="P80" i="19"/>
  <c r="M41" i="19"/>
  <c r="N41" i="19" s="1"/>
  <c r="O41" i="19" s="1"/>
  <c r="L42" i="19"/>
  <c r="L44" i="19" s="1"/>
  <c r="AA69" i="19"/>
  <c r="W73" i="19"/>
  <c r="X73" i="19" s="1"/>
  <c r="Y73" i="19" s="1"/>
  <c r="Z73" i="19" s="1"/>
  <c r="X72" i="19"/>
  <c r="Y72" i="19" s="1"/>
  <c r="Z72" i="19" s="1"/>
  <c r="AA72" i="19" s="1"/>
  <c r="M130" i="19"/>
  <c r="N130" i="19" s="1"/>
  <c r="O130" i="19" s="1"/>
  <c r="M73" i="19"/>
  <c r="N73" i="19" s="1"/>
  <c r="M143" i="19"/>
  <c r="N143" i="19" s="1"/>
  <c r="O143" i="19" s="1"/>
  <c r="M86" i="19"/>
  <c r="N86" i="19" s="1"/>
  <c r="M74" i="19"/>
  <c r="N74" i="19" s="1"/>
  <c r="O39" i="19"/>
  <c r="P39" i="19" s="1"/>
  <c r="M129" i="19"/>
  <c r="N116" i="19"/>
  <c r="O116" i="19" s="1"/>
  <c r="N118" i="19"/>
  <c r="O118" i="19" s="1"/>
  <c r="P118" i="19" s="1"/>
  <c r="M119" i="19"/>
  <c r="L123" i="19"/>
  <c r="M120" i="19"/>
  <c r="N117" i="19"/>
  <c r="L128" i="19"/>
  <c r="L145" i="19"/>
  <c r="NY16" i="2"/>
  <c r="L83" i="19"/>
  <c r="NY15" i="2"/>
  <c r="W95" i="19"/>
  <c r="NY20" i="2"/>
  <c r="NY19" i="2"/>
  <c r="NY17" i="2"/>
  <c r="S609" i="20"/>
  <c r="NY18" i="2" l="1"/>
  <c r="OA12" i="2"/>
  <c r="M83" i="19"/>
  <c r="N83" i="19" s="1"/>
  <c r="M128" i="19"/>
  <c r="N128" i="19" s="1"/>
  <c r="O128" i="19" s="1"/>
  <c r="L131" i="19"/>
  <c r="M131" i="19" s="1"/>
  <c r="R609" i="20"/>
  <c r="O610" i="20"/>
  <c r="K2" i="19"/>
  <c r="M44" i="19"/>
  <c r="N44" i="19" s="1"/>
  <c r="Z81" i="19"/>
  <c r="AA81" i="19" s="1"/>
  <c r="W82" i="19"/>
  <c r="AA80" i="19"/>
  <c r="O95" i="19"/>
  <c r="P95" i="19" s="1"/>
  <c r="P41" i="19"/>
  <c r="L46" i="19"/>
  <c r="X95" i="19"/>
  <c r="Y95" i="19" s="1"/>
  <c r="L45" i="19"/>
  <c r="E20" i="19" s="1"/>
  <c r="F20" i="19" s="1"/>
  <c r="G20" i="19" s="1"/>
  <c r="M42" i="19"/>
  <c r="N42" i="19" s="1"/>
  <c r="O42" i="19" s="1"/>
  <c r="W74" i="19"/>
  <c r="O73" i="19"/>
  <c r="P73" i="19" s="1"/>
  <c r="P130" i="19"/>
  <c r="O86" i="19"/>
  <c r="P86" i="19" s="1"/>
  <c r="AA73" i="19"/>
  <c r="O74" i="19"/>
  <c r="P74" i="19" s="1"/>
  <c r="P143" i="19"/>
  <c r="P116" i="19"/>
  <c r="M145" i="19"/>
  <c r="N145" i="19" s="1"/>
  <c r="M123" i="19"/>
  <c r="N123" i="19" s="1"/>
  <c r="L124" i="19"/>
  <c r="N129" i="19"/>
  <c r="O129" i="19" s="1"/>
  <c r="P40" i="19"/>
  <c r="N120" i="19"/>
  <c r="O120" i="19" s="1"/>
  <c r="N119" i="19"/>
  <c r="O119" i="19" s="1"/>
  <c r="O117" i="19"/>
  <c r="P117" i="19" s="1"/>
  <c r="L47" i="19"/>
  <c r="NZ19" i="2"/>
  <c r="L84" i="19"/>
  <c r="S610" i="20"/>
  <c r="NZ20" i="2"/>
  <c r="NZ15" i="2"/>
  <c r="W83" i="19"/>
  <c r="NZ17" i="2"/>
  <c r="W86" i="19"/>
  <c r="NZ16" i="2"/>
  <c r="NZ18" i="2" l="1"/>
  <c r="OB12" i="2"/>
  <c r="O83" i="19"/>
  <c r="P83" i="19" s="1"/>
  <c r="M84" i="19"/>
  <c r="N84" i="19" s="1"/>
  <c r="O84" i="19" s="1"/>
  <c r="P84" i="19" s="1"/>
  <c r="L132" i="19"/>
  <c r="M132" i="19" s="1"/>
  <c r="N132" i="19" s="1"/>
  <c r="O132" i="19" s="1"/>
  <c r="R610" i="20"/>
  <c r="Q610" i="20" s="1"/>
  <c r="P610" i="20" s="1"/>
  <c r="O611" i="20"/>
  <c r="Q609" i="20"/>
  <c r="P609" i="20" s="1"/>
  <c r="L2" i="19"/>
  <c r="M2" i="19" s="1"/>
  <c r="X74" i="19"/>
  <c r="Y74" i="19" s="1"/>
  <c r="Z74" i="19" s="1"/>
  <c r="M46" i="19"/>
  <c r="N46" i="19" s="1"/>
  <c r="O46" i="19" s="1"/>
  <c r="O44" i="19"/>
  <c r="P44" i="19" s="1"/>
  <c r="X83" i="19"/>
  <c r="Y83" i="19" s="1"/>
  <c r="Z83" i="19" s="1"/>
  <c r="AA83" i="19" s="1"/>
  <c r="X82" i="19"/>
  <c r="Y82" i="19" s="1"/>
  <c r="Z82" i="19" s="1"/>
  <c r="AA82" i="19" s="1"/>
  <c r="Z95" i="19"/>
  <c r="AA95" i="19" s="1"/>
  <c r="M47" i="19"/>
  <c r="N47" i="19" s="1"/>
  <c r="O47" i="19" s="1"/>
  <c r="P47" i="19" s="1"/>
  <c r="L49" i="19"/>
  <c r="L51" i="19" s="1"/>
  <c r="M45" i="19"/>
  <c r="N45" i="19" s="1"/>
  <c r="O45" i="19" s="1"/>
  <c r="P45" i="19" s="1"/>
  <c r="X86" i="19"/>
  <c r="Y86" i="19" s="1"/>
  <c r="Z86" i="19" s="1"/>
  <c r="AA86" i="19" s="1"/>
  <c r="H20" i="19"/>
  <c r="I20" i="19" s="1"/>
  <c r="O145" i="19"/>
  <c r="P145" i="19" s="1"/>
  <c r="O123" i="19"/>
  <c r="P123" i="19" s="1"/>
  <c r="P120" i="19"/>
  <c r="P129" i="19"/>
  <c r="M124" i="19"/>
  <c r="N124" i="19" s="1"/>
  <c r="L125" i="19"/>
  <c r="P42" i="19"/>
  <c r="P128" i="19"/>
  <c r="P119" i="19"/>
  <c r="N131" i="19"/>
  <c r="O131" i="19" s="1"/>
  <c r="P131" i="19" s="1"/>
  <c r="W84" i="19"/>
  <c r="OA17" i="2"/>
  <c r="OA20" i="2"/>
  <c r="L133" i="19"/>
  <c r="S611" i="20"/>
  <c r="OA15" i="2"/>
  <c r="L52" i="19"/>
  <c r="OA16" i="2"/>
  <c r="OA19" i="2"/>
  <c r="L85" i="19"/>
  <c r="L136" i="19"/>
  <c r="OA18" i="2" l="1"/>
  <c r="OC12" i="2"/>
  <c r="AA74" i="19"/>
  <c r="L87" i="19"/>
  <c r="M87" i="19" s="1"/>
  <c r="M85" i="19"/>
  <c r="N85" i="19" s="1"/>
  <c r="M133" i="19"/>
  <c r="N133" i="19" s="1"/>
  <c r="O133" i="19" s="1"/>
  <c r="P133" i="19" s="1"/>
  <c r="R611" i="20"/>
  <c r="Q611" i="20" s="1"/>
  <c r="P611" i="20" s="1"/>
  <c r="O612" i="20"/>
  <c r="N2" i="19"/>
  <c r="O2" i="19" s="1"/>
  <c r="P46" i="19"/>
  <c r="X84" i="19"/>
  <c r="Y84" i="19" s="1"/>
  <c r="M49" i="19"/>
  <c r="N49" i="19" s="1"/>
  <c r="O49" i="19" s="1"/>
  <c r="M52" i="19"/>
  <c r="N52" i="19" s="1"/>
  <c r="M136" i="19"/>
  <c r="P132" i="19"/>
  <c r="O124" i="19"/>
  <c r="P124" i="19" s="1"/>
  <c r="M51" i="19"/>
  <c r="N51" i="19" s="1"/>
  <c r="O51" i="19" s="1"/>
  <c r="M125" i="19"/>
  <c r="OB16" i="2"/>
  <c r="L88" i="19"/>
  <c r="W85" i="19"/>
  <c r="L134" i="19"/>
  <c r="OB17" i="2"/>
  <c r="OB19" i="2"/>
  <c r="OB20" i="2"/>
  <c r="OB15" i="2"/>
  <c r="S612" i="20"/>
  <c r="OB18" i="2" l="1"/>
  <c r="OD12" i="2"/>
  <c r="O85" i="19"/>
  <c r="P85" i="19" s="1"/>
  <c r="M88" i="19"/>
  <c r="N88" i="19" s="1"/>
  <c r="M134" i="19"/>
  <c r="N134" i="19" s="1"/>
  <c r="O134" i="19" s="1"/>
  <c r="P134" i="19" s="1"/>
  <c r="R612" i="20"/>
  <c r="Q612" i="20" s="1"/>
  <c r="P612" i="20" s="1"/>
  <c r="O613" i="20"/>
  <c r="W87" i="19"/>
  <c r="X85" i="19"/>
  <c r="Y85" i="19" s="1"/>
  <c r="Z85" i="19" s="1"/>
  <c r="Z84" i="19"/>
  <c r="AA84" i="19" s="1"/>
  <c r="N87" i="19"/>
  <c r="O87" i="19" s="1"/>
  <c r="P87" i="19" s="1"/>
  <c r="P49" i="19"/>
  <c r="O52" i="19"/>
  <c r="P52" i="19" s="1"/>
  <c r="P51" i="19"/>
  <c r="N125" i="19"/>
  <c r="O125" i="19" s="1"/>
  <c r="N136" i="19"/>
  <c r="O136" i="19" s="1"/>
  <c r="OC17" i="2"/>
  <c r="S613" i="20"/>
  <c r="OC19" i="2"/>
  <c r="OC16" i="2"/>
  <c r="OC20" i="2"/>
  <c r="W88" i="19"/>
  <c r="L89" i="19"/>
  <c r="L135" i="19"/>
  <c r="OC15" i="2"/>
  <c r="OC18" i="2" l="1"/>
  <c r="OE12" i="2"/>
  <c r="O88" i="19"/>
  <c r="P88" i="19" s="1"/>
  <c r="L91" i="19"/>
  <c r="E17" i="19" s="1"/>
  <c r="F17" i="19" s="1"/>
  <c r="G17" i="19" s="1"/>
  <c r="M89" i="19"/>
  <c r="N89" i="19" s="1"/>
  <c r="M135" i="19"/>
  <c r="N135" i="19" s="1"/>
  <c r="L137" i="19"/>
  <c r="M137" i="19" s="1"/>
  <c r="N137" i="19" s="1"/>
  <c r="O137" i="19" s="1"/>
  <c r="R613" i="20"/>
  <c r="Q613" i="20" s="1"/>
  <c r="P613" i="20" s="1"/>
  <c r="O614" i="20"/>
  <c r="X88" i="19"/>
  <c r="Y88" i="19" s="1"/>
  <c r="Z88" i="19" s="1"/>
  <c r="AA85" i="19"/>
  <c r="X87" i="19"/>
  <c r="P136" i="19"/>
  <c r="P125" i="19"/>
  <c r="S614" i="20"/>
  <c r="OD17" i="2"/>
  <c r="OD15" i="2"/>
  <c r="OD20" i="2"/>
  <c r="OD19" i="2"/>
  <c r="L138" i="19"/>
  <c r="W89" i="19"/>
  <c r="L92" i="19"/>
  <c r="OD16" i="2"/>
  <c r="OD18" i="2" l="1"/>
  <c r="OF12" i="2"/>
  <c r="L94" i="19"/>
  <c r="L96" i="19" s="1"/>
  <c r="M96" i="19" s="1"/>
  <c r="M92" i="19"/>
  <c r="N92" i="19" s="1"/>
  <c r="M91" i="19"/>
  <c r="N91" i="19" s="1"/>
  <c r="O91" i="19" s="1"/>
  <c r="P91" i="19" s="1"/>
  <c r="K4" i="19"/>
  <c r="L4" i="19" s="1"/>
  <c r="M4" i="19" s="1"/>
  <c r="N4" i="19" s="1"/>
  <c r="O4" i="19" s="1"/>
  <c r="O89" i="19"/>
  <c r="P89" i="19" s="1"/>
  <c r="O135" i="19"/>
  <c r="P135" i="19" s="1"/>
  <c r="M138" i="19"/>
  <c r="N138" i="19" s="1"/>
  <c r="L139" i="19"/>
  <c r="M139" i="19" s="1"/>
  <c r="N139" i="19" s="1"/>
  <c r="O615" i="20"/>
  <c r="R614" i="20"/>
  <c r="Q614" i="20" s="1"/>
  <c r="P614" i="20" s="1"/>
  <c r="P137" i="19"/>
  <c r="X89" i="19"/>
  <c r="Y89" i="19" s="1"/>
  <c r="Z89" i="19" s="1"/>
  <c r="AA89" i="19" s="1"/>
  <c r="W91" i="19"/>
  <c r="E18" i="19" s="1"/>
  <c r="F18" i="19" s="1"/>
  <c r="G18" i="19" s="1"/>
  <c r="H18" i="19" s="1"/>
  <c r="I18" i="19" s="1"/>
  <c r="AA88" i="19"/>
  <c r="Y87" i="19"/>
  <c r="Z87" i="19" s="1"/>
  <c r="AA87" i="19" s="1"/>
  <c r="H17" i="19"/>
  <c r="I17" i="19" s="1"/>
  <c r="W92" i="19"/>
  <c r="L97" i="19"/>
  <c r="OE17" i="2"/>
  <c r="S615" i="20"/>
  <c r="OE15" i="2"/>
  <c r="OE20" i="2"/>
  <c r="OE16" i="2"/>
  <c r="OE19" i="2"/>
  <c r="L142" i="19"/>
  <c r="OE18" i="2" l="1"/>
  <c r="OG12" i="2"/>
  <c r="O92" i="19"/>
  <c r="P92" i="19" s="1"/>
  <c r="M97" i="19"/>
  <c r="N97" i="19" s="1"/>
  <c r="M94" i="19"/>
  <c r="N94" i="19" s="1"/>
  <c r="O94" i="19" s="1"/>
  <c r="P94" i="19" s="1"/>
  <c r="L141" i="19"/>
  <c r="M141" i="19" s="1"/>
  <c r="N141" i="19" s="1"/>
  <c r="O141" i="19" s="1"/>
  <c r="P141" i="19" s="1"/>
  <c r="O138" i="19"/>
  <c r="P138" i="19" s="1"/>
  <c r="M142" i="19"/>
  <c r="N142" i="19" s="1"/>
  <c r="O142" i="19" s="1"/>
  <c r="L144" i="19"/>
  <c r="M144" i="19" s="1"/>
  <c r="R615" i="20"/>
  <c r="Q615" i="20" s="1"/>
  <c r="P615" i="20" s="1"/>
  <c r="O616" i="20"/>
  <c r="X92" i="19"/>
  <c r="Y92" i="19" s="1"/>
  <c r="W94" i="19"/>
  <c r="W96" i="19" s="1"/>
  <c r="X91" i="19"/>
  <c r="Y91" i="19" s="1"/>
  <c r="Z91" i="19" s="1"/>
  <c r="AA91" i="19" s="1"/>
  <c r="N96" i="19"/>
  <c r="O96" i="19" s="1"/>
  <c r="P96" i="19" s="1"/>
  <c r="O139" i="19"/>
  <c r="P139" i="19" s="1"/>
  <c r="OF16" i="2"/>
  <c r="W97" i="19"/>
  <c r="OF15" i="2"/>
  <c r="S616" i="20"/>
  <c r="OF19" i="2"/>
  <c r="OF20" i="2"/>
  <c r="OF17" i="2"/>
  <c r="OF18" i="2" l="1"/>
  <c r="OH12" i="2"/>
  <c r="O97" i="19"/>
  <c r="P97" i="19" s="1"/>
  <c r="Q2" i="19"/>
  <c r="R2" i="19" s="1"/>
  <c r="S2" i="19" s="1"/>
  <c r="E21" i="19"/>
  <c r="F21" i="19" s="1"/>
  <c r="G21" i="19" s="1"/>
  <c r="N144" i="19"/>
  <c r="O144" i="19" s="1"/>
  <c r="P144" i="19" s="1"/>
  <c r="P142" i="19"/>
  <c r="L146" i="19"/>
  <c r="R616" i="20"/>
  <c r="Q616" i="20" s="1"/>
  <c r="P616" i="20" s="1"/>
  <c r="O617" i="20"/>
  <c r="Z92" i="19"/>
  <c r="AA92" i="19" s="1"/>
  <c r="X94" i="19"/>
  <c r="Y94" i="19" s="1"/>
  <c r="X97" i="19"/>
  <c r="Y97" i="19" s="1"/>
  <c r="X96" i="19"/>
  <c r="Y96" i="19" s="1"/>
  <c r="OG17" i="2"/>
  <c r="OG19" i="2"/>
  <c r="OG16" i="2"/>
  <c r="OG15" i="2"/>
  <c r="L147" i="19"/>
  <c r="S617" i="20"/>
  <c r="OG20" i="2"/>
  <c r="OG18" i="2" l="1"/>
  <c r="OI12" i="2"/>
  <c r="H21" i="19"/>
  <c r="I21" i="19" s="1"/>
  <c r="M147" i="19"/>
  <c r="N147" i="19" s="1"/>
  <c r="O147" i="19" s="1"/>
  <c r="P147" i="19" s="1"/>
  <c r="M146" i="19"/>
  <c r="N146" i="19" s="1"/>
  <c r="R617" i="20"/>
  <c r="Q617" i="20" s="1"/>
  <c r="P617" i="20" s="1"/>
  <c r="O618" i="20"/>
  <c r="T2" i="19"/>
  <c r="U2" i="19" s="1"/>
  <c r="Z94" i="19"/>
  <c r="AA94" i="19" s="1"/>
  <c r="Z97" i="19"/>
  <c r="AA97" i="19" s="1"/>
  <c r="Z96" i="19"/>
  <c r="AA96" i="19" s="1"/>
  <c r="OH19" i="2"/>
  <c r="OH15" i="2"/>
  <c r="OH20" i="2"/>
  <c r="OH16" i="2"/>
  <c r="S618" i="20"/>
  <c r="OH17" i="2"/>
  <c r="OH18" i="2" l="1"/>
  <c r="OJ12" i="2"/>
  <c r="O146" i="19"/>
  <c r="P146" i="19" s="1"/>
  <c r="R618" i="20"/>
  <c r="O619" i="20"/>
  <c r="P35" i="13"/>
  <c r="Q35" i="13" s="1"/>
  <c r="R35" i="13" s="1"/>
  <c r="OI20" i="2"/>
  <c r="OI16" i="2"/>
  <c r="OI17" i="2"/>
  <c r="OI15" i="2"/>
  <c r="S619" i="20"/>
  <c r="OI19" i="2"/>
  <c r="OI18" i="2" l="1"/>
  <c r="OK12" i="2"/>
  <c r="R619" i="20"/>
  <c r="Q619" i="20" s="1"/>
  <c r="P619" i="20" s="1"/>
  <c r="O620" i="20"/>
  <c r="Q618" i="20"/>
  <c r="P618" i="20" s="1"/>
  <c r="S35" i="13"/>
  <c r="OJ15" i="2"/>
  <c r="S620" i="20"/>
  <c r="OJ19" i="2"/>
  <c r="OJ17" i="2"/>
  <c r="OJ20" i="2"/>
  <c r="OJ16" i="2"/>
  <c r="OJ18" i="2" l="1"/>
  <c r="OL12" i="2"/>
  <c r="R620" i="20"/>
  <c r="Q620" i="20" s="1"/>
  <c r="P620" i="20" s="1"/>
  <c r="O621" i="20"/>
  <c r="AG20" i="13"/>
  <c r="AH20" i="13" s="1"/>
  <c r="N103" i="13"/>
  <c r="AG23" i="13"/>
  <c r="AH23" i="13" s="1"/>
  <c r="AG15" i="13"/>
  <c r="AG14" i="13"/>
  <c r="AH14" i="13" s="1"/>
  <c r="AG19" i="13"/>
  <c r="AH19" i="13" s="1"/>
  <c r="AG17" i="13"/>
  <c r="AH17" i="13" s="1"/>
  <c r="AG10" i="13"/>
  <c r="OK17" i="2"/>
  <c r="OK16" i="2"/>
  <c r="OK19" i="2"/>
  <c r="OK15" i="2"/>
  <c r="S621" i="20"/>
  <c r="OK20" i="2"/>
  <c r="OK18" i="2" l="1"/>
  <c r="OM12" i="2"/>
  <c r="O622" i="20"/>
  <c r="R621" i="20"/>
  <c r="AG11" i="13"/>
  <c r="AH11" i="13" s="1"/>
  <c r="N102" i="13"/>
  <c r="O102" i="13" s="1"/>
  <c r="P102" i="13" s="1"/>
  <c r="Q102" i="13" s="1"/>
  <c r="R102" i="13" s="1"/>
  <c r="AG13" i="13"/>
  <c r="AH13" i="13" s="1"/>
  <c r="AI13" i="13" s="1"/>
  <c r="AG21" i="13"/>
  <c r="AH21" i="13" s="1"/>
  <c r="AI21" i="13" s="1"/>
  <c r="AG16" i="13"/>
  <c r="AH16" i="13" s="1"/>
  <c r="AI16" i="13" s="1"/>
  <c r="AG42" i="13"/>
  <c r="AG18" i="13"/>
  <c r="AH18" i="13" s="1"/>
  <c r="AI18" i="13" s="1"/>
  <c r="AG25" i="13"/>
  <c r="AG26" i="13"/>
  <c r="AH26" i="13" s="1"/>
  <c r="AI26" i="13" s="1"/>
  <c r="AI17" i="13"/>
  <c r="AJ17" i="13" s="1"/>
  <c r="AI23" i="13"/>
  <c r="AJ23" i="13" s="1"/>
  <c r="AI14" i="13"/>
  <c r="AJ14" i="13" s="1"/>
  <c r="O103" i="13"/>
  <c r="P103" i="13" s="1"/>
  <c r="N104" i="13"/>
  <c r="AH10" i="13"/>
  <c r="AI19" i="13"/>
  <c r="AJ19" i="13" s="1"/>
  <c r="AH15" i="13"/>
  <c r="AI15" i="13" s="1"/>
  <c r="AI20" i="13"/>
  <c r="AJ20" i="13" s="1"/>
  <c r="AG24" i="13"/>
  <c r="AH24" i="13" s="1"/>
  <c r="AG86" i="13"/>
  <c r="AH86" i="13" s="1"/>
  <c r="OL17" i="2"/>
  <c r="OL20" i="2"/>
  <c r="S622" i="20"/>
  <c r="OL15" i="2"/>
  <c r="OL19" i="2"/>
  <c r="OL16" i="2"/>
  <c r="OL18" i="2" l="1"/>
  <c r="ON12" i="2"/>
  <c r="Q621" i="20"/>
  <c r="P621" i="20" s="1"/>
  <c r="R622" i="20"/>
  <c r="Q622" i="20" s="1"/>
  <c r="P622" i="20" s="1"/>
  <c r="O623" i="20"/>
  <c r="AG31" i="13"/>
  <c r="AH31" i="13" s="1"/>
  <c r="AI31" i="13" s="1"/>
  <c r="AG29" i="13"/>
  <c r="AH29" i="13" s="1"/>
  <c r="AG22" i="13"/>
  <c r="AH22" i="13" s="1"/>
  <c r="AI22" i="13" s="1"/>
  <c r="AJ22" i="13" s="1"/>
  <c r="AG28" i="13"/>
  <c r="AJ16" i="13"/>
  <c r="AG30" i="13"/>
  <c r="AH30" i="13" s="1"/>
  <c r="AI30" i="13" s="1"/>
  <c r="AJ30" i="13" s="1"/>
  <c r="AI24" i="13"/>
  <c r="AJ24" i="13" s="1"/>
  <c r="AJ13" i="13"/>
  <c r="AJ26" i="13"/>
  <c r="AH25" i="13"/>
  <c r="AI25" i="13" s="1"/>
  <c r="AJ25" i="13" s="1"/>
  <c r="AI86" i="13"/>
  <c r="AJ86" i="13" s="1"/>
  <c r="AG36" i="13"/>
  <c r="Q103" i="13"/>
  <c r="R103" i="13" s="1"/>
  <c r="AI10" i="13"/>
  <c r="AJ10" i="13" s="1"/>
  <c r="AH42" i="13"/>
  <c r="AI42" i="13" s="1"/>
  <c r="AJ21" i="13"/>
  <c r="AI11" i="13"/>
  <c r="AJ11" i="13" s="1"/>
  <c r="AG35" i="13"/>
  <c r="AJ15" i="13"/>
  <c r="N116" i="13"/>
  <c r="O104" i="13"/>
  <c r="P104" i="13" s="1"/>
  <c r="N109" i="13"/>
  <c r="AG27" i="13"/>
  <c r="AH27" i="13" s="1"/>
  <c r="AJ18" i="13"/>
  <c r="OM17" i="2"/>
  <c r="OM16" i="2"/>
  <c r="S623" i="20"/>
  <c r="OM15" i="2"/>
  <c r="OM19" i="2"/>
  <c r="AF53" i="13"/>
  <c r="OM20" i="2"/>
  <c r="AF59" i="13" l="1"/>
  <c r="H17" i="13" s="1"/>
  <c r="H18" i="13" s="1"/>
  <c r="OM18" i="2"/>
  <c r="OO12" i="2"/>
  <c r="O624" i="20"/>
  <c r="R623" i="20"/>
  <c r="Q623" i="20" s="1"/>
  <c r="P623" i="20" s="1"/>
  <c r="AF69" i="13"/>
  <c r="AF70" i="13" s="1"/>
  <c r="AG41" i="13"/>
  <c r="AH41" i="13" s="1"/>
  <c r="AI41" i="13" s="1"/>
  <c r="AJ31" i="13"/>
  <c r="AG50" i="13"/>
  <c r="AH50" i="13" s="1"/>
  <c r="AI50" i="13" s="1"/>
  <c r="AG32" i="13"/>
  <c r="AH32" i="13" s="1"/>
  <c r="AI32" i="13" s="1"/>
  <c r="AG33" i="13"/>
  <c r="AH33" i="13" s="1"/>
  <c r="AI27" i="13"/>
  <c r="AJ27" i="13" s="1"/>
  <c r="AI29" i="13"/>
  <c r="AJ29" i="13" s="1"/>
  <c r="AH36" i="13"/>
  <c r="Q104" i="13"/>
  <c r="R104" i="13" s="1"/>
  <c r="AG46" i="13"/>
  <c r="AH46" i="13" s="1"/>
  <c r="AG67" i="13"/>
  <c r="O109" i="13"/>
  <c r="P109" i="13" s="1"/>
  <c r="AH35" i="13"/>
  <c r="AH28" i="13"/>
  <c r="AI28" i="13" s="1"/>
  <c r="AJ42" i="13"/>
  <c r="O116" i="13"/>
  <c r="P116" i="13" s="1"/>
  <c r="Q116" i="13" s="1"/>
  <c r="R116" i="13" s="1"/>
  <c r="ON20" i="2"/>
  <c r="ON19" i="2"/>
  <c r="ON16" i="2"/>
  <c r="ON15" i="2"/>
  <c r="S624" i="20"/>
  <c r="ON17" i="2"/>
  <c r="ON18" i="2" l="1"/>
  <c r="OP12" i="2"/>
  <c r="R624" i="20"/>
  <c r="Q624" i="20" s="1"/>
  <c r="P624" i="20" s="1"/>
  <c r="O625" i="20"/>
  <c r="AG43" i="13"/>
  <c r="AI33" i="13"/>
  <c r="AJ33" i="13" s="1"/>
  <c r="AG37" i="13"/>
  <c r="AH37" i="13" s="1"/>
  <c r="AJ32" i="13"/>
  <c r="Q109" i="13"/>
  <c r="R109" i="13" s="1"/>
  <c r="AI36" i="13"/>
  <c r="AJ36" i="13" s="1"/>
  <c r="AI35" i="13"/>
  <c r="AJ35" i="13" s="1"/>
  <c r="AJ41" i="13"/>
  <c r="AJ28" i="13"/>
  <c r="AH67" i="13"/>
  <c r="AI67" i="13" s="1"/>
  <c r="AJ50" i="13"/>
  <c r="AI46" i="13"/>
  <c r="AJ46" i="13" s="1"/>
  <c r="AG68" i="13"/>
  <c r="AH68" i="13" s="1"/>
  <c r="OO16" i="2"/>
  <c r="S625" i="20"/>
  <c r="OO17" i="2"/>
  <c r="OO19" i="2"/>
  <c r="OO20" i="2"/>
  <c r="OO15" i="2"/>
  <c r="OO18" i="2" l="1"/>
  <c r="OQ12" i="2"/>
  <c r="R625" i="20"/>
  <c r="Q625" i="20" s="1"/>
  <c r="P625" i="20" s="1"/>
  <c r="O626" i="20"/>
  <c r="AF39" i="13"/>
  <c r="AG38" i="13"/>
  <c r="AH38" i="13" s="1"/>
  <c r="AI38" i="13" s="1"/>
  <c r="AJ38" i="13" s="1"/>
  <c r="N105" i="13"/>
  <c r="AI37" i="13"/>
  <c r="AJ37" i="13" s="1"/>
  <c r="AJ67" i="13"/>
  <c r="AI68" i="13"/>
  <c r="AJ68" i="13" s="1"/>
  <c r="AH43" i="13"/>
  <c r="AG69" i="13"/>
  <c r="AH69" i="13" s="1"/>
  <c r="OP17" i="2"/>
  <c r="OP20" i="2"/>
  <c r="S626" i="20"/>
  <c r="OP15" i="2"/>
  <c r="OP16" i="2"/>
  <c r="OP19" i="2"/>
  <c r="OP18" i="2" l="1"/>
  <c r="OR12" i="2"/>
  <c r="O627" i="20"/>
  <c r="R626" i="20"/>
  <c r="Q626" i="20" s="1"/>
  <c r="P626" i="20" s="1"/>
  <c r="AG39" i="13"/>
  <c r="AH39" i="13" s="1"/>
  <c r="AI39" i="13" s="1"/>
  <c r="AJ39" i="13" s="1"/>
  <c r="AG45" i="13"/>
  <c r="AH45" i="13" s="1"/>
  <c r="O105" i="13"/>
  <c r="N108" i="13"/>
  <c r="N106" i="13"/>
  <c r="AG70" i="13"/>
  <c r="AH70" i="13" s="1"/>
  <c r="AI69" i="13"/>
  <c r="AJ69" i="13" s="1"/>
  <c r="AI43" i="13"/>
  <c r="AJ43" i="13" s="1"/>
  <c r="OQ16" i="2"/>
  <c r="OQ20" i="2"/>
  <c r="OQ19" i="2"/>
  <c r="OQ17" i="2"/>
  <c r="S627" i="20"/>
  <c r="OQ15" i="2"/>
  <c r="OQ18" i="2" l="1"/>
  <c r="OS12" i="2"/>
  <c r="R627" i="20"/>
  <c r="Q627" i="20" s="1"/>
  <c r="P627" i="20" s="1"/>
  <c r="O628" i="20"/>
  <c r="AG47" i="13"/>
  <c r="AH47" i="13" s="1"/>
  <c r="AI47" i="13" s="1"/>
  <c r="AJ47" i="13" s="1"/>
  <c r="AG71" i="13"/>
  <c r="AH71" i="13" s="1"/>
  <c r="AI71" i="13" s="1"/>
  <c r="AG60" i="13"/>
  <c r="AH60" i="13" s="1"/>
  <c r="AI45" i="13"/>
  <c r="AJ45" i="13" s="1"/>
  <c r="AI70" i="13"/>
  <c r="AJ70" i="13" s="1"/>
  <c r="AG88" i="13"/>
  <c r="AH88" i="13" s="1"/>
  <c r="N107" i="13"/>
  <c r="O106" i="13"/>
  <c r="P106" i="13" s="1"/>
  <c r="N111" i="13"/>
  <c r="O108" i="13"/>
  <c r="P108" i="13" s="1"/>
  <c r="Q108" i="13" s="1"/>
  <c r="N110" i="13"/>
  <c r="P105" i="13"/>
  <c r="Q105" i="13" s="1"/>
  <c r="R105" i="13" s="1"/>
  <c r="OR15" i="2"/>
  <c r="OR20" i="2"/>
  <c r="OR17" i="2"/>
  <c r="OR19" i="2"/>
  <c r="OR16" i="2"/>
  <c r="S628" i="20"/>
  <c r="OR18" i="2" l="1"/>
  <c r="OT12" i="2"/>
  <c r="R628" i="20"/>
  <c r="Q628" i="20" s="1"/>
  <c r="P628" i="20" s="1"/>
  <c r="O629" i="20"/>
  <c r="AG49" i="13"/>
  <c r="AH49" i="13" s="1"/>
  <c r="AI49" i="13" s="1"/>
  <c r="AI60" i="13"/>
  <c r="AJ60" i="13" s="1"/>
  <c r="AG62" i="13"/>
  <c r="AH62" i="13" s="1"/>
  <c r="AJ71" i="13"/>
  <c r="Q106" i="13"/>
  <c r="R106" i="13" s="1"/>
  <c r="AI88" i="13"/>
  <c r="AJ88" i="13" s="1"/>
  <c r="O110" i="13"/>
  <c r="P110" i="13" s="1"/>
  <c r="N112" i="13"/>
  <c r="R108" i="13"/>
  <c r="O111" i="13"/>
  <c r="P111" i="13" s="1"/>
  <c r="O107" i="13"/>
  <c r="P107" i="13" s="1"/>
  <c r="OS15" i="2"/>
  <c r="OS17" i="2"/>
  <c r="OS16" i="2"/>
  <c r="OS20" i="2"/>
  <c r="S629" i="20"/>
  <c r="OS19" i="2"/>
  <c r="OS18" i="2" l="1"/>
  <c r="OU12" i="2"/>
  <c r="O630" i="20"/>
  <c r="R629" i="20"/>
  <c r="Q629" i="20" s="1"/>
  <c r="P629" i="20" s="1"/>
  <c r="AF102" i="13"/>
  <c r="AF104" i="13" s="1"/>
  <c r="AF56" i="13"/>
  <c r="AG63" i="13"/>
  <c r="AH63" i="13" s="1"/>
  <c r="AF54" i="13"/>
  <c r="AI62" i="13"/>
  <c r="AJ62" i="13" s="1"/>
  <c r="AG51" i="13"/>
  <c r="AH51" i="13" s="1"/>
  <c r="AI51" i="13" s="1"/>
  <c r="AJ51" i="13" s="1"/>
  <c r="Q107" i="13"/>
  <c r="R107" i="13" s="1"/>
  <c r="Q110" i="13"/>
  <c r="R110" i="13" s="1"/>
  <c r="AG72" i="13"/>
  <c r="Q111" i="13"/>
  <c r="R111" i="13" s="1"/>
  <c r="AG74" i="13"/>
  <c r="AH74" i="13" s="1"/>
  <c r="AI74" i="13" s="1"/>
  <c r="AJ74" i="13" s="1"/>
  <c r="AG52" i="13"/>
  <c r="AH52" i="13" s="1"/>
  <c r="O112" i="13"/>
  <c r="P112" i="13" s="1"/>
  <c r="AJ49" i="13"/>
  <c r="N113" i="13"/>
  <c r="OT16" i="2"/>
  <c r="AF57" i="13"/>
  <c r="S630" i="20"/>
  <c r="OT15" i="2"/>
  <c r="OT17" i="2"/>
  <c r="OT20" i="2"/>
  <c r="AF55" i="13"/>
  <c r="OT19" i="2"/>
  <c r="OT18" i="2" l="1"/>
  <c r="OV12" i="2"/>
  <c r="AG55" i="13"/>
  <c r="AH55" i="13" s="1"/>
  <c r="AG57" i="13"/>
  <c r="AH57" i="13" s="1"/>
  <c r="AG56" i="13"/>
  <c r="AH56" i="13" s="1"/>
  <c r="O631" i="20"/>
  <c r="R630" i="20"/>
  <c r="Q630" i="20" s="1"/>
  <c r="P630" i="20" s="1"/>
  <c r="AG75" i="13"/>
  <c r="AH75" i="13" s="1"/>
  <c r="AG64" i="13"/>
  <c r="AH64" i="13" s="1"/>
  <c r="AI64" i="13" s="1"/>
  <c r="AJ64" i="13" s="1"/>
  <c r="AI63" i="13"/>
  <c r="AJ63" i="13" s="1"/>
  <c r="AI52" i="13"/>
  <c r="AJ52" i="13" s="1"/>
  <c r="AG53" i="13"/>
  <c r="AH53" i="13" s="1"/>
  <c r="AG76" i="13"/>
  <c r="AH76" i="13" s="1"/>
  <c r="Q112" i="13"/>
  <c r="R112" i="13" s="1"/>
  <c r="AG65" i="13"/>
  <c r="AG73" i="13"/>
  <c r="AH72" i="13"/>
  <c r="AI72" i="13" s="1"/>
  <c r="O113" i="13"/>
  <c r="P113" i="13" s="1"/>
  <c r="N115" i="13"/>
  <c r="N133" i="13"/>
  <c r="N114" i="13"/>
  <c r="S631" i="20"/>
  <c r="OU17" i="2"/>
  <c r="OU15" i="2"/>
  <c r="OU16" i="2"/>
  <c r="OU19" i="2"/>
  <c r="OU20" i="2"/>
  <c r="OU18" i="2" l="1"/>
  <c r="OW12" i="2"/>
  <c r="AF79" i="13"/>
  <c r="AF80" i="13" s="1"/>
  <c r="AI57" i="13"/>
  <c r="AJ57" i="13" s="1"/>
  <c r="AI56" i="13"/>
  <c r="AJ56" i="13" s="1"/>
  <c r="AI55" i="13"/>
  <c r="AJ55" i="13" s="1"/>
  <c r="R631" i="20"/>
  <c r="Q631" i="20" s="1"/>
  <c r="P631" i="20" s="1"/>
  <c r="O632" i="20"/>
  <c r="AI75" i="13"/>
  <c r="AJ75" i="13" s="1"/>
  <c r="AJ72" i="13"/>
  <c r="Q113" i="13"/>
  <c r="R113" i="13" s="1"/>
  <c r="O114" i="13"/>
  <c r="N117" i="13"/>
  <c r="AG77" i="13"/>
  <c r="AH77" i="13" s="1"/>
  <c r="AI77" i="13" s="1"/>
  <c r="AG54" i="13"/>
  <c r="AH54" i="13" s="1"/>
  <c r="AI54" i="13" s="1"/>
  <c r="AJ54" i="13" s="1"/>
  <c r="O133" i="13"/>
  <c r="P133" i="13" s="1"/>
  <c r="N134" i="13"/>
  <c r="N132" i="13" s="1"/>
  <c r="AH73" i="13"/>
  <c r="AI73" i="13" s="1"/>
  <c r="AJ73" i="13" s="1"/>
  <c r="AH65" i="13"/>
  <c r="AI65" i="13" s="1"/>
  <c r="AI76" i="13"/>
  <c r="AJ76" i="13" s="1"/>
  <c r="O115" i="13"/>
  <c r="P115" i="13" s="1"/>
  <c r="AG59" i="13"/>
  <c r="AH59" i="13" s="1"/>
  <c r="AI59" i="13" s="1"/>
  <c r="AI53" i="13"/>
  <c r="AJ53" i="13" s="1"/>
  <c r="S632" i="20"/>
  <c r="OV19" i="2"/>
  <c r="OV20" i="2"/>
  <c r="OV15" i="2"/>
  <c r="OV16" i="2"/>
  <c r="OV17" i="2"/>
  <c r="OV18" i="2" l="1"/>
  <c r="OX12" i="2"/>
  <c r="AF91" i="13"/>
  <c r="AF94" i="13"/>
  <c r="AF84" i="13"/>
  <c r="R632" i="20"/>
  <c r="Q632" i="20" s="1"/>
  <c r="P632" i="20" s="1"/>
  <c r="O633" i="20"/>
  <c r="AF81" i="13"/>
  <c r="Q115" i="13"/>
  <c r="R115" i="13" s="1"/>
  <c r="AJ65" i="13"/>
  <c r="Q133" i="13"/>
  <c r="R133" i="13" s="1"/>
  <c r="AJ77" i="13"/>
  <c r="P114" i="13"/>
  <c r="Q114" i="13" s="1"/>
  <c r="R114" i="13" s="1"/>
  <c r="AG78" i="13"/>
  <c r="AH78" i="13" s="1"/>
  <c r="AJ59" i="13"/>
  <c r="O132" i="13"/>
  <c r="O117" i="13"/>
  <c r="P117" i="13" s="1"/>
  <c r="N118" i="13"/>
  <c r="O134" i="13"/>
  <c r="S633" i="20"/>
  <c r="OW15" i="2"/>
  <c r="OW17" i="2"/>
  <c r="OW20" i="2"/>
  <c r="N135" i="13"/>
  <c r="OW19" i="2"/>
  <c r="OW16" i="2"/>
  <c r="OW18" i="2" l="1"/>
  <c r="OY12" i="2"/>
  <c r="R633" i="20"/>
  <c r="Q633" i="20" s="1"/>
  <c r="P633" i="20" s="1"/>
  <c r="O634" i="20"/>
  <c r="O135" i="13"/>
  <c r="P135" i="13" s="1"/>
  <c r="N130" i="13"/>
  <c r="O130" i="13" s="1"/>
  <c r="Q117" i="13"/>
  <c r="R117" i="13" s="1"/>
  <c r="O118" i="13"/>
  <c r="N119" i="13"/>
  <c r="AG79" i="13"/>
  <c r="AI78" i="13"/>
  <c r="AJ78" i="13" s="1"/>
  <c r="P134" i="13"/>
  <c r="P132" i="13"/>
  <c r="AG93" i="13"/>
  <c r="AH93" i="13" s="1"/>
  <c r="AG90" i="13"/>
  <c r="AH90" i="13" s="1"/>
  <c r="AI90" i="13" s="1"/>
  <c r="OX20" i="2"/>
  <c r="OX17" i="2"/>
  <c r="N120" i="13"/>
  <c r="OX16" i="2"/>
  <c r="S634" i="20"/>
  <c r="OX19" i="2"/>
  <c r="OX15" i="2"/>
  <c r="OX18" i="2" l="1"/>
  <c r="OZ12" i="2"/>
  <c r="R634" i="20"/>
  <c r="Q634" i="20" s="1"/>
  <c r="P634" i="20" s="1"/>
  <c r="O635" i="20"/>
  <c r="AG91" i="13"/>
  <c r="AG94" i="13"/>
  <c r="AH94" i="13" s="1"/>
  <c r="N131" i="13"/>
  <c r="O131" i="13" s="1"/>
  <c r="Q135" i="13"/>
  <c r="R135" i="13" s="1"/>
  <c r="P130" i="13"/>
  <c r="Q130" i="13" s="1"/>
  <c r="AH79" i="13"/>
  <c r="AI79" i="13" s="1"/>
  <c r="AJ79" i="13" s="1"/>
  <c r="Q134" i="13"/>
  <c r="R134" i="13" s="1"/>
  <c r="P118" i="13"/>
  <c r="Q118" i="13" s="1"/>
  <c r="R118" i="13" s="1"/>
  <c r="O120" i="13"/>
  <c r="N121" i="13"/>
  <c r="AG80" i="13"/>
  <c r="AH80" i="13" s="1"/>
  <c r="Q132" i="13"/>
  <c r="R132" i="13" s="1"/>
  <c r="AJ90" i="13"/>
  <c r="AI93" i="13"/>
  <c r="AJ93" i="13" s="1"/>
  <c r="N128" i="13"/>
  <c r="O119" i="13"/>
  <c r="N126" i="13"/>
  <c r="N122" i="13"/>
  <c r="OY20" i="2"/>
  <c r="OY15" i="2"/>
  <c r="OY16" i="2"/>
  <c r="S635" i="20"/>
  <c r="OY17" i="2"/>
  <c r="AF85" i="13"/>
  <c r="AF82" i="13"/>
  <c r="OY19" i="2"/>
  <c r="OY18" i="2" l="1"/>
  <c r="PA12" i="2"/>
  <c r="AF89" i="13"/>
  <c r="AF95" i="13" s="1"/>
  <c r="AF83" i="13"/>
  <c r="O636" i="20"/>
  <c r="R635" i="20"/>
  <c r="Q635" i="20" s="1"/>
  <c r="P635" i="20" s="1"/>
  <c r="N136" i="13"/>
  <c r="O136" i="13" s="1"/>
  <c r="AH91" i="13"/>
  <c r="AI91" i="13" s="1"/>
  <c r="AJ91" i="13" s="1"/>
  <c r="R130" i="13"/>
  <c r="AG82" i="13"/>
  <c r="AH82" i="13" s="1"/>
  <c r="AG85" i="13"/>
  <c r="AH85" i="13" s="1"/>
  <c r="N123" i="13"/>
  <c r="N124" i="13" s="1"/>
  <c r="N127" i="13" s="1"/>
  <c r="AI94" i="13"/>
  <c r="AJ94" i="13" s="1"/>
  <c r="P119" i="13"/>
  <c r="Q119" i="13" s="1"/>
  <c r="R119" i="13" s="1"/>
  <c r="P131" i="13"/>
  <c r="Q131" i="13" s="1"/>
  <c r="AG81" i="13"/>
  <c r="AH81" i="13" s="1"/>
  <c r="AG84" i="13"/>
  <c r="P120" i="13"/>
  <c r="Q120" i="13" s="1"/>
  <c r="O126" i="13"/>
  <c r="P126" i="13" s="1"/>
  <c r="Q126" i="13" s="1"/>
  <c r="O128" i="13"/>
  <c r="AI80" i="13"/>
  <c r="AJ80" i="13" s="1"/>
  <c r="O121" i="13"/>
  <c r="P121" i="13" s="1"/>
  <c r="Q121" i="13" s="1"/>
  <c r="OZ20" i="2"/>
  <c r="OZ16" i="2"/>
  <c r="OZ19" i="2"/>
  <c r="OZ17" i="2"/>
  <c r="S636" i="20"/>
  <c r="OZ15" i="2"/>
  <c r="OZ18" i="2" l="1"/>
  <c r="PB12" i="2"/>
  <c r="AF87" i="13"/>
  <c r="AF92" i="13" s="1"/>
  <c r="AF96" i="13" s="1"/>
  <c r="AK87" i="13"/>
  <c r="R636" i="20"/>
  <c r="Q636" i="20" s="1"/>
  <c r="P636" i="20" s="1"/>
  <c r="O637" i="20"/>
  <c r="AI81" i="13"/>
  <c r="AJ81" i="13" s="1"/>
  <c r="R131" i="13"/>
  <c r="P136" i="13"/>
  <c r="Q136" i="13" s="1"/>
  <c r="R136" i="13" s="1"/>
  <c r="AI85" i="13"/>
  <c r="AJ85" i="13" s="1"/>
  <c r="R121" i="13"/>
  <c r="R120" i="13"/>
  <c r="AG83" i="13"/>
  <c r="R126" i="13"/>
  <c r="O127" i="13"/>
  <c r="N137" i="13"/>
  <c r="P128" i="13"/>
  <c r="Q128" i="13" s="1"/>
  <c r="AH84" i="13"/>
  <c r="AI84" i="13" s="1"/>
  <c r="AJ84" i="13" s="1"/>
  <c r="O124" i="13"/>
  <c r="P124" i="13" s="1"/>
  <c r="AI82" i="13"/>
  <c r="AJ82" i="13" s="1"/>
  <c r="AG89" i="13"/>
  <c r="PA20" i="2"/>
  <c r="PA17" i="2"/>
  <c r="PA19" i="2"/>
  <c r="PA16" i="2"/>
  <c r="S637" i="20"/>
  <c r="PA15" i="2"/>
  <c r="PA18" i="2" l="1"/>
  <c r="PC12" i="2"/>
  <c r="AF97" i="13"/>
  <c r="R637" i="20"/>
  <c r="Q637" i="20" s="1"/>
  <c r="P637" i="20" s="1"/>
  <c r="O638" i="20"/>
  <c r="N138" i="13"/>
  <c r="O137" i="13"/>
  <c r="AG87" i="13"/>
  <c r="AH87" i="13" s="1"/>
  <c r="AI87" i="13" s="1"/>
  <c r="AG95" i="13"/>
  <c r="AH95" i="13" s="1"/>
  <c r="AH89" i="13"/>
  <c r="Q124" i="13"/>
  <c r="R124" i="13" s="1"/>
  <c r="P127" i="13"/>
  <c r="Q127" i="13" s="1"/>
  <c r="AH83" i="13"/>
  <c r="AI83" i="13" s="1"/>
  <c r="R128" i="13"/>
  <c r="PB19" i="2"/>
  <c r="PB15" i="2"/>
  <c r="PB16" i="2"/>
  <c r="S638" i="20"/>
  <c r="PB20" i="2"/>
  <c r="PB17" i="2"/>
  <c r="PB18" i="2" l="1"/>
  <c r="PD12" i="2"/>
  <c r="R638" i="20"/>
  <c r="Q638" i="20" s="1"/>
  <c r="P638" i="20" s="1"/>
  <c r="O639" i="20"/>
  <c r="AJ87" i="13"/>
  <c r="P137" i="13"/>
  <c r="Q137" i="13" s="1"/>
  <c r="AJ83" i="13"/>
  <c r="AI95" i="13"/>
  <c r="AJ95" i="13" s="1"/>
  <c r="AI89" i="13"/>
  <c r="AJ89" i="13" s="1"/>
  <c r="R127" i="13"/>
  <c r="AG92" i="13"/>
  <c r="O138" i="13"/>
  <c r="PC15" i="2"/>
  <c r="PC20" i="2"/>
  <c r="PC17" i="2"/>
  <c r="PC19" i="2"/>
  <c r="PC16" i="2"/>
  <c r="S639" i="20"/>
  <c r="PC18" i="2" l="1"/>
  <c r="PE12" i="2"/>
  <c r="O640" i="20"/>
  <c r="R639" i="20"/>
  <c r="Q639" i="20" s="1"/>
  <c r="P639" i="20" s="1"/>
  <c r="P138" i="13"/>
  <c r="Q138" i="13" s="1"/>
  <c r="R137" i="13"/>
  <c r="AG96" i="13"/>
  <c r="AH96" i="13" s="1"/>
  <c r="AH92" i="13"/>
  <c r="PD16" i="2"/>
  <c r="PD15" i="2"/>
  <c r="PD19" i="2"/>
  <c r="PD20" i="2"/>
  <c r="S640" i="20"/>
  <c r="PD17" i="2"/>
  <c r="PD18" i="2" l="1"/>
  <c r="PF12" i="2"/>
  <c r="R640" i="20"/>
  <c r="Q640" i="20" s="1"/>
  <c r="P640" i="20" s="1"/>
  <c r="O641" i="20"/>
  <c r="AF98" i="13"/>
  <c r="AI96" i="13"/>
  <c r="AJ96" i="13" s="1"/>
  <c r="R138" i="13"/>
  <c r="AG97" i="13"/>
  <c r="AI92" i="13"/>
  <c r="AJ92" i="13" s="1"/>
  <c r="PE17" i="2"/>
  <c r="PE19" i="2"/>
  <c r="PE16" i="2"/>
  <c r="S641" i="20"/>
  <c r="PE20" i="2"/>
  <c r="PE15" i="2"/>
  <c r="PE18" i="2" l="1"/>
  <c r="PG12" i="2"/>
  <c r="V38" i="13"/>
  <c r="AK98" i="13"/>
  <c r="AF99" i="13"/>
  <c r="O642" i="20"/>
  <c r="R641" i="20"/>
  <c r="Q641" i="20" s="1"/>
  <c r="P641" i="20" s="1"/>
  <c r="AH97" i="13"/>
  <c r="AI97" i="13" s="1"/>
  <c r="AG98" i="13"/>
  <c r="S642" i="20"/>
  <c r="PF17" i="2"/>
  <c r="PF16" i="2"/>
  <c r="PF20" i="2"/>
  <c r="PF19" i="2"/>
  <c r="PF15" i="2"/>
  <c r="PF18" i="2" l="1"/>
  <c r="PH12" i="2"/>
  <c r="W38" i="13"/>
  <c r="X38" i="13" s="1"/>
  <c r="R642" i="20"/>
  <c r="Q642" i="20" s="1"/>
  <c r="P642" i="20" s="1"/>
  <c r="O643" i="20"/>
  <c r="AJ97" i="13"/>
  <c r="AH98" i="13"/>
  <c r="AI98" i="13" s="1"/>
  <c r="PG15" i="2"/>
  <c r="S643" i="20"/>
  <c r="PG17" i="2"/>
  <c r="PG16" i="2"/>
  <c r="PG20" i="2"/>
  <c r="PG19" i="2"/>
  <c r="PG18" i="2" l="1"/>
  <c r="PI12" i="2"/>
  <c r="R643" i="20"/>
  <c r="O644" i="20"/>
  <c r="AJ98" i="13"/>
  <c r="PH19" i="2"/>
  <c r="S644" i="20"/>
  <c r="PH16" i="2"/>
  <c r="PH20" i="2"/>
  <c r="PH15" i="2"/>
  <c r="PH17" i="2"/>
  <c r="PH18" i="2" l="1"/>
  <c r="PJ12" i="2"/>
  <c r="R644" i="20"/>
  <c r="O645" i="20"/>
  <c r="Q643" i="20"/>
  <c r="P643" i="20" s="1"/>
  <c r="GV12" i="13"/>
  <c r="GW12" i="13" s="1"/>
  <c r="PI19" i="2"/>
  <c r="PI20" i="2"/>
  <c r="S645" i="20"/>
  <c r="GU19" i="13"/>
  <c r="PI16" i="2"/>
  <c r="PI17" i="2"/>
  <c r="GU13" i="13"/>
  <c r="PI15" i="2"/>
  <c r="PI18" i="2" l="1"/>
  <c r="PK12" i="2"/>
  <c r="R645" i="20"/>
  <c r="O646" i="20"/>
  <c r="Q644" i="20"/>
  <c r="P644" i="20" s="1"/>
  <c r="GV19" i="13"/>
  <c r="GW19" i="13" s="1"/>
  <c r="GX19" i="13" s="1"/>
  <c r="GY19" i="13" s="1"/>
  <c r="GV13" i="13"/>
  <c r="GW13" i="13" s="1"/>
  <c r="GX13" i="13" s="1"/>
  <c r="GY13" i="13" s="1"/>
  <c r="GX12" i="13"/>
  <c r="GY12" i="13" s="1"/>
  <c r="PJ17" i="2"/>
  <c r="S646" i="20"/>
  <c r="PJ20" i="2"/>
  <c r="PJ16" i="2"/>
  <c r="GU15" i="13"/>
  <c r="PJ19" i="2"/>
  <c r="PJ15" i="2"/>
  <c r="PJ18" i="2" l="1"/>
  <c r="PL12" i="2"/>
  <c r="R646" i="20"/>
  <c r="O647" i="20"/>
  <c r="Q645" i="20"/>
  <c r="P645" i="20" s="1"/>
  <c r="GU16" i="13"/>
  <c r="GV15" i="13"/>
  <c r="GW15" i="13" s="1"/>
  <c r="GX15" i="13" s="1"/>
  <c r="GY15" i="13" s="1"/>
  <c r="S647" i="20"/>
  <c r="PK16" i="2"/>
  <c r="PK19" i="2"/>
  <c r="PK20" i="2"/>
  <c r="PK17" i="2"/>
  <c r="GU21" i="13"/>
  <c r="PK15" i="2"/>
  <c r="PK18" i="2" l="1"/>
  <c r="PM12" i="2"/>
  <c r="R647" i="20"/>
  <c r="Q647" i="20" s="1"/>
  <c r="P647" i="20" s="1"/>
  <c r="O648" i="20"/>
  <c r="Q646" i="20"/>
  <c r="P646" i="20" s="1"/>
  <c r="HD8" i="13"/>
  <c r="HJ8" i="13"/>
  <c r="GU22" i="13"/>
  <c r="GU24" i="13" s="1"/>
  <c r="GU23" i="13"/>
  <c r="GV16" i="13"/>
  <c r="GW16" i="13" s="1"/>
  <c r="GX16" i="13" s="1"/>
  <c r="GV21" i="13"/>
  <c r="GW21" i="13" s="1"/>
  <c r="HD14" i="13"/>
  <c r="PL19" i="2"/>
  <c r="PL15" i="2"/>
  <c r="HJ33" i="13"/>
  <c r="S648" i="20"/>
  <c r="HJ16" i="13"/>
  <c r="HD16" i="13"/>
  <c r="HJ14" i="13"/>
  <c r="GU25" i="13"/>
  <c r="PL17" i="2"/>
  <c r="HD33" i="13"/>
  <c r="PL20" i="2"/>
  <c r="PL16" i="2"/>
  <c r="PL18" i="2" l="1"/>
  <c r="PN12" i="2"/>
  <c r="R648" i="20"/>
  <c r="O649" i="20"/>
  <c r="GU35" i="13"/>
  <c r="GU36" i="13" s="1"/>
  <c r="HD9" i="13"/>
  <c r="HJ9" i="13"/>
  <c r="HK8" i="13" s="1"/>
  <c r="HK9" i="13" s="1"/>
  <c r="HJ11" i="13"/>
  <c r="HJ12" i="13" s="1"/>
  <c r="HJ13" i="13" s="1"/>
  <c r="GV25" i="13"/>
  <c r="GW25" i="13" s="1"/>
  <c r="GY16" i="13"/>
  <c r="GX21" i="13"/>
  <c r="GY21" i="13" s="1"/>
  <c r="PM20" i="2"/>
  <c r="HJ15" i="13"/>
  <c r="HJ23" i="13"/>
  <c r="PM15" i="2"/>
  <c r="HD23" i="13"/>
  <c r="GU26" i="13"/>
  <c r="S649" i="20"/>
  <c r="PM17" i="2"/>
  <c r="PM16" i="2"/>
  <c r="HJ17" i="13"/>
  <c r="PM19" i="2"/>
  <c r="HD17" i="13"/>
  <c r="GU37" i="13"/>
  <c r="GU38" i="13"/>
  <c r="HD15" i="13"/>
  <c r="PM18" i="2" l="1"/>
  <c r="PO12" i="2"/>
  <c r="R649" i="20"/>
  <c r="O650" i="20"/>
  <c r="Q648" i="20"/>
  <c r="P648" i="20" s="1"/>
  <c r="GU39" i="13"/>
  <c r="GU40" i="13" s="1"/>
  <c r="GV38" i="13"/>
  <c r="GW38" i="13" s="1"/>
  <c r="GV37" i="13"/>
  <c r="GV36" i="13"/>
  <c r="GW36" i="13" s="1"/>
  <c r="GV35" i="13"/>
  <c r="GW35" i="13" s="1"/>
  <c r="GV26" i="13"/>
  <c r="GW26" i="13" s="1"/>
  <c r="GX25" i="13"/>
  <c r="GY25" i="13" s="1"/>
  <c r="PN17" i="2"/>
  <c r="PN15" i="2"/>
  <c r="HD19" i="13"/>
  <c r="HD24" i="13"/>
  <c r="HJ24" i="13"/>
  <c r="S650" i="20"/>
  <c r="PN19" i="2"/>
  <c r="PN16" i="2"/>
  <c r="PN20" i="2"/>
  <c r="HJ19" i="13"/>
  <c r="PN18" i="2" l="1"/>
  <c r="PP12" i="2"/>
  <c r="O651" i="20"/>
  <c r="R650" i="20"/>
  <c r="Q650" i="20" s="1"/>
  <c r="P650" i="20" s="1"/>
  <c r="Q649" i="20"/>
  <c r="P649" i="20" s="1"/>
  <c r="HJ25" i="13"/>
  <c r="GU41" i="13"/>
  <c r="GU42" i="13" s="1"/>
  <c r="GU43" i="13" s="1"/>
  <c r="GV40" i="13"/>
  <c r="GV39" i="13"/>
  <c r="GW39" i="13" s="1"/>
  <c r="GX39" i="13" s="1"/>
  <c r="GX35" i="13"/>
  <c r="GY35" i="13" s="1"/>
  <c r="GX38" i="13"/>
  <c r="GY38" i="13" s="1"/>
  <c r="GX36" i="13"/>
  <c r="GY36" i="13" s="1"/>
  <c r="GW37" i="13"/>
  <c r="GX37" i="13" s="1"/>
  <c r="GY37" i="13" s="1"/>
  <c r="GX26" i="13"/>
  <c r="GY26" i="13" s="1"/>
  <c r="HJ30" i="13"/>
  <c r="GU45" i="13"/>
  <c r="HD26" i="13"/>
  <c r="PO19" i="2"/>
  <c r="HD30" i="13"/>
  <c r="PO17" i="2"/>
  <c r="HJ26" i="13"/>
  <c r="PO15" i="2"/>
  <c r="PO16" i="2"/>
  <c r="S651" i="20"/>
  <c r="GU51" i="13"/>
  <c r="PO20" i="2"/>
  <c r="PO18" i="2" l="1"/>
  <c r="PQ12" i="2"/>
  <c r="R651" i="20"/>
  <c r="O652" i="20"/>
  <c r="HJ31" i="13"/>
  <c r="GV42" i="13"/>
  <c r="GW42" i="13" s="1"/>
  <c r="GX42" i="13" s="1"/>
  <c r="GY42" i="13" s="1"/>
  <c r="GV41" i="13"/>
  <c r="GW41" i="13" s="1"/>
  <c r="GW40" i="13"/>
  <c r="GY39" i="13"/>
  <c r="PP20" i="2"/>
  <c r="GU50" i="13"/>
  <c r="HD27" i="13"/>
  <c r="GU52" i="13"/>
  <c r="PP17" i="2"/>
  <c r="GU47" i="13"/>
  <c r="PP19" i="2"/>
  <c r="PP16" i="2"/>
  <c r="PP15" i="2"/>
  <c r="GU44" i="13"/>
  <c r="HJ27" i="13"/>
  <c r="S652" i="20"/>
  <c r="PP18" i="2" l="1"/>
  <c r="PR12" i="2"/>
  <c r="R652" i="20"/>
  <c r="O653" i="20"/>
  <c r="Q651" i="20"/>
  <c r="P651" i="20" s="1"/>
  <c r="HJ28" i="13"/>
  <c r="HJ32" i="13" s="1"/>
  <c r="HK32" i="13" s="1"/>
  <c r="HL32" i="13" s="1"/>
  <c r="HM32" i="13" s="1"/>
  <c r="GV52" i="13"/>
  <c r="GW52" i="13" s="1"/>
  <c r="GX52" i="13" s="1"/>
  <c r="GU46" i="13"/>
  <c r="GV47" i="13"/>
  <c r="GW47" i="13" s="1"/>
  <c r="GV45" i="13"/>
  <c r="GW45" i="13" s="1"/>
  <c r="GV44" i="13"/>
  <c r="GW44" i="13" s="1"/>
  <c r="GX40" i="13"/>
  <c r="GY40" i="13" s="1"/>
  <c r="GV43" i="13"/>
  <c r="GW43" i="13" s="1"/>
  <c r="GX41" i="13"/>
  <c r="GY41" i="13" s="1"/>
  <c r="GU48" i="13"/>
  <c r="PQ17" i="2"/>
  <c r="PQ20" i="2"/>
  <c r="PQ16" i="2"/>
  <c r="PQ19" i="2"/>
  <c r="S653" i="20"/>
  <c r="PQ15" i="2"/>
  <c r="PQ18" i="2" l="1"/>
  <c r="PS12" i="2"/>
  <c r="R653" i="20"/>
  <c r="Q653" i="20" s="1"/>
  <c r="P653" i="20" s="1"/>
  <c r="O654" i="20"/>
  <c r="Q652" i="20"/>
  <c r="P652" i="20" s="1"/>
  <c r="GY52" i="13"/>
  <c r="GV48" i="13"/>
  <c r="GW48" i="13" s="1"/>
  <c r="GU49" i="13"/>
  <c r="GV49" i="13" s="1"/>
  <c r="GW49" i="13" s="1"/>
  <c r="GX49" i="13" s="1"/>
  <c r="GV46" i="13"/>
  <c r="GW46" i="13" s="1"/>
  <c r="GX46" i="13" s="1"/>
  <c r="GX47" i="13"/>
  <c r="GY47" i="13" s="1"/>
  <c r="GX45" i="13"/>
  <c r="GY45" i="13" s="1"/>
  <c r="GX44" i="13"/>
  <c r="GY44" i="13" s="1"/>
  <c r="GX43" i="13"/>
  <c r="GY43" i="13" s="1"/>
  <c r="S654" i="20"/>
  <c r="PR20" i="2"/>
  <c r="PR15" i="2"/>
  <c r="PR19" i="2"/>
  <c r="PR17" i="2"/>
  <c r="PR16" i="2"/>
  <c r="PR18" i="2" l="1"/>
  <c r="PT12" i="2"/>
  <c r="R654" i="20"/>
  <c r="O655" i="20"/>
  <c r="GX48" i="13"/>
  <c r="GY48" i="13" s="1"/>
  <c r="GY49" i="13"/>
  <c r="GY46" i="13"/>
  <c r="PS17" i="2"/>
  <c r="PS19" i="2"/>
  <c r="PS16" i="2"/>
  <c r="S655" i="20"/>
  <c r="PS15" i="2"/>
  <c r="PS20" i="2"/>
  <c r="PS18" i="2" l="1"/>
  <c r="PU12" i="2"/>
  <c r="R655" i="20"/>
  <c r="O656" i="20"/>
  <c r="Q654" i="20"/>
  <c r="P654" i="20" s="1"/>
  <c r="IF12" i="13"/>
  <c r="IG12" i="13" s="1"/>
  <c r="PT15" i="2"/>
  <c r="S656" i="20"/>
  <c r="PT20" i="2"/>
  <c r="PT19" i="2"/>
  <c r="PT17" i="2"/>
  <c r="PT16" i="2"/>
  <c r="PT18" i="2" l="1"/>
  <c r="PV12" i="2"/>
  <c r="R656" i="20"/>
  <c r="O657" i="20"/>
  <c r="Q655" i="20"/>
  <c r="P655" i="20" s="1"/>
  <c r="IH12" i="13"/>
  <c r="II12" i="13" s="1"/>
  <c r="IF17" i="13"/>
  <c r="IG17" i="13" s="1"/>
  <c r="IH17" i="13" s="1"/>
  <c r="IF15" i="13"/>
  <c r="IG15" i="13" s="1"/>
  <c r="PU17" i="2"/>
  <c r="PU19" i="2"/>
  <c r="PU20" i="2"/>
  <c r="PU15" i="2"/>
  <c r="PU16" i="2"/>
  <c r="S657" i="20"/>
  <c r="PU18" i="2" l="1"/>
  <c r="PW12" i="2"/>
  <c r="O658" i="20"/>
  <c r="R657" i="20"/>
  <c r="Q656" i="20"/>
  <c r="P656" i="20" s="1"/>
  <c r="II17" i="13"/>
  <c r="IF19" i="13"/>
  <c r="IG19" i="13" s="1"/>
  <c r="IH15" i="13"/>
  <c r="II15" i="13" s="1"/>
  <c r="PV20" i="2"/>
  <c r="PV19" i="2"/>
  <c r="PV15" i="2"/>
  <c r="S658" i="20"/>
  <c r="PV17" i="2"/>
  <c r="PV16" i="2"/>
  <c r="PV18" i="2" l="1"/>
  <c r="PX12" i="2"/>
  <c r="Q657" i="20"/>
  <c r="P657" i="20" s="1"/>
  <c r="R658" i="20"/>
  <c r="Q658" i="20" s="1"/>
  <c r="P658" i="20" s="1"/>
  <c r="O659" i="20"/>
  <c r="IF22" i="13"/>
  <c r="IH19" i="13"/>
  <c r="II19" i="13" s="1"/>
  <c r="PW16" i="2"/>
  <c r="PW20" i="2"/>
  <c r="PW19" i="2"/>
  <c r="PW17" i="2"/>
  <c r="PW15" i="2"/>
  <c r="S659" i="20"/>
  <c r="PW18" i="2" l="1"/>
  <c r="PY12" i="2"/>
  <c r="O660" i="20"/>
  <c r="R659" i="20"/>
  <c r="Q659" i="20" s="1"/>
  <c r="P659" i="20" s="1"/>
  <c r="IF23" i="13"/>
  <c r="IG23" i="13" s="1"/>
  <c r="IE24" i="13"/>
  <c r="IE28" i="13" s="1"/>
  <c r="IG22" i="13"/>
  <c r="IH22" i="13" s="1"/>
  <c r="S660" i="20"/>
  <c r="PX19" i="2"/>
  <c r="PX17" i="2"/>
  <c r="PX16" i="2"/>
  <c r="PX20" i="2"/>
  <c r="PX15" i="2"/>
  <c r="PX18" i="2" l="1"/>
  <c r="PZ12" i="2"/>
  <c r="R660" i="20"/>
  <c r="Q660" i="20" s="1"/>
  <c r="P660" i="20" s="1"/>
  <c r="O661" i="20"/>
  <c r="IF28" i="13"/>
  <c r="IG28" i="13" s="1"/>
  <c r="IE5" i="13"/>
  <c r="IH23" i="13"/>
  <c r="II23" i="13" s="1"/>
  <c r="IF24" i="13"/>
  <c r="II22" i="13"/>
  <c r="PY15" i="2"/>
  <c r="PY16" i="2"/>
  <c r="S661" i="20"/>
  <c r="PY17" i="2"/>
  <c r="PY20" i="2"/>
  <c r="PY19" i="2"/>
  <c r="PY18" i="2" l="1"/>
  <c r="QA12" i="2"/>
  <c r="R661" i="20"/>
  <c r="Q661" i="20" s="1"/>
  <c r="P661" i="20" s="1"/>
  <c r="O662" i="20"/>
  <c r="IH28" i="13"/>
  <c r="II28" i="13" s="1"/>
  <c r="IF5" i="13"/>
  <c r="IG5" i="13" s="1"/>
  <c r="IG24" i="13"/>
  <c r="IH24" i="13" s="1"/>
  <c r="II24" i="13" s="1"/>
  <c r="PZ16" i="2"/>
  <c r="PZ15" i="2"/>
  <c r="PZ20" i="2"/>
  <c r="PZ17" i="2"/>
  <c r="S662" i="20"/>
  <c r="PZ19" i="2"/>
  <c r="PZ18" i="2" l="1"/>
  <c r="QB12" i="2"/>
  <c r="O663" i="20"/>
  <c r="R662" i="20"/>
  <c r="IH5" i="13"/>
  <c r="II5" i="13" s="1"/>
  <c r="AN31" i="13"/>
  <c r="QA17" i="2"/>
  <c r="QA16" i="2"/>
  <c r="S663" i="20"/>
  <c r="QA20" i="2"/>
  <c r="QA19" i="2"/>
  <c r="QA15" i="2"/>
  <c r="QA18" i="2" l="1"/>
  <c r="QC12" i="2"/>
  <c r="Q662" i="20"/>
  <c r="P662" i="20" s="1"/>
  <c r="R663" i="20"/>
  <c r="Q663" i="20" s="1"/>
  <c r="P663" i="20" s="1"/>
  <c r="O664" i="20"/>
  <c r="AO31" i="13"/>
  <c r="QB17" i="2"/>
  <c r="QB15" i="2"/>
  <c r="S664" i="20"/>
  <c r="QB19" i="2"/>
  <c r="QB20" i="2"/>
  <c r="QB16" i="2"/>
  <c r="QB18" i="2" l="1"/>
  <c r="QD12" i="2"/>
  <c r="R664" i="20"/>
  <c r="Q664" i="20" s="1"/>
  <c r="P664" i="20" s="1"/>
  <c r="O665" i="20"/>
  <c r="AP31" i="13"/>
  <c r="AQ31" i="13" s="1"/>
  <c r="S665" i="20"/>
  <c r="QC17" i="2"/>
  <c r="QC16" i="2"/>
  <c r="QC20" i="2"/>
  <c r="QC19" i="2"/>
  <c r="QC15" i="2"/>
  <c r="QC18" i="2" l="1"/>
  <c r="QE12" i="2"/>
  <c r="R665" i="20"/>
  <c r="Q665" i="20" s="1"/>
  <c r="P665" i="20" s="1"/>
  <c r="O666" i="20"/>
  <c r="QD17" i="2"/>
  <c r="QD19" i="2"/>
  <c r="QD16" i="2"/>
  <c r="QD15" i="2"/>
  <c r="QD20" i="2"/>
  <c r="S666" i="20"/>
  <c r="QD18" i="2" l="1"/>
  <c r="QF12" i="2"/>
  <c r="R666" i="20"/>
  <c r="Q666" i="20" s="1"/>
  <c r="P666" i="20" s="1"/>
  <c r="O667" i="20"/>
  <c r="QE20" i="2"/>
  <c r="S667" i="20"/>
  <c r="QE17" i="2"/>
  <c r="QE16" i="2"/>
  <c r="QE19" i="2"/>
  <c r="QE15" i="2"/>
  <c r="QE18" i="2" l="1"/>
  <c r="QG12" i="2"/>
  <c r="R667" i="20"/>
  <c r="O668" i="20"/>
  <c r="QF15" i="2"/>
  <c r="QF17" i="2"/>
  <c r="QF19" i="2"/>
  <c r="QF16" i="2"/>
  <c r="QF20" i="2"/>
  <c r="S668" i="20"/>
  <c r="QF18" i="2" l="1"/>
  <c r="QH12" i="2"/>
  <c r="R668" i="20"/>
  <c r="Q668" i="20" s="1"/>
  <c r="P668" i="20" s="1"/>
  <c r="O669" i="20"/>
  <c r="Q667" i="20"/>
  <c r="P667" i="20" s="1"/>
  <c r="QG20" i="2"/>
  <c r="QG15" i="2"/>
  <c r="QG19" i="2"/>
  <c r="QG17" i="2"/>
  <c r="S669" i="20"/>
  <c r="QG16" i="2"/>
  <c r="QG18" i="2" l="1"/>
  <c r="QI12" i="2"/>
  <c r="R669" i="20"/>
  <c r="Q669" i="20" s="1"/>
  <c r="P669" i="20" s="1"/>
  <c r="O670" i="20"/>
  <c r="QH19" i="2"/>
  <c r="QH17" i="2"/>
  <c r="QH16" i="2"/>
  <c r="QH20" i="2"/>
  <c r="S670" i="20"/>
  <c r="QH15" i="2"/>
  <c r="QH18" i="2" l="1"/>
  <c r="QJ12" i="2"/>
  <c r="R670" i="20"/>
  <c r="O671" i="20"/>
  <c r="QI20" i="2"/>
  <c r="QI17" i="2"/>
  <c r="QI15" i="2"/>
  <c r="S671" i="20"/>
  <c r="QI16" i="2"/>
  <c r="QI19" i="2"/>
  <c r="QI18" i="2" l="1"/>
  <c r="QK12" i="2"/>
  <c r="R671" i="20"/>
  <c r="Q671" i="20" s="1"/>
  <c r="P671" i="20" s="1"/>
  <c r="O672" i="20"/>
  <c r="Q670" i="20"/>
  <c r="P670" i="20" s="1"/>
  <c r="QJ17" i="2"/>
  <c r="QJ20" i="2"/>
  <c r="QJ15" i="2"/>
  <c r="S672" i="20"/>
  <c r="QJ16" i="2"/>
  <c r="QJ19" i="2"/>
  <c r="QJ18" i="2" l="1"/>
  <c r="QL12" i="2"/>
  <c r="R672" i="20"/>
  <c r="O673" i="20"/>
  <c r="QK20" i="2"/>
  <c r="S673" i="20"/>
  <c r="QK19" i="2"/>
  <c r="QK17" i="2"/>
  <c r="QK16" i="2"/>
  <c r="QK15" i="2"/>
  <c r="QK18" i="2" l="1"/>
  <c r="QM12" i="2"/>
  <c r="R673" i="20"/>
  <c r="O674" i="20"/>
  <c r="Q672" i="20"/>
  <c r="P672" i="20" s="1"/>
  <c r="QL20" i="2"/>
  <c r="QL16" i="2"/>
  <c r="S674" i="20"/>
  <c r="QL17" i="2"/>
  <c r="QL19" i="2"/>
  <c r="QL15" i="2"/>
  <c r="QL18" i="2" l="1"/>
  <c r="QN12" i="2"/>
  <c r="R674" i="20"/>
  <c r="Q674" i="20" s="1"/>
  <c r="P674" i="20" s="1"/>
  <c r="O675" i="20"/>
  <c r="Q673" i="20"/>
  <c r="P673" i="20" s="1"/>
  <c r="QM16" i="2"/>
  <c r="QM19" i="2"/>
  <c r="QM15" i="2"/>
  <c r="S675" i="20"/>
  <c r="QM17" i="2"/>
  <c r="QM20" i="2"/>
  <c r="QM18" i="2" l="1"/>
  <c r="QO12" i="2"/>
  <c r="R675" i="20"/>
  <c r="O676" i="20"/>
  <c r="QN19" i="2"/>
  <c r="QN16" i="2"/>
  <c r="QN17" i="2"/>
  <c r="QN20" i="2"/>
  <c r="S676" i="20"/>
  <c r="QN15" i="2"/>
  <c r="QN18" i="2" l="1"/>
  <c r="QP12" i="2"/>
  <c r="R676" i="20"/>
  <c r="Q676" i="20" s="1"/>
  <c r="P676" i="20" s="1"/>
  <c r="O677" i="20"/>
  <c r="Q675" i="20"/>
  <c r="P675" i="20" s="1"/>
  <c r="QO20" i="2"/>
  <c r="QO15" i="2"/>
  <c r="QO17" i="2"/>
  <c r="S677" i="20"/>
  <c r="QO19" i="2"/>
  <c r="QO16" i="2"/>
  <c r="QO18" i="2" l="1"/>
  <c r="QQ12" i="2"/>
  <c r="O678" i="20"/>
  <c r="R677" i="20"/>
  <c r="Q677" i="20" s="1"/>
  <c r="P677" i="20" s="1"/>
  <c r="QP17" i="2"/>
  <c r="QP19" i="2"/>
  <c r="S678" i="20"/>
  <c r="QP16" i="2"/>
  <c r="QP20" i="2"/>
  <c r="QP15" i="2"/>
  <c r="QP18" i="2" l="1"/>
  <c r="QR12" i="2"/>
  <c r="R678" i="20"/>
  <c r="O679" i="20"/>
  <c r="QQ20" i="2"/>
  <c r="S679" i="20"/>
  <c r="QQ15" i="2"/>
  <c r="QQ17" i="2"/>
  <c r="QQ16" i="2"/>
  <c r="QQ19" i="2"/>
  <c r="QQ18" i="2" l="1"/>
  <c r="QS12" i="2"/>
  <c r="R679" i="20"/>
  <c r="Q679" i="20" s="1"/>
  <c r="P679" i="20" s="1"/>
  <c r="O680" i="20"/>
  <c r="Q678" i="20"/>
  <c r="P678" i="20" s="1"/>
  <c r="QR17" i="2"/>
  <c r="QR16" i="2"/>
  <c r="QR20" i="2"/>
  <c r="QR19" i="2"/>
  <c r="QR15" i="2"/>
  <c r="S680" i="20"/>
  <c r="QR18" i="2" l="1"/>
  <c r="QT12" i="2"/>
  <c r="R680" i="20"/>
  <c r="Q680" i="20" s="1"/>
  <c r="P680" i="20" s="1"/>
  <c r="O681" i="20"/>
  <c r="QS15" i="2"/>
  <c r="QS16" i="2"/>
  <c r="QS20" i="2"/>
  <c r="QS17" i="2"/>
  <c r="QS19" i="2"/>
  <c r="S681" i="20"/>
  <c r="QS18" i="2" l="1"/>
  <c r="QU12" i="2"/>
  <c r="R681" i="20"/>
  <c r="O682" i="20"/>
  <c r="QT15" i="2"/>
  <c r="S682" i="20"/>
  <c r="QT19" i="2"/>
  <c r="QT16" i="2"/>
  <c r="QT17" i="2"/>
  <c r="QT20" i="2"/>
  <c r="QT18" i="2" l="1"/>
  <c r="QV12" i="2"/>
  <c r="O683" i="20"/>
  <c r="R682" i="20"/>
  <c r="Q682" i="20" s="1"/>
  <c r="P682" i="20" s="1"/>
  <c r="Q681" i="20"/>
  <c r="P681" i="20" s="1"/>
  <c r="S683" i="20"/>
  <c r="QU20" i="2"/>
  <c r="QU19" i="2"/>
  <c r="QU16" i="2"/>
  <c r="QU17" i="2"/>
  <c r="QU15" i="2"/>
  <c r="QU18" i="2" l="1"/>
  <c r="QW12" i="2"/>
  <c r="R683" i="20"/>
  <c r="O684" i="20"/>
  <c r="QV20" i="2"/>
  <c r="QV19" i="2"/>
  <c r="S684" i="20"/>
  <c r="QV16" i="2"/>
  <c r="QV17" i="2"/>
  <c r="QV15" i="2"/>
  <c r="QV18" i="2" l="1"/>
  <c r="QX12" i="2"/>
  <c r="R684" i="20"/>
  <c r="Q684" i="20" s="1"/>
  <c r="P684" i="20" s="1"/>
  <c r="O685" i="20"/>
  <c r="Q683" i="20"/>
  <c r="P683" i="20" s="1"/>
  <c r="QW20" i="2"/>
  <c r="QW19" i="2"/>
  <c r="S685" i="20"/>
  <c r="QW17" i="2"/>
  <c r="QW15" i="2"/>
  <c r="QW16" i="2"/>
  <c r="QW18" i="2" l="1"/>
  <c r="QY12" i="2"/>
  <c r="R685" i="20"/>
  <c r="Q685" i="20" s="1"/>
  <c r="P685" i="20" s="1"/>
  <c r="O686" i="20"/>
  <c r="QX17" i="2"/>
  <c r="QX20" i="2"/>
  <c r="QX15" i="2"/>
  <c r="QX19" i="2"/>
  <c r="QX16" i="2"/>
  <c r="S686" i="20"/>
  <c r="QX18" i="2" l="1"/>
  <c r="QZ12" i="2"/>
  <c r="R686" i="20"/>
  <c r="Q686" i="20" s="1"/>
  <c r="P686" i="20" s="1"/>
  <c r="O687" i="20"/>
  <c r="QY19" i="2"/>
  <c r="QY17" i="2"/>
  <c r="S687" i="20"/>
  <c r="QY15" i="2"/>
  <c r="QY20" i="2"/>
  <c r="QY16" i="2"/>
  <c r="QY18" i="2" l="1"/>
  <c r="RA12" i="2"/>
  <c r="R687" i="20"/>
  <c r="Q687" i="20" s="1"/>
  <c r="P687" i="20" s="1"/>
  <c r="O688" i="20"/>
  <c r="QZ17" i="2"/>
  <c r="QZ16" i="2"/>
  <c r="QZ15" i="2"/>
  <c r="QZ20" i="2"/>
  <c r="S688" i="20"/>
  <c r="QZ19" i="2"/>
  <c r="RB12" i="2" l="1"/>
  <c r="DJ23" i="2" s="1"/>
  <c r="RB21" i="2"/>
  <c r="QZ18" i="2"/>
  <c r="R688" i="20"/>
  <c r="Q688" i="20" s="1"/>
  <c r="P688" i="20" s="1"/>
  <c r="O689" i="20"/>
  <c r="S689" i="20"/>
  <c r="RC21" i="2" l="1"/>
  <c r="DK23" i="2"/>
  <c r="DJ22" i="2"/>
  <c r="DK22" i="2" s="1"/>
  <c r="DL22" i="2" s="1"/>
  <c r="DM22" i="2" s="1"/>
  <c r="DN22" i="2" s="1"/>
  <c r="DO22" i="2" s="1"/>
  <c r="DP22" i="2" s="1"/>
  <c r="DQ22" i="2" s="1"/>
  <c r="DR22" i="2" s="1"/>
  <c r="DS22" i="2" s="1"/>
  <c r="DT22" i="2" s="1"/>
  <c r="DU22" i="2" s="1"/>
  <c r="DV22" i="2" s="1"/>
  <c r="DW22" i="2" s="1"/>
  <c r="DX22" i="2" s="1"/>
  <c r="DY22" i="2" s="1"/>
  <c r="DZ22" i="2" s="1"/>
  <c r="EA22" i="2" s="1"/>
  <c r="EB22" i="2" s="1"/>
  <c r="EC22" i="2" s="1"/>
  <c r="ED22" i="2" s="1"/>
  <c r="EE22" i="2" s="1"/>
  <c r="EF22" i="2" s="1"/>
  <c r="EG22" i="2" s="1"/>
  <c r="EH22" i="2" s="1"/>
  <c r="EI22" i="2" s="1"/>
  <c r="EJ22" i="2" s="1"/>
  <c r="EK22" i="2" s="1"/>
  <c r="EL22" i="2" s="1"/>
  <c r="EM22" i="2" s="1"/>
  <c r="EN22" i="2" s="1"/>
  <c r="EO22" i="2" s="1"/>
  <c r="EP22" i="2" s="1"/>
  <c r="EQ22" i="2" s="1"/>
  <c r="ER22" i="2" s="1"/>
  <c r="ES22" i="2" s="1"/>
  <c r="ET22" i="2" s="1"/>
  <c r="EU22" i="2" s="1"/>
  <c r="EV22" i="2" s="1"/>
  <c r="EW22" i="2" s="1"/>
  <c r="EX22" i="2" s="1"/>
  <c r="EY22" i="2" s="1"/>
  <c r="EZ22" i="2" s="1"/>
  <c r="FA22" i="2" s="1"/>
  <c r="FB22" i="2" s="1"/>
  <c r="FC22" i="2" s="1"/>
  <c r="FD22" i="2" s="1"/>
  <c r="FE22" i="2" s="1"/>
  <c r="FF22" i="2" s="1"/>
  <c r="FG22" i="2" s="1"/>
  <c r="FH22" i="2" s="1"/>
  <c r="FI22" i="2" s="1"/>
  <c r="FJ22" i="2" s="1"/>
  <c r="FK22" i="2" s="1"/>
  <c r="FL22" i="2" s="1"/>
  <c r="FM22" i="2" s="1"/>
  <c r="FN22" i="2" s="1"/>
  <c r="FO22" i="2" s="1"/>
  <c r="FP22" i="2" s="1"/>
  <c r="FQ22" i="2" s="1"/>
  <c r="FR22" i="2" s="1"/>
  <c r="FS22" i="2" s="1"/>
  <c r="FT22" i="2" s="1"/>
  <c r="FU22" i="2" s="1"/>
  <c r="FV22" i="2" s="1"/>
  <c r="FW22" i="2" s="1"/>
  <c r="FX22" i="2" s="1"/>
  <c r="FY22" i="2" s="1"/>
  <c r="FZ22" i="2" s="1"/>
  <c r="GA22" i="2" s="1"/>
  <c r="GB22" i="2" s="1"/>
  <c r="GC22" i="2" s="1"/>
  <c r="GD22" i="2" s="1"/>
  <c r="GE22" i="2" s="1"/>
  <c r="GF22" i="2" s="1"/>
  <c r="GG22" i="2" s="1"/>
  <c r="GH22" i="2" s="1"/>
  <c r="GI22" i="2" s="1"/>
  <c r="GJ22" i="2" s="1"/>
  <c r="GK22" i="2" s="1"/>
  <c r="GL22" i="2" s="1"/>
  <c r="GM22" i="2" s="1"/>
  <c r="GN22" i="2" s="1"/>
  <c r="GO22" i="2" s="1"/>
  <c r="GP22" i="2" s="1"/>
  <c r="GQ22" i="2" s="1"/>
  <c r="GR22" i="2" s="1"/>
  <c r="GS22" i="2" s="1"/>
  <c r="GT22" i="2" s="1"/>
  <c r="GU22" i="2" s="1"/>
  <c r="GV22" i="2" s="1"/>
  <c r="GW22" i="2" s="1"/>
  <c r="GX22" i="2" s="1"/>
  <c r="GY22" i="2" s="1"/>
  <c r="GZ22" i="2" s="1"/>
  <c r="HA22" i="2" s="1"/>
  <c r="HB22" i="2" s="1"/>
  <c r="HC22" i="2" s="1"/>
  <c r="HD22" i="2" s="1"/>
  <c r="HE22" i="2" s="1"/>
  <c r="HF22" i="2" s="1"/>
  <c r="HG22" i="2" s="1"/>
  <c r="HH22" i="2" s="1"/>
  <c r="HI22" i="2" s="1"/>
  <c r="HJ22" i="2" s="1"/>
  <c r="HK22" i="2" s="1"/>
  <c r="HL22" i="2" s="1"/>
  <c r="HM22" i="2" s="1"/>
  <c r="HN22" i="2" s="1"/>
  <c r="HO22" i="2" s="1"/>
  <c r="HP22" i="2" s="1"/>
  <c r="HQ22" i="2" s="1"/>
  <c r="HR22" i="2" s="1"/>
  <c r="HS22" i="2" s="1"/>
  <c r="HT22" i="2" s="1"/>
  <c r="HU22" i="2" s="1"/>
  <c r="HV22" i="2" s="1"/>
  <c r="HW22" i="2" s="1"/>
  <c r="HX22" i="2" s="1"/>
  <c r="HY22" i="2" s="1"/>
  <c r="HZ22" i="2" s="1"/>
  <c r="IA22" i="2" s="1"/>
  <c r="IB22" i="2" s="1"/>
  <c r="IC22" i="2" s="1"/>
  <c r="ID22" i="2" s="1"/>
  <c r="IE22" i="2" s="1"/>
  <c r="IF22" i="2" s="1"/>
  <c r="IG22" i="2" s="1"/>
  <c r="IH22" i="2" s="1"/>
  <c r="II22" i="2" s="1"/>
  <c r="IJ22" i="2" s="1"/>
  <c r="IK22" i="2" s="1"/>
  <c r="IL22" i="2" s="1"/>
  <c r="IM22" i="2" s="1"/>
  <c r="IN22" i="2" s="1"/>
  <c r="IO22" i="2" s="1"/>
  <c r="IP22" i="2" s="1"/>
  <c r="IQ22" i="2" s="1"/>
  <c r="IR22" i="2" s="1"/>
  <c r="IS22" i="2" s="1"/>
  <c r="IT22" i="2" s="1"/>
  <c r="IU22" i="2" s="1"/>
  <c r="IV22" i="2" s="1"/>
  <c r="IW22" i="2" s="1"/>
  <c r="IX22" i="2" s="1"/>
  <c r="IY22" i="2" s="1"/>
  <c r="IZ22" i="2" s="1"/>
  <c r="JA22" i="2" s="1"/>
  <c r="JB22" i="2" s="1"/>
  <c r="JC22" i="2" s="1"/>
  <c r="JD22" i="2" s="1"/>
  <c r="JE22" i="2" s="1"/>
  <c r="JF22" i="2" s="1"/>
  <c r="JG22" i="2" s="1"/>
  <c r="JH22" i="2" s="1"/>
  <c r="JI22" i="2" s="1"/>
  <c r="JJ22" i="2" s="1"/>
  <c r="JK22" i="2" s="1"/>
  <c r="JL22" i="2" s="1"/>
  <c r="JM22" i="2" s="1"/>
  <c r="JN22" i="2" s="1"/>
  <c r="JO22" i="2" s="1"/>
  <c r="JP22" i="2" s="1"/>
  <c r="JQ22" i="2" s="1"/>
  <c r="JR22" i="2" s="1"/>
  <c r="JS22" i="2" s="1"/>
  <c r="JT22" i="2" s="1"/>
  <c r="JU22" i="2" s="1"/>
  <c r="JV22" i="2" s="1"/>
  <c r="JW22" i="2" s="1"/>
  <c r="JX22" i="2" s="1"/>
  <c r="JY22" i="2" s="1"/>
  <c r="JZ22" i="2" s="1"/>
  <c r="KA22" i="2" s="1"/>
  <c r="KB22" i="2" s="1"/>
  <c r="KC22" i="2" s="1"/>
  <c r="KD22" i="2" s="1"/>
  <c r="KE22" i="2" s="1"/>
  <c r="KF22" i="2" s="1"/>
  <c r="KG22" i="2" s="1"/>
  <c r="KH22" i="2" s="1"/>
  <c r="KI22" i="2" s="1"/>
  <c r="KJ22" i="2" s="1"/>
  <c r="KK22" i="2" s="1"/>
  <c r="KL22" i="2" s="1"/>
  <c r="KM22" i="2" s="1"/>
  <c r="KN22" i="2" s="1"/>
  <c r="KO22" i="2" s="1"/>
  <c r="KP22" i="2" s="1"/>
  <c r="KQ22" i="2" s="1"/>
  <c r="KR22" i="2" s="1"/>
  <c r="KS22" i="2" s="1"/>
  <c r="KT22" i="2" s="1"/>
  <c r="KU22" i="2" s="1"/>
  <c r="KV22" i="2" s="1"/>
  <c r="KW22" i="2" s="1"/>
  <c r="KX22" i="2" s="1"/>
  <c r="KY22" i="2" s="1"/>
  <c r="KZ22" i="2" s="1"/>
  <c r="LA22" i="2" s="1"/>
  <c r="LB22" i="2" s="1"/>
  <c r="LC22" i="2" s="1"/>
  <c r="LD22" i="2" s="1"/>
  <c r="LE22" i="2" s="1"/>
  <c r="LF22" i="2" s="1"/>
  <c r="LG22" i="2" s="1"/>
  <c r="LH22" i="2" s="1"/>
  <c r="LI22" i="2" s="1"/>
  <c r="LJ22" i="2" s="1"/>
  <c r="LK22" i="2" s="1"/>
  <c r="LL22" i="2" s="1"/>
  <c r="LM22" i="2" s="1"/>
  <c r="LN22" i="2" s="1"/>
  <c r="LO22" i="2" s="1"/>
  <c r="LP22" i="2" s="1"/>
  <c r="LQ22" i="2" s="1"/>
  <c r="LR22" i="2" s="1"/>
  <c r="LS22" i="2" s="1"/>
  <c r="LT22" i="2" s="1"/>
  <c r="LU22" i="2" s="1"/>
  <c r="LV22" i="2" s="1"/>
  <c r="LW22" i="2" s="1"/>
  <c r="LX22" i="2" s="1"/>
  <c r="LY22" i="2" s="1"/>
  <c r="LZ22" i="2" s="1"/>
  <c r="MA22" i="2" s="1"/>
  <c r="MB22" i="2" s="1"/>
  <c r="MC22" i="2" s="1"/>
  <c r="MD22" i="2" s="1"/>
  <c r="ME22" i="2" s="1"/>
  <c r="MF22" i="2" s="1"/>
  <c r="MG22" i="2" s="1"/>
  <c r="MH22" i="2" s="1"/>
  <c r="MI22" i="2" s="1"/>
  <c r="MJ22" i="2" s="1"/>
  <c r="MK22" i="2" s="1"/>
  <c r="ML22" i="2" s="1"/>
  <c r="MM22" i="2" s="1"/>
  <c r="MN22" i="2" s="1"/>
  <c r="MO22" i="2" s="1"/>
  <c r="MP22" i="2" s="1"/>
  <c r="MQ22" i="2" s="1"/>
  <c r="MR22" i="2" s="1"/>
  <c r="MS22" i="2" s="1"/>
  <c r="MT22" i="2" s="1"/>
  <c r="MU22" i="2" s="1"/>
  <c r="MV22" i="2" s="1"/>
  <c r="MW22" i="2" s="1"/>
  <c r="MX22" i="2" s="1"/>
  <c r="MY22" i="2" s="1"/>
  <c r="MZ22" i="2" s="1"/>
  <c r="NA22" i="2" s="1"/>
  <c r="NB22" i="2" s="1"/>
  <c r="NC22" i="2" s="1"/>
  <c r="ND22" i="2" s="1"/>
  <c r="NE22" i="2" s="1"/>
  <c r="NF22" i="2" s="1"/>
  <c r="NG22" i="2" s="1"/>
  <c r="NH22" i="2" s="1"/>
  <c r="NI22" i="2" s="1"/>
  <c r="NJ22" i="2" s="1"/>
  <c r="NK22" i="2" s="1"/>
  <c r="NL22" i="2" s="1"/>
  <c r="NM22" i="2" s="1"/>
  <c r="NN22" i="2" s="1"/>
  <c r="NO22" i="2" s="1"/>
  <c r="NP22" i="2" s="1"/>
  <c r="NQ22" i="2" s="1"/>
  <c r="NR22" i="2" s="1"/>
  <c r="NS22" i="2" s="1"/>
  <c r="NT22" i="2" s="1"/>
  <c r="NU22" i="2" s="1"/>
  <c r="NV22" i="2" s="1"/>
  <c r="NW22" i="2" s="1"/>
  <c r="NX22" i="2" s="1"/>
  <c r="NY22" i="2" s="1"/>
  <c r="NZ22" i="2" s="1"/>
  <c r="OA22" i="2" s="1"/>
  <c r="OB22" i="2" s="1"/>
  <c r="OC22" i="2" s="1"/>
  <c r="OD22" i="2" s="1"/>
  <c r="OE22" i="2" s="1"/>
  <c r="OF22" i="2" s="1"/>
  <c r="OG22" i="2" s="1"/>
  <c r="OH22" i="2" s="1"/>
  <c r="OI22" i="2" s="1"/>
  <c r="OJ22" i="2" s="1"/>
  <c r="OK22" i="2" s="1"/>
  <c r="OL22" i="2" s="1"/>
  <c r="OM22" i="2" s="1"/>
  <c r="ON22" i="2" s="1"/>
  <c r="OO22" i="2" s="1"/>
  <c r="OP22" i="2" s="1"/>
  <c r="OQ22" i="2" s="1"/>
  <c r="OR22" i="2" s="1"/>
  <c r="OS22" i="2" s="1"/>
  <c r="OT22" i="2" s="1"/>
  <c r="OU22" i="2" s="1"/>
  <c r="OV22" i="2" s="1"/>
  <c r="OW22" i="2" s="1"/>
  <c r="OX22" i="2" s="1"/>
  <c r="OY22" i="2" s="1"/>
  <c r="OZ22" i="2" s="1"/>
  <c r="PA22" i="2" s="1"/>
  <c r="PB22" i="2" s="1"/>
  <c r="PC22" i="2" s="1"/>
  <c r="PD22" i="2" s="1"/>
  <c r="PE22" i="2" s="1"/>
  <c r="PF22" i="2" s="1"/>
  <c r="PG22" i="2" s="1"/>
  <c r="PH22" i="2" s="1"/>
  <c r="PI22" i="2" s="1"/>
  <c r="PJ22" i="2" s="1"/>
  <c r="PK22" i="2" s="1"/>
  <c r="PL22" i="2" s="1"/>
  <c r="PM22" i="2" s="1"/>
  <c r="PN22" i="2" s="1"/>
  <c r="PO22" i="2" s="1"/>
  <c r="PP22" i="2" s="1"/>
  <c r="PQ22" i="2" s="1"/>
  <c r="PR22" i="2" s="1"/>
  <c r="PS22" i="2" s="1"/>
  <c r="PT22" i="2" s="1"/>
  <c r="PU22" i="2" s="1"/>
  <c r="PV22" i="2" s="1"/>
  <c r="PW22" i="2" s="1"/>
  <c r="PX22" i="2" s="1"/>
  <c r="PY22" i="2" s="1"/>
  <c r="PZ22" i="2" s="1"/>
  <c r="QA22" i="2" s="1"/>
  <c r="QB22" i="2" s="1"/>
  <c r="QC22" i="2" s="1"/>
  <c r="QD22" i="2" s="1"/>
  <c r="QE22" i="2" s="1"/>
  <c r="QF22" i="2" s="1"/>
  <c r="QG22" i="2" s="1"/>
  <c r="QH22" i="2" s="1"/>
  <c r="QI22" i="2" s="1"/>
  <c r="QJ22" i="2" s="1"/>
  <c r="QK22" i="2" s="1"/>
  <c r="QL22" i="2" s="1"/>
  <c r="QM22" i="2" s="1"/>
  <c r="QN22" i="2" s="1"/>
  <c r="QO22" i="2" s="1"/>
  <c r="QP22" i="2" s="1"/>
  <c r="QQ22" i="2" s="1"/>
  <c r="QR22" i="2" s="1"/>
  <c r="QS22" i="2" s="1"/>
  <c r="QT22" i="2" s="1"/>
  <c r="QU22" i="2" s="1"/>
  <c r="QV22" i="2" s="1"/>
  <c r="QW22" i="2" s="1"/>
  <c r="QX22" i="2" s="1"/>
  <c r="QY22" i="2" s="1"/>
  <c r="QZ22" i="2" s="1"/>
  <c r="O690" i="20"/>
  <c r="R689" i="20"/>
  <c r="DJ30" i="2"/>
  <c r="DJ27" i="2"/>
  <c r="DJ26" i="2"/>
  <c r="S690" i="20"/>
  <c r="DJ31" i="2"/>
  <c r="DJ28" i="2"/>
  <c r="DJ29" i="2" l="1"/>
  <c r="DL23" i="2"/>
  <c r="Q689" i="20"/>
  <c r="P689" i="20" s="1"/>
  <c r="R690" i="20"/>
  <c r="O691" i="20"/>
  <c r="DK26" i="2"/>
  <c r="DK27" i="2"/>
  <c r="DK31" i="2"/>
  <c r="DK28" i="2"/>
  <c r="DK30" i="2"/>
  <c r="S691" i="20"/>
  <c r="DK29" i="2" l="1"/>
  <c r="DM23" i="2"/>
  <c r="R691" i="20"/>
  <c r="O692" i="20"/>
  <c r="Q690" i="20"/>
  <c r="P690" i="20" s="1"/>
  <c r="DL28" i="2"/>
  <c r="DL27" i="2"/>
  <c r="DL30" i="2"/>
  <c r="DL26" i="2"/>
  <c r="DL31" i="2"/>
  <c r="S692" i="20"/>
  <c r="DL29" i="2" l="1"/>
  <c r="DN23" i="2"/>
  <c r="R692" i="20"/>
  <c r="O693" i="20"/>
  <c r="Q691" i="20"/>
  <c r="P691" i="20" s="1"/>
  <c r="S693" i="20"/>
  <c r="DM30" i="2"/>
  <c r="DM26" i="2"/>
  <c r="DM28" i="2"/>
  <c r="DM27" i="2"/>
  <c r="DM31" i="2"/>
  <c r="DM29" i="2" l="1"/>
  <c r="DO23" i="2"/>
  <c r="O694" i="20"/>
  <c r="R693" i="20"/>
  <c r="Q692" i="20"/>
  <c r="P692" i="20" s="1"/>
  <c r="DN31" i="2"/>
  <c r="DN27" i="2"/>
  <c r="DN30" i="2"/>
  <c r="DN28" i="2"/>
  <c r="S694" i="20"/>
  <c r="DN26" i="2"/>
  <c r="DN29" i="2" l="1"/>
  <c r="DP23" i="2"/>
  <c r="Q693" i="20"/>
  <c r="P693" i="20" s="1"/>
  <c r="R694" i="20"/>
  <c r="O695" i="20"/>
  <c r="S695" i="20"/>
  <c r="DO28" i="2"/>
  <c r="DO26" i="2"/>
  <c r="DO27" i="2"/>
  <c r="DO31" i="2"/>
  <c r="DO30" i="2"/>
  <c r="DO29" i="2" l="1"/>
  <c r="DQ23" i="2"/>
  <c r="O696" i="20"/>
  <c r="R695" i="20"/>
  <c r="Q694" i="20"/>
  <c r="P694" i="20" s="1"/>
  <c r="DP30" i="2"/>
  <c r="DP26" i="2"/>
  <c r="S696" i="20"/>
  <c r="DP31" i="2"/>
  <c r="DP27" i="2"/>
  <c r="DP28" i="2"/>
  <c r="DP29" i="2" l="1"/>
  <c r="DR23" i="2"/>
  <c r="Q695" i="20"/>
  <c r="P695" i="20" s="1"/>
  <c r="R696" i="20"/>
  <c r="Q696" i="20" s="1"/>
  <c r="P696" i="20" s="1"/>
  <c r="O697" i="20"/>
  <c r="DQ30" i="2"/>
  <c r="DQ26" i="2"/>
  <c r="DQ28" i="2"/>
  <c r="DQ31" i="2"/>
  <c r="DQ27" i="2"/>
  <c r="S697" i="20"/>
  <c r="DQ29" i="2" l="1"/>
  <c r="DS23" i="2"/>
  <c r="R697" i="20"/>
  <c r="Q697" i="20" s="1"/>
  <c r="P697" i="20" s="1"/>
  <c r="O698" i="20"/>
  <c r="DR31" i="2"/>
  <c r="DR28" i="2"/>
  <c r="DR27" i="2"/>
  <c r="DR26" i="2"/>
  <c r="DR30" i="2"/>
  <c r="S698" i="20"/>
  <c r="DR29" i="2" l="1"/>
  <c r="DT23" i="2"/>
  <c r="R698" i="20"/>
  <c r="O699" i="20"/>
  <c r="DS28" i="2"/>
  <c r="DS30" i="2"/>
  <c r="S699" i="20"/>
  <c r="DS31" i="2"/>
  <c r="DS27" i="2"/>
  <c r="DS26" i="2"/>
  <c r="DS29" i="2" l="1"/>
  <c r="DU23" i="2"/>
  <c r="O700" i="20"/>
  <c r="R699" i="20"/>
  <c r="Q699" i="20" s="1"/>
  <c r="P699" i="20" s="1"/>
  <c r="Q698" i="20"/>
  <c r="P698" i="20" s="1"/>
  <c r="DT26" i="2"/>
  <c r="DT30" i="2"/>
  <c r="S700" i="20"/>
  <c r="DT31" i="2"/>
  <c r="DT27" i="2"/>
  <c r="DT28" i="2"/>
  <c r="DT29" i="2" l="1"/>
  <c r="DV23" i="2"/>
  <c r="O701" i="20"/>
  <c r="R700" i="20"/>
  <c r="DU27" i="2"/>
  <c r="DU26" i="2"/>
  <c r="DU30" i="2"/>
  <c r="DU28" i="2"/>
  <c r="S701" i="20"/>
  <c r="DU31" i="2"/>
  <c r="DU29" i="2" l="1"/>
  <c r="DW23" i="2"/>
  <c r="Q700" i="20"/>
  <c r="P700" i="20" s="1"/>
  <c r="R701" i="20"/>
  <c r="Q701" i="20" s="1"/>
  <c r="P701" i="20" s="1"/>
  <c r="O702" i="20"/>
  <c r="DV30" i="2"/>
  <c r="DV31" i="2"/>
  <c r="DV26" i="2"/>
  <c r="DV27" i="2"/>
  <c r="S702" i="20"/>
  <c r="DV28" i="2"/>
  <c r="DV29" i="2" l="1"/>
  <c r="DX23" i="2"/>
  <c r="R702" i="20"/>
  <c r="Q702" i="20" s="1"/>
  <c r="P702" i="20" s="1"/>
  <c r="O703" i="20"/>
  <c r="DW28" i="2"/>
  <c r="DW26" i="2"/>
  <c r="DW30" i="2"/>
  <c r="S703" i="20"/>
  <c r="DW27" i="2"/>
  <c r="DW31" i="2"/>
  <c r="DW29" i="2" l="1"/>
  <c r="DY23" i="2"/>
  <c r="R703" i="20"/>
  <c r="Q703" i="20" s="1"/>
  <c r="P703" i="20" s="1"/>
  <c r="O704" i="20"/>
  <c r="DX31" i="2"/>
  <c r="DX30" i="2"/>
  <c r="DX26" i="2"/>
  <c r="DX28" i="2"/>
  <c r="S704" i="20"/>
  <c r="DX27" i="2"/>
  <c r="DX29" i="2" l="1"/>
  <c r="DZ23" i="2"/>
  <c r="R704" i="20"/>
  <c r="Q704" i="20" s="1"/>
  <c r="P704" i="20" s="1"/>
  <c r="O705" i="20"/>
  <c r="DY31" i="2"/>
  <c r="S705" i="20"/>
  <c r="DY28" i="2"/>
  <c r="DY26" i="2"/>
  <c r="DY30" i="2"/>
  <c r="DY27" i="2"/>
  <c r="DY29" i="2" l="1"/>
  <c r="EA23" i="2"/>
  <c r="R705" i="20"/>
  <c r="Q705" i="20" s="1"/>
  <c r="P705" i="20" s="1"/>
  <c r="O706" i="20"/>
  <c r="DZ30" i="2"/>
  <c r="S706" i="20"/>
  <c r="DZ27" i="2"/>
  <c r="DZ28" i="2"/>
  <c r="DZ26" i="2"/>
  <c r="DZ31" i="2"/>
  <c r="DZ29" i="2" l="1"/>
  <c r="EB23" i="2"/>
  <c r="R706" i="20"/>
  <c r="Q706" i="20" s="1"/>
  <c r="P706" i="20" s="1"/>
  <c r="O707" i="20"/>
  <c r="EA30" i="2"/>
  <c r="EA28" i="2"/>
  <c r="S707" i="20"/>
  <c r="EA27" i="2"/>
  <c r="EA26" i="2"/>
  <c r="EA31" i="2"/>
  <c r="EA29" i="2" l="1"/>
  <c r="EC23" i="2"/>
  <c r="O708" i="20"/>
  <c r="R707" i="20"/>
  <c r="Q707" i="20" s="1"/>
  <c r="P707" i="20" s="1"/>
  <c r="EB31" i="2"/>
  <c r="EB26" i="2"/>
  <c r="EB30" i="2"/>
  <c r="S708" i="20"/>
  <c r="EB27" i="2"/>
  <c r="EB28" i="2"/>
  <c r="EB29" i="2" l="1"/>
  <c r="ED23" i="2"/>
  <c r="O709" i="20"/>
  <c r="R708" i="20"/>
  <c r="Q708" i="20" s="1"/>
  <c r="P708" i="20" s="1"/>
  <c r="EC27" i="2"/>
  <c r="EC28" i="2"/>
  <c r="S709" i="20"/>
  <c r="EC30" i="2"/>
  <c r="EC26" i="2"/>
  <c r="EC31" i="2"/>
  <c r="EC29" i="2" l="1"/>
  <c r="EE23" i="2"/>
  <c r="O710" i="20"/>
  <c r="R709" i="20"/>
  <c r="Q709" i="20" s="1"/>
  <c r="P709" i="20" s="1"/>
  <c r="ED31" i="2"/>
  <c r="ED26" i="2"/>
  <c r="S710" i="20"/>
  <c r="ED27" i="2"/>
  <c r="ED30" i="2"/>
  <c r="ED28" i="2"/>
  <c r="ED29" i="2" l="1"/>
  <c r="EF23" i="2"/>
  <c r="R710" i="20"/>
  <c r="Q710" i="20" s="1"/>
  <c r="P710" i="20" s="1"/>
  <c r="O711" i="20"/>
  <c r="EE28" i="2"/>
  <c r="EE27" i="2"/>
  <c r="EE30" i="2"/>
  <c r="S711" i="20"/>
  <c r="EE26" i="2"/>
  <c r="EE31" i="2"/>
  <c r="EE29" i="2" l="1"/>
  <c r="EG23" i="2"/>
  <c r="R711" i="20"/>
  <c r="Q711" i="20" s="1"/>
  <c r="P711" i="20" s="1"/>
  <c r="O712" i="20"/>
  <c r="EF26" i="2"/>
  <c r="EF30" i="2"/>
  <c r="EF27" i="2"/>
  <c r="EF28" i="2"/>
  <c r="S712" i="20"/>
  <c r="EF31" i="2"/>
  <c r="EF29" i="2" l="1"/>
  <c r="EH23" i="2"/>
  <c r="O713" i="20"/>
  <c r="R712" i="20"/>
  <c r="Q712" i="20" s="1"/>
  <c r="P712" i="20" s="1"/>
  <c r="EG31" i="2"/>
  <c r="EG26" i="2"/>
  <c r="S713" i="20"/>
  <c r="EG30" i="2"/>
  <c r="EG28" i="2"/>
  <c r="EG27" i="2"/>
  <c r="EG29" i="2" l="1"/>
  <c r="EI23" i="2"/>
  <c r="R713" i="20"/>
  <c r="Q713" i="20" s="1"/>
  <c r="P713" i="20" s="1"/>
  <c r="O714" i="20"/>
  <c r="EH27" i="2"/>
  <c r="S714" i="20"/>
  <c r="EH30" i="2"/>
  <c r="EH26" i="2"/>
  <c r="EH28" i="2"/>
  <c r="EH31" i="2"/>
  <c r="EH29" i="2" l="1"/>
  <c r="EJ23" i="2"/>
  <c r="R714" i="20"/>
  <c r="Q714" i="20" s="1"/>
  <c r="P714" i="20" s="1"/>
  <c r="O715" i="20"/>
  <c r="S715" i="20"/>
  <c r="EI26" i="2"/>
  <c r="EI31" i="2"/>
  <c r="EI30" i="2"/>
  <c r="EI27" i="2"/>
  <c r="EI28" i="2"/>
  <c r="EI29" i="2" l="1"/>
  <c r="EK23" i="2"/>
  <c r="R715" i="20"/>
  <c r="Q715" i="20" s="1"/>
  <c r="P715" i="20" s="1"/>
  <c r="O716" i="20"/>
  <c r="EJ31" i="2"/>
  <c r="EJ28" i="2"/>
  <c r="EJ30" i="2"/>
  <c r="EJ27" i="2"/>
  <c r="EJ26" i="2"/>
  <c r="S716" i="20"/>
  <c r="EJ29" i="2" l="1"/>
  <c r="EL23" i="2"/>
  <c r="R716" i="20"/>
  <c r="Q716" i="20" s="1"/>
  <c r="P716" i="20" s="1"/>
  <c r="O717" i="20"/>
  <c r="EK30" i="2"/>
  <c r="EK31" i="2"/>
  <c r="EK28" i="2"/>
  <c r="EK26" i="2"/>
  <c r="S717" i="20"/>
  <c r="EK27" i="2"/>
  <c r="EK29" i="2" l="1"/>
  <c r="EM23" i="2"/>
  <c r="R717" i="20"/>
  <c r="Q717" i="20" s="1"/>
  <c r="P717" i="20" s="1"/>
  <c r="O718" i="20"/>
  <c r="EL28" i="2"/>
  <c r="S718" i="20"/>
  <c r="EL30" i="2"/>
  <c r="EL31" i="2"/>
  <c r="EL27" i="2"/>
  <c r="EL26" i="2"/>
  <c r="EL29" i="2" l="1"/>
  <c r="EN23" i="2"/>
  <c r="R718" i="20"/>
  <c r="Q718" i="20" s="1"/>
  <c r="P718" i="20" s="1"/>
  <c r="O719" i="20"/>
  <c r="EM27" i="2"/>
  <c r="EM31" i="2"/>
  <c r="EM30" i="2"/>
  <c r="S719" i="20"/>
  <c r="EM28" i="2"/>
  <c r="EM26" i="2"/>
  <c r="EM29" i="2" l="1"/>
  <c r="EO23" i="2"/>
  <c r="R719" i="20"/>
  <c r="Q719" i="20" s="1"/>
  <c r="P719" i="20" s="1"/>
  <c r="O720" i="20"/>
  <c r="EN31" i="2"/>
  <c r="S720" i="20"/>
  <c r="EN27" i="2"/>
  <c r="EN30" i="2"/>
  <c r="EN28" i="2"/>
  <c r="EN26" i="2"/>
  <c r="EN29" i="2" l="1"/>
  <c r="EP23" i="2"/>
  <c r="R720" i="20"/>
  <c r="Q720" i="20" s="1"/>
  <c r="P720" i="20" s="1"/>
  <c r="O721" i="20"/>
  <c r="S721" i="20"/>
  <c r="EO26" i="2"/>
  <c r="EO30" i="2"/>
  <c r="EO27" i="2"/>
  <c r="EO31" i="2"/>
  <c r="EO28" i="2"/>
  <c r="EO29" i="2" l="1"/>
  <c r="EQ23" i="2"/>
  <c r="R721" i="20"/>
  <c r="Q721" i="20" s="1"/>
  <c r="P721" i="20" s="1"/>
  <c r="O722" i="20"/>
  <c r="EP28" i="2"/>
  <c r="EP26" i="2"/>
  <c r="EP31" i="2"/>
  <c r="EP30" i="2"/>
  <c r="S722" i="20"/>
  <c r="EP27" i="2"/>
  <c r="EP29" i="2" l="1"/>
  <c r="ER23" i="2"/>
  <c r="R722" i="20"/>
  <c r="O723" i="20"/>
  <c r="EQ27" i="2"/>
  <c r="S723" i="20"/>
  <c r="EQ30" i="2"/>
  <c r="EQ26" i="2"/>
  <c r="EQ28" i="2"/>
  <c r="EQ31" i="2"/>
  <c r="EQ29" i="2" l="1"/>
  <c r="ES23" i="2"/>
  <c r="O724" i="20"/>
  <c r="R723" i="20"/>
  <c r="Q723" i="20" s="1"/>
  <c r="P723" i="20" s="1"/>
  <c r="Q722" i="20"/>
  <c r="P722" i="20" s="1"/>
  <c r="ER27" i="2"/>
  <c r="ER28" i="2"/>
  <c r="ER30" i="2"/>
  <c r="ER31" i="2"/>
  <c r="ER26" i="2"/>
  <c r="S724" i="20"/>
  <c r="ER29" i="2" l="1"/>
  <c r="ET23" i="2"/>
  <c r="R724" i="20"/>
  <c r="Q724" i="20" s="1"/>
  <c r="P724" i="20" s="1"/>
  <c r="O725" i="20"/>
  <c r="S725" i="20"/>
  <c r="ES31" i="2"/>
  <c r="ES28" i="2"/>
  <c r="ES30" i="2"/>
  <c r="ES26" i="2"/>
  <c r="ES27" i="2"/>
  <c r="ES29" i="2" l="1"/>
  <c r="EU23" i="2"/>
  <c r="R725" i="20"/>
  <c r="Q725" i="20" s="1"/>
  <c r="P725" i="20" s="1"/>
  <c r="O726" i="20"/>
  <c r="ET28" i="2"/>
  <c r="ET27" i="2"/>
  <c r="ET31" i="2"/>
  <c r="S726" i="20"/>
  <c r="ET26" i="2"/>
  <c r="ET30" i="2"/>
  <c r="ET29" i="2" l="1"/>
  <c r="EV23" i="2"/>
  <c r="O727" i="20"/>
  <c r="R726" i="20"/>
  <c r="Q726" i="20" s="1"/>
  <c r="P726" i="20" s="1"/>
  <c r="EU27" i="2"/>
  <c r="S727" i="20"/>
  <c r="EU28" i="2"/>
  <c r="EU30" i="2"/>
  <c r="EU31" i="2"/>
  <c r="EU26" i="2"/>
  <c r="EU29" i="2" l="1"/>
  <c r="EW23" i="2"/>
  <c r="O728" i="20"/>
  <c r="R727" i="20"/>
  <c r="Q727" i="20" s="1"/>
  <c r="P727" i="20" s="1"/>
  <c r="EV28" i="2"/>
  <c r="EV27" i="2"/>
  <c r="EV31" i="2"/>
  <c r="EV26" i="2"/>
  <c r="EV30" i="2"/>
  <c r="S728" i="20"/>
  <c r="EV29" i="2" l="1"/>
  <c r="EX23" i="2"/>
  <c r="O729" i="20"/>
  <c r="R728" i="20"/>
  <c r="Q728" i="20" s="1"/>
  <c r="P728" i="20" s="1"/>
  <c r="EW27" i="2"/>
  <c r="EW31" i="2"/>
  <c r="S729" i="20"/>
  <c r="EW26" i="2"/>
  <c r="EW28" i="2"/>
  <c r="EW30" i="2"/>
  <c r="EW29" i="2" l="1"/>
  <c r="EY23" i="2"/>
  <c r="O730" i="20"/>
  <c r="R729" i="20"/>
  <c r="Q729" i="20" s="1"/>
  <c r="P729" i="20" s="1"/>
  <c r="EX27" i="2"/>
  <c r="EX30" i="2"/>
  <c r="EX31" i="2"/>
  <c r="EX26" i="2"/>
  <c r="EX28" i="2"/>
  <c r="S730" i="20"/>
  <c r="EX29" i="2" l="1"/>
  <c r="EZ23" i="2"/>
  <c r="O731" i="20"/>
  <c r="R730" i="20"/>
  <c r="Q730" i="20" s="1"/>
  <c r="P730" i="20" s="1"/>
  <c r="S731" i="20"/>
  <c r="EY27" i="2"/>
  <c r="EY31" i="2"/>
  <c r="EY26" i="2"/>
  <c r="EY30" i="2"/>
  <c r="EY28" i="2"/>
  <c r="EY29" i="2" l="1"/>
  <c r="FA23" i="2"/>
  <c r="O732" i="20"/>
  <c r="R731" i="20"/>
  <c r="Q731" i="20" s="1"/>
  <c r="P731" i="20" s="1"/>
  <c r="EZ28" i="2"/>
  <c r="EZ30" i="2"/>
  <c r="EZ31" i="2"/>
  <c r="EZ26" i="2"/>
  <c r="S732" i="20"/>
  <c r="EZ27" i="2"/>
  <c r="EZ29" i="2" l="1"/>
  <c r="FB23" i="2"/>
  <c r="O733" i="20"/>
  <c r="R732" i="20"/>
  <c r="Q732" i="20" s="1"/>
  <c r="P732" i="20" s="1"/>
  <c r="FA28" i="2"/>
  <c r="FA26" i="2"/>
  <c r="FA27" i="2"/>
  <c r="FA30" i="2"/>
  <c r="S733" i="20"/>
  <c r="FA31" i="2"/>
  <c r="FA29" i="2" l="1"/>
  <c r="FC23" i="2"/>
  <c r="R733" i="20"/>
  <c r="Q733" i="20" s="1"/>
  <c r="P733" i="20" s="1"/>
  <c r="O734" i="20"/>
  <c r="FB28" i="2"/>
  <c r="FB30" i="2"/>
  <c r="FB26" i="2"/>
  <c r="FB31" i="2"/>
  <c r="FB27" i="2"/>
  <c r="S734" i="20"/>
  <c r="FB29" i="2" l="1"/>
  <c r="FD23" i="2"/>
  <c r="R734" i="20"/>
  <c r="Q734" i="20" s="1"/>
  <c r="P734" i="20" s="1"/>
  <c r="O735" i="20"/>
  <c r="FC30" i="2"/>
  <c r="FC31" i="2"/>
  <c r="FC27" i="2"/>
  <c r="S735" i="20"/>
  <c r="FC28" i="2"/>
  <c r="FC26" i="2"/>
  <c r="FC29" i="2" l="1"/>
  <c r="FE23" i="2"/>
  <c r="R735" i="20"/>
  <c r="Q735" i="20" s="1"/>
  <c r="P735" i="20" s="1"/>
  <c r="O736" i="20"/>
  <c r="FD26" i="2"/>
  <c r="FD27" i="2"/>
  <c r="S736" i="20"/>
  <c r="FD28" i="2"/>
  <c r="FD30" i="2"/>
  <c r="FD31" i="2"/>
  <c r="FD29" i="2" l="1"/>
  <c r="FF23" i="2"/>
  <c r="R736" i="20"/>
  <c r="Q736" i="20" s="1"/>
  <c r="P736" i="20" s="1"/>
  <c r="O737" i="20"/>
  <c r="FE28" i="2"/>
  <c r="FE30" i="2"/>
  <c r="S737" i="20"/>
  <c r="FE26" i="2"/>
  <c r="FE31" i="2"/>
  <c r="FE27" i="2"/>
  <c r="FE29" i="2" l="1"/>
  <c r="FG23" i="2"/>
  <c r="R737" i="20"/>
  <c r="Q737" i="20" s="1"/>
  <c r="P737" i="20" s="1"/>
  <c r="O738" i="20"/>
  <c r="FF27" i="2"/>
  <c r="FF26" i="2"/>
  <c r="FF31" i="2"/>
  <c r="FF30" i="2"/>
  <c r="S738" i="20"/>
  <c r="FF28" i="2"/>
  <c r="FF29" i="2" l="1"/>
  <c r="FH23" i="2"/>
  <c r="O739" i="20"/>
  <c r="R738" i="20"/>
  <c r="Q738" i="20" s="1"/>
  <c r="P738" i="20" s="1"/>
  <c r="FG30" i="2"/>
  <c r="FG31" i="2"/>
  <c r="FG28" i="2"/>
  <c r="FG26" i="2"/>
  <c r="S739" i="20"/>
  <c r="FG27" i="2"/>
  <c r="FG29" i="2" l="1"/>
  <c r="FI23" i="2"/>
  <c r="R739" i="20"/>
  <c r="Q739" i="20" s="1"/>
  <c r="P739" i="20" s="1"/>
  <c r="O740" i="20"/>
  <c r="FH31" i="2"/>
  <c r="FH26" i="2"/>
  <c r="FH27" i="2"/>
  <c r="FH30" i="2"/>
  <c r="S740" i="20"/>
  <c r="FH28" i="2"/>
  <c r="FH29" i="2" l="1"/>
  <c r="FJ23" i="2"/>
  <c r="O741" i="20"/>
  <c r="R740" i="20"/>
  <c r="Q740" i="20" s="1"/>
  <c r="P740" i="20" s="1"/>
  <c r="FI28" i="2"/>
  <c r="FI27" i="2"/>
  <c r="FI30" i="2"/>
  <c r="S741" i="20"/>
  <c r="FI26" i="2"/>
  <c r="FI31" i="2"/>
  <c r="FI29" i="2" l="1"/>
  <c r="FK23" i="2"/>
  <c r="O742" i="20"/>
  <c r="R741" i="20"/>
  <c r="Q741" i="20" s="1"/>
  <c r="P741" i="20" s="1"/>
  <c r="FJ31" i="2"/>
  <c r="S742" i="20"/>
  <c r="FJ28" i="2"/>
  <c r="FJ26" i="2"/>
  <c r="FJ30" i="2"/>
  <c r="FJ27" i="2"/>
  <c r="FJ29" i="2" l="1"/>
  <c r="FL23" i="2"/>
  <c r="O743" i="20"/>
  <c r="R742" i="20"/>
  <c r="Q742" i="20" s="1"/>
  <c r="P742" i="20" s="1"/>
  <c r="S743" i="20"/>
  <c r="FK26" i="2"/>
  <c r="FK28" i="2"/>
  <c r="FK27" i="2"/>
  <c r="FK31" i="2"/>
  <c r="FK30" i="2"/>
  <c r="FK29" i="2" l="1"/>
  <c r="FM23" i="2"/>
  <c r="R743" i="20"/>
  <c r="Q743" i="20" s="1"/>
  <c r="P743" i="20" s="1"/>
  <c r="O744" i="20"/>
  <c r="FL26" i="2"/>
  <c r="FL28" i="2"/>
  <c r="S744" i="20"/>
  <c r="FL27" i="2"/>
  <c r="FL31" i="2"/>
  <c r="FL30" i="2"/>
  <c r="FL29" i="2" l="1"/>
  <c r="FN23" i="2"/>
  <c r="O745" i="20"/>
  <c r="R744" i="20"/>
  <c r="Q744" i="20" s="1"/>
  <c r="P744" i="20" s="1"/>
  <c r="FM31" i="2"/>
  <c r="FM30" i="2"/>
  <c r="FM26" i="2"/>
  <c r="FM28" i="2"/>
  <c r="S745" i="20"/>
  <c r="FM27" i="2"/>
  <c r="FM29" i="2" l="1"/>
  <c r="FO23" i="2"/>
  <c r="R745" i="20"/>
  <c r="Q745" i="20" s="1"/>
  <c r="P745" i="20" s="1"/>
  <c r="O746" i="20"/>
  <c r="FN28" i="2"/>
  <c r="FN26" i="2"/>
  <c r="FN31" i="2"/>
  <c r="S746" i="20"/>
  <c r="FN27" i="2"/>
  <c r="FN30" i="2"/>
  <c r="FN29" i="2" l="1"/>
  <c r="FP23" i="2"/>
  <c r="R746" i="20"/>
  <c r="Q746" i="20" s="1"/>
  <c r="P746" i="20" s="1"/>
  <c r="O747" i="20"/>
  <c r="FO30" i="2"/>
  <c r="FO26" i="2"/>
  <c r="FO27" i="2"/>
  <c r="FO31" i="2"/>
  <c r="FO28" i="2"/>
  <c r="S747" i="20"/>
  <c r="FO29" i="2" l="1"/>
  <c r="FQ23" i="2"/>
  <c r="O748" i="20"/>
  <c r="R747" i="20"/>
  <c r="Q747" i="20" s="1"/>
  <c r="P747" i="20" s="1"/>
  <c r="FP27" i="2"/>
  <c r="FP26" i="2"/>
  <c r="FP31" i="2"/>
  <c r="S748" i="20"/>
  <c r="FP28" i="2"/>
  <c r="FP30" i="2"/>
  <c r="FP29" i="2" l="1"/>
  <c r="FR23" i="2"/>
  <c r="R748" i="20"/>
  <c r="Q748" i="20" s="1"/>
  <c r="P748" i="20" s="1"/>
  <c r="O749" i="20"/>
  <c r="FQ27" i="2"/>
  <c r="FQ30" i="2"/>
  <c r="FQ28" i="2"/>
  <c r="FQ31" i="2"/>
  <c r="S749" i="20"/>
  <c r="FQ26" i="2"/>
  <c r="FQ29" i="2" l="1"/>
  <c r="FS23" i="2"/>
  <c r="R749" i="20"/>
  <c r="Q749" i="20" s="1"/>
  <c r="P749" i="20" s="1"/>
  <c r="O750" i="20"/>
  <c r="FR31" i="2"/>
  <c r="FR26" i="2"/>
  <c r="S750" i="20"/>
  <c r="FR27" i="2"/>
  <c r="FR30" i="2"/>
  <c r="FR28" i="2"/>
  <c r="FR29" i="2" l="1"/>
  <c r="FT23" i="2"/>
  <c r="R750" i="20"/>
  <c r="Q750" i="20" s="1"/>
  <c r="P750" i="20" s="1"/>
  <c r="O751" i="20"/>
  <c r="FS30" i="2"/>
  <c r="S751" i="20"/>
  <c r="FS26" i="2"/>
  <c r="FS27" i="2"/>
  <c r="FS31" i="2"/>
  <c r="FS28" i="2"/>
  <c r="FS29" i="2" l="1"/>
  <c r="FU23" i="2"/>
  <c r="O752" i="20"/>
  <c r="R751" i="20"/>
  <c r="Q751" i="20" s="1"/>
  <c r="P751" i="20" s="1"/>
  <c r="FT30" i="2"/>
  <c r="S752" i="20"/>
  <c r="FT31" i="2"/>
  <c r="FT28" i="2"/>
  <c r="FT26" i="2"/>
  <c r="FT27" i="2"/>
  <c r="FT29" i="2" l="1"/>
  <c r="FV23" i="2"/>
  <c r="R752" i="20"/>
  <c r="Q752" i="20" s="1"/>
  <c r="P752" i="20" s="1"/>
  <c r="O753" i="20"/>
  <c r="FU27" i="2"/>
  <c r="FU31" i="2"/>
  <c r="FU30" i="2"/>
  <c r="FU28" i="2"/>
  <c r="S753" i="20"/>
  <c r="FU26" i="2"/>
  <c r="FU29" i="2" l="1"/>
  <c r="FW23" i="2"/>
  <c r="O754" i="20"/>
  <c r="R753" i="20"/>
  <c r="Q753" i="20" s="1"/>
  <c r="P753" i="20" s="1"/>
  <c r="FV28" i="2"/>
  <c r="FV26" i="2"/>
  <c r="FV30" i="2"/>
  <c r="FV31" i="2"/>
  <c r="FV27" i="2"/>
  <c r="S754" i="20"/>
  <c r="FV29" i="2" l="1"/>
  <c r="FX23" i="2"/>
  <c r="O755" i="20"/>
  <c r="R754" i="20"/>
  <c r="Q754" i="20" s="1"/>
  <c r="P754" i="20" s="1"/>
  <c r="FW30" i="2"/>
  <c r="FW31" i="2"/>
  <c r="FW26" i="2"/>
  <c r="FW28" i="2"/>
  <c r="FW27" i="2"/>
  <c r="S755" i="20"/>
  <c r="FW29" i="2" l="1"/>
  <c r="FY23" i="2"/>
  <c r="O756" i="20"/>
  <c r="R755" i="20"/>
  <c r="Q755" i="20" s="1"/>
  <c r="P755" i="20" s="1"/>
  <c r="FX26" i="2"/>
  <c r="FX31" i="2"/>
  <c r="FX27" i="2"/>
  <c r="FX28" i="2"/>
  <c r="S756" i="20"/>
  <c r="FX30" i="2"/>
  <c r="FX29" i="2" l="1"/>
  <c r="FZ23" i="2"/>
  <c r="O757" i="20"/>
  <c r="R756" i="20"/>
  <c r="Q756" i="20" s="1"/>
  <c r="P756" i="20" s="1"/>
  <c r="FY26" i="2"/>
  <c r="FY31" i="2"/>
  <c r="FY28" i="2"/>
  <c r="S757" i="20"/>
  <c r="FY27" i="2"/>
  <c r="FY30" i="2"/>
  <c r="FY29" i="2" l="1"/>
  <c r="GA23" i="2"/>
  <c r="R757" i="20"/>
  <c r="Q757" i="20" s="1"/>
  <c r="P757" i="20" s="1"/>
  <c r="O758" i="20"/>
  <c r="FZ26" i="2"/>
  <c r="FZ31" i="2"/>
  <c r="FZ30" i="2"/>
  <c r="FZ28" i="2"/>
  <c r="FZ27" i="2"/>
  <c r="S758" i="20"/>
  <c r="FZ29" i="2" l="1"/>
  <c r="GB23" i="2"/>
  <c r="O759" i="20"/>
  <c r="R758" i="20"/>
  <c r="Q758" i="20" s="1"/>
  <c r="P758" i="20" s="1"/>
  <c r="GA31" i="2"/>
  <c r="GA30" i="2"/>
  <c r="GA28" i="2"/>
  <c r="S759" i="20"/>
  <c r="GA27" i="2"/>
  <c r="GA26" i="2"/>
  <c r="GA29" i="2" l="1"/>
  <c r="GC23" i="2"/>
  <c r="O760" i="20"/>
  <c r="R759" i="20"/>
  <c r="Q759" i="20" s="1"/>
  <c r="P759" i="20" s="1"/>
  <c r="GB26" i="2"/>
  <c r="GB31" i="2"/>
  <c r="GB27" i="2"/>
  <c r="GB30" i="2"/>
  <c r="S760" i="20"/>
  <c r="GB28" i="2"/>
  <c r="GB29" i="2" l="1"/>
  <c r="GD23" i="2"/>
  <c r="R760" i="20"/>
  <c r="Q760" i="20" s="1"/>
  <c r="P760" i="20" s="1"/>
  <c r="O761" i="20"/>
  <c r="GC28" i="2"/>
  <c r="GC31" i="2"/>
  <c r="GC27" i="2"/>
  <c r="S761" i="20"/>
  <c r="GC30" i="2"/>
  <c r="GC26" i="2"/>
  <c r="GC29" i="2" l="1"/>
  <c r="GE23" i="2"/>
  <c r="O762" i="20"/>
  <c r="R761" i="20"/>
  <c r="Q761" i="20" s="1"/>
  <c r="P761" i="20" s="1"/>
  <c r="GD31" i="2"/>
  <c r="GD28" i="2"/>
  <c r="GD27" i="2"/>
  <c r="GD30" i="2"/>
  <c r="GD26" i="2"/>
  <c r="S762" i="20"/>
  <c r="GD29" i="2" l="1"/>
  <c r="GF23" i="2"/>
  <c r="O763" i="20"/>
  <c r="R762" i="20"/>
  <c r="Q762" i="20" s="1"/>
  <c r="P762" i="20" s="1"/>
  <c r="GE31" i="2"/>
  <c r="GE28" i="2"/>
  <c r="GE30" i="2"/>
  <c r="S763" i="20"/>
  <c r="GE27" i="2"/>
  <c r="GE26" i="2"/>
  <c r="GE29" i="2" l="1"/>
  <c r="GG23" i="2"/>
  <c r="R763" i="20"/>
  <c r="Q763" i="20" s="1"/>
  <c r="P763" i="20" s="1"/>
  <c r="O764" i="20"/>
  <c r="GF31" i="2"/>
  <c r="GF27" i="2"/>
  <c r="GF26" i="2"/>
  <c r="GF28" i="2"/>
  <c r="S764" i="20"/>
  <c r="GF30" i="2"/>
  <c r="GF29" i="2" l="1"/>
  <c r="GH23" i="2"/>
  <c r="R764" i="20"/>
  <c r="Q764" i="20" s="1"/>
  <c r="P764" i="20" s="1"/>
  <c r="O765" i="20"/>
  <c r="GG27" i="2"/>
  <c r="GG28" i="2"/>
  <c r="GG30" i="2"/>
  <c r="S765" i="20"/>
  <c r="GG26" i="2"/>
  <c r="GG31" i="2"/>
  <c r="GG29" i="2" l="1"/>
  <c r="GI23" i="2"/>
  <c r="R765" i="20"/>
  <c r="Q765" i="20" s="1"/>
  <c r="P765" i="20" s="1"/>
  <c r="O766" i="20"/>
  <c r="GH27" i="2"/>
  <c r="GH28" i="2"/>
  <c r="S766" i="20"/>
  <c r="GH26" i="2"/>
  <c r="GH31" i="2"/>
  <c r="GH30" i="2"/>
  <c r="GH29" i="2" l="1"/>
  <c r="GJ23" i="2"/>
  <c r="O767" i="20"/>
  <c r="R766" i="20"/>
  <c r="Q766" i="20" s="1"/>
  <c r="P766" i="20" s="1"/>
  <c r="GI28" i="2"/>
  <c r="S767" i="20"/>
  <c r="GI27" i="2"/>
  <c r="GI26" i="2"/>
  <c r="GI31" i="2"/>
  <c r="GI30" i="2"/>
  <c r="GI29" i="2" l="1"/>
  <c r="GK23" i="2"/>
  <c r="R767" i="20"/>
  <c r="Q767" i="20" s="1"/>
  <c r="P767" i="20" s="1"/>
  <c r="O768" i="20"/>
  <c r="GJ28" i="2"/>
  <c r="GJ31" i="2"/>
  <c r="GJ27" i="2"/>
  <c r="GJ30" i="2"/>
  <c r="GJ26" i="2"/>
  <c r="S768" i="20"/>
  <c r="GJ29" i="2" l="1"/>
  <c r="GL23" i="2"/>
  <c r="O769" i="20"/>
  <c r="R768" i="20"/>
  <c r="Q768" i="20" s="1"/>
  <c r="P768" i="20" s="1"/>
  <c r="GK26" i="2"/>
  <c r="GK28" i="2"/>
  <c r="GK31" i="2"/>
  <c r="S769" i="20"/>
  <c r="GK27" i="2"/>
  <c r="GK30" i="2"/>
  <c r="GK29" i="2" l="1"/>
  <c r="GM23" i="2"/>
  <c r="R769" i="20"/>
  <c r="Q769" i="20" s="1"/>
  <c r="P769" i="20" s="1"/>
  <c r="O770" i="20"/>
  <c r="GL30" i="2"/>
  <c r="GL27" i="2"/>
  <c r="S770" i="20"/>
  <c r="GL31" i="2"/>
  <c r="GL26" i="2"/>
  <c r="GL28" i="2"/>
  <c r="GL29" i="2" l="1"/>
  <c r="GN23" i="2"/>
  <c r="O771" i="20"/>
  <c r="R770" i="20"/>
  <c r="Q770" i="20" s="1"/>
  <c r="P770" i="20" s="1"/>
  <c r="GM28" i="2"/>
  <c r="GM30" i="2"/>
  <c r="GM26" i="2"/>
  <c r="S771" i="20"/>
  <c r="GM27" i="2"/>
  <c r="GM31" i="2"/>
  <c r="GM29" i="2" l="1"/>
  <c r="GO23" i="2"/>
  <c r="O772" i="20"/>
  <c r="R771" i="20"/>
  <c r="Q771" i="20" s="1"/>
  <c r="P771" i="20" s="1"/>
  <c r="GN28" i="2"/>
  <c r="GN31" i="2"/>
  <c r="GN26" i="2"/>
  <c r="S772" i="20"/>
  <c r="GN27" i="2"/>
  <c r="GN30" i="2"/>
  <c r="GN29" i="2" l="1"/>
  <c r="GP23" i="2"/>
  <c r="O773" i="20"/>
  <c r="R772" i="20"/>
  <c r="Q772" i="20" s="1"/>
  <c r="P772" i="20" s="1"/>
  <c r="GO26" i="2"/>
  <c r="GO30" i="2"/>
  <c r="GO31" i="2"/>
  <c r="GO28" i="2"/>
  <c r="S773" i="20"/>
  <c r="GO27" i="2"/>
  <c r="GO29" i="2" l="1"/>
  <c r="GQ23" i="2"/>
  <c r="R773" i="20"/>
  <c r="Q773" i="20" s="1"/>
  <c r="P773" i="20" s="1"/>
  <c r="O774" i="20"/>
  <c r="GP31" i="2"/>
  <c r="GP28" i="2"/>
  <c r="GP30" i="2"/>
  <c r="GP27" i="2"/>
  <c r="GP26" i="2"/>
  <c r="S774" i="20"/>
  <c r="GP29" i="2" l="1"/>
  <c r="GR23" i="2"/>
  <c r="O775" i="20"/>
  <c r="R774" i="20"/>
  <c r="Q774" i="20" s="1"/>
  <c r="P774" i="20" s="1"/>
  <c r="GQ27" i="2"/>
  <c r="GQ26" i="2"/>
  <c r="S775" i="20"/>
  <c r="GQ28" i="2"/>
  <c r="GQ31" i="2"/>
  <c r="GQ30" i="2"/>
  <c r="GQ29" i="2" l="1"/>
  <c r="GS23" i="2"/>
  <c r="O776" i="20"/>
  <c r="R775" i="20"/>
  <c r="Q775" i="20" s="1"/>
  <c r="P775" i="20" s="1"/>
  <c r="GR31" i="2"/>
  <c r="GR28" i="2"/>
  <c r="GR30" i="2"/>
  <c r="GR27" i="2"/>
  <c r="S776" i="20"/>
  <c r="GR26" i="2"/>
  <c r="GR29" i="2" l="1"/>
  <c r="GT23" i="2"/>
  <c r="O777" i="20"/>
  <c r="R776" i="20"/>
  <c r="Q776" i="20" s="1"/>
  <c r="P776" i="20" s="1"/>
  <c r="GS27" i="2"/>
  <c r="GS31" i="2"/>
  <c r="GS30" i="2"/>
  <c r="S777" i="20"/>
  <c r="GS28" i="2"/>
  <c r="GS26" i="2"/>
  <c r="GS29" i="2" l="1"/>
  <c r="GU23" i="2"/>
  <c r="O778" i="20"/>
  <c r="R777" i="20"/>
  <c r="Q777" i="20" s="1"/>
  <c r="P777" i="20" s="1"/>
  <c r="GT27" i="2"/>
  <c r="GT30" i="2"/>
  <c r="GT31" i="2"/>
  <c r="GT28" i="2"/>
  <c r="GT26" i="2"/>
  <c r="S778" i="20"/>
  <c r="GT29" i="2" l="1"/>
  <c r="GV23" i="2"/>
  <c r="O779" i="20"/>
  <c r="R778" i="20"/>
  <c r="Q778" i="20" s="1"/>
  <c r="P778" i="20" s="1"/>
  <c r="S779" i="20"/>
  <c r="GU30" i="2"/>
  <c r="GU31" i="2"/>
  <c r="GU28" i="2"/>
  <c r="GU26" i="2"/>
  <c r="GU27" i="2"/>
  <c r="GU29" i="2" l="1"/>
  <c r="GW23" i="2"/>
  <c r="O780" i="20"/>
  <c r="R779" i="20"/>
  <c r="Q779" i="20" s="1"/>
  <c r="P779" i="20" s="1"/>
  <c r="GV31" i="2"/>
  <c r="GV30" i="2"/>
  <c r="GV26" i="2"/>
  <c r="GV27" i="2"/>
  <c r="GV28" i="2"/>
  <c r="S780" i="20"/>
  <c r="GV29" i="2" l="1"/>
  <c r="GX23" i="2"/>
  <c r="O781" i="20"/>
  <c r="R780" i="20"/>
  <c r="Q780" i="20" s="1"/>
  <c r="P780" i="20" s="1"/>
  <c r="GW27" i="2"/>
  <c r="GW30" i="2"/>
  <c r="GW31" i="2"/>
  <c r="GW26" i="2"/>
  <c r="S781" i="20"/>
  <c r="GW28" i="2"/>
  <c r="GW29" i="2" l="1"/>
  <c r="GY23" i="2"/>
  <c r="O782" i="20"/>
  <c r="R781" i="20"/>
  <c r="Q781" i="20" s="1"/>
  <c r="P781" i="20" s="1"/>
  <c r="GX27" i="2"/>
  <c r="GX31" i="2"/>
  <c r="GX28" i="2"/>
  <c r="GX30" i="2"/>
  <c r="S782" i="20"/>
  <c r="GX26" i="2"/>
  <c r="GX29" i="2" l="1"/>
  <c r="GZ23" i="2"/>
  <c r="O783" i="20"/>
  <c r="R782" i="20"/>
  <c r="Q782" i="20" s="1"/>
  <c r="P782" i="20" s="1"/>
  <c r="GY28" i="2"/>
  <c r="GY26" i="2"/>
  <c r="S783" i="20"/>
  <c r="GY31" i="2"/>
  <c r="GY27" i="2"/>
  <c r="GY30" i="2"/>
  <c r="GY29" i="2" l="1"/>
  <c r="HA23" i="2"/>
  <c r="R783" i="20"/>
  <c r="Q783" i="20" s="1"/>
  <c r="P783" i="20" s="1"/>
  <c r="O784" i="20"/>
  <c r="GZ26" i="2"/>
  <c r="GZ28" i="2"/>
  <c r="GZ27" i="2"/>
  <c r="S784" i="20"/>
  <c r="GZ31" i="2"/>
  <c r="GZ30" i="2"/>
  <c r="GZ29" i="2" l="1"/>
  <c r="HB23" i="2"/>
  <c r="R784" i="20"/>
  <c r="Q784" i="20" s="1"/>
  <c r="P784" i="20" s="1"/>
  <c r="O785" i="20"/>
  <c r="HA31" i="2"/>
  <c r="HA28" i="2"/>
  <c r="HA30" i="2"/>
  <c r="HA26" i="2"/>
  <c r="HA27" i="2"/>
  <c r="S785" i="20"/>
  <c r="HA29" i="2" l="1"/>
  <c r="HC23" i="2"/>
  <c r="R785" i="20"/>
  <c r="Q785" i="20" s="1"/>
  <c r="P785" i="20" s="1"/>
  <c r="O786" i="20"/>
  <c r="S786" i="20"/>
  <c r="HB31" i="2"/>
  <c r="HB30" i="2"/>
  <c r="HB26" i="2"/>
  <c r="HB27" i="2"/>
  <c r="HB28" i="2"/>
  <c r="HB29" i="2" l="1"/>
  <c r="HD23" i="2"/>
  <c r="O787" i="20"/>
  <c r="R786" i="20"/>
  <c r="Q786" i="20" s="1"/>
  <c r="P786" i="20" s="1"/>
  <c r="HC26" i="2"/>
  <c r="HC28" i="2"/>
  <c r="HC31" i="2"/>
  <c r="HC30" i="2"/>
  <c r="S787" i="20"/>
  <c r="HC27" i="2"/>
  <c r="HC29" i="2" l="1"/>
  <c r="HE23" i="2"/>
  <c r="R787" i="20"/>
  <c r="Q787" i="20" s="1"/>
  <c r="P787" i="20" s="1"/>
  <c r="O788" i="20"/>
  <c r="HD31" i="2"/>
  <c r="HD28" i="2"/>
  <c r="HD30" i="2"/>
  <c r="S788" i="20"/>
  <c r="HD27" i="2"/>
  <c r="HD26" i="2"/>
  <c r="HD29" i="2" l="1"/>
  <c r="HF23" i="2"/>
  <c r="O789" i="20"/>
  <c r="R788" i="20"/>
  <c r="Q788" i="20" s="1"/>
  <c r="P788" i="20" s="1"/>
  <c r="HE30" i="2"/>
  <c r="HE31" i="2"/>
  <c r="HE27" i="2"/>
  <c r="S789" i="20"/>
  <c r="HE28" i="2"/>
  <c r="HE26" i="2"/>
  <c r="HE29" i="2" l="1"/>
  <c r="HG23" i="2"/>
  <c r="R789" i="20"/>
  <c r="Q789" i="20" s="1"/>
  <c r="P789" i="20" s="1"/>
  <c r="O790" i="20"/>
  <c r="HF31" i="2"/>
  <c r="HF28" i="2"/>
  <c r="S790" i="20"/>
  <c r="HF27" i="2"/>
  <c r="HF30" i="2"/>
  <c r="HF26" i="2"/>
  <c r="HF29" i="2" l="1"/>
  <c r="HH23" i="2"/>
  <c r="R790" i="20"/>
  <c r="Q790" i="20" s="1"/>
  <c r="P790" i="20" s="1"/>
  <c r="O791" i="20"/>
  <c r="HG27" i="2"/>
  <c r="HG28" i="2"/>
  <c r="HG26" i="2"/>
  <c r="HG31" i="2"/>
  <c r="S791" i="20"/>
  <c r="HG30" i="2"/>
  <c r="HG29" i="2" l="1"/>
  <c r="HI23" i="2"/>
  <c r="R791" i="20"/>
  <c r="Q791" i="20" s="1"/>
  <c r="P791" i="20" s="1"/>
  <c r="O792" i="20"/>
  <c r="HH26" i="2"/>
  <c r="HH27" i="2"/>
  <c r="HH31" i="2"/>
  <c r="HH30" i="2"/>
  <c r="HH28" i="2"/>
  <c r="S792" i="20"/>
  <c r="HH29" i="2" l="1"/>
  <c r="HJ23" i="2"/>
  <c r="R792" i="20"/>
  <c r="Q792" i="20" s="1"/>
  <c r="P792" i="20" s="1"/>
  <c r="O793" i="20"/>
  <c r="HI31" i="2"/>
  <c r="HI26" i="2"/>
  <c r="HI30" i="2"/>
  <c r="S793" i="20"/>
  <c r="HI28" i="2"/>
  <c r="HI27" i="2"/>
  <c r="HI29" i="2" l="1"/>
  <c r="HK23" i="2"/>
  <c r="R793" i="20"/>
  <c r="Q793" i="20" s="1"/>
  <c r="P793" i="20" s="1"/>
  <c r="O794" i="20"/>
  <c r="HJ31" i="2"/>
  <c r="HJ28" i="2"/>
  <c r="HJ27" i="2"/>
  <c r="HJ26" i="2"/>
  <c r="HJ30" i="2"/>
  <c r="S794" i="20"/>
  <c r="HJ29" i="2" l="1"/>
  <c r="HL23" i="2"/>
  <c r="O795" i="20"/>
  <c r="R794" i="20"/>
  <c r="Q794" i="20" s="1"/>
  <c r="P794" i="20" s="1"/>
  <c r="HK30" i="2"/>
  <c r="HK28" i="2"/>
  <c r="HK27" i="2"/>
  <c r="HK26" i="2"/>
  <c r="S795" i="20"/>
  <c r="HK31" i="2"/>
  <c r="HK29" i="2" l="1"/>
  <c r="HM23" i="2"/>
  <c r="O796" i="20"/>
  <c r="R795" i="20"/>
  <c r="Q795" i="20" s="1"/>
  <c r="P795" i="20" s="1"/>
  <c r="HL31" i="2"/>
  <c r="HL30" i="2"/>
  <c r="HL26" i="2"/>
  <c r="HL28" i="2"/>
  <c r="S796" i="20"/>
  <c r="HL27" i="2"/>
  <c r="HL29" i="2" l="1"/>
  <c r="HN23" i="2"/>
  <c r="O797" i="20"/>
  <c r="R796" i="20"/>
  <c r="Q796" i="20" s="1"/>
  <c r="P796" i="20" s="1"/>
  <c r="HM26" i="2"/>
  <c r="HM30" i="2"/>
  <c r="S797" i="20"/>
  <c r="HM27" i="2"/>
  <c r="HM31" i="2"/>
  <c r="HM28" i="2"/>
  <c r="HM29" i="2" l="1"/>
  <c r="HO23" i="2"/>
  <c r="O798" i="20"/>
  <c r="R797" i="20"/>
  <c r="Q797" i="20" s="1"/>
  <c r="P797" i="20" s="1"/>
  <c r="HN31" i="2"/>
  <c r="HN30" i="2"/>
  <c r="HN26" i="2"/>
  <c r="S798" i="20"/>
  <c r="HN27" i="2"/>
  <c r="HN28" i="2"/>
  <c r="HN29" i="2" l="1"/>
  <c r="HP23" i="2"/>
  <c r="R798" i="20"/>
  <c r="Q798" i="20" s="1"/>
  <c r="P798" i="20" s="1"/>
  <c r="O799" i="20"/>
  <c r="HO31" i="2"/>
  <c r="HO27" i="2"/>
  <c r="HO28" i="2"/>
  <c r="HO26" i="2"/>
  <c r="S799" i="20"/>
  <c r="HO30" i="2"/>
  <c r="HO29" i="2" l="1"/>
  <c r="HQ23" i="2"/>
  <c r="R799" i="20"/>
  <c r="Q799" i="20" s="1"/>
  <c r="P799" i="20" s="1"/>
  <c r="O800" i="20"/>
  <c r="HP27" i="2"/>
  <c r="S800" i="20"/>
  <c r="HP31" i="2"/>
  <c r="HP26" i="2"/>
  <c r="HP30" i="2"/>
  <c r="HP28" i="2"/>
  <c r="HP29" i="2" l="1"/>
  <c r="HR23" i="2"/>
  <c r="R800" i="20"/>
  <c r="Q800" i="20" s="1"/>
  <c r="P800" i="20" s="1"/>
  <c r="O801" i="20"/>
  <c r="HQ27" i="2"/>
  <c r="HQ30" i="2"/>
  <c r="S801" i="20"/>
  <c r="HQ28" i="2"/>
  <c r="HQ26" i="2"/>
  <c r="HQ31" i="2"/>
  <c r="HQ29" i="2" l="1"/>
  <c r="HS23" i="2"/>
  <c r="R801" i="20"/>
  <c r="Q801" i="20" s="1"/>
  <c r="P801" i="20" s="1"/>
  <c r="O802" i="20"/>
  <c r="HR31" i="2"/>
  <c r="S802" i="20"/>
  <c r="HR27" i="2"/>
  <c r="HR30" i="2"/>
  <c r="HR28" i="2"/>
  <c r="HR26" i="2"/>
  <c r="HR29" i="2" l="1"/>
  <c r="HT23" i="2"/>
  <c r="R802" i="20"/>
  <c r="Q802" i="20" s="1"/>
  <c r="P802" i="20" s="1"/>
  <c r="O803" i="20"/>
  <c r="HS30" i="2"/>
  <c r="HS27" i="2"/>
  <c r="HS28" i="2"/>
  <c r="HS31" i="2"/>
  <c r="S803" i="20"/>
  <c r="HS26" i="2"/>
  <c r="HS29" i="2" l="1"/>
  <c r="HU23" i="2"/>
  <c r="R803" i="20"/>
  <c r="Q803" i="20" s="1"/>
  <c r="P803" i="20" s="1"/>
  <c r="O804" i="20"/>
  <c r="HT28" i="2"/>
  <c r="HT30" i="2"/>
  <c r="HT31" i="2"/>
  <c r="S804" i="20"/>
  <c r="HT26" i="2"/>
  <c r="HT27" i="2"/>
  <c r="HT29" i="2" l="1"/>
  <c r="HV23" i="2"/>
  <c r="R804" i="20"/>
  <c r="Q804" i="20" s="1"/>
  <c r="P804" i="20" s="1"/>
  <c r="O805" i="20"/>
  <c r="S805" i="20"/>
  <c r="HU30" i="2"/>
  <c r="HU28" i="2"/>
  <c r="HU31" i="2"/>
  <c r="HU26" i="2"/>
  <c r="HU27" i="2"/>
  <c r="HU29" i="2" l="1"/>
  <c r="HW23" i="2"/>
  <c r="R805" i="20"/>
  <c r="Q805" i="20" s="1"/>
  <c r="P805" i="20" s="1"/>
  <c r="O806" i="20"/>
  <c r="HV30" i="2"/>
  <c r="HV27" i="2"/>
  <c r="S806" i="20"/>
  <c r="HV28" i="2"/>
  <c r="HV31" i="2"/>
  <c r="HV26" i="2"/>
  <c r="HV29" i="2" l="1"/>
  <c r="HX23" i="2"/>
  <c r="R806" i="20"/>
  <c r="Q806" i="20" s="1"/>
  <c r="P806" i="20" s="1"/>
  <c r="O807" i="20"/>
  <c r="HW27" i="2"/>
  <c r="HW30" i="2"/>
  <c r="HW31" i="2"/>
  <c r="HW26" i="2"/>
  <c r="S807" i="20"/>
  <c r="HW28" i="2"/>
  <c r="HW29" i="2" l="1"/>
  <c r="HY23" i="2"/>
  <c r="R807" i="20"/>
  <c r="Q807" i="20" s="1"/>
  <c r="P807" i="20" s="1"/>
  <c r="O808" i="20"/>
  <c r="HX26" i="2"/>
  <c r="HX30" i="2"/>
  <c r="S808" i="20"/>
  <c r="HX28" i="2"/>
  <c r="HX27" i="2"/>
  <c r="HX31" i="2"/>
  <c r="HX29" i="2" l="1"/>
  <c r="HZ23" i="2"/>
  <c r="R808" i="20"/>
  <c r="Q808" i="20" s="1"/>
  <c r="P808" i="20" s="1"/>
  <c r="O809" i="20"/>
  <c r="HY27" i="2"/>
  <c r="HY26" i="2"/>
  <c r="HY28" i="2"/>
  <c r="HY31" i="2"/>
  <c r="HY30" i="2"/>
  <c r="S809" i="20"/>
  <c r="HY29" i="2" l="1"/>
  <c r="IA23" i="2"/>
  <c r="R809" i="20"/>
  <c r="Q809" i="20" s="1"/>
  <c r="P809" i="20" s="1"/>
  <c r="O810" i="20"/>
  <c r="HZ28" i="2"/>
  <c r="HZ26" i="2"/>
  <c r="S810" i="20"/>
  <c r="HZ30" i="2"/>
  <c r="HZ27" i="2"/>
  <c r="HZ31" i="2"/>
  <c r="HZ29" i="2" l="1"/>
  <c r="IB23" i="2"/>
  <c r="R810" i="20"/>
  <c r="O811" i="20"/>
  <c r="IA26" i="2"/>
  <c r="IA27" i="2"/>
  <c r="IA28" i="2"/>
  <c r="S811" i="20"/>
  <c r="IA30" i="2"/>
  <c r="IA31" i="2"/>
  <c r="IA29" i="2" l="1"/>
  <c r="IC23" i="2"/>
  <c r="R811" i="20"/>
  <c r="Q811" i="20" s="1"/>
  <c r="P811" i="20" s="1"/>
  <c r="O812" i="20"/>
  <c r="Q810" i="20"/>
  <c r="P810" i="20" s="1"/>
  <c r="IB30" i="2"/>
  <c r="IB26" i="2"/>
  <c r="IB27" i="2"/>
  <c r="IB31" i="2"/>
  <c r="S812" i="20"/>
  <c r="IB28" i="2"/>
  <c r="IB29" i="2" l="1"/>
  <c r="ID23" i="2"/>
  <c r="R812" i="20"/>
  <c r="Q812" i="20" s="1"/>
  <c r="P812" i="20" s="1"/>
  <c r="O813" i="20"/>
  <c r="IC31" i="2"/>
  <c r="IC28" i="2"/>
  <c r="IC30" i="2"/>
  <c r="IC26" i="2"/>
  <c r="IC27" i="2"/>
  <c r="S813" i="20"/>
  <c r="IC29" i="2" l="1"/>
  <c r="IE23" i="2"/>
  <c r="O814" i="20"/>
  <c r="R813" i="20"/>
  <c r="Q813" i="20" s="1"/>
  <c r="P813" i="20" s="1"/>
  <c r="ID30" i="2"/>
  <c r="ID31" i="2"/>
  <c r="ID27" i="2"/>
  <c r="S814" i="20"/>
  <c r="ID26" i="2"/>
  <c r="ID28" i="2"/>
  <c r="ID29" i="2" l="1"/>
  <c r="IF23" i="2"/>
  <c r="O815" i="20"/>
  <c r="R814" i="20"/>
  <c r="Q814" i="20" s="1"/>
  <c r="P814" i="20" s="1"/>
  <c r="IE31" i="2"/>
  <c r="IE26" i="2"/>
  <c r="IE30" i="2"/>
  <c r="IE27" i="2"/>
  <c r="S815" i="20"/>
  <c r="IE28" i="2"/>
  <c r="IE29" i="2" l="1"/>
  <c r="IG23" i="2"/>
  <c r="O816" i="20"/>
  <c r="R815" i="20"/>
  <c r="Q815" i="20" s="1"/>
  <c r="P815" i="20" s="1"/>
  <c r="IF31" i="2"/>
  <c r="IF27" i="2"/>
  <c r="S816" i="20"/>
  <c r="IF26" i="2"/>
  <c r="IF30" i="2"/>
  <c r="IF28" i="2"/>
  <c r="IF29" i="2" l="1"/>
  <c r="IH23" i="2"/>
  <c r="R816" i="20"/>
  <c r="Q816" i="20" s="1"/>
  <c r="P816" i="20" s="1"/>
  <c r="O817" i="20"/>
  <c r="IG30" i="2"/>
  <c r="IG27" i="2"/>
  <c r="S817" i="20"/>
  <c r="IG28" i="2"/>
  <c r="IG26" i="2"/>
  <c r="IG31" i="2"/>
  <c r="IG29" i="2" l="1"/>
  <c r="II23" i="2"/>
  <c r="O818" i="20"/>
  <c r="R817" i="20"/>
  <c r="Q817" i="20" s="1"/>
  <c r="P817" i="20" s="1"/>
  <c r="IH27" i="2"/>
  <c r="IH30" i="2"/>
  <c r="IH26" i="2"/>
  <c r="IH31" i="2"/>
  <c r="IH28" i="2"/>
  <c r="S818" i="20"/>
  <c r="IH29" i="2" l="1"/>
  <c r="IJ23" i="2"/>
  <c r="O819" i="20"/>
  <c r="R818" i="20"/>
  <c r="Q818" i="20" s="1"/>
  <c r="P818" i="20" s="1"/>
  <c r="II26" i="2"/>
  <c r="II30" i="2"/>
  <c r="II27" i="2"/>
  <c r="S819" i="20"/>
  <c r="II28" i="2"/>
  <c r="II31" i="2"/>
  <c r="II29" i="2" l="1"/>
  <c r="IK23" i="2"/>
  <c r="O820" i="20"/>
  <c r="R819" i="20"/>
  <c r="Q819" i="20" s="1"/>
  <c r="P819" i="20" s="1"/>
  <c r="IJ26" i="2"/>
  <c r="IJ28" i="2"/>
  <c r="IJ30" i="2"/>
  <c r="S820" i="20"/>
  <c r="IJ31" i="2"/>
  <c r="IJ27" i="2"/>
  <c r="IJ29" i="2" l="1"/>
  <c r="IL23" i="2"/>
  <c r="O821" i="20"/>
  <c r="R820" i="20"/>
  <c r="Q820" i="20" s="1"/>
  <c r="P820" i="20" s="1"/>
  <c r="IK30" i="2"/>
  <c r="IK26" i="2"/>
  <c r="IK31" i="2"/>
  <c r="S821" i="20"/>
  <c r="IK27" i="2"/>
  <c r="IK28" i="2"/>
  <c r="IK29" i="2" l="1"/>
  <c r="IM23" i="2"/>
  <c r="O822" i="20"/>
  <c r="R821" i="20"/>
  <c r="Q821" i="20" s="1"/>
  <c r="P821" i="20" s="1"/>
  <c r="IL30" i="2"/>
  <c r="IL26" i="2"/>
  <c r="IL31" i="2"/>
  <c r="IL28" i="2"/>
  <c r="S822" i="20"/>
  <c r="IL27" i="2"/>
  <c r="IL29" i="2" l="1"/>
  <c r="IN23" i="2"/>
  <c r="O823" i="20"/>
  <c r="R822" i="20"/>
  <c r="Q822" i="20" s="1"/>
  <c r="P822" i="20" s="1"/>
  <c r="IM26" i="2"/>
  <c r="IM27" i="2"/>
  <c r="IM30" i="2"/>
  <c r="IM31" i="2"/>
  <c r="S823" i="20"/>
  <c r="IM28" i="2"/>
  <c r="IM29" i="2" l="1"/>
  <c r="IO23" i="2"/>
  <c r="R823" i="20"/>
  <c r="Q823" i="20" s="1"/>
  <c r="P823" i="20" s="1"/>
  <c r="O824" i="20"/>
  <c r="IN30" i="2"/>
  <c r="IN27" i="2"/>
  <c r="IN31" i="2"/>
  <c r="S824" i="20"/>
  <c r="IN28" i="2"/>
  <c r="IN26" i="2"/>
  <c r="IN29" i="2" l="1"/>
  <c r="IP23" i="2"/>
  <c r="O825" i="20"/>
  <c r="R824" i="20"/>
  <c r="Q824" i="20" s="1"/>
  <c r="P824" i="20" s="1"/>
  <c r="IO26" i="2"/>
  <c r="IO30" i="2"/>
  <c r="IO27" i="2"/>
  <c r="IO28" i="2"/>
  <c r="IO31" i="2"/>
  <c r="S825" i="20"/>
  <c r="IO29" i="2" l="1"/>
  <c r="IQ23" i="2"/>
  <c r="R825" i="20"/>
  <c r="Q825" i="20" s="1"/>
  <c r="P825" i="20" s="1"/>
  <c r="O826" i="20"/>
  <c r="IP31" i="2"/>
  <c r="IP27" i="2"/>
  <c r="IP26" i="2"/>
  <c r="IP30" i="2"/>
  <c r="S826" i="20"/>
  <c r="IP28" i="2"/>
  <c r="IP29" i="2" l="1"/>
  <c r="IR23" i="2"/>
  <c r="O827" i="20"/>
  <c r="R826" i="20"/>
  <c r="Q826" i="20" s="1"/>
  <c r="P826" i="20" s="1"/>
  <c r="IQ27" i="2"/>
  <c r="IQ30" i="2"/>
  <c r="IQ28" i="2"/>
  <c r="S827" i="20"/>
  <c r="IQ31" i="2"/>
  <c r="IQ26" i="2"/>
  <c r="IQ29" i="2" l="1"/>
  <c r="IS23" i="2"/>
  <c r="O828" i="20"/>
  <c r="R827" i="20"/>
  <c r="Q827" i="20" s="1"/>
  <c r="P827" i="20" s="1"/>
  <c r="IR31" i="2"/>
  <c r="IR30" i="2"/>
  <c r="IR27" i="2"/>
  <c r="IR26" i="2"/>
  <c r="IR28" i="2"/>
  <c r="S828" i="20"/>
  <c r="IR29" i="2" l="1"/>
  <c r="IT23" i="2"/>
  <c r="R828" i="20"/>
  <c r="Q828" i="20" s="1"/>
  <c r="P828" i="20" s="1"/>
  <c r="O829" i="20"/>
  <c r="IS30" i="2"/>
  <c r="S829" i="20"/>
  <c r="IS28" i="2"/>
  <c r="IS31" i="2"/>
  <c r="IS26" i="2"/>
  <c r="IS27" i="2"/>
  <c r="IS29" i="2" l="1"/>
  <c r="IU23" i="2"/>
  <c r="R829" i="20"/>
  <c r="Q829" i="20" s="1"/>
  <c r="P829" i="20" s="1"/>
  <c r="O830" i="20"/>
  <c r="IT31" i="2"/>
  <c r="IT30" i="2"/>
  <c r="S830" i="20"/>
  <c r="IT27" i="2"/>
  <c r="IT26" i="2"/>
  <c r="IT28" i="2"/>
  <c r="IT29" i="2" l="1"/>
  <c r="IV23" i="2"/>
  <c r="O831" i="20"/>
  <c r="R830" i="20"/>
  <c r="Q830" i="20" s="1"/>
  <c r="P830" i="20" s="1"/>
  <c r="IU31" i="2"/>
  <c r="IU27" i="2"/>
  <c r="IU26" i="2"/>
  <c r="IU30" i="2"/>
  <c r="IU28" i="2"/>
  <c r="S831" i="20"/>
  <c r="IU29" i="2" l="1"/>
  <c r="IW23" i="2"/>
  <c r="R831" i="20"/>
  <c r="Q831" i="20" s="1"/>
  <c r="P831" i="20" s="1"/>
  <c r="O832" i="20"/>
  <c r="IV28" i="2"/>
  <c r="IV31" i="2"/>
  <c r="S832" i="20"/>
  <c r="IV27" i="2"/>
  <c r="IV26" i="2"/>
  <c r="IV30" i="2"/>
  <c r="IV29" i="2" l="1"/>
  <c r="IX23" i="2"/>
  <c r="O833" i="20"/>
  <c r="R832" i="20"/>
  <c r="Q832" i="20" s="1"/>
  <c r="P832" i="20" s="1"/>
  <c r="IW28" i="2"/>
  <c r="IW30" i="2"/>
  <c r="IW26" i="2"/>
  <c r="IW31" i="2"/>
  <c r="IW27" i="2"/>
  <c r="S833" i="20"/>
  <c r="IW29" i="2" l="1"/>
  <c r="IY23" i="2"/>
  <c r="R833" i="20"/>
  <c r="Q833" i="20" s="1"/>
  <c r="P833" i="20" s="1"/>
  <c r="O834" i="20"/>
  <c r="IX31" i="2"/>
  <c r="IX26" i="2"/>
  <c r="IX30" i="2"/>
  <c r="S834" i="20"/>
  <c r="IX27" i="2"/>
  <c r="IX28" i="2"/>
  <c r="IX29" i="2" l="1"/>
  <c r="IZ23" i="2"/>
  <c r="O835" i="20"/>
  <c r="R834" i="20"/>
  <c r="Q834" i="20" s="1"/>
  <c r="P834" i="20" s="1"/>
  <c r="IY27" i="2"/>
  <c r="IY30" i="2"/>
  <c r="IY26" i="2"/>
  <c r="IY28" i="2"/>
  <c r="IY31" i="2"/>
  <c r="S835" i="20"/>
  <c r="IY29" i="2" l="1"/>
  <c r="JA23" i="2"/>
  <c r="R835" i="20"/>
  <c r="O836" i="20"/>
  <c r="IZ28" i="2"/>
  <c r="IZ26" i="2"/>
  <c r="IZ30" i="2"/>
  <c r="IZ31" i="2"/>
  <c r="IZ27" i="2"/>
  <c r="S836" i="20"/>
  <c r="IZ29" i="2" l="1"/>
  <c r="JB23" i="2"/>
  <c r="R836" i="20"/>
  <c r="Q836" i="20" s="1"/>
  <c r="P836" i="20" s="1"/>
  <c r="O837" i="20"/>
  <c r="Q835" i="20"/>
  <c r="P835" i="20" s="1"/>
  <c r="S837" i="20"/>
  <c r="JA30" i="2"/>
  <c r="JA31" i="2"/>
  <c r="JA28" i="2"/>
  <c r="JA27" i="2"/>
  <c r="JA26" i="2"/>
  <c r="JA29" i="2" l="1"/>
  <c r="JC23" i="2"/>
  <c r="O838" i="20"/>
  <c r="R837" i="20"/>
  <c r="Q837" i="20" s="1"/>
  <c r="P837" i="20" s="1"/>
  <c r="JB27" i="2"/>
  <c r="JB26" i="2"/>
  <c r="S838" i="20"/>
  <c r="JB31" i="2"/>
  <c r="JB28" i="2"/>
  <c r="JB30" i="2"/>
  <c r="JB29" i="2" l="1"/>
  <c r="JD23" i="2"/>
  <c r="O839" i="20"/>
  <c r="R838" i="20"/>
  <c r="Q838" i="20" s="1"/>
  <c r="P838" i="20" s="1"/>
  <c r="JC31" i="2"/>
  <c r="JC28" i="2"/>
  <c r="JC26" i="2"/>
  <c r="JC27" i="2"/>
  <c r="JC30" i="2"/>
  <c r="S839" i="20"/>
  <c r="JC29" i="2" l="1"/>
  <c r="JE23" i="2"/>
  <c r="O840" i="20"/>
  <c r="R839" i="20"/>
  <c r="JD27" i="2"/>
  <c r="JD30" i="2"/>
  <c r="JD31" i="2"/>
  <c r="JD26" i="2"/>
  <c r="S840" i="20"/>
  <c r="JD28" i="2"/>
  <c r="JD29" i="2" l="1"/>
  <c r="JF23" i="2"/>
  <c r="Q839" i="20"/>
  <c r="P839" i="20" s="1"/>
  <c r="O841" i="20"/>
  <c r="R840" i="20"/>
  <c r="Q840" i="20" s="1"/>
  <c r="P840" i="20" s="1"/>
  <c r="JE26" i="2"/>
  <c r="JE30" i="2"/>
  <c r="JE27" i="2"/>
  <c r="S841" i="20"/>
  <c r="JE28" i="2"/>
  <c r="JE31" i="2"/>
  <c r="JE29" i="2" l="1"/>
  <c r="JG23" i="2"/>
  <c r="O842" i="20"/>
  <c r="R841" i="20"/>
  <c r="Q841" i="20" s="1"/>
  <c r="P841" i="20" s="1"/>
  <c r="JF28" i="2"/>
  <c r="JF26" i="2"/>
  <c r="JF31" i="2"/>
  <c r="JF30" i="2"/>
  <c r="JF27" i="2"/>
  <c r="S842" i="20"/>
  <c r="JF29" i="2" l="1"/>
  <c r="JH23" i="2"/>
  <c r="R842" i="20"/>
  <c r="Q842" i="20" s="1"/>
  <c r="P842" i="20" s="1"/>
  <c r="O843" i="20"/>
  <c r="JG27" i="2"/>
  <c r="JG28" i="2"/>
  <c r="JG31" i="2"/>
  <c r="S843" i="20"/>
  <c r="JG26" i="2"/>
  <c r="JG30" i="2"/>
  <c r="JG29" i="2" l="1"/>
  <c r="JI23" i="2"/>
  <c r="O844" i="20"/>
  <c r="R843" i="20"/>
  <c r="Q843" i="20" s="1"/>
  <c r="P843" i="20" s="1"/>
  <c r="JH30" i="2"/>
  <c r="JH27" i="2"/>
  <c r="S844" i="20"/>
  <c r="JH28" i="2"/>
  <c r="JH26" i="2"/>
  <c r="JH31" i="2"/>
  <c r="JH29" i="2" l="1"/>
  <c r="JJ23" i="2"/>
  <c r="O845" i="20"/>
  <c r="R844" i="20"/>
  <c r="Q844" i="20" s="1"/>
  <c r="P844" i="20" s="1"/>
  <c r="JI30" i="2"/>
  <c r="JI27" i="2"/>
  <c r="JI28" i="2"/>
  <c r="JI26" i="2"/>
  <c r="S845" i="20"/>
  <c r="JI31" i="2"/>
  <c r="JI29" i="2" l="1"/>
  <c r="JK23" i="2"/>
  <c r="R845" i="20"/>
  <c r="Q845" i="20" s="1"/>
  <c r="P845" i="20" s="1"/>
  <c r="O846" i="20"/>
  <c r="JJ26" i="2"/>
  <c r="JJ28" i="2"/>
  <c r="S846" i="20"/>
  <c r="JJ27" i="2"/>
  <c r="JJ30" i="2"/>
  <c r="JJ31" i="2"/>
  <c r="JJ29" i="2" l="1"/>
  <c r="JL23" i="2"/>
  <c r="R846" i="20"/>
  <c r="Q846" i="20" s="1"/>
  <c r="P846" i="20" s="1"/>
  <c r="O847" i="20"/>
  <c r="JK28" i="2"/>
  <c r="JK31" i="2"/>
  <c r="JK27" i="2"/>
  <c r="JK26" i="2"/>
  <c r="S847" i="20"/>
  <c r="JK30" i="2"/>
  <c r="JK29" i="2" l="1"/>
  <c r="JM23" i="2"/>
  <c r="R847" i="20"/>
  <c r="Q847" i="20" s="1"/>
  <c r="P847" i="20" s="1"/>
  <c r="O848" i="20"/>
  <c r="JL31" i="2"/>
  <c r="JL26" i="2"/>
  <c r="JL27" i="2"/>
  <c r="JL30" i="2"/>
  <c r="S848" i="20"/>
  <c r="JL28" i="2"/>
  <c r="JL29" i="2" l="1"/>
  <c r="JN23" i="2"/>
  <c r="O849" i="20"/>
  <c r="R848" i="20"/>
  <c r="Q848" i="20" s="1"/>
  <c r="P848" i="20" s="1"/>
  <c r="S849" i="20"/>
  <c r="JM31" i="2"/>
  <c r="JM28" i="2"/>
  <c r="JM26" i="2"/>
  <c r="JM27" i="2"/>
  <c r="JM30" i="2"/>
  <c r="JM29" i="2" l="1"/>
  <c r="JO23" i="2"/>
  <c r="R849" i="20"/>
  <c r="Q849" i="20" s="1"/>
  <c r="P849" i="20" s="1"/>
  <c r="O850" i="20"/>
  <c r="JN28" i="2"/>
  <c r="JN30" i="2"/>
  <c r="JN27" i="2"/>
  <c r="JN26" i="2"/>
  <c r="S850" i="20"/>
  <c r="JN31" i="2"/>
  <c r="JN29" i="2" l="1"/>
  <c r="JP23" i="2"/>
  <c r="O851" i="20"/>
  <c r="R850" i="20"/>
  <c r="Q850" i="20" s="1"/>
  <c r="P850" i="20" s="1"/>
  <c r="JO27" i="2"/>
  <c r="JO26" i="2"/>
  <c r="JO28" i="2"/>
  <c r="S851" i="20"/>
  <c r="JO30" i="2"/>
  <c r="JO31" i="2"/>
  <c r="JO29" i="2" l="1"/>
  <c r="JQ23" i="2"/>
  <c r="O852" i="20"/>
  <c r="R851" i="20"/>
  <c r="Q851" i="20" s="1"/>
  <c r="P851" i="20" s="1"/>
  <c r="JP27" i="2"/>
  <c r="JP28" i="2"/>
  <c r="JP31" i="2"/>
  <c r="JP26" i="2"/>
  <c r="JP30" i="2"/>
  <c r="S852" i="20"/>
  <c r="JP29" i="2" l="1"/>
  <c r="JR23" i="2"/>
  <c r="O853" i="20"/>
  <c r="R852" i="20"/>
  <c r="Q852" i="20" s="1"/>
  <c r="P852" i="20" s="1"/>
  <c r="JQ28" i="2"/>
  <c r="JQ31" i="2"/>
  <c r="S853" i="20"/>
  <c r="JQ30" i="2"/>
  <c r="JQ26" i="2"/>
  <c r="JQ27" i="2"/>
  <c r="JQ29" i="2" l="1"/>
  <c r="JS23" i="2"/>
  <c r="R853" i="20"/>
  <c r="O854" i="20"/>
  <c r="JR26" i="2"/>
  <c r="JR28" i="2"/>
  <c r="JR31" i="2"/>
  <c r="S854" i="20"/>
  <c r="JR30" i="2"/>
  <c r="JR27" i="2"/>
  <c r="JR29" i="2" l="1"/>
  <c r="JT23" i="2"/>
  <c r="O855" i="20"/>
  <c r="R854" i="20"/>
  <c r="Q854" i="20" s="1"/>
  <c r="P854" i="20" s="1"/>
  <c r="Q853" i="20"/>
  <c r="P853" i="20" s="1"/>
  <c r="JS27" i="2"/>
  <c r="JS26" i="2"/>
  <c r="JS28" i="2"/>
  <c r="JS31" i="2"/>
  <c r="S855" i="20"/>
  <c r="JS30" i="2"/>
  <c r="JS29" i="2" l="1"/>
  <c r="JU23" i="2"/>
  <c r="O856" i="20"/>
  <c r="R855" i="20"/>
  <c r="Q855" i="20" s="1"/>
  <c r="P855" i="20" s="1"/>
  <c r="JT28" i="2"/>
  <c r="JT31" i="2"/>
  <c r="S856" i="20"/>
  <c r="JT26" i="2"/>
  <c r="JT27" i="2"/>
  <c r="JT30" i="2"/>
  <c r="JT29" i="2" l="1"/>
  <c r="JV23" i="2"/>
  <c r="O857" i="20"/>
  <c r="R856" i="20"/>
  <c r="Q856" i="20" s="1"/>
  <c r="P856" i="20" s="1"/>
  <c r="JU26" i="2"/>
  <c r="JU31" i="2"/>
  <c r="JU28" i="2"/>
  <c r="S857" i="20"/>
  <c r="JU27" i="2"/>
  <c r="JU30" i="2"/>
  <c r="JU29" i="2" l="1"/>
  <c r="JW23" i="2"/>
  <c r="O858" i="20"/>
  <c r="R857" i="20"/>
  <c r="Q857" i="20" s="1"/>
  <c r="P857" i="20" s="1"/>
  <c r="JV28" i="2"/>
  <c r="JV30" i="2"/>
  <c r="JV31" i="2"/>
  <c r="JV26" i="2"/>
  <c r="JV27" i="2"/>
  <c r="S858" i="20"/>
  <c r="JV29" i="2" l="1"/>
  <c r="JX23" i="2"/>
  <c r="O859" i="20"/>
  <c r="R858" i="20"/>
  <c r="Q858" i="20" s="1"/>
  <c r="P858" i="20" s="1"/>
  <c r="JW27" i="2"/>
  <c r="JW31" i="2"/>
  <c r="JW26" i="2"/>
  <c r="JW30" i="2"/>
  <c r="S859" i="20"/>
  <c r="JW28" i="2"/>
  <c r="JW29" i="2" l="1"/>
  <c r="JY23" i="2"/>
  <c r="O860" i="20"/>
  <c r="R859" i="20"/>
  <c r="Q859" i="20" s="1"/>
  <c r="P859" i="20" s="1"/>
  <c r="JX31" i="2"/>
  <c r="JX30" i="2"/>
  <c r="JX27" i="2"/>
  <c r="S860" i="20"/>
  <c r="JX26" i="2"/>
  <c r="JX28" i="2"/>
  <c r="JX29" i="2" l="1"/>
  <c r="JZ23" i="2"/>
  <c r="O861" i="20"/>
  <c r="R860" i="20"/>
  <c r="Q860" i="20" s="1"/>
  <c r="P860" i="20" s="1"/>
  <c r="JY30" i="2"/>
  <c r="JY27" i="2"/>
  <c r="JY26" i="2"/>
  <c r="JY31" i="2"/>
  <c r="S861" i="20"/>
  <c r="JY28" i="2"/>
  <c r="JY29" i="2" l="1"/>
  <c r="KA23" i="2"/>
  <c r="R861" i="20"/>
  <c r="Q861" i="20" s="1"/>
  <c r="P861" i="20" s="1"/>
  <c r="O862" i="20"/>
  <c r="JZ31" i="2"/>
  <c r="S862" i="20"/>
  <c r="JZ26" i="2"/>
  <c r="JZ28" i="2"/>
  <c r="JZ30" i="2"/>
  <c r="JZ27" i="2"/>
  <c r="JZ29" i="2" l="1"/>
  <c r="KB23" i="2"/>
  <c r="R862" i="20"/>
  <c r="Q862" i="20" s="1"/>
  <c r="P862" i="20" s="1"/>
  <c r="O863" i="20"/>
  <c r="KA27" i="2"/>
  <c r="KA31" i="2"/>
  <c r="KA26" i="2"/>
  <c r="KA30" i="2"/>
  <c r="S863" i="20"/>
  <c r="KA28" i="2"/>
  <c r="KA29" i="2" l="1"/>
  <c r="KC23" i="2"/>
  <c r="R863" i="20"/>
  <c r="Q863" i="20" s="1"/>
  <c r="P863" i="20" s="1"/>
  <c r="O864" i="20"/>
  <c r="KB31" i="2"/>
  <c r="KB28" i="2"/>
  <c r="KB26" i="2"/>
  <c r="KB30" i="2"/>
  <c r="S864" i="20"/>
  <c r="KB27" i="2"/>
  <c r="KB29" i="2" l="1"/>
  <c r="KD23" i="2"/>
  <c r="O865" i="20"/>
  <c r="R864" i="20"/>
  <c r="Q864" i="20" s="1"/>
  <c r="P864" i="20" s="1"/>
  <c r="KC27" i="2"/>
  <c r="S865" i="20"/>
  <c r="KC30" i="2"/>
  <c r="KC28" i="2"/>
  <c r="KC31" i="2"/>
  <c r="KC26" i="2"/>
  <c r="KC29" i="2" l="1"/>
  <c r="KE23" i="2"/>
  <c r="O866" i="20"/>
  <c r="R865" i="20"/>
  <c r="Q865" i="20" s="1"/>
  <c r="P865" i="20" s="1"/>
  <c r="KD27" i="2"/>
  <c r="KD26" i="2"/>
  <c r="KD30" i="2"/>
  <c r="KD28" i="2"/>
  <c r="S866" i="20"/>
  <c r="KD31" i="2"/>
  <c r="KD29" i="2" l="1"/>
  <c r="KF23" i="2"/>
  <c r="O867" i="20"/>
  <c r="R866" i="20"/>
  <c r="Q866" i="20" s="1"/>
  <c r="P866" i="20" s="1"/>
  <c r="KE30" i="2"/>
  <c r="KE27" i="2"/>
  <c r="KE28" i="2"/>
  <c r="S867" i="20"/>
  <c r="KE31" i="2"/>
  <c r="KE26" i="2"/>
  <c r="KE29" i="2" l="1"/>
  <c r="KG23" i="2"/>
  <c r="O868" i="20"/>
  <c r="R867" i="20"/>
  <c r="Q867" i="20" s="1"/>
  <c r="P867" i="20" s="1"/>
  <c r="KF28" i="2"/>
  <c r="KF30" i="2"/>
  <c r="KF27" i="2"/>
  <c r="KF26" i="2"/>
  <c r="KF31" i="2"/>
  <c r="S868" i="20"/>
  <c r="KF29" i="2" l="1"/>
  <c r="KH23" i="2"/>
  <c r="O869" i="20"/>
  <c r="R868" i="20"/>
  <c r="Q868" i="20" s="1"/>
  <c r="P868" i="20" s="1"/>
  <c r="KG28" i="2"/>
  <c r="KG30" i="2"/>
  <c r="KG27" i="2"/>
  <c r="KG31" i="2"/>
  <c r="S869" i="20"/>
  <c r="KG26" i="2"/>
  <c r="KG29" i="2" l="1"/>
  <c r="KI23" i="2"/>
  <c r="R869" i="20"/>
  <c r="Q869" i="20" s="1"/>
  <c r="P869" i="20" s="1"/>
  <c r="O870" i="20"/>
  <c r="KH28" i="2"/>
  <c r="KH26" i="2"/>
  <c r="KH27" i="2"/>
  <c r="KH31" i="2"/>
  <c r="S870" i="20"/>
  <c r="KH30" i="2"/>
  <c r="KH29" i="2" l="1"/>
  <c r="KJ23" i="2"/>
  <c r="R870" i="20"/>
  <c r="Q870" i="20" s="1"/>
  <c r="P870" i="20" s="1"/>
  <c r="O871" i="20"/>
  <c r="KI31" i="2"/>
  <c r="KI30" i="2"/>
  <c r="S871" i="20"/>
  <c r="KI27" i="2"/>
  <c r="KI26" i="2"/>
  <c r="KI28" i="2"/>
  <c r="KI29" i="2" l="1"/>
  <c r="KK23" i="2"/>
  <c r="O872" i="20"/>
  <c r="R871" i="20"/>
  <c r="Q871" i="20" s="1"/>
  <c r="P871" i="20" s="1"/>
  <c r="KJ31" i="2"/>
  <c r="KJ28" i="2"/>
  <c r="S872" i="20"/>
  <c r="KJ27" i="2"/>
  <c r="KJ26" i="2"/>
  <c r="KJ30" i="2"/>
  <c r="KJ29" i="2" l="1"/>
  <c r="KL23" i="2"/>
  <c r="R872" i="20"/>
  <c r="Q872" i="20" s="1"/>
  <c r="P872" i="20" s="1"/>
  <c r="O873" i="20"/>
  <c r="KK28" i="2"/>
  <c r="KK31" i="2"/>
  <c r="KK27" i="2"/>
  <c r="S873" i="20"/>
  <c r="KK30" i="2"/>
  <c r="KK26" i="2"/>
  <c r="KK29" i="2" l="1"/>
  <c r="KM23" i="2"/>
  <c r="O874" i="20"/>
  <c r="R873" i="20"/>
  <c r="Q873" i="20" s="1"/>
  <c r="P873" i="20" s="1"/>
  <c r="KL28" i="2"/>
  <c r="KL30" i="2"/>
  <c r="KL31" i="2"/>
  <c r="KL27" i="2"/>
  <c r="KL26" i="2"/>
  <c r="S874" i="20"/>
  <c r="KL29" i="2" l="1"/>
  <c r="KN23" i="2"/>
  <c r="O875" i="20"/>
  <c r="R874" i="20"/>
  <c r="Q874" i="20" s="1"/>
  <c r="P874" i="20" s="1"/>
  <c r="KM26" i="2"/>
  <c r="KM31" i="2"/>
  <c r="S875" i="20"/>
  <c r="KM27" i="2"/>
  <c r="KM30" i="2"/>
  <c r="KM28" i="2"/>
  <c r="KM29" i="2" l="1"/>
  <c r="KO23" i="2"/>
  <c r="O876" i="20"/>
  <c r="R875" i="20"/>
  <c r="Q875" i="20" s="1"/>
  <c r="P875" i="20" s="1"/>
  <c r="KN26" i="2"/>
  <c r="KN27" i="2"/>
  <c r="KN30" i="2"/>
  <c r="S876" i="20"/>
  <c r="KN28" i="2"/>
  <c r="KN31" i="2"/>
  <c r="KN29" i="2" l="1"/>
  <c r="KP23" i="2"/>
  <c r="R876" i="20"/>
  <c r="Q876" i="20" s="1"/>
  <c r="P876" i="20" s="1"/>
  <c r="O877" i="20"/>
  <c r="KO31" i="2"/>
  <c r="KO26" i="2"/>
  <c r="KO30" i="2"/>
  <c r="KO27" i="2"/>
  <c r="S877" i="20"/>
  <c r="KO28" i="2"/>
  <c r="KO29" i="2" l="1"/>
  <c r="KQ23" i="2"/>
  <c r="R877" i="20"/>
  <c r="Q877" i="20" s="1"/>
  <c r="P877" i="20" s="1"/>
  <c r="O878" i="20"/>
  <c r="KP27" i="2"/>
  <c r="KP30" i="2"/>
  <c r="S878" i="20"/>
  <c r="KP28" i="2"/>
  <c r="KP31" i="2"/>
  <c r="KP26" i="2"/>
  <c r="KP29" i="2" l="1"/>
  <c r="KR23" i="2"/>
  <c r="R878" i="20"/>
  <c r="Q878" i="20" s="1"/>
  <c r="P878" i="20" s="1"/>
  <c r="O879" i="20"/>
  <c r="KQ31" i="2"/>
  <c r="KQ28" i="2"/>
  <c r="KQ26" i="2"/>
  <c r="KQ27" i="2"/>
  <c r="S879" i="20"/>
  <c r="KQ30" i="2"/>
  <c r="KQ29" i="2" l="1"/>
  <c r="KS23" i="2"/>
  <c r="O880" i="20"/>
  <c r="R879" i="20"/>
  <c r="Q879" i="20" s="1"/>
  <c r="P879" i="20" s="1"/>
  <c r="KR27" i="2"/>
  <c r="KR31" i="2"/>
  <c r="KR26" i="2"/>
  <c r="KR28" i="2"/>
  <c r="KR30" i="2"/>
  <c r="S880" i="20"/>
  <c r="KR29" i="2" l="1"/>
  <c r="KT23" i="2"/>
  <c r="R880" i="20"/>
  <c r="Q880" i="20" s="1"/>
  <c r="P880" i="20" s="1"/>
  <c r="O881" i="20"/>
  <c r="KS27" i="2"/>
  <c r="KS26" i="2"/>
  <c r="KS30" i="2"/>
  <c r="S881" i="20"/>
  <c r="KS31" i="2"/>
  <c r="KS28" i="2"/>
  <c r="KS29" i="2" l="1"/>
  <c r="KU23" i="2"/>
  <c r="R881" i="20"/>
  <c r="Q881" i="20" s="1"/>
  <c r="P881" i="20" s="1"/>
  <c r="O882" i="20"/>
  <c r="KT28" i="2"/>
  <c r="S882" i="20"/>
  <c r="KT26" i="2"/>
  <c r="KT30" i="2"/>
  <c r="KT31" i="2"/>
  <c r="KT27" i="2"/>
  <c r="KT29" i="2" l="1"/>
  <c r="KV23" i="2"/>
  <c r="O883" i="20"/>
  <c r="R882" i="20"/>
  <c r="Q882" i="20" s="1"/>
  <c r="P882" i="20" s="1"/>
  <c r="KU31" i="2"/>
  <c r="S883" i="20"/>
  <c r="KU28" i="2"/>
  <c r="KU26" i="2"/>
  <c r="KU30" i="2"/>
  <c r="KU27" i="2"/>
  <c r="KU29" i="2" l="1"/>
  <c r="KW23" i="2"/>
  <c r="O884" i="20"/>
  <c r="R883" i="20"/>
  <c r="Q883" i="20" s="1"/>
  <c r="P883" i="20" s="1"/>
  <c r="KV27" i="2"/>
  <c r="KV26" i="2"/>
  <c r="KV30" i="2"/>
  <c r="S884" i="20"/>
  <c r="KV28" i="2"/>
  <c r="KV31" i="2"/>
  <c r="KV29" i="2" l="1"/>
  <c r="KX23" i="2"/>
  <c r="O885" i="20"/>
  <c r="R884" i="20"/>
  <c r="Q884" i="20" s="1"/>
  <c r="P884" i="20" s="1"/>
  <c r="KW31" i="2"/>
  <c r="KW28" i="2"/>
  <c r="S885" i="20"/>
  <c r="KW30" i="2"/>
  <c r="KW26" i="2"/>
  <c r="KW27" i="2"/>
  <c r="KW29" i="2" l="1"/>
  <c r="KY23" i="2"/>
  <c r="R885" i="20"/>
  <c r="Q885" i="20" s="1"/>
  <c r="P885" i="20" s="1"/>
  <c r="O886" i="20"/>
  <c r="S886" i="20"/>
  <c r="KX31" i="2"/>
  <c r="KX26" i="2"/>
  <c r="KX28" i="2"/>
  <c r="KX30" i="2"/>
  <c r="KX27" i="2"/>
  <c r="KX29" i="2" l="1"/>
  <c r="KZ23" i="2"/>
  <c r="O887" i="20"/>
  <c r="R886" i="20"/>
  <c r="Q886" i="20" s="1"/>
  <c r="P886" i="20" s="1"/>
  <c r="KY28" i="2"/>
  <c r="KY27" i="2"/>
  <c r="KY31" i="2"/>
  <c r="KY30" i="2"/>
  <c r="KY26" i="2"/>
  <c r="S887" i="20"/>
  <c r="KY29" i="2" l="1"/>
  <c r="LA23" i="2"/>
  <c r="R887" i="20"/>
  <c r="O888" i="20"/>
  <c r="KZ27" i="2"/>
  <c r="KZ26" i="2"/>
  <c r="KZ30" i="2"/>
  <c r="KZ28" i="2"/>
  <c r="S888" i="20"/>
  <c r="KZ31" i="2"/>
  <c r="KZ29" i="2" l="1"/>
  <c r="LB23" i="2"/>
  <c r="O889" i="20"/>
  <c r="R888" i="20"/>
  <c r="Q888" i="20" s="1"/>
  <c r="P888" i="20" s="1"/>
  <c r="Q887" i="20"/>
  <c r="P887" i="20" s="1"/>
  <c r="LA26" i="2"/>
  <c r="LA30" i="2"/>
  <c r="S889" i="20"/>
  <c r="LA27" i="2"/>
  <c r="LA31" i="2"/>
  <c r="LA28" i="2"/>
  <c r="LA29" i="2" l="1"/>
  <c r="LC23" i="2"/>
  <c r="R889" i="20"/>
  <c r="O890" i="20"/>
  <c r="LB28" i="2"/>
  <c r="LB26" i="2"/>
  <c r="LB27" i="2"/>
  <c r="LB31" i="2"/>
  <c r="S890" i="20"/>
  <c r="LB30" i="2"/>
  <c r="LB29" i="2" l="1"/>
  <c r="LD23" i="2"/>
  <c r="O891" i="20"/>
  <c r="R890" i="20"/>
  <c r="Q890" i="20" s="1"/>
  <c r="P890" i="20" s="1"/>
  <c r="Q889" i="20"/>
  <c r="P889" i="20" s="1"/>
  <c r="LC27" i="2"/>
  <c r="LC31" i="2"/>
  <c r="LC26" i="2"/>
  <c r="S891" i="20"/>
  <c r="LC28" i="2"/>
  <c r="LC30" i="2"/>
  <c r="LC29" i="2" l="1"/>
  <c r="LE23" i="2"/>
  <c r="O892" i="20"/>
  <c r="R891" i="20"/>
  <c r="Q891" i="20" s="1"/>
  <c r="P891" i="20" s="1"/>
  <c r="LD31" i="2"/>
  <c r="LD27" i="2"/>
  <c r="S892" i="20"/>
  <c r="LD28" i="2"/>
  <c r="LD30" i="2"/>
  <c r="LD26" i="2"/>
  <c r="LD29" i="2" l="1"/>
  <c r="LF23" i="2"/>
  <c r="O893" i="20"/>
  <c r="R892" i="20"/>
  <c r="Q892" i="20" s="1"/>
  <c r="P892" i="20" s="1"/>
  <c r="LE27" i="2"/>
  <c r="LE31" i="2"/>
  <c r="LE26" i="2"/>
  <c r="LE30" i="2"/>
  <c r="LE28" i="2"/>
  <c r="S893" i="20"/>
  <c r="LE29" i="2" l="1"/>
  <c r="LG23" i="2"/>
  <c r="R893" i="20"/>
  <c r="Q893" i="20" s="1"/>
  <c r="P893" i="20" s="1"/>
  <c r="O894" i="20"/>
  <c r="LF30" i="2"/>
  <c r="S894" i="20"/>
  <c r="LF28" i="2"/>
  <c r="LF26" i="2"/>
  <c r="LF27" i="2"/>
  <c r="LF31" i="2"/>
  <c r="LF29" i="2" l="1"/>
  <c r="LH23" i="2"/>
  <c r="R894" i="20"/>
  <c r="Q894" i="20" s="1"/>
  <c r="P894" i="20" s="1"/>
  <c r="O895" i="20"/>
  <c r="LG30" i="2"/>
  <c r="LG31" i="2"/>
  <c r="LG27" i="2"/>
  <c r="LG28" i="2"/>
  <c r="LG26" i="2"/>
  <c r="S895" i="20"/>
  <c r="LG29" i="2" l="1"/>
  <c r="LI23" i="2"/>
  <c r="R895" i="20"/>
  <c r="Q895" i="20" s="1"/>
  <c r="P895" i="20" s="1"/>
  <c r="O896" i="20"/>
  <c r="LH26" i="2"/>
  <c r="LH30" i="2"/>
  <c r="LH31" i="2"/>
  <c r="S896" i="20"/>
  <c r="LH27" i="2"/>
  <c r="LH28" i="2"/>
  <c r="LH29" i="2" l="1"/>
  <c r="LJ23" i="2"/>
  <c r="O897" i="20"/>
  <c r="R896" i="20"/>
  <c r="Q896" i="20" s="1"/>
  <c r="P896" i="20" s="1"/>
  <c r="LI28" i="2"/>
  <c r="LI26" i="2"/>
  <c r="S897" i="20"/>
  <c r="LI27" i="2"/>
  <c r="LI31" i="2"/>
  <c r="LI30" i="2"/>
  <c r="LI29" i="2" l="1"/>
  <c r="LK23" i="2"/>
  <c r="O898" i="20"/>
  <c r="R897" i="20"/>
  <c r="Q897" i="20" s="1"/>
  <c r="P897" i="20" s="1"/>
  <c r="LJ28" i="2"/>
  <c r="S898" i="20"/>
  <c r="LJ30" i="2"/>
  <c r="LJ26" i="2"/>
  <c r="LJ31" i="2"/>
  <c r="LJ27" i="2"/>
  <c r="LJ29" i="2" l="1"/>
  <c r="LL23" i="2"/>
  <c r="R898" i="20"/>
  <c r="Q898" i="20" s="1"/>
  <c r="P898" i="20" s="1"/>
  <c r="O899" i="20"/>
  <c r="LK31" i="2"/>
  <c r="LK26" i="2"/>
  <c r="LK28" i="2"/>
  <c r="LK27" i="2"/>
  <c r="S899" i="20"/>
  <c r="LK30" i="2"/>
  <c r="LK29" i="2" l="1"/>
  <c r="LM23" i="2"/>
  <c r="R899" i="20"/>
  <c r="Q899" i="20" s="1"/>
  <c r="P899" i="20" s="1"/>
  <c r="O900" i="20"/>
  <c r="LL31" i="2"/>
  <c r="LL26" i="2"/>
  <c r="LL27" i="2"/>
  <c r="LL30" i="2"/>
  <c r="S900" i="20"/>
  <c r="LL28" i="2"/>
  <c r="LL29" i="2" l="1"/>
  <c r="LN23" i="2"/>
  <c r="R900" i="20"/>
  <c r="Q900" i="20" s="1"/>
  <c r="P900" i="20" s="1"/>
  <c r="O901" i="20"/>
  <c r="LM30" i="2"/>
  <c r="LM28" i="2"/>
  <c r="LM31" i="2"/>
  <c r="LM27" i="2"/>
  <c r="S901" i="20"/>
  <c r="LM26" i="2"/>
  <c r="LM29" i="2" l="1"/>
  <c r="LO23" i="2"/>
  <c r="R901" i="20"/>
  <c r="Q901" i="20" s="1"/>
  <c r="P901" i="20" s="1"/>
  <c r="O902" i="20"/>
  <c r="LN31" i="2"/>
  <c r="LN27" i="2"/>
  <c r="LN26" i="2"/>
  <c r="LN28" i="2"/>
  <c r="S902" i="20"/>
  <c r="LN30" i="2"/>
  <c r="LN29" i="2" l="1"/>
  <c r="LP23" i="2"/>
  <c r="R902" i="20"/>
  <c r="Q902" i="20" s="1"/>
  <c r="P902" i="20" s="1"/>
  <c r="O903" i="20"/>
  <c r="LO26" i="2"/>
  <c r="LO31" i="2"/>
  <c r="LO27" i="2"/>
  <c r="LO28" i="2"/>
  <c r="S903" i="20"/>
  <c r="LO30" i="2"/>
  <c r="LO29" i="2" l="1"/>
  <c r="LQ23" i="2"/>
  <c r="R903" i="20"/>
  <c r="Q903" i="20" s="1"/>
  <c r="P903" i="20" s="1"/>
  <c r="O904" i="20"/>
  <c r="LP30" i="2"/>
  <c r="LP31" i="2"/>
  <c r="LP28" i="2"/>
  <c r="LP27" i="2"/>
  <c r="S904" i="20"/>
  <c r="LP26" i="2"/>
  <c r="LP29" i="2" l="1"/>
  <c r="LR23" i="2"/>
  <c r="R904" i="20"/>
  <c r="O905" i="20"/>
  <c r="LQ27" i="2"/>
  <c r="LQ31" i="2"/>
  <c r="LQ26" i="2"/>
  <c r="LQ28" i="2"/>
  <c r="S905" i="20"/>
  <c r="LQ30" i="2"/>
  <c r="LQ29" i="2" l="1"/>
  <c r="LS23" i="2"/>
  <c r="R905" i="20"/>
  <c r="Q905" i="20" s="1"/>
  <c r="P905" i="20" s="1"/>
  <c r="O906" i="20"/>
  <c r="Q904" i="20"/>
  <c r="P904" i="20" s="1"/>
  <c r="LR28" i="2"/>
  <c r="LR31" i="2"/>
  <c r="S906" i="20"/>
  <c r="LR26" i="2"/>
  <c r="LR30" i="2"/>
  <c r="LR27" i="2"/>
  <c r="LR29" i="2" l="1"/>
  <c r="LT23" i="2"/>
  <c r="R906" i="20"/>
  <c r="Q906" i="20" s="1"/>
  <c r="P906" i="20" s="1"/>
  <c r="O907" i="20"/>
  <c r="LS30" i="2"/>
  <c r="LS31" i="2"/>
  <c r="LS26" i="2"/>
  <c r="LS28" i="2"/>
  <c r="S907" i="20"/>
  <c r="LS27" i="2"/>
  <c r="LS29" i="2" l="1"/>
  <c r="LU23" i="2"/>
  <c r="O908" i="20"/>
  <c r="R907" i="20"/>
  <c r="Q907" i="20" s="1"/>
  <c r="P907" i="20" s="1"/>
  <c r="LT30" i="2"/>
  <c r="LT27" i="2"/>
  <c r="LT28" i="2"/>
  <c r="LT26" i="2"/>
  <c r="LT31" i="2"/>
  <c r="S908" i="20"/>
  <c r="LT29" i="2" l="1"/>
  <c r="LV23" i="2"/>
  <c r="R908" i="20"/>
  <c r="Q908" i="20" s="1"/>
  <c r="P908" i="20" s="1"/>
  <c r="O909" i="20"/>
  <c r="LU30" i="2"/>
  <c r="LU27" i="2"/>
  <c r="LU26" i="2"/>
  <c r="S909" i="20"/>
  <c r="LU28" i="2"/>
  <c r="LU31" i="2"/>
  <c r="LU29" i="2" l="1"/>
  <c r="LW23" i="2"/>
  <c r="R909" i="20"/>
  <c r="Q909" i="20" s="1"/>
  <c r="P909" i="20" s="1"/>
  <c r="O910" i="20"/>
  <c r="LV28" i="2"/>
  <c r="S910" i="20"/>
  <c r="LV30" i="2"/>
  <c r="LV26" i="2"/>
  <c r="LV31" i="2"/>
  <c r="LV27" i="2"/>
  <c r="LV29" i="2" l="1"/>
  <c r="LX23" i="2"/>
  <c r="O911" i="20"/>
  <c r="R910" i="20"/>
  <c r="Q910" i="20" s="1"/>
  <c r="P910" i="20" s="1"/>
  <c r="LW31" i="2"/>
  <c r="LW26" i="2"/>
  <c r="LW28" i="2"/>
  <c r="LW30" i="2"/>
  <c r="LW27" i="2"/>
  <c r="S911" i="20"/>
  <c r="LW29" i="2" l="1"/>
  <c r="LY23" i="2"/>
  <c r="R911" i="20"/>
  <c r="Q911" i="20" s="1"/>
  <c r="P911" i="20" s="1"/>
  <c r="O912" i="20"/>
  <c r="LX31" i="2"/>
  <c r="LX28" i="2"/>
  <c r="LX27" i="2"/>
  <c r="LX26" i="2"/>
  <c r="LX30" i="2"/>
  <c r="S912" i="20"/>
  <c r="LX29" i="2" l="1"/>
  <c r="LZ23" i="2"/>
  <c r="R912" i="20"/>
  <c r="Q912" i="20" s="1"/>
  <c r="P912" i="20" s="1"/>
  <c r="O913" i="20"/>
  <c r="LY27" i="2"/>
  <c r="LY30" i="2"/>
  <c r="LY26" i="2"/>
  <c r="LY28" i="2"/>
  <c r="S913" i="20"/>
  <c r="LY31" i="2"/>
  <c r="LY29" i="2" l="1"/>
  <c r="MA23" i="2"/>
  <c r="R913" i="20"/>
  <c r="Q913" i="20" s="1"/>
  <c r="P913" i="20" s="1"/>
  <c r="O914" i="20"/>
  <c r="LZ27" i="2"/>
  <c r="LZ31" i="2"/>
  <c r="LZ26" i="2"/>
  <c r="LZ30" i="2"/>
  <c r="S914" i="20"/>
  <c r="LZ28" i="2"/>
  <c r="LZ29" i="2" l="1"/>
  <c r="MB23" i="2"/>
  <c r="O915" i="20"/>
  <c r="R914" i="20"/>
  <c r="Q914" i="20" s="1"/>
  <c r="P914" i="20" s="1"/>
  <c r="MA26" i="2"/>
  <c r="MA27" i="2"/>
  <c r="S915" i="20"/>
  <c r="MA30" i="2"/>
  <c r="MA28" i="2"/>
  <c r="MA31" i="2"/>
  <c r="MA29" i="2" l="1"/>
  <c r="MC23" i="2"/>
  <c r="R915" i="20"/>
  <c r="Q915" i="20" s="1"/>
  <c r="P915" i="20" s="1"/>
  <c r="O916" i="20"/>
  <c r="MB31" i="2"/>
  <c r="MB26" i="2"/>
  <c r="S916" i="20"/>
  <c r="MB30" i="2"/>
  <c r="MB28" i="2"/>
  <c r="MB27" i="2"/>
  <c r="MB29" i="2" l="1"/>
  <c r="MD23" i="2"/>
  <c r="R916" i="20"/>
  <c r="Q916" i="20" s="1"/>
  <c r="P916" i="20" s="1"/>
  <c r="O917" i="20"/>
  <c r="MC27" i="2"/>
  <c r="S917" i="20"/>
  <c r="MC26" i="2"/>
  <c r="MC30" i="2"/>
  <c r="MC28" i="2"/>
  <c r="MC31" i="2"/>
  <c r="MC29" i="2" l="1"/>
  <c r="ME23" i="2"/>
  <c r="R917" i="20"/>
  <c r="Q917" i="20" s="1"/>
  <c r="P917" i="20" s="1"/>
  <c r="O918" i="20"/>
  <c r="MD28" i="2"/>
  <c r="MD26" i="2"/>
  <c r="MD27" i="2"/>
  <c r="MD31" i="2"/>
  <c r="S918" i="20"/>
  <c r="MD30" i="2"/>
  <c r="MD29" i="2" l="1"/>
  <c r="MF23" i="2"/>
  <c r="R918" i="20"/>
  <c r="Q918" i="20" s="1"/>
  <c r="P918" i="20" s="1"/>
  <c r="O919" i="20"/>
  <c r="ME27" i="2"/>
  <c r="ME31" i="2"/>
  <c r="ME26" i="2"/>
  <c r="ME28" i="2"/>
  <c r="S919" i="20"/>
  <c r="ME30" i="2"/>
  <c r="ME29" i="2" l="1"/>
  <c r="MG23" i="2"/>
  <c r="R919" i="20"/>
  <c r="Q919" i="20" s="1"/>
  <c r="P919" i="20" s="1"/>
  <c r="O920" i="20"/>
  <c r="MF26" i="2"/>
  <c r="MF31" i="2"/>
  <c r="MF28" i="2"/>
  <c r="MF30" i="2"/>
  <c r="S920" i="20"/>
  <c r="MF27" i="2"/>
  <c r="MF29" i="2" l="1"/>
  <c r="MH23" i="2"/>
  <c r="O921" i="20"/>
  <c r="R920" i="20"/>
  <c r="Q920" i="20" s="1"/>
  <c r="P920" i="20" s="1"/>
  <c r="MG28" i="2"/>
  <c r="MG30" i="2"/>
  <c r="MG31" i="2"/>
  <c r="MG27" i="2"/>
  <c r="S921" i="20"/>
  <c r="MG26" i="2"/>
  <c r="MG29" i="2" l="1"/>
  <c r="MI23" i="2"/>
  <c r="O922" i="20"/>
  <c r="R921" i="20"/>
  <c r="MH27" i="2"/>
  <c r="MH31" i="2"/>
  <c r="S922" i="20"/>
  <c r="MH26" i="2"/>
  <c r="MH30" i="2"/>
  <c r="MH28" i="2"/>
  <c r="MH29" i="2" l="1"/>
  <c r="MJ23" i="2"/>
  <c r="Q921" i="20"/>
  <c r="P921" i="20" s="1"/>
  <c r="O923" i="20"/>
  <c r="R922" i="20"/>
  <c r="Q922" i="20" s="1"/>
  <c r="P922" i="20" s="1"/>
  <c r="MI26" i="2"/>
  <c r="MI27" i="2"/>
  <c r="MI31" i="2"/>
  <c r="MI28" i="2"/>
  <c r="S923" i="20"/>
  <c r="MI30" i="2"/>
  <c r="MI29" i="2" l="1"/>
  <c r="MK23" i="2"/>
  <c r="O924" i="20"/>
  <c r="R923" i="20"/>
  <c r="Q923" i="20" s="1"/>
  <c r="P923" i="20" s="1"/>
  <c r="MJ31" i="2"/>
  <c r="MJ30" i="2"/>
  <c r="MJ26" i="2"/>
  <c r="MJ27" i="2"/>
  <c r="S924" i="20"/>
  <c r="MJ28" i="2"/>
  <c r="MJ29" i="2" l="1"/>
  <c r="ML23" i="2"/>
  <c r="O925" i="20"/>
  <c r="R924" i="20"/>
  <c r="Q924" i="20" s="1"/>
  <c r="P924" i="20" s="1"/>
  <c r="MK27" i="2"/>
  <c r="S925" i="20"/>
  <c r="MK30" i="2"/>
  <c r="MK26" i="2"/>
  <c r="MK28" i="2"/>
  <c r="MK31" i="2"/>
  <c r="MK29" i="2" l="1"/>
  <c r="MM23" i="2"/>
  <c r="R925" i="20"/>
  <c r="Q925" i="20" s="1"/>
  <c r="P925" i="20" s="1"/>
  <c r="O926" i="20"/>
  <c r="ML26" i="2"/>
  <c r="ML31" i="2"/>
  <c r="ML30" i="2"/>
  <c r="S926" i="20"/>
  <c r="ML27" i="2"/>
  <c r="ML28" i="2"/>
  <c r="ML29" i="2" l="1"/>
  <c r="MN23" i="2"/>
  <c r="R926" i="20"/>
  <c r="Q926" i="20" s="1"/>
  <c r="P926" i="20" s="1"/>
  <c r="O927" i="20"/>
  <c r="MM30" i="2"/>
  <c r="MM28" i="2"/>
  <c r="MM27" i="2"/>
  <c r="MM31" i="2"/>
  <c r="MM26" i="2"/>
  <c r="S927" i="20"/>
  <c r="MM29" i="2" l="1"/>
  <c r="MO23" i="2"/>
  <c r="R927" i="20"/>
  <c r="Q927" i="20" s="1"/>
  <c r="P927" i="20" s="1"/>
  <c r="O928" i="20"/>
  <c r="MN26" i="2"/>
  <c r="S928" i="20"/>
  <c r="MN31" i="2"/>
  <c r="MN27" i="2"/>
  <c r="MN28" i="2"/>
  <c r="MN30" i="2"/>
  <c r="MN29" i="2" l="1"/>
  <c r="MP23" i="2"/>
  <c r="R928" i="20"/>
  <c r="Q928" i="20" s="1"/>
  <c r="P928" i="20" s="1"/>
  <c r="O929" i="20"/>
  <c r="MO30" i="2"/>
  <c r="MO28" i="2"/>
  <c r="MO27" i="2"/>
  <c r="MO26" i="2"/>
  <c r="MO31" i="2"/>
  <c r="S929" i="20"/>
  <c r="MO29" i="2" l="1"/>
  <c r="MQ23" i="2"/>
  <c r="O930" i="20"/>
  <c r="R929" i="20"/>
  <c r="S930" i="20"/>
  <c r="MP28" i="2"/>
  <c r="MP31" i="2"/>
  <c r="MP26" i="2"/>
  <c r="MP27" i="2"/>
  <c r="MP30" i="2"/>
  <c r="MP29" i="2" l="1"/>
  <c r="MR23" i="2"/>
  <c r="Q929" i="20"/>
  <c r="P929" i="20" s="1"/>
  <c r="R930" i="20"/>
  <c r="Q930" i="20" s="1"/>
  <c r="P930" i="20" s="1"/>
  <c r="O931" i="20"/>
  <c r="MQ28" i="2"/>
  <c r="S931" i="20"/>
  <c r="MQ26" i="2"/>
  <c r="MQ27" i="2"/>
  <c r="MQ31" i="2"/>
  <c r="MQ30" i="2"/>
  <c r="MQ29" i="2" l="1"/>
  <c r="MS23" i="2"/>
  <c r="R931" i="20"/>
  <c r="Q931" i="20" s="1"/>
  <c r="P931" i="20" s="1"/>
  <c r="O932" i="20"/>
  <c r="MR30" i="2"/>
  <c r="MR28" i="2"/>
  <c r="MR26" i="2"/>
  <c r="MR27" i="2"/>
  <c r="MR31" i="2"/>
  <c r="S932" i="20"/>
  <c r="MR29" i="2" l="1"/>
  <c r="MT23" i="2"/>
  <c r="O933" i="20"/>
  <c r="R932" i="20"/>
  <c r="Q932" i="20" s="1"/>
  <c r="P932" i="20" s="1"/>
  <c r="MS30" i="2"/>
  <c r="MS27" i="2"/>
  <c r="MS31" i="2"/>
  <c r="MS26" i="2"/>
  <c r="S933" i="20"/>
  <c r="MS28" i="2"/>
  <c r="MS29" i="2" l="1"/>
  <c r="MU23" i="2"/>
  <c r="R933" i="20"/>
  <c r="Q933" i="20" s="1"/>
  <c r="P933" i="20" s="1"/>
  <c r="O934" i="20"/>
  <c r="MT27" i="2"/>
  <c r="MT26" i="2"/>
  <c r="MT28" i="2"/>
  <c r="MT30" i="2"/>
  <c r="S934" i="20"/>
  <c r="MT31" i="2"/>
  <c r="MT29" i="2" l="1"/>
  <c r="MV23" i="2"/>
  <c r="R934" i="20"/>
  <c r="Q934" i="20" s="1"/>
  <c r="P934" i="20" s="1"/>
  <c r="O935" i="20"/>
  <c r="S935" i="20"/>
  <c r="MU30" i="2"/>
  <c r="MU31" i="2"/>
  <c r="MU27" i="2"/>
  <c r="MU28" i="2"/>
  <c r="MU26" i="2"/>
  <c r="MU29" i="2" l="1"/>
  <c r="MW23" i="2"/>
  <c r="R935" i="20"/>
  <c r="Q935" i="20" s="1"/>
  <c r="P935" i="20" s="1"/>
  <c r="O936" i="20"/>
  <c r="MV28" i="2"/>
  <c r="MV26" i="2"/>
  <c r="S936" i="20"/>
  <c r="MV27" i="2"/>
  <c r="MV31" i="2"/>
  <c r="MV30" i="2"/>
  <c r="MV29" i="2" l="1"/>
  <c r="MX23" i="2"/>
  <c r="R936" i="20"/>
  <c r="Q936" i="20" s="1"/>
  <c r="P936" i="20" s="1"/>
  <c r="O937" i="20"/>
  <c r="S937" i="20"/>
  <c r="MW26" i="2"/>
  <c r="MW31" i="2"/>
  <c r="MW27" i="2"/>
  <c r="MW28" i="2"/>
  <c r="MW30" i="2"/>
  <c r="MW29" i="2" l="1"/>
  <c r="MY23" i="2"/>
  <c r="O938" i="20"/>
  <c r="R937" i="20"/>
  <c r="Q937" i="20" s="1"/>
  <c r="P937" i="20" s="1"/>
  <c r="MX28" i="2"/>
  <c r="S938" i="20"/>
  <c r="MX26" i="2"/>
  <c r="MX30" i="2"/>
  <c r="MX27" i="2"/>
  <c r="MX31" i="2"/>
  <c r="MX29" i="2" l="1"/>
  <c r="MZ23" i="2"/>
  <c r="O939" i="20"/>
  <c r="R938" i="20"/>
  <c r="Q938" i="20" s="1"/>
  <c r="P938" i="20" s="1"/>
  <c r="MY26" i="2"/>
  <c r="MY27" i="2"/>
  <c r="S939" i="20"/>
  <c r="MY28" i="2"/>
  <c r="MY30" i="2"/>
  <c r="MY31" i="2"/>
  <c r="MY29" i="2" l="1"/>
  <c r="NA23" i="2"/>
  <c r="O940" i="20"/>
  <c r="R939" i="20"/>
  <c r="Q939" i="20" s="1"/>
  <c r="P939" i="20" s="1"/>
  <c r="MZ26" i="2"/>
  <c r="MZ30" i="2"/>
  <c r="S940" i="20"/>
  <c r="MZ27" i="2"/>
  <c r="MZ31" i="2"/>
  <c r="MZ28" i="2"/>
  <c r="MZ29" i="2" l="1"/>
  <c r="NB23" i="2"/>
  <c r="O941" i="20"/>
  <c r="R940" i="20"/>
  <c r="Q940" i="20" s="1"/>
  <c r="P940" i="20" s="1"/>
  <c r="NA27" i="2"/>
  <c r="NA28" i="2"/>
  <c r="NA30" i="2"/>
  <c r="S941" i="20"/>
  <c r="NA31" i="2"/>
  <c r="NA26" i="2"/>
  <c r="NA29" i="2" l="1"/>
  <c r="NC23" i="2"/>
  <c r="R941" i="20"/>
  <c r="Q941" i="20" s="1"/>
  <c r="P941" i="20" s="1"/>
  <c r="O942" i="20"/>
  <c r="NB26" i="2"/>
  <c r="NB27" i="2"/>
  <c r="NB28" i="2"/>
  <c r="NB30" i="2"/>
  <c r="NB31" i="2"/>
  <c r="S942" i="20"/>
  <c r="NB29" i="2" l="1"/>
  <c r="ND23" i="2"/>
  <c r="O943" i="20"/>
  <c r="R942" i="20"/>
  <c r="Q942" i="20" s="1"/>
  <c r="P942" i="20" s="1"/>
  <c r="NC28" i="2"/>
  <c r="NC26" i="2"/>
  <c r="NC27" i="2"/>
  <c r="NC30" i="2"/>
  <c r="S943" i="20"/>
  <c r="NC31" i="2"/>
  <c r="NC29" i="2" l="1"/>
  <c r="NE23" i="2"/>
  <c r="R943" i="20"/>
  <c r="Q943" i="20" s="1"/>
  <c r="P943" i="20" s="1"/>
  <c r="O944" i="20"/>
  <c r="ND31" i="2"/>
  <c r="ND27" i="2"/>
  <c r="ND28" i="2"/>
  <c r="S944" i="20"/>
  <c r="ND30" i="2"/>
  <c r="ND26" i="2"/>
  <c r="ND29" i="2" l="1"/>
  <c r="NF23" i="2"/>
  <c r="R944" i="20"/>
  <c r="Q944" i="20" s="1"/>
  <c r="P944" i="20" s="1"/>
  <c r="O945" i="20"/>
  <c r="NE26" i="2"/>
  <c r="NE31" i="2"/>
  <c r="NE27" i="2"/>
  <c r="NE30" i="2"/>
  <c r="NE28" i="2"/>
  <c r="S945" i="20"/>
  <c r="NE29" i="2" l="1"/>
  <c r="NG23" i="2"/>
  <c r="R945" i="20"/>
  <c r="Q945" i="20" s="1"/>
  <c r="P945" i="20" s="1"/>
  <c r="O946" i="20"/>
  <c r="NF27" i="2"/>
  <c r="NF28" i="2"/>
  <c r="NF30" i="2"/>
  <c r="S946" i="20"/>
  <c r="NF31" i="2"/>
  <c r="NF26" i="2"/>
  <c r="NF29" i="2" l="1"/>
  <c r="NH23" i="2"/>
  <c r="R946" i="20"/>
  <c r="Q946" i="20" s="1"/>
  <c r="P946" i="20" s="1"/>
  <c r="O947" i="20"/>
  <c r="NG27" i="2"/>
  <c r="NG31" i="2"/>
  <c r="NG28" i="2"/>
  <c r="S947" i="20"/>
  <c r="NG26" i="2"/>
  <c r="NG30" i="2"/>
  <c r="NG29" i="2" l="1"/>
  <c r="NI23" i="2"/>
  <c r="O948" i="20"/>
  <c r="R947" i="20"/>
  <c r="Q947" i="20" s="1"/>
  <c r="P947" i="20" s="1"/>
  <c r="NH27" i="2"/>
  <c r="NH31" i="2"/>
  <c r="NH26" i="2"/>
  <c r="NH30" i="2"/>
  <c r="S948" i="20"/>
  <c r="NH28" i="2"/>
  <c r="NH29" i="2" l="1"/>
  <c r="NJ23" i="2"/>
  <c r="R948" i="20"/>
  <c r="Q948" i="20" s="1"/>
  <c r="P948" i="20" s="1"/>
  <c r="O949" i="20"/>
  <c r="NI31" i="2"/>
  <c r="NI30" i="2"/>
  <c r="NI26" i="2"/>
  <c r="NI27" i="2"/>
  <c r="S949" i="20"/>
  <c r="NI28" i="2"/>
  <c r="NI29" i="2" l="1"/>
  <c r="NK23" i="2"/>
  <c r="O950" i="20"/>
  <c r="R949" i="20"/>
  <c r="Q949" i="20" s="1"/>
  <c r="P949" i="20" s="1"/>
  <c r="NJ31" i="2"/>
  <c r="NJ28" i="2"/>
  <c r="NJ30" i="2"/>
  <c r="S950" i="20"/>
  <c r="NJ26" i="2"/>
  <c r="NJ27" i="2"/>
  <c r="NJ29" i="2" l="1"/>
  <c r="NL23" i="2"/>
  <c r="O951" i="20"/>
  <c r="R950" i="20"/>
  <c r="Q950" i="20" s="1"/>
  <c r="P950" i="20" s="1"/>
  <c r="S951" i="20"/>
  <c r="NK30" i="2"/>
  <c r="NK28" i="2"/>
  <c r="NK27" i="2"/>
  <c r="NK26" i="2"/>
  <c r="NK31" i="2"/>
  <c r="NK29" i="2" l="1"/>
  <c r="NM23" i="2"/>
  <c r="R951" i="20"/>
  <c r="Q951" i="20" s="1"/>
  <c r="P951" i="20" s="1"/>
  <c r="O952" i="20"/>
  <c r="NL31" i="2"/>
  <c r="NL26" i="2"/>
  <c r="S952" i="20"/>
  <c r="NL27" i="2"/>
  <c r="NL30" i="2"/>
  <c r="NL28" i="2"/>
  <c r="NL29" i="2" l="1"/>
  <c r="NN23" i="2"/>
  <c r="O953" i="20"/>
  <c r="R952" i="20"/>
  <c r="Q952" i="20" s="1"/>
  <c r="P952" i="20" s="1"/>
  <c r="NM30" i="2"/>
  <c r="NM27" i="2"/>
  <c r="NM31" i="2"/>
  <c r="NM28" i="2"/>
  <c r="S953" i="20"/>
  <c r="NM26" i="2"/>
  <c r="NM29" i="2" l="1"/>
  <c r="NO23" i="2"/>
  <c r="R953" i="20"/>
  <c r="Q953" i="20" s="1"/>
  <c r="P953" i="20" s="1"/>
  <c r="O954" i="20"/>
  <c r="NN26" i="2"/>
  <c r="S954" i="20"/>
  <c r="NN27" i="2"/>
  <c r="NN31" i="2"/>
  <c r="NN28" i="2"/>
  <c r="NN30" i="2"/>
  <c r="NN29" i="2" l="1"/>
  <c r="NP23" i="2"/>
  <c r="O955" i="20"/>
  <c r="R954" i="20"/>
  <c r="Q954" i="20" s="1"/>
  <c r="P954" i="20" s="1"/>
  <c r="NO26" i="2"/>
  <c r="NO31" i="2"/>
  <c r="S955" i="20"/>
  <c r="NO28" i="2"/>
  <c r="NO27" i="2"/>
  <c r="NO30" i="2"/>
  <c r="NO29" i="2" l="1"/>
  <c r="NQ23" i="2"/>
  <c r="O956" i="20"/>
  <c r="R955" i="20"/>
  <c r="Q955" i="20" s="1"/>
  <c r="P955" i="20" s="1"/>
  <c r="NP30" i="2"/>
  <c r="NP26" i="2"/>
  <c r="NP27" i="2"/>
  <c r="NP28" i="2"/>
  <c r="S956" i="20"/>
  <c r="NP31" i="2"/>
  <c r="NP29" i="2" l="1"/>
  <c r="NR23" i="2"/>
  <c r="R956" i="20"/>
  <c r="Q956" i="20" s="1"/>
  <c r="P956" i="20" s="1"/>
  <c r="O957" i="20"/>
  <c r="NQ27" i="2"/>
  <c r="NQ30" i="2"/>
  <c r="NQ26" i="2"/>
  <c r="NQ31" i="2"/>
  <c r="S957" i="20"/>
  <c r="NQ28" i="2"/>
  <c r="NQ29" i="2" l="1"/>
  <c r="NS23" i="2"/>
  <c r="R957" i="20"/>
  <c r="Q957" i="20" s="1"/>
  <c r="P957" i="20" s="1"/>
  <c r="O958" i="20"/>
  <c r="NR26" i="2"/>
  <c r="NR31" i="2"/>
  <c r="NR27" i="2"/>
  <c r="S958" i="20"/>
  <c r="NR30" i="2"/>
  <c r="NR28" i="2"/>
  <c r="NR29" i="2" l="1"/>
  <c r="NT23" i="2"/>
  <c r="R958" i="20"/>
  <c r="Q958" i="20" s="1"/>
  <c r="P958" i="20" s="1"/>
  <c r="O959" i="20"/>
  <c r="NS26" i="2"/>
  <c r="NS31" i="2"/>
  <c r="S959" i="20"/>
  <c r="NS28" i="2"/>
  <c r="NS30" i="2"/>
  <c r="NS27" i="2"/>
  <c r="NS29" i="2" l="1"/>
  <c r="NU23" i="2"/>
  <c r="R959" i="20"/>
  <c r="Q959" i="20" s="1"/>
  <c r="P959" i="20" s="1"/>
  <c r="O960" i="20"/>
  <c r="NT31" i="2"/>
  <c r="NT27" i="2"/>
  <c r="S960" i="20"/>
  <c r="NT26" i="2"/>
  <c r="NT30" i="2"/>
  <c r="NT28" i="2"/>
  <c r="NT29" i="2" l="1"/>
  <c r="NV23" i="2"/>
  <c r="R960" i="20"/>
  <c r="Q960" i="20" s="1"/>
  <c r="P960" i="20" s="1"/>
  <c r="O961" i="20"/>
  <c r="NU27" i="2"/>
  <c r="S961" i="20"/>
  <c r="NU26" i="2"/>
  <c r="NU31" i="2"/>
  <c r="NU28" i="2"/>
  <c r="NU30" i="2"/>
  <c r="NU29" i="2" l="1"/>
  <c r="NW23" i="2"/>
  <c r="R961" i="20"/>
  <c r="Q961" i="20" s="1"/>
  <c r="P961" i="20" s="1"/>
  <c r="O962" i="20"/>
  <c r="S962" i="20"/>
  <c r="NV31" i="2"/>
  <c r="NV30" i="2"/>
  <c r="NV27" i="2"/>
  <c r="NV26" i="2"/>
  <c r="NV28" i="2"/>
  <c r="NV29" i="2" l="1"/>
  <c r="NX23" i="2"/>
  <c r="O963" i="20"/>
  <c r="R962" i="20"/>
  <c r="Q962" i="20" s="1"/>
  <c r="P962" i="20" s="1"/>
  <c r="NW28" i="2"/>
  <c r="NW26" i="2"/>
  <c r="NW30" i="2"/>
  <c r="S963" i="20"/>
  <c r="NW27" i="2"/>
  <c r="NW31" i="2"/>
  <c r="NW29" i="2" l="1"/>
  <c r="NY23" i="2"/>
  <c r="O964" i="20"/>
  <c r="R963" i="20"/>
  <c r="Q963" i="20" s="1"/>
  <c r="P963" i="20" s="1"/>
  <c r="NX30" i="2"/>
  <c r="NX31" i="2"/>
  <c r="S964" i="20"/>
  <c r="NX27" i="2"/>
  <c r="NX28" i="2"/>
  <c r="NX26" i="2"/>
  <c r="NX29" i="2" l="1"/>
  <c r="NZ23" i="2"/>
  <c r="O965" i="20"/>
  <c r="R964" i="20"/>
  <c r="Q964" i="20" s="1"/>
  <c r="P964" i="20" s="1"/>
  <c r="NY27" i="2"/>
  <c r="NY30" i="2"/>
  <c r="NY31" i="2"/>
  <c r="NY28" i="2"/>
  <c r="NY26" i="2"/>
  <c r="S965" i="20"/>
  <c r="NY29" i="2" l="1"/>
  <c r="OA23" i="2"/>
  <c r="R965" i="20"/>
  <c r="Q965" i="20" s="1"/>
  <c r="P965" i="20" s="1"/>
  <c r="O966" i="20"/>
  <c r="NZ28" i="2"/>
  <c r="NZ27" i="2"/>
  <c r="S966" i="20"/>
  <c r="NZ31" i="2"/>
  <c r="NZ30" i="2"/>
  <c r="NZ26" i="2"/>
  <c r="NZ29" i="2" l="1"/>
  <c r="OB23" i="2"/>
  <c r="R966" i="20"/>
  <c r="O967" i="20"/>
  <c r="OA27" i="2"/>
  <c r="OA28" i="2"/>
  <c r="OA30" i="2"/>
  <c r="S967" i="20"/>
  <c r="OA26" i="2"/>
  <c r="OA31" i="2"/>
  <c r="OA29" i="2" l="1"/>
  <c r="OC23" i="2"/>
  <c r="O968" i="20"/>
  <c r="R967" i="20"/>
  <c r="Q967" i="20" s="1"/>
  <c r="P967" i="20" s="1"/>
  <c r="Q966" i="20"/>
  <c r="P966" i="20" s="1"/>
  <c r="OB28" i="2"/>
  <c r="S968" i="20"/>
  <c r="OB27" i="2"/>
  <c r="OB31" i="2"/>
  <c r="OB30" i="2"/>
  <c r="OB26" i="2"/>
  <c r="OB29" i="2" l="1"/>
  <c r="OD23" i="2"/>
  <c r="O969" i="20"/>
  <c r="R968" i="20"/>
  <c r="Q968" i="20" s="1"/>
  <c r="P968" i="20" s="1"/>
  <c r="OC28" i="2"/>
  <c r="S969" i="20"/>
  <c r="OC26" i="2"/>
  <c r="OC30" i="2"/>
  <c r="OC27" i="2"/>
  <c r="OC31" i="2"/>
  <c r="OC29" i="2" l="1"/>
  <c r="OE23" i="2"/>
  <c r="O970" i="20"/>
  <c r="R969" i="20"/>
  <c r="Q969" i="20" s="1"/>
  <c r="P969" i="20" s="1"/>
  <c r="OD31" i="2"/>
  <c r="OD27" i="2"/>
  <c r="OD26" i="2"/>
  <c r="S970" i="20"/>
  <c r="OD28" i="2"/>
  <c r="OD30" i="2"/>
  <c r="OD29" i="2" l="1"/>
  <c r="OF23" i="2"/>
  <c r="O971" i="20"/>
  <c r="R970" i="20"/>
  <c r="Q970" i="20" s="1"/>
  <c r="P970" i="20" s="1"/>
  <c r="OE31" i="2"/>
  <c r="S971" i="20"/>
  <c r="OE30" i="2"/>
  <c r="OE27" i="2"/>
  <c r="OE28" i="2"/>
  <c r="OE26" i="2"/>
  <c r="OE29" i="2" l="1"/>
  <c r="OG23" i="2"/>
  <c r="O972" i="20"/>
  <c r="R971" i="20"/>
  <c r="Q971" i="20" s="1"/>
  <c r="P971" i="20" s="1"/>
  <c r="OF28" i="2"/>
  <c r="OF27" i="2"/>
  <c r="S972" i="20"/>
  <c r="OF30" i="2"/>
  <c r="OF26" i="2"/>
  <c r="OF31" i="2"/>
  <c r="OF29" i="2" l="1"/>
  <c r="OH23" i="2"/>
  <c r="O973" i="20"/>
  <c r="R972" i="20"/>
  <c r="Q972" i="20" s="1"/>
  <c r="P972" i="20" s="1"/>
  <c r="OG30" i="2"/>
  <c r="OG27" i="2"/>
  <c r="OG26" i="2"/>
  <c r="OG31" i="2"/>
  <c r="OG28" i="2"/>
  <c r="S973" i="20"/>
  <c r="OG29" i="2" l="1"/>
  <c r="OI23" i="2"/>
  <c r="O974" i="20"/>
  <c r="R973" i="20"/>
  <c r="Q973" i="20" s="1"/>
  <c r="P973" i="20" s="1"/>
  <c r="OH31" i="2"/>
  <c r="OH28" i="2"/>
  <c r="OH27" i="2"/>
  <c r="S974" i="20"/>
  <c r="OH26" i="2"/>
  <c r="OH30" i="2"/>
  <c r="OH29" i="2" l="1"/>
  <c r="OJ23" i="2"/>
  <c r="O975" i="20"/>
  <c r="R974" i="20"/>
  <c r="Q974" i="20" s="1"/>
  <c r="P974" i="20" s="1"/>
  <c r="OI26" i="2"/>
  <c r="OI31" i="2"/>
  <c r="OI30" i="2"/>
  <c r="OI27" i="2"/>
  <c r="OI28" i="2"/>
  <c r="S975" i="20"/>
  <c r="OI29" i="2" l="1"/>
  <c r="OK23" i="2"/>
  <c r="R975" i="20"/>
  <c r="Q975" i="20" s="1"/>
  <c r="P975" i="20" s="1"/>
  <c r="O976" i="20"/>
  <c r="OJ30" i="2"/>
  <c r="OJ31" i="2"/>
  <c r="OJ26" i="2"/>
  <c r="S976" i="20"/>
  <c r="OJ28" i="2"/>
  <c r="OJ27" i="2"/>
  <c r="OJ29" i="2" l="1"/>
  <c r="OL23" i="2"/>
  <c r="R976" i="20"/>
  <c r="Q976" i="20" s="1"/>
  <c r="P976" i="20" s="1"/>
  <c r="O977" i="20"/>
  <c r="OK28" i="2"/>
  <c r="OK30" i="2"/>
  <c r="OK27" i="2"/>
  <c r="S977" i="20"/>
  <c r="OK26" i="2"/>
  <c r="OK31" i="2"/>
  <c r="OK29" i="2" l="1"/>
  <c r="OM23" i="2"/>
  <c r="O978" i="20"/>
  <c r="R977" i="20"/>
  <c r="Q977" i="20" s="1"/>
  <c r="P977" i="20" s="1"/>
  <c r="OL31" i="2"/>
  <c r="OL27" i="2"/>
  <c r="OL26" i="2"/>
  <c r="OL28" i="2"/>
  <c r="S978" i="20"/>
  <c r="OL30" i="2"/>
  <c r="OL29" i="2" l="1"/>
  <c r="ON23" i="2"/>
  <c r="O979" i="20"/>
  <c r="R978" i="20"/>
  <c r="Q978" i="20" s="1"/>
  <c r="P978" i="20" s="1"/>
  <c r="OM26" i="2"/>
  <c r="OM30" i="2"/>
  <c r="OM31" i="2"/>
  <c r="S979" i="20"/>
  <c r="OM28" i="2"/>
  <c r="OM27" i="2"/>
  <c r="OM29" i="2" l="1"/>
  <c r="OO23" i="2"/>
  <c r="R979" i="20"/>
  <c r="Q979" i="20" s="1"/>
  <c r="P979" i="20" s="1"/>
  <c r="O980" i="20"/>
  <c r="ON30" i="2"/>
  <c r="ON31" i="2"/>
  <c r="S980" i="20"/>
  <c r="ON27" i="2"/>
  <c r="ON26" i="2"/>
  <c r="ON28" i="2"/>
  <c r="ON29" i="2" l="1"/>
  <c r="OP23" i="2"/>
  <c r="R980" i="20"/>
  <c r="Q980" i="20" s="1"/>
  <c r="P980" i="20" s="1"/>
  <c r="O981" i="20"/>
  <c r="OO27" i="2"/>
  <c r="OO28" i="2"/>
  <c r="OO30" i="2"/>
  <c r="OO31" i="2"/>
  <c r="S981" i="20"/>
  <c r="OO26" i="2"/>
  <c r="OO29" i="2" l="1"/>
  <c r="OQ23" i="2"/>
  <c r="R981" i="20"/>
  <c r="Q981" i="20" s="1"/>
  <c r="P981" i="20" s="1"/>
  <c r="O982" i="20"/>
  <c r="OP27" i="2"/>
  <c r="OP26" i="2"/>
  <c r="S982" i="20"/>
  <c r="OP31" i="2"/>
  <c r="OP28" i="2"/>
  <c r="OP30" i="2"/>
  <c r="OP29" i="2" l="1"/>
  <c r="OR23" i="2"/>
  <c r="O983" i="20"/>
  <c r="R982" i="20"/>
  <c r="Q982" i="20" s="1"/>
  <c r="P982" i="20" s="1"/>
  <c r="S983" i="20"/>
  <c r="OQ28" i="2"/>
  <c r="OQ27" i="2"/>
  <c r="OQ31" i="2"/>
  <c r="OQ26" i="2"/>
  <c r="OQ30" i="2"/>
  <c r="OQ29" i="2" l="1"/>
  <c r="OS23" i="2"/>
  <c r="O984" i="20"/>
  <c r="R983" i="20"/>
  <c r="Q983" i="20" s="1"/>
  <c r="P983" i="20" s="1"/>
  <c r="OR27" i="2"/>
  <c r="OR26" i="2"/>
  <c r="S984" i="20"/>
  <c r="OR30" i="2"/>
  <c r="OR28" i="2"/>
  <c r="OR31" i="2"/>
  <c r="OR29" i="2" l="1"/>
  <c r="OT23" i="2"/>
  <c r="O985" i="20"/>
  <c r="R984" i="20"/>
  <c r="Q984" i="20" s="1"/>
  <c r="P984" i="20" s="1"/>
  <c r="OS31" i="2"/>
  <c r="OS28" i="2"/>
  <c r="OS30" i="2"/>
  <c r="OS27" i="2"/>
  <c r="S985" i="20"/>
  <c r="OS26" i="2"/>
  <c r="OS29" i="2" l="1"/>
  <c r="OU23" i="2"/>
  <c r="R985" i="20"/>
  <c r="Q985" i="20" s="1"/>
  <c r="P985" i="20" s="1"/>
  <c r="O986" i="20"/>
  <c r="OT28" i="2"/>
  <c r="OT26" i="2"/>
  <c r="OT31" i="2"/>
  <c r="OT30" i="2"/>
  <c r="S986" i="20"/>
  <c r="OT27" i="2"/>
  <c r="OT29" i="2" l="1"/>
  <c r="OV23" i="2"/>
  <c r="O987" i="20"/>
  <c r="R986" i="20"/>
  <c r="Q986" i="20" s="1"/>
  <c r="P986" i="20" s="1"/>
  <c r="OU27" i="2"/>
  <c r="OU28" i="2"/>
  <c r="OU30" i="2"/>
  <c r="OU31" i="2"/>
  <c r="S987" i="20"/>
  <c r="OU26" i="2"/>
  <c r="OU29" i="2" l="1"/>
  <c r="OW23" i="2"/>
  <c r="O988" i="20"/>
  <c r="R987" i="20"/>
  <c r="Q987" i="20" s="1"/>
  <c r="P987" i="20" s="1"/>
  <c r="OV31" i="2"/>
  <c r="OV30" i="2"/>
  <c r="S988" i="20"/>
  <c r="OV28" i="2"/>
  <c r="OV26" i="2"/>
  <c r="OV27" i="2"/>
  <c r="OV29" i="2" l="1"/>
  <c r="OX23" i="2"/>
  <c r="O989" i="20"/>
  <c r="R988" i="20"/>
  <c r="Q988" i="20" s="1"/>
  <c r="P988" i="20" s="1"/>
  <c r="S989" i="20"/>
  <c r="OW27" i="2"/>
  <c r="OW30" i="2"/>
  <c r="OW26" i="2"/>
  <c r="OW31" i="2"/>
  <c r="OW28" i="2"/>
  <c r="OW29" i="2" l="1"/>
  <c r="OY23" i="2"/>
  <c r="O990" i="20"/>
  <c r="R989" i="20"/>
  <c r="Q989" i="20" s="1"/>
  <c r="P989" i="20" s="1"/>
  <c r="OX26" i="2"/>
  <c r="OX31" i="2"/>
  <c r="OX27" i="2"/>
  <c r="OX30" i="2"/>
  <c r="OX28" i="2"/>
  <c r="S990" i="20"/>
  <c r="OX29" i="2" l="1"/>
  <c r="OZ23" i="2"/>
  <c r="R990" i="20"/>
  <c r="Q990" i="20" s="1"/>
  <c r="P990" i="20" s="1"/>
  <c r="O991" i="20"/>
  <c r="OY26" i="2"/>
  <c r="OY28" i="2"/>
  <c r="OY30" i="2"/>
  <c r="OY31" i="2"/>
  <c r="OY27" i="2"/>
  <c r="S991" i="20"/>
  <c r="OY29" i="2" l="1"/>
  <c r="PA23" i="2"/>
  <c r="O992" i="20"/>
  <c r="R991" i="20"/>
  <c r="Q991" i="20" s="1"/>
  <c r="P991" i="20" s="1"/>
  <c r="OZ30" i="2"/>
  <c r="S992" i="20"/>
  <c r="OZ28" i="2"/>
  <c r="OZ26" i="2"/>
  <c r="OZ31" i="2"/>
  <c r="OZ27" i="2"/>
  <c r="OZ29" i="2" l="1"/>
  <c r="PB23" i="2"/>
  <c r="R992" i="20"/>
  <c r="Q992" i="20" s="1"/>
  <c r="P992" i="20" s="1"/>
  <c r="O993" i="20"/>
  <c r="PA26" i="2"/>
  <c r="PA28" i="2"/>
  <c r="PA30" i="2"/>
  <c r="PA27" i="2"/>
  <c r="S993" i="20"/>
  <c r="PA31" i="2"/>
  <c r="PA29" i="2" l="1"/>
  <c r="PC23" i="2"/>
  <c r="O994" i="20"/>
  <c r="R993" i="20"/>
  <c r="Q993" i="20" s="1"/>
  <c r="P993" i="20" s="1"/>
  <c r="PB27" i="2"/>
  <c r="PB31" i="2"/>
  <c r="PB30" i="2"/>
  <c r="S994" i="20"/>
  <c r="PB28" i="2"/>
  <c r="PB26" i="2"/>
  <c r="PB29" i="2" l="1"/>
  <c r="PD23" i="2"/>
  <c r="O995" i="20"/>
  <c r="R994" i="20"/>
  <c r="Q994" i="20" s="1"/>
  <c r="P994" i="20" s="1"/>
  <c r="PC31" i="2"/>
  <c r="PC28" i="2"/>
  <c r="PC27" i="2"/>
  <c r="PC26" i="2"/>
  <c r="PC30" i="2"/>
  <c r="S995" i="20"/>
  <c r="PC29" i="2" l="1"/>
  <c r="PE23" i="2"/>
  <c r="R995" i="20"/>
  <c r="Q995" i="20" s="1"/>
  <c r="P995" i="20" s="1"/>
  <c r="O996" i="20"/>
  <c r="PD31" i="2"/>
  <c r="PD26" i="2"/>
  <c r="PD27" i="2"/>
  <c r="S996" i="20"/>
  <c r="PD28" i="2"/>
  <c r="PD30" i="2"/>
  <c r="PD29" i="2" l="1"/>
  <c r="PF23" i="2"/>
  <c r="R996" i="20"/>
  <c r="Q996" i="20" s="1"/>
  <c r="P996" i="20" s="1"/>
  <c r="O997" i="20"/>
  <c r="PE27" i="2"/>
  <c r="PE31" i="2"/>
  <c r="PE30" i="2"/>
  <c r="PE28" i="2"/>
  <c r="S997" i="20"/>
  <c r="PE26" i="2"/>
  <c r="PE29" i="2" l="1"/>
  <c r="PG23" i="2"/>
  <c r="O998" i="20"/>
  <c r="R997" i="20"/>
  <c r="Q997" i="20" s="1"/>
  <c r="P997" i="20" s="1"/>
  <c r="PF30" i="2"/>
  <c r="PF31" i="2"/>
  <c r="PF26" i="2"/>
  <c r="S998" i="20"/>
  <c r="PF28" i="2"/>
  <c r="PF27" i="2"/>
  <c r="PF29" i="2" l="1"/>
  <c r="PH23" i="2"/>
  <c r="O999" i="20"/>
  <c r="R998" i="20"/>
  <c r="Q998" i="20" s="1"/>
  <c r="P998" i="20" s="1"/>
  <c r="PG30" i="2"/>
  <c r="PG26" i="2"/>
  <c r="PG31" i="2"/>
  <c r="PG28" i="2"/>
  <c r="S999" i="20"/>
  <c r="PG27" i="2"/>
  <c r="PG29" i="2" l="1"/>
  <c r="PI23" i="2"/>
  <c r="O1000" i="20"/>
  <c r="R999" i="20"/>
  <c r="Q999" i="20" s="1"/>
  <c r="P999" i="20" s="1"/>
  <c r="PH30" i="2"/>
  <c r="PH31" i="2"/>
  <c r="PH28" i="2"/>
  <c r="S1000" i="20"/>
  <c r="PH27" i="2"/>
  <c r="PH26" i="2"/>
  <c r="PH29" i="2" l="1"/>
  <c r="PJ23" i="2"/>
  <c r="R1000" i="20"/>
  <c r="Q1000" i="20" s="1"/>
  <c r="P1000" i="20" s="1"/>
  <c r="O1001" i="20"/>
  <c r="PI28" i="2"/>
  <c r="PI30" i="2"/>
  <c r="S1001" i="20"/>
  <c r="PI31" i="2"/>
  <c r="PI27" i="2"/>
  <c r="PI26" i="2"/>
  <c r="PI29" i="2" l="1"/>
  <c r="PK23" i="2"/>
  <c r="O1002" i="20"/>
  <c r="R1001" i="20"/>
  <c r="Q1001" i="20" s="1"/>
  <c r="P1001" i="20" s="1"/>
  <c r="PJ26" i="2"/>
  <c r="PJ28" i="2"/>
  <c r="PJ30" i="2"/>
  <c r="PJ31" i="2"/>
  <c r="PJ27" i="2"/>
  <c r="S1002" i="20"/>
  <c r="PJ29" i="2" l="1"/>
  <c r="PL23" i="2"/>
  <c r="R1002" i="20"/>
  <c r="Q1002" i="20" s="1"/>
  <c r="P1002" i="20" s="1"/>
  <c r="O1003" i="20"/>
  <c r="PK31" i="2"/>
  <c r="PK28" i="2"/>
  <c r="S1003" i="20"/>
  <c r="PK26" i="2"/>
  <c r="PK30" i="2"/>
  <c r="PK27" i="2"/>
  <c r="PK29" i="2" l="1"/>
  <c r="PM23" i="2"/>
  <c r="O1004" i="20"/>
  <c r="R1003" i="20"/>
  <c r="Q1003" i="20" s="1"/>
  <c r="P1003" i="20" s="1"/>
  <c r="PL31" i="2"/>
  <c r="PL26" i="2"/>
  <c r="S1004" i="20"/>
  <c r="PL28" i="2"/>
  <c r="PL27" i="2"/>
  <c r="PL30" i="2"/>
  <c r="PL29" i="2" l="1"/>
  <c r="PN23" i="2"/>
  <c r="O1005" i="20"/>
  <c r="R1004" i="20"/>
  <c r="Q1004" i="20" s="1"/>
  <c r="P1004" i="20" s="1"/>
  <c r="PM30" i="2"/>
  <c r="PM27" i="2"/>
  <c r="S1005" i="20"/>
  <c r="PM28" i="2"/>
  <c r="PM31" i="2"/>
  <c r="PM26" i="2"/>
  <c r="PM29" i="2" l="1"/>
  <c r="PO23" i="2"/>
  <c r="O1006" i="20"/>
  <c r="R1005" i="20"/>
  <c r="Q1005" i="20" s="1"/>
  <c r="P1005" i="20" s="1"/>
  <c r="PN28" i="2"/>
  <c r="PN26" i="2"/>
  <c r="S1006" i="20"/>
  <c r="PN27" i="2"/>
  <c r="PN31" i="2"/>
  <c r="PN30" i="2"/>
  <c r="PN29" i="2" l="1"/>
  <c r="PP23" i="2"/>
  <c r="O1007" i="20"/>
  <c r="R1006" i="20"/>
  <c r="Q1006" i="20" s="1"/>
  <c r="P1006" i="20" s="1"/>
  <c r="PO27" i="2"/>
  <c r="PO26" i="2"/>
  <c r="PO28" i="2"/>
  <c r="PO30" i="2"/>
  <c r="S1007" i="20"/>
  <c r="PO31" i="2"/>
  <c r="PO29" i="2" l="1"/>
  <c r="PQ23" i="2"/>
  <c r="O1008" i="20"/>
  <c r="R1007" i="20"/>
  <c r="Q1007" i="20" s="1"/>
  <c r="P1007" i="20" s="1"/>
  <c r="PP30" i="2"/>
  <c r="S1008" i="20"/>
  <c r="PP28" i="2"/>
  <c r="PP27" i="2"/>
  <c r="PP31" i="2"/>
  <c r="PP26" i="2"/>
  <c r="PP29" i="2" l="1"/>
  <c r="PR23" i="2"/>
  <c r="O1009" i="20"/>
  <c r="R1008" i="20"/>
  <c r="PQ30" i="2"/>
  <c r="PQ27" i="2"/>
  <c r="PQ31" i="2"/>
  <c r="PQ26" i="2"/>
  <c r="PQ28" i="2"/>
  <c r="S1009" i="20"/>
  <c r="PQ29" i="2" l="1"/>
  <c r="PS23" i="2"/>
  <c r="Q1008" i="20"/>
  <c r="P1008" i="20" s="1"/>
  <c r="O1010" i="20"/>
  <c r="R1009" i="20"/>
  <c r="Q1009" i="20" s="1"/>
  <c r="P1009" i="20" s="1"/>
  <c r="PR26" i="2"/>
  <c r="PR27" i="2"/>
  <c r="PR31" i="2"/>
  <c r="PR28" i="2"/>
  <c r="S1010" i="20"/>
  <c r="PR30" i="2"/>
  <c r="PR29" i="2" l="1"/>
  <c r="PT23" i="2"/>
  <c r="O1011" i="20"/>
  <c r="R1010" i="20"/>
  <c r="Q1010" i="20" s="1"/>
  <c r="P1010" i="20" s="1"/>
  <c r="PS30" i="2"/>
  <c r="PS26" i="2"/>
  <c r="S1011" i="20"/>
  <c r="PS31" i="2"/>
  <c r="PS27" i="2"/>
  <c r="PS28" i="2"/>
  <c r="PS29" i="2" l="1"/>
  <c r="PU23" i="2"/>
  <c r="O1012" i="20"/>
  <c r="R1011" i="20"/>
  <c r="Q1011" i="20" s="1"/>
  <c r="P1011" i="20" s="1"/>
  <c r="PT28" i="2"/>
  <c r="PT26" i="2"/>
  <c r="S1012" i="20"/>
  <c r="PT27" i="2"/>
  <c r="PT30" i="2"/>
  <c r="PT31" i="2"/>
  <c r="PT29" i="2" l="1"/>
  <c r="PV23" i="2"/>
  <c r="O1013" i="20"/>
  <c r="R1012" i="20"/>
  <c r="Q1012" i="20" s="1"/>
  <c r="P1012" i="20" s="1"/>
  <c r="PU26" i="2"/>
  <c r="PU27" i="2"/>
  <c r="PU30" i="2"/>
  <c r="PU28" i="2"/>
  <c r="S1013" i="20"/>
  <c r="PU31" i="2"/>
  <c r="PU29" i="2" l="1"/>
  <c r="PW23" i="2"/>
  <c r="O1014" i="20"/>
  <c r="R1013" i="20"/>
  <c r="Q1013" i="20" s="1"/>
  <c r="P1013" i="20" s="1"/>
  <c r="PV27" i="2"/>
  <c r="PV28" i="2"/>
  <c r="PV31" i="2"/>
  <c r="S1014" i="20"/>
  <c r="PV26" i="2"/>
  <c r="PV30" i="2"/>
  <c r="PV29" i="2" l="1"/>
  <c r="PX23" i="2"/>
  <c r="O1015" i="20"/>
  <c r="R1014" i="20"/>
  <c r="Q1014" i="20" s="1"/>
  <c r="P1014" i="20" s="1"/>
  <c r="PW27" i="2"/>
  <c r="PW28" i="2"/>
  <c r="PW31" i="2"/>
  <c r="PW30" i="2"/>
  <c r="S1015" i="20"/>
  <c r="PW26" i="2"/>
  <c r="PW29" i="2" l="1"/>
  <c r="PY23" i="2"/>
  <c r="O1016" i="20"/>
  <c r="R1015" i="20"/>
  <c r="Q1015" i="20" s="1"/>
  <c r="P1015" i="20" s="1"/>
  <c r="PX30" i="2"/>
  <c r="PX31" i="2"/>
  <c r="S1016" i="20"/>
  <c r="PX26" i="2"/>
  <c r="PX28" i="2"/>
  <c r="PX27" i="2"/>
  <c r="PX29" i="2" l="1"/>
  <c r="PZ23" i="2"/>
  <c r="R1016" i="20"/>
  <c r="Q1016" i="20" s="1"/>
  <c r="P1016" i="20" s="1"/>
  <c r="O1017" i="20"/>
  <c r="PY26" i="2"/>
  <c r="PY30" i="2"/>
  <c r="S1017" i="20"/>
  <c r="PY27" i="2"/>
  <c r="PY31" i="2"/>
  <c r="PY28" i="2"/>
  <c r="PY29" i="2" l="1"/>
  <c r="QA23" i="2"/>
  <c r="O1018" i="20"/>
  <c r="R1017" i="20"/>
  <c r="Q1017" i="20" s="1"/>
  <c r="P1017" i="20" s="1"/>
  <c r="PZ27" i="2"/>
  <c r="PZ30" i="2"/>
  <c r="PZ26" i="2"/>
  <c r="PZ31" i="2"/>
  <c r="S1018" i="20"/>
  <c r="PZ28" i="2"/>
  <c r="PZ29" i="2" l="1"/>
  <c r="QB23" i="2"/>
  <c r="R1018" i="20"/>
  <c r="Q1018" i="20" s="1"/>
  <c r="P1018" i="20" s="1"/>
  <c r="O1019" i="20"/>
  <c r="QA26" i="2"/>
  <c r="QA31" i="2"/>
  <c r="QA27" i="2"/>
  <c r="QA28" i="2"/>
  <c r="S1019" i="20"/>
  <c r="QA30" i="2"/>
  <c r="QA29" i="2" l="1"/>
  <c r="QC23" i="2"/>
  <c r="R1019" i="20"/>
  <c r="Q1019" i="20" s="1"/>
  <c r="P1019" i="20" s="1"/>
  <c r="O1020" i="20"/>
  <c r="QB31" i="2"/>
  <c r="S1020" i="20"/>
  <c r="QB30" i="2"/>
  <c r="QB26" i="2"/>
  <c r="QB27" i="2"/>
  <c r="QB28" i="2"/>
  <c r="QB29" i="2" l="1"/>
  <c r="QD23" i="2"/>
  <c r="O1021" i="20"/>
  <c r="R1020" i="20"/>
  <c r="Q1020" i="20" s="1"/>
  <c r="P1020" i="20" s="1"/>
  <c r="QC27" i="2"/>
  <c r="QC26" i="2"/>
  <c r="QC30" i="2"/>
  <c r="QC28" i="2"/>
  <c r="QC31" i="2"/>
  <c r="S1021" i="20"/>
  <c r="QC29" i="2" l="1"/>
  <c r="QE23" i="2"/>
  <c r="O1022" i="20"/>
  <c r="R1021" i="20"/>
  <c r="Q1021" i="20" s="1"/>
  <c r="P1021" i="20" s="1"/>
  <c r="QD26" i="2"/>
  <c r="QD31" i="2"/>
  <c r="QD30" i="2"/>
  <c r="QD28" i="2"/>
  <c r="S1022" i="20"/>
  <c r="QD27" i="2"/>
  <c r="QD29" i="2" l="1"/>
  <c r="QF23" i="2"/>
  <c r="O1023" i="20"/>
  <c r="R1022" i="20"/>
  <c r="Q1022" i="20" s="1"/>
  <c r="P1022" i="20" s="1"/>
  <c r="QE27" i="2"/>
  <c r="QE28" i="2"/>
  <c r="S1023" i="20"/>
  <c r="QE31" i="2"/>
  <c r="QE30" i="2"/>
  <c r="QE26" i="2"/>
  <c r="QE29" i="2" l="1"/>
  <c r="QG23" i="2"/>
  <c r="O1024" i="20"/>
  <c r="R1023" i="20"/>
  <c r="Q1023" i="20" s="1"/>
  <c r="P1023" i="20" s="1"/>
  <c r="QF27" i="2"/>
  <c r="S1024" i="20"/>
  <c r="QF26" i="2"/>
  <c r="QF31" i="2"/>
  <c r="QF28" i="2"/>
  <c r="QF30" i="2"/>
  <c r="QF29" i="2" l="1"/>
  <c r="QH23" i="2"/>
  <c r="R1024" i="20"/>
  <c r="Q1024" i="20" s="1"/>
  <c r="P1024" i="20" s="1"/>
  <c r="O1025" i="20"/>
  <c r="QG31" i="2"/>
  <c r="QG27" i="2"/>
  <c r="QG26" i="2"/>
  <c r="S1025" i="20"/>
  <c r="QG28" i="2"/>
  <c r="QG30" i="2"/>
  <c r="QG29" i="2" l="1"/>
  <c r="QI23" i="2"/>
  <c r="O1026" i="20"/>
  <c r="R1025" i="20"/>
  <c r="Q1025" i="20" s="1"/>
  <c r="P1025" i="20" s="1"/>
  <c r="QH28" i="2"/>
  <c r="QH27" i="2"/>
  <c r="QH26" i="2"/>
  <c r="QH31" i="2"/>
  <c r="QH30" i="2"/>
  <c r="S1026" i="20"/>
  <c r="QH29" i="2" l="1"/>
  <c r="QJ23" i="2"/>
  <c r="O1027" i="20"/>
  <c r="R1026" i="20"/>
  <c r="QI30" i="2"/>
  <c r="QI27" i="2"/>
  <c r="QI28" i="2"/>
  <c r="S1027" i="20"/>
  <c r="QI26" i="2"/>
  <c r="QI31" i="2"/>
  <c r="QI29" i="2" l="1"/>
  <c r="QK23" i="2"/>
  <c r="Q1026" i="20"/>
  <c r="P1026" i="20" s="1"/>
  <c r="R1027" i="20"/>
  <c r="Q1027" i="20" s="1"/>
  <c r="P1027" i="20" s="1"/>
  <c r="O1028" i="20"/>
  <c r="QJ28" i="2"/>
  <c r="QJ30" i="2"/>
  <c r="QJ31" i="2"/>
  <c r="S1028" i="20"/>
  <c r="QJ26" i="2"/>
  <c r="QJ27" i="2"/>
  <c r="QJ29" i="2" l="1"/>
  <c r="QL23" i="2"/>
  <c r="O1029" i="20"/>
  <c r="R1028" i="20"/>
  <c r="Q1028" i="20" s="1"/>
  <c r="P1028" i="20" s="1"/>
  <c r="QK26" i="2"/>
  <c r="S1029" i="20"/>
  <c r="QK31" i="2"/>
  <c r="QK27" i="2"/>
  <c r="QK30" i="2"/>
  <c r="QK28" i="2"/>
  <c r="QK29" i="2" l="1"/>
  <c r="QM23" i="2"/>
  <c r="O1030" i="20"/>
  <c r="R1029" i="20"/>
  <c r="Q1029" i="20" s="1"/>
  <c r="P1029" i="20" s="1"/>
  <c r="QL31" i="2"/>
  <c r="QL27" i="2"/>
  <c r="QL28" i="2"/>
  <c r="S1030" i="20"/>
  <c r="QL26" i="2"/>
  <c r="QL30" i="2"/>
  <c r="QL29" i="2" l="1"/>
  <c r="QN23" i="2"/>
  <c r="R1030" i="20"/>
  <c r="Q1030" i="20" s="1"/>
  <c r="P1030" i="20" s="1"/>
  <c r="O1031" i="20"/>
  <c r="S1031" i="20"/>
  <c r="QM28" i="2"/>
  <c r="QM30" i="2"/>
  <c r="QM27" i="2"/>
  <c r="QM26" i="2"/>
  <c r="QM31" i="2"/>
  <c r="QM29" i="2" l="1"/>
  <c r="QO23" i="2"/>
  <c r="R1031" i="20"/>
  <c r="Q1031" i="20" s="1"/>
  <c r="P1031" i="20" s="1"/>
  <c r="O1032" i="20"/>
  <c r="QN26" i="2"/>
  <c r="QN31" i="2"/>
  <c r="QN28" i="2"/>
  <c r="QN30" i="2"/>
  <c r="QN27" i="2"/>
  <c r="S1032" i="20"/>
  <c r="QN29" i="2" l="1"/>
  <c r="QP23" i="2"/>
  <c r="R1032" i="20"/>
  <c r="Q1032" i="20" s="1"/>
  <c r="P1032" i="20" s="1"/>
  <c r="O1033" i="20"/>
  <c r="QO30" i="2"/>
  <c r="QO26" i="2"/>
  <c r="QO27" i="2"/>
  <c r="S1033" i="20"/>
  <c r="QO28" i="2"/>
  <c r="QO31" i="2"/>
  <c r="QO29" i="2" l="1"/>
  <c r="QQ23" i="2"/>
  <c r="O1034" i="20"/>
  <c r="R1033" i="20"/>
  <c r="Q1033" i="20" s="1"/>
  <c r="P1033" i="20" s="1"/>
  <c r="S1034" i="20"/>
  <c r="QP26" i="2"/>
  <c r="QP27" i="2"/>
  <c r="QP31" i="2"/>
  <c r="QP30" i="2"/>
  <c r="QP28" i="2"/>
  <c r="QP29" i="2" l="1"/>
  <c r="QR23" i="2"/>
  <c r="R1034" i="20"/>
  <c r="Q1034" i="20" s="1"/>
  <c r="P1034" i="20" s="1"/>
  <c r="O1035" i="20"/>
  <c r="QQ26" i="2"/>
  <c r="QQ27" i="2"/>
  <c r="QQ28" i="2"/>
  <c r="S1035" i="20"/>
  <c r="QQ30" i="2"/>
  <c r="QQ31" i="2"/>
  <c r="QQ29" i="2" l="1"/>
  <c r="QS23" i="2"/>
  <c r="R1035" i="20"/>
  <c r="Q1035" i="20" s="1"/>
  <c r="P1035" i="20" s="1"/>
  <c r="O1036" i="20"/>
  <c r="QR27" i="2"/>
  <c r="QR31" i="2"/>
  <c r="QR28" i="2"/>
  <c r="QR26" i="2"/>
  <c r="QR30" i="2"/>
  <c r="S1036" i="20"/>
  <c r="QR29" i="2" l="1"/>
  <c r="QT23" i="2"/>
  <c r="R1036" i="20"/>
  <c r="Q1036" i="20" s="1"/>
  <c r="P1036" i="20" s="1"/>
  <c r="O1037" i="20"/>
  <c r="QS28" i="2"/>
  <c r="QS26" i="2"/>
  <c r="S1037" i="20"/>
  <c r="QS27" i="2"/>
  <c r="QS30" i="2"/>
  <c r="QS31" i="2"/>
  <c r="QS29" i="2" l="1"/>
  <c r="QU23" i="2"/>
  <c r="R1037" i="20"/>
  <c r="Q1037" i="20" s="1"/>
  <c r="P1037" i="20" s="1"/>
  <c r="O1038" i="20"/>
  <c r="QT28" i="2"/>
  <c r="QT26" i="2"/>
  <c r="QT30" i="2"/>
  <c r="QT27" i="2"/>
  <c r="QT31" i="2"/>
  <c r="S1038" i="20"/>
  <c r="QT29" i="2" l="1"/>
  <c r="QV23" i="2"/>
  <c r="R1038" i="20"/>
  <c r="O1039" i="20"/>
  <c r="QU27" i="2"/>
  <c r="QU26" i="2"/>
  <c r="S1039" i="20"/>
  <c r="QU30" i="2"/>
  <c r="QU31" i="2"/>
  <c r="QU28" i="2"/>
  <c r="QU29" i="2" l="1"/>
  <c r="QW23" i="2"/>
  <c r="R1039" i="20"/>
  <c r="Q1039" i="20" s="1"/>
  <c r="P1039" i="20" s="1"/>
  <c r="O1040" i="20"/>
  <c r="Q1038" i="20"/>
  <c r="P1038" i="20" s="1"/>
  <c r="QV26" i="2"/>
  <c r="QV27" i="2"/>
  <c r="QV30" i="2"/>
  <c r="QV28" i="2"/>
  <c r="QV31" i="2"/>
  <c r="S1040" i="20"/>
  <c r="QV29" i="2" l="1"/>
  <c r="QX23" i="2"/>
  <c r="R1040" i="20"/>
  <c r="Q1040" i="20" s="1"/>
  <c r="P1040" i="20" s="1"/>
  <c r="O1041" i="20"/>
  <c r="QW31" i="2"/>
  <c r="QW30" i="2"/>
  <c r="QW28" i="2"/>
  <c r="QW27" i="2"/>
  <c r="S1041" i="20"/>
  <c r="QW26" i="2"/>
  <c r="QW29" i="2" l="1"/>
  <c r="QY23" i="2"/>
  <c r="R1041" i="20"/>
  <c r="Q1041" i="20" s="1"/>
  <c r="P1041" i="20" s="1"/>
  <c r="O1042" i="20"/>
  <c r="QX31" i="2"/>
  <c r="QX28" i="2"/>
  <c r="S1042" i="20"/>
  <c r="QX26" i="2"/>
  <c r="QX27" i="2"/>
  <c r="QX30" i="2"/>
  <c r="QX29" i="2" l="1"/>
  <c r="QZ23" i="2"/>
  <c r="R1042" i="20"/>
  <c r="Q1042" i="20" s="1"/>
  <c r="P1042" i="20" s="1"/>
  <c r="O1043" i="20"/>
  <c r="QY28" i="2"/>
  <c r="QY26" i="2"/>
  <c r="QY27" i="2"/>
  <c r="QY30" i="2"/>
  <c r="QY31" i="2"/>
  <c r="S1043" i="20"/>
  <c r="QY29" i="2" l="1"/>
  <c r="RA23" i="2"/>
  <c r="O1044" i="20"/>
  <c r="R1043" i="20"/>
  <c r="Q1043" i="20" s="1"/>
  <c r="P1043" i="20" s="1"/>
  <c r="QZ30" i="2"/>
  <c r="QZ28" i="2"/>
  <c r="QZ26" i="2"/>
  <c r="S1044" i="20"/>
  <c r="QZ27" i="2"/>
  <c r="QZ31" i="2"/>
  <c r="QZ29" i="2" l="1"/>
  <c r="RB32" i="2"/>
  <c r="RB23" i="2"/>
  <c r="DJ34" i="2" s="1"/>
  <c r="O1045" i="20"/>
  <c r="R1044" i="20"/>
  <c r="Q1044" i="20" s="1"/>
  <c r="P1044" i="20" s="1"/>
  <c r="S1045" i="20"/>
  <c r="DJ33" i="2" l="1"/>
  <c r="DK33" i="2" s="1"/>
  <c r="DL33" i="2" s="1"/>
  <c r="DM33" i="2" s="1"/>
  <c r="DN33" i="2" s="1"/>
  <c r="DO33" i="2" s="1"/>
  <c r="DP33" i="2" s="1"/>
  <c r="DQ33" i="2" s="1"/>
  <c r="DR33" i="2" s="1"/>
  <c r="DS33" i="2" s="1"/>
  <c r="DT33" i="2" s="1"/>
  <c r="DU33" i="2" s="1"/>
  <c r="DV33" i="2" s="1"/>
  <c r="DW33" i="2" s="1"/>
  <c r="DX33" i="2" s="1"/>
  <c r="DY33" i="2" s="1"/>
  <c r="DZ33" i="2" s="1"/>
  <c r="EA33" i="2" s="1"/>
  <c r="EB33" i="2" s="1"/>
  <c r="EC33" i="2" s="1"/>
  <c r="ED33" i="2" s="1"/>
  <c r="EE33" i="2" s="1"/>
  <c r="EF33" i="2" s="1"/>
  <c r="EG33" i="2" s="1"/>
  <c r="EH33" i="2" s="1"/>
  <c r="EI33" i="2" s="1"/>
  <c r="EJ33" i="2" s="1"/>
  <c r="EK33" i="2" s="1"/>
  <c r="EL33" i="2" s="1"/>
  <c r="EM33" i="2" s="1"/>
  <c r="EN33" i="2" s="1"/>
  <c r="EO33" i="2" s="1"/>
  <c r="EP33" i="2" s="1"/>
  <c r="EQ33" i="2" s="1"/>
  <c r="ER33" i="2" s="1"/>
  <c r="ES33" i="2" s="1"/>
  <c r="ET33" i="2" s="1"/>
  <c r="EU33" i="2" s="1"/>
  <c r="EV33" i="2" s="1"/>
  <c r="EW33" i="2" s="1"/>
  <c r="EX33" i="2" s="1"/>
  <c r="EY33" i="2" s="1"/>
  <c r="EZ33" i="2" s="1"/>
  <c r="FA33" i="2" s="1"/>
  <c r="FB33" i="2" s="1"/>
  <c r="FC33" i="2" s="1"/>
  <c r="FD33" i="2" s="1"/>
  <c r="FE33" i="2" s="1"/>
  <c r="FF33" i="2" s="1"/>
  <c r="FG33" i="2" s="1"/>
  <c r="FH33" i="2" s="1"/>
  <c r="FI33" i="2" s="1"/>
  <c r="FJ33" i="2" s="1"/>
  <c r="FK33" i="2" s="1"/>
  <c r="FL33" i="2" s="1"/>
  <c r="FM33" i="2" s="1"/>
  <c r="FN33" i="2" s="1"/>
  <c r="FO33" i="2" s="1"/>
  <c r="FP33" i="2" s="1"/>
  <c r="FQ33" i="2" s="1"/>
  <c r="FR33" i="2" s="1"/>
  <c r="FS33" i="2" s="1"/>
  <c r="FT33" i="2" s="1"/>
  <c r="FU33" i="2" s="1"/>
  <c r="FV33" i="2" s="1"/>
  <c r="FW33" i="2" s="1"/>
  <c r="FX33" i="2" s="1"/>
  <c r="FY33" i="2" s="1"/>
  <c r="FZ33" i="2" s="1"/>
  <c r="GA33" i="2" s="1"/>
  <c r="GB33" i="2" s="1"/>
  <c r="GC33" i="2" s="1"/>
  <c r="GD33" i="2" s="1"/>
  <c r="GE33" i="2" s="1"/>
  <c r="GF33" i="2" s="1"/>
  <c r="GG33" i="2" s="1"/>
  <c r="GH33" i="2" s="1"/>
  <c r="GI33" i="2" s="1"/>
  <c r="GJ33" i="2" s="1"/>
  <c r="GK33" i="2" s="1"/>
  <c r="GL33" i="2" s="1"/>
  <c r="GM33" i="2" s="1"/>
  <c r="GN33" i="2" s="1"/>
  <c r="GO33" i="2" s="1"/>
  <c r="GP33" i="2" s="1"/>
  <c r="GQ33" i="2" s="1"/>
  <c r="GR33" i="2" s="1"/>
  <c r="GS33" i="2" s="1"/>
  <c r="GT33" i="2" s="1"/>
  <c r="GU33" i="2" s="1"/>
  <c r="GV33" i="2" s="1"/>
  <c r="GW33" i="2" s="1"/>
  <c r="GX33" i="2" s="1"/>
  <c r="GY33" i="2" s="1"/>
  <c r="GZ33" i="2" s="1"/>
  <c r="HA33" i="2" s="1"/>
  <c r="HB33" i="2" s="1"/>
  <c r="HC33" i="2" s="1"/>
  <c r="HD33" i="2" s="1"/>
  <c r="HE33" i="2" s="1"/>
  <c r="HF33" i="2" s="1"/>
  <c r="HG33" i="2" s="1"/>
  <c r="HH33" i="2" s="1"/>
  <c r="HI33" i="2" s="1"/>
  <c r="HJ33" i="2" s="1"/>
  <c r="HK33" i="2" s="1"/>
  <c r="HL33" i="2" s="1"/>
  <c r="HM33" i="2" s="1"/>
  <c r="HN33" i="2" s="1"/>
  <c r="HO33" i="2" s="1"/>
  <c r="HP33" i="2" s="1"/>
  <c r="HQ33" i="2" s="1"/>
  <c r="HR33" i="2" s="1"/>
  <c r="HS33" i="2" s="1"/>
  <c r="HT33" i="2" s="1"/>
  <c r="HU33" i="2" s="1"/>
  <c r="HV33" i="2" s="1"/>
  <c r="HW33" i="2" s="1"/>
  <c r="HX33" i="2" s="1"/>
  <c r="HY33" i="2" s="1"/>
  <c r="HZ33" i="2" s="1"/>
  <c r="IA33" i="2" s="1"/>
  <c r="IB33" i="2" s="1"/>
  <c r="IC33" i="2" s="1"/>
  <c r="ID33" i="2" s="1"/>
  <c r="IE33" i="2" s="1"/>
  <c r="IF33" i="2" s="1"/>
  <c r="IG33" i="2" s="1"/>
  <c r="IH33" i="2" s="1"/>
  <c r="II33" i="2" s="1"/>
  <c r="IJ33" i="2" s="1"/>
  <c r="IK33" i="2" s="1"/>
  <c r="IL33" i="2" s="1"/>
  <c r="IM33" i="2" s="1"/>
  <c r="IN33" i="2" s="1"/>
  <c r="IO33" i="2" s="1"/>
  <c r="IP33" i="2" s="1"/>
  <c r="IQ33" i="2" s="1"/>
  <c r="IR33" i="2" s="1"/>
  <c r="IS33" i="2" s="1"/>
  <c r="IT33" i="2" s="1"/>
  <c r="IU33" i="2" s="1"/>
  <c r="IV33" i="2" s="1"/>
  <c r="IW33" i="2" s="1"/>
  <c r="IX33" i="2" s="1"/>
  <c r="IY33" i="2" s="1"/>
  <c r="IZ33" i="2" s="1"/>
  <c r="JA33" i="2" s="1"/>
  <c r="JB33" i="2" s="1"/>
  <c r="JC33" i="2" s="1"/>
  <c r="JD33" i="2" s="1"/>
  <c r="JE33" i="2" s="1"/>
  <c r="JF33" i="2" s="1"/>
  <c r="JG33" i="2" s="1"/>
  <c r="JH33" i="2" s="1"/>
  <c r="JI33" i="2" s="1"/>
  <c r="JJ33" i="2" s="1"/>
  <c r="JK33" i="2" s="1"/>
  <c r="JL33" i="2" s="1"/>
  <c r="JM33" i="2" s="1"/>
  <c r="JN33" i="2" s="1"/>
  <c r="JO33" i="2" s="1"/>
  <c r="JP33" i="2" s="1"/>
  <c r="JQ33" i="2" s="1"/>
  <c r="JR33" i="2" s="1"/>
  <c r="JS33" i="2" s="1"/>
  <c r="JT33" i="2" s="1"/>
  <c r="JU33" i="2" s="1"/>
  <c r="JV33" i="2" s="1"/>
  <c r="JW33" i="2" s="1"/>
  <c r="JX33" i="2" s="1"/>
  <c r="JY33" i="2" s="1"/>
  <c r="JZ33" i="2" s="1"/>
  <c r="KA33" i="2" s="1"/>
  <c r="KB33" i="2" s="1"/>
  <c r="KC33" i="2" s="1"/>
  <c r="KD33" i="2" s="1"/>
  <c r="KE33" i="2" s="1"/>
  <c r="KF33" i="2" s="1"/>
  <c r="KG33" i="2" s="1"/>
  <c r="KH33" i="2" s="1"/>
  <c r="KI33" i="2" s="1"/>
  <c r="KJ33" i="2" s="1"/>
  <c r="KK33" i="2" s="1"/>
  <c r="KL33" i="2" s="1"/>
  <c r="KM33" i="2" s="1"/>
  <c r="KN33" i="2" s="1"/>
  <c r="KO33" i="2" s="1"/>
  <c r="KP33" i="2" s="1"/>
  <c r="KQ33" i="2" s="1"/>
  <c r="KR33" i="2" s="1"/>
  <c r="KS33" i="2" s="1"/>
  <c r="KT33" i="2" s="1"/>
  <c r="KU33" i="2" s="1"/>
  <c r="KV33" i="2" s="1"/>
  <c r="KW33" i="2" s="1"/>
  <c r="KX33" i="2" s="1"/>
  <c r="KY33" i="2" s="1"/>
  <c r="KZ33" i="2" s="1"/>
  <c r="LA33" i="2" s="1"/>
  <c r="LB33" i="2" s="1"/>
  <c r="LC33" i="2" s="1"/>
  <c r="LD33" i="2" s="1"/>
  <c r="LE33" i="2" s="1"/>
  <c r="LF33" i="2" s="1"/>
  <c r="LG33" i="2" s="1"/>
  <c r="LH33" i="2" s="1"/>
  <c r="LI33" i="2" s="1"/>
  <c r="LJ33" i="2" s="1"/>
  <c r="LK33" i="2" s="1"/>
  <c r="LL33" i="2" s="1"/>
  <c r="LM33" i="2" s="1"/>
  <c r="LN33" i="2" s="1"/>
  <c r="LO33" i="2" s="1"/>
  <c r="LP33" i="2" s="1"/>
  <c r="LQ33" i="2" s="1"/>
  <c r="LR33" i="2" s="1"/>
  <c r="LS33" i="2" s="1"/>
  <c r="LT33" i="2" s="1"/>
  <c r="LU33" i="2" s="1"/>
  <c r="LV33" i="2" s="1"/>
  <c r="LW33" i="2" s="1"/>
  <c r="LX33" i="2" s="1"/>
  <c r="LY33" i="2" s="1"/>
  <c r="LZ33" i="2" s="1"/>
  <c r="MA33" i="2" s="1"/>
  <c r="MB33" i="2" s="1"/>
  <c r="MC33" i="2" s="1"/>
  <c r="MD33" i="2" s="1"/>
  <c r="ME33" i="2" s="1"/>
  <c r="MF33" i="2" s="1"/>
  <c r="MG33" i="2" s="1"/>
  <c r="MH33" i="2" s="1"/>
  <c r="MI33" i="2" s="1"/>
  <c r="MJ33" i="2" s="1"/>
  <c r="MK33" i="2" s="1"/>
  <c r="ML33" i="2" s="1"/>
  <c r="MM33" i="2" s="1"/>
  <c r="MN33" i="2" s="1"/>
  <c r="MO33" i="2" s="1"/>
  <c r="MP33" i="2" s="1"/>
  <c r="MQ33" i="2" s="1"/>
  <c r="MR33" i="2" s="1"/>
  <c r="MS33" i="2" s="1"/>
  <c r="MT33" i="2" s="1"/>
  <c r="MU33" i="2" s="1"/>
  <c r="MV33" i="2" s="1"/>
  <c r="MW33" i="2" s="1"/>
  <c r="MX33" i="2" s="1"/>
  <c r="MY33" i="2" s="1"/>
  <c r="MZ33" i="2" s="1"/>
  <c r="NA33" i="2" s="1"/>
  <c r="NB33" i="2" s="1"/>
  <c r="NC33" i="2" s="1"/>
  <c r="ND33" i="2" s="1"/>
  <c r="NE33" i="2" s="1"/>
  <c r="NF33" i="2" s="1"/>
  <c r="NG33" i="2" s="1"/>
  <c r="NH33" i="2" s="1"/>
  <c r="NI33" i="2" s="1"/>
  <c r="NJ33" i="2" s="1"/>
  <c r="NK33" i="2" s="1"/>
  <c r="NL33" i="2" s="1"/>
  <c r="NM33" i="2" s="1"/>
  <c r="NN33" i="2" s="1"/>
  <c r="NO33" i="2" s="1"/>
  <c r="NP33" i="2" s="1"/>
  <c r="NQ33" i="2" s="1"/>
  <c r="NR33" i="2" s="1"/>
  <c r="NS33" i="2" s="1"/>
  <c r="NT33" i="2" s="1"/>
  <c r="NU33" i="2" s="1"/>
  <c r="NV33" i="2" s="1"/>
  <c r="NW33" i="2" s="1"/>
  <c r="NX33" i="2" s="1"/>
  <c r="NY33" i="2" s="1"/>
  <c r="NZ33" i="2" s="1"/>
  <c r="OA33" i="2" s="1"/>
  <c r="OB33" i="2" s="1"/>
  <c r="OC33" i="2" s="1"/>
  <c r="OD33" i="2" s="1"/>
  <c r="OE33" i="2" s="1"/>
  <c r="OF33" i="2" s="1"/>
  <c r="OG33" i="2" s="1"/>
  <c r="OH33" i="2" s="1"/>
  <c r="OI33" i="2" s="1"/>
  <c r="OJ33" i="2" s="1"/>
  <c r="OK33" i="2" s="1"/>
  <c r="OL33" i="2" s="1"/>
  <c r="OM33" i="2" s="1"/>
  <c r="ON33" i="2" s="1"/>
  <c r="OO33" i="2" s="1"/>
  <c r="OP33" i="2" s="1"/>
  <c r="OQ33" i="2" s="1"/>
  <c r="OR33" i="2" s="1"/>
  <c r="OS33" i="2" s="1"/>
  <c r="OT33" i="2" s="1"/>
  <c r="OU33" i="2" s="1"/>
  <c r="OV33" i="2" s="1"/>
  <c r="OW33" i="2" s="1"/>
  <c r="OX33" i="2" s="1"/>
  <c r="OY33" i="2" s="1"/>
  <c r="OZ33" i="2" s="1"/>
  <c r="PA33" i="2" s="1"/>
  <c r="PB33" i="2" s="1"/>
  <c r="PC33" i="2" s="1"/>
  <c r="PD33" i="2" s="1"/>
  <c r="PE33" i="2" s="1"/>
  <c r="PF33" i="2" s="1"/>
  <c r="PG33" i="2" s="1"/>
  <c r="PH33" i="2" s="1"/>
  <c r="PI33" i="2" s="1"/>
  <c r="PJ33" i="2" s="1"/>
  <c r="PK33" i="2" s="1"/>
  <c r="PL33" i="2" s="1"/>
  <c r="PM33" i="2" s="1"/>
  <c r="PN33" i="2" s="1"/>
  <c r="PO33" i="2" s="1"/>
  <c r="PP33" i="2" s="1"/>
  <c r="PQ33" i="2" s="1"/>
  <c r="PR33" i="2" s="1"/>
  <c r="PS33" i="2" s="1"/>
  <c r="PT33" i="2" s="1"/>
  <c r="PU33" i="2" s="1"/>
  <c r="PV33" i="2" s="1"/>
  <c r="PW33" i="2" s="1"/>
  <c r="PX33" i="2" s="1"/>
  <c r="PY33" i="2" s="1"/>
  <c r="PZ33" i="2" s="1"/>
  <c r="QA33" i="2" s="1"/>
  <c r="QB33" i="2" s="1"/>
  <c r="QC33" i="2" s="1"/>
  <c r="QD33" i="2" s="1"/>
  <c r="QE33" i="2" s="1"/>
  <c r="QF33" i="2" s="1"/>
  <c r="QG33" i="2" s="1"/>
  <c r="QH33" i="2" s="1"/>
  <c r="QI33" i="2" s="1"/>
  <c r="QJ33" i="2" s="1"/>
  <c r="QK33" i="2" s="1"/>
  <c r="QL33" i="2" s="1"/>
  <c r="QM33" i="2" s="1"/>
  <c r="QN33" i="2" s="1"/>
  <c r="QO33" i="2" s="1"/>
  <c r="QP33" i="2" s="1"/>
  <c r="QQ33" i="2" s="1"/>
  <c r="QR33" i="2" s="1"/>
  <c r="QS33" i="2" s="1"/>
  <c r="QT33" i="2" s="1"/>
  <c r="QU33" i="2" s="1"/>
  <c r="QV33" i="2" s="1"/>
  <c r="QW33" i="2" s="1"/>
  <c r="QX33" i="2" s="1"/>
  <c r="QY33" i="2" s="1"/>
  <c r="QZ33" i="2" s="1"/>
  <c r="DK34" i="2"/>
  <c r="RC32" i="2"/>
  <c r="R1045" i="20"/>
  <c r="Q1045" i="20" s="1"/>
  <c r="P1045" i="20" s="1"/>
  <c r="O1046" i="20"/>
  <c r="DJ42" i="2"/>
  <c r="DJ37" i="2"/>
  <c r="DJ38" i="2"/>
  <c r="DJ41" i="2"/>
  <c r="S1046" i="20"/>
  <c r="DJ39" i="2"/>
  <c r="DJ40" i="2" l="1"/>
  <c r="DL34" i="2"/>
  <c r="O1047" i="20"/>
  <c r="R1046" i="20"/>
  <c r="Q1046" i="20" s="1"/>
  <c r="P1046" i="20" s="1"/>
  <c r="DK41" i="2"/>
  <c r="S1047" i="20"/>
  <c r="DK38" i="2"/>
  <c r="DK39" i="2"/>
  <c r="DK37" i="2"/>
  <c r="DK42" i="2"/>
  <c r="DK40" i="2" l="1"/>
  <c r="DM34" i="2"/>
  <c r="R1047" i="20"/>
  <c r="Q1047" i="20" s="1"/>
  <c r="P1047" i="20" s="1"/>
  <c r="O1048" i="20"/>
  <c r="DL38" i="2"/>
  <c r="DL37" i="2"/>
  <c r="DL41" i="2"/>
  <c r="DL39" i="2"/>
  <c r="DL42" i="2"/>
  <c r="S1048" i="20"/>
  <c r="DL40" i="2" l="1"/>
  <c r="DN34" i="2"/>
  <c r="R1048" i="20"/>
  <c r="Q1048" i="20" s="1"/>
  <c r="P1048" i="20" s="1"/>
  <c r="O1049" i="20"/>
  <c r="DM38" i="2"/>
  <c r="DM37" i="2"/>
  <c r="DM39" i="2"/>
  <c r="S1049" i="20"/>
  <c r="DM42" i="2"/>
  <c r="DM41" i="2"/>
  <c r="DM40" i="2" l="1"/>
  <c r="DO34" i="2"/>
  <c r="R1049" i="20"/>
  <c r="Q1049" i="20" s="1"/>
  <c r="P1049" i="20" s="1"/>
  <c r="O1050" i="20"/>
  <c r="DN42" i="2"/>
  <c r="DN37" i="2"/>
  <c r="DN38" i="2"/>
  <c r="S1050" i="20"/>
  <c r="DN39" i="2"/>
  <c r="DN41" i="2"/>
  <c r="DN40" i="2" l="1"/>
  <c r="DP34" i="2"/>
  <c r="R1050" i="20"/>
  <c r="Q1050" i="20" s="1"/>
  <c r="P1050" i="20" s="1"/>
  <c r="O1051" i="20"/>
  <c r="S1051" i="20"/>
  <c r="DO39" i="2"/>
  <c r="DO42" i="2"/>
  <c r="DO38" i="2"/>
  <c r="DO41" i="2"/>
  <c r="DO37" i="2"/>
  <c r="DO40" i="2" l="1"/>
  <c r="DQ34" i="2"/>
  <c r="O1052" i="20"/>
  <c r="R1051" i="20"/>
  <c r="Q1051" i="20" s="1"/>
  <c r="P1051" i="20" s="1"/>
  <c r="DP42" i="2"/>
  <c r="DP39" i="2"/>
  <c r="DP41" i="2"/>
  <c r="DP37" i="2"/>
  <c r="DP38" i="2"/>
  <c r="S1052" i="20"/>
  <c r="DP40" i="2" l="1"/>
  <c r="DR34" i="2"/>
  <c r="O1053" i="20"/>
  <c r="R1052" i="20"/>
  <c r="Q1052" i="20" s="1"/>
  <c r="P1052" i="20" s="1"/>
  <c r="DQ39" i="2"/>
  <c r="DQ38" i="2"/>
  <c r="DQ41" i="2"/>
  <c r="S1053" i="20"/>
  <c r="DQ37" i="2"/>
  <c r="DQ42" i="2"/>
  <c r="DQ40" i="2" l="1"/>
  <c r="DS34" i="2"/>
  <c r="R1053" i="20"/>
  <c r="Q1053" i="20" s="1"/>
  <c r="P1053" i="20" s="1"/>
  <c r="O1054" i="20"/>
  <c r="DR41" i="2"/>
  <c r="DR37" i="2"/>
  <c r="DR38" i="2"/>
  <c r="DR42" i="2"/>
  <c r="DR39" i="2"/>
  <c r="S1054" i="20"/>
  <c r="DR40" i="2" l="1"/>
  <c r="DT34" i="2"/>
  <c r="R1054" i="20"/>
  <c r="Q1054" i="20" s="1"/>
  <c r="P1054" i="20" s="1"/>
  <c r="O1055" i="20"/>
  <c r="DS42" i="2"/>
  <c r="DS41" i="2"/>
  <c r="S1055" i="20"/>
  <c r="DS39" i="2"/>
  <c r="DS38" i="2"/>
  <c r="DS37" i="2"/>
  <c r="DS40" i="2" l="1"/>
  <c r="DU34" i="2"/>
  <c r="R1055" i="20"/>
  <c r="Q1055" i="20" s="1"/>
  <c r="P1055" i="20" s="1"/>
  <c r="O1056" i="20"/>
  <c r="DT39" i="2"/>
  <c r="DT42" i="2"/>
  <c r="S1056" i="20"/>
  <c r="DT41" i="2"/>
  <c r="DT38" i="2"/>
  <c r="DT37" i="2"/>
  <c r="DT40" i="2" l="1"/>
  <c r="DV34" i="2"/>
  <c r="R1056" i="20"/>
  <c r="Q1056" i="20" s="1"/>
  <c r="P1056" i="20" s="1"/>
  <c r="O1057" i="20"/>
  <c r="DU39" i="2"/>
  <c r="DU42" i="2"/>
  <c r="DU37" i="2"/>
  <c r="S1057" i="20"/>
  <c r="DU38" i="2"/>
  <c r="DU41" i="2"/>
  <c r="DU40" i="2" l="1"/>
  <c r="DW34" i="2"/>
  <c r="O1058" i="20"/>
  <c r="R1057" i="20"/>
  <c r="Q1057" i="20" s="1"/>
  <c r="P1057" i="20" s="1"/>
  <c r="DV38" i="2"/>
  <c r="DV39" i="2"/>
  <c r="DV37" i="2"/>
  <c r="DV41" i="2"/>
  <c r="DV42" i="2"/>
  <c r="S1058" i="20"/>
  <c r="DV40" i="2" l="1"/>
  <c r="DX34" i="2"/>
  <c r="O1059" i="20"/>
  <c r="R1058" i="20"/>
  <c r="Q1058" i="20" s="1"/>
  <c r="P1058" i="20" s="1"/>
  <c r="DW42" i="2"/>
  <c r="DW41" i="2"/>
  <c r="DW37" i="2"/>
  <c r="S1059" i="20"/>
  <c r="DW39" i="2"/>
  <c r="DW38" i="2"/>
  <c r="DW40" i="2" l="1"/>
  <c r="DY34" i="2"/>
  <c r="R1059" i="20"/>
  <c r="Q1059" i="20" s="1"/>
  <c r="P1059" i="20" s="1"/>
  <c r="O1060" i="20"/>
  <c r="DX42" i="2"/>
  <c r="DX37" i="2"/>
  <c r="DX39" i="2"/>
  <c r="DX38" i="2"/>
  <c r="S1060" i="20"/>
  <c r="DX41" i="2"/>
  <c r="DX40" i="2" l="1"/>
  <c r="DZ34" i="2"/>
  <c r="R1060" i="20"/>
  <c r="Q1060" i="20" s="1"/>
  <c r="P1060" i="20" s="1"/>
  <c r="O1061" i="20"/>
  <c r="DY39" i="2"/>
  <c r="DY42" i="2"/>
  <c r="S1061" i="20"/>
  <c r="DY38" i="2"/>
  <c r="DY41" i="2"/>
  <c r="DY37" i="2"/>
  <c r="DY40" i="2" l="1"/>
  <c r="EA34" i="2"/>
  <c r="O1062" i="20"/>
  <c r="R1061" i="20"/>
  <c r="Q1061" i="20" s="1"/>
  <c r="P1061" i="20" s="1"/>
  <c r="DZ39" i="2"/>
  <c r="DZ41" i="2"/>
  <c r="DZ38" i="2"/>
  <c r="DZ42" i="2"/>
  <c r="DZ37" i="2"/>
  <c r="S1062" i="20"/>
  <c r="DZ40" i="2" l="1"/>
  <c r="EB34" i="2"/>
  <c r="O1063" i="20"/>
  <c r="R1062" i="20"/>
  <c r="Q1062" i="20" s="1"/>
  <c r="P1062" i="20" s="1"/>
  <c r="EA37" i="2"/>
  <c r="EA39" i="2"/>
  <c r="EA42" i="2"/>
  <c r="S1063" i="20"/>
  <c r="EA41" i="2"/>
  <c r="EA38" i="2"/>
  <c r="EA40" i="2" l="1"/>
  <c r="EC34" i="2"/>
  <c r="R1063" i="20"/>
  <c r="Q1063" i="20" s="1"/>
  <c r="P1063" i="20" s="1"/>
  <c r="O1064" i="20"/>
  <c r="EB39" i="2"/>
  <c r="EB41" i="2"/>
  <c r="EB38" i="2"/>
  <c r="EB37" i="2"/>
  <c r="EB42" i="2"/>
  <c r="S1064" i="20"/>
  <c r="EB40" i="2" l="1"/>
  <c r="ED34" i="2"/>
  <c r="O1065" i="20"/>
  <c r="R1064" i="20"/>
  <c r="Q1064" i="20" s="1"/>
  <c r="P1064" i="20" s="1"/>
  <c r="EC41" i="2"/>
  <c r="EC38" i="2"/>
  <c r="EC37" i="2"/>
  <c r="EC39" i="2"/>
  <c r="S1065" i="20"/>
  <c r="EC42" i="2"/>
  <c r="EC40" i="2" l="1"/>
  <c r="EE34" i="2"/>
  <c r="R1065" i="20"/>
  <c r="Q1065" i="20" s="1"/>
  <c r="P1065" i="20" s="1"/>
  <c r="O1066" i="20"/>
  <c r="ED41" i="2"/>
  <c r="ED42" i="2"/>
  <c r="ED38" i="2"/>
  <c r="ED37" i="2"/>
  <c r="ED39" i="2"/>
  <c r="S1066" i="20"/>
  <c r="ED40" i="2" l="1"/>
  <c r="EF34" i="2"/>
  <c r="O1067" i="20"/>
  <c r="R1066" i="20"/>
  <c r="Q1066" i="20" s="1"/>
  <c r="P1066" i="20" s="1"/>
  <c r="EE39" i="2"/>
  <c r="EE42" i="2"/>
  <c r="S1067" i="20"/>
  <c r="EE37" i="2"/>
  <c r="EE38" i="2"/>
  <c r="EE41" i="2"/>
  <c r="EE40" i="2" l="1"/>
  <c r="EG34" i="2"/>
  <c r="O1068" i="20"/>
  <c r="R1067" i="20"/>
  <c r="Q1067" i="20" s="1"/>
  <c r="P1067" i="20" s="1"/>
  <c r="EF39" i="2"/>
  <c r="EF38" i="2"/>
  <c r="EF37" i="2"/>
  <c r="EF41" i="2"/>
  <c r="EF42" i="2"/>
  <c r="S1068" i="20"/>
  <c r="EF40" i="2" l="1"/>
  <c r="EH34" i="2"/>
  <c r="O1069" i="20"/>
  <c r="R1068" i="20"/>
  <c r="Q1068" i="20" s="1"/>
  <c r="P1068" i="20" s="1"/>
  <c r="EG38" i="2"/>
  <c r="EG41" i="2"/>
  <c r="S1069" i="20"/>
  <c r="EG39" i="2"/>
  <c r="EG37" i="2"/>
  <c r="EG42" i="2"/>
  <c r="EG40" i="2" l="1"/>
  <c r="EI34" i="2"/>
  <c r="R1069" i="20"/>
  <c r="Q1069" i="20" s="1"/>
  <c r="P1069" i="20" s="1"/>
  <c r="O1070" i="20"/>
  <c r="EH42" i="2"/>
  <c r="EH37" i="2"/>
  <c r="EH39" i="2"/>
  <c r="EH38" i="2"/>
  <c r="S1070" i="20"/>
  <c r="EH41" i="2"/>
  <c r="EH40" i="2" l="1"/>
  <c r="EJ34" i="2"/>
  <c r="R1070" i="20"/>
  <c r="Q1070" i="20" s="1"/>
  <c r="P1070" i="20" s="1"/>
  <c r="O1071" i="20"/>
  <c r="EI42" i="2"/>
  <c r="EI41" i="2"/>
  <c r="EI38" i="2"/>
  <c r="EI39" i="2"/>
  <c r="S1071" i="20"/>
  <c r="EI37" i="2"/>
  <c r="EI40" i="2" l="1"/>
  <c r="EK34" i="2"/>
  <c r="R1071" i="20"/>
  <c r="Q1071" i="20" s="1"/>
  <c r="P1071" i="20" s="1"/>
  <c r="O1072" i="20"/>
  <c r="EJ41" i="2"/>
  <c r="EJ37" i="2"/>
  <c r="S1072" i="20"/>
  <c r="EJ39" i="2"/>
  <c r="EJ38" i="2"/>
  <c r="EJ42" i="2"/>
  <c r="EJ40" i="2" l="1"/>
  <c r="EL34" i="2"/>
  <c r="R1072" i="20"/>
  <c r="Q1072" i="20" s="1"/>
  <c r="P1072" i="20" s="1"/>
  <c r="O1073" i="20"/>
  <c r="EK37" i="2"/>
  <c r="EK41" i="2"/>
  <c r="EK42" i="2"/>
  <c r="S1073" i="20"/>
  <c r="EK38" i="2"/>
  <c r="EK39" i="2"/>
  <c r="EK40" i="2" l="1"/>
  <c r="EM34" i="2"/>
  <c r="R1073" i="20"/>
  <c r="Q1073" i="20" s="1"/>
  <c r="P1073" i="20" s="1"/>
  <c r="O1074" i="20"/>
  <c r="EL42" i="2"/>
  <c r="S1074" i="20"/>
  <c r="EL41" i="2"/>
  <c r="EL38" i="2"/>
  <c r="EL37" i="2"/>
  <c r="EL39" i="2"/>
  <c r="EL40" i="2" l="1"/>
  <c r="EN34" i="2"/>
  <c r="O1075" i="20"/>
  <c r="R1074" i="20"/>
  <c r="Q1074" i="20" s="1"/>
  <c r="P1074" i="20" s="1"/>
  <c r="EM37" i="2"/>
  <c r="EM39" i="2"/>
  <c r="EM38" i="2"/>
  <c r="EM41" i="2"/>
  <c r="S1075" i="20"/>
  <c r="EM42" i="2"/>
  <c r="EM40" i="2" l="1"/>
  <c r="EO34" i="2"/>
  <c r="R1075" i="20"/>
  <c r="Q1075" i="20" s="1"/>
  <c r="P1075" i="20" s="1"/>
  <c r="O1076" i="20"/>
  <c r="EN37" i="2"/>
  <c r="EN39" i="2"/>
  <c r="EN41" i="2"/>
  <c r="S1076" i="20"/>
  <c r="EN38" i="2"/>
  <c r="EN42" i="2"/>
  <c r="EN40" i="2" l="1"/>
  <c r="EP34" i="2"/>
  <c r="O1077" i="20"/>
  <c r="R1076" i="20"/>
  <c r="EO42" i="2"/>
  <c r="EO37" i="2"/>
  <c r="EO38" i="2"/>
  <c r="S1077" i="20"/>
  <c r="EO39" i="2"/>
  <c r="EO41" i="2"/>
  <c r="EO40" i="2" l="1"/>
  <c r="EQ34" i="2"/>
  <c r="Q1076" i="20"/>
  <c r="P1076" i="20" s="1"/>
  <c r="O1078" i="20"/>
  <c r="R1077" i="20"/>
  <c r="Q1077" i="20" s="1"/>
  <c r="P1077" i="20" s="1"/>
  <c r="EP37" i="2"/>
  <c r="EP38" i="2"/>
  <c r="EP41" i="2"/>
  <c r="EP42" i="2"/>
  <c r="S1078" i="20"/>
  <c r="EP39" i="2"/>
  <c r="EP40" i="2" l="1"/>
  <c r="ER34" i="2"/>
  <c r="O1079" i="20"/>
  <c r="R1078" i="20"/>
  <c r="Q1078" i="20" s="1"/>
  <c r="P1078" i="20" s="1"/>
  <c r="EQ38" i="2"/>
  <c r="EQ42" i="2"/>
  <c r="EQ41" i="2"/>
  <c r="EQ39" i="2"/>
  <c r="EQ37" i="2"/>
  <c r="S1079" i="20"/>
  <c r="EQ40" i="2" l="1"/>
  <c r="ES34" i="2"/>
  <c r="O1080" i="20"/>
  <c r="R1079" i="20"/>
  <c r="Q1079" i="20" s="1"/>
  <c r="P1079" i="20" s="1"/>
  <c r="ER41" i="2"/>
  <c r="S1080" i="20"/>
  <c r="ER39" i="2"/>
  <c r="ER38" i="2"/>
  <c r="ER42" i="2"/>
  <c r="ER37" i="2"/>
  <c r="ER40" i="2" l="1"/>
  <c r="ET34" i="2"/>
  <c r="R1080" i="20"/>
  <c r="O1081" i="20"/>
  <c r="ES38" i="2"/>
  <c r="ES42" i="2"/>
  <c r="ES41" i="2"/>
  <c r="ES37" i="2"/>
  <c r="S1081" i="20"/>
  <c r="ES39" i="2"/>
  <c r="ES40" i="2" l="1"/>
  <c r="EU34" i="2"/>
  <c r="O1082" i="20"/>
  <c r="R1081" i="20"/>
  <c r="Q1081" i="20" s="1"/>
  <c r="P1081" i="20" s="1"/>
  <c r="Q1080" i="20"/>
  <c r="P1080" i="20" s="1"/>
  <c r="ET38" i="2"/>
  <c r="S1082" i="20"/>
  <c r="ET39" i="2"/>
  <c r="ET37" i="2"/>
  <c r="ET41" i="2"/>
  <c r="ET42" i="2"/>
  <c r="ET40" i="2" l="1"/>
  <c r="EV34" i="2"/>
  <c r="O1083" i="20"/>
  <c r="R1082" i="20"/>
  <c r="Q1082" i="20" s="1"/>
  <c r="P1082" i="20" s="1"/>
  <c r="EU41" i="2"/>
  <c r="EU42" i="2"/>
  <c r="EU37" i="2"/>
  <c r="EU39" i="2"/>
  <c r="S1083" i="20"/>
  <c r="EU38" i="2"/>
  <c r="EU40" i="2" l="1"/>
  <c r="EW34" i="2"/>
  <c r="R1083" i="20"/>
  <c r="Q1083" i="20" s="1"/>
  <c r="P1083" i="20" s="1"/>
  <c r="O1084" i="20"/>
  <c r="EV42" i="2"/>
  <c r="EV41" i="2"/>
  <c r="EV39" i="2"/>
  <c r="EV37" i="2"/>
  <c r="EV38" i="2"/>
  <c r="S1084" i="20"/>
  <c r="EV40" i="2" l="1"/>
  <c r="EX34" i="2"/>
  <c r="O1085" i="20"/>
  <c r="R1084" i="20"/>
  <c r="Q1084" i="20" s="1"/>
  <c r="P1084" i="20" s="1"/>
  <c r="EW38" i="2"/>
  <c r="EW37" i="2"/>
  <c r="EW41" i="2"/>
  <c r="EW42" i="2"/>
  <c r="S1085" i="20"/>
  <c r="EW39" i="2"/>
  <c r="EW40" i="2" l="1"/>
  <c r="EY34" i="2"/>
  <c r="R1085" i="20"/>
  <c r="Q1085" i="20" s="1"/>
  <c r="P1085" i="20" s="1"/>
  <c r="O1086" i="20"/>
  <c r="EX38" i="2"/>
  <c r="EX42" i="2"/>
  <c r="EX37" i="2"/>
  <c r="S1086" i="20"/>
  <c r="EX39" i="2"/>
  <c r="EX41" i="2"/>
  <c r="EX40" i="2" l="1"/>
  <c r="EZ34" i="2"/>
  <c r="R1086" i="20"/>
  <c r="Q1086" i="20" s="1"/>
  <c r="P1086" i="20" s="1"/>
  <c r="O1087" i="20"/>
  <c r="EY42" i="2"/>
  <c r="EY37" i="2"/>
  <c r="EY39" i="2"/>
  <c r="EY41" i="2"/>
  <c r="EY38" i="2"/>
  <c r="S1087" i="20"/>
  <c r="EY40" i="2" l="1"/>
  <c r="FA34" i="2"/>
  <c r="R1087" i="20"/>
  <c r="Q1087" i="20" s="1"/>
  <c r="P1087" i="20" s="1"/>
  <c r="O1088" i="20"/>
  <c r="EZ37" i="2"/>
  <c r="EZ39" i="2"/>
  <c r="EZ41" i="2"/>
  <c r="EZ38" i="2"/>
  <c r="EZ42" i="2"/>
  <c r="S1088" i="20"/>
  <c r="EZ40" i="2" l="1"/>
  <c r="FB34" i="2"/>
  <c r="O1089" i="20"/>
  <c r="R1088" i="20"/>
  <c r="Q1088" i="20" s="1"/>
  <c r="P1088" i="20" s="1"/>
  <c r="FA42" i="2"/>
  <c r="FA37" i="2"/>
  <c r="FA41" i="2"/>
  <c r="S1089" i="20"/>
  <c r="FA39" i="2"/>
  <c r="FA38" i="2"/>
  <c r="FA40" i="2" l="1"/>
  <c r="FC34" i="2"/>
  <c r="R1089" i="20"/>
  <c r="Q1089" i="20" s="1"/>
  <c r="P1089" i="20" s="1"/>
  <c r="O1090" i="20"/>
  <c r="FB39" i="2"/>
  <c r="FB41" i="2"/>
  <c r="FB42" i="2"/>
  <c r="FB37" i="2"/>
  <c r="S1090" i="20"/>
  <c r="FB38" i="2"/>
  <c r="FB40" i="2" l="1"/>
  <c r="FD34" i="2"/>
  <c r="R1090" i="20"/>
  <c r="Q1090" i="20" s="1"/>
  <c r="P1090" i="20" s="1"/>
  <c r="O1091" i="20"/>
  <c r="FC39" i="2"/>
  <c r="FC41" i="2"/>
  <c r="FC37" i="2"/>
  <c r="FC38" i="2"/>
  <c r="S1091" i="20"/>
  <c r="FC42" i="2"/>
  <c r="FC40" i="2" l="1"/>
  <c r="FE34" i="2"/>
  <c r="R1091" i="20"/>
  <c r="Q1091" i="20" s="1"/>
  <c r="P1091" i="20" s="1"/>
  <c r="O1092" i="20"/>
  <c r="FD38" i="2"/>
  <c r="FD41" i="2"/>
  <c r="FD42" i="2"/>
  <c r="FD37" i="2"/>
  <c r="FD39" i="2"/>
  <c r="S1092" i="20"/>
  <c r="FD40" i="2" l="1"/>
  <c r="FF34" i="2"/>
  <c r="R1092" i="20"/>
  <c r="Q1092" i="20" s="1"/>
  <c r="P1092" i="20" s="1"/>
  <c r="O1093" i="20"/>
  <c r="FE37" i="2"/>
  <c r="S1093" i="20"/>
  <c r="FE38" i="2"/>
  <c r="FE41" i="2"/>
  <c r="FE42" i="2"/>
  <c r="FE39" i="2"/>
  <c r="FE40" i="2" l="1"/>
  <c r="FG34" i="2"/>
  <c r="R1093" i="20"/>
  <c r="Q1093" i="20" s="1"/>
  <c r="P1093" i="20" s="1"/>
  <c r="O1094" i="20"/>
  <c r="FF41" i="2"/>
  <c r="FF38" i="2"/>
  <c r="FF39" i="2"/>
  <c r="FF42" i="2"/>
  <c r="FF37" i="2"/>
  <c r="S1094" i="20"/>
  <c r="FF40" i="2" l="1"/>
  <c r="FH34" i="2"/>
  <c r="R1094" i="20"/>
  <c r="Q1094" i="20" s="1"/>
  <c r="P1094" i="20" s="1"/>
  <c r="O1095" i="20"/>
  <c r="FG38" i="2"/>
  <c r="FG42" i="2"/>
  <c r="FG41" i="2"/>
  <c r="FG39" i="2"/>
  <c r="FG37" i="2"/>
  <c r="S1095" i="20"/>
  <c r="FG40" i="2" l="1"/>
  <c r="FI34" i="2"/>
  <c r="R1095" i="20"/>
  <c r="Q1095" i="20" s="1"/>
  <c r="P1095" i="20" s="1"/>
  <c r="O1096" i="20"/>
  <c r="FH39" i="2"/>
  <c r="FH41" i="2"/>
  <c r="FH38" i="2"/>
  <c r="FH42" i="2"/>
  <c r="S1096" i="20"/>
  <c r="FH37" i="2"/>
  <c r="FH40" i="2" l="1"/>
  <c r="FJ34" i="2"/>
  <c r="O1097" i="20"/>
  <c r="R1096" i="20"/>
  <c r="Q1096" i="20" s="1"/>
  <c r="P1096" i="20" s="1"/>
  <c r="FI42" i="2"/>
  <c r="FI39" i="2"/>
  <c r="FI38" i="2"/>
  <c r="S1097" i="20"/>
  <c r="FI37" i="2"/>
  <c r="FI41" i="2"/>
  <c r="FI40" i="2" l="1"/>
  <c r="FK34" i="2"/>
  <c r="R1097" i="20"/>
  <c r="Q1097" i="20" s="1"/>
  <c r="P1097" i="20" s="1"/>
  <c r="O1098" i="20"/>
  <c r="FJ39" i="2"/>
  <c r="FJ38" i="2"/>
  <c r="FJ42" i="2"/>
  <c r="FJ41" i="2"/>
  <c r="S1098" i="20"/>
  <c r="FJ37" i="2"/>
  <c r="FJ40" i="2" l="1"/>
  <c r="FL34" i="2"/>
  <c r="O1099" i="20"/>
  <c r="R1098" i="20"/>
  <c r="Q1098" i="20" s="1"/>
  <c r="P1098" i="20" s="1"/>
  <c r="FK42" i="2"/>
  <c r="FK39" i="2"/>
  <c r="FK41" i="2"/>
  <c r="S1099" i="20"/>
  <c r="FK38" i="2"/>
  <c r="FK37" i="2"/>
  <c r="FK40" i="2" l="1"/>
  <c r="FM34" i="2"/>
  <c r="O1100" i="20"/>
  <c r="R1099" i="20"/>
  <c r="Q1099" i="20" s="1"/>
  <c r="P1099" i="20" s="1"/>
  <c r="FL41" i="2"/>
  <c r="FL38" i="2"/>
  <c r="FL39" i="2"/>
  <c r="FL37" i="2"/>
  <c r="S1100" i="20"/>
  <c r="FL42" i="2"/>
  <c r="FL40" i="2" l="1"/>
  <c r="FN34" i="2"/>
  <c r="R1100" i="20"/>
  <c r="Q1100" i="20" s="1"/>
  <c r="P1100" i="20" s="1"/>
  <c r="O1101" i="20"/>
  <c r="FM37" i="2"/>
  <c r="FM39" i="2"/>
  <c r="FM38" i="2"/>
  <c r="FM42" i="2"/>
  <c r="S1101" i="20"/>
  <c r="FM41" i="2"/>
  <c r="FM40" i="2" l="1"/>
  <c r="FO34" i="2"/>
  <c r="O1102" i="20"/>
  <c r="R1101" i="20"/>
  <c r="Q1101" i="20" s="1"/>
  <c r="P1101" i="20" s="1"/>
  <c r="FN41" i="2"/>
  <c r="FN42" i="2"/>
  <c r="FN37" i="2"/>
  <c r="S1102" i="20"/>
  <c r="FN39" i="2"/>
  <c r="FN38" i="2"/>
  <c r="FN40" i="2" l="1"/>
  <c r="FP34" i="2"/>
  <c r="O1103" i="20"/>
  <c r="R1102" i="20"/>
  <c r="Q1102" i="20" s="1"/>
  <c r="P1102" i="20" s="1"/>
  <c r="FO38" i="2"/>
  <c r="FO41" i="2"/>
  <c r="FO42" i="2"/>
  <c r="FO37" i="2"/>
  <c r="FO39" i="2"/>
  <c r="S1103" i="20"/>
  <c r="FO40" i="2" l="1"/>
  <c r="FQ34" i="2"/>
  <c r="O1104" i="20"/>
  <c r="R1103" i="20"/>
  <c r="Q1103" i="20" s="1"/>
  <c r="P1103" i="20" s="1"/>
  <c r="FP38" i="2"/>
  <c r="FP42" i="2"/>
  <c r="S1104" i="20"/>
  <c r="FP39" i="2"/>
  <c r="FP37" i="2"/>
  <c r="FP41" i="2"/>
  <c r="FP40" i="2" l="1"/>
  <c r="FR34" i="2"/>
  <c r="R1104" i="20"/>
  <c r="Q1104" i="20" s="1"/>
  <c r="P1104" i="20" s="1"/>
  <c r="O1105" i="20"/>
  <c r="FQ37" i="2"/>
  <c r="FQ42" i="2"/>
  <c r="FQ38" i="2"/>
  <c r="FQ41" i="2"/>
  <c r="S1105" i="20"/>
  <c r="FQ39" i="2"/>
  <c r="FQ40" i="2" l="1"/>
  <c r="FS34" i="2"/>
  <c r="O1106" i="20"/>
  <c r="R1105" i="20"/>
  <c r="Q1105" i="20" s="1"/>
  <c r="P1105" i="20" s="1"/>
  <c r="FR42" i="2"/>
  <c r="FR37" i="2"/>
  <c r="S1106" i="20"/>
  <c r="FR39" i="2"/>
  <c r="FR41" i="2"/>
  <c r="FR38" i="2"/>
  <c r="FR40" i="2" l="1"/>
  <c r="FT34" i="2"/>
  <c r="R1106" i="20"/>
  <c r="Q1106" i="20" s="1"/>
  <c r="P1106" i="20" s="1"/>
  <c r="O1107" i="20"/>
  <c r="FS41" i="2"/>
  <c r="FS42" i="2"/>
  <c r="S1107" i="20"/>
  <c r="FS37" i="2"/>
  <c r="FS38" i="2"/>
  <c r="FS39" i="2"/>
  <c r="FS40" i="2" l="1"/>
  <c r="FU34" i="2"/>
  <c r="O1108" i="20"/>
  <c r="R1107" i="20"/>
  <c r="Q1107" i="20" s="1"/>
  <c r="P1107" i="20" s="1"/>
  <c r="FT39" i="2"/>
  <c r="S1108" i="20"/>
  <c r="FT38" i="2"/>
  <c r="FT37" i="2"/>
  <c r="FT41" i="2"/>
  <c r="FT42" i="2"/>
  <c r="FT40" i="2" l="1"/>
  <c r="FV34" i="2"/>
  <c r="O1109" i="20"/>
  <c r="R1108" i="20"/>
  <c r="Q1108" i="20" s="1"/>
  <c r="P1108" i="20" s="1"/>
  <c r="FU39" i="2"/>
  <c r="FU37" i="2"/>
  <c r="FU41" i="2"/>
  <c r="FU38" i="2"/>
  <c r="S1109" i="20"/>
  <c r="FU42" i="2"/>
  <c r="FU40" i="2" l="1"/>
  <c r="FW34" i="2"/>
  <c r="O1110" i="20"/>
  <c r="R1109" i="20"/>
  <c r="Q1109" i="20" s="1"/>
  <c r="P1109" i="20" s="1"/>
  <c r="FV42" i="2"/>
  <c r="FV39" i="2"/>
  <c r="FV38" i="2"/>
  <c r="FV41" i="2"/>
  <c r="S1110" i="20"/>
  <c r="FV37" i="2"/>
  <c r="FV40" i="2" l="1"/>
  <c r="FX34" i="2"/>
  <c r="R1110" i="20"/>
  <c r="Q1110" i="20" s="1"/>
  <c r="P1110" i="20" s="1"/>
  <c r="O1111" i="20"/>
  <c r="FW42" i="2"/>
  <c r="FW41" i="2"/>
  <c r="FW37" i="2"/>
  <c r="FW39" i="2"/>
  <c r="S1111" i="20"/>
  <c r="FW38" i="2"/>
  <c r="FW40" i="2" l="1"/>
  <c r="FY34" i="2"/>
  <c r="R1111" i="20"/>
  <c r="Q1111" i="20" s="1"/>
  <c r="P1111" i="20" s="1"/>
  <c r="O1112" i="20"/>
  <c r="FX41" i="2"/>
  <c r="S1112" i="20"/>
  <c r="FX39" i="2"/>
  <c r="FX42" i="2"/>
  <c r="FX37" i="2"/>
  <c r="FX38" i="2"/>
  <c r="FX40" i="2" l="1"/>
  <c r="FZ34" i="2"/>
  <c r="O1113" i="20"/>
  <c r="R1112" i="20"/>
  <c r="Q1112" i="20" s="1"/>
  <c r="P1112" i="20" s="1"/>
  <c r="FY39" i="2"/>
  <c r="FY38" i="2"/>
  <c r="S1113" i="20"/>
  <c r="FY37" i="2"/>
  <c r="FY42" i="2"/>
  <c r="FY41" i="2"/>
  <c r="FY40" i="2" l="1"/>
  <c r="GA34" i="2"/>
  <c r="R1113" i="20"/>
  <c r="Q1113" i="20" s="1"/>
  <c r="P1113" i="20" s="1"/>
  <c r="FZ42" i="2"/>
  <c r="FZ39" i="2"/>
  <c r="FZ38" i="2"/>
  <c r="FZ41" i="2"/>
  <c r="FZ37" i="2"/>
  <c r="FZ40" i="2" l="1"/>
  <c r="GB34" i="2"/>
  <c r="GA41" i="2"/>
  <c r="GA38" i="2"/>
  <c r="GA37" i="2"/>
  <c r="GA39" i="2"/>
  <c r="GA42" i="2"/>
  <c r="GA40" i="2" l="1"/>
  <c r="GC34" i="2"/>
  <c r="GB37" i="2"/>
  <c r="GB38" i="2"/>
  <c r="GB39" i="2"/>
  <c r="GB41" i="2"/>
  <c r="GB42" i="2"/>
  <c r="GB40" i="2" l="1"/>
  <c r="GD34" i="2"/>
  <c r="GC38" i="2"/>
  <c r="GC39" i="2"/>
  <c r="GC42" i="2"/>
  <c r="GC41" i="2"/>
  <c r="GC37" i="2"/>
  <c r="GC40" i="2" l="1"/>
  <c r="GE34" i="2"/>
  <c r="GD38" i="2"/>
  <c r="GD37" i="2"/>
  <c r="GD41" i="2"/>
  <c r="GD42" i="2"/>
  <c r="GD39" i="2"/>
  <c r="GD40" i="2" l="1"/>
  <c r="GF34" i="2"/>
  <c r="GE39" i="2"/>
  <c r="GE37" i="2"/>
  <c r="GE41" i="2"/>
  <c r="GE38" i="2"/>
  <c r="GE42" i="2"/>
  <c r="GE40" i="2" l="1"/>
  <c r="GG34" i="2"/>
  <c r="GF42" i="2"/>
  <c r="GF39" i="2"/>
  <c r="GF37" i="2"/>
  <c r="GF41" i="2"/>
  <c r="GF38" i="2"/>
  <c r="GF40" i="2" l="1"/>
  <c r="GH34" i="2"/>
  <c r="GG42" i="2"/>
  <c r="GG38" i="2"/>
  <c r="GG39" i="2"/>
  <c r="GG41" i="2"/>
  <c r="GG37" i="2"/>
  <c r="GG40" i="2" l="1"/>
  <c r="GI34" i="2"/>
  <c r="GH37" i="2"/>
  <c r="GH38" i="2"/>
  <c r="GH39" i="2"/>
  <c r="GH42" i="2"/>
  <c r="GH41" i="2"/>
  <c r="GH40" i="2" l="1"/>
  <c r="GJ34" i="2"/>
  <c r="GI37" i="2"/>
  <c r="GI38" i="2"/>
  <c r="GI42" i="2"/>
  <c r="GI41" i="2"/>
  <c r="GI39" i="2"/>
  <c r="GI40" i="2" l="1"/>
  <c r="GK34" i="2"/>
  <c r="GJ39" i="2"/>
  <c r="GJ41" i="2"/>
  <c r="GJ42" i="2"/>
  <c r="GJ37" i="2"/>
  <c r="GJ38" i="2"/>
  <c r="GJ40" i="2" l="1"/>
  <c r="GL34" i="2"/>
  <c r="GK38" i="2"/>
  <c r="GK41" i="2"/>
  <c r="GK42" i="2"/>
  <c r="GK39" i="2"/>
  <c r="GK37" i="2"/>
  <c r="GK40" i="2" l="1"/>
  <c r="GM34" i="2"/>
  <c r="GL38" i="2"/>
  <c r="GL41" i="2"/>
  <c r="GL37" i="2"/>
  <c r="GL39" i="2"/>
  <c r="GL42" i="2"/>
  <c r="GL40" i="2" l="1"/>
  <c r="GN34" i="2"/>
  <c r="GM37" i="2"/>
  <c r="GM41" i="2"/>
  <c r="GM39" i="2"/>
  <c r="GM38" i="2"/>
  <c r="GM42" i="2"/>
  <c r="GM40" i="2" l="1"/>
  <c r="GO34" i="2"/>
  <c r="GN42" i="2"/>
  <c r="GN39" i="2"/>
  <c r="GN37" i="2"/>
  <c r="GN38" i="2"/>
  <c r="GN41" i="2"/>
  <c r="GN40" i="2" l="1"/>
  <c r="GP34" i="2"/>
  <c r="GO41" i="2"/>
  <c r="GO39" i="2"/>
  <c r="GO38" i="2"/>
  <c r="GO37" i="2"/>
  <c r="GO42" i="2"/>
  <c r="GO40" i="2" l="1"/>
  <c r="GQ34" i="2"/>
  <c r="GP38" i="2"/>
  <c r="GP37" i="2"/>
  <c r="GP41" i="2"/>
  <c r="GP42" i="2"/>
  <c r="GP39" i="2"/>
  <c r="GP40" i="2" l="1"/>
  <c r="GR34" i="2"/>
  <c r="GQ42" i="2"/>
  <c r="GQ39" i="2"/>
  <c r="GQ38" i="2"/>
  <c r="GQ37" i="2"/>
  <c r="GQ41" i="2"/>
  <c r="GQ40" i="2" l="1"/>
  <c r="GS34" i="2"/>
  <c r="GR42" i="2"/>
  <c r="GR39" i="2"/>
  <c r="GR38" i="2"/>
  <c r="GR37" i="2"/>
  <c r="GR41" i="2"/>
  <c r="GR40" i="2" l="1"/>
  <c r="GT34" i="2"/>
  <c r="GS37" i="2"/>
  <c r="GS39" i="2"/>
  <c r="GS41" i="2"/>
  <c r="GS38" i="2"/>
  <c r="GS42" i="2"/>
  <c r="GS40" i="2" l="1"/>
  <c r="GU34" i="2"/>
  <c r="GT38" i="2"/>
  <c r="GT42" i="2"/>
  <c r="GT37" i="2"/>
  <c r="GT39" i="2"/>
  <c r="GT41" i="2"/>
  <c r="GT40" i="2" l="1"/>
  <c r="GV34" i="2"/>
  <c r="GU42" i="2"/>
  <c r="GU37" i="2"/>
  <c r="GU38" i="2"/>
  <c r="GU39" i="2"/>
  <c r="GU41" i="2"/>
  <c r="GU40" i="2" l="1"/>
  <c r="GW34" i="2"/>
  <c r="GV41" i="2"/>
  <c r="GV37" i="2"/>
  <c r="GV38" i="2"/>
  <c r="GV42" i="2"/>
  <c r="GV39" i="2"/>
  <c r="GV40" i="2" l="1"/>
  <c r="GX34" i="2"/>
  <c r="GW41" i="2"/>
  <c r="GW39" i="2"/>
  <c r="GW37" i="2"/>
  <c r="GW42" i="2"/>
  <c r="GW38" i="2"/>
  <c r="GW40" i="2" l="1"/>
  <c r="GY34" i="2"/>
  <c r="GX41" i="2"/>
  <c r="GX38" i="2"/>
  <c r="GX42" i="2"/>
  <c r="GX37" i="2"/>
  <c r="GX39" i="2"/>
  <c r="GX40" i="2" l="1"/>
  <c r="GZ34" i="2"/>
  <c r="GY39" i="2"/>
  <c r="GY41" i="2"/>
  <c r="GY37" i="2"/>
  <c r="GY38" i="2"/>
  <c r="GY42" i="2"/>
  <c r="GY40" i="2" l="1"/>
  <c r="HA34" i="2"/>
  <c r="GZ37" i="2"/>
  <c r="GZ41" i="2"/>
  <c r="GZ39" i="2"/>
  <c r="GZ42" i="2"/>
  <c r="GZ38" i="2"/>
  <c r="GZ40" i="2" l="1"/>
  <c r="HB34" i="2"/>
  <c r="HA37" i="2"/>
  <c r="HA38" i="2"/>
  <c r="HA39" i="2"/>
  <c r="HA42" i="2"/>
  <c r="HA41" i="2"/>
  <c r="HA40" i="2" l="1"/>
  <c r="HC34" i="2"/>
  <c r="HB37" i="2"/>
  <c r="HB38" i="2"/>
  <c r="HB42" i="2"/>
  <c r="HB39" i="2"/>
  <c r="HB41" i="2"/>
  <c r="HB40" i="2" l="1"/>
  <c r="HD34" i="2"/>
  <c r="HC41" i="2"/>
  <c r="HC39" i="2"/>
  <c r="HC37" i="2"/>
  <c r="HC42" i="2"/>
  <c r="HC38" i="2"/>
  <c r="HC40" i="2" l="1"/>
  <c r="HE34" i="2"/>
  <c r="HD42" i="2"/>
  <c r="HD41" i="2"/>
  <c r="HD39" i="2"/>
  <c r="HD38" i="2"/>
  <c r="HD37" i="2"/>
  <c r="HD40" i="2" l="1"/>
  <c r="HF34" i="2"/>
  <c r="HE39" i="2"/>
  <c r="HE37" i="2"/>
  <c r="HE41" i="2"/>
  <c r="HE38" i="2"/>
  <c r="HE42" i="2"/>
  <c r="HE40" i="2" l="1"/>
  <c r="HG34" i="2"/>
  <c r="HF39" i="2"/>
  <c r="HF38" i="2"/>
  <c r="HF37" i="2"/>
  <c r="HF42" i="2"/>
  <c r="HF41" i="2"/>
  <c r="HF40" i="2" l="1"/>
  <c r="HH34" i="2"/>
  <c r="HG39" i="2"/>
  <c r="HG37" i="2"/>
  <c r="HG42" i="2"/>
  <c r="HG41" i="2"/>
  <c r="HG38" i="2"/>
  <c r="HG40" i="2" l="1"/>
  <c r="HI34" i="2"/>
  <c r="HH37" i="2"/>
  <c r="HH38" i="2"/>
  <c r="HH42" i="2"/>
  <c r="HH39" i="2"/>
  <c r="HH41" i="2"/>
  <c r="HH40" i="2" l="1"/>
  <c r="HJ34" i="2"/>
  <c r="HI41" i="2"/>
  <c r="HI37" i="2"/>
  <c r="HI42" i="2"/>
  <c r="HI38" i="2"/>
  <c r="HI39" i="2"/>
  <c r="HI40" i="2" l="1"/>
  <c r="HK34" i="2"/>
  <c r="HJ39" i="2"/>
  <c r="HJ38" i="2"/>
  <c r="HJ37" i="2"/>
  <c r="HJ42" i="2"/>
  <c r="HJ41" i="2"/>
  <c r="HJ40" i="2" l="1"/>
  <c r="HL34" i="2"/>
  <c r="HK37" i="2"/>
  <c r="HK39" i="2"/>
  <c r="HK41" i="2"/>
  <c r="HK42" i="2"/>
  <c r="HK38" i="2"/>
  <c r="HK40" i="2" l="1"/>
  <c r="HM34" i="2"/>
  <c r="HL39" i="2"/>
  <c r="HL38" i="2"/>
  <c r="HL37" i="2"/>
  <c r="HL41" i="2"/>
  <c r="HL42" i="2"/>
  <c r="HL40" i="2" l="1"/>
  <c r="HN34" i="2"/>
  <c r="HM38" i="2"/>
  <c r="HM42" i="2"/>
  <c r="HM37" i="2"/>
  <c r="HM41" i="2"/>
  <c r="HM39" i="2"/>
  <c r="HM40" i="2" l="1"/>
  <c r="HO34" i="2"/>
  <c r="HN38" i="2"/>
  <c r="HN37" i="2"/>
  <c r="HN42" i="2"/>
  <c r="HN39" i="2"/>
  <c r="HN41" i="2"/>
  <c r="HN40" i="2" l="1"/>
  <c r="HP34" i="2"/>
  <c r="HO39" i="2"/>
  <c r="HO41" i="2"/>
  <c r="HO38" i="2"/>
  <c r="HO42" i="2"/>
  <c r="HO37" i="2"/>
  <c r="HO40" i="2" l="1"/>
  <c r="HQ34" i="2"/>
  <c r="HP39" i="2"/>
  <c r="HP37" i="2"/>
  <c r="HP41" i="2"/>
  <c r="HP42" i="2"/>
  <c r="HP38" i="2"/>
  <c r="HP40" i="2" l="1"/>
  <c r="HR34" i="2"/>
  <c r="HQ37" i="2"/>
  <c r="HQ39" i="2"/>
  <c r="HQ42" i="2"/>
  <c r="HQ41" i="2"/>
  <c r="HQ38" i="2"/>
  <c r="HQ40" i="2" l="1"/>
  <c r="HS34" i="2"/>
  <c r="HR41" i="2"/>
  <c r="HR39" i="2"/>
  <c r="HR42" i="2"/>
  <c r="HR37" i="2"/>
  <c r="HR38" i="2"/>
  <c r="HR40" i="2" l="1"/>
  <c r="HT34" i="2"/>
  <c r="HS42" i="2"/>
  <c r="HS41" i="2"/>
  <c r="HS38" i="2"/>
  <c r="HS37" i="2"/>
  <c r="HS39" i="2"/>
  <c r="HS40" i="2" l="1"/>
  <c r="HU34" i="2"/>
  <c r="HT39" i="2"/>
  <c r="HT37" i="2"/>
  <c r="HT42" i="2"/>
  <c r="HT38" i="2"/>
  <c r="HT41" i="2"/>
  <c r="HT40" i="2" l="1"/>
  <c r="HV34" i="2"/>
  <c r="HU39" i="2"/>
  <c r="HU42" i="2"/>
  <c r="HU37" i="2"/>
  <c r="HU41" i="2"/>
  <c r="HU38" i="2"/>
  <c r="HU40" i="2" l="1"/>
  <c r="HW34" i="2"/>
  <c r="HV41" i="2"/>
  <c r="HV39" i="2"/>
  <c r="HV38" i="2"/>
  <c r="HV42" i="2"/>
  <c r="HV37" i="2"/>
  <c r="HV40" i="2" l="1"/>
  <c r="HX34" i="2"/>
  <c r="HW37" i="2"/>
  <c r="HW38" i="2"/>
  <c r="HW42" i="2"/>
  <c r="HW41" i="2"/>
  <c r="HW39" i="2"/>
  <c r="HW40" i="2" l="1"/>
  <c r="HY34" i="2"/>
  <c r="HX42" i="2"/>
  <c r="HX41" i="2"/>
  <c r="HX39" i="2"/>
  <c r="HX38" i="2"/>
  <c r="HX37" i="2"/>
  <c r="HX40" i="2" l="1"/>
  <c r="HZ34" i="2"/>
  <c r="HY42" i="2"/>
  <c r="HY37" i="2"/>
  <c r="HY41" i="2"/>
  <c r="HY38" i="2"/>
  <c r="HY39" i="2"/>
  <c r="HY40" i="2" l="1"/>
  <c r="IA34" i="2"/>
  <c r="HZ39" i="2"/>
  <c r="HZ38" i="2"/>
  <c r="HZ42" i="2"/>
  <c r="HZ37" i="2"/>
  <c r="HZ41" i="2"/>
  <c r="HZ40" i="2" l="1"/>
  <c r="IB34" i="2"/>
  <c r="IA39" i="2"/>
  <c r="IA42" i="2"/>
  <c r="IA41" i="2"/>
  <c r="IA37" i="2"/>
  <c r="IA38" i="2"/>
  <c r="IA40" i="2" l="1"/>
  <c r="IC34" i="2"/>
  <c r="IB38" i="2"/>
  <c r="IB37" i="2"/>
  <c r="IB42" i="2"/>
  <c r="IB41" i="2"/>
  <c r="IB39" i="2"/>
  <c r="IB40" i="2" l="1"/>
  <c r="ID34" i="2"/>
  <c r="IC42" i="2"/>
  <c r="IC38" i="2"/>
  <c r="IC39" i="2"/>
  <c r="IC41" i="2"/>
  <c r="IC37" i="2"/>
  <c r="IC40" i="2" l="1"/>
  <c r="IE34" i="2"/>
  <c r="ID38" i="2"/>
  <c r="ID37" i="2"/>
  <c r="ID39" i="2"/>
  <c r="ID41" i="2"/>
  <c r="ID42" i="2"/>
  <c r="ID40" i="2" l="1"/>
  <c r="IF34" i="2"/>
  <c r="IE37" i="2"/>
  <c r="IE39" i="2"/>
  <c r="IE41" i="2"/>
  <c r="IE38" i="2"/>
  <c r="IE42" i="2"/>
  <c r="IE40" i="2" l="1"/>
  <c r="IG34" i="2"/>
  <c r="IF42" i="2"/>
  <c r="IF39" i="2"/>
  <c r="IF37" i="2"/>
  <c r="IF41" i="2"/>
  <c r="IF38" i="2"/>
  <c r="IF40" i="2" l="1"/>
  <c r="IH34" i="2"/>
  <c r="IG41" i="2"/>
  <c r="IG42" i="2"/>
  <c r="IG39" i="2"/>
  <c r="IG38" i="2"/>
  <c r="IG37" i="2"/>
  <c r="IG40" i="2" l="1"/>
  <c r="II34" i="2"/>
  <c r="IH39" i="2"/>
  <c r="IH42" i="2"/>
  <c r="IH37" i="2"/>
  <c r="IH41" i="2"/>
  <c r="IH38" i="2"/>
  <c r="IH40" i="2" l="1"/>
  <c r="IJ34" i="2"/>
  <c r="II39" i="2"/>
  <c r="II38" i="2"/>
  <c r="II42" i="2"/>
  <c r="II37" i="2"/>
  <c r="II41" i="2"/>
  <c r="II40" i="2" l="1"/>
  <c r="IK34" i="2"/>
  <c r="IJ39" i="2"/>
  <c r="IJ37" i="2"/>
  <c r="IJ42" i="2"/>
  <c r="IJ41" i="2"/>
  <c r="IJ38" i="2"/>
  <c r="IJ40" i="2" l="1"/>
  <c r="IL34" i="2"/>
  <c r="IK39" i="2"/>
  <c r="IK38" i="2"/>
  <c r="IK42" i="2"/>
  <c r="IK41" i="2"/>
  <c r="IK37" i="2"/>
  <c r="IK40" i="2" l="1"/>
  <c r="IM34" i="2"/>
  <c r="IL38" i="2"/>
  <c r="IL37" i="2"/>
  <c r="IL42" i="2"/>
  <c r="IL39" i="2"/>
  <c r="IL41" i="2"/>
  <c r="IL40" i="2" l="1"/>
  <c r="IN34" i="2"/>
  <c r="IM37" i="2"/>
  <c r="IM38" i="2"/>
  <c r="IM39" i="2"/>
  <c r="IM42" i="2"/>
  <c r="IM41" i="2"/>
  <c r="IM40" i="2" l="1"/>
  <c r="IO34" i="2"/>
  <c r="IN38" i="2"/>
  <c r="IN42" i="2"/>
  <c r="IN37" i="2"/>
  <c r="IN39" i="2"/>
  <c r="IN41" i="2"/>
  <c r="IN40" i="2" l="1"/>
  <c r="IP34" i="2"/>
  <c r="IO38" i="2"/>
  <c r="IO42" i="2"/>
  <c r="IO41" i="2"/>
  <c r="IO39" i="2"/>
  <c r="IO37" i="2"/>
  <c r="IO40" i="2" l="1"/>
  <c r="IQ34" i="2"/>
  <c r="IP41" i="2"/>
  <c r="IP38" i="2"/>
  <c r="IP39" i="2"/>
  <c r="IP42" i="2"/>
  <c r="IP37" i="2"/>
  <c r="IP40" i="2" l="1"/>
  <c r="IR34" i="2"/>
  <c r="IQ37" i="2"/>
  <c r="IQ41" i="2"/>
  <c r="IQ39" i="2"/>
  <c r="IQ38" i="2"/>
  <c r="IQ42" i="2"/>
  <c r="IQ40" i="2" l="1"/>
  <c r="IS34" i="2"/>
  <c r="IR38" i="2"/>
  <c r="IR39" i="2"/>
  <c r="IR41" i="2"/>
  <c r="IR37" i="2"/>
  <c r="IR42" i="2"/>
  <c r="IR40" i="2" l="1"/>
  <c r="IT34" i="2"/>
  <c r="IS42" i="2"/>
  <c r="IS37" i="2"/>
  <c r="IS39" i="2"/>
  <c r="IS38" i="2"/>
  <c r="IS41" i="2"/>
  <c r="IS40" i="2" l="1"/>
  <c r="IU34" i="2"/>
  <c r="IT42" i="2"/>
  <c r="IT38" i="2"/>
  <c r="IT37" i="2"/>
  <c r="IT39" i="2"/>
  <c r="IT41" i="2"/>
  <c r="IT40" i="2" l="1"/>
  <c r="IV34" i="2"/>
  <c r="IU38" i="2"/>
  <c r="IU41" i="2"/>
  <c r="IU37" i="2"/>
  <c r="IU39" i="2"/>
  <c r="IU42" i="2"/>
  <c r="IU40" i="2" l="1"/>
  <c r="IW34" i="2"/>
  <c r="IV42" i="2"/>
  <c r="IV37" i="2"/>
  <c r="IV39" i="2"/>
  <c r="IV41" i="2"/>
  <c r="IV38" i="2"/>
  <c r="IV40" i="2" l="1"/>
  <c r="IX34" i="2"/>
  <c r="IW37" i="2"/>
  <c r="IW38" i="2"/>
  <c r="IW41" i="2"/>
  <c r="IW42" i="2"/>
  <c r="IW39" i="2"/>
  <c r="IW40" i="2" l="1"/>
  <c r="IY34" i="2"/>
  <c r="IX37" i="2"/>
  <c r="IX41" i="2"/>
  <c r="IX42" i="2"/>
  <c r="IX39" i="2"/>
  <c r="IX38" i="2"/>
  <c r="IX40" i="2" l="1"/>
  <c r="IZ34" i="2"/>
  <c r="IY37" i="2"/>
  <c r="IY39" i="2"/>
  <c r="IY41" i="2"/>
  <c r="IY38" i="2"/>
  <c r="IY42" i="2"/>
  <c r="IY40" i="2" l="1"/>
  <c r="JA34" i="2"/>
  <c r="IZ41" i="2"/>
  <c r="IZ38" i="2"/>
  <c r="IZ39" i="2"/>
  <c r="IZ37" i="2"/>
  <c r="IZ42" i="2"/>
  <c r="IZ40" i="2" l="1"/>
  <c r="JB34" i="2"/>
  <c r="JA39" i="2"/>
  <c r="JA37" i="2"/>
  <c r="JA42" i="2"/>
  <c r="JA41" i="2"/>
  <c r="JA38" i="2"/>
  <c r="JA40" i="2" l="1"/>
  <c r="JC34" i="2"/>
  <c r="JB41" i="2"/>
  <c r="JB38" i="2"/>
  <c r="JB42" i="2"/>
  <c r="JB39" i="2"/>
  <c r="JB37" i="2"/>
  <c r="JB40" i="2" l="1"/>
  <c r="JD34" i="2"/>
  <c r="JC37" i="2"/>
  <c r="JC39" i="2"/>
  <c r="JC42" i="2"/>
  <c r="JC38" i="2"/>
  <c r="JC41" i="2"/>
  <c r="JC40" i="2" l="1"/>
  <c r="JE34" i="2"/>
  <c r="JD37" i="2"/>
  <c r="JD41" i="2"/>
  <c r="JD39" i="2"/>
  <c r="JD42" i="2"/>
  <c r="JD38" i="2"/>
  <c r="JD40" i="2" l="1"/>
  <c r="JF34" i="2"/>
  <c r="JE41" i="2"/>
  <c r="JE42" i="2"/>
  <c r="JE38" i="2"/>
  <c r="JE39" i="2"/>
  <c r="JE37" i="2"/>
  <c r="JE40" i="2" l="1"/>
  <c r="JG34" i="2"/>
  <c r="JF37" i="2"/>
  <c r="JF42" i="2"/>
  <c r="JF38" i="2"/>
  <c r="JF39" i="2"/>
  <c r="JF41" i="2"/>
  <c r="JF40" i="2" l="1"/>
  <c r="JH34" i="2"/>
  <c r="JG42" i="2"/>
  <c r="JG39" i="2"/>
  <c r="JG37" i="2"/>
  <c r="JG38" i="2"/>
  <c r="JG41" i="2"/>
  <c r="JG40" i="2" l="1"/>
  <c r="JI34" i="2"/>
  <c r="JH38" i="2"/>
  <c r="JH41" i="2"/>
  <c r="JH42" i="2"/>
  <c r="JH37" i="2"/>
  <c r="JH39" i="2"/>
  <c r="JH40" i="2" l="1"/>
  <c r="JJ34" i="2"/>
  <c r="JI38" i="2"/>
  <c r="JI37" i="2"/>
  <c r="JI42" i="2"/>
  <c r="JI41" i="2"/>
  <c r="JI39" i="2"/>
  <c r="JI40" i="2" l="1"/>
  <c r="JK34" i="2"/>
  <c r="JJ37" i="2"/>
  <c r="JJ39" i="2"/>
  <c r="JJ41" i="2"/>
  <c r="JJ38" i="2"/>
  <c r="JJ42" i="2"/>
  <c r="JJ40" i="2" l="1"/>
  <c r="JL34" i="2"/>
  <c r="JK37" i="2"/>
  <c r="JK38" i="2"/>
  <c r="JK39" i="2"/>
  <c r="JK42" i="2"/>
  <c r="JK41" i="2"/>
  <c r="JK40" i="2" l="1"/>
  <c r="JM34" i="2"/>
  <c r="JL42" i="2"/>
  <c r="JL38" i="2"/>
  <c r="JL39" i="2"/>
  <c r="JL41" i="2"/>
  <c r="JL37" i="2"/>
  <c r="JL40" i="2" l="1"/>
  <c r="JN34" i="2"/>
  <c r="JM38" i="2"/>
  <c r="JM41" i="2"/>
  <c r="JM42" i="2"/>
  <c r="JM37" i="2"/>
  <c r="JM39" i="2"/>
  <c r="JM40" i="2" l="1"/>
  <c r="JO34" i="2"/>
  <c r="JN37" i="2"/>
  <c r="JN41" i="2"/>
  <c r="JN38" i="2"/>
  <c r="JN42" i="2"/>
  <c r="JN39" i="2"/>
  <c r="JN40" i="2" l="1"/>
  <c r="JP34" i="2"/>
  <c r="JO38" i="2"/>
  <c r="JO37" i="2"/>
  <c r="JO41" i="2"/>
  <c r="JO42" i="2"/>
  <c r="JO39" i="2"/>
  <c r="JO40" i="2" l="1"/>
  <c r="JQ34" i="2"/>
  <c r="JP38" i="2"/>
  <c r="JP39" i="2"/>
  <c r="JP41" i="2"/>
  <c r="JP37" i="2"/>
  <c r="JP42" i="2"/>
  <c r="JP40" i="2" l="1"/>
  <c r="JR34" i="2"/>
  <c r="JQ41" i="2"/>
  <c r="JQ39" i="2"/>
  <c r="JQ38" i="2"/>
  <c r="JQ42" i="2"/>
  <c r="JQ37" i="2"/>
  <c r="JQ40" i="2" l="1"/>
  <c r="JS34" i="2"/>
  <c r="JR41" i="2"/>
  <c r="JR42" i="2"/>
  <c r="JR38" i="2"/>
  <c r="JR39" i="2"/>
  <c r="JR37" i="2"/>
  <c r="JR40" i="2" l="1"/>
  <c r="JT34" i="2"/>
  <c r="JS39" i="2"/>
  <c r="JS42" i="2"/>
  <c r="JS38" i="2"/>
  <c r="JS41" i="2"/>
  <c r="JS37" i="2"/>
  <c r="JS40" i="2" l="1"/>
  <c r="JU34" i="2"/>
  <c r="JT42" i="2"/>
  <c r="JT39" i="2"/>
  <c r="JT38" i="2"/>
  <c r="JT41" i="2"/>
  <c r="JT37" i="2"/>
  <c r="JT40" i="2" l="1"/>
  <c r="JV34" i="2"/>
  <c r="JU41" i="2"/>
  <c r="JU39" i="2"/>
  <c r="JU42" i="2"/>
  <c r="JU37" i="2"/>
  <c r="JU38" i="2"/>
  <c r="JU40" i="2" l="1"/>
  <c r="JW34" i="2"/>
  <c r="JV41" i="2"/>
  <c r="JV39" i="2"/>
  <c r="JV38" i="2"/>
  <c r="JV37" i="2"/>
  <c r="JV42" i="2"/>
  <c r="JV40" i="2" l="1"/>
  <c r="JX34" i="2"/>
  <c r="JW39" i="2"/>
  <c r="JW42" i="2"/>
  <c r="JW37" i="2"/>
  <c r="JW38" i="2"/>
  <c r="JW41" i="2"/>
  <c r="JW40" i="2" l="1"/>
  <c r="JY34" i="2"/>
  <c r="JX41" i="2"/>
  <c r="JX39" i="2"/>
  <c r="JX42" i="2"/>
  <c r="JX37" i="2"/>
  <c r="JX38" i="2"/>
  <c r="JX40" i="2" l="1"/>
  <c r="JZ34" i="2"/>
  <c r="JY39" i="2"/>
  <c r="JY37" i="2"/>
  <c r="JY41" i="2"/>
  <c r="JY38" i="2"/>
  <c r="JY42" i="2"/>
  <c r="JY40" i="2" l="1"/>
  <c r="KA34" i="2"/>
  <c r="JZ42" i="2"/>
  <c r="JZ39" i="2"/>
  <c r="JZ37" i="2"/>
  <c r="JZ38" i="2"/>
  <c r="JZ41" i="2"/>
  <c r="JZ40" i="2" l="1"/>
  <c r="KB34" i="2"/>
  <c r="KA38" i="2"/>
  <c r="KA41" i="2"/>
  <c r="KA42" i="2"/>
  <c r="KA37" i="2"/>
  <c r="KA39" i="2"/>
  <c r="KA40" i="2" l="1"/>
  <c r="KC34" i="2"/>
  <c r="KB42" i="2"/>
  <c r="KB38" i="2"/>
  <c r="KB41" i="2"/>
  <c r="KB37" i="2"/>
  <c r="KB39" i="2"/>
  <c r="KB40" i="2" l="1"/>
  <c r="KD34" i="2"/>
  <c r="KC38" i="2"/>
  <c r="KC42" i="2"/>
  <c r="KC41" i="2"/>
  <c r="KC37" i="2"/>
  <c r="KC39" i="2"/>
  <c r="KC40" i="2" l="1"/>
  <c r="KE34" i="2"/>
  <c r="KD39" i="2"/>
  <c r="KD41" i="2"/>
  <c r="KD37" i="2"/>
  <c r="KD42" i="2"/>
  <c r="KD38" i="2"/>
  <c r="KD40" i="2" l="1"/>
  <c r="KF34" i="2"/>
  <c r="KE41" i="2"/>
  <c r="KE39" i="2"/>
  <c r="KE38" i="2"/>
  <c r="KE37" i="2"/>
  <c r="KE42" i="2"/>
  <c r="KE40" i="2" l="1"/>
  <c r="KG34" i="2"/>
  <c r="KF37" i="2"/>
  <c r="KF38" i="2"/>
  <c r="KF39" i="2"/>
  <c r="KF42" i="2"/>
  <c r="KF41" i="2"/>
  <c r="KF40" i="2" l="1"/>
  <c r="KH34" i="2"/>
  <c r="KG39" i="2"/>
  <c r="KG37" i="2"/>
  <c r="KG42" i="2"/>
  <c r="KG38" i="2"/>
  <c r="KG41" i="2"/>
  <c r="KG40" i="2" l="1"/>
  <c r="KI34" i="2"/>
  <c r="KH39" i="2"/>
  <c r="KH41" i="2"/>
  <c r="KH38" i="2"/>
  <c r="KH42" i="2"/>
  <c r="KH37" i="2"/>
  <c r="KH40" i="2" l="1"/>
  <c r="KJ34" i="2"/>
  <c r="KI42" i="2"/>
  <c r="KI37" i="2"/>
  <c r="KI39" i="2"/>
  <c r="KI41" i="2"/>
  <c r="KI38" i="2"/>
  <c r="KI40" i="2" l="1"/>
  <c r="KK34" i="2"/>
  <c r="KJ37" i="2"/>
  <c r="KJ41" i="2"/>
  <c r="KJ38" i="2"/>
  <c r="KJ39" i="2"/>
  <c r="KJ42" i="2"/>
  <c r="KJ40" i="2" l="1"/>
  <c r="KL34" i="2"/>
  <c r="KK38" i="2"/>
  <c r="KK41" i="2"/>
  <c r="KK39" i="2"/>
  <c r="KK37" i="2"/>
  <c r="KK42" i="2"/>
  <c r="KK40" i="2" l="1"/>
  <c r="KM34" i="2"/>
  <c r="KL41" i="2"/>
  <c r="KL39" i="2"/>
  <c r="KL42" i="2"/>
  <c r="KL37" i="2"/>
  <c r="KL38" i="2"/>
  <c r="KL40" i="2" l="1"/>
  <c r="KN34" i="2"/>
  <c r="KM39" i="2"/>
  <c r="KM41" i="2"/>
  <c r="KM38" i="2"/>
  <c r="KM37" i="2"/>
  <c r="KM42" i="2"/>
  <c r="KM40" i="2" l="1"/>
  <c r="KO34" i="2"/>
  <c r="KN37" i="2"/>
  <c r="KN41" i="2"/>
  <c r="KN38" i="2"/>
  <c r="KN39" i="2"/>
  <c r="KN42" i="2"/>
  <c r="KN40" i="2" l="1"/>
  <c r="KP34" i="2"/>
  <c r="KO38" i="2"/>
  <c r="KO41" i="2"/>
  <c r="KO39" i="2"/>
  <c r="KO37" i="2"/>
  <c r="KO42" i="2"/>
  <c r="KO40" i="2" l="1"/>
  <c r="KQ34" i="2"/>
  <c r="KP41" i="2"/>
  <c r="KP39" i="2"/>
  <c r="KP38" i="2"/>
  <c r="KP37" i="2"/>
  <c r="KP42" i="2"/>
  <c r="KP40" i="2" l="1"/>
  <c r="KR34" i="2"/>
  <c r="KQ39" i="2"/>
  <c r="KQ37" i="2"/>
  <c r="KQ41" i="2"/>
  <c r="KQ38" i="2"/>
  <c r="KQ42" i="2"/>
  <c r="KQ40" i="2" l="1"/>
  <c r="KS34" i="2"/>
  <c r="KR37" i="2"/>
  <c r="KR41" i="2"/>
  <c r="KR38" i="2"/>
  <c r="KR42" i="2"/>
  <c r="KR39" i="2"/>
  <c r="KR40" i="2" l="1"/>
  <c r="KT34" i="2"/>
  <c r="KS37" i="2"/>
  <c r="KS41" i="2"/>
  <c r="KS39" i="2"/>
  <c r="KS38" i="2"/>
  <c r="KS42" i="2"/>
  <c r="KS40" i="2" l="1"/>
  <c r="KU34" i="2"/>
  <c r="KT38" i="2"/>
  <c r="KT42" i="2"/>
  <c r="KT41" i="2"/>
  <c r="KT37" i="2"/>
  <c r="KT39" i="2"/>
  <c r="KT40" i="2" l="1"/>
  <c r="KV34" i="2"/>
  <c r="KU42" i="2"/>
  <c r="KU38" i="2"/>
  <c r="KU39" i="2"/>
  <c r="KU37" i="2"/>
  <c r="KU41" i="2"/>
  <c r="KU40" i="2" l="1"/>
  <c r="KW34" i="2"/>
  <c r="KV41" i="2"/>
  <c r="KV42" i="2"/>
  <c r="KV37" i="2"/>
  <c r="KV38" i="2"/>
  <c r="KV39" i="2"/>
  <c r="KV40" i="2" l="1"/>
  <c r="KX34" i="2"/>
  <c r="KW41" i="2"/>
  <c r="KW38" i="2"/>
  <c r="KW39" i="2"/>
  <c r="KW37" i="2"/>
  <c r="KW42" i="2"/>
  <c r="KW40" i="2" l="1"/>
  <c r="KY34" i="2"/>
  <c r="KX38" i="2"/>
  <c r="KX37" i="2"/>
  <c r="KX42" i="2"/>
  <c r="KX41" i="2"/>
  <c r="KX39" i="2"/>
  <c r="KX40" i="2" l="1"/>
  <c r="KZ34" i="2"/>
  <c r="KY42" i="2"/>
  <c r="KY39" i="2"/>
  <c r="KY41" i="2"/>
  <c r="KY37" i="2"/>
  <c r="KY38" i="2"/>
  <c r="KY40" i="2" l="1"/>
  <c r="LA34" i="2"/>
  <c r="KZ39" i="2"/>
  <c r="KZ42" i="2"/>
  <c r="KZ38" i="2"/>
  <c r="KZ37" i="2"/>
  <c r="KZ41" i="2"/>
  <c r="KZ40" i="2" l="1"/>
  <c r="LB34" i="2"/>
  <c r="LA37" i="2"/>
  <c r="LA38" i="2"/>
  <c r="LA41" i="2"/>
  <c r="LA39" i="2"/>
  <c r="LA42" i="2"/>
  <c r="LA40" i="2" l="1"/>
  <c r="LC34" i="2"/>
  <c r="LB39" i="2"/>
  <c r="LB42" i="2"/>
  <c r="LB37" i="2"/>
  <c r="LB38" i="2"/>
  <c r="LB41" i="2"/>
  <c r="LB40" i="2" l="1"/>
  <c r="LD34" i="2"/>
  <c r="LC42" i="2"/>
  <c r="LC37" i="2"/>
  <c r="LC38" i="2"/>
  <c r="LC41" i="2"/>
  <c r="LC39" i="2"/>
  <c r="LC40" i="2" l="1"/>
  <c r="LE34" i="2"/>
  <c r="LD37" i="2"/>
  <c r="LD39" i="2"/>
  <c r="LD42" i="2"/>
  <c r="LD41" i="2"/>
  <c r="LD38" i="2"/>
  <c r="LD40" i="2" l="1"/>
  <c r="LF34" i="2"/>
  <c r="LE38" i="2"/>
  <c r="LE37" i="2"/>
  <c r="LE42" i="2"/>
  <c r="LE39" i="2"/>
  <c r="LE41" i="2"/>
  <c r="LE40" i="2" l="1"/>
  <c r="LG34" i="2"/>
  <c r="LF39" i="2"/>
  <c r="LF38" i="2"/>
  <c r="LF41" i="2"/>
  <c r="LF42" i="2"/>
  <c r="LF37" i="2"/>
  <c r="LF40" i="2" l="1"/>
  <c r="LH34" i="2"/>
  <c r="LG41" i="2"/>
  <c r="LG42" i="2"/>
  <c r="LG37" i="2"/>
  <c r="LG39" i="2"/>
  <c r="LG38" i="2"/>
  <c r="LG40" i="2" l="1"/>
  <c r="LI34" i="2"/>
  <c r="LH39" i="2"/>
  <c r="LH37" i="2"/>
  <c r="LH41" i="2"/>
  <c r="LH38" i="2"/>
  <c r="LH42" i="2"/>
  <c r="LH40" i="2" l="1"/>
  <c r="LJ34" i="2"/>
  <c r="LI38" i="2"/>
  <c r="LI41" i="2"/>
  <c r="LI42" i="2"/>
  <c r="LI37" i="2"/>
  <c r="LI39" i="2"/>
  <c r="LI40" i="2" l="1"/>
  <c r="LK34" i="2"/>
  <c r="LJ42" i="2"/>
  <c r="LJ38" i="2"/>
  <c r="LJ41" i="2"/>
  <c r="LJ37" i="2"/>
  <c r="LJ39" i="2"/>
  <c r="LJ40" i="2" l="1"/>
  <c r="LL34" i="2"/>
  <c r="LK39" i="2"/>
  <c r="LK41" i="2"/>
  <c r="LK37" i="2"/>
  <c r="LK42" i="2"/>
  <c r="LK38" i="2"/>
  <c r="LK40" i="2" l="1"/>
  <c r="LM34" i="2"/>
  <c r="LL38" i="2"/>
  <c r="LL37" i="2"/>
  <c r="LL39" i="2"/>
  <c r="LL41" i="2"/>
  <c r="LL42" i="2"/>
  <c r="LL40" i="2" l="1"/>
  <c r="LN34" i="2"/>
  <c r="LM39" i="2"/>
  <c r="LM37" i="2"/>
  <c r="LM42" i="2"/>
  <c r="LM41" i="2"/>
  <c r="LM38" i="2"/>
  <c r="LM40" i="2" l="1"/>
  <c r="LO34" i="2"/>
  <c r="LN41" i="2"/>
  <c r="LN37" i="2"/>
  <c r="LN39" i="2"/>
  <c r="LN38" i="2"/>
  <c r="LN42" i="2"/>
  <c r="LN40" i="2" l="1"/>
  <c r="LP34" i="2"/>
  <c r="LO38" i="2"/>
  <c r="LO42" i="2"/>
  <c r="LO41" i="2"/>
  <c r="LO37" i="2"/>
  <c r="LO39" i="2"/>
  <c r="LO40" i="2" l="1"/>
  <c r="LQ34" i="2"/>
  <c r="LP41" i="2"/>
  <c r="LP37" i="2"/>
  <c r="LP42" i="2"/>
  <c r="LP38" i="2"/>
  <c r="LP39" i="2"/>
  <c r="LP40" i="2" l="1"/>
  <c r="LR34" i="2"/>
  <c r="LQ37" i="2"/>
  <c r="LQ41" i="2"/>
  <c r="LQ38" i="2"/>
  <c r="LQ39" i="2"/>
  <c r="LQ42" i="2"/>
  <c r="LQ40" i="2" l="1"/>
  <c r="LS34" i="2"/>
  <c r="LR42" i="2"/>
  <c r="LR41" i="2"/>
  <c r="LR38" i="2"/>
  <c r="LR37" i="2"/>
  <c r="LR39" i="2"/>
  <c r="LR40" i="2" l="1"/>
  <c r="LT34" i="2"/>
  <c r="LS38" i="2"/>
  <c r="LS41" i="2"/>
  <c r="LS39" i="2"/>
  <c r="LS42" i="2"/>
  <c r="LS37" i="2"/>
  <c r="LS40" i="2" l="1"/>
  <c r="LU34" i="2"/>
  <c r="LT38" i="2"/>
  <c r="LT37" i="2"/>
  <c r="LT39" i="2"/>
  <c r="LT41" i="2"/>
  <c r="LT42" i="2"/>
  <c r="LT40" i="2" l="1"/>
  <c r="LV34" i="2"/>
  <c r="LU41" i="2"/>
  <c r="LU39" i="2"/>
  <c r="LU38" i="2"/>
  <c r="LU42" i="2"/>
  <c r="LU37" i="2"/>
  <c r="LU40" i="2" l="1"/>
  <c r="LW34" i="2"/>
  <c r="LV42" i="2"/>
  <c r="LV38" i="2"/>
  <c r="LV41" i="2"/>
  <c r="LV39" i="2"/>
  <c r="LV37" i="2"/>
  <c r="LV40" i="2" l="1"/>
  <c r="LX34" i="2"/>
  <c r="LW37" i="2"/>
  <c r="LW38" i="2"/>
  <c r="LW42" i="2"/>
  <c r="LW39" i="2"/>
  <c r="LW41" i="2"/>
  <c r="LW40" i="2" l="1"/>
  <c r="LY34" i="2"/>
  <c r="LX42" i="2"/>
  <c r="LX41" i="2"/>
  <c r="LX39" i="2"/>
  <c r="LX38" i="2"/>
  <c r="LX37" i="2"/>
  <c r="LX40" i="2" l="1"/>
  <c r="LZ34" i="2"/>
  <c r="LY38" i="2"/>
  <c r="LY37" i="2"/>
  <c r="LY39" i="2"/>
  <c r="LY41" i="2"/>
  <c r="LY42" i="2"/>
  <c r="LY40" i="2" l="1"/>
  <c r="MA34" i="2"/>
  <c r="LZ39" i="2"/>
  <c r="LZ42" i="2"/>
  <c r="LZ37" i="2"/>
  <c r="LZ38" i="2"/>
  <c r="LZ41" i="2"/>
  <c r="LZ40" i="2" l="1"/>
  <c r="MB34" i="2"/>
  <c r="MA38" i="2"/>
  <c r="MA41" i="2"/>
  <c r="MA37" i="2"/>
  <c r="MA39" i="2"/>
  <c r="MA42" i="2"/>
  <c r="MA40" i="2" l="1"/>
  <c r="MC34" i="2"/>
  <c r="MB41" i="2"/>
  <c r="MB37" i="2"/>
  <c r="MB42" i="2"/>
  <c r="MB38" i="2"/>
  <c r="MB39" i="2"/>
  <c r="MB40" i="2" l="1"/>
  <c r="MD34" i="2"/>
  <c r="MC39" i="2"/>
  <c r="MC37" i="2"/>
  <c r="MC38" i="2"/>
  <c r="MC42" i="2"/>
  <c r="MC41" i="2"/>
  <c r="MC40" i="2" l="1"/>
  <c r="ME34" i="2"/>
  <c r="MD38" i="2"/>
  <c r="MD42" i="2"/>
  <c r="MD37" i="2"/>
  <c r="MD39" i="2"/>
  <c r="MD41" i="2"/>
  <c r="MD40" i="2" l="1"/>
  <c r="MF34" i="2"/>
  <c r="ME37" i="2"/>
  <c r="ME39" i="2"/>
  <c r="ME42" i="2"/>
  <c r="ME41" i="2"/>
  <c r="ME38" i="2"/>
  <c r="ME40" i="2" l="1"/>
  <c r="MG34" i="2"/>
  <c r="MF39" i="2"/>
  <c r="MF37" i="2"/>
  <c r="MF42" i="2"/>
  <c r="MF38" i="2"/>
  <c r="MF41" i="2"/>
  <c r="MF40" i="2" l="1"/>
  <c r="MH34" i="2"/>
  <c r="MG41" i="2"/>
  <c r="MG42" i="2"/>
  <c r="MG39" i="2"/>
  <c r="MG38" i="2"/>
  <c r="MG37" i="2"/>
  <c r="MG40" i="2" l="1"/>
  <c r="MI34" i="2"/>
  <c r="MH42" i="2"/>
  <c r="MH37" i="2"/>
  <c r="MH39" i="2"/>
  <c r="MH38" i="2"/>
  <c r="MH41" i="2"/>
  <c r="MH40" i="2" l="1"/>
  <c r="MJ34" i="2"/>
  <c r="MI42" i="2"/>
  <c r="MI39" i="2"/>
  <c r="MI37" i="2"/>
  <c r="MI41" i="2"/>
  <c r="MI38" i="2"/>
  <c r="MI40" i="2" l="1"/>
  <c r="MK34" i="2"/>
  <c r="MJ38" i="2"/>
  <c r="MJ42" i="2"/>
  <c r="MJ39" i="2"/>
  <c r="MJ37" i="2"/>
  <c r="MJ41" i="2"/>
  <c r="MJ40" i="2" l="1"/>
  <c r="ML34" i="2"/>
  <c r="MK39" i="2"/>
  <c r="MK38" i="2"/>
  <c r="MK37" i="2"/>
  <c r="MK41" i="2"/>
  <c r="MK42" i="2"/>
  <c r="MK40" i="2" l="1"/>
  <c r="MM34" i="2"/>
  <c r="ML39" i="2"/>
  <c r="ML42" i="2"/>
  <c r="ML37" i="2"/>
  <c r="ML38" i="2"/>
  <c r="ML41" i="2"/>
  <c r="ML40" i="2" l="1"/>
  <c r="MN34" i="2"/>
  <c r="MM41" i="2"/>
  <c r="MM42" i="2"/>
  <c r="MM39" i="2"/>
  <c r="MM38" i="2"/>
  <c r="MM37" i="2"/>
  <c r="MM40" i="2" l="1"/>
  <c r="MO34" i="2"/>
  <c r="MN37" i="2"/>
  <c r="MN42" i="2"/>
  <c r="MN39" i="2"/>
  <c r="MN41" i="2"/>
  <c r="MN38" i="2"/>
  <c r="MN40" i="2" l="1"/>
  <c r="MP34" i="2"/>
  <c r="MO38" i="2"/>
  <c r="MO39" i="2"/>
  <c r="MO41" i="2"/>
  <c r="MO37" i="2"/>
  <c r="MO42" i="2"/>
  <c r="MO40" i="2" l="1"/>
  <c r="MQ34" i="2"/>
  <c r="MP38" i="2"/>
  <c r="MP39" i="2"/>
  <c r="MP37" i="2"/>
  <c r="MP42" i="2"/>
  <c r="MP41" i="2"/>
  <c r="MP40" i="2" l="1"/>
  <c r="MR34" i="2"/>
  <c r="MQ41" i="2"/>
  <c r="MQ38" i="2"/>
  <c r="MQ39" i="2"/>
  <c r="MQ42" i="2"/>
  <c r="MQ37" i="2"/>
  <c r="MQ40" i="2" l="1"/>
  <c r="MS34" i="2"/>
  <c r="MR42" i="2"/>
  <c r="MR37" i="2"/>
  <c r="MR38" i="2"/>
  <c r="MR41" i="2"/>
  <c r="MR39" i="2"/>
  <c r="MR40" i="2" l="1"/>
  <c r="MT34" i="2"/>
  <c r="MS39" i="2"/>
  <c r="MS38" i="2"/>
  <c r="MS41" i="2"/>
  <c r="MS37" i="2"/>
  <c r="MS42" i="2"/>
  <c r="MS40" i="2" l="1"/>
  <c r="MU34" i="2"/>
  <c r="MT42" i="2"/>
  <c r="MT39" i="2"/>
  <c r="MT41" i="2"/>
  <c r="MT38" i="2"/>
  <c r="MT37" i="2"/>
  <c r="MT40" i="2" l="1"/>
  <c r="MV34" i="2"/>
  <c r="MU39" i="2"/>
  <c r="MU42" i="2"/>
  <c r="MU38" i="2"/>
  <c r="MU37" i="2"/>
  <c r="MU41" i="2"/>
  <c r="MU40" i="2" l="1"/>
  <c r="MW34" i="2"/>
  <c r="MV37" i="2"/>
  <c r="MV42" i="2"/>
  <c r="MV41" i="2"/>
  <c r="MV38" i="2"/>
  <c r="MV39" i="2"/>
  <c r="MV40" i="2" l="1"/>
  <c r="MX34" i="2"/>
  <c r="MW42" i="2"/>
  <c r="MW37" i="2"/>
  <c r="MW41" i="2"/>
  <c r="MW38" i="2"/>
  <c r="MW39" i="2"/>
  <c r="MW40" i="2" l="1"/>
  <c r="MY34" i="2"/>
  <c r="MX39" i="2"/>
  <c r="MX42" i="2"/>
  <c r="MX41" i="2"/>
  <c r="MX38" i="2"/>
  <c r="MX37" i="2"/>
  <c r="MX40" i="2" l="1"/>
  <c r="MZ34" i="2"/>
  <c r="MY41" i="2"/>
  <c r="MY37" i="2"/>
  <c r="MY42" i="2"/>
  <c r="MY39" i="2"/>
  <c r="MY38" i="2"/>
  <c r="MY40" i="2" l="1"/>
  <c r="NA34" i="2"/>
  <c r="MZ38" i="2"/>
  <c r="MZ37" i="2"/>
  <c r="MZ39" i="2"/>
  <c r="MZ41" i="2"/>
  <c r="MZ42" i="2"/>
  <c r="MZ40" i="2" l="1"/>
  <c r="NB34" i="2"/>
  <c r="NA38" i="2"/>
  <c r="NA39" i="2"/>
  <c r="NA41" i="2"/>
  <c r="NA42" i="2"/>
  <c r="NA37" i="2"/>
  <c r="NA40" i="2" l="1"/>
  <c r="NC34" i="2"/>
  <c r="NB37" i="2"/>
  <c r="NB39" i="2"/>
  <c r="NB41" i="2"/>
  <c r="NB38" i="2"/>
  <c r="NB42" i="2"/>
  <c r="NB40" i="2" l="1"/>
  <c r="ND34" i="2"/>
  <c r="NC37" i="2"/>
  <c r="NC38" i="2"/>
  <c r="NC42" i="2"/>
  <c r="NC41" i="2"/>
  <c r="NC39" i="2"/>
  <c r="NC40" i="2" l="1"/>
  <c r="NE34" i="2"/>
  <c r="ND38" i="2"/>
  <c r="ND41" i="2"/>
  <c r="ND42" i="2"/>
  <c r="ND37" i="2"/>
  <c r="ND39" i="2"/>
  <c r="ND40" i="2" l="1"/>
  <c r="NF34" i="2"/>
  <c r="NE39" i="2"/>
  <c r="NE41" i="2"/>
  <c r="NE37" i="2"/>
  <c r="NE42" i="2"/>
  <c r="NE38" i="2"/>
  <c r="NE40" i="2" l="1"/>
  <c r="NG34" i="2"/>
  <c r="NF39" i="2"/>
  <c r="NF38" i="2"/>
  <c r="NF42" i="2"/>
  <c r="NF37" i="2"/>
  <c r="NF41" i="2"/>
  <c r="NF40" i="2" l="1"/>
  <c r="NH34" i="2"/>
  <c r="NG39" i="2"/>
  <c r="NG41" i="2"/>
  <c r="NG38" i="2"/>
  <c r="NG42" i="2"/>
  <c r="NG37" i="2"/>
  <c r="NG40" i="2" l="1"/>
  <c r="NI34" i="2"/>
  <c r="NH38" i="2"/>
  <c r="NH39" i="2"/>
  <c r="NH37" i="2"/>
  <c r="NH42" i="2"/>
  <c r="NH41" i="2"/>
  <c r="NH40" i="2" l="1"/>
  <c r="NJ34" i="2"/>
  <c r="NI39" i="2"/>
  <c r="NI38" i="2"/>
  <c r="NI37" i="2"/>
  <c r="NI41" i="2"/>
  <c r="NI42" i="2"/>
  <c r="NI40" i="2" l="1"/>
  <c r="NK34" i="2"/>
  <c r="NJ37" i="2"/>
  <c r="NJ39" i="2"/>
  <c r="NJ38" i="2"/>
  <c r="NJ41" i="2"/>
  <c r="NJ42" i="2"/>
  <c r="NJ40" i="2" l="1"/>
  <c r="NL34" i="2"/>
  <c r="NK41" i="2"/>
  <c r="NK38" i="2"/>
  <c r="NK39" i="2"/>
  <c r="NK42" i="2"/>
  <c r="NK37" i="2"/>
  <c r="NK40" i="2" l="1"/>
  <c r="NM34" i="2"/>
  <c r="NL38" i="2"/>
  <c r="NL37" i="2"/>
  <c r="NL42" i="2"/>
  <c r="NL41" i="2"/>
  <c r="NL39" i="2"/>
  <c r="NL40" i="2" l="1"/>
  <c r="NN34" i="2"/>
  <c r="NM39" i="2"/>
  <c r="NM37" i="2"/>
  <c r="NM38" i="2"/>
  <c r="NM42" i="2"/>
  <c r="NM41" i="2"/>
  <c r="NM40" i="2" l="1"/>
  <c r="NO34" i="2"/>
  <c r="NN38" i="2"/>
  <c r="NN39" i="2"/>
  <c r="NN41" i="2"/>
  <c r="NN42" i="2"/>
  <c r="NN37" i="2"/>
  <c r="NN40" i="2" l="1"/>
  <c r="NP34" i="2"/>
  <c r="NO42" i="2"/>
  <c r="NO38" i="2"/>
  <c r="NO37" i="2"/>
  <c r="NO41" i="2"/>
  <c r="NO39" i="2"/>
  <c r="NO40" i="2" l="1"/>
  <c r="NQ34" i="2"/>
  <c r="NP41" i="2"/>
  <c r="NP42" i="2"/>
  <c r="NP39" i="2"/>
  <c r="NP38" i="2"/>
  <c r="NP37" i="2"/>
  <c r="NP40" i="2" l="1"/>
  <c r="NR34" i="2"/>
  <c r="NQ38" i="2"/>
  <c r="NQ37" i="2"/>
  <c r="NQ41" i="2"/>
  <c r="NQ39" i="2"/>
  <c r="NQ42" i="2"/>
  <c r="NQ40" i="2" l="1"/>
  <c r="NS34" i="2"/>
  <c r="NR37" i="2"/>
  <c r="NR42" i="2"/>
  <c r="NR38" i="2"/>
  <c r="NR39" i="2"/>
  <c r="NR41" i="2"/>
  <c r="NR40" i="2" l="1"/>
  <c r="NT34" i="2"/>
  <c r="NS38" i="2"/>
  <c r="NS41" i="2"/>
  <c r="NS42" i="2"/>
  <c r="NS37" i="2"/>
  <c r="NS39" i="2"/>
  <c r="NS40" i="2" l="1"/>
  <c r="NU34" i="2"/>
  <c r="NT41" i="2"/>
  <c r="NT38" i="2"/>
  <c r="NT42" i="2"/>
  <c r="NT37" i="2"/>
  <c r="NT39" i="2"/>
  <c r="NT40" i="2" l="1"/>
  <c r="NV34" i="2"/>
  <c r="NU41" i="2"/>
  <c r="NU42" i="2"/>
  <c r="NU38" i="2"/>
  <c r="NU39" i="2"/>
  <c r="NU37" i="2"/>
  <c r="NU40" i="2" l="1"/>
  <c r="NW34" i="2"/>
  <c r="NV42" i="2"/>
  <c r="NV41" i="2"/>
  <c r="NV38" i="2"/>
  <c r="NV37" i="2"/>
  <c r="NV39" i="2"/>
  <c r="NV40" i="2" l="1"/>
  <c r="NX34" i="2"/>
  <c r="NW38" i="2"/>
  <c r="NW37" i="2"/>
  <c r="NW42" i="2"/>
  <c r="NW39" i="2"/>
  <c r="NW41" i="2"/>
  <c r="NW40" i="2" l="1"/>
  <c r="NY34" i="2"/>
  <c r="NX41" i="2"/>
  <c r="NX37" i="2"/>
  <c r="NX39" i="2"/>
  <c r="NX38" i="2"/>
  <c r="NX42" i="2"/>
  <c r="NX40" i="2" l="1"/>
  <c r="NZ34" i="2"/>
  <c r="NY39" i="2"/>
  <c r="NY38" i="2"/>
  <c r="NY41" i="2"/>
  <c r="NY42" i="2"/>
  <c r="NY37" i="2"/>
  <c r="NY40" i="2" l="1"/>
  <c r="OA34" i="2"/>
  <c r="NZ39" i="2"/>
  <c r="NZ41" i="2"/>
  <c r="NZ38" i="2"/>
  <c r="NZ37" i="2"/>
  <c r="NZ42" i="2"/>
  <c r="NZ40" i="2" l="1"/>
  <c r="OB34" i="2"/>
  <c r="OA42" i="2"/>
  <c r="OA37" i="2"/>
  <c r="OA39" i="2"/>
  <c r="OA38" i="2"/>
  <c r="OA41" i="2"/>
  <c r="OA40" i="2" l="1"/>
  <c r="OC34" i="2"/>
  <c r="OB37" i="2"/>
  <c r="OB39" i="2"/>
  <c r="OB38" i="2"/>
  <c r="OB42" i="2"/>
  <c r="OB41" i="2"/>
  <c r="OB40" i="2" l="1"/>
  <c r="OD34" i="2"/>
  <c r="OC38" i="2"/>
  <c r="OC42" i="2"/>
  <c r="OC39" i="2"/>
  <c r="OC41" i="2"/>
  <c r="OC37" i="2"/>
  <c r="OC40" i="2" l="1"/>
  <c r="OE34" i="2"/>
  <c r="OD42" i="2"/>
  <c r="OD37" i="2"/>
  <c r="OD41" i="2"/>
  <c r="OD38" i="2"/>
  <c r="OD39" i="2"/>
  <c r="OD40" i="2" l="1"/>
  <c r="OF34" i="2"/>
  <c r="OE41" i="2"/>
  <c r="OE39" i="2"/>
  <c r="OE42" i="2"/>
  <c r="OE38" i="2"/>
  <c r="OE37" i="2"/>
  <c r="OE40" i="2" l="1"/>
  <c r="OG34" i="2"/>
  <c r="OF38" i="2"/>
  <c r="OF41" i="2"/>
  <c r="OF39" i="2"/>
  <c r="OF42" i="2"/>
  <c r="OF37" i="2"/>
  <c r="OF40" i="2" l="1"/>
  <c r="OH34" i="2"/>
  <c r="OG37" i="2"/>
  <c r="OG38" i="2"/>
  <c r="OG41" i="2"/>
  <c r="OG39" i="2"/>
  <c r="OG42" i="2"/>
  <c r="OG40" i="2" l="1"/>
  <c r="OI34" i="2"/>
  <c r="OH39" i="2"/>
  <c r="OH42" i="2"/>
  <c r="OH38" i="2"/>
  <c r="OH37" i="2"/>
  <c r="OH41" i="2"/>
  <c r="OH40" i="2" l="1"/>
  <c r="OJ34" i="2"/>
  <c r="OI38" i="2"/>
  <c r="OI41" i="2"/>
  <c r="OI39" i="2"/>
  <c r="OI42" i="2"/>
  <c r="OI37" i="2"/>
  <c r="OI40" i="2" l="1"/>
  <c r="OK34" i="2"/>
  <c r="OJ41" i="2"/>
  <c r="OJ42" i="2"/>
  <c r="OJ37" i="2"/>
  <c r="OJ39" i="2"/>
  <c r="OJ38" i="2"/>
  <c r="OJ40" i="2" l="1"/>
  <c r="OL34" i="2"/>
  <c r="OK37" i="2"/>
  <c r="OK41" i="2"/>
  <c r="OK38" i="2"/>
  <c r="OK39" i="2"/>
  <c r="OK42" i="2"/>
  <c r="OK40" i="2" l="1"/>
  <c r="OM34" i="2"/>
  <c r="OL39" i="2"/>
  <c r="OL42" i="2"/>
  <c r="OL38" i="2"/>
  <c r="OL37" i="2"/>
  <c r="OL41" i="2"/>
  <c r="OL40" i="2" l="1"/>
  <c r="ON34" i="2"/>
  <c r="OM42" i="2"/>
  <c r="OM37" i="2"/>
  <c r="OM41" i="2"/>
  <c r="OM38" i="2"/>
  <c r="OM39" i="2"/>
  <c r="OM40" i="2" l="1"/>
  <c r="OO34" i="2"/>
  <c r="ON39" i="2"/>
  <c r="ON37" i="2"/>
  <c r="ON42" i="2"/>
  <c r="ON38" i="2"/>
  <c r="ON41" i="2"/>
  <c r="ON40" i="2" l="1"/>
  <c r="OP34" i="2"/>
  <c r="OO37" i="2"/>
  <c r="OO42" i="2"/>
  <c r="OO38" i="2"/>
  <c r="OO41" i="2"/>
  <c r="OO39" i="2"/>
  <c r="OO40" i="2" l="1"/>
  <c r="OQ34" i="2"/>
  <c r="OP38" i="2"/>
  <c r="OP37" i="2"/>
  <c r="OP39" i="2"/>
  <c r="OP41" i="2"/>
  <c r="OP42" i="2"/>
  <c r="OP40" i="2" l="1"/>
  <c r="OR34" i="2"/>
  <c r="OQ38" i="2"/>
  <c r="OQ42" i="2"/>
  <c r="OQ37" i="2"/>
  <c r="OQ39" i="2"/>
  <c r="OQ41" i="2"/>
  <c r="OQ40" i="2" l="1"/>
  <c r="OS34" i="2"/>
  <c r="OR42" i="2"/>
  <c r="OR37" i="2"/>
  <c r="OR39" i="2"/>
  <c r="OR41" i="2"/>
  <c r="OR38" i="2"/>
  <c r="OR40" i="2" l="1"/>
  <c r="OT34" i="2"/>
  <c r="OS38" i="2"/>
  <c r="OS39" i="2"/>
  <c r="OS41" i="2"/>
  <c r="OS37" i="2"/>
  <c r="OS42" i="2"/>
  <c r="OS40" i="2" l="1"/>
  <c r="OU34" i="2"/>
  <c r="OT39" i="2"/>
  <c r="OT38" i="2"/>
  <c r="OT37" i="2"/>
  <c r="OT42" i="2"/>
  <c r="OT41" i="2"/>
  <c r="OT40" i="2" l="1"/>
  <c r="OV34" i="2"/>
  <c r="OU42" i="2"/>
  <c r="OU38" i="2"/>
  <c r="OU37" i="2"/>
  <c r="OU39" i="2"/>
  <c r="OU41" i="2"/>
  <c r="OU40" i="2" l="1"/>
  <c r="OW34" i="2"/>
  <c r="OV38" i="2"/>
  <c r="OV39" i="2"/>
  <c r="OV42" i="2"/>
  <c r="OV37" i="2"/>
  <c r="OV41" i="2"/>
  <c r="OV40" i="2" l="1"/>
  <c r="OX34" i="2"/>
  <c r="OW42" i="2"/>
  <c r="OW37" i="2"/>
  <c r="OW41" i="2"/>
  <c r="OW39" i="2"/>
  <c r="OW38" i="2"/>
  <c r="OW40" i="2" l="1"/>
  <c r="OY34" i="2"/>
  <c r="OX37" i="2"/>
  <c r="OX39" i="2"/>
  <c r="OX38" i="2"/>
  <c r="OX42" i="2"/>
  <c r="OX41" i="2"/>
  <c r="OX40" i="2" l="1"/>
  <c r="OZ34" i="2"/>
  <c r="OY41" i="2"/>
  <c r="OY38" i="2"/>
  <c r="OY37" i="2"/>
  <c r="OY39" i="2"/>
  <c r="OY42" i="2"/>
  <c r="OY40" i="2" l="1"/>
  <c r="PA34" i="2"/>
  <c r="OZ37" i="2"/>
  <c r="OZ39" i="2"/>
  <c r="OZ38" i="2"/>
  <c r="OZ41" i="2"/>
  <c r="OZ42" i="2"/>
  <c r="OZ40" i="2" l="1"/>
  <c r="PB34" i="2"/>
  <c r="PA37" i="2"/>
  <c r="PA38" i="2"/>
  <c r="PA39" i="2"/>
  <c r="PA42" i="2"/>
  <c r="PA41" i="2"/>
  <c r="PA40" i="2" l="1"/>
  <c r="PC34" i="2"/>
  <c r="PB41" i="2"/>
  <c r="PB39" i="2"/>
  <c r="PB42" i="2"/>
  <c r="PB38" i="2"/>
  <c r="PB37" i="2"/>
  <c r="PB40" i="2" l="1"/>
  <c r="PD34" i="2"/>
  <c r="PC38" i="2"/>
  <c r="PC41" i="2"/>
  <c r="PC37" i="2"/>
  <c r="PC39" i="2"/>
  <c r="PC42" i="2"/>
  <c r="PC40" i="2" l="1"/>
  <c r="PE34" i="2"/>
  <c r="PD37" i="2"/>
  <c r="PD39" i="2"/>
  <c r="PD42" i="2"/>
  <c r="PD41" i="2"/>
  <c r="PD38" i="2"/>
  <c r="PD40" i="2" l="1"/>
  <c r="PF34" i="2"/>
  <c r="PE41" i="2"/>
  <c r="PE38" i="2"/>
  <c r="PE37" i="2"/>
  <c r="PE39" i="2"/>
  <c r="PE42" i="2"/>
  <c r="PE40" i="2" l="1"/>
  <c r="PG34" i="2"/>
  <c r="PF38" i="2"/>
  <c r="PF42" i="2"/>
  <c r="PF41" i="2"/>
  <c r="PF39" i="2"/>
  <c r="PF37" i="2"/>
  <c r="PF40" i="2" l="1"/>
  <c r="PH34" i="2"/>
  <c r="PG37" i="2"/>
  <c r="PG41" i="2"/>
  <c r="PG39" i="2"/>
  <c r="PG42" i="2"/>
  <c r="PG38" i="2"/>
  <c r="PG40" i="2" l="1"/>
  <c r="PI34" i="2"/>
  <c r="PH38" i="2"/>
  <c r="PH37" i="2"/>
  <c r="PH42" i="2"/>
  <c r="PH39" i="2"/>
  <c r="PH41" i="2"/>
  <c r="PH40" i="2" l="1"/>
  <c r="PJ34" i="2"/>
  <c r="PI37" i="2"/>
  <c r="PI42" i="2"/>
  <c r="PI39" i="2"/>
  <c r="PI41" i="2"/>
  <c r="PI38" i="2"/>
  <c r="PI40" i="2" l="1"/>
  <c r="PK34" i="2"/>
  <c r="PJ41" i="2"/>
  <c r="PJ39" i="2"/>
  <c r="PJ37" i="2"/>
  <c r="PJ38" i="2"/>
  <c r="PJ42" i="2"/>
  <c r="PJ40" i="2" l="1"/>
  <c r="PL34" i="2"/>
  <c r="PK41" i="2"/>
  <c r="PK38" i="2"/>
  <c r="PK37" i="2"/>
  <c r="PK42" i="2"/>
  <c r="PK39" i="2"/>
  <c r="PK40" i="2" l="1"/>
  <c r="PM34" i="2"/>
  <c r="PL42" i="2"/>
  <c r="PL41" i="2"/>
  <c r="PL38" i="2"/>
  <c r="PL39" i="2"/>
  <c r="PL37" i="2"/>
  <c r="PL40" i="2" l="1"/>
  <c r="PN34" i="2"/>
  <c r="PM37" i="2"/>
  <c r="PM42" i="2"/>
  <c r="PM39" i="2"/>
  <c r="PM38" i="2"/>
  <c r="PM41" i="2"/>
  <c r="PM40" i="2" l="1"/>
  <c r="PO34" i="2"/>
  <c r="PN38" i="2"/>
  <c r="PN41" i="2"/>
  <c r="PN37" i="2"/>
  <c r="PN42" i="2"/>
  <c r="PN39" i="2"/>
  <c r="PN40" i="2" l="1"/>
  <c r="PP34" i="2"/>
  <c r="PO42" i="2"/>
  <c r="PO39" i="2"/>
  <c r="PO41" i="2"/>
  <c r="PO37" i="2"/>
  <c r="PO38" i="2"/>
  <c r="PO40" i="2" l="1"/>
  <c r="PQ34" i="2"/>
  <c r="PP39" i="2"/>
  <c r="PP42" i="2"/>
  <c r="PP37" i="2"/>
  <c r="PP38" i="2"/>
  <c r="PP41" i="2"/>
  <c r="PP40" i="2" l="1"/>
  <c r="PR34" i="2"/>
  <c r="PQ39" i="2"/>
  <c r="PQ38" i="2"/>
  <c r="PQ37" i="2"/>
  <c r="PQ42" i="2"/>
  <c r="PQ41" i="2"/>
  <c r="PQ40" i="2" l="1"/>
  <c r="PS34" i="2"/>
  <c r="PR39" i="2"/>
  <c r="PR37" i="2"/>
  <c r="PR42" i="2"/>
  <c r="PR38" i="2"/>
  <c r="PR41" i="2"/>
  <c r="PR40" i="2" l="1"/>
  <c r="PT34" i="2"/>
  <c r="PS42" i="2"/>
  <c r="PS38" i="2"/>
  <c r="PS39" i="2"/>
  <c r="PS37" i="2"/>
  <c r="PS41" i="2"/>
  <c r="PS40" i="2" l="1"/>
  <c r="PU34" i="2"/>
  <c r="PT39" i="2"/>
  <c r="PT38" i="2"/>
  <c r="PT42" i="2"/>
  <c r="PT41" i="2"/>
  <c r="PT37" i="2"/>
  <c r="PT40" i="2" l="1"/>
  <c r="PV34" i="2"/>
  <c r="PU42" i="2"/>
  <c r="PU39" i="2"/>
  <c r="PU41" i="2"/>
  <c r="PU37" i="2"/>
  <c r="PU38" i="2"/>
  <c r="PU40" i="2" l="1"/>
  <c r="PW34" i="2"/>
  <c r="PV38" i="2"/>
  <c r="PV41" i="2"/>
  <c r="PV39" i="2"/>
  <c r="PV37" i="2"/>
  <c r="PV42" i="2"/>
  <c r="PV40" i="2" l="1"/>
  <c r="PX34" i="2"/>
  <c r="PW37" i="2"/>
  <c r="PW41" i="2"/>
  <c r="PW39" i="2"/>
  <c r="PW42" i="2"/>
  <c r="PW38" i="2"/>
  <c r="PW40" i="2" l="1"/>
  <c r="PY34" i="2"/>
  <c r="PX39" i="2"/>
  <c r="PX38" i="2"/>
  <c r="PX42" i="2"/>
  <c r="PX37" i="2"/>
  <c r="PX41" i="2"/>
  <c r="PX40" i="2" l="1"/>
  <c r="PZ34" i="2"/>
  <c r="PY42" i="2"/>
  <c r="PY37" i="2"/>
  <c r="PY38" i="2"/>
  <c r="PY39" i="2"/>
  <c r="PY41" i="2"/>
  <c r="PY40" i="2" l="1"/>
  <c r="QA34" i="2"/>
  <c r="PZ38" i="2"/>
  <c r="PZ41" i="2"/>
  <c r="PZ37" i="2"/>
  <c r="PZ39" i="2"/>
  <c r="PZ42" i="2"/>
  <c r="PZ40" i="2" l="1"/>
  <c r="QB34" i="2"/>
  <c r="QA41" i="2"/>
  <c r="QA38" i="2"/>
  <c r="QA42" i="2"/>
  <c r="QA39" i="2"/>
  <c r="QA37" i="2"/>
  <c r="QA40" i="2" l="1"/>
  <c r="QC34" i="2"/>
  <c r="QB37" i="2"/>
  <c r="QB39" i="2"/>
  <c r="QB41" i="2"/>
  <c r="QB42" i="2"/>
  <c r="QB38" i="2"/>
  <c r="QB40" i="2" l="1"/>
  <c r="QD34" i="2"/>
  <c r="QC38" i="2"/>
  <c r="QC42" i="2"/>
  <c r="QC39" i="2"/>
  <c r="QC41" i="2"/>
  <c r="QC37" i="2"/>
  <c r="QC40" i="2" l="1"/>
  <c r="QE34" i="2"/>
  <c r="QD42" i="2"/>
  <c r="QD41" i="2"/>
  <c r="QD37" i="2"/>
  <c r="QD39" i="2"/>
  <c r="QD38" i="2"/>
  <c r="QD40" i="2" l="1"/>
  <c r="QF34" i="2"/>
  <c r="QE42" i="2"/>
  <c r="QE38" i="2"/>
  <c r="QE41" i="2"/>
  <c r="QE39" i="2"/>
  <c r="QE37" i="2"/>
  <c r="QE40" i="2" l="1"/>
  <c r="QG34" i="2"/>
  <c r="QF41" i="2"/>
  <c r="QF38" i="2"/>
  <c r="QF42" i="2"/>
  <c r="QF37" i="2"/>
  <c r="QF39" i="2"/>
  <c r="QF40" i="2" l="1"/>
  <c r="QH34" i="2"/>
  <c r="QG42" i="2"/>
  <c r="QG38" i="2"/>
  <c r="QG41" i="2"/>
  <c r="QG37" i="2"/>
  <c r="QG39" i="2"/>
  <c r="QG40" i="2" l="1"/>
  <c r="QI34" i="2"/>
  <c r="QH39" i="2"/>
  <c r="QH38" i="2"/>
  <c r="QH41" i="2"/>
  <c r="QH37" i="2"/>
  <c r="QH42" i="2"/>
  <c r="QH40" i="2" l="1"/>
  <c r="QJ34" i="2"/>
  <c r="QI37" i="2"/>
  <c r="QI42" i="2"/>
  <c r="QI39" i="2"/>
  <c r="QI38" i="2"/>
  <c r="QI41" i="2"/>
  <c r="QI40" i="2" l="1"/>
  <c r="QK34" i="2"/>
  <c r="QJ42" i="2"/>
  <c r="QJ41" i="2"/>
  <c r="QJ39" i="2"/>
  <c r="QJ37" i="2"/>
  <c r="QJ38" i="2"/>
  <c r="QJ40" i="2" l="1"/>
  <c r="QL34" i="2"/>
  <c r="QK41" i="2"/>
  <c r="QK38" i="2"/>
  <c r="QK37" i="2"/>
  <c r="QK39" i="2"/>
  <c r="QK42" i="2"/>
  <c r="QK40" i="2" l="1"/>
  <c r="QM34" i="2"/>
  <c r="QL39" i="2"/>
  <c r="QL42" i="2"/>
  <c r="QL38" i="2"/>
  <c r="QL37" i="2"/>
  <c r="QL41" i="2"/>
  <c r="QL40" i="2" l="1"/>
  <c r="QN34" i="2"/>
  <c r="QM39" i="2"/>
  <c r="QM41" i="2"/>
  <c r="QM37" i="2"/>
  <c r="QM42" i="2"/>
  <c r="QM38" i="2"/>
  <c r="QM40" i="2" l="1"/>
  <c r="QO34" i="2"/>
  <c r="QN38" i="2"/>
  <c r="QN39" i="2"/>
  <c r="QN42" i="2"/>
  <c r="QN41" i="2"/>
  <c r="QN37" i="2"/>
  <c r="QN40" i="2" l="1"/>
  <c r="QP34" i="2"/>
  <c r="QO42" i="2"/>
  <c r="QO37" i="2"/>
  <c r="QO38" i="2"/>
  <c r="QO39" i="2"/>
  <c r="QO41" i="2"/>
  <c r="QO40" i="2" l="1"/>
  <c r="QQ34" i="2"/>
  <c r="QP37" i="2"/>
  <c r="QP39" i="2"/>
  <c r="QP42" i="2"/>
  <c r="QP41" i="2"/>
  <c r="QP38" i="2"/>
  <c r="QP40" i="2" l="1"/>
  <c r="QR34" i="2"/>
  <c r="QQ42" i="2"/>
  <c r="QQ41" i="2"/>
  <c r="QQ38" i="2"/>
  <c r="QQ39" i="2"/>
  <c r="QQ37" i="2"/>
  <c r="QQ40" i="2" l="1"/>
  <c r="QS34" i="2"/>
  <c r="QR42" i="2"/>
  <c r="QR41" i="2"/>
  <c r="QR37" i="2"/>
  <c r="QR38" i="2"/>
  <c r="QR39" i="2"/>
  <c r="QR40" i="2" l="1"/>
  <c r="QT34" i="2"/>
  <c r="QS41" i="2"/>
  <c r="QS42" i="2"/>
  <c r="QS38" i="2"/>
  <c r="QS39" i="2"/>
  <c r="QS37" i="2"/>
  <c r="QS40" i="2" l="1"/>
  <c r="QU34" i="2"/>
  <c r="QT42" i="2"/>
  <c r="QT39" i="2"/>
  <c r="QT41" i="2"/>
  <c r="QT38" i="2"/>
  <c r="QT37" i="2"/>
  <c r="QT40" i="2" l="1"/>
  <c r="QV34" i="2"/>
  <c r="QU38" i="2"/>
  <c r="QU39" i="2"/>
  <c r="QU42" i="2"/>
  <c r="QU41" i="2"/>
  <c r="QU37" i="2"/>
  <c r="QU40" i="2" l="1"/>
  <c r="QW34" i="2"/>
  <c r="QV42" i="2"/>
  <c r="QV37" i="2"/>
  <c r="QV38" i="2"/>
  <c r="QV41" i="2"/>
  <c r="QV39" i="2"/>
  <c r="QV40" i="2" l="1"/>
  <c r="QX34" i="2"/>
  <c r="QW38" i="2"/>
  <c r="QW41" i="2"/>
  <c r="QW42" i="2"/>
  <c r="QW37" i="2"/>
  <c r="QW39" i="2"/>
  <c r="QW40" i="2" l="1"/>
  <c r="QY34" i="2"/>
  <c r="QX37" i="2"/>
  <c r="QX42" i="2"/>
  <c r="QX41" i="2"/>
  <c r="QX38" i="2"/>
  <c r="QX39" i="2"/>
  <c r="QX40" i="2" l="1"/>
  <c r="QZ34" i="2"/>
  <c r="QY42" i="2"/>
  <c r="QY37" i="2"/>
  <c r="QY41" i="2"/>
  <c r="QY38" i="2"/>
  <c r="QY39" i="2"/>
  <c r="QY40" i="2" l="1"/>
  <c r="RA34" i="2"/>
  <c r="QZ38" i="2"/>
  <c r="QZ42" i="2"/>
  <c r="QZ41" i="2"/>
  <c r="QZ39" i="2"/>
  <c r="QZ37" i="2"/>
  <c r="RB43" i="2" l="1"/>
  <c r="RB34" i="2"/>
  <c r="DJ45" i="2" s="1"/>
  <c r="QZ40" i="2"/>
  <c r="RA39" i="2"/>
  <c r="RA37" i="2"/>
  <c r="RA42" i="2"/>
  <c r="RA41" i="2"/>
  <c r="RA38" i="2"/>
  <c r="RC43" i="2" l="1"/>
  <c r="RA40" i="2"/>
  <c r="DK45" i="2"/>
  <c r="DJ44" i="2"/>
  <c r="DK44" i="2" s="1"/>
  <c r="DL44" i="2" s="1"/>
  <c r="DM44" i="2" s="1"/>
  <c r="DN44" i="2" s="1"/>
  <c r="DO44" i="2" s="1"/>
  <c r="DP44" i="2" s="1"/>
  <c r="DQ44" i="2" s="1"/>
  <c r="DR44" i="2" s="1"/>
  <c r="DS44" i="2" s="1"/>
  <c r="DT44" i="2" s="1"/>
  <c r="DU44" i="2" s="1"/>
  <c r="DV44" i="2" s="1"/>
  <c r="DW44" i="2" s="1"/>
  <c r="DX44" i="2" s="1"/>
  <c r="DY44" i="2" s="1"/>
  <c r="DZ44" i="2" s="1"/>
  <c r="EA44" i="2" s="1"/>
  <c r="EB44" i="2" s="1"/>
  <c r="EC44" i="2" s="1"/>
  <c r="ED44" i="2" s="1"/>
  <c r="EE44" i="2" s="1"/>
  <c r="EF44" i="2" s="1"/>
  <c r="EG44" i="2" s="1"/>
  <c r="EH44" i="2" s="1"/>
  <c r="EI44" i="2" s="1"/>
  <c r="EJ44" i="2" s="1"/>
  <c r="EK44" i="2" s="1"/>
  <c r="EL44" i="2" s="1"/>
  <c r="EM44" i="2" s="1"/>
  <c r="EN44" i="2" s="1"/>
  <c r="EO44" i="2" s="1"/>
  <c r="EP44" i="2" s="1"/>
  <c r="EQ44" i="2" s="1"/>
  <c r="ER44" i="2" s="1"/>
  <c r="ES44" i="2" s="1"/>
  <c r="ET44" i="2" s="1"/>
  <c r="EU44" i="2" s="1"/>
  <c r="EV44" i="2" s="1"/>
  <c r="EW44" i="2" s="1"/>
  <c r="EX44" i="2" s="1"/>
  <c r="EY44" i="2" s="1"/>
  <c r="EZ44" i="2" s="1"/>
  <c r="FA44" i="2" s="1"/>
  <c r="FB44" i="2" s="1"/>
  <c r="FC44" i="2" s="1"/>
  <c r="FD44" i="2" s="1"/>
  <c r="FE44" i="2" s="1"/>
  <c r="FF44" i="2" s="1"/>
  <c r="FG44" i="2" s="1"/>
  <c r="FH44" i="2" s="1"/>
  <c r="FI44" i="2" s="1"/>
  <c r="FJ44" i="2" s="1"/>
  <c r="FK44" i="2" s="1"/>
  <c r="FL44" i="2" s="1"/>
  <c r="FM44" i="2" s="1"/>
  <c r="FN44" i="2" s="1"/>
  <c r="FO44" i="2" s="1"/>
  <c r="FP44" i="2" s="1"/>
  <c r="FQ44" i="2" s="1"/>
  <c r="FR44" i="2" s="1"/>
  <c r="FS44" i="2" s="1"/>
  <c r="FT44" i="2" s="1"/>
  <c r="FU44" i="2" s="1"/>
  <c r="FV44" i="2" s="1"/>
  <c r="FW44" i="2" s="1"/>
  <c r="FX44" i="2" s="1"/>
  <c r="FY44" i="2" s="1"/>
  <c r="FZ44" i="2" s="1"/>
  <c r="GA44" i="2" s="1"/>
  <c r="GB44" i="2" s="1"/>
  <c r="GC44" i="2" s="1"/>
  <c r="GD44" i="2" s="1"/>
  <c r="GE44" i="2" s="1"/>
  <c r="GF44" i="2" s="1"/>
  <c r="GG44" i="2" s="1"/>
  <c r="GH44" i="2" s="1"/>
  <c r="GI44" i="2" s="1"/>
  <c r="GJ44" i="2" s="1"/>
  <c r="GK44" i="2" s="1"/>
  <c r="GL44" i="2" s="1"/>
  <c r="GM44" i="2" s="1"/>
  <c r="GN44" i="2" s="1"/>
  <c r="GO44" i="2" s="1"/>
  <c r="GP44" i="2" s="1"/>
  <c r="GQ44" i="2" s="1"/>
  <c r="GR44" i="2" s="1"/>
  <c r="GS44" i="2" s="1"/>
  <c r="GT44" i="2" s="1"/>
  <c r="GU44" i="2" s="1"/>
  <c r="GV44" i="2" s="1"/>
  <c r="GW44" i="2" s="1"/>
  <c r="GX44" i="2" s="1"/>
  <c r="GY44" i="2" s="1"/>
  <c r="GZ44" i="2" s="1"/>
  <c r="HA44" i="2" s="1"/>
  <c r="HB44" i="2" s="1"/>
  <c r="HC44" i="2" s="1"/>
  <c r="HD44" i="2" s="1"/>
  <c r="HE44" i="2" s="1"/>
  <c r="HF44" i="2" s="1"/>
  <c r="HG44" i="2" s="1"/>
  <c r="HH44" i="2" s="1"/>
  <c r="HI44" i="2" s="1"/>
  <c r="HJ44" i="2" s="1"/>
  <c r="HK44" i="2" s="1"/>
  <c r="HL44" i="2" s="1"/>
  <c r="HM44" i="2" s="1"/>
  <c r="HN44" i="2" s="1"/>
  <c r="HO44" i="2" s="1"/>
  <c r="HP44" i="2" s="1"/>
  <c r="HQ44" i="2" s="1"/>
  <c r="HR44" i="2" s="1"/>
  <c r="HS44" i="2" s="1"/>
  <c r="HT44" i="2" s="1"/>
  <c r="HU44" i="2" s="1"/>
  <c r="HV44" i="2" s="1"/>
  <c r="HW44" i="2" s="1"/>
  <c r="HX44" i="2" s="1"/>
  <c r="HY44" i="2" s="1"/>
  <c r="HZ44" i="2" s="1"/>
  <c r="IA44" i="2" s="1"/>
  <c r="IB44" i="2" s="1"/>
  <c r="IC44" i="2" s="1"/>
  <c r="ID44" i="2" s="1"/>
  <c r="IE44" i="2" s="1"/>
  <c r="IF44" i="2" s="1"/>
  <c r="IG44" i="2" s="1"/>
  <c r="IH44" i="2" s="1"/>
  <c r="II44" i="2" s="1"/>
  <c r="IJ44" i="2" s="1"/>
  <c r="IK44" i="2" s="1"/>
  <c r="IL44" i="2" s="1"/>
  <c r="IM44" i="2" s="1"/>
  <c r="IN44" i="2" s="1"/>
  <c r="IO44" i="2" s="1"/>
  <c r="IP44" i="2" s="1"/>
  <c r="IQ44" i="2" s="1"/>
  <c r="IR44" i="2" s="1"/>
  <c r="IS44" i="2" s="1"/>
  <c r="IT44" i="2" s="1"/>
  <c r="IU44" i="2" s="1"/>
  <c r="IV44" i="2" s="1"/>
  <c r="IW44" i="2" s="1"/>
  <c r="IX44" i="2" s="1"/>
  <c r="IY44" i="2" s="1"/>
  <c r="IZ44" i="2" s="1"/>
  <c r="JA44" i="2" s="1"/>
  <c r="JB44" i="2" s="1"/>
  <c r="JC44" i="2" s="1"/>
  <c r="JD44" i="2" s="1"/>
  <c r="JE44" i="2" s="1"/>
  <c r="JF44" i="2" s="1"/>
  <c r="JG44" i="2" s="1"/>
  <c r="JH44" i="2" s="1"/>
  <c r="JI44" i="2" s="1"/>
  <c r="JJ44" i="2" s="1"/>
  <c r="JK44" i="2" s="1"/>
  <c r="JL44" i="2" s="1"/>
  <c r="JM44" i="2" s="1"/>
  <c r="JN44" i="2" s="1"/>
  <c r="JO44" i="2" s="1"/>
  <c r="JP44" i="2" s="1"/>
  <c r="JQ44" i="2" s="1"/>
  <c r="JR44" i="2" s="1"/>
  <c r="JS44" i="2" s="1"/>
  <c r="JT44" i="2" s="1"/>
  <c r="JU44" i="2" s="1"/>
  <c r="JV44" i="2" s="1"/>
  <c r="JW44" i="2" s="1"/>
  <c r="JX44" i="2" s="1"/>
  <c r="JY44" i="2" s="1"/>
  <c r="JZ44" i="2" s="1"/>
  <c r="KA44" i="2" s="1"/>
  <c r="KB44" i="2" s="1"/>
  <c r="KC44" i="2" s="1"/>
  <c r="KD44" i="2" s="1"/>
  <c r="KE44" i="2" s="1"/>
  <c r="KF44" i="2" s="1"/>
  <c r="KG44" i="2" s="1"/>
  <c r="KH44" i="2" s="1"/>
  <c r="KI44" i="2" s="1"/>
  <c r="KJ44" i="2" s="1"/>
  <c r="KK44" i="2" s="1"/>
  <c r="KL44" i="2" s="1"/>
  <c r="KM44" i="2" s="1"/>
  <c r="KN44" i="2" s="1"/>
  <c r="KO44" i="2" s="1"/>
  <c r="KP44" i="2" s="1"/>
  <c r="KQ44" i="2" s="1"/>
  <c r="KR44" i="2" s="1"/>
  <c r="KS44" i="2" s="1"/>
  <c r="KT44" i="2" s="1"/>
  <c r="KU44" i="2" s="1"/>
  <c r="KV44" i="2" s="1"/>
  <c r="KW44" i="2" s="1"/>
  <c r="KX44" i="2" s="1"/>
  <c r="KY44" i="2" s="1"/>
  <c r="KZ44" i="2" s="1"/>
  <c r="LA44" i="2" s="1"/>
  <c r="LB44" i="2" s="1"/>
  <c r="LC44" i="2" s="1"/>
  <c r="LD44" i="2" s="1"/>
  <c r="LE44" i="2" s="1"/>
  <c r="LF44" i="2" s="1"/>
  <c r="LG44" i="2" s="1"/>
  <c r="LH44" i="2" s="1"/>
  <c r="LI44" i="2" s="1"/>
  <c r="LJ44" i="2" s="1"/>
  <c r="LK44" i="2" s="1"/>
  <c r="LL44" i="2" s="1"/>
  <c r="LM44" i="2" s="1"/>
  <c r="LN44" i="2" s="1"/>
  <c r="LO44" i="2" s="1"/>
  <c r="LP44" i="2" s="1"/>
  <c r="LQ44" i="2" s="1"/>
  <c r="LR44" i="2" s="1"/>
  <c r="LS44" i="2" s="1"/>
  <c r="LT44" i="2" s="1"/>
  <c r="LU44" i="2" s="1"/>
  <c r="LV44" i="2" s="1"/>
  <c r="LW44" i="2" s="1"/>
  <c r="LX44" i="2" s="1"/>
  <c r="LY44" i="2" s="1"/>
  <c r="LZ44" i="2" s="1"/>
  <c r="MA44" i="2" s="1"/>
  <c r="MB44" i="2" s="1"/>
  <c r="MC44" i="2" s="1"/>
  <c r="MD44" i="2" s="1"/>
  <c r="ME44" i="2" s="1"/>
  <c r="MF44" i="2" s="1"/>
  <c r="MG44" i="2" s="1"/>
  <c r="MH44" i="2" s="1"/>
  <c r="MI44" i="2" s="1"/>
  <c r="MJ44" i="2" s="1"/>
  <c r="MK44" i="2" s="1"/>
  <c r="ML44" i="2" s="1"/>
  <c r="MM44" i="2" s="1"/>
  <c r="MN44" i="2" s="1"/>
  <c r="MO44" i="2" s="1"/>
  <c r="MP44" i="2" s="1"/>
  <c r="MQ44" i="2" s="1"/>
  <c r="MR44" i="2" s="1"/>
  <c r="MS44" i="2" s="1"/>
  <c r="MT44" i="2" s="1"/>
  <c r="MU44" i="2" s="1"/>
  <c r="MV44" i="2" s="1"/>
  <c r="MW44" i="2" s="1"/>
  <c r="MX44" i="2" s="1"/>
  <c r="MY44" i="2" s="1"/>
  <c r="MZ44" i="2" s="1"/>
  <c r="NA44" i="2" s="1"/>
  <c r="NB44" i="2" s="1"/>
  <c r="NC44" i="2" s="1"/>
  <c r="ND44" i="2" s="1"/>
  <c r="NE44" i="2" s="1"/>
  <c r="NF44" i="2" s="1"/>
  <c r="NG44" i="2" s="1"/>
  <c r="NH44" i="2" s="1"/>
  <c r="NI44" i="2" s="1"/>
  <c r="NJ44" i="2" s="1"/>
  <c r="NK44" i="2" s="1"/>
  <c r="NL44" i="2" s="1"/>
  <c r="NM44" i="2" s="1"/>
  <c r="NN44" i="2" s="1"/>
  <c r="NO44" i="2" s="1"/>
  <c r="NP44" i="2" s="1"/>
  <c r="NQ44" i="2" s="1"/>
  <c r="NR44" i="2" s="1"/>
  <c r="NS44" i="2" s="1"/>
  <c r="NT44" i="2" s="1"/>
  <c r="NU44" i="2" s="1"/>
  <c r="NV44" i="2" s="1"/>
  <c r="NW44" i="2" s="1"/>
  <c r="NX44" i="2" s="1"/>
  <c r="NY44" i="2" s="1"/>
  <c r="NZ44" i="2" s="1"/>
  <c r="OA44" i="2" s="1"/>
  <c r="OB44" i="2" s="1"/>
  <c r="OC44" i="2" s="1"/>
  <c r="OD44" i="2" s="1"/>
  <c r="OE44" i="2" s="1"/>
  <c r="OF44" i="2" s="1"/>
  <c r="OG44" i="2" s="1"/>
  <c r="OH44" i="2" s="1"/>
  <c r="OI44" i="2" s="1"/>
  <c r="OJ44" i="2" s="1"/>
  <c r="OK44" i="2" s="1"/>
  <c r="OL44" i="2" s="1"/>
  <c r="OM44" i="2" s="1"/>
  <c r="ON44" i="2" s="1"/>
  <c r="OO44" i="2" s="1"/>
  <c r="OP44" i="2" s="1"/>
  <c r="OQ44" i="2" s="1"/>
  <c r="OR44" i="2" s="1"/>
  <c r="OS44" i="2" s="1"/>
  <c r="OT44" i="2" s="1"/>
  <c r="OU44" i="2" s="1"/>
  <c r="OV44" i="2" s="1"/>
  <c r="OW44" i="2" s="1"/>
  <c r="OX44" i="2" s="1"/>
  <c r="OY44" i="2" s="1"/>
  <c r="OZ44" i="2" s="1"/>
  <c r="PA44" i="2" s="1"/>
  <c r="PB44" i="2" s="1"/>
  <c r="PC44" i="2" s="1"/>
  <c r="PD44" i="2" s="1"/>
  <c r="PE44" i="2" s="1"/>
  <c r="PF44" i="2" s="1"/>
  <c r="PG44" i="2" s="1"/>
  <c r="PH44" i="2" s="1"/>
  <c r="PI44" i="2" s="1"/>
  <c r="PJ44" i="2" s="1"/>
  <c r="PK44" i="2" s="1"/>
  <c r="PL44" i="2" s="1"/>
  <c r="PM44" i="2" s="1"/>
  <c r="PN44" i="2" s="1"/>
  <c r="PO44" i="2" s="1"/>
  <c r="PP44" i="2" s="1"/>
  <c r="PQ44" i="2" s="1"/>
  <c r="PR44" i="2" s="1"/>
  <c r="PS44" i="2" s="1"/>
  <c r="PT44" i="2" s="1"/>
  <c r="PU44" i="2" s="1"/>
  <c r="PV44" i="2" s="1"/>
  <c r="PW44" i="2" s="1"/>
  <c r="PX44" i="2" s="1"/>
  <c r="PY44" i="2" s="1"/>
  <c r="PZ44" i="2" s="1"/>
  <c r="QA44" i="2" s="1"/>
  <c r="QB44" i="2" s="1"/>
  <c r="QC44" i="2" s="1"/>
  <c r="QD44" i="2" s="1"/>
  <c r="QE44" i="2" s="1"/>
  <c r="QF44" i="2" s="1"/>
  <c r="QG44" i="2" s="1"/>
  <c r="QH44" i="2" s="1"/>
  <c r="QI44" i="2" s="1"/>
  <c r="QJ44" i="2" s="1"/>
  <c r="QK44" i="2" s="1"/>
  <c r="QL44" i="2" s="1"/>
  <c r="QM44" i="2" s="1"/>
  <c r="QN44" i="2" s="1"/>
  <c r="QO44" i="2" s="1"/>
  <c r="QP44" i="2" s="1"/>
  <c r="QQ44" i="2" s="1"/>
  <c r="QR44" i="2" s="1"/>
  <c r="QS44" i="2" s="1"/>
  <c r="QT44" i="2" s="1"/>
  <c r="QU44" i="2" s="1"/>
  <c r="QV44" i="2" s="1"/>
  <c r="QW44" i="2" s="1"/>
  <c r="QX44" i="2" s="1"/>
  <c r="QY44" i="2" s="1"/>
  <c r="QZ44" i="2" s="1"/>
  <c r="DJ52" i="2"/>
  <c r="DJ50" i="2"/>
  <c r="DJ49" i="2"/>
  <c r="DJ53" i="2"/>
  <c r="DJ48" i="2"/>
  <c r="DJ51" i="2" l="1"/>
  <c r="DL45" i="2"/>
  <c r="DK50" i="2"/>
  <c r="DK48" i="2"/>
  <c r="DK49" i="2"/>
  <c r="DK52" i="2"/>
  <c r="DK53" i="2"/>
  <c r="DK51" i="2" l="1"/>
  <c r="DM45" i="2"/>
  <c r="DL52" i="2"/>
  <c r="DL49" i="2"/>
  <c r="DL50" i="2"/>
  <c r="DL48" i="2"/>
  <c r="DL53" i="2"/>
  <c r="DL51" i="2" l="1"/>
  <c r="DN45" i="2"/>
  <c r="DM52" i="2"/>
  <c r="DM50" i="2"/>
  <c r="DM53" i="2"/>
  <c r="DM49" i="2"/>
  <c r="DM48" i="2"/>
  <c r="DM51" i="2" l="1"/>
  <c r="DO45" i="2"/>
  <c r="DN53" i="2"/>
  <c r="DN48" i="2"/>
  <c r="DN52" i="2"/>
  <c r="DN50" i="2"/>
  <c r="DN49" i="2"/>
  <c r="DN51" i="2" l="1"/>
  <c r="DP45" i="2"/>
  <c r="DO49" i="2"/>
  <c r="DO48" i="2"/>
  <c r="DO50" i="2"/>
  <c r="DO52" i="2"/>
  <c r="DO53" i="2"/>
  <c r="DO51" i="2" l="1"/>
  <c r="DQ45" i="2"/>
  <c r="DP48" i="2"/>
  <c r="DP52" i="2"/>
  <c r="DP49" i="2"/>
  <c r="DP53" i="2"/>
  <c r="DP50" i="2"/>
  <c r="DP51" i="2" l="1"/>
  <c r="DR45" i="2"/>
  <c r="DQ50" i="2"/>
  <c r="DQ53" i="2"/>
  <c r="DQ49" i="2"/>
  <c r="DQ48" i="2"/>
  <c r="DQ52" i="2"/>
  <c r="DQ51" i="2" l="1"/>
  <c r="DS45" i="2"/>
  <c r="DR49" i="2"/>
  <c r="DR48" i="2"/>
  <c r="DR52" i="2"/>
  <c r="DR53" i="2"/>
  <c r="DR50" i="2"/>
  <c r="DR51" i="2" l="1"/>
  <c r="DT45" i="2"/>
  <c r="DS52" i="2"/>
  <c r="DS48" i="2"/>
  <c r="DS50" i="2"/>
  <c r="DS49" i="2"/>
  <c r="DS53" i="2"/>
  <c r="DS51" i="2" l="1"/>
  <c r="DU45" i="2"/>
  <c r="DT50" i="2"/>
  <c r="DT48" i="2"/>
  <c r="DT52" i="2"/>
  <c r="DT49" i="2"/>
  <c r="DT53" i="2"/>
  <c r="DT51" i="2" l="1"/>
  <c r="DV45" i="2"/>
  <c r="DU49" i="2"/>
  <c r="DU53" i="2"/>
  <c r="DU48" i="2"/>
  <c r="DU50" i="2"/>
  <c r="DU52" i="2"/>
  <c r="DU51" i="2" l="1"/>
  <c r="DW45" i="2"/>
  <c r="DV48" i="2"/>
  <c r="DV50" i="2"/>
  <c r="DV53" i="2"/>
  <c r="DV52" i="2"/>
  <c r="DV49" i="2"/>
  <c r="DV51" i="2" l="1"/>
  <c r="DX45" i="2"/>
  <c r="DW48" i="2"/>
  <c r="DW52" i="2"/>
  <c r="DW50" i="2"/>
  <c r="DW49" i="2"/>
  <c r="DW53" i="2"/>
  <c r="DW51" i="2" l="1"/>
  <c r="DY45" i="2"/>
  <c r="DX52" i="2"/>
  <c r="DX48" i="2"/>
  <c r="DX50" i="2"/>
  <c r="DX49" i="2"/>
  <c r="DX53" i="2"/>
  <c r="DX51" i="2" l="1"/>
  <c r="DZ45" i="2"/>
  <c r="DY52" i="2"/>
  <c r="DY50" i="2"/>
  <c r="DY48" i="2"/>
  <c r="DY49" i="2"/>
  <c r="DY53" i="2"/>
  <c r="DY51" i="2" l="1"/>
  <c r="EA45" i="2"/>
  <c r="DZ48" i="2"/>
  <c r="DZ50" i="2"/>
  <c r="DZ49" i="2"/>
  <c r="DZ52" i="2"/>
  <c r="DZ53" i="2"/>
  <c r="DZ51" i="2" l="1"/>
  <c r="EB45" i="2"/>
  <c r="EA48" i="2"/>
  <c r="EA50" i="2"/>
  <c r="EA52" i="2"/>
  <c r="EA49" i="2"/>
  <c r="EA53" i="2"/>
  <c r="EA51" i="2" l="1"/>
  <c r="EC45" i="2"/>
  <c r="EB53" i="2"/>
  <c r="EB52" i="2"/>
  <c r="EB49" i="2"/>
  <c r="EB50" i="2"/>
  <c r="EB48" i="2"/>
  <c r="EB51" i="2" l="1"/>
  <c r="ED45" i="2"/>
  <c r="EC49" i="2"/>
  <c r="EC52" i="2"/>
  <c r="EC48" i="2"/>
  <c r="EC50" i="2"/>
  <c r="EC53" i="2"/>
  <c r="EC51" i="2" l="1"/>
  <c r="EE45" i="2"/>
  <c r="ED52" i="2"/>
  <c r="ED48" i="2"/>
  <c r="ED49" i="2"/>
  <c r="ED53" i="2"/>
  <c r="ED50" i="2"/>
  <c r="ED51" i="2" l="1"/>
  <c r="EF45" i="2"/>
  <c r="EE50" i="2"/>
  <c r="EE52" i="2"/>
  <c r="EE49" i="2"/>
  <c r="EE53" i="2"/>
  <c r="EE48" i="2"/>
  <c r="EE51" i="2" l="1"/>
  <c r="EG45" i="2"/>
  <c r="EF53" i="2"/>
  <c r="EF52" i="2"/>
  <c r="EF49" i="2"/>
  <c r="EF48" i="2"/>
  <c r="EF50" i="2"/>
  <c r="EF51" i="2" l="1"/>
  <c r="EH45" i="2"/>
  <c r="EG52" i="2"/>
  <c r="EG50" i="2"/>
  <c r="EG49" i="2"/>
  <c r="EG48" i="2"/>
  <c r="EG53" i="2"/>
  <c r="EG51" i="2" l="1"/>
  <c r="EI45" i="2"/>
  <c r="EH50" i="2"/>
  <c r="EH53" i="2"/>
  <c r="EH49" i="2"/>
  <c r="EH48" i="2"/>
  <c r="EH52" i="2"/>
  <c r="EH51" i="2" l="1"/>
  <c r="EJ45" i="2"/>
  <c r="EI49" i="2"/>
  <c r="EI53" i="2"/>
  <c r="EI48" i="2"/>
  <c r="EI52" i="2"/>
  <c r="EI50" i="2"/>
  <c r="EI51" i="2" l="1"/>
  <c r="EK45" i="2"/>
  <c r="EJ48" i="2"/>
  <c r="EJ53" i="2"/>
  <c r="EJ50" i="2"/>
  <c r="EJ49" i="2"/>
  <c r="EJ52" i="2"/>
  <c r="EJ51" i="2" l="1"/>
  <c r="EL45" i="2"/>
  <c r="EK52" i="2"/>
  <c r="EK50" i="2"/>
  <c r="EK49" i="2"/>
  <c r="EK48" i="2"/>
  <c r="EK53" i="2"/>
  <c r="EK51" i="2" l="1"/>
  <c r="EM45" i="2"/>
  <c r="EL52" i="2"/>
  <c r="EL53" i="2"/>
  <c r="EL50" i="2"/>
  <c r="EL48" i="2"/>
  <c r="EL49" i="2"/>
  <c r="EL51" i="2" l="1"/>
  <c r="EN45" i="2"/>
  <c r="EM48" i="2"/>
  <c r="EM53" i="2"/>
  <c r="EM49" i="2"/>
  <c r="EM50" i="2"/>
  <c r="EM52" i="2"/>
  <c r="EM51" i="2" l="1"/>
  <c r="EO45" i="2"/>
  <c r="EN53" i="2"/>
  <c r="EN50" i="2"/>
  <c r="EN48" i="2"/>
  <c r="EN52" i="2"/>
  <c r="EN49" i="2"/>
  <c r="EN51" i="2" l="1"/>
  <c r="EP45" i="2"/>
  <c r="EO50" i="2"/>
  <c r="EO52" i="2"/>
  <c r="EO48" i="2"/>
  <c r="EO49" i="2"/>
  <c r="EO53" i="2"/>
  <c r="EO51" i="2" l="1"/>
  <c r="EQ45" i="2"/>
  <c r="EP50" i="2"/>
  <c r="EP48" i="2"/>
  <c r="EP53" i="2"/>
  <c r="EP52" i="2"/>
  <c r="EP49" i="2"/>
  <c r="EP51" i="2" l="1"/>
  <c r="ER45" i="2"/>
  <c r="EQ52" i="2"/>
  <c r="EQ49" i="2"/>
  <c r="EQ48" i="2"/>
  <c r="EQ53" i="2"/>
  <c r="EQ50" i="2"/>
  <c r="EQ51" i="2" l="1"/>
  <c r="ES45" i="2"/>
  <c r="ER52" i="2"/>
  <c r="ER50" i="2"/>
  <c r="ER53" i="2"/>
  <c r="ER49" i="2"/>
  <c r="ER48" i="2"/>
  <c r="ER51" i="2" l="1"/>
  <c r="ET45" i="2"/>
  <c r="ES52" i="2"/>
  <c r="ES50" i="2"/>
  <c r="ES48" i="2"/>
  <c r="ES49" i="2"/>
  <c r="ES53" i="2"/>
  <c r="ES51" i="2" l="1"/>
  <c r="EU45" i="2"/>
  <c r="ET49" i="2"/>
  <c r="ET53" i="2"/>
  <c r="ET52" i="2"/>
  <c r="ET48" i="2"/>
  <c r="ET50" i="2"/>
  <c r="ET51" i="2" l="1"/>
  <c r="EV45" i="2"/>
  <c r="EU52" i="2"/>
  <c r="EU50" i="2"/>
  <c r="EU53" i="2"/>
  <c r="EU49" i="2"/>
  <c r="EU48" i="2"/>
  <c r="EU51" i="2" l="1"/>
  <c r="EW45" i="2"/>
  <c r="EV48" i="2"/>
  <c r="EV49" i="2"/>
  <c r="EV53" i="2"/>
  <c r="EV50" i="2"/>
  <c r="EV52" i="2"/>
  <c r="EV51" i="2" l="1"/>
  <c r="EX45" i="2"/>
  <c r="EW53" i="2"/>
  <c r="EW48" i="2"/>
  <c r="EW50" i="2"/>
  <c r="EW52" i="2"/>
  <c r="EW49" i="2"/>
  <c r="EW51" i="2" l="1"/>
  <c r="EY45" i="2"/>
  <c r="EX52" i="2"/>
  <c r="EX50" i="2"/>
  <c r="EX53" i="2"/>
  <c r="EX49" i="2"/>
  <c r="EX48" i="2"/>
  <c r="EX51" i="2" l="1"/>
  <c r="EZ45" i="2"/>
  <c r="EY50" i="2"/>
  <c r="EY52" i="2"/>
  <c r="EY48" i="2"/>
  <c r="EY53" i="2"/>
  <c r="EY49" i="2"/>
  <c r="EY51" i="2" l="1"/>
  <c r="FA45" i="2"/>
  <c r="EZ52" i="2"/>
  <c r="EZ48" i="2"/>
  <c r="EZ49" i="2"/>
  <c r="EZ53" i="2"/>
  <c r="EZ50" i="2"/>
  <c r="EZ51" i="2" l="1"/>
  <c r="FB45" i="2"/>
  <c r="FA48" i="2"/>
  <c r="FA49" i="2"/>
  <c r="FA50" i="2"/>
  <c r="FA52" i="2"/>
  <c r="FA53" i="2"/>
  <c r="FA51" i="2" l="1"/>
  <c r="FC45" i="2"/>
  <c r="FB49" i="2"/>
  <c r="FB48" i="2"/>
  <c r="FB53" i="2"/>
  <c r="FB52" i="2"/>
  <c r="FB50" i="2"/>
  <c r="FB51" i="2" l="1"/>
  <c r="FD45" i="2"/>
  <c r="FC53" i="2"/>
  <c r="FC50" i="2"/>
  <c r="FC48" i="2"/>
  <c r="FC52" i="2"/>
  <c r="FC49" i="2"/>
  <c r="FC51" i="2" l="1"/>
  <c r="FE45" i="2"/>
  <c r="FD53" i="2"/>
  <c r="FD50" i="2"/>
  <c r="FD52" i="2"/>
  <c r="FD48" i="2"/>
  <c r="FD49" i="2"/>
  <c r="FD51" i="2" l="1"/>
  <c r="FF45" i="2"/>
  <c r="FE48" i="2"/>
  <c r="FE50" i="2"/>
  <c r="FE53" i="2"/>
  <c r="FE52" i="2"/>
  <c r="FE49" i="2"/>
  <c r="FE51" i="2" l="1"/>
  <c r="FG45" i="2"/>
  <c r="FF53" i="2"/>
  <c r="FF52" i="2"/>
  <c r="FF49" i="2"/>
  <c r="FF50" i="2"/>
  <c r="FF48" i="2"/>
  <c r="FF51" i="2" l="1"/>
  <c r="FH45" i="2"/>
  <c r="FG53" i="2"/>
  <c r="FG50" i="2"/>
  <c r="FG48" i="2"/>
  <c r="FG52" i="2"/>
  <c r="FG49" i="2"/>
  <c r="FG51" i="2" l="1"/>
  <c r="FI45" i="2"/>
  <c r="FH52" i="2"/>
  <c r="FH48" i="2"/>
  <c r="FH50" i="2"/>
  <c r="FH53" i="2"/>
  <c r="FH49" i="2"/>
  <c r="FH51" i="2" l="1"/>
  <c r="FJ45" i="2"/>
  <c r="FI52" i="2"/>
  <c r="FI49" i="2"/>
  <c r="FI50" i="2"/>
  <c r="FI48" i="2"/>
  <c r="FI53" i="2"/>
  <c r="FI51" i="2" l="1"/>
  <c r="FK45" i="2"/>
  <c r="FJ50" i="2"/>
  <c r="FJ48" i="2"/>
  <c r="FJ53" i="2"/>
  <c r="FJ49" i="2"/>
  <c r="FJ52" i="2"/>
  <c r="FJ51" i="2" l="1"/>
  <c r="FL45" i="2"/>
  <c r="FK52" i="2"/>
  <c r="FK53" i="2"/>
  <c r="FK48" i="2"/>
  <c r="FK50" i="2"/>
  <c r="FK49" i="2"/>
  <c r="FK51" i="2" l="1"/>
  <c r="FM45" i="2"/>
  <c r="FL49" i="2"/>
  <c r="FL50" i="2"/>
  <c r="FL53" i="2"/>
  <c r="FL52" i="2"/>
  <c r="FL48" i="2"/>
  <c r="FL51" i="2" l="1"/>
  <c r="FN45" i="2"/>
  <c r="FM53" i="2"/>
  <c r="FM50" i="2"/>
  <c r="FM49" i="2"/>
  <c r="FM48" i="2"/>
  <c r="FM52" i="2"/>
  <c r="FM51" i="2" l="1"/>
  <c r="FO45" i="2"/>
  <c r="FN52" i="2"/>
  <c r="FN48" i="2"/>
  <c r="FN49" i="2"/>
  <c r="FN53" i="2"/>
  <c r="FN50" i="2"/>
  <c r="FN51" i="2" l="1"/>
  <c r="FP45" i="2"/>
  <c r="FO53" i="2"/>
  <c r="FO52" i="2"/>
  <c r="FO48" i="2"/>
  <c r="FO49" i="2"/>
  <c r="FO50" i="2"/>
  <c r="FO51" i="2" l="1"/>
  <c r="FQ45" i="2"/>
  <c r="FP53" i="2"/>
  <c r="FP52" i="2"/>
  <c r="FP48" i="2"/>
  <c r="FP49" i="2"/>
  <c r="FP50" i="2"/>
  <c r="FP51" i="2" l="1"/>
  <c r="FR45" i="2"/>
  <c r="FQ52" i="2"/>
  <c r="FQ48" i="2"/>
  <c r="FQ50" i="2"/>
  <c r="FQ53" i="2"/>
  <c r="FQ49" i="2"/>
  <c r="FQ51" i="2" l="1"/>
  <c r="FS45" i="2"/>
  <c r="FR53" i="2"/>
  <c r="FR50" i="2"/>
  <c r="FR48" i="2"/>
  <c r="FR49" i="2"/>
  <c r="FR52" i="2"/>
  <c r="FR51" i="2" l="1"/>
  <c r="FT45" i="2"/>
  <c r="FS53" i="2"/>
  <c r="FS50" i="2"/>
  <c r="FS48" i="2"/>
  <c r="FS52" i="2"/>
  <c r="FS49" i="2"/>
  <c r="FS51" i="2" l="1"/>
  <c r="FU45" i="2"/>
  <c r="FT49" i="2"/>
  <c r="FT53" i="2"/>
  <c r="FT52" i="2"/>
  <c r="FT48" i="2"/>
  <c r="FT50" i="2"/>
  <c r="FT51" i="2" l="1"/>
  <c r="FV45" i="2"/>
  <c r="FU52" i="2"/>
  <c r="FU53" i="2"/>
  <c r="FU48" i="2"/>
  <c r="FU49" i="2"/>
  <c r="FU50" i="2"/>
  <c r="FU51" i="2" l="1"/>
  <c r="FW45" i="2"/>
  <c r="FV53" i="2"/>
  <c r="FV50" i="2"/>
  <c r="FV49" i="2"/>
  <c r="FV52" i="2"/>
  <c r="FV48" i="2"/>
  <c r="FV51" i="2" l="1"/>
  <c r="FX45" i="2"/>
  <c r="FW52" i="2"/>
  <c r="FW50" i="2"/>
  <c r="FW48" i="2"/>
  <c r="FW53" i="2"/>
  <c r="FW49" i="2"/>
  <c r="FW51" i="2" l="1"/>
  <c r="FY45" i="2"/>
  <c r="FX53" i="2"/>
  <c r="FX50" i="2"/>
  <c r="FX48" i="2"/>
  <c r="FX49" i="2"/>
  <c r="FX52" i="2"/>
  <c r="FX51" i="2" l="1"/>
  <c r="FZ45" i="2"/>
  <c r="FY52" i="2"/>
  <c r="FY53" i="2"/>
  <c r="FY48" i="2"/>
  <c r="FY50" i="2"/>
  <c r="FY49" i="2"/>
  <c r="FY51" i="2" l="1"/>
  <c r="GA45" i="2"/>
  <c r="FZ53" i="2"/>
  <c r="FZ50" i="2"/>
  <c r="FZ48" i="2"/>
  <c r="FZ49" i="2"/>
  <c r="FZ52" i="2"/>
  <c r="FZ51" i="2" l="1"/>
  <c r="GB45" i="2"/>
  <c r="GA48" i="2"/>
  <c r="GA49" i="2"/>
  <c r="GA53" i="2"/>
  <c r="GA50" i="2"/>
  <c r="GA52" i="2"/>
  <c r="GA51" i="2" l="1"/>
  <c r="GC45" i="2"/>
  <c r="GB48" i="2"/>
  <c r="GB53" i="2"/>
  <c r="GB52" i="2"/>
  <c r="GB49" i="2"/>
  <c r="GB50" i="2"/>
  <c r="GB51" i="2" l="1"/>
  <c r="GD45" i="2"/>
  <c r="GC48" i="2"/>
  <c r="GC52" i="2"/>
  <c r="GC49" i="2"/>
  <c r="GC50" i="2"/>
  <c r="GC53" i="2"/>
  <c r="GC51" i="2" l="1"/>
  <c r="GE45" i="2"/>
  <c r="GD48" i="2"/>
  <c r="GD53" i="2"/>
  <c r="GD49" i="2"/>
  <c r="GD52" i="2"/>
  <c r="GD50" i="2"/>
  <c r="GD51" i="2" l="1"/>
  <c r="GF45" i="2"/>
  <c r="GE52" i="2"/>
  <c r="GE49" i="2"/>
  <c r="GE50" i="2"/>
  <c r="GE48" i="2"/>
  <c r="GE53" i="2"/>
  <c r="GE51" i="2" l="1"/>
  <c r="GG45" i="2"/>
  <c r="GF48" i="2"/>
  <c r="GF50" i="2"/>
  <c r="GF53" i="2"/>
  <c r="GF49" i="2"/>
  <c r="GF52" i="2"/>
  <c r="GF51" i="2" l="1"/>
  <c r="GH45" i="2"/>
  <c r="GG48" i="2"/>
  <c r="GG50" i="2"/>
  <c r="GG52" i="2"/>
  <c r="GG49" i="2"/>
  <c r="GG53" i="2"/>
  <c r="GG51" i="2" l="1"/>
  <c r="GI45" i="2"/>
  <c r="GH48" i="2"/>
  <c r="GH49" i="2"/>
  <c r="GH53" i="2"/>
  <c r="GH52" i="2"/>
  <c r="GH50" i="2"/>
  <c r="GH51" i="2" l="1"/>
  <c r="GJ45" i="2"/>
  <c r="GI49" i="2"/>
  <c r="GI50" i="2"/>
  <c r="GI53" i="2"/>
  <c r="GI48" i="2"/>
  <c r="GI52" i="2"/>
  <c r="GI51" i="2" l="1"/>
  <c r="GK45" i="2"/>
  <c r="GJ52" i="2"/>
  <c r="GJ50" i="2"/>
  <c r="GJ48" i="2"/>
  <c r="GJ53" i="2"/>
  <c r="GJ49" i="2"/>
  <c r="GJ51" i="2" l="1"/>
  <c r="GL45" i="2"/>
  <c r="GK52" i="2"/>
  <c r="GK49" i="2"/>
  <c r="GK48" i="2"/>
  <c r="GK50" i="2"/>
  <c r="GK53" i="2"/>
  <c r="GK51" i="2" l="1"/>
  <c r="GM45" i="2"/>
  <c r="GL52" i="2"/>
  <c r="GL49" i="2"/>
  <c r="GL50" i="2"/>
  <c r="GL48" i="2"/>
  <c r="GL53" i="2"/>
  <c r="GL51" i="2" l="1"/>
  <c r="GN45" i="2"/>
  <c r="GM50" i="2"/>
  <c r="GM48" i="2"/>
  <c r="GM53" i="2"/>
  <c r="GM52" i="2"/>
  <c r="GM49" i="2"/>
  <c r="GM51" i="2" l="1"/>
  <c r="GO45" i="2"/>
  <c r="GN48" i="2"/>
  <c r="GN52" i="2"/>
  <c r="GN53" i="2"/>
  <c r="GN49" i="2"/>
  <c r="GN50" i="2"/>
  <c r="GN51" i="2" l="1"/>
  <c r="GP45" i="2"/>
  <c r="GO53" i="2"/>
  <c r="GO49" i="2"/>
  <c r="GO50" i="2"/>
  <c r="GO48" i="2"/>
  <c r="GO52" i="2"/>
  <c r="GO51" i="2" l="1"/>
  <c r="GQ45" i="2"/>
  <c r="GP50" i="2"/>
  <c r="GP53" i="2"/>
  <c r="GP52" i="2"/>
  <c r="GP49" i="2"/>
  <c r="GP48" i="2"/>
  <c r="GP51" i="2" l="1"/>
  <c r="GR45" i="2"/>
  <c r="GQ53" i="2"/>
  <c r="GQ49" i="2"/>
  <c r="GQ50" i="2"/>
  <c r="GQ52" i="2"/>
  <c r="GQ48" i="2"/>
  <c r="GQ51" i="2" l="1"/>
  <c r="GS45" i="2"/>
  <c r="GR49" i="2"/>
  <c r="GR53" i="2"/>
  <c r="GR52" i="2"/>
  <c r="GR48" i="2"/>
  <c r="GR50" i="2"/>
  <c r="GR51" i="2" l="1"/>
  <c r="GT45" i="2"/>
  <c r="GS49" i="2"/>
  <c r="GS48" i="2"/>
  <c r="GS50" i="2"/>
  <c r="GS53" i="2"/>
  <c r="GS52" i="2"/>
  <c r="GS51" i="2" l="1"/>
  <c r="GU45" i="2"/>
  <c r="GT50" i="2"/>
  <c r="GT52" i="2"/>
  <c r="GT48" i="2"/>
  <c r="GT53" i="2"/>
  <c r="GT49" i="2"/>
  <c r="GT51" i="2" l="1"/>
  <c r="GV45" i="2"/>
  <c r="GU49" i="2"/>
  <c r="GU50" i="2"/>
  <c r="GU48" i="2"/>
  <c r="GU52" i="2"/>
  <c r="GU53" i="2"/>
  <c r="GU51" i="2" l="1"/>
  <c r="GW45" i="2"/>
  <c r="GV50" i="2"/>
  <c r="GV53" i="2"/>
  <c r="GV49" i="2"/>
  <c r="GV48" i="2"/>
  <c r="GV52" i="2"/>
  <c r="GV51" i="2" l="1"/>
  <c r="GX45" i="2"/>
  <c r="GW50" i="2"/>
  <c r="GW53" i="2"/>
  <c r="GW52" i="2"/>
  <c r="GW48" i="2"/>
  <c r="GW49" i="2"/>
  <c r="GW51" i="2" l="1"/>
  <c r="GY45" i="2"/>
  <c r="GX50" i="2"/>
  <c r="GX49" i="2"/>
  <c r="GX53" i="2"/>
  <c r="GX52" i="2"/>
  <c r="GX48" i="2"/>
  <c r="GX51" i="2" l="1"/>
  <c r="GZ45" i="2"/>
  <c r="GY49" i="2"/>
  <c r="GY50" i="2"/>
  <c r="GY48" i="2"/>
  <c r="GY53" i="2"/>
  <c r="GY52" i="2"/>
  <c r="GY51" i="2" l="1"/>
  <c r="HA45" i="2"/>
  <c r="GZ52" i="2"/>
  <c r="GZ53" i="2"/>
  <c r="GZ49" i="2"/>
  <c r="GZ50" i="2"/>
  <c r="GZ48" i="2"/>
  <c r="GZ51" i="2" l="1"/>
  <c r="HB45" i="2"/>
  <c r="HA49" i="2"/>
  <c r="HA52" i="2"/>
  <c r="HA50" i="2"/>
  <c r="HA53" i="2"/>
  <c r="HA48" i="2"/>
  <c r="HA51" i="2" l="1"/>
  <c r="HC45" i="2"/>
  <c r="HB48" i="2"/>
  <c r="HB52" i="2"/>
  <c r="HB49" i="2"/>
  <c r="HB50" i="2"/>
  <c r="HB53" i="2"/>
  <c r="HB51" i="2" l="1"/>
  <c r="HD45" i="2"/>
  <c r="HC49" i="2"/>
  <c r="HC50" i="2"/>
  <c r="HC52" i="2"/>
  <c r="HC48" i="2"/>
  <c r="HC53" i="2"/>
  <c r="HC51" i="2" l="1"/>
  <c r="HE45" i="2"/>
  <c r="HD53" i="2"/>
  <c r="HD50" i="2"/>
  <c r="HD52" i="2"/>
  <c r="HD49" i="2"/>
  <c r="HD48" i="2"/>
  <c r="HD51" i="2" l="1"/>
  <c r="HF45" i="2"/>
  <c r="HE49" i="2"/>
  <c r="HE50" i="2"/>
  <c r="HE53" i="2"/>
  <c r="HE52" i="2"/>
  <c r="HE48" i="2"/>
  <c r="HE51" i="2" l="1"/>
  <c r="HG45" i="2"/>
  <c r="HF50" i="2"/>
  <c r="HF48" i="2"/>
  <c r="HF53" i="2"/>
  <c r="HF49" i="2"/>
  <c r="HF52" i="2"/>
  <c r="HF51" i="2" l="1"/>
  <c r="HH45" i="2"/>
  <c r="HG50" i="2"/>
  <c r="HG53" i="2"/>
  <c r="HG49" i="2"/>
  <c r="HG52" i="2"/>
  <c r="HG48" i="2"/>
  <c r="HG51" i="2" l="1"/>
  <c r="HI45" i="2"/>
  <c r="HH48" i="2"/>
  <c r="HH52" i="2"/>
  <c r="HH50" i="2"/>
  <c r="HH49" i="2"/>
  <c r="HH53" i="2"/>
  <c r="HH51" i="2" l="1"/>
  <c r="HJ45" i="2"/>
  <c r="HI53" i="2"/>
  <c r="HI50" i="2"/>
  <c r="HI52" i="2"/>
  <c r="HI48" i="2"/>
  <c r="HI49" i="2"/>
  <c r="HI51" i="2" l="1"/>
  <c r="HK45" i="2"/>
  <c r="HJ52" i="2"/>
  <c r="HJ53" i="2"/>
  <c r="HJ50" i="2"/>
  <c r="HJ48" i="2"/>
  <c r="HJ49" i="2"/>
  <c r="HJ51" i="2" l="1"/>
  <c r="HL45" i="2"/>
  <c r="HK53" i="2"/>
  <c r="HK49" i="2"/>
  <c r="HK50" i="2"/>
  <c r="HK52" i="2"/>
  <c r="HK48" i="2"/>
  <c r="HK51" i="2" l="1"/>
  <c r="HM45" i="2"/>
  <c r="HL48" i="2"/>
  <c r="HL52" i="2"/>
  <c r="HL50" i="2"/>
  <c r="HL53" i="2"/>
  <c r="HL49" i="2"/>
  <c r="HL51" i="2" l="1"/>
  <c r="HN45" i="2"/>
  <c r="HM50" i="2"/>
  <c r="HM52" i="2"/>
  <c r="HM49" i="2"/>
  <c r="HM48" i="2"/>
  <c r="HM53" i="2"/>
  <c r="HM51" i="2" l="1"/>
  <c r="HO45" i="2"/>
  <c r="HN52" i="2"/>
  <c r="HN49" i="2"/>
  <c r="HN48" i="2"/>
  <c r="HN50" i="2"/>
  <c r="HN53" i="2"/>
  <c r="HN51" i="2" l="1"/>
  <c r="HP45" i="2"/>
  <c r="HO49" i="2"/>
  <c r="HO53" i="2"/>
  <c r="HO48" i="2"/>
  <c r="HO52" i="2"/>
  <c r="HO50" i="2"/>
  <c r="HO51" i="2" l="1"/>
  <c r="HQ45" i="2"/>
  <c r="HP52" i="2"/>
  <c r="HP50" i="2"/>
  <c r="HP48" i="2"/>
  <c r="HP49" i="2"/>
  <c r="HP53" i="2"/>
  <c r="HP51" i="2" l="1"/>
  <c r="HR45" i="2"/>
  <c r="HQ52" i="2"/>
  <c r="HQ53" i="2"/>
  <c r="HQ50" i="2"/>
  <c r="HQ49" i="2"/>
  <c r="HQ48" i="2"/>
  <c r="HQ51" i="2" l="1"/>
  <c r="HS45" i="2"/>
  <c r="HR50" i="2"/>
  <c r="HR49" i="2"/>
  <c r="HR52" i="2"/>
  <c r="HR53" i="2"/>
  <c r="HR48" i="2"/>
  <c r="HR51" i="2" l="1"/>
  <c r="HT45" i="2"/>
  <c r="HS53" i="2"/>
  <c r="HS50" i="2"/>
  <c r="HS52" i="2"/>
  <c r="HS49" i="2"/>
  <c r="HS48" i="2"/>
  <c r="HS51" i="2" l="1"/>
  <c r="HU45" i="2"/>
  <c r="HT50" i="2"/>
  <c r="HT52" i="2"/>
  <c r="HT49" i="2"/>
  <c r="HT48" i="2"/>
  <c r="HT53" i="2"/>
  <c r="HT51" i="2" l="1"/>
  <c r="HV45" i="2"/>
  <c r="HU49" i="2"/>
  <c r="HU50" i="2"/>
  <c r="HU53" i="2"/>
  <c r="HU48" i="2"/>
  <c r="HU52" i="2"/>
  <c r="HU51" i="2" l="1"/>
  <c r="HW45" i="2"/>
  <c r="HV48" i="2"/>
  <c r="HV52" i="2"/>
  <c r="HV49" i="2"/>
  <c r="HV53" i="2"/>
  <c r="HV50" i="2"/>
  <c r="HV51" i="2" l="1"/>
  <c r="HX45" i="2"/>
  <c r="HW53" i="2"/>
  <c r="HW49" i="2"/>
  <c r="HW52" i="2"/>
  <c r="HW48" i="2"/>
  <c r="HW50" i="2"/>
  <c r="HW51" i="2" l="1"/>
  <c r="HY45" i="2"/>
  <c r="HX50" i="2"/>
  <c r="HX52" i="2"/>
  <c r="HX48" i="2"/>
  <c r="HX53" i="2"/>
  <c r="HX49" i="2"/>
  <c r="HX51" i="2" l="1"/>
  <c r="HZ45" i="2"/>
  <c r="HY50" i="2"/>
  <c r="HY48" i="2"/>
  <c r="HY49" i="2"/>
  <c r="HY53" i="2"/>
  <c r="HY52" i="2"/>
  <c r="HY51" i="2" l="1"/>
  <c r="IA45" i="2"/>
  <c r="HZ50" i="2"/>
  <c r="HZ49" i="2"/>
  <c r="HZ48" i="2"/>
  <c r="HZ53" i="2"/>
  <c r="HZ52" i="2"/>
  <c r="HZ51" i="2" l="1"/>
  <c r="IB45" i="2"/>
  <c r="IA52" i="2"/>
  <c r="IA53" i="2"/>
  <c r="IA49" i="2"/>
  <c r="IA48" i="2"/>
  <c r="IA50" i="2"/>
  <c r="IA51" i="2" l="1"/>
  <c r="IC45" i="2"/>
  <c r="IB50" i="2"/>
  <c r="IB48" i="2"/>
  <c r="IB53" i="2"/>
  <c r="IB52" i="2"/>
  <c r="IB49" i="2"/>
  <c r="IB51" i="2" l="1"/>
  <c r="ID45" i="2"/>
  <c r="IC50" i="2"/>
  <c r="IC48" i="2"/>
  <c r="IC53" i="2"/>
  <c r="IC49" i="2"/>
  <c r="IC52" i="2"/>
  <c r="IC51" i="2" l="1"/>
  <c r="IE45" i="2"/>
  <c r="ID49" i="2"/>
  <c r="ID53" i="2"/>
  <c r="ID48" i="2"/>
  <c r="ID50" i="2"/>
  <c r="ID52" i="2"/>
  <c r="ID51" i="2" l="1"/>
  <c r="IF45" i="2"/>
  <c r="IE52" i="2"/>
  <c r="IE50" i="2"/>
  <c r="IE49" i="2"/>
  <c r="IE48" i="2"/>
  <c r="IE53" i="2"/>
  <c r="IE51" i="2" l="1"/>
  <c r="IG45" i="2"/>
  <c r="IF52" i="2"/>
  <c r="IF50" i="2"/>
  <c r="IF49" i="2"/>
  <c r="IF53" i="2"/>
  <c r="IF48" i="2"/>
  <c r="IF51" i="2" l="1"/>
  <c r="IH45" i="2"/>
  <c r="IG53" i="2"/>
  <c r="IG49" i="2"/>
  <c r="IG52" i="2"/>
  <c r="IG48" i="2"/>
  <c r="IG50" i="2"/>
  <c r="IG51" i="2" l="1"/>
  <c r="II45" i="2"/>
  <c r="IH52" i="2"/>
  <c r="IH53" i="2"/>
  <c r="IH48" i="2"/>
  <c r="IH50" i="2"/>
  <c r="IH49" i="2"/>
  <c r="IH51" i="2" l="1"/>
  <c r="IJ45" i="2"/>
  <c r="II53" i="2"/>
  <c r="II50" i="2"/>
  <c r="II49" i="2"/>
  <c r="II52" i="2"/>
  <c r="II48" i="2"/>
  <c r="II51" i="2" l="1"/>
  <c r="IK45" i="2"/>
  <c r="IJ50" i="2"/>
  <c r="IJ49" i="2"/>
  <c r="IJ48" i="2"/>
  <c r="IJ52" i="2"/>
  <c r="IJ53" i="2"/>
  <c r="IJ51" i="2" l="1"/>
  <c r="IL45" i="2"/>
  <c r="IK50" i="2"/>
  <c r="IK48" i="2"/>
  <c r="IK53" i="2"/>
  <c r="IK52" i="2"/>
  <c r="IK49" i="2"/>
  <c r="IK51" i="2" l="1"/>
  <c r="IM45" i="2"/>
  <c r="IL48" i="2"/>
  <c r="IL49" i="2"/>
  <c r="IL50" i="2"/>
  <c r="IL52" i="2"/>
  <c r="IL53" i="2"/>
  <c r="IL51" i="2" l="1"/>
  <c r="IN45" i="2"/>
  <c r="IM50" i="2"/>
  <c r="IM53" i="2"/>
  <c r="IM48" i="2"/>
  <c r="IM49" i="2"/>
  <c r="IM52" i="2"/>
  <c r="IM51" i="2" l="1"/>
  <c r="IO45" i="2"/>
  <c r="IN49" i="2"/>
  <c r="IN50" i="2"/>
  <c r="IN48" i="2"/>
  <c r="IN52" i="2"/>
  <c r="IN53" i="2"/>
  <c r="IN51" i="2" l="1"/>
  <c r="IP45" i="2"/>
  <c r="IO52" i="2"/>
  <c r="IO49" i="2"/>
  <c r="IO48" i="2"/>
  <c r="IO50" i="2"/>
  <c r="IO53" i="2"/>
  <c r="IO51" i="2" l="1"/>
  <c r="IQ45" i="2"/>
  <c r="IP53" i="2"/>
  <c r="IP48" i="2"/>
  <c r="IP52" i="2"/>
  <c r="IP49" i="2"/>
  <c r="IP50" i="2"/>
  <c r="IP51" i="2" l="1"/>
  <c r="IR45" i="2"/>
  <c r="IQ49" i="2"/>
  <c r="IQ52" i="2"/>
  <c r="IQ53" i="2"/>
  <c r="IQ48" i="2"/>
  <c r="IQ50" i="2"/>
  <c r="IQ51" i="2" l="1"/>
  <c r="IS45" i="2"/>
  <c r="IR49" i="2"/>
  <c r="IR48" i="2"/>
  <c r="IR50" i="2"/>
  <c r="IR52" i="2"/>
  <c r="IR53" i="2"/>
  <c r="IR51" i="2" l="1"/>
  <c r="IT45" i="2"/>
  <c r="IS52" i="2"/>
  <c r="IS49" i="2"/>
  <c r="IS48" i="2"/>
  <c r="IS53" i="2"/>
  <c r="IS50" i="2"/>
  <c r="IS51" i="2" l="1"/>
  <c r="IU45" i="2"/>
  <c r="IT48" i="2"/>
  <c r="IT53" i="2"/>
  <c r="IT49" i="2"/>
  <c r="IT50" i="2"/>
  <c r="IT52" i="2"/>
  <c r="IT51" i="2" l="1"/>
  <c r="IV45" i="2"/>
  <c r="IU50" i="2"/>
  <c r="IU49" i="2"/>
  <c r="IU48" i="2"/>
  <c r="IU52" i="2"/>
  <c r="IU53" i="2"/>
  <c r="IU51" i="2" l="1"/>
  <c r="IW45" i="2"/>
  <c r="IV52" i="2"/>
  <c r="IV50" i="2"/>
  <c r="IV53" i="2"/>
  <c r="IV49" i="2"/>
  <c r="IV48" i="2"/>
  <c r="IV51" i="2" l="1"/>
  <c r="IX45" i="2"/>
  <c r="IW50" i="2"/>
  <c r="IW49" i="2"/>
  <c r="IW48" i="2"/>
  <c r="IW52" i="2"/>
  <c r="IW53" i="2"/>
  <c r="IW51" i="2" l="1"/>
  <c r="IY45" i="2"/>
  <c r="IX50" i="2"/>
  <c r="IX53" i="2"/>
  <c r="IX49" i="2"/>
  <c r="IX48" i="2"/>
  <c r="IX52" i="2"/>
  <c r="IX51" i="2" l="1"/>
  <c r="IZ45" i="2"/>
  <c r="IY48" i="2"/>
  <c r="IY52" i="2"/>
  <c r="IY49" i="2"/>
  <c r="IY53" i="2"/>
  <c r="IY50" i="2"/>
  <c r="IY51" i="2" l="1"/>
  <c r="JA45" i="2"/>
  <c r="IZ52" i="2"/>
  <c r="IZ48" i="2"/>
  <c r="IZ53" i="2"/>
  <c r="IZ49" i="2"/>
  <c r="IZ50" i="2"/>
  <c r="IZ51" i="2" l="1"/>
  <c r="JB45" i="2"/>
  <c r="JA48" i="2"/>
  <c r="JA52" i="2"/>
  <c r="JA50" i="2"/>
  <c r="JA53" i="2"/>
  <c r="JA49" i="2"/>
  <c r="JA51" i="2" l="1"/>
  <c r="JC45" i="2"/>
  <c r="JB53" i="2"/>
  <c r="JB49" i="2"/>
  <c r="JB50" i="2"/>
  <c r="JB48" i="2"/>
  <c r="JB52" i="2"/>
  <c r="JB51" i="2" l="1"/>
  <c r="JD45" i="2"/>
  <c r="JC50" i="2"/>
  <c r="JC48" i="2"/>
  <c r="JC53" i="2"/>
  <c r="JC49" i="2"/>
  <c r="JC52" i="2"/>
  <c r="JC51" i="2" l="1"/>
  <c r="JE45" i="2"/>
  <c r="JD52" i="2"/>
  <c r="JD50" i="2"/>
  <c r="JD49" i="2"/>
  <c r="JD48" i="2"/>
  <c r="JD53" i="2"/>
  <c r="JD51" i="2" l="1"/>
  <c r="JF45" i="2"/>
  <c r="JE53" i="2"/>
  <c r="JE48" i="2"/>
  <c r="JE49" i="2"/>
  <c r="JE50" i="2"/>
  <c r="JE52" i="2"/>
  <c r="JE51" i="2" l="1"/>
  <c r="JG45" i="2"/>
  <c r="JF53" i="2"/>
  <c r="JF52" i="2"/>
  <c r="JF49" i="2"/>
  <c r="JF48" i="2"/>
  <c r="JF50" i="2"/>
  <c r="JF51" i="2" l="1"/>
  <c r="JH45" i="2"/>
  <c r="JG52" i="2"/>
  <c r="JG48" i="2"/>
  <c r="JG49" i="2"/>
  <c r="JG53" i="2"/>
  <c r="JG50" i="2"/>
  <c r="JG51" i="2" l="1"/>
  <c r="JI45" i="2"/>
  <c r="JH52" i="2"/>
  <c r="JH50" i="2"/>
  <c r="JH48" i="2"/>
  <c r="JH49" i="2"/>
  <c r="JH53" i="2"/>
  <c r="JH51" i="2" l="1"/>
  <c r="JJ45" i="2"/>
  <c r="JI52" i="2"/>
  <c r="JI53" i="2"/>
  <c r="JI50" i="2"/>
  <c r="JI48" i="2"/>
  <c r="JI49" i="2"/>
  <c r="JI51" i="2" l="1"/>
  <c r="JK45" i="2"/>
  <c r="JJ50" i="2"/>
  <c r="JJ52" i="2"/>
  <c r="JJ48" i="2"/>
  <c r="JJ53" i="2"/>
  <c r="JJ49" i="2"/>
  <c r="JJ51" i="2" l="1"/>
  <c r="JL45" i="2"/>
  <c r="JK48" i="2"/>
  <c r="JK52" i="2"/>
  <c r="JK53" i="2"/>
  <c r="JK50" i="2"/>
  <c r="JK49" i="2"/>
  <c r="JK51" i="2" l="1"/>
  <c r="JM45" i="2"/>
  <c r="JL48" i="2"/>
  <c r="JL49" i="2"/>
  <c r="JL50" i="2"/>
  <c r="JL53" i="2"/>
  <c r="JL52" i="2"/>
  <c r="JL51" i="2" l="1"/>
  <c r="JN45" i="2"/>
  <c r="JM50" i="2"/>
  <c r="JM49" i="2"/>
  <c r="JM52" i="2"/>
  <c r="JM53" i="2"/>
  <c r="JM48" i="2"/>
  <c r="JM51" i="2" l="1"/>
  <c r="JO45" i="2"/>
  <c r="JN53" i="2"/>
  <c r="JN48" i="2"/>
  <c r="JN50" i="2"/>
  <c r="JN49" i="2"/>
  <c r="JN52" i="2"/>
  <c r="JN51" i="2" l="1"/>
  <c r="JP45" i="2"/>
  <c r="JO50" i="2"/>
  <c r="JO52" i="2"/>
  <c r="JO49" i="2"/>
  <c r="JO53" i="2"/>
  <c r="JO48" i="2"/>
  <c r="JO51" i="2" l="1"/>
  <c r="JQ45" i="2"/>
  <c r="JP49" i="2"/>
  <c r="JP50" i="2"/>
  <c r="JP52" i="2"/>
  <c r="JP48" i="2"/>
  <c r="JP53" i="2"/>
  <c r="JP51" i="2" l="1"/>
  <c r="JR45" i="2"/>
  <c r="JQ52" i="2"/>
  <c r="JQ53" i="2"/>
  <c r="JQ49" i="2"/>
  <c r="JQ50" i="2"/>
  <c r="JQ48" i="2"/>
  <c r="JQ51" i="2" l="1"/>
  <c r="JS45" i="2"/>
  <c r="JR49" i="2"/>
  <c r="JR48" i="2"/>
  <c r="JR50" i="2"/>
  <c r="JR52" i="2"/>
  <c r="JR53" i="2"/>
  <c r="JR51" i="2" l="1"/>
  <c r="JT45" i="2"/>
  <c r="JS49" i="2"/>
  <c r="JS50" i="2"/>
  <c r="JS53" i="2"/>
  <c r="JS48" i="2"/>
  <c r="JS52" i="2"/>
  <c r="JS51" i="2" l="1"/>
  <c r="JU45" i="2"/>
  <c r="JT50" i="2"/>
  <c r="JT48" i="2"/>
  <c r="JT52" i="2"/>
  <c r="JT49" i="2"/>
  <c r="JT53" i="2"/>
  <c r="JT51" i="2" l="1"/>
  <c r="JV45" i="2"/>
  <c r="JU49" i="2"/>
  <c r="JU52" i="2"/>
  <c r="JU53" i="2"/>
  <c r="JU48" i="2"/>
  <c r="JU50" i="2"/>
  <c r="JU51" i="2" l="1"/>
  <c r="JW45" i="2"/>
  <c r="JV49" i="2"/>
  <c r="JV53" i="2"/>
  <c r="JV48" i="2"/>
  <c r="JV50" i="2"/>
  <c r="JV52" i="2"/>
  <c r="JV51" i="2" l="1"/>
  <c r="JX45" i="2"/>
  <c r="JW53" i="2"/>
  <c r="JW50" i="2"/>
  <c r="JW49" i="2"/>
  <c r="JW48" i="2"/>
  <c r="JW52" i="2"/>
  <c r="JW51" i="2" l="1"/>
  <c r="JY45" i="2"/>
  <c r="JX50" i="2"/>
  <c r="JX49" i="2"/>
  <c r="JX53" i="2"/>
  <c r="JX52" i="2"/>
  <c r="JX48" i="2"/>
  <c r="JX51" i="2" l="1"/>
  <c r="JZ45" i="2"/>
  <c r="JY52" i="2"/>
  <c r="JY49" i="2"/>
  <c r="JY50" i="2"/>
  <c r="JY48" i="2"/>
  <c r="JY53" i="2"/>
  <c r="JY51" i="2" l="1"/>
  <c r="KA45" i="2"/>
  <c r="JZ52" i="2"/>
  <c r="JZ50" i="2"/>
  <c r="JZ53" i="2"/>
  <c r="JZ49" i="2"/>
  <c r="JZ48" i="2"/>
  <c r="JZ51" i="2" l="1"/>
  <c r="KB45" i="2"/>
  <c r="KA48" i="2"/>
  <c r="KA49" i="2"/>
  <c r="KA53" i="2"/>
  <c r="KA52" i="2"/>
  <c r="KA50" i="2"/>
  <c r="KA51" i="2" l="1"/>
  <c r="KC45" i="2"/>
  <c r="KB50" i="2"/>
  <c r="KB53" i="2"/>
  <c r="KB49" i="2"/>
  <c r="KB52" i="2"/>
  <c r="KB48" i="2"/>
  <c r="KB51" i="2" l="1"/>
  <c r="KD45" i="2"/>
  <c r="KC48" i="2"/>
  <c r="KC49" i="2"/>
  <c r="KC50" i="2"/>
  <c r="KC52" i="2"/>
  <c r="KC53" i="2"/>
  <c r="KC51" i="2" l="1"/>
  <c r="KE45" i="2"/>
  <c r="KD52" i="2"/>
  <c r="KD49" i="2"/>
  <c r="KD50" i="2"/>
  <c r="KD48" i="2"/>
  <c r="KD53" i="2"/>
  <c r="KD51" i="2" l="1"/>
  <c r="KF45" i="2"/>
  <c r="KE50" i="2"/>
  <c r="KE48" i="2"/>
  <c r="KE52" i="2"/>
  <c r="KE49" i="2"/>
  <c r="KE53" i="2"/>
  <c r="KE51" i="2" l="1"/>
  <c r="KG45" i="2"/>
  <c r="KF48" i="2"/>
  <c r="KF50" i="2"/>
  <c r="KF49" i="2"/>
  <c r="KF52" i="2"/>
  <c r="KF53" i="2"/>
  <c r="KF51" i="2" l="1"/>
  <c r="KH45" i="2"/>
  <c r="KG52" i="2"/>
  <c r="KG48" i="2"/>
  <c r="KG50" i="2"/>
  <c r="KG49" i="2"/>
  <c r="KG53" i="2"/>
  <c r="KG51" i="2" l="1"/>
  <c r="KI45" i="2"/>
  <c r="KH50" i="2"/>
  <c r="KH48" i="2"/>
  <c r="KH53" i="2"/>
  <c r="KH52" i="2"/>
  <c r="KH49" i="2"/>
  <c r="KH51" i="2" l="1"/>
  <c r="KJ45" i="2"/>
  <c r="KI50" i="2"/>
  <c r="KI49" i="2"/>
  <c r="KI53" i="2"/>
  <c r="KI48" i="2"/>
  <c r="KI52" i="2"/>
  <c r="KI51" i="2" l="1"/>
  <c r="KK45" i="2"/>
  <c r="KJ53" i="2"/>
  <c r="KJ52" i="2"/>
  <c r="KJ50" i="2"/>
  <c r="KJ49" i="2"/>
  <c r="KJ48" i="2"/>
  <c r="KJ51" i="2" l="1"/>
  <c r="KL45" i="2"/>
  <c r="KK48" i="2"/>
  <c r="KK49" i="2"/>
  <c r="KK50" i="2"/>
  <c r="KK53" i="2"/>
  <c r="KK52" i="2"/>
  <c r="KK51" i="2" l="1"/>
  <c r="KM45" i="2"/>
  <c r="KL52" i="2"/>
  <c r="KL53" i="2"/>
  <c r="KL50" i="2"/>
  <c r="KL48" i="2"/>
  <c r="KL49" i="2"/>
  <c r="KL51" i="2" l="1"/>
  <c r="KN45" i="2"/>
  <c r="KM52" i="2"/>
  <c r="KM50" i="2"/>
  <c r="KM53" i="2"/>
  <c r="KM49" i="2"/>
  <c r="KM48" i="2"/>
  <c r="KM51" i="2" l="1"/>
  <c r="KO45" i="2"/>
  <c r="KN48" i="2"/>
  <c r="KN49" i="2"/>
  <c r="KN52" i="2"/>
  <c r="KN50" i="2"/>
  <c r="KN53" i="2"/>
  <c r="KN51" i="2" l="1"/>
  <c r="KP45" i="2"/>
  <c r="KO48" i="2"/>
  <c r="KO49" i="2"/>
  <c r="KO52" i="2"/>
  <c r="KO50" i="2"/>
  <c r="KO53" i="2"/>
  <c r="KO51" i="2" l="1"/>
  <c r="KQ45" i="2"/>
  <c r="KP50" i="2"/>
  <c r="KP52" i="2"/>
  <c r="KP49" i="2"/>
  <c r="KP53" i="2"/>
  <c r="KP48" i="2"/>
  <c r="KP51" i="2" l="1"/>
  <c r="KR45" i="2"/>
  <c r="KQ50" i="2"/>
  <c r="KQ53" i="2"/>
  <c r="KQ52" i="2"/>
  <c r="KQ48" i="2"/>
  <c r="KQ49" i="2"/>
  <c r="KQ51" i="2" l="1"/>
  <c r="KS45" i="2"/>
  <c r="KR48" i="2"/>
  <c r="KR49" i="2"/>
  <c r="KR52" i="2"/>
  <c r="KR50" i="2"/>
  <c r="KR53" i="2"/>
  <c r="KR51" i="2" l="1"/>
  <c r="KT45" i="2"/>
  <c r="KS53" i="2"/>
  <c r="KS48" i="2"/>
  <c r="KS50" i="2"/>
  <c r="KS49" i="2"/>
  <c r="KS52" i="2"/>
  <c r="KS51" i="2" l="1"/>
  <c r="KU45" i="2"/>
  <c r="KT53" i="2"/>
  <c r="KT50" i="2"/>
  <c r="KT49" i="2"/>
  <c r="KT48" i="2"/>
  <c r="KT52" i="2"/>
  <c r="KT51" i="2" l="1"/>
  <c r="KV45" i="2"/>
  <c r="KU48" i="2"/>
  <c r="KU53" i="2"/>
  <c r="KU49" i="2"/>
  <c r="KU50" i="2"/>
  <c r="KU52" i="2"/>
  <c r="KU51" i="2" l="1"/>
  <c r="KW45" i="2"/>
  <c r="KV52" i="2"/>
  <c r="KV53" i="2"/>
  <c r="KV50" i="2"/>
  <c r="KV49" i="2"/>
  <c r="KV48" i="2"/>
  <c r="KV51" i="2" l="1"/>
  <c r="KX45" i="2"/>
  <c r="KW48" i="2"/>
  <c r="KW53" i="2"/>
  <c r="KW49" i="2"/>
  <c r="KW50" i="2"/>
  <c r="KW52" i="2"/>
  <c r="KW51" i="2" l="1"/>
  <c r="KY45" i="2"/>
  <c r="KX53" i="2"/>
  <c r="KX48" i="2"/>
  <c r="KX49" i="2"/>
  <c r="KX50" i="2"/>
  <c r="KX52" i="2"/>
  <c r="KX51" i="2" l="1"/>
  <c r="KZ45" i="2"/>
  <c r="KY50" i="2"/>
  <c r="KY49" i="2"/>
  <c r="KY52" i="2"/>
  <c r="KY48" i="2"/>
  <c r="KY53" i="2"/>
  <c r="KY51" i="2" l="1"/>
  <c r="LA45" i="2"/>
  <c r="KZ50" i="2"/>
  <c r="KZ49" i="2"/>
  <c r="KZ48" i="2"/>
  <c r="KZ53" i="2"/>
  <c r="KZ52" i="2"/>
  <c r="KZ51" i="2" l="1"/>
  <c r="LB45" i="2"/>
  <c r="LA49" i="2"/>
  <c r="LA52" i="2"/>
  <c r="LA48" i="2"/>
  <c r="LA53" i="2"/>
  <c r="LA50" i="2"/>
  <c r="LA51" i="2" l="1"/>
  <c r="LC45" i="2"/>
  <c r="LB53" i="2"/>
  <c r="LB49" i="2"/>
  <c r="LB50" i="2"/>
  <c r="LB52" i="2"/>
  <c r="LB48" i="2"/>
  <c r="LB51" i="2" l="1"/>
  <c r="LD45" i="2"/>
  <c r="LC53" i="2"/>
  <c r="LC52" i="2"/>
  <c r="LC49" i="2"/>
  <c r="LC50" i="2"/>
  <c r="LC48" i="2"/>
  <c r="LC51" i="2" l="1"/>
  <c r="LE45" i="2"/>
  <c r="LD52" i="2"/>
  <c r="LD48" i="2"/>
  <c r="LD49" i="2"/>
  <c r="LD50" i="2"/>
  <c r="LD53" i="2"/>
  <c r="LD51" i="2" l="1"/>
  <c r="LF45" i="2"/>
  <c r="LE48" i="2"/>
  <c r="LE53" i="2"/>
  <c r="LE50" i="2"/>
  <c r="LE52" i="2"/>
  <c r="LE49" i="2"/>
  <c r="LE51" i="2" l="1"/>
  <c r="LG45" i="2"/>
  <c r="LF50" i="2"/>
  <c r="LF52" i="2"/>
  <c r="LF49" i="2"/>
  <c r="LF48" i="2"/>
  <c r="LF53" i="2"/>
  <c r="LF51" i="2" l="1"/>
  <c r="LH45" i="2"/>
  <c r="LG50" i="2"/>
  <c r="LG48" i="2"/>
  <c r="LG49" i="2"/>
  <c r="LG53" i="2"/>
  <c r="LG52" i="2"/>
  <c r="LG51" i="2" l="1"/>
  <c r="LI45" i="2"/>
  <c r="LH48" i="2"/>
  <c r="LH49" i="2"/>
  <c r="LH53" i="2"/>
  <c r="LH52" i="2"/>
  <c r="LH50" i="2"/>
  <c r="LH51" i="2" l="1"/>
  <c r="LJ45" i="2"/>
  <c r="LI53" i="2"/>
  <c r="LI48" i="2"/>
  <c r="LI50" i="2"/>
  <c r="LI52" i="2"/>
  <c r="LI49" i="2"/>
  <c r="LI51" i="2" l="1"/>
  <c r="LK45" i="2"/>
  <c r="LJ50" i="2"/>
  <c r="LJ48" i="2"/>
  <c r="LJ49" i="2"/>
  <c r="LJ53" i="2"/>
  <c r="LJ52" i="2"/>
  <c r="LJ51" i="2" l="1"/>
  <c r="LL45" i="2"/>
  <c r="LK52" i="2"/>
  <c r="LK48" i="2"/>
  <c r="LK49" i="2"/>
  <c r="LK53" i="2"/>
  <c r="LK50" i="2"/>
  <c r="LK51" i="2" l="1"/>
  <c r="LM45" i="2"/>
  <c r="LL52" i="2"/>
  <c r="LL48" i="2"/>
  <c r="LL49" i="2"/>
  <c r="LL50" i="2"/>
  <c r="LL53" i="2"/>
  <c r="LL51" i="2" l="1"/>
  <c r="LN45" i="2"/>
  <c r="LM49" i="2"/>
  <c r="LM52" i="2"/>
  <c r="LM50" i="2"/>
  <c r="LM48" i="2"/>
  <c r="LM53" i="2"/>
  <c r="LM51" i="2" l="1"/>
  <c r="LO45" i="2"/>
  <c r="LN52" i="2"/>
  <c r="LN48" i="2"/>
  <c r="LN53" i="2"/>
  <c r="LN49" i="2"/>
  <c r="LN50" i="2"/>
  <c r="LN51" i="2" l="1"/>
  <c r="LP45" i="2"/>
  <c r="LO49" i="2"/>
  <c r="LO48" i="2"/>
  <c r="LO52" i="2"/>
  <c r="LO50" i="2"/>
  <c r="LO53" i="2"/>
  <c r="LO51" i="2" l="1"/>
  <c r="LQ45" i="2"/>
  <c r="LP53" i="2"/>
  <c r="LP52" i="2"/>
  <c r="LP49" i="2"/>
  <c r="LP50" i="2"/>
  <c r="LP48" i="2"/>
  <c r="LP51" i="2" l="1"/>
  <c r="LR45" i="2"/>
  <c r="LQ49" i="2"/>
  <c r="LQ53" i="2"/>
  <c r="LQ50" i="2"/>
  <c r="LQ48" i="2"/>
  <c r="LQ52" i="2"/>
  <c r="LQ51" i="2" l="1"/>
  <c r="LS45" i="2"/>
  <c r="LR49" i="2"/>
  <c r="LR48" i="2"/>
  <c r="LR53" i="2"/>
  <c r="LR50" i="2"/>
  <c r="LR52" i="2"/>
  <c r="LR51" i="2" l="1"/>
  <c r="LT45" i="2"/>
  <c r="LS52" i="2"/>
  <c r="LS48" i="2"/>
  <c r="LS49" i="2"/>
  <c r="LS53" i="2"/>
  <c r="LS50" i="2"/>
  <c r="LS51" i="2" l="1"/>
  <c r="LU45" i="2"/>
  <c r="LT50" i="2"/>
  <c r="LT53" i="2"/>
  <c r="LT49" i="2"/>
  <c r="LT48" i="2"/>
  <c r="LT52" i="2"/>
  <c r="LT51" i="2" l="1"/>
  <c r="LV45" i="2"/>
  <c r="LU50" i="2"/>
  <c r="LU49" i="2"/>
  <c r="LU53" i="2"/>
  <c r="LU48" i="2"/>
  <c r="LU52" i="2"/>
  <c r="LU51" i="2" l="1"/>
  <c r="LW45" i="2"/>
  <c r="LV50" i="2"/>
  <c r="LV49" i="2"/>
  <c r="LV52" i="2"/>
  <c r="LV53" i="2"/>
  <c r="LV48" i="2"/>
  <c r="LV51" i="2" l="1"/>
  <c r="LX45" i="2"/>
  <c r="LW49" i="2"/>
  <c r="LW48" i="2"/>
  <c r="LW50" i="2"/>
  <c r="LW53" i="2"/>
  <c r="LW52" i="2"/>
  <c r="LW51" i="2" l="1"/>
  <c r="LY45" i="2"/>
  <c r="LX48" i="2"/>
  <c r="LX50" i="2"/>
  <c r="LX52" i="2"/>
  <c r="LX53" i="2"/>
  <c r="LX49" i="2"/>
  <c r="LX51" i="2" l="1"/>
  <c r="LZ45" i="2"/>
  <c r="LY53" i="2"/>
  <c r="LY50" i="2"/>
  <c r="LY52" i="2"/>
  <c r="LY48" i="2"/>
  <c r="LY49" i="2"/>
  <c r="LY51" i="2" l="1"/>
  <c r="MA45" i="2"/>
  <c r="LZ53" i="2"/>
  <c r="LZ49" i="2"/>
  <c r="LZ48" i="2"/>
  <c r="LZ50" i="2"/>
  <c r="LZ52" i="2"/>
  <c r="LZ51" i="2" l="1"/>
  <c r="MB45" i="2"/>
  <c r="MA48" i="2"/>
  <c r="MA52" i="2"/>
  <c r="MA50" i="2"/>
  <c r="MA49" i="2"/>
  <c r="MA53" i="2"/>
  <c r="MA51" i="2" l="1"/>
  <c r="MC45" i="2"/>
  <c r="MB49" i="2"/>
  <c r="MB48" i="2"/>
  <c r="MB53" i="2"/>
  <c r="MB52" i="2"/>
  <c r="MB50" i="2"/>
  <c r="MB51" i="2" l="1"/>
  <c r="MD45" i="2"/>
  <c r="MC52" i="2"/>
  <c r="MC48" i="2"/>
  <c r="MC49" i="2"/>
  <c r="MC53" i="2"/>
  <c r="MC50" i="2"/>
  <c r="MC51" i="2" l="1"/>
  <c r="ME45" i="2"/>
  <c r="MD48" i="2"/>
  <c r="MD50" i="2"/>
  <c r="MD52" i="2"/>
  <c r="MD49" i="2"/>
  <c r="MD53" i="2"/>
  <c r="MD51" i="2" l="1"/>
  <c r="MF45" i="2"/>
  <c r="ME53" i="2"/>
  <c r="ME48" i="2"/>
  <c r="ME50" i="2"/>
  <c r="ME52" i="2"/>
  <c r="ME49" i="2"/>
  <c r="ME51" i="2" l="1"/>
  <c r="MG45" i="2"/>
  <c r="MF48" i="2"/>
  <c r="MF52" i="2"/>
  <c r="MF50" i="2"/>
  <c r="MF49" i="2"/>
  <c r="MF53" i="2"/>
  <c r="MF51" i="2" l="1"/>
  <c r="MH45" i="2"/>
  <c r="MG53" i="2"/>
  <c r="MG49" i="2"/>
  <c r="MG48" i="2"/>
  <c r="MG50" i="2"/>
  <c r="MG52" i="2"/>
  <c r="MG51" i="2" l="1"/>
  <c r="MI45" i="2"/>
  <c r="MH52" i="2"/>
  <c r="MH53" i="2"/>
  <c r="MH49" i="2"/>
  <c r="MH48" i="2"/>
  <c r="MH50" i="2"/>
  <c r="MH51" i="2" l="1"/>
  <c r="MJ45" i="2"/>
  <c r="MI48" i="2"/>
  <c r="MI49" i="2"/>
  <c r="MI53" i="2"/>
  <c r="MI50" i="2"/>
  <c r="MI52" i="2"/>
  <c r="MI51" i="2" l="1"/>
  <c r="MK45" i="2"/>
  <c r="MJ49" i="2"/>
  <c r="MJ52" i="2"/>
  <c r="MJ53" i="2"/>
  <c r="MJ48" i="2"/>
  <c r="MJ50" i="2"/>
  <c r="MJ51" i="2" l="1"/>
  <c r="ML45" i="2"/>
  <c r="MK49" i="2"/>
  <c r="MK53" i="2"/>
  <c r="MK50" i="2"/>
  <c r="MK48" i="2"/>
  <c r="MK52" i="2"/>
  <c r="MK51" i="2" l="1"/>
  <c r="MM45" i="2"/>
  <c r="ML52" i="2"/>
  <c r="ML50" i="2"/>
  <c r="ML48" i="2"/>
  <c r="ML49" i="2"/>
  <c r="ML53" i="2"/>
  <c r="ML51" i="2" l="1"/>
  <c r="MN45" i="2"/>
  <c r="MM52" i="2"/>
  <c r="MM53" i="2"/>
  <c r="MM50" i="2"/>
  <c r="MM48" i="2"/>
  <c r="MM49" i="2"/>
  <c r="MM51" i="2" l="1"/>
  <c r="MO45" i="2"/>
  <c r="MN49" i="2"/>
  <c r="MN53" i="2"/>
  <c r="MN48" i="2"/>
  <c r="MN50" i="2"/>
  <c r="MN52" i="2"/>
  <c r="MN51" i="2" l="1"/>
  <c r="MP45" i="2"/>
  <c r="MO53" i="2"/>
  <c r="MO48" i="2"/>
  <c r="MO49" i="2"/>
  <c r="MO52" i="2"/>
  <c r="MO50" i="2"/>
  <c r="MO51" i="2" l="1"/>
  <c r="MQ45" i="2"/>
  <c r="MP48" i="2"/>
  <c r="MP50" i="2"/>
  <c r="MP52" i="2"/>
  <c r="MP49" i="2"/>
  <c r="MP53" i="2"/>
  <c r="MP51" i="2" l="1"/>
  <c r="MR45" i="2"/>
  <c r="MQ53" i="2"/>
  <c r="MQ49" i="2"/>
  <c r="MQ50" i="2"/>
  <c r="MQ48" i="2"/>
  <c r="MQ52" i="2"/>
  <c r="MQ51" i="2" l="1"/>
  <c r="MS45" i="2"/>
  <c r="MR48" i="2"/>
  <c r="MR52" i="2"/>
  <c r="MR50" i="2"/>
  <c r="MR53" i="2"/>
  <c r="MR49" i="2"/>
  <c r="MR51" i="2" l="1"/>
  <c r="MT45" i="2"/>
  <c r="MS52" i="2"/>
  <c r="MS53" i="2"/>
  <c r="MS48" i="2"/>
  <c r="MS50" i="2"/>
  <c r="MS49" i="2"/>
  <c r="MS51" i="2" l="1"/>
  <c r="MU45" i="2"/>
  <c r="MT52" i="2"/>
  <c r="MT50" i="2"/>
  <c r="MT48" i="2"/>
  <c r="MT49" i="2"/>
  <c r="MT53" i="2"/>
  <c r="MT51" i="2" l="1"/>
  <c r="MV45" i="2"/>
  <c r="MU50" i="2"/>
  <c r="MU48" i="2"/>
  <c r="MU53" i="2"/>
  <c r="MU49" i="2"/>
  <c r="MU52" i="2"/>
  <c r="MU51" i="2" l="1"/>
  <c r="MW45" i="2"/>
  <c r="MV50" i="2"/>
  <c r="MV48" i="2"/>
  <c r="MV53" i="2"/>
  <c r="MV52" i="2"/>
  <c r="MV49" i="2"/>
  <c r="MV51" i="2" l="1"/>
  <c r="MX45" i="2"/>
  <c r="MW50" i="2"/>
  <c r="MW48" i="2"/>
  <c r="MW52" i="2"/>
  <c r="MW49" i="2"/>
  <c r="MW53" i="2"/>
  <c r="MW51" i="2" l="1"/>
  <c r="MY45" i="2"/>
  <c r="MX52" i="2"/>
  <c r="MX50" i="2"/>
  <c r="MX49" i="2"/>
  <c r="MX48" i="2"/>
  <c r="MX53" i="2"/>
  <c r="MX51" i="2" l="1"/>
  <c r="MZ45" i="2"/>
  <c r="MY53" i="2"/>
  <c r="MY52" i="2"/>
  <c r="MY48" i="2"/>
  <c r="MY49" i="2"/>
  <c r="MY50" i="2"/>
  <c r="MY51" i="2" l="1"/>
  <c r="NA45" i="2"/>
  <c r="MZ52" i="2"/>
  <c r="MZ48" i="2"/>
  <c r="MZ53" i="2"/>
  <c r="MZ50" i="2"/>
  <c r="MZ49" i="2"/>
  <c r="MZ51" i="2" l="1"/>
  <c r="NB45" i="2"/>
  <c r="NA48" i="2"/>
  <c r="NA49" i="2"/>
  <c r="NA53" i="2"/>
  <c r="NA52" i="2"/>
  <c r="NA50" i="2"/>
  <c r="NA51" i="2" l="1"/>
  <c r="NC45" i="2"/>
  <c r="NB49" i="2"/>
  <c r="NB48" i="2"/>
  <c r="NB50" i="2"/>
  <c r="NB53" i="2"/>
  <c r="NB52" i="2"/>
  <c r="NB51" i="2" l="1"/>
  <c r="ND45" i="2"/>
  <c r="NC53" i="2"/>
  <c r="NC52" i="2"/>
  <c r="NC48" i="2"/>
  <c r="NC49" i="2"/>
  <c r="NC50" i="2"/>
  <c r="NC51" i="2" l="1"/>
  <c r="NE45" i="2"/>
  <c r="ND53" i="2"/>
  <c r="ND49" i="2"/>
  <c r="ND48" i="2"/>
  <c r="ND50" i="2"/>
  <c r="ND52" i="2"/>
  <c r="ND51" i="2" l="1"/>
  <c r="NF45" i="2"/>
  <c r="NE49" i="2"/>
  <c r="NE53" i="2"/>
  <c r="NE52" i="2"/>
  <c r="NE48" i="2"/>
  <c r="NE50" i="2"/>
  <c r="NE51" i="2" l="1"/>
  <c r="NG45" i="2"/>
  <c r="NF52" i="2"/>
  <c r="NF49" i="2"/>
  <c r="NF48" i="2"/>
  <c r="NF50" i="2"/>
  <c r="NF53" i="2"/>
  <c r="NF51" i="2" l="1"/>
  <c r="NH45" i="2"/>
  <c r="NG48" i="2"/>
  <c r="NG52" i="2"/>
  <c r="NG49" i="2"/>
  <c r="NG50" i="2"/>
  <c r="NG53" i="2"/>
  <c r="NG51" i="2" l="1"/>
  <c r="NI45" i="2"/>
  <c r="NH53" i="2"/>
  <c r="NH52" i="2"/>
  <c r="NH48" i="2"/>
  <c r="NH49" i="2"/>
  <c r="NH50" i="2"/>
  <c r="NH51" i="2" l="1"/>
  <c r="NJ45" i="2"/>
  <c r="NI50" i="2"/>
  <c r="NI48" i="2"/>
  <c r="NI53" i="2"/>
  <c r="NI49" i="2"/>
  <c r="NI52" i="2"/>
  <c r="NI51" i="2" l="1"/>
  <c r="NK45" i="2"/>
  <c r="NJ48" i="2"/>
  <c r="NJ49" i="2"/>
  <c r="NJ50" i="2"/>
  <c r="NJ53" i="2"/>
  <c r="NJ52" i="2"/>
  <c r="NJ51" i="2" l="1"/>
  <c r="NL45" i="2"/>
  <c r="NK49" i="2"/>
  <c r="NK53" i="2"/>
  <c r="NK52" i="2"/>
  <c r="NK50" i="2"/>
  <c r="NK48" i="2"/>
  <c r="NK51" i="2" l="1"/>
  <c r="NM45" i="2"/>
  <c r="NL50" i="2"/>
  <c r="NL48" i="2"/>
  <c r="NL53" i="2"/>
  <c r="NL52" i="2"/>
  <c r="NL49" i="2"/>
  <c r="NL51" i="2" l="1"/>
  <c r="NN45" i="2"/>
  <c r="NM52" i="2"/>
  <c r="NM50" i="2"/>
  <c r="NM48" i="2"/>
  <c r="NM49" i="2"/>
  <c r="NM53" i="2"/>
  <c r="NM51" i="2" l="1"/>
  <c r="NO45" i="2"/>
  <c r="NN53" i="2"/>
  <c r="NN50" i="2"/>
  <c r="NN52" i="2"/>
  <c r="NN49" i="2"/>
  <c r="NN48" i="2"/>
  <c r="NN51" i="2" l="1"/>
  <c r="NP45" i="2"/>
  <c r="NO48" i="2"/>
  <c r="NO52" i="2"/>
  <c r="NO49" i="2"/>
  <c r="NO53" i="2"/>
  <c r="NO50" i="2"/>
  <c r="NO51" i="2" l="1"/>
  <c r="NQ45" i="2"/>
  <c r="NP48" i="2"/>
  <c r="NP53" i="2"/>
  <c r="NP50" i="2"/>
  <c r="NP49" i="2"/>
  <c r="NP52" i="2"/>
  <c r="NP51" i="2" l="1"/>
  <c r="NR45" i="2"/>
  <c r="NQ48" i="2"/>
  <c r="NQ49" i="2"/>
  <c r="NQ53" i="2"/>
  <c r="NQ50" i="2"/>
  <c r="NQ52" i="2"/>
  <c r="NQ51" i="2" l="1"/>
  <c r="NS45" i="2"/>
  <c r="NR52" i="2"/>
  <c r="NR50" i="2"/>
  <c r="NR53" i="2"/>
  <c r="NR48" i="2"/>
  <c r="NR49" i="2"/>
  <c r="NR51" i="2" l="1"/>
  <c r="NT45" i="2"/>
  <c r="NS53" i="2"/>
  <c r="NS50" i="2"/>
  <c r="NS48" i="2"/>
  <c r="NS52" i="2"/>
  <c r="NS49" i="2"/>
  <c r="NS51" i="2" l="1"/>
  <c r="NU45" i="2"/>
  <c r="NT53" i="2"/>
  <c r="NT48" i="2"/>
  <c r="NT49" i="2"/>
  <c r="NT50" i="2"/>
  <c r="NT52" i="2"/>
  <c r="NT51" i="2" l="1"/>
  <c r="NV45" i="2"/>
  <c r="NU50" i="2"/>
  <c r="NU52" i="2"/>
  <c r="NU53" i="2"/>
  <c r="NU49" i="2"/>
  <c r="NU48" i="2"/>
  <c r="NU51" i="2" l="1"/>
  <c r="NW45" i="2"/>
  <c r="NV49" i="2"/>
  <c r="NV52" i="2"/>
  <c r="NV53" i="2"/>
  <c r="NV48" i="2"/>
  <c r="NV50" i="2"/>
  <c r="NV51" i="2" l="1"/>
  <c r="NX45" i="2"/>
  <c r="NW48" i="2"/>
  <c r="NW49" i="2"/>
  <c r="NW50" i="2"/>
  <c r="NW53" i="2"/>
  <c r="NW52" i="2"/>
  <c r="NW51" i="2" l="1"/>
  <c r="NY45" i="2"/>
  <c r="NX50" i="2"/>
  <c r="NX53" i="2"/>
  <c r="NX48" i="2"/>
  <c r="NX49" i="2"/>
  <c r="NX52" i="2"/>
  <c r="NX51" i="2" l="1"/>
  <c r="NZ45" i="2"/>
  <c r="NY50" i="2"/>
  <c r="NY48" i="2"/>
  <c r="NY53" i="2"/>
  <c r="NY52" i="2"/>
  <c r="NY49" i="2"/>
  <c r="NY51" i="2" l="1"/>
  <c r="OA45" i="2"/>
  <c r="NZ52" i="2"/>
  <c r="NZ48" i="2"/>
  <c r="NZ49" i="2"/>
  <c r="NZ53" i="2"/>
  <c r="NZ50" i="2"/>
  <c r="NZ51" i="2" l="1"/>
  <c r="OB45" i="2"/>
  <c r="OA50" i="2"/>
  <c r="OA53" i="2"/>
  <c r="OA49" i="2"/>
  <c r="OA48" i="2"/>
  <c r="OA52" i="2"/>
  <c r="OA51" i="2" l="1"/>
  <c r="OC45" i="2"/>
  <c r="OB52" i="2"/>
  <c r="OB49" i="2"/>
  <c r="OB48" i="2"/>
  <c r="OB50" i="2"/>
  <c r="OB53" i="2"/>
  <c r="OB51" i="2" l="1"/>
  <c r="OD45" i="2"/>
  <c r="OC50" i="2"/>
  <c r="OC52" i="2"/>
  <c r="OC48" i="2"/>
  <c r="OC49" i="2"/>
  <c r="OC53" i="2"/>
  <c r="OC51" i="2" l="1"/>
  <c r="OE45" i="2"/>
  <c r="OD50" i="2"/>
  <c r="OD52" i="2"/>
  <c r="OD49" i="2"/>
  <c r="OD53" i="2"/>
  <c r="OD48" i="2"/>
  <c r="OD51" i="2" l="1"/>
  <c r="OF45" i="2"/>
  <c r="OE49" i="2"/>
  <c r="OE53" i="2"/>
  <c r="OE48" i="2"/>
  <c r="OE50" i="2"/>
  <c r="OE52" i="2"/>
  <c r="OE51" i="2" l="1"/>
  <c r="OG45" i="2"/>
  <c r="OF48" i="2"/>
  <c r="OF52" i="2"/>
  <c r="OF49" i="2"/>
  <c r="OF53" i="2"/>
  <c r="OF50" i="2"/>
  <c r="OF51" i="2" l="1"/>
  <c r="OH45" i="2"/>
  <c r="OG53" i="2"/>
  <c r="OG52" i="2"/>
  <c r="OG49" i="2"/>
  <c r="OG50" i="2"/>
  <c r="OG48" i="2"/>
  <c r="OG51" i="2" l="1"/>
  <c r="OI45" i="2"/>
  <c r="OH48" i="2"/>
  <c r="OH50" i="2"/>
  <c r="OH52" i="2"/>
  <c r="OH53" i="2"/>
  <c r="OH49" i="2"/>
  <c r="OH51" i="2" l="1"/>
  <c r="OJ45" i="2"/>
  <c r="OI49" i="2"/>
  <c r="OI52" i="2"/>
  <c r="OI53" i="2"/>
  <c r="OI48" i="2"/>
  <c r="OI50" i="2"/>
  <c r="OI51" i="2" l="1"/>
  <c r="OK45" i="2"/>
  <c r="OJ49" i="2"/>
  <c r="OJ50" i="2"/>
  <c r="OJ52" i="2"/>
  <c r="OJ48" i="2"/>
  <c r="OJ53" i="2"/>
  <c r="OJ51" i="2" l="1"/>
  <c r="OL45" i="2"/>
  <c r="OK53" i="2"/>
  <c r="OK49" i="2"/>
  <c r="OK52" i="2"/>
  <c r="OK50" i="2"/>
  <c r="OK48" i="2"/>
  <c r="OK51" i="2" l="1"/>
  <c r="OM45" i="2"/>
  <c r="OL49" i="2"/>
  <c r="OL52" i="2"/>
  <c r="OL48" i="2"/>
  <c r="OL53" i="2"/>
  <c r="OL50" i="2"/>
  <c r="OL51" i="2" l="1"/>
  <c r="ON45" i="2"/>
  <c r="OM50" i="2"/>
  <c r="OM48" i="2"/>
  <c r="OM49" i="2"/>
  <c r="OM53" i="2"/>
  <c r="OM52" i="2"/>
  <c r="OM51" i="2" l="1"/>
  <c r="OO45" i="2"/>
  <c r="ON50" i="2"/>
  <c r="ON53" i="2"/>
  <c r="ON49" i="2"/>
  <c r="ON48" i="2"/>
  <c r="ON52" i="2"/>
  <c r="ON51" i="2" l="1"/>
  <c r="OP45" i="2"/>
  <c r="OO50" i="2"/>
  <c r="OO49" i="2"/>
  <c r="OO52" i="2"/>
  <c r="OO48" i="2"/>
  <c r="OO53" i="2"/>
  <c r="OO51" i="2" l="1"/>
  <c r="OQ45" i="2"/>
  <c r="OP53" i="2"/>
  <c r="OP49" i="2"/>
  <c r="OP48" i="2"/>
  <c r="OP50" i="2"/>
  <c r="OP52" i="2"/>
  <c r="OP51" i="2" l="1"/>
  <c r="OR45" i="2"/>
  <c r="OQ50" i="2"/>
  <c r="OQ48" i="2"/>
  <c r="OQ49" i="2"/>
  <c r="OQ52" i="2"/>
  <c r="OQ53" i="2"/>
  <c r="OQ51" i="2" l="1"/>
  <c r="OS45" i="2"/>
  <c r="OR52" i="2"/>
  <c r="OR48" i="2"/>
  <c r="OR49" i="2"/>
  <c r="OR50" i="2"/>
  <c r="OR53" i="2"/>
  <c r="OR51" i="2" l="1"/>
  <c r="OT45" i="2"/>
  <c r="OS49" i="2"/>
  <c r="OS48" i="2"/>
  <c r="OS52" i="2"/>
  <c r="OS53" i="2"/>
  <c r="OS50" i="2"/>
  <c r="OS51" i="2" l="1"/>
  <c r="OU45" i="2"/>
  <c r="OT48" i="2"/>
  <c r="OT49" i="2"/>
  <c r="OT52" i="2"/>
  <c r="OT50" i="2"/>
  <c r="OT53" i="2"/>
  <c r="OT51" i="2" l="1"/>
  <c r="OV45" i="2"/>
  <c r="OU49" i="2"/>
  <c r="OU52" i="2"/>
  <c r="OU53" i="2"/>
  <c r="OU50" i="2"/>
  <c r="OU48" i="2"/>
  <c r="OU51" i="2" l="1"/>
  <c r="OW45" i="2"/>
  <c r="OV48" i="2"/>
  <c r="OV50" i="2"/>
  <c r="OV49" i="2"/>
  <c r="OV52" i="2"/>
  <c r="OV53" i="2"/>
  <c r="OV51" i="2" l="1"/>
  <c r="OX45" i="2"/>
  <c r="OW49" i="2"/>
  <c r="OW53" i="2"/>
  <c r="OW48" i="2"/>
  <c r="OW52" i="2"/>
  <c r="OW50" i="2"/>
  <c r="OW51" i="2" l="1"/>
  <c r="OY45" i="2"/>
  <c r="OX52" i="2"/>
  <c r="OX48" i="2"/>
  <c r="OX50" i="2"/>
  <c r="OX49" i="2"/>
  <c r="OX53" i="2"/>
  <c r="OX51" i="2" l="1"/>
  <c r="OZ45" i="2"/>
  <c r="OY53" i="2"/>
  <c r="OY48" i="2"/>
  <c r="OY49" i="2"/>
  <c r="OY52" i="2"/>
  <c r="OY50" i="2"/>
  <c r="OY51" i="2" l="1"/>
  <c r="PA45" i="2"/>
  <c r="OZ48" i="2"/>
  <c r="OZ50" i="2"/>
  <c r="OZ52" i="2"/>
  <c r="OZ53" i="2"/>
  <c r="OZ49" i="2"/>
  <c r="OZ51" i="2" l="1"/>
  <c r="PB45" i="2"/>
  <c r="PA53" i="2"/>
  <c r="PA50" i="2"/>
  <c r="PA52" i="2"/>
  <c r="PA49" i="2"/>
  <c r="PA48" i="2"/>
  <c r="PA51" i="2" l="1"/>
  <c r="PC45" i="2"/>
  <c r="PB50" i="2"/>
  <c r="PB52" i="2"/>
  <c r="PB49" i="2"/>
  <c r="PB48" i="2"/>
  <c r="PB53" i="2"/>
  <c r="PB51" i="2" l="1"/>
  <c r="PD45" i="2"/>
  <c r="PC52" i="2"/>
  <c r="PC49" i="2"/>
  <c r="PC53" i="2"/>
  <c r="PC48" i="2"/>
  <c r="PC50" i="2"/>
  <c r="PC51" i="2" l="1"/>
  <c r="PE45" i="2"/>
  <c r="PD52" i="2"/>
  <c r="PD53" i="2"/>
  <c r="PD49" i="2"/>
  <c r="PD50" i="2"/>
  <c r="PD48" i="2"/>
  <c r="PD51" i="2" l="1"/>
  <c r="PF45" i="2"/>
  <c r="PE52" i="2"/>
  <c r="PE50" i="2"/>
  <c r="PE53" i="2"/>
  <c r="PE48" i="2"/>
  <c r="PE49" i="2"/>
  <c r="PE51" i="2" l="1"/>
  <c r="PG45" i="2"/>
  <c r="PF50" i="2"/>
  <c r="PF52" i="2"/>
  <c r="PF53" i="2"/>
  <c r="PF48" i="2"/>
  <c r="PF49" i="2"/>
  <c r="PF51" i="2" l="1"/>
  <c r="PH45" i="2"/>
  <c r="PG48" i="2"/>
  <c r="PG52" i="2"/>
  <c r="PG50" i="2"/>
  <c r="PG49" i="2"/>
  <c r="PG53" i="2"/>
  <c r="PG51" i="2" l="1"/>
  <c r="PI45" i="2"/>
  <c r="PH52" i="2"/>
  <c r="PH50" i="2"/>
  <c r="PH49" i="2"/>
  <c r="PH48" i="2"/>
  <c r="PH53" i="2"/>
  <c r="PH51" i="2" l="1"/>
  <c r="PJ45" i="2"/>
  <c r="PI48" i="2"/>
  <c r="PI49" i="2"/>
  <c r="PI50" i="2"/>
  <c r="PI53" i="2"/>
  <c r="PI52" i="2"/>
  <c r="PI51" i="2" l="1"/>
  <c r="PK45" i="2"/>
  <c r="PJ52" i="2"/>
  <c r="PJ53" i="2"/>
  <c r="PJ48" i="2"/>
  <c r="PJ49" i="2"/>
  <c r="PJ50" i="2"/>
  <c r="PJ51" i="2" l="1"/>
  <c r="PL45" i="2"/>
  <c r="PK53" i="2"/>
  <c r="PK48" i="2"/>
  <c r="PK50" i="2"/>
  <c r="PK52" i="2"/>
  <c r="PK49" i="2"/>
  <c r="PK51" i="2" l="1"/>
  <c r="PM45" i="2"/>
  <c r="PL52" i="2"/>
  <c r="PL48" i="2"/>
  <c r="PL53" i="2"/>
  <c r="PL49" i="2"/>
  <c r="PL50" i="2"/>
  <c r="PL51" i="2" l="1"/>
  <c r="PN45" i="2"/>
  <c r="PM50" i="2"/>
  <c r="PM48" i="2"/>
  <c r="PM49" i="2"/>
  <c r="PM53" i="2"/>
  <c r="PM52" i="2"/>
  <c r="PM51" i="2" l="1"/>
  <c r="PO45" i="2"/>
  <c r="PN49" i="2"/>
  <c r="PN50" i="2"/>
  <c r="PN53" i="2"/>
  <c r="PN48" i="2"/>
  <c r="PN52" i="2"/>
  <c r="PN51" i="2" l="1"/>
  <c r="PP45" i="2"/>
  <c r="PO50" i="2"/>
  <c r="PO53" i="2"/>
  <c r="PO49" i="2"/>
  <c r="PO52" i="2"/>
  <c r="PO48" i="2"/>
  <c r="PO51" i="2" l="1"/>
  <c r="PQ45" i="2"/>
  <c r="PP50" i="2"/>
  <c r="PP52" i="2"/>
  <c r="PP49" i="2"/>
  <c r="PP48" i="2"/>
  <c r="PP53" i="2"/>
  <c r="PP51" i="2" l="1"/>
  <c r="PR45" i="2"/>
  <c r="PQ50" i="2"/>
  <c r="PQ49" i="2"/>
  <c r="PQ52" i="2"/>
  <c r="PQ53" i="2"/>
  <c r="PQ48" i="2"/>
  <c r="PQ51" i="2" l="1"/>
  <c r="PS45" i="2"/>
  <c r="PR49" i="2"/>
  <c r="PR50" i="2"/>
  <c r="PR53" i="2"/>
  <c r="PR52" i="2"/>
  <c r="PR48" i="2"/>
  <c r="PR51" i="2" l="1"/>
  <c r="PT45" i="2"/>
  <c r="PS50" i="2"/>
  <c r="PS52" i="2"/>
  <c r="PS48" i="2"/>
  <c r="PS53" i="2"/>
  <c r="PS49" i="2"/>
  <c r="PS51" i="2" l="1"/>
  <c r="PU45" i="2"/>
  <c r="PT48" i="2"/>
  <c r="PT53" i="2"/>
  <c r="PT52" i="2"/>
  <c r="PT49" i="2"/>
  <c r="PT50" i="2"/>
  <c r="PT51" i="2" l="1"/>
  <c r="PV45" i="2"/>
  <c r="PU52" i="2"/>
  <c r="PU48" i="2"/>
  <c r="PU50" i="2"/>
  <c r="PU53" i="2"/>
  <c r="PU49" i="2"/>
  <c r="PU51" i="2" l="1"/>
  <c r="PW45" i="2"/>
  <c r="PV52" i="2"/>
  <c r="PV49" i="2"/>
  <c r="PV53" i="2"/>
  <c r="PV50" i="2"/>
  <c r="PV48" i="2"/>
  <c r="PV51" i="2" l="1"/>
  <c r="PX45" i="2"/>
  <c r="PW52" i="2"/>
  <c r="PW49" i="2"/>
  <c r="PW50" i="2"/>
  <c r="PW48" i="2"/>
  <c r="PW53" i="2"/>
  <c r="PW51" i="2" l="1"/>
  <c r="PY45" i="2"/>
  <c r="PX48" i="2"/>
  <c r="PX49" i="2"/>
  <c r="PX50" i="2"/>
  <c r="PX53" i="2"/>
  <c r="PX52" i="2"/>
  <c r="PX51" i="2" l="1"/>
  <c r="PZ45" i="2"/>
  <c r="PY50" i="2"/>
  <c r="PY52" i="2"/>
  <c r="PY49" i="2"/>
  <c r="PY53" i="2"/>
  <c r="PY48" i="2"/>
  <c r="PY51" i="2" l="1"/>
  <c r="QA45" i="2"/>
  <c r="PZ53" i="2"/>
  <c r="PZ50" i="2"/>
  <c r="PZ48" i="2"/>
  <c r="PZ49" i="2"/>
  <c r="PZ52" i="2"/>
  <c r="PZ51" i="2" l="1"/>
  <c r="QB45" i="2"/>
  <c r="QA48" i="2"/>
  <c r="QA49" i="2"/>
  <c r="QA50" i="2"/>
  <c r="QA52" i="2"/>
  <c r="QA53" i="2"/>
  <c r="QA51" i="2" l="1"/>
  <c r="QC45" i="2"/>
  <c r="QB48" i="2"/>
  <c r="QB53" i="2"/>
  <c r="QB50" i="2"/>
  <c r="QB52" i="2"/>
  <c r="QB49" i="2"/>
  <c r="QB51" i="2" l="1"/>
  <c r="QD45" i="2"/>
  <c r="QC53" i="2"/>
  <c r="QC52" i="2"/>
  <c r="QC48" i="2"/>
  <c r="QC49" i="2"/>
  <c r="QC50" i="2"/>
  <c r="QC51" i="2" l="1"/>
  <c r="QE45" i="2"/>
  <c r="QD48" i="2"/>
  <c r="QD49" i="2"/>
  <c r="QD50" i="2"/>
  <c r="QD53" i="2"/>
  <c r="QD52" i="2"/>
  <c r="QD51" i="2" l="1"/>
  <c r="QF45" i="2"/>
  <c r="QE53" i="2"/>
  <c r="QE50" i="2"/>
  <c r="QE49" i="2"/>
  <c r="QE48" i="2"/>
  <c r="QE52" i="2"/>
  <c r="QE51" i="2" l="1"/>
  <c r="QG45" i="2"/>
  <c r="QF52" i="2"/>
  <c r="QF49" i="2"/>
  <c r="QF48" i="2"/>
  <c r="QF53" i="2"/>
  <c r="QF50" i="2"/>
  <c r="QF51" i="2" l="1"/>
  <c r="QH45" i="2"/>
  <c r="QG50" i="2"/>
  <c r="QG49" i="2"/>
  <c r="QG52" i="2"/>
  <c r="QG53" i="2"/>
  <c r="QG48" i="2"/>
  <c r="QG51" i="2" l="1"/>
  <c r="QI45" i="2"/>
  <c r="QH53" i="2"/>
  <c r="QH49" i="2"/>
  <c r="QH50" i="2"/>
  <c r="QH52" i="2"/>
  <c r="QH48" i="2"/>
  <c r="QH51" i="2" l="1"/>
  <c r="QJ45" i="2"/>
  <c r="QI50" i="2"/>
  <c r="QI52" i="2"/>
  <c r="QI49" i="2"/>
  <c r="QI53" i="2"/>
  <c r="QI48" i="2"/>
  <c r="QI51" i="2" l="1"/>
  <c r="QK45" i="2"/>
  <c r="QJ49" i="2"/>
  <c r="QJ48" i="2"/>
  <c r="QJ50" i="2"/>
  <c r="QJ52" i="2"/>
  <c r="QJ53" i="2"/>
  <c r="QJ51" i="2" l="1"/>
  <c r="QL45" i="2"/>
  <c r="QK52" i="2"/>
  <c r="QK50" i="2"/>
  <c r="QK49" i="2"/>
  <c r="QK48" i="2"/>
  <c r="QK53" i="2"/>
  <c r="QK51" i="2" l="1"/>
  <c r="QM45" i="2"/>
  <c r="QL49" i="2"/>
  <c r="QL50" i="2"/>
  <c r="QL53" i="2"/>
  <c r="QL48" i="2"/>
  <c r="QL52" i="2"/>
  <c r="QL51" i="2" l="1"/>
  <c r="QN45" i="2"/>
  <c r="QM52" i="2"/>
  <c r="QM50" i="2"/>
  <c r="QM53" i="2"/>
  <c r="QM48" i="2"/>
  <c r="QM49" i="2"/>
  <c r="QM51" i="2" l="1"/>
  <c r="QO45" i="2"/>
  <c r="QN50" i="2"/>
  <c r="QN48" i="2"/>
  <c r="QN49" i="2"/>
  <c r="QN53" i="2"/>
  <c r="QN52" i="2"/>
  <c r="QN51" i="2" l="1"/>
  <c r="QP45" i="2"/>
  <c r="QO53" i="2"/>
  <c r="QO48" i="2"/>
  <c r="QO50" i="2"/>
  <c r="QO52" i="2"/>
  <c r="QO49" i="2"/>
  <c r="QO51" i="2" l="1"/>
  <c r="QQ45" i="2"/>
  <c r="QP52" i="2"/>
  <c r="QP53" i="2"/>
  <c r="QP49" i="2"/>
  <c r="QP50" i="2"/>
  <c r="QP48" i="2"/>
  <c r="QP51" i="2" l="1"/>
  <c r="QR45" i="2"/>
  <c r="QQ53" i="2"/>
  <c r="QQ49" i="2"/>
  <c r="QQ48" i="2"/>
  <c r="QQ52" i="2"/>
  <c r="QQ50" i="2"/>
  <c r="QQ51" i="2" l="1"/>
  <c r="QS45" i="2"/>
  <c r="QR50" i="2"/>
  <c r="QR52" i="2"/>
  <c r="QR49" i="2"/>
  <c r="QR53" i="2"/>
  <c r="QR48" i="2"/>
  <c r="QR51" i="2" l="1"/>
  <c r="QT45" i="2"/>
  <c r="QS50" i="2"/>
  <c r="QS53" i="2"/>
  <c r="QS52" i="2"/>
  <c r="QS48" i="2"/>
  <c r="QS49" i="2"/>
  <c r="QS51" i="2" l="1"/>
  <c r="QU45" i="2"/>
  <c r="QT52" i="2"/>
  <c r="QT49" i="2"/>
  <c r="QT50" i="2"/>
  <c r="QT48" i="2"/>
  <c r="QT53" i="2"/>
  <c r="QT51" i="2" l="1"/>
  <c r="QV45" i="2"/>
  <c r="QU53" i="2"/>
  <c r="QU50" i="2"/>
  <c r="QU49" i="2"/>
  <c r="QU48" i="2"/>
  <c r="QU52" i="2"/>
  <c r="QU51" i="2" l="1"/>
  <c r="QW45" i="2"/>
  <c r="QV50" i="2"/>
  <c r="QV52" i="2"/>
  <c r="QV53" i="2"/>
  <c r="QV48" i="2"/>
  <c r="QV49" i="2"/>
  <c r="QV51" i="2" l="1"/>
  <c r="QX45" i="2"/>
  <c r="QW48" i="2"/>
  <c r="QW53" i="2"/>
  <c r="QW50" i="2"/>
  <c r="QW49" i="2"/>
  <c r="QW52" i="2"/>
  <c r="QW51" i="2" l="1"/>
  <c r="QY45" i="2"/>
  <c r="QX50" i="2"/>
  <c r="QX49" i="2"/>
  <c r="QX52" i="2"/>
  <c r="QX53" i="2"/>
  <c r="QX48" i="2"/>
  <c r="QX51" i="2" l="1"/>
  <c r="QZ45" i="2"/>
  <c r="QY48" i="2"/>
  <c r="QY49" i="2"/>
  <c r="QY53" i="2"/>
  <c r="QY52" i="2"/>
  <c r="QY50" i="2"/>
  <c r="QY51" i="2" l="1"/>
  <c r="RA45" i="2"/>
  <c r="QZ53" i="2"/>
  <c r="QZ48" i="2"/>
  <c r="QZ50" i="2"/>
  <c r="QZ52" i="2"/>
  <c r="QZ49" i="2"/>
  <c r="RB54" i="2" l="1"/>
  <c r="RB45" i="2"/>
  <c r="DJ56" i="2" s="1"/>
  <c r="QZ51" i="2"/>
  <c r="DK56" i="2" l="1"/>
  <c r="DJ55" i="2"/>
  <c r="DK55" i="2" s="1"/>
  <c r="DL55" i="2" s="1"/>
  <c r="DM55" i="2" s="1"/>
  <c r="DN55" i="2" s="1"/>
  <c r="DO55" i="2" s="1"/>
  <c r="DP55" i="2" s="1"/>
  <c r="DQ55" i="2" s="1"/>
  <c r="DR55" i="2" s="1"/>
  <c r="DS55" i="2" s="1"/>
  <c r="DT55" i="2" s="1"/>
  <c r="DU55" i="2" s="1"/>
  <c r="DV55" i="2" s="1"/>
  <c r="DW55" i="2" s="1"/>
  <c r="DX55" i="2" s="1"/>
  <c r="DY55" i="2" s="1"/>
  <c r="DZ55" i="2" s="1"/>
  <c r="EA55" i="2" s="1"/>
  <c r="EB55" i="2" s="1"/>
  <c r="EC55" i="2" s="1"/>
  <c r="ED55" i="2" s="1"/>
  <c r="EE55" i="2" s="1"/>
  <c r="EF55" i="2" s="1"/>
  <c r="EG55" i="2" s="1"/>
  <c r="EH55" i="2" s="1"/>
  <c r="EI55" i="2" s="1"/>
  <c r="EJ55" i="2" s="1"/>
  <c r="EK55" i="2" s="1"/>
  <c r="EL55" i="2" s="1"/>
  <c r="EM55" i="2" s="1"/>
  <c r="EN55" i="2" s="1"/>
  <c r="EO55" i="2" s="1"/>
  <c r="EP55" i="2" s="1"/>
  <c r="EQ55" i="2" s="1"/>
  <c r="ER55" i="2" s="1"/>
  <c r="ES55" i="2" s="1"/>
  <c r="ET55" i="2" s="1"/>
  <c r="EU55" i="2" s="1"/>
  <c r="EV55" i="2" s="1"/>
  <c r="EW55" i="2" s="1"/>
  <c r="EX55" i="2" s="1"/>
  <c r="EY55" i="2" s="1"/>
  <c r="EZ55" i="2" s="1"/>
  <c r="FA55" i="2" s="1"/>
  <c r="FB55" i="2" s="1"/>
  <c r="FC55" i="2" s="1"/>
  <c r="FD55" i="2" s="1"/>
  <c r="FE55" i="2" s="1"/>
  <c r="FF55" i="2" s="1"/>
  <c r="FG55" i="2" s="1"/>
  <c r="FH55" i="2" s="1"/>
  <c r="FI55" i="2" s="1"/>
  <c r="FJ55" i="2" s="1"/>
  <c r="FK55" i="2" s="1"/>
  <c r="FL55" i="2" s="1"/>
  <c r="FM55" i="2" s="1"/>
  <c r="FN55" i="2" s="1"/>
  <c r="FO55" i="2" s="1"/>
  <c r="FP55" i="2" s="1"/>
  <c r="FQ55" i="2" s="1"/>
  <c r="FR55" i="2" s="1"/>
  <c r="FS55" i="2" s="1"/>
  <c r="FT55" i="2" s="1"/>
  <c r="FU55" i="2" s="1"/>
  <c r="FV55" i="2" s="1"/>
  <c r="FW55" i="2" s="1"/>
  <c r="FX55" i="2" s="1"/>
  <c r="FY55" i="2" s="1"/>
  <c r="FZ55" i="2" s="1"/>
  <c r="GA55" i="2" s="1"/>
  <c r="GB55" i="2" s="1"/>
  <c r="GC55" i="2" s="1"/>
  <c r="GD55" i="2" s="1"/>
  <c r="GE55" i="2" s="1"/>
  <c r="GF55" i="2" s="1"/>
  <c r="GG55" i="2" s="1"/>
  <c r="GH55" i="2" s="1"/>
  <c r="GI55" i="2" s="1"/>
  <c r="GJ55" i="2" s="1"/>
  <c r="GK55" i="2" s="1"/>
  <c r="GL55" i="2" s="1"/>
  <c r="GM55" i="2" s="1"/>
  <c r="GN55" i="2" s="1"/>
  <c r="GO55" i="2" s="1"/>
  <c r="GP55" i="2" s="1"/>
  <c r="GQ55" i="2" s="1"/>
  <c r="GR55" i="2" s="1"/>
  <c r="GS55" i="2" s="1"/>
  <c r="GT55" i="2" s="1"/>
  <c r="GU55" i="2" s="1"/>
  <c r="GV55" i="2" s="1"/>
  <c r="GW55" i="2" s="1"/>
  <c r="GX55" i="2" s="1"/>
  <c r="GY55" i="2" s="1"/>
  <c r="GZ55" i="2" s="1"/>
  <c r="HA55" i="2" s="1"/>
  <c r="HB55" i="2" s="1"/>
  <c r="HC55" i="2" s="1"/>
  <c r="HD55" i="2" s="1"/>
  <c r="HE55" i="2" s="1"/>
  <c r="HF55" i="2" s="1"/>
  <c r="HG55" i="2" s="1"/>
  <c r="HH55" i="2" s="1"/>
  <c r="HI55" i="2" s="1"/>
  <c r="HJ55" i="2" s="1"/>
  <c r="HK55" i="2" s="1"/>
  <c r="HL55" i="2" s="1"/>
  <c r="HM55" i="2" s="1"/>
  <c r="HN55" i="2" s="1"/>
  <c r="HO55" i="2" s="1"/>
  <c r="HP55" i="2" s="1"/>
  <c r="HQ55" i="2" s="1"/>
  <c r="HR55" i="2" s="1"/>
  <c r="HS55" i="2" s="1"/>
  <c r="HT55" i="2" s="1"/>
  <c r="HU55" i="2" s="1"/>
  <c r="HV55" i="2" s="1"/>
  <c r="HW55" i="2" s="1"/>
  <c r="HX55" i="2" s="1"/>
  <c r="HY55" i="2" s="1"/>
  <c r="HZ55" i="2" s="1"/>
  <c r="IA55" i="2" s="1"/>
  <c r="IB55" i="2" s="1"/>
  <c r="IC55" i="2" s="1"/>
  <c r="ID55" i="2" s="1"/>
  <c r="IE55" i="2" s="1"/>
  <c r="IF55" i="2" s="1"/>
  <c r="IG55" i="2" s="1"/>
  <c r="IH55" i="2" s="1"/>
  <c r="II55" i="2" s="1"/>
  <c r="IJ55" i="2" s="1"/>
  <c r="IK55" i="2" s="1"/>
  <c r="IL55" i="2" s="1"/>
  <c r="IM55" i="2" s="1"/>
  <c r="IN55" i="2" s="1"/>
  <c r="IO55" i="2" s="1"/>
  <c r="IP55" i="2" s="1"/>
  <c r="IQ55" i="2" s="1"/>
  <c r="IR55" i="2" s="1"/>
  <c r="IS55" i="2" s="1"/>
  <c r="IT55" i="2" s="1"/>
  <c r="IU55" i="2" s="1"/>
  <c r="IV55" i="2" s="1"/>
  <c r="IW55" i="2" s="1"/>
  <c r="IX55" i="2" s="1"/>
  <c r="IY55" i="2" s="1"/>
  <c r="IZ55" i="2" s="1"/>
  <c r="JA55" i="2" s="1"/>
  <c r="JB55" i="2" s="1"/>
  <c r="JC55" i="2" s="1"/>
  <c r="JD55" i="2" s="1"/>
  <c r="JE55" i="2" s="1"/>
  <c r="JF55" i="2" s="1"/>
  <c r="JG55" i="2" s="1"/>
  <c r="JH55" i="2" s="1"/>
  <c r="JI55" i="2" s="1"/>
  <c r="JJ55" i="2" s="1"/>
  <c r="JK55" i="2" s="1"/>
  <c r="JL55" i="2" s="1"/>
  <c r="JM55" i="2" s="1"/>
  <c r="JN55" i="2" s="1"/>
  <c r="JO55" i="2" s="1"/>
  <c r="JP55" i="2" s="1"/>
  <c r="JQ55" i="2" s="1"/>
  <c r="JR55" i="2" s="1"/>
  <c r="JS55" i="2" s="1"/>
  <c r="JT55" i="2" s="1"/>
  <c r="JU55" i="2" s="1"/>
  <c r="JV55" i="2" s="1"/>
  <c r="JW55" i="2" s="1"/>
  <c r="JX55" i="2" s="1"/>
  <c r="JY55" i="2" s="1"/>
  <c r="JZ55" i="2" s="1"/>
  <c r="KA55" i="2" s="1"/>
  <c r="KB55" i="2" s="1"/>
  <c r="KC55" i="2" s="1"/>
  <c r="KD55" i="2" s="1"/>
  <c r="KE55" i="2" s="1"/>
  <c r="KF55" i="2" s="1"/>
  <c r="KG55" i="2" s="1"/>
  <c r="KH55" i="2" s="1"/>
  <c r="KI55" i="2" s="1"/>
  <c r="KJ55" i="2" s="1"/>
  <c r="KK55" i="2" s="1"/>
  <c r="KL55" i="2" s="1"/>
  <c r="KM55" i="2" s="1"/>
  <c r="KN55" i="2" s="1"/>
  <c r="KO55" i="2" s="1"/>
  <c r="KP55" i="2" s="1"/>
  <c r="KQ55" i="2" s="1"/>
  <c r="KR55" i="2" s="1"/>
  <c r="KS55" i="2" s="1"/>
  <c r="KT55" i="2" s="1"/>
  <c r="KU55" i="2" s="1"/>
  <c r="KV55" i="2" s="1"/>
  <c r="KW55" i="2" s="1"/>
  <c r="KX55" i="2" s="1"/>
  <c r="KY55" i="2" s="1"/>
  <c r="KZ55" i="2" s="1"/>
  <c r="LA55" i="2" s="1"/>
  <c r="LB55" i="2" s="1"/>
  <c r="LC55" i="2" s="1"/>
  <c r="LD55" i="2" s="1"/>
  <c r="LE55" i="2" s="1"/>
  <c r="LF55" i="2" s="1"/>
  <c r="LG55" i="2" s="1"/>
  <c r="LH55" i="2" s="1"/>
  <c r="LI55" i="2" s="1"/>
  <c r="LJ55" i="2" s="1"/>
  <c r="LK55" i="2" s="1"/>
  <c r="LL55" i="2" s="1"/>
  <c r="LM55" i="2" s="1"/>
  <c r="LN55" i="2" s="1"/>
  <c r="LO55" i="2" s="1"/>
  <c r="LP55" i="2" s="1"/>
  <c r="LQ55" i="2" s="1"/>
  <c r="LR55" i="2" s="1"/>
  <c r="LS55" i="2" s="1"/>
  <c r="LT55" i="2" s="1"/>
  <c r="LU55" i="2" s="1"/>
  <c r="LV55" i="2" s="1"/>
  <c r="LW55" i="2" s="1"/>
  <c r="LX55" i="2" s="1"/>
  <c r="LY55" i="2" s="1"/>
  <c r="LZ55" i="2" s="1"/>
  <c r="MA55" i="2" s="1"/>
  <c r="MB55" i="2" s="1"/>
  <c r="MC55" i="2" s="1"/>
  <c r="MD55" i="2" s="1"/>
  <c r="ME55" i="2" s="1"/>
  <c r="MF55" i="2" s="1"/>
  <c r="MG55" i="2" s="1"/>
  <c r="MH55" i="2" s="1"/>
  <c r="MI55" i="2" s="1"/>
  <c r="MJ55" i="2" s="1"/>
  <c r="MK55" i="2" s="1"/>
  <c r="ML55" i="2" s="1"/>
  <c r="MM55" i="2" s="1"/>
  <c r="MN55" i="2" s="1"/>
  <c r="MO55" i="2" s="1"/>
  <c r="MP55" i="2" s="1"/>
  <c r="MQ55" i="2" s="1"/>
  <c r="MR55" i="2" s="1"/>
  <c r="MS55" i="2" s="1"/>
  <c r="MT55" i="2" s="1"/>
  <c r="MU55" i="2" s="1"/>
  <c r="MV55" i="2" s="1"/>
  <c r="MW55" i="2" s="1"/>
  <c r="MX55" i="2" s="1"/>
  <c r="MY55" i="2" s="1"/>
  <c r="MZ55" i="2" s="1"/>
  <c r="NA55" i="2" s="1"/>
  <c r="NB55" i="2" s="1"/>
  <c r="NC55" i="2" s="1"/>
  <c r="ND55" i="2" s="1"/>
  <c r="NE55" i="2" s="1"/>
  <c r="NF55" i="2" s="1"/>
  <c r="NG55" i="2" s="1"/>
  <c r="NH55" i="2" s="1"/>
  <c r="NI55" i="2" s="1"/>
  <c r="NJ55" i="2" s="1"/>
  <c r="NK55" i="2" s="1"/>
  <c r="NL55" i="2" s="1"/>
  <c r="NM55" i="2" s="1"/>
  <c r="NN55" i="2" s="1"/>
  <c r="NO55" i="2" s="1"/>
  <c r="NP55" i="2" s="1"/>
  <c r="NQ55" i="2" s="1"/>
  <c r="NR55" i="2" s="1"/>
  <c r="NS55" i="2" s="1"/>
  <c r="NT55" i="2" s="1"/>
  <c r="NU55" i="2" s="1"/>
  <c r="NV55" i="2" s="1"/>
  <c r="NW55" i="2" s="1"/>
  <c r="NX55" i="2" s="1"/>
  <c r="NY55" i="2" s="1"/>
  <c r="NZ55" i="2" s="1"/>
  <c r="OA55" i="2" s="1"/>
  <c r="OB55" i="2" s="1"/>
  <c r="OC55" i="2" s="1"/>
  <c r="OD55" i="2" s="1"/>
  <c r="OE55" i="2" s="1"/>
  <c r="OF55" i="2" s="1"/>
  <c r="OG55" i="2" s="1"/>
  <c r="OH55" i="2" s="1"/>
  <c r="OI55" i="2" s="1"/>
  <c r="OJ55" i="2" s="1"/>
  <c r="OK55" i="2" s="1"/>
  <c r="OL55" i="2" s="1"/>
  <c r="OM55" i="2" s="1"/>
  <c r="ON55" i="2" s="1"/>
  <c r="OO55" i="2" s="1"/>
  <c r="OP55" i="2" s="1"/>
  <c r="OQ55" i="2" s="1"/>
  <c r="OR55" i="2" s="1"/>
  <c r="OS55" i="2" s="1"/>
  <c r="OT55" i="2" s="1"/>
  <c r="OU55" i="2" s="1"/>
  <c r="OV55" i="2" s="1"/>
  <c r="OW55" i="2" s="1"/>
  <c r="OX55" i="2" s="1"/>
  <c r="OY55" i="2" s="1"/>
  <c r="OZ55" i="2" s="1"/>
  <c r="PA55" i="2" s="1"/>
  <c r="PB55" i="2" s="1"/>
  <c r="PC55" i="2" s="1"/>
  <c r="PD55" i="2" s="1"/>
  <c r="PE55" i="2" s="1"/>
  <c r="PF55" i="2" s="1"/>
  <c r="PG55" i="2" s="1"/>
  <c r="PH55" i="2" s="1"/>
  <c r="PI55" i="2" s="1"/>
  <c r="PJ55" i="2" s="1"/>
  <c r="PK55" i="2" s="1"/>
  <c r="PL55" i="2" s="1"/>
  <c r="PM55" i="2" s="1"/>
  <c r="PN55" i="2" s="1"/>
  <c r="PO55" i="2" s="1"/>
  <c r="PP55" i="2" s="1"/>
  <c r="PQ55" i="2" s="1"/>
  <c r="PR55" i="2" s="1"/>
  <c r="PS55" i="2" s="1"/>
  <c r="PT55" i="2" s="1"/>
  <c r="PU55" i="2" s="1"/>
  <c r="PV55" i="2" s="1"/>
  <c r="PW55" i="2" s="1"/>
  <c r="PX55" i="2" s="1"/>
  <c r="PY55" i="2" s="1"/>
  <c r="PZ55" i="2" s="1"/>
  <c r="QA55" i="2" s="1"/>
  <c r="QB55" i="2" s="1"/>
  <c r="QC55" i="2" s="1"/>
  <c r="QD55" i="2" s="1"/>
  <c r="QE55" i="2" s="1"/>
  <c r="QF55" i="2" s="1"/>
  <c r="QG55" i="2" s="1"/>
  <c r="QH55" i="2" s="1"/>
  <c r="QI55" i="2" s="1"/>
  <c r="QJ55" i="2" s="1"/>
  <c r="QK55" i="2" s="1"/>
  <c r="QL55" i="2" s="1"/>
  <c r="QM55" i="2" s="1"/>
  <c r="QN55" i="2" s="1"/>
  <c r="QO55" i="2" s="1"/>
  <c r="QP55" i="2" s="1"/>
  <c r="QQ55" i="2" s="1"/>
  <c r="QR55" i="2" s="1"/>
  <c r="QS55" i="2" s="1"/>
  <c r="QT55" i="2" s="1"/>
  <c r="QU55" i="2" s="1"/>
  <c r="QV55" i="2" s="1"/>
  <c r="QW55" i="2" s="1"/>
  <c r="QX55" i="2" s="1"/>
  <c r="QY55" i="2" s="1"/>
  <c r="QZ55" i="2" s="1"/>
  <c r="RC54" i="2"/>
  <c r="DJ60" i="2"/>
  <c r="DJ61" i="2"/>
  <c r="DJ59" i="2"/>
  <c r="DJ64" i="2"/>
  <c r="DJ63" i="2"/>
  <c r="DJ62" i="2" l="1"/>
  <c r="DL56" i="2"/>
  <c r="DK61" i="2"/>
  <c r="DK64" i="2"/>
  <c r="DK63" i="2"/>
  <c r="DK59" i="2"/>
  <c r="DK60" i="2"/>
  <c r="DK62" i="2" l="1"/>
  <c r="DM56" i="2"/>
  <c r="DL61" i="2"/>
  <c r="DL63" i="2"/>
  <c r="DL59" i="2"/>
  <c r="DL60" i="2"/>
  <c r="DL64" i="2"/>
  <c r="DL62" i="2" l="1"/>
  <c r="DN56" i="2"/>
  <c r="DM59" i="2"/>
  <c r="DM61" i="2"/>
  <c r="DM60" i="2"/>
  <c r="DM64" i="2"/>
  <c r="DM63" i="2"/>
  <c r="DM62" i="2" l="1"/>
  <c r="DO56" i="2"/>
  <c r="DN59" i="2"/>
  <c r="DN64" i="2"/>
  <c r="DN60" i="2"/>
  <c r="DN61" i="2"/>
  <c r="DN63" i="2"/>
  <c r="DN62" i="2" l="1"/>
  <c r="DP56" i="2"/>
  <c r="DO64" i="2"/>
  <c r="DO61" i="2"/>
  <c r="DO63" i="2"/>
  <c r="DO60" i="2"/>
  <c r="DO59" i="2"/>
  <c r="DO62" i="2" l="1"/>
  <c r="DQ56" i="2"/>
  <c r="DP64" i="2"/>
  <c r="DP59" i="2"/>
  <c r="DP60" i="2"/>
  <c r="DP61" i="2"/>
  <c r="DP63" i="2"/>
  <c r="DP62" i="2" l="1"/>
  <c r="DR56" i="2"/>
  <c r="DQ59" i="2"/>
  <c r="DQ61" i="2"/>
  <c r="DQ63" i="2"/>
  <c r="DQ64" i="2"/>
  <c r="DQ60" i="2"/>
  <c r="DQ62" i="2" l="1"/>
  <c r="DS56" i="2"/>
  <c r="DR64" i="2"/>
  <c r="DR59" i="2"/>
  <c r="DR61" i="2"/>
  <c r="DR60" i="2"/>
  <c r="DR63" i="2"/>
  <c r="DR62" i="2" l="1"/>
  <c r="DT56" i="2"/>
  <c r="DS61" i="2"/>
  <c r="DS60" i="2"/>
  <c r="DS64" i="2"/>
  <c r="DS59" i="2"/>
  <c r="DS63" i="2"/>
  <c r="DS62" i="2" l="1"/>
  <c r="DU56" i="2"/>
  <c r="DT60" i="2"/>
  <c r="DT59" i="2"/>
  <c r="DT63" i="2"/>
  <c r="DT61" i="2"/>
  <c r="DT64" i="2"/>
  <c r="DT62" i="2" l="1"/>
  <c r="DV56" i="2"/>
  <c r="DU61" i="2"/>
  <c r="DU63" i="2"/>
  <c r="DU64" i="2"/>
  <c r="DU59" i="2"/>
  <c r="DU60" i="2"/>
  <c r="DU62" i="2" l="1"/>
  <c r="DW56" i="2"/>
  <c r="DV60" i="2"/>
  <c r="DV61" i="2"/>
  <c r="DV63" i="2"/>
  <c r="DV64" i="2"/>
  <c r="DV59" i="2"/>
  <c r="DV62" i="2" l="1"/>
  <c r="DX56" i="2"/>
  <c r="DW64" i="2"/>
  <c r="DW60" i="2"/>
  <c r="DW59" i="2"/>
  <c r="DW63" i="2"/>
  <c r="DW61" i="2"/>
  <c r="DW62" i="2" l="1"/>
  <c r="DY56" i="2"/>
  <c r="DX60" i="2"/>
  <c r="DX61" i="2"/>
  <c r="DX64" i="2"/>
  <c r="DX63" i="2"/>
  <c r="DX59" i="2"/>
  <c r="DX62" i="2" l="1"/>
  <c r="DZ56" i="2"/>
  <c r="DY59" i="2"/>
  <c r="DY60" i="2"/>
  <c r="DY63" i="2"/>
  <c r="DY61" i="2"/>
  <c r="DY64" i="2"/>
  <c r="DY62" i="2" l="1"/>
  <c r="EA56" i="2"/>
  <c r="DZ59" i="2"/>
  <c r="DZ61" i="2"/>
  <c r="DZ63" i="2"/>
  <c r="DZ64" i="2"/>
  <c r="DZ60" i="2"/>
  <c r="DZ62" i="2" l="1"/>
  <c r="EB56" i="2"/>
  <c r="EA59" i="2"/>
  <c r="EA63" i="2"/>
  <c r="EA60" i="2"/>
  <c r="EA64" i="2"/>
  <c r="EA61" i="2"/>
  <c r="EA62" i="2" l="1"/>
  <c r="EC56" i="2"/>
  <c r="EB61" i="2"/>
  <c r="EB60" i="2"/>
  <c r="EB64" i="2"/>
  <c r="EB63" i="2"/>
  <c r="EB59" i="2"/>
  <c r="EB62" i="2" l="1"/>
  <c r="ED56" i="2"/>
  <c r="EC60" i="2"/>
  <c r="EC63" i="2"/>
  <c r="EC61" i="2"/>
  <c r="EC64" i="2"/>
  <c r="EC59" i="2"/>
  <c r="EC62" i="2" l="1"/>
  <c r="EE56" i="2"/>
  <c r="ED63" i="2"/>
  <c r="ED59" i="2"/>
  <c r="ED60" i="2"/>
  <c r="ED61" i="2"/>
  <c r="ED64" i="2"/>
  <c r="ED62" i="2" l="1"/>
  <c r="EF56" i="2"/>
  <c r="EE60" i="2"/>
  <c r="EE61" i="2"/>
  <c r="EE63" i="2"/>
  <c r="EE64" i="2"/>
  <c r="EE59" i="2"/>
  <c r="EE62" i="2" l="1"/>
  <c r="EG56" i="2"/>
  <c r="EF64" i="2"/>
  <c r="EF63" i="2"/>
  <c r="EF60" i="2"/>
  <c r="EF59" i="2"/>
  <c r="EF61" i="2"/>
  <c r="EF62" i="2" l="1"/>
  <c r="EH56" i="2"/>
  <c r="EG60" i="2"/>
  <c r="EG59" i="2"/>
  <c r="EG61" i="2"/>
  <c r="EG64" i="2"/>
  <c r="EG63" i="2"/>
  <c r="EG62" i="2" l="1"/>
  <c r="EI56" i="2"/>
  <c r="EH64" i="2"/>
  <c r="EH60" i="2"/>
  <c r="EH59" i="2"/>
  <c r="EH61" i="2"/>
  <c r="EH63" i="2"/>
  <c r="EH62" i="2" l="1"/>
  <c r="EJ56" i="2"/>
  <c r="EI60" i="2"/>
  <c r="EI61" i="2"/>
  <c r="EI59" i="2"/>
  <c r="EI64" i="2"/>
  <c r="EI63" i="2"/>
  <c r="EI62" i="2" l="1"/>
  <c r="EK56" i="2"/>
  <c r="EJ59" i="2"/>
  <c r="EJ63" i="2"/>
  <c r="EJ64" i="2"/>
  <c r="EJ60" i="2"/>
  <c r="EJ61" i="2"/>
  <c r="EJ62" i="2" l="1"/>
  <c r="EL56" i="2"/>
  <c r="EK63" i="2"/>
  <c r="EK64" i="2"/>
  <c r="EK61" i="2"/>
  <c r="EK60" i="2"/>
  <c r="EK59" i="2"/>
  <c r="EK62" i="2" l="1"/>
  <c r="EM56" i="2"/>
  <c r="EL59" i="2"/>
  <c r="EL64" i="2"/>
  <c r="EL63" i="2"/>
  <c r="EL61" i="2"/>
  <c r="EL60" i="2"/>
  <c r="EL62" i="2" l="1"/>
  <c r="EN56" i="2"/>
  <c r="EM63" i="2"/>
  <c r="EM59" i="2"/>
  <c r="EM61" i="2"/>
  <c r="EM60" i="2"/>
  <c r="EM64" i="2"/>
  <c r="EM62" i="2" l="1"/>
  <c r="EO56" i="2"/>
  <c r="EN63" i="2"/>
  <c r="EN64" i="2"/>
  <c r="EN59" i="2"/>
  <c r="EN60" i="2"/>
  <c r="EN61" i="2"/>
  <c r="EN62" i="2" l="1"/>
  <c r="EP56" i="2"/>
  <c r="EO61" i="2"/>
  <c r="EO60" i="2"/>
  <c r="EO63" i="2"/>
  <c r="EO59" i="2"/>
  <c r="EO64" i="2"/>
  <c r="EO62" i="2" l="1"/>
  <c r="EQ56" i="2"/>
  <c r="EP59" i="2"/>
  <c r="EP63" i="2"/>
  <c r="EP61" i="2"/>
  <c r="EP60" i="2"/>
  <c r="EP64" i="2"/>
  <c r="EP62" i="2" l="1"/>
  <c r="ER56" i="2"/>
  <c r="EQ59" i="2"/>
  <c r="EQ61" i="2"/>
  <c r="EQ60" i="2"/>
  <c r="EQ63" i="2"/>
  <c r="EQ64" i="2"/>
  <c r="EQ62" i="2" l="1"/>
  <c r="ES56" i="2"/>
  <c r="ER59" i="2"/>
  <c r="ER64" i="2"/>
  <c r="ER63" i="2"/>
  <c r="ER60" i="2"/>
  <c r="ER61" i="2"/>
  <c r="ER62" i="2" l="1"/>
  <c r="ET56" i="2"/>
  <c r="ES64" i="2"/>
  <c r="ES61" i="2"/>
  <c r="ES63" i="2"/>
  <c r="ES60" i="2"/>
  <c r="ES59" i="2"/>
  <c r="ES62" i="2" l="1"/>
  <c r="EU56" i="2"/>
  <c r="ET64" i="2"/>
  <c r="ET60" i="2"/>
  <c r="ET59" i="2"/>
  <c r="ET63" i="2"/>
  <c r="ET61" i="2"/>
  <c r="ET62" i="2" l="1"/>
  <c r="EV56" i="2"/>
  <c r="EU60" i="2"/>
  <c r="EU64" i="2"/>
  <c r="EU59" i="2"/>
  <c r="EU63" i="2"/>
  <c r="EU61" i="2"/>
  <c r="EU62" i="2" l="1"/>
  <c r="EW56" i="2"/>
  <c r="EV61" i="2"/>
  <c r="EV59" i="2"/>
  <c r="EV64" i="2"/>
  <c r="EV63" i="2"/>
  <c r="EV60" i="2"/>
  <c r="EV62" i="2" l="1"/>
  <c r="EX56" i="2"/>
  <c r="EW63" i="2"/>
  <c r="EW60" i="2"/>
  <c r="EW64" i="2"/>
  <c r="EW61" i="2"/>
  <c r="EW59" i="2"/>
  <c r="EW62" i="2" l="1"/>
  <c r="EY56" i="2"/>
  <c r="EX60" i="2"/>
  <c r="EX61" i="2"/>
  <c r="EX63" i="2"/>
  <c r="EX59" i="2"/>
  <c r="EX64" i="2"/>
  <c r="EX62" i="2" l="1"/>
  <c r="EZ56" i="2"/>
  <c r="EY64" i="2"/>
  <c r="EY63" i="2"/>
  <c r="EY59" i="2"/>
  <c r="EY60" i="2"/>
  <c r="EY61" i="2"/>
  <c r="EY62" i="2" l="1"/>
  <c r="FA56" i="2"/>
  <c r="EZ59" i="2"/>
  <c r="EZ61" i="2"/>
  <c r="EZ63" i="2"/>
  <c r="EZ64" i="2"/>
  <c r="EZ60" i="2"/>
  <c r="EZ62" i="2" l="1"/>
  <c r="FB56" i="2"/>
  <c r="FA63" i="2"/>
  <c r="FA64" i="2"/>
  <c r="FA59" i="2"/>
  <c r="FA61" i="2"/>
  <c r="FA60" i="2"/>
  <c r="FA62" i="2" l="1"/>
  <c r="FC56" i="2"/>
  <c r="FB61" i="2"/>
  <c r="FB64" i="2"/>
  <c r="FB59" i="2"/>
  <c r="FB63" i="2"/>
  <c r="FB60" i="2"/>
  <c r="FB62" i="2" l="1"/>
  <c r="FD56" i="2"/>
  <c r="FC59" i="2"/>
  <c r="FC60" i="2"/>
  <c r="FC63" i="2"/>
  <c r="FC61" i="2"/>
  <c r="FC64" i="2"/>
  <c r="FC62" i="2" l="1"/>
  <c r="FE56" i="2"/>
  <c r="FD63" i="2"/>
  <c r="FD60" i="2"/>
  <c r="FD59" i="2"/>
  <c r="FD61" i="2"/>
  <c r="FD64" i="2"/>
  <c r="FD62" i="2" l="1"/>
  <c r="FF56" i="2"/>
  <c r="FE63" i="2"/>
  <c r="FE59" i="2"/>
  <c r="FE61" i="2"/>
  <c r="FE64" i="2"/>
  <c r="FE60" i="2"/>
  <c r="FE62" i="2" l="1"/>
  <c r="FG56" i="2"/>
  <c r="FF59" i="2"/>
  <c r="FF60" i="2"/>
  <c r="FF63" i="2"/>
  <c r="FF64" i="2"/>
  <c r="FF61" i="2"/>
  <c r="FF62" i="2" l="1"/>
  <c r="FH56" i="2"/>
  <c r="FG64" i="2"/>
  <c r="FG59" i="2"/>
  <c r="FG63" i="2"/>
  <c r="FG60" i="2"/>
  <c r="FG61" i="2"/>
  <c r="FG62" i="2" l="1"/>
  <c r="FI56" i="2"/>
  <c r="FH64" i="2"/>
  <c r="FH60" i="2"/>
  <c r="FH63" i="2"/>
  <c r="FH59" i="2"/>
  <c r="FH61" i="2"/>
  <c r="FH62" i="2" l="1"/>
  <c r="FJ56" i="2"/>
  <c r="FI59" i="2"/>
  <c r="FI64" i="2"/>
  <c r="FI60" i="2"/>
  <c r="FI63" i="2"/>
  <c r="FI61" i="2"/>
  <c r="FI62" i="2" l="1"/>
  <c r="FK56" i="2"/>
  <c r="FJ64" i="2"/>
  <c r="FJ59" i="2"/>
  <c r="FJ60" i="2"/>
  <c r="FJ61" i="2"/>
  <c r="FJ63" i="2"/>
  <c r="FJ62" i="2" l="1"/>
  <c r="FL56" i="2"/>
  <c r="FK60" i="2"/>
  <c r="FK61" i="2"/>
  <c r="FK59" i="2"/>
  <c r="FK63" i="2"/>
  <c r="FK64" i="2"/>
  <c r="FK62" i="2" l="1"/>
  <c r="FM56" i="2"/>
  <c r="FL64" i="2"/>
  <c r="FL63" i="2"/>
  <c r="FL60" i="2"/>
  <c r="FL61" i="2"/>
  <c r="FL59" i="2"/>
  <c r="FL62" i="2" l="1"/>
  <c r="FN56" i="2"/>
  <c r="FM60" i="2"/>
  <c r="FM63" i="2"/>
  <c r="FM61" i="2"/>
  <c r="FM64" i="2"/>
  <c r="FM59" i="2"/>
  <c r="FM62" i="2" l="1"/>
  <c r="FO56" i="2"/>
  <c r="FN59" i="2"/>
  <c r="FN60" i="2"/>
  <c r="FN61" i="2"/>
  <c r="FN63" i="2"/>
  <c r="FN64" i="2"/>
  <c r="FN62" i="2" l="1"/>
  <c r="FP56" i="2"/>
  <c r="FO60" i="2"/>
  <c r="FO59" i="2"/>
  <c r="FO64" i="2"/>
  <c r="FO63" i="2"/>
  <c r="FO61" i="2"/>
  <c r="FO62" i="2" l="1"/>
  <c r="FQ56" i="2"/>
  <c r="FP60" i="2"/>
  <c r="FP59" i="2"/>
  <c r="FP61" i="2"/>
  <c r="FP63" i="2"/>
  <c r="FP64" i="2"/>
  <c r="FP62" i="2" l="1"/>
  <c r="FR56" i="2"/>
  <c r="FQ60" i="2"/>
  <c r="FQ61" i="2"/>
  <c r="FQ63" i="2"/>
  <c r="FQ64" i="2"/>
  <c r="FQ59" i="2"/>
  <c r="FQ62" i="2" l="1"/>
  <c r="FS56" i="2"/>
  <c r="FR63" i="2"/>
  <c r="FR61" i="2"/>
  <c r="FR60" i="2"/>
  <c r="FR59" i="2"/>
  <c r="FR64" i="2"/>
  <c r="FR62" i="2" l="1"/>
  <c r="FT56" i="2"/>
  <c r="FS61" i="2"/>
  <c r="FS60" i="2"/>
  <c r="FS59" i="2"/>
  <c r="FS63" i="2"/>
  <c r="FS64" i="2"/>
  <c r="FS62" i="2" l="1"/>
  <c r="FU56" i="2"/>
  <c r="FT59" i="2"/>
  <c r="FT64" i="2"/>
  <c r="FT63" i="2"/>
  <c r="FT61" i="2"/>
  <c r="FT60" i="2"/>
  <c r="FT62" i="2" l="1"/>
  <c r="FV56" i="2"/>
  <c r="FU64" i="2"/>
  <c r="FU61" i="2"/>
  <c r="FU59" i="2"/>
  <c r="FU60" i="2"/>
  <c r="FU63" i="2"/>
  <c r="FU62" i="2" l="1"/>
  <c r="FW56" i="2"/>
  <c r="FV64" i="2"/>
  <c r="FV60" i="2"/>
  <c r="FV61" i="2"/>
  <c r="FV59" i="2"/>
  <c r="FV63" i="2"/>
  <c r="FV62" i="2" l="1"/>
  <c r="FX56" i="2"/>
  <c r="FW64" i="2"/>
  <c r="FW59" i="2"/>
  <c r="FW61" i="2"/>
  <c r="FW63" i="2"/>
  <c r="FW60" i="2"/>
  <c r="FW62" i="2" l="1"/>
  <c r="FY56" i="2"/>
  <c r="FX64" i="2"/>
  <c r="FX61" i="2"/>
  <c r="FX60" i="2"/>
  <c r="FX63" i="2"/>
  <c r="FX59" i="2"/>
  <c r="FX62" i="2" l="1"/>
  <c r="FZ56" i="2"/>
  <c r="FY64" i="2"/>
  <c r="FY63" i="2"/>
  <c r="FY59" i="2"/>
  <c r="FY60" i="2"/>
  <c r="FY61" i="2"/>
  <c r="FY62" i="2" l="1"/>
  <c r="GA56" i="2"/>
  <c r="FZ64" i="2"/>
  <c r="FZ60" i="2"/>
  <c r="FZ59" i="2"/>
  <c r="FZ61" i="2"/>
  <c r="FZ63" i="2"/>
  <c r="FZ62" i="2" l="1"/>
  <c r="GB56" i="2"/>
  <c r="GA61" i="2"/>
  <c r="GA64" i="2"/>
  <c r="GA59" i="2"/>
  <c r="GA60" i="2"/>
  <c r="GA63" i="2"/>
  <c r="GA62" i="2" l="1"/>
  <c r="GC56" i="2"/>
  <c r="GB64" i="2"/>
  <c r="GB63" i="2"/>
  <c r="GB61" i="2"/>
  <c r="GB60" i="2"/>
  <c r="GB59" i="2"/>
  <c r="GB62" i="2" l="1"/>
  <c r="GD56" i="2"/>
  <c r="GC60" i="2"/>
  <c r="GC63" i="2"/>
  <c r="GC61" i="2"/>
  <c r="GC64" i="2"/>
  <c r="GC59" i="2"/>
  <c r="GC62" i="2" l="1"/>
  <c r="GE56" i="2"/>
  <c r="GD60" i="2"/>
  <c r="GD59" i="2"/>
  <c r="GD64" i="2"/>
  <c r="GD61" i="2"/>
  <c r="GD63" i="2"/>
  <c r="GD62" i="2" l="1"/>
  <c r="GF56" i="2"/>
  <c r="GE61" i="2"/>
  <c r="GE63" i="2"/>
  <c r="GE60" i="2"/>
  <c r="GE59" i="2"/>
  <c r="GE64" i="2"/>
  <c r="GE62" i="2" l="1"/>
  <c r="GG56" i="2"/>
  <c r="GF63" i="2"/>
  <c r="GF64" i="2"/>
  <c r="GF59" i="2"/>
  <c r="GF61" i="2"/>
  <c r="GF60" i="2"/>
  <c r="GF62" i="2" l="1"/>
  <c r="GH56" i="2"/>
  <c r="GG63" i="2"/>
  <c r="GG60" i="2"/>
  <c r="GG59" i="2"/>
  <c r="GG61" i="2"/>
  <c r="GG64" i="2"/>
  <c r="GG62" i="2" l="1"/>
  <c r="GI56" i="2"/>
  <c r="GH59" i="2"/>
  <c r="GH63" i="2"/>
  <c r="GH60" i="2"/>
  <c r="GH61" i="2"/>
  <c r="GH64" i="2"/>
  <c r="GH62" i="2" l="1"/>
  <c r="GJ56" i="2"/>
  <c r="GI61" i="2"/>
  <c r="GI63" i="2"/>
  <c r="GI59" i="2"/>
  <c r="GI64" i="2"/>
  <c r="GI60" i="2"/>
  <c r="GI62" i="2" l="1"/>
  <c r="GK56" i="2"/>
  <c r="GJ60" i="2"/>
  <c r="GJ64" i="2"/>
  <c r="GJ61" i="2"/>
  <c r="GJ63" i="2"/>
  <c r="GJ59" i="2"/>
  <c r="GJ62" i="2" l="1"/>
  <c r="GL56" i="2"/>
  <c r="GK61" i="2"/>
  <c r="GK63" i="2"/>
  <c r="GK64" i="2"/>
  <c r="GK60" i="2"/>
  <c r="GK59" i="2"/>
  <c r="GK62" i="2" l="1"/>
  <c r="GM56" i="2"/>
  <c r="GL61" i="2"/>
  <c r="GL63" i="2"/>
  <c r="GL59" i="2"/>
  <c r="GL64" i="2"/>
  <c r="GL60" i="2"/>
  <c r="GL62" i="2" l="1"/>
  <c r="GN56" i="2"/>
  <c r="GM59" i="2"/>
  <c r="GM64" i="2"/>
  <c r="GM60" i="2"/>
  <c r="GM61" i="2"/>
  <c r="GM63" i="2"/>
  <c r="GM62" i="2" l="1"/>
  <c r="GO56" i="2"/>
  <c r="GN60" i="2"/>
  <c r="GN63" i="2"/>
  <c r="GN59" i="2"/>
  <c r="GN64" i="2"/>
  <c r="GN61" i="2"/>
  <c r="GN62" i="2" l="1"/>
  <c r="GP56" i="2"/>
  <c r="GO63" i="2"/>
  <c r="GO64" i="2"/>
  <c r="GO61" i="2"/>
  <c r="GO59" i="2"/>
  <c r="GO60" i="2"/>
  <c r="GO62" i="2" l="1"/>
  <c r="GQ56" i="2"/>
  <c r="GP60" i="2"/>
  <c r="GP59" i="2"/>
  <c r="GP63" i="2"/>
  <c r="GP64" i="2"/>
  <c r="GP61" i="2"/>
  <c r="GP62" i="2" l="1"/>
  <c r="GR56" i="2"/>
  <c r="GQ59" i="2"/>
  <c r="GQ60" i="2"/>
  <c r="GQ63" i="2"/>
  <c r="GQ64" i="2"/>
  <c r="GQ61" i="2"/>
  <c r="GQ62" i="2" l="1"/>
  <c r="GS56" i="2"/>
  <c r="GR60" i="2"/>
  <c r="GR64" i="2"/>
  <c r="GR61" i="2"/>
  <c r="GR59" i="2"/>
  <c r="GR63" i="2"/>
  <c r="GR62" i="2" l="1"/>
  <c r="GT56" i="2"/>
  <c r="GS60" i="2"/>
  <c r="GS61" i="2"/>
  <c r="GS59" i="2"/>
  <c r="GS63" i="2"/>
  <c r="GS64" i="2"/>
  <c r="GS62" i="2" l="1"/>
  <c r="GU56" i="2"/>
  <c r="GT60" i="2"/>
  <c r="GT64" i="2"/>
  <c r="GT59" i="2"/>
  <c r="GT63" i="2"/>
  <c r="GT61" i="2"/>
  <c r="GT62" i="2" l="1"/>
  <c r="GV56" i="2"/>
  <c r="GU61" i="2"/>
  <c r="GU59" i="2"/>
  <c r="GU64" i="2"/>
  <c r="GU63" i="2"/>
  <c r="GU60" i="2"/>
  <c r="GU62" i="2" l="1"/>
  <c r="GW56" i="2"/>
  <c r="GV60" i="2"/>
  <c r="GV63" i="2"/>
  <c r="GV61" i="2"/>
  <c r="GV64" i="2"/>
  <c r="GV59" i="2"/>
  <c r="GV62" i="2" l="1"/>
  <c r="GX56" i="2"/>
  <c r="GW61" i="2"/>
  <c r="GW64" i="2"/>
  <c r="GW63" i="2"/>
  <c r="GW59" i="2"/>
  <c r="GW60" i="2"/>
  <c r="GW62" i="2" l="1"/>
  <c r="GY56" i="2"/>
  <c r="GX59" i="2"/>
  <c r="GX63" i="2"/>
  <c r="GX60" i="2"/>
  <c r="GX64" i="2"/>
  <c r="GX61" i="2"/>
  <c r="GX62" i="2" l="1"/>
  <c r="GZ56" i="2"/>
  <c r="GY60" i="2"/>
  <c r="GY64" i="2"/>
  <c r="GY59" i="2"/>
  <c r="GY63" i="2"/>
  <c r="GY61" i="2"/>
  <c r="GY62" i="2" l="1"/>
  <c r="HA56" i="2"/>
  <c r="GZ60" i="2"/>
  <c r="GZ64" i="2"/>
  <c r="GZ59" i="2"/>
  <c r="GZ63" i="2"/>
  <c r="GZ61" i="2"/>
  <c r="GZ62" i="2" l="1"/>
  <c r="HB56" i="2"/>
  <c r="HA60" i="2"/>
  <c r="HA61" i="2"/>
  <c r="HA63" i="2"/>
  <c r="HA64" i="2"/>
  <c r="HA59" i="2"/>
  <c r="HA62" i="2" l="1"/>
  <c r="HC56" i="2"/>
  <c r="HB61" i="2"/>
  <c r="HB59" i="2"/>
  <c r="HB60" i="2"/>
  <c r="HB63" i="2"/>
  <c r="HB64" i="2"/>
  <c r="HB62" i="2" l="1"/>
  <c r="HD56" i="2"/>
  <c r="HC61" i="2"/>
  <c r="HC64" i="2"/>
  <c r="HC60" i="2"/>
  <c r="HC63" i="2"/>
  <c r="HC59" i="2"/>
  <c r="HC62" i="2" l="1"/>
  <c r="HE56" i="2"/>
  <c r="HD61" i="2"/>
  <c r="HD64" i="2"/>
  <c r="HD59" i="2"/>
  <c r="HD63" i="2"/>
  <c r="HD60" i="2"/>
  <c r="HD62" i="2" l="1"/>
  <c r="HF56" i="2"/>
  <c r="HE59" i="2"/>
  <c r="HE60" i="2"/>
  <c r="HE64" i="2"/>
  <c r="HE63" i="2"/>
  <c r="HE61" i="2"/>
  <c r="HE62" i="2" l="1"/>
  <c r="HG56" i="2"/>
  <c r="HF63" i="2"/>
  <c r="HF64" i="2"/>
  <c r="HF60" i="2"/>
  <c r="HF59" i="2"/>
  <c r="HF61" i="2"/>
  <c r="HF62" i="2" l="1"/>
  <c r="HH56" i="2"/>
  <c r="HG59" i="2"/>
  <c r="HG60" i="2"/>
  <c r="HG61" i="2"/>
  <c r="HG64" i="2"/>
  <c r="HG63" i="2"/>
  <c r="HG62" i="2" l="1"/>
  <c r="HI56" i="2"/>
  <c r="HH60" i="2"/>
  <c r="HH59" i="2"/>
  <c r="HH64" i="2"/>
  <c r="HH61" i="2"/>
  <c r="HH63" i="2"/>
  <c r="HH62" i="2" l="1"/>
  <c r="HJ56" i="2"/>
  <c r="HI64" i="2"/>
  <c r="HI63" i="2"/>
  <c r="HI60" i="2"/>
  <c r="HI59" i="2"/>
  <c r="HI61" i="2"/>
  <c r="HI62" i="2" l="1"/>
  <c r="HK56" i="2"/>
  <c r="HJ61" i="2"/>
  <c r="HJ64" i="2"/>
  <c r="HJ59" i="2"/>
  <c r="HJ63" i="2"/>
  <c r="HJ60" i="2"/>
  <c r="HJ62" i="2" l="1"/>
  <c r="HL56" i="2"/>
  <c r="HK64" i="2"/>
  <c r="HK59" i="2"/>
  <c r="HK60" i="2"/>
  <c r="HK63" i="2"/>
  <c r="HK61" i="2"/>
  <c r="HK62" i="2" l="1"/>
  <c r="HM56" i="2"/>
  <c r="HL61" i="2"/>
  <c r="HL59" i="2"/>
  <c r="HL63" i="2"/>
  <c r="HL60" i="2"/>
  <c r="HL64" i="2"/>
  <c r="HL62" i="2" l="1"/>
  <c r="HN56" i="2"/>
  <c r="HM59" i="2"/>
  <c r="HM61" i="2"/>
  <c r="HM64" i="2"/>
  <c r="HM60" i="2"/>
  <c r="HM63" i="2"/>
  <c r="HM62" i="2" l="1"/>
  <c r="HO56" i="2"/>
  <c r="HN61" i="2"/>
  <c r="HN60" i="2"/>
  <c r="HN63" i="2"/>
  <c r="HN64" i="2"/>
  <c r="HN59" i="2"/>
  <c r="HN62" i="2" l="1"/>
  <c r="HP56" i="2"/>
  <c r="HO60" i="2"/>
  <c r="HO64" i="2"/>
  <c r="HO59" i="2"/>
  <c r="HO61" i="2"/>
  <c r="HO63" i="2"/>
  <c r="HO62" i="2" l="1"/>
  <c r="HQ56" i="2"/>
  <c r="HP63" i="2"/>
  <c r="HP59" i="2"/>
  <c r="HP61" i="2"/>
  <c r="HP60" i="2"/>
  <c r="HP64" i="2"/>
  <c r="HP62" i="2" l="1"/>
  <c r="HR56" i="2"/>
  <c r="HQ64" i="2"/>
  <c r="HQ63" i="2"/>
  <c r="HQ61" i="2"/>
  <c r="HQ59" i="2"/>
  <c r="HQ60" i="2"/>
  <c r="HQ62" i="2" l="1"/>
  <c r="HS56" i="2"/>
  <c r="HR61" i="2"/>
  <c r="HR63" i="2"/>
  <c r="HR60" i="2"/>
  <c r="HR59" i="2"/>
  <c r="HR64" i="2"/>
  <c r="HR62" i="2" l="1"/>
  <c r="HT56" i="2"/>
  <c r="HS61" i="2"/>
  <c r="HS60" i="2"/>
  <c r="HS64" i="2"/>
  <c r="HS63" i="2"/>
  <c r="HS59" i="2"/>
  <c r="HS62" i="2" l="1"/>
  <c r="HU56" i="2"/>
  <c r="HT59" i="2"/>
  <c r="HT60" i="2"/>
  <c r="HT61" i="2"/>
  <c r="HT64" i="2"/>
  <c r="HT63" i="2"/>
  <c r="HT62" i="2" l="1"/>
  <c r="HV56" i="2"/>
  <c r="HU64" i="2"/>
  <c r="HU61" i="2"/>
  <c r="HU60" i="2"/>
  <c r="HU63" i="2"/>
  <c r="HU59" i="2"/>
  <c r="HU62" i="2" l="1"/>
  <c r="HW56" i="2"/>
  <c r="HV60" i="2"/>
  <c r="HV63" i="2"/>
  <c r="HV59" i="2"/>
  <c r="HV61" i="2"/>
  <c r="HV64" i="2"/>
  <c r="HV62" i="2" l="1"/>
  <c r="HX56" i="2"/>
  <c r="HW61" i="2"/>
  <c r="HW63" i="2"/>
  <c r="HW59" i="2"/>
  <c r="HW64" i="2"/>
  <c r="HW60" i="2"/>
  <c r="HW62" i="2" l="1"/>
  <c r="HY56" i="2"/>
  <c r="HX64" i="2"/>
  <c r="HX59" i="2"/>
  <c r="HX61" i="2"/>
  <c r="HX60" i="2"/>
  <c r="HX63" i="2"/>
  <c r="HX62" i="2" l="1"/>
  <c r="HZ56" i="2"/>
  <c r="HY60" i="2"/>
  <c r="HY61" i="2"/>
  <c r="HY59" i="2"/>
  <c r="HY63" i="2"/>
  <c r="HY64" i="2"/>
  <c r="HY62" i="2" l="1"/>
  <c r="IA56" i="2"/>
  <c r="HZ59" i="2"/>
  <c r="HZ61" i="2"/>
  <c r="HZ60" i="2"/>
  <c r="HZ64" i="2"/>
  <c r="HZ63" i="2"/>
  <c r="HZ62" i="2" l="1"/>
  <c r="IB56" i="2"/>
  <c r="IA61" i="2"/>
  <c r="IA64" i="2"/>
  <c r="IA59" i="2"/>
  <c r="IA60" i="2"/>
  <c r="IA63" i="2"/>
  <c r="IA62" i="2" l="1"/>
  <c r="IC56" i="2"/>
  <c r="IB64" i="2"/>
  <c r="IB60" i="2"/>
  <c r="IB59" i="2"/>
  <c r="IB63" i="2"/>
  <c r="IB61" i="2"/>
  <c r="IB62" i="2" l="1"/>
  <c r="ID56" i="2"/>
  <c r="IC64" i="2"/>
  <c r="IC63" i="2"/>
  <c r="IC60" i="2"/>
  <c r="IC59" i="2"/>
  <c r="IC61" i="2"/>
  <c r="IC62" i="2" l="1"/>
  <c r="IE56" i="2"/>
  <c r="ID64" i="2"/>
  <c r="ID59" i="2"/>
  <c r="ID63" i="2"/>
  <c r="ID61" i="2"/>
  <c r="ID60" i="2"/>
  <c r="ID62" i="2" l="1"/>
  <c r="IF56" i="2"/>
  <c r="IE64" i="2"/>
  <c r="IE59" i="2"/>
  <c r="IE60" i="2"/>
  <c r="IE61" i="2"/>
  <c r="IE63" i="2"/>
  <c r="IE62" i="2" l="1"/>
  <c r="IG56" i="2"/>
  <c r="IF59" i="2"/>
  <c r="IF63" i="2"/>
  <c r="IF61" i="2"/>
  <c r="IF64" i="2"/>
  <c r="IF60" i="2"/>
  <c r="IF62" i="2" l="1"/>
  <c r="IH56" i="2"/>
  <c r="IG64" i="2"/>
  <c r="IG59" i="2"/>
  <c r="IG61" i="2"/>
  <c r="IG63" i="2"/>
  <c r="IG60" i="2"/>
  <c r="IG62" i="2" l="1"/>
  <c r="II56" i="2"/>
  <c r="IH61" i="2"/>
  <c r="IH64" i="2"/>
  <c r="IH59" i="2"/>
  <c r="IH63" i="2"/>
  <c r="IH60" i="2"/>
  <c r="IH62" i="2" l="1"/>
  <c r="IJ56" i="2"/>
  <c r="II61" i="2"/>
  <c r="II59" i="2"/>
  <c r="II63" i="2"/>
  <c r="II60" i="2"/>
  <c r="II64" i="2"/>
  <c r="II62" i="2" l="1"/>
  <c r="IK56" i="2"/>
  <c r="IJ64" i="2"/>
  <c r="IJ59" i="2"/>
  <c r="IJ61" i="2"/>
  <c r="IJ63" i="2"/>
  <c r="IJ60" i="2"/>
  <c r="IJ62" i="2" l="1"/>
  <c r="IL56" i="2"/>
  <c r="IK59" i="2"/>
  <c r="IK61" i="2"/>
  <c r="IK63" i="2"/>
  <c r="IK60" i="2"/>
  <c r="IK64" i="2"/>
  <c r="IK62" i="2" l="1"/>
  <c r="IM56" i="2"/>
  <c r="IL60" i="2"/>
  <c r="IL61" i="2"/>
  <c r="IL63" i="2"/>
  <c r="IL64" i="2"/>
  <c r="IL59" i="2"/>
  <c r="IL62" i="2" l="1"/>
  <c r="IN56" i="2"/>
  <c r="IM61" i="2"/>
  <c r="IM59" i="2"/>
  <c r="IM64" i="2"/>
  <c r="IM60" i="2"/>
  <c r="IM63" i="2"/>
  <c r="IM62" i="2" l="1"/>
  <c r="IO56" i="2"/>
  <c r="IN64" i="2"/>
  <c r="IN63" i="2"/>
  <c r="IN61" i="2"/>
  <c r="IN59" i="2"/>
  <c r="IN60" i="2"/>
  <c r="IN62" i="2" l="1"/>
  <c r="IP56" i="2"/>
  <c r="IO60" i="2"/>
  <c r="IO59" i="2"/>
  <c r="IO63" i="2"/>
  <c r="IO61" i="2"/>
  <c r="IO64" i="2"/>
  <c r="IO62" i="2" l="1"/>
  <c r="IQ56" i="2"/>
  <c r="IP60" i="2"/>
  <c r="IP61" i="2"/>
  <c r="IP59" i="2"/>
  <c r="IP64" i="2"/>
  <c r="IP63" i="2"/>
  <c r="IP62" i="2" l="1"/>
  <c r="IR56" i="2"/>
  <c r="IQ64" i="2"/>
  <c r="IQ61" i="2"/>
  <c r="IQ63" i="2"/>
  <c r="IQ60" i="2"/>
  <c r="IQ59" i="2"/>
  <c r="IQ62" i="2" l="1"/>
  <c r="IS56" i="2"/>
  <c r="IR64" i="2"/>
  <c r="IR60" i="2"/>
  <c r="IR61" i="2"/>
  <c r="IR63" i="2"/>
  <c r="IR59" i="2"/>
  <c r="IR62" i="2" l="1"/>
  <c r="IT56" i="2"/>
  <c r="IS63" i="2"/>
  <c r="IS59" i="2"/>
  <c r="IS60" i="2"/>
  <c r="IS61" i="2"/>
  <c r="IS64" i="2"/>
  <c r="IS62" i="2" l="1"/>
  <c r="IU56" i="2"/>
  <c r="IT64" i="2"/>
  <c r="IT61" i="2"/>
  <c r="IT60" i="2"/>
  <c r="IT59" i="2"/>
  <c r="IT63" i="2"/>
  <c r="IT62" i="2" l="1"/>
  <c r="IV56" i="2"/>
  <c r="IU59" i="2"/>
  <c r="IU61" i="2"/>
  <c r="IU63" i="2"/>
  <c r="IU64" i="2"/>
  <c r="IU60" i="2"/>
  <c r="IU62" i="2" l="1"/>
  <c r="IW56" i="2"/>
  <c r="IV60" i="2"/>
  <c r="IV63" i="2"/>
  <c r="IV59" i="2"/>
  <c r="IV64" i="2"/>
  <c r="IV61" i="2"/>
  <c r="IV62" i="2" l="1"/>
  <c r="IX56" i="2"/>
  <c r="IW60" i="2"/>
  <c r="IW59" i="2"/>
  <c r="IW61" i="2"/>
  <c r="IW63" i="2"/>
  <c r="IW64" i="2"/>
  <c r="IW62" i="2" l="1"/>
  <c r="IY56" i="2"/>
  <c r="IX64" i="2"/>
  <c r="IX60" i="2"/>
  <c r="IX59" i="2"/>
  <c r="IX61" i="2"/>
  <c r="IX63" i="2"/>
  <c r="IX62" i="2" l="1"/>
  <c r="IZ56" i="2"/>
  <c r="IY63" i="2"/>
  <c r="IY61" i="2"/>
  <c r="IY64" i="2"/>
  <c r="IY59" i="2"/>
  <c r="IY60" i="2"/>
  <c r="IY62" i="2" l="1"/>
  <c r="JA56" i="2"/>
  <c r="IZ64" i="2"/>
  <c r="IZ59" i="2"/>
  <c r="IZ60" i="2"/>
  <c r="IZ61" i="2"/>
  <c r="IZ63" i="2"/>
  <c r="IZ62" i="2" l="1"/>
  <c r="JB56" i="2"/>
  <c r="JA63" i="2"/>
  <c r="JA59" i="2"/>
  <c r="JA60" i="2"/>
  <c r="JA61" i="2"/>
  <c r="JA64" i="2"/>
  <c r="JA62" i="2" l="1"/>
  <c r="JC56" i="2"/>
  <c r="JB63" i="2"/>
  <c r="JB61" i="2"/>
  <c r="JB59" i="2"/>
  <c r="JB64" i="2"/>
  <c r="JB60" i="2"/>
  <c r="JB62" i="2" l="1"/>
  <c r="JD56" i="2"/>
  <c r="JC63" i="2"/>
  <c r="JC60" i="2"/>
  <c r="JC59" i="2"/>
  <c r="JC61" i="2"/>
  <c r="JC64" i="2"/>
  <c r="JC62" i="2" l="1"/>
  <c r="JE56" i="2"/>
  <c r="JD59" i="2"/>
  <c r="JD61" i="2"/>
  <c r="JD60" i="2"/>
  <c r="JD64" i="2"/>
  <c r="JD63" i="2"/>
  <c r="JD62" i="2" l="1"/>
  <c r="JF56" i="2"/>
  <c r="JE61" i="2"/>
  <c r="JE63" i="2"/>
  <c r="JE64" i="2"/>
  <c r="JE60" i="2"/>
  <c r="JE59" i="2"/>
  <c r="JE62" i="2" l="1"/>
  <c r="JG56" i="2"/>
  <c r="JF59" i="2"/>
  <c r="JF61" i="2"/>
  <c r="JF60" i="2"/>
  <c r="JF64" i="2"/>
  <c r="JF63" i="2"/>
  <c r="JF62" i="2" l="1"/>
  <c r="JH56" i="2"/>
  <c r="JG64" i="2"/>
  <c r="JG61" i="2"/>
  <c r="JG59" i="2"/>
  <c r="JG60" i="2"/>
  <c r="JG63" i="2"/>
  <c r="JG62" i="2" l="1"/>
  <c r="JI56" i="2"/>
  <c r="JH61" i="2"/>
  <c r="JH60" i="2"/>
  <c r="JH63" i="2"/>
  <c r="JH64" i="2"/>
  <c r="JH59" i="2"/>
  <c r="JH62" i="2" l="1"/>
  <c r="JJ56" i="2"/>
  <c r="JI61" i="2"/>
  <c r="JI60" i="2"/>
  <c r="JI59" i="2"/>
  <c r="JI63" i="2"/>
  <c r="JI64" i="2"/>
  <c r="JI62" i="2" l="1"/>
  <c r="JK56" i="2"/>
  <c r="JJ60" i="2"/>
  <c r="JJ64" i="2"/>
  <c r="JJ61" i="2"/>
  <c r="JJ59" i="2"/>
  <c r="JJ63" i="2"/>
  <c r="JJ62" i="2" l="1"/>
  <c r="JL56" i="2"/>
  <c r="JK61" i="2"/>
  <c r="JK60" i="2"/>
  <c r="JK63" i="2"/>
  <c r="JK64" i="2"/>
  <c r="JK59" i="2"/>
  <c r="JK62" i="2" l="1"/>
  <c r="JM56" i="2"/>
  <c r="JL61" i="2"/>
  <c r="JL64" i="2"/>
  <c r="JL59" i="2"/>
  <c r="JL63" i="2"/>
  <c r="JL60" i="2"/>
  <c r="JL62" i="2" l="1"/>
  <c r="JN56" i="2"/>
  <c r="JM60" i="2"/>
  <c r="JM63" i="2"/>
  <c r="JM59" i="2"/>
  <c r="JM61" i="2"/>
  <c r="JM64" i="2"/>
  <c r="JM62" i="2" l="1"/>
  <c r="JO56" i="2"/>
  <c r="JN60" i="2"/>
  <c r="JN61" i="2"/>
  <c r="JN63" i="2"/>
  <c r="JN59" i="2"/>
  <c r="JN64" i="2"/>
  <c r="JN62" i="2" l="1"/>
  <c r="JP56" i="2"/>
  <c r="JO60" i="2"/>
  <c r="JO63" i="2"/>
  <c r="JO61" i="2"/>
  <c r="JO59" i="2"/>
  <c r="JO64" i="2"/>
  <c r="JO62" i="2" l="1"/>
  <c r="JQ56" i="2"/>
  <c r="JP59" i="2"/>
  <c r="JP61" i="2"/>
  <c r="JP60" i="2"/>
  <c r="JP64" i="2"/>
  <c r="JP63" i="2"/>
  <c r="JP62" i="2" l="1"/>
  <c r="JR56" i="2"/>
  <c r="JQ64" i="2"/>
  <c r="JQ59" i="2"/>
  <c r="JQ63" i="2"/>
  <c r="JQ61" i="2"/>
  <c r="JQ60" i="2"/>
  <c r="JQ62" i="2" l="1"/>
  <c r="JS56" i="2"/>
  <c r="JR63" i="2"/>
  <c r="JR60" i="2"/>
  <c r="JR59" i="2"/>
  <c r="JR61" i="2"/>
  <c r="JR64" i="2"/>
  <c r="JR62" i="2" l="1"/>
  <c r="JT56" i="2"/>
  <c r="JS61" i="2"/>
  <c r="JS59" i="2"/>
  <c r="JS64" i="2"/>
  <c r="JS63" i="2"/>
  <c r="JS60" i="2"/>
  <c r="JS62" i="2" l="1"/>
  <c r="JU56" i="2"/>
  <c r="JT61" i="2"/>
  <c r="JT63" i="2"/>
  <c r="JT60" i="2"/>
  <c r="JT64" i="2"/>
  <c r="JT59" i="2"/>
  <c r="JT62" i="2" l="1"/>
  <c r="JV56" i="2"/>
  <c r="JU59" i="2"/>
  <c r="JU63" i="2"/>
  <c r="JU64" i="2"/>
  <c r="JU61" i="2"/>
  <c r="JU60" i="2"/>
  <c r="JU62" i="2" l="1"/>
  <c r="JW56" i="2"/>
  <c r="JV61" i="2"/>
  <c r="JV59" i="2"/>
  <c r="JV63" i="2"/>
  <c r="JV60" i="2"/>
  <c r="JV64" i="2"/>
  <c r="JV62" i="2" l="1"/>
  <c r="JX56" i="2"/>
  <c r="JW63" i="2"/>
  <c r="JW60" i="2"/>
  <c r="JW61" i="2"/>
  <c r="JW59" i="2"/>
  <c r="JW64" i="2"/>
  <c r="JW62" i="2" l="1"/>
  <c r="JY56" i="2"/>
  <c r="JX63" i="2"/>
  <c r="JX64" i="2"/>
  <c r="JX60" i="2"/>
  <c r="JX61" i="2"/>
  <c r="JX59" i="2"/>
  <c r="JX62" i="2" l="1"/>
  <c r="JZ56" i="2"/>
  <c r="JY61" i="2"/>
  <c r="JY60" i="2"/>
  <c r="JY63" i="2"/>
  <c r="JY59" i="2"/>
  <c r="JY64" i="2"/>
  <c r="JY62" i="2" l="1"/>
  <c r="KA56" i="2"/>
  <c r="JZ59" i="2"/>
  <c r="JZ64" i="2"/>
  <c r="JZ60" i="2"/>
  <c r="JZ61" i="2"/>
  <c r="JZ63" i="2"/>
  <c r="JZ62" i="2" l="1"/>
  <c r="KB56" i="2"/>
  <c r="KA64" i="2"/>
  <c r="KA63" i="2"/>
  <c r="KA60" i="2"/>
  <c r="KA61" i="2"/>
  <c r="KA59" i="2"/>
  <c r="KA62" i="2" l="1"/>
  <c r="KC56" i="2"/>
  <c r="KB60" i="2"/>
  <c r="KB59" i="2"/>
  <c r="KB63" i="2"/>
  <c r="KB61" i="2"/>
  <c r="KB64" i="2"/>
  <c r="KB62" i="2" l="1"/>
  <c r="KD56" i="2"/>
  <c r="KC64" i="2"/>
  <c r="KC59" i="2"/>
  <c r="KC60" i="2"/>
  <c r="KC61" i="2"/>
  <c r="KC63" i="2"/>
  <c r="KC62" i="2" l="1"/>
  <c r="KE56" i="2"/>
  <c r="KD61" i="2"/>
  <c r="KD63" i="2"/>
  <c r="KD64" i="2"/>
  <c r="KD60" i="2"/>
  <c r="KD59" i="2"/>
  <c r="KD62" i="2" l="1"/>
  <c r="KF56" i="2"/>
  <c r="KE60" i="2"/>
  <c r="KE59" i="2"/>
  <c r="KE63" i="2"/>
  <c r="KE64" i="2"/>
  <c r="KE61" i="2"/>
  <c r="KE62" i="2" l="1"/>
  <c r="KG56" i="2"/>
  <c r="KF59" i="2"/>
  <c r="KF61" i="2"/>
  <c r="KF60" i="2"/>
  <c r="KF64" i="2"/>
  <c r="KF63" i="2"/>
  <c r="KF62" i="2" l="1"/>
  <c r="KH56" i="2"/>
  <c r="KG59" i="2"/>
  <c r="KG61" i="2"/>
  <c r="KG63" i="2"/>
  <c r="KG60" i="2"/>
  <c r="KG64" i="2"/>
  <c r="KG62" i="2" l="1"/>
  <c r="KI56" i="2"/>
  <c r="KH59" i="2"/>
  <c r="KH60" i="2"/>
  <c r="KH64" i="2"/>
  <c r="KH63" i="2"/>
  <c r="KH61" i="2"/>
  <c r="KH62" i="2" l="1"/>
  <c r="KJ56" i="2"/>
  <c r="KI61" i="2"/>
  <c r="KI59" i="2"/>
  <c r="KI63" i="2"/>
  <c r="KI60" i="2"/>
  <c r="KI64" i="2"/>
  <c r="KI62" i="2" l="1"/>
  <c r="KK56" i="2"/>
  <c r="KJ64" i="2"/>
  <c r="KJ63" i="2"/>
  <c r="KJ59" i="2"/>
  <c r="KJ61" i="2"/>
  <c r="KJ60" i="2"/>
  <c r="KJ62" i="2" l="1"/>
  <c r="KL56" i="2"/>
  <c r="KK60" i="2"/>
  <c r="KK61" i="2"/>
  <c r="KK59" i="2"/>
  <c r="KK64" i="2"/>
  <c r="KK63" i="2"/>
  <c r="KK62" i="2" l="1"/>
  <c r="KM56" i="2"/>
  <c r="KL63" i="2"/>
  <c r="KL64" i="2"/>
  <c r="KL60" i="2"/>
  <c r="KL61" i="2"/>
  <c r="KL59" i="2"/>
  <c r="KL62" i="2" l="1"/>
  <c r="KN56" i="2"/>
  <c r="KM61" i="2"/>
  <c r="KM60" i="2"/>
  <c r="KM59" i="2"/>
  <c r="KM63" i="2"/>
  <c r="KM64" i="2"/>
  <c r="KM62" i="2" l="1"/>
  <c r="KO56" i="2"/>
  <c r="KN63" i="2"/>
  <c r="KN64" i="2"/>
  <c r="KN61" i="2"/>
  <c r="KN59" i="2"/>
  <c r="KN60" i="2"/>
  <c r="KN62" i="2" l="1"/>
  <c r="KP56" i="2"/>
  <c r="KO60" i="2"/>
  <c r="KO59" i="2"/>
  <c r="KO64" i="2"/>
  <c r="KO61" i="2"/>
  <c r="KO63" i="2"/>
  <c r="KO62" i="2" l="1"/>
  <c r="KQ56" i="2"/>
  <c r="KP61" i="2"/>
  <c r="KP60" i="2"/>
  <c r="KP64" i="2"/>
  <c r="KP59" i="2"/>
  <c r="KP63" i="2"/>
  <c r="KP62" i="2" l="1"/>
  <c r="KR56" i="2"/>
  <c r="KQ59" i="2"/>
  <c r="KQ64" i="2"/>
  <c r="KQ61" i="2"/>
  <c r="KQ63" i="2"/>
  <c r="KQ60" i="2"/>
  <c r="KQ62" i="2" l="1"/>
  <c r="KS56" i="2"/>
  <c r="KR61" i="2"/>
  <c r="KR63" i="2"/>
  <c r="KR64" i="2"/>
  <c r="KR59" i="2"/>
  <c r="KR60" i="2"/>
  <c r="KR62" i="2" l="1"/>
  <c r="KT56" i="2"/>
  <c r="KS59" i="2"/>
  <c r="KS63" i="2"/>
  <c r="KS60" i="2"/>
  <c r="KS64" i="2"/>
  <c r="KS61" i="2"/>
  <c r="KS62" i="2" l="1"/>
  <c r="KU56" i="2"/>
  <c r="KT59" i="2"/>
  <c r="KT63" i="2"/>
  <c r="KT60" i="2"/>
  <c r="KT64" i="2"/>
  <c r="KT61" i="2"/>
  <c r="KT62" i="2" l="1"/>
  <c r="KV56" i="2"/>
  <c r="KU63" i="2"/>
  <c r="KU64" i="2"/>
  <c r="KU59" i="2"/>
  <c r="KU60" i="2"/>
  <c r="KU61" i="2"/>
  <c r="KU62" i="2" l="1"/>
  <c r="KW56" i="2"/>
  <c r="KV63" i="2"/>
  <c r="KV64" i="2"/>
  <c r="KV60" i="2"/>
  <c r="KV61" i="2"/>
  <c r="KV59" i="2"/>
  <c r="KV62" i="2" l="1"/>
  <c r="KX56" i="2"/>
  <c r="KW64" i="2"/>
  <c r="KW59" i="2"/>
  <c r="KW61" i="2"/>
  <c r="KW63" i="2"/>
  <c r="KW60" i="2"/>
  <c r="KW62" i="2" l="1"/>
  <c r="KY56" i="2"/>
  <c r="KX61" i="2"/>
  <c r="KX60" i="2"/>
  <c r="KX63" i="2"/>
  <c r="KX64" i="2"/>
  <c r="KX59" i="2"/>
  <c r="KX62" i="2" l="1"/>
  <c r="KZ56" i="2"/>
  <c r="KY59" i="2"/>
  <c r="KY61" i="2"/>
  <c r="KY64" i="2"/>
  <c r="KY63" i="2"/>
  <c r="KY60" i="2"/>
  <c r="KY62" i="2" l="1"/>
  <c r="LA56" i="2"/>
  <c r="KZ64" i="2"/>
  <c r="KZ61" i="2"/>
  <c r="KZ63" i="2"/>
  <c r="KZ59" i="2"/>
  <c r="KZ60" i="2"/>
  <c r="KZ62" i="2" l="1"/>
  <c r="LB56" i="2"/>
  <c r="LA60" i="2"/>
  <c r="LA64" i="2"/>
  <c r="LA63" i="2"/>
  <c r="LA61" i="2"/>
  <c r="LA59" i="2"/>
  <c r="LA62" i="2" l="1"/>
  <c r="LC56" i="2"/>
  <c r="LB61" i="2"/>
  <c r="LB60" i="2"/>
  <c r="LB64" i="2"/>
  <c r="LB63" i="2"/>
  <c r="LB59" i="2"/>
  <c r="LB62" i="2" l="1"/>
  <c r="LD56" i="2"/>
  <c r="LC63" i="2"/>
  <c r="LC61" i="2"/>
  <c r="LC64" i="2"/>
  <c r="LC59" i="2"/>
  <c r="LC60" i="2"/>
  <c r="LC62" i="2" l="1"/>
  <c r="LE56" i="2"/>
  <c r="LD59" i="2"/>
  <c r="LD63" i="2"/>
  <c r="LD61" i="2"/>
  <c r="LD60" i="2"/>
  <c r="LD64" i="2"/>
  <c r="LD62" i="2" l="1"/>
  <c r="LF56" i="2"/>
  <c r="LE59" i="2"/>
  <c r="LE61" i="2"/>
  <c r="LE64" i="2"/>
  <c r="LE63" i="2"/>
  <c r="LE60" i="2"/>
  <c r="LE62" i="2" l="1"/>
  <c r="LG56" i="2"/>
  <c r="LF59" i="2"/>
  <c r="LF63" i="2"/>
  <c r="LF60" i="2"/>
  <c r="LF61" i="2"/>
  <c r="LF64" i="2"/>
  <c r="LF62" i="2" l="1"/>
  <c r="LH56" i="2"/>
  <c r="LG59" i="2"/>
  <c r="LG60" i="2"/>
  <c r="LG64" i="2"/>
  <c r="LG63" i="2"/>
  <c r="LG61" i="2"/>
  <c r="LG62" i="2" l="1"/>
  <c r="LI56" i="2"/>
  <c r="LH60" i="2"/>
  <c r="LH59" i="2"/>
  <c r="LH63" i="2"/>
  <c r="LH61" i="2"/>
  <c r="LH64" i="2"/>
  <c r="LH62" i="2" l="1"/>
  <c r="LJ56" i="2"/>
  <c r="LI60" i="2"/>
  <c r="LI61" i="2"/>
  <c r="LI59" i="2"/>
  <c r="LI64" i="2"/>
  <c r="LI63" i="2"/>
  <c r="LI62" i="2" l="1"/>
  <c r="LK56" i="2"/>
  <c r="LJ60" i="2"/>
  <c r="LJ61" i="2"/>
  <c r="LJ64" i="2"/>
  <c r="LJ63" i="2"/>
  <c r="LJ59" i="2"/>
  <c r="LJ62" i="2" l="1"/>
  <c r="LL56" i="2"/>
  <c r="LK61" i="2"/>
  <c r="LK60" i="2"/>
  <c r="LK59" i="2"/>
  <c r="LK64" i="2"/>
  <c r="LK63" i="2"/>
  <c r="LK62" i="2" l="1"/>
  <c r="LM56" i="2"/>
  <c r="LL60" i="2"/>
  <c r="LL63" i="2"/>
  <c r="LL59" i="2"/>
  <c r="LL61" i="2"/>
  <c r="LL64" i="2"/>
  <c r="LL62" i="2" l="1"/>
  <c r="LN56" i="2"/>
  <c r="LM59" i="2"/>
  <c r="LM63" i="2"/>
  <c r="LM60" i="2"/>
  <c r="LM64" i="2"/>
  <c r="LM61" i="2"/>
  <c r="LM62" i="2" l="1"/>
  <c r="LO56" i="2"/>
  <c r="LN61" i="2"/>
  <c r="LN64" i="2"/>
  <c r="LN59" i="2"/>
  <c r="LN60" i="2"/>
  <c r="LN63" i="2"/>
  <c r="LN62" i="2" l="1"/>
  <c r="LP56" i="2"/>
  <c r="LO61" i="2"/>
  <c r="LO60" i="2"/>
  <c r="LO64" i="2"/>
  <c r="LO59" i="2"/>
  <c r="LO63" i="2"/>
  <c r="LO62" i="2" l="1"/>
  <c r="LQ56" i="2"/>
  <c r="LP59" i="2"/>
  <c r="LP60" i="2"/>
  <c r="LP61" i="2"/>
  <c r="LP64" i="2"/>
  <c r="LP63" i="2"/>
  <c r="LP62" i="2" l="1"/>
  <c r="LR56" i="2"/>
  <c r="LQ63" i="2"/>
  <c r="LQ64" i="2"/>
  <c r="LQ61" i="2"/>
  <c r="LQ60" i="2"/>
  <c r="LQ59" i="2"/>
  <c r="LQ62" i="2" l="1"/>
  <c r="LS56" i="2"/>
  <c r="LR60" i="2"/>
  <c r="LR64" i="2"/>
  <c r="LR59" i="2"/>
  <c r="LR63" i="2"/>
  <c r="LR61" i="2"/>
  <c r="LR62" i="2" l="1"/>
  <c r="LT56" i="2"/>
  <c r="LS64" i="2"/>
  <c r="LS61" i="2"/>
  <c r="LS59" i="2"/>
  <c r="LS63" i="2"/>
  <c r="LS60" i="2"/>
  <c r="LS62" i="2" l="1"/>
  <c r="LU56" i="2"/>
  <c r="LT64" i="2"/>
  <c r="LT59" i="2"/>
  <c r="LT61" i="2"/>
  <c r="LT63" i="2"/>
  <c r="LT60" i="2"/>
  <c r="LT62" i="2" l="1"/>
  <c r="LV56" i="2"/>
  <c r="LU59" i="2"/>
  <c r="LU61" i="2"/>
  <c r="LU63" i="2"/>
  <c r="LU64" i="2"/>
  <c r="LU60" i="2"/>
  <c r="LU62" i="2" l="1"/>
  <c r="LW56" i="2"/>
  <c r="LV61" i="2"/>
  <c r="LV60" i="2"/>
  <c r="LV59" i="2"/>
  <c r="LV64" i="2"/>
  <c r="LV63" i="2"/>
  <c r="LV62" i="2" l="1"/>
  <c r="LX56" i="2"/>
  <c r="LW63" i="2"/>
  <c r="LW64" i="2"/>
  <c r="LW61" i="2"/>
  <c r="LW59" i="2"/>
  <c r="LW60" i="2"/>
  <c r="LW62" i="2" l="1"/>
  <c r="LY56" i="2"/>
  <c r="LX63" i="2"/>
  <c r="LX61" i="2"/>
  <c r="LX60" i="2"/>
  <c r="LX64" i="2"/>
  <c r="LX59" i="2"/>
  <c r="LX62" i="2" l="1"/>
  <c r="LZ56" i="2"/>
  <c r="LY60" i="2"/>
  <c r="LY59" i="2"/>
  <c r="LY63" i="2"/>
  <c r="LY61" i="2"/>
  <c r="LY64" i="2"/>
  <c r="LY62" i="2" l="1"/>
  <c r="MA56" i="2"/>
  <c r="LZ60" i="2"/>
  <c r="LZ61" i="2"/>
  <c r="LZ59" i="2"/>
  <c r="LZ64" i="2"/>
  <c r="LZ63" i="2"/>
  <c r="LZ62" i="2" l="1"/>
  <c r="MB56" i="2"/>
  <c r="MA59" i="2"/>
  <c r="MA64" i="2"/>
  <c r="MA61" i="2"/>
  <c r="MA60" i="2"/>
  <c r="MA63" i="2"/>
  <c r="MA62" i="2" l="1"/>
  <c r="MC56" i="2"/>
  <c r="MB60" i="2"/>
  <c r="MB63" i="2"/>
  <c r="MB61" i="2"/>
  <c r="MB59" i="2"/>
  <c r="MB64" i="2"/>
  <c r="MB62" i="2" l="1"/>
  <c r="MD56" i="2"/>
  <c r="MC60" i="2"/>
  <c r="MC64" i="2"/>
  <c r="MC59" i="2"/>
  <c r="MC61" i="2"/>
  <c r="MC63" i="2"/>
  <c r="MC62" i="2" l="1"/>
  <c r="ME56" i="2"/>
  <c r="MD60" i="2"/>
  <c r="MD63" i="2"/>
  <c r="MD59" i="2"/>
  <c r="MD61" i="2"/>
  <c r="MD64" i="2"/>
  <c r="MD62" i="2" l="1"/>
  <c r="MF56" i="2"/>
  <c r="ME61" i="2"/>
  <c r="ME63" i="2"/>
  <c r="ME59" i="2"/>
  <c r="ME60" i="2"/>
  <c r="ME64" i="2"/>
  <c r="ME62" i="2" l="1"/>
  <c r="MG56" i="2"/>
  <c r="MF60" i="2"/>
  <c r="MF59" i="2"/>
  <c r="MF64" i="2"/>
  <c r="MF61" i="2"/>
  <c r="MF63" i="2"/>
  <c r="MF62" i="2" l="1"/>
  <c r="MH56" i="2"/>
  <c r="MG63" i="2"/>
  <c r="MG59" i="2"/>
  <c r="MG61" i="2"/>
  <c r="MG60" i="2"/>
  <c r="MG64" i="2"/>
  <c r="MG62" i="2" l="1"/>
  <c r="MI56" i="2"/>
  <c r="MH61" i="2"/>
  <c r="MH64" i="2"/>
  <c r="MH59" i="2"/>
  <c r="MH60" i="2"/>
  <c r="MH63" i="2"/>
  <c r="MH62" i="2" l="1"/>
  <c r="MJ56" i="2"/>
  <c r="MI59" i="2"/>
  <c r="MI63" i="2"/>
  <c r="MI61" i="2"/>
  <c r="MI64" i="2"/>
  <c r="MI60" i="2"/>
  <c r="MI62" i="2" l="1"/>
  <c r="MK56" i="2"/>
  <c r="MJ60" i="2"/>
  <c r="MJ61" i="2"/>
  <c r="MJ59" i="2"/>
  <c r="MJ63" i="2"/>
  <c r="MJ64" i="2"/>
  <c r="MJ62" i="2" l="1"/>
  <c r="ML56" i="2"/>
  <c r="MK63" i="2"/>
  <c r="MK64" i="2"/>
  <c r="MK59" i="2"/>
  <c r="MK61" i="2"/>
  <c r="MK60" i="2"/>
  <c r="MK62" i="2" l="1"/>
  <c r="MM56" i="2"/>
  <c r="ML59" i="2"/>
  <c r="ML61" i="2"/>
  <c r="ML63" i="2"/>
  <c r="ML60" i="2"/>
  <c r="ML64" i="2"/>
  <c r="ML62" i="2" l="1"/>
  <c r="MN56" i="2"/>
  <c r="MM59" i="2"/>
  <c r="MM64" i="2"/>
  <c r="MM60" i="2"/>
  <c r="MM61" i="2"/>
  <c r="MM63" i="2"/>
  <c r="MM62" i="2" l="1"/>
  <c r="MO56" i="2"/>
  <c r="MN60" i="2"/>
  <c r="MN61" i="2"/>
  <c r="MN63" i="2"/>
  <c r="MN59" i="2"/>
  <c r="MN64" i="2"/>
  <c r="MN62" i="2" l="1"/>
  <c r="MP56" i="2"/>
  <c r="MO60" i="2"/>
  <c r="MO64" i="2"/>
  <c r="MO61" i="2"/>
  <c r="MO63" i="2"/>
  <c r="MO59" i="2"/>
  <c r="MO62" i="2" l="1"/>
  <c r="MQ56" i="2"/>
  <c r="MP59" i="2"/>
  <c r="MP63" i="2"/>
  <c r="MP61" i="2"/>
  <c r="MP60" i="2"/>
  <c r="MP64" i="2"/>
  <c r="MP62" i="2" l="1"/>
  <c r="MR56" i="2"/>
  <c r="MQ64" i="2"/>
  <c r="MQ63" i="2"/>
  <c r="MQ59" i="2"/>
  <c r="MQ60" i="2"/>
  <c r="MQ61" i="2"/>
  <c r="MQ62" i="2" l="1"/>
  <c r="MS56" i="2"/>
  <c r="MR59" i="2"/>
  <c r="MR60" i="2"/>
  <c r="MR64" i="2"/>
  <c r="MR61" i="2"/>
  <c r="MR63" i="2"/>
  <c r="MR62" i="2" l="1"/>
  <c r="MT56" i="2"/>
  <c r="MS63" i="2"/>
  <c r="MS64" i="2"/>
  <c r="MS59" i="2"/>
  <c r="MS61" i="2"/>
  <c r="MS60" i="2"/>
  <c r="MS62" i="2" l="1"/>
  <c r="MU56" i="2"/>
  <c r="MT63" i="2"/>
  <c r="MT64" i="2"/>
  <c r="MT61" i="2"/>
  <c r="MT60" i="2"/>
  <c r="MT59" i="2"/>
  <c r="MT62" i="2" l="1"/>
  <c r="MV56" i="2"/>
  <c r="MU60" i="2"/>
  <c r="MU61" i="2"/>
  <c r="MU63" i="2"/>
  <c r="MU64" i="2"/>
  <c r="MU59" i="2"/>
  <c r="MU62" i="2" l="1"/>
  <c r="MW56" i="2"/>
  <c r="MV60" i="2"/>
  <c r="MV63" i="2"/>
  <c r="MV64" i="2"/>
  <c r="MV59" i="2"/>
  <c r="MV61" i="2"/>
  <c r="MV62" i="2" l="1"/>
  <c r="MX56" i="2"/>
  <c r="MW59" i="2"/>
  <c r="MW61" i="2"/>
  <c r="MW60" i="2"/>
  <c r="MW64" i="2"/>
  <c r="MW63" i="2"/>
  <c r="MW62" i="2" l="1"/>
  <c r="MY56" i="2"/>
  <c r="MX61" i="2"/>
  <c r="MX64" i="2"/>
  <c r="MX60" i="2"/>
  <c r="MX63" i="2"/>
  <c r="MX59" i="2"/>
  <c r="MX62" i="2" l="1"/>
  <c r="MZ56" i="2"/>
  <c r="MY61" i="2"/>
  <c r="MY59" i="2"/>
  <c r="MY60" i="2"/>
  <c r="MY63" i="2"/>
  <c r="MY64" i="2"/>
  <c r="MY62" i="2" l="1"/>
  <c r="NA56" i="2"/>
  <c r="MZ60" i="2"/>
  <c r="MZ63" i="2"/>
  <c r="MZ59" i="2"/>
  <c r="MZ64" i="2"/>
  <c r="MZ61" i="2"/>
  <c r="MZ62" i="2" l="1"/>
  <c r="NB56" i="2"/>
  <c r="NA64" i="2"/>
  <c r="NA59" i="2"/>
  <c r="NA61" i="2"/>
  <c r="NA60" i="2"/>
  <c r="NA63" i="2"/>
  <c r="NA62" i="2" l="1"/>
  <c r="NC56" i="2"/>
  <c r="NB61" i="2"/>
  <c r="NB60" i="2"/>
  <c r="NB63" i="2"/>
  <c r="NB59" i="2"/>
  <c r="NB64" i="2"/>
  <c r="NB62" i="2" l="1"/>
  <c r="ND56" i="2"/>
  <c r="NC61" i="2"/>
  <c r="NC64" i="2"/>
  <c r="NC60" i="2"/>
  <c r="NC63" i="2"/>
  <c r="NC59" i="2"/>
  <c r="NC62" i="2" l="1"/>
  <c r="NE56" i="2"/>
  <c r="ND61" i="2"/>
  <c r="ND64" i="2"/>
  <c r="ND63" i="2"/>
  <c r="ND59" i="2"/>
  <c r="ND60" i="2"/>
  <c r="ND62" i="2" l="1"/>
  <c r="NF56" i="2"/>
  <c r="NE59" i="2"/>
  <c r="NE61" i="2"/>
  <c r="NE63" i="2"/>
  <c r="NE64" i="2"/>
  <c r="NE60" i="2"/>
  <c r="NE62" i="2" l="1"/>
  <c r="NG56" i="2"/>
  <c r="NF60" i="2"/>
  <c r="NF63" i="2"/>
  <c r="NF59" i="2"/>
  <c r="NF61" i="2"/>
  <c r="NF64" i="2"/>
  <c r="NF62" i="2" l="1"/>
  <c r="NH56" i="2"/>
  <c r="NG59" i="2"/>
  <c r="NG63" i="2"/>
  <c r="NG61" i="2"/>
  <c r="NG60" i="2"/>
  <c r="NG64" i="2"/>
  <c r="NG62" i="2" l="1"/>
  <c r="NI56" i="2"/>
  <c r="NH61" i="2"/>
  <c r="NH59" i="2"/>
  <c r="NH64" i="2"/>
  <c r="NH63" i="2"/>
  <c r="NH60" i="2"/>
  <c r="NH62" i="2" l="1"/>
  <c r="NJ56" i="2"/>
  <c r="NI63" i="2"/>
  <c r="NI61" i="2"/>
  <c r="NI59" i="2"/>
  <c r="NI60" i="2"/>
  <c r="NI64" i="2"/>
  <c r="NI62" i="2" l="1"/>
  <c r="NK56" i="2"/>
  <c r="NJ60" i="2"/>
  <c r="NJ64" i="2"/>
  <c r="NJ61" i="2"/>
  <c r="NJ63" i="2"/>
  <c r="NJ59" i="2"/>
  <c r="NJ62" i="2" l="1"/>
  <c r="NL56" i="2"/>
  <c r="NK63" i="2"/>
  <c r="NK64" i="2"/>
  <c r="NK59" i="2"/>
  <c r="NK60" i="2"/>
  <c r="NK61" i="2"/>
  <c r="NK62" i="2" l="1"/>
  <c r="NM56" i="2"/>
  <c r="NL63" i="2"/>
  <c r="NL59" i="2"/>
  <c r="NL61" i="2"/>
  <c r="NL60" i="2"/>
  <c r="NL64" i="2"/>
  <c r="NL62" i="2" l="1"/>
  <c r="NN56" i="2"/>
  <c r="NM61" i="2"/>
  <c r="NM64" i="2"/>
  <c r="NM60" i="2"/>
  <c r="NM63" i="2"/>
  <c r="NM59" i="2"/>
  <c r="NM62" i="2" l="1"/>
  <c r="NO56" i="2"/>
  <c r="NN60" i="2"/>
  <c r="NN64" i="2"/>
  <c r="NN59" i="2"/>
  <c r="NN61" i="2"/>
  <c r="NN63" i="2"/>
  <c r="NN62" i="2" l="1"/>
  <c r="NP56" i="2"/>
  <c r="NO64" i="2"/>
  <c r="NO59" i="2"/>
  <c r="NO63" i="2"/>
  <c r="NO60" i="2"/>
  <c r="NO61" i="2"/>
  <c r="NO62" i="2" l="1"/>
  <c r="NQ56" i="2"/>
  <c r="NP64" i="2"/>
  <c r="NP63" i="2"/>
  <c r="NP60" i="2"/>
  <c r="NP61" i="2"/>
  <c r="NP59" i="2"/>
  <c r="NP62" i="2" l="1"/>
  <c r="NR56" i="2"/>
  <c r="NQ63" i="2"/>
  <c r="NQ60" i="2"/>
  <c r="NQ61" i="2"/>
  <c r="NQ64" i="2"/>
  <c r="NQ59" i="2"/>
  <c r="NQ62" i="2" l="1"/>
  <c r="NS56" i="2"/>
  <c r="NR61" i="2"/>
  <c r="NR60" i="2"/>
  <c r="NR64" i="2"/>
  <c r="NR63" i="2"/>
  <c r="NR59" i="2"/>
  <c r="NR62" i="2" l="1"/>
  <c r="NT56" i="2"/>
  <c r="NS59" i="2"/>
  <c r="NS60" i="2"/>
  <c r="NS61" i="2"/>
  <c r="NS63" i="2"/>
  <c r="NS64" i="2"/>
  <c r="NS62" i="2" l="1"/>
  <c r="NU56" i="2"/>
  <c r="NT61" i="2"/>
  <c r="NT59" i="2"/>
  <c r="NT64" i="2"/>
  <c r="NT63" i="2"/>
  <c r="NT60" i="2"/>
  <c r="NT62" i="2" l="1"/>
  <c r="NV56" i="2"/>
  <c r="NU61" i="2"/>
  <c r="NU64" i="2"/>
  <c r="NU63" i="2"/>
  <c r="NU60" i="2"/>
  <c r="NU59" i="2"/>
  <c r="NU62" i="2" l="1"/>
  <c r="NW56" i="2"/>
  <c r="NV61" i="2"/>
  <c r="NV64" i="2"/>
  <c r="NV59" i="2"/>
  <c r="NV60" i="2"/>
  <c r="NV63" i="2"/>
  <c r="NV62" i="2" l="1"/>
  <c r="NX56" i="2"/>
  <c r="NW61" i="2"/>
  <c r="NW63" i="2"/>
  <c r="NW60" i="2"/>
  <c r="NW59" i="2"/>
  <c r="NW64" i="2"/>
  <c r="NW62" i="2" l="1"/>
  <c r="NY56" i="2"/>
  <c r="NX61" i="2"/>
  <c r="NX64" i="2"/>
  <c r="NX60" i="2"/>
  <c r="NX59" i="2"/>
  <c r="NX63" i="2"/>
  <c r="NX62" i="2" l="1"/>
  <c r="NZ56" i="2"/>
  <c r="NY60" i="2"/>
  <c r="NY64" i="2"/>
  <c r="NY61" i="2"/>
  <c r="NY63" i="2"/>
  <c r="NY59" i="2"/>
  <c r="NY62" i="2" l="1"/>
  <c r="OA56" i="2"/>
  <c r="NZ59" i="2"/>
  <c r="NZ60" i="2"/>
  <c r="NZ61" i="2"/>
  <c r="NZ64" i="2"/>
  <c r="NZ63" i="2"/>
  <c r="NZ62" i="2" l="1"/>
  <c r="OB56" i="2"/>
  <c r="OA63" i="2"/>
  <c r="OA64" i="2"/>
  <c r="OA61" i="2"/>
  <c r="OA60" i="2"/>
  <c r="OA59" i="2"/>
  <c r="OA62" i="2" l="1"/>
  <c r="OC56" i="2"/>
  <c r="OB63" i="2"/>
  <c r="OB60" i="2"/>
  <c r="OB59" i="2"/>
  <c r="OB61" i="2"/>
  <c r="OB64" i="2"/>
  <c r="OB62" i="2" l="1"/>
  <c r="OD56" i="2"/>
  <c r="OC60" i="2"/>
  <c r="OC64" i="2"/>
  <c r="OC63" i="2"/>
  <c r="OC61" i="2"/>
  <c r="OC59" i="2"/>
  <c r="OC62" i="2" l="1"/>
  <c r="OE56" i="2"/>
  <c r="OD63" i="2"/>
  <c r="OD60" i="2"/>
  <c r="OD59" i="2"/>
  <c r="OD61" i="2"/>
  <c r="OD64" i="2"/>
  <c r="OD62" i="2" l="1"/>
  <c r="OF56" i="2"/>
  <c r="OE61" i="2"/>
  <c r="OE63" i="2"/>
  <c r="OE60" i="2"/>
  <c r="OE59" i="2"/>
  <c r="OE64" i="2"/>
  <c r="OE62" i="2" l="1"/>
  <c r="OG56" i="2"/>
  <c r="OF59" i="2"/>
  <c r="OF63" i="2"/>
  <c r="OF61" i="2"/>
  <c r="OF60" i="2"/>
  <c r="OF64" i="2"/>
  <c r="OF62" i="2" l="1"/>
  <c r="OH56" i="2"/>
  <c r="OG61" i="2"/>
  <c r="OG60" i="2"/>
  <c r="OG64" i="2"/>
  <c r="OG59" i="2"/>
  <c r="OG63" i="2"/>
  <c r="OG62" i="2" l="1"/>
  <c r="OI56" i="2"/>
  <c r="OH64" i="2"/>
  <c r="OH61" i="2"/>
  <c r="OH59" i="2"/>
  <c r="OH60" i="2"/>
  <c r="OH63" i="2"/>
  <c r="OH62" i="2" l="1"/>
  <c r="OJ56" i="2"/>
  <c r="OI60" i="2"/>
  <c r="OI59" i="2"/>
  <c r="OI61" i="2"/>
  <c r="OI64" i="2"/>
  <c r="OI63" i="2"/>
  <c r="OI62" i="2" l="1"/>
  <c r="OK56" i="2"/>
  <c r="OJ60" i="2"/>
  <c r="OJ59" i="2"/>
  <c r="OJ63" i="2"/>
  <c r="OJ61" i="2"/>
  <c r="OJ64" i="2"/>
  <c r="OJ62" i="2" l="1"/>
  <c r="OL56" i="2"/>
  <c r="OK60" i="2"/>
  <c r="OK64" i="2"/>
  <c r="OK59" i="2"/>
  <c r="OK63" i="2"/>
  <c r="OK61" i="2"/>
  <c r="OK62" i="2" l="1"/>
  <c r="OM56" i="2"/>
  <c r="OL64" i="2"/>
  <c r="OL63" i="2"/>
  <c r="OL61" i="2"/>
  <c r="OL59" i="2"/>
  <c r="OL60" i="2"/>
  <c r="OL62" i="2" l="1"/>
  <c r="ON56" i="2"/>
  <c r="OM61" i="2"/>
  <c r="OM63" i="2"/>
  <c r="OM59" i="2"/>
  <c r="OM60" i="2"/>
  <c r="OM64" i="2"/>
  <c r="OM62" i="2" l="1"/>
  <c r="OO56" i="2"/>
  <c r="ON61" i="2"/>
  <c r="ON59" i="2"/>
  <c r="ON60" i="2"/>
  <c r="ON63" i="2"/>
  <c r="ON64" i="2"/>
  <c r="ON62" i="2" l="1"/>
  <c r="OP56" i="2"/>
  <c r="OO61" i="2"/>
  <c r="OO60" i="2"/>
  <c r="OO63" i="2"/>
  <c r="OO59" i="2"/>
  <c r="OO64" i="2"/>
  <c r="OO62" i="2" l="1"/>
  <c r="OQ56" i="2"/>
  <c r="OP63" i="2"/>
  <c r="OP59" i="2"/>
  <c r="OP64" i="2"/>
  <c r="OP60" i="2"/>
  <c r="OP61" i="2"/>
  <c r="OP62" i="2" l="1"/>
  <c r="OR56" i="2"/>
  <c r="OQ61" i="2"/>
  <c r="OQ63" i="2"/>
  <c r="OQ60" i="2"/>
  <c r="OQ64" i="2"/>
  <c r="OQ59" i="2"/>
  <c r="OQ62" i="2" l="1"/>
  <c r="OS56" i="2"/>
  <c r="OR63" i="2"/>
  <c r="OR59" i="2"/>
  <c r="OR61" i="2"/>
  <c r="OR60" i="2"/>
  <c r="OR64" i="2"/>
  <c r="OR62" i="2" l="1"/>
  <c r="OT56" i="2"/>
  <c r="OS64" i="2"/>
  <c r="OS60" i="2"/>
  <c r="OS63" i="2"/>
  <c r="OS59" i="2"/>
  <c r="OS61" i="2"/>
  <c r="OS62" i="2" l="1"/>
  <c r="OU56" i="2"/>
  <c r="OT64" i="2"/>
  <c r="OT63" i="2"/>
  <c r="OT60" i="2"/>
  <c r="OT61" i="2"/>
  <c r="OT59" i="2"/>
  <c r="OT62" i="2" l="1"/>
  <c r="OV56" i="2"/>
  <c r="OU61" i="2"/>
  <c r="OU64" i="2"/>
  <c r="OU63" i="2"/>
  <c r="OU60" i="2"/>
  <c r="OU59" i="2"/>
  <c r="OU62" i="2" l="1"/>
  <c r="OW56" i="2"/>
  <c r="OV59" i="2"/>
  <c r="OV60" i="2"/>
  <c r="OV63" i="2"/>
  <c r="OV64" i="2"/>
  <c r="OV61" i="2"/>
  <c r="OV62" i="2" l="1"/>
  <c r="OX56" i="2"/>
  <c r="OW64" i="2"/>
  <c r="OW63" i="2"/>
  <c r="OW61" i="2"/>
  <c r="OW59" i="2"/>
  <c r="OW60" i="2"/>
  <c r="OW62" i="2" l="1"/>
  <c r="OY56" i="2"/>
  <c r="OX64" i="2"/>
  <c r="OX63" i="2"/>
  <c r="OX61" i="2"/>
  <c r="OX59" i="2"/>
  <c r="OX60" i="2"/>
  <c r="OX62" i="2" l="1"/>
  <c r="OZ56" i="2"/>
  <c r="OY61" i="2"/>
  <c r="OY63" i="2"/>
  <c r="OY59" i="2"/>
  <c r="OY64" i="2"/>
  <c r="OY60" i="2"/>
  <c r="OY62" i="2" l="1"/>
  <c r="PA56" i="2"/>
  <c r="OZ64" i="2"/>
  <c r="OZ59" i="2"/>
  <c r="OZ60" i="2"/>
  <c r="OZ61" i="2"/>
  <c r="OZ63" i="2"/>
  <c r="OZ62" i="2" l="1"/>
  <c r="PB56" i="2"/>
  <c r="PA61" i="2"/>
  <c r="PA64" i="2"/>
  <c r="PA59" i="2"/>
  <c r="PA63" i="2"/>
  <c r="PA60" i="2"/>
  <c r="PA62" i="2" l="1"/>
  <c r="PC56" i="2"/>
  <c r="PB63" i="2"/>
  <c r="PB64" i="2"/>
  <c r="PB59" i="2"/>
  <c r="PB60" i="2"/>
  <c r="PB61" i="2"/>
  <c r="PB62" i="2" l="1"/>
  <c r="PD56" i="2"/>
  <c r="PC61" i="2"/>
  <c r="PC60" i="2"/>
  <c r="PC64" i="2"/>
  <c r="PC63" i="2"/>
  <c r="PC59" i="2"/>
  <c r="PC62" i="2" l="1"/>
  <c r="PE56" i="2"/>
  <c r="PD64" i="2"/>
  <c r="PD61" i="2"/>
  <c r="PD60" i="2"/>
  <c r="PD59" i="2"/>
  <c r="PD63" i="2"/>
  <c r="PD62" i="2" l="1"/>
  <c r="PF56" i="2"/>
  <c r="PE64" i="2"/>
  <c r="PE61" i="2"/>
  <c r="PE63" i="2"/>
  <c r="PE59" i="2"/>
  <c r="PE60" i="2"/>
  <c r="PE62" i="2" l="1"/>
  <c r="PG56" i="2"/>
  <c r="PF61" i="2"/>
  <c r="PF60" i="2"/>
  <c r="PF59" i="2"/>
  <c r="PF64" i="2"/>
  <c r="PF63" i="2"/>
  <c r="PF62" i="2" l="1"/>
  <c r="PH56" i="2"/>
  <c r="PG63" i="2"/>
  <c r="PG59" i="2"/>
  <c r="PG61" i="2"/>
  <c r="PG64" i="2"/>
  <c r="PG60" i="2"/>
  <c r="PG62" i="2" l="1"/>
  <c r="PI56" i="2"/>
  <c r="PH64" i="2"/>
  <c r="PH63" i="2"/>
  <c r="PH60" i="2"/>
  <c r="PH59" i="2"/>
  <c r="PH61" i="2"/>
  <c r="PH62" i="2" l="1"/>
  <c r="PJ56" i="2"/>
  <c r="PI63" i="2"/>
  <c r="PI59" i="2"/>
  <c r="PI60" i="2"/>
  <c r="PI61" i="2"/>
  <c r="PI64" i="2"/>
  <c r="PI62" i="2" l="1"/>
  <c r="PK56" i="2"/>
  <c r="PJ60" i="2"/>
  <c r="PJ61" i="2"/>
  <c r="PJ59" i="2"/>
  <c r="PJ63" i="2"/>
  <c r="PJ64" i="2"/>
  <c r="PJ62" i="2" l="1"/>
  <c r="PL56" i="2"/>
  <c r="PK61" i="2"/>
  <c r="PK64" i="2"/>
  <c r="PK63" i="2"/>
  <c r="PK60" i="2"/>
  <c r="PK59" i="2"/>
  <c r="PK62" i="2" l="1"/>
  <c r="PM56" i="2"/>
  <c r="PL59" i="2"/>
  <c r="PL63" i="2"/>
  <c r="PL61" i="2"/>
  <c r="PL60" i="2"/>
  <c r="PL64" i="2"/>
  <c r="PL62" i="2" l="1"/>
  <c r="PN56" i="2"/>
  <c r="PM59" i="2"/>
  <c r="PM60" i="2"/>
  <c r="PM64" i="2"/>
  <c r="PM63" i="2"/>
  <c r="PM61" i="2"/>
  <c r="PM62" i="2" l="1"/>
  <c r="PO56" i="2"/>
  <c r="PN63" i="2"/>
  <c r="PN61" i="2"/>
  <c r="PN59" i="2"/>
  <c r="PN64" i="2"/>
  <c r="PN60" i="2"/>
  <c r="PN62" i="2" l="1"/>
  <c r="PP56" i="2"/>
  <c r="PO60" i="2"/>
  <c r="PO61" i="2"/>
  <c r="PO63" i="2"/>
  <c r="PO59" i="2"/>
  <c r="PO64" i="2"/>
  <c r="PO62" i="2" l="1"/>
  <c r="PQ56" i="2"/>
  <c r="PP59" i="2"/>
  <c r="PP64" i="2"/>
  <c r="PP63" i="2"/>
  <c r="PP61" i="2"/>
  <c r="PP60" i="2"/>
  <c r="PP62" i="2" l="1"/>
  <c r="PR56" i="2"/>
  <c r="PQ63" i="2"/>
  <c r="PQ61" i="2"/>
  <c r="PQ60" i="2"/>
  <c r="PQ59" i="2"/>
  <c r="PQ64" i="2"/>
  <c r="PQ62" i="2" l="1"/>
  <c r="PS56" i="2"/>
  <c r="PR64" i="2"/>
  <c r="PR60" i="2"/>
  <c r="PR63" i="2"/>
  <c r="PR61" i="2"/>
  <c r="PR59" i="2"/>
  <c r="PR62" i="2" l="1"/>
  <c r="PT56" i="2"/>
  <c r="PS60" i="2"/>
  <c r="PS59" i="2"/>
  <c r="PS61" i="2"/>
  <c r="PS64" i="2"/>
  <c r="PS63" i="2"/>
  <c r="PS62" i="2" l="1"/>
  <c r="PU56" i="2"/>
  <c r="PT64" i="2"/>
  <c r="PT60" i="2"/>
  <c r="PT59" i="2"/>
  <c r="PT61" i="2"/>
  <c r="PT63" i="2"/>
  <c r="PT62" i="2" l="1"/>
  <c r="PV56" i="2"/>
  <c r="PU60" i="2"/>
  <c r="PU63" i="2"/>
  <c r="PU59" i="2"/>
  <c r="PU61" i="2"/>
  <c r="PU64" i="2"/>
  <c r="PU62" i="2" l="1"/>
  <c r="PW56" i="2"/>
  <c r="PV64" i="2"/>
  <c r="PV60" i="2"/>
  <c r="PV59" i="2"/>
  <c r="PV63" i="2"/>
  <c r="PV61" i="2"/>
  <c r="PV62" i="2" l="1"/>
  <c r="PX56" i="2"/>
  <c r="PW60" i="2"/>
  <c r="PW59" i="2"/>
  <c r="PW64" i="2"/>
  <c r="PW63" i="2"/>
  <c r="PW61" i="2"/>
  <c r="PW62" i="2" l="1"/>
  <c r="PY56" i="2"/>
  <c r="PX63" i="2"/>
  <c r="PX59" i="2"/>
  <c r="PX61" i="2"/>
  <c r="PX60" i="2"/>
  <c r="PX64" i="2"/>
  <c r="PX62" i="2" l="1"/>
  <c r="PZ56" i="2"/>
  <c r="PY63" i="2"/>
  <c r="PY64" i="2"/>
  <c r="PY61" i="2"/>
  <c r="PY59" i="2"/>
  <c r="PY60" i="2"/>
  <c r="PY62" i="2" l="1"/>
  <c r="QA56" i="2"/>
  <c r="PZ63" i="2"/>
  <c r="PZ60" i="2"/>
  <c r="PZ64" i="2"/>
  <c r="PZ61" i="2"/>
  <c r="PZ59" i="2"/>
  <c r="PZ62" i="2" l="1"/>
  <c r="QB56" i="2"/>
  <c r="QA59" i="2"/>
  <c r="QA63" i="2"/>
  <c r="QA64" i="2"/>
  <c r="QA60" i="2"/>
  <c r="QA61" i="2"/>
  <c r="QA62" i="2" l="1"/>
  <c r="QC56" i="2"/>
  <c r="QB61" i="2"/>
  <c r="QB60" i="2"/>
  <c r="QB64" i="2"/>
  <c r="QB59" i="2"/>
  <c r="QB63" i="2"/>
  <c r="QB62" i="2" l="1"/>
  <c r="QD56" i="2"/>
  <c r="QC64" i="2"/>
  <c r="QC60" i="2"/>
  <c r="QC61" i="2"/>
  <c r="QC59" i="2"/>
  <c r="QC63" i="2"/>
  <c r="QC62" i="2" l="1"/>
  <c r="QE56" i="2"/>
  <c r="QD60" i="2"/>
  <c r="QD59" i="2"/>
  <c r="QD63" i="2"/>
  <c r="QD61" i="2"/>
  <c r="QD64" i="2"/>
  <c r="QD62" i="2" l="1"/>
  <c r="QF56" i="2"/>
  <c r="QE60" i="2"/>
  <c r="QE64" i="2"/>
  <c r="QE63" i="2"/>
  <c r="QE59" i="2"/>
  <c r="QE61" i="2"/>
  <c r="QE62" i="2" l="1"/>
  <c r="QG56" i="2"/>
  <c r="QF64" i="2"/>
  <c r="QF63" i="2"/>
  <c r="QF59" i="2"/>
  <c r="QF60" i="2"/>
  <c r="QF61" i="2"/>
  <c r="QF62" i="2" l="1"/>
  <c r="QH56" i="2"/>
  <c r="QG59" i="2"/>
  <c r="QG64" i="2"/>
  <c r="QG63" i="2"/>
  <c r="QG61" i="2"/>
  <c r="QG60" i="2"/>
  <c r="QG62" i="2" l="1"/>
  <c r="QI56" i="2"/>
  <c r="QH60" i="2"/>
  <c r="QH61" i="2"/>
  <c r="QH59" i="2"/>
  <c r="QH64" i="2"/>
  <c r="QH63" i="2"/>
  <c r="QH62" i="2" l="1"/>
  <c r="QJ56" i="2"/>
  <c r="QI60" i="2"/>
  <c r="QI63" i="2"/>
  <c r="QI61" i="2"/>
  <c r="QI64" i="2"/>
  <c r="QI59" i="2"/>
  <c r="QI62" i="2" l="1"/>
  <c r="QK56" i="2"/>
  <c r="QJ59" i="2"/>
  <c r="QJ63" i="2"/>
  <c r="QJ64" i="2"/>
  <c r="QJ60" i="2"/>
  <c r="QJ61" i="2"/>
  <c r="QJ62" i="2" l="1"/>
  <c r="QL56" i="2"/>
  <c r="QK59" i="2"/>
  <c r="QK61" i="2"/>
  <c r="QK63" i="2"/>
  <c r="QK60" i="2"/>
  <c r="QK64" i="2"/>
  <c r="QK62" i="2" l="1"/>
  <c r="QM56" i="2"/>
  <c r="QL63" i="2"/>
  <c r="QL64" i="2"/>
  <c r="QL61" i="2"/>
  <c r="QL59" i="2"/>
  <c r="QL60" i="2"/>
  <c r="QL62" i="2" l="1"/>
  <c r="QN56" i="2"/>
  <c r="QM63" i="2"/>
  <c r="QM60" i="2"/>
  <c r="QM59" i="2"/>
  <c r="QM61" i="2"/>
  <c r="QM64" i="2"/>
  <c r="QM62" i="2" l="1"/>
  <c r="QO56" i="2"/>
  <c r="QN61" i="2"/>
  <c r="QN60" i="2"/>
  <c r="QN59" i="2"/>
  <c r="QN63" i="2"/>
  <c r="QN64" i="2"/>
  <c r="QN62" i="2" l="1"/>
  <c r="QP56" i="2"/>
  <c r="QO60" i="2"/>
  <c r="QO61" i="2"/>
  <c r="QO59" i="2"/>
  <c r="QO63" i="2"/>
  <c r="QO64" i="2"/>
  <c r="QO62" i="2" l="1"/>
  <c r="QQ56" i="2"/>
  <c r="QP61" i="2"/>
  <c r="QP59" i="2"/>
  <c r="QP64" i="2"/>
  <c r="QP60" i="2"/>
  <c r="QP63" i="2"/>
  <c r="QP62" i="2" l="1"/>
  <c r="QR56" i="2"/>
  <c r="QQ60" i="2"/>
  <c r="QQ59" i="2"/>
  <c r="QQ64" i="2"/>
  <c r="QQ63" i="2"/>
  <c r="QQ61" i="2"/>
  <c r="QQ62" i="2" l="1"/>
  <c r="QS56" i="2"/>
  <c r="QR59" i="2"/>
  <c r="QR60" i="2"/>
  <c r="QR63" i="2"/>
  <c r="QR61" i="2"/>
  <c r="QR64" i="2"/>
  <c r="QR62" i="2" l="1"/>
  <c r="QT56" i="2"/>
  <c r="QS60" i="2"/>
  <c r="QS59" i="2"/>
  <c r="QS61" i="2"/>
  <c r="QS63" i="2"/>
  <c r="QS64" i="2"/>
  <c r="QS62" i="2" l="1"/>
  <c r="QU56" i="2"/>
  <c r="QT64" i="2"/>
  <c r="QT61" i="2"/>
  <c r="QT60" i="2"/>
  <c r="QT59" i="2"/>
  <c r="QT63" i="2"/>
  <c r="QT62" i="2" l="1"/>
  <c r="QV56" i="2"/>
  <c r="QU61" i="2"/>
  <c r="QU63" i="2"/>
  <c r="QU59" i="2"/>
  <c r="QU60" i="2"/>
  <c r="QU64" i="2"/>
  <c r="QU62" i="2" l="1"/>
  <c r="QW56" i="2"/>
  <c r="QV60" i="2"/>
  <c r="QV64" i="2"/>
  <c r="QV59" i="2"/>
  <c r="QV61" i="2"/>
  <c r="QV63" i="2"/>
  <c r="QV62" i="2" l="1"/>
  <c r="QX56" i="2"/>
  <c r="QW61" i="2"/>
  <c r="QW63" i="2"/>
  <c r="QW60" i="2"/>
  <c r="QW59" i="2"/>
  <c r="QW64" i="2"/>
  <c r="QW62" i="2" l="1"/>
  <c r="QY56" i="2"/>
  <c r="QX64" i="2"/>
  <c r="QX63" i="2"/>
  <c r="QX61" i="2"/>
  <c r="QX60" i="2"/>
  <c r="QX59" i="2"/>
  <c r="QX62" i="2" l="1"/>
  <c r="QZ56" i="2"/>
  <c r="QY61" i="2"/>
  <c r="QY60" i="2"/>
  <c r="QY59" i="2"/>
  <c r="QY64" i="2"/>
  <c r="QY63" i="2"/>
  <c r="QY62" i="2" l="1"/>
  <c r="RA56" i="2"/>
  <c r="QZ64" i="2"/>
  <c r="QZ61" i="2"/>
  <c r="QZ60" i="2"/>
  <c r="QZ59" i="2"/>
  <c r="QZ63" i="2"/>
  <c r="RB56" i="2" l="1"/>
  <c r="DJ67" i="2" s="1"/>
  <c r="RB65" i="2"/>
  <c r="RC65" i="2" s="1"/>
  <c r="QZ62" i="2"/>
  <c r="RA63" i="2"/>
  <c r="RA60" i="2"/>
  <c r="RA59" i="2"/>
  <c r="RA61" i="2"/>
  <c r="RA64" i="2"/>
  <c r="RA62" i="2" l="1"/>
  <c r="DJ66" i="2"/>
  <c r="DK66" i="2" s="1"/>
  <c r="DL66" i="2" s="1"/>
  <c r="DM66" i="2" s="1"/>
  <c r="DN66" i="2" s="1"/>
  <c r="DO66" i="2" s="1"/>
  <c r="DP66" i="2" s="1"/>
  <c r="DQ66" i="2" s="1"/>
  <c r="DR66" i="2" s="1"/>
  <c r="DS66" i="2" s="1"/>
  <c r="DT66" i="2" s="1"/>
  <c r="DU66" i="2" s="1"/>
  <c r="DV66" i="2" s="1"/>
  <c r="DW66" i="2" s="1"/>
  <c r="DX66" i="2" s="1"/>
  <c r="DY66" i="2" s="1"/>
  <c r="DZ66" i="2" s="1"/>
  <c r="EA66" i="2" s="1"/>
  <c r="EB66" i="2" s="1"/>
  <c r="EC66" i="2" s="1"/>
  <c r="ED66" i="2" s="1"/>
  <c r="EE66" i="2" s="1"/>
  <c r="EF66" i="2" s="1"/>
  <c r="EG66" i="2" s="1"/>
  <c r="EH66" i="2" s="1"/>
  <c r="EI66" i="2" s="1"/>
  <c r="EJ66" i="2" s="1"/>
  <c r="EK66" i="2" s="1"/>
  <c r="EL66" i="2" s="1"/>
  <c r="EM66" i="2" s="1"/>
  <c r="EN66" i="2" s="1"/>
  <c r="EO66" i="2" s="1"/>
  <c r="EP66" i="2" s="1"/>
  <c r="EQ66" i="2" s="1"/>
  <c r="ER66" i="2" s="1"/>
  <c r="ES66" i="2" s="1"/>
  <c r="ET66" i="2" s="1"/>
  <c r="EU66" i="2" s="1"/>
  <c r="EV66" i="2" s="1"/>
  <c r="EW66" i="2" s="1"/>
  <c r="EX66" i="2" s="1"/>
  <c r="EY66" i="2" s="1"/>
  <c r="EZ66" i="2" s="1"/>
  <c r="FA66" i="2" s="1"/>
  <c r="FB66" i="2" s="1"/>
  <c r="FC66" i="2" s="1"/>
  <c r="FD66" i="2" s="1"/>
  <c r="FE66" i="2" s="1"/>
  <c r="FF66" i="2" s="1"/>
  <c r="FG66" i="2" s="1"/>
  <c r="FH66" i="2" s="1"/>
  <c r="FI66" i="2" s="1"/>
  <c r="FJ66" i="2" s="1"/>
  <c r="FK66" i="2" s="1"/>
  <c r="FL66" i="2" s="1"/>
  <c r="FM66" i="2" s="1"/>
  <c r="FN66" i="2" s="1"/>
  <c r="FO66" i="2" s="1"/>
  <c r="FP66" i="2" s="1"/>
  <c r="FQ66" i="2" s="1"/>
  <c r="FR66" i="2" s="1"/>
  <c r="FS66" i="2" s="1"/>
  <c r="FT66" i="2" s="1"/>
  <c r="FU66" i="2" s="1"/>
  <c r="FV66" i="2" s="1"/>
  <c r="FW66" i="2" s="1"/>
  <c r="FX66" i="2" s="1"/>
  <c r="FY66" i="2" s="1"/>
  <c r="FZ66" i="2" s="1"/>
  <c r="GA66" i="2" s="1"/>
  <c r="GB66" i="2" s="1"/>
  <c r="GC66" i="2" s="1"/>
  <c r="GD66" i="2" s="1"/>
  <c r="GE66" i="2" s="1"/>
  <c r="GF66" i="2" s="1"/>
  <c r="GG66" i="2" s="1"/>
  <c r="GH66" i="2" s="1"/>
  <c r="GI66" i="2" s="1"/>
  <c r="GJ66" i="2" s="1"/>
  <c r="GK66" i="2" s="1"/>
  <c r="GL66" i="2" s="1"/>
  <c r="GM66" i="2" s="1"/>
  <c r="GN66" i="2" s="1"/>
  <c r="GO66" i="2" s="1"/>
  <c r="GP66" i="2" s="1"/>
  <c r="GQ66" i="2" s="1"/>
  <c r="GR66" i="2" s="1"/>
  <c r="GS66" i="2" s="1"/>
  <c r="GT66" i="2" s="1"/>
  <c r="GU66" i="2" s="1"/>
  <c r="GV66" i="2" s="1"/>
  <c r="GW66" i="2" s="1"/>
  <c r="GX66" i="2" s="1"/>
  <c r="GY66" i="2" s="1"/>
  <c r="GZ66" i="2" s="1"/>
  <c r="HA66" i="2" s="1"/>
  <c r="HB66" i="2" s="1"/>
  <c r="HC66" i="2" s="1"/>
  <c r="HD66" i="2" s="1"/>
  <c r="HE66" i="2" s="1"/>
  <c r="HF66" i="2" s="1"/>
  <c r="HG66" i="2" s="1"/>
  <c r="HH66" i="2" s="1"/>
  <c r="HI66" i="2" s="1"/>
  <c r="HJ66" i="2" s="1"/>
  <c r="HK66" i="2" s="1"/>
  <c r="HL66" i="2" s="1"/>
  <c r="HM66" i="2" s="1"/>
  <c r="HN66" i="2" s="1"/>
  <c r="HO66" i="2" s="1"/>
  <c r="HP66" i="2" s="1"/>
  <c r="HQ66" i="2" s="1"/>
  <c r="HR66" i="2" s="1"/>
  <c r="HS66" i="2" s="1"/>
  <c r="HT66" i="2" s="1"/>
  <c r="HU66" i="2" s="1"/>
  <c r="HV66" i="2" s="1"/>
  <c r="HW66" i="2" s="1"/>
  <c r="HX66" i="2" s="1"/>
  <c r="HY66" i="2" s="1"/>
  <c r="HZ66" i="2" s="1"/>
  <c r="IA66" i="2" s="1"/>
  <c r="IB66" i="2" s="1"/>
  <c r="IC66" i="2" s="1"/>
  <c r="ID66" i="2" s="1"/>
  <c r="IE66" i="2" s="1"/>
  <c r="IF66" i="2" s="1"/>
  <c r="IG66" i="2" s="1"/>
  <c r="IH66" i="2" s="1"/>
  <c r="II66" i="2" s="1"/>
  <c r="IJ66" i="2" s="1"/>
  <c r="IK66" i="2" s="1"/>
  <c r="IL66" i="2" s="1"/>
  <c r="IM66" i="2" s="1"/>
  <c r="IN66" i="2" s="1"/>
  <c r="IO66" i="2" s="1"/>
  <c r="IP66" i="2" s="1"/>
  <c r="IQ66" i="2" s="1"/>
  <c r="IR66" i="2" s="1"/>
  <c r="IS66" i="2" s="1"/>
  <c r="IT66" i="2" s="1"/>
  <c r="IU66" i="2" s="1"/>
  <c r="IV66" i="2" s="1"/>
  <c r="IW66" i="2" s="1"/>
  <c r="IX66" i="2" s="1"/>
  <c r="IY66" i="2" s="1"/>
  <c r="IZ66" i="2" s="1"/>
  <c r="JA66" i="2" s="1"/>
  <c r="JB66" i="2" s="1"/>
  <c r="JC66" i="2" s="1"/>
  <c r="JD66" i="2" s="1"/>
  <c r="JE66" i="2" s="1"/>
  <c r="JF66" i="2" s="1"/>
  <c r="JG66" i="2" s="1"/>
  <c r="JH66" i="2" s="1"/>
  <c r="JI66" i="2" s="1"/>
  <c r="JJ66" i="2" s="1"/>
  <c r="JK66" i="2" s="1"/>
  <c r="JL66" i="2" s="1"/>
  <c r="JM66" i="2" s="1"/>
  <c r="JN66" i="2" s="1"/>
  <c r="JO66" i="2" s="1"/>
  <c r="JP66" i="2" s="1"/>
  <c r="JQ66" i="2" s="1"/>
  <c r="JR66" i="2" s="1"/>
  <c r="JS66" i="2" s="1"/>
  <c r="JT66" i="2" s="1"/>
  <c r="JU66" i="2" s="1"/>
  <c r="JV66" i="2" s="1"/>
  <c r="JW66" i="2" s="1"/>
  <c r="JX66" i="2" s="1"/>
  <c r="JY66" i="2" s="1"/>
  <c r="JZ66" i="2" s="1"/>
  <c r="KA66" i="2" s="1"/>
  <c r="KB66" i="2" s="1"/>
  <c r="KC66" i="2" s="1"/>
  <c r="KD66" i="2" s="1"/>
  <c r="KE66" i="2" s="1"/>
  <c r="KF66" i="2" s="1"/>
  <c r="KG66" i="2" s="1"/>
  <c r="KH66" i="2" s="1"/>
  <c r="KI66" i="2" s="1"/>
  <c r="KJ66" i="2" s="1"/>
  <c r="KK66" i="2" s="1"/>
  <c r="KL66" i="2" s="1"/>
  <c r="KM66" i="2" s="1"/>
  <c r="KN66" i="2" s="1"/>
  <c r="KO66" i="2" s="1"/>
  <c r="KP66" i="2" s="1"/>
  <c r="KQ66" i="2" s="1"/>
  <c r="KR66" i="2" s="1"/>
  <c r="KS66" i="2" s="1"/>
  <c r="KT66" i="2" s="1"/>
  <c r="KU66" i="2" s="1"/>
  <c r="KV66" i="2" s="1"/>
  <c r="KW66" i="2" s="1"/>
  <c r="KX66" i="2" s="1"/>
  <c r="KY66" i="2" s="1"/>
  <c r="KZ66" i="2" s="1"/>
  <c r="LA66" i="2" s="1"/>
  <c r="LB66" i="2" s="1"/>
  <c r="LC66" i="2" s="1"/>
  <c r="LD66" i="2" s="1"/>
  <c r="LE66" i="2" s="1"/>
  <c r="LF66" i="2" s="1"/>
  <c r="LG66" i="2" s="1"/>
  <c r="LH66" i="2" s="1"/>
  <c r="LI66" i="2" s="1"/>
  <c r="LJ66" i="2" s="1"/>
  <c r="LK66" i="2" s="1"/>
  <c r="LL66" i="2" s="1"/>
  <c r="LM66" i="2" s="1"/>
  <c r="LN66" i="2" s="1"/>
  <c r="LO66" i="2" s="1"/>
  <c r="LP66" i="2" s="1"/>
  <c r="LQ66" i="2" s="1"/>
  <c r="LR66" i="2" s="1"/>
  <c r="LS66" i="2" s="1"/>
  <c r="LT66" i="2" s="1"/>
  <c r="LU66" i="2" s="1"/>
  <c r="LV66" i="2" s="1"/>
  <c r="LW66" i="2" s="1"/>
  <c r="LX66" i="2" s="1"/>
  <c r="LY66" i="2" s="1"/>
  <c r="LZ66" i="2" s="1"/>
  <c r="MA66" i="2" s="1"/>
  <c r="MB66" i="2" s="1"/>
  <c r="MC66" i="2" s="1"/>
  <c r="MD66" i="2" s="1"/>
  <c r="ME66" i="2" s="1"/>
  <c r="MF66" i="2" s="1"/>
  <c r="MG66" i="2" s="1"/>
  <c r="MH66" i="2" s="1"/>
  <c r="MI66" i="2" s="1"/>
  <c r="MJ66" i="2" s="1"/>
  <c r="MK66" i="2" s="1"/>
  <c r="ML66" i="2" s="1"/>
  <c r="MM66" i="2" s="1"/>
  <c r="MN66" i="2" s="1"/>
  <c r="MO66" i="2" s="1"/>
  <c r="MP66" i="2" s="1"/>
  <c r="MQ66" i="2" s="1"/>
  <c r="MR66" i="2" s="1"/>
  <c r="MS66" i="2" s="1"/>
  <c r="MT66" i="2" s="1"/>
  <c r="MU66" i="2" s="1"/>
  <c r="MV66" i="2" s="1"/>
  <c r="MW66" i="2" s="1"/>
  <c r="MX66" i="2" s="1"/>
  <c r="MY66" i="2" s="1"/>
  <c r="MZ66" i="2" s="1"/>
  <c r="NA66" i="2" s="1"/>
  <c r="NB66" i="2" s="1"/>
  <c r="NC66" i="2" s="1"/>
  <c r="ND66" i="2" s="1"/>
  <c r="NE66" i="2" s="1"/>
  <c r="NF66" i="2" s="1"/>
  <c r="NG66" i="2" s="1"/>
  <c r="NH66" i="2" s="1"/>
  <c r="NI66" i="2" s="1"/>
  <c r="NJ66" i="2" s="1"/>
  <c r="NK66" i="2" s="1"/>
  <c r="NL66" i="2" s="1"/>
  <c r="NM66" i="2" s="1"/>
  <c r="NN66" i="2" s="1"/>
  <c r="NO66" i="2" s="1"/>
  <c r="NP66" i="2" s="1"/>
  <c r="NQ66" i="2" s="1"/>
  <c r="NR66" i="2" s="1"/>
  <c r="NS66" i="2" s="1"/>
  <c r="NT66" i="2" s="1"/>
  <c r="NU66" i="2" s="1"/>
  <c r="NV66" i="2" s="1"/>
  <c r="NW66" i="2" s="1"/>
  <c r="NX66" i="2" s="1"/>
  <c r="NY66" i="2" s="1"/>
  <c r="NZ66" i="2" s="1"/>
  <c r="OA66" i="2" s="1"/>
  <c r="OB66" i="2" s="1"/>
  <c r="OC66" i="2" s="1"/>
  <c r="OD66" i="2" s="1"/>
  <c r="OE66" i="2" s="1"/>
  <c r="OF66" i="2" s="1"/>
  <c r="OG66" i="2" s="1"/>
  <c r="OH66" i="2" s="1"/>
  <c r="OI66" i="2" s="1"/>
  <c r="OJ66" i="2" s="1"/>
  <c r="OK66" i="2" s="1"/>
  <c r="OL66" i="2" s="1"/>
  <c r="OM66" i="2" s="1"/>
  <c r="ON66" i="2" s="1"/>
  <c r="OO66" i="2" s="1"/>
  <c r="OP66" i="2" s="1"/>
  <c r="OQ66" i="2" s="1"/>
  <c r="OR66" i="2" s="1"/>
  <c r="OS66" i="2" s="1"/>
  <c r="OT66" i="2" s="1"/>
  <c r="OU66" i="2" s="1"/>
  <c r="OV66" i="2" s="1"/>
  <c r="OW66" i="2" s="1"/>
  <c r="OX66" i="2" s="1"/>
  <c r="OY66" i="2" s="1"/>
  <c r="OZ66" i="2" s="1"/>
  <c r="PA66" i="2" s="1"/>
  <c r="PB66" i="2" s="1"/>
  <c r="PC66" i="2" s="1"/>
  <c r="PD66" i="2" s="1"/>
  <c r="PE66" i="2" s="1"/>
  <c r="PF66" i="2" s="1"/>
  <c r="PG66" i="2" s="1"/>
  <c r="PH66" i="2" s="1"/>
  <c r="PI66" i="2" s="1"/>
  <c r="PJ66" i="2" s="1"/>
  <c r="PK66" i="2" s="1"/>
  <c r="PL66" i="2" s="1"/>
  <c r="PM66" i="2" s="1"/>
  <c r="PN66" i="2" s="1"/>
  <c r="PO66" i="2" s="1"/>
  <c r="PP66" i="2" s="1"/>
  <c r="PQ66" i="2" s="1"/>
  <c r="PR66" i="2" s="1"/>
  <c r="PS66" i="2" s="1"/>
  <c r="PT66" i="2" s="1"/>
  <c r="PU66" i="2" s="1"/>
  <c r="PV66" i="2" s="1"/>
  <c r="PW66" i="2" s="1"/>
  <c r="PX66" i="2" s="1"/>
  <c r="PY66" i="2" s="1"/>
  <c r="PZ66" i="2" s="1"/>
  <c r="QA66" i="2" s="1"/>
  <c r="QB66" i="2" s="1"/>
  <c r="QC66" i="2" s="1"/>
  <c r="QD66" i="2" s="1"/>
  <c r="QE66" i="2" s="1"/>
  <c r="QF66" i="2" s="1"/>
  <c r="QG66" i="2" s="1"/>
  <c r="QH66" i="2" s="1"/>
  <c r="QI66" i="2" s="1"/>
  <c r="QJ66" i="2" s="1"/>
  <c r="QK66" i="2" s="1"/>
  <c r="QL66" i="2" s="1"/>
  <c r="QM66" i="2" s="1"/>
  <c r="QN66" i="2" s="1"/>
  <c r="QO66" i="2" s="1"/>
  <c r="QP66" i="2" s="1"/>
  <c r="QQ66" i="2" s="1"/>
  <c r="QR66" i="2" s="1"/>
  <c r="QS66" i="2" s="1"/>
  <c r="QT66" i="2" s="1"/>
  <c r="QU66" i="2" s="1"/>
  <c r="QV66" i="2" s="1"/>
  <c r="QW66" i="2" s="1"/>
  <c r="QX66" i="2" s="1"/>
  <c r="QY66" i="2" s="1"/>
  <c r="QZ66" i="2" s="1"/>
  <c r="DK67" i="2"/>
  <c r="DJ71" i="2"/>
  <c r="DJ75" i="2"/>
  <c r="DJ74" i="2"/>
  <c r="DJ70" i="2"/>
  <c r="DJ72" i="2"/>
  <c r="DJ73" i="2" l="1"/>
  <c r="DL67" i="2"/>
  <c r="DK75" i="2"/>
  <c r="DK71" i="2"/>
  <c r="DK74" i="2"/>
  <c r="DK70" i="2"/>
  <c r="DK72" i="2"/>
  <c r="DK73" i="2" l="1"/>
  <c r="DM67" i="2"/>
  <c r="DL70" i="2"/>
  <c r="DL75" i="2"/>
  <c r="DL72" i="2"/>
  <c r="DL71" i="2"/>
  <c r="DL74" i="2"/>
  <c r="DL73" i="2" l="1"/>
  <c r="DN67" i="2"/>
  <c r="DM71" i="2"/>
  <c r="DM74" i="2"/>
  <c r="DM70" i="2"/>
  <c r="DM72" i="2"/>
  <c r="DM75" i="2"/>
  <c r="DM73" i="2" l="1"/>
  <c r="DO67" i="2"/>
  <c r="DN72" i="2"/>
  <c r="DN71" i="2"/>
  <c r="DN75" i="2"/>
  <c r="DN70" i="2"/>
  <c r="DN74" i="2"/>
  <c r="DN73" i="2" l="1"/>
  <c r="DP67" i="2"/>
  <c r="DO75" i="2"/>
  <c r="DO71" i="2"/>
  <c r="DO74" i="2"/>
  <c r="DO70" i="2"/>
  <c r="DO72" i="2"/>
  <c r="DO73" i="2" l="1"/>
  <c r="DQ67" i="2"/>
  <c r="DP71" i="2"/>
  <c r="DP70" i="2"/>
  <c r="DP72" i="2"/>
  <c r="DP75" i="2"/>
  <c r="DP74" i="2"/>
  <c r="DP73" i="2" l="1"/>
  <c r="DR67" i="2"/>
  <c r="DQ72" i="2"/>
  <c r="DQ75" i="2"/>
  <c r="DQ74" i="2"/>
  <c r="DQ70" i="2"/>
  <c r="DQ71" i="2"/>
  <c r="DQ73" i="2" l="1"/>
  <c r="DS67" i="2"/>
  <c r="DR71" i="2"/>
  <c r="DR74" i="2"/>
  <c r="DR70" i="2"/>
  <c r="DR75" i="2"/>
  <c r="DR72" i="2"/>
  <c r="DR73" i="2" l="1"/>
  <c r="DT67" i="2"/>
  <c r="DS70" i="2"/>
  <c r="DS74" i="2"/>
  <c r="DS71" i="2"/>
  <c r="DS72" i="2"/>
  <c r="DS75" i="2"/>
  <c r="DS73" i="2" l="1"/>
  <c r="DU67" i="2"/>
  <c r="DT75" i="2"/>
  <c r="DT71" i="2"/>
  <c r="DT72" i="2"/>
  <c r="DT70" i="2"/>
  <c r="DT74" i="2"/>
  <c r="DT73" i="2" l="1"/>
  <c r="DV67" i="2"/>
  <c r="DU74" i="2"/>
  <c r="DU70" i="2"/>
  <c r="DU71" i="2"/>
  <c r="DU72" i="2"/>
  <c r="DU75" i="2"/>
  <c r="DU73" i="2" l="1"/>
  <c r="DW67" i="2"/>
  <c r="DV70" i="2"/>
  <c r="DV74" i="2"/>
  <c r="DV71" i="2"/>
  <c r="DV75" i="2"/>
  <c r="DV72" i="2"/>
  <c r="DV73" i="2" l="1"/>
  <c r="DX67" i="2"/>
  <c r="DW70" i="2"/>
  <c r="DW72" i="2"/>
  <c r="DW75" i="2"/>
  <c r="DW71" i="2"/>
  <c r="DW74" i="2"/>
  <c r="DW73" i="2" l="1"/>
  <c r="DY67" i="2"/>
  <c r="DX74" i="2"/>
  <c r="DX70" i="2"/>
  <c r="DX71" i="2"/>
  <c r="DX75" i="2"/>
  <c r="DX72" i="2"/>
  <c r="DX73" i="2" l="1"/>
  <c r="DZ67" i="2"/>
  <c r="DY74" i="2"/>
  <c r="DY72" i="2"/>
  <c r="DY75" i="2"/>
  <c r="DY71" i="2"/>
  <c r="DY70" i="2"/>
  <c r="DY73" i="2" l="1"/>
  <c r="EA67" i="2"/>
  <c r="DZ70" i="2"/>
  <c r="DZ75" i="2"/>
  <c r="DZ72" i="2"/>
  <c r="DZ74" i="2"/>
  <c r="DZ71" i="2"/>
  <c r="DZ73" i="2" l="1"/>
  <c r="EB67" i="2"/>
  <c r="EA71" i="2"/>
  <c r="EA75" i="2"/>
  <c r="EA70" i="2"/>
  <c r="EA74" i="2"/>
  <c r="EA72" i="2"/>
  <c r="EA73" i="2" l="1"/>
  <c r="EC67" i="2"/>
  <c r="EB74" i="2"/>
  <c r="EB71" i="2"/>
  <c r="EB70" i="2"/>
  <c r="EB72" i="2"/>
  <c r="EB75" i="2"/>
  <c r="EB73" i="2" l="1"/>
  <c r="ED67" i="2"/>
  <c r="EC70" i="2"/>
  <c r="EC72" i="2"/>
  <c r="EC75" i="2"/>
  <c r="EC71" i="2"/>
  <c r="EC74" i="2"/>
  <c r="EC73" i="2" l="1"/>
  <c r="EE67" i="2"/>
  <c r="ED72" i="2"/>
  <c r="ED74" i="2"/>
  <c r="ED71" i="2"/>
  <c r="ED75" i="2"/>
  <c r="ED70" i="2"/>
  <c r="ED73" i="2" l="1"/>
  <c r="EF67" i="2"/>
  <c r="EE75" i="2"/>
  <c r="EE70" i="2"/>
  <c r="EE72" i="2"/>
  <c r="EE71" i="2"/>
  <c r="EE74" i="2"/>
  <c r="EE73" i="2" l="1"/>
  <c r="EG67" i="2"/>
  <c r="EF70" i="2"/>
  <c r="EF71" i="2"/>
  <c r="EF74" i="2"/>
  <c r="EF72" i="2"/>
  <c r="EF75" i="2"/>
  <c r="EF73" i="2" l="1"/>
  <c r="EH67" i="2"/>
  <c r="EG75" i="2"/>
  <c r="EG70" i="2"/>
  <c r="EG72" i="2"/>
  <c r="EG71" i="2"/>
  <c r="EG74" i="2"/>
  <c r="EG73" i="2" l="1"/>
  <c r="EI67" i="2"/>
  <c r="EH75" i="2"/>
  <c r="EH71" i="2"/>
  <c r="EH74" i="2"/>
  <c r="EH70" i="2"/>
  <c r="EH72" i="2"/>
  <c r="EH73" i="2" l="1"/>
  <c r="EJ67" i="2"/>
  <c r="EI71" i="2"/>
  <c r="EI72" i="2"/>
  <c r="EI70" i="2"/>
  <c r="EI74" i="2"/>
  <c r="EI75" i="2"/>
  <c r="EI73" i="2" l="1"/>
  <c r="EK67" i="2"/>
  <c r="EJ72" i="2"/>
  <c r="EJ71" i="2"/>
  <c r="EJ75" i="2"/>
  <c r="EJ70" i="2"/>
  <c r="EJ74" i="2"/>
  <c r="EJ73" i="2" l="1"/>
  <c r="EL67" i="2"/>
  <c r="EK70" i="2"/>
  <c r="EK72" i="2"/>
  <c r="EK75" i="2"/>
  <c r="EK71" i="2"/>
  <c r="EK74" i="2"/>
  <c r="EK73" i="2" l="1"/>
  <c r="EM67" i="2"/>
  <c r="EL72" i="2"/>
  <c r="EL74" i="2"/>
  <c r="EL71" i="2"/>
  <c r="EL70" i="2"/>
  <c r="EL75" i="2"/>
  <c r="EL73" i="2" l="1"/>
  <c r="EN67" i="2"/>
  <c r="EM74" i="2"/>
  <c r="EM72" i="2"/>
  <c r="EM71" i="2"/>
  <c r="EM70" i="2"/>
  <c r="EM75" i="2"/>
  <c r="EM73" i="2" l="1"/>
  <c r="EO67" i="2"/>
  <c r="EN72" i="2"/>
  <c r="EN71" i="2"/>
  <c r="EN75" i="2"/>
  <c r="EN74" i="2"/>
  <c r="EN70" i="2"/>
  <c r="EN73" i="2" l="1"/>
  <c r="EP67" i="2"/>
  <c r="EO71" i="2"/>
  <c r="EO72" i="2"/>
  <c r="EO74" i="2"/>
  <c r="EO70" i="2"/>
  <c r="EO75" i="2"/>
  <c r="EO73" i="2" l="1"/>
  <c r="EQ67" i="2"/>
  <c r="EP75" i="2"/>
  <c r="EP70" i="2"/>
  <c r="EP72" i="2"/>
  <c r="EP74" i="2"/>
  <c r="EP71" i="2"/>
  <c r="EP73" i="2" l="1"/>
  <c r="ER67" i="2"/>
  <c r="EQ71" i="2"/>
  <c r="EQ74" i="2"/>
  <c r="EQ72" i="2"/>
  <c r="EQ75" i="2"/>
  <c r="EQ70" i="2"/>
  <c r="EQ73" i="2" l="1"/>
  <c r="ES67" i="2"/>
  <c r="ER71" i="2"/>
  <c r="ER75" i="2"/>
  <c r="ER70" i="2"/>
  <c r="ER72" i="2"/>
  <c r="ER74" i="2"/>
  <c r="ER73" i="2" l="1"/>
  <c r="ET67" i="2"/>
  <c r="ES72" i="2"/>
  <c r="ES74" i="2"/>
  <c r="ES71" i="2"/>
  <c r="ES70" i="2"/>
  <c r="ES75" i="2"/>
  <c r="ES73" i="2" l="1"/>
  <c r="EU67" i="2"/>
  <c r="ET71" i="2"/>
  <c r="ET70" i="2"/>
  <c r="ET72" i="2"/>
  <c r="ET75" i="2"/>
  <c r="ET74" i="2"/>
  <c r="ET73" i="2" l="1"/>
  <c r="EV67" i="2"/>
  <c r="EU71" i="2"/>
  <c r="EU72" i="2"/>
  <c r="EU74" i="2"/>
  <c r="EU75" i="2"/>
  <c r="EU70" i="2"/>
  <c r="EU73" i="2" l="1"/>
  <c r="EW67" i="2"/>
  <c r="EV72" i="2"/>
  <c r="EV70" i="2"/>
  <c r="EV74" i="2"/>
  <c r="EV75" i="2"/>
  <c r="EV71" i="2"/>
  <c r="EV73" i="2" l="1"/>
  <c r="EX67" i="2"/>
  <c r="EW74" i="2"/>
  <c r="EW72" i="2"/>
  <c r="EW71" i="2"/>
  <c r="EW75" i="2"/>
  <c r="EW70" i="2"/>
  <c r="EW73" i="2" l="1"/>
  <c r="EY67" i="2"/>
  <c r="EX75" i="2"/>
  <c r="EX72" i="2"/>
  <c r="EX70" i="2"/>
  <c r="EX71" i="2"/>
  <c r="EX74" i="2"/>
  <c r="EX73" i="2" l="1"/>
  <c r="EZ67" i="2"/>
  <c r="EY71" i="2"/>
  <c r="EY70" i="2"/>
  <c r="EY72" i="2"/>
  <c r="EY75" i="2"/>
  <c r="EY74" i="2"/>
  <c r="EY73" i="2" l="1"/>
  <c r="FA67" i="2"/>
  <c r="EZ71" i="2"/>
  <c r="EZ70" i="2"/>
  <c r="EZ72" i="2"/>
  <c r="EZ74" i="2"/>
  <c r="EZ75" i="2"/>
  <c r="EZ73" i="2" l="1"/>
  <c r="FB67" i="2"/>
  <c r="FA74" i="2"/>
  <c r="FA72" i="2"/>
  <c r="FA75" i="2"/>
  <c r="FA70" i="2"/>
  <c r="FA71" i="2"/>
  <c r="FA73" i="2" l="1"/>
  <c r="FC67" i="2"/>
  <c r="FB72" i="2"/>
  <c r="FB75" i="2"/>
  <c r="FB71" i="2"/>
  <c r="FB70" i="2"/>
  <c r="FB74" i="2"/>
  <c r="FB73" i="2" l="1"/>
  <c r="FD67" i="2"/>
  <c r="FC75" i="2"/>
  <c r="FC72" i="2"/>
  <c r="FC71" i="2"/>
  <c r="FC74" i="2"/>
  <c r="FC70" i="2"/>
  <c r="FC73" i="2" l="1"/>
  <c r="FE67" i="2"/>
  <c r="FD72" i="2"/>
  <c r="FD75" i="2"/>
  <c r="FD71" i="2"/>
  <c r="FD74" i="2"/>
  <c r="FD70" i="2"/>
  <c r="FD73" i="2" l="1"/>
  <c r="FF67" i="2"/>
  <c r="FE71" i="2"/>
  <c r="FE70" i="2"/>
  <c r="FE75" i="2"/>
  <c r="FE72" i="2"/>
  <c r="FE74" i="2"/>
  <c r="FE73" i="2" l="1"/>
  <c r="FG67" i="2"/>
  <c r="FF74" i="2"/>
  <c r="FF72" i="2"/>
  <c r="FF70" i="2"/>
  <c r="FF75" i="2"/>
  <c r="FF71" i="2"/>
  <c r="FF73" i="2" l="1"/>
  <c r="FH67" i="2"/>
  <c r="FG70" i="2"/>
  <c r="FG71" i="2"/>
  <c r="FG74" i="2"/>
  <c r="FG72" i="2"/>
  <c r="FG75" i="2"/>
  <c r="FG73" i="2" l="1"/>
  <c r="FI67" i="2"/>
  <c r="FH72" i="2"/>
  <c r="FH74" i="2"/>
  <c r="FH70" i="2"/>
  <c r="FH71" i="2"/>
  <c r="FH75" i="2"/>
  <c r="FH73" i="2" l="1"/>
  <c r="FJ67" i="2"/>
  <c r="FI75" i="2"/>
  <c r="FI70" i="2"/>
  <c r="FI74" i="2"/>
  <c r="FI71" i="2"/>
  <c r="FI72" i="2"/>
  <c r="FI73" i="2" l="1"/>
  <c r="FK67" i="2"/>
  <c r="FJ75" i="2"/>
  <c r="FJ72" i="2"/>
  <c r="FJ71" i="2"/>
  <c r="FJ74" i="2"/>
  <c r="FJ70" i="2"/>
  <c r="FJ73" i="2" l="1"/>
  <c r="FL67" i="2"/>
  <c r="FK70" i="2"/>
  <c r="FK74" i="2"/>
  <c r="FK71" i="2"/>
  <c r="FK75" i="2"/>
  <c r="FK72" i="2"/>
  <c r="FK73" i="2" l="1"/>
  <c r="FM67" i="2"/>
  <c r="FL75" i="2"/>
  <c r="FL72" i="2"/>
  <c r="FL70" i="2"/>
  <c r="FL74" i="2"/>
  <c r="FL71" i="2"/>
  <c r="FL73" i="2" l="1"/>
  <c r="FN67" i="2"/>
  <c r="FM72" i="2"/>
  <c r="FM70" i="2"/>
  <c r="FM71" i="2"/>
  <c r="FM75" i="2"/>
  <c r="FM74" i="2"/>
  <c r="FM73" i="2" l="1"/>
  <c r="FO67" i="2"/>
  <c r="FN72" i="2"/>
  <c r="FN71" i="2"/>
  <c r="FN75" i="2"/>
  <c r="FN70" i="2"/>
  <c r="FN74" i="2"/>
  <c r="FN73" i="2" l="1"/>
  <c r="FP67" i="2"/>
  <c r="FO70" i="2"/>
  <c r="FO74" i="2"/>
  <c r="FO75" i="2"/>
  <c r="FO72" i="2"/>
  <c r="FO71" i="2"/>
  <c r="FO73" i="2" l="1"/>
  <c r="FQ67" i="2"/>
  <c r="FP75" i="2"/>
  <c r="FP70" i="2"/>
  <c r="FP74" i="2"/>
  <c r="FP71" i="2"/>
  <c r="FP72" i="2"/>
  <c r="FP73" i="2" l="1"/>
  <c r="FR67" i="2"/>
  <c r="FQ72" i="2"/>
  <c r="FQ70" i="2"/>
  <c r="FQ71" i="2"/>
  <c r="FQ75" i="2"/>
  <c r="FQ74" i="2"/>
  <c r="FQ73" i="2" l="1"/>
  <c r="FS67" i="2"/>
  <c r="FR72" i="2"/>
  <c r="FR71" i="2"/>
  <c r="FR74" i="2"/>
  <c r="FR75" i="2"/>
  <c r="FR70" i="2"/>
  <c r="FR73" i="2" l="1"/>
  <c r="FT67" i="2"/>
  <c r="FS72" i="2"/>
  <c r="FS71" i="2"/>
  <c r="FS75" i="2"/>
  <c r="FS70" i="2"/>
  <c r="FS74" i="2"/>
  <c r="FS73" i="2" l="1"/>
  <c r="FU67" i="2"/>
  <c r="FT74" i="2"/>
  <c r="FT72" i="2"/>
  <c r="FT70" i="2"/>
  <c r="FT75" i="2"/>
  <c r="FT71" i="2"/>
  <c r="FT73" i="2" l="1"/>
  <c r="FV67" i="2"/>
  <c r="FU71" i="2"/>
  <c r="FU75" i="2"/>
  <c r="FU72" i="2"/>
  <c r="FU70" i="2"/>
  <c r="FU74" i="2"/>
  <c r="FU73" i="2" l="1"/>
  <c r="FW67" i="2"/>
  <c r="FV75" i="2"/>
  <c r="FV74" i="2"/>
  <c r="FV70" i="2"/>
  <c r="FV72" i="2"/>
  <c r="FV71" i="2"/>
  <c r="FV73" i="2" l="1"/>
  <c r="FX67" i="2"/>
  <c r="FW74" i="2"/>
  <c r="FW75" i="2"/>
  <c r="FW72" i="2"/>
  <c r="FW71" i="2"/>
  <c r="FW70" i="2"/>
  <c r="FW73" i="2" l="1"/>
  <c r="FY67" i="2"/>
  <c r="FX70" i="2"/>
  <c r="FX72" i="2"/>
  <c r="FX75" i="2"/>
  <c r="FX71" i="2"/>
  <c r="FX74" i="2"/>
  <c r="FX73" i="2" l="1"/>
  <c r="FZ67" i="2"/>
  <c r="FY72" i="2"/>
  <c r="FY71" i="2"/>
  <c r="FY74" i="2"/>
  <c r="FY75" i="2"/>
  <c r="FY70" i="2"/>
  <c r="FY73" i="2" l="1"/>
  <c r="GA67" i="2"/>
  <c r="FZ70" i="2"/>
  <c r="FZ74" i="2"/>
  <c r="FZ71" i="2"/>
  <c r="FZ75" i="2"/>
  <c r="FZ72" i="2"/>
  <c r="FZ73" i="2" l="1"/>
  <c r="GB67" i="2"/>
  <c r="GA72" i="2"/>
  <c r="GA75" i="2"/>
  <c r="GA70" i="2"/>
  <c r="GA74" i="2"/>
  <c r="GA71" i="2"/>
  <c r="GA73" i="2" l="1"/>
  <c r="GC67" i="2"/>
  <c r="GB72" i="2"/>
  <c r="GB71" i="2"/>
  <c r="GB75" i="2"/>
  <c r="GB74" i="2"/>
  <c r="GB70" i="2"/>
  <c r="GB73" i="2" l="1"/>
  <c r="GD67" i="2"/>
  <c r="GC75" i="2"/>
  <c r="GC72" i="2"/>
  <c r="GC70" i="2"/>
  <c r="GC74" i="2"/>
  <c r="GC71" i="2"/>
  <c r="GC73" i="2" l="1"/>
  <c r="GE67" i="2"/>
  <c r="GD71" i="2"/>
  <c r="GD70" i="2"/>
  <c r="GD72" i="2"/>
  <c r="GD75" i="2"/>
  <c r="GD74" i="2"/>
  <c r="GD73" i="2" l="1"/>
  <c r="GF67" i="2"/>
  <c r="GE71" i="2"/>
  <c r="GE72" i="2"/>
  <c r="GE75" i="2"/>
  <c r="GE70" i="2"/>
  <c r="GE74" i="2"/>
  <c r="GE73" i="2" l="1"/>
  <c r="GG67" i="2"/>
  <c r="GF75" i="2"/>
  <c r="GF74" i="2"/>
  <c r="GF71" i="2"/>
  <c r="GF70" i="2"/>
  <c r="GF72" i="2"/>
  <c r="GF73" i="2" l="1"/>
  <c r="GH67" i="2"/>
  <c r="GG71" i="2"/>
  <c r="GG72" i="2"/>
  <c r="GG70" i="2"/>
  <c r="GG74" i="2"/>
  <c r="GG75" i="2"/>
  <c r="GG73" i="2" l="1"/>
  <c r="GI67" i="2"/>
  <c r="GH71" i="2"/>
  <c r="GH75" i="2"/>
  <c r="GH72" i="2"/>
  <c r="GH74" i="2"/>
  <c r="GH70" i="2"/>
  <c r="GH73" i="2" l="1"/>
  <c r="GJ67" i="2"/>
  <c r="GI70" i="2"/>
  <c r="GI74" i="2"/>
  <c r="GI72" i="2"/>
  <c r="GI71" i="2"/>
  <c r="GI75" i="2"/>
  <c r="GI73" i="2" l="1"/>
  <c r="GK67" i="2"/>
  <c r="GJ74" i="2"/>
  <c r="GJ72" i="2"/>
  <c r="GJ70" i="2"/>
  <c r="GJ71" i="2"/>
  <c r="GJ75" i="2"/>
  <c r="GJ73" i="2" l="1"/>
  <c r="GL67" i="2"/>
  <c r="GK74" i="2"/>
  <c r="GK70" i="2"/>
  <c r="GK72" i="2"/>
  <c r="GK71" i="2"/>
  <c r="GK75" i="2"/>
  <c r="GK73" i="2" l="1"/>
  <c r="GM67" i="2"/>
  <c r="GL70" i="2"/>
  <c r="GL74" i="2"/>
  <c r="GL75" i="2"/>
  <c r="GL72" i="2"/>
  <c r="GL71" i="2"/>
  <c r="GL73" i="2" l="1"/>
  <c r="GN67" i="2"/>
  <c r="GM72" i="2"/>
  <c r="GM70" i="2"/>
  <c r="GM75" i="2"/>
  <c r="GM71" i="2"/>
  <c r="GM74" i="2"/>
  <c r="GM73" i="2" l="1"/>
  <c r="GO67" i="2"/>
  <c r="GN70" i="2"/>
  <c r="GN74" i="2"/>
  <c r="GN72" i="2"/>
  <c r="GN71" i="2"/>
  <c r="GN75" i="2"/>
  <c r="GN73" i="2" l="1"/>
  <c r="GP67" i="2"/>
  <c r="GO71" i="2"/>
  <c r="GO74" i="2"/>
  <c r="GO70" i="2"/>
  <c r="GO75" i="2"/>
  <c r="GO72" i="2"/>
  <c r="GO73" i="2" l="1"/>
  <c r="GQ67" i="2"/>
  <c r="GP75" i="2"/>
  <c r="GP70" i="2"/>
  <c r="GP71" i="2"/>
  <c r="GP74" i="2"/>
  <c r="GP72" i="2"/>
  <c r="GP73" i="2" l="1"/>
  <c r="GR67" i="2"/>
  <c r="GQ75" i="2"/>
  <c r="GQ70" i="2"/>
  <c r="GQ72" i="2"/>
  <c r="GQ71" i="2"/>
  <c r="GQ74" i="2"/>
  <c r="GQ73" i="2" l="1"/>
  <c r="GS67" i="2"/>
  <c r="GR71" i="2"/>
  <c r="GR75" i="2"/>
  <c r="GR70" i="2"/>
  <c r="GR74" i="2"/>
  <c r="GR72" i="2"/>
  <c r="GR73" i="2" l="1"/>
  <c r="GT67" i="2"/>
  <c r="GS75" i="2"/>
  <c r="GS72" i="2"/>
  <c r="GS71" i="2"/>
  <c r="GS74" i="2"/>
  <c r="GS70" i="2"/>
  <c r="GS73" i="2" l="1"/>
  <c r="GU67" i="2"/>
  <c r="GT74" i="2"/>
  <c r="GT70" i="2"/>
  <c r="GT71" i="2"/>
  <c r="GT75" i="2"/>
  <c r="GT72" i="2"/>
  <c r="GT73" i="2" l="1"/>
  <c r="GV67" i="2"/>
  <c r="GU70" i="2"/>
  <c r="GU75" i="2"/>
  <c r="GU71" i="2"/>
  <c r="GU74" i="2"/>
  <c r="GU72" i="2"/>
  <c r="GU73" i="2" l="1"/>
  <c r="GW67" i="2"/>
  <c r="GV74" i="2"/>
  <c r="GV72" i="2"/>
  <c r="GV75" i="2"/>
  <c r="GV70" i="2"/>
  <c r="GV71" i="2"/>
  <c r="GV73" i="2" l="1"/>
  <c r="GX67" i="2"/>
  <c r="GW70" i="2"/>
  <c r="GW74" i="2"/>
  <c r="GW72" i="2"/>
  <c r="GW71" i="2"/>
  <c r="GW75" i="2"/>
  <c r="GW73" i="2" l="1"/>
  <c r="GY67" i="2"/>
  <c r="GX75" i="2"/>
  <c r="GX70" i="2"/>
  <c r="GX71" i="2"/>
  <c r="GX72" i="2"/>
  <c r="GX74" i="2"/>
  <c r="GX73" i="2" l="1"/>
  <c r="GZ67" i="2"/>
  <c r="GY71" i="2"/>
  <c r="GY70" i="2"/>
  <c r="GY74" i="2"/>
  <c r="GY72" i="2"/>
  <c r="GY75" i="2"/>
  <c r="GY73" i="2" l="1"/>
  <c r="HA67" i="2"/>
  <c r="GZ75" i="2"/>
  <c r="GZ74" i="2"/>
  <c r="GZ70" i="2"/>
  <c r="GZ72" i="2"/>
  <c r="GZ71" i="2"/>
  <c r="GZ73" i="2" l="1"/>
  <c r="HB67" i="2"/>
  <c r="HA74" i="2"/>
  <c r="HA75" i="2"/>
  <c r="HA72" i="2"/>
  <c r="HA70" i="2"/>
  <c r="HA71" i="2"/>
  <c r="HA73" i="2" l="1"/>
  <c r="HC67" i="2"/>
  <c r="HB71" i="2"/>
  <c r="HB75" i="2"/>
  <c r="HB70" i="2"/>
  <c r="HB74" i="2"/>
  <c r="HB72" i="2"/>
  <c r="HB73" i="2" l="1"/>
  <c r="HD67" i="2"/>
  <c r="HC70" i="2"/>
  <c r="HC71" i="2"/>
  <c r="HC72" i="2"/>
  <c r="HC75" i="2"/>
  <c r="HC74" i="2"/>
  <c r="HC73" i="2" l="1"/>
  <c r="HE67" i="2"/>
  <c r="HD75" i="2"/>
  <c r="HD74" i="2"/>
  <c r="HD71" i="2"/>
  <c r="HD70" i="2"/>
  <c r="HD72" i="2"/>
  <c r="HD73" i="2" l="1"/>
  <c r="HF67" i="2"/>
  <c r="HE71" i="2"/>
  <c r="HE75" i="2"/>
  <c r="HE70" i="2"/>
  <c r="HE72" i="2"/>
  <c r="HE74" i="2"/>
  <c r="HE73" i="2" l="1"/>
  <c r="HG67" i="2"/>
  <c r="HF71" i="2"/>
  <c r="HF72" i="2"/>
  <c r="HF74" i="2"/>
  <c r="HF70" i="2"/>
  <c r="HF75" i="2"/>
  <c r="HF73" i="2" l="1"/>
  <c r="HH67" i="2"/>
  <c r="HG72" i="2"/>
  <c r="HG71" i="2"/>
  <c r="HG70" i="2"/>
  <c r="HG74" i="2"/>
  <c r="HG75" i="2"/>
  <c r="HG73" i="2" l="1"/>
  <c r="HI67" i="2"/>
  <c r="HH72" i="2"/>
  <c r="HH70" i="2"/>
  <c r="HH75" i="2"/>
  <c r="HH74" i="2"/>
  <c r="HH71" i="2"/>
  <c r="HH73" i="2" l="1"/>
  <c r="HJ67" i="2"/>
  <c r="HI74" i="2"/>
  <c r="HI70" i="2"/>
  <c r="HI71" i="2"/>
  <c r="HI72" i="2"/>
  <c r="HI75" i="2"/>
  <c r="HI73" i="2" l="1"/>
  <c r="HK67" i="2"/>
  <c r="HJ74" i="2"/>
  <c r="HJ75" i="2"/>
  <c r="HJ72" i="2"/>
  <c r="HJ71" i="2"/>
  <c r="HJ70" i="2"/>
  <c r="HJ73" i="2" l="1"/>
  <c r="HL67" i="2"/>
  <c r="HK70" i="2"/>
  <c r="HK71" i="2"/>
  <c r="HK75" i="2"/>
  <c r="HK72" i="2"/>
  <c r="HK74" i="2"/>
  <c r="HK73" i="2" l="1"/>
  <c r="HM67" i="2"/>
  <c r="HL70" i="2"/>
  <c r="HL72" i="2"/>
  <c r="HL74" i="2"/>
  <c r="HL75" i="2"/>
  <c r="HL71" i="2"/>
  <c r="HL73" i="2" l="1"/>
  <c r="HN67" i="2"/>
  <c r="HM75" i="2"/>
  <c r="HM74" i="2"/>
  <c r="HM70" i="2"/>
  <c r="HM71" i="2"/>
  <c r="HM72" i="2"/>
  <c r="HM73" i="2" l="1"/>
  <c r="HO67" i="2"/>
  <c r="HN75" i="2"/>
  <c r="HN70" i="2"/>
  <c r="HN72" i="2"/>
  <c r="HN74" i="2"/>
  <c r="HN71" i="2"/>
  <c r="HN73" i="2" l="1"/>
  <c r="HP67" i="2"/>
  <c r="HO74" i="2"/>
  <c r="HO71" i="2"/>
  <c r="HO72" i="2"/>
  <c r="HO75" i="2"/>
  <c r="HO70" i="2"/>
  <c r="HO73" i="2" l="1"/>
  <c r="HQ67" i="2"/>
  <c r="HP71" i="2"/>
  <c r="HP70" i="2"/>
  <c r="HP74" i="2"/>
  <c r="HP75" i="2"/>
  <c r="HP72" i="2"/>
  <c r="HP73" i="2" l="1"/>
  <c r="HR67" i="2"/>
  <c r="HQ72" i="2"/>
  <c r="HQ70" i="2"/>
  <c r="HQ75" i="2"/>
  <c r="HQ71" i="2"/>
  <c r="HQ74" i="2"/>
  <c r="HQ73" i="2" l="1"/>
  <c r="HS67" i="2"/>
  <c r="HR74" i="2"/>
  <c r="HR70" i="2"/>
  <c r="HR71" i="2"/>
  <c r="HR75" i="2"/>
  <c r="HR72" i="2"/>
  <c r="HR73" i="2" l="1"/>
  <c r="HT67" i="2"/>
  <c r="HS70" i="2"/>
  <c r="HS71" i="2"/>
  <c r="HS74" i="2"/>
  <c r="HS75" i="2"/>
  <c r="HS72" i="2"/>
  <c r="HS73" i="2" l="1"/>
  <c r="HU67" i="2"/>
  <c r="HT71" i="2"/>
  <c r="HT74" i="2"/>
  <c r="HT75" i="2"/>
  <c r="HT72" i="2"/>
  <c r="HT70" i="2"/>
  <c r="HT73" i="2" l="1"/>
  <c r="HV67" i="2"/>
  <c r="HU71" i="2"/>
  <c r="HU74" i="2"/>
  <c r="HU75" i="2"/>
  <c r="HU70" i="2"/>
  <c r="HU72" i="2"/>
  <c r="HU73" i="2" l="1"/>
  <c r="HW67" i="2"/>
  <c r="HV74" i="2"/>
  <c r="HV72" i="2"/>
  <c r="HV70" i="2"/>
  <c r="HV71" i="2"/>
  <c r="HV75" i="2"/>
  <c r="HV73" i="2" l="1"/>
  <c r="HX67" i="2"/>
  <c r="HW71" i="2"/>
  <c r="HW70" i="2"/>
  <c r="HW72" i="2"/>
  <c r="HW74" i="2"/>
  <c r="HW75" i="2"/>
  <c r="HW73" i="2" l="1"/>
  <c r="HY67" i="2"/>
  <c r="HX70" i="2"/>
  <c r="HX71" i="2"/>
  <c r="HX72" i="2"/>
  <c r="HX75" i="2"/>
  <c r="HX74" i="2"/>
  <c r="HX73" i="2" l="1"/>
  <c r="HZ67" i="2"/>
  <c r="HY74" i="2"/>
  <c r="HY75" i="2"/>
  <c r="HY71" i="2"/>
  <c r="HY70" i="2"/>
  <c r="HY72" i="2"/>
  <c r="HY73" i="2" l="1"/>
  <c r="IA67" i="2"/>
  <c r="HZ70" i="2"/>
  <c r="HZ71" i="2"/>
  <c r="HZ72" i="2"/>
  <c r="HZ74" i="2"/>
  <c r="HZ75" i="2"/>
  <c r="HZ73" i="2" l="1"/>
  <c r="IB67" i="2"/>
  <c r="IA71" i="2"/>
  <c r="IA74" i="2"/>
  <c r="IA72" i="2"/>
  <c r="IA70" i="2"/>
  <c r="IA75" i="2"/>
  <c r="IA73" i="2" l="1"/>
  <c r="IC67" i="2"/>
  <c r="IB72" i="2"/>
  <c r="IB70" i="2"/>
  <c r="IB74" i="2"/>
  <c r="IB75" i="2"/>
  <c r="IB71" i="2"/>
  <c r="IB73" i="2" l="1"/>
  <c r="ID67" i="2"/>
  <c r="IC70" i="2"/>
  <c r="IC75" i="2"/>
  <c r="IC71" i="2"/>
  <c r="IC72" i="2"/>
  <c r="IC74" i="2"/>
  <c r="IC73" i="2" l="1"/>
  <c r="IE67" i="2"/>
  <c r="ID72" i="2"/>
  <c r="ID74" i="2"/>
  <c r="ID75" i="2"/>
  <c r="ID71" i="2"/>
  <c r="ID70" i="2"/>
  <c r="ID73" i="2" l="1"/>
  <c r="IF67" i="2"/>
  <c r="IE70" i="2"/>
  <c r="IE71" i="2"/>
  <c r="IE74" i="2"/>
  <c r="IE72" i="2"/>
  <c r="IE75" i="2"/>
  <c r="IE73" i="2" l="1"/>
  <c r="IG67" i="2"/>
  <c r="IF74" i="2"/>
  <c r="IF71" i="2"/>
  <c r="IF72" i="2"/>
  <c r="IF75" i="2"/>
  <c r="IF70" i="2"/>
  <c r="IF73" i="2" l="1"/>
  <c r="IH67" i="2"/>
  <c r="IG71" i="2"/>
  <c r="IG72" i="2"/>
  <c r="IG75" i="2"/>
  <c r="IG70" i="2"/>
  <c r="IG74" i="2"/>
  <c r="IG73" i="2" l="1"/>
  <c r="II67" i="2"/>
  <c r="IH70" i="2"/>
  <c r="IH74" i="2"/>
  <c r="IH72" i="2"/>
  <c r="IH71" i="2"/>
  <c r="IH75" i="2"/>
  <c r="IH73" i="2" l="1"/>
  <c r="IJ67" i="2"/>
  <c r="II74" i="2"/>
  <c r="II72" i="2"/>
  <c r="II70" i="2"/>
  <c r="II75" i="2"/>
  <c r="II71" i="2"/>
  <c r="II73" i="2" l="1"/>
  <c r="IK67" i="2"/>
  <c r="IJ75" i="2"/>
  <c r="IJ74" i="2"/>
  <c r="IJ72" i="2"/>
  <c r="IJ71" i="2"/>
  <c r="IJ70" i="2"/>
  <c r="IJ73" i="2" l="1"/>
  <c r="IL67" i="2"/>
  <c r="IK75" i="2"/>
  <c r="IK70" i="2"/>
  <c r="IK72" i="2"/>
  <c r="IK74" i="2"/>
  <c r="IK71" i="2"/>
  <c r="IK73" i="2" l="1"/>
  <c r="IM67" i="2"/>
  <c r="IL70" i="2"/>
  <c r="IL71" i="2"/>
  <c r="IL74" i="2"/>
  <c r="IL72" i="2"/>
  <c r="IL75" i="2"/>
  <c r="IL73" i="2" l="1"/>
  <c r="IN67" i="2"/>
  <c r="IM71" i="2"/>
  <c r="IM70" i="2"/>
  <c r="IM72" i="2"/>
  <c r="IM75" i="2"/>
  <c r="IM74" i="2"/>
  <c r="IM73" i="2" l="1"/>
  <c r="IO67" i="2"/>
  <c r="IN75" i="2"/>
  <c r="IN71" i="2"/>
  <c r="IN70" i="2"/>
  <c r="IN74" i="2"/>
  <c r="IN72" i="2"/>
  <c r="IN73" i="2" l="1"/>
  <c r="IP67" i="2"/>
  <c r="IO72" i="2"/>
  <c r="IO74" i="2"/>
  <c r="IO75" i="2"/>
  <c r="IO70" i="2"/>
  <c r="IO71" i="2"/>
  <c r="IO73" i="2" l="1"/>
  <c r="IQ67" i="2"/>
  <c r="IP72" i="2"/>
  <c r="IP70" i="2"/>
  <c r="IP75" i="2"/>
  <c r="IP74" i="2"/>
  <c r="IP71" i="2"/>
  <c r="IP73" i="2" l="1"/>
  <c r="IR67" i="2"/>
  <c r="IQ74" i="2"/>
  <c r="IQ70" i="2"/>
  <c r="IQ72" i="2"/>
  <c r="IQ71" i="2"/>
  <c r="IQ75" i="2"/>
  <c r="IQ73" i="2" l="1"/>
  <c r="IS67" i="2"/>
  <c r="IR70" i="2"/>
  <c r="IR71" i="2"/>
  <c r="IR74" i="2"/>
  <c r="IR75" i="2"/>
  <c r="IR72" i="2"/>
  <c r="IR73" i="2" l="1"/>
  <c r="IT67" i="2"/>
  <c r="IS71" i="2"/>
  <c r="IS70" i="2"/>
  <c r="IS74" i="2"/>
  <c r="IS75" i="2"/>
  <c r="IS72" i="2"/>
  <c r="IS73" i="2" l="1"/>
  <c r="IU67" i="2"/>
  <c r="IT72" i="2"/>
  <c r="IT74" i="2"/>
  <c r="IT70" i="2"/>
  <c r="IT71" i="2"/>
  <c r="IT75" i="2"/>
  <c r="IT73" i="2" l="1"/>
  <c r="IV67" i="2"/>
  <c r="IU71" i="2"/>
  <c r="IU72" i="2"/>
  <c r="IU74" i="2"/>
  <c r="IU70" i="2"/>
  <c r="IU75" i="2"/>
  <c r="IU73" i="2" l="1"/>
  <c r="IW67" i="2"/>
  <c r="IV75" i="2"/>
  <c r="IV74" i="2"/>
  <c r="IV72" i="2"/>
  <c r="IV71" i="2"/>
  <c r="IV70" i="2"/>
  <c r="IV73" i="2" l="1"/>
  <c r="IX67" i="2"/>
  <c r="IW75" i="2"/>
  <c r="IW70" i="2"/>
  <c r="IW72" i="2"/>
  <c r="IW71" i="2"/>
  <c r="IW74" i="2"/>
  <c r="IW73" i="2" l="1"/>
  <c r="IY67" i="2"/>
  <c r="IX71" i="2"/>
  <c r="IX75" i="2"/>
  <c r="IX72" i="2"/>
  <c r="IX74" i="2"/>
  <c r="IX70" i="2"/>
  <c r="IX73" i="2" l="1"/>
  <c r="IZ67" i="2"/>
  <c r="IY70" i="2"/>
  <c r="IY75" i="2"/>
  <c r="IY71" i="2"/>
  <c r="IY74" i="2"/>
  <c r="IY72" i="2"/>
  <c r="IY73" i="2" l="1"/>
  <c r="JA67" i="2"/>
  <c r="IZ70" i="2"/>
  <c r="IZ74" i="2"/>
  <c r="IZ72" i="2"/>
  <c r="IZ75" i="2"/>
  <c r="IZ71" i="2"/>
  <c r="IZ73" i="2" l="1"/>
  <c r="JB67" i="2"/>
  <c r="JA75" i="2"/>
  <c r="JA71" i="2"/>
  <c r="JA74" i="2"/>
  <c r="JA72" i="2"/>
  <c r="JA70" i="2"/>
  <c r="JA73" i="2" l="1"/>
  <c r="JC67" i="2"/>
  <c r="JB75" i="2"/>
  <c r="JB74" i="2"/>
  <c r="JB71" i="2"/>
  <c r="JB70" i="2"/>
  <c r="JB72" i="2"/>
  <c r="JB73" i="2" l="1"/>
  <c r="JD67" i="2"/>
  <c r="JC72" i="2"/>
  <c r="JC70" i="2"/>
  <c r="JC75" i="2"/>
  <c r="JC74" i="2"/>
  <c r="JC71" i="2"/>
  <c r="JC73" i="2" l="1"/>
  <c r="JE67" i="2"/>
  <c r="JD70" i="2"/>
  <c r="JD72" i="2"/>
  <c r="JD75" i="2"/>
  <c r="JD74" i="2"/>
  <c r="JD71" i="2"/>
  <c r="JD73" i="2" l="1"/>
  <c r="JF67" i="2"/>
  <c r="JE72" i="2"/>
  <c r="JE75" i="2"/>
  <c r="JE71" i="2"/>
  <c r="JE74" i="2"/>
  <c r="JE70" i="2"/>
  <c r="JE73" i="2" l="1"/>
  <c r="JG67" i="2"/>
  <c r="JF75" i="2"/>
  <c r="JF74" i="2"/>
  <c r="JF72" i="2"/>
  <c r="JF70" i="2"/>
  <c r="JF71" i="2"/>
  <c r="JF73" i="2" l="1"/>
  <c r="JH67" i="2"/>
  <c r="JG72" i="2"/>
  <c r="JG70" i="2"/>
  <c r="JG74" i="2"/>
  <c r="JG71" i="2"/>
  <c r="JG75" i="2"/>
  <c r="JG73" i="2" l="1"/>
  <c r="JI67" i="2"/>
  <c r="JH71" i="2"/>
  <c r="JH70" i="2"/>
  <c r="JH74" i="2"/>
  <c r="JH75" i="2"/>
  <c r="JH72" i="2"/>
  <c r="JH73" i="2" l="1"/>
  <c r="JJ67" i="2"/>
  <c r="JI70" i="2"/>
  <c r="JI75" i="2"/>
  <c r="JI71" i="2"/>
  <c r="JI72" i="2"/>
  <c r="JI74" i="2"/>
  <c r="JI73" i="2" l="1"/>
  <c r="JK67" i="2"/>
  <c r="JJ72" i="2"/>
  <c r="JJ71" i="2"/>
  <c r="JJ74" i="2"/>
  <c r="JJ75" i="2"/>
  <c r="JJ70" i="2"/>
  <c r="JJ73" i="2" l="1"/>
  <c r="JL67" i="2"/>
  <c r="JK74" i="2"/>
  <c r="JK70" i="2"/>
  <c r="JK72" i="2"/>
  <c r="JK71" i="2"/>
  <c r="JK75" i="2"/>
  <c r="JK73" i="2" l="1"/>
  <c r="JM67" i="2"/>
  <c r="JL70" i="2"/>
  <c r="JL75" i="2"/>
  <c r="JL74" i="2"/>
  <c r="JL71" i="2"/>
  <c r="JL72" i="2"/>
  <c r="JL73" i="2" l="1"/>
  <c r="JN67" i="2"/>
  <c r="JM74" i="2"/>
  <c r="JM71" i="2"/>
  <c r="JM72" i="2"/>
  <c r="JM75" i="2"/>
  <c r="JM70" i="2"/>
  <c r="JM73" i="2" l="1"/>
  <c r="JO67" i="2"/>
  <c r="JN70" i="2"/>
  <c r="JN75" i="2"/>
  <c r="JN72" i="2"/>
  <c r="JN71" i="2"/>
  <c r="JN74" i="2"/>
  <c r="JN73" i="2" l="1"/>
  <c r="JP67" i="2"/>
  <c r="JO75" i="2"/>
  <c r="JO74" i="2"/>
  <c r="JO71" i="2"/>
  <c r="JO72" i="2"/>
  <c r="JO70" i="2"/>
  <c r="JO73" i="2" l="1"/>
  <c r="JQ67" i="2"/>
  <c r="JP74" i="2"/>
  <c r="JP75" i="2"/>
  <c r="JP71" i="2"/>
  <c r="JP70" i="2"/>
  <c r="JP72" i="2"/>
  <c r="JP73" i="2" l="1"/>
  <c r="JR67" i="2"/>
  <c r="JQ72" i="2"/>
  <c r="JQ70" i="2"/>
  <c r="JQ71" i="2"/>
  <c r="JQ75" i="2"/>
  <c r="JQ74" i="2"/>
  <c r="JQ73" i="2" l="1"/>
  <c r="JS67" i="2"/>
  <c r="JR70" i="2"/>
  <c r="JR75" i="2"/>
  <c r="JR74" i="2"/>
  <c r="JR71" i="2"/>
  <c r="JR72" i="2"/>
  <c r="JR73" i="2" l="1"/>
  <c r="JT67" i="2"/>
  <c r="JS75" i="2"/>
  <c r="JS74" i="2"/>
  <c r="JS71" i="2"/>
  <c r="JS72" i="2"/>
  <c r="JS70" i="2"/>
  <c r="JS73" i="2" l="1"/>
  <c r="JU67" i="2"/>
  <c r="JT70" i="2"/>
  <c r="JT72" i="2"/>
  <c r="JT75" i="2"/>
  <c r="JT71" i="2"/>
  <c r="JT74" i="2"/>
  <c r="JT73" i="2" l="1"/>
  <c r="JV67" i="2"/>
  <c r="JU71" i="2"/>
  <c r="JU72" i="2"/>
  <c r="JU70" i="2"/>
  <c r="JU75" i="2"/>
  <c r="JU74" i="2"/>
  <c r="JU73" i="2" l="1"/>
  <c r="JW67" i="2"/>
  <c r="JV71" i="2"/>
  <c r="JV74" i="2"/>
  <c r="JV72" i="2"/>
  <c r="JV75" i="2"/>
  <c r="JV70" i="2"/>
  <c r="JV73" i="2" l="1"/>
  <c r="JX67" i="2"/>
  <c r="JW74" i="2"/>
  <c r="JW71" i="2"/>
  <c r="JW72" i="2"/>
  <c r="JW75" i="2"/>
  <c r="JW70" i="2"/>
  <c r="JW73" i="2" l="1"/>
  <c r="JY67" i="2"/>
  <c r="JX72" i="2"/>
  <c r="JX74" i="2"/>
  <c r="JX71" i="2"/>
  <c r="JX75" i="2"/>
  <c r="JX70" i="2"/>
  <c r="JX73" i="2" l="1"/>
  <c r="JZ67" i="2"/>
  <c r="JY70" i="2"/>
  <c r="JY72" i="2"/>
  <c r="JY74" i="2"/>
  <c r="JY71" i="2"/>
  <c r="JY75" i="2"/>
  <c r="JY73" i="2" l="1"/>
  <c r="KA67" i="2"/>
  <c r="JZ74" i="2"/>
  <c r="JZ75" i="2"/>
  <c r="JZ71" i="2"/>
  <c r="JZ72" i="2"/>
  <c r="JZ70" i="2"/>
  <c r="JZ73" i="2" l="1"/>
  <c r="KB67" i="2"/>
  <c r="KA72" i="2"/>
  <c r="KA74" i="2"/>
  <c r="KA75" i="2"/>
  <c r="KA71" i="2"/>
  <c r="KA70" i="2"/>
  <c r="KA73" i="2" l="1"/>
  <c r="KC67" i="2"/>
  <c r="KB75" i="2"/>
  <c r="KB74" i="2"/>
  <c r="KB71" i="2"/>
  <c r="KB72" i="2"/>
  <c r="KB70" i="2"/>
  <c r="KB73" i="2" l="1"/>
  <c r="KD67" i="2"/>
  <c r="KC71" i="2"/>
  <c r="KC70" i="2"/>
  <c r="KC72" i="2"/>
  <c r="KC74" i="2"/>
  <c r="KC75" i="2"/>
  <c r="KC73" i="2" l="1"/>
  <c r="KE67" i="2"/>
  <c r="KD72" i="2"/>
  <c r="KD74" i="2"/>
  <c r="KD75" i="2"/>
  <c r="KD70" i="2"/>
  <c r="KD71" i="2"/>
  <c r="KD73" i="2" l="1"/>
  <c r="KF67" i="2"/>
  <c r="KE70" i="2"/>
  <c r="KE75" i="2"/>
  <c r="KE74" i="2"/>
  <c r="KE72" i="2"/>
  <c r="KE71" i="2"/>
  <c r="KE73" i="2" l="1"/>
  <c r="KG67" i="2"/>
  <c r="KF71" i="2"/>
  <c r="KF72" i="2"/>
  <c r="KF74" i="2"/>
  <c r="KF70" i="2"/>
  <c r="KF75" i="2"/>
  <c r="KF73" i="2" l="1"/>
  <c r="KH67" i="2"/>
  <c r="KG72" i="2"/>
  <c r="KG71" i="2"/>
  <c r="KG70" i="2"/>
  <c r="KG75" i="2"/>
  <c r="KG74" i="2"/>
  <c r="KG73" i="2" l="1"/>
  <c r="KI67" i="2"/>
  <c r="KH71" i="2"/>
  <c r="KH72" i="2"/>
  <c r="KH74" i="2"/>
  <c r="KH75" i="2"/>
  <c r="KH70" i="2"/>
  <c r="KH73" i="2" l="1"/>
  <c r="KJ67" i="2"/>
  <c r="KI74" i="2"/>
  <c r="KI75" i="2"/>
  <c r="KI72" i="2"/>
  <c r="KI70" i="2"/>
  <c r="KI71" i="2"/>
  <c r="KI73" i="2" l="1"/>
  <c r="KK67" i="2"/>
  <c r="KJ70" i="2"/>
  <c r="KJ74" i="2"/>
  <c r="KJ72" i="2"/>
  <c r="KJ75" i="2"/>
  <c r="KJ71" i="2"/>
  <c r="KJ73" i="2" l="1"/>
  <c r="KL67" i="2"/>
  <c r="KK71" i="2"/>
  <c r="KK72" i="2"/>
  <c r="KK74" i="2"/>
  <c r="KK75" i="2"/>
  <c r="KK70" i="2"/>
  <c r="KK73" i="2" l="1"/>
  <c r="KM67" i="2"/>
  <c r="KL75" i="2"/>
  <c r="KL74" i="2"/>
  <c r="KL72" i="2"/>
  <c r="KL71" i="2"/>
  <c r="KL70" i="2"/>
  <c r="KL73" i="2" l="1"/>
  <c r="KN67" i="2"/>
  <c r="KM72" i="2"/>
  <c r="KM71" i="2"/>
  <c r="KM75" i="2"/>
  <c r="KM70" i="2"/>
  <c r="KM74" i="2"/>
  <c r="KM73" i="2" l="1"/>
  <c r="KO67" i="2"/>
  <c r="KN71" i="2"/>
  <c r="KN70" i="2"/>
  <c r="KN72" i="2"/>
  <c r="KN75" i="2"/>
  <c r="KN74" i="2"/>
  <c r="KN73" i="2" l="1"/>
  <c r="KP67" i="2"/>
  <c r="KO72" i="2"/>
  <c r="KO74" i="2"/>
  <c r="KO70" i="2"/>
  <c r="KO71" i="2"/>
  <c r="KO75" i="2"/>
  <c r="KO73" i="2" l="1"/>
  <c r="KQ67" i="2"/>
  <c r="KP71" i="2"/>
  <c r="KP75" i="2"/>
  <c r="KP70" i="2"/>
  <c r="KP72" i="2"/>
  <c r="KP74" i="2"/>
  <c r="KP73" i="2" l="1"/>
  <c r="KR67" i="2"/>
  <c r="KQ72" i="2"/>
  <c r="KQ71" i="2"/>
  <c r="KQ75" i="2"/>
  <c r="KQ70" i="2"/>
  <c r="KQ74" i="2"/>
  <c r="KQ73" i="2" l="1"/>
  <c r="KS67" i="2"/>
  <c r="KR72" i="2"/>
  <c r="KR74" i="2"/>
  <c r="KR71" i="2"/>
  <c r="KR75" i="2"/>
  <c r="KR70" i="2"/>
  <c r="KR73" i="2" l="1"/>
  <c r="KT67" i="2"/>
  <c r="KS72" i="2"/>
  <c r="KS74" i="2"/>
  <c r="KS71" i="2"/>
  <c r="KS75" i="2"/>
  <c r="KS70" i="2"/>
  <c r="KS73" i="2" l="1"/>
  <c r="KU67" i="2"/>
  <c r="KT74" i="2"/>
  <c r="KT75" i="2"/>
  <c r="KT71" i="2"/>
  <c r="KT72" i="2"/>
  <c r="KT70" i="2"/>
  <c r="KT73" i="2" l="1"/>
  <c r="KV67" i="2"/>
  <c r="KU75" i="2"/>
  <c r="KU71" i="2"/>
  <c r="KU70" i="2"/>
  <c r="KU72" i="2"/>
  <c r="KU74" i="2"/>
  <c r="KU73" i="2" l="1"/>
  <c r="KW67" i="2"/>
  <c r="KV71" i="2"/>
  <c r="KV72" i="2"/>
  <c r="KV70" i="2"/>
  <c r="KV74" i="2"/>
  <c r="KV75" i="2"/>
  <c r="KV73" i="2" l="1"/>
  <c r="KX67" i="2"/>
  <c r="KW75" i="2"/>
  <c r="KW74" i="2"/>
  <c r="KW72" i="2"/>
  <c r="KW71" i="2"/>
  <c r="KW70" i="2"/>
  <c r="KW73" i="2" l="1"/>
  <c r="KY67" i="2"/>
  <c r="KX75" i="2"/>
  <c r="KX72" i="2"/>
  <c r="KX70" i="2"/>
  <c r="KX71" i="2"/>
  <c r="KX74" i="2"/>
  <c r="KX73" i="2" l="1"/>
  <c r="KZ67" i="2"/>
  <c r="KY75" i="2"/>
  <c r="KY72" i="2"/>
  <c r="KY71" i="2"/>
  <c r="KY74" i="2"/>
  <c r="KY70" i="2"/>
  <c r="KY73" i="2" l="1"/>
  <c r="LA67" i="2"/>
  <c r="KZ71" i="2"/>
  <c r="KZ70" i="2"/>
  <c r="KZ75" i="2"/>
  <c r="KZ72" i="2"/>
  <c r="KZ74" i="2"/>
  <c r="KZ73" i="2" l="1"/>
  <c r="LB67" i="2"/>
  <c r="LA72" i="2"/>
  <c r="LA74" i="2"/>
  <c r="LA75" i="2"/>
  <c r="LA70" i="2"/>
  <c r="LA71" i="2"/>
  <c r="LA73" i="2" l="1"/>
  <c r="LC67" i="2"/>
  <c r="LB71" i="2"/>
  <c r="LB70" i="2"/>
  <c r="LB74" i="2"/>
  <c r="LB75" i="2"/>
  <c r="LB72" i="2"/>
  <c r="LB73" i="2" l="1"/>
  <c r="LD67" i="2"/>
  <c r="LC75" i="2"/>
  <c r="LC71" i="2"/>
  <c r="LC72" i="2"/>
  <c r="LC74" i="2"/>
  <c r="LC70" i="2"/>
  <c r="LC73" i="2" l="1"/>
  <c r="LE67" i="2"/>
  <c r="LD72" i="2"/>
  <c r="LD75" i="2"/>
  <c r="LD71" i="2"/>
  <c r="LD74" i="2"/>
  <c r="LD70" i="2"/>
  <c r="LD73" i="2" l="1"/>
  <c r="LF67" i="2"/>
  <c r="LE72" i="2"/>
  <c r="LE70" i="2"/>
  <c r="LE74" i="2"/>
  <c r="LE71" i="2"/>
  <c r="LE75" i="2"/>
  <c r="LE73" i="2" l="1"/>
  <c r="LG67" i="2"/>
  <c r="LF71" i="2"/>
  <c r="LF74" i="2"/>
  <c r="LF70" i="2"/>
  <c r="LF72" i="2"/>
  <c r="LF75" i="2"/>
  <c r="LF73" i="2" l="1"/>
  <c r="LH67" i="2"/>
  <c r="LG71" i="2"/>
  <c r="LG72" i="2"/>
  <c r="LG70" i="2"/>
  <c r="LG75" i="2"/>
  <c r="LG74" i="2"/>
  <c r="LG73" i="2" l="1"/>
  <c r="LI67" i="2"/>
  <c r="LH70" i="2"/>
  <c r="LH71" i="2"/>
  <c r="LH74" i="2"/>
  <c r="LH75" i="2"/>
  <c r="LH72" i="2"/>
  <c r="LH73" i="2" l="1"/>
  <c r="LJ67" i="2"/>
  <c r="LI74" i="2"/>
  <c r="LI70" i="2"/>
  <c r="LI72" i="2"/>
  <c r="LI75" i="2"/>
  <c r="LI71" i="2"/>
  <c r="LI73" i="2" l="1"/>
  <c r="LK67" i="2"/>
  <c r="LJ72" i="2"/>
  <c r="LJ75" i="2"/>
  <c r="LJ74" i="2"/>
  <c r="LJ71" i="2"/>
  <c r="LJ70" i="2"/>
  <c r="LJ73" i="2" l="1"/>
  <c r="LL67" i="2"/>
  <c r="LK71" i="2"/>
  <c r="LK75" i="2"/>
  <c r="LK70" i="2"/>
  <c r="LK74" i="2"/>
  <c r="LK72" i="2"/>
  <c r="LK73" i="2" l="1"/>
  <c r="LM67" i="2"/>
  <c r="LL75" i="2"/>
  <c r="LL71" i="2"/>
  <c r="LL72" i="2"/>
  <c r="LL70" i="2"/>
  <c r="LL74" i="2"/>
  <c r="LL73" i="2" l="1"/>
  <c r="LN67" i="2"/>
  <c r="LM70" i="2"/>
  <c r="LM72" i="2"/>
  <c r="LM71" i="2"/>
  <c r="LM75" i="2"/>
  <c r="LM74" i="2"/>
  <c r="LM73" i="2" l="1"/>
  <c r="LO67" i="2"/>
  <c r="LN74" i="2"/>
  <c r="LN70" i="2"/>
  <c r="LN71" i="2"/>
  <c r="LN72" i="2"/>
  <c r="LN75" i="2"/>
  <c r="LN73" i="2" l="1"/>
  <c r="LP67" i="2"/>
  <c r="LO70" i="2"/>
  <c r="LO75" i="2"/>
  <c r="LO74" i="2"/>
  <c r="LO71" i="2"/>
  <c r="LO72" i="2"/>
  <c r="LO73" i="2" l="1"/>
  <c r="LQ67" i="2"/>
  <c r="LP74" i="2"/>
  <c r="LP72" i="2"/>
  <c r="LP70" i="2"/>
  <c r="LP75" i="2"/>
  <c r="LP71" i="2"/>
  <c r="LP73" i="2" l="1"/>
  <c r="LR67" i="2"/>
  <c r="LQ74" i="2"/>
  <c r="LQ75" i="2"/>
  <c r="LQ71" i="2"/>
  <c r="LQ70" i="2"/>
  <c r="LQ72" i="2"/>
  <c r="LQ73" i="2" l="1"/>
  <c r="LS67" i="2"/>
  <c r="LR74" i="2"/>
  <c r="LR70" i="2"/>
  <c r="LR72" i="2"/>
  <c r="LR71" i="2"/>
  <c r="LR75" i="2"/>
  <c r="LR73" i="2" l="1"/>
  <c r="LT67" i="2"/>
  <c r="LS72" i="2"/>
  <c r="LS70" i="2"/>
  <c r="LS75" i="2"/>
  <c r="LS71" i="2"/>
  <c r="LS74" i="2"/>
  <c r="LS73" i="2" l="1"/>
  <c r="LU67" i="2"/>
  <c r="LT71" i="2"/>
  <c r="LT74" i="2"/>
  <c r="LT70" i="2"/>
  <c r="LT75" i="2"/>
  <c r="LT72" i="2"/>
  <c r="LT73" i="2" l="1"/>
  <c r="LV67" i="2"/>
  <c r="LU70" i="2"/>
  <c r="LU72" i="2"/>
  <c r="LU71" i="2"/>
  <c r="LU75" i="2"/>
  <c r="LU74" i="2"/>
  <c r="LU73" i="2" l="1"/>
  <c r="LW67" i="2"/>
  <c r="LV72" i="2"/>
  <c r="LV74" i="2"/>
  <c r="LV71" i="2"/>
  <c r="LV75" i="2"/>
  <c r="LV70" i="2"/>
  <c r="LV73" i="2" l="1"/>
  <c r="LX67" i="2"/>
  <c r="LW72" i="2"/>
  <c r="LW70" i="2"/>
  <c r="LW74" i="2"/>
  <c r="LW75" i="2"/>
  <c r="LW71" i="2"/>
  <c r="LW73" i="2" l="1"/>
  <c r="LY67" i="2"/>
  <c r="LX72" i="2"/>
  <c r="LX75" i="2"/>
  <c r="LX70" i="2"/>
  <c r="LX71" i="2"/>
  <c r="LX74" i="2"/>
  <c r="LX73" i="2" l="1"/>
  <c r="LZ67" i="2"/>
  <c r="LY72" i="2"/>
  <c r="LY71" i="2"/>
  <c r="LY74" i="2"/>
  <c r="LY75" i="2"/>
  <c r="LY70" i="2"/>
  <c r="LY73" i="2" l="1"/>
  <c r="MA67" i="2"/>
  <c r="LZ70" i="2"/>
  <c r="LZ72" i="2"/>
  <c r="LZ74" i="2"/>
  <c r="LZ75" i="2"/>
  <c r="LZ71" i="2"/>
  <c r="LZ73" i="2" l="1"/>
  <c r="MB67" i="2"/>
  <c r="MA71" i="2"/>
  <c r="MA72" i="2"/>
  <c r="MA75" i="2"/>
  <c r="MA70" i="2"/>
  <c r="MA74" i="2"/>
  <c r="MA73" i="2" l="1"/>
  <c r="MC67" i="2"/>
  <c r="MB72" i="2"/>
  <c r="MB75" i="2"/>
  <c r="MB70" i="2"/>
  <c r="MB74" i="2"/>
  <c r="MB71" i="2"/>
  <c r="MB73" i="2" l="1"/>
  <c r="MD67" i="2"/>
  <c r="MC74" i="2"/>
  <c r="MC72" i="2"/>
  <c r="MC71" i="2"/>
  <c r="MC75" i="2"/>
  <c r="MC70" i="2"/>
  <c r="MC73" i="2" l="1"/>
  <c r="ME67" i="2"/>
  <c r="MD70" i="2"/>
  <c r="MD74" i="2"/>
  <c r="MD71" i="2"/>
  <c r="MD75" i="2"/>
  <c r="MD72" i="2"/>
  <c r="MD73" i="2" l="1"/>
  <c r="MF67" i="2"/>
  <c r="ME71" i="2"/>
  <c r="ME70" i="2"/>
  <c r="ME74" i="2"/>
  <c r="ME72" i="2"/>
  <c r="ME75" i="2"/>
  <c r="ME73" i="2" l="1"/>
  <c r="MG67" i="2"/>
  <c r="MF74" i="2"/>
  <c r="MF75" i="2"/>
  <c r="MF70" i="2"/>
  <c r="MF72" i="2"/>
  <c r="MF71" i="2"/>
  <c r="MF73" i="2" l="1"/>
  <c r="MH67" i="2"/>
  <c r="MG75" i="2"/>
  <c r="MG74" i="2"/>
  <c r="MG70" i="2"/>
  <c r="MG71" i="2"/>
  <c r="MG72" i="2"/>
  <c r="MG73" i="2" l="1"/>
  <c r="MI67" i="2"/>
  <c r="MH71" i="2"/>
  <c r="MH70" i="2"/>
  <c r="MH72" i="2"/>
  <c r="MH74" i="2"/>
  <c r="MH75" i="2"/>
  <c r="MH73" i="2" l="1"/>
  <c r="MJ67" i="2"/>
  <c r="MI70" i="2"/>
  <c r="MI72" i="2"/>
  <c r="MI74" i="2"/>
  <c r="MI71" i="2"/>
  <c r="MI75" i="2"/>
  <c r="MI73" i="2" l="1"/>
  <c r="MK67" i="2"/>
  <c r="MJ71" i="2"/>
  <c r="MJ72" i="2"/>
  <c r="MJ70" i="2"/>
  <c r="MJ74" i="2"/>
  <c r="MJ75" i="2"/>
  <c r="MJ73" i="2" l="1"/>
  <c r="ML67" i="2"/>
  <c r="MK75" i="2"/>
  <c r="MK72" i="2"/>
  <c r="MK74" i="2"/>
  <c r="MK71" i="2"/>
  <c r="MK70" i="2"/>
  <c r="MK73" i="2" l="1"/>
  <c r="MM67" i="2"/>
  <c r="ML72" i="2"/>
  <c r="ML74" i="2"/>
  <c r="ML71" i="2"/>
  <c r="ML75" i="2"/>
  <c r="ML70" i="2"/>
  <c r="ML73" i="2" l="1"/>
  <c r="MN67" i="2"/>
  <c r="MM71" i="2"/>
  <c r="MM70" i="2"/>
  <c r="MM72" i="2"/>
  <c r="MM75" i="2"/>
  <c r="MM74" i="2"/>
  <c r="MM73" i="2" l="1"/>
  <c r="MO67" i="2"/>
  <c r="MN70" i="2"/>
  <c r="MN75" i="2"/>
  <c r="MN72" i="2"/>
  <c r="MN74" i="2"/>
  <c r="MN71" i="2"/>
  <c r="MN73" i="2" l="1"/>
  <c r="MP67" i="2"/>
  <c r="MO75" i="2"/>
  <c r="MO74" i="2"/>
  <c r="MO71" i="2"/>
  <c r="MO70" i="2"/>
  <c r="MO72" i="2"/>
  <c r="MO73" i="2" l="1"/>
  <c r="MQ67" i="2"/>
  <c r="MP72" i="2"/>
  <c r="MP71" i="2"/>
  <c r="MP70" i="2"/>
  <c r="MP75" i="2"/>
  <c r="MP74" i="2"/>
  <c r="MP73" i="2" l="1"/>
  <c r="MR67" i="2"/>
  <c r="MQ70" i="2"/>
  <c r="MQ72" i="2"/>
  <c r="MQ74" i="2"/>
  <c r="MQ71" i="2"/>
  <c r="MQ75" i="2"/>
  <c r="MQ73" i="2" l="1"/>
  <c r="MS67" i="2"/>
  <c r="MR72" i="2"/>
  <c r="MR70" i="2"/>
  <c r="MR75" i="2"/>
  <c r="MR74" i="2"/>
  <c r="MR71" i="2"/>
  <c r="MR73" i="2" l="1"/>
  <c r="MT67" i="2"/>
  <c r="MS70" i="2"/>
  <c r="MS74" i="2"/>
  <c r="MS72" i="2"/>
  <c r="MS71" i="2"/>
  <c r="MS75" i="2"/>
  <c r="MS73" i="2" l="1"/>
  <c r="MU67" i="2"/>
  <c r="MT72" i="2"/>
  <c r="MT70" i="2"/>
  <c r="MT74" i="2"/>
  <c r="MT71" i="2"/>
  <c r="MT75" i="2"/>
  <c r="MT73" i="2" l="1"/>
  <c r="MV67" i="2"/>
  <c r="MU72" i="2"/>
  <c r="MU71" i="2"/>
  <c r="MU74" i="2"/>
  <c r="MU70" i="2"/>
  <c r="MU75" i="2"/>
  <c r="MU73" i="2" l="1"/>
  <c r="MW67" i="2"/>
  <c r="MV74" i="2"/>
  <c r="MV72" i="2"/>
  <c r="MV70" i="2"/>
  <c r="MV75" i="2"/>
  <c r="MV71" i="2"/>
  <c r="MV73" i="2" l="1"/>
  <c r="MX67" i="2"/>
  <c r="MW70" i="2"/>
  <c r="MW72" i="2"/>
  <c r="MW74" i="2"/>
  <c r="MW71" i="2"/>
  <c r="MW75" i="2"/>
  <c r="MW73" i="2" l="1"/>
  <c r="MY67" i="2"/>
  <c r="MX70" i="2"/>
  <c r="MX75" i="2"/>
  <c r="MX71" i="2"/>
  <c r="MX74" i="2"/>
  <c r="MX72" i="2"/>
  <c r="MX73" i="2" l="1"/>
  <c r="MZ67" i="2"/>
  <c r="MY71" i="2"/>
  <c r="MY70" i="2"/>
  <c r="MY74" i="2"/>
  <c r="MY72" i="2"/>
  <c r="MY75" i="2"/>
  <c r="MY73" i="2" l="1"/>
  <c r="NA67" i="2"/>
  <c r="MZ71" i="2"/>
  <c r="MZ70" i="2"/>
  <c r="MZ74" i="2"/>
  <c r="MZ75" i="2"/>
  <c r="MZ72" i="2"/>
  <c r="MZ73" i="2" l="1"/>
  <c r="NB67" i="2"/>
  <c r="NA72" i="2"/>
  <c r="NA75" i="2"/>
  <c r="NA74" i="2"/>
  <c r="NA70" i="2"/>
  <c r="NA71" i="2"/>
  <c r="NA73" i="2" l="1"/>
  <c r="NC67" i="2"/>
  <c r="NB70" i="2"/>
  <c r="NB74" i="2"/>
  <c r="NB71" i="2"/>
  <c r="NB75" i="2"/>
  <c r="NB72" i="2"/>
  <c r="NB73" i="2" l="1"/>
  <c r="ND67" i="2"/>
  <c r="NC72" i="2"/>
  <c r="NC71" i="2"/>
  <c r="NC74" i="2"/>
  <c r="NC75" i="2"/>
  <c r="NC70" i="2"/>
  <c r="NC73" i="2" l="1"/>
  <c r="NE67" i="2"/>
  <c r="ND70" i="2"/>
  <c r="ND75" i="2"/>
  <c r="ND72" i="2"/>
  <c r="ND74" i="2"/>
  <c r="ND71" i="2"/>
  <c r="ND73" i="2" l="1"/>
  <c r="NF67" i="2"/>
  <c r="NE72" i="2"/>
  <c r="NE71" i="2"/>
  <c r="NE75" i="2"/>
  <c r="NE70" i="2"/>
  <c r="NE74" i="2"/>
  <c r="NE73" i="2" l="1"/>
  <c r="NG67" i="2"/>
  <c r="NF74" i="2"/>
  <c r="NF72" i="2"/>
  <c r="NF71" i="2"/>
  <c r="NF70" i="2"/>
  <c r="NF75" i="2"/>
  <c r="NF73" i="2" l="1"/>
  <c r="NH67" i="2"/>
  <c r="NG70" i="2"/>
  <c r="NG72" i="2"/>
  <c r="NG71" i="2"/>
  <c r="NG74" i="2"/>
  <c r="NG75" i="2"/>
  <c r="NG73" i="2" l="1"/>
  <c r="NI67" i="2"/>
  <c r="NH71" i="2"/>
  <c r="NH72" i="2"/>
  <c r="NH74" i="2"/>
  <c r="NH70" i="2"/>
  <c r="NH75" i="2"/>
  <c r="NH73" i="2" l="1"/>
  <c r="NJ67" i="2"/>
  <c r="NI74" i="2"/>
  <c r="NI71" i="2"/>
  <c r="NI70" i="2"/>
  <c r="NI75" i="2"/>
  <c r="NI72" i="2"/>
  <c r="NI73" i="2" l="1"/>
  <c r="NK67" i="2"/>
  <c r="NJ70" i="2"/>
  <c r="NJ75" i="2"/>
  <c r="NJ71" i="2"/>
  <c r="NJ72" i="2"/>
  <c r="NJ74" i="2"/>
  <c r="NJ73" i="2" l="1"/>
  <c r="NL67" i="2"/>
  <c r="NK74" i="2"/>
  <c r="NK72" i="2"/>
  <c r="NK71" i="2"/>
  <c r="NK75" i="2"/>
  <c r="NK70" i="2"/>
  <c r="NK73" i="2" l="1"/>
  <c r="NM67" i="2"/>
  <c r="NL72" i="2"/>
  <c r="NL71" i="2"/>
  <c r="NL70" i="2"/>
  <c r="NL75" i="2"/>
  <c r="NL74" i="2"/>
  <c r="NL73" i="2" l="1"/>
  <c r="NN67" i="2"/>
  <c r="NM75" i="2"/>
  <c r="NM70" i="2"/>
  <c r="NM74" i="2"/>
  <c r="NM72" i="2"/>
  <c r="NM71" i="2"/>
  <c r="NM73" i="2" l="1"/>
  <c r="NO67" i="2"/>
  <c r="NN71" i="2"/>
  <c r="NN72" i="2"/>
  <c r="NN75" i="2"/>
  <c r="NN70" i="2"/>
  <c r="NN74" i="2"/>
  <c r="NN73" i="2" l="1"/>
  <c r="NP67" i="2"/>
  <c r="NO71" i="2"/>
  <c r="NO72" i="2"/>
  <c r="NO75" i="2"/>
  <c r="NO70" i="2"/>
  <c r="NO74" i="2"/>
  <c r="NO73" i="2" l="1"/>
  <c r="NQ67" i="2"/>
  <c r="NP70" i="2"/>
  <c r="NP71" i="2"/>
  <c r="NP75" i="2"/>
  <c r="NP72" i="2"/>
  <c r="NP74" i="2"/>
  <c r="NP73" i="2" l="1"/>
  <c r="NR67" i="2"/>
  <c r="NQ75" i="2"/>
  <c r="NQ72" i="2"/>
  <c r="NQ70" i="2"/>
  <c r="NQ74" i="2"/>
  <c r="NQ71" i="2"/>
  <c r="NQ73" i="2" l="1"/>
  <c r="NS67" i="2"/>
  <c r="NR72" i="2"/>
  <c r="NR71" i="2"/>
  <c r="NR75" i="2"/>
  <c r="NR74" i="2"/>
  <c r="NR70" i="2"/>
  <c r="NR73" i="2" l="1"/>
  <c r="NT67" i="2"/>
  <c r="NS74" i="2"/>
  <c r="NS75" i="2"/>
  <c r="NS71" i="2"/>
  <c r="NS70" i="2"/>
  <c r="NS72" i="2"/>
  <c r="NS73" i="2" l="1"/>
  <c r="NU67" i="2"/>
  <c r="NT75" i="2"/>
  <c r="NT70" i="2"/>
  <c r="NT72" i="2"/>
  <c r="NT71" i="2"/>
  <c r="NT74" i="2"/>
  <c r="NT73" i="2" l="1"/>
  <c r="NV67" i="2"/>
  <c r="NU71" i="2"/>
  <c r="NU72" i="2"/>
  <c r="NU75" i="2"/>
  <c r="NU70" i="2"/>
  <c r="NU74" i="2"/>
  <c r="NU73" i="2" l="1"/>
  <c r="NW67" i="2"/>
  <c r="NV70" i="2"/>
  <c r="NV74" i="2"/>
  <c r="NV75" i="2"/>
  <c r="NV71" i="2"/>
  <c r="NV72" i="2"/>
  <c r="NV73" i="2" l="1"/>
  <c r="NX67" i="2"/>
  <c r="NW71" i="2"/>
  <c r="NW74" i="2"/>
  <c r="NW70" i="2"/>
  <c r="NW72" i="2"/>
  <c r="NW75" i="2"/>
  <c r="NW73" i="2" l="1"/>
  <c r="NY67" i="2"/>
  <c r="NX70" i="2"/>
  <c r="NX72" i="2"/>
  <c r="NX71" i="2"/>
  <c r="NX74" i="2"/>
  <c r="NX75" i="2"/>
  <c r="NX73" i="2" l="1"/>
  <c r="NZ67" i="2"/>
  <c r="NY74" i="2"/>
  <c r="NY75" i="2"/>
  <c r="NY70" i="2"/>
  <c r="NY72" i="2"/>
  <c r="NY71" i="2"/>
  <c r="NY73" i="2" l="1"/>
  <c r="OA67" i="2"/>
  <c r="NZ75" i="2"/>
  <c r="NZ70" i="2"/>
  <c r="NZ72" i="2"/>
  <c r="NZ74" i="2"/>
  <c r="NZ71" i="2"/>
  <c r="NZ73" i="2" l="1"/>
  <c r="OB67" i="2"/>
  <c r="OA74" i="2"/>
  <c r="OA71" i="2"/>
  <c r="OA70" i="2"/>
  <c r="OA72" i="2"/>
  <c r="OA75" i="2"/>
  <c r="OA73" i="2" l="1"/>
  <c r="OC67" i="2"/>
  <c r="OB74" i="2"/>
  <c r="OB75" i="2"/>
  <c r="OB71" i="2"/>
  <c r="OB70" i="2"/>
  <c r="OB72" i="2"/>
  <c r="OB73" i="2" l="1"/>
  <c r="OD67" i="2"/>
  <c r="OC75" i="2"/>
  <c r="OC71" i="2"/>
  <c r="OC74" i="2"/>
  <c r="OC70" i="2"/>
  <c r="OC72" i="2"/>
  <c r="OC73" i="2" l="1"/>
  <c r="OE67" i="2"/>
  <c r="OD71" i="2"/>
  <c r="OD75" i="2"/>
  <c r="OD74" i="2"/>
  <c r="OD72" i="2"/>
  <c r="OD70" i="2"/>
  <c r="OD73" i="2" l="1"/>
  <c r="OF67" i="2"/>
  <c r="OE75" i="2"/>
  <c r="OE74" i="2"/>
  <c r="OE72" i="2"/>
  <c r="OE71" i="2"/>
  <c r="OE70" i="2"/>
  <c r="OE73" i="2" l="1"/>
  <c r="OG67" i="2"/>
  <c r="OF71" i="2"/>
  <c r="OF75" i="2"/>
  <c r="OF74" i="2"/>
  <c r="OF72" i="2"/>
  <c r="OF70" i="2"/>
  <c r="OF73" i="2" l="1"/>
  <c r="OH67" i="2"/>
  <c r="OG71" i="2"/>
  <c r="OG70" i="2"/>
  <c r="OG74" i="2"/>
  <c r="OG75" i="2"/>
  <c r="OG72" i="2"/>
  <c r="OG73" i="2" l="1"/>
  <c r="OI67" i="2"/>
  <c r="OH74" i="2"/>
  <c r="OH71" i="2"/>
  <c r="OH75" i="2"/>
  <c r="OH70" i="2"/>
  <c r="OH72" i="2"/>
  <c r="OH73" i="2" l="1"/>
  <c r="OJ67" i="2"/>
  <c r="OI70" i="2"/>
  <c r="OI71" i="2"/>
  <c r="OI75" i="2"/>
  <c r="OI74" i="2"/>
  <c r="OI72" i="2"/>
  <c r="OI73" i="2" l="1"/>
  <c r="OK67" i="2"/>
  <c r="OJ74" i="2"/>
  <c r="OJ72" i="2"/>
  <c r="OJ70" i="2"/>
  <c r="OJ75" i="2"/>
  <c r="OJ71" i="2"/>
  <c r="OJ73" i="2" l="1"/>
  <c r="OL67" i="2"/>
  <c r="OK74" i="2"/>
  <c r="OK71" i="2"/>
  <c r="OK72" i="2"/>
  <c r="OK70" i="2"/>
  <c r="OK75" i="2"/>
  <c r="OK73" i="2" l="1"/>
  <c r="OM67" i="2"/>
  <c r="OL71" i="2"/>
  <c r="OL75" i="2"/>
  <c r="OL70" i="2"/>
  <c r="OL72" i="2"/>
  <c r="OL74" i="2"/>
  <c r="OL73" i="2" l="1"/>
  <c r="ON67" i="2"/>
  <c r="OM74" i="2"/>
  <c r="OM75" i="2"/>
  <c r="OM71" i="2"/>
  <c r="OM70" i="2"/>
  <c r="OM72" i="2"/>
  <c r="OM73" i="2" l="1"/>
  <c r="OO67" i="2"/>
  <c r="ON70" i="2"/>
  <c r="ON75" i="2"/>
  <c r="ON74" i="2"/>
  <c r="ON72" i="2"/>
  <c r="ON71" i="2"/>
  <c r="ON73" i="2" l="1"/>
  <c r="OP67" i="2"/>
  <c r="OO70" i="2"/>
  <c r="OO74" i="2"/>
  <c r="OO75" i="2"/>
  <c r="OO71" i="2"/>
  <c r="OO72" i="2"/>
  <c r="OO73" i="2" l="1"/>
  <c r="OQ67" i="2"/>
  <c r="OP75" i="2"/>
  <c r="OP74" i="2"/>
  <c r="OP72" i="2"/>
  <c r="OP70" i="2"/>
  <c r="OP71" i="2"/>
  <c r="OP73" i="2" l="1"/>
  <c r="OR67" i="2"/>
  <c r="OQ75" i="2"/>
  <c r="OQ74" i="2"/>
  <c r="OQ71" i="2"/>
  <c r="OQ72" i="2"/>
  <c r="OQ70" i="2"/>
  <c r="OQ73" i="2" l="1"/>
  <c r="OS67" i="2"/>
  <c r="OR71" i="2"/>
  <c r="OR75" i="2"/>
  <c r="OR70" i="2"/>
  <c r="OR72" i="2"/>
  <c r="OR74" i="2"/>
  <c r="OR73" i="2" l="1"/>
  <c r="OT67" i="2"/>
  <c r="OS72" i="2"/>
  <c r="OS71" i="2"/>
  <c r="OS75" i="2"/>
  <c r="OS70" i="2"/>
  <c r="OS74" i="2"/>
  <c r="OS73" i="2" l="1"/>
  <c r="OU67" i="2"/>
  <c r="OT75" i="2"/>
  <c r="OT72" i="2"/>
  <c r="OT74" i="2"/>
  <c r="OT71" i="2"/>
  <c r="OT70" i="2"/>
  <c r="OT73" i="2" l="1"/>
  <c r="OV67" i="2"/>
  <c r="OU70" i="2"/>
  <c r="OU75" i="2"/>
  <c r="OU72" i="2"/>
  <c r="OU71" i="2"/>
  <c r="OU74" i="2"/>
  <c r="OU73" i="2" l="1"/>
  <c r="OW67" i="2"/>
  <c r="OV74" i="2"/>
  <c r="OV70" i="2"/>
  <c r="OV71" i="2"/>
  <c r="OV72" i="2"/>
  <c r="OV75" i="2"/>
  <c r="OV73" i="2" l="1"/>
  <c r="OX67" i="2"/>
  <c r="OW72" i="2"/>
  <c r="OW75" i="2"/>
  <c r="OW70" i="2"/>
  <c r="OW71" i="2"/>
  <c r="OW74" i="2"/>
  <c r="OW73" i="2" l="1"/>
  <c r="OY67" i="2"/>
  <c r="OX71" i="2"/>
  <c r="OX70" i="2"/>
  <c r="OX72" i="2"/>
  <c r="OX75" i="2"/>
  <c r="OX74" i="2"/>
  <c r="OX73" i="2" l="1"/>
  <c r="OZ67" i="2"/>
  <c r="OY72" i="2"/>
  <c r="OY71" i="2"/>
  <c r="OY75" i="2"/>
  <c r="OY70" i="2"/>
  <c r="OY74" i="2"/>
  <c r="OY73" i="2" l="1"/>
  <c r="PA67" i="2"/>
  <c r="OZ70" i="2"/>
  <c r="OZ75" i="2"/>
  <c r="OZ72" i="2"/>
  <c r="OZ71" i="2"/>
  <c r="OZ74" i="2"/>
  <c r="OZ73" i="2" l="1"/>
  <c r="PB67" i="2"/>
  <c r="PA70" i="2"/>
  <c r="PA75" i="2"/>
  <c r="PA72" i="2"/>
  <c r="PA71" i="2"/>
  <c r="PA74" i="2"/>
  <c r="PA73" i="2" l="1"/>
  <c r="PC67" i="2"/>
  <c r="PB71" i="2"/>
  <c r="PB72" i="2"/>
  <c r="PB74" i="2"/>
  <c r="PB75" i="2"/>
  <c r="PB70" i="2"/>
  <c r="PB73" i="2" l="1"/>
  <c r="PD67" i="2"/>
  <c r="PC70" i="2"/>
  <c r="PC74" i="2"/>
  <c r="PC75" i="2"/>
  <c r="PC72" i="2"/>
  <c r="PC71" i="2"/>
  <c r="PC73" i="2" l="1"/>
  <c r="PE67" i="2"/>
  <c r="PD70" i="2"/>
  <c r="PD71" i="2"/>
  <c r="PD74" i="2"/>
  <c r="PD72" i="2"/>
  <c r="PD75" i="2"/>
  <c r="PD73" i="2" l="1"/>
  <c r="PF67" i="2"/>
  <c r="PE75" i="2"/>
  <c r="PE72" i="2"/>
  <c r="PE74" i="2"/>
  <c r="PE70" i="2"/>
  <c r="PE71" i="2"/>
  <c r="PE73" i="2" l="1"/>
  <c r="PG67" i="2"/>
  <c r="PF75" i="2"/>
  <c r="PF72" i="2"/>
  <c r="PF71" i="2"/>
  <c r="PF70" i="2"/>
  <c r="PF74" i="2"/>
  <c r="PF73" i="2" l="1"/>
  <c r="PH67" i="2"/>
  <c r="PG71" i="2"/>
  <c r="PG75" i="2"/>
  <c r="PG74" i="2"/>
  <c r="PG70" i="2"/>
  <c r="PG72" i="2"/>
  <c r="PG73" i="2" l="1"/>
  <c r="PI67" i="2"/>
  <c r="PH75" i="2"/>
  <c r="PH74" i="2"/>
  <c r="PH71" i="2"/>
  <c r="PH70" i="2"/>
  <c r="PH72" i="2"/>
  <c r="PH73" i="2" l="1"/>
  <c r="PJ67" i="2"/>
  <c r="PI70" i="2"/>
  <c r="PI71" i="2"/>
  <c r="PI72" i="2"/>
  <c r="PI75" i="2"/>
  <c r="PI74" i="2"/>
  <c r="PI73" i="2" l="1"/>
  <c r="PK67" i="2"/>
  <c r="PJ75" i="2"/>
  <c r="PJ72" i="2"/>
  <c r="PJ71" i="2"/>
  <c r="PJ74" i="2"/>
  <c r="PJ70" i="2"/>
  <c r="PJ73" i="2" l="1"/>
  <c r="PL67" i="2"/>
  <c r="PK71" i="2"/>
  <c r="PK72" i="2"/>
  <c r="PK75" i="2"/>
  <c r="PK70" i="2"/>
  <c r="PK74" i="2"/>
  <c r="PK73" i="2" l="1"/>
  <c r="PM67" i="2"/>
  <c r="PL74" i="2"/>
  <c r="PL70" i="2"/>
  <c r="PL71" i="2"/>
  <c r="PL72" i="2"/>
  <c r="PL75" i="2"/>
  <c r="PL73" i="2" l="1"/>
  <c r="PN67" i="2"/>
  <c r="PM70" i="2"/>
  <c r="PM71" i="2"/>
  <c r="PM74" i="2"/>
  <c r="PM72" i="2"/>
  <c r="PM75" i="2"/>
  <c r="PM73" i="2" l="1"/>
  <c r="PO67" i="2"/>
  <c r="PN75" i="2"/>
  <c r="PN74" i="2"/>
  <c r="PN70" i="2"/>
  <c r="PN72" i="2"/>
  <c r="PN71" i="2"/>
  <c r="PN73" i="2" l="1"/>
  <c r="PP67" i="2"/>
  <c r="PO75" i="2"/>
  <c r="PO71" i="2"/>
  <c r="PO74" i="2"/>
  <c r="PO70" i="2"/>
  <c r="PO72" i="2"/>
  <c r="PO73" i="2" l="1"/>
  <c r="PQ67" i="2"/>
  <c r="PP71" i="2"/>
  <c r="PP74" i="2"/>
  <c r="PP75" i="2"/>
  <c r="PP72" i="2"/>
  <c r="PP70" i="2"/>
  <c r="PP73" i="2" l="1"/>
  <c r="PR67" i="2"/>
  <c r="PQ72" i="2"/>
  <c r="PQ71" i="2"/>
  <c r="PQ70" i="2"/>
  <c r="PQ74" i="2"/>
  <c r="PQ75" i="2"/>
  <c r="PQ73" i="2" l="1"/>
  <c r="PS67" i="2"/>
  <c r="PR74" i="2"/>
  <c r="PR70" i="2"/>
  <c r="PR75" i="2"/>
  <c r="PR71" i="2"/>
  <c r="PR72" i="2"/>
  <c r="PR73" i="2" l="1"/>
  <c r="PT67" i="2"/>
  <c r="PS75" i="2"/>
  <c r="PS71" i="2"/>
  <c r="PS72" i="2"/>
  <c r="PS74" i="2"/>
  <c r="PS70" i="2"/>
  <c r="PS73" i="2" l="1"/>
  <c r="PU67" i="2"/>
  <c r="PT72" i="2"/>
  <c r="PT75" i="2"/>
  <c r="PT74" i="2"/>
  <c r="PT70" i="2"/>
  <c r="PT71" i="2"/>
  <c r="PT73" i="2" l="1"/>
  <c r="PV67" i="2"/>
  <c r="PU72" i="2"/>
  <c r="PU70" i="2"/>
  <c r="PU71" i="2"/>
  <c r="PU74" i="2"/>
  <c r="PU75" i="2"/>
  <c r="PU73" i="2" l="1"/>
  <c r="PW67" i="2"/>
  <c r="PV70" i="2"/>
  <c r="PV72" i="2"/>
  <c r="PV74" i="2"/>
  <c r="PV71" i="2"/>
  <c r="PV75" i="2"/>
  <c r="PV73" i="2" l="1"/>
  <c r="PX67" i="2"/>
  <c r="PW70" i="2"/>
  <c r="PW72" i="2"/>
  <c r="PW71" i="2"/>
  <c r="PW74" i="2"/>
  <c r="PW75" i="2"/>
  <c r="PW73" i="2" l="1"/>
  <c r="PY67" i="2"/>
  <c r="PX75" i="2"/>
  <c r="PX72" i="2"/>
  <c r="PX74" i="2"/>
  <c r="PX70" i="2"/>
  <c r="PX71" i="2"/>
  <c r="PX73" i="2" l="1"/>
  <c r="PZ67" i="2"/>
  <c r="PY70" i="2"/>
  <c r="PY75" i="2"/>
  <c r="PY71" i="2"/>
  <c r="PY74" i="2"/>
  <c r="PY72" i="2"/>
  <c r="PY73" i="2" l="1"/>
  <c r="QA67" i="2"/>
  <c r="PZ70" i="2"/>
  <c r="PZ71" i="2"/>
  <c r="PZ72" i="2"/>
  <c r="PZ75" i="2"/>
  <c r="PZ74" i="2"/>
  <c r="PZ73" i="2" l="1"/>
  <c r="QB67" i="2"/>
  <c r="QA74" i="2"/>
  <c r="QA75" i="2"/>
  <c r="QA71" i="2"/>
  <c r="QA72" i="2"/>
  <c r="QA70" i="2"/>
  <c r="QA73" i="2" l="1"/>
  <c r="QC67" i="2"/>
  <c r="QB72" i="2"/>
  <c r="QB75" i="2"/>
  <c r="QB71" i="2"/>
  <c r="QB70" i="2"/>
  <c r="QB74" i="2"/>
  <c r="QB73" i="2" l="1"/>
  <c r="QD67" i="2"/>
  <c r="QC70" i="2"/>
  <c r="QC74" i="2"/>
  <c r="QC71" i="2"/>
  <c r="QC75" i="2"/>
  <c r="QC72" i="2"/>
  <c r="QC73" i="2" l="1"/>
  <c r="QE67" i="2"/>
  <c r="QD74" i="2"/>
  <c r="QD71" i="2"/>
  <c r="QD70" i="2"/>
  <c r="QD72" i="2"/>
  <c r="QD75" i="2"/>
  <c r="QD73" i="2" l="1"/>
  <c r="QF67" i="2"/>
  <c r="QE75" i="2"/>
  <c r="QE70" i="2"/>
  <c r="QE72" i="2"/>
  <c r="QE71" i="2"/>
  <c r="QE74" i="2"/>
  <c r="QE73" i="2" l="1"/>
  <c r="QG67" i="2"/>
  <c r="QF75" i="2"/>
  <c r="QF70" i="2"/>
  <c r="QF71" i="2"/>
  <c r="QF72" i="2"/>
  <c r="QF74" i="2"/>
  <c r="QF73" i="2" l="1"/>
  <c r="QH67" i="2"/>
  <c r="QG72" i="2"/>
  <c r="QG74" i="2"/>
  <c r="QG71" i="2"/>
  <c r="QG70" i="2"/>
  <c r="QG75" i="2"/>
  <c r="QG73" i="2" l="1"/>
  <c r="QI67" i="2"/>
  <c r="QH75" i="2"/>
  <c r="QH72" i="2"/>
  <c r="QH70" i="2"/>
  <c r="QH71" i="2"/>
  <c r="QH74" i="2"/>
  <c r="QH73" i="2" l="1"/>
  <c r="QJ67" i="2"/>
  <c r="QI71" i="2"/>
  <c r="QI75" i="2"/>
  <c r="QI70" i="2"/>
  <c r="QI74" i="2"/>
  <c r="QI72" i="2"/>
  <c r="QI73" i="2" l="1"/>
  <c r="QK67" i="2"/>
  <c r="QJ75" i="2"/>
  <c r="QJ71" i="2"/>
  <c r="QJ74" i="2"/>
  <c r="QJ72" i="2"/>
  <c r="QJ70" i="2"/>
  <c r="QJ73" i="2" l="1"/>
  <c r="QL67" i="2"/>
  <c r="QK72" i="2"/>
  <c r="QK74" i="2"/>
  <c r="QK71" i="2"/>
  <c r="QK75" i="2"/>
  <c r="QK70" i="2"/>
  <c r="QK73" i="2" l="1"/>
  <c r="QM67" i="2"/>
  <c r="QL71" i="2"/>
  <c r="QL74" i="2"/>
  <c r="QL70" i="2"/>
  <c r="QL75" i="2"/>
  <c r="QL72" i="2"/>
  <c r="QL73" i="2" l="1"/>
  <c r="QN67" i="2"/>
  <c r="QM71" i="2"/>
  <c r="QM70" i="2"/>
  <c r="QM75" i="2"/>
  <c r="QM72" i="2"/>
  <c r="QM74" i="2"/>
  <c r="QM73" i="2" l="1"/>
  <c r="QO67" i="2"/>
  <c r="QN71" i="2"/>
  <c r="QN70" i="2"/>
  <c r="QN74" i="2"/>
  <c r="QN75" i="2"/>
  <c r="QN72" i="2"/>
  <c r="QN73" i="2" l="1"/>
  <c r="QP67" i="2"/>
  <c r="QO71" i="2"/>
  <c r="QO72" i="2"/>
  <c r="QO75" i="2"/>
  <c r="QO70" i="2"/>
  <c r="QO74" i="2"/>
  <c r="QO73" i="2" l="1"/>
  <c r="QQ67" i="2"/>
  <c r="QP71" i="2"/>
  <c r="QP72" i="2"/>
  <c r="QP70" i="2"/>
  <c r="QP75" i="2"/>
  <c r="QP74" i="2"/>
  <c r="QP73" i="2" l="1"/>
  <c r="QR67" i="2"/>
  <c r="QQ70" i="2"/>
  <c r="QQ74" i="2"/>
  <c r="QQ72" i="2"/>
  <c r="QQ71" i="2"/>
  <c r="QQ75" i="2"/>
  <c r="QQ73" i="2" l="1"/>
  <c r="QS67" i="2"/>
  <c r="QR75" i="2"/>
  <c r="QR72" i="2"/>
  <c r="QR71" i="2"/>
  <c r="QR70" i="2"/>
  <c r="QR74" i="2"/>
  <c r="QR73" i="2" l="1"/>
  <c r="QT67" i="2"/>
  <c r="QS70" i="2"/>
  <c r="QS72" i="2"/>
  <c r="QS71" i="2"/>
  <c r="QS75" i="2"/>
  <c r="QS74" i="2"/>
  <c r="QS73" i="2" l="1"/>
  <c r="QU67" i="2"/>
  <c r="QT74" i="2"/>
  <c r="QT71" i="2"/>
  <c r="QT70" i="2"/>
  <c r="QT75" i="2"/>
  <c r="QT72" i="2"/>
  <c r="QT73" i="2" l="1"/>
  <c r="QV67" i="2"/>
  <c r="QU71" i="2"/>
  <c r="QU74" i="2"/>
  <c r="QU75" i="2"/>
  <c r="QU72" i="2"/>
  <c r="QU70" i="2"/>
  <c r="QU73" i="2" l="1"/>
  <c r="QW67" i="2"/>
  <c r="QV72" i="2"/>
  <c r="QV71" i="2"/>
  <c r="QV74" i="2"/>
  <c r="QV75" i="2"/>
  <c r="QV70" i="2"/>
  <c r="QV73" i="2" l="1"/>
  <c r="QX67" i="2"/>
  <c r="QW70" i="2"/>
  <c r="QW74" i="2"/>
  <c r="QW72" i="2"/>
  <c r="QW75" i="2"/>
  <c r="QW71" i="2"/>
  <c r="QW73" i="2" l="1"/>
  <c r="QY67" i="2"/>
  <c r="QX72" i="2"/>
  <c r="QX74" i="2"/>
  <c r="QX70" i="2"/>
  <c r="QX75" i="2"/>
  <c r="QX71" i="2"/>
  <c r="QX73" i="2" l="1"/>
  <c r="QZ67" i="2"/>
  <c r="QY71" i="2"/>
  <c r="QY75" i="2"/>
  <c r="QY70" i="2"/>
  <c r="QY72" i="2"/>
  <c r="QY74" i="2"/>
  <c r="QY73" i="2" l="1"/>
  <c r="RA67" i="2"/>
  <c r="QZ71" i="2"/>
  <c r="QZ75" i="2"/>
  <c r="QZ70" i="2"/>
  <c r="QZ74" i="2"/>
  <c r="QZ72" i="2"/>
  <c r="RB76" i="2" l="1"/>
  <c r="RB67" i="2"/>
  <c r="DJ78" i="2" s="1"/>
  <c r="QZ73" i="2"/>
  <c r="RA72" i="2"/>
  <c r="RA74" i="2"/>
  <c r="RA70" i="2"/>
  <c r="RA75" i="2"/>
  <c r="RA71" i="2"/>
  <c r="RA73" i="2" l="1"/>
  <c r="DJ77" i="2"/>
  <c r="DK77" i="2" s="1"/>
  <c r="DL77" i="2" s="1"/>
  <c r="DM77" i="2" s="1"/>
  <c r="DN77" i="2" s="1"/>
  <c r="DO77" i="2" s="1"/>
  <c r="DP77" i="2" s="1"/>
  <c r="DQ77" i="2" s="1"/>
  <c r="DR77" i="2" s="1"/>
  <c r="DS77" i="2" s="1"/>
  <c r="DT77" i="2" s="1"/>
  <c r="DU77" i="2" s="1"/>
  <c r="DV77" i="2" s="1"/>
  <c r="DW77" i="2" s="1"/>
  <c r="DX77" i="2" s="1"/>
  <c r="DY77" i="2" s="1"/>
  <c r="DZ77" i="2" s="1"/>
  <c r="EA77" i="2" s="1"/>
  <c r="EB77" i="2" s="1"/>
  <c r="EC77" i="2" s="1"/>
  <c r="ED77" i="2" s="1"/>
  <c r="EE77" i="2" s="1"/>
  <c r="EF77" i="2" s="1"/>
  <c r="EG77" i="2" s="1"/>
  <c r="EH77" i="2" s="1"/>
  <c r="EI77" i="2" s="1"/>
  <c r="EJ77" i="2" s="1"/>
  <c r="EK77" i="2" s="1"/>
  <c r="EL77" i="2" s="1"/>
  <c r="EM77" i="2" s="1"/>
  <c r="EN77" i="2" s="1"/>
  <c r="EO77" i="2" s="1"/>
  <c r="EP77" i="2" s="1"/>
  <c r="EQ77" i="2" s="1"/>
  <c r="ER77" i="2" s="1"/>
  <c r="ES77" i="2" s="1"/>
  <c r="ET77" i="2" s="1"/>
  <c r="EU77" i="2" s="1"/>
  <c r="EV77" i="2" s="1"/>
  <c r="EW77" i="2" s="1"/>
  <c r="EX77" i="2" s="1"/>
  <c r="EY77" i="2" s="1"/>
  <c r="EZ77" i="2" s="1"/>
  <c r="FA77" i="2" s="1"/>
  <c r="FB77" i="2" s="1"/>
  <c r="FC77" i="2" s="1"/>
  <c r="FD77" i="2" s="1"/>
  <c r="FE77" i="2" s="1"/>
  <c r="FF77" i="2" s="1"/>
  <c r="FG77" i="2" s="1"/>
  <c r="FH77" i="2" s="1"/>
  <c r="FI77" i="2" s="1"/>
  <c r="FJ77" i="2" s="1"/>
  <c r="FK77" i="2" s="1"/>
  <c r="FL77" i="2" s="1"/>
  <c r="FM77" i="2" s="1"/>
  <c r="FN77" i="2" s="1"/>
  <c r="FO77" i="2" s="1"/>
  <c r="FP77" i="2" s="1"/>
  <c r="FQ77" i="2" s="1"/>
  <c r="FR77" i="2" s="1"/>
  <c r="FS77" i="2" s="1"/>
  <c r="FT77" i="2" s="1"/>
  <c r="FU77" i="2" s="1"/>
  <c r="FV77" i="2" s="1"/>
  <c r="FW77" i="2" s="1"/>
  <c r="FX77" i="2" s="1"/>
  <c r="FY77" i="2" s="1"/>
  <c r="FZ77" i="2" s="1"/>
  <c r="GA77" i="2" s="1"/>
  <c r="GB77" i="2" s="1"/>
  <c r="GC77" i="2" s="1"/>
  <c r="GD77" i="2" s="1"/>
  <c r="GE77" i="2" s="1"/>
  <c r="GF77" i="2" s="1"/>
  <c r="GG77" i="2" s="1"/>
  <c r="GH77" i="2" s="1"/>
  <c r="GI77" i="2" s="1"/>
  <c r="GJ77" i="2" s="1"/>
  <c r="GK77" i="2" s="1"/>
  <c r="GL77" i="2" s="1"/>
  <c r="GM77" i="2" s="1"/>
  <c r="GN77" i="2" s="1"/>
  <c r="GO77" i="2" s="1"/>
  <c r="GP77" i="2" s="1"/>
  <c r="GQ77" i="2" s="1"/>
  <c r="GR77" i="2" s="1"/>
  <c r="GS77" i="2" s="1"/>
  <c r="GT77" i="2" s="1"/>
  <c r="GU77" i="2" s="1"/>
  <c r="GV77" i="2" s="1"/>
  <c r="GW77" i="2" s="1"/>
  <c r="GX77" i="2" s="1"/>
  <c r="GY77" i="2" s="1"/>
  <c r="GZ77" i="2" s="1"/>
  <c r="HA77" i="2" s="1"/>
  <c r="HB77" i="2" s="1"/>
  <c r="HC77" i="2" s="1"/>
  <c r="HD77" i="2" s="1"/>
  <c r="HE77" i="2" s="1"/>
  <c r="HF77" i="2" s="1"/>
  <c r="HG77" i="2" s="1"/>
  <c r="HH77" i="2" s="1"/>
  <c r="HI77" i="2" s="1"/>
  <c r="HJ77" i="2" s="1"/>
  <c r="HK77" i="2" s="1"/>
  <c r="HL77" i="2" s="1"/>
  <c r="HM77" i="2" s="1"/>
  <c r="HN77" i="2" s="1"/>
  <c r="HO77" i="2" s="1"/>
  <c r="HP77" i="2" s="1"/>
  <c r="HQ77" i="2" s="1"/>
  <c r="HR77" i="2" s="1"/>
  <c r="HS77" i="2" s="1"/>
  <c r="HT77" i="2" s="1"/>
  <c r="HU77" i="2" s="1"/>
  <c r="HV77" i="2" s="1"/>
  <c r="HW77" i="2" s="1"/>
  <c r="HX77" i="2" s="1"/>
  <c r="HY77" i="2" s="1"/>
  <c r="HZ77" i="2" s="1"/>
  <c r="IA77" i="2" s="1"/>
  <c r="IB77" i="2" s="1"/>
  <c r="IC77" i="2" s="1"/>
  <c r="ID77" i="2" s="1"/>
  <c r="IE77" i="2" s="1"/>
  <c r="IF77" i="2" s="1"/>
  <c r="IG77" i="2" s="1"/>
  <c r="IH77" i="2" s="1"/>
  <c r="II77" i="2" s="1"/>
  <c r="IJ77" i="2" s="1"/>
  <c r="IK77" i="2" s="1"/>
  <c r="IL77" i="2" s="1"/>
  <c r="IM77" i="2" s="1"/>
  <c r="IN77" i="2" s="1"/>
  <c r="IO77" i="2" s="1"/>
  <c r="IP77" i="2" s="1"/>
  <c r="IQ77" i="2" s="1"/>
  <c r="IR77" i="2" s="1"/>
  <c r="IS77" i="2" s="1"/>
  <c r="IT77" i="2" s="1"/>
  <c r="IU77" i="2" s="1"/>
  <c r="IV77" i="2" s="1"/>
  <c r="IW77" i="2" s="1"/>
  <c r="IX77" i="2" s="1"/>
  <c r="IY77" i="2" s="1"/>
  <c r="IZ77" i="2" s="1"/>
  <c r="JA77" i="2" s="1"/>
  <c r="JB77" i="2" s="1"/>
  <c r="JC77" i="2" s="1"/>
  <c r="JD77" i="2" s="1"/>
  <c r="JE77" i="2" s="1"/>
  <c r="JF77" i="2" s="1"/>
  <c r="JG77" i="2" s="1"/>
  <c r="JH77" i="2" s="1"/>
  <c r="JI77" i="2" s="1"/>
  <c r="JJ77" i="2" s="1"/>
  <c r="JK77" i="2" s="1"/>
  <c r="JL77" i="2" s="1"/>
  <c r="JM77" i="2" s="1"/>
  <c r="JN77" i="2" s="1"/>
  <c r="JO77" i="2" s="1"/>
  <c r="JP77" i="2" s="1"/>
  <c r="JQ77" i="2" s="1"/>
  <c r="JR77" i="2" s="1"/>
  <c r="JS77" i="2" s="1"/>
  <c r="JT77" i="2" s="1"/>
  <c r="JU77" i="2" s="1"/>
  <c r="JV77" i="2" s="1"/>
  <c r="JW77" i="2" s="1"/>
  <c r="JX77" i="2" s="1"/>
  <c r="JY77" i="2" s="1"/>
  <c r="JZ77" i="2" s="1"/>
  <c r="KA77" i="2" s="1"/>
  <c r="KB77" i="2" s="1"/>
  <c r="KC77" i="2" s="1"/>
  <c r="KD77" i="2" s="1"/>
  <c r="KE77" i="2" s="1"/>
  <c r="KF77" i="2" s="1"/>
  <c r="KG77" i="2" s="1"/>
  <c r="KH77" i="2" s="1"/>
  <c r="KI77" i="2" s="1"/>
  <c r="KJ77" i="2" s="1"/>
  <c r="KK77" i="2" s="1"/>
  <c r="KL77" i="2" s="1"/>
  <c r="KM77" i="2" s="1"/>
  <c r="KN77" i="2" s="1"/>
  <c r="KO77" i="2" s="1"/>
  <c r="KP77" i="2" s="1"/>
  <c r="KQ77" i="2" s="1"/>
  <c r="KR77" i="2" s="1"/>
  <c r="KS77" i="2" s="1"/>
  <c r="KT77" i="2" s="1"/>
  <c r="KU77" i="2" s="1"/>
  <c r="KV77" i="2" s="1"/>
  <c r="KW77" i="2" s="1"/>
  <c r="KX77" i="2" s="1"/>
  <c r="KY77" i="2" s="1"/>
  <c r="KZ77" i="2" s="1"/>
  <c r="LA77" i="2" s="1"/>
  <c r="LB77" i="2" s="1"/>
  <c r="LC77" i="2" s="1"/>
  <c r="LD77" i="2" s="1"/>
  <c r="LE77" i="2" s="1"/>
  <c r="LF77" i="2" s="1"/>
  <c r="LG77" i="2" s="1"/>
  <c r="LH77" i="2" s="1"/>
  <c r="LI77" i="2" s="1"/>
  <c r="LJ77" i="2" s="1"/>
  <c r="LK77" i="2" s="1"/>
  <c r="LL77" i="2" s="1"/>
  <c r="LM77" i="2" s="1"/>
  <c r="LN77" i="2" s="1"/>
  <c r="LO77" i="2" s="1"/>
  <c r="LP77" i="2" s="1"/>
  <c r="LQ77" i="2" s="1"/>
  <c r="LR77" i="2" s="1"/>
  <c r="LS77" i="2" s="1"/>
  <c r="LT77" i="2" s="1"/>
  <c r="LU77" i="2" s="1"/>
  <c r="LV77" i="2" s="1"/>
  <c r="LW77" i="2" s="1"/>
  <c r="LX77" i="2" s="1"/>
  <c r="LY77" i="2" s="1"/>
  <c r="LZ77" i="2" s="1"/>
  <c r="MA77" i="2" s="1"/>
  <c r="MB77" i="2" s="1"/>
  <c r="MC77" i="2" s="1"/>
  <c r="MD77" i="2" s="1"/>
  <c r="ME77" i="2" s="1"/>
  <c r="MF77" i="2" s="1"/>
  <c r="MG77" i="2" s="1"/>
  <c r="MH77" i="2" s="1"/>
  <c r="MI77" i="2" s="1"/>
  <c r="MJ77" i="2" s="1"/>
  <c r="MK77" i="2" s="1"/>
  <c r="ML77" i="2" s="1"/>
  <c r="MM77" i="2" s="1"/>
  <c r="MN77" i="2" s="1"/>
  <c r="MO77" i="2" s="1"/>
  <c r="MP77" i="2" s="1"/>
  <c r="MQ77" i="2" s="1"/>
  <c r="MR77" i="2" s="1"/>
  <c r="MS77" i="2" s="1"/>
  <c r="MT77" i="2" s="1"/>
  <c r="MU77" i="2" s="1"/>
  <c r="MV77" i="2" s="1"/>
  <c r="MW77" i="2" s="1"/>
  <c r="MX77" i="2" s="1"/>
  <c r="MY77" i="2" s="1"/>
  <c r="MZ77" i="2" s="1"/>
  <c r="NA77" i="2" s="1"/>
  <c r="NB77" i="2" s="1"/>
  <c r="NC77" i="2" s="1"/>
  <c r="ND77" i="2" s="1"/>
  <c r="NE77" i="2" s="1"/>
  <c r="NF77" i="2" s="1"/>
  <c r="NG77" i="2" s="1"/>
  <c r="NH77" i="2" s="1"/>
  <c r="NI77" i="2" s="1"/>
  <c r="NJ77" i="2" s="1"/>
  <c r="NK77" i="2" s="1"/>
  <c r="NL77" i="2" s="1"/>
  <c r="NM77" i="2" s="1"/>
  <c r="NN77" i="2" s="1"/>
  <c r="NO77" i="2" s="1"/>
  <c r="NP77" i="2" s="1"/>
  <c r="NQ77" i="2" s="1"/>
  <c r="NR77" i="2" s="1"/>
  <c r="NS77" i="2" s="1"/>
  <c r="NT77" i="2" s="1"/>
  <c r="NU77" i="2" s="1"/>
  <c r="NV77" i="2" s="1"/>
  <c r="NW77" i="2" s="1"/>
  <c r="NX77" i="2" s="1"/>
  <c r="NY77" i="2" s="1"/>
  <c r="NZ77" i="2" s="1"/>
  <c r="OA77" i="2" s="1"/>
  <c r="OB77" i="2" s="1"/>
  <c r="OC77" i="2" s="1"/>
  <c r="OD77" i="2" s="1"/>
  <c r="OE77" i="2" s="1"/>
  <c r="OF77" i="2" s="1"/>
  <c r="OG77" i="2" s="1"/>
  <c r="OH77" i="2" s="1"/>
  <c r="OI77" i="2" s="1"/>
  <c r="OJ77" i="2" s="1"/>
  <c r="OK77" i="2" s="1"/>
  <c r="OL77" i="2" s="1"/>
  <c r="OM77" i="2" s="1"/>
  <c r="ON77" i="2" s="1"/>
  <c r="OO77" i="2" s="1"/>
  <c r="OP77" i="2" s="1"/>
  <c r="OQ77" i="2" s="1"/>
  <c r="OR77" i="2" s="1"/>
  <c r="OS77" i="2" s="1"/>
  <c r="OT77" i="2" s="1"/>
  <c r="OU77" i="2" s="1"/>
  <c r="OV77" i="2" s="1"/>
  <c r="OW77" i="2" s="1"/>
  <c r="OX77" i="2" s="1"/>
  <c r="OY77" i="2" s="1"/>
  <c r="OZ77" i="2" s="1"/>
  <c r="PA77" i="2" s="1"/>
  <c r="PB77" i="2" s="1"/>
  <c r="PC77" i="2" s="1"/>
  <c r="PD77" i="2" s="1"/>
  <c r="PE77" i="2" s="1"/>
  <c r="PF77" i="2" s="1"/>
  <c r="PG77" i="2" s="1"/>
  <c r="PH77" i="2" s="1"/>
  <c r="PI77" i="2" s="1"/>
  <c r="PJ77" i="2" s="1"/>
  <c r="PK77" i="2" s="1"/>
  <c r="PL77" i="2" s="1"/>
  <c r="PM77" i="2" s="1"/>
  <c r="PN77" i="2" s="1"/>
  <c r="PO77" i="2" s="1"/>
  <c r="PP77" i="2" s="1"/>
  <c r="PQ77" i="2" s="1"/>
  <c r="PR77" i="2" s="1"/>
  <c r="PS77" i="2" s="1"/>
  <c r="PT77" i="2" s="1"/>
  <c r="PU77" i="2" s="1"/>
  <c r="PV77" i="2" s="1"/>
  <c r="PW77" i="2" s="1"/>
  <c r="PX77" i="2" s="1"/>
  <c r="PY77" i="2" s="1"/>
  <c r="PZ77" i="2" s="1"/>
  <c r="QA77" i="2" s="1"/>
  <c r="QB77" i="2" s="1"/>
  <c r="QC77" i="2" s="1"/>
  <c r="QD77" i="2" s="1"/>
  <c r="QE77" i="2" s="1"/>
  <c r="QF77" i="2" s="1"/>
  <c r="QG77" i="2" s="1"/>
  <c r="QH77" i="2" s="1"/>
  <c r="QI77" i="2" s="1"/>
  <c r="QJ77" i="2" s="1"/>
  <c r="QK77" i="2" s="1"/>
  <c r="QL77" i="2" s="1"/>
  <c r="QM77" i="2" s="1"/>
  <c r="QN77" i="2" s="1"/>
  <c r="QO77" i="2" s="1"/>
  <c r="QP77" i="2" s="1"/>
  <c r="QQ77" i="2" s="1"/>
  <c r="QR77" i="2" s="1"/>
  <c r="QS77" i="2" s="1"/>
  <c r="QT77" i="2" s="1"/>
  <c r="QU77" i="2" s="1"/>
  <c r="QV77" i="2" s="1"/>
  <c r="QW77" i="2" s="1"/>
  <c r="QX77" i="2" s="1"/>
  <c r="QY77" i="2" s="1"/>
  <c r="QZ77" i="2" s="1"/>
  <c r="DK78" i="2"/>
  <c r="RC76" i="2"/>
  <c r="DJ81" i="2"/>
  <c r="DJ82" i="2"/>
  <c r="DJ85" i="2"/>
  <c r="DJ83" i="2"/>
  <c r="DJ86" i="2"/>
  <c r="DJ84" i="2" l="1"/>
  <c r="DL78" i="2"/>
  <c r="DK81" i="2"/>
  <c r="DK82" i="2"/>
  <c r="DK83" i="2"/>
  <c r="DK85" i="2"/>
  <c r="DK86" i="2"/>
  <c r="DK84" i="2" l="1"/>
  <c r="DM78" i="2"/>
  <c r="DL82" i="2"/>
  <c r="DL85" i="2"/>
  <c r="DL81" i="2"/>
  <c r="DL83" i="2"/>
  <c r="DL86" i="2"/>
  <c r="DL84" i="2" l="1"/>
  <c r="DN78" i="2"/>
  <c r="DM81" i="2"/>
  <c r="DM83" i="2"/>
  <c r="DM86" i="2"/>
  <c r="DM85" i="2"/>
  <c r="DM82" i="2"/>
  <c r="DM84" i="2" l="1"/>
  <c r="DO78" i="2"/>
  <c r="DN85" i="2"/>
  <c r="DN86" i="2"/>
  <c r="DN83" i="2"/>
  <c r="DN81" i="2"/>
  <c r="DN82" i="2"/>
  <c r="DN84" i="2" l="1"/>
  <c r="DP78" i="2"/>
  <c r="DO81" i="2"/>
  <c r="DO85" i="2"/>
  <c r="DO86" i="2"/>
  <c r="DO82" i="2"/>
  <c r="DO83" i="2"/>
  <c r="DO84" i="2" l="1"/>
  <c r="DQ78" i="2"/>
  <c r="DP83" i="2"/>
  <c r="DP85" i="2"/>
  <c r="DP86" i="2"/>
  <c r="DP81" i="2"/>
  <c r="DP82" i="2"/>
  <c r="DP84" i="2" l="1"/>
  <c r="DR78" i="2"/>
  <c r="DQ83" i="2"/>
  <c r="DQ85" i="2"/>
  <c r="DQ86" i="2"/>
  <c r="DQ82" i="2"/>
  <c r="DQ81" i="2"/>
  <c r="DQ84" i="2" l="1"/>
  <c r="DS78" i="2"/>
  <c r="DR85" i="2"/>
  <c r="DR82" i="2"/>
  <c r="DR81" i="2"/>
  <c r="DR86" i="2"/>
  <c r="DR83" i="2"/>
  <c r="DR84" i="2" l="1"/>
  <c r="DT78" i="2"/>
  <c r="DS86" i="2"/>
  <c r="DS83" i="2"/>
  <c r="DS85" i="2"/>
  <c r="DS81" i="2"/>
  <c r="DS82" i="2"/>
  <c r="DS84" i="2" l="1"/>
  <c r="DU78" i="2"/>
  <c r="DT81" i="2"/>
  <c r="DT86" i="2"/>
  <c r="DT83" i="2"/>
  <c r="DT82" i="2"/>
  <c r="DT85" i="2"/>
  <c r="DT84" i="2" l="1"/>
  <c r="DV78" i="2"/>
  <c r="DU82" i="2"/>
  <c r="DU85" i="2"/>
  <c r="DU81" i="2"/>
  <c r="DU83" i="2"/>
  <c r="DU86" i="2"/>
  <c r="DU84" i="2" l="1"/>
  <c r="DW78" i="2"/>
  <c r="DV81" i="2"/>
  <c r="DV86" i="2"/>
  <c r="DV82" i="2"/>
  <c r="DV85" i="2"/>
  <c r="DV83" i="2"/>
  <c r="DV84" i="2" l="1"/>
  <c r="DX78" i="2"/>
  <c r="DW83" i="2"/>
  <c r="DW85" i="2"/>
  <c r="DW82" i="2"/>
  <c r="DW81" i="2"/>
  <c r="DW86" i="2"/>
  <c r="DW84" i="2" l="1"/>
  <c r="DY78" i="2"/>
  <c r="DX81" i="2"/>
  <c r="DX85" i="2"/>
  <c r="DX82" i="2"/>
  <c r="DX86" i="2"/>
  <c r="DX83" i="2"/>
  <c r="DX84" i="2" l="1"/>
  <c r="DZ78" i="2"/>
  <c r="DY81" i="2"/>
  <c r="DY83" i="2"/>
  <c r="DY82" i="2"/>
  <c r="DY86" i="2"/>
  <c r="DY85" i="2"/>
  <c r="DY84" i="2" l="1"/>
  <c r="EA78" i="2"/>
  <c r="DZ82" i="2"/>
  <c r="DZ81" i="2"/>
  <c r="DZ85" i="2"/>
  <c r="DZ83" i="2"/>
  <c r="DZ86" i="2"/>
  <c r="DZ84" i="2" l="1"/>
  <c r="EB78" i="2"/>
  <c r="EA81" i="2"/>
  <c r="EA82" i="2"/>
  <c r="EA85" i="2"/>
  <c r="EA83" i="2"/>
  <c r="EA86" i="2"/>
  <c r="EA84" i="2" l="1"/>
  <c r="EC78" i="2"/>
  <c r="EB83" i="2"/>
  <c r="EB82" i="2"/>
  <c r="EB81" i="2"/>
  <c r="EB86" i="2"/>
  <c r="EB85" i="2"/>
  <c r="EB84" i="2" l="1"/>
  <c r="ED78" i="2"/>
  <c r="EC86" i="2"/>
  <c r="EC85" i="2"/>
  <c r="EC82" i="2"/>
  <c r="EC83" i="2"/>
  <c r="EC81" i="2"/>
  <c r="EC84" i="2" l="1"/>
  <c r="EE78" i="2"/>
  <c r="ED81" i="2"/>
  <c r="ED83" i="2"/>
  <c r="ED85" i="2"/>
  <c r="ED86" i="2"/>
  <c r="ED82" i="2"/>
  <c r="ED84" i="2" l="1"/>
  <c r="EF78" i="2"/>
  <c r="EE81" i="2"/>
  <c r="EE83" i="2"/>
  <c r="EE85" i="2"/>
  <c r="EE82" i="2"/>
  <c r="EE86" i="2"/>
  <c r="EE84" i="2" l="1"/>
  <c r="EG78" i="2"/>
  <c r="EF86" i="2"/>
  <c r="EF83" i="2"/>
  <c r="EF82" i="2"/>
  <c r="EF81" i="2"/>
  <c r="EF85" i="2"/>
  <c r="EF84" i="2" l="1"/>
  <c r="EH78" i="2"/>
  <c r="EG82" i="2"/>
  <c r="EG85" i="2"/>
  <c r="EG81" i="2"/>
  <c r="EG83" i="2"/>
  <c r="EG86" i="2"/>
  <c r="EG84" i="2" l="1"/>
  <c r="EI78" i="2"/>
  <c r="EH85" i="2"/>
  <c r="EH86" i="2"/>
  <c r="EH82" i="2"/>
  <c r="EH81" i="2"/>
  <c r="EH83" i="2"/>
  <c r="EH84" i="2" l="1"/>
  <c r="EJ78" i="2"/>
  <c r="EI81" i="2"/>
  <c r="EI85" i="2"/>
  <c r="EI82" i="2"/>
  <c r="EI83" i="2"/>
  <c r="EI86" i="2"/>
  <c r="EI84" i="2" l="1"/>
  <c r="EK78" i="2"/>
  <c r="EJ85" i="2"/>
  <c r="EJ82" i="2"/>
  <c r="EJ83" i="2"/>
  <c r="EJ81" i="2"/>
  <c r="EJ86" i="2"/>
  <c r="EJ84" i="2" l="1"/>
  <c r="EL78" i="2"/>
  <c r="EK82" i="2"/>
  <c r="EK81" i="2"/>
  <c r="EK86" i="2"/>
  <c r="EK85" i="2"/>
  <c r="EK83" i="2"/>
  <c r="EK84" i="2" l="1"/>
  <c r="EM78" i="2"/>
  <c r="EL81" i="2"/>
  <c r="EL85" i="2"/>
  <c r="EL83" i="2"/>
  <c r="EL86" i="2"/>
  <c r="EL82" i="2"/>
  <c r="EL84" i="2" l="1"/>
  <c r="EN78" i="2"/>
  <c r="EM83" i="2"/>
  <c r="EM82" i="2"/>
  <c r="EM81" i="2"/>
  <c r="EM85" i="2"/>
  <c r="EM86" i="2"/>
  <c r="EM84" i="2" l="1"/>
  <c r="EO78" i="2"/>
  <c r="EN81" i="2"/>
  <c r="EN82" i="2"/>
  <c r="EN85" i="2"/>
  <c r="EN83" i="2"/>
  <c r="EN86" i="2"/>
  <c r="EN84" i="2" l="1"/>
  <c r="EP78" i="2"/>
  <c r="EO83" i="2"/>
  <c r="EO86" i="2"/>
  <c r="EO81" i="2"/>
  <c r="EO82" i="2"/>
  <c r="EO85" i="2"/>
  <c r="EO84" i="2" l="1"/>
  <c r="EQ78" i="2"/>
  <c r="EP83" i="2"/>
  <c r="EP85" i="2"/>
  <c r="EP81" i="2"/>
  <c r="EP82" i="2"/>
  <c r="EP86" i="2"/>
  <c r="EP84" i="2" l="1"/>
  <c r="ER78" i="2"/>
  <c r="EQ82" i="2"/>
  <c r="EQ83" i="2"/>
  <c r="EQ81" i="2"/>
  <c r="EQ86" i="2"/>
  <c r="EQ85" i="2"/>
  <c r="EQ84" i="2" l="1"/>
  <c r="ES78" i="2"/>
  <c r="ER82" i="2"/>
  <c r="ER81" i="2"/>
  <c r="ER83" i="2"/>
  <c r="ER86" i="2"/>
  <c r="ER85" i="2"/>
  <c r="ER84" i="2" l="1"/>
  <c r="ET78" i="2"/>
  <c r="ES82" i="2"/>
  <c r="ES81" i="2"/>
  <c r="ES86" i="2"/>
  <c r="ES83" i="2"/>
  <c r="ES85" i="2"/>
  <c r="ES84" i="2" l="1"/>
  <c r="EU78" i="2"/>
  <c r="ET86" i="2"/>
  <c r="ET82" i="2"/>
  <c r="ET81" i="2"/>
  <c r="ET83" i="2"/>
  <c r="ET85" i="2"/>
  <c r="ET84" i="2" l="1"/>
  <c r="EV78" i="2"/>
  <c r="EU81" i="2"/>
  <c r="EU83" i="2"/>
  <c r="EU86" i="2"/>
  <c r="EU85" i="2"/>
  <c r="EU82" i="2"/>
  <c r="EU84" i="2" l="1"/>
  <c r="EW78" i="2"/>
  <c r="EV82" i="2"/>
  <c r="EV85" i="2"/>
  <c r="EV83" i="2"/>
  <c r="EV86" i="2"/>
  <c r="EV81" i="2"/>
  <c r="EV84" i="2" l="1"/>
  <c r="EX78" i="2"/>
  <c r="EW85" i="2"/>
  <c r="EW81" i="2"/>
  <c r="EW83" i="2"/>
  <c r="EW82" i="2"/>
  <c r="EW86" i="2"/>
  <c r="EW84" i="2" l="1"/>
  <c r="EY78" i="2"/>
  <c r="EX83" i="2"/>
  <c r="EX82" i="2"/>
  <c r="EX85" i="2"/>
  <c r="EX86" i="2"/>
  <c r="EX81" i="2"/>
  <c r="EX84" i="2" l="1"/>
  <c r="EZ78" i="2"/>
  <c r="EY82" i="2"/>
  <c r="EY83" i="2"/>
  <c r="EY85" i="2"/>
  <c r="EY81" i="2"/>
  <c r="EY86" i="2"/>
  <c r="EY84" i="2" l="1"/>
  <c r="FA78" i="2"/>
  <c r="EZ83" i="2"/>
  <c r="EZ86" i="2"/>
  <c r="EZ82" i="2"/>
  <c r="EZ85" i="2"/>
  <c r="EZ81" i="2"/>
  <c r="EZ84" i="2" l="1"/>
  <c r="FB78" i="2"/>
  <c r="FA85" i="2"/>
  <c r="FA82" i="2"/>
  <c r="FA81" i="2"/>
  <c r="FA83" i="2"/>
  <c r="FA86" i="2"/>
  <c r="FA84" i="2" l="1"/>
  <c r="FC78" i="2"/>
  <c r="FB85" i="2"/>
  <c r="FB82" i="2"/>
  <c r="FB83" i="2"/>
  <c r="FB86" i="2"/>
  <c r="FB81" i="2"/>
  <c r="FB84" i="2" l="1"/>
  <c r="FD78" i="2"/>
  <c r="FC83" i="2"/>
  <c r="FC85" i="2"/>
  <c r="FC81" i="2"/>
  <c r="FC82" i="2"/>
  <c r="FC86" i="2"/>
  <c r="FC84" i="2" l="1"/>
  <c r="FE78" i="2"/>
  <c r="FD81" i="2"/>
  <c r="FD85" i="2"/>
  <c r="FD82" i="2"/>
  <c r="FD83" i="2"/>
  <c r="FD86" i="2"/>
  <c r="FD84" i="2" l="1"/>
  <c r="FF78" i="2"/>
  <c r="FE82" i="2"/>
  <c r="FE83" i="2"/>
  <c r="FE81" i="2"/>
  <c r="FE86" i="2"/>
  <c r="FE85" i="2"/>
  <c r="FE84" i="2" l="1"/>
  <c r="FG78" i="2"/>
  <c r="FF81" i="2"/>
  <c r="FF86" i="2"/>
  <c r="FF83" i="2"/>
  <c r="FF82" i="2"/>
  <c r="FF85" i="2"/>
  <c r="FF84" i="2" l="1"/>
  <c r="FH78" i="2"/>
  <c r="FG86" i="2"/>
  <c r="FG85" i="2"/>
  <c r="FG82" i="2"/>
  <c r="FG81" i="2"/>
  <c r="FG83" i="2"/>
  <c r="FG84" i="2" l="1"/>
  <c r="FI78" i="2"/>
  <c r="FH83" i="2"/>
  <c r="FH86" i="2"/>
  <c r="FH82" i="2"/>
  <c r="FH81" i="2"/>
  <c r="FH85" i="2"/>
  <c r="FH84" i="2" l="1"/>
  <c r="FJ78" i="2"/>
  <c r="FI82" i="2"/>
  <c r="FI85" i="2"/>
  <c r="FI86" i="2"/>
  <c r="FI81" i="2"/>
  <c r="FI83" i="2"/>
  <c r="FI84" i="2" l="1"/>
  <c r="FK78" i="2"/>
  <c r="FJ85" i="2"/>
  <c r="FJ86" i="2"/>
  <c r="FJ81" i="2"/>
  <c r="FJ83" i="2"/>
  <c r="FJ82" i="2"/>
  <c r="FJ84" i="2" l="1"/>
  <c r="FL78" i="2"/>
  <c r="FK86" i="2"/>
  <c r="FK85" i="2"/>
  <c r="FK83" i="2"/>
  <c r="FK82" i="2"/>
  <c r="FK81" i="2"/>
  <c r="FK84" i="2" l="1"/>
  <c r="FM78" i="2"/>
  <c r="FL83" i="2"/>
  <c r="FL85" i="2"/>
  <c r="FL81" i="2"/>
  <c r="FL82" i="2"/>
  <c r="FL86" i="2"/>
  <c r="FL84" i="2" l="1"/>
  <c r="FN78" i="2"/>
  <c r="FM83" i="2"/>
  <c r="FM86" i="2"/>
  <c r="FM81" i="2"/>
  <c r="FM82" i="2"/>
  <c r="FM85" i="2"/>
  <c r="FM84" i="2" l="1"/>
  <c r="FO78" i="2"/>
  <c r="FN85" i="2"/>
  <c r="FN86" i="2"/>
  <c r="FN81" i="2"/>
  <c r="FN82" i="2"/>
  <c r="FN83" i="2"/>
  <c r="FN84" i="2" l="1"/>
  <c r="FP78" i="2"/>
  <c r="FO85" i="2"/>
  <c r="FO86" i="2"/>
  <c r="FO81" i="2"/>
  <c r="FO82" i="2"/>
  <c r="FO83" i="2"/>
  <c r="FO84" i="2" l="1"/>
  <c r="FQ78" i="2"/>
  <c r="FP81" i="2"/>
  <c r="FP85" i="2"/>
  <c r="FP83" i="2"/>
  <c r="FP82" i="2"/>
  <c r="FP86" i="2"/>
  <c r="FP84" i="2" l="1"/>
  <c r="FR78" i="2"/>
  <c r="FQ82" i="2"/>
  <c r="FQ85" i="2"/>
  <c r="FQ83" i="2"/>
  <c r="FQ81" i="2"/>
  <c r="FQ86" i="2"/>
  <c r="FQ84" i="2" l="1"/>
  <c r="FS78" i="2"/>
  <c r="FR85" i="2"/>
  <c r="FR83" i="2"/>
  <c r="FR81" i="2"/>
  <c r="FR86" i="2"/>
  <c r="FR82" i="2"/>
  <c r="FR84" i="2" l="1"/>
  <c r="FT78" i="2"/>
  <c r="FS81" i="2"/>
  <c r="FS82" i="2"/>
  <c r="FS85" i="2"/>
  <c r="FS86" i="2"/>
  <c r="FS83" i="2"/>
  <c r="FS84" i="2" l="1"/>
  <c r="FU78" i="2"/>
  <c r="FT85" i="2"/>
  <c r="FT83" i="2"/>
  <c r="FT81" i="2"/>
  <c r="FT82" i="2"/>
  <c r="FT86" i="2"/>
  <c r="FT84" i="2" l="1"/>
  <c r="FV78" i="2"/>
  <c r="FU85" i="2"/>
  <c r="FU82" i="2"/>
  <c r="FU81" i="2"/>
  <c r="FU86" i="2"/>
  <c r="FU83" i="2"/>
  <c r="FU84" i="2" l="1"/>
  <c r="FW78" i="2"/>
  <c r="FV85" i="2"/>
  <c r="FV86" i="2"/>
  <c r="FV83" i="2"/>
  <c r="FV81" i="2"/>
  <c r="FV82" i="2"/>
  <c r="FV84" i="2" l="1"/>
  <c r="FX78" i="2"/>
  <c r="FW86" i="2"/>
  <c r="FW81" i="2"/>
  <c r="FW83" i="2"/>
  <c r="FW82" i="2"/>
  <c r="FW85" i="2"/>
  <c r="FW84" i="2" l="1"/>
  <c r="FY78" i="2"/>
  <c r="FX82" i="2"/>
  <c r="FX83" i="2"/>
  <c r="FX86" i="2"/>
  <c r="FX85" i="2"/>
  <c r="FX81" i="2"/>
  <c r="FX84" i="2" l="1"/>
  <c r="FZ78" i="2"/>
  <c r="FY86" i="2"/>
  <c r="FY85" i="2"/>
  <c r="FY81" i="2"/>
  <c r="FY83" i="2"/>
  <c r="FY82" i="2"/>
  <c r="FY84" i="2" l="1"/>
  <c r="GA78" i="2"/>
  <c r="FZ83" i="2"/>
  <c r="FZ86" i="2"/>
  <c r="FZ85" i="2"/>
  <c r="FZ82" i="2"/>
  <c r="FZ81" i="2"/>
  <c r="FZ84" i="2" l="1"/>
  <c r="GB78" i="2"/>
  <c r="GA81" i="2"/>
  <c r="GA85" i="2"/>
  <c r="GA83" i="2"/>
  <c r="GA82" i="2"/>
  <c r="GA86" i="2"/>
  <c r="GA84" i="2" l="1"/>
  <c r="GC78" i="2"/>
  <c r="GB83" i="2"/>
  <c r="GB86" i="2"/>
  <c r="GB82" i="2"/>
  <c r="GB85" i="2"/>
  <c r="GB81" i="2"/>
  <c r="GB84" i="2" l="1"/>
  <c r="GD78" i="2"/>
  <c r="GC83" i="2"/>
  <c r="GC82" i="2"/>
  <c r="GC81" i="2"/>
  <c r="GC85" i="2"/>
  <c r="GC86" i="2"/>
  <c r="GC84" i="2" l="1"/>
  <c r="GE78" i="2"/>
  <c r="GD85" i="2"/>
  <c r="GD86" i="2"/>
  <c r="GD82" i="2"/>
  <c r="GD83" i="2"/>
  <c r="GD81" i="2"/>
  <c r="GD84" i="2" l="1"/>
  <c r="GF78" i="2"/>
  <c r="GE85" i="2"/>
  <c r="GE86" i="2"/>
  <c r="GE82" i="2"/>
  <c r="GE83" i="2"/>
  <c r="GE81" i="2"/>
  <c r="GE84" i="2" l="1"/>
  <c r="GG78" i="2"/>
  <c r="GF82" i="2"/>
  <c r="GF81" i="2"/>
  <c r="GF86" i="2"/>
  <c r="GF83" i="2"/>
  <c r="GF85" i="2"/>
  <c r="GF84" i="2" l="1"/>
  <c r="GH78" i="2"/>
  <c r="GG81" i="2"/>
  <c r="GG85" i="2"/>
  <c r="GG83" i="2"/>
  <c r="GG82" i="2"/>
  <c r="GG86" i="2"/>
  <c r="GG84" i="2" l="1"/>
  <c r="GI78" i="2"/>
  <c r="GH81" i="2"/>
  <c r="GH82" i="2"/>
  <c r="GH83" i="2"/>
  <c r="GH85" i="2"/>
  <c r="GH86" i="2"/>
  <c r="GH84" i="2" l="1"/>
  <c r="GJ78" i="2"/>
  <c r="GI86" i="2"/>
  <c r="GI82" i="2"/>
  <c r="GI83" i="2"/>
  <c r="GI85" i="2"/>
  <c r="GI81" i="2"/>
  <c r="GI84" i="2" l="1"/>
  <c r="GK78" i="2"/>
  <c r="GJ83" i="2"/>
  <c r="GJ81" i="2"/>
  <c r="GJ85" i="2"/>
  <c r="GJ82" i="2"/>
  <c r="GJ86" i="2"/>
  <c r="GJ84" i="2" l="1"/>
  <c r="GL78" i="2"/>
  <c r="GK86" i="2"/>
  <c r="GK85" i="2"/>
  <c r="GK83" i="2"/>
  <c r="GK81" i="2"/>
  <c r="GK82" i="2"/>
  <c r="GK84" i="2" l="1"/>
  <c r="GM78" i="2"/>
  <c r="GL85" i="2"/>
  <c r="GL86" i="2"/>
  <c r="GL83" i="2"/>
  <c r="GL81" i="2"/>
  <c r="GL82" i="2"/>
  <c r="GL84" i="2" l="1"/>
  <c r="GN78" i="2"/>
  <c r="GM81" i="2"/>
  <c r="GM85" i="2"/>
  <c r="GM83" i="2"/>
  <c r="GM86" i="2"/>
  <c r="GM82" i="2"/>
  <c r="GM84" i="2" l="1"/>
  <c r="GO78" i="2"/>
  <c r="GN82" i="2"/>
  <c r="GN83" i="2"/>
  <c r="GN86" i="2"/>
  <c r="GN85" i="2"/>
  <c r="GN81" i="2"/>
  <c r="GN84" i="2" l="1"/>
  <c r="GP78" i="2"/>
  <c r="GO83" i="2"/>
  <c r="GO82" i="2"/>
  <c r="GO86" i="2"/>
  <c r="GO85" i="2"/>
  <c r="GO81" i="2"/>
  <c r="GO84" i="2" l="1"/>
  <c r="GQ78" i="2"/>
  <c r="GP81" i="2"/>
  <c r="GP85" i="2"/>
  <c r="GP86" i="2"/>
  <c r="GP83" i="2"/>
  <c r="GP82" i="2"/>
  <c r="GP84" i="2" l="1"/>
  <c r="GR78" i="2"/>
  <c r="GQ83" i="2"/>
  <c r="GQ86" i="2"/>
  <c r="GQ82" i="2"/>
  <c r="GQ85" i="2"/>
  <c r="GQ81" i="2"/>
  <c r="GQ84" i="2" l="1"/>
  <c r="GS78" i="2"/>
  <c r="GR82" i="2"/>
  <c r="GR85" i="2"/>
  <c r="GR86" i="2"/>
  <c r="GR83" i="2"/>
  <c r="GR81" i="2"/>
  <c r="GR84" i="2" l="1"/>
  <c r="GT78" i="2"/>
  <c r="GS83" i="2"/>
  <c r="GS81" i="2"/>
  <c r="GS86" i="2"/>
  <c r="GS82" i="2"/>
  <c r="GS85" i="2"/>
  <c r="GS84" i="2" l="1"/>
  <c r="GU78" i="2"/>
  <c r="GT82" i="2"/>
  <c r="GT83" i="2"/>
  <c r="GT86" i="2"/>
  <c r="GT81" i="2"/>
  <c r="GT85" i="2"/>
  <c r="GT84" i="2" l="1"/>
  <c r="GV78" i="2"/>
  <c r="GU82" i="2"/>
  <c r="GU85" i="2"/>
  <c r="GU81" i="2"/>
  <c r="GU83" i="2"/>
  <c r="GU86" i="2"/>
  <c r="GU84" i="2" l="1"/>
  <c r="GW78" i="2"/>
  <c r="GV86" i="2"/>
  <c r="GV85" i="2"/>
  <c r="GV82" i="2"/>
  <c r="GV81" i="2"/>
  <c r="GV83" i="2"/>
  <c r="GV84" i="2" l="1"/>
  <c r="GX78" i="2"/>
  <c r="GW82" i="2"/>
  <c r="GW86" i="2"/>
  <c r="GW81" i="2"/>
  <c r="GW83" i="2"/>
  <c r="GW85" i="2"/>
  <c r="GW84" i="2" l="1"/>
  <c r="GY78" i="2"/>
  <c r="GX81" i="2"/>
  <c r="GX86" i="2"/>
  <c r="GX83" i="2"/>
  <c r="GX82" i="2"/>
  <c r="GX85" i="2"/>
  <c r="GX84" i="2" l="1"/>
  <c r="GZ78" i="2"/>
  <c r="GY83" i="2"/>
  <c r="GY81" i="2"/>
  <c r="GY82" i="2"/>
  <c r="GY86" i="2"/>
  <c r="GY85" i="2"/>
  <c r="GY84" i="2" l="1"/>
  <c r="HA78" i="2"/>
  <c r="GZ83" i="2"/>
  <c r="GZ81" i="2"/>
  <c r="GZ85" i="2"/>
  <c r="GZ86" i="2"/>
  <c r="GZ82" i="2"/>
  <c r="GZ84" i="2" l="1"/>
  <c r="HB78" i="2"/>
  <c r="HA85" i="2"/>
  <c r="HA81" i="2"/>
  <c r="HA86" i="2"/>
  <c r="HA82" i="2"/>
  <c r="HA83" i="2"/>
  <c r="HA84" i="2" l="1"/>
  <c r="HC78" i="2"/>
  <c r="HB83" i="2"/>
  <c r="HB81" i="2"/>
  <c r="HB85" i="2"/>
  <c r="HB82" i="2"/>
  <c r="HB86" i="2"/>
  <c r="HB84" i="2" l="1"/>
  <c r="HD78" i="2"/>
  <c r="HC86" i="2"/>
  <c r="HC83" i="2"/>
  <c r="HC82" i="2"/>
  <c r="HC81" i="2"/>
  <c r="HC85" i="2"/>
  <c r="HC84" i="2" l="1"/>
  <c r="HE78" i="2"/>
  <c r="HD83" i="2"/>
  <c r="HD82" i="2"/>
  <c r="HD81" i="2"/>
  <c r="HD85" i="2"/>
  <c r="HD86" i="2"/>
  <c r="HD84" i="2" l="1"/>
  <c r="HF78" i="2"/>
  <c r="HE81" i="2"/>
  <c r="HE86" i="2"/>
  <c r="HE82" i="2"/>
  <c r="HE83" i="2"/>
  <c r="HE85" i="2"/>
  <c r="HE84" i="2" l="1"/>
  <c r="HG78" i="2"/>
  <c r="HF83" i="2"/>
  <c r="HF82" i="2"/>
  <c r="HF85" i="2"/>
  <c r="HF86" i="2"/>
  <c r="HF81" i="2"/>
  <c r="HF84" i="2" l="1"/>
  <c r="HH78" i="2"/>
  <c r="HG81" i="2"/>
  <c r="HG86" i="2"/>
  <c r="HG82" i="2"/>
  <c r="HG83" i="2"/>
  <c r="HG85" i="2"/>
  <c r="HG84" i="2" l="1"/>
  <c r="HI78" i="2"/>
  <c r="HH81" i="2"/>
  <c r="HH85" i="2"/>
  <c r="HH83" i="2"/>
  <c r="HH82" i="2"/>
  <c r="HH86" i="2"/>
  <c r="HH84" i="2" l="1"/>
  <c r="HJ78" i="2"/>
  <c r="HI82" i="2"/>
  <c r="HI85" i="2"/>
  <c r="HI86" i="2"/>
  <c r="HI83" i="2"/>
  <c r="HI81" i="2"/>
  <c r="HI84" i="2" l="1"/>
  <c r="HK78" i="2"/>
  <c r="HJ83" i="2"/>
  <c r="HJ81" i="2"/>
  <c r="HJ82" i="2"/>
  <c r="HJ85" i="2"/>
  <c r="HJ86" i="2"/>
  <c r="HJ84" i="2" l="1"/>
  <c r="HL78" i="2"/>
  <c r="HK85" i="2"/>
  <c r="HK81" i="2"/>
  <c r="HK86" i="2"/>
  <c r="HK82" i="2"/>
  <c r="HK83" i="2"/>
  <c r="HK84" i="2" l="1"/>
  <c r="HM78" i="2"/>
  <c r="HL83" i="2"/>
  <c r="HL82" i="2"/>
  <c r="HL85" i="2"/>
  <c r="HL86" i="2"/>
  <c r="HL81" i="2"/>
  <c r="HL84" i="2" l="1"/>
  <c r="HN78" i="2"/>
  <c r="HM82" i="2"/>
  <c r="HM83" i="2"/>
  <c r="HM86" i="2"/>
  <c r="HM81" i="2"/>
  <c r="HM85" i="2"/>
  <c r="HM84" i="2" l="1"/>
  <c r="HO78" i="2"/>
  <c r="HN82" i="2"/>
  <c r="HN83" i="2"/>
  <c r="HN86" i="2"/>
  <c r="HN85" i="2"/>
  <c r="HN81" i="2"/>
  <c r="HN84" i="2" l="1"/>
  <c r="HP78" i="2"/>
  <c r="HO82" i="2"/>
  <c r="HO83" i="2"/>
  <c r="HO86" i="2"/>
  <c r="HO81" i="2"/>
  <c r="HO85" i="2"/>
  <c r="HO84" i="2" l="1"/>
  <c r="HQ78" i="2"/>
  <c r="HP83" i="2"/>
  <c r="HP86" i="2"/>
  <c r="HP81" i="2"/>
  <c r="HP82" i="2"/>
  <c r="HP85" i="2"/>
  <c r="HP84" i="2" l="1"/>
  <c r="HR78" i="2"/>
  <c r="HQ82" i="2"/>
  <c r="HQ85" i="2"/>
  <c r="HQ86" i="2"/>
  <c r="HQ81" i="2"/>
  <c r="HQ83" i="2"/>
  <c r="HQ84" i="2" l="1"/>
  <c r="HS78" i="2"/>
  <c r="HR83" i="2"/>
  <c r="HR81" i="2"/>
  <c r="HR86" i="2"/>
  <c r="HR82" i="2"/>
  <c r="HR85" i="2"/>
  <c r="HR84" i="2" l="1"/>
  <c r="HT78" i="2"/>
  <c r="HS85" i="2"/>
  <c r="HS82" i="2"/>
  <c r="HS83" i="2"/>
  <c r="HS86" i="2"/>
  <c r="HS81" i="2"/>
  <c r="HS84" i="2" l="1"/>
  <c r="HU78" i="2"/>
  <c r="HT83" i="2"/>
  <c r="HT81" i="2"/>
  <c r="HT86" i="2"/>
  <c r="HT85" i="2"/>
  <c r="HT82" i="2"/>
  <c r="HT84" i="2" l="1"/>
  <c r="HV78" i="2"/>
  <c r="HU86" i="2"/>
  <c r="HU85" i="2"/>
  <c r="HU82" i="2"/>
  <c r="HU83" i="2"/>
  <c r="HU81" i="2"/>
  <c r="HU84" i="2" l="1"/>
  <c r="HW78" i="2"/>
  <c r="HV82" i="2"/>
  <c r="HV81" i="2"/>
  <c r="HV85" i="2"/>
  <c r="HV86" i="2"/>
  <c r="HV83" i="2"/>
  <c r="HV84" i="2" l="1"/>
  <c r="HX78" i="2"/>
  <c r="HW85" i="2"/>
  <c r="HW82" i="2"/>
  <c r="HW86" i="2"/>
  <c r="HW81" i="2"/>
  <c r="HW83" i="2"/>
  <c r="HW84" i="2" l="1"/>
  <c r="HY78" i="2"/>
  <c r="HX82" i="2"/>
  <c r="HX81" i="2"/>
  <c r="HX86" i="2"/>
  <c r="HX85" i="2"/>
  <c r="HX83" i="2"/>
  <c r="HX84" i="2" l="1"/>
  <c r="HZ78" i="2"/>
  <c r="HY86" i="2"/>
  <c r="HY83" i="2"/>
  <c r="HY81" i="2"/>
  <c r="HY85" i="2"/>
  <c r="HY82" i="2"/>
  <c r="HY84" i="2" l="1"/>
  <c r="IA78" i="2"/>
  <c r="HZ82" i="2"/>
  <c r="HZ85" i="2"/>
  <c r="HZ86" i="2"/>
  <c r="HZ81" i="2"/>
  <c r="HZ83" i="2"/>
  <c r="HZ84" i="2" l="1"/>
  <c r="IB78" i="2"/>
  <c r="IA82" i="2"/>
  <c r="IA81" i="2"/>
  <c r="IA85" i="2"/>
  <c r="IA83" i="2"/>
  <c r="IA86" i="2"/>
  <c r="IA84" i="2" l="1"/>
  <c r="IC78" i="2"/>
  <c r="IB85" i="2"/>
  <c r="IB83" i="2"/>
  <c r="IB82" i="2"/>
  <c r="IB86" i="2"/>
  <c r="IB81" i="2"/>
  <c r="IB84" i="2" l="1"/>
  <c r="ID78" i="2"/>
  <c r="IC82" i="2"/>
  <c r="IC83" i="2"/>
  <c r="IC86" i="2"/>
  <c r="IC81" i="2"/>
  <c r="IC85" i="2"/>
  <c r="IC84" i="2" l="1"/>
  <c r="IE78" i="2"/>
  <c r="ID83" i="2"/>
  <c r="ID82" i="2"/>
  <c r="ID86" i="2"/>
  <c r="ID85" i="2"/>
  <c r="ID81" i="2"/>
  <c r="ID84" i="2" l="1"/>
  <c r="IF78" i="2"/>
  <c r="IE83" i="2"/>
  <c r="IE81" i="2"/>
  <c r="IE86" i="2"/>
  <c r="IE82" i="2"/>
  <c r="IE85" i="2"/>
  <c r="IE84" i="2" l="1"/>
  <c r="IG78" i="2"/>
  <c r="IF86" i="2"/>
  <c r="IF81" i="2"/>
  <c r="IF82" i="2"/>
  <c r="IF85" i="2"/>
  <c r="IF83" i="2"/>
  <c r="IF84" i="2" l="1"/>
  <c r="IH78" i="2"/>
  <c r="IG81" i="2"/>
  <c r="IG85" i="2"/>
  <c r="IG82" i="2"/>
  <c r="IG86" i="2"/>
  <c r="IG83" i="2"/>
  <c r="IG84" i="2" l="1"/>
  <c r="II78" i="2"/>
  <c r="IH82" i="2"/>
  <c r="IH85" i="2"/>
  <c r="IH86" i="2"/>
  <c r="IH83" i="2"/>
  <c r="IH81" i="2"/>
  <c r="IH84" i="2" l="1"/>
  <c r="IJ78" i="2"/>
  <c r="II86" i="2"/>
  <c r="II82" i="2"/>
  <c r="II81" i="2"/>
  <c r="II85" i="2"/>
  <c r="II83" i="2"/>
  <c r="II84" i="2" l="1"/>
  <c r="IK78" i="2"/>
  <c r="IJ83" i="2"/>
  <c r="IJ86" i="2"/>
  <c r="IJ81" i="2"/>
  <c r="IJ82" i="2"/>
  <c r="IJ85" i="2"/>
  <c r="IJ84" i="2" l="1"/>
  <c r="IL78" i="2"/>
  <c r="IK85" i="2"/>
  <c r="IK83" i="2"/>
  <c r="IK86" i="2"/>
  <c r="IK81" i="2"/>
  <c r="IK82" i="2"/>
  <c r="IK84" i="2" l="1"/>
  <c r="IM78" i="2"/>
  <c r="IL82" i="2"/>
  <c r="IL85" i="2"/>
  <c r="IL86" i="2"/>
  <c r="IL83" i="2"/>
  <c r="IL81" i="2"/>
  <c r="IL84" i="2" l="1"/>
  <c r="IN78" i="2"/>
  <c r="IM85" i="2"/>
  <c r="IM82" i="2"/>
  <c r="IM81" i="2"/>
  <c r="IM86" i="2"/>
  <c r="IM83" i="2"/>
  <c r="IM84" i="2" l="1"/>
  <c r="IO78" i="2"/>
  <c r="IN81" i="2"/>
  <c r="IN83" i="2"/>
  <c r="IN86" i="2"/>
  <c r="IN82" i="2"/>
  <c r="IN85" i="2"/>
  <c r="IN84" i="2" l="1"/>
  <c r="IP78" i="2"/>
  <c r="IO82" i="2"/>
  <c r="IO83" i="2"/>
  <c r="IO86" i="2"/>
  <c r="IO85" i="2"/>
  <c r="IO81" i="2"/>
  <c r="IO84" i="2" l="1"/>
  <c r="IQ78" i="2"/>
  <c r="IP86" i="2"/>
  <c r="IP83" i="2"/>
  <c r="IP82" i="2"/>
  <c r="IP85" i="2"/>
  <c r="IP81" i="2"/>
  <c r="IP84" i="2" l="1"/>
  <c r="IR78" i="2"/>
  <c r="IQ82" i="2"/>
  <c r="IQ81" i="2"/>
  <c r="IQ86" i="2"/>
  <c r="IQ85" i="2"/>
  <c r="IQ83" i="2"/>
  <c r="IQ84" i="2" l="1"/>
  <c r="IS78" i="2"/>
  <c r="IR86" i="2"/>
  <c r="IR81" i="2"/>
  <c r="IR85" i="2"/>
  <c r="IR82" i="2"/>
  <c r="IR83" i="2"/>
  <c r="IR84" i="2" l="1"/>
  <c r="IT78" i="2"/>
  <c r="IS85" i="2"/>
  <c r="IS83" i="2"/>
  <c r="IS81" i="2"/>
  <c r="IS86" i="2"/>
  <c r="IS82" i="2"/>
  <c r="IS84" i="2" l="1"/>
  <c r="IU78" i="2"/>
  <c r="IT85" i="2"/>
  <c r="IT86" i="2"/>
  <c r="IT82" i="2"/>
  <c r="IT81" i="2"/>
  <c r="IT83" i="2"/>
  <c r="IT84" i="2" l="1"/>
  <c r="IV78" i="2"/>
  <c r="IU83" i="2"/>
  <c r="IU81" i="2"/>
  <c r="IU86" i="2"/>
  <c r="IU85" i="2"/>
  <c r="IU82" i="2"/>
  <c r="IU84" i="2" l="1"/>
  <c r="IW78" i="2"/>
  <c r="IV83" i="2"/>
  <c r="IV81" i="2"/>
  <c r="IV85" i="2"/>
  <c r="IV82" i="2"/>
  <c r="IV86" i="2"/>
  <c r="IV84" i="2" l="1"/>
  <c r="IX78" i="2"/>
  <c r="IW86" i="2"/>
  <c r="IW83" i="2"/>
  <c r="IW82" i="2"/>
  <c r="IW85" i="2"/>
  <c r="IW81" i="2"/>
  <c r="IW84" i="2" l="1"/>
  <c r="IY78" i="2"/>
  <c r="IX86" i="2"/>
  <c r="IX82" i="2"/>
  <c r="IX83" i="2"/>
  <c r="IX85" i="2"/>
  <c r="IX81" i="2"/>
  <c r="IX84" i="2" l="1"/>
  <c r="IZ78" i="2"/>
  <c r="IY82" i="2"/>
  <c r="IY83" i="2"/>
  <c r="IY85" i="2"/>
  <c r="IY86" i="2"/>
  <c r="IY81" i="2"/>
  <c r="IY84" i="2" l="1"/>
  <c r="JA78" i="2"/>
  <c r="IZ85" i="2"/>
  <c r="IZ83" i="2"/>
  <c r="IZ86" i="2"/>
  <c r="IZ81" i="2"/>
  <c r="IZ82" i="2"/>
  <c r="IZ84" i="2" l="1"/>
  <c r="JB78" i="2"/>
  <c r="JA85" i="2"/>
  <c r="JA86" i="2"/>
  <c r="JA82" i="2"/>
  <c r="JA83" i="2"/>
  <c r="JA81" i="2"/>
  <c r="JA84" i="2" l="1"/>
  <c r="JC78" i="2"/>
  <c r="JB85" i="2"/>
  <c r="JB86" i="2"/>
  <c r="JB82" i="2"/>
  <c r="JB83" i="2"/>
  <c r="JB81" i="2"/>
  <c r="JB84" i="2" l="1"/>
  <c r="JD78" i="2"/>
  <c r="JC81" i="2"/>
  <c r="JC82" i="2"/>
  <c r="JC86" i="2"/>
  <c r="JC83" i="2"/>
  <c r="JC85" i="2"/>
  <c r="JC84" i="2" l="1"/>
  <c r="JE78" i="2"/>
  <c r="JD82" i="2"/>
  <c r="JD86" i="2"/>
  <c r="JD83" i="2"/>
  <c r="JD81" i="2"/>
  <c r="JD85" i="2"/>
  <c r="JD84" i="2" l="1"/>
  <c r="JF78" i="2"/>
  <c r="JE83" i="2"/>
  <c r="JE82" i="2"/>
  <c r="JE81" i="2"/>
  <c r="JE85" i="2"/>
  <c r="JE86" i="2"/>
  <c r="JE84" i="2" l="1"/>
  <c r="JG78" i="2"/>
  <c r="JF81" i="2"/>
  <c r="JF85" i="2"/>
  <c r="JF83" i="2"/>
  <c r="JF86" i="2"/>
  <c r="JF82" i="2"/>
  <c r="JF84" i="2" l="1"/>
  <c r="JH78" i="2"/>
  <c r="JG81" i="2"/>
  <c r="JG85" i="2"/>
  <c r="JG82" i="2"/>
  <c r="JG83" i="2"/>
  <c r="JG86" i="2"/>
  <c r="JG84" i="2" l="1"/>
  <c r="JI78" i="2"/>
  <c r="JH85" i="2"/>
  <c r="JH86" i="2"/>
  <c r="JH82" i="2"/>
  <c r="JH83" i="2"/>
  <c r="JH81" i="2"/>
  <c r="JH84" i="2" l="1"/>
  <c r="JJ78" i="2"/>
  <c r="JI83" i="2"/>
  <c r="JI81" i="2"/>
  <c r="JI85" i="2"/>
  <c r="JI82" i="2"/>
  <c r="JI86" i="2"/>
  <c r="JI84" i="2" l="1"/>
  <c r="JK78" i="2"/>
  <c r="JJ83" i="2"/>
  <c r="JJ86" i="2"/>
  <c r="JJ82" i="2"/>
  <c r="JJ81" i="2"/>
  <c r="JJ85" i="2"/>
  <c r="JJ84" i="2" l="1"/>
  <c r="JL78" i="2"/>
  <c r="JK86" i="2"/>
  <c r="JK85" i="2"/>
  <c r="JK81" i="2"/>
  <c r="JK82" i="2"/>
  <c r="JK83" i="2"/>
  <c r="JK84" i="2" l="1"/>
  <c r="JM78" i="2"/>
  <c r="JL82" i="2"/>
  <c r="JL85" i="2"/>
  <c r="JL81" i="2"/>
  <c r="JL83" i="2"/>
  <c r="JL86" i="2"/>
  <c r="JL84" i="2" l="1"/>
  <c r="JN78" i="2"/>
  <c r="JM83" i="2"/>
  <c r="JM85" i="2"/>
  <c r="JM81" i="2"/>
  <c r="JM86" i="2"/>
  <c r="JM82" i="2"/>
  <c r="JM84" i="2" l="1"/>
  <c r="JO78" i="2"/>
  <c r="JN83" i="2"/>
  <c r="JN86" i="2"/>
  <c r="JN85" i="2"/>
  <c r="JN82" i="2"/>
  <c r="JN81" i="2"/>
  <c r="JN84" i="2" l="1"/>
  <c r="JP78" i="2"/>
  <c r="JO86" i="2"/>
  <c r="JO81" i="2"/>
  <c r="JO83" i="2"/>
  <c r="JO82" i="2"/>
  <c r="JO85" i="2"/>
  <c r="JO84" i="2" l="1"/>
  <c r="JQ78" i="2"/>
  <c r="JP81" i="2"/>
  <c r="JP85" i="2"/>
  <c r="JP82" i="2"/>
  <c r="JP83" i="2"/>
  <c r="JP86" i="2"/>
  <c r="JP84" i="2" l="1"/>
  <c r="JR78" i="2"/>
  <c r="JQ86" i="2"/>
  <c r="JQ81" i="2"/>
  <c r="JQ83" i="2"/>
  <c r="JQ85" i="2"/>
  <c r="JQ82" i="2"/>
  <c r="JQ84" i="2" l="1"/>
  <c r="JS78" i="2"/>
  <c r="JR85" i="2"/>
  <c r="JR83" i="2"/>
  <c r="JR86" i="2"/>
  <c r="JR81" i="2"/>
  <c r="JR82" i="2"/>
  <c r="JR84" i="2" l="1"/>
  <c r="JT78" i="2"/>
  <c r="JS82" i="2"/>
  <c r="JS83" i="2"/>
  <c r="JS85" i="2"/>
  <c r="JS81" i="2"/>
  <c r="JS86" i="2"/>
  <c r="JS84" i="2" l="1"/>
  <c r="JU78" i="2"/>
  <c r="JT86" i="2"/>
  <c r="JT83" i="2"/>
  <c r="JT85" i="2"/>
  <c r="JT82" i="2"/>
  <c r="JT81" i="2"/>
  <c r="JT84" i="2" l="1"/>
  <c r="JV78" i="2"/>
  <c r="JU83" i="2"/>
  <c r="JU81" i="2"/>
  <c r="JU82" i="2"/>
  <c r="JU85" i="2"/>
  <c r="JU86" i="2"/>
  <c r="JU84" i="2" l="1"/>
  <c r="JW78" i="2"/>
  <c r="JV82" i="2"/>
  <c r="JV86" i="2"/>
  <c r="JV83" i="2"/>
  <c r="JV81" i="2"/>
  <c r="JV85" i="2"/>
  <c r="JV84" i="2" l="1"/>
  <c r="JX78" i="2"/>
  <c r="JW86" i="2"/>
  <c r="JW81" i="2"/>
  <c r="JW83" i="2"/>
  <c r="JW82" i="2"/>
  <c r="JW85" i="2"/>
  <c r="JW84" i="2" l="1"/>
  <c r="JY78" i="2"/>
  <c r="JX81" i="2"/>
  <c r="JX82" i="2"/>
  <c r="JX83" i="2"/>
  <c r="JX86" i="2"/>
  <c r="JX85" i="2"/>
  <c r="JX84" i="2" l="1"/>
  <c r="JZ78" i="2"/>
  <c r="JY82" i="2"/>
  <c r="JY85" i="2"/>
  <c r="JY83" i="2"/>
  <c r="JY86" i="2"/>
  <c r="JY81" i="2"/>
  <c r="JY84" i="2" l="1"/>
  <c r="KA78" i="2"/>
  <c r="JZ86" i="2"/>
  <c r="JZ81" i="2"/>
  <c r="JZ85" i="2"/>
  <c r="JZ83" i="2"/>
  <c r="JZ82" i="2"/>
  <c r="JZ84" i="2" l="1"/>
  <c r="KB78" i="2"/>
  <c r="KA82" i="2"/>
  <c r="KA83" i="2"/>
  <c r="KA85" i="2"/>
  <c r="KA81" i="2"/>
  <c r="KA86" i="2"/>
  <c r="KA84" i="2" l="1"/>
  <c r="KC78" i="2"/>
  <c r="KB82" i="2"/>
  <c r="KB83" i="2"/>
  <c r="KB85" i="2"/>
  <c r="KB81" i="2"/>
  <c r="KB86" i="2"/>
  <c r="KB84" i="2" l="1"/>
  <c r="KD78" i="2"/>
  <c r="KC85" i="2"/>
  <c r="KC82" i="2"/>
  <c r="KC81" i="2"/>
  <c r="KC83" i="2"/>
  <c r="KC86" i="2"/>
  <c r="KC84" i="2" l="1"/>
  <c r="KE78" i="2"/>
  <c r="KD86" i="2"/>
  <c r="KD81" i="2"/>
  <c r="KD82" i="2"/>
  <c r="KD83" i="2"/>
  <c r="KD85" i="2"/>
  <c r="KD84" i="2" l="1"/>
  <c r="KF78" i="2"/>
  <c r="KE83" i="2"/>
  <c r="KE82" i="2"/>
  <c r="KE81" i="2"/>
  <c r="KE86" i="2"/>
  <c r="KE85" i="2"/>
  <c r="KE84" i="2" l="1"/>
  <c r="KG78" i="2"/>
  <c r="KF85" i="2"/>
  <c r="KF82" i="2"/>
  <c r="KF83" i="2"/>
  <c r="KF81" i="2"/>
  <c r="KF86" i="2"/>
  <c r="KF84" i="2" l="1"/>
  <c r="KH78" i="2"/>
  <c r="KG83" i="2"/>
  <c r="KG85" i="2"/>
  <c r="KG81" i="2"/>
  <c r="KG82" i="2"/>
  <c r="KG86" i="2"/>
  <c r="KG84" i="2" l="1"/>
  <c r="KI78" i="2"/>
  <c r="KH85" i="2"/>
  <c r="KH82" i="2"/>
  <c r="KH83" i="2"/>
  <c r="KH86" i="2"/>
  <c r="KH81" i="2"/>
  <c r="KH84" i="2" l="1"/>
  <c r="KJ78" i="2"/>
  <c r="KI85" i="2"/>
  <c r="KI81" i="2"/>
  <c r="KI86" i="2"/>
  <c r="KI83" i="2"/>
  <c r="KI82" i="2"/>
  <c r="KI84" i="2" l="1"/>
  <c r="KK78" i="2"/>
  <c r="KJ86" i="2"/>
  <c r="KJ81" i="2"/>
  <c r="KJ82" i="2"/>
  <c r="KJ85" i="2"/>
  <c r="KJ83" i="2"/>
  <c r="KJ84" i="2" l="1"/>
  <c r="KL78" i="2"/>
  <c r="KK81" i="2"/>
  <c r="KK82" i="2"/>
  <c r="KK83" i="2"/>
  <c r="KK86" i="2"/>
  <c r="KK85" i="2"/>
  <c r="KK84" i="2" l="1"/>
  <c r="KM78" i="2"/>
  <c r="KL85" i="2"/>
  <c r="KL86" i="2"/>
  <c r="KL82" i="2"/>
  <c r="KL81" i="2"/>
  <c r="KL83" i="2"/>
  <c r="KL84" i="2" l="1"/>
  <c r="KN78" i="2"/>
  <c r="KM85" i="2"/>
  <c r="KM81" i="2"/>
  <c r="KM86" i="2"/>
  <c r="KM82" i="2"/>
  <c r="KM83" i="2"/>
  <c r="KM84" i="2" l="1"/>
  <c r="KO78" i="2"/>
  <c r="KN83" i="2"/>
  <c r="KN82" i="2"/>
  <c r="KN85" i="2"/>
  <c r="KN81" i="2"/>
  <c r="KN86" i="2"/>
  <c r="KN84" i="2" l="1"/>
  <c r="KP78" i="2"/>
  <c r="KO82" i="2"/>
  <c r="KO81" i="2"/>
  <c r="KO85" i="2"/>
  <c r="KO83" i="2"/>
  <c r="KO86" i="2"/>
  <c r="KO84" i="2" l="1"/>
  <c r="KQ78" i="2"/>
  <c r="KP82" i="2"/>
  <c r="KP83" i="2"/>
  <c r="KP81" i="2"/>
  <c r="KP86" i="2"/>
  <c r="KP85" i="2"/>
  <c r="KP84" i="2" l="1"/>
  <c r="KR78" i="2"/>
  <c r="KQ83" i="2"/>
  <c r="KQ82" i="2"/>
  <c r="KQ86" i="2"/>
  <c r="KQ85" i="2"/>
  <c r="KQ81" i="2"/>
  <c r="KQ84" i="2" l="1"/>
  <c r="KS78" i="2"/>
  <c r="KR83" i="2"/>
  <c r="KR85" i="2"/>
  <c r="KR82" i="2"/>
  <c r="KR81" i="2"/>
  <c r="KR86" i="2"/>
  <c r="KR84" i="2" l="1"/>
  <c r="KT78" i="2"/>
  <c r="KS81" i="2"/>
  <c r="KS82" i="2"/>
  <c r="KS86" i="2"/>
  <c r="KS85" i="2"/>
  <c r="KS83" i="2"/>
  <c r="KS84" i="2" l="1"/>
  <c r="KU78" i="2"/>
  <c r="KT81" i="2"/>
  <c r="KT82" i="2"/>
  <c r="KT86" i="2"/>
  <c r="KT83" i="2"/>
  <c r="KT85" i="2"/>
  <c r="KT84" i="2" l="1"/>
  <c r="KV78" i="2"/>
  <c r="KU81" i="2"/>
  <c r="KU83" i="2"/>
  <c r="KU85" i="2"/>
  <c r="KU86" i="2"/>
  <c r="KU82" i="2"/>
  <c r="KU84" i="2" l="1"/>
  <c r="KW78" i="2"/>
  <c r="KV85" i="2"/>
  <c r="KV81" i="2"/>
  <c r="KV82" i="2"/>
  <c r="KV83" i="2"/>
  <c r="KV86" i="2"/>
  <c r="KV84" i="2" l="1"/>
  <c r="KX78" i="2"/>
  <c r="KW82" i="2"/>
  <c r="KW86" i="2"/>
  <c r="KW85" i="2"/>
  <c r="KW81" i="2"/>
  <c r="KW83" i="2"/>
  <c r="KW84" i="2" l="1"/>
  <c r="KY78" i="2"/>
  <c r="KX81" i="2"/>
  <c r="KX83" i="2"/>
  <c r="KX85" i="2"/>
  <c r="KX82" i="2"/>
  <c r="KX86" i="2"/>
  <c r="KX84" i="2" l="1"/>
  <c r="KZ78" i="2"/>
  <c r="KY83" i="2"/>
  <c r="KY81" i="2"/>
  <c r="KY82" i="2"/>
  <c r="KY86" i="2"/>
  <c r="KY85" i="2"/>
  <c r="KY84" i="2" l="1"/>
  <c r="LA78" i="2"/>
  <c r="KZ86" i="2"/>
  <c r="KZ81" i="2"/>
  <c r="KZ82" i="2"/>
  <c r="KZ85" i="2"/>
  <c r="KZ83" i="2"/>
  <c r="KZ84" i="2" l="1"/>
  <c r="LB78" i="2"/>
  <c r="LA86" i="2"/>
  <c r="LA82" i="2"/>
  <c r="LA81" i="2"/>
  <c r="LA83" i="2"/>
  <c r="LA85" i="2"/>
  <c r="LA84" i="2" l="1"/>
  <c r="LC78" i="2"/>
  <c r="LB82" i="2"/>
  <c r="LB81" i="2"/>
  <c r="LB83" i="2"/>
  <c r="LB86" i="2"/>
  <c r="LB85" i="2"/>
  <c r="LB84" i="2" l="1"/>
  <c r="LD78" i="2"/>
  <c r="LC81" i="2"/>
  <c r="LC82" i="2"/>
  <c r="LC86" i="2"/>
  <c r="LC83" i="2"/>
  <c r="LC85" i="2"/>
  <c r="LC84" i="2" l="1"/>
  <c r="LE78" i="2"/>
  <c r="LD83" i="2"/>
  <c r="LD82" i="2"/>
  <c r="LD86" i="2"/>
  <c r="LD81" i="2"/>
  <c r="LD85" i="2"/>
  <c r="LD84" i="2" l="1"/>
  <c r="LF78" i="2"/>
  <c r="LE85" i="2"/>
  <c r="LE82" i="2"/>
  <c r="LE81" i="2"/>
  <c r="LE86" i="2"/>
  <c r="LE83" i="2"/>
  <c r="LE84" i="2" l="1"/>
  <c r="LG78" i="2"/>
  <c r="LF85" i="2"/>
  <c r="LF82" i="2"/>
  <c r="LF83" i="2"/>
  <c r="LF81" i="2"/>
  <c r="LF86" i="2"/>
  <c r="LF84" i="2" l="1"/>
  <c r="LH78" i="2"/>
  <c r="LG86" i="2"/>
  <c r="LG81" i="2"/>
  <c r="LG83" i="2"/>
  <c r="LG82" i="2"/>
  <c r="LG85" i="2"/>
  <c r="LG84" i="2" l="1"/>
  <c r="LI78" i="2"/>
  <c r="LH83" i="2"/>
  <c r="LH81" i="2"/>
  <c r="LH86" i="2"/>
  <c r="LH82" i="2"/>
  <c r="LH85" i="2"/>
  <c r="LH84" i="2" l="1"/>
  <c r="LJ78" i="2"/>
  <c r="LI81" i="2"/>
  <c r="LI85" i="2"/>
  <c r="LI82" i="2"/>
  <c r="LI86" i="2"/>
  <c r="LI83" i="2"/>
  <c r="LI84" i="2" l="1"/>
  <c r="LK78" i="2"/>
  <c r="LJ86" i="2"/>
  <c r="LJ83" i="2"/>
  <c r="LJ82" i="2"/>
  <c r="LJ81" i="2"/>
  <c r="LJ85" i="2"/>
  <c r="LJ84" i="2" l="1"/>
  <c r="LL78" i="2"/>
  <c r="LK85" i="2"/>
  <c r="LK82" i="2"/>
  <c r="LK81" i="2"/>
  <c r="LK83" i="2"/>
  <c r="LK86" i="2"/>
  <c r="LK84" i="2" l="1"/>
  <c r="LM78" i="2"/>
  <c r="LL85" i="2"/>
  <c r="LL83" i="2"/>
  <c r="LL82" i="2"/>
  <c r="LL86" i="2"/>
  <c r="LL81" i="2"/>
  <c r="LL84" i="2" l="1"/>
  <c r="LN78" i="2"/>
  <c r="LM83" i="2"/>
  <c r="LM85" i="2"/>
  <c r="LM81" i="2"/>
  <c r="LM82" i="2"/>
  <c r="LM86" i="2"/>
  <c r="LM84" i="2" l="1"/>
  <c r="LO78" i="2"/>
  <c r="LN82" i="2"/>
  <c r="LN85" i="2"/>
  <c r="LN81" i="2"/>
  <c r="LN86" i="2"/>
  <c r="LN83" i="2"/>
  <c r="LN84" i="2" l="1"/>
  <c r="LP78" i="2"/>
  <c r="LO85" i="2"/>
  <c r="LO83" i="2"/>
  <c r="LO82" i="2"/>
  <c r="LO86" i="2"/>
  <c r="LO81" i="2"/>
  <c r="LO84" i="2" l="1"/>
  <c r="LQ78" i="2"/>
  <c r="LP86" i="2"/>
  <c r="LP82" i="2"/>
  <c r="LP85" i="2"/>
  <c r="LP83" i="2"/>
  <c r="LP81" i="2"/>
  <c r="LP84" i="2" l="1"/>
  <c r="LR78" i="2"/>
  <c r="LQ83" i="2"/>
  <c r="LQ85" i="2"/>
  <c r="LQ82" i="2"/>
  <c r="LQ81" i="2"/>
  <c r="LQ86" i="2"/>
  <c r="LQ84" i="2" l="1"/>
  <c r="LS78" i="2"/>
  <c r="LR85" i="2"/>
  <c r="LR83" i="2"/>
  <c r="LR82" i="2"/>
  <c r="LR81" i="2"/>
  <c r="LR86" i="2"/>
  <c r="LR84" i="2" l="1"/>
  <c r="LT78" i="2"/>
  <c r="LS83" i="2"/>
  <c r="LS85" i="2"/>
  <c r="LS82" i="2"/>
  <c r="LS86" i="2"/>
  <c r="LS81" i="2"/>
  <c r="LS84" i="2" l="1"/>
  <c r="LU78" i="2"/>
  <c r="LT81" i="2"/>
  <c r="LT83" i="2"/>
  <c r="LT86" i="2"/>
  <c r="LT82" i="2"/>
  <c r="LT85" i="2"/>
  <c r="LT84" i="2" l="1"/>
  <c r="LV78" i="2"/>
  <c r="LU85" i="2"/>
  <c r="LU83" i="2"/>
  <c r="LU81" i="2"/>
  <c r="LU86" i="2"/>
  <c r="LU82" i="2"/>
  <c r="LU84" i="2" l="1"/>
  <c r="LW78" i="2"/>
  <c r="LV81" i="2"/>
  <c r="LV83" i="2"/>
  <c r="LV86" i="2"/>
  <c r="LV85" i="2"/>
  <c r="LV82" i="2"/>
  <c r="LV84" i="2" l="1"/>
  <c r="LX78" i="2"/>
  <c r="LW86" i="2"/>
  <c r="LW81" i="2"/>
  <c r="LW82" i="2"/>
  <c r="LW83" i="2"/>
  <c r="LW85" i="2"/>
  <c r="LW84" i="2" l="1"/>
  <c r="LY78" i="2"/>
  <c r="LX81" i="2"/>
  <c r="LX86" i="2"/>
  <c r="LX85" i="2"/>
  <c r="LX83" i="2"/>
  <c r="LX82" i="2"/>
  <c r="LX84" i="2" l="1"/>
  <c r="LZ78" i="2"/>
  <c r="LY86" i="2"/>
  <c r="LY85" i="2"/>
  <c r="LY81" i="2"/>
  <c r="LY82" i="2"/>
  <c r="LY83" i="2"/>
  <c r="LY84" i="2" l="1"/>
  <c r="MA78" i="2"/>
  <c r="LZ81" i="2"/>
  <c r="LZ85" i="2"/>
  <c r="LZ82" i="2"/>
  <c r="LZ86" i="2"/>
  <c r="LZ83" i="2"/>
  <c r="LZ84" i="2" l="1"/>
  <c r="MB78" i="2"/>
  <c r="MA82" i="2"/>
  <c r="MA81" i="2"/>
  <c r="MA83" i="2"/>
  <c r="MA86" i="2"/>
  <c r="MA85" i="2"/>
  <c r="MA84" i="2" l="1"/>
  <c r="MC78" i="2"/>
  <c r="MB82" i="2"/>
  <c r="MB85" i="2"/>
  <c r="MB83" i="2"/>
  <c r="MB81" i="2"/>
  <c r="MB86" i="2"/>
  <c r="MB84" i="2" l="1"/>
  <c r="MD78" i="2"/>
  <c r="MC82" i="2"/>
  <c r="MC85" i="2"/>
  <c r="MC81" i="2"/>
  <c r="MC86" i="2"/>
  <c r="MC83" i="2"/>
  <c r="MC84" i="2" l="1"/>
  <c r="ME78" i="2"/>
  <c r="MD82" i="2"/>
  <c r="MD83" i="2"/>
  <c r="MD85" i="2"/>
  <c r="MD81" i="2"/>
  <c r="MD86" i="2"/>
  <c r="MD84" i="2" l="1"/>
  <c r="MF78" i="2"/>
  <c r="ME86" i="2"/>
  <c r="ME82" i="2"/>
  <c r="ME83" i="2"/>
  <c r="ME81" i="2"/>
  <c r="ME85" i="2"/>
  <c r="ME84" i="2" l="1"/>
  <c r="MG78" i="2"/>
  <c r="MF85" i="2"/>
  <c r="MF81" i="2"/>
  <c r="MF83" i="2"/>
  <c r="MF82" i="2"/>
  <c r="MF86" i="2"/>
  <c r="MF84" i="2" l="1"/>
  <c r="MH78" i="2"/>
  <c r="MG83" i="2"/>
  <c r="MG85" i="2"/>
  <c r="MG81" i="2"/>
  <c r="MG82" i="2"/>
  <c r="MG86" i="2"/>
  <c r="MG84" i="2" l="1"/>
  <c r="MI78" i="2"/>
  <c r="MH82" i="2"/>
  <c r="MH83" i="2"/>
  <c r="MH81" i="2"/>
  <c r="MH86" i="2"/>
  <c r="MH85" i="2"/>
  <c r="MH84" i="2" l="1"/>
  <c r="MJ78" i="2"/>
  <c r="MI86" i="2"/>
  <c r="MI81" i="2"/>
  <c r="MI83" i="2"/>
  <c r="MI82" i="2"/>
  <c r="MI85" i="2"/>
  <c r="MI84" i="2" l="1"/>
  <c r="MK78" i="2"/>
  <c r="MJ85" i="2"/>
  <c r="MJ81" i="2"/>
  <c r="MJ86" i="2"/>
  <c r="MJ82" i="2"/>
  <c r="MJ83" i="2"/>
  <c r="MJ84" i="2" l="1"/>
  <c r="ML78" i="2"/>
  <c r="MK85" i="2"/>
  <c r="MK81" i="2"/>
  <c r="MK83" i="2"/>
  <c r="MK86" i="2"/>
  <c r="MK82" i="2"/>
  <c r="MK84" i="2" l="1"/>
  <c r="MM78" i="2"/>
  <c r="ML86" i="2"/>
  <c r="ML83" i="2"/>
  <c r="ML85" i="2"/>
  <c r="ML81" i="2"/>
  <c r="ML82" i="2"/>
  <c r="ML84" i="2" l="1"/>
  <c r="MN78" i="2"/>
  <c r="MM86" i="2"/>
  <c r="MM83" i="2"/>
  <c r="MM85" i="2"/>
  <c r="MM81" i="2"/>
  <c r="MM82" i="2"/>
  <c r="MM84" i="2" l="1"/>
  <c r="MO78" i="2"/>
  <c r="MN82" i="2"/>
  <c r="MN86" i="2"/>
  <c r="MN81" i="2"/>
  <c r="MN85" i="2"/>
  <c r="MN83" i="2"/>
  <c r="MN84" i="2" l="1"/>
  <c r="MP78" i="2"/>
  <c r="MO86" i="2"/>
  <c r="MO82" i="2"/>
  <c r="MO83" i="2"/>
  <c r="MO81" i="2"/>
  <c r="MO85" i="2"/>
  <c r="MO84" i="2" l="1"/>
  <c r="MQ78" i="2"/>
  <c r="MP83" i="2"/>
  <c r="MP85" i="2"/>
  <c r="MP86" i="2"/>
  <c r="MP82" i="2"/>
  <c r="MP81" i="2"/>
  <c r="MP84" i="2" l="1"/>
  <c r="MR78" i="2"/>
  <c r="MQ82" i="2"/>
  <c r="MQ85" i="2"/>
  <c r="MQ81" i="2"/>
  <c r="MQ86" i="2"/>
  <c r="MQ83" i="2"/>
  <c r="MQ84" i="2" l="1"/>
  <c r="MS78" i="2"/>
  <c r="MR85" i="2"/>
  <c r="MR83" i="2"/>
  <c r="MR86" i="2"/>
  <c r="MR81" i="2"/>
  <c r="MR82" i="2"/>
  <c r="MR84" i="2" l="1"/>
  <c r="MT78" i="2"/>
  <c r="MS81" i="2"/>
  <c r="MS82" i="2"/>
  <c r="MS86" i="2"/>
  <c r="MS83" i="2"/>
  <c r="MS85" i="2"/>
  <c r="MS84" i="2" l="1"/>
  <c r="MU78" i="2"/>
  <c r="MT81" i="2"/>
  <c r="MT85" i="2"/>
  <c r="MT82" i="2"/>
  <c r="MT83" i="2"/>
  <c r="MT86" i="2"/>
  <c r="MT84" i="2" l="1"/>
  <c r="MV78" i="2"/>
  <c r="MU81" i="2"/>
  <c r="MU82" i="2"/>
  <c r="MU86" i="2"/>
  <c r="MU83" i="2"/>
  <c r="MU85" i="2"/>
  <c r="MU84" i="2" l="1"/>
  <c r="MW78" i="2"/>
  <c r="MV83" i="2"/>
  <c r="MV86" i="2"/>
  <c r="MV85" i="2"/>
  <c r="MV82" i="2"/>
  <c r="MV81" i="2"/>
  <c r="MV84" i="2" l="1"/>
  <c r="MX78" i="2"/>
  <c r="MW82" i="2"/>
  <c r="MW81" i="2"/>
  <c r="MW86" i="2"/>
  <c r="MW85" i="2"/>
  <c r="MW83" i="2"/>
  <c r="MW84" i="2" l="1"/>
  <c r="MY78" i="2"/>
  <c r="MX82" i="2"/>
  <c r="MX85" i="2"/>
  <c r="MX83" i="2"/>
  <c r="MX86" i="2"/>
  <c r="MX81" i="2"/>
  <c r="MX84" i="2" l="1"/>
  <c r="MZ78" i="2"/>
  <c r="MY82" i="2"/>
  <c r="MY81" i="2"/>
  <c r="MY85" i="2"/>
  <c r="MY86" i="2"/>
  <c r="MY83" i="2"/>
  <c r="MY84" i="2" l="1"/>
  <c r="NA78" i="2"/>
  <c r="MZ85" i="2"/>
  <c r="MZ86" i="2"/>
  <c r="MZ83" i="2"/>
  <c r="MZ81" i="2"/>
  <c r="MZ82" i="2"/>
  <c r="MZ84" i="2" l="1"/>
  <c r="NB78" i="2"/>
  <c r="NA83" i="2"/>
  <c r="NA85" i="2"/>
  <c r="NA86" i="2"/>
  <c r="NA81" i="2"/>
  <c r="NA82" i="2"/>
  <c r="NA84" i="2" l="1"/>
  <c r="NC78" i="2"/>
  <c r="NB83" i="2"/>
  <c r="NB81" i="2"/>
  <c r="NB86" i="2"/>
  <c r="NB82" i="2"/>
  <c r="NB85" i="2"/>
  <c r="NB84" i="2" l="1"/>
  <c r="ND78" i="2"/>
  <c r="NC82" i="2"/>
  <c r="NC85" i="2"/>
  <c r="NC81" i="2"/>
  <c r="NC83" i="2"/>
  <c r="NC86" i="2"/>
  <c r="NC84" i="2" l="1"/>
  <c r="NE78" i="2"/>
  <c r="ND83" i="2"/>
  <c r="ND81" i="2"/>
  <c r="ND85" i="2"/>
  <c r="ND82" i="2"/>
  <c r="ND86" i="2"/>
  <c r="ND84" i="2" l="1"/>
  <c r="NF78" i="2"/>
  <c r="NE86" i="2"/>
  <c r="NE83" i="2"/>
  <c r="NE81" i="2"/>
  <c r="NE85" i="2"/>
  <c r="NE82" i="2"/>
  <c r="NE84" i="2" l="1"/>
  <c r="NG78" i="2"/>
  <c r="NF83" i="2"/>
  <c r="NF82" i="2"/>
  <c r="NF86" i="2"/>
  <c r="NF85" i="2"/>
  <c r="NF81" i="2"/>
  <c r="NF84" i="2" l="1"/>
  <c r="NH78" i="2"/>
  <c r="NG81" i="2"/>
  <c r="NG82" i="2"/>
  <c r="NG83" i="2"/>
  <c r="NG86" i="2"/>
  <c r="NG85" i="2"/>
  <c r="NG84" i="2" l="1"/>
  <c r="NI78" i="2"/>
  <c r="NH83" i="2"/>
  <c r="NH86" i="2"/>
  <c r="NH82" i="2"/>
  <c r="NH81" i="2"/>
  <c r="NH85" i="2"/>
  <c r="NH84" i="2" l="1"/>
  <c r="NJ78" i="2"/>
  <c r="NI86" i="2"/>
  <c r="NI83" i="2"/>
  <c r="NI81" i="2"/>
  <c r="NI85" i="2"/>
  <c r="NI82" i="2"/>
  <c r="NI84" i="2" l="1"/>
  <c r="NK78" i="2"/>
  <c r="NJ83" i="2"/>
  <c r="NJ82" i="2"/>
  <c r="NJ85" i="2"/>
  <c r="NJ86" i="2"/>
  <c r="NJ81" i="2"/>
  <c r="NJ84" i="2" l="1"/>
  <c r="NL78" i="2"/>
  <c r="NK86" i="2"/>
  <c r="NK85" i="2"/>
  <c r="NK82" i="2"/>
  <c r="NK81" i="2"/>
  <c r="NK83" i="2"/>
  <c r="NK84" i="2" l="1"/>
  <c r="NM78" i="2"/>
  <c r="NL83" i="2"/>
  <c r="NL81" i="2"/>
  <c r="NL86" i="2"/>
  <c r="NL85" i="2"/>
  <c r="NL82" i="2"/>
  <c r="NL84" i="2" l="1"/>
  <c r="NN78" i="2"/>
  <c r="NM83" i="2"/>
  <c r="NM82" i="2"/>
  <c r="NM81" i="2"/>
  <c r="NM85" i="2"/>
  <c r="NM86" i="2"/>
  <c r="NM84" i="2" l="1"/>
  <c r="NO78" i="2"/>
  <c r="NN81" i="2"/>
  <c r="NN86" i="2"/>
  <c r="NN85" i="2"/>
  <c r="NN83" i="2"/>
  <c r="NN82" i="2"/>
  <c r="NN84" i="2" l="1"/>
  <c r="NP78" i="2"/>
  <c r="NO85" i="2"/>
  <c r="NO86" i="2"/>
  <c r="NO83" i="2"/>
  <c r="NO82" i="2"/>
  <c r="NO81" i="2"/>
  <c r="NO84" i="2" l="1"/>
  <c r="NQ78" i="2"/>
  <c r="NP82" i="2"/>
  <c r="NP85" i="2"/>
  <c r="NP86" i="2"/>
  <c r="NP83" i="2"/>
  <c r="NP81" i="2"/>
  <c r="NP84" i="2" l="1"/>
  <c r="NR78" i="2"/>
  <c r="NQ85" i="2"/>
  <c r="NQ82" i="2"/>
  <c r="NQ81" i="2"/>
  <c r="NQ83" i="2"/>
  <c r="NQ86" i="2"/>
  <c r="NQ84" i="2" l="1"/>
  <c r="NS78" i="2"/>
  <c r="NR85" i="2"/>
  <c r="NR81" i="2"/>
  <c r="NR82" i="2"/>
  <c r="NR86" i="2"/>
  <c r="NR83" i="2"/>
  <c r="NR84" i="2" l="1"/>
  <c r="NT78" i="2"/>
  <c r="NS86" i="2"/>
  <c r="NS82" i="2"/>
  <c r="NS81" i="2"/>
  <c r="NS85" i="2"/>
  <c r="NS83" i="2"/>
  <c r="NS84" i="2" l="1"/>
  <c r="NU78" i="2"/>
  <c r="NT82" i="2"/>
  <c r="NT85" i="2"/>
  <c r="NT86" i="2"/>
  <c r="NT83" i="2"/>
  <c r="NT81" i="2"/>
  <c r="NT84" i="2" l="1"/>
  <c r="NV78" i="2"/>
  <c r="NU83" i="2"/>
  <c r="NU82" i="2"/>
  <c r="NU85" i="2"/>
  <c r="NU86" i="2"/>
  <c r="NU81" i="2"/>
  <c r="NU84" i="2" l="1"/>
  <c r="NW78" i="2"/>
  <c r="NV81" i="2"/>
  <c r="NV85" i="2"/>
  <c r="NV83" i="2"/>
  <c r="NV82" i="2"/>
  <c r="NV86" i="2"/>
  <c r="NV84" i="2" l="1"/>
  <c r="NX78" i="2"/>
  <c r="NW81" i="2"/>
  <c r="NW82" i="2"/>
  <c r="NW85" i="2"/>
  <c r="NW86" i="2"/>
  <c r="NW83" i="2"/>
  <c r="NW84" i="2" l="1"/>
  <c r="NY78" i="2"/>
  <c r="NX83" i="2"/>
  <c r="NX86" i="2"/>
  <c r="NX85" i="2"/>
  <c r="NX82" i="2"/>
  <c r="NX81" i="2"/>
  <c r="NX84" i="2" l="1"/>
  <c r="NZ78" i="2"/>
  <c r="NY85" i="2"/>
  <c r="NY82" i="2"/>
  <c r="NY81" i="2"/>
  <c r="NY86" i="2"/>
  <c r="NY83" i="2"/>
  <c r="NY84" i="2" l="1"/>
  <c r="OA78" i="2"/>
  <c r="NZ83" i="2"/>
  <c r="NZ81" i="2"/>
  <c r="NZ86" i="2"/>
  <c r="NZ82" i="2"/>
  <c r="NZ85" i="2"/>
  <c r="NZ84" i="2" l="1"/>
  <c r="OB78" i="2"/>
  <c r="OA82" i="2"/>
  <c r="OA85" i="2"/>
  <c r="OA86" i="2"/>
  <c r="OA83" i="2"/>
  <c r="OA81" i="2"/>
  <c r="OA84" i="2" l="1"/>
  <c r="OC78" i="2"/>
  <c r="OB81" i="2"/>
  <c r="OB85" i="2"/>
  <c r="OB83" i="2"/>
  <c r="OB86" i="2"/>
  <c r="OB82" i="2"/>
  <c r="OB84" i="2" l="1"/>
  <c r="OD78" i="2"/>
  <c r="OC85" i="2"/>
  <c r="OC86" i="2"/>
  <c r="OC81" i="2"/>
  <c r="OC83" i="2"/>
  <c r="OC82" i="2"/>
  <c r="OC84" i="2" l="1"/>
  <c r="OE78" i="2"/>
  <c r="OD82" i="2"/>
  <c r="OD85" i="2"/>
  <c r="OD83" i="2"/>
  <c r="OD86" i="2"/>
  <c r="OD81" i="2"/>
  <c r="OD84" i="2" l="1"/>
  <c r="OF78" i="2"/>
  <c r="OE86" i="2"/>
  <c r="OE85" i="2"/>
  <c r="OE83" i="2"/>
  <c r="OE81" i="2"/>
  <c r="OE82" i="2"/>
  <c r="OE84" i="2" l="1"/>
  <c r="OG78" i="2"/>
  <c r="OF86" i="2"/>
  <c r="OF85" i="2"/>
  <c r="OF83" i="2"/>
  <c r="OF81" i="2"/>
  <c r="OF82" i="2"/>
  <c r="OF84" i="2" l="1"/>
  <c r="OH78" i="2"/>
  <c r="OG85" i="2"/>
  <c r="OG82" i="2"/>
  <c r="OG83" i="2"/>
  <c r="OG81" i="2"/>
  <c r="OG86" i="2"/>
  <c r="OG84" i="2" l="1"/>
  <c r="OI78" i="2"/>
  <c r="OH86" i="2"/>
  <c r="OH83" i="2"/>
  <c r="OH81" i="2"/>
  <c r="OH85" i="2"/>
  <c r="OH82" i="2"/>
  <c r="OH84" i="2" l="1"/>
  <c r="OJ78" i="2"/>
  <c r="OI83" i="2"/>
  <c r="OI81" i="2"/>
  <c r="OI82" i="2"/>
  <c r="OI85" i="2"/>
  <c r="OI86" i="2"/>
  <c r="OI84" i="2" l="1"/>
  <c r="OK78" i="2"/>
  <c r="OJ85" i="2"/>
  <c r="OJ82" i="2"/>
  <c r="OJ83" i="2"/>
  <c r="OJ86" i="2"/>
  <c r="OJ81" i="2"/>
  <c r="OJ84" i="2" l="1"/>
  <c r="OL78" i="2"/>
  <c r="OK82" i="2"/>
  <c r="OK83" i="2"/>
  <c r="OK81" i="2"/>
  <c r="OK86" i="2"/>
  <c r="OK85" i="2"/>
  <c r="OK84" i="2" l="1"/>
  <c r="OM78" i="2"/>
  <c r="OL82" i="2"/>
  <c r="OL81" i="2"/>
  <c r="OL86" i="2"/>
  <c r="OL83" i="2"/>
  <c r="OL85" i="2"/>
  <c r="OL84" i="2" l="1"/>
  <c r="ON78" i="2"/>
  <c r="OM81" i="2"/>
  <c r="OM85" i="2"/>
  <c r="OM83" i="2"/>
  <c r="OM82" i="2"/>
  <c r="OM86" i="2"/>
  <c r="OM84" i="2" l="1"/>
  <c r="OO78" i="2"/>
  <c r="ON83" i="2"/>
  <c r="ON85" i="2"/>
  <c r="ON86" i="2"/>
  <c r="ON81" i="2"/>
  <c r="ON82" i="2"/>
  <c r="ON84" i="2" l="1"/>
  <c r="OP78" i="2"/>
  <c r="OO86" i="2"/>
  <c r="OO85" i="2"/>
  <c r="OO83" i="2"/>
  <c r="OO81" i="2"/>
  <c r="OO82" i="2"/>
  <c r="OO84" i="2" l="1"/>
  <c r="OQ78" i="2"/>
  <c r="OP85" i="2"/>
  <c r="OP81" i="2"/>
  <c r="OP83" i="2"/>
  <c r="OP82" i="2"/>
  <c r="OP86" i="2"/>
  <c r="OP84" i="2" l="1"/>
  <c r="OR78" i="2"/>
  <c r="OQ86" i="2"/>
  <c r="OQ82" i="2"/>
  <c r="OQ81" i="2"/>
  <c r="OQ85" i="2"/>
  <c r="OQ83" i="2"/>
  <c r="OQ84" i="2" l="1"/>
  <c r="OS78" i="2"/>
  <c r="OR83" i="2"/>
  <c r="OR82" i="2"/>
  <c r="OR81" i="2"/>
  <c r="OR86" i="2"/>
  <c r="OR85" i="2"/>
  <c r="OR84" i="2" l="1"/>
  <c r="OT78" i="2"/>
  <c r="OS83" i="2"/>
  <c r="OS86" i="2"/>
  <c r="OS82" i="2"/>
  <c r="OS81" i="2"/>
  <c r="OS85" i="2"/>
  <c r="OS84" i="2" l="1"/>
  <c r="OU78" i="2"/>
  <c r="OT83" i="2"/>
  <c r="OT81" i="2"/>
  <c r="OT86" i="2"/>
  <c r="OT82" i="2"/>
  <c r="OT85" i="2"/>
  <c r="OT84" i="2" l="1"/>
  <c r="OV78" i="2"/>
  <c r="OU82" i="2"/>
  <c r="OU81" i="2"/>
  <c r="OU86" i="2"/>
  <c r="OU85" i="2"/>
  <c r="OU83" i="2"/>
  <c r="OU84" i="2" l="1"/>
  <c r="OW78" i="2"/>
  <c r="OV81" i="2"/>
  <c r="OV85" i="2"/>
  <c r="OV82" i="2"/>
  <c r="OV83" i="2"/>
  <c r="OV86" i="2"/>
  <c r="OV84" i="2" l="1"/>
  <c r="OX78" i="2"/>
  <c r="OW82" i="2"/>
  <c r="OW81" i="2"/>
  <c r="OW86" i="2"/>
  <c r="OW85" i="2"/>
  <c r="OW83" i="2"/>
  <c r="OW84" i="2" l="1"/>
  <c r="OY78" i="2"/>
  <c r="OX83" i="2"/>
  <c r="OX82" i="2"/>
  <c r="OX86" i="2"/>
  <c r="OX81" i="2"/>
  <c r="OX85" i="2"/>
  <c r="OX84" i="2" l="1"/>
  <c r="OZ78" i="2"/>
  <c r="OY86" i="2"/>
  <c r="OY83" i="2"/>
  <c r="OY81" i="2"/>
  <c r="OY85" i="2"/>
  <c r="OY82" i="2"/>
  <c r="OY84" i="2" l="1"/>
  <c r="PA78" i="2"/>
  <c r="OZ83" i="2"/>
  <c r="OZ85" i="2"/>
  <c r="OZ82" i="2"/>
  <c r="OZ81" i="2"/>
  <c r="OZ86" i="2"/>
  <c r="OZ84" i="2" l="1"/>
  <c r="PB78" i="2"/>
  <c r="PA82" i="2"/>
  <c r="PA83" i="2"/>
  <c r="PA81" i="2"/>
  <c r="PA86" i="2"/>
  <c r="PA85" i="2"/>
  <c r="PA84" i="2" l="1"/>
  <c r="PC78" i="2"/>
  <c r="PB83" i="2"/>
  <c r="PB85" i="2"/>
  <c r="PB82" i="2"/>
  <c r="PB81" i="2"/>
  <c r="PB86" i="2"/>
  <c r="PB84" i="2" l="1"/>
  <c r="PD78" i="2"/>
  <c r="PC86" i="2"/>
  <c r="PC85" i="2"/>
  <c r="PC82" i="2"/>
  <c r="PC83" i="2"/>
  <c r="PC81" i="2"/>
  <c r="PC84" i="2" l="1"/>
  <c r="PE78" i="2"/>
  <c r="PD81" i="2"/>
  <c r="PD86" i="2"/>
  <c r="PD83" i="2"/>
  <c r="PD82" i="2"/>
  <c r="PD85" i="2"/>
  <c r="PD84" i="2" l="1"/>
  <c r="PF78" i="2"/>
  <c r="PE83" i="2"/>
  <c r="PE86" i="2"/>
  <c r="PE81" i="2"/>
  <c r="PE82" i="2"/>
  <c r="PE85" i="2"/>
  <c r="PE84" i="2" l="1"/>
  <c r="PG78" i="2"/>
  <c r="PF86" i="2"/>
  <c r="PF83" i="2"/>
  <c r="PF85" i="2"/>
  <c r="PF81" i="2"/>
  <c r="PF82" i="2"/>
  <c r="PF84" i="2" l="1"/>
  <c r="PH78" i="2"/>
  <c r="PG86" i="2"/>
  <c r="PG83" i="2"/>
  <c r="PG82" i="2"/>
  <c r="PG85" i="2"/>
  <c r="PG81" i="2"/>
  <c r="PG84" i="2" l="1"/>
  <c r="PI78" i="2"/>
  <c r="PH85" i="2"/>
  <c r="PH83" i="2"/>
  <c r="PH82" i="2"/>
  <c r="PH81" i="2"/>
  <c r="PH86" i="2"/>
  <c r="PH84" i="2" l="1"/>
  <c r="PJ78" i="2"/>
  <c r="PI82" i="2"/>
  <c r="PI83" i="2"/>
  <c r="PI81" i="2"/>
  <c r="PI86" i="2"/>
  <c r="PI85" i="2"/>
  <c r="PI84" i="2" l="1"/>
  <c r="PK78" i="2"/>
  <c r="PJ81" i="2"/>
  <c r="PJ86" i="2"/>
  <c r="PJ82" i="2"/>
  <c r="PJ85" i="2"/>
  <c r="PJ83" i="2"/>
  <c r="PJ84" i="2" l="1"/>
  <c r="PL78" i="2"/>
  <c r="PK83" i="2"/>
  <c r="PK81" i="2"/>
  <c r="PK86" i="2"/>
  <c r="PK82" i="2"/>
  <c r="PK85" i="2"/>
  <c r="PK84" i="2" l="1"/>
  <c r="PM78" i="2"/>
  <c r="PL83" i="2"/>
  <c r="PL86" i="2"/>
  <c r="PL82" i="2"/>
  <c r="PL81" i="2"/>
  <c r="PL85" i="2"/>
  <c r="PL84" i="2" l="1"/>
  <c r="PN78" i="2"/>
  <c r="PM83" i="2"/>
  <c r="PM81" i="2"/>
  <c r="PM82" i="2"/>
  <c r="PM85" i="2"/>
  <c r="PM86" i="2"/>
  <c r="PM84" i="2" l="1"/>
  <c r="PO78" i="2"/>
  <c r="PN83" i="2"/>
  <c r="PN82" i="2"/>
  <c r="PN86" i="2"/>
  <c r="PN85" i="2"/>
  <c r="PN81" i="2"/>
  <c r="PN84" i="2" l="1"/>
  <c r="PP78" i="2"/>
  <c r="PO81" i="2"/>
  <c r="PO82" i="2"/>
  <c r="PO86" i="2"/>
  <c r="PO83" i="2"/>
  <c r="PO85" i="2"/>
  <c r="PO84" i="2" l="1"/>
  <c r="PQ78" i="2"/>
  <c r="PP85" i="2"/>
  <c r="PP86" i="2"/>
  <c r="PP81" i="2"/>
  <c r="PP82" i="2"/>
  <c r="PP83" i="2"/>
  <c r="PP84" i="2" l="1"/>
  <c r="PR78" i="2"/>
  <c r="PQ81" i="2"/>
  <c r="PQ85" i="2"/>
  <c r="PQ86" i="2"/>
  <c r="PQ83" i="2"/>
  <c r="PQ82" i="2"/>
  <c r="PQ84" i="2" l="1"/>
  <c r="PS78" i="2"/>
  <c r="PR82" i="2"/>
  <c r="PR86" i="2"/>
  <c r="PR85" i="2"/>
  <c r="PR81" i="2"/>
  <c r="PR83" i="2"/>
  <c r="PR84" i="2" l="1"/>
  <c r="PT78" i="2"/>
  <c r="PS83" i="2"/>
  <c r="PS85" i="2"/>
  <c r="PS82" i="2"/>
  <c r="PS86" i="2"/>
  <c r="PS81" i="2"/>
  <c r="PS84" i="2" l="1"/>
  <c r="PU78" i="2"/>
  <c r="PT81" i="2"/>
  <c r="PT83" i="2"/>
  <c r="PT86" i="2"/>
  <c r="PT82" i="2"/>
  <c r="PT85" i="2"/>
  <c r="PT84" i="2" l="1"/>
  <c r="PV78" i="2"/>
  <c r="PU86" i="2"/>
  <c r="PU81" i="2"/>
  <c r="PU83" i="2"/>
  <c r="PU85" i="2"/>
  <c r="PU82" i="2"/>
  <c r="PU84" i="2" l="1"/>
  <c r="PW78" i="2"/>
  <c r="PV81" i="2"/>
  <c r="PV86" i="2"/>
  <c r="PV83" i="2"/>
  <c r="PV85" i="2"/>
  <c r="PV82" i="2"/>
  <c r="PV84" i="2" l="1"/>
  <c r="PX78" i="2"/>
  <c r="PW81" i="2"/>
  <c r="PW82" i="2"/>
  <c r="PW83" i="2"/>
  <c r="PW86" i="2"/>
  <c r="PW85" i="2"/>
  <c r="PW84" i="2" l="1"/>
  <c r="PY78" i="2"/>
  <c r="PX82" i="2"/>
  <c r="PX85" i="2"/>
  <c r="PX81" i="2"/>
  <c r="PX86" i="2"/>
  <c r="PX83" i="2"/>
  <c r="PX84" i="2" l="1"/>
  <c r="PZ78" i="2"/>
  <c r="PY86" i="2"/>
  <c r="PY81" i="2"/>
  <c r="PY82" i="2"/>
  <c r="PY85" i="2"/>
  <c r="PY83" i="2"/>
  <c r="PY84" i="2" l="1"/>
  <c r="QA78" i="2"/>
  <c r="PZ86" i="2"/>
  <c r="PZ83" i="2"/>
  <c r="PZ82" i="2"/>
  <c r="PZ81" i="2"/>
  <c r="PZ85" i="2"/>
  <c r="PZ84" i="2" l="1"/>
  <c r="QB78" i="2"/>
  <c r="QA83" i="2"/>
  <c r="QA85" i="2"/>
  <c r="QA82" i="2"/>
  <c r="QA81" i="2"/>
  <c r="QA86" i="2"/>
  <c r="QA84" i="2" l="1"/>
  <c r="QC78" i="2"/>
  <c r="QB82" i="2"/>
  <c r="QB81" i="2"/>
  <c r="QB85" i="2"/>
  <c r="QB86" i="2"/>
  <c r="QB83" i="2"/>
  <c r="QB84" i="2" l="1"/>
  <c r="QD78" i="2"/>
  <c r="QC82" i="2"/>
  <c r="QC83" i="2"/>
  <c r="QC86" i="2"/>
  <c r="QC81" i="2"/>
  <c r="QC85" i="2"/>
  <c r="QC84" i="2" l="1"/>
  <c r="QE78" i="2"/>
  <c r="QD86" i="2"/>
  <c r="QD83" i="2"/>
  <c r="QD85" i="2"/>
  <c r="QD82" i="2"/>
  <c r="QD81" i="2"/>
  <c r="QD84" i="2" l="1"/>
  <c r="QF78" i="2"/>
  <c r="QE85" i="2"/>
  <c r="QE83" i="2"/>
  <c r="QE81" i="2"/>
  <c r="QE82" i="2"/>
  <c r="QE86" i="2"/>
  <c r="QE84" i="2" l="1"/>
  <c r="QG78" i="2"/>
  <c r="QF83" i="2"/>
  <c r="QF81" i="2"/>
  <c r="QF86" i="2"/>
  <c r="QF82" i="2"/>
  <c r="QF85" i="2"/>
  <c r="QF84" i="2" l="1"/>
  <c r="QH78" i="2"/>
  <c r="QG85" i="2"/>
  <c r="QG82" i="2"/>
  <c r="QG86" i="2"/>
  <c r="QG83" i="2"/>
  <c r="QG81" i="2"/>
  <c r="QG84" i="2" l="1"/>
  <c r="QI78" i="2"/>
  <c r="QH83" i="2"/>
  <c r="QH81" i="2"/>
  <c r="QH82" i="2"/>
  <c r="QH86" i="2"/>
  <c r="QH85" i="2"/>
  <c r="QH84" i="2" l="1"/>
  <c r="QJ78" i="2"/>
  <c r="QI83" i="2"/>
  <c r="QI86" i="2"/>
  <c r="QI82" i="2"/>
  <c r="QI81" i="2"/>
  <c r="QI85" i="2"/>
  <c r="QI84" i="2" l="1"/>
  <c r="QK78" i="2"/>
  <c r="QJ85" i="2"/>
  <c r="QJ83" i="2"/>
  <c r="QJ81" i="2"/>
  <c r="QJ86" i="2"/>
  <c r="QJ82" i="2"/>
  <c r="QJ84" i="2" l="1"/>
  <c r="QL78" i="2"/>
  <c r="QK83" i="2"/>
  <c r="QK81" i="2"/>
  <c r="QK82" i="2"/>
  <c r="QK86" i="2"/>
  <c r="QK85" i="2"/>
  <c r="QK84" i="2" l="1"/>
  <c r="QM78" i="2"/>
  <c r="QL82" i="2"/>
  <c r="QL81" i="2"/>
  <c r="QL83" i="2"/>
  <c r="QL85" i="2"/>
  <c r="QL86" i="2"/>
  <c r="QL84" i="2" l="1"/>
  <c r="QN78" i="2"/>
  <c r="QM85" i="2"/>
  <c r="QM81" i="2"/>
  <c r="QM82" i="2"/>
  <c r="QM83" i="2"/>
  <c r="QM86" i="2"/>
  <c r="QM84" i="2" l="1"/>
  <c r="QO78" i="2"/>
  <c r="QN83" i="2"/>
  <c r="QN85" i="2"/>
  <c r="QN81" i="2"/>
  <c r="QN86" i="2"/>
  <c r="QN82" i="2"/>
  <c r="QN84" i="2" l="1"/>
  <c r="QP78" i="2"/>
  <c r="QO83" i="2"/>
  <c r="QO82" i="2"/>
  <c r="QO86" i="2"/>
  <c r="QO85" i="2"/>
  <c r="QO81" i="2"/>
  <c r="QO84" i="2" l="1"/>
  <c r="QQ78" i="2"/>
  <c r="QP83" i="2"/>
  <c r="QP86" i="2"/>
  <c r="QP82" i="2"/>
  <c r="QP85" i="2"/>
  <c r="QP81" i="2"/>
  <c r="QP84" i="2" l="1"/>
  <c r="QR78" i="2"/>
  <c r="QQ83" i="2"/>
  <c r="QQ85" i="2"/>
  <c r="QQ82" i="2"/>
  <c r="QQ86" i="2"/>
  <c r="QQ81" i="2"/>
  <c r="QQ84" i="2" l="1"/>
  <c r="QS78" i="2"/>
  <c r="QR85" i="2"/>
  <c r="QR83" i="2"/>
  <c r="QR86" i="2"/>
  <c r="QR81" i="2"/>
  <c r="QR82" i="2"/>
  <c r="QR84" i="2" l="1"/>
  <c r="QT78" i="2"/>
  <c r="QS86" i="2"/>
  <c r="QS82" i="2"/>
  <c r="QS81" i="2"/>
  <c r="QS85" i="2"/>
  <c r="QS83" i="2"/>
  <c r="QS84" i="2" l="1"/>
  <c r="QU78" i="2"/>
  <c r="QT81" i="2"/>
  <c r="QT86" i="2"/>
  <c r="QT83" i="2"/>
  <c r="QT82" i="2"/>
  <c r="QT85" i="2"/>
  <c r="QT84" i="2" l="1"/>
  <c r="QV78" i="2"/>
  <c r="QU82" i="2"/>
  <c r="QU83" i="2"/>
  <c r="QU86" i="2"/>
  <c r="QU85" i="2"/>
  <c r="QU81" i="2"/>
  <c r="QU84" i="2" l="1"/>
  <c r="QW78" i="2"/>
  <c r="QV85" i="2"/>
  <c r="QV83" i="2"/>
  <c r="QV81" i="2"/>
  <c r="QV82" i="2"/>
  <c r="QV86" i="2"/>
  <c r="QV84" i="2" l="1"/>
  <c r="QX78" i="2"/>
  <c r="QW82" i="2"/>
  <c r="QW86" i="2"/>
  <c r="QW85" i="2"/>
  <c r="QW81" i="2"/>
  <c r="QW83" i="2"/>
  <c r="QW84" i="2" l="1"/>
  <c r="QY78" i="2"/>
  <c r="QX86" i="2"/>
  <c r="QX83" i="2"/>
  <c r="QX81" i="2"/>
  <c r="QX85" i="2"/>
  <c r="QX82" i="2"/>
  <c r="QX84" i="2" l="1"/>
  <c r="QZ78" i="2"/>
  <c r="QY82" i="2"/>
  <c r="QY83" i="2"/>
  <c r="QY86" i="2"/>
  <c r="QY81" i="2"/>
  <c r="QY85" i="2"/>
  <c r="QY84" i="2" l="1"/>
  <c r="RA78" i="2"/>
  <c r="QZ86" i="2"/>
  <c r="QZ85" i="2"/>
  <c r="QZ81" i="2"/>
  <c r="QZ82" i="2"/>
  <c r="QZ83" i="2"/>
  <c r="QZ84" i="2" l="1"/>
  <c r="RB87" i="2"/>
  <c r="RB78" i="2"/>
  <c r="DJ89" i="2" s="1"/>
  <c r="RA81" i="2"/>
  <c r="RA83" i="2"/>
  <c r="RA86" i="2"/>
  <c r="RA82" i="2"/>
  <c r="RA85" i="2"/>
  <c r="RA84" i="2" l="1"/>
  <c r="RC87" i="2"/>
  <c r="DK89" i="2"/>
  <c r="DJ88" i="2"/>
  <c r="DK88" i="2" s="1"/>
  <c r="DL88" i="2" s="1"/>
  <c r="DM88" i="2" s="1"/>
  <c r="DN88" i="2" s="1"/>
  <c r="DO88" i="2" s="1"/>
  <c r="DP88" i="2" s="1"/>
  <c r="DQ88" i="2" s="1"/>
  <c r="DR88" i="2" s="1"/>
  <c r="DS88" i="2" s="1"/>
  <c r="DT88" i="2" s="1"/>
  <c r="DU88" i="2" s="1"/>
  <c r="DV88" i="2" s="1"/>
  <c r="DW88" i="2" s="1"/>
  <c r="DX88" i="2" s="1"/>
  <c r="DY88" i="2" s="1"/>
  <c r="DZ88" i="2" s="1"/>
  <c r="EA88" i="2" s="1"/>
  <c r="EB88" i="2" s="1"/>
  <c r="EC88" i="2" s="1"/>
  <c r="ED88" i="2" s="1"/>
  <c r="EE88" i="2" s="1"/>
  <c r="EF88" i="2" s="1"/>
  <c r="EG88" i="2" s="1"/>
  <c r="EH88" i="2" s="1"/>
  <c r="EI88" i="2" s="1"/>
  <c r="EJ88" i="2" s="1"/>
  <c r="EK88" i="2" s="1"/>
  <c r="EL88" i="2" s="1"/>
  <c r="EM88" i="2" s="1"/>
  <c r="EN88" i="2" s="1"/>
  <c r="EO88" i="2" s="1"/>
  <c r="EP88" i="2" s="1"/>
  <c r="EQ88" i="2" s="1"/>
  <c r="ER88" i="2" s="1"/>
  <c r="ES88" i="2" s="1"/>
  <c r="ET88" i="2" s="1"/>
  <c r="EU88" i="2" s="1"/>
  <c r="EV88" i="2" s="1"/>
  <c r="EW88" i="2" s="1"/>
  <c r="EX88" i="2" s="1"/>
  <c r="EY88" i="2" s="1"/>
  <c r="EZ88" i="2" s="1"/>
  <c r="FA88" i="2" s="1"/>
  <c r="FB88" i="2" s="1"/>
  <c r="FC88" i="2" s="1"/>
  <c r="FD88" i="2" s="1"/>
  <c r="FE88" i="2" s="1"/>
  <c r="FF88" i="2" s="1"/>
  <c r="FG88" i="2" s="1"/>
  <c r="FH88" i="2" s="1"/>
  <c r="FI88" i="2" s="1"/>
  <c r="FJ88" i="2" s="1"/>
  <c r="FK88" i="2" s="1"/>
  <c r="FL88" i="2" s="1"/>
  <c r="FM88" i="2" s="1"/>
  <c r="FN88" i="2" s="1"/>
  <c r="FO88" i="2" s="1"/>
  <c r="FP88" i="2" s="1"/>
  <c r="FQ88" i="2" s="1"/>
  <c r="FR88" i="2" s="1"/>
  <c r="FS88" i="2" s="1"/>
  <c r="FT88" i="2" s="1"/>
  <c r="FU88" i="2" s="1"/>
  <c r="FV88" i="2" s="1"/>
  <c r="FW88" i="2" s="1"/>
  <c r="FX88" i="2" s="1"/>
  <c r="FY88" i="2" s="1"/>
  <c r="FZ88" i="2" s="1"/>
  <c r="GA88" i="2" s="1"/>
  <c r="GB88" i="2" s="1"/>
  <c r="GC88" i="2" s="1"/>
  <c r="GD88" i="2" s="1"/>
  <c r="GE88" i="2" s="1"/>
  <c r="GF88" i="2" s="1"/>
  <c r="GG88" i="2" s="1"/>
  <c r="GH88" i="2" s="1"/>
  <c r="GI88" i="2" s="1"/>
  <c r="GJ88" i="2" s="1"/>
  <c r="GK88" i="2" s="1"/>
  <c r="GL88" i="2" s="1"/>
  <c r="GM88" i="2" s="1"/>
  <c r="GN88" i="2" s="1"/>
  <c r="GO88" i="2" s="1"/>
  <c r="GP88" i="2" s="1"/>
  <c r="GQ88" i="2" s="1"/>
  <c r="GR88" i="2" s="1"/>
  <c r="GS88" i="2" s="1"/>
  <c r="GT88" i="2" s="1"/>
  <c r="GU88" i="2" s="1"/>
  <c r="GV88" i="2" s="1"/>
  <c r="GW88" i="2" s="1"/>
  <c r="GX88" i="2" s="1"/>
  <c r="GY88" i="2" s="1"/>
  <c r="GZ88" i="2" s="1"/>
  <c r="HA88" i="2" s="1"/>
  <c r="HB88" i="2" s="1"/>
  <c r="HC88" i="2" s="1"/>
  <c r="HD88" i="2" s="1"/>
  <c r="HE88" i="2" s="1"/>
  <c r="HF88" i="2" s="1"/>
  <c r="HG88" i="2" s="1"/>
  <c r="HH88" i="2" s="1"/>
  <c r="HI88" i="2" s="1"/>
  <c r="HJ88" i="2" s="1"/>
  <c r="HK88" i="2" s="1"/>
  <c r="HL88" i="2" s="1"/>
  <c r="HM88" i="2" s="1"/>
  <c r="HN88" i="2" s="1"/>
  <c r="HO88" i="2" s="1"/>
  <c r="HP88" i="2" s="1"/>
  <c r="HQ88" i="2" s="1"/>
  <c r="HR88" i="2" s="1"/>
  <c r="HS88" i="2" s="1"/>
  <c r="HT88" i="2" s="1"/>
  <c r="HU88" i="2" s="1"/>
  <c r="HV88" i="2" s="1"/>
  <c r="HW88" i="2" s="1"/>
  <c r="HX88" i="2" s="1"/>
  <c r="HY88" i="2" s="1"/>
  <c r="HZ88" i="2" s="1"/>
  <c r="IA88" i="2" s="1"/>
  <c r="IB88" i="2" s="1"/>
  <c r="IC88" i="2" s="1"/>
  <c r="ID88" i="2" s="1"/>
  <c r="IE88" i="2" s="1"/>
  <c r="IF88" i="2" s="1"/>
  <c r="IG88" i="2" s="1"/>
  <c r="IH88" i="2" s="1"/>
  <c r="II88" i="2" s="1"/>
  <c r="IJ88" i="2" s="1"/>
  <c r="IK88" i="2" s="1"/>
  <c r="IL88" i="2" s="1"/>
  <c r="IM88" i="2" s="1"/>
  <c r="IN88" i="2" s="1"/>
  <c r="IO88" i="2" s="1"/>
  <c r="IP88" i="2" s="1"/>
  <c r="IQ88" i="2" s="1"/>
  <c r="IR88" i="2" s="1"/>
  <c r="IS88" i="2" s="1"/>
  <c r="IT88" i="2" s="1"/>
  <c r="IU88" i="2" s="1"/>
  <c r="IV88" i="2" s="1"/>
  <c r="IW88" i="2" s="1"/>
  <c r="IX88" i="2" s="1"/>
  <c r="IY88" i="2" s="1"/>
  <c r="IZ88" i="2" s="1"/>
  <c r="JA88" i="2" s="1"/>
  <c r="JB88" i="2" s="1"/>
  <c r="JC88" i="2" s="1"/>
  <c r="JD88" i="2" s="1"/>
  <c r="JE88" i="2" s="1"/>
  <c r="JF88" i="2" s="1"/>
  <c r="JG88" i="2" s="1"/>
  <c r="JH88" i="2" s="1"/>
  <c r="JI88" i="2" s="1"/>
  <c r="JJ88" i="2" s="1"/>
  <c r="JK88" i="2" s="1"/>
  <c r="JL88" i="2" s="1"/>
  <c r="JM88" i="2" s="1"/>
  <c r="JN88" i="2" s="1"/>
  <c r="JO88" i="2" s="1"/>
  <c r="JP88" i="2" s="1"/>
  <c r="JQ88" i="2" s="1"/>
  <c r="JR88" i="2" s="1"/>
  <c r="JS88" i="2" s="1"/>
  <c r="JT88" i="2" s="1"/>
  <c r="JU88" i="2" s="1"/>
  <c r="JV88" i="2" s="1"/>
  <c r="JW88" i="2" s="1"/>
  <c r="JX88" i="2" s="1"/>
  <c r="JY88" i="2" s="1"/>
  <c r="JZ88" i="2" s="1"/>
  <c r="KA88" i="2" s="1"/>
  <c r="KB88" i="2" s="1"/>
  <c r="KC88" i="2" s="1"/>
  <c r="KD88" i="2" s="1"/>
  <c r="KE88" i="2" s="1"/>
  <c r="KF88" i="2" s="1"/>
  <c r="KG88" i="2" s="1"/>
  <c r="KH88" i="2" s="1"/>
  <c r="KI88" i="2" s="1"/>
  <c r="KJ88" i="2" s="1"/>
  <c r="KK88" i="2" s="1"/>
  <c r="KL88" i="2" s="1"/>
  <c r="KM88" i="2" s="1"/>
  <c r="KN88" i="2" s="1"/>
  <c r="KO88" i="2" s="1"/>
  <c r="KP88" i="2" s="1"/>
  <c r="KQ88" i="2" s="1"/>
  <c r="KR88" i="2" s="1"/>
  <c r="KS88" i="2" s="1"/>
  <c r="KT88" i="2" s="1"/>
  <c r="KU88" i="2" s="1"/>
  <c r="KV88" i="2" s="1"/>
  <c r="KW88" i="2" s="1"/>
  <c r="KX88" i="2" s="1"/>
  <c r="KY88" i="2" s="1"/>
  <c r="KZ88" i="2" s="1"/>
  <c r="LA88" i="2" s="1"/>
  <c r="LB88" i="2" s="1"/>
  <c r="LC88" i="2" s="1"/>
  <c r="LD88" i="2" s="1"/>
  <c r="LE88" i="2" s="1"/>
  <c r="LF88" i="2" s="1"/>
  <c r="LG88" i="2" s="1"/>
  <c r="LH88" i="2" s="1"/>
  <c r="LI88" i="2" s="1"/>
  <c r="LJ88" i="2" s="1"/>
  <c r="LK88" i="2" s="1"/>
  <c r="LL88" i="2" s="1"/>
  <c r="LM88" i="2" s="1"/>
  <c r="LN88" i="2" s="1"/>
  <c r="LO88" i="2" s="1"/>
  <c r="LP88" i="2" s="1"/>
  <c r="LQ88" i="2" s="1"/>
  <c r="LR88" i="2" s="1"/>
  <c r="LS88" i="2" s="1"/>
  <c r="LT88" i="2" s="1"/>
  <c r="LU88" i="2" s="1"/>
  <c r="LV88" i="2" s="1"/>
  <c r="LW88" i="2" s="1"/>
  <c r="LX88" i="2" s="1"/>
  <c r="LY88" i="2" s="1"/>
  <c r="LZ88" i="2" s="1"/>
  <c r="MA88" i="2" s="1"/>
  <c r="MB88" i="2" s="1"/>
  <c r="MC88" i="2" s="1"/>
  <c r="MD88" i="2" s="1"/>
  <c r="ME88" i="2" s="1"/>
  <c r="MF88" i="2" s="1"/>
  <c r="MG88" i="2" s="1"/>
  <c r="MH88" i="2" s="1"/>
  <c r="MI88" i="2" s="1"/>
  <c r="MJ88" i="2" s="1"/>
  <c r="MK88" i="2" s="1"/>
  <c r="ML88" i="2" s="1"/>
  <c r="MM88" i="2" s="1"/>
  <c r="MN88" i="2" s="1"/>
  <c r="MO88" i="2" s="1"/>
  <c r="MP88" i="2" s="1"/>
  <c r="MQ88" i="2" s="1"/>
  <c r="MR88" i="2" s="1"/>
  <c r="MS88" i="2" s="1"/>
  <c r="MT88" i="2" s="1"/>
  <c r="MU88" i="2" s="1"/>
  <c r="MV88" i="2" s="1"/>
  <c r="MW88" i="2" s="1"/>
  <c r="MX88" i="2" s="1"/>
  <c r="MY88" i="2" s="1"/>
  <c r="MZ88" i="2" s="1"/>
  <c r="NA88" i="2" s="1"/>
  <c r="NB88" i="2" s="1"/>
  <c r="NC88" i="2" s="1"/>
  <c r="ND88" i="2" s="1"/>
  <c r="NE88" i="2" s="1"/>
  <c r="NF88" i="2" s="1"/>
  <c r="NG88" i="2" s="1"/>
  <c r="NH88" i="2" s="1"/>
  <c r="NI88" i="2" s="1"/>
  <c r="NJ88" i="2" s="1"/>
  <c r="NK88" i="2" s="1"/>
  <c r="NL88" i="2" s="1"/>
  <c r="NM88" i="2" s="1"/>
  <c r="NN88" i="2" s="1"/>
  <c r="NO88" i="2" s="1"/>
  <c r="NP88" i="2" s="1"/>
  <c r="NQ88" i="2" s="1"/>
  <c r="NR88" i="2" s="1"/>
  <c r="NS88" i="2" s="1"/>
  <c r="NT88" i="2" s="1"/>
  <c r="NU88" i="2" s="1"/>
  <c r="NV88" i="2" s="1"/>
  <c r="NW88" i="2" s="1"/>
  <c r="NX88" i="2" s="1"/>
  <c r="NY88" i="2" s="1"/>
  <c r="NZ88" i="2" s="1"/>
  <c r="OA88" i="2" s="1"/>
  <c r="OB88" i="2" s="1"/>
  <c r="OC88" i="2" s="1"/>
  <c r="OD88" i="2" s="1"/>
  <c r="OE88" i="2" s="1"/>
  <c r="OF88" i="2" s="1"/>
  <c r="OG88" i="2" s="1"/>
  <c r="OH88" i="2" s="1"/>
  <c r="OI88" i="2" s="1"/>
  <c r="OJ88" i="2" s="1"/>
  <c r="OK88" i="2" s="1"/>
  <c r="OL88" i="2" s="1"/>
  <c r="OM88" i="2" s="1"/>
  <c r="ON88" i="2" s="1"/>
  <c r="OO88" i="2" s="1"/>
  <c r="OP88" i="2" s="1"/>
  <c r="OQ88" i="2" s="1"/>
  <c r="OR88" i="2" s="1"/>
  <c r="OS88" i="2" s="1"/>
  <c r="OT88" i="2" s="1"/>
  <c r="OU88" i="2" s="1"/>
  <c r="OV88" i="2" s="1"/>
  <c r="OW88" i="2" s="1"/>
  <c r="OX88" i="2" s="1"/>
  <c r="OY88" i="2" s="1"/>
  <c r="OZ88" i="2" s="1"/>
  <c r="PA88" i="2" s="1"/>
  <c r="PB88" i="2" s="1"/>
  <c r="PC88" i="2" s="1"/>
  <c r="PD88" i="2" s="1"/>
  <c r="PE88" i="2" s="1"/>
  <c r="PF88" i="2" s="1"/>
  <c r="PG88" i="2" s="1"/>
  <c r="PH88" i="2" s="1"/>
  <c r="PI88" i="2" s="1"/>
  <c r="PJ88" i="2" s="1"/>
  <c r="PK88" i="2" s="1"/>
  <c r="PL88" i="2" s="1"/>
  <c r="PM88" i="2" s="1"/>
  <c r="PN88" i="2" s="1"/>
  <c r="PO88" i="2" s="1"/>
  <c r="PP88" i="2" s="1"/>
  <c r="PQ88" i="2" s="1"/>
  <c r="PR88" i="2" s="1"/>
  <c r="PS88" i="2" s="1"/>
  <c r="PT88" i="2" s="1"/>
  <c r="PU88" i="2" s="1"/>
  <c r="PV88" i="2" s="1"/>
  <c r="PW88" i="2" s="1"/>
  <c r="PX88" i="2" s="1"/>
  <c r="PY88" i="2" s="1"/>
  <c r="PZ88" i="2" s="1"/>
  <c r="QA88" i="2" s="1"/>
  <c r="QB88" i="2" s="1"/>
  <c r="QC88" i="2" s="1"/>
  <c r="QD88" i="2" s="1"/>
  <c r="QE88" i="2" s="1"/>
  <c r="QF88" i="2" s="1"/>
  <c r="QG88" i="2" s="1"/>
  <c r="QH88" i="2" s="1"/>
  <c r="QI88" i="2" s="1"/>
  <c r="QJ88" i="2" s="1"/>
  <c r="QK88" i="2" s="1"/>
  <c r="QL88" i="2" s="1"/>
  <c r="QM88" i="2" s="1"/>
  <c r="QN88" i="2" s="1"/>
  <c r="QO88" i="2" s="1"/>
  <c r="QP88" i="2" s="1"/>
  <c r="QQ88" i="2" s="1"/>
  <c r="QR88" i="2" s="1"/>
  <c r="QS88" i="2" s="1"/>
  <c r="QT88" i="2" s="1"/>
  <c r="QU88" i="2" s="1"/>
  <c r="QV88" i="2" s="1"/>
  <c r="QW88" i="2" s="1"/>
  <c r="QX88" i="2" s="1"/>
  <c r="QY88" i="2" s="1"/>
  <c r="QZ88" i="2" s="1"/>
  <c r="DJ93" i="2"/>
  <c r="DJ97" i="2"/>
  <c r="DJ92" i="2"/>
  <c r="DJ96" i="2"/>
  <c r="DJ94" i="2"/>
  <c r="DJ95" i="2" l="1"/>
  <c r="DL89" i="2"/>
  <c r="DK94" i="2"/>
  <c r="DK93" i="2"/>
  <c r="DK96" i="2"/>
  <c r="DK97" i="2"/>
  <c r="DK92" i="2"/>
  <c r="DK95" i="2" l="1"/>
  <c r="DM89" i="2"/>
  <c r="DL93" i="2"/>
  <c r="DL92" i="2"/>
  <c r="DL94" i="2"/>
  <c r="DL97" i="2"/>
  <c r="DL96" i="2"/>
  <c r="DL95" i="2" l="1"/>
  <c r="DN89" i="2"/>
  <c r="DM96" i="2"/>
  <c r="DM94" i="2"/>
  <c r="DM97" i="2"/>
  <c r="DM92" i="2"/>
  <c r="DM93" i="2"/>
  <c r="DM95" i="2" l="1"/>
  <c r="DO89" i="2"/>
  <c r="DN92" i="2"/>
  <c r="DN94" i="2"/>
  <c r="DN97" i="2"/>
  <c r="DN96" i="2"/>
  <c r="DN93" i="2"/>
  <c r="DN95" i="2" l="1"/>
  <c r="DP89" i="2"/>
  <c r="DO93" i="2"/>
  <c r="DO94" i="2"/>
  <c r="DO92" i="2"/>
  <c r="DO96" i="2"/>
  <c r="DO97" i="2"/>
  <c r="DO95" i="2" l="1"/>
  <c r="DQ89" i="2"/>
  <c r="DP94" i="2"/>
  <c r="DP93" i="2"/>
  <c r="DP96" i="2"/>
  <c r="DP97" i="2"/>
  <c r="DP92" i="2"/>
  <c r="DP95" i="2" l="1"/>
  <c r="DR89" i="2"/>
  <c r="DQ93" i="2"/>
  <c r="DQ94" i="2"/>
  <c r="DQ97" i="2"/>
  <c r="DQ96" i="2"/>
  <c r="DQ92" i="2"/>
  <c r="DQ95" i="2" l="1"/>
  <c r="DS89" i="2"/>
  <c r="DR97" i="2"/>
  <c r="DR93" i="2"/>
  <c r="DR94" i="2"/>
  <c r="DR92" i="2"/>
  <c r="DR96" i="2"/>
  <c r="DR95" i="2" l="1"/>
  <c r="DT89" i="2"/>
  <c r="DS97" i="2"/>
  <c r="DS96" i="2"/>
  <c r="DS93" i="2"/>
  <c r="DS92" i="2"/>
  <c r="DS94" i="2"/>
  <c r="DS95" i="2" l="1"/>
  <c r="DU89" i="2"/>
  <c r="DT94" i="2"/>
  <c r="DT92" i="2"/>
  <c r="DT93" i="2"/>
  <c r="DT96" i="2"/>
  <c r="DT97" i="2"/>
  <c r="DT95" i="2" l="1"/>
  <c r="DV89" i="2"/>
  <c r="DU92" i="2"/>
  <c r="DU96" i="2"/>
  <c r="DU93" i="2"/>
  <c r="DU94" i="2"/>
  <c r="DU97" i="2"/>
  <c r="DU95" i="2" l="1"/>
  <c r="DW89" i="2"/>
  <c r="DV97" i="2"/>
  <c r="DV96" i="2"/>
  <c r="DV93" i="2"/>
  <c r="DV94" i="2"/>
  <c r="DV92" i="2"/>
  <c r="DV95" i="2" l="1"/>
  <c r="DX89" i="2"/>
  <c r="DW94" i="2"/>
  <c r="DW96" i="2"/>
  <c r="DW97" i="2"/>
  <c r="DW92" i="2"/>
  <c r="DW93" i="2"/>
  <c r="DW95" i="2" l="1"/>
  <c r="DY89" i="2"/>
  <c r="DX93" i="2"/>
  <c r="DX92" i="2"/>
  <c r="DX96" i="2"/>
  <c r="DX97" i="2"/>
  <c r="DX94" i="2"/>
  <c r="DX95" i="2" l="1"/>
  <c r="DZ89" i="2"/>
  <c r="DY96" i="2"/>
  <c r="DY93" i="2"/>
  <c r="DY94" i="2"/>
  <c r="DY97" i="2"/>
  <c r="DY92" i="2"/>
  <c r="DY95" i="2" l="1"/>
  <c r="EA89" i="2"/>
  <c r="DZ96" i="2"/>
  <c r="DZ93" i="2"/>
  <c r="DZ92" i="2"/>
  <c r="DZ94" i="2"/>
  <c r="DZ97" i="2"/>
  <c r="DZ95" i="2" l="1"/>
  <c r="EB89" i="2"/>
  <c r="EA93" i="2"/>
  <c r="EA97" i="2"/>
  <c r="EA94" i="2"/>
  <c r="EA96" i="2"/>
  <c r="EA92" i="2"/>
  <c r="EA95" i="2" l="1"/>
  <c r="EC89" i="2"/>
  <c r="EB97" i="2"/>
  <c r="EB94" i="2"/>
  <c r="EB93" i="2"/>
  <c r="EB92" i="2"/>
  <c r="EB96" i="2"/>
  <c r="EB95" i="2" l="1"/>
  <c r="ED89" i="2"/>
  <c r="EC92" i="2"/>
  <c r="EC97" i="2"/>
  <c r="EC94" i="2"/>
  <c r="EC96" i="2"/>
  <c r="EC93" i="2"/>
  <c r="EC95" i="2" l="1"/>
  <c r="EE89" i="2"/>
  <c r="ED93" i="2"/>
  <c r="ED96" i="2"/>
  <c r="ED94" i="2"/>
  <c r="ED97" i="2"/>
  <c r="ED92" i="2"/>
  <c r="ED95" i="2" l="1"/>
  <c r="EF89" i="2"/>
  <c r="EE97" i="2"/>
  <c r="EE92" i="2"/>
  <c r="EE96" i="2"/>
  <c r="EE94" i="2"/>
  <c r="EE93" i="2"/>
  <c r="EE95" i="2" l="1"/>
  <c r="EG89" i="2"/>
  <c r="EF97" i="2"/>
  <c r="EF92" i="2"/>
  <c r="EF93" i="2"/>
  <c r="EF94" i="2"/>
  <c r="EF96" i="2"/>
  <c r="EF95" i="2" l="1"/>
  <c r="EH89" i="2"/>
  <c r="EG94" i="2"/>
  <c r="EG93" i="2"/>
  <c r="EG97" i="2"/>
  <c r="EG96" i="2"/>
  <c r="EG92" i="2"/>
  <c r="EG95" i="2" l="1"/>
  <c r="EI89" i="2"/>
  <c r="EH93" i="2"/>
  <c r="EH96" i="2"/>
  <c r="EH92" i="2"/>
  <c r="EH97" i="2"/>
  <c r="EH94" i="2"/>
  <c r="EH95" i="2" l="1"/>
  <c r="EJ89" i="2"/>
  <c r="EI94" i="2"/>
  <c r="EI92" i="2"/>
  <c r="EI93" i="2"/>
  <c r="EI97" i="2"/>
  <c r="EI96" i="2"/>
  <c r="EI95" i="2" l="1"/>
  <c r="EK89" i="2"/>
  <c r="EJ97" i="2"/>
  <c r="EJ94" i="2"/>
  <c r="EJ96" i="2"/>
  <c r="EJ93" i="2"/>
  <c r="EJ92" i="2"/>
  <c r="EJ95" i="2" l="1"/>
  <c r="EL89" i="2"/>
  <c r="EK94" i="2"/>
  <c r="EK96" i="2"/>
  <c r="EK93" i="2"/>
  <c r="EK97" i="2"/>
  <c r="EK92" i="2"/>
  <c r="EK95" i="2" l="1"/>
  <c r="EM89" i="2"/>
  <c r="EL97" i="2"/>
  <c r="EL96" i="2"/>
  <c r="EL93" i="2"/>
  <c r="EL94" i="2"/>
  <c r="EL92" i="2"/>
  <c r="EL95" i="2" l="1"/>
  <c r="EN89" i="2"/>
  <c r="EM94" i="2"/>
  <c r="EM97" i="2"/>
  <c r="EM93" i="2"/>
  <c r="EM92" i="2"/>
  <c r="EM96" i="2"/>
  <c r="EM95" i="2" l="1"/>
  <c r="EO89" i="2"/>
  <c r="EN94" i="2"/>
  <c r="EN92" i="2"/>
  <c r="EN97" i="2"/>
  <c r="EN96" i="2"/>
  <c r="EN93" i="2"/>
  <c r="EN95" i="2" l="1"/>
  <c r="EP89" i="2"/>
  <c r="EO93" i="2"/>
  <c r="EO94" i="2"/>
  <c r="EO92" i="2"/>
  <c r="EO96" i="2"/>
  <c r="EO97" i="2"/>
  <c r="EO95" i="2" l="1"/>
  <c r="EQ89" i="2"/>
  <c r="EP94" i="2"/>
  <c r="EP97" i="2"/>
  <c r="EP96" i="2"/>
  <c r="EP92" i="2"/>
  <c r="EP93" i="2"/>
  <c r="EP95" i="2" l="1"/>
  <c r="ER89" i="2"/>
  <c r="EQ93" i="2"/>
  <c r="EQ97" i="2"/>
  <c r="EQ96" i="2"/>
  <c r="EQ94" i="2"/>
  <c r="EQ92" i="2"/>
  <c r="EQ95" i="2" l="1"/>
  <c r="ES89" i="2"/>
  <c r="ER93" i="2"/>
  <c r="ER97" i="2"/>
  <c r="ER96" i="2"/>
  <c r="ER92" i="2"/>
  <c r="ER94" i="2"/>
  <c r="ER95" i="2" l="1"/>
  <c r="ET89" i="2"/>
  <c r="ES92" i="2"/>
  <c r="ES93" i="2"/>
  <c r="ES94" i="2"/>
  <c r="ES97" i="2"/>
  <c r="ES96" i="2"/>
  <c r="ES95" i="2" l="1"/>
  <c r="EU89" i="2"/>
  <c r="ET97" i="2"/>
  <c r="ET96" i="2"/>
  <c r="ET93" i="2"/>
  <c r="ET92" i="2"/>
  <c r="ET94" i="2"/>
  <c r="ET95" i="2" l="1"/>
  <c r="EV89" i="2"/>
  <c r="EU97" i="2"/>
  <c r="EU92" i="2"/>
  <c r="EU96" i="2"/>
  <c r="EU94" i="2"/>
  <c r="EU93" i="2"/>
  <c r="EU95" i="2" l="1"/>
  <c r="EW89" i="2"/>
  <c r="EV97" i="2"/>
  <c r="EV96" i="2"/>
  <c r="EV94" i="2"/>
  <c r="EV93" i="2"/>
  <c r="EV92" i="2"/>
  <c r="EV95" i="2" l="1"/>
  <c r="EX89" i="2"/>
  <c r="EW96" i="2"/>
  <c r="EW92" i="2"/>
  <c r="EW97" i="2"/>
  <c r="EW94" i="2"/>
  <c r="EW93" i="2"/>
  <c r="EW95" i="2" l="1"/>
  <c r="EY89" i="2"/>
  <c r="EX96" i="2"/>
  <c r="EX97" i="2"/>
  <c r="EX94" i="2"/>
  <c r="EX93" i="2"/>
  <c r="EX92" i="2"/>
  <c r="EX95" i="2" l="1"/>
  <c r="EZ89" i="2"/>
  <c r="EY97" i="2"/>
  <c r="EY96" i="2"/>
  <c r="EY93" i="2"/>
  <c r="EY92" i="2"/>
  <c r="EY94" i="2"/>
  <c r="EY95" i="2" l="1"/>
  <c r="FA89" i="2"/>
  <c r="EZ94" i="2"/>
  <c r="EZ96" i="2"/>
  <c r="EZ92" i="2"/>
  <c r="EZ93" i="2"/>
  <c r="EZ97" i="2"/>
  <c r="EZ95" i="2" l="1"/>
  <c r="FB89" i="2"/>
  <c r="FA97" i="2"/>
  <c r="FA94" i="2"/>
  <c r="FA93" i="2"/>
  <c r="FA96" i="2"/>
  <c r="FA92" i="2"/>
  <c r="FA95" i="2" l="1"/>
  <c r="FC89" i="2"/>
  <c r="FB94" i="2"/>
  <c r="FB93" i="2"/>
  <c r="FB97" i="2"/>
  <c r="FB96" i="2"/>
  <c r="FB92" i="2"/>
  <c r="FB95" i="2" l="1"/>
  <c r="FD89" i="2"/>
  <c r="FC93" i="2"/>
  <c r="FC94" i="2"/>
  <c r="FC96" i="2"/>
  <c r="FC92" i="2"/>
  <c r="FC97" i="2"/>
  <c r="FC95" i="2" l="1"/>
  <c r="FE89" i="2"/>
  <c r="FD92" i="2"/>
  <c r="FD93" i="2"/>
  <c r="FD96" i="2"/>
  <c r="FD97" i="2"/>
  <c r="FD94" i="2"/>
  <c r="FD95" i="2" l="1"/>
  <c r="FF89" i="2"/>
  <c r="FE93" i="2"/>
  <c r="FE96" i="2"/>
  <c r="FE94" i="2"/>
  <c r="FE92" i="2"/>
  <c r="FE97" i="2"/>
  <c r="FE95" i="2" l="1"/>
  <c r="FG89" i="2"/>
  <c r="FF96" i="2"/>
  <c r="FF92" i="2"/>
  <c r="FF94" i="2"/>
  <c r="FF97" i="2"/>
  <c r="FF93" i="2"/>
  <c r="FF95" i="2" l="1"/>
  <c r="FH89" i="2"/>
  <c r="FG96" i="2"/>
  <c r="FG93" i="2"/>
  <c r="FG94" i="2"/>
  <c r="FG97" i="2"/>
  <c r="FG92" i="2"/>
  <c r="FG95" i="2" l="1"/>
  <c r="FI89" i="2"/>
  <c r="FH94" i="2"/>
  <c r="FH92" i="2"/>
  <c r="FH93" i="2"/>
  <c r="FH97" i="2"/>
  <c r="FH96" i="2"/>
  <c r="FH95" i="2" l="1"/>
  <c r="FJ89" i="2"/>
  <c r="FI92" i="2"/>
  <c r="FI96" i="2"/>
  <c r="FI93" i="2"/>
  <c r="FI97" i="2"/>
  <c r="FI94" i="2"/>
  <c r="FI95" i="2" l="1"/>
  <c r="FK89" i="2"/>
  <c r="FJ94" i="2"/>
  <c r="FJ96" i="2"/>
  <c r="FJ93" i="2"/>
  <c r="FJ92" i="2"/>
  <c r="FJ97" i="2"/>
  <c r="FJ95" i="2" l="1"/>
  <c r="FL89" i="2"/>
  <c r="FK93" i="2"/>
  <c r="FK97" i="2"/>
  <c r="FK94" i="2"/>
  <c r="FK92" i="2"/>
  <c r="FK96" i="2"/>
  <c r="FK95" i="2" l="1"/>
  <c r="FM89" i="2"/>
  <c r="FL92" i="2"/>
  <c r="FL93" i="2"/>
  <c r="FL97" i="2"/>
  <c r="FL96" i="2"/>
  <c r="FL94" i="2"/>
  <c r="FL95" i="2" l="1"/>
  <c r="FN89" i="2"/>
  <c r="FM94" i="2"/>
  <c r="FM92" i="2"/>
  <c r="FM97" i="2"/>
  <c r="FM93" i="2"/>
  <c r="FM96" i="2"/>
  <c r="FM95" i="2" l="1"/>
  <c r="FO89" i="2"/>
  <c r="FN93" i="2"/>
  <c r="FN92" i="2"/>
  <c r="FN94" i="2"/>
  <c r="FN97" i="2"/>
  <c r="FN96" i="2"/>
  <c r="FN95" i="2" l="1"/>
  <c r="FP89" i="2"/>
  <c r="FO93" i="2"/>
  <c r="FO97" i="2"/>
  <c r="FO94" i="2"/>
  <c r="FO92" i="2"/>
  <c r="FO96" i="2"/>
  <c r="FO95" i="2" l="1"/>
  <c r="FQ89" i="2"/>
  <c r="FP94" i="2"/>
  <c r="FP92" i="2"/>
  <c r="FP96" i="2"/>
  <c r="FP97" i="2"/>
  <c r="FP93" i="2"/>
  <c r="FP95" i="2" l="1"/>
  <c r="FR89" i="2"/>
  <c r="FQ94" i="2"/>
  <c r="FQ93" i="2"/>
  <c r="FQ97" i="2"/>
  <c r="FQ92" i="2"/>
  <c r="FQ96" i="2"/>
  <c r="FQ95" i="2" l="1"/>
  <c r="FS89" i="2"/>
  <c r="FR97" i="2"/>
  <c r="FR92" i="2"/>
  <c r="FR96" i="2"/>
  <c r="FR94" i="2"/>
  <c r="FR93" i="2"/>
  <c r="FR95" i="2" l="1"/>
  <c r="FT89" i="2"/>
  <c r="FS94" i="2"/>
  <c r="FS93" i="2"/>
  <c r="FS92" i="2"/>
  <c r="FS97" i="2"/>
  <c r="FS96" i="2"/>
  <c r="FS95" i="2" l="1"/>
  <c r="FU89" i="2"/>
  <c r="FT96" i="2"/>
  <c r="FT94" i="2"/>
  <c r="FT93" i="2"/>
  <c r="FT92" i="2"/>
  <c r="FT97" i="2"/>
  <c r="FT95" i="2" l="1"/>
  <c r="FV89" i="2"/>
  <c r="FU97" i="2"/>
  <c r="FU93" i="2"/>
  <c r="FU94" i="2"/>
  <c r="FU96" i="2"/>
  <c r="FU92" i="2"/>
  <c r="FU95" i="2" l="1"/>
  <c r="FW89" i="2"/>
  <c r="FV94" i="2"/>
  <c r="FV97" i="2"/>
  <c r="FV92" i="2"/>
  <c r="FV96" i="2"/>
  <c r="FV93" i="2"/>
  <c r="FV95" i="2" l="1"/>
  <c r="FX89" i="2"/>
  <c r="FW92" i="2"/>
  <c r="FW93" i="2"/>
  <c r="FW97" i="2"/>
  <c r="FW94" i="2"/>
  <c r="FW96" i="2"/>
  <c r="FW95" i="2" l="1"/>
  <c r="FY89" i="2"/>
  <c r="FX93" i="2"/>
  <c r="FX92" i="2"/>
  <c r="FX94" i="2"/>
  <c r="FX96" i="2"/>
  <c r="FX97" i="2"/>
  <c r="FX95" i="2" l="1"/>
  <c r="FZ89" i="2"/>
  <c r="FY97" i="2"/>
  <c r="FY92" i="2"/>
  <c r="FY93" i="2"/>
  <c r="FY96" i="2"/>
  <c r="FY94" i="2"/>
  <c r="FY95" i="2" l="1"/>
  <c r="GA89" i="2"/>
  <c r="FZ97" i="2"/>
  <c r="FZ93" i="2"/>
  <c r="FZ94" i="2"/>
  <c r="FZ92" i="2"/>
  <c r="FZ96" i="2"/>
  <c r="FZ95" i="2" l="1"/>
  <c r="GB89" i="2"/>
  <c r="GA92" i="2"/>
  <c r="GA93" i="2"/>
  <c r="GA96" i="2"/>
  <c r="GA97" i="2"/>
  <c r="GA94" i="2"/>
  <c r="GA95" i="2" l="1"/>
  <c r="GC89" i="2"/>
  <c r="GB93" i="2"/>
  <c r="GB97" i="2"/>
  <c r="GB92" i="2"/>
  <c r="GB94" i="2"/>
  <c r="GB96" i="2"/>
  <c r="GB95" i="2" l="1"/>
  <c r="GD89" i="2"/>
  <c r="GC92" i="2"/>
  <c r="GC96" i="2"/>
  <c r="GC93" i="2"/>
  <c r="GC97" i="2"/>
  <c r="GC94" i="2"/>
  <c r="GC95" i="2" l="1"/>
  <c r="GE89" i="2"/>
  <c r="GD97" i="2"/>
  <c r="GD93" i="2"/>
  <c r="GD94" i="2"/>
  <c r="GD96" i="2"/>
  <c r="GD92" i="2"/>
  <c r="GD95" i="2" l="1"/>
  <c r="GF89" i="2"/>
  <c r="GE93" i="2"/>
  <c r="GE92" i="2"/>
  <c r="GE96" i="2"/>
  <c r="GE94" i="2"/>
  <c r="GE97" i="2"/>
  <c r="GE95" i="2" l="1"/>
  <c r="GG89" i="2"/>
  <c r="GF97" i="2"/>
  <c r="GF96" i="2"/>
  <c r="GF92" i="2"/>
  <c r="GF94" i="2"/>
  <c r="GF93" i="2"/>
  <c r="GF95" i="2" l="1"/>
  <c r="GH89" i="2"/>
  <c r="GG96" i="2"/>
  <c r="GG94" i="2"/>
  <c r="GG92" i="2"/>
  <c r="GG93" i="2"/>
  <c r="GG97" i="2"/>
  <c r="GG95" i="2" l="1"/>
  <c r="GI89" i="2"/>
  <c r="GH96" i="2"/>
  <c r="GH93" i="2"/>
  <c r="GH97" i="2"/>
  <c r="GH94" i="2"/>
  <c r="GH92" i="2"/>
  <c r="GH95" i="2" l="1"/>
  <c r="GJ89" i="2"/>
  <c r="GI97" i="2"/>
  <c r="GI96" i="2"/>
  <c r="GI93" i="2"/>
  <c r="GI94" i="2"/>
  <c r="GI92" i="2"/>
  <c r="GI95" i="2" l="1"/>
  <c r="GK89" i="2"/>
  <c r="GJ92" i="2"/>
  <c r="GJ94" i="2"/>
  <c r="GJ93" i="2"/>
  <c r="GJ96" i="2"/>
  <c r="GJ97" i="2"/>
  <c r="GJ95" i="2" l="1"/>
  <c r="GL89" i="2"/>
  <c r="GK94" i="2"/>
  <c r="GK93" i="2"/>
  <c r="GK97" i="2"/>
  <c r="GK92" i="2"/>
  <c r="GK96" i="2"/>
  <c r="GK95" i="2" l="1"/>
  <c r="GM89" i="2"/>
  <c r="GL97" i="2"/>
  <c r="GL94" i="2"/>
  <c r="GL96" i="2"/>
  <c r="GL92" i="2"/>
  <c r="GL93" i="2"/>
  <c r="GL95" i="2" l="1"/>
  <c r="GN89" i="2"/>
  <c r="GM97" i="2"/>
  <c r="GM93" i="2"/>
  <c r="GM94" i="2"/>
  <c r="GM92" i="2"/>
  <c r="GM96" i="2"/>
  <c r="GM95" i="2" l="1"/>
  <c r="GO89" i="2"/>
  <c r="GN93" i="2"/>
  <c r="GN97" i="2"/>
  <c r="GN96" i="2"/>
  <c r="GN94" i="2"/>
  <c r="GN92" i="2"/>
  <c r="GN95" i="2" l="1"/>
  <c r="GP89" i="2"/>
  <c r="GO96" i="2"/>
  <c r="GO94" i="2"/>
  <c r="GO93" i="2"/>
  <c r="GO92" i="2"/>
  <c r="GO97" i="2"/>
  <c r="GO95" i="2" l="1"/>
  <c r="GQ89" i="2"/>
  <c r="GP93" i="2"/>
  <c r="GP97" i="2"/>
  <c r="GP96" i="2"/>
  <c r="GP92" i="2"/>
  <c r="GP94" i="2"/>
  <c r="GP95" i="2" l="1"/>
  <c r="GR89" i="2"/>
  <c r="GQ94" i="2"/>
  <c r="GQ97" i="2"/>
  <c r="GQ92" i="2"/>
  <c r="GQ93" i="2"/>
  <c r="GQ96" i="2"/>
  <c r="GQ95" i="2" l="1"/>
  <c r="GS89" i="2"/>
  <c r="GR92" i="2"/>
  <c r="GR96" i="2"/>
  <c r="GR94" i="2"/>
  <c r="GR97" i="2"/>
  <c r="GR93" i="2"/>
  <c r="GR95" i="2" l="1"/>
  <c r="GT89" i="2"/>
  <c r="GS94" i="2"/>
  <c r="GS93" i="2"/>
  <c r="GS97" i="2"/>
  <c r="GS92" i="2"/>
  <c r="GS96" i="2"/>
  <c r="GS95" i="2" l="1"/>
  <c r="GU89" i="2"/>
  <c r="GT92" i="2"/>
  <c r="GT94" i="2"/>
  <c r="GT93" i="2"/>
  <c r="GT96" i="2"/>
  <c r="GT97" i="2"/>
  <c r="GT95" i="2" l="1"/>
  <c r="GV89" i="2"/>
  <c r="GU97" i="2"/>
  <c r="GU92" i="2"/>
  <c r="GU94" i="2"/>
  <c r="GU93" i="2"/>
  <c r="GU96" i="2"/>
  <c r="GU95" i="2" l="1"/>
  <c r="GW89" i="2"/>
  <c r="GV94" i="2"/>
  <c r="GV93" i="2"/>
  <c r="GV97" i="2"/>
  <c r="GV96" i="2"/>
  <c r="GV92" i="2"/>
  <c r="GV95" i="2" l="1"/>
  <c r="GX89" i="2"/>
  <c r="GW93" i="2"/>
  <c r="GW97" i="2"/>
  <c r="GW94" i="2"/>
  <c r="GW92" i="2"/>
  <c r="GW96" i="2"/>
  <c r="GW95" i="2" l="1"/>
  <c r="GY89" i="2"/>
  <c r="GX93" i="2"/>
  <c r="GX97" i="2"/>
  <c r="GX94" i="2"/>
  <c r="GX92" i="2"/>
  <c r="GX96" i="2"/>
  <c r="GX95" i="2" l="1"/>
  <c r="GZ89" i="2"/>
  <c r="GY94" i="2"/>
  <c r="GY93" i="2"/>
  <c r="GY92" i="2"/>
  <c r="GY96" i="2"/>
  <c r="GY97" i="2"/>
  <c r="GY95" i="2" l="1"/>
  <c r="HA89" i="2"/>
  <c r="GZ93" i="2"/>
  <c r="GZ96" i="2"/>
  <c r="GZ94" i="2"/>
  <c r="GZ97" i="2"/>
  <c r="GZ92" i="2"/>
  <c r="GZ95" i="2" l="1"/>
  <c r="HB89" i="2"/>
  <c r="HA96" i="2"/>
  <c r="HA94" i="2"/>
  <c r="HA93" i="2"/>
  <c r="HA92" i="2"/>
  <c r="HA97" i="2"/>
  <c r="HA95" i="2" l="1"/>
  <c r="HC89" i="2"/>
  <c r="HB94" i="2"/>
  <c r="HB97" i="2"/>
  <c r="HB93" i="2"/>
  <c r="HB92" i="2"/>
  <c r="HB96" i="2"/>
  <c r="HB95" i="2" l="1"/>
  <c r="HD89" i="2"/>
  <c r="HC94" i="2"/>
  <c r="HC92" i="2"/>
  <c r="HC97" i="2"/>
  <c r="HC93" i="2"/>
  <c r="HC96" i="2"/>
  <c r="HC95" i="2" l="1"/>
  <c r="HE89" i="2"/>
  <c r="HD96" i="2"/>
  <c r="HD92" i="2"/>
  <c r="HD97" i="2"/>
  <c r="HD93" i="2"/>
  <c r="HD94" i="2"/>
  <c r="HD95" i="2" l="1"/>
  <c r="HF89" i="2"/>
  <c r="HE92" i="2"/>
  <c r="HE93" i="2"/>
  <c r="HE96" i="2"/>
  <c r="HE97" i="2"/>
  <c r="HE94" i="2"/>
  <c r="HE95" i="2" l="1"/>
  <c r="HG89" i="2"/>
  <c r="HF96" i="2"/>
  <c r="HF93" i="2"/>
  <c r="HF94" i="2"/>
  <c r="HF92" i="2"/>
  <c r="HF97" i="2"/>
  <c r="HF95" i="2" l="1"/>
  <c r="HH89" i="2"/>
  <c r="HG93" i="2"/>
  <c r="HG97" i="2"/>
  <c r="HG96" i="2"/>
  <c r="HG94" i="2"/>
  <c r="HG92" i="2"/>
  <c r="HG95" i="2" l="1"/>
  <c r="HI89" i="2"/>
  <c r="HH96" i="2"/>
  <c r="HH97" i="2"/>
  <c r="HH94" i="2"/>
  <c r="HH92" i="2"/>
  <c r="HH93" i="2"/>
  <c r="HH95" i="2" l="1"/>
  <c r="HJ89" i="2"/>
  <c r="HI94" i="2"/>
  <c r="HI92" i="2"/>
  <c r="HI96" i="2"/>
  <c r="HI93" i="2"/>
  <c r="HI97" i="2"/>
  <c r="HI95" i="2" l="1"/>
  <c r="HK89" i="2"/>
  <c r="HJ94" i="2"/>
  <c r="HJ96" i="2"/>
  <c r="HJ92" i="2"/>
  <c r="HJ97" i="2"/>
  <c r="HJ93" i="2"/>
  <c r="HJ95" i="2" l="1"/>
  <c r="HL89" i="2"/>
  <c r="HK94" i="2"/>
  <c r="HK92" i="2"/>
  <c r="HK97" i="2"/>
  <c r="HK96" i="2"/>
  <c r="HK93" i="2"/>
  <c r="HK95" i="2" l="1"/>
  <c r="HM89" i="2"/>
  <c r="HL97" i="2"/>
  <c r="HL93" i="2"/>
  <c r="HL96" i="2"/>
  <c r="HL94" i="2"/>
  <c r="HL92" i="2"/>
  <c r="HL95" i="2" l="1"/>
  <c r="HN89" i="2"/>
  <c r="HM93" i="2"/>
  <c r="HM92" i="2"/>
  <c r="HM96" i="2"/>
  <c r="HM97" i="2"/>
  <c r="HM94" i="2"/>
  <c r="HM95" i="2" l="1"/>
  <c r="HO89" i="2"/>
  <c r="HN92" i="2"/>
  <c r="HN96" i="2"/>
  <c r="HN94" i="2"/>
  <c r="HN93" i="2"/>
  <c r="HN97" i="2"/>
  <c r="HN95" i="2" l="1"/>
  <c r="HP89" i="2"/>
  <c r="HO97" i="2"/>
  <c r="HO93" i="2"/>
  <c r="HO94" i="2"/>
  <c r="HO96" i="2"/>
  <c r="HO92" i="2"/>
  <c r="HO95" i="2" l="1"/>
  <c r="HQ89" i="2"/>
  <c r="HP92" i="2"/>
  <c r="HP96" i="2"/>
  <c r="HP94" i="2"/>
  <c r="HP97" i="2"/>
  <c r="HP93" i="2"/>
  <c r="HP95" i="2" l="1"/>
  <c r="HR89" i="2"/>
  <c r="HQ96" i="2"/>
  <c r="HQ97" i="2"/>
  <c r="HQ94" i="2"/>
  <c r="HQ92" i="2"/>
  <c r="HQ93" i="2"/>
  <c r="HQ95" i="2" l="1"/>
  <c r="HS89" i="2"/>
  <c r="HR92" i="2"/>
  <c r="HR94" i="2"/>
  <c r="HR93" i="2"/>
  <c r="HR96" i="2"/>
  <c r="HR97" i="2"/>
  <c r="HR95" i="2" l="1"/>
  <c r="HT89" i="2"/>
  <c r="HS93" i="2"/>
  <c r="HS94" i="2"/>
  <c r="HS97" i="2"/>
  <c r="HS92" i="2"/>
  <c r="HS96" i="2"/>
  <c r="HS95" i="2" l="1"/>
  <c r="HU89" i="2"/>
  <c r="HT96" i="2"/>
  <c r="HT92" i="2"/>
  <c r="HT94" i="2"/>
  <c r="HT97" i="2"/>
  <c r="HT93" i="2"/>
  <c r="HT95" i="2" l="1"/>
  <c r="HV89" i="2"/>
  <c r="HU93" i="2"/>
  <c r="HU97" i="2"/>
  <c r="HU96" i="2"/>
  <c r="HU94" i="2"/>
  <c r="HU92" i="2"/>
  <c r="HU95" i="2" l="1"/>
  <c r="HW89" i="2"/>
  <c r="HV96" i="2"/>
  <c r="HV93" i="2"/>
  <c r="HV92" i="2"/>
  <c r="HV94" i="2"/>
  <c r="HV97" i="2"/>
  <c r="HV95" i="2" l="1"/>
  <c r="HX89" i="2"/>
  <c r="HW93" i="2"/>
  <c r="HW97" i="2"/>
  <c r="HW96" i="2"/>
  <c r="HW94" i="2"/>
  <c r="HW92" i="2"/>
  <c r="HW95" i="2" l="1"/>
  <c r="HY89" i="2"/>
  <c r="HX94" i="2"/>
  <c r="HX93" i="2"/>
  <c r="HX96" i="2"/>
  <c r="HX92" i="2"/>
  <c r="HX97" i="2"/>
  <c r="HX95" i="2" l="1"/>
  <c r="HZ89" i="2"/>
  <c r="HY94" i="2"/>
  <c r="HY97" i="2"/>
  <c r="HY96" i="2"/>
  <c r="HY92" i="2"/>
  <c r="HY93" i="2"/>
  <c r="HY95" i="2" l="1"/>
  <c r="IA89" i="2"/>
  <c r="HZ96" i="2"/>
  <c r="HZ92" i="2"/>
  <c r="HZ94" i="2"/>
  <c r="HZ93" i="2"/>
  <c r="HZ97" i="2"/>
  <c r="HZ95" i="2" l="1"/>
  <c r="IB89" i="2"/>
  <c r="IA93" i="2"/>
  <c r="IA94" i="2"/>
  <c r="IA92" i="2"/>
  <c r="IA97" i="2"/>
  <c r="IA96" i="2"/>
  <c r="IA95" i="2" l="1"/>
  <c r="IC89" i="2"/>
  <c r="IB92" i="2"/>
  <c r="IB97" i="2"/>
  <c r="IB94" i="2"/>
  <c r="IB93" i="2"/>
  <c r="IB96" i="2"/>
  <c r="IB95" i="2" l="1"/>
  <c r="ID89" i="2"/>
  <c r="IC92" i="2"/>
  <c r="IC93" i="2"/>
  <c r="IC97" i="2"/>
  <c r="IC94" i="2"/>
  <c r="IC96" i="2"/>
  <c r="IC95" i="2" l="1"/>
  <c r="IE89" i="2"/>
  <c r="ID93" i="2"/>
  <c r="ID94" i="2"/>
  <c r="ID97" i="2"/>
  <c r="ID96" i="2"/>
  <c r="ID92" i="2"/>
  <c r="ID95" i="2" l="1"/>
  <c r="IF89" i="2"/>
  <c r="IE97" i="2"/>
  <c r="IE92" i="2"/>
  <c r="IE96" i="2"/>
  <c r="IE93" i="2"/>
  <c r="IE94" i="2"/>
  <c r="IE95" i="2" l="1"/>
  <c r="IG89" i="2"/>
  <c r="IF96" i="2"/>
  <c r="IF97" i="2"/>
  <c r="IF92" i="2"/>
  <c r="IF93" i="2"/>
  <c r="IF94" i="2"/>
  <c r="IF95" i="2" l="1"/>
  <c r="IH89" i="2"/>
  <c r="IG97" i="2"/>
  <c r="IG92" i="2"/>
  <c r="IG94" i="2"/>
  <c r="IG96" i="2"/>
  <c r="IG93" i="2"/>
  <c r="IG95" i="2" l="1"/>
  <c r="II89" i="2"/>
  <c r="IH92" i="2"/>
  <c r="IH96" i="2"/>
  <c r="IH94" i="2"/>
  <c r="IH93" i="2"/>
  <c r="IH97" i="2"/>
  <c r="IH95" i="2" l="1"/>
  <c r="IJ89" i="2"/>
  <c r="II96" i="2"/>
  <c r="II93" i="2"/>
  <c r="II94" i="2"/>
  <c r="II92" i="2"/>
  <c r="II97" i="2"/>
  <c r="II95" i="2" l="1"/>
  <c r="IK89" i="2"/>
  <c r="IJ97" i="2"/>
  <c r="IJ94" i="2"/>
  <c r="IJ96" i="2"/>
  <c r="IJ92" i="2"/>
  <c r="IJ93" i="2"/>
  <c r="IJ95" i="2" l="1"/>
  <c r="IL89" i="2"/>
  <c r="IK93" i="2"/>
  <c r="IK97" i="2"/>
  <c r="IK92" i="2"/>
  <c r="IK96" i="2"/>
  <c r="IK94" i="2"/>
  <c r="IK95" i="2" l="1"/>
  <c r="IM89" i="2"/>
  <c r="IL92" i="2"/>
  <c r="IL93" i="2"/>
  <c r="IL97" i="2"/>
  <c r="IL96" i="2"/>
  <c r="IL94" i="2"/>
  <c r="IL95" i="2" l="1"/>
  <c r="IN89" i="2"/>
  <c r="IM92" i="2"/>
  <c r="IM93" i="2"/>
  <c r="IM97" i="2"/>
  <c r="IM96" i="2"/>
  <c r="IM94" i="2"/>
  <c r="IM95" i="2" l="1"/>
  <c r="IO89" i="2"/>
  <c r="IN93" i="2"/>
  <c r="IN96" i="2"/>
  <c r="IN94" i="2"/>
  <c r="IN92" i="2"/>
  <c r="IN97" i="2"/>
  <c r="IN95" i="2" l="1"/>
  <c r="IP89" i="2"/>
  <c r="IO96" i="2"/>
  <c r="IO94" i="2"/>
  <c r="IO92" i="2"/>
  <c r="IO97" i="2"/>
  <c r="IO93" i="2"/>
  <c r="IO95" i="2" l="1"/>
  <c r="IQ89" i="2"/>
  <c r="IP92" i="2"/>
  <c r="IP97" i="2"/>
  <c r="IP93" i="2"/>
  <c r="IP94" i="2"/>
  <c r="IP96" i="2"/>
  <c r="IP95" i="2" l="1"/>
  <c r="IR89" i="2"/>
  <c r="IQ97" i="2"/>
  <c r="IQ92" i="2"/>
  <c r="IQ96" i="2"/>
  <c r="IQ93" i="2"/>
  <c r="IQ94" i="2"/>
  <c r="IQ95" i="2" l="1"/>
  <c r="IS89" i="2"/>
  <c r="IR94" i="2"/>
  <c r="IR96" i="2"/>
  <c r="IR93" i="2"/>
  <c r="IR92" i="2"/>
  <c r="IR97" i="2"/>
  <c r="IR95" i="2" l="1"/>
  <c r="IT89" i="2"/>
  <c r="IS96" i="2"/>
  <c r="IS94" i="2"/>
  <c r="IS97" i="2"/>
  <c r="IS92" i="2"/>
  <c r="IS93" i="2"/>
  <c r="IS95" i="2" l="1"/>
  <c r="IU89" i="2"/>
  <c r="IT94" i="2"/>
  <c r="IT93" i="2"/>
  <c r="IT96" i="2"/>
  <c r="IT97" i="2"/>
  <c r="IT92" i="2"/>
  <c r="IT95" i="2" l="1"/>
  <c r="IV89" i="2"/>
  <c r="IU97" i="2"/>
  <c r="IU92" i="2"/>
  <c r="IU94" i="2"/>
  <c r="IU96" i="2"/>
  <c r="IU93" i="2"/>
  <c r="IU95" i="2" l="1"/>
  <c r="IW89" i="2"/>
  <c r="IV94" i="2"/>
  <c r="IV93" i="2"/>
  <c r="IV97" i="2"/>
  <c r="IV96" i="2"/>
  <c r="IV92" i="2"/>
  <c r="IV95" i="2" l="1"/>
  <c r="IX89" i="2"/>
  <c r="IW93" i="2"/>
  <c r="IW97" i="2"/>
  <c r="IW96" i="2"/>
  <c r="IW94" i="2"/>
  <c r="IW92" i="2"/>
  <c r="IW95" i="2" l="1"/>
  <c r="IY89" i="2"/>
  <c r="IX93" i="2"/>
  <c r="IX96" i="2"/>
  <c r="IX94" i="2"/>
  <c r="IX97" i="2"/>
  <c r="IX92" i="2"/>
  <c r="IX95" i="2" l="1"/>
  <c r="IZ89" i="2"/>
  <c r="IY92" i="2"/>
  <c r="IY96" i="2"/>
  <c r="IY94" i="2"/>
  <c r="IY93" i="2"/>
  <c r="IY97" i="2"/>
  <c r="IY95" i="2" l="1"/>
  <c r="JA89" i="2"/>
  <c r="IZ96" i="2"/>
  <c r="IZ92" i="2"/>
  <c r="IZ93" i="2"/>
  <c r="IZ97" i="2"/>
  <c r="IZ94" i="2"/>
  <c r="IZ95" i="2" l="1"/>
  <c r="JB89" i="2"/>
  <c r="JA94" i="2"/>
  <c r="JA97" i="2"/>
  <c r="JA96" i="2"/>
  <c r="JA92" i="2"/>
  <c r="JA93" i="2"/>
  <c r="JA95" i="2" l="1"/>
  <c r="JC89" i="2"/>
  <c r="JB94" i="2"/>
  <c r="JB96" i="2"/>
  <c r="JB93" i="2"/>
  <c r="JB97" i="2"/>
  <c r="JB92" i="2"/>
  <c r="JB95" i="2" l="1"/>
  <c r="JD89" i="2"/>
  <c r="JC92" i="2"/>
  <c r="JC96" i="2"/>
  <c r="JC93" i="2"/>
  <c r="JC97" i="2"/>
  <c r="JC94" i="2"/>
  <c r="JC95" i="2" l="1"/>
  <c r="JE89" i="2"/>
  <c r="JD97" i="2"/>
  <c r="JD94" i="2"/>
  <c r="JD96" i="2"/>
  <c r="JD92" i="2"/>
  <c r="JD93" i="2"/>
  <c r="JD95" i="2" l="1"/>
  <c r="JF89" i="2"/>
  <c r="JE96" i="2"/>
  <c r="JE97" i="2"/>
  <c r="JE94" i="2"/>
  <c r="JE93" i="2"/>
  <c r="JE92" i="2"/>
  <c r="JE95" i="2" l="1"/>
  <c r="JG89" i="2"/>
  <c r="JF97" i="2"/>
  <c r="JF93" i="2"/>
  <c r="JF94" i="2"/>
  <c r="JF96" i="2"/>
  <c r="JF92" i="2"/>
  <c r="JF95" i="2" l="1"/>
  <c r="JH89" i="2"/>
  <c r="JG94" i="2"/>
  <c r="JG93" i="2"/>
  <c r="JG96" i="2"/>
  <c r="JG97" i="2"/>
  <c r="JG92" i="2"/>
  <c r="JG95" i="2" l="1"/>
  <c r="JI89" i="2"/>
  <c r="JH94" i="2"/>
  <c r="JH92" i="2"/>
  <c r="JH97" i="2"/>
  <c r="JH96" i="2"/>
  <c r="JH93" i="2"/>
  <c r="JH95" i="2" l="1"/>
  <c r="JJ89" i="2"/>
  <c r="JI93" i="2"/>
  <c r="JI92" i="2"/>
  <c r="JI94" i="2"/>
  <c r="JI97" i="2"/>
  <c r="JI96" i="2"/>
  <c r="JI95" i="2" l="1"/>
  <c r="JK89" i="2"/>
  <c r="JJ96" i="2"/>
  <c r="JJ94" i="2"/>
  <c r="JJ92" i="2"/>
  <c r="JJ93" i="2"/>
  <c r="JJ97" i="2"/>
  <c r="JJ95" i="2" l="1"/>
  <c r="JL89" i="2"/>
  <c r="JK92" i="2"/>
  <c r="JK93" i="2"/>
  <c r="JK96" i="2"/>
  <c r="JK94" i="2"/>
  <c r="JK97" i="2"/>
  <c r="JK95" i="2" l="1"/>
  <c r="JM89" i="2"/>
  <c r="JL92" i="2"/>
  <c r="JL96" i="2"/>
  <c r="JL94" i="2"/>
  <c r="JL97" i="2"/>
  <c r="JL93" i="2"/>
  <c r="JL95" i="2" l="1"/>
  <c r="JN89" i="2"/>
  <c r="JM94" i="2"/>
  <c r="JM92" i="2"/>
  <c r="JM93" i="2"/>
  <c r="JM97" i="2"/>
  <c r="JM96" i="2"/>
  <c r="JM95" i="2" l="1"/>
  <c r="JO89" i="2"/>
  <c r="JN93" i="2"/>
  <c r="JN97" i="2"/>
  <c r="JN94" i="2"/>
  <c r="JN92" i="2"/>
  <c r="JN96" i="2"/>
  <c r="JN95" i="2" l="1"/>
  <c r="JP89" i="2"/>
  <c r="JO92" i="2"/>
  <c r="JO93" i="2"/>
  <c r="JO97" i="2"/>
  <c r="JO96" i="2"/>
  <c r="JO94" i="2"/>
  <c r="JO95" i="2" l="1"/>
  <c r="JQ89" i="2"/>
  <c r="JP93" i="2"/>
  <c r="JP97" i="2"/>
  <c r="JP96" i="2"/>
  <c r="JP92" i="2"/>
  <c r="JP94" i="2"/>
  <c r="JP95" i="2" l="1"/>
  <c r="JR89" i="2"/>
  <c r="JQ93" i="2"/>
  <c r="JQ97" i="2"/>
  <c r="JQ92" i="2"/>
  <c r="JQ96" i="2"/>
  <c r="JQ94" i="2"/>
  <c r="JQ95" i="2" l="1"/>
  <c r="JS89" i="2"/>
  <c r="JR97" i="2"/>
  <c r="JR92" i="2"/>
  <c r="JR93" i="2"/>
  <c r="JR94" i="2"/>
  <c r="JR96" i="2"/>
  <c r="JR95" i="2" l="1"/>
  <c r="JT89" i="2"/>
  <c r="JS94" i="2"/>
  <c r="JS93" i="2"/>
  <c r="JS96" i="2"/>
  <c r="JS97" i="2"/>
  <c r="JS92" i="2"/>
  <c r="JS95" i="2" l="1"/>
  <c r="JU89" i="2"/>
  <c r="JT94" i="2"/>
  <c r="JT97" i="2"/>
  <c r="JT92" i="2"/>
  <c r="JT96" i="2"/>
  <c r="JT93" i="2"/>
  <c r="JT95" i="2" l="1"/>
  <c r="JV89" i="2"/>
  <c r="JU96" i="2"/>
  <c r="JU92" i="2"/>
  <c r="JU97" i="2"/>
  <c r="JU94" i="2"/>
  <c r="JU93" i="2"/>
  <c r="JU95" i="2" l="1"/>
  <c r="JW89" i="2"/>
  <c r="JV94" i="2"/>
  <c r="JV93" i="2"/>
  <c r="JV97" i="2"/>
  <c r="JV92" i="2"/>
  <c r="JV96" i="2"/>
  <c r="JV95" i="2" l="1"/>
  <c r="JX89" i="2"/>
  <c r="JW96" i="2"/>
  <c r="JW97" i="2"/>
  <c r="JW92" i="2"/>
  <c r="JW93" i="2"/>
  <c r="JW94" i="2"/>
  <c r="JW95" i="2" l="1"/>
  <c r="JY89" i="2"/>
  <c r="JX92" i="2"/>
  <c r="JX96" i="2"/>
  <c r="JX97" i="2"/>
  <c r="JX93" i="2"/>
  <c r="JX94" i="2"/>
  <c r="JX95" i="2" l="1"/>
  <c r="JZ89" i="2"/>
  <c r="JY92" i="2"/>
  <c r="JY96" i="2"/>
  <c r="JY94" i="2"/>
  <c r="JY97" i="2"/>
  <c r="JY93" i="2"/>
  <c r="JY95" i="2" l="1"/>
  <c r="KA89" i="2"/>
  <c r="JZ94" i="2"/>
  <c r="JZ92" i="2"/>
  <c r="JZ96" i="2"/>
  <c r="JZ93" i="2"/>
  <c r="JZ97" i="2"/>
  <c r="JZ95" i="2" l="1"/>
  <c r="KB89" i="2"/>
  <c r="KA97" i="2"/>
  <c r="KA93" i="2"/>
  <c r="KA96" i="2"/>
  <c r="KA92" i="2"/>
  <c r="KA94" i="2"/>
  <c r="KA95" i="2" l="1"/>
  <c r="KC89" i="2"/>
  <c r="KB92" i="2"/>
  <c r="KB94" i="2"/>
  <c r="KB97" i="2"/>
  <c r="KB93" i="2"/>
  <c r="KB96" i="2"/>
  <c r="KB95" i="2" l="1"/>
  <c r="KD89" i="2"/>
  <c r="KC97" i="2"/>
  <c r="KC93" i="2"/>
  <c r="KC96" i="2"/>
  <c r="KC92" i="2"/>
  <c r="KC94" i="2"/>
  <c r="KC95" i="2" l="1"/>
  <c r="KE89" i="2"/>
  <c r="KD94" i="2"/>
  <c r="KD92" i="2"/>
  <c r="KD96" i="2"/>
  <c r="KD97" i="2"/>
  <c r="KD93" i="2"/>
  <c r="KD95" i="2" l="1"/>
  <c r="KF89" i="2"/>
  <c r="KE92" i="2"/>
  <c r="KE97" i="2"/>
  <c r="KE93" i="2"/>
  <c r="KE94" i="2"/>
  <c r="KE96" i="2"/>
  <c r="KE95" i="2" l="1"/>
  <c r="KG89" i="2"/>
  <c r="KF94" i="2"/>
  <c r="KF93" i="2"/>
  <c r="KF92" i="2"/>
  <c r="KF96" i="2"/>
  <c r="KF97" i="2"/>
  <c r="KF95" i="2" l="1"/>
  <c r="KH89" i="2"/>
  <c r="KG96" i="2"/>
  <c r="KG93" i="2"/>
  <c r="KG92" i="2"/>
  <c r="KG94" i="2"/>
  <c r="KG97" i="2"/>
  <c r="KG95" i="2" l="1"/>
  <c r="KI89" i="2"/>
  <c r="KH92" i="2"/>
  <c r="KH96" i="2"/>
  <c r="KH93" i="2"/>
  <c r="KH94" i="2"/>
  <c r="KH97" i="2"/>
  <c r="KH95" i="2" l="1"/>
  <c r="KJ89" i="2"/>
  <c r="KI96" i="2"/>
  <c r="KI92" i="2"/>
  <c r="KI97" i="2"/>
  <c r="KI94" i="2"/>
  <c r="KI93" i="2"/>
  <c r="KI95" i="2" l="1"/>
  <c r="KK89" i="2"/>
  <c r="KJ94" i="2"/>
  <c r="KJ92" i="2"/>
  <c r="KJ97" i="2"/>
  <c r="KJ93" i="2"/>
  <c r="KJ96" i="2"/>
  <c r="KJ95" i="2" l="1"/>
  <c r="KL89" i="2"/>
  <c r="KK94" i="2"/>
  <c r="KK93" i="2"/>
  <c r="KK96" i="2"/>
  <c r="KK97" i="2"/>
  <c r="KK92" i="2"/>
  <c r="KK95" i="2" l="1"/>
  <c r="KM89" i="2"/>
  <c r="KL92" i="2"/>
  <c r="KL93" i="2"/>
  <c r="KL96" i="2"/>
  <c r="KL94" i="2"/>
  <c r="KL97" i="2"/>
  <c r="KL95" i="2" l="1"/>
  <c r="KN89" i="2"/>
  <c r="BM13" i="19"/>
  <c r="BM16" i="19"/>
  <c r="BG14" i="19"/>
  <c r="BG12" i="19"/>
  <c r="BM11" i="19"/>
  <c r="BG11" i="19"/>
  <c r="KM94" i="2"/>
  <c r="BM9" i="19"/>
  <c r="KM97" i="2"/>
  <c r="BM8" i="19"/>
  <c r="KM92" i="2"/>
  <c r="BM14" i="19"/>
  <c r="BM10" i="19"/>
  <c r="BG10" i="19"/>
  <c r="KM93" i="2"/>
  <c r="BG13" i="19"/>
  <c r="BM17" i="19"/>
  <c r="BG16" i="19"/>
  <c r="BG17" i="19"/>
  <c r="KM96" i="2"/>
  <c r="BM12" i="19"/>
  <c r="BG15" i="19"/>
  <c r="BM15" i="19"/>
  <c r="KM95" i="2" l="1"/>
  <c r="KO89" i="2"/>
  <c r="BA18" i="19"/>
  <c r="BB18" i="19" s="1"/>
  <c r="AZ29" i="19"/>
  <c r="KN96" i="2"/>
  <c r="KN97" i="2"/>
  <c r="KN92" i="2"/>
  <c r="KN93" i="2"/>
  <c r="KN94" i="2"/>
  <c r="KN95" i="2" l="1"/>
  <c r="KP89" i="2"/>
  <c r="BC18" i="19"/>
  <c r="BD18" i="19" s="1"/>
  <c r="KO94" i="2"/>
  <c r="KO96" i="2"/>
  <c r="KO93" i="2"/>
  <c r="KO97" i="2"/>
  <c r="AZ24" i="19"/>
  <c r="KO92" i="2"/>
  <c r="KO95" i="2" l="1"/>
  <c r="KQ89" i="2"/>
  <c r="BA13" i="19"/>
  <c r="BB13" i="19" s="1"/>
  <c r="BT9" i="19"/>
  <c r="KP92" i="2"/>
  <c r="KP94" i="2"/>
  <c r="KP97" i="2"/>
  <c r="KP93" i="2"/>
  <c r="AV46" i="19"/>
  <c r="KP96" i="2"/>
  <c r="AV47" i="19"/>
  <c r="KP95" i="2" l="1"/>
  <c r="KR89" i="2"/>
  <c r="AV48" i="19"/>
  <c r="AW48" i="19" s="1"/>
  <c r="BA16" i="19"/>
  <c r="BC13" i="19"/>
  <c r="BD13" i="19" s="1"/>
  <c r="BU9" i="19"/>
  <c r="BV9" i="19" s="1"/>
  <c r="BW9" i="19" s="1"/>
  <c r="BT11" i="19"/>
  <c r="BT14" i="19"/>
  <c r="KQ92" i="2"/>
  <c r="BN35" i="19"/>
  <c r="KQ93" i="2"/>
  <c r="KQ97" i="2"/>
  <c r="BN34" i="19"/>
  <c r="AV38" i="19"/>
  <c r="KQ96" i="2"/>
  <c r="AV39" i="19"/>
  <c r="KQ94" i="2"/>
  <c r="AZ27" i="19"/>
  <c r="KQ95" i="2" l="1"/>
  <c r="KS89" i="2"/>
  <c r="BN36" i="19"/>
  <c r="BO36" i="19" s="1"/>
  <c r="BH18" i="19"/>
  <c r="BI18" i="19" s="1"/>
  <c r="BJ18" i="19" s="1"/>
  <c r="AV40" i="19"/>
  <c r="BH16" i="19" s="1"/>
  <c r="BA17" i="19"/>
  <c r="BB17" i="19" s="1"/>
  <c r="AX48" i="19"/>
  <c r="AV49" i="19" s="1"/>
  <c r="BB16" i="19"/>
  <c r="BC16" i="19" s="1"/>
  <c r="BU11" i="19"/>
  <c r="BX9" i="19"/>
  <c r="BU14" i="19"/>
  <c r="BV14" i="19" s="1"/>
  <c r="AV43" i="19"/>
  <c r="BN30" i="19"/>
  <c r="KR96" i="2"/>
  <c r="BN31" i="19"/>
  <c r="KR92" i="2"/>
  <c r="BT30" i="19"/>
  <c r="AZ28" i="19"/>
  <c r="AV42" i="19"/>
  <c r="KR94" i="2"/>
  <c r="BT31" i="19"/>
  <c r="KR93" i="2"/>
  <c r="KR97" i="2"/>
  <c r="KR95" i="2" l="1"/>
  <c r="KT89" i="2"/>
  <c r="BN32" i="19"/>
  <c r="BO32" i="19" s="1"/>
  <c r="BN16" i="19"/>
  <c r="BO16" i="19" s="1"/>
  <c r="BP16" i="19" s="1"/>
  <c r="BQ16" i="19" s="1"/>
  <c r="AW40" i="19"/>
  <c r="AX40" i="19" s="1"/>
  <c r="BP36" i="19"/>
  <c r="BN37" i="19" s="1"/>
  <c r="AV44" i="19"/>
  <c r="BH17" i="19" s="1"/>
  <c r="BT32" i="19"/>
  <c r="BU32" i="19" s="1"/>
  <c r="BK18" i="19"/>
  <c r="BD16" i="19"/>
  <c r="BV11" i="19"/>
  <c r="BW11" i="19" s="1"/>
  <c r="BC17" i="19"/>
  <c r="BD17" i="19" s="1"/>
  <c r="BI16" i="19"/>
  <c r="BJ16" i="19" s="1"/>
  <c r="BK16" i="19" s="1"/>
  <c r="BW14" i="19"/>
  <c r="BX14" i="19" s="1"/>
  <c r="AY48" i="19"/>
  <c r="KS96" i="2"/>
  <c r="KS93" i="2"/>
  <c r="AZ23" i="19"/>
  <c r="KS94" i="2"/>
  <c r="KS92" i="2"/>
  <c r="KS97" i="2"/>
  <c r="KS95" i="2" l="1"/>
  <c r="KU89" i="2"/>
  <c r="BN15" i="19"/>
  <c r="BO15" i="19" s="1"/>
  <c r="BP15" i="19" s="1"/>
  <c r="BQ15" i="19" s="1"/>
  <c r="BQ36" i="19"/>
  <c r="BN17" i="19"/>
  <c r="BO17" i="19" s="1"/>
  <c r="BV32" i="19"/>
  <c r="BT33" i="19" s="1"/>
  <c r="AW44" i="19"/>
  <c r="AX44" i="19" s="1"/>
  <c r="AY44" i="19" s="1"/>
  <c r="AV41" i="19"/>
  <c r="AY40" i="19"/>
  <c r="BP32" i="19"/>
  <c r="BN33" i="19" s="1"/>
  <c r="BX11" i="19"/>
  <c r="BA12" i="19"/>
  <c r="BB12" i="19" s="1"/>
  <c r="BT8" i="19"/>
  <c r="BI17" i="19"/>
  <c r="BJ17" i="19" s="1"/>
  <c r="BK17" i="19" s="1"/>
  <c r="KT92" i="2"/>
  <c r="AP42" i="19"/>
  <c r="BV12" i="19"/>
  <c r="AP50" i="19"/>
  <c r="KT94" i="2"/>
  <c r="AP43" i="19"/>
  <c r="AP46" i="19"/>
  <c r="KT97" i="2"/>
  <c r="AP51" i="19"/>
  <c r="KT96" i="2"/>
  <c r="BV16" i="19"/>
  <c r="AP47" i="19"/>
  <c r="KT93" i="2"/>
  <c r="KT95" i="2" l="1"/>
  <c r="KV89" i="2"/>
  <c r="BW32" i="19"/>
  <c r="BQ32" i="19"/>
  <c r="AP44" i="19"/>
  <c r="AQ44" i="19" s="1"/>
  <c r="AR44" i="19" s="1"/>
  <c r="AS44" i="19" s="1"/>
  <c r="AP48" i="19"/>
  <c r="AQ48" i="19" s="1"/>
  <c r="AR48" i="19" s="1"/>
  <c r="AS48" i="19" s="1"/>
  <c r="AP52" i="19"/>
  <c r="BH13" i="19" s="1"/>
  <c r="BP17" i="19"/>
  <c r="BQ17" i="19" s="1"/>
  <c r="AV45" i="19"/>
  <c r="BC12" i="19"/>
  <c r="BD12" i="19" s="1"/>
  <c r="BU8" i="19"/>
  <c r="BV8" i="19" s="1"/>
  <c r="BT10" i="19"/>
  <c r="BT12" i="19" s="1"/>
  <c r="BT13" i="19"/>
  <c r="AZ25" i="19"/>
  <c r="KU92" i="2"/>
  <c r="KU94" i="2"/>
  <c r="KU96" i="2"/>
  <c r="KU97" i="2"/>
  <c r="KU93" i="2"/>
  <c r="KU95" i="2" l="1"/>
  <c r="KW89" i="2"/>
  <c r="AQ32" i="19"/>
  <c r="BI8" i="19"/>
  <c r="BJ8" i="19" s="1"/>
  <c r="BH11" i="19"/>
  <c r="BI11" i="19" s="1"/>
  <c r="BH12" i="19"/>
  <c r="BI12" i="19" s="1"/>
  <c r="BJ12" i="19" s="1"/>
  <c r="BK12" i="19" s="1"/>
  <c r="AQ52" i="19"/>
  <c r="AR52" i="19" s="1"/>
  <c r="AS52" i="19" s="1"/>
  <c r="BW8" i="19"/>
  <c r="BX8" i="19" s="1"/>
  <c r="BA14" i="19"/>
  <c r="BU13" i="19"/>
  <c r="BV13" i="19" s="1"/>
  <c r="BT15" i="19"/>
  <c r="BU10" i="19"/>
  <c r="BV10" i="19" s="1"/>
  <c r="BW10" i="19" s="1"/>
  <c r="BX10" i="19" s="1"/>
  <c r="AP45" i="19"/>
  <c r="BI13" i="19"/>
  <c r="AP49" i="19"/>
  <c r="AV30" i="19"/>
  <c r="KV96" i="2"/>
  <c r="KV94" i="2"/>
  <c r="AV31" i="19"/>
  <c r="KV92" i="2"/>
  <c r="BB39" i="19"/>
  <c r="BB38" i="19"/>
  <c r="BB43" i="19"/>
  <c r="AP34" i="19"/>
  <c r="BB42" i="19"/>
  <c r="KV97" i="2"/>
  <c r="KV93" i="2"/>
  <c r="BB35" i="19"/>
  <c r="BB34" i="19"/>
  <c r="AP35" i="19"/>
  <c r="KV95" i="2" l="1"/>
  <c r="KX89" i="2"/>
  <c r="AV32" i="19"/>
  <c r="AW32" i="19" s="1"/>
  <c r="AX32" i="19" s="1"/>
  <c r="AR32" i="19"/>
  <c r="AS32" i="19" s="1"/>
  <c r="BB40" i="19"/>
  <c r="BB44" i="19"/>
  <c r="BC44" i="19" s="1"/>
  <c r="AP36" i="19"/>
  <c r="AQ36" i="19" s="1"/>
  <c r="AR36" i="19" s="1"/>
  <c r="BB36" i="19"/>
  <c r="AP53" i="19"/>
  <c r="BB14" i="19"/>
  <c r="BC14" i="19" s="1"/>
  <c r="BJ13" i="19"/>
  <c r="BK13" i="19" s="1"/>
  <c r="BU15" i="19"/>
  <c r="BV15" i="19" s="1"/>
  <c r="BT16" i="19"/>
  <c r="BW13" i="19"/>
  <c r="BX13" i="19" s="1"/>
  <c r="BJ11" i="19"/>
  <c r="BK11" i="19" s="1"/>
  <c r="BK8" i="19"/>
  <c r="KW92" i="2"/>
  <c r="KW97" i="2"/>
  <c r="KW94" i="2"/>
  <c r="KW93" i="2"/>
  <c r="KW96" i="2"/>
  <c r="KW95" i="2" l="1"/>
  <c r="KY89" i="2"/>
  <c r="AP33" i="19"/>
  <c r="BN10" i="19"/>
  <c r="BO10" i="19" s="1"/>
  <c r="BP10" i="19" s="1"/>
  <c r="BQ10" i="19" s="1"/>
  <c r="BC36" i="19"/>
  <c r="BD36" i="19" s="1"/>
  <c r="BN9" i="19"/>
  <c r="BO9" i="19" s="1"/>
  <c r="BN11" i="19"/>
  <c r="BO11" i="19" s="1"/>
  <c r="BP11" i="19" s="1"/>
  <c r="BH9" i="19"/>
  <c r="BI9" i="19" s="1"/>
  <c r="BJ9" i="19" s="1"/>
  <c r="BC40" i="19"/>
  <c r="BD40" i="19" s="1"/>
  <c r="BH14" i="19"/>
  <c r="BI14" i="19" s="1"/>
  <c r="BJ14" i="19" s="1"/>
  <c r="BD44" i="19"/>
  <c r="BB45" i="19" s="1"/>
  <c r="BD14" i="19"/>
  <c r="BA15" i="19"/>
  <c r="BW15" i="19"/>
  <c r="BX15" i="19" s="1"/>
  <c r="AP37" i="19"/>
  <c r="AV33" i="19"/>
  <c r="AY32" i="19"/>
  <c r="AS36" i="19"/>
  <c r="KX96" i="2"/>
  <c r="BB31" i="19"/>
  <c r="AP38" i="19"/>
  <c r="KX94" i="2"/>
  <c r="AP39" i="19"/>
  <c r="BH38" i="19"/>
  <c r="KX93" i="2"/>
  <c r="BB30" i="19"/>
  <c r="AV34" i="19"/>
  <c r="KX92" i="2"/>
  <c r="AV35" i="19"/>
  <c r="BH30" i="19"/>
  <c r="AZ26" i="19"/>
  <c r="BH31" i="19"/>
  <c r="BH35" i="19"/>
  <c r="BH34" i="19"/>
  <c r="BH39" i="19"/>
  <c r="KX97" i="2"/>
  <c r="KX95" i="2" l="1"/>
  <c r="KZ89" i="2"/>
  <c r="BH36" i="19"/>
  <c r="BH40" i="19"/>
  <c r="BH32" i="19"/>
  <c r="BB37" i="19"/>
  <c r="BE36" i="19"/>
  <c r="BE40" i="19"/>
  <c r="BB41" i="19"/>
  <c r="BE44" i="19"/>
  <c r="AP40" i="19"/>
  <c r="BH10" i="19" s="1"/>
  <c r="AV36" i="19"/>
  <c r="BH15" i="19" s="1"/>
  <c r="BB32" i="19"/>
  <c r="BK14" i="19"/>
  <c r="BK9" i="19"/>
  <c r="BP9" i="19"/>
  <c r="BQ9" i="19" s="1"/>
  <c r="BQ11" i="19"/>
  <c r="BB15" i="19"/>
  <c r="BC15" i="19" s="1"/>
  <c r="KY93" i="2"/>
  <c r="KY94" i="2"/>
  <c r="KY92" i="2"/>
  <c r="KY96" i="2"/>
  <c r="KY97" i="2"/>
  <c r="KY95" i="2" l="1"/>
  <c r="LA89" i="2"/>
  <c r="BI32" i="19"/>
  <c r="BJ32" i="19" s="1"/>
  <c r="BK32" i="19" s="1"/>
  <c r="BI36" i="19"/>
  <c r="BJ36" i="19" s="1"/>
  <c r="BK36" i="19" s="1"/>
  <c r="BC32" i="19"/>
  <c r="BD32" i="19" s="1"/>
  <c r="BE32" i="19" s="1"/>
  <c r="BI40" i="19"/>
  <c r="BJ40" i="19" s="1"/>
  <c r="BK40" i="19" s="1"/>
  <c r="AQ40" i="19"/>
  <c r="AR40" i="19" s="1"/>
  <c r="AS40" i="19" s="1"/>
  <c r="AW36" i="19"/>
  <c r="AX36" i="19" s="1"/>
  <c r="AY36" i="19" s="1"/>
  <c r="BN8" i="19"/>
  <c r="BO8" i="19" s="1"/>
  <c r="BN14" i="19"/>
  <c r="BO14" i="19" s="1"/>
  <c r="BN13" i="19"/>
  <c r="BO13" i="19" s="1"/>
  <c r="BN12" i="19"/>
  <c r="BO12" i="19" s="1"/>
  <c r="BP12" i="19" s="1"/>
  <c r="BQ12" i="19" s="1"/>
  <c r="BD15" i="19"/>
  <c r="BI15" i="19"/>
  <c r="BJ15" i="19" s="1"/>
  <c r="BI10" i="19"/>
  <c r="BJ10" i="19" s="1"/>
  <c r="BK10" i="19" s="1"/>
  <c r="KZ93" i="2"/>
  <c r="KZ97" i="2"/>
  <c r="KZ92" i="2"/>
  <c r="KZ96" i="2"/>
  <c r="KZ94" i="2"/>
  <c r="KZ95" i="2" l="1"/>
  <c r="LB89" i="2"/>
  <c r="BB33" i="19"/>
  <c r="BH33" i="19"/>
  <c r="BH41" i="19"/>
  <c r="BH37" i="19"/>
  <c r="AP41" i="19"/>
  <c r="BP8" i="19"/>
  <c r="BQ8" i="19" s="1"/>
  <c r="BP14" i="19"/>
  <c r="BQ14" i="19" s="1"/>
  <c r="AV37" i="19"/>
  <c r="BP13" i="19"/>
  <c r="BQ13" i="19" s="1"/>
  <c r="BK15" i="19"/>
  <c r="LA93" i="2"/>
  <c r="LA96" i="2"/>
  <c r="LA92" i="2"/>
  <c r="LA97" i="2"/>
  <c r="LA94" i="2"/>
  <c r="LA95" i="2" l="1"/>
  <c r="LC89" i="2"/>
  <c r="LB92" i="2"/>
  <c r="LB94" i="2"/>
  <c r="LB93" i="2"/>
  <c r="LB96" i="2"/>
  <c r="LB97" i="2"/>
  <c r="LB95" i="2" l="1"/>
  <c r="LD89" i="2"/>
  <c r="LC94" i="2"/>
  <c r="LC92" i="2"/>
  <c r="LC93" i="2"/>
  <c r="LC96" i="2"/>
  <c r="LC97" i="2"/>
  <c r="LC95" i="2" l="1"/>
  <c r="LE89" i="2"/>
  <c r="LD93" i="2"/>
  <c r="LD94" i="2"/>
  <c r="LD92" i="2"/>
  <c r="LD96" i="2"/>
  <c r="LD97" i="2"/>
  <c r="LD95" i="2" l="1"/>
  <c r="LF89" i="2"/>
  <c r="LE97" i="2"/>
  <c r="LE96" i="2"/>
  <c r="LE92" i="2"/>
  <c r="LE93" i="2"/>
  <c r="LE94" i="2"/>
  <c r="LE95" i="2" l="1"/>
  <c r="LG89" i="2"/>
  <c r="LF93" i="2"/>
  <c r="LF94" i="2"/>
  <c r="LF96" i="2"/>
  <c r="LF92" i="2"/>
  <c r="LF97" i="2"/>
  <c r="LF95" i="2" l="1"/>
  <c r="LH89" i="2"/>
  <c r="LG94" i="2"/>
  <c r="LG92" i="2"/>
  <c r="LG93" i="2"/>
  <c r="LG96" i="2"/>
  <c r="LG97" i="2"/>
  <c r="LG95" i="2" l="1"/>
  <c r="LI89" i="2"/>
  <c r="LH94" i="2"/>
  <c r="LH97" i="2"/>
  <c r="LH93" i="2"/>
  <c r="LH92" i="2"/>
  <c r="LH96" i="2"/>
  <c r="LH95" i="2" l="1"/>
  <c r="LJ89" i="2"/>
  <c r="LI97" i="2"/>
  <c r="LI93" i="2"/>
  <c r="LI92" i="2"/>
  <c r="LI96" i="2"/>
  <c r="LI94" i="2"/>
  <c r="LI95" i="2" l="1"/>
  <c r="LK89" i="2"/>
  <c r="LJ96" i="2"/>
  <c r="LJ93" i="2"/>
  <c r="LJ97" i="2"/>
  <c r="LJ94" i="2"/>
  <c r="LJ92" i="2"/>
  <c r="LJ95" i="2" l="1"/>
  <c r="LL89" i="2"/>
  <c r="LK96" i="2"/>
  <c r="LK94" i="2"/>
  <c r="LK97" i="2"/>
  <c r="LK92" i="2"/>
  <c r="LK93" i="2"/>
  <c r="LK95" i="2" l="1"/>
  <c r="LM89" i="2"/>
  <c r="LL93" i="2"/>
  <c r="LL92" i="2"/>
  <c r="LL97" i="2"/>
  <c r="LL96" i="2"/>
  <c r="LL94" i="2"/>
  <c r="LL95" i="2" l="1"/>
  <c r="LN89" i="2"/>
  <c r="LM92" i="2"/>
  <c r="LM96" i="2"/>
  <c r="LM97" i="2"/>
  <c r="LM93" i="2"/>
  <c r="LM94" i="2"/>
  <c r="LM95" i="2" l="1"/>
  <c r="LO89" i="2"/>
  <c r="LN94" i="2"/>
  <c r="LN96" i="2"/>
  <c r="LN93" i="2"/>
  <c r="LN92" i="2"/>
  <c r="LN97" i="2"/>
  <c r="LN95" i="2" l="1"/>
  <c r="LP89" i="2"/>
  <c r="LO93" i="2"/>
  <c r="LO92" i="2"/>
  <c r="LO96" i="2"/>
  <c r="LO97" i="2"/>
  <c r="LO94" i="2"/>
  <c r="LO95" i="2" l="1"/>
  <c r="LQ89" i="2"/>
  <c r="LP92" i="2"/>
  <c r="LP94" i="2"/>
  <c r="LP96" i="2"/>
  <c r="LP97" i="2"/>
  <c r="LP93" i="2"/>
  <c r="LP95" i="2" l="1"/>
  <c r="LR89" i="2"/>
  <c r="LQ96" i="2"/>
  <c r="LQ93" i="2"/>
  <c r="LQ97" i="2"/>
  <c r="LQ92" i="2"/>
  <c r="LQ94" i="2"/>
  <c r="LQ95" i="2" l="1"/>
  <c r="LS89" i="2"/>
  <c r="LR97" i="2"/>
  <c r="LR93" i="2"/>
  <c r="LR92" i="2"/>
  <c r="LR96" i="2"/>
  <c r="LR94" i="2"/>
  <c r="LR95" i="2" l="1"/>
  <c r="LT89" i="2"/>
  <c r="LS92" i="2"/>
  <c r="LS93" i="2"/>
  <c r="LS96" i="2"/>
  <c r="LS94" i="2"/>
  <c r="LS97" i="2"/>
  <c r="LS95" i="2" l="1"/>
  <c r="LU89" i="2"/>
  <c r="FJ13" i="13"/>
  <c r="LT97" i="2"/>
  <c r="LT96" i="2"/>
  <c r="LT92" i="2"/>
  <c r="LT93" i="2"/>
  <c r="LT94" i="2"/>
  <c r="LT95" i="2" l="1"/>
  <c r="LV89" i="2"/>
  <c r="AZ26" i="13"/>
  <c r="LU97" i="2"/>
  <c r="LU93" i="2"/>
  <c r="LU96" i="2"/>
  <c r="LU92" i="2"/>
  <c r="LU94" i="2"/>
  <c r="LU95" i="2" l="1"/>
  <c r="LW89" i="2"/>
  <c r="BA26" i="13"/>
  <c r="BB26" i="13" s="1"/>
  <c r="LV96" i="2"/>
  <c r="LV94" i="2"/>
  <c r="LV93" i="2"/>
  <c r="LV97" i="2"/>
  <c r="LV92" i="2"/>
  <c r="LV95" i="2" l="1"/>
  <c r="LX89" i="2"/>
  <c r="LW92" i="2"/>
  <c r="LW96" i="2"/>
  <c r="LW97" i="2"/>
  <c r="LW93" i="2"/>
  <c r="LW94" i="2"/>
  <c r="LW95" i="2" l="1"/>
  <c r="LY89" i="2"/>
  <c r="LX96" i="2"/>
  <c r="LX94" i="2"/>
  <c r="LX93" i="2"/>
  <c r="LX97" i="2"/>
  <c r="LX92" i="2"/>
  <c r="LX95" i="2" l="1"/>
  <c r="LZ89" i="2"/>
  <c r="LY97" i="2"/>
  <c r="LY94" i="2"/>
  <c r="LY93" i="2"/>
  <c r="LY92" i="2"/>
  <c r="LY96" i="2"/>
  <c r="LY95" i="2" l="1"/>
  <c r="MA89" i="2"/>
  <c r="LZ96" i="2"/>
  <c r="LZ94" i="2"/>
  <c r="LZ93" i="2"/>
  <c r="LZ92" i="2"/>
  <c r="LZ97" i="2"/>
  <c r="LZ95" i="2" l="1"/>
  <c r="MB89" i="2"/>
  <c r="DG6" i="13"/>
  <c r="MA92" i="2"/>
  <c r="MA96" i="2"/>
  <c r="MA94" i="2"/>
  <c r="MA93" i="2"/>
  <c r="MA97" i="2"/>
  <c r="MA95" i="2" l="1"/>
  <c r="MC89" i="2"/>
  <c r="MB93" i="2"/>
  <c r="MB92" i="2"/>
  <c r="MB97" i="2"/>
  <c r="MB96" i="2"/>
  <c r="MB94" i="2"/>
  <c r="MB95" i="2" l="1"/>
  <c r="MD89" i="2"/>
  <c r="MC94" i="2"/>
  <c r="MC92" i="2"/>
  <c r="MC93" i="2"/>
  <c r="MC97" i="2"/>
  <c r="MC96" i="2"/>
  <c r="MC95" i="2" l="1"/>
  <c r="ME89" i="2"/>
  <c r="BE6" i="13"/>
  <c r="MD96" i="2"/>
  <c r="MD97" i="2"/>
  <c r="MD92" i="2"/>
  <c r="BE14" i="13"/>
  <c r="BE15" i="13"/>
  <c r="MD93" i="2"/>
  <c r="MD94" i="2"/>
  <c r="MD95" i="2" l="1"/>
  <c r="MF89" i="2"/>
  <c r="BE19" i="13"/>
  <c r="BE18" i="13"/>
  <c r="BN6" i="13"/>
  <c r="ME97" i="2"/>
  <c r="ME93" i="2"/>
  <c r="ME92" i="2"/>
  <c r="ME94" i="2"/>
  <c r="ME96" i="2"/>
  <c r="ME95" i="2" l="1"/>
  <c r="MG89" i="2"/>
  <c r="GU7" i="13"/>
  <c r="CC7" i="13"/>
  <c r="MF93" i="2"/>
  <c r="MF97" i="2"/>
  <c r="MF94" i="2"/>
  <c r="MF96" i="2"/>
  <c r="MF92" i="2"/>
  <c r="MF95" i="2" l="1"/>
  <c r="MH89" i="2"/>
  <c r="MG97" i="2"/>
  <c r="MG92" i="2"/>
  <c r="MG96" i="2"/>
  <c r="MG93" i="2"/>
  <c r="MG94" i="2"/>
  <c r="MG95" i="2" l="1"/>
  <c r="MI89" i="2"/>
  <c r="MH96" i="2"/>
  <c r="MH93" i="2"/>
  <c r="MH94" i="2"/>
  <c r="MH97" i="2"/>
  <c r="MH92" i="2"/>
  <c r="MH95" i="2" l="1"/>
  <c r="MJ89" i="2"/>
  <c r="MI92" i="2"/>
  <c r="MI93" i="2"/>
  <c r="MI97" i="2"/>
  <c r="MI94" i="2"/>
  <c r="MI96" i="2"/>
  <c r="MI95" i="2" l="1"/>
  <c r="MK89" i="2"/>
  <c r="CW8" i="13"/>
  <c r="MJ94" i="2"/>
  <c r="MJ92" i="2"/>
  <c r="MJ93" i="2"/>
  <c r="MJ96" i="2"/>
  <c r="CW11" i="13"/>
  <c r="MJ97" i="2"/>
  <c r="CW15" i="13"/>
  <c r="MJ95" i="2" l="1"/>
  <c r="ML89" i="2"/>
  <c r="CX11" i="13"/>
  <c r="CY11" i="13" s="1"/>
  <c r="CZ11" i="13" s="1"/>
  <c r="DA11" i="13" s="1"/>
  <c r="CX15" i="13"/>
  <c r="CY15" i="13" s="1"/>
  <c r="MK94" i="2"/>
  <c r="CW12" i="13"/>
  <c r="CW23" i="13"/>
  <c r="MK97" i="2"/>
  <c r="MK93" i="2"/>
  <c r="CW25" i="13"/>
  <c r="CW28" i="13"/>
  <c r="CW17" i="13"/>
  <c r="CW13" i="13"/>
  <c r="CW22" i="13"/>
  <c r="CW14" i="13"/>
  <c r="MK92" i="2"/>
  <c r="MK96" i="2"/>
  <c r="MK95" i="2" l="1"/>
  <c r="MM89" i="2"/>
  <c r="CX17" i="13"/>
  <c r="CY17" i="13" s="1"/>
  <c r="CX22" i="13"/>
  <c r="CY22" i="13" s="1"/>
  <c r="CX14" i="13"/>
  <c r="CY14" i="13" s="1"/>
  <c r="CZ14" i="13" s="1"/>
  <c r="DA14" i="13" s="1"/>
  <c r="CX13" i="13"/>
  <c r="CY13" i="13" s="1"/>
  <c r="CZ13" i="13" s="1"/>
  <c r="DA13" i="13" s="1"/>
  <c r="CX28" i="13"/>
  <c r="CY28" i="13" s="1"/>
  <c r="CX23" i="13"/>
  <c r="CY23" i="13" s="1"/>
  <c r="CZ23" i="13" s="1"/>
  <c r="DA23" i="13" s="1"/>
  <c r="CX25" i="13"/>
  <c r="CY25" i="13" s="1"/>
  <c r="CZ15" i="13"/>
  <c r="DA15" i="13" s="1"/>
  <c r="CW24" i="13"/>
  <c r="CW18" i="13"/>
  <c r="CW35" i="13"/>
  <c r="CW27" i="13"/>
  <c r="CW29" i="13"/>
  <c r="ML92" i="2"/>
  <c r="CW32" i="13"/>
  <c r="ML93" i="2"/>
  <c r="ML97" i="2"/>
  <c r="CW42" i="13"/>
  <c r="CV44" i="13"/>
  <c r="CW16" i="13"/>
  <c r="CW19" i="13"/>
  <c r="ML96" i="2"/>
  <c r="ML94" i="2"/>
  <c r="CW37" i="13"/>
  <c r="ML95" i="2" l="1"/>
  <c r="MN89" i="2"/>
  <c r="CX24" i="13"/>
  <c r="CY24" i="13" s="1"/>
  <c r="CZ24" i="13" s="1"/>
  <c r="CX27" i="13"/>
  <c r="CY27" i="13" s="1"/>
  <c r="CZ27" i="13" s="1"/>
  <c r="DA27" i="13" s="1"/>
  <c r="CW44" i="13"/>
  <c r="CX44" i="13" s="1"/>
  <c r="CV45" i="13"/>
  <c r="CV46" i="13" s="1"/>
  <c r="CW46" i="13" s="1"/>
  <c r="CX46" i="13" s="1"/>
  <c r="CX37" i="13"/>
  <c r="CY37" i="13" s="1"/>
  <c r="CZ37" i="13" s="1"/>
  <c r="CX42" i="13"/>
  <c r="CY42" i="13" s="1"/>
  <c r="CZ42" i="13" s="1"/>
  <c r="DA42" i="13" s="1"/>
  <c r="CX29" i="13"/>
  <c r="CY29" i="13" s="1"/>
  <c r="CX35" i="13"/>
  <c r="CY35" i="13" s="1"/>
  <c r="CZ35" i="13" s="1"/>
  <c r="CU18" i="13"/>
  <c r="CX18" i="13"/>
  <c r="CY18" i="13" s="1"/>
  <c r="CZ18" i="13" s="1"/>
  <c r="CZ17" i="13"/>
  <c r="DA17" i="13" s="1"/>
  <c r="CX16" i="13"/>
  <c r="CY16" i="13" s="1"/>
  <c r="CZ16" i="13" s="1"/>
  <c r="CZ28" i="13"/>
  <c r="DA28" i="13" s="1"/>
  <c r="CZ25" i="13"/>
  <c r="DA25" i="13" s="1"/>
  <c r="CZ22" i="13"/>
  <c r="DA22" i="13" s="1"/>
  <c r="MM97" i="2"/>
  <c r="CW26" i="13"/>
  <c r="CW30" i="13"/>
  <c r="MM96" i="2"/>
  <c r="MM92" i="2"/>
  <c r="CW20" i="13"/>
  <c r="CW34" i="13"/>
  <c r="MM93" i="2"/>
  <c r="CW21" i="13"/>
  <c r="MM94" i="2"/>
  <c r="MM95" i="2" l="1"/>
  <c r="MO89" i="2"/>
  <c r="DA24" i="13"/>
  <c r="CX34" i="13"/>
  <c r="CY34" i="13" s="1"/>
  <c r="CZ34" i="13" s="1"/>
  <c r="DA34" i="13" s="1"/>
  <c r="CW36" i="13"/>
  <c r="CW38" i="13" s="1"/>
  <c r="CW39" i="13" s="1"/>
  <c r="CW41" i="13" s="1"/>
  <c r="CW45" i="13"/>
  <c r="CX45" i="13" s="1"/>
  <c r="CY46" i="13"/>
  <c r="CZ46" i="13" s="1"/>
  <c r="CY44" i="13"/>
  <c r="CZ44" i="13" s="1"/>
  <c r="DA37" i="13"/>
  <c r="CV47" i="13"/>
  <c r="CW47" i="13" s="1"/>
  <c r="CX30" i="13"/>
  <c r="CY30" i="13" s="1"/>
  <c r="CZ29" i="13"/>
  <c r="DA29" i="13" s="1"/>
  <c r="DA35" i="13"/>
  <c r="CX20" i="13"/>
  <c r="CY20" i="13" s="1"/>
  <c r="DA18" i="13"/>
  <c r="CW33" i="13"/>
  <c r="CX26" i="13"/>
  <c r="CY26" i="13" s="1"/>
  <c r="CZ26" i="13" s="1"/>
  <c r="CX21" i="13"/>
  <c r="CY21" i="13" s="1"/>
  <c r="DA16" i="13"/>
  <c r="BF16" i="13"/>
  <c r="CW31" i="13"/>
  <c r="MN96" i="2"/>
  <c r="MN97" i="2"/>
  <c r="MN92" i="2"/>
  <c r="MN94" i="2"/>
  <c r="MN93" i="2"/>
  <c r="MN95" i="2" l="1"/>
  <c r="MP89" i="2"/>
  <c r="CX39" i="13"/>
  <c r="CY39" i="13" s="1"/>
  <c r="CZ39" i="13" s="1"/>
  <c r="CW40" i="13"/>
  <c r="CX40" i="13" s="1"/>
  <c r="CY40" i="13" s="1"/>
  <c r="CX38" i="13"/>
  <c r="CY38" i="13" s="1"/>
  <c r="CZ38" i="13" s="1"/>
  <c r="CX36" i="13"/>
  <c r="CY36" i="13" s="1"/>
  <c r="CY45" i="13"/>
  <c r="CZ45" i="13" s="1"/>
  <c r="CX31" i="13"/>
  <c r="CY31" i="13" s="1"/>
  <c r="CZ31" i="13" s="1"/>
  <c r="CX47" i="13"/>
  <c r="CY47" i="13" s="1"/>
  <c r="CZ47" i="13" s="1"/>
  <c r="CV48" i="13"/>
  <c r="CW48" i="13" s="1"/>
  <c r="CX48" i="13" s="1"/>
  <c r="CZ30" i="13"/>
  <c r="DA30" i="13" s="1"/>
  <c r="CZ20" i="13"/>
  <c r="DA20" i="13" s="1"/>
  <c r="DA26" i="13"/>
  <c r="CZ21" i="13"/>
  <c r="DA21" i="13" s="1"/>
  <c r="BG16" i="13"/>
  <c r="BH16" i="13" s="1"/>
  <c r="CX41" i="13"/>
  <c r="CY41" i="13" s="1"/>
  <c r="CZ41" i="13" s="1"/>
  <c r="BF14" i="13"/>
  <c r="BG14" i="13" s="1"/>
  <c r="BF15" i="13"/>
  <c r="BG15" i="13" s="1"/>
  <c r="BH15" i="13" s="1"/>
  <c r="MO94" i="2"/>
  <c r="MO97" i="2"/>
  <c r="MO93" i="2"/>
  <c r="MO96" i="2"/>
  <c r="MO92" i="2"/>
  <c r="MO95" i="2" l="1"/>
  <c r="MQ89" i="2"/>
  <c r="CZ36" i="13"/>
  <c r="DA36" i="13" s="1"/>
  <c r="DA38" i="13"/>
  <c r="DA31" i="13"/>
  <c r="CY48" i="13"/>
  <c r="CZ48" i="13" s="1"/>
  <c r="DA41" i="13"/>
  <c r="CZ40" i="13"/>
  <c r="DA40" i="13" s="1"/>
  <c r="BF18" i="13"/>
  <c r="BG18" i="13" s="1"/>
  <c r="BH18" i="13" s="1"/>
  <c r="BH14" i="13"/>
  <c r="BF19" i="13"/>
  <c r="DA39" i="13"/>
  <c r="MP92" i="2"/>
  <c r="MP93" i="2"/>
  <c r="MP94" i="2"/>
  <c r="MP96" i="2"/>
  <c r="MP97" i="2"/>
  <c r="MP95" i="2" l="1"/>
  <c r="MR89" i="2"/>
  <c r="BG19" i="13"/>
  <c r="BH19" i="13" s="1"/>
  <c r="MQ97" i="2"/>
  <c r="MQ93" i="2"/>
  <c r="MQ92" i="2"/>
  <c r="MQ94" i="2"/>
  <c r="MQ96" i="2"/>
  <c r="MQ95" i="2" l="1"/>
  <c r="MS89" i="2"/>
  <c r="MR97" i="2"/>
  <c r="MR93" i="2"/>
  <c r="MR92" i="2"/>
  <c r="MR94" i="2"/>
  <c r="MR96" i="2"/>
  <c r="MR95" i="2" l="1"/>
  <c r="MT89" i="2"/>
  <c r="MS94" i="2"/>
  <c r="MS92" i="2"/>
  <c r="MS93" i="2"/>
  <c r="MS96" i="2"/>
  <c r="MS97" i="2"/>
  <c r="MS95" i="2" l="1"/>
  <c r="MU89" i="2"/>
  <c r="MT93" i="2"/>
  <c r="MT96" i="2"/>
  <c r="MT94" i="2"/>
  <c r="MT92" i="2"/>
  <c r="MT97" i="2"/>
  <c r="MT95" i="2" l="1"/>
  <c r="MV89" i="2"/>
  <c r="MU97" i="2"/>
  <c r="MU92" i="2"/>
  <c r="MU93" i="2"/>
  <c r="MU94" i="2"/>
  <c r="MU96" i="2"/>
  <c r="MU95" i="2" l="1"/>
  <c r="MW89" i="2"/>
  <c r="MV96" i="2"/>
  <c r="MV94" i="2"/>
  <c r="MV92" i="2"/>
  <c r="MV97" i="2"/>
  <c r="MV93" i="2"/>
  <c r="MV95" i="2" l="1"/>
  <c r="MX89" i="2"/>
  <c r="MW96" i="2"/>
  <c r="MW92" i="2"/>
  <c r="MW93" i="2"/>
  <c r="MW94" i="2"/>
  <c r="MW97" i="2"/>
  <c r="MW95" i="2" l="1"/>
  <c r="MY89" i="2"/>
  <c r="MX96" i="2"/>
  <c r="MX97" i="2"/>
  <c r="MX93" i="2"/>
  <c r="MX92" i="2"/>
  <c r="MX94" i="2"/>
  <c r="MX95" i="2" l="1"/>
  <c r="MZ89" i="2"/>
  <c r="MY93" i="2"/>
  <c r="MY96" i="2"/>
  <c r="MY92" i="2"/>
  <c r="MY97" i="2"/>
  <c r="MY94" i="2"/>
  <c r="MY95" i="2" l="1"/>
  <c r="NA89" i="2"/>
  <c r="MZ92" i="2"/>
  <c r="MZ97" i="2"/>
  <c r="MZ96" i="2"/>
  <c r="MZ93" i="2"/>
  <c r="MZ94" i="2"/>
  <c r="MZ95" i="2" l="1"/>
  <c r="NB89" i="2"/>
  <c r="NA93" i="2"/>
  <c r="NA94" i="2"/>
  <c r="NA96" i="2"/>
  <c r="NA97" i="2"/>
  <c r="NA92" i="2"/>
  <c r="NA95" i="2" l="1"/>
  <c r="NC89" i="2"/>
  <c r="NB94" i="2"/>
  <c r="NB97" i="2"/>
  <c r="NB96" i="2"/>
  <c r="NB92" i="2"/>
  <c r="NB93" i="2"/>
  <c r="NB95" i="2" l="1"/>
  <c r="ND89" i="2"/>
  <c r="BO89" i="13"/>
  <c r="BP89" i="13" s="1"/>
  <c r="BQ89" i="13" s="1"/>
  <c r="NC97" i="2"/>
  <c r="NC94" i="2"/>
  <c r="NC93" i="2"/>
  <c r="NC96" i="2"/>
  <c r="NC92" i="2"/>
  <c r="NC95" i="2" l="1"/>
  <c r="NE89" i="2"/>
  <c r="BR89" i="13"/>
  <c r="ND92" i="2"/>
  <c r="ND96" i="2"/>
  <c r="ND93" i="2"/>
  <c r="ND97" i="2"/>
  <c r="ND94" i="2"/>
  <c r="ND95" i="2" l="1"/>
  <c r="NF89" i="2"/>
  <c r="NE92" i="2"/>
  <c r="NE94" i="2"/>
  <c r="NE97" i="2"/>
  <c r="NE93" i="2"/>
  <c r="NE96" i="2"/>
  <c r="NE95" i="2" l="1"/>
  <c r="NG89" i="2"/>
  <c r="NF92" i="2"/>
  <c r="NF94" i="2"/>
  <c r="NF93" i="2"/>
  <c r="NF96" i="2"/>
  <c r="NF97" i="2"/>
  <c r="NF95" i="2" l="1"/>
  <c r="NH89" i="2"/>
  <c r="NG92" i="2"/>
  <c r="NG96" i="2"/>
  <c r="NG94" i="2"/>
  <c r="NG93" i="2"/>
  <c r="NG97" i="2"/>
  <c r="NG95" i="2" l="1"/>
  <c r="NI89" i="2"/>
  <c r="NH97" i="2"/>
  <c r="NH96" i="2"/>
  <c r="NH92" i="2"/>
  <c r="NH94" i="2"/>
  <c r="NH93" i="2"/>
  <c r="NH95" i="2" l="1"/>
  <c r="NJ89" i="2"/>
  <c r="NI93" i="2"/>
  <c r="NI92" i="2"/>
  <c r="NI96" i="2"/>
  <c r="NI94" i="2"/>
  <c r="NI97" i="2"/>
  <c r="NI95" i="2" l="1"/>
  <c r="NK89" i="2"/>
  <c r="NJ97" i="2"/>
  <c r="NJ96" i="2"/>
  <c r="NJ93" i="2"/>
  <c r="NJ92" i="2"/>
  <c r="NJ94" i="2"/>
  <c r="NJ95" i="2" l="1"/>
  <c r="NL89" i="2"/>
  <c r="NK92" i="2"/>
  <c r="NK97" i="2"/>
  <c r="NK96" i="2"/>
  <c r="NK93" i="2"/>
  <c r="NK94" i="2"/>
  <c r="NK95" i="2" l="1"/>
  <c r="NM89" i="2"/>
  <c r="NL93" i="2"/>
  <c r="NL97" i="2"/>
  <c r="NL92" i="2"/>
  <c r="NL94" i="2"/>
  <c r="NL96" i="2"/>
  <c r="NL95" i="2" l="1"/>
  <c r="NN89" i="2"/>
  <c r="NM97" i="2"/>
  <c r="NM93" i="2"/>
  <c r="NM94" i="2"/>
  <c r="NM96" i="2"/>
  <c r="NM92" i="2"/>
  <c r="NM95" i="2" l="1"/>
  <c r="NO89" i="2"/>
  <c r="NN97" i="2"/>
  <c r="NN92" i="2"/>
  <c r="NN93" i="2"/>
  <c r="NN96" i="2"/>
  <c r="NN94" i="2"/>
  <c r="NN95" i="2" l="1"/>
  <c r="NP89" i="2"/>
  <c r="NO97" i="2"/>
  <c r="NO94" i="2"/>
  <c r="NO92" i="2"/>
  <c r="NO96" i="2"/>
  <c r="NO93" i="2"/>
  <c r="NO95" i="2" l="1"/>
  <c r="NQ89" i="2"/>
  <c r="NP93" i="2"/>
  <c r="NP96" i="2"/>
  <c r="NP94" i="2"/>
  <c r="NP92" i="2"/>
  <c r="NP97" i="2"/>
  <c r="NP95" i="2" l="1"/>
  <c r="NR89" i="2"/>
  <c r="NQ96" i="2"/>
  <c r="NQ94" i="2"/>
  <c r="U2" i="14"/>
  <c r="NQ92" i="2"/>
  <c r="NQ93" i="2"/>
  <c r="NQ97" i="2"/>
  <c r="NQ95" i="2" l="1"/>
  <c r="NS89" i="2"/>
  <c r="C1" i="14"/>
  <c r="Z8" i="14"/>
  <c r="AA8" i="14"/>
  <c r="AA13" i="14"/>
  <c r="NR94" i="2"/>
  <c r="NR92" i="2"/>
  <c r="NR93" i="2"/>
  <c r="NR96" i="2"/>
  <c r="NR97" i="2"/>
  <c r="NR95" i="2" l="1"/>
  <c r="NT89" i="2"/>
  <c r="AB8" i="14"/>
  <c r="NS96" i="2"/>
  <c r="NS92" i="2"/>
  <c r="NS97" i="2"/>
  <c r="NS93" i="2"/>
  <c r="NS94" i="2"/>
  <c r="AB13" i="14"/>
  <c r="AA14" i="14"/>
  <c r="NS95" i="2" l="1"/>
  <c r="NU89" i="2"/>
  <c r="AC8" i="14"/>
  <c r="AF8" i="14"/>
  <c r="AH8" i="14"/>
  <c r="NT97" i="2"/>
  <c r="AA22" i="14"/>
  <c r="AA23" i="14"/>
  <c r="AA16" i="14"/>
  <c r="AC13" i="14"/>
  <c r="NT92" i="2"/>
  <c r="NT93" i="2"/>
  <c r="AA15" i="14"/>
  <c r="AB14" i="14"/>
  <c r="NT94" i="2"/>
  <c r="NT96" i="2"/>
  <c r="NT95" i="2" l="1"/>
  <c r="NV89" i="2"/>
  <c r="AA24" i="14"/>
  <c r="Z25" i="14" s="1"/>
  <c r="AD8" i="14"/>
  <c r="AA17" i="14"/>
  <c r="NU97" i="2"/>
  <c r="NU96" i="2"/>
  <c r="AB22" i="14"/>
  <c r="NU94" i="2"/>
  <c r="AC14" i="14"/>
  <c r="AB23" i="14"/>
  <c r="NU92" i="2"/>
  <c r="NU93" i="2"/>
  <c r="AD13" i="14"/>
  <c r="AB16" i="14"/>
  <c r="AB15" i="14"/>
  <c r="NU95" i="2" l="1"/>
  <c r="NW89" i="2"/>
  <c r="AB17" i="14"/>
  <c r="AB24" i="14"/>
  <c r="AC32" i="14" s="1"/>
  <c r="AB32" i="14"/>
  <c r="AA26" i="14"/>
  <c r="AA28" i="14"/>
  <c r="NV97" i="2"/>
  <c r="AC15" i="14"/>
  <c r="NV93" i="2"/>
  <c r="AC22" i="14"/>
  <c r="AD14" i="14"/>
  <c r="NV94" i="2"/>
  <c r="NV92" i="2"/>
  <c r="AC23" i="14"/>
  <c r="AC16" i="14"/>
  <c r="NV96" i="2"/>
  <c r="NV95" i="2" l="1"/>
  <c r="NX89" i="2"/>
  <c r="AC24" i="14"/>
  <c r="AD32" i="14" s="1"/>
  <c r="AD33" i="14" s="1"/>
  <c r="AC17" i="14"/>
  <c r="AB28" i="14"/>
  <c r="AA27" i="14"/>
  <c r="AB26" i="14"/>
  <c r="AA31" i="14"/>
  <c r="NW93" i="2"/>
  <c r="AD15" i="14"/>
  <c r="NW96" i="2"/>
  <c r="NW94" i="2"/>
  <c r="NW92" i="2"/>
  <c r="NW97" i="2"/>
  <c r="AD23" i="14"/>
  <c r="AD22" i="14"/>
  <c r="AD16" i="14"/>
  <c r="NW95" i="2" l="1"/>
  <c r="NY89" i="2"/>
  <c r="AC26" i="14"/>
  <c r="AD17" i="14"/>
  <c r="AD24" i="14"/>
  <c r="AB33" i="14"/>
  <c r="AB27" i="14"/>
  <c r="AY9" i="13"/>
  <c r="NX97" i="2"/>
  <c r="NX93" i="2"/>
  <c r="NX92" i="2"/>
  <c r="NX96" i="2"/>
  <c r="AX12" i="13"/>
  <c r="NX94" i="2"/>
  <c r="NX95" i="2" l="1"/>
  <c r="NZ89" i="2"/>
  <c r="AD26" i="14"/>
  <c r="AY12" i="13"/>
  <c r="AZ12" i="13" s="1"/>
  <c r="AZ9" i="13"/>
  <c r="BA9" i="13" s="1"/>
  <c r="NY94" i="2"/>
  <c r="NY96" i="2"/>
  <c r="NY92" i="2"/>
  <c r="NY97" i="2"/>
  <c r="AX13" i="13"/>
  <c r="NY93" i="2"/>
  <c r="NY95" i="2" l="1"/>
  <c r="OA89" i="2"/>
  <c r="AY13" i="13"/>
  <c r="AZ13" i="13" s="1"/>
  <c r="BA13" i="13" s="1"/>
  <c r="BA12" i="13"/>
  <c r="BB12" i="13" s="1"/>
  <c r="BB9" i="13"/>
  <c r="NZ92" i="2"/>
  <c r="AX15" i="13"/>
  <c r="AX14" i="13"/>
  <c r="NZ96" i="2"/>
  <c r="NZ94" i="2"/>
  <c r="NZ97" i="2"/>
  <c r="NZ93" i="2"/>
  <c r="NZ95" i="2" l="1"/>
  <c r="OB89" i="2"/>
  <c r="AY14" i="13"/>
  <c r="AZ14" i="13" s="1"/>
  <c r="BB13" i="13"/>
  <c r="AY15" i="13"/>
  <c r="AZ15" i="13" s="1"/>
  <c r="AX17" i="13"/>
  <c r="OA94" i="2"/>
  <c r="OA93" i="2"/>
  <c r="OA96" i="2"/>
  <c r="OA97" i="2"/>
  <c r="OA92" i="2"/>
  <c r="OA95" i="2" l="1"/>
  <c r="OC89" i="2"/>
  <c r="BA14" i="13"/>
  <c r="BB14" i="13" s="1"/>
  <c r="AY17" i="13"/>
  <c r="AZ17" i="13" s="1"/>
  <c r="BA17" i="13" s="1"/>
  <c r="AX18" i="13"/>
  <c r="AY18" i="13" s="1"/>
  <c r="AZ18" i="13" s="1"/>
  <c r="BA15" i="13"/>
  <c r="BB15" i="13" s="1"/>
  <c r="OB94" i="2"/>
  <c r="OB93" i="2"/>
  <c r="AX11" i="13"/>
  <c r="OB92" i="2"/>
  <c r="OB96" i="2"/>
  <c r="OB97" i="2"/>
  <c r="OB95" i="2" l="1"/>
  <c r="OD89" i="2"/>
  <c r="CP13" i="13"/>
  <c r="CQ13" i="13" s="1"/>
  <c r="CR13" i="13" s="1"/>
  <c r="CS13" i="13" s="1"/>
  <c r="AY11" i="13"/>
  <c r="BA18" i="13"/>
  <c r="BB18" i="13" s="1"/>
  <c r="BB17" i="13"/>
  <c r="AX19" i="13"/>
  <c r="AX20" i="13" s="1"/>
  <c r="OC92" i="2"/>
  <c r="OC96" i="2"/>
  <c r="OC94" i="2"/>
  <c r="OC97" i="2"/>
  <c r="OC93" i="2"/>
  <c r="AX21" i="13"/>
  <c r="OC95" i="2" l="1"/>
  <c r="OE89" i="2"/>
  <c r="AY20" i="13"/>
  <c r="AZ20" i="13" s="1"/>
  <c r="AY19" i="13"/>
  <c r="AZ19" i="13" s="1"/>
  <c r="AZ11" i="13"/>
  <c r="CT13" i="13"/>
  <c r="OD94" i="2"/>
  <c r="OD96" i="2"/>
  <c r="AX22" i="13"/>
  <c r="OD97" i="2"/>
  <c r="OD93" i="2"/>
  <c r="OD92" i="2"/>
  <c r="OD95" i="2" l="1"/>
  <c r="OF89" i="2"/>
  <c r="AY22" i="13"/>
  <c r="AZ22" i="13" s="1"/>
  <c r="BA22" i="13" s="1"/>
  <c r="BA11" i="13"/>
  <c r="BB11" i="13" s="1"/>
  <c r="BA20" i="13"/>
  <c r="BB20" i="13" s="1"/>
  <c r="BA19" i="13"/>
  <c r="BB19" i="13" s="1"/>
  <c r="OE92" i="2"/>
  <c r="OE97" i="2"/>
  <c r="OE94" i="2"/>
  <c r="AX16" i="13"/>
  <c r="OE93" i="2"/>
  <c r="OE96" i="2"/>
  <c r="OE95" i="2" l="1"/>
  <c r="OG89" i="2"/>
  <c r="BB22" i="13"/>
  <c r="AY16" i="13"/>
  <c r="AZ16" i="13" s="1"/>
  <c r="OF93" i="2"/>
  <c r="OF94" i="2"/>
  <c r="OF96" i="2"/>
  <c r="OF97" i="2"/>
  <c r="OF92" i="2"/>
  <c r="OF95" i="2" l="1"/>
  <c r="OH89" i="2"/>
  <c r="BA16" i="13"/>
  <c r="BB16" i="13" s="1"/>
  <c r="OG92" i="2"/>
  <c r="OG93" i="2"/>
  <c r="OG97" i="2"/>
  <c r="OG94" i="2"/>
  <c r="OG96" i="2"/>
  <c r="OG95" i="2" l="1"/>
  <c r="OI89" i="2"/>
  <c r="AY21" i="13"/>
  <c r="AZ21" i="13" s="1"/>
  <c r="AX23" i="13"/>
  <c r="AY1" i="13"/>
  <c r="AZ1" i="13" s="1"/>
  <c r="OH94" i="2"/>
  <c r="OH93" i="2"/>
  <c r="OH97" i="2"/>
  <c r="OH96" i="2"/>
  <c r="OH92" i="2"/>
  <c r="OH95" i="2" l="1"/>
  <c r="OJ89" i="2"/>
  <c r="BA1" i="13"/>
  <c r="BB1" i="13" s="1"/>
  <c r="BA21" i="13"/>
  <c r="BB21" i="13" s="1"/>
  <c r="AY23" i="13"/>
  <c r="AZ23" i="13" s="1"/>
  <c r="AX24" i="13"/>
  <c r="OI94" i="2"/>
  <c r="OI97" i="2"/>
  <c r="OI93" i="2"/>
  <c r="OI92" i="2"/>
  <c r="OI96" i="2"/>
  <c r="OI95" i="2" l="1"/>
  <c r="OK89" i="2"/>
  <c r="AY24" i="13"/>
  <c r="AX25" i="13"/>
  <c r="AX27" i="13" s="1"/>
  <c r="BA23" i="13"/>
  <c r="BB23" i="13" s="1"/>
  <c r="AT32" i="13"/>
  <c r="OJ93" i="2"/>
  <c r="OJ94" i="2"/>
  <c r="OJ92" i="2"/>
  <c r="OJ96" i="2"/>
  <c r="AT30" i="13"/>
  <c r="AT38" i="13"/>
  <c r="AT39" i="13"/>
  <c r="AT34" i="13"/>
  <c r="OJ97" i="2"/>
  <c r="AT29" i="13"/>
  <c r="AT33" i="13"/>
  <c r="AT36" i="13"/>
  <c r="AT35" i="13"/>
  <c r="AT31" i="13"/>
  <c r="OJ95" i="2" l="1"/>
  <c r="OL89" i="2"/>
  <c r="AY25" i="13"/>
  <c r="AZ24" i="13"/>
  <c r="OK94" i="2"/>
  <c r="AX30" i="13"/>
  <c r="OK93" i="2"/>
  <c r="AX28" i="13"/>
  <c r="OK96" i="2"/>
  <c r="OK92" i="2"/>
  <c r="AX29" i="13"/>
  <c r="BN5" i="13"/>
  <c r="CC142" i="13"/>
  <c r="OK97" i="2"/>
  <c r="OK95" i="2" l="1"/>
  <c r="OM89" i="2"/>
  <c r="AY30" i="13"/>
  <c r="AZ30" i="13" s="1"/>
  <c r="CD142" i="13"/>
  <c r="CE142" i="13" s="1"/>
  <c r="CF142" i="13" s="1"/>
  <c r="AY29" i="13"/>
  <c r="AZ29" i="13" s="1"/>
  <c r="BN40" i="13"/>
  <c r="AY28" i="13"/>
  <c r="AZ28" i="13" s="1"/>
  <c r="BE9" i="13"/>
  <c r="BE24" i="13"/>
  <c r="EO9" i="13"/>
  <c r="CC6" i="13"/>
  <c r="AY27" i="13"/>
  <c r="AZ27" i="13" s="1"/>
  <c r="AZ5" i="13"/>
  <c r="BN8" i="13"/>
  <c r="AZ25" i="13"/>
  <c r="BA25" i="13" s="1"/>
  <c r="BA24" i="13"/>
  <c r="BB24" i="13" s="1"/>
  <c r="BN64" i="13"/>
  <c r="OL94" i="2"/>
  <c r="BJ23" i="13"/>
  <c r="BN35" i="13"/>
  <c r="OL96" i="2"/>
  <c r="CC8" i="13"/>
  <c r="BE12" i="13"/>
  <c r="OL92" i="2"/>
  <c r="AX31" i="13"/>
  <c r="CJ9" i="13"/>
  <c r="BN59" i="13"/>
  <c r="BJ22" i="13"/>
  <c r="OL93" i="2"/>
  <c r="EO12" i="13"/>
  <c r="AT12" i="13"/>
  <c r="OL97" i="2"/>
  <c r="CL48" i="13"/>
  <c r="BE11" i="13"/>
  <c r="BN92" i="13"/>
  <c r="BK1" i="13"/>
  <c r="BK27" i="13"/>
  <c r="BL55" i="13"/>
  <c r="BN58" i="13"/>
  <c r="BN9" i="13"/>
  <c r="BN57" i="13"/>
  <c r="BN61" i="13"/>
  <c r="OL95" i="2" l="1"/>
  <c r="ON89" i="2"/>
  <c r="BO61" i="13"/>
  <c r="BP61" i="13" s="1"/>
  <c r="BO35" i="13"/>
  <c r="BP35" i="13" s="1"/>
  <c r="BO64" i="13"/>
  <c r="BP64" i="13" s="1"/>
  <c r="BL1" i="13"/>
  <c r="BM1" i="13" s="1"/>
  <c r="BN1" i="13" s="1"/>
  <c r="BO57" i="13"/>
  <c r="BP57" i="13" s="1"/>
  <c r="BO59" i="13"/>
  <c r="BP59" i="13" s="1"/>
  <c r="BV33" i="13"/>
  <c r="BO58" i="13"/>
  <c r="BP58" i="13" s="1"/>
  <c r="AY31" i="13"/>
  <c r="AZ31" i="13" s="1"/>
  <c r="BA31" i="13" s="1"/>
  <c r="BB31" i="13" s="1"/>
  <c r="AX32" i="13"/>
  <c r="AY32" i="13" s="1"/>
  <c r="AZ32" i="13" s="1"/>
  <c r="BA32" i="13" s="1"/>
  <c r="BB32" i="13" s="1"/>
  <c r="BA27" i="13"/>
  <c r="BB27" i="13" s="1"/>
  <c r="BB25" i="13"/>
  <c r="BA30" i="13"/>
  <c r="BB30" i="13" s="1"/>
  <c r="BN23" i="13"/>
  <c r="BO92" i="13"/>
  <c r="BP92" i="13" s="1"/>
  <c r="BO9" i="13"/>
  <c r="BP9" i="13" s="1"/>
  <c r="BQ9" i="13" s="1"/>
  <c r="BR9" i="13" s="1"/>
  <c r="BN65" i="13"/>
  <c r="BF11" i="13"/>
  <c r="BG11" i="13" s="1"/>
  <c r="BF12" i="13"/>
  <c r="BG12" i="13" s="1"/>
  <c r="BE13" i="13"/>
  <c r="CD8" i="13"/>
  <c r="CE8" i="13" s="1"/>
  <c r="EP12" i="13"/>
  <c r="BA28" i="13"/>
  <c r="BB28" i="13" s="1"/>
  <c r="BO8" i="13"/>
  <c r="BP8" i="13" s="1"/>
  <c r="CJ8" i="13"/>
  <c r="GU6" i="13"/>
  <c r="FJ12" i="13"/>
  <c r="BF9" i="13"/>
  <c r="BA5" i="13"/>
  <c r="BB5" i="13" s="1"/>
  <c r="DG5" i="13"/>
  <c r="BO40" i="13"/>
  <c r="BP40" i="13" s="1"/>
  <c r="BQ40" i="13" s="1"/>
  <c r="BR40" i="13" s="1"/>
  <c r="BA29" i="13"/>
  <c r="BB29" i="13" s="1"/>
  <c r="EP9" i="13"/>
  <c r="EQ9" i="13" s="1"/>
  <c r="EO14" i="13"/>
  <c r="EO15" i="13"/>
  <c r="EV9" i="13"/>
  <c r="EO21" i="13"/>
  <c r="CG142" i="13"/>
  <c r="BF24" i="13"/>
  <c r="FG17" i="13"/>
  <c r="OM93" i="2"/>
  <c r="CJ10" i="13"/>
  <c r="CH110" i="13"/>
  <c r="BN36" i="13"/>
  <c r="FJ17" i="13"/>
  <c r="BN10" i="13"/>
  <c r="OM92" i="2"/>
  <c r="BN16" i="13"/>
  <c r="FR5" i="13"/>
  <c r="DG25" i="13"/>
  <c r="OM96" i="2"/>
  <c r="FJ21" i="13"/>
  <c r="OM94" i="2"/>
  <c r="BN67" i="13"/>
  <c r="BN60" i="13"/>
  <c r="BN87" i="13"/>
  <c r="BK18" i="13"/>
  <c r="BV34" i="13"/>
  <c r="DG34" i="13"/>
  <c r="DG8" i="13"/>
  <c r="DG35" i="13"/>
  <c r="FJ55" i="13"/>
  <c r="BE39" i="13"/>
  <c r="OM97" i="2"/>
  <c r="BN63" i="13"/>
  <c r="OM95" i="2" l="1"/>
  <c r="OO89" i="2"/>
  <c r="BO87" i="13"/>
  <c r="BP87" i="13" s="1"/>
  <c r="BQ57" i="13"/>
  <c r="BR57" i="13" s="1"/>
  <c r="BO63" i="13"/>
  <c r="BP63" i="13" s="1"/>
  <c r="BQ63" i="13" s="1"/>
  <c r="BR63" i="13" s="1"/>
  <c r="BQ61" i="13"/>
  <c r="BR61" i="13" s="1"/>
  <c r="EO8" i="13"/>
  <c r="EO23" i="13" s="1"/>
  <c r="BO36" i="13"/>
  <c r="BP36" i="13" s="1"/>
  <c r="BQ36" i="13" s="1"/>
  <c r="BR36" i="13" s="1"/>
  <c r="BK30" i="13"/>
  <c r="BN37" i="13"/>
  <c r="BQ35" i="13"/>
  <c r="BR35" i="13" s="1"/>
  <c r="BQ64" i="13"/>
  <c r="BR64" i="13" s="1"/>
  <c r="BO60" i="13"/>
  <c r="BP60" i="13" s="1"/>
  <c r="BQ59" i="13"/>
  <c r="BR59" i="13" s="1"/>
  <c r="BQ58" i="13"/>
  <c r="BR58" i="13" s="1"/>
  <c r="BO10" i="13"/>
  <c r="BP10" i="13" s="1"/>
  <c r="BJ16" i="13"/>
  <c r="BJ17" i="13" s="1"/>
  <c r="BE20" i="13"/>
  <c r="BE21" i="13" s="1"/>
  <c r="BO16" i="13"/>
  <c r="BP16" i="13" s="1"/>
  <c r="FK21" i="13"/>
  <c r="FL21" i="13" s="1"/>
  <c r="FM21" i="13" s="1"/>
  <c r="FN21" i="13" s="1"/>
  <c r="FK17" i="13"/>
  <c r="HD7" i="13"/>
  <c r="FR65" i="13"/>
  <c r="FK55" i="13"/>
  <c r="FL55" i="13" s="1"/>
  <c r="BO67" i="13"/>
  <c r="BN68" i="13"/>
  <c r="DH34" i="13"/>
  <c r="DI34" i="13" s="1"/>
  <c r="DJ34" i="13" s="1"/>
  <c r="DH35" i="13"/>
  <c r="DH25" i="13"/>
  <c r="DH8" i="13"/>
  <c r="DI8" i="13" s="1"/>
  <c r="DJ8" i="13" s="1"/>
  <c r="BW34" i="13"/>
  <c r="ER9" i="13"/>
  <c r="ES9" i="13" s="1"/>
  <c r="EW9" i="13"/>
  <c r="EX9" i="13" s="1"/>
  <c r="EV14" i="13"/>
  <c r="EV15" i="13"/>
  <c r="FD15" i="13"/>
  <c r="EP15" i="13"/>
  <c r="EQ15" i="13" s="1"/>
  <c r="ER15" i="13" s="1"/>
  <c r="EO16" i="13"/>
  <c r="GV6" i="13"/>
  <c r="GW6" i="13" s="1"/>
  <c r="GX6" i="13" s="1"/>
  <c r="GU11" i="13"/>
  <c r="CF8" i="13"/>
  <c r="CG8" i="13" s="1"/>
  <c r="BH12" i="13"/>
  <c r="BO65" i="13"/>
  <c r="BQ92" i="13"/>
  <c r="BR92" i="13" s="1"/>
  <c r="BG24" i="13"/>
  <c r="BH24" i="13" s="1"/>
  <c r="EP14" i="13"/>
  <c r="BG9" i="13"/>
  <c r="BH9" i="13" s="1"/>
  <c r="BQ8" i="13"/>
  <c r="BR8" i="13" s="1"/>
  <c r="EQ12" i="13"/>
  <c r="BF13" i="13"/>
  <c r="BG13" i="13" s="1"/>
  <c r="BH11" i="13"/>
  <c r="BW33" i="13"/>
  <c r="EO22" i="13"/>
  <c r="BO23" i="13"/>
  <c r="ON93" i="2"/>
  <c r="FJ66" i="13"/>
  <c r="BE22" i="13"/>
  <c r="DG14" i="13"/>
  <c r="FR76" i="13"/>
  <c r="BN48" i="13"/>
  <c r="ON97" i="2"/>
  <c r="DG17" i="13"/>
  <c r="BN38" i="13"/>
  <c r="FJ56" i="13"/>
  <c r="ON92" i="2"/>
  <c r="BN12" i="13"/>
  <c r="CJ12" i="13"/>
  <c r="DG9" i="13"/>
  <c r="ON94" i="2"/>
  <c r="FR16" i="13"/>
  <c r="FJ22" i="13"/>
  <c r="ON96" i="2"/>
  <c r="ON95" i="2" l="1"/>
  <c r="OP89" i="2"/>
  <c r="BQ87" i="13"/>
  <c r="BR87" i="13" s="1"/>
  <c r="BO48" i="13"/>
  <c r="BP48" i="13" s="1"/>
  <c r="EP8" i="13"/>
  <c r="EQ8" i="13" s="1"/>
  <c r="ER8" i="13" s="1"/>
  <c r="BO38" i="13"/>
  <c r="BP38" i="13" s="1"/>
  <c r="BO37" i="13"/>
  <c r="BP37" i="13" s="1"/>
  <c r="EV8" i="13"/>
  <c r="EW8" i="13" s="1"/>
  <c r="EX8" i="13" s="1"/>
  <c r="EO27" i="13"/>
  <c r="EP27" i="13" s="1"/>
  <c r="EQ27" i="13" s="1"/>
  <c r="ER27" i="13" s="1"/>
  <c r="BQ60" i="13"/>
  <c r="BR60" i="13" s="1"/>
  <c r="DH9" i="13"/>
  <c r="DI9" i="13" s="1"/>
  <c r="DJ9" i="13" s="1"/>
  <c r="DH14" i="13"/>
  <c r="DI14" i="13" s="1"/>
  <c r="DG15" i="13"/>
  <c r="DH15" i="13" s="1"/>
  <c r="BN13" i="13"/>
  <c r="BN14" i="13" s="1"/>
  <c r="BO14" i="13" s="1"/>
  <c r="BP14" i="13" s="1"/>
  <c r="BQ14" i="13" s="1"/>
  <c r="BO12" i="13"/>
  <c r="BP12" i="13" s="1"/>
  <c r="BQ12" i="13" s="1"/>
  <c r="BR12" i="13" s="1"/>
  <c r="BQ48" i="13"/>
  <c r="BR48" i="13" s="1"/>
  <c r="BQ16" i="13"/>
  <c r="BR16" i="13" s="1"/>
  <c r="BF22" i="13"/>
  <c r="BG22" i="13" s="1"/>
  <c r="BH22" i="13" s="1"/>
  <c r="BE30" i="13"/>
  <c r="BF30" i="13" s="1"/>
  <c r="BG30" i="13" s="1"/>
  <c r="BH30" i="13" s="1"/>
  <c r="BE31" i="13"/>
  <c r="BF31" i="13" s="1"/>
  <c r="BE23" i="13"/>
  <c r="BE26" i="13"/>
  <c r="BF26" i="13" s="1"/>
  <c r="DH17" i="13"/>
  <c r="DI17" i="13" s="1"/>
  <c r="DJ17" i="13" s="1"/>
  <c r="HD6" i="13"/>
  <c r="HE22" i="13" s="1"/>
  <c r="HD31" i="13" s="1"/>
  <c r="FH56" i="13"/>
  <c r="FR64" i="13"/>
  <c r="FS64" i="13" s="1"/>
  <c r="FK56" i="13"/>
  <c r="FL56" i="13" s="1"/>
  <c r="FK22" i="13"/>
  <c r="FL22" i="13" s="1"/>
  <c r="FM22" i="13" s="1"/>
  <c r="FN22" i="13" s="1"/>
  <c r="CJ13" i="13"/>
  <c r="FJ67" i="13"/>
  <c r="FK67" i="13" s="1"/>
  <c r="FR6" i="13"/>
  <c r="FR9" i="13" s="1"/>
  <c r="FR10" i="13" s="1"/>
  <c r="FR11" i="13" s="1"/>
  <c r="FK66" i="13"/>
  <c r="FL66" i="13" s="1"/>
  <c r="FR66" i="13"/>
  <c r="FR67" i="13" s="1"/>
  <c r="FS66" i="13" s="1"/>
  <c r="FS67" i="13" s="1"/>
  <c r="BP23" i="13"/>
  <c r="BQ23" i="13" s="1"/>
  <c r="BR23" i="13" s="1"/>
  <c r="DK8" i="13"/>
  <c r="BX33" i="13"/>
  <c r="BY33" i="13" s="1"/>
  <c r="BZ33" i="13" s="1"/>
  <c r="BP65" i="13"/>
  <c r="BQ65" i="13" s="1"/>
  <c r="ES15" i="13"/>
  <c r="EW14" i="13"/>
  <c r="EX14" i="13" s="1"/>
  <c r="DK34" i="13"/>
  <c r="FL17" i="13"/>
  <c r="FM17" i="13" s="1"/>
  <c r="FN17" i="13" s="1"/>
  <c r="BQ10" i="13"/>
  <c r="BR10" i="13" s="1"/>
  <c r="BX34" i="13"/>
  <c r="BY34" i="13" s="1"/>
  <c r="BZ34" i="13" s="1"/>
  <c r="DI35" i="13"/>
  <c r="FM55" i="13"/>
  <c r="FN55" i="13" s="1"/>
  <c r="EQ14" i="13"/>
  <c r="ER14" i="13" s="1"/>
  <c r="BH13" i="13"/>
  <c r="EW15" i="13"/>
  <c r="EV16" i="13"/>
  <c r="EY9" i="13"/>
  <c r="EZ9" i="13" s="1"/>
  <c r="DI25" i="13"/>
  <c r="DJ25" i="13" s="1"/>
  <c r="DK25" i="13" s="1"/>
  <c r="BP67" i="13"/>
  <c r="GV11" i="13"/>
  <c r="GU17" i="13"/>
  <c r="EP16" i="13"/>
  <c r="EQ16" i="13" s="1"/>
  <c r="BO68" i="13"/>
  <c r="BP68" i="13" s="1"/>
  <c r="ER12" i="13"/>
  <c r="ES12" i="13" s="1"/>
  <c r="HD11" i="13"/>
  <c r="HD12" i="13" s="1"/>
  <c r="HD13" i="13" s="1"/>
  <c r="HD32" i="13"/>
  <c r="HE8" i="13"/>
  <c r="HE9" i="13" s="1"/>
  <c r="OO97" i="2"/>
  <c r="OO93" i="2"/>
  <c r="FR14" i="13"/>
  <c r="FJ73" i="13"/>
  <c r="DG10" i="13"/>
  <c r="FR74" i="13"/>
  <c r="OO94" i="2"/>
  <c r="OO96" i="2"/>
  <c r="FR21" i="13"/>
  <c r="FR72" i="13"/>
  <c r="OO92" i="2"/>
  <c r="FR12" i="13"/>
  <c r="FR31" i="13"/>
  <c r="DG13" i="13"/>
  <c r="FJ24" i="13"/>
  <c r="FR91" i="13"/>
  <c r="FJ39" i="13"/>
  <c r="FJ15" i="13"/>
  <c r="OO95" i="2" l="1"/>
  <c r="OQ89" i="2"/>
  <c r="ES8" i="13"/>
  <c r="BQ37" i="13"/>
  <c r="BR37" i="13" s="1"/>
  <c r="EY8" i="13"/>
  <c r="EZ8" i="13" s="1"/>
  <c r="ES27" i="13"/>
  <c r="BQ38" i="13"/>
  <c r="BR38" i="13" s="1"/>
  <c r="DK9" i="13"/>
  <c r="DH10" i="13"/>
  <c r="DI10" i="13" s="1"/>
  <c r="DH13" i="13"/>
  <c r="DI13" i="13" s="1"/>
  <c r="DJ13" i="13" s="1"/>
  <c r="DK13" i="13" s="1"/>
  <c r="DG16" i="13"/>
  <c r="DG18" i="13" s="1"/>
  <c r="DJ14" i="13"/>
  <c r="DK14" i="13" s="1"/>
  <c r="BN15" i="13"/>
  <c r="BN17" i="13" s="1"/>
  <c r="FK24" i="13"/>
  <c r="FL24" i="13" s="1"/>
  <c r="FM24" i="13" s="1"/>
  <c r="BR14" i="13"/>
  <c r="BO13" i="13"/>
  <c r="BP13" i="13" s="1"/>
  <c r="FK15" i="13"/>
  <c r="FL15" i="13" s="1"/>
  <c r="BG26" i="13"/>
  <c r="BH26" i="13" s="1"/>
  <c r="BG31" i="13"/>
  <c r="BH31" i="13" s="1"/>
  <c r="BE25" i="13"/>
  <c r="BF23" i="13"/>
  <c r="BG23" i="13" s="1"/>
  <c r="BH23" i="13" s="1"/>
  <c r="BE33" i="13"/>
  <c r="BE32" i="13"/>
  <c r="BF32" i="13" s="1"/>
  <c r="BG32" i="13" s="1"/>
  <c r="BH32" i="13" s="1"/>
  <c r="FM56" i="13"/>
  <c r="FN56" i="13" s="1"/>
  <c r="FR69" i="13"/>
  <c r="FJ68" i="13" s="1"/>
  <c r="FJ86" i="13"/>
  <c r="FK86" i="13" s="1"/>
  <c r="FL86" i="13" s="1"/>
  <c r="FK39" i="13"/>
  <c r="FL39" i="13" s="1"/>
  <c r="FK73" i="13"/>
  <c r="FL73" i="13" s="1"/>
  <c r="FM73" i="13" s="1"/>
  <c r="FN73" i="13" s="1"/>
  <c r="FM66" i="13"/>
  <c r="FN66" i="13" s="1"/>
  <c r="CJ14" i="13"/>
  <c r="FR7" i="13"/>
  <c r="FS6" i="13" s="1"/>
  <c r="FS7" i="13" s="1"/>
  <c r="BR65" i="13"/>
  <c r="DJ35" i="13"/>
  <c r="DK35" i="13" s="1"/>
  <c r="DK17" i="13"/>
  <c r="EY14" i="13"/>
  <c r="EZ14" i="13" s="1"/>
  <c r="EX15" i="13"/>
  <c r="ER16" i="13"/>
  <c r="ES16" i="13" s="1"/>
  <c r="EW16" i="13"/>
  <c r="ES14" i="13"/>
  <c r="BQ68" i="13"/>
  <c r="BR68" i="13" s="1"/>
  <c r="GV17" i="13"/>
  <c r="GW17" i="13" s="1"/>
  <c r="GX17" i="13" s="1"/>
  <c r="GY17" i="13" s="1"/>
  <c r="GU18" i="13"/>
  <c r="BQ67" i="13"/>
  <c r="BR67" i="13" s="1"/>
  <c r="FL67" i="13"/>
  <c r="DI15" i="13"/>
  <c r="DJ15" i="13" s="1"/>
  <c r="HD25" i="13"/>
  <c r="HD28" i="13"/>
  <c r="GW11" i="13"/>
  <c r="GX11" i="13" s="1"/>
  <c r="HE32" i="13"/>
  <c r="HF32" i="13" s="1"/>
  <c r="HG32" i="13" s="1"/>
  <c r="OP94" i="2"/>
  <c r="OP93" i="2"/>
  <c r="FJ25" i="13"/>
  <c r="FR15" i="13"/>
  <c r="FR73" i="13"/>
  <c r="FJ16" i="13"/>
  <c r="OP97" i="2"/>
  <c r="BN18" i="13"/>
  <c r="OP92" i="2"/>
  <c r="CC78" i="13"/>
  <c r="DG22" i="13"/>
  <c r="FS17" i="13"/>
  <c r="FJ40" i="13"/>
  <c r="FR13" i="13"/>
  <c r="FR75" i="13"/>
  <c r="CH19" i="13"/>
  <c r="CC79" i="13"/>
  <c r="FR22" i="13"/>
  <c r="DG19" i="13"/>
  <c r="DG11" i="13"/>
  <c r="FS77" i="13"/>
  <c r="OP96" i="2"/>
  <c r="OP95" i="2" l="1"/>
  <c r="OR89" i="2"/>
  <c r="AT28" i="13"/>
  <c r="AT14" i="13"/>
  <c r="AT15" i="13" s="1"/>
  <c r="BO17" i="13"/>
  <c r="BP17" i="13" s="1"/>
  <c r="DH22" i="13"/>
  <c r="DI22" i="13" s="1"/>
  <c r="BJ14" i="13"/>
  <c r="BO15" i="13"/>
  <c r="BP15" i="13" s="1"/>
  <c r="BQ15" i="13" s="1"/>
  <c r="BR15" i="13" s="1"/>
  <c r="DH16" i="13"/>
  <c r="DI16" i="13" s="1"/>
  <c r="DJ16" i="13" s="1"/>
  <c r="DK16" i="13" s="1"/>
  <c r="DG26" i="13"/>
  <c r="DH26" i="13" s="1"/>
  <c r="DI26" i="13" s="1"/>
  <c r="DH11" i="13"/>
  <c r="DI11" i="13" s="1"/>
  <c r="DJ10" i="13"/>
  <c r="DK10" i="13" s="1"/>
  <c r="FK25" i="13"/>
  <c r="FL25" i="13" s="1"/>
  <c r="FM25" i="13" s="1"/>
  <c r="FM15" i="13"/>
  <c r="FN15" i="13" s="1"/>
  <c r="BQ13" i="13"/>
  <c r="BR13" i="13" s="1"/>
  <c r="BN30" i="13"/>
  <c r="BO30" i="13" s="1"/>
  <c r="BN39" i="13"/>
  <c r="BJ32" i="13" s="1"/>
  <c r="BJ34" i="13" s="1"/>
  <c r="BO18" i="13"/>
  <c r="BP18" i="13" s="1"/>
  <c r="BQ18" i="13" s="1"/>
  <c r="FK40" i="13"/>
  <c r="FL40" i="13" s="1"/>
  <c r="FG40" i="13"/>
  <c r="FH40" i="13"/>
  <c r="FH41" i="13" s="1"/>
  <c r="FN24" i="13"/>
  <c r="FK16" i="13"/>
  <c r="FL16" i="13" s="1"/>
  <c r="FM16" i="13" s="1"/>
  <c r="BF33" i="13"/>
  <c r="BE34" i="13"/>
  <c r="BE35" i="13" s="1"/>
  <c r="BF25" i="13"/>
  <c r="BG25" i="13" s="1"/>
  <c r="BH25" i="13" s="1"/>
  <c r="FR70" i="13"/>
  <c r="FR71" i="13" s="1"/>
  <c r="FM86" i="13"/>
  <c r="FN86" i="13" s="1"/>
  <c r="CD79" i="13"/>
  <c r="CE79" i="13" s="1"/>
  <c r="CF79" i="13" s="1"/>
  <c r="CD78" i="13"/>
  <c r="CE78" i="13" s="1"/>
  <c r="CF78" i="13" s="1"/>
  <c r="FM39" i="13"/>
  <c r="FN39" i="13" s="1"/>
  <c r="EX16" i="13"/>
  <c r="EY16" i="13" s="1"/>
  <c r="EY15" i="13"/>
  <c r="EZ15" i="13" s="1"/>
  <c r="DH19" i="13"/>
  <c r="DI19" i="13" s="1"/>
  <c r="DH18" i="13"/>
  <c r="GY11" i="13"/>
  <c r="FK68" i="13"/>
  <c r="FL68" i="13" s="1"/>
  <c r="FJ69" i="13"/>
  <c r="GV18" i="13"/>
  <c r="GW18" i="13" s="1"/>
  <c r="GU20" i="13"/>
  <c r="FM67" i="13"/>
  <c r="FN67" i="13" s="1"/>
  <c r="DK15" i="13"/>
  <c r="OQ92" i="2"/>
  <c r="DG20" i="13"/>
  <c r="BN41" i="13"/>
  <c r="DG12" i="13"/>
  <c r="FR77" i="13"/>
  <c r="BN55" i="13"/>
  <c r="BJ15" i="13"/>
  <c r="FR17" i="13"/>
  <c r="BN19" i="13"/>
  <c r="FR81" i="13"/>
  <c r="OQ94" i="2"/>
  <c r="CA10" i="13"/>
  <c r="OQ97" i="2"/>
  <c r="OQ93" i="2"/>
  <c r="OQ96" i="2"/>
  <c r="AT16" i="13" l="1"/>
  <c r="OQ95" i="2"/>
  <c r="OS89" i="2"/>
  <c r="AT37" i="13"/>
  <c r="BQ17" i="13"/>
  <c r="BR17" i="13" s="1"/>
  <c r="DH12" i="13"/>
  <c r="DI12" i="13" s="1"/>
  <c r="DG27" i="13"/>
  <c r="DJ26" i="13"/>
  <c r="DK26" i="13" s="1"/>
  <c r="DJ22" i="13"/>
  <c r="DK22" i="13" s="1"/>
  <c r="BJ18" i="13"/>
  <c r="BN42" i="13"/>
  <c r="BO42" i="13" s="1"/>
  <c r="BP42" i="13" s="1"/>
  <c r="BQ42" i="13" s="1"/>
  <c r="BO41" i="13"/>
  <c r="BP41" i="13" s="1"/>
  <c r="BQ41" i="13" s="1"/>
  <c r="DJ11" i="13"/>
  <c r="DK11" i="13" s="1"/>
  <c r="BN25" i="13"/>
  <c r="BO19" i="13"/>
  <c r="BP19" i="13" s="1"/>
  <c r="BQ19" i="13" s="1"/>
  <c r="BR19" i="13" s="1"/>
  <c r="FN25" i="13"/>
  <c r="BO55" i="13"/>
  <c r="BP55" i="13" s="1"/>
  <c r="BJ33" i="13"/>
  <c r="BR18" i="13"/>
  <c r="BO39" i="13"/>
  <c r="BP39" i="13" s="1"/>
  <c r="BQ39" i="13" s="1"/>
  <c r="BR39" i="13" s="1"/>
  <c r="BN31" i="13"/>
  <c r="FM40" i="13"/>
  <c r="FN40" i="13" s="1"/>
  <c r="CJ16" i="13"/>
  <c r="CJ17" i="13" s="1"/>
  <c r="FN16" i="13"/>
  <c r="DH20" i="13"/>
  <c r="DI20" i="13" s="1"/>
  <c r="DG21" i="13"/>
  <c r="DH21" i="13" s="1"/>
  <c r="BG33" i="13"/>
  <c r="BH33" i="13" s="1"/>
  <c r="FJ78" i="13"/>
  <c r="FK78" i="13" s="1"/>
  <c r="CG78" i="13"/>
  <c r="FR23" i="13"/>
  <c r="CG79" i="13"/>
  <c r="DI18" i="13"/>
  <c r="DJ18" i="13" s="1"/>
  <c r="DK18" i="13" s="1"/>
  <c r="FM68" i="13"/>
  <c r="FN68" i="13" s="1"/>
  <c r="EZ16" i="13"/>
  <c r="BP30" i="13"/>
  <c r="BQ30" i="13" s="1"/>
  <c r="GV20" i="13"/>
  <c r="GW20" i="13" s="1"/>
  <c r="GX18" i="13"/>
  <c r="GY18" i="13" s="1"/>
  <c r="DJ19" i="13"/>
  <c r="DK19" i="13" s="1"/>
  <c r="BK31" i="13"/>
  <c r="FK69" i="13"/>
  <c r="FJ70" i="13"/>
  <c r="OR97" i="2"/>
  <c r="BN26" i="13"/>
  <c r="BN20" i="13"/>
  <c r="FR88" i="13"/>
  <c r="OR92" i="2"/>
  <c r="BK28" i="13"/>
  <c r="BK22" i="13"/>
  <c r="OR96" i="2"/>
  <c r="BN43" i="13"/>
  <c r="DG29" i="13"/>
  <c r="OR93" i="2"/>
  <c r="BJ19" i="13"/>
  <c r="OR94" i="2"/>
  <c r="FR82" i="13"/>
  <c r="BN32" i="13"/>
  <c r="FR24" i="13"/>
  <c r="FR28" i="13"/>
  <c r="OR95" i="2" l="1"/>
  <c r="OT89" i="2"/>
  <c r="BK29" i="13"/>
  <c r="BN22" i="13"/>
  <c r="BO20" i="13"/>
  <c r="BP20" i="13" s="1"/>
  <c r="DJ12" i="13"/>
  <c r="DK12" i="13" s="1"/>
  <c r="BR41" i="13"/>
  <c r="DH29" i="13"/>
  <c r="DI29" i="13" s="1"/>
  <c r="DH27" i="13"/>
  <c r="DI27" i="13" s="1"/>
  <c r="DJ27" i="13" s="1"/>
  <c r="DK27" i="13" s="1"/>
  <c r="BQ55" i="13"/>
  <c r="BR55" i="13" s="1"/>
  <c r="BN44" i="13"/>
  <c r="BO43" i="13"/>
  <c r="BP43" i="13" s="1"/>
  <c r="BV46" i="13"/>
  <c r="BW46" i="13" s="1"/>
  <c r="BX46" i="13" s="1"/>
  <c r="BO26" i="13"/>
  <c r="BP26" i="13" s="1"/>
  <c r="BO25" i="13"/>
  <c r="BP25" i="13" s="1"/>
  <c r="BR42" i="13"/>
  <c r="BO32" i="13"/>
  <c r="BP32" i="13" s="1"/>
  <c r="BQ32" i="13" s="1"/>
  <c r="BO31" i="13"/>
  <c r="BP31" i="13" s="1"/>
  <c r="DG23" i="13"/>
  <c r="DH23" i="13" s="1"/>
  <c r="FJ79" i="13"/>
  <c r="FK79" i="13" s="1"/>
  <c r="FL79" i="13" s="1"/>
  <c r="FP83" i="13"/>
  <c r="FR83" i="13"/>
  <c r="FR89" i="13"/>
  <c r="FR29" i="13"/>
  <c r="FL78" i="13"/>
  <c r="GX20" i="13"/>
  <c r="GY20" i="13" s="1"/>
  <c r="FK70" i="13"/>
  <c r="DI21" i="13"/>
  <c r="DJ21" i="13" s="1"/>
  <c r="DJ20" i="13"/>
  <c r="DK20" i="13" s="1"/>
  <c r="FL69" i="13"/>
  <c r="BR30" i="13"/>
  <c r="OS94" i="2"/>
  <c r="OS96" i="2"/>
  <c r="DG24" i="13"/>
  <c r="OS93" i="2"/>
  <c r="BN45" i="13"/>
  <c r="FR84" i="13"/>
  <c r="BK34" i="13"/>
  <c r="OS97" i="2"/>
  <c r="BN24" i="13"/>
  <c r="BJ20" i="13"/>
  <c r="FR25" i="13"/>
  <c r="OS92" i="2"/>
  <c r="OS95" i="2" l="1"/>
  <c r="OU89" i="2"/>
  <c r="DJ29" i="13"/>
  <c r="DK29" i="13" s="1"/>
  <c r="BQ20" i="13"/>
  <c r="BR20" i="13" s="1"/>
  <c r="BO24" i="13"/>
  <c r="BP24" i="13" s="1"/>
  <c r="BQ24" i="13" s="1"/>
  <c r="BR24" i="13" s="1"/>
  <c r="BN27" i="13"/>
  <c r="BO27" i="13" s="1"/>
  <c r="BO22" i="13"/>
  <c r="BP22" i="13" s="1"/>
  <c r="BQ22" i="13" s="1"/>
  <c r="BR22" i="13" s="1"/>
  <c r="BN46" i="13"/>
  <c r="BO46" i="13" s="1"/>
  <c r="BP46" i="13" s="1"/>
  <c r="BQ46" i="13" s="1"/>
  <c r="BR46" i="13" s="1"/>
  <c r="BO45" i="13"/>
  <c r="BP45" i="13" s="1"/>
  <c r="BQ45" i="13" s="1"/>
  <c r="BY46" i="13"/>
  <c r="BZ46" i="13" s="1"/>
  <c r="BQ26" i="13"/>
  <c r="BR26" i="13" s="1"/>
  <c r="BQ25" i="13"/>
  <c r="BR25" i="13" s="1"/>
  <c r="BQ43" i="13"/>
  <c r="BR43" i="13" s="1"/>
  <c r="BO44" i="13"/>
  <c r="BP44" i="13" s="1"/>
  <c r="BQ44" i="13" s="1"/>
  <c r="BR32" i="13"/>
  <c r="BQ31" i="13"/>
  <c r="BR31" i="13" s="1"/>
  <c r="DG28" i="13"/>
  <c r="DH28" i="13" s="1"/>
  <c r="DI28" i="13" s="1"/>
  <c r="DJ28" i="13" s="1"/>
  <c r="DK28" i="13" s="1"/>
  <c r="DH24" i="13"/>
  <c r="DI24" i="13" s="1"/>
  <c r="DJ24" i="13" s="1"/>
  <c r="DK24" i="13" s="1"/>
  <c r="FM79" i="13"/>
  <c r="FN79" i="13" s="1"/>
  <c r="FR26" i="13"/>
  <c r="FR30" i="13" s="1"/>
  <c r="FM78" i="13"/>
  <c r="FN78" i="13" s="1"/>
  <c r="FL70" i="13"/>
  <c r="FM70" i="13" s="1"/>
  <c r="DK21" i="13"/>
  <c r="DI23" i="13"/>
  <c r="DJ23" i="13" s="1"/>
  <c r="FM69" i="13"/>
  <c r="FN69" i="13" s="1"/>
  <c r="FR85" i="13"/>
  <c r="DG30" i="13"/>
  <c r="OT92" i="2"/>
  <c r="OT94" i="2"/>
  <c r="BN47" i="13"/>
  <c r="OT96" i="2"/>
  <c r="BJ21" i="13"/>
  <c r="OT93" i="2"/>
  <c r="OT97" i="2"/>
  <c r="OT95" i="2" l="1"/>
  <c r="OV89" i="2"/>
  <c r="BP27" i="13"/>
  <c r="BQ27" i="13" s="1"/>
  <c r="BR44" i="13"/>
  <c r="BR45" i="13"/>
  <c r="BN49" i="13"/>
  <c r="BO49" i="13" s="1"/>
  <c r="BP49" i="13" s="1"/>
  <c r="BO47" i="13"/>
  <c r="BP47" i="13" s="1"/>
  <c r="BQ47" i="13" s="1"/>
  <c r="BR47" i="13" s="1"/>
  <c r="BV24" i="13"/>
  <c r="DH30" i="13"/>
  <c r="DI30" i="13" s="1"/>
  <c r="DJ30" i="13" s="1"/>
  <c r="DG31" i="13"/>
  <c r="DH31" i="13" s="1"/>
  <c r="FR86" i="13"/>
  <c r="FR90" i="13" s="1"/>
  <c r="FJ20" i="13" s="1"/>
  <c r="FS30" i="13"/>
  <c r="FT30" i="13" s="1"/>
  <c r="FU30" i="13" s="1"/>
  <c r="FN70" i="13"/>
  <c r="DK23" i="13"/>
  <c r="OU94" i="2"/>
  <c r="DG32" i="13"/>
  <c r="OU93" i="2"/>
  <c r="FJ23" i="13"/>
  <c r="BV26" i="13"/>
  <c r="BN28" i="13"/>
  <c r="OU97" i="2"/>
  <c r="OU96" i="2"/>
  <c r="OU92" i="2"/>
  <c r="OU95" i="2" l="1"/>
  <c r="OW89" i="2"/>
  <c r="BO28" i="13"/>
  <c r="BP28" i="13" s="1"/>
  <c r="BN29" i="13"/>
  <c r="BO29" i="13" s="1"/>
  <c r="BP29" i="13" s="1"/>
  <c r="BR27" i="13"/>
  <c r="BQ49" i="13"/>
  <c r="BR49" i="13" s="1"/>
  <c r="BW26" i="13"/>
  <c r="BX26" i="13" s="1"/>
  <c r="BY26" i="13" s="1"/>
  <c r="BZ26" i="13" s="1"/>
  <c r="BW24" i="13"/>
  <c r="BX24" i="13" s="1"/>
  <c r="BY24" i="13" s="1"/>
  <c r="BZ24" i="13" s="1"/>
  <c r="DH32" i="13"/>
  <c r="DI32" i="13" s="1"/>
  <c r="DJ32" i="13" s="1"/>
  <c r="DK32" i="13" s="1"/>
  <c r="DG33" i="13"/>
  <c r="DH33" i="13" s="1"/>
  <c r="FS90" i="13"/>
  <c r="FT90" i="13" s="1"/>
  <c r="FU90" i="13" s="1"/>
  <c r="FK23" i="13"/>
  <c r="FL23" i="13" s="1"/>
  <c r="FJ26" i="13"/>
  <c r="FK20" i="13"/>
  <c r="FL20" i="13" s="1"/>
  <c r="FM20" i="13" s="1"/>
  <c r="FN20" i="13" s="1"/>
  <c r="FJ27" i="13"/>
  <c r="DK30" i="13"/>
  <c r="DI31" i="13"/>
  <c r="OV93" i="2"/>
  <c r="FJ41" i="13"/>
  <c r="BN50" i="13"/>
  <c r="OV96" i="2"/>
  <c r="BN33" i="13"/>
  <c r="BV9" i="13"/>
  <c r="OV94" i="2"/>
  <c r="OV97" i="2"/>
  <c r="OV92" i="2"/>
  <c r="OV95" i="2" l="1"/>
  <c r="OX89" i="2"/>
  <c r="BO33" i="13"/>
  <c r="BP33" i="13" s="1"/>
  <c r="BW9" i="13"/>
  <c r="BX9" i="13" s="1"/>
  <c r="BY9" i="13" s="1"/>
  <c r="BZ9" i="13" s="1"/>
  <c r="EO11" i="13"/>
  <c r="EO24" i="13" s="1"/>
  <c r="EO25" i="13" s="1"/>
  <c r="EP25" i="13" s="1"/>
  <c r="EQ25" i="13" s="1"/>
  <c r="ER25" i="13" s="1"/>
  <c r="ES25" i="13" s="1"/>
  <c r="BQ28" i="13"/>
  <c r="BR28" i="13" s="1"/>
  <c r="BN51" i="13"/>
  <c r="BO50" i="13"/>
  <c r="BP50" i="13" s="1"/>
  <c r="BQ50" i="13" s="1"/>
  <c r="BR50" i="13" s="1"/>
  <c r="BV25" i="13"/>
  <c r="BW25" i="13" s="1"/>
  <c r="BX25" i="13" s="1"/>
  <c r="BQ29" i="13"/>
  <c r="BR29" i="13" s="1"/>
  <c r="FM23" i="13"/>
  <c r="FN23" i="13" s="1"/>
  <c r="FJ45" i="13"/>
  <c r="FK41" i="13"/>
  <c r="FL41" i="13" s="1"/>
  <c r="FM41" i="13" s="1"/>
  <c r="FN41" i="13" s="1"/>
  <c r="FJ46" i="13"/>
  <c r="FK46" i="13" s="1"/>
  <c r="FK26" i="13"/>
  <c r="FJ53" i="13"/>
  <c r="FJ30" i="13"/>
  <c r="FJ37" i="13"/>
  <c r="FJ28" i="13"/>
  <c r="FK27" i="13"/>
  <c r="DJ31" i="13"/>
  <c r="DK31" i="13" s="1"/>
  <c r="DI33" i="13"/>
  <c r="DJ33" i="13" s="1"/>
  <c r="FJ42" i="13"/>
  <c r="OW97" i="2"/>
  <c r="FJ80" i="13"/>
  <c r="FJ63" i="13"/>
  <c r="BN34" i="13"/>
  <c r="OW96" i="2"/>
  <c r="OW92" i="2"/>
  <c r="BN52" i="13"/>
  <c r="OW94" i="2"/>
  <c r="OW93" i="2"/>
  <c r="OW95" i="2" l="1"/>
  <c r="OY89" i="2"/>
  <c r="BO34" i="13"/>
  <c r="BP34" i="13" s="1"/>
  <c r="BQ34" i="13" s="1"/>
  <c r="BR34" i="13" s="1"/>
  <c r="BQ33" i="13"/>
  <c r="BR33" i="13" s="1"/>
  <c r="EP11" i="13"/>
  <c r="EQ11" i="13" s="1"/>
  <c r="ER11" i="13" s="1"/>
  <c r="ES11" i="13" s="1"/>
  <c r="EV11" i="13"/>
  <c r="EW11" i="13" s="1"/>
  <c r="BY25" i="13"/>
  <c r="BZ25" i="13" s="1"/>
  <c r="BO52" i="13"/>
  <c r="BP52" i="13" s="1"/>
  <c r="BQ52" i="13" s="1"/>
  <c r="BN53" i="13"/>
  <c r="BO51" i="13"/>
  <c r="BP51" i="13" s="1"/>
  <c r="FK42" i="13"/>
  <c r="FL42" i="13" s="1"/>
  <c r="FJ43" i="13"/>
  <c r="FK43" i="13" s="1"/>
  <c r="FL43" i="13" s="1"/>
  <c r="FL46" i="13"/>
  <c r="FM46" i="13" s="1"/>
  <c r="FN46" i="13" s="1"/>
  <c r="FK80" i="13"/>
  <c r="FL80" i="13" s="1"/>
  <c r="FM80" i="13" s="1"/>
  <c r="FK63" i="13"/>
  <c r="FL63" i="13" s="1"/>
  <c r="FM63" i="13" s="1"/>
  <c r="FJ76" i="13"/>
  <c r="FK76" i="13" s="1"/>
  <c r="FL76" i="13" s="1"/>
  <c r="FJ72" i="13"/>
  <c r="FK37" i="13"/>
  <c r="FL37" i="13" s="1"/>
  <c r="FK28" i="13"/>
  <c r="FL28" i="13" s="1"/>
  <c r="FM28" i="13" s="1"/>
  <c r="FJ29" i="13"/>
  <c r="FL26" i="13"/>
  <c r="FM26" i="13" s="1"/>
  <c r="FJ49" i="13"/>
  <c r="FK49" i="13" s="1"/>
  <c r="FL49" i="13" s="1"/>
  <c r="FK45" i="13"/>
  <c r="FL45" i="13" s="1"/>
  <c r="FM45" i="13" s="1"/>
  <c r="FJ32" i="13"/>
  <c r="FK32" i="13" s="1"/>
  <c r="FK30" i="13"/>
  <c r="FL30" i="13" s="1"/>
  <c r="FM30" i="13" s="1"/>
  <c r="FN30" i="13" s="1"/>
  <c r="FL27" i="13"/>
  <c r="FM27" i="13" s="1"/>
  <c r="FN27" i="13" s="1"/>
  <c r="FK53" i="13"/>
  <c r="FL53" i="13" s="1"/>
  <c r="FJ57" i="13"/>
  <c r="FJ58" i="13" s="1"/>
  <c r="FK58" i="13" s="1"/>
  <c r="FL58" i="13" s="1"/>
  <c r="DK33" i="13"/>
  <c r="OX92" i="2"/>
  <c r="FJ64" i="13"/>
  <c r="OX97" i="2"/>
  <c r="FJ7" i="13"/>
  <c r="OX96" i="2"/>
  <c r="FJ5" i="13"/>
  <c r="BN54" i="13"/>
  <c r="OX94" i="2"/>
  <c r="FJ81" i="13"/>
  <c r="OX93" i="2"/>
  <c r="OX95" i="2" l="1"/>
  <c r="OZ89" i="2"/>
  <c r="EX11" i="13"/>
  <c r="EY11" i="13" s="1"/>
  <c r="EZ11" i="13" s="1"/>
  <c r="EV20" i="13"/>
  <c r="EW20" i="13" s="1"/>
  <c r="EX20" i="13" s="1"/>
  <c r="BR52" i="13"/>
  <c r="BQ51" i="13"/>
  <c r="BR51" i="13" s="1"/>
  <c r="BN73" i="13"/>
  <c r="BO73" i="13" s="1"/>
  <c r="CC101" i="13"/>
  <c r="CD101" i="13" s="1"/>
  <c r="CE101" i="13" s="1"/>
  <c r="BO54" i="13"/>
  <c r="BP54" i="13" s="1"/>
  <c r="BQ54" i="13" s="1"/>
  <c r="BO53" i="13"/>
  <c r="BP53" i="13" s="1"/>
  <c r="BQ53" i="13" s="1"/>
  <c r="BR53" i="13" s="1"/>
  <c r="BN69" i="13"/>
  <c r="BN70" i="13" s="1"/>
  <c r="BN71" i="13" s="1"/>
  <c r="BO71" i="13" s="1"/>
  <c r="FJ44" i="13"/>
  <c r="FK44" i="13" s="1"/>
  <c r="FL44" i="13" s="1"/>
  <c r="FM42" i="13"/>
  <c r="FN42" i="13" s="1"/>
  <c r="FK64" i="13"/>
  <c r="FL64" i="13" s="1"/>
  <c r="FM64" i="13" s="1"/>
  <c r="FN64" i="13" s="1"/>
  <c r="FJ71" i="13"/>
  <c r="FJ74" i="13" s="1"/>
  <c r="FK74" i="13" s="1"/>
  <c r="FL74" i="13" s="1"/>
  <c r="FN80" i="13"/>
  <c r="FM49" i="13"/>
  <c r="FN49" i="13" s="1"/>
  <c r="FN45" i="13"/>
  <c r="FM53" i="13"/>
  <c r="FN53" i="13" s="1"/>
  <c r="FL32" i="13"/>
  <c r="FM32" i="13" s="1"/>
  <c r="FN32" i="13" s="1"/>
  <c r="FM76" i="13"/>
  <c r="FN76" i="13" s="1"/>
  <c r="FK81" i="13"/>
  <c r="FL81" i="13" s="1"/>
  <c r="FM81" i="13" s="1"/>
  <c r="FJ82" i="13"/>
  <c r="FK7" i="13"/>
  <c r="FL7" i="13" s="1"/>
  <c r="FM7" i="13" s="1"/>
  <c r="FK5" i="13"/>
  <c r="FL5" i="13" s="1"/>
  <c r="FK72" i="13"/>
  <c r="FL72" i="13" s="1"/>
  <c r="FJ75" i="13"/>
  <c r="FK75" i="13" s="1"/>
  <c r="FL75" i="13" s="1"/>
  <c r="FM43" i="13"/>
  <c r="FN43" i="13" s="1"/>
  <c r="FN26" i="13"/>
  <c r="FM37" i="13"/>
  <c r="FN37" i="13" s="1"/>
  <c r="FK71" i="13"/>
  <c r="FM58" i="13"/>
  <c r="FN58" i="13" s="1"/>
  <c r="FN28" i="13"/>
  <c r="FK29" i="13"/>
  <c r="FL29" i="13" s="1"/>
  <c r="FM29" i="13" s="1"/>
  <c r="FN63" i="13"/>
  <c r="BN74" i="13"/>
  <c r="FJ6" i="13"/>
  <c r="OY96" i="2"/>
  <c r="OY92" i="2"/>
  <c r="OY93" i="2"/>
  <c r="OY97" i="2"/>
  <c r="FJ8" i="13"/>
  <c r="BN81" i="13"/>
  <c r="OY94" i="2"/>
  <c r="BV11" i="13"/>
  <c r="BN86" i="13"/>
  <c r="OY95" i="2" l="1"/>
  <c r="PA89" i="2"/>
  <c r="BO81" i="13"/>
  <c r="BP81" i="13" s="1"/>
  <c r="BV30" i="13"/>
  <c r="BW30" i="13" s="1"/>
  <c r="BX30" i="13" s="1"/>
  <c r="BY30" i="13" s="1"/>
  <c r="BZ30" i="13" s="1"/>
  <c r="BW11" i="13"/>
  <c r="BX11" i="13" s="1"/>
  <c r="BY11" i="13" s="1"/>
  <c r="BO86" i="13"/>
  <c r="BP86" i="13" s="1"/>
  <c r="EY20" i="13"/>
  <c r="EZ20" i="13" s="1"/>
  <c r="CF101" i="13"/>
  <c r="CG101" i="13" s="1"/>
  <c r="BR54" i="13"/>
  <c r="BO69" i="13"/>
  <c r="BP69" i="13" s="1"/>
  <c r="BQ69" i="13" s="1"/>
  <c r="BR69" i="13" s="1"/>
  <c r="BN72" i="13"/>
  <c r="BO72" i="13" s="1"/>
  <c r="BO70" i="13"/>
  <c r="BP70" i="13" s="1"/>
  <c r="BQ70" i="13" s="1"/>
  <c r="BR70" i="13" s="1"/>
  <c r="BO74" i="13"/>
  <c r="BP74" i="13" s="1"/>
  <c r="BQ74" i="13" s="1"/>
  <c r="BR74" i="13" s="1"/>
  <c r="BN75" i="13"/>
  <c r="BN76" i="13" s="1"/>
  <c r="BO76" i="13" s="1"/>
  <c r="BQ81" i="13"/>
  <c r="BR81" i="13" s="1"/>
  <c r="BP73" i="13"/>
  <c r="BQ73" i="13" s="1"/>
  <c r="FJ48" i="13"/>
  <c r="FK48" i="13" s="1"/>
  <c r="FL48" i="13" s="1"/>
  <c r="FK8" i="13"/>
  <c r="FL8" i="13" s="1"/>
  <c r="FK6" i="13"/>
  <c r="FL6" i="13" s="1"/>
  <c r="FM74" i="13"/>
  <c r="FN74" i="13" s="1"/>
  <c r="FN7" i="13"/>
  <c r="FM5" i="13"/>
  <c r="FN5" i="13" s="1"/>
  <c r="FN81" i="13"/>
  <c r="FM75" i="13"/>
  <c r="FN75" i="13" s="1"/>
  <c r="FM72" i="13"/>
  <c r="FN72" i="13" s="1"/>
  <c r="FM44" i="13"/>
  <c r="FN44" i="13" s="1"/>
  <c r="FJ85" i="13"/>
  <c r="FK82" i="13"/>
  <c r="FL82" i="13" s="1"/>
  <c r="FJ83" i="13"/>
  <c r="FK83" i="13" s="1"/>
  <c r="FL83" i="13" s="1"/>
  <c r="FM83" i="13" s="1"/>
  <c r="FN83" i="13" s="1"/>
  <c r="FL71" i="13"/>
  <c r="FM71" i="13" s="1"/>
  <c r="FN71" i="13" s="1"/>
  <c r="FN29" i="13"/>
  <c r="BP71" i="13"/>
  <c r="BQ71" i="13" s="1"/>
  <c r="OZ93" i="2"/>
  <c r="OZ92" i="2"/>
  <c r="OZ96" i="2"/>
  <c r="OZ94" i="2"/>
  <c r="OZ97" i="2"/>
  <c r="OZ95" i="2" l="1"/>
  <c r="PB89" i="2"/>
  <c r="BZ11" i="13"/>
  <c r="BQ86" i="13"/>
  <c r="BR86" i="13" s="1"/>
  <c r="BO75" i="13"/>
  <c r="BP75" i="13" s="1"/>
  <c r="BQ75" i="13" s="1"/>
  <c r="BR75" i="13" s="1"/>
  <c r="BN77" i="13"/>
  <c r="BN78" i="13" s="1"/>
  <c r="BN79" i="13" s="1"/>
  <c r="BP76" i="13"/>
  <c r="BQ76" i="13" s="1"/>
  <c r="BR76" i="13" s="1"/>
  <c r="FM48" i="13"/>
  <c r="FN48" i="13" s="1"/>
  <c r="BR73" i="13"/>
  <c r="FM8" i="13"/>
  <c r="FN8" i="13" s="1"/>
  <c r="FM6" i="13"/>
  <c r="FN6" i="13" s="1"/>
  <c r="FM82" i="13"/>
  <c r="FN82" i="13" s="1"/>
  <c r="BP72" i="13"/>
  <c r="BR71" i="13"/>
  <c r="PA94" i="2"/>
  <c r="PA93" i="2"/>
  <c r="PA96" i="2"/>
  <c r="PA97" i="2"/>
  <c r="FJ84" i="13"/>
  <c r="PA92" i="2"/>
  <c r="PA95" i="2" l="1"/>
  <c r="PC89" i="2"/>
  <c r="BO77" i="13"/>
  <c r="BP77" i="13" s="1"/>
  <c r="BQ77" i="13" s="1"/>
  <c r="BR77" i="13" s="1"/>
  <c r="FJ92" i="13"/>
  <c r="FK84" i="13"/>
  <c r="FL84" i="13" s="1"/>
  <c r="FJ89" i="13"/>
  <c r="BO78" i="13"/>
  <c r="BQ72" i="13"/>
  <c r="BR72" i="13" s="1"/>
  <c r="PB94" i="2"/>
  <c r="PB93" i="2"/>
  <c r="PB97" i="2"/>
  <c r="BN80" i="13"/>
  <c r="PB96" i="2"/>
  <c r="PB92" i="2"/>
  <c r="FJ87" i="13"/>
  <c r="PB95" i="2" l="1"/>
  <c r="PD89" i="2"/>
  <c r="BN88" i="13"/>
  <c r="BN90" i="13" s="1"/>
  <c r="BN91" i="13" s="1"/>
  <c r="BN82" i="13"/>
  <c r="FK87" i="13"/>
  <c r="FL87" i="13" s="1"/>
  <c r="FJ88" i="13"/>
  <c r="FK88" i="13" s="1"/>
  <c r="FL88" i="13" s="1"/>
  <c r="FM88" i="13" s="1"/>
  <c r="FN88" i="13" s="1"/>
  <c r="FM84" i="13"/>
  <c r="FN84" i="13" s="1"/>
  <c r="FK92" i="13"/>
  <c r="FL92" i="13" s="1"/>
  <c r="FJ96" i="13"/>
  <c r="FJ91" i="13"/>
  <c r="FK89" i="13"/>
  <c r="FL89" i="13" s="1"/>
  <c r="FM89" i="13" s="1"/>
  <c r="BO80" i="13"/>
  <c r="BP80" i="13" s="1"/>
  <c r="BV15" i="13"/>
  <c r="BO79" i="13"/>
  <c r="BP78" i="13"/>
  <c r="BQ78" i="13" s="1"/>
  <c r="PC96" i="2"/>
  <c r="PC94" i="2"/>
  <c r="PC93" i="2"/>
  <c r="BV8" i="13"/>
  <c r="PC97" i="2"/>
  <c r="BN83" i="13"/>
  <c r="PC92" i="2"/>
  <c r="PC95" i="2" l="1"/>
  <c r="PE89" i="2"/>
  <c r="BN84" i="13"/>
  <c r="FJ97" i="13"/>
  <c r="FK97" i="13" s="1"/>
  <c r="FL97" i="13" s="1"/>
  <c r="FM97" i="13" s="1"/>
  <c r="FN97" i="13" s="1"/>
  <c r="FJ90" i="13"/>
  <c r="FK90" i="13" s="1"/>
  <c r="FL90" i="13" s="1"/>
  <c r="FM90" i="13" s="1"/>
  <c r="FN90" i="13" s="1"/>
  <c r="FM87" i="13"/>
  <c r="FN87" i="13" s="1"/>
  <c r="FN89" i="13"/>
  <c r="FK91" i="13"/>
  <c r="FL91" i="13" s="1"/>
  <c r="FJ95" i="13"/>
  <c r="FM92" i="13"/>
  <c r="FN92" i="13" s="1"/>
  <c r="FK96" i="13"/>
  <c r="FL96" i="13" s="1"/>
  <c r="BP79" i="13"/>
  <c r="BO83" i="13"/>
  <c r="BP83" i="13" s="1"/>
  <c r="BQ83" i="13" s="1"/>
  <c r="BW8" i="13"/>
  <c r="BX8" i="13" s="1"/>
  <c r="BY8" i="13" s="1"/>
  <c r="BV10" i="13"/>
  <c r="BO82" i="13"/>
  <c r="BW15" i="13"/>
  <c r="BV16" i="13"/>
  <c r="BO88" i="13"/>
  <c r="BP88" i="13" s="1"/>
  <c r="BQ80" i="13"/>
  <c r="BR80" i="13" s="1"/>
  <c r="BR78" i="13"/>
  <c r="PD97" i="2"/>
  <c r="BV18" i="13"/>
  <c r="PD93" i="2"/>
  <c r="PD96" i="2"/>
  <c r="BN85" i="13"/>
  <c r="PD92" i="2"/>
  <c r="PD94" i="2"/>
  <c r="PD95" i="2" l="1"/>
  <c r="PF89" i="2"/>
  <c r="FJ94" i="13"/>
  <c r="FK94" i="13" s="1"/>
  <c r="FL94" i="13" s="1"/>
  <c r="FM96" i="13"/>
  <c r="FN96" i="13" s="1"/>
  <c r="FK95" i="13"/>
  <c r="GU53" i="13"/>
  <c r="FM91" i="13"/>
  <c r="FN91" i="13" s="1"/>
  <c r="BQ79" i="13"/>
  <c r="BR79" i="13" s="1"/>
  <c r="BZ8" i="13"/>
  <c r="BW18" i="13"/>
  <c r="BX18" i="13" s="1"/>
  <c r="BY18" i="13" s="1"/>
  <c r="BO85" i="13"/>
  <c r="BP85" i="13" s="1"/>
  <c r="BQ85" i="13" s="1"/>
  <c r="BR85" i="13" s="1"/>
  <c r="BR83" i="13"/>
  <c r="BW16" i="13"/>
  <c r="BX16" i="13" s="1"/>
  <c r="BP82" i="13"/>
  <c r="BQ82" i="13" s="1"/>
  <c r="BW10" i="13"/>
  <c r="BX10" i="13" s="1"/>
  <c r="BV12" i="13"/>
  <c r="BQ88" i="13"/>
  <c r="BR88" i="13" s="1"/>
  <c r="BX15" i="13"/>
  <c r="BY15" i="13" s="1"/>
  <c r="BO84" i="13"/>
  <c r="BP84" i="13" s="1"/>
  <c r="BQ84" i="13" s="1"/>
  <c r="BR84" i="13" s="1"/>
  <c r="BO90" i="13"/>
  <c r="BP90" i="13" s="1"/>
  <c r="BV27" i="13"/>
  <c r="PE97" i="2"/>
  <c r="BV28" i="13"/>
  <c r="BV13" i="13"/>
  <c r="BV42" i="13"/>
  <c r="PE94" i="2"/>
  <c r="BV48" i="13"/>
  <c r="PE92" i="2"/>
  <c r="PE93" i="2"/>
  <c r="PE96" i="2"/>
  <c r="PE95" i="2" l="1"/>
  <c r="PG89" i="2"/>
  <c r="BV29" i="13"/>
  <c r="BV31" i="13" s="1"/>
  <c r="FM94" i="13"/>
  <c r="FN94" i="13" s="1"/>
  <c r="GV53" i="13"/>
  <c r="GW53" i="13" s="1"/>
  <c r="FL95" i="13"/>
  <c r="FM95" i="13" s="1"/>
  <c r="BQ90" i="13"/>
  <c r="BR90" i="13" s="1"/>
  <c r="BR82" i="13"/>
  <c r="BZ15" i="13"/>
  <c r="BW42" i="13"/>
  <c r="BX42" i="13" s="1"/>
  <c r="BY42" i="13" s="1"/>
  <c r="BZ42" i="13" s="1"/>
  <c r="BW48" i="13"/>
  <c r="BX48" i="13" s="1"/>
  <c r="BW13" i="13"/>
  <c r="BX13" i="13" s="1"/>
  <c r="BV17" i="13"/>
  <c r="BW28" i="13"/>
  <c r="BX28" i="13" s="1"/>
  <c r="BY28" i="13" s="1"/>
  <c r="BO91" i="13"/>
  <c r="BP91" i="13" s="1"/>
  <c r="BQ91" i="13" s="1"/>
  <c r="BW12" i="13"/>
  <c r="BX12" i="13" s="1"/>
  <c r="BY12" i="13" s="1"/>
  <c r="BZ12" i="13" s="1"/>
  <c r="BY10" i="13"/>
  <c r="BZ10" i="13" s="1"/>
  <c r="BY16" i="13"/>
  <c r="BZ16" i="13" s="1"/>
  <c r="BZ18" i="13"/>
  <c r="BW27" i="13"/>
  <c r="BX27" i="13" s="1"/>
  <c r="BY27" i="13" s="1"/>
  <c r="PF96" i="2"/>
  <c r="BV32" i="13"/>
  <c r="BV19" i="13"/>
  <c r="BV50" i="13"/>
  <c r="PF97" i="2"/>
  <c r="PF92" i="2"/>
  <c r="PF93" i="2"/>
  <c r="PF94" i="2"/>
  <c r="PF95" i="2" l="1"/>
  <c r="PH89" i="2"/>
  <c r="BW50" i="13"/>
  <c r="BX50" i="13" s="1"/>
  <c r="GX53" i="13"/>
  <c r="GY53" i="13" s="1"/>
  <c r="FN95" i="13"/>
  <c r="BY13" i="13"/>
  <c r="BZ13" i="13" s="1"/>
  <c r="BW19" i="13"/>
  <c r="BX19" i="13" s="1"/>
  <c r="BV20" i="13"/>
  <c r="BZ27" i="13"/>
  <c r="BW29" i="13"/>
  <c r="BZ28" i="13"/>
  <c r="BW17" i="13"/>
  <c r="BX17" i="13" s="1"/>
  <c r="BR91" i="13"/>
  <c r="BY48" i="13"/>
  <c r="BZ48" i="13" s="1"/>
  <c r="PG96" i="2"/>
  <c r="PG94" i="2"/>
  <c r="PG93" i="2"/>
  <c r="PG97" i="2"/>
  <c r="BV21" i="13"/>
  <c r="PG92" i="2"/>
  <c r="PG95" i="2" l="1"/>
  <c r="PI89" i="2"/>
  <c r="BY50" i="13"/>
  <c r="BZ50" i="13" s="1"/>
  <c r="BW32" i="13"/>
  <c r="BW21" i="13"/>
  <c r="BX21" i="13" s="1"/>
  <c r="BY21" i="13" s="1"/>
  <c r="BV22" i="13"/>
  <c r="BY17" i="13"/>
  <c r="BZ17" i="13" s="1"/>
  <c r="BW31" i="13"/>
  <c r="BX31" i="13" s="1"/>
  <c r="BX29" i="13"/>
  <c r="BW20" i="13"/>
  <c r="BX20" i="13" s="1"/>
  <c r="BY19" i="13"/>
  <c r="BZ19" i="13" s="1"/>
  <c r="PH94" i="2"/>
  <c r="PH92" i="2"/>
  <c r="PH96" i="2"/>
  <c r="PH93" i="2"/>
  <c r="PH97" i="2"/>
  <c r="BV35" i="13"/>
  <c r="PH95" i="2" l="1"/>
  <c r="PJ89" i="2"/>
  <c r="BW35" i="13"/>
  <c r="BX35" i="13" s="1"/>
  <c r="BV36" i="13"/>
  <c r="BZ21" i="13"/>
  <c r="BY20" i="13"/>
  <c r="BZ20" i="13" s="1"/>
  <c r="BW22" i="13"/>
  <c r="BY31" i="13"/>
  <c r="BZ31" i="13" s="1"/>
  <c r="BX32" i="13"/>
  <c r="BY29" i="13"/>
  <c r="BZ29" i="13" s="1"/>
  <c r="PI96" i="2"/>
  <c r="PI93" i="2"/>
  <c r="PI97" i="2"/>
  <c r="PI92" i="2"/>
  <c r="PI94" i="2"/>
  <c r="BT37" i="13"/>
  <c r="PI95" i="2" l="1"/>
  <c r="PK89" i="2"/>
  <c r="BW36" i="13"/>
  <c r="BX36" i="13" s="1"/>
  <c r="BY36" i="13" s="1"/>
  <c r="BY32" i="13"/>
  <c r="BZ32" i="13" s="1"/>
  <c r="BX22" i="13"/>
  <c r="BY35" i="13"/>
  <c r="BZ35" i="13" s="1"/>
  <c r="PJ94" i="2"/>
  <c r="PJ96" i="2"/>
  <c r="PJ92" i="2"/>
  <c r="BV37" i="13"/>
  <c r="PJ93" i="2"/>
  <c r="PJ97" i="2"/>
  <c r="PJ95" i="2" l="1"/>
  <c r="PL89" i="2"/>
  <c r="BV38" i="13"/>
  <c r="BS41" i="13"/>
  <c r="BW37" i="13"/>
  <c r="BX37" i="13" s="1"/>
  <c r="BY22" i="13"/>
  <c r="BZ22" i="13" s="1"/>
  <c r="BZ36" i="13"/>
  <c r="BV39" i="13"/>
  <c r="PK93" i="2"/>
  <c r="PK94" i="2"/>
  <c r="PK92" i="2"/>
  <c r="PK96" i="2"/>
  <c r="PK97" i="2"/>
  <c r="PK95" i="2" l="1"/>
  <c r="PM89" i="2"/>
  <c r="BV40" i="13"/>
  <c r="BY37" i="13"/>
  <c r="BZ37" i="13" s="1"/>
  <c r="BW39" i="13"/>
  <c r="BX39" i="13" s="1"/>
  <c r="BW38" i="13"/>
  <c r="BX38" i="13" s="1"/>
  <c r="BY38" i="13" s="1"/>
  <c r="BZ38" i="13" s="1"/>
  <c r="PL97" i="2"/>
  <c r="PL92" i="2"/>
  <c r="PL93" i="2"/>
  <c r="BV41" i="13"/>
  <c r="PL94" i="2"/>
  <c r="PL96" i="2"/>
  <c r="PL95" i="2" l="1"/>
  <c r="PN89" i="2"/>
  <c r="BV49" i="13"/>
  <c r="BW41" i="13"/>
  <c r="BX41" i="13" s="1"/>
  <c r="BY41" i="13" s="1"/>
  <c r="BZ41" i="13" s="1"/>
  <c r="BY39" i="13"/>
  <c r="BZ39" i="13" s="1"/>
  <c r="BW40" i="13"/>
  <c r="PM92" i="2"/>
  <c r="BV43" i="13"/>
  <c r="PM96" i="2"/>
  <c r="PM97" i="2"/>
  <c r="PM93" i="2"/>
  <c r="PM94" i="2"/>
  <c r="PM95" i="2" l="1"/>
  <c r="PO89" i="2"/>
  <c r="BW43" i="13"/>
  <c r="BX43" i="13" s="1"/>
  <c r="BW49" i="13"/>
  <c r="BX49" i="13" s="1"/>
  <c r="BX40" i="13"/>
  <c r="BY40" i="13" s="1"/>
  <c r="PN92" i="2"/>
  <c r="PN97" i="2"/>
  <c r="PN94" i="2"/>
  <c r="BV44" i="13"/>
  <c r="PN96" i="2"/>
  <c r="PN93" i="2"/>
  <c r="PN95" i="2" l="1"/>
  <c r="PP89" i="2"/>
  <c r="BY43" i="13"/>
  <c r="BZ43" i="13" s="1"/>
  <c r="BW44" i="13"/>
  <c r="BX44" i="13" s="1"/>
  <c r="BY49" i="13"/>
  <c r="BZ49" i="13" s="1"/>
  <c r="BZ40" i="13"/>
  <c r="PO97" i="2"/>
  <c r="PO92" i="2"/>
  <c r="PO94" i="2"/>
  <c r="BV45" i="13"/>
  <c r="PO93" i="2"/>
  <c r="PO96" i="2"/>
  <c r="PO95" i="2" l="1"/>
  <c r="PQ89" i="2"/>
  <c r="BY44" i="13"/>
  <c r="BZ44" i="13" s="1"/>
  <c r="BW45" i="13"/>
  <c r="BX45" i="13" s="1"/>
  <c r="BY45" i="13" s="1"/>
  <c r="BZ45" i="13" s="1"/>
  <c r="BV47" i="13"/>
  <c r="CC9" i="13" s="1"/>
  <c r="CD9" i="13" s="1"/>
  <c r="CE9" i="13" s="1"/>
  <c r="CF9" i="13" s="1"/>
  <c r="CG9" i="13" s="1"/>
  <c r="PP92" i="2"/>
  <c r="PP94" i="2"/>
  <c r="PP96" i="2"/>
  <c r="PP93" i="2"/>
  <c r="PP97" i="2"/>
  <c r="PP95" i="2" l="1"/>
  <c r="PR89" i="2"/>
  <c r="BW47" i="13"/>
  <c r="BX47" i="13" s="1"/>
  <c r="CC10" i="13"/>
  <c r="CD10" i="13" s="1"/>
  <c r="CE10" i="13" s="1"/>
  <c r="PQ92" i="2"/>
  <c r="CC11" i="13"/>
  <c r="CC16" i="13"/>
  <c r="PQ97" i="2"/>
  <c r="PQ93" i="2"/>
  <c r="CA18" i="13"/>
  <c r="CI22" i="13"/>
  <c r="PQ96" i="2"/>
  <c r="CC12" i="13"/>
  <c r="PQ94" i="2"/>
  <c r="CC15" i="13"/>
  <c r="PQ95" i="2" l="1"/>
  <c r="PS89" i="2"/>
  <c r="BY47" i="13"/>
  <c r="BZ47" i="13" s="1"/>
  <c r="CD16" i="13"/>
  <c r="CE16" i="13" s="1"/>
  <c r="CF16" i="13" s="1"/>
  <c r="CG16" i="13" s="1"/>
  <c r="CD11" i="13"/>
  <c r="CE11" i="13" s="1"/>
  <c r="CF11" i="13" s="1"/>
  <c r="CD15" i="13"/>
  <c r="CE15" i="13" s="1"/>
  <c r="CF15" i="13" s="1"/>
  <c r="CG15" i="13" s="1"/>
  <c r="CD12" i="13"/>
  <c r="CE12" i="13" s="1"/>
  <c r="CF12" i="13" s="1"/>
  <c r="CG12" i="13" s="1"/>
  <c r="CF10" i="13"/>
  <c r="CG10" i="13" s="1"/>
  <c r="PR94" i="2"/>
  <c r="PR93" i="2"/>
  <c r="PR96" i="2"/>
  <c r="PR92" i="2"/>
  <c r="CC13" i="13"/>
  <c r="PR97" i="2"/>
  <c r="PR95" i="2" l="1"/>
  <c r="PT89" i="2"/>
  <c r="CC14" i="13"/>
  <c r="CD14" i="13" s="1"/>
  <c r="CD13" i="13"/>
  <c r="CE13" i="13" s="1"/>
  <c r="CF13" i="13" s="1"/>
  <c r="CG13" i="13" s="1"/>
  <c r="CG11" i="13"/>
  <c r="PS92" i="2"/>
  <c r="PS97" i="2"/>
  <c r="PS96" i="2"/>
  <c r="PS94" i="2"/>
  <c r="CA17" i="13"/>
  <c r="PS93" i="2"/>
  <c r="PS95" i="2" l="1"/>
  <c r="PU89" i="2"/>
  <c r="CC17" i="13"/>
  <c r="CD17" i="13" s="1"/>
  <c r="CE17" i="13" s="1"/>
  <c r="CF17" i="13" s="1"/>
  <c r="CG17" i="13" s="1"/>
  <c r="CE14" i="13"/>
  <c r="CF14" i="13" s="1"/>
  <c r="CG14" i="13" s="1"/>
  <c r="PT92" i="2"/>
  <c r="PT97" i="2"/>
  <c r="CC18" i="13"/>
  <c r="PT93" i="2"/>
  <c r="PT96" i="2"/>
  <c r="PT94" i="2"/>
  <c r="PT95" i="2" l="1"/>
  <c r="PV89" i="2"/>
  <c r="CC19" i="13"/>
  <c r="CD19" i="13" s="1"/>
  <c r="CD18" i="13"/>
  <c r="CE18" i="13" s="1"/>
  <c r="CH20" i="13"/>
  <c r="PU92" i="2"/>
  <c r="PU96" i="2"/>
  <c r="PU94" i="2"/>
  <c r="PU97" i="2"/>
  <c r="PU93" i="2"/>
  <c r="PU95" i="2" l="1"/>
  <c r="PW89" i="2"/>
  <c r="CE19" i="13"/>
  <c r="CF19" i="13" s="1"/>
  <c r="CG19" i="13" s="1"/>
  <c r="CC20" i="13"/>
  <c r="CC21" i="13" s="1"/>
  <c r="CD21" i="13" s="1"/>
  <c r="CE21" i="13" s="1"/>
  <c r="CF21" i="13" s="1"/>
  <c r="CG21" i="13" s="1"/>
  <c r="CF18" i="13"/>
  <c r="CG18" i="13" s="1"/>
  <c r="CC23" i="13"/>
  <c r="PV97" i="2"/>
  <c r="CC75" i="13"/>
  <c r="CC27" i="13"/>
  <c r="PV94" i="2"/>
  <c r="PV96" i="2"/>
  <c r="CC22" i="13"/>
  <c r="PV93" i="2"/>
  <c r="CC26" i="13"/>
  <c r="PV92" i="2"/>
  <c r="CA29" i="13"/>
  <c r="PV95" i="2" l="1"/>
  <c r="PX89" i="2"/>
  <c r="CD20" i="13"/>
  <c r="CE20" i="13" s="1"/>
  <c r="CF20" i="13" s="1"/>
  <c r="CG20" i="13" s="1"/>
  <c r="CD26" i="13"/>
  <c r="CE26" i="13" s="1"/>
  <c r="CF26" i="13" s="1"/>
  <c r="CG26" i="13" s="1"/>
  <c r="CD75" i="13"/>
  <c r="CE75" i="13" s="1"/>
  <c r="CD23" i="13"/>
  <c r="CE23" i="13" s="1"/>
  <c r="CD27" i="13"/>
  <c r="CE27" i="13" s="1"/>
  <c r="CF27" i="13" s="1"/>
  <c r="CG27" i="13" s="1"/>
  <c r="CD22" i="13"/>
  <c r="CE22" i="13" s="1"/>
  <c r="PW97" i="2"/>
  <c r="CC76" i="13"/>
  <c r="PW92" i="2"/>
  <c r="PW94" i="2"/>
  <c r="CC24" i="13"/>
  <c r="PW96" i="2"/>
  <c r="PW93" i="2"/>
  <c r="PW95" i="2" l="1"/>
  <c r="PY89" i="2"/>
  <c r="CD24" i="13"/>
  <c r="CE24" i="13" s="1"/>
  <c r="CF24" i="13" s="1"/>
  <c r="CC25" i="13"/>
  <c r="CD25" i="13" s="1"/>
  <c r="CD76" i="13"/>
  <c r="CE76" i="13" s="1"/>
  <c r="CF75" i="13"/>
  <c r="CG75" i="13" s="1"/>
  <c r="CF22" i="13"/>
  <c r="CG22" i="13" s="1"/>
  <c r="CF23" i="13"/>
  <c r="CG23" i="13" s="1"/>
  <c r="PX96" i="2"/>
  <c r="PX97" i="2"/>
  <c r="PX93" i="2"/>
  <c r="PX94" i="2"/>
  <c r="CA28" i="13"/>
  <c r="PX92" i="2"/>
  <c r="PX95" i="2" l="1"/>
  <c r="PZ89" i="2"/>
  <c r="CC28" i="13"/>
  <c r="CG24" i="13"/>
  <c r="CE25" i="13"/>
  <c r="CF25" i="13" s="1"/>
  <c r="CF76" i="13"/>
  <c r="CG76" i="13" s="1"/>
  <c r="PY93" i="2"/>
  <c r="CC29" i="13"/>
  <c r="PY96" i="2"/>
  <c r="PY97" i="2"/>
  <c r="PY92" i="2"/>
  <c r="PY94" i="2"/>
  <c r="PY95" i="2" l="1"/>
  <c r="QA89" i="2"/>
  <c r="CD29" i="13"/>
  <c r="CE29" i="13" s="1"/>
  <c r="CF29" i="13" s="1"/>
  <c r="CG29" i="13" s="1"/>
  <c r="CC30" i="13"/>
  <c r="CD30" i="13" s="1"/>
  <c r="CD28" i="13"/>
  <c r="CE28" i="13" s="1"/>
  <c r="CF28" i="13" s="1"/>
  <c r="CG28" i="13" s="1"/>
  <c r="CG25" i="13"/>
  <c r="PZ96" i="2"/>
  <c r="PZ97" i="2"/>
  <c r="PZ94" i="2"/>
  <c r="PZ93" i="2"/>
  <c r="PZ92" i="2"/>
  <c r="PZ95" i="2" l="1"/>
  <c r="QB89" i="2"/>
  <c r="CE30" i="13"/>
  <c r="CF30" i="13" s="1"/>
  <c r="CG30" i="13" s="1"/>
  <c r="CC31" i="13"/>
  <c r="CC32" i="13" s="1"/>
  <c r="QA94" i="2"/>
  <c r="QA92" i="2"/>
  <c r="QA93" i="2"/>
  <c r="QA96" i="2"/>
  <c r="CC37" i="13"/>
  <c r="QA97" i="2"/>
  <c r="CC34" i="13"/>
  <c r="CA40" i="13"/>
  <c r="CC33" i="13"/>
  <c r="CC38" i="13"/>
  <c r="QA95" i="2" l="1"/>
  <c r="QC89" i="2"/>
  <c r="CD31" i="13"/>
  <c r="CE31" i="13" s="1"/>
  <c r="CD34" i="13"/>
  <c r="CE34" i="13" s="1"/>
  <c r="CF34" i="13" s="1"/>
  <c r="CD33" i="13"/>
  <c r="CE33" i="13" s="1"/>
  <c r="CF33" i="13" s="1"/>
  <c r="CG33" i="13" s="1"/>
  <c r="CD38" i="13"/>
  <c r="CE38" i="13" s="1"/>
  <c r="CF38" i="13" s="1"/>
  <c r="CG38" i="13" s="1"/>
  <c r="CD37" i="13"/>
  <c r="CE37" i="13" s="1"/>
  <c r="CF37" i="13" s="1"/>
  <c r="CG37" i="13" s="1"/>
  <c r="CD32" i="13"/>
  <c r="CE32" i="13" s="1"/>
  <c r="CF32" i="13" s="1"/>
  <c r="CG32" i="13" s="1"/>
  <c r="QB97" i="2"/>
  <c r="QB96" i="2"/>
  <c r="QB94" i="2"/>
  <c r="CC35" i="13"/>
  <c r="QB93" i="2"/>
  <c r="QB92" i="2"/>
  <c r="QB95" i="2" l="1"/>
  <c r="QD89" i="2"/>
  <c r="CD35" i="13"/>
  <c r="CE35" i="13" s="1"/>
  <c r="CF35" i="13" s="1"/>
  <c r="CG35" i="13" s="1"/>
  <c r="CC36" i="13"/>
  <c r="CD36" i="13" s="1"/>
  <c r="CE36" i="13" s="1"/>
  <c r="CF36" i="13" s="1"/>
  <c r="CG36" i="13" s="1"/>
  <c r="CG34" i="13"/>
  <c r="CF31" i="13"/>
  <c r="CG31" i="13" s="1"/>
  <c r="CA39" i="13"/>
  <c r="QC92" i="2"/>
  <c r="QC94" i="2"/>
  <c r="QC93" i="2"/>
  <c r="QC97" i="2"/>
  <c r="QC96" i="2"/>
  <c r="QC95" i="2" l="1"/>
  <c r="QE89" i="2"/>
  <c r="CC39" i="13"/>
  <c r="QD94" i="2"/>
  <c r="QD96" i="2"/>
  <c r="QD92" i="2"/>
  <c r="QD93" i="2"/>
  <c r="QD97" i="2"/>
  <c r="CC40" i="13"/>
  <c r="QD95" i="2" l="1"/>
  <c r="QF89" i="2"/>
  <c r="CC41" i="13"/>
  <c r="CC42" i="13" s="1"/>
  <c r="CD40" i="13"/>
  <c r="CE40" i="13" s="1"/>
  <c r="CD39" i="13"/>
  <c r="CE39" i="13" s="1"/>
  <c r="CF39" i="13" s="1"/>
  <c r="CG39" i="13" s="1"/>
  <c r="QE92" i="2"/>
  <c r="QE96" i="2"/>
  <c r="QE93" i="2"/>
  <c r="QE94" i="2"/>
  <c r="QE97" i="2"/>
  <c r="QE95" i="2" l="1"/>
  <c r="QG89" i="2"/>
  <c r="CD41" i="13"/>
  <c r="CE41" i="13" s="1"/>
  <c r="CF41" i="13" s="1"/>
  <c r="CF40" i="13"/>
  <c r="CG40" i="13" s="1"/>
  <c r="CC43" i="13"/>
  <c r="CD42" i="13"/>
  <c r="CC49" i="13"/>
  <c r="CC45" i="13"/>
  <c r="QF93" i="2"/>
  <c r="QF96" i="2"/>
  <c r="CA51" i="13"/>
  <c r="CC44" i="13"/>
  <c r="QF97" i="2"/>
  <c r="CC48" i="13"/>
  <c r="QF94" i="2"/>
  <c r="QF92" i="2"/>
  <c r="QF95" i="2" l="1"/>
  <c r="QH89" i="2"/>
  <c r="CG41" i="13"/>
  <c r="CD45" i="13"/>
  <c r="CE45" i="13" s="1"/>
  <c r="CF45" i="13" s="1"/>
  <c r="CG45" i="13" s="1"/>
  <c r="CD48" i="13"/>
  <c r="CE48" i="13" s="1"/>
  <c r="CD49" i="13"/>
  <c r="CE49" i="13" s="1"/>
  <c r="CD44" i="13"/>
  <c r="CE44" i="13" s="1"/>
  <c r="CF44" i="13" s="1"/>
  <c r="CE42" i="13"/>
  <c r="CF42" i="13" s="1"/>
  <c r="CD43" i="13"/>
  <c r="CE43" i="13" s="1"/>
  <c r="QG93" i="2"/>
  <c r="QG96" i="2"/>
  <c r="QG92" i="2"/>
  <c r="QG94" i="2"/>
  <c r="QG97" i="2"/>
  <c r="CC46" i="13"/>
  <c r="QG95" i="2" l="1"/>
  <c r="QI89" i="2"/>
  <c r="CD46" i="13"/>
  <c r="CE46" i="13" s="1"/>
  <c r="CF46" i="13" s="1"/>
  <c r="CG46" i="13" s="1"/>
  <c r="CC47" i="13"/>
  <c r="CD47" i="13" s="1"/>
  <c r="CE47" i="13" s="1"/>
  <c r="CF47" i="13" s="1"/>
  <c r="CF48" i="13"/>
  <c r="CG48" i="13" s="1"/>
  <c r="CG44" i="13"/>
  <c r="CF43" i="13"/>
  <c r="CG43" i="13" s="1"/>
  <c r="CG42" i="13"/>
  <c r="CF49" i="13"/>
  <c r="CG49" i="13" s="1"/>
  <c r="QH96" i="2"/>
  <c r="QH97" i="2"/>
  <c r="QH93" i="2"/>
  <c r="QH92" i="2"/>
  <c r="QH94" i="2"/>
  <c r="CA50" i="13"/>
  <c r="QH95" i="2" l="1"/>
  <c r="QJ89" i="2"/>
  <c r="CC50" i="13"/>
  <c r="CG47" i="13"/>
  <c r="QI94" i="2"/>
  <c r="QI97" i="2"/>
  <c r="QI92" i="2"/>
  <c r="QI93" i="2"/>
  <c r="CC51" i="13"/>
  <c r="QI96" i="2"/>
  <c r="QI95" i="2" l="1"/>
  <c r="QK89" i="2"/>
  <c r="CC52" i="13"/>
  <c r="CC53" i="13" s="1"/>
  <c r="CD51" i="13"/>
  <c r="CE51" i="13" s="1"/>
  <c r="CD50" i="13"/>
  <c r="CE50" i="13" s="1"/>
  <c r="CF50" i="13" s="1"/>
  <c r="CG50" i="13" s="1"/>
  <c r="QJ92" i="2"/>
  <c r="QJ97" i="2"/>
  <c r="QJ96" i="2"/>
  <c r="QJ93" i="2"/>
  <c r="QJ94" i="2"/>
  <c r="QJ95" i="2" l="1"/>
  <c r="QL89" i="2"/>
  <c r="CD52" i="13"/>
  <c r="CE52" i="13" s="1"/>
  <c r="CF52" i="13" s="1"/>
  <c r="CG52" i="13" s="1"/>
  <c r="CF51" i="13"/>
  <c r="CG51" i="13" s="1"/>
  <c r="CD53" i="13"/>
  <c r="CE53" i="13" s="1"/>
  <c r="CC54" i="13"/>
  <c r="QK93" i="2"/>
  <c r="QK94" i="2"/>
  <c r="QK92" i="2"/>
  <c r="CA62" i="13"/>
  <c r="CC60" i="13"/>
  <c r="QK97" i="2"/>
  <c r="QK96" i="2"/>
  <c r="CC55" i="13"/>
  <c r="CC59" i="13"/>
  <c r="CC56" i="13"/>
  <c r="QK95" i="2" l="1"/>
  <c r="QM89" i="2"/>
  <c r="CF53" i="13"/>
  <c r="CG53" i="13" s="1"/>
  <c r="CD59" i="13"/>
  <c r="CE59" i="13" s="1"/>
  <c r="CF59" i="13" s="1"/>
  <c r="CG59" i="13" s="1"/>
  <c r="CD60" i="13"/>
  <c r="CE60" i="13" s="1"/>
  <c r="CF60" i="13" s="1"/>
  <c r="CG60" i="13" s="1"/>
  <c r="CD56" i="13"/>
  <c r="CE56" i="13" s="1"/>
  <c r="CF56" i="13" s="1"/>
  <c r="CG56" i="13" s="1"/>
  <c r="CD55" i="13"/>
  <c r="CE55" i="13" s="1"/>
  <c r="CD54" i="13"/>
  <c r="CE54" i="13" s="1"/>
  <c r="CF54" i="13" s="1"/>
  <c r="CG54" i="13" s="1"/>
  <c r="QL93" i="2"/>
  <c r="QL92" i="2"/>
  <c r="QL96" i="2"/>
  <c r="CC57" i="13"/>
  <c r="QL97" i="2"/>
  <c r="QL94" i="2"/>
  <c r="QL95" i="2" l="1"/>
  <c r="QN89" i="2"/>
  <c r="CD57" i="13"/>
  <c r="CE57" i="13" s="1"/>
  <c r="CF57" i="13" s="1"/>
  <c r="CG57" i="13" s="1"/>
  <c r="CC58" i="13"/>
  <c r="CD58" i="13" s="1"/>
  <c r="CE58" i="13" s="1"/>
  <c r="CF58" i="13" s="1"/>
  <c r="CG58" i="13" s="1"/>
  <c r="CF55" i="13"/>
  <c r="CG55" i="13" s="1"/>
  <c r="QM97" i="2"/>
  <c r="QM96" i="2"/>
  <c r="CA61" i="13"/>
  <c r="QM94" i="2"/>
  <c r="QM92" i="2"/>
  <c r="QM93" i="2"/>
  <c r="QM95" i="2" l="1"/>
  <c r="QO89" i="2"/>
  <c r="CC61" i="13"/>
  <c r="CC62" i="13"/>
  <c r="QN93" i="2"/>
  <c r="QN94" i="2"/>
  <c r="QN96" i="2"/>
  <c r="QN92" i="2"/>
  <c r="QN97" i="2"/>
  <c r="QN95" i="2" l="1"/>
  <c r="QP89" i="2"/>
  <c r="CD62" i="13"/>
  <c r="CE62" i="13" s="1"/>
  <c r="CC63" i="13"/>
  <c r="CC64" i="13" s="1"/>
  <c r="CD61" i="13"/>
  <c r="CE61" i="13" s="1"/>
  <c r="CF61" i="13" s="1"/>
  <c r="CG61" i="13" s="1"/>
  <c r="QO94" i="2"/>
  <c r="QO92" i="2"/>
  <c r="QO93" i="2"/>
  <c r="QO97" i="2"/>
  <c r="QO96" i="2"/>
  <c r="QO95" i="2" l="1"/>
  <c r="QQ89" i="2"/>
  <c r="CD63" i="13"/>
  <c r="CE63" i="13" s="1"/>
  <c r="CF63" i="13" s="1"/>
  <c r="CG63" i="13" s="1"/>
  <c r="CF62" i="13"/>
  <c r="CG62" i="13" s="1"/>
  <c r="CC65" i="13"/>
  <c r="CD64" i="13"/>
  <c r="CE64" i="13" s="1"/>
  <c r="CF64" i="13" s="1"/>
  <c r="CG64" i="13" s="1"/>
  <c r="CC92" i="13"/>
  <c r="CC90" i="13"/>
  <c r="QP94" i="2"/>
  <c r="CC71" i="13"/>
  <c r="CC96" i="13"/>
  <c r="QP97" i="2"/>
  <c r="CA73" i="13"/>
  <c r="CC67" i="13"/>
  <c r="CC66" i="13"/>
  <c r="QP93" i="2"/>
  <c r="CC93" i="13"/>
  <c r="CC110" i="13"/>
  <c r="CC91" i="13"/>
  <c r="CC70" i="13"/>
  <c r="QP92" i="2"/>
  <c r="QP96" i="2"/>
  <c r="QP95" i="2" l="1"/>
  <c r="QR89" i="2"/>
  <c r="CD96" i="13"/>
  <c r="CE96" i="13" s="1"/>
  <c r="CF96" i="13" s="1"/>
  <c r="CG96" i="13" s="1"/>
  <c r="CD67" i="13"/>
  <c r="CE67" i="13" s="1"/>
  <c r="CD91" i="13"/>
  <c r="CE91" i="13" s="1"/>
  <c r="CF91" i="13" s="1"/>
  <c r="CD66" i="13"/>
  <c r="CE66" i="13" s="1"/>
  <c r="CF66" i="13" s="1"/>
  <c r="CD110" i="13"/>
  <c r="CE110" i="13" s="1"/>
  <c r="CF110" i="13" s="1"/>
  <c r="CD70" i="13"/>
  <c r="CE70" i="13" s="1"/>
  <c r="CF70" i="13" s="1"/>
  <c r="CD92" i="13"/>
  <c r="CE92" i="13" s="1"/>
  <c r="CF92" i="13" s="1"/>
  <c r="CG92" i="13" s="1"/>
  <c r="CD93" i="13"/>
  <c r="CE93" i="13" s="1"/>
  <c r="CD71" i="13"/>
  <c r="CE71" i="13" s="1"/>
  <c r="CD90" i="13"/>
  <c r="CE90" i="13" s="1"/>
  <c r="CC77" i="13"/>
  <c r="CD65" i="13"/>
  <c r="CE65" i="13" s="1"/>
  <c r="CF65" i="13" s="1"/>
  <c r="CG65" i="13" s="1"/>
  <c r="CC87" i="13"/>
  <c r="QQ93" i="2"/>
  <c r="CC83" i="13"/>
  <c r="QQ92" i="2"/>
  <c r="QQ97" i="2"/>
  <c r="CC84" i="13"/>
  <c r="CC97" i="13"/>
  <c r="QQ94" i="2"/>
  <c r="CC68" i="13"/>
  <c r="CC80" i="13"/>
  <c r="CC95" i="13"/>
  <c r="QQ96" i="2"/>
  <c r="CA86" i="13"/>
  <c r="CC94" i="13"/>
  <c r="QQ95" i="2" l="1"/>
  <c r="QS89" i="2"/>
  <c r="CC69" i="13"/>
  <c r="CD69" i="13" s="1"/>
  <c r="CE69" i="13" s="1"/>
  <c r="CF69" i="13" s="1"/>
  <c r="CD68" i="13"/>
  <c r="CE68" i="13" s="1"/>
  <c r="CD95" i="13"/>
  <c r="CE95" i="13" s="1"/>
  <c r="CF95" i="13" s="1"/>
  <c r="CG95" i="13" s="1"/>
  <c r="CC104" i="13"/>
  <c r="CD104" i="13" s="1"/>
  <c r="CE104" i="13" s="1"/>
  <c r="CF104" i="13" s="1"/>
  <c r="CD97" i="13"/>
  <c r="CE97" i="13" s="1"/>
  <c r="CF97" i="13" s="1"/>
  <c r="CD94" i="13"/>
  <c r="CE94" i="13" s="1"/>
  <c r="CF71" i="13"/>
  <c r="CG71" i="13" s="1"/>
  <c r="CG91" i="13"/>
  <c r="CF67" i="13"/>
  <c r="CG67" i="13" s="1"/>
  <c r="CF90" i="13"/>
  <c r="CG90" i="13" s="1"/>
  <c r="CF93" i="13"/>
  <c r="CG93" i="13" s="1"/>
  <c r="CG110" i="13"/>
  <c r="CD80" i="13"/>
  <c r="CE80" i="13" s="1"/>
  <c r="CF80" i="13" s="1"/>
  <c r="CG80" i="13" s="1"/>
  <c r="CC98" i="13"/>
  <c r="CD87" i="13"/>
  <c r="CE87" i="13" s="1"/>
  <c r="CD84" i="13"/>
  <c r="CE84" i="13" s="1"/>
  <c r="CD83" i="13"/>
  <c r="CE83" i="13" s="1"/>
  <c r="CF83" i="13" s="1"/>
  <c r="CD77" i="13"/>
  <c r="CE77" i="13" s="1"/>
  <c r="CF77" i="13" s="1"/>
  <c r="CG77" i="13" s="1"/>
  <c r="CP15" i="13"/>
  <c r="CG70" i="13"/>
  <c r="CG66" i="13"/>
  <c r="CC81" i="13"/>
  <c r="CA72" i="13"/>
  <c r="QR97" i="2"/>
  <c r="QR92" i="2"/>
  <c r="QR96" i="2"/>
  <c r="QR94" i="2"/>
  <c r="QR93" i="2"/>
  <c r="CC99" i="13"/>
  <c r="QR95" i="2" l="1"/>
  <c r="QT89" i="2"/>
  <c r="CF68" i="13"/>
  <c r="CG68" i="13" s="1"/>
  <c r="CC72" i="13"/>
  <c r="CG97" i="13"/>
  <c r="CF94" i="13"/>
  <c r="CG94" i="13" s="1"/>
  <c r="CD81" i="13"/>
  <c r="CE81" i="13" s="1"/>
  <c r="CF81" i="13" s="1"/>
  <c r="CC82" i="13"/>
  <c r="CD82" i="13" s="1"/>
  <c r="CE82" i="13" s="1"/>
  <c r="CF82" i="13" s="1"/>
  <c r="CG69" i="13"/>
  <c r="CG104" i="13"/>
  <c r="CF84" i="13"/>
  <c r="CG84" i="13" s="1"/>
  <c r="CG83" i="13"/>
  <c r="CF87" i="13"/>
  <c r="CG87" i="13" s="1"/>
  <c r="CD99" i="13"/>
  <c r="CE99" i="13" s="1"/>
  <c r="CF99" i="13" s="1"/>
  <c r="CC100" i="13"/>
  <c r="CD98" i="13"/>
  <c r="CE98" i="13" s="1"/>
  <c r="CF98" i="13" s="1"/>
  <c r="CG98" i="13" s="1"/>
  <c r="CQ15" i="13"/>
  <c r="QS97" i="2"/>
  <c r="CC89" i="13"/>
  <c r="CA85" i="13"/>
  <c r="CC73" i="13"/>
  <c r="CC102" i="13"/>
  <c r="QS93" i="2"/>
  <c r="QS94" i="2"/>
  <c r="QS92" i="2"/>
  <c r="QS96" i="2"/>
  <c r="QS95" i="2" l="1"/>
  <c r="QU89" i="2"/>
  <c r="CC85" i="13"/>
  <c r="CD73" i="13"/>
  <c r="CE73" i="13" s="1"/>
  <c r="CF73" i="13" s="1"/>
  <c r="CG73" i="13" s="1"/>
  <c r="CC74" i="13"/>
  <c r="CD74" i="13" s="1"/>
  <c r="CE74" i="13" s="1"/>
  <c r="CF74" i="13" s="1"/>
  <c r="CG74" i="13" s="1"/>
  <c r="CD89" i="13"/>
  <c r="CE89" i="13" s="1"/>
  <c r="CF89" i="13" s="1"/>
  <c r="CG89" i="13" s="1"/>
  <c r="CC144" i="13"/>
  <c r="CD144" i="13" s="1"/>
  <c r="CD72" i="13"/>
  <c r="CE72" i="13" s="1"/>
  <c r="CF72" i="13" s="1"/>
  <c r="CG72" i="13" s="1"/>
  <c r="CG81" i="13"/>
  <c r="CR15" i="13"/>
  <c r="CS15" i="13" s="1"/>
  <c r="CD102" i="13"/>
  <c r="CE102" i="13" s="1"/>
  <c r="CC103" i="13"/>
  <c r="CD100" i="13"/>
  <c r="CE100" i="13" s="1"/>
  <c r="CF100" i="13" s="1"/>
  <c r="CG100" i="13" s="1"/>
  <c r="CG82" i="13"/>
  <c r="CG99" i="13"/>
  <c r="CC143" i="13"/>
  <c r="QT97" i="2"/>
  <c r="QT94" i="2"/>
  <c r="QT92" i="2"/>
  <c r="CC86" i="13"/>
  <c r="CC106" i="13"/>
  <c r="QT96" i="2"/>
  <c r="CP75" i="13"/>
  <c r="QT93" i="2"/>
  <c r="CC111" i="13"/>
  <c r="QT95" i="2" l="1"/>
  <c r="QV89" i="2"/>
  <c r="CD111" i="13"/>
  <c r="CE111" i="13" s="1"/>
  <c r="CF111" i="13" s="1"/>
  <c r="CP8" i="13"/>
  <c r="CQ8" i="13" s="1"/>
  <c r="CR8" i="13" s="1"/>
  <c r="CD106" i="13"/>
  <c r="CE106" i="13" s="1"/>
  <c r="CF106" i="13" s="1"/>
  <c r="CD143" i="13"/>
  <c r="CE143" i="13" s="1"/>
  <c r="CD86" i="13"/>
  <c r="CE86" i="13" s="1"/>
  <c r="CF86" i="13" s="1"/>
  <c r="CG86" i="13" s="1"/>
  <c r="CC88" i="13"/>
  <c r="CD88" i="13" s="1"/>
  <c r="CE88" i="13" s="1"/>
  <c r="CD85" i="13"/>
  <c r="CE85" i="13" s="1"/>
  <c r="CF85" i="13" s="1"/>
  <c r="CG85" i="13" s="1"/>
  <c r="CQ75" i="13"/>
  <c r="CR75" i="13" s="1"/>
  <c r="CS75" i="13" s="1"/>
  <c r="CT75" i="13" s="1"/>
  <c r="CE144" i="13"/>
  <c r="CF144" i="13" s="1"/>
  <c r="CT15" i="13"/>
  <c r="CF102" i="13"/>
  <c r="CG102" i="13" s="1"/>
  <c r="CC113" i="13"/>
  <c r="CC112" i="13"/>
  <c r="CC105" i="13"/>
  <c r="CC107" i="13" s="1"/>
  <c r="CD103" i="13"/>
  <c r="CE103" i="13" s="1"/>
  <c r="CF103" i="13" s="1"/>
  <c r="CG103" i="13" s="1"/>
  <c r="QU92" i="2"/>
  <c r="QU96" i="2"/>
  <c r="QU94" i="2"/>
  <c r="QU97" i="2"/>
  <c r="QU93" i="2"/>
  <c r="QU95" i="2" l="1"/>
  <c r="QW89" i="2"/>
  <c r="CG111" i="13"/>
  <c r="CG106" i="13"/>
  <c r="CS8" i="13"/>
  <c r="CT8" i="13" s="1"/>
  <c r="CF88" i="13"/>
  <c r="CG88" i="13" s="1"/>
  <c r="CF143" i="13"/>
  <c r="CG143" i="13" s="1"/>
  <c r="CG144" i="13"/>
  <c r="CD105" i="13"/>
  <c r="CE105" i="13" s="1"/>
  <c r="CP9" i="13"/>
  <c r="CC117" i="13"/>
  <c r="CC145" i="13"/>
  <c r="CD112" i="13"/>
  <c r="CE112" i="13" s="1"/>
  <c r="CC131" i="13"/>
  <c r="CC129" i="13"/>
  <c r="CC146" i="13"/>
  <c r="CC114" i="13"/>
  <c r="CD113" i="13"/>
  <c r="CE113" i="13" s="1"/>
  <c r="CF113" i="13" s="1"/>
  <c r="CG113" i="13" s="1"/>
  <c r="QV94" i="2"/>
  <c r="QV97" i="2"/>
  <c r="QV96" i="2"/>
  <c r="QV93" i="2"/>
  <c r="QV92" i="2"/>
  <c r="QV95" i="2" l="1"/>
  <c r="QX89" i="2"/>
  <c r="CF105" i="13"/>
  <c r="CG105" i="13" s="1"/>
  <c r="CD117" i="13"/>
  <c r="CE117" i="13" s="1"/>
  <c r="CF117" i="13" s="1"/>
  <c r="CC118" i="13"/>
  <c r="CD129" i="13"/>
  <c r="CE129" i="13" s="1"/>
  <c r="CD131" i="13"/>
  <c r="CE131" i="13" s="1"/>
  <c r="CC119" i="13"/>
  <c r="CD107" i="13"/>
  <c r="CE107" i="13" s="1"/>
  <c r="CF107" i="13" s="1"/>
  <c r="CG107" i="13" s="1"/>
  <c r="CC108" i="13"/>
  <c r="CQ9" i="13"/>
  <c r="CR9" i="13" s="1"/>
  <c r="CS9" i="13" s="1"/>
  <c r="CP10" i="13"/>
  <c r="CD114" i="13"/>
  <c r="CE114" i="13" s="1"/>
  <c r="CF114" i="13" s="1"/>
  <c r="CG114" i="13" s="1"/>
  <c r="CC115" i="13"/>
  <c r="CF112" i="13"/>
  <c r="CG112" i="13" s="1"/>
  <c r="CC147" i="13"/>
  <c r="CC148" i="13" s="1"/>
  <c r="QW92" i="2"/>
  <c r="QW94" i="2"/>
  <c r="QW93" i="2"/>
  <c r="QW97" i="2"/>
  <c r="QW96" i="2"/>
  <c r="QW95" i="2" l="1"/>
  <c r="QY89" i="2"/>
  <c r="CF129" i="13"/>
  <c r="CG129" i="13" s="1"/>
  <c r="CD115" i="13"/>
  <c r="CE115" i="13" s="1"/>
  <c r="CC116" i="13"/>
  <c r="CF131" i="13"/>
  <c r="CG131" i="13" s="1"/>
  <c r="CG117" i="13"/>
  <c r="CC109" i="13"/>
  <c r="AT13" i="13" s="1"/>
  <c r="CD108" i="13"/>
  <c r="CE108" i="13" s="1"/>
  <c r="CF108" i="13" s="1"/>
  <c r="CG108" i="13" s="1"/>
  <c r="CT9" i="13"/>
  <c r="CD118" i="13"/>
  <c r="CE118" i="13" s="1"/>
  <c r="CF118" i="13" s="1"/>
  <c r="CG118" i="13" s="1"/>
  <c r="CQ10" i="13"/>
  <c r="CR10" i="13" s="1"/>
  <c r="CS10" i="13" s="1"/>
  <c r="CT10" i="13" s="1"/>
  <c r="CP11" i="13"/>
  <c r="CC120" i="13"/>
  <c r="CD119" i="13"/>
  <c r="CE119" i="13" s="1"/>
  <c r="QX93" i="2"/>
  <c r="QX97" i="2"/>
  <c r="QX92" i="2"/>
  <c r="QX96" i="2"/>
  <c r="QX94" i="2"/>
  <c r="QX95" i="2" l="1"/>
  <c r="QZ89" i="2"/>
  <c r="CF115" i="13"/>
  <c r="CG115" i="13" s="1"/>
  <c r="CD120" i="13"/>
  <c r="CE120" i="13" s="1"/>
  <c r="CF120" i="13" s="1"/>
  <c r="CG120" i="13" s="1"/>
  <c r="CD109" i="13"/>
  <c r="CE109" i="13" s="1"/>
  <c r="CD116" i="13"/>
  <c r="CE116" i="13" s="1"/>
  <c r="CF119" i="13"/>
  <c r="CG119" i="13" s="1"/>
  <c r="CP12" i="13"/>
  <c r="CQ11" i="13"/>
  <c r="CR11" i="13" s="1"/>
  <c r="CS11" i="13" s="1"/>
  <c r="CT11" i="13" s="1"/>
  <c r="CC121" i="13"/>
  <c r="QY93" i="2"/>
  <c r="QY92" i="2"/>
  <c r="QY97" i="2"/>
  <c r="QY96" i="2"/>
  <c r="QY94" i="2"/>
  <c r="QY95" i="2" l="1"/>
  <c r="RA89" i="2"/>
  <c r="CF116" i="13"/>
  <c r="CG116" i="13" s="1"/>
  <c r="CD121" i="13"/>
  <c r="CE121" i="13" s="1"/>
  <c r="CF121" i="13" s="1"/>
  <c r="CG121" i="13" s="1"/>
  <c r="CC133" i="13"/>
  <c r="CC136" i="13"/>
  <c r="CC122" i="13"/>
  <c r="CC123" i="13" s="1"/>
  <c r="CQ12" i="13"/>
  <c r="CR12" i="13" s="1"/>
  <c r="CS12" i="13" s="1"/>
  <c r="CP14" i="13"/>
  <c r="CF109" i="13"/>
  <c r="CG109" i="13" s="1"/>
  <c r="QZ96" i="2"/>
  <c r="QZ93" i="2"/>
  <c r="QZ94" i="2"/>
  <c r="QZ97" i="2"/>
  <c r="QZ92" i="2"/>
  <c r="RB89" i="2" l="1"/>
  <c r="RB98" i="2"/>
  <c r="RC98" i="2" s="1"/>
  <c r="QZ95" i="2"/>
  <c r="CT12" i="13"/>
  <c r="CD136" i="13"/>
  <c r="CE136" i="13" s="1"/>
  <c r="CQ14" i="13"/>
  <c r="CR14" i="13" s="1"/>
  <c r="CP17" i="13"/>
  <c r="CP16" i="13"/>
  <c r="CD133" i="13"/>
  <c r="CE133" i="13" s="1"/>
  <c r="CF133" i="13" s="1"/>
  <c r="CD123" i="13"/>
  <c r="CE123" i="13" s="1"/>
  <c r="CC124" i="13"/>
  <c r="CD122" i="13"/>
  <c r="CE122" i="13" s="1"/>
  <c r="RA96" i="2"/>
  <c r="CP27" i="13"/>
  <c r="CP19" i="13"/>
  <c r="RA93" i="2"/>
  <c r="CP33" i="13"/>
  <c r="RA97" i="2"/>
  <c r="CP34" i="13"/>
  <c r="RA92" i="2"/>
  <c r="CP28" i="13"/>
  <c r="CP29" i="13"/>
  <c r="RA94" i="2"/>
  <c r="CP25" i="13"/>
  <c r="RA95" i="2" l="1"/>
  <c r="CF122" i="13"/>
  <c r="CG122" i="13" s="1"/>
  <c r="CG133" i="13"/>
  <c r="CQ25" i="13"/>
  <c r="CR25" i="13" s="1"/>
  <c r="CS25" i="13" s="1"/>
  <c r="CT25" i="13" s="1"/>
  <c r="CQ33" i="13"/>
  <c r="CR33" i="13" s="1"/>
  <c r="CS33" i="13" s="1"/>
  <c r="CT33" i="13" s="1"/>
  <c r="CQ28" i="13"/>
  <c r="CR28" i="13" s="1"/>
  <c r="CS28" i="13" s="1"/>
  <c r="CT28" i="13" s="1"/>
  <c r="CQ29" i="13"/>
  <c r="CR29" i="13" s="1"/>
  <c r="CS29" i="13" s="1"/>
  <c r="CQ27" i="13"/>
  <c r="CR27" i="13" s="1"/>
  <c r="CQ19" i="13"/>
  <c r="CR19" i="13" s="1"/>
  <c r="CS19" i="13" s="1"/>
  <c r="CT19" i="13" s="1"/>
  <c r="CQ34" i="13"/>
  <c r="CR34" i="13" s="1"/>
  <c r="CD124" i="13"/>
  <c r="CE124" i="13" s="1"/>
  <c r="CF124" i="13" s="1"/>
  <c r="CG124" i="13" s="1"/>
  <c r="CC125" i="13"/>
  <c r="CC127" i="13"/>
  <c r="CS14" i="13"/>
  <c r="CT14" i="13" s="1"/>
  <c r="CC137" i="13"/>
  <c r="CF123" i="13"/>
  <c r="CG123" i="13" s="1"/>
  <c r="CC134" i="13"/>
  <c r="CQ16" i="13"/>
  <c r="CR16" i="13" s="1"/>
  <c r="CS16" i="13" s="1"/>
  <c r="CT16" i="13" s="1"/>
  <c r="CF136" i="13"/>
  <c r="CG136" i="13" s="1"/>
  <c r="CQ17" i="13"/>
  <c r="CR17" i="13" s="1"/>
  <c r="CS17" i="13" s="1"/>
  <c r="CT17" i="13" s="1"/>
  <c r="CP20" i="13"/>
  <c r="CP26" i="13"/>
  <c r="CC128" i="13"/>
  <c r="CC126" i="13"/>
  <c r="CQ20" i="13" l="1"/>
  <c r="CR20" i="13" s="1"/>
  <c r="CS20" i="13" s="1"/>
  <c r="CT20" i="13" s="1"/>
  <c r="CQ26" i="13"/>
  <c r="CR26" i="13" s="1"/>
  <c r="CT29" i="13"/>
  <c r="CC132" i="13"/>
  <c r="CD128" i="13"/>
  <c r="CE128" i="13" s="1"/>
  <c r="CF128" i="13" s="1"/>
  <c r="CG128" i="13" s="1"/>
  <c r="CD126" i="13"/>
  <c r="CE126" i="13" s="1"/>
  <c r="CC130" i="13"/>
  <c r="CD134" i="13"/>
  <c r="CE134" i="13" s="1"/>
  <c r="CD127" i="13"/>
  <c r="CE127" i="13" s="1"/>
  <c r="CS34" i="13"/>
  <c r="CT34" i="13" s="1"/>
  <c r="CS27" i="13"/>
  <c r="CT27" i="13" s="1"/>
  <c r="CD137" i="13"/>
  <c r="CE137" i="13" s="1"/>
  <c r="CF137" i="13" s="1"/>
  <c r="CD125" i="13"/>
  <c r="CE125" i="13" s="1"/>
  <c r="CP41" i="13"/>
  <c r="CP21" i="13"/>
  <c r="CP30" i="13"/>
  <c r="CQ30" i="13" l="1"/>
  <c r="CR30" i="13" s="1"/>
  <c r="CQ21" i="13"/>
  <c r="CR21" i="13" s="1"/>
  <c r="CS21" i="13" s="1"/>
  <c r="CT21" i="13" s="1"/>
  <c r="CP22" i="13"/>
  <c r="CP23" i="13" s="1"/>
  <c r="CP24" i="13" s="1"/>
  <c r="CQ41" i="13"/>
  <c r="CR41" i="13" s="1"/>
  <c r="CS41" i="13" s="1"/>
  <c r="CT41" i="13" s="1"/>
  <c r="CS26" i="13"/>
  <c r="CT26" i="13" s="1"/>
  <c r="CF126" i="13"/>
  <c r="CG126" i="13" s="1"/>
  <c r="CG137" i="13"/>
  <c r="CF127" i="13"/>
  <c r="CG127" i="13" s="1"/>
  <c r="CF125" i="13"/>
  <c r="CG125" i="13" s="1"/>
  <c r="CF134" i="13"/>
  <c r="CG134" i="13" s="1"/>
  <c r="CC138" i="13"/>
  <c r="CD132" i="13"/>
  <c r="CE132" i="13" s="1"/>
  <c r="CD130" i="13"/>
  <c r="CE130" i="13" s="1"/>
  <c r="CC135" i="13"/>
  <c r="CP38" i="13"/>
  <c r="CP35" i="13"/>
  <c r="CP36" i="13"/>
  <c r="CP31" i="13"/>
  <c r="CQ31" i="13" l="1"/>
  <c r="CR31" i="13" s="1"/>
  <c r="CS31" i="13" s="1"/>
  <c r="CT31" i="13" s="1"/>
  <c r="CP32" i="13"/>
  <c r="CQ32" i="13" s="1"/>
  <c r="CR32" i="13" s="1"/>
  <c r="CS32" i="13" s="1"/>
  <c r="CT32" i="13" s="1"/>
  <c r="CS30" i="13"/>
  <c r="CT30" i="13" s="1"/>
  <c r="CQ23" i="13"/>
  <c r="CR23" i="13" s="1"/>
  <c r="CS23" i="13" s="1"/>
  <c r="CT23" i="13" s="1"/>
  <c r="CP50" i="13"/>
  <c r="CQ50" i="13" s="1"/>
  <c r="CR50" i="13" s="1"/>
  <c r="CS50" i="13" s="1"/>
  <c r="CT50" i="13" s="1"/>
  <c r="CQ22" i="13"/>
  <c r="CR22" i="13" s="1"/>
  <c r="CS22" i="13" s="1"/>
  <c r="CF132" i="13"/>
  <c r="CG132" i="13" s="1"/>
  <c r="CQ38" i="13"/>
  <c r="CR38" i="13" s="1"/>
  <c r="CS38" i="13" s="1"/>
  <c r="CT38" i="13" s="1"/>
  <c r="CQ35" i="13"/>
  <c r="CR35" i="13" s="1"/>
  <c r="CS35" i="13" s="1"/>
  <c r="CT35" i="13" s="1"/>
  <c r="CP37" i="13"/>
  <c r="CQ36" i="13"/>
  <c r="CR36" i="13" s="1"/>
  <c r="CS36" i="13" s="1"/>
  <c r="CD135" i="13"/>
  <c r="CE135" i="13" s="1"/>
  <c r="CD138" i="13"/>
  <c r="CE138" i="13" s="1"/>
  <c r="CC139" i="13"/>
  <c r="CQ24" i="13"/>
  <c r="CR24" i="13" s="1"/>
  <c r="CS24" i="13" s="1"/>
  <c r="CT24" i="13" s="1"/>
  <c r="CF130" i="13"/>
  <c r="CG130" i="13" s="1"/>
  <c r="CP62" i="13"/>
  <c r="CP59" i="13"/>
  <c r="CP60" i="13"/>
  <c r="CP61" i="13"/>
  <c r="CP64" i="13"/>
  <c r="CP39" i="13"/>
  <c r="CQ62" i="13" l="1"/>
  <c r="CR62" i="13" s="1"/>
  <c r="CQ59" i="13"/>
  <c r="CR59" i="13" s="1"/>
  <c r="CQ64" i="13"/>
  <c r="CR64" i="13" s="1"/>
  <c r="CQ60" i="13"/>
  <c r="CR60" i="13" s="1"/>
  <c r="CP63" i="13"/>
  <c r="CQ63" i="13" s="1"/>
  <c r="CR63" i="13" s="1"/>
  <c r="CS63" i="13" s="1"/>
  <c r="CT63" i="13" s="1"/>
  <c r="CQ61" i="13"/>
  <c r="CR61" i="13" s="1"/>
  <c r="CS61" i="13" s="1"/>
  <c r="CT61" i="13" s="1"/>
  <c r="CT22" i="13"/>
  <c r="CF135" i="13"/>
  <c r="CG135" i="13" s="1"/>
  <c r="CT36" i="13"/>
  <c r="CQ39" i="13"/>
  <c r="CR39" i="13" s="1"/>
  <c r="CS39" i="13" s="1"/>
  <c r="CP40" i="13"/>
  <c r="CF138" i="13"/>
  <c r="CG138" i="13" s="1"/>
  <c r="CC140" i="13"/>
  <c r="CD139" i="13"/>
  <c r="CE139" i="13" s="1"/>
  <c r="CQ37" i="13"/>
  <c r="CR37" i="13" s="1"/>
  <c r="CS37" i="13" s="1"/>
  <c r="CT37" i="13" s="1"/>
  <c r="CP65" i="13"/>
  <c r="CP42" i="13"/>
  <c r="CS62" i="13" l="1"/>
  <c r="CT62" i="13" s="1"/>
  <c r="CS64" i="13"/>
  <c r="CT64" i="13" s="1"/>
  <c r="CS60" i="13"/>
  <c r="CT60" i="13" s="1"/>
  <c r="CQ65" i="13"/>
  <c r="CR65" i="13" s="1"/>
  <c r="CP66" i="13"/>
  <c r="CQ66" i="13" s="1"/>
  <c r="CR66" i="13" s="1"/>
  <c r="CS59" i="13"/>
  <c r="CT59" i="13" s="1"/>
  <c r="CF139" i="13"/>
  <c r="CG139" i="13" s="1"/>
  <c r="CT39" i="13"/>
  <c r="CQ42" i="13"/>
  <c r="CR42" i="13" s="1"/>
  <c r="CS42" i="13" s="1"/>
  <c r="CT42" i="13" s="1"/>
  <c r="CP43" i="13"/>
  <c r="CQ40" i="13"/>
  <c r="CD140" i="13"/>
  <c r="CE140" i="13" s="1"/>
  <c r="CC141" i="13"/>
  <c r="CS65" i="13" l="1"/>
  <c r="CT65" i="13" s="1"/>
  <c r="CF140" i="13"/>
  <c r="CG140" i="13" s="1"/>
  <c r="CS66" i="13"/>
  <c r="CT66" i="13" s="1"/>
  <c r="CR40" i="13"/>
  <c r="CS40" i="13" s="1"/>
  <c r="CP44" i="13"/>
  <c r="CQ43" i="13"/>
  <c r="CR43" i="13" s="1"/>
  <c r="CS43" i="13" s="1"/>
  <c r="BZ141" i="13"/>
  <c r="AX34" i="13" s="1"/>
  <c r="CD141" i="13"/>
  <c r="CE141" i="13" s="1"/>
  <c r="CF141" i="13" s="1"/>
  <c r="CG141" i="13" s="1"/>
  <c r="CT43" i="13" l="1"/>
  <c r="CP45" i="13"/>
  <c r="CQ44" i="13"/>
  <c r="CR44" i="13" s="1"/>
  <c r="CT40" i="13"/>
  <c r="CS44" i="13" l="1"/>
  <c r="CT44" i="13" s="1"/>
  <c r="CP46" i="13"/>
  <c r="CQ45" i="13"/>
  <c r="CR45" i="13" s="1"/>
  <c r="CS45" i="13" s="1"/>
  <c r="CT45" i="13" l="1"/>
  <c r="CQ46" i="13"/>
  <c r="CR46" i="13" s="1"/>
  <c r="CS46" i="13" s="1"/>
  <c r="CT46" i="13" s="1"/>
  <c r="CP47" i="13"/>
  <c r="CQ47" i="13" l="1"/>
  <c r="CR47" i="13" s="1"/>
  <c r="CS47" i="13" s="1"/>
  <c r="CP48" i="13"/>
  <c r="CP51" i="13"/>
  <c r="CP55" i="13"/>
  <c r="CP53" i="13"/>
  <c r="CP54" i="13"/>
  <c r="CQ54" i="13" l="1"/>
  <c r="CR54" i="13" s="1"/>
  <c r="CQ51" i="13"/>
  <c r="CR51" i="13" s="1"/>
  <c r="CS51" i="13" s="1"/>
  <c r="CQ55" i="13"/>
  <c r="CR55" i="13" s="1"/>
  <c r="CS55" i="13" s="1"/>
  <c r="CQ53" i="13"/>
  <c r="CR53" i="13" s="1"/>
  <c r="CS53" i="13" s="1"/>
  <c r="CT47" i="13"/>
  <c r="CP49" i="13"/>
  <c r="CQ48" i="13"/>
  <c r="CR48" i="13" s="1"/>
  <c r="CS48" i="13" s="1"/>
  <c r="CT48" i="13" s="1"/>
  <c r="CP52" i="13"/>
  <c r="CQ52" i="13" l="1"/>
  <c r="CR52" i="13" s="1"/>
  <c r="CT51" i="13"/>
  <c r="CT53" i="13"/>
  <c r="CT55" i="13"/>
  <c r="CS54" i="13"/>
  <c r="CT54" i="13" s="1"/>
  <c r="CQ49" i="13"/>
  <c r="CR49" i="13" s="1"/>
  <c r="CS49" i="13" s="1"/>
  <c r="CT49" i="13" s="1"/>
  <c r="CP56" i="13"/>
  <c r="CP67" i="13"/>
  <c r="CQ56" i="13" l="1"/>
  <c r="CR56" i="13" s="1"/>
  <c r="CS56" i="13" s="1"/>
  <c r="CT56" i="13" s="1"/>
  <c r="CQ67" i="13"/>
  <c r="CR67" i="13" s="1"/>
  <c r="CS67" i="13" s="1"/>
  <c r="CS52" i="13"/>
  <c r="CT52" i="13" s="1"/>
  <c r="Z17" i="14"/>
  <c r="AF12" i="14" s="1"/>
  <c r="CP57" i="13"/>
  <c r="AF13" i="14"/>
  <c r="CP68" i="13"/>
  <c r="AH11" i="14" l="1"/>
  <c r="CQ57" i="13"/>
  <c r="CR57" i="13" s="1"/>
  <c r="CP58" i="13"/>
  <c r="CQ58" i="13" s="1"/>
  <c r="CR58" i="13" s="1"/>
  <c r="CS58" i="13" s="1"/>
  <c r="CT58" i="13" s="1"/>
  <c r="CQ68" i="13"/>
  <c r="CR68" i="13" s="1"/>
  <c r="CS68" i="13" s="1"/>
  <c r="CT68" i="13" s="1"/>
  <c r="CP69" i="13"/>
  <c r="CP70" i="13" s="1"/>
  <c r="CT67" i="13"/>
  <c r="AH14" i="14"/>
  <c r="AP4" i="14" l="1"/>
  <c r="CS57" i="13"/>
  <c r="CT57" i="13" s="1"/>
  <c r="CQ69" i="13"/>
  <c r="CR69" i="13" s="1"/>
  <c r="CS69" i="13" s="1"/>
  <c r="CT69" i="13" s="1"/>
  <c r="CQ70" i="13"/>
  <c r="CP71" i="13"/>
  <c r="AW5" i="14"/>
  <c r="AF14" i="14"/>
  <c r="U16" i="14"/>
  <c r="U7" i="14"/>
  <c r="AW6" i="14"/>
  <c r="AH15" i="14"/>
  <c r="AS6" i="14"/>
  <c r="CP72" i="13" l="1"/>
  <c r="CQ71" i="13"/>
  <c r="CR71" i="13" s="1"/>
  <c r="CS71" i="13" s="1"/>
  <c r="CT71" i="13" s="1"/>
  <c r="CR70" i="13"/>
  <c r="CS70" i="13" s="1"/>
  <c r="AC33" i="14"/>
  <c r="V16" i="14"/>
  <c r="W16" i="14" s="1"/>
  <c r="X16" i="14" s="1"/>
  <c r="V7" i="14"/>
  <c r="W7" i="14" s="1"/>
  <c r="X7" i="14" s="1"/>
  <c r="AF16" i="14"/>
  <c r="AH17" i="14"/>
  <c r="AS4" i="14"/>
  <c r="AH16" i="14"/>
  <c r="AF15" i="14"/>
  <c r="CT70" i="13" l="1"/>
  <c r="CQ72" i="13"/>
  <c r="CR72" i="13" s="1"/>
  <c r="CS72" i="13" s="1"/>
  <c r="CT72" i="13" s="1"/>
  <c r="CP73" i="13"/>
  <c r="AF17" i="14"/>
  <c r="AH18" i="14"/>
  <c r="AH19" i="14" s="1"/>
  <c r="Y7" i="14"/>
  <c r="Y16" i="14"/>
  <c r="AP5" i="14"/>
  <c r="AJ48" i="14"/>
  <c r="AR10" i="14"/>
  <c r="AJ50" i="14"/>
  <c r="U8" i="14"/>
  <c r="AJ51" i="14"/>
  <c r="AS5" i="14"/>
  <c r="AJ59" i="14"/>
  <c r="AJ58" i="14"/>
  <c r="CP76" i="13" l="1"/>
  <c r="CP74" i="13"/>
  <c r="CQ73" i="13"/>
  <c r="CR73" i="13" s="1"/>
  <c r="CS73" i="13" s="1"/>
  <c r="AC3" i="14"/>
  <c r="AD3" i="14" s="1"/>
  <c r="AE3" i="14" s="1"/>
  <c r="AC4" i="14"/>
  <c r="AD4" i="14" s="1"/>
  <c r="AE4" i="14" s="1"/>
  <c r="V8" i="14"/>
  <c r="W8" i="14" s="1"/>
  <c r="X8" i="14" s="1"/>
  <c r="Y8" i="14" s="1"/>
  <c r="AL15" i="14"/>
  <c r="C7" i="14"/>
  <c r="C8" i="14" s="1"/>
  <c r="AJ61" i="14"/>
  <c r="AL6" i="14"/>
  <c r="L7" i="14"/>
  <c r="AL29" i="14"/>
  <c r="AL38" i="14"/>
  <c r="L15" i="14"/>
  <c r="L6" i="14"/>
  <c r="AL10" i="14"/>
  <c r="AJ23" i="14"/>
  <c r="L13" i="14"/>
  <c r="L8" i="14"/>
  <c r="C3" i="14"/>
  <c r="AL12" i="14"/>
  <c r="AL30" i="14"/>
  <c r="AL11" i="14"/>
  <c r="AL28" i="14"/>
  <c r="AL42" i="14"/>
  <c r="AL24" i="14"/>
  <c r="AL16" i="14"/>
  <c r="AJ16" i="14"/>
  <c r="AL18" i="14"/>
  <c r="CQ74" i="13" l="1"/>
  <c r="CR74" i="13" s="1"/>
  <c r="CS74" i="13" s="1"/>
  <c r="CT74" i="13" s="1"/>
  <c r="AT21" i="13"/>
  <c r="AT22" i="13" s="1"/>
  <c r="F13" i="14"/>
  <c r="AM12" i="14"/>
  <c r="AN12" i="14" s="1"/>
  <c r="AO12" i="14" s="1"/>
  <c r="AP12" i="14" s="1"/>
  <c r="C2" i="14"/>
  <c r="L14" i="14" s="1"/>
  <c r="AM10" i="14"/>
  <c r="AN10" i="14" s="1"/>
  <c r="AT11" i="14"/>
  <c r="U11" i="14"/>
  <c r="V11" i="14" s="1"/>
  <c r="W11" i="14" s="1"/>
  <c r="X11" i="14" s="1"/>
  <c r="AL52" i="14"/>
  <c r="AM52" i="14" s="1"/>
  <c r="AN52" i="14" s="1"/>
  <c r="AO52" i="14" s="1"/>
  <c r="AP52" i="14" s="1"/>
  <c r="AM11" i="14"/>
  <c r="AN11" i="14" s="1"/>
  <c r="AO11" i="14" s="1"/>
  <c r="AP11" i="14" s="1"/>
  <c r="U10" i="14"/>
  <c r="V10" i="14" s="1"/>
  <c r="W10" i="14" s="1"/>
  <c r="AT16" i="14"/>
  <c r="AU16" i="14" s="1"/>
  <c r="AV16" i="14" s="1"/>
  <c r="I4" i="14"/>
  <c r="AM28" i="14"/>
  <c r="AN28" i="14" s="1"/>
  <c r="AO28" i="14" s="1"/>
  <c r="AM29" i="14"/>
  <c r="AN29" i="14" s="1"/>
  <c r="AO29" i="14" s="1"/>
  <c r="AM38" i="14"/>
  <c r="AN38" i="14" s="1"/>
  <c r="AO38" i="14" s="1"/>
  <c r="AJ17" i="14"/>
  <c r="AM30" i="14"/>
  <c r="AN30" i="14" s="1"/>
  <c r="AO30" i="14" s="1"/>
  <c r="L10" i="14"/>
  <c r="AM42" i="14"/>
  <c r="AN42" i="14" s="1"/>
  <c r="AM16" i="14"/>
  <c r="AN16" i="14" s="1"/>
  <c r="AO16" i="14" s="1"/>
  <c r="AC5" i="14"/>
  <c r="AM15" i="14"/>
  <c r="AN15" i="14" s="1"/>
  <c r="AO15" i="14" s="1"/>
  <c r="AM24" i="14"/>
  <c r="AN24" i="14" s="1"/>
  <c r="AO24" i="14" s="1"/>
  <c r="AP24" i="14" s="1"/>
  <c r="CT73" i="13"/>
  <c r="CQ76" i="13"/>
  <c r="CR76" i="13" s="1"/>
  <c r="AL17" i="14"/>
  <c r="AM17" i="14" s="1"/>
  <c r="AN17" i="14" s="1"/>
  <c r="AM18" i="14"/>
  <c r="AN18" i="14" s="1"/>
  <c r="AO18" i="14" s="1"/>
  <c r="AI33" i="14"/>
  <c r="AI37" i="14"/>
  <c r="AJ19" i="14"/>
  <c r="AL54" i="14"/>
  <c r="L11" i="14"/>
  <c r="AL44" i="14"/>
  <c r="AL32" i="14"/>
  <c r="C5" i="14"/>
  <c r="AL43" i="14"/>
  <c r="AQ18" i="14"/>
  <c r="AJ18" i="14"/>
  <c r="AI18" i="14"/>
  <c r="AL23" i="14"/>
  <c r="AL41" i="14"/>
  <c r="AL13" i="14"/>
  <c r="L12" i="14"/>
  <c r="AT12" i="14"/>
  <c r="F14" i="14"/>
  <c r="AL27" i="14"/>
  <c r="L9" i="14"/>
  <c r="N19" i="14"/>
  <c r="C18" i="14"/>
  <c r="AL31" i="14"/>
  <c r="C9" i="14"/>
  <c r="AL22" i="14"/>
  <c r="AL35" i="14"/>
  <c r="AL39" i="14"/>
  <c r="AM32" i="14" l="1"/>
  <c r="AN32" i="14" s="1"/>
  <c r="AM31" i="14"/>
  <c r="AN31" i="14" s="1"/>
  <c r="AO31" i="14" s="1"/>
  <c r="AP31" i="14" s="1"/>
  <c r="U9" i="14"/>
  <c r="V9" i="14" s="1"/>
  <c r="W9" i="14" s="1"/>
  <c r="AT9" i="14"/>
  <c r="AU9" i="14" s="1"/>
  <c r="AV9" i="14" s="1"/>
  <c r="AW9" i="14" s="1"/>
  <c r="AX9" i="14" s="1"/>
  <c r="AM13" i="14"/>
  <c r="AN13" i="14" s="1"/>
  <c r="X10" i="14"/>
  <c r="Y10" i="14" s="1"/>
  <c r="AO10" i="14"/>
  <c r="AP10" i="14" s="1"/>
  <c r="AP28" i="14"/>
  <c r="AF4" i="14"/>
  <c r="AG4" i="14" s="1"/>
  <c r="AH4" i="14" s="1"/>
  <c r="AP30" i="14"/>
  <c r="AU12" i="14"/>
  <c r="AV12" i="14" s="1"/>
  <c r="AW12" i="14" s="1"/>
  <c r="AX12" i="14" s="1"/>
  <c r="F15" i="14"/>
  <c r="O6" i="14"/>
  <c r="AM54" i="14"/>
  <c r="AN54" i="14" s="1"/>
  <c r="AO54" i="14" s="1"/>
  <c r="AP54" i="14" s="1"/>
  <c r="C10" i="14"/>
  <c r="AU11" i="14"/>
  <c r="AV11" i="14" s="1"/>
  <c r="AW11" i="14" s="1"/>
  <c r="AX11" i="14" s="1"/>
  <c r="AP29" i="14"/>
  <c r="U12" i="14"/>
  <c r="V12" i="14" s="1"/>
  <c r="W12" i="14" s="1"/>
  <c r="X12" i="14" s="1"/>
  <c r="AP38" i="14"/>
  <c r="AM43" i="14"/>
  <c r="AN43" i="14" s="1"/>
  <c r="AO43" i="14" s="1"/>
  <c r="AO42" i="14"/>
  <c r="AP42" i="14" s="1"/>
  <c r="AP16" i="14"/>
  <c r="AM44" i="14"/>
  <c r="AN44" i="14" s="1"/>
  <c r="AM41" i="14"/>
  <c r="AN41" i="14" s="1"/>
  <c r="AO41" i="14" s="1"/>
  <c r="AM23" i="14"/>
  <c r="AN23" i="14" s="1"/>
  <c r="AO23" i="14" s="1"/>
  <c r="AM39" i="14"/>
  <c r="AN39" i="14" s="1"/>
  <c r="C6" i="14"/>
  <c r="AP15" i="14"/>
  <c r="AO32" i="14"/>
  <c r="AP32" i="14" s="1"/>
  <c r="AM35" i="14"/>
  <c r="AN35" i="14" s="1"/>
  <c r="CS76" i="13"/>
  <c r="CT76" i="13" s="1"/>
  <c r="U14" i="14"/>
  <c r="V14" i="14" s="1"/>
  <c r="W14" i="14" s="1"/>
  <c r="X14" i="14" s="1"/>
  <c r="AM27" i="14"/>
  <c r="AN27" i="14" s="1"/>
  <c r="X9" i="14"/>
  <c r="Y9" i="14" s="1"/>
  <c r="AM22" i="14"/>
  <c r="AN22" i="14" s="1"/>
  <c r="AP18" i="14"/>
  <c r="AO17" i="14"/>
  <c r="AP17" i="14" s="1"/>
  <c r="AW16" i="14"/>
  <c r="AX16" i="14" s="1"/>
  <c r="Y11" i="14"/>
  <c r="C19" i="14"/>
  <c r="AL20" i="14"/>
  <c r="AL50" i="14"/>
  <c r="AL21" i="14"/>
  <c r="AL37" i="14"/>
  <c r="AL45" i="14"/>
  <c r="I12" i="14"/>
  <c r="AL26" i="14"/>
  <c r="I2" i="14"/>
  <c r="AI38" i="14"/>
  <c r="AL33" i="14"/>
  <c r="C11" i="14"/>
  <c r="AL25" i="14"/>
  <c r="AL46" i="14"/>
  <c r="AM20" i="14" l="1"/>
  <c r="AN20" i="14" s="1"/>
  <c r="AO20" i="14" s="1"/>
  <c r="AP20" i="14" s="1"/>
  <c r="AT10" i="14"/>
  <c r="AT13" i="14" s="1"/>
  <c r="AO13" i="14"/>
  <c r="AP13" i="14" s="1"/>
  <c r="Y12" i="14"/>
  <c r="AI23" i="14"/>
  <c r="I3" i="14"/>
  <c r="I5" i="14" s="1"/>
  <c r="I6" i="14" s="1"/>
  <c r="F8" i="14"/>
  <c r="F9" i="14" s="1"/>
  <c r="AP43" i="14"/>
  <c r="AM45" i="14"/>
  <c r="AN45" i="14" s="1"/>
  <c r="AO45" i="14" s="1"/>
  <c r="AP45" i="14" s="1"/>
  <c r="AM46" i="14"/>
  <c r="AN46" i="14" s="1"/>
  <c r="AO46" i="14" s="1"/>
  <c r="AP46" i="14" s="1"/>
  <c r="AP23" i="14"/>
  <c r="AP41" i="14"/>
  <c r="AO44" i="14"/>
  <c r="AP44" i="14" s="1"/>
  <c r="AM25" i="14"/>
  <c r="AN25" i="14" s="1"/>
  <c r="AO25" i="14" s="1"/>
  <c r="AM21" i="14"/>
  <c r="AN21" i="14" s="1"/>
  <c r="AO39" i="14"/>
  <c r="AP39" i="14" s="1"/>
  <c r="AM37" i="14"/>
  <c r="AN37" i="14" s="1"/>
  <c r="AO37" i="14" s="1"/>
  <c r="AP37" i="14" s="1"/>
  <c r="AM26" i="14"/>
  <c r="AN26" i="14" s="1"/>
  <c r="AO26" i="14" s="1"/>
  <c r="AP26" i="14" s="1"/>
  <c r="AM50" i="14"/>
  <c r="AN50" i="14" s="1"/>
  <c r="AO50" i="14" s="1"/>
  <c r="AP50" i="14" s="1"/>
  <c r="AL57" i="14"/>
  <c r="AM57" i="14" s="1"/>
  <c r="AN57" i="14" s="1"/>
  <c r="AO57" i="14" s="1"/>
  <c r="AP57" i="14" s="1"/>
  <c r="AO35" i="14"/>
  <c r="AP35" i="14" s="1"/>
  <c r="AO27" i="14"/>
  <c r="AP27" i="14" s="1"/>
  <c r="AJ38" i="14"/>
  <c r="AM33" i="14"/>
  <c r="AN33" i="14" s="1"/>
  <c r="AO33" i="14" s="1"/>
  <c r="AP33" i="14" s="1"/>
  <c r="Y14" i="14"/>
  <c r="AU10" i="14"/>
  <c r="AV10" i="14" s="1"/>
  <c r="AW10" i="14" s="1"/>
  <c r="AX10" i="14" s="1"/>
  <c r="AO22" i="14"/>
  <c r="AP22" i="14" s="1"/>
  <c r="I7" i="14"/>
  <c r="F10" i="14"/>
  <c r="AL19" i="14"/>
  <c r="AT14" i="14"/>
  <c r="AL47" i="14"/>
  <c r="C12" i="14"/>
  <c r="L21" i="14"/>
  <c r="AT15" i="14" l="1"/>
  <c r="AU15" i="14" s="1"/>
  <c r="AV15" i="14" s="1"/>
  <c r="AW15" i="14" s="1"/>
  <c r="AX15" i="14" s="1"/>
  <c r="AU14" i="14"/>
  <c r="AV14" i="14" s="1"/>
  <c r="AU13" i="14"/>
  <c r="F3" i="14"/>
  <c r="O7" i="14"/>
  <c r="O8" i="14" s="1"/>
  <c r="O9" i="14" s="1"/>
  <c r="AL14" i="14"/>
  <c r="AM14" i="14" s="1"/>
  <c r="AN14" i="14" s="1"/>
  <c r="AO14" i="14" s="1"/>
  <c r="U15" i="14"/>
  <c r="V15" i="14" s="1"/>
  <c r="W15" i="14" s="1"/>
  <c r="AM19" i="14"/>
  <c r="AN19" i="14" s="1"/>
  <c r="AO19" i="14" s="1"/>
  <c r="AP19" i="14" s="1"/>
  <c r="AM47" i="14"/>
  <c r="AN47" i="14" s="1"/>
  <c r="AO47" i="14" s="1"/>
  <c r="AP47" i="14" s="1"/>
  <c r="AP25" i="14"/>
  <c r="AO21" i="14"/>
  <c r="AP21" i="14" s="1"/>
  <c r="AT17" i="14"/>
  <c r="AT19" i="14"/>
  <c r="AF5" i="14" s="1"/>
  <c r="I8" i="14"/>
  <c r="I31" i="14"/>
  <c r="I9" i="14"/>
  <c r="AL48" i="14"/>
  <c r="F4" i="14"/>
  <c r="C13" i="14"/>
  <c r="AT18" i="14" l="1"/>
  <c r="AF3" i="14"/>
  <c r="AG3" i="14" s="1"/>
  <c r="AH3" i="14" s="1"/>
  <c r="AW14" i="14"/>
  <c r="AX14" i="14" s="1"/>
  <c r="AV13" i="14"/>
  <c r="AW13" i="14" s="1"/>
  <c r="AX13" i="14" s="1"/>
  <c r="X15" i="14"/>
  <c r="Y15" i="14" s="1"/>
  <c r="C15" i="14"/>
  <c r="O5" i="14"/>
  <c r="AM48" i="14"/>
  <c r="AN48" i="14" s="1"/>
  <c r="AO48" i="14" s="1"/>
  <c r="I10" i="14"/>
  <c r="AP14" i="14"/>
  <c r="I11" i="14"/>
  <c r="F2" i="14"/>
  <c r="F5" i="14" l="1"/>
  <c r="AP48" i="14"/>
  <c r="I13" i="14"/>
  <c r="F24" i="14"/>
  <c r="F6" i="14"/>
  <c r="F26" i="14"/>
  <c r="I14" i="14"/>
  <c r="F7" i="14" l="1"/>
  <c r="I15" i="14"/>
  <c r="F25" i="14"/>
  <c r="F11" i="14"/>
  <c r="L2" i="14"/>
  <c r="L3" i="14" l="1"/>
  <c r="L4" i="14"/>
  <c r="F12" i="14"/>
  <c r="L5" i="14" l="1"/>
  <c r="C20" i="14"/>
  <c r="C21" i="14" s="1"/>
  <c r="C22" i="14" s="1"/>
  <c r="C23" i="14" s="1"/>
  <c r="L23" i="14"/>
  <c r="F30" i="14"/>
  <c r="C24" i="14" l="1"/>
  <c r="C25" i="14"/>
  <c r="C26" i="14" l="1"/>
  <c r="C27" i="14" s="1"/>
  <c r="C28" i="14" s="1"/>
  <c r="C29" i="14" s="1"/>
  <c r="C30" i="14" s="1"/>
  <c r="C31" i="14"/>
  <c r="L27" i="14" l="1"/>
  <c r="L28" i="14" s="1"/>
  <c r="F18" i="14"/>
  <c r="F19" i="14"/>
  <c r="L30" i="14"/>
  <c r="L20" i="14"/>
  <c r="L22" i="14" l="1"/>
  <c r="L24" i="14" s="1"/>
  <c r="F20" i="14"/>
  <c r="L25" i="14"/>
  <c r="F21" i="14"/>
  <c r="L29" i="14" l="1"/>
  <c r="F22" i="14"/>
  <c r="F23" i="14" s="1"/>
  <c r="L31" i="14"/>
  <c r="L32" i="14" l="1"/>
  <c r="I19" i="14"/>
  <c r="F27" i="14"/>
  <c r="L33" i="14"/>
  <c r="F28" i="14"/>
  <c r="I20" i="14"/>
  <c r="L34" i="14" l="1"/>
  <c r="F29" i="14"/>
  <c r="F31" i="14" s="1"/>
  <c r="I18" i="14"/>
  <c r="AA33" i="14" l="1"/>
  <c r="I21" i="14"/>
  <c r="I22" i="14" l="1"/>
  <c r="I23" i="14"/>
  <c r="M27" i="14" l="1"/>
  <c r="I24" i="14"/>
  <c r="I25" i="14"/>
  <c r="I26" i="14" l="1"/>
  <c r="I27" i="14"/>
  <c r="L19" i="14" l="1"/>
  <c r="AL36" i="14" s="1"/>
  <c r="I28" i="14"/>
  <c r="AM36" i="14" l="1"/>
  <c r="AN36" i="14" s="1"/>
  <c r="AO36" i="14" s="1"/>
  <c r="AP36" i="14" s="1"/>
  <c r="AL40" i="14"/>
  <c r="AM40" i="14" s="1"/>
  <c r="AN40" i="14" s="1"/>
  <c r="AO40" i="14" s="1"/>
  <c r="AP40" i="14" s="1"/>
  <c r="GK8" i="16"/>
  <c r="I29" i="14"/>
  <c r="GM15" i="16" l="1"/>
  <c r="GL21" i="16" s="1"/>
  <c r="GS27" i="16"/>
  <c r="GS23" i="16"/>
  <c r="GS29" i="16"/>
  <c r="GM21" i="16"/>
  <c r="GS25" i="16"/>
  <c r="GS28" i="16"/>
  <c r="I30" i="14"/>
  <c r="GS26" i="16"/>
  <c r="GS24" i="16"/>
  <c r="GN23" i="16" l="1"/>
  <c r="L18" i="14"/>
  <c r="AL34" i="14" s="1"/>
  <c r="AL49" i="14" s="1"/>
  <c r="AL59" i="14" s="1"/>
  <c r="GL18" i="16"/>
  <c r="GL19" i="16" s="1"/>
  <c r="GN24" i="16" l="1"/>
  <c r="GO23" i="16"/>
  <c r="AM34" i="14"/>
  <c r="AN34" i="14" s="1"/>
  <c r="AO34" i="14" s="1"/>
  <c r="AP34" i="14" s="1"/>
  <c r="GQ23" i="16"/>
  <c r="GR23" i="16" s="1"/>
  <c r="AL51" i="14"/>
  <c r="AM49" i="14"/>
  <c r="AN49" i="14" s="1"/>
  <c r="AO49" i="14" s="1"/>
  <c r="GN25" i="16" l="1"/>
  <c r="GO24" i="16"/>
  <c r="AM51" i="14"/>
  <c r="AN51" i="14" s="1"/>
  <c r="AO51" i="14" s="1"/>
  <c r="AP51" i="14" s="1"/>
  <c r="AL53" i="14"/>
  <c r="AP49" i="14"/>
  <c r="GQ24" i="16"/>
  <c r="GR24" i="16" s="1"/>
  <c r="Z4" i="14"/>
  <c r="AA4" i="14" s="1"/>
  <c r="AB4" i="14" s="1"/>
  <c r="AM59" i="14"/>
  <c r="AN59" i="14" s="1"/>
  <c r="AO59" i="14" s="1"/>
  <c r="GT23" i="16"/>
  <c r="AL55" i="14"/>
  <c r="GO25" i="16" l="1"/>
  <c r="GN26" i="16"/>
  <c r="AP59" i="14"/>
  <c r="AM55" i="14"/>
  <c r="AN55" i="14" s="1"/>
  <c r="AO55" i="14" s="1"/>
  <c r="AP55" i="14" s="1"/>
  <c r="AL58" i="14"/>
  <c r="AL56" i="14"/>
  <c r="AM56" i="14" s="1"/>
  <c r="AN56" i="14" s="1"/>
  <c r="AO56" i="14" s="1"/>
  <c r="AP56" i="14" s="1"/>
  <c r="GU23" i="16"/>
  <c r="GV23" i="16" s="1"/>
  <c r="AM53" i="14"/>
  <c r="AN53" i="14" s="1"/>
  <c r="AO53" i="14" s="1"/>
  <c r="GT24" i="16"/>
  <c r="GQ25" i="16"/>
  <c r="GO26" i="16" l="1"/>
  <c r="GN27" i="16"/>
  <c r="AP53" i="14"/>
  <c r="GT25" i="16"/>
  <c r="GR25" i="16"/>
  <c r="GQ26" i="16"/>
  <c r="GU24" i="16"/>
  <c r="GV24" i="16" s="1"/>
  <c r="GW24" i="16" s="1"/>
  <c r="GX24" i="16" s="1"/>
  <c r="AM58" i="14"/>
  <c r="AN58" i="14" s="1"/>
  <c r="AO58" i="14" s="1"/>
  <c r="AP58" i="14" s="1"/>
  <c r="Z3" i="14"/>
  <c r="U17" i="14" s="1"/>
  <c r="U18" i="14" s="1"/>
  <c r="U19" i="14" s="1"/>
  <c r="AK60" i="14"/>
  <c r="GW23" i="16"/>
  <c r="GX23" i="16" s="1"/>
  <c r="U20" i="14"/>
  <c r="GO27" i="16" l="1"/>
  <c r="GN28" i="16"/>
  <c r="U13" i="14"/>
  <c r="V13" i="14" s="1"/>
  <c r="W13" i="14" s="1"/>
  <c r="X13" i="14" s="1"/>
  <c r="Y13" i="14" s="1"/>
  <c r="AA3" i="14"/>
  <c r="AB3" i="14" s="1"/>
  <c r="GQ27" i="16"/>
  <c r="GR26" i="16"/>
  <c r="GU25" i="16"/>
  <c r="GV25" i="16" s="1"/>
  <c r="GW25" i="16" s="1"/>
  <c r="AJ2" i="14"/>
  <c r="AL61" i="14"/>
  <c r="GT26" i="16"/>
  <c r="U23" i="14"/>
  <c r="U21" i="14"/>
  <c r="GO28" i="16" l="1"/>
  <c r="GN29" i="16"/>
  <c r="GO29" i="16" s="1"/>
  <c r="GX25" i="16"/>
  <c r="GT27" i="16"/>
  <c r="GQ28" i="16"/>
  <c r="GR27" i="16"/>
  <c r="V18" i="14"/>
  <c r="W18" i="14" s="1"/>
  <c r="X18" i="14" s="1"/>
  <c r="Y18" i="14" s="1"/>
  <c r="AI2" i="14"/>
  <c r="Z5" i="14"/>
  <c r="GU26" i="16"/>
  <c r="GV26" i="16" s="1"/>
  <c r="U25" i="14"/>
  <c r="GW26" i="16" l="1"/>
  <c r="GX26" i="16" s="1"/>
  <c r="V20" i="14"/>
  <c r="W20" i="14" s="1"/>
  <c r="GU27" i="16"/>
  <c r="GV27" i="16" s="1"/>
  <c r="GQ29" i="16"/>
  <c r="GR29" i="16" s="1"/>
  <c r="GR28" i="16"/>
  <c r="V19" i="14"/>
  <c r="W19" i="14" s="1"/>
  <c r="X19" i="14" s="1"/>
  <c r="GT28" i="16"/>
  <c r="GT29" i="16"/>
  <c r="U22" i="14"/>
  <c r="V23" i="14" l="1"/>
  <c r="W23" i="14" s="1"/>
  <c r="X23" i="14" s="1"/>
  <c r="Y23" i="14" s="1"/>
  <c r="V22" i="14"/>
  <c r="W22" i="14" s="1"/>
  <c r="X22" i="14" s="1"/>
  <c r="Y22" i="14" s="1"/>
  <c r="V21" i="14"/>
  <c r="W21" i="14" s="1"/>
  <c r="X21" i="14" s="1"/>
  <c r="Y21" i="14" s="1"/>
  <c r="Y19" i="14"/>
  <c r="GW27" i="16"/>
  <c r="GX27" i="16" s="1"/>
  <c r="GU29" i="16"/>
  <c r="GV29" i="16" s="1"/>
  <c r="GW29" i="16" s="1"/>
  <c r="GU28" i="16"/>
  <c r="GV28" i="16" s="1"/>
  <c r="X20" i="14"/>
  <c r="Y20" i="14" s="1"/>
  <c r="U24" i="14"/>
  <c r="V24" i="14" l="1"/>
  <c r="W24" i="14" s="1"/>
  <c r="X24" i="14" s="1"/>
  <c r="Y24" i="14" s="1"/>
  <c r="Z32" i="14" s="1"/>
  <c r="Z33" i="14" s="1"/>
  <c r="Z34" i="14" s="1"/>
  <c r="AA34" i="14" s="1"/>
  <c r="AB34" i="14" s="1"/>
  <c r="AC34" i="14" s="1"/>
  <c r="AD34" i="14" s="1"/>
  <c r="V25" i="14"/>
  <c r="W25" i="14" s="1"/>
  <c r="X25" i="14" s="1"/>
  <c r="Y25" i="14" s="1"/>
  <c r="GX29" i="16"/>
  <c r="GW28" i="16"/>
  <c r="GX28" i="16" s="1"/>
  <c r="U27" i="14"/>
  <c r="U26" i="14"/>
  <c r="U28" i="14" l="1"/>
  <c r="V26" i="14"/>
  <c r="W26" i="14" s="1"/>
  <c r="X26" i="14" s="1"/>
  <c r="Y26" i="14" s="1"/>
  <c r="V27" i="14"/>
  <c r="W27" i="14" s="1"/>
  <c r="X27" i="14" s="1"/>
  <c r="Y27" i="14" s="1"/>
  <c r="V28" i="14" l="1"/>
  <c r="W28" i="14" s="1"/>
  <c r="X28" i="14" l="1"/>
  <c r="Y28" i="14" s="1"/>
</calcChain>
</file>

<file path=xl/comments1.xml><?xml version="1.0" encoding="utf-8"?>
<comments xmlns="http://schemas.openxmlformats.org/spreadsheetml/2006/main">
  <authors>
    <author>pc</author>
  </authors>
  <commentList>
    <comment ref="M124" authorId="0" shapeId="0">
      <text>
        <r>
          <rPr>
            <b/>
            <sz val="9"/>
            <color indexed="81"/>
            <rFont val="Tahoma"/>
            <family val="2"/>
          </rPr>
          <t>pc:
در کتاب 36 10 6 نوشته شده است که ظاهرا خطا است و 36 10 7 صحیح است.</t>
        </r>
      </text>
    </comment>
  </commentList>
</comments>
</file>

<file path=xl/sharedStrings.xml><?xml version="1.0" encoding="utf-8"?>
<sst xmlns="http://schemas.openxmlformats.org/spreadsheetml/2006/main" count="15680" uniqueCount="4713">
  <si>
    <t>سال مفروض</t>
  </si>
  <si>
    <t>مدخل سال</t>
  </si>
  <si>
    <t>سال هندی</t>
  </si>
  <si>
    <t>سال</t>
  </si>
  <si>
    <t>ماه</t>
  </si>
  <si>
    <t>روز</t>
  </si>
  <si>
    <t>طوفان تا بخت نصر</t>
  </si>
  <si>
    <t>روز تامه</t>
  </si>
  <si>
    <t>ماه تامه</t>
  </si>
  <si>
    <t>ماه ناقصه</t>
  </si>
  <si>
    <t>هبوط تا بخت نصر</t>
  </si>
  <si>
    <t>سال ملکی جلالی ناقصه</t>
  </si>
  <si>
    <t>ید لا نه یه که</t>
  </si>
  <si>
    <t>یا یو ن لط له</t>
  </si>
  <si>
    <t xml:space="preserve">سال عیسوی ناقصه </t>
  </si>
  <si>
    <t xml:space="preserve">سال رومی اسکندرانی ناقصه </t>
  </si>
  <si>
    <t>سال بخت نصری</t>
  </si>
  <si>
    <t>مدخل ماه ها</t>
  </si>
  <si>
    <t>سال فرسی قدیمی</t>
  </si>
  <si>
    <t>فروردین</t>
  </si>
  <si>
    <t>اردیبهشت</t>
  </si>
  <si>
    <t>تیر</t>
  </si>
  <si>
    <t>خورداد</t>
  </si>
  <si>
    <t>امرداد</t>
  </si>
  <si>
    <t>شهریور</t>
  </si>
  <si>
    <t>مهر</t>
  </si>
  <si>
    <t xml:space="preserve">آبان </t>
  </si>
  <si>
    <t>آذر</t>
  </si>
  <si>
    <t>دی</t>
  </si>
  <si>
    <t>بهمن</t>
  </si>
  <si>
    <t>اسفندارمذ</t>
  </si>
  <si>
    <t>خمسه مسترقه</t>
  </si>
  <si>
    <t xml:space="preserve">تشرین الاول </t>
  </si>
  <si>
    <t>تشرین الآخر</t>
  </si>
  <si>
    <t>کانون الاول</t>
  </si>
  <si>
    <t>کانون الآخر</t>
  </si>
  <si>
    <t>شباط</t>
  </si>
  <si>
    <t>آذار</t>
  </si>
  <si>
    <t>نیسان</t>
  </si>
  <si>
    <t>تموز</t>
  </si>
  <si>
    <t>آب</t>
  </si>
  <si>
    <t>ایلول</t>
  </si>
  <si>
    <t>حریزان</t>
  </si>
  <si>
    <t>ایاز</t>
  </si>
  <si>
    <t>باب</t>
  </si>
  <si>
    <t xml:space="preserve">باب </t>
  </si>
  <si>
    <t>سال هجری قمری</t>
  </si>
  <si>
    <t>توث</t>
  </si>
  <si>
    <t>ماوبی</t>
  </si>
  <si>
    <t>اثور</t>
  </si>
  <si>
    <t>خواق</t>
  </si>
  <si>
    <t>طوبی</t>
  </si>
  <si>
    <t>ماخیز</t>
  </si>
  <si>
    <t>فامانوث</t>
  </si>
  <si>
    <t>فرموثی</t>
  </si>
  <si>
    <t>ماخوز</t>
  </si>
  <si>
    <t>بورنی</t>
  </si>
  <si>
    <t>انیقی</t>
  </si>
  <si>
    <t>ماسوری</t>
  </si>
  <si>
    <t>مداخل ماه ها اشتباه است</t>
  </si>
  <si>
    <t>سال قمری</t>
  </si>
  <si>
    <t>هبوط تا هجرت</t>
  </si>
  <si>
    <t>روز از اول سال</t>
  </si>
  <si>
    <t>باقیمانده</t>
  </si>
  <si>
    <t>مدخل سال هجری</t>
  </si>
  <si>
    <t>محرم</t>
  </si>
  <si>
    <t>صفر</t>
  </si>
  <si>
    <t>ربیع الاول</t>
  </si>
  <si>
    <t>ربیع الثانی</t>
  </si>
  <si>
    <t>جمادی الاولی</t>
  </si>
  <si>
    <t>جمادی الآخر]</t>
  </si>
  <si>
    <t>رجب</t>
  </si>
  <si>
    <t>شعبان</t>
  </si>
  <si>
    <t>رمضان</t>
  </si>
  <si>
    <t>شوال</t>
  </si>
  <si>
    <t>ذی القعده</t>
  </si>
  <si>
    <t>ذی الحجه</t>
  </si>
  <si>
    <t>یک سال قمری</t>
  </si>
  <si>
    <t>سطر جدول</t>
  </si>
  <si>
    <t>ستون جدول</t>
  </si>
  <si>
    <t>سال حقیقی شمسی</t>
  </si>
  <si>
    <t>سال هبوطی</t>
  </si>
  <si>
    <t>سال طوفانی</t>
  </si>
  <si>
    <t>سال اسکندرانی</t>
  </si>
  <si>
    <t xml:space="preserve"> تا هجرت</t>
  </si>
  <si>
    <t>کل روزها</t>
  </si>
  <si>
    <t>سال ناقصه</t>
  </si>
  <si>
    <t>مقدار یک سال</t>
  </si>
  <si>
    <t>خرداد</t>
  </si>
  <si>
    <t>مرداد</t>
  </si>
  <si>
    <t>آبان</t>
  </si>
  <si>
    <t>اسقند</t>
  </si>
  <si>
    <t>جمادی الآخرة</t>
  </si>
  <si>
    <t>ربیع الآخر</t>
  </si>
  <si>
    <t>ذی القعدة</t>
  </si>
  <si>
    <t>ذی الحجة</t>
  </si>
  <si>
    <t>نام ماه ها</t>
  </si>
  <si>
    <t>-</t>
  </si>
  <si>
    <t>مـــــــــــــــــــدخل</t>
  </si>
  <si>
    <t>سال ترکی</t>
  </si>
  <si>
    <t>سال میلادی</t>
  </si>
  <si>
    <t>ژانویه</t>
  </si>
  <si>
    <t>فوریه</t>
  </si>
  <si>
    <t>مارس</t>
  </si>
  <si>
    <t>آوریل</t>
  </si>
  <si>
    <t>می</t>
  </si>
  <si>
    <t>ژوئن</t>
  </si>
  <si>
    <t>جولای</t>
  </si>
  <si>
    <t>اگست</t>
  </si>
  <si>
    <t>سپتامبر</t>
  </si>
  <si>
    <t>اکتبر</t>
  </si>
  <si>
    <t>نوامبر</t>
  </si>
  <si>
    <t>دسامبر</t>
  </si>
  <si>
    <t xml:space="preserve">سال یزدگردی </t>
  </si>
  <si>
    <t>سال جلالی</t>
  </si>
  <si>
    <t>سال هندی سنبت</t>
  </si>
  <si>
    <t>ماه های قمری</t>
  </si>
  <si>
    <t>بروج</t>
  </si>
  <si>
    <t>بیاکهه</t>
  </si>
  <si>
    <t>میکهه</t>
  </si>
  <si>
    <t>جیئهه</t>
  </si>
  <si>
    <t>برکهه</t>
  </si>
  <si>
    <t>اساوه</t>
  </si>
  <si>
    <t>متهن</t>
  </si>
  <si>
    <t>سافون</t>
  </si>
  <si>
    <t>کرک</t>
  </si>
  <si>
    <t>بهادون</t>
  </si>
  <si>
    <t>سنکهه</t>
  </si>
  <si>
    <t>کنوار - اسن</t>
  </si>
  <si>
    <t>کنیان</t>
  </si>
  <si>
    <t>کانک</t>
  </si>
  <si>
    <t>تولا</t>
  </si>
  <si>
    <t>اگهن</t>
  </si>
  <si>
    <t>برچهک</t>
  </si>
  <si>
    <t>پوس</t>
  </si>
  <si>
    <t>واهن</t>
  </si>
  <si>
    <t>ماگهه</t>
  </si>
  <si>
    <t>مکر</t>
  </si>
  <si>
    <t>پهاکن</t>
  </si>
  <si>
    <t>مکتبهه</t>
  </si>
  <si>
    <t>چیت</t>
  </si>
  <si>
    <t>مین</t>
  </si>
  <si>
    <t>سال محمد شاهی</t>
  </si>
  <si>
    <t>سال طغیانی</t>
  </si>
  <si>
    <t>ورودی</t>
  </si>
  <si>
    <t>نام سال</t>
  </si>
  <si>
    <t>عدد</t>
  </si>
  <si>
    <t>تعداد روز تا مبدا</t>
  </si>
  <si>
    <t>هجري</t>
  </si>
  <si>
    <t>اسکندرانی</t>
  </si>
  <si>
    <t>هجری</t>
  </si>
  <si>
    <t>شمسی</t>
  </si>
  <si>
    <t>هبوطی</t>
  </si>
  <si>
    <t>طوفانی</t>
  </si>
  <si>
    <t>بخت نصری</t>
  </si>
  <si>
    <t>رومی اسکندرانی</t>
  </si>
  <si>
    <t>ترکی</t>
  </si>
  <si>
    <t>هندی</t>
  </si>
  <si>
    <t>عیسوی</t>
  </si>
  <si>
    <t>شاکه شالباهن</t>
  </si>
  <si>
    <t>جلالی</t>
  </si>
  <si>
    <t>الهی</t>
  </si>
  <si>
    <t>ولایتی</t>
  </si>
  <si>
    <t>طغیانی</t>
  </si>
  <si>
    <t>محمدشاهی</t>
  </si>
  <si>
    <t>ماه ها</t>
  </si>
  <si>
    <t>دقیقه</t>
  </si>
  <si>
    <t>ثانیه</t>
  </si>
  <si>
    <t>ثالثه</t>
  </si>
  <si>
    <t>جیب میل کلی</t>
  </si>
  <si>
    <t>میل کلی</t>
  </si>
  <si>
    <t xml:space="preserve"> میل اول</t>
  </si>
  <si>
    <t>درجه</t>
  </si>
  <si>
    <t>برج</t>
  </si>
  <si>
    <t>حصه بعد: قوسی از دایره عرض ما بین کوکب تا معدل</t>
  </si>
  <si>
    <t>عرض کوکب</t>
  </si>
  <si>
    <t>جهت</t>
  </si>
  <si>
    <t>عرض بلد</t>
  </si>
  <si>
    <t>غايت ارتفاع کوکب</t>
  </si>
  <si>
    <t>شمالی</t>
  </si>
  <si>
    <t>اسفند</t>
  </si>
  <si>
    <t>اول</t>
  </si>
  <si>
    <t>دوم</t>
  </si>
  <si>
    <t>سوم</t>
  </si>
  <si>
    <t>چهارم</t>
  </si>
  <si>
    <t>پنجم</t>
  </si>
  <si>
    <t>ششم</t>
  </si>
  <si>
    <t>هفتم</t>
  </si>
  <si>
    <t>هشتم</t>
  </si>
  <si>
    <t>نهم</t>
  </si>
  <si>
    <t>دهم</t>
  </si>
  <si>
    <t>یازدهم</t>
  </si>
  <si>
    <t>دوازدهم</t>
  </si>
  <si>
    <t>بعد جزء مفروض از انقلاب اقرب</t>
  </si>
  <si>
    <t>بعد جزء مفروض از رأس الحمل</t>
  </si>
  <si>
    <t>میل منکوس جزء مفروض</t>
  </si>
  <si>
    <t>میل ثانی - طریقه دوم</t>
  </si>
  <si>
    <t>میل ثانی - طریقه اول</t>
  </si>
  <si>
    <t>میل ثانی - طریقه سوم</t>
  </si>
  <si>
    <t>رابعه</t>
  </si>
  <si>
    <t>خامسه</t>
  </si>
  <si>
    <t>سادسه</t>
  </si>
  <si>
    <t>عشری</t>
  </si>
  <si>
    <t>حصه بعد</t>
  </si>
  <si>
    <t>بعد کوکب از معدل - طریقه اول</t>
  </si>
  <si>
    <t>بعد کوکب از معدل - طریقه دوم</t>
  </si>
  <si>
    <t>مطالع بلدی</t>
  </si>
  <si>
    <t>مطالع استوایی - طریقه سوم</t>
  </si>
  <si>
    <t>مطالع استوایی - طریقه اول</t>
  </si>
  <si>
    <t>مطالع استوایی - طریقه دوم</t>
  </si>
  <si>
    <t>تعدیل النهار - طریقه اول</t>
  </si>
  <si>
    <t>تعدیل النهار - طریقه دوم</t>
  </si>
  <si>
    <t>تعدیل النهار - طریقه سوم</t>
  </si>
  <si>
    <t>تعدیل النهار - طریقه چهارم</t>
  </si>
  <si>
    <t>سعه مشرق</t>
  </si>
  <si>
    <t>بعد از انقلاب اقرب</t>
  </si>
  <si>
    <t>تعدیل النهار کلی</t>
  </si>
  <si>
    <t>ساعات نهار اطول بلد مفروض</t>
  </si>
  <si>
    <t>مطالع استوایی</t>
  </si>
  <si>
    <t>ساعت</t>
  </si>
  <si>
    <t>ارتفاع کوکب یا انخفاض</t>
  </si>
  <si>
    <t>حصه سمت</t>
  </si>
  <si>
    <t>انخفاض</t>
  </si>
  <si>
    <t>تعدیل سمت</t>
  </si>
  <si>
    <t>بعد از اعتدال اقرب</t>
  </si>
  <si>
    <t>طوالع جزء مطلوب - روش دوم</t>
  </si>
  <si>
    <t>میل ثانی مطالع استوایی</t>
  </si>
  <si>
    <t>میل اول</t>
  </si>
  <si>
    <t>اخذ میل منکوس</t>
  </si>
  <si>
    <t>طوالع جزء مطلوب - روش اول</t>
  </si>
  <si>
    <t>ارتفاع عاشر - روش اول</t>
  </si>
  <si>
    <t>عرض اقلیم رویت</t>
  </si>
  <si>
    <t>محفوظ</t>
  </si>
  <si>
    <t>جهت درجه طالع</t>
  </si>
  <si>
    <t>درجه عاشر</t>
  </si>
  <si>
    <t>مطالع بلدی نقطه طالع</t>
  </si>
  <si>
    <t>تعدیل طالع</t>
  </si>
  <si>
    <t>طوالع - روش اول</t>
  </si>
  <si>
    <t>طوالع - روش دوم(بدون نیاز به عرض اقلیم رویت)</t>
  </si>
  <si>
    <t>جزئی از منطقه که میل اولش مساوی عرض بلد است</t>
  </si>
  <si>
    <t>بعد مطالع از نظیره انقلاب</t>
  </si>
  <si>
    <t>بعد کوکب از ماره</t>
  </si>
  <si>
    <t>طول (تقویم) کوکب</t>
  </si>
  <si>
    <t>مىخل (موضع طول)</t>
  </si>
  <si>
    <t>حاصل</t>
  </si>
  <si>
    <t xml:space="preserve">مطالع بلدی </t>
  </si>
  <si>
    <t>مطالع درجه ممر - روش دوم</t>
  </si>
  <si>
    <t>مطالع درجه ممر - روش اول</t>
  </si>
  <si>
    <t>سمت - روش اول</t>
  </si>
  <si>
    <t xml:space="preserve">حاصل </t>
  </si>
  <si>
    <t>باقی</t>
  </si>
  <si>
    <t>محفوظ اول</t>
  </si>
  <si>
    <t>محفوظ دوم</t>
  </si>
  <si>
    <t>سمت - روش ىوم</t>
  </si>
  <si>
    <t>اجزای یک ساعت حقیقی به تقویم شمس</t>
  </si>
  <si>
    <t>اسد</t>
  </si>
  <si>
    <t>ثور</t>
  </si>
  <si>
    <t>زاویه وسطی</t>
  </si>
  <si>
    <t>ما بین المرکزین</t>
  </si>
  <si>
    <t>ز ک</t>
  </si>
  <si>
    <t>ک ح</t>
  </si>
  <si>
    <t>ک ی</t>
  </si>
  <si>
    <t>ح ی</t>
  </si>
  <si>
    <t>ط ی ح</t>
  </si>
  <si>
    <t>زاویه تعدیل شمس</t>
  </si>
  <si>
    <t>روش اول</t>
  </si>
  <si>
    <t>روش دوم</t>
  </si>
  <si>
    <t>صفحه 411 به بعد</t>
  </si>
  <si>
    <t>تعداد کبیسه</t>
  </si>
  <si>
    <t>مبدا</t>
  </si>
  <si>
    <t>سال کبیسه</t>
  </si>
  <si>
    <t>سال غیر کبیسه</t>
  </si>
  <si>
    <t>تعداد غیر کبیسه</t>
  </si>
  <si>
    <t>سرطان</t>
  </si>
  <si>
    <t>جنوبی</t>
  </si>
  <si>
    <t>عرض</t>
  </si>
  <si>
    <t>بعد</t>
  </si>
  <si>
    <t>ما بین طالع و عاشر</t>
  </si>
  <si>
    <t>ارتفاع عاشر</t>
  </si>
  <si>
    <t>طالع</t>
  </si>
  <si>
    <t>میل</t>
  </si>
  <si>
    <t>عاشر</t>
  </si>
  <si>
    <t>طوالع</t>
  </si>
  <si>
    <t>ج ز</t>
  </si>
  <si>
    <t>سمت</t>
  </si>
  <si>
    <t>ج ن</t>
  </si>
  <si>
    <t>ه د</t>
  </si>
  <si>
    <t>ج ح</t>
  </si>
  <si>
    <t>ه ی</t>
  </si>
  <si>
    <t>ح</t>
  </si>
  <si>
    <t>ی د</t>
  </si>
  <si>
    <t>ح ک</t>
  </si>
  <si>
    <t>ی ب</t>
  </si>
  <si>
    <t>ح ب</t>
  </si>
  <si>
    <t>جیب ز ب</t>
  </si>
  <si>
    <t>دائر</t>
  </si>
  <si>
    <t>جیب ز ج</t>
  </si>
  <si>
    <t>ارتفاع</t>
  </si>
  <si>
    <t>بعد کوکب</t>
  </si>
  <si>
    <t>عرض 1</t>
  </si>
  <si>
    <t>عرض 2</t>
  </si>
  <si>
    <t>تقويم 1</t>
  </si>
  <si>
    <t>تقويم 2</t>
  </si>
  <si>
    <t>بعد 1</t>
  </si>
  <si>
    <t>بعد 2</t>
  </si>
  <si>
    <t>مابين المطالعين</t>
  </si>
  <si>
    <t>ب ک</t>
  </si>
  <si>
    <t>ا ک</t>
  </si>
  <si>
    <t>ب ج</t>
  </si>
  <si>
    <t>ه ل</t>
  </si>
  <si>
    <t>قوس ه د بعد بین دو کوکب</t>
  </si>
  <si>
    <t>b8</t>
  </si>
  <si>
    <t>b9</t>
  </si>
  <si>
    <t>م ن</t>
  </si>
  <si>
    <t>ه ن</t>
  </si>
  <si>
    <t xml:space="preserve">ه ط </t>
  </si>
  <si>
    <t>ه ط بعد بین دو کوکب</t>
  </si>
  <si>
    <t>ما بين المطالعين</t>
  </si>
  <si>
    <t>بعد a</t>
  </si>
  <si>
    <t>بعد b</t>
  </si>
  <si>
    <t>ب د</t>
  </si>
  <si>
    <t>ب</t>
  </si>
  <si>
    <t>ل د</t>
  </si>
  <si>
    <t>ب ل</t>
  </si>
  <si>
    <t>عرض مکه</t>
  </si>
  <si>
    <t>طول مکه</t>
  </si>
  <si>
    <t>طول بلد</t>
  </si>
  <si>
    <t>ما بين الطولین</t>
  </si>
  <si>
    <t>زاویه انحراف قبله</t>
  </si>
  <si>
    <t>سمت قبله</t>
  </si>
  <si>
    <t>ما بین</t>
  </si>
  <si>
    <t>عرض مكه</t>
  </si>
  <si>
    <t>bd</t>
  </si>
  <si>
    <t>b</t>
  </si>
  <si>
    <t>ak</t>
  </si>
  <si>
    <t>kb</t>
  </si>
  <si>
    <t>kab</t>
  </si>
  <si>
    <t>dak</t>
  </si>
  <si>
    <t>بلد جنوبی</t>
  </si>
  <si>
    <t>بلد شمالی</t>
  </si>
  <si>
    <t>بلد استوایی</t>
  </si>
  <si>
    <t>a</t>
  </si>
  <si>
    <t>c</t>
  </si>
  <si>
    <t>d</t>
  </si>
  <si>
    <t>e</t>
  </si>
  <si>
    <t>f</t>
  </si>
  <si>
    <t>g</t>
  </si>
  <si>
    <t>h</t>
  </si>
  <si>
    <t xml:space="preserve">k  </t>
  </si>
  <si>
    <t>m</t>
  </si>
  <si>
    <t>arzk</t>
  </si>
  <si>
    <t>tolk</t>
  </si>
  <si>
    <t>ert</t>
  </si>
  <si>
    <t>arzb</t>
  </si>
  <si>
    <t>جیب اوسط 1</t>
  </si>
  <si>
    <t>جیب اوسط 2</t>
  </si>
  <si>
    <t>فضل دائر</t>
  </si>
  <si>
    <t>مطالع طالع</t>
  </si>
  <si>
    <t>جيب غایت ارتفاع</t>
  </si>
  <si>
    <t>بعد کوکب از معدل</t>
  </si>
  <si>
    <t>طوالع از مطالع بلدی</t>
  </si>
  <si>
    <t>مطالع از ارتفاع</t>
  </si>
  <si>
    <t>جیب اوسط 3</t>
  </si>
  <si>
    <t>نصف قوس النهار</t>
  </si>
  <si>
    <t>قوس النهار</t>
  </si>
  <si>
    <t>جیب غایت ارتفاع</t>
  </si>
  <si>
    <t>مطالع طلوع</t>
  </si>
  <si>
    <t>سهم نصف قوس النهار</t>
  </si>
  <si>
    <t>سهم فضل دائر</t>
  </si>
  <si>
    <t>جیب ترتیب</t>
  </si>
  <si>
    <t xml:space="preserve">جیب ارتفاع </t>
  </si>
  <si>
    <t>ارتفاع از طالع</t>
  </si>
  <si>
    <t>باب 20</t>
  </si>
  <si>
    <t>باب 19</t>
  </si>
  <si>
    <t>تعىيل النهار كوكب</t>
  </si>
  <si>
    <t>مطالع ممر</t>
  </si>
  <si>
    <t>روش دوم جیب اوسط در همه موارد تام نیست</t>
  </si>
  <si>
    <t>مابین الطولین</t>
  </si>
  <si>
    <t>تقویم شمس</t>
  </si>
  <si>
    <t>مفروض</t>
  </si>
  <si>
    <t xml:space="preserve">میل اول </t>
  </si>
  <si>
    <t xml:space="preserve">طوالع </t>
  </si>
  <si>
    <t>طول کوکب</t>
  </si>
  <si>
    <t xml:space="preserve">طول بلد </t>
  </si>
  <si>
    <t>تعدیل الشمس</t>
  </si>
  <si>
    <t xml:space="preserve">وسط شمس </t>
  </si>
  <si>
    <t>اوج شمس</t>
  </si>
  <si>
    <t>تعدیل الایام</t>
  </si>
  <si>
    <t>وسط شمس</t>
  </si>
  <si>
    <t>مطالع</t>
  </si>
  <si>
    <t xml:space="preserve">سال </t>
  </si>
  <si>
    <t xml:space="preserve">ماه </t>
  </si>
  <si>
    <t>روز و ساعت</t>
  </si>
  <si>
    <t>ما بین الطولین</t>
  </si>
  <si>
    <t>تعدیل النهار</t>
  </si>
  <si>
    <t>تقویم الشمس</t>
  </si>
  <si>
    <t>مرکز معدل به تعدیل الشمس</t>
  </si>
  <si>
    <t>تعدیل اول قمر</t>
  </si>
  <si>
    <t>تعدیل ثانی قمر</t>
  </si>
  <si>
    <t>تعدیل ثالث قمر</t>
  </si>
  <si>
    <t>تعدیل النقل (رابع قمر)</t>
  </si>
  <si>
    <t>وسط قمر</t>
  </si>
  <si>
    <t>اوج قمر</t>
  </si>
  <si>
    <t>طول</t>
  </si>
  <si>
    <t>مطالع ممر غلط</t>
  </si>
  <si>
    <t xml:space="preserve">روش دوم </t>
  </si>
  <si>
    <t>روش سوم</t>
  </si>
  <si>
    <t>وسط معدل</t>
  </si>
  <si>
    <t>حصه عرض قمر</t>
  </si>
  <si>
    <t>عدد ساعات مستویه روز</t>
  </si>
  <si>
    <t>اجزاء ساعات معوجه روز</t>
  </si>
  <si>
    <t>عدد ساعات مستویه شب</t>
  </si>
  <si>
    <t>اجزاء ساعات معوجه شب</t>
  </si>
  <si>
    <t>عدد کهری های روز</t>
  </si>
  <si>
    <t>عدد کهری های شب</t>
  </si>
  <si>
    <t>جیب اوسط</t>
  </si>
  <si>
    <t>عرض قمر</t>
  </si>
  <si>
    <t>اعظم زوایای تقاطع مایل و عرض</t>
  </si>
  <si>
    <t>میل ثانی</t>
  </si>
  <si>
    <t>غایت ارتفاع کوکب</t>
  </si>
  <si>
    <t>غایت انخفاض کوکب</t>
  </si>
  <si>
    <t>قوس اللیل</t>
  </si>
  <si>
    <t>مطالع درجه طلوع</t>
  </si>
  <si>
    <t>مطالع درجه غروب</t>
  </si>
  <si>
    <t>تعدیل النهار کوکب</t>
  </si>
  <si>
    <t>طوالع بلدی از مطالع بلدی</t>
  </si>
  <si>
    <t>درجه طلوع</t>
  </si>
  <si>
    <t>مطالع غروب</t>
  </si>
  <si>
    <t>سمت از ارتفاع یا انخفاض</t>
  </si>
  <si>
    <t>ط د</t>
  </si>
  <si>
    <t>ط</t>
  </si>
  <si>
    <t>ط ب</t>
  </si>
  <si>
    <t>د ز</t>
  </si>
  <si>
    <t>ط ز</t>
  </si>
  <si>
    <t>تحصیل تعدیل اول مشتری</t>
  </si>
  <si>
    <t>ز</t>
  </si>
  <si>
    <t>ب د ما بین المرکزین</t>
  </si>
  <si>
    <t>ب - زاویه مفروض</t>
  </si>
  <si>
    <t>تحصیل تعدیل اول مریخ</t>
  </si>
  <si>
    <t>تحصیل تعدیل اول زحل</t>
  </si>
  <si>
    <t>تحصیل تعدیل اول زهره</t>
  </si>
  <si>
    <t>تحصیل تعدیل اول عطارد</t>
  </si>
  <si>
    <t>تعدیل اول متحیره</t>
  </si>
  <si>
    <t>حصه عرض</t>
  </si>
  <si>
    <t>غایت عرض</t>
  </si>
  <si>
    <t>تعدیل دوم مشتری</t>
  </si>
  <si>
    <t>زاویه عرض مشتری</t>
  </si>
  <si>
    <t>زاویه عرض زحل</t>
  </si>
  <si>
    <t>زاویه عرض زهره</t>
  </si>
  <si>
    <t>زاویه عرض عطارد</t>
  </si>
  <si>
    <t>تعدیل دوم (تعدیل النقل) مریخ</t>
  </si>
  <si>
    <t>تعدیل دوم زهره</t>
  </si>
  <si>
    <t>تعدیل دوم عطارد</t>
  </si>
  <si>
    <t>غایت عرض 1</t>
  </si>
  <si>
    <t>غایت عرض 2</t>
  </si>
  <si>
    <t>تعدیل دوم زحل</t>
  </si>
  <si>
    <t>ض ش</t>
  </si>
  <si>
    <t>ش خ</t>
  </si>
  <si>
    <t>ض ش خ</t>
  </si>
  <si>
    <t xml:space="preserve">تقویم مریخ </t>
  </si>
  <si>
    <t>ط خ</t>
  </si>
  <si>
    <t>ط ش</t>
  </si>
  <si>
    <t>ط ض</t>
  </si>
  <si>
    <t>ض خ</t>
  </si>
  <si>
    <t>ض - زاویه عرض</t>
  </si>
  <si>
    <t>زاویه عرض مریخ</t>
  </si>
  <si>
    <t>زاویه تعدیل اول ط ه د</t>
  </si>
  <si>
    <t>ا ج</t>
  </si>
  <si>
    <t>ج ض</t>
  </si>
  <si>
    <t>ج م</t>
  </si>
  <si>
    <t xml:space="preserve">م </t>
  </si>
  <si>
    <t>مرکز معدل به تعدیلین - ض</t>
  </si>
  <si>
    <t xml:space="preserve">ما بین المرکزین - اض </t>
  </si>
  <si>
    <t>ب ض -بعد مریخ تا شمس</t>
  </si>
  <si>
    <t>بعد مریخ تا شمس</t>
  </si>
  <si>
    <t>ر ک</t>
  </si>
  <si>
    <t>ش ک</t>
  </si>
  <si>
    <t>ک ت</t>
  </si>
  <si>
    <t>ر ت ک</t>
  </si>
  <si>
    <t>ر ت ش - زاویه الارض</t>
  </si>
  <si>
    <t>ش - زاویه شمس</t>
  </si>
  <si>
    <t>ر ش - بعد موضع مریخ در منطقه از شمس</t>
  </si>
  <si>
    <t>ت ش- بعد زمین از شمس</t>
  </si>
  <si>
    <t xml:space="preserve">ب ش  </t>
  </si>
  <si>
    <t>ب ر ش</t>
  </si>
  <si>
    <t>ر ب</t>
  </si>
  <si>
    <t>زیج محمد شاهی ص 464</t>
  </si>
  <si>
    <t>ک ش</t>
  </si>
  <si>
    <t>ر ت</t>
  </si>
  <si>
    <t>ر ت ب - عرض مریخ به مرکزیت زمین</t>
  </si>
  <si>
    <t>ب ش ر - زاویه العرض</t>
  </si>
  <si>
    <t>ب ت - بعد مریخ تا ارض</t>
  </si>
  <si>
    <t>تقویم مریخ</t>
  </si>
  <si>
    <t>ت ش ر - زاویه الشمس</t>
  </si>
  <si>
    <t>تعدیل الایام دقیق نیست</t>
  </si>
  <si>
    <t>زاویه الشمس</t>
  </si>
  <si>
    <t>بعد مریخ تا زمین</t>
  </si>
  <si>
    <t>بعد شمس تا زمین</t>
  </si>
  <si>
    <t>زاویه الارض</t>
  </si>
  <si>
    <t xml:space="preserve">تعدیل اول مریخ </t>
  </si>
  <si>
    <t>تعدیل اول مشتری</t>
  </si>
  <si>
    <t>تعدیل اول زحل</t>
  </si>
  <si>
    <t>تعدیل اول زهره</t>
  </si>
  <si>
    <t>تعدیل اول عطارد</t>
  </si>
  <si>
    <t xml:space="preserve">زاویه عرض مریخ </t>
  </si>
  <si>
    <t>تعدیل ثانی مریخ</t>
  </si>
  <si>
    <t>تعدیل ثانی مشتری</t>
  </si>
  <si>
    <t>تعدیل ثانی زحل</t>
  </si>
  <si>
    <t>تعدیل ثانی زهره</t>
  </si>
  <si>
    <t>تعدیل ثانی عطارد</t>
  </si>
  <si>
    <t>ا د</t>
  </si>
  <si>
    <t>تعدیل ثانی</t>
  </si>
  <si>
    <t>ما بین اعداد 90 تا 270 نطاق دوم و سوم</t>
  </si>
  <si>
    <t>ما بین اعداد 0 تا 90 و 270 تا 360 نطاق اول و چهارم</t>
  </si>
  <si>
    <t>محاسبه تعدیل ثانی به روش های مختلف</t>
  </si>
  <si>
    <t>زیج بهادری ص 426</t>
  </si>
  <si>
    <t>تعدیل اول قمر بر مبنای زیج محمد شاهی ص 238 در توضیح جدول زیج بهادری ص 431 به بعد</t>
  </si>
  <si>
    <t>تعدیل ثانی قمر بر مبنای زیج محمد شاهی ص 240 در توضیح جدول زیج بهادری ص 443 به بعد</t>
  </si>
  <si>
    <t xml:space="preserve">درجه </t>
  </si>
  <si>
    <t>تعدیل النقل</t>
  </si>
  <si>
    <t>تعدیل ثالث</t>
  </si>
  <si>
    <t xml:space="preserve">رأس قمر </t>
  </si>
  <si>
    <t>وسط قمر به ازای تفاوت طولین</t>
  </si>
  <si>
    <t>اوج قمر به ازای تفاوت طولین</t>
  </si>
  <si>
    <t>رأس قمر به ازای تفاوت طولین</t>
  </si>
  <si>
    <t>اطلاعات ثابت</t>
  </si>
  <si>
    <t>وسط به ازای تعدیل الایام</t>
  </si>
  <si>
    <t>اوج به ازای تعدیل الایام</t>
  </si>
  <si>
    <t>رأس به ازای تعدیل الایام</t>
  </si>
  <si>
    <t>وسط معدل قمر</t>
  </si>
  <si>
    <t>وسط قمر منقوص الشمس</t>
  </si>
  <si>
    <t>متغیر</t>
  </si>
  <si>
    <t>تتا - نصف قطر صغیره</t>
  </si>
  <si>
    <t>سال  ناقصه</t>
  </si>
  <si>
    <t>طول بلد مفروض</t>
  </si>
  <si>
    <t>عناوین</t>
  </si>
  <si>
    <t>واحد</t>
  </si>
  <si>
    <t>معادل دهگانی</t>
  </si>
  <si>
    <t>وسط وقت</t>
  </si>
  <si>
    <t>بتا (ما بین المرکزین وسط) ک ح</t>
  </si>
  <si>
    <t>بتا (ما بین المرکزین وسط) د ح</t>
  </si>
  <si>
    <t xml:space="preserve">وسط معدل به تعدیلین </t>
  </si>
  <si>
    <t>ما بين المركزين</t>
  </si>
  <si>
    <t>مرکز معدل به تعدیل الایام</t>
  </si>
  <si>
    <t>آلفا</t>
  </si>
  <si>
    <t>آلفا: وسط - اوج ( ط ق ر )</t>
  </si>
  <si>
    <t>آلفا: وسط - اوج</t>
  </si>
  <si>
    <t>نصف قطر صغیره</t>
  </si>
  <si>
    <t>ج ع ح</t>
  </si>
  <si>
    <t>عرض کلی</t>
  </si>
  <si>
    <t>مرکز معدل به تعدیلین- ط ح ر</t>
  </si>
  <si>
    <t>طول مبدا</t>
  </si>
  <si>
    <t>اوج</t>
  </si>
  <si>
    <t>متغیر - مرکز معدل</t>
  </si>
  <si>
    <t>تتا- ک ف</t>
  </si>
  <si>
    <t>تتا</t>
  </si>
  <si>
    <t>ع ح ر</t>
  </si>
  <si>
    <t>فرمول</t>
  </si>
  <si>
    <t>ضلع واقع بین موقع عمود و راس</t>
  </si>
  <si>
    <t>ج ع ح بتا</t>
  </si>
  <si>
    <t>وسط معدل به تعدیل اول</t>
  </si>
  <si>
    <t>نصف قطر اقصر اوسط- ی م</t>
  </si>
  <si>
    <t>نصف قطر اقصر اوسط - ی م</t>
  </si>
  <si>
    <t xml:space="preserve">متغیر </t>
  </si>
  <si>
    <t>بتا - بقیة الاوجی</t>
  </si>
  <si>
    <t>بقیه التقویمی - آلفا - منقوص التقویم</t>
  </si>
  <si>
    <t>وتر</t>
  </si>
  <si>
    <t>تعدیل چهارم - تعدیل النقل</t>
  </si>
  <si>
    <t>وتر ج ح</t>
  </si>
  <si>
    <t>حرکت وسط یک روز</t>
  </si>
  <si>
    <t>حرکت اوج یک روز</t>
  </si>
  <si>
    <t>حرکت راس یک روز</t>
  </si>
  <si>
    <t>تفاوت طولین</t>
  </si>
  <si>
    <t>اجزاي ساعت حقيقي</t>
  </si>
  <si>
    <t>مرکز معدل به تعدیل اول</t>
  </si>
  <si>
    <t>ح ق</t>
  </si>
  <si>
    <t>آلفا - بقیة التقویمی</t>
  </si>
  <si>
    <t>ج ح - بر مبنای ج د 60</t>
  </si>
  <si>
    <t>قطر ج ع</t>
  </si>
  <si>
    <t>ج ط ح - جزء اول تعدیل ثالث</t>
  </si>
  <si>
    <t>مبدأ</t>
  </si>
  <si>
    <t>وسط مبدا</t>
  </si>
  <si>
    <t>ح ق ر</t>
  </si>
  <si>
    <t>ج ح - بر مبنای ج د 13</t>
  </si>
  <si>
    <t>ط ح ج</t>
  </si>
  <si>
    <t>مرکز مبدا</t>
  </si>
  <si>
    <t xml:space="preserve">رث </t>
  </si>
  <si>
    <t>بقیه الاوجی - بتا - منقوص الاوج</t>
  </si>
  <si>
    <t>ح ج ع - زاویه مرکزی</t>
  </si>
  <si>
    <t>شرقی</t>
  </si>
  <si>
    <t>تعدیل الشمس للمبدا</t>
  </si>
  <si>
    <t>ث ش</t>
  </si>
  <si>
    <t>ع ر ح</t>
  </si>
  <si>
    <t>ر ج ح</t>
  </si>
  <si>
    <t>y</t>
  </si>
  <si>
    <t>زاویه محیطی</t>
  </si>
  <si>
    <t>حرکت یک ساعت</t>
  </si>
  <si>
    <t>تقویم المبدا</t>
  </si>
  <si>
    <t>ث ق ش</t>
  </si>
  <si>
    <t>ج ح ر</t>
  </si>
  <si>
    <t>ع ح ط</t>
  </si>
  <si>
    <t>غیر صحیح</t>
  </si>
  <si>
    <t>ج ر ح - جزء دوم تعدیل ثالث</t>
  </si>
  <si>
    <t>مطالع تقویم</t>
  </si>
  <si>
    <t>ی ق</t>
  </si>
  <si>
    <t>ع ح</t>
  </si>
  <si>
    <t>روش دیگر</t>
  </si>
  <si>
    <t>ما بین المرکزین بیضی فعلی</t>
  </si>
  <si>
    <t>ی ش ق</t>
  </si>
  <si>
    <t>ع ج</t>
  </si>
  <si>
    <t>r</t>
  </si>
  <si>
    <t>ر ی</t>
  </si>
  <si>
    <t>وسط</t>
  </si>
  <si>
    <t>ش ی ث</t>
  </si>
  <si>
    <t>ع ر</t>
  </si>
  <si>
    <t>ح ر</t>
  </si>
  <si>
    <t>جیب ج ط ح</t>
  </si>
  <si>
    <t>ق ر ی</t>
  </si>
  <si>
    <t>خروجی</t>
  </si>
  <si>
    <t>ش ث  بر مبنای ی ش : 60</t>
  </si>
  <si>
    <t>ج ر</t>
  </si>
  <si>
    <t>تفاوت ضلعین</t>
  </si>
  <si>
    <t>تعدیل  ( ج ط ح)</t>
  </si>
  <si>
    <t>ی رح</t>
  </si>
  <si>
    <t>مرکز</t>
  </si>
  <si>
    <t>ث ر بر مبنای ی ش : 60</t>
  </si>
  <si>
    <t>جیب ج ر ح</t>
  </si>
  <si>
    <t>مجموع ضلعین</t>
  </si>
  <si>
    <t>ط ج ح</t>
  </si>
  <si>
    <t>ث ق</t>
  </si>
  <si>
    <t xml:space="preserve">        </t>
  </si>
  <si>
    <t xml:space="preserve"> زاویه ح</t>
  </si>
  <si>
    <t>تقویم وقت</t>
  </si>
  <si>
    <t>ح ث</t>
  </si>
  <si>
    <t>نقطه ع - اوج مفروض</t>
  </si>
  <si>
    <t>صحیح</t>
  </si>
  <si>
    <t>کل تعدیل ثالث</t>
  </si>
  <si>
    <t>فضل الوسطین</t>
  </si>
  <si>
    <t>ح ر ق</t>
  </si>
  <si>
    <t>مرکز بیضی</t>
  </si>
  <si>
    <t>فضل المطالعین</t>
  </si>
  <si>
    <t>تفاضل الفضلین</t>
  </si>
  <si>
    <t xml:space="preserve">تعدیل اول </t>
  </si>
  <si>
    <t xml:space="preserve">تعدیل ثانی  </t>
  </si>
  <si>
    <t xml:space="preserve">تعدیل ثانی </t>
  </si>
  <si>
    <t>تعدیل الایام بلیالیها</t>
  </si>
  <si>
    <t>تفاضل ضلعین</t>
  </si>
  <si>
    <t>دقائق تعديل الايام</t>
  </si>
  <si>
    <t>جمع ارقام 7 گانه</t>
  </si>
  <si>
    <t>تعدیل دیگر- خ ر ج</t>
  </si>
  <si>
    <t>اوساط بلد مفروض</t>
  </si>
  <si>
    <t>جمع ارقام 3 گانه</t>
  </si>
  <si>
    <t>کل وسط</t>
  </si>
  <si>
    <t>کل اوج</t>
  </si>
  <si>
    <t>کل راس</t>
  </si>
  <si>
    <t>تعدیل اول و ثانی و ثالث بصورت مرتبط با یکدیگر</t>
  </si>
  <si>
    <t>وسط معدل به تعدیلین</t>
  </si>
  <si>
    <t>ک ق</t>
  </si>
  <si>
    <t>غایت ارتفاع</t>
  </si>
  <si>
    <t>تقویم کوکب</t>
  </si>
  <si>
    <t>مرکز معدل به تعدیلین(کوکب)</t>
  </si>
  <si>
    <t>حصه عرض کوکب</t>
  </si>
  <si>
    <t>زاویه مفروض</t>
  </si>
  <si>
    <t>تقویم مشتری</t>
  </si>
  <si>
    <t>تقویم زحل</t>
  </si>
  <si>
    <t>تقویم زهره</t>
  </si>
  <si>
    <t>تقویم عطارد</t>
  </si>
  <si>
    <t>بعد موضع کوکب در منطقه از شمس</t>
  </si>
  <si>
    <t>بعد مشتری تا شمس</t>
  </si>
  <si>
    <t>ب ض -بعد مشتری تا شمس</t>
  </si>
  <si>
    <t>بعد زهره تا شمس</t>
  </si>
  <si>
    <t>بعد عطارد تا شمس</t>
  </si>
  <si>
    <t>مجموع بعد اقرب و بعد ابعد در ص 479</t>
  </si>
  <si>
    <t>بعد ابعد (اول حمل)</t>
  </si>
  <si>
    <t>بعد اقرب (اول میزان)</t>
  </si>
  <si>
    <t>مجموع بعدین</t>
  </si>
  <si>
    <t>ما بین المرکزین غایت تعدیل اول است (تسامحا)</t>
  </si>
  <si>
    <t>بعد زحل تا شمس</t>
  </si>
  <si>
    <t>ب ض -بعد زحل تا شمس</t>
  </si>
  <si>
    <t>توضیح :ما بین المرکزین غایت تعدیل اول است اول سرطان (تسامحا)</t>
  </si>
  <si>
    <t>توضیح: ما بین المرکزین غایت تعدیل اول است 7 سرطان (تسامحا)</t>
  </si>
  <si>
    <t>ما بین المرکزین غایت تعدیل اول است 3 سرطان (تسامحا)</t>
  </si>
  <si>
    <t>عرض مشتری</t>
  </si>
  <si>
    <t>مشتری -جدول ص 469</t>
  </si>
  <si>
    <t>زاویه زمین</t>
  </si>
  <si>
    <t>قوس منقح زاویه زمین</t>
  </si>
  <si>
    <t>عرض مشتری نا درست</t>
  </si>
  <si>
    <t>مریخ</t>
  </si>
  <si>
    <t>عرض مریخ</t>
  </si>
  <si>
    <t xml:space="preserve">زیج محمد شاهی 267 </t>
  </si>
  <si>
    <t>ت ر</t>
  </si>
  <si>
    <t>زاویه ب ت ر</t>
  </si>
  <si>
    <t>صحیح است</t>
  </si>
  <si>
    <t>ت ب</t>
  </si>
  <si>
    <t>تقویس</t>
  </si>
  <si>
    <t>جیب ر ب ش</t>
  </si>
  <si>
    <t>زاویه عرض</t>
  </si>
  <si>
    <t>ظل زاویه عرض</t>
  </si>
  <si>
    <t>تقویم قمر</t>
  </si>
  <si>
    <t>جدول تقویم قمر زیج بهادرخانی ص 427</t>
  </si>
  <si>
    <t>عرض منقح قمر</t>
  </si>
  <si>
    <t>z</t>
  </si>
  <si>
    <t>mabain</t>
  </si>
  <si>
    <t>راس قمر صحیح</t>
  </si>
  <si>
    <t>تا چند دقیقه اختلاف دارد</t>
  </si>
  <si>
    <t>زاویه عرض زحل صحیح</t>
  </si>
  <si>
    <t>wasatmrr</t>
  </si>
  <si>
    <t>wasatmabmr</t>
  </si>
  <si>
    <t>wasat30smr</t>
  </si>
  <si>
    <t>30 sal</t>
  </si>
  <si>
    <t>1 روز</t>
  </si>
  <si>
    <t>1 سال</t>
  </si>
  <si>
    <t>30 سال</t>
  </si>
  <si>
    <t>حصه العرض</t>
  </si>
  <si>
    <t>تعدیل چهارم</t>
  </si>
  <si>
    <t>تعدیل العرض</t>
  </si>
  <si>
    <t>زاویه شمس</t>
  </si>
  <si>
    <t xml:space="preserve">حرکت یک ساعت </t>
  </si>
  <si>
    <t>یک روز</t>
  </si>
  <si>
    <t xml:space="preserve">30 سال </t>
  </si>
  <si>
    <t>سال تامه</t>
  </si>
  <si>
    <t>حرکت به ازای سالهای تامه</t>
  </si>
  <si>
    <t>معنای وسط تعدیل الایام چیست</t>
  </si>
  <si>
    <t xml:space="preserve">مجموع اعداد </t>
  </si>
  <si>
    <t xml:space="preserve">حصه تعدیل الایام </t>
  </si>
  <si>
    <t>وسط مشتری (صحیح است)</t>
  </si>
  <si>
    <t>حصه تعدیل الایام</t>
  </si>
  <si>
    <t>وسط زحل (صحیح است)</t>
  </si>
  <si>
    <t>وسط مشتری ص 467 قبل از مبدا</t>
  </si>
  <si>
    <t>وسط زحل بعد از مبدا</t>
  </si>
  <si>
    <t>وسط مشتری بعد از مبدا</t>
  </si>
  <si>
    <t>وسط زحل ص 467 قبل از مبدا</t>
  </si>
  <si>
    <t>وسط مریخ ص 467 قبل از مبدا</t>
  </si>
  <si>
    <t>وسط مریخ بعد از مبدا</t>
  </si>
  <si>
    <t>وسط مریخ (صحیح است)</t>
  </si>
  <si>
    <t xml:space="preserve">وسط  </t>
  </si>
  <si>
    <t xml:space="preserve">وسط </t>
  </si>
  <si>
    <t>وسط زهره قبل از مبدا</t>
  </si>
  <si>
    <t>وسط زهره بعد از مبدا</t>
  </si>
  <si>
    <t>وسط عطارد قبل از مبدا</t>
  </si>
  <si>
    <t>وسط عطارد بعد از مبدا</t>
  </si>
  <si>
    <t>وسط عطارد (صحیح است)</t>
  </si>
  <si>
    <t>وسط زهره(صحیح است)</t>
  </si>
  <si>
    <t>اوج مریخ ص 467 قبل از مبدا</t>
  </si>
  <si>
    <t>اوج مریخ بعد از مبدا</t>
  </si>
  <si>
    <t>اوج مبدا</t>
  </si>
  <si>
    <t>اوج مشتری ص 467 قبل از مبدا</t>
  </si>
  <si>
    <t>اوج مشتری بعد از مبدا</t>
  </si>
  <si>
    <t>اوج زحل بعد از مبدا</t>
  </si>
  <si>
    <t>اوج زحل (صحیح است)</t>
  </si>
  <si>
    <t>اوج عطارد قبل از مبدا</t>
  </si>
  <si>
    <t>اوج عطارد بعد از مبدا</t>
  </si>
  <si>
    <t>اوج زهره قبل از مبدا</t>
  </si>
  <si>
    <t>اوج زهره بعد از مبدا</t>
  </si>
  <si>
    <t>اوج زحل قبل از مبدا</t>
  </si>
  <si>
    <t>اوجزحل (صحیح است)</t>
  </si>
  <si>
    <t>اوج عطارد (صحیح است)</t>
  </si>
  <si>
    <t xml:space="preserve">اوج   </t>
  </si>
  <si>
    <t>راس مریخ ص 467 قبل از مبدا</t>
  </si>
  <si>
    <t>راس مریخ بعد از مبدا</t>
  </si>
  <si>
    <t>راس مبدا</t>
  </si>
  <si>
    <t>راس</t>
  </si>
  <si>
    <t>راس مریخ (صحیح است)</t>
  </si>
  <si>
    <t>راس مشتری ص 467 قبل از مبدا</t>
  </si>
  <si>
    <t>راس زحل قبل از مبدا</t>
  </si>
  <si>
    <t>راس زحل بعد از مبدا</t>
  </si>
  <si>
    <t>راس زهره قبل از مبدا</t>
  </si>
  <si>
    <t>راس زهره بعد از مبدا</t>
  </si>
  <si>
    <t>راس عطارد قبل از مبدا</t>
  </si>
  <si>
    <t>راس عطارد بعد از مبدا</t>
  </si>
  <si>
    <t>راس عطارد (صحیح است)</t>
  </si>
  <si>
    <t>وسط معدل به تعدیل الایام</t>
  </si>
  <si>
    <t>اوج معدل به تعدیل الایام</t>
  </si>
  <si>
    <t xml:space="preserve">راس معدل به تعدیل اول </t>
  </si>
  <si>
    <t>تعدیل دوم</t>
  </si>
  <si>
    <t>زاویه العرض</t>
  </si>
  <si>
    <t>وسط معدل به تعدیل دوم</t>
  </si>
  <si>
    <t>مرکز معدل به تعدیل دوم</t>
  </si>
  <si>
    <t>نظیر تقویم الشمس</t>
  </si>
  <si>
    <t>تنصیف زاویه الشمس</t>
  </si>
  <si>
    <t>قوس منقح</t>
  </si>
  <si>
    <t>تمام قوس از ربع</t>
  </si>
  <si>
    <t xml:space="preserve">مرکز مقوم </t>
  </si>
  <si>
    <t>بعد آفتاب</t>
  </si>
  <si>
    <t>تمام زاویه عرض تا ربع</t>
  </si>
  <si>
    <t>جیب تمام زاویه عرض</t>
  </si>
  <si>
    <t xml:space="preserve">بعد مریخ </t>
  </si>
  <si>
    <t>حاصل ضرب</t>
  </si>
  <si>
    <t>قسمت</t>
  </si>
  <si>
    <t>تقویس قسمت</t>
  </si>
  <si>
    <t>قوس - 45</t>
  </si>
  <si>
    <t>ظل بقیه</t>
  </si>
  <si>
    <t>ظل تمام قوس منقح نصف زاویه شمس</t>
  </si>
  <si>
    <t>جمع ظلین</t>
  </si>
  <si>
    <t>جمع /60</t>
  </si>
  <si>
    <t>ظل</t>
  </si>
  <si>
    <t>تقویم مریخ زیج محمد شاهی ص 2247</t>
  </si>
  <si>
    <t>راس معدل به تعدیل دوم</t>
  </si>
  <si>
    <t>تعدیل الراس</t>
  </si>
  <si>
    <t>راس قمر</t>
  </si>
  <si>
    <t>تعىيل اول قمر</t>
  </si>
  <si>
    <t>وسط منقوص منه تقویم الشمس</t>
  </si>
  <si>
    <t>وسط منقوص منه اوج شمس</t>
  </si>
  <si>
    <t>وسط منقوص منه تقویم الشمس معدل به تعدیل دوم</t>
  </si>
  <si>
    <t>وسط منقوص منه شمس معىل به تعىيل سوم</t>
  </si>
  <si>
    <t>مركز معىل به تعىيل الايام</t>
  </si>
  <si>
    <t>تقویم مایل</t>
  </si>
  <si>
    <t>تقویم شمس روز قبل</t>
  </si>
  <si>
    <t>تقویم شمس روز بعد</t>
  </si>
  <si>
    <t>تفاضل تقویمین</t>
  </si>
  <si>
    <t xml:space="preserve">تقویم قمر روز قبل </t>
  </si>
  <si>
    <t>تقویم قمر روز بعد</t>
  </si>
  <si>
    <t>بهت قمر</t>
  </si>
  <si>
    <t>اجزای بعد استقبال</t>
  </si>
  <si>
    <t>بهت معدل قمر</t>
  </si>
  <si>
    <t>ساعات بعد استقبال از نصف النهار</t>
  </si>
  <si>
    <t>تقویم شمس با ازای ساعات فوق</t>
  </si>
  <si>
    <t>تقویم قمر به ازای ساعات فوق</t>
  </si>
  <si>
    <t>تفاضل تقویمین ساعات</t>
  </si>
  <si>
    <t>قدر یک ساعت شمس</t>
  </si>
  <si>
    <t>قدر یک ساعت قمر</t>
  </si>
  <si>
    <t>سبق قمر</t>
  </si>
  <si>
    <t>وقت استقبال حقیقی بعد نصف النهار روز قبل</t>
  </si>
  <si>
    <t xml:space="preserve">ساعات مستویه حقیقیه بعد از نصف النهار روز قبل </t>
  </si>
  <si>
    <t xml:space="preserve">خسوف  </t>
  </si>
  <si>
    <t>راس معدل به تعدیل راس</t>
  </si>
  <si>
    <t xml:space="preserve">تقویم مایل </t>
  </si>
  <si>
    <t>راس معدل به تعدیل الراس</t>
  </si>
  <si>
    <t>تعدیل سوم</t>
  </si>
  <si>
    <t>جدول تعدیل الراس ص459</t>
  </si>
  <si>
    <t>5 سال</t>
  </si>
  <si>
    <t>21 روز</t>
  </si>
  <si>
    <t>3 ساعت</t>
  </si>
  <si>
    <t>20 ثانیه</t>
  </si>
  <si>
    <t>10 دقیقه</t>
  </si>
  <si>
    <t>6 ثالثه</t>
  </si>
  <si>
    <t>45 دقیقه</t>
  </si>
  <si>
    <t>حركت قمر در ساعت</t>
  </si>
  <si>
    <t>حركت شمس در ساعت</t>
  </si>
  <si>
    <t>تفاضل</t>
  </si>
  <si>
    <t>ب ض -بعد عطارد تا شمس</t>
  </si>
  <si>
    <t>ب ض -بعد زهره تا شمس</t>
  </si>
  <si>
    <t xml:space="preserve">ا ز ط </t>
  </si>
  <si>
    <t>ط ز ج</t>
  </si>
  <si>
    <t>تحصیل تعدیل الشمس- زیج محمد شاهی</t>
  </si>
  <si>
    <t>جیب غایت تعدیل</t>
  </si>
  <si>
    <t>تعدیل الشمس- محمد شاهی</t>
  </si>
  <si>
    <t>تعدیل الشمس- بهادرخانی</t>
  </si>
  <si>
    <t>جىول اصغر زوايا ص 462</t>
  </si>
  <si>
    <t>قمر</t>
  </si>
  <si>
    <t>قطر قمر</t>
  </si>
  <si>
    <t>بعد قمر تا زمین - با کمی اختلاف با کتاب</t>
  </si>
  <si>
    <t>بعد قمر تا زمین - اصح</t>
  </si>
  <si>
    <t>اختلاف منظر</t>
  </si>
  <si>
    <t>بعد قمر تا ارض</t>
  </si>
  <si>
    <t>جیب ج ر ح- تعدیل ثانی</t>
  </si>
  <si>
    <t>غایت تعدیل</t>
  </si>
  <si>
    <t xml:space="preserve">حصه عرض قمر </t>
  </si>
  <si>
    <t>وسط قمر معدل به تعدیل ثلاثه</t>
  </si>
  <si>
    <t>تحصیل تعدیل العرض ص460</t>
  </si>
  <si>
    <t>تدقیق الراس از زیج محمد شاهی</t>
  </si>
  <si>
    <t>تنقیح العرض از زیج محمد شاهی</t>
  </si>
  <si>
    <t>تعدیل العرض - اختلاف دارد</t>
  </si>
  <si>
    <t xml:space="preserve">ا د </t>
  </si>
  <si>
    <t>ج د</t>
  </si>
  <si>
    <t xml:space="preserve">قطر حسی </t>
  </si>
  <si>
    <t>تمام ارتفاع- ب</t>
  </si>
  <si>
    <t>ا ج- بعد قمر از موضع ناظر</t>
  </si>
  <si>
    <t xml:space="preserve">بعد قمر </t>
  </si>
  <si>
    <t>ارتفاع حقیقی</t>
  </si>
  <si>
    <t>تحصیل اقطار حسی قمر ص 465</t>
  </si>
  <si>
    <t>اختلاف منظر - ص 464</t>
  </si>
  <si>
    <t>نصف قطر واقعی قمر</t>
  </si>
  <si>
    <t>تمام ارتفاع</t>
  </si>
  <si>
    <t>اختلاف منظر قمر بحسب اجزای ارتفاع</t>
  </si>
  <si>
    <t>اختلاف منظر افقی</t>
  </si>
  <si>
    <t xml:space="preserve">بعد </t>
  </si>
  <si>
    <t>تمام میل</t>
  </si>
  <si>
    <t>ساعات ماضیه</t>
  </si>
  <si>
    <t>تمام عرض بلد</t>
  </si>
  <si>
    <t>ارتفاع از ساعات ماضیه</t>
  </si>
  <si>
    <t>قبل یا بعد ازظهر</t>
  </si>
  <si>
    <t>تحصیل ارتفاع از ساعات ماضیه</t>
  </si>
  <si>
    <t>تقویم قمر صحیح</t>
  </si>
  <si>
    <t>تقویم شمس روزقبل</t>
  </si>
  <si>
    <t>بهت شمس</t>
  </si>
  <si>
    <t>تقویم قمر روز قبل</t>
  </si>
  <si>
    <t>ساعات مستویه حقیقیه</t>
  </si>
  <si>
    <t>وسط شمس روز قبل</t>
  </si>
  <si>
    <t>تقویم شمس در استقبال حقیقی</t>
  </si>
  <si>
    <t>تقویم قمر در استقبال حقیقی</t>
  </si>
  <si>
    <t>وقت استقبال حقیقی</t>
  </si>
  <si>
    <t xml:space="preserve">سبق قمر </t>
  </si>
  <si>
    <t>ساعات بعد استقبال ازنصف النهار</t>
  </si>
  <si>
    <t>تقویم شمس به ازای ساعات بعد استقبال</t>
  </si>
  <si>
    <t>تقویم قمر به ازای ساعات بعد استقبال</t>
  </si>
  <si>
    <t xml:space="preserve">تقویم شمس </t>
  </si>
  <si>
    <t>اعظم  زوایا</t>
  </si>
  <si>
    <t>حرکت یک ساعت شمس</t>
  </si>
  <si>
    <t>حرکت یک ساعت قمر</t>
  </si>
  <si>
    <t>اصغر زوایا</t>
  </si>
  <si>
    <t>مرکزمعدل شمس</t>
  </si>
  <si>
    <t>قطر آفتاب</t>
  </si>
  <si>
    <t>مرکز معدل به تعدیلات ثلاثه</t>
  </si>
  <si>
    <t>اخذ اختلاف  منظر افقی</t>
  </si>
  <si>
    <t>تعدیل قطر</t>
  </si>
  <si>
    <t>تعدیل اختلاف منظر</t>
  </si>
  <si>
    <t>قطر معدل قمر</t>
  </si>
  <si>
    <t>اختلاف منظر معدل</t>
  </si>
  <si>
    <t>بقیه الزاویه</t>
  </si>
  <si>
    <t>جیب بقیه الزاویه</t>
  </si>
  <si>
    <t>جیب دقایق عرض  قمر</t>
  </si>
  <si>
    <t>عرض حقیقی قمر</t>
  </si>
  <si>
    <t>تمام بقیه الزاویه</t>
  </si>
  <si>
    <t>بعد قمر</t>
  </si>
  <si>
    <t>یک دقیقه</t>
  </si>
  <si>
    <t>نصف قطرمحقق ظل</t>
  </si>
  <si>
    <t>نصف قطر معدل قمر</t>
  </si>
  <si>
    <t>جیب</t>
  </si>
  <si>
    <t>وقت وسط خسوف</t>
  </si>
  <si>
    <t>اختلاف منظر  افقی معدل</t>
  </si>
  <si>
    <t>نصف قطر شمس</t>
  </si>
  <si>
    <t>کاستیم</t>
  </si>
  <si>
    <t>مجموع دو نصف</t>
  </si>
  <si>
    <t>مربع</t>
  </si>
  <si>
    <t>مربع 1</t>
  </si>
  <si>
    <t>مربع 2</t>
  </si>
  <si>
    <t>جذر</t>
  </si>
  <si>
    <t xml:space="preserve">ساعات سقوط </t>
  </si>
  <si>
    <t>ساعات بدو خسوف</t>
  </si>
  <si>
    <t>ساعات تمام انجلا</t>
  </si>
  <si>
    <t>ضعف ساعات سقوط</t>
  </si>
  <si>
    <t>دقایق خسوف</t>
  </si>
  <si>
    <t>ضریب 12</t>
  </si>
  <si>
    <t>اصابع قطر</t>
  </si>
  <si>
    <t>مساحت دایره قمر</t>
  </si>
  <si>
    <t>کل قطر ظل</t>
  </si>
  <si>
    <t>مقسوم</t>
  </si>
  <si>
    <t>فضل</t>
  </si>
  <si>
    <t>فضل 2</t>
  </si>
  <si>
    <t>مقسوم علیه</t>
  </si>
  <si>
    <t>سهم قطعه منخسفه</t>
  </si>
  <si>
    <t>سهم قطعه منجلیه</t>
  </si>
  <si>
    <t>قوس</t>
  </si>
  <si>
    <t>خارج قسمت</t>
  </si>
  <si>
    <t>قوس قمر</t>
  </si>
  <si>
    <t>قوس ظل</t>
  </si>
  <si>
    <t>مربع نصف  قطر  قمر</t>
  </si>
  <si>
    <t>قطاع قمر</t>
  </si>
  <si>
    <t>مربع نصف ظل</t>
  </si>
  <si>
    <t>قطاع ظل</t>
  </si>
  <si>
    <t>تمام نصف قطر قمر</t>
  </si>
  <si>
    <t>مساحت مثلث قطاع قمر</t>
  </si>
  <si>
    <t>مساحت قطعه قمر</t>
  </si>
  <si>
    <t>تمام نصف قطر ظل</t>
  </si>
  <si>
    <t>مساحت مثلث قطاع ظل</t>
  </si>
  <si>
    <t>قطعه ظل</t>
  </si>
  <si>
    <t>مساحت قدر منخسف</t>
  </si>
  <si>
    <t>ضرب 12</t>
  </si>
  <si>
    <t>اصابع معدله</t>
  </si>
  <si>
    <t>زیج بهادری ص522</t>
  </si>
  <si>
    <t>زیج بهادری صفحه527</t>
  </si>
  <si>
    <t>عرض  قمر</t>
  </si>
  <si>
    <t>زیج محمد شاهی ص 285</t>
  </si>
  <si>
    <t>اصابع</t>
  </si>
  <si>
    <t>استقبال</t>
  </si>
  <si>
    <t>تقویم  کوکب</t>
  </si>
  <si>
    <t>تعدیل النهار به ساعت</t>
  </si>
  <si>
    <t>تقویم الراس</t>
  </si>
  <si>
    <t>تقویم ذنب</t>
  </si>
  <si>
    <t>ساعت استقبال ازنصف اللیل</t>
  </si>
  <si>
    <t>زمان طلوع مبتدا ازنصف اللیل</t>
  </si>
  <si>
    <t>زمان غروب از  نصف اللیل</t>
  </si>
  <si>
    <t>بررسی امکان خسوف</t>
  </si>
  <si>
    <t>نصف قطر قمر</t>
  </si>
  <si>
    <t>مساحت قمر</t>
  </si>
  <si>
    <t>نصف قطر ظل</t>
  </si>
  <si>
    <t>مساحت ظل</t>
  </si>
  <si>
    <t>ضعف مقوس قمر</t>
  </si>
  <si>
    <t>ضعف مقوس ظل</t>
  </si>
  <si>
    <t>مساحت دایره ظل</t>
  </si>
  <si>
    <t>تفاضل قمر</t>
  </si>
  <si>
    <t>تفاضل ظل</t>
  </si>
  <si>
    <t>حاصلضرب</t>
  </si>
  <si>
    <t>سهم قمر</t>
  </si>
  <si>
    <t>مرحله 5</t>
  </si>
  <si>
    <t>مرحله 6الف</t>
  </si>
  <si>
    <t>مرحله 6ب</t>
  </si>
  <si>
    <t>تقویس 6 الف</t>
  </si>
  <si>
    <t>تقویس 6ب</t>
  </si>
  <si>
    <t>مرحله 9</t>
  </si>
  <si>
    <t>شرح زیج سلطانی ص608-609</t>
  </si>
  <si>
    <t>س ع عرض قمر</t>
  </si>
  <si>
    <t>قطر قمر ک ط</t>
  </si>
  <si>
    <t>نصف قطر قمر ک ع</t>
  </si>
  <si>
    <t>نصف قطر ظل س د</t>
  </si>
  <si>
    <t>ک د</t>
  </si>
  <si>
    <t>ک ط</t>
  </si>
  <si>
    <t>ا ک+د ط</t>
  </si>
  <si>
    <t>ص دسهم دایره ظل</t>
  </si>
  <si>
    <t>ک ص سهم دایره قمر</t>
  </si>
  <si>
    <t>س ص</t>
  </si>
  <si>
    <t>ط ص</t>
  </si>
  <si>
    <t>ع ص</t>
  </si>
  <si>
    <t>قوس ج ک</t>
  </si>
  <si>
    <t>قطاع ع ج ک ه</t>
  </si>
  <si>
    <t>قوس  ج ه</t>
  </si>
  <si>
    <t>مثلث ع ج ه</t>
  </si>
  <si>
    <t>زیج کوشیار  ص135-136</t>
  </si>
  <si>
    <t>ج ک ه ص</t>
  </si>
  <si>
    <t>ج ص1</t>
  </si>
  <si>
    <t>ج د ه</t>
  </si>
  <si>
    <t>سهم ه ک ج</t>
  </si>
  <si>
    <t>مساحت س ج ه</t>
  </si>
  <si>
    <t xml:space="preserve">مساحت قطاع ظل س ج د ه </t>
  </si>
  <si>
    <t>ا ص</t>
  </si>
  <si>
    <t xml:space="preserve"> ج ص</t>
  </si>
  <si>
    <t>مساحت قطعه</t>
  </si>
  <si>
    <t>دقایق خسوف معدله</t>
  </si>
  <si>
    <t>ساعات مکث</t>
  </si>
  <si>
    <t>ساعات بدو مکث</t>
  </si>
  <si>
    <t>ساعات حقیقیه</t>
  </si>
  <si>
    <t>تقویم شمس در نصف النهار روز قبل</t>
  </si>
  <si>
    <t>تقویم قمر در نصف النهار روز قبل</t>
  </si>
  <si>
    <t>بررسی امکان کسوف</t>
  </si>
  <si>
    <t>مرکز معدل قمر</t>
  </si>
  <si>
    <t>اجزای بعد اجتماع</t>
  </si>
  <si>
    <t>ساعات بعد</t>
  </si>
  <si>
    <t>تقویم شمس به ازای ساعات بعد</t>
  </si>
  <si>
    <t>تقویم قمر به ازای ساعات بعد</t>
  </si>
  <si>
    <t>وسط شمس در نصف النهار</t>
  </si>
  <si>
    <t xml:space="preserve"> شعاع ظل</t>
  </si>
  <si>
    <t>شعاع قمر</t>
  </si>
  <si>
    <t>د ص</t>
  </si>
  <si>
    <t>ك ص</t>
  </si>
  <si>
    <t>ص ط</t>
  </si>
  <si>
    <t>ج ص</t>
  </si>
  <si>
    <t>ج ك ابتدائي</t>
  </si>
  <si>
    <t>سهمه</t>
  </si>
  <si>
    <t>ج ك</t>
  </si>
  <si>
    <t>ج ك ه</t>
  </si>
  <si>
    <t>مساحت دائره قمر</t>
  </si>
  <si>
    <t>مثلث ظل</t>
  </si>
  <si>
    <t>مثلث قمر</t>
  </si>
  <si>
    <t>منخسف</t>
  </si>
  <si>
    <t>اصح</t>
  </si>
  <si>
    <t>کسوف</t>
  </si>
  <si>
    <t>قبل از راس، بعد از ذنب</t>
  </si>
  <si>
    <t>بعد از راس، قبل از ذنب</t>
  </si>
  <si>
    <t>تفاضل ذنب</t>
  </si>
  <si>
    <t>تفاضل راس</t>
  </si>
  <si>
    <t>ی</t>
  </si>
  <si>
    <t>ک</t>
  </si>
  <si>
    <t>تقویم نیرین</t>
  </si>
  <si>
    <t>ساعات اجتماع حقیقی</t>
  </si>
  <si>
    <t xml:space="preserve">قوس النهار </t>
  </si>
  <si>
    <t>ساعات نصف نهار</t>
  </si>
  <si>
    <t>ساعات اجتماع در اول روز</t>
  </si>
  <si>
    <t>دائر ماضی نهار</t>
  </si>
  <si>
    <t>مطالع موضع رصد</t>
  </si>
  <si>
    <t>میل اول جزء عاشر</t>
  </si>
  <si>
    <t>جیب ارتفاع عاشر</t>
  </si>
  <si>
    <t xml:space="preserve">جیب  </t>
  </si>
  <si>
    <t>ما بین تقویم و طالع</t>
  </si>
  <si>
    <t>ارتفاع شمس</t>
  </si>
  <si>
    <t>طالع وقت</t>
  </si>
  <si>
    <t>حصه عرض  قمر</t>
  </si>
  <si>
    <t>سابع</t>
  </si>
  <si>
    <t>تمام عرض قمر</t>
  </si>
  <si>
    <t>جیب تمام عرض قمر</t>
  </si>
  <si>
    <t>جیب قوس اول</t>
  </si>
  <si>
    <t>قوس دوم</t>
  </si>
  <si>
    <t>قوس سوم</t>
  </si>
  <si>
    <t>جیب قوس سوم</t>
  </si>
  <si>
    <t>ارتفاع قمر</t>
  </si>
  <si>
    <t>تحصیل اختلاف  منظر کلی</t>
  </si>
  <si>
    <t>بعد شمس به اجزای مقیاس</t>
  </si>
  <si>
    <t>قطرقمر</t>
  </si>
  <si>
    <t>صحیح نیست</t>
  </si>
  <si>
    <t>بقیه اوجی</t>
  </si>
  <si>
    <t>بعد معدل</t>
  </si>
  <si>
    <t>جیب ارتفاع حقیقی قمر</t>
  </si>
  <si>
    <t>تمام ارتفاع حقیقی قمر</t>
  </si>
  <si>
    <t>بعد قمر از بصر</t>
  </si>
  <si>
    <t>اختلاف منظر کلی</t>
  </si>
  <si>
    <t>تمام ارتفاع مرئی</t>
  </si>
  <si>
    <t>بعد موضع قمر از سمت الراس</t>
  </si>
  <si>
    <t>تحصیل اختلاف منظر قمر درطول و عرض به روش قدماء</t>
  </si>
  <si>
    <t>جیب عرض اقلیم رویت</t>
  </si>
  <si>
    <t>جیب تمام ارتفاع حقیقی</t>
  </si>
  <si>
    <t>اختلاف منظر در عرض</t>
  </si>
  <si>
    <t>تقسیم</t>
  </si>
  <si>
    <t>جهت جیب اختلاف منظر</t>
  </si>
  <si>
    <t>تمام اختلاف منظر در طول</t>
  </si>
  <si>
    <t>اختلاف منظر در طول</t>
  </si>
  <si>
    <t>قوس اول</t>
  </si>
  <si>
    <t>جیب تمام قوس اول</t>
  </si>
  <si>
    <t>جیب بعد موضع قمر</t>
  </si>
  <si>
    <t>جیب تمام محفوظ اول</t>
  </si>
  <si>
    <t xml:space="preserve">تفاضل </t>
  </si>
  <si>
    <t>عرض مرئی</t>
  </si>
  <si>
    <t>بعد درجه مرئی قمراز تربیع طالع</t>
  </si>
  <si>
    <t>اختلاف منظر طول</t>
  </si>
  <si>
    <t>بعد تقویم قمر از تربیع طالع</t>
  </si>
  <si>
    <t>تحصیل اختلاف منظر قمر درطول و عرض به روش متاخرین</t>
  </si>
  <si>
    <t>تحصیل ساعات اجتماع مرئی</t>
  </si>
  <si>
    <t>بهت قمر در ساعت</t>
  </si>
  <si>
    <t>تقویم مرئی قمر</t>
  </si>
  <si>
    <t>مرکز معدل شمس</t>
  </si>
  <si>
    <t>تعدیل القطر</t>
  </si>
  <si>
    <t>نصف قطر مرئی قمر</t>
  </si>
  <si>
    <t>قطرشمس</t>
  </si>
  <si>
    <t>مرکز معدل قمر به تعدیلات ثلاثه</t>
  </si>
  <si>
    <t>بعد شمس</t>
  </si>
  <si>
    <t>قطر مرئی (حسی)</t>
  </si>
  <si>
    <t>مجموع نصف قطرین</t>
  </si>
  <si>
    <t>عرض مرئی قمر</t>
  </si>
  <si>
    <t>جیب عرض مرئی</t>
  </si>
  <si>
    <t>دقایق کسوف</t>
  </si>
  <si>
    <t>مساحت دایره شمس</t>
  </si>
  <si>
    <t>سهم قطعه منکسفه</t>
  </si>
  <si>
    <t>مربع نصف قطر شمس</t>
  </si>
  <si>
    <t>مثلث قطاع شمس</t>
  </si>
  <si>
    <t>مربع نصف قطر قمر</t>
  </si>
  <si>
    <t>قطعه شمس</t>
  </si>
  <si>
    <t>مثلث قطاع قمر</t>
  </si>
  <si>
    <t>قطعه قمر</t>
  </si>
  <si>
    <t>مساحت قطعه منکسفه</t>
  </si>
  <si>
    <t>تحصیل ساعات سقوط</t>
  </si>
  <si>
    <t>مجموع دو نصف قطر نیرین</t>
  </si>
  <si>
    <t>ساعات سقوط غیر معدله</t>
  </si>
  <si>
    <t>ساعات وسط کسوف</t>
  </si>
  <si>
    <t>ساعات بدوغیر معدله</t>
  </si>
  <si>
    <t>ساعات تمام انجلای غیر معدل</t>
  </si>
  <si>
    <t>ساعات نصف قوس النهار</t>
  </si>
  <si>
    <t>ساعات بدو بعد از نصف النهار</t>
  </si>
  <si>
    <t>جیب عرض مرئی وقت بدو غیرمعدل</t>
  </si>
  <si>
    <t>تفاضل مربعین</t>
  </si>
  <si>
    <t>ساعات معدل بدو کسوف</t>
  </si>
  <si>
    <t>جیب عرض مرئی وقت تمام انجلاء غیرمعدل</t>
  </si>
  <si>
    <t>ارتفاع کوکب اگر عرض نداشته باشد</t>
  </si>
  <si>
    <t>بعد بین کوکب و طالع یا سابع</t>
  </si>
  <si>
    <t>جیب تمام بعد بین کوکب و طالع یا سابع</t>
  </si>
  <si>
    <t>حد کسوف</t>
  </si>
  <si>
    <t>جهت عرض کوکب</t>
  </si>
  <si>
    <t>جهت عرض اقلیم رویت</t>
  </si>
  <si>
    <t>جهت کوکب نسبت به افق</t>
  </si>
  <si>
    <t>ص 84-85</t>
  </si>
  <si>
    <t>ارتفاع یا انحطاط کوکب اگر عرض داشته باشد</t>
  </si>
  <si>
    <t xml:space="preserve">ارتفاع یا انحطاط کوکب  </t>
  </si>
  <si>
    <t>تحصیل ارتفاع کوکب</t>
  </si>
  <si>
    <t>قوس اول - کوکب تا طالع</t>
  </si>
  <si>
    <t xml:space="preserve">قوس دوم- ح م - </t>
  </si>
  <si>
    <t>قوس سوم-حاصل</t>
  </si>
  <si>
    <t>عرض کوکب- ط ل</t>
  </si>
  <si>
    <t>بعد بین کوکب و طالع یا سابع- ل ج</t>
  </si>
  <si>
    <t>ط م - جیب تمام ط ج</t>
  </si>
  <si>
    <t>قوس اول - ط ج</t>
  </si>
  <si>
    <t>قوس دوم - ح م</t>
  </si>
  <si>
    <t xml:space="preserve">ارتفاع </t>
  </si>
  <si>
    <t>بر اساس شرح زیج سلطانی ص 381</t>
  </si>
  <si>
    <t>ساعات معدل تمام انجلاء</t>
  </si>
  <si>
    <t>مربع عرض مرئی قمر</t>
  </si>
  <si>
    <t>جیب عرض قمر</t>
  </si>
  <si>
    <t>قوس اول- ج ط</t>
  </si>
  <si>
    <t>قوس دوم- ح م</t>
  </si>
  <si>
    <t>قوس سوم-م ب</t>
  </si>
  <si>
    <t>اختلاف منظر عرض</t>
  </si>
  <si>
    <t>ارتفاع مرئی معدل قمر</t>
  </si>
  <si>
    <t>جیب ارتفاع منحطا</t>
  </si>
  <si>
    <t>باقی تا ربع دور</t>
  </si>
  <si>
    <t>جیب تمام ارتفاع مرئی</t>
  </si>
  <si>
    <t>اختلاف منظر شمس</t>
  </si>
  <si>
    <t>اختلاف منظر  کلی معدل قمر</t>
  </si>
  <si>
    <t>منحط</t>
  </si>
  <si>
    <t>جیب ارتفاع مرئی معدل قمر</t>
  </si>
  <si>
    <t>جیب  عرض مرئی</t>
  </si>
  <si>
    <t>ساعت اجتماع حقیقی بعد از نصف النهار</t>
  </si>
  <si>
    <t>افزودیم</t>
  </si>
  <si>
    <t>ساعات اجتماع مرئی قریب به تحقیق (ساعات وسط کسوف)</t>
  </si>
  <si>
    <t>جیب تمام عرض مرئی</t>
  </si>
  <si>
    <t>اختلاف منظر کلی (ارتفاع)</t>
  </si>
  <si>
    <t>جیب اختلاف منظر کلی (ارتفاع) قمر</t>
  </si>
  <si>
    <t>اختلاف طول</t>
  </si>
  <si>
    <t>اختلاف عرض</t>
  </si>
  <si>
    <t>جیب تعدیل الغروب</t>
  </si>
  <si>
    <t>انحراف</t>
  </si>
  <si>
    <t>قمر معدل</t>
  </si>
  <si>
    <t>بعد سواء</t>
  </si>
  <si>
    <t>جزء نظیر آفتاب</t>
  </si>
  <si>
    <t>جزء نظیر قمر  معدل</t>
  </si>
  <si>
    <t>مطالع بلد جزء نظیر قمر</t>
  </si>
  <si>
    <t>مطالع بلد جزء نظیر شمس</t>
  </si>
  <si>
    <t>میل اول مطالع طالع</t>
  </si>
  <si>
    <t>تعدیل الغروب</t>
  </si>
  <si>
    <t>روش دوم (اسهل)</t>
  </si>
  <si>
    <t>ص 556</t>
  </si>
  <si>
    <t>روز(ثابت)</t>
  </si>
  <si>
    <t>تعداد روزهای ماه موجود</t>
  </si>
  <si>
    <t xml:space="preserve">عرض بلد </t>
  </si>
  <si>
    <t>تمام عرض اقلیم رویت</t>
  </si>
  <si>
    <t>بعد کلی</t>
  </si>
  <si>
    <t>قوس ما بین درجه طلوع تا تقویم</t>
  </si>
  <si>
    <t>تعدیل الرویه</t>
  </si>
  <si>
    <t>قوس الرویه</t>
  </si>
  <si>
    <t>مابین تقویم کوکب و آفتاب</t>
  </si>
  <si>
    <t>مطالع جزء آفتاب</t>
  </si>
  <si>
    <t>مطالع جزء نظیر آفتاب</t>
  </si>
  <si>
    <t>ص 557</t>
  </si>
  <si>
    <t>ظهور و خفای متحیره</t>
  </si>
  <si>
    <t>درجه طلوع کوکب</t>
  </si>
  <si>
    <t>قوس النهار شمس</t>
  </si>
  <si>
    <t>درجه طلوع شمس</t>
  </si>
  <si>
    <t>درجه غروب شمس</t>
  </si>
  <si>
    <t>درجه غروب کوکب</t>
  </si>
  <si>
    <t>قوس النهار کوکب</t>
  </si>
  <si>
    <t>ساعات بعد طلوع شمس</t>
  </si>
  <si>
    <t>قدر کوکب</t>
  </si>
  <si>
    <t>نصف نهار به ساعت</t>
  </si>
  <si>
    <t>تقویم شمس در نصف النهار</t>
  </si>
  <si>
    <t>تقویم شمس وقت ظهور</t>
  </si>
  <si>
    <t>طوالع کوکب</t>
  </si>
  <si>
    <t>قوس الرویه در شرق</t>
  </si>
  <si>
    <t>قوس الرویه در غرب</t>
  </si>
  <si>
    <t>ظهور و خفای کواکب ثابته</t>
  </si>
  <si>
    <t>اصلاح شود</t>
  </si>
  <si>
    <t>سال رومی</t>
  </si>
  <si>
    <t>طوالع استوایی</t>
  </si>
  <si>
    <t>نصف نهار</t>
  </si>
  <si>
    <t>تقویم شمس عند الطلوع</t>
  </si>
  <si>
    <t xml:space="preserve">عرض کوکب </t>
  </si>
  <si>
    <t>مطالع  طلوع</t>
  </si>
  <si>
    <t xml:space="preserve">طلوع منازل </t>
  </si>
  <si>
    <t xml:space="preserve">ساعات </t>
  </si>
  <si>
    <t>ساعات از اول روز</t>
  </si>
  <si>
    <t>غلط</t>
  </si>
  <si>
    <t>حرکت در 13 روز</t>
  </si>
  <si>
    <t>منزل بر افق</t>
  </si>
  <si>
    <t>طلوع منازل ص 561</t>
  </si>
  <si>
    <t>درجه کوکب</t>
  </si>
  <si>
    <t>ما بین المرکزین شمس</t>
  </si>
  <si>
    <t>مبدا نطاق دوم</t>
  </si>
  <si>
    <t>مبدا نطاق سوم</t>
  </si>
  <si>
    <t>مبدا نطاق چهارم</t>
  </si>
  <si>
    <t>اوج شمس ( مبدا نطاق اول)</t>
  </si>
  <si>
    <t>نصف ما بین المرکزین شمس</t>
  </si>
  <si>
    <t>مبدا نطاقات  شمس به حسب مسیر</t>
  </si>
  <si>
    <t>مبدا نطاقات شمس به حسب بعد</t>
  </si>
  <si>
    <t>مبدا نطاقات زهره به حسب بعد</t>
  </si>
  <si>
    <t>مبدا نطاقات مریخ به حسب بعد</t>
  </si>
  <si>
    <t>مبدا نطاقات مشتری به حسب بعد</t>
  </si>
  <si>
    <t>مبدا نطاقات زحل به حسب بعد</t>
  </si>
  <si>
    <t>مبدا نطاقات قمر به حسب بعد</t>
  </si>
  <si>
    <t>اوج قمر ( مبدا نطاق اول)</t>
  </si>
  <si>
    <t>اوج عطارد ( مبدا نطاق اول)</t>
  </si>
  <si>
    <t>اوج زهره ( مبدا نطاق اول)</t>
  </si>
  <si>
    <t>اوج مریخ ( مبدا نطاق اول)</t>
  </si>
  <si>
    <t>اوج مشتری ( مبدا نطاق اول)</t>
  </si>
  <si>
    <t>اوج زحل ( مبدا نطاق اول)</t>
  </si>
  <si>
    <t>مبدا نطاقات عطارد به حسب بعد( در بعد ابعد)</t>
  </si>
  <si>
    <t>مبدا نطاقات عطارد به حسب بعد (بعد اوسط)</t>
  </si>
  <si>
    <t>مبدا نطاقات عطارد به حسب مسیر (بعد اوسط)</t>
  </si>
  <si>
    <t>مبدا نطاقات عطارد به حسب مسیر (بعد اقرب)</t>
  </si>
  <si>
    <t>مبدا نطاقات عطارد به حسب بعد (بعد اقرب)</t>
  </si>
  <si>
    <t>مبدا نطاقات تدویری قمر به حسب مسیر</t>
  </si>
  <si>
    <t>خاصه</t>
  </si>
  <si>
    <t xml:space="preserve">بعد ابعد </t>
  </si>
  <si>
    <t>بعد اوسط</t>
  </si>
  <si>
    <t>بعد اقرب</t>
  </si>
  <si>
    <t>مبدا نطاقات تدویری قمر به حسب بعد</t>
  </si>
  <si>
    <t>مبدا نطاقات تدویری زحل به حسب مسیر</t>
  </si>
  <si>
    <t>مبدا نطاقات تدویری زحل به حسب بعد</t>
  </si>
  <si>
    <t>مبدا نطاقات تدویری مشتری به حسب مسیر</t>
  </si>
  <si>
    <t>مبدا نطاقات تدویری مشتری به حسب بعد</t>
  </si>
  <si>
    <t>مبدا نطاقات تدویری مریخ به حسب مسیر</t>
  </si>
  <si>
    <t>مبدا نطاقات تدویری مریخ به حسب بعد</t>
  </si>
  <si>
    <t>مبدا نطاقات تدویری زهره به حسب بعد</t>
  </si>
  <si>
    <t>مبدا نطاقات تدویری زهره به حسب مسیر</t>
  </si>
  <si>
    <t>مبدا نطاقات تدویری عطارد به حسب مسیر</t>
  </si>
  <si>
    <t>مبدا نطاقات تدویری عطارد به حسب بعد</t>
  </si>
  <si>
    <t>مبدا نطاقات حاملی قمر به حسب مسیر</t>
  </si>
  <si>
    <t>اصل الخاصه قمر</t>
  </si>
  <si>
    <t>خاصه غیر معدله(مرکز تدویر در اوج یا حضیض)</t>
  </si>
  <si>
    <t>حرکت خاصه (مرکز)</t>
  </si>
  <si>
    <t>مرکز تدویر در حد اوسط</t>
  </si>
  <si>
    <t>تعدیل اول</t>
  </si>
  <si>
    <t>وسط زحل</t>
  </si>
  <si>
    <t>اوج زحل</t>
  </si>
  <si>
    <t>وسط مشتری</t>
  </si>
  <si>
    <t>وسط عطارد</t>
  </si>
  <si>
    <t>زهره</t>
  </si>
  <si>
    <t>عطارد</t>
  </si>
  <si>
    <t>مشتری</t>
  </si>
  <si>
    <t>زحل</t>
  </si>
  <si>
    <t>اوج مشتری</t>
  </si>
  <si>
    <t>وسط مریخ</t>
  </si>
  <si>
    <t>اوج مریخ</t>
  </si>
  <si>
    <t>وسط زهره</t>
  </si>
  <si>
    <t>اوج زهره</t>
  </si>
  <si>
    <t>اوج عطارد</t>
  </si>
  <si>
    <t>اصل الخاصه زهره</t>
  </si>
  <si>
    <t>اصل الخاصه عطارد</t>
  </si>
  <si>
    <t>اصل الخاصه مریخ</t>
  </si>
  <si>
    <t>اصل الخاصه زحل</t>
  </si>
  <si>
    <t>اصل الخاصه مشتری</t>
  </si>
  <si>
    <t>مبدا نطاقات حاملی عطارد به حسب مسیر در( بعد ابعد-)</t>
  </si>
  <si>
    <t>مبدا نطاقات حاملی زهره به حسب مسیر</t>
  </si>
  <si>
    <t>مبدا نطاقات حاملی مریخ به حسب مسیر</t>
  </si>
  <si>
    <t>مبدا نطاقات حاملی مشتری به حسب مسیر</t>
  </si>
  <si>
    <t>مبدا نطاقات حاملی زحل به حسب مسیر</t>
  </si>
  <si>
    <t>مرکز مطلق</t>
  </si>
  <si>
    <t>اوج مدیری</t>
  </si>
  <si>
    <t>اوج حاملی</t>
  </si>
  <si>
    <t>اوج قمر  به روش متاخرین</t>
  </si>
  <si>
    <t>اوج قمر  به روش قدماء</t>
  </si>
  <si>
    <t>تقویم شمس عند الفجر</t>
  </si>
  <si>
    <t>نصف قوس اللیل</t>
  </si>
  <si>
    <t>جیب تفاضل</t>
  </si>
  <si>
    <t>سهم نصف قوس اللیل</t>
  </si>
  <si>
    <t>نظیر تقویم شمس</t>
  </si>
  <si>
    <t>جیب ارتفاع</t>
  </si>
  <si>
    <t>سهم قوس نصف اللیل</t>
  </si>
  <si>
    <t>ما بین الطلوعین</t>
  </si>
  <si>
    <t>تقویم شمس عند الغروب</t>
  </si>
  <si>
    <t>تقویم شمس عند ذهاب الحمرة المغربیة</t>
  </si>
  <si>
    <t>مقدار تقریبی 4.5</t>
  </si>
  <si>
    <t>ما بین المغربین</t>
  </si>
  <si>
    <t>انحطاط شمس</t>
  </si>
  <si>
    <t>باد صبا 3.7 محاسبه کرده است</t>
  </si>
  <si>
    <t>ارتفاع شمس عند العصر</t>
  </si>
  <si>
    <t xml:space="preserve">ارتفاع شمس </t>
  </si>
  <si>
    <t>ساعت انتهای فضیلت عصر</t>
  </si>
  <si>
    <t>اجزای بعد</t>
  </si>
  <si>
    <t>ک ص</t>
  </si>
  <si>
    <t>م ح</t>
  </si>
  <si>
    <t>ی م</t>
  </si>
  <si>
    <t>ش ی ق</t>
  </si>
  <si>
    <t>ث ر</t>
  </si>
  <si>
    <t xml:space="preserve">ث ق </t>
  </si>
  <si>
    <t>ش</t>
  </si>
  <si>
    <t>مرکز- ث ق ر</t>
  </si>
  <si>
    <t>ی ق ش</t>
  </si>
  <si>
    <t>ر ث بر مبنای ث ق 60 باشد</t>
  </si>
  <si>
    <t>ح ی = ی ک</t>
  </si>
  <si>
    <t>م ق</t>
  </si>
  <si>
    <t>م ش</t>
  </si>
  <si>
    <t>ح ش</t>
  </si>
  <si>
    <t>ق ر ح - تعدیل اول</t>
  </si>
  <si>
    <t xml:space="preserve">ربع اول و چهارم </t>
  </si>
  <si>
    <t>ربع دوم و سوم</t>
  </si>
  <si>
    <t>تعدیل اول قمر به روش دیگر</t>
  </si>
  <si>
    <t>پروا</t>
  </si>
  <si>
    <t>دوج</t>
  </si>
  <si>
    <t>تیج</t>
  </si>
  <si>
    <t>چوتهه</t>
  </si>
  <si>
    <t>پیچمی</t>
  </si>
  <si>
    <t>چهتهه</t>
  </si>
  <si>
    <t>ستمی</t>
  </si>
  <si>
    <t>اشتمی</t>
  </si>
  <si>
    <t>نومی</t>
  </si>
  <si>
    <t>وسمی</t>
  </si>
  <si>
    <t>ایکاوسی</t>
  </si>
  <si>
    <t>دواوسی</t>
  </si>
  <si>
    <t>ترودسی</t>
  </si>
  <si>
    <t>اماوس</t>
  </si>
  <si>
    <t>چتردسی</t>
  </si>
  <si>
    <t>پورنماسی</t>
  </si>
  <si>
    <t>عدد تتهه</t>
  </si>
  <si>
    <t>نام تتهه</t>
  </si>
  <si>
    <t>مقادیر بعد انتها</t>
  </si>
  <si>
    <t>کرشن پچهه یعنی پکهه بدی</t>
  </si>
  <si>
    <t>شکل پچهه یعنی پکهه سودی</t>
  </si>
  <si>
    <t>مطلوب</t>
  </si>
  <si>
    <t>بعد انتقال</t>
  </si>
  <si>
    <t>کهری و پل انتقال تتهه</t>
  </si>
  <si>
    <t>کهری های نیم روز</t>
  </si>
  <si>
    <t>کهریهای انتقال از طلوع آفتاب</t>
  </si>
  <si>
    <t>جغرافیای ریاضی ص 293</t>
  </si>
  <si>
    <t>طول تهران</t>
  </si>
  <si>
    <t>طول گرمسار</t>
  </si>
  <si>
    <t>ما بین طولین</t>
  </si>
  <si>
    <t xml:space="preserve">تعدیل زمان تهران </t>
  </si>
  <si>
    <t>تعدیل زمان گرمسار</t>
  </si>
  <si>
    <t>سال شمسی</t>
  </si>
  <si>
    <t>تبدیل سال قمری به شمسی</t>
  </si>
  <si>
    <t>تعیین روز در هفته</t>
  </si>
  <si>
    <t>روز*</t>
  </si>
  <si>
    <t>مطالع عاشر</t>
  </si>
  <si>
    <t>اختلاف منظر طول متاخرین</t>
  </si>
  <si>
    <t>اختلاف منظر عرض متاخرین</t>
  </si>
  <si>
    <t>اختلاف منظر در عرض متقدمین</t>
  </si>
  <si>
    <t>اختلاف منظر در طول متقدمین</t>
  </si>
  <si>
    <t>ساعت بر مبنای نصف النهار (صفر) است</t>
  </si>
  <si>
    <t>ساعت *</t>
  </si>
  <si>
    <t xml:space="preserve">کهری </t>
  </si>
  <si>
    <t>پل</t>
  </si>
  <si>
    <t>بپل</t>
  </si>
  <si>
    <t>قه پل</t>
  </si>
  <si>
    <t>بعد از مبدا</t>
  </si>
  <si>
    <t>قبل از مبدا</t>
  </si>
  <si>
    <t>اجزای ساعت مستوی</t>
  </si>
  <si>
    <t>تفاضل دو ساعت</t>
  </si>
  <si>
    <t>ص 73-74</t>
  </si>
  <si>
    <t>حرکت وسطی شمس</t>
  </si>
  <si>
    <t>تقویم شمس متقدم</t>
  </si>
  <si>
    <t>تقویم شمس متاخر</t>
  </si>
  <si>
    <t>اجزای ساعت حقیقی</t>
  </si>
  <si>
    <t>مرکزمعدل به تعدیلین</t>
  </si>
  <si>
    <t>وسط معدل منقوص</t>
  </si>
  <si>
    <t>تعدیل سوم قمر</t>
  </si>
  <si>
    <t>ص625-626</t>
  </si>
  <si>
    <t>حصه قمر</t>
  </si>
  <si>
    <t>تعدیل رابع قمر</t>
  </si>
  <si>
    <t>مجموع تعدیلات</t>
  </si>
  <si>
    <t>کهری های معدل</t>
  </si>
  <si>
    <t>مقدار هرجوک</t>
  </si>
  <si>
    <t xml:space="preserve"> </t>
  </si>
  <si>
    <t>کهری های گذشته تا نصف النهار</t>
  </si>
  <si>
    <t>کهری های نصف النهار</t>
  </si>
  <si>
    <t>کهری های انتقال از وقت طلوع</t>
  </si>
  <si>
    <t>کرن</t>
  </si>
  <si>
    <t>کرن 1</t>
  </si>
  <si>
    <t>کرن 2</t>
  </si>
  <si>
    <t xml:space="preserve">نیمه اول </t>
  </si>
  <si>
    <t>نیمه دوم</t>
  </si>
  <si>
    <t>نام کرن</t>
  </si>
  <si>
    <t>بالو</t>
  </si>
  <si>
    <t>کولو</t>
  </si>
  <si>
    <t>تیتل</t>
  </si>
  <si>
    <t>گر</t>
  </si>
  <si>
    <t>بنج</t>
  </si>
  <si>
    <t>بب</t>
  </si>
  <si>
    <t>سکن</t>
  </si>
  <si>
    <t>چس پد</t>
  </si>
  <si>
    <t>ناک</t>
  </si>
  <si>
    <t>کستوگهن</t>
  </si>
  <si>
    <t>برای تبدیل دقیق زمان باید از مبدا تاریخ طغیانی 12 ساعت (+- تعدیل زمان حساب شده در جدول فوق) کسر شود تا ابتدای یوم مطابق امروزی ها شود</t>
  </si>
  <si>
    <t>بشت (بهدره)</t>
  </si>
  <si>
    <t>ص 619 و 627</t>
  </si>
  <si>
    <t>مقاله پنجم</t>
  </si>
  <si>
    <t>تسدیس</t>
  </si>
  <si>
    <t>تربیع</t>
  </si>
  <si>
    <t>تثلیث</t>
  </si>
  <si>
    <t>مقابله</t>
  </si>
  <si>
    <t>تناظر مطلعی</t>
  </si>
  <si>
    <t>تناظر زمانی</t>
  </si>
  <si>
    <t>نام برج</t>
  </si>
  <si>
    <t>ص 630</t>
  </si>
  <si>
    <t>حصه سمت و جهت آن</t>
  </si>
  <si>
    <t>تعدیل السمت</t>
  </si>
  <si>
    <t>ص632-633</t>
  </si>
  <si>
    <t>ص 637</t>
  </si>
  <si>
    <t>میل افق حادث</t>
  </si>
  <si>
    <t>عرض افق حادث</t>
  </si>
  <si>
    <t>مغارب</t>
  </si>
  <si>
    <t>تعدیل النهار به ازای عرض افق حادث</t>
  </si>
  <si>
    <t>مطالع مصحح</t>
  </si>
  <si>
    <t>درجه مصححه</t>
  </si>
  <si>
    <t>مطارح شعاعات ص634</t>
  </si>
  <si>
    <t>طریقه بطلیموس</t>
  </si>
  <si>
    <t>تسدیس ایسر</t>
  </si>
  <si>
    <t>تربیع ایسر</t>
  </si>
  <si>
    <t>تثلیث ایسر</t>
  </si>
  <si>
    <t>تسدیس ایمن</t>
  </si>
  <si>
    <t>تربیع ایمن</t>
  </si>
  <si>
    <t>تثلیث ایمن</t>
  </si>
  <si>
    <t>طریقه ابوریحان بیرونی(مستعمل ارباب نجوم)</t>
  </si>
  <si>
    <t>مطالع تسدیس ایمن</t>
  </si>
  <si>
    <t>مطالع تسدیس ایسر</t>
  </si>
  <si>
    <t>مطالع بالقبه</t>
  </si>
  <si>
    <t>فضل الدور به ازای یک سال</t>
  </si>
  <si>
    <t>فضل الدور به ازای یک ساعت</t>
  </si>
  <si>
    <t>فضل الدور به ازای یک روز</t>
  </si>
  <si>
    <t>حصه تسییر هر روز</t>
  </si>
  <si>
    <t>مسیّر</t>
  </si>
  <si>
    <t>مسیّرالیه</t>
  </si>
  <si>
    <t>تقویم شمس عند الطلوع(طالع)</t>
  </si>
  <si>
    <t>حصه تسییر</t>
  </si>
  <si>
    <t>مطالع طالع تحویل</t>
  </si>
  <si>
    <t>موضع تسییر طالع تحویل</t>
  </si>
  <si>
    <t>دایر</t>
  </si>
  <si>
    <t>تقویم</t>
  </si>
  <si>
    <t>ساعت ماضیه</t>
  </si>
  <si>
    <t>نصف النهار تا طلوع</t>
  </si>
  <si>
    <t>نصف ساعات نهار</t>
  </si>
  <si>
    <t>جمع</t>
  </si>
  <si>
    <t>طالع سال تحویل</t>
  </si>
  <si>
    <t>سال قمری اصلی</t>
  </si>
  <si>
    <t>سال قمری تحویل</t>
  </si>
  <si>
    <t>فضل الدور به ازای سالهای تامه</t>
  </si>
  <si>
    <t xml:space="preserve">حصه یک روز </t>
  </si>
  <si>
    <t>جدول انتهای موالید سنوی ص636</t>
  </si>
  <si>
    <t>ص 635-636</t>
  </si>
  <si>
    <t>حصه یک ساعت</t>
  </si>
  <si>
    <t>حصه یک سال</t>
  </si>
  <si>
    <t>حصه یک ماه</t>
  </si>
  <si>
    <t>جدول انتهای موالید شهوری</t>
  </si>
  <si>
    <t>موضع انتهای موالید شهوری</t>
  </si>
  <si>
    <t>موضع انتهای موالید سنوی</t>
  </si>
  <si>
    <t>حصه ایام</t>
  </si>
  <si>
    <t>ایام</t>
  </si>
  <si>
    <t>ساعات</t>
  </si>
  <si>
    <t>دقایق</t>
  </si>
  <si>
    <t>ثوانی</t>
  </si>
  <si>
    <t>سبع اول</t>
  </si>
  <si>
    <t>سبع ثانی</t>
  </si>
  <si>
    <t>سبع ثالث</t>
  </si>
  <si>
    <t>سبع رابع</t>
  </si>
  <si>
    <t>سبع خامس</t>
  </si>
  <si>
    <t>سبع سادس</t>
  </si>
  <si>
    <t>سبع سابع</t>
  </si>
  <si>
    <t>جدول حصص سباع یک سال شمسی ص643</t>
  </si>
  <si>
    <t xml:space="preserve">مدت زمان از مبدا عالم تا تاریخ 3 وسطی ذی الحجه سال 1251 ساعت 41  34  6 </t>
  </si>
  <si>
    <t>تسییر اعظم</t>
  </si>
  <si>
    <t>تسییر اکبر</t>
  </si>
  <si>
    <t>تسییر اوسط</t>
  </si>
  <si>
    <t>تسییر اصغر</t>
  </si>
  <si>
    <t>هر... سال شمسی</t>
  </si>
  <si>
    <t>یک دور</t>
  </si>
  <si>
    <t>مدت زمان از مبدا عالم تا اول محرم سال 1251 ناقصه</t>
  </si>
  <si>
    <t>سال قمری مبدا</t>
  </si>
  <si>
    <t>سال قمری مفروض</t>
  </si>
  <si>
    <t>حرکت وسط شمس در یکروز</t>
  </si>
  <si>
    <t>ساعات بعد تحویل از نصف النهار موخر</t>
  </si>
  <si>
    <t>طالع تحویل</t>
  </si>
  <si>
    <t>تسییرات ایام متوالیه سال</t>
  </si>
  <si>
    <t>ص 644</t>
  </si>
  <si>
    <t>انتهاء اعظم</t>
  </si>
  <si>
    <t>انتهاء اکبر</t>
  </si>
  <si>
    <t>انتهاء اوسط</t>
  </si>
  <si>
    <t>انتهاء اصغر</t>
  </si>
  <si>
    <t>ص644- جدول اصل تسییرات ص647</t>
  </si>
  <si>
    <t>ص 644 جدول اصل انتهاءات ص648</t>
  </si>
  <si>
    <t>اصل فردار</t>
  </si>
  <si>
    <t>از مبدا تا کنون به سال شمسی</t>
  </si>
  <si>
    <t>سال مجموعه ناقصه</t>
  </si>
  <si>
    <t>سال مبسوطه تامه</t>
  </si>
  <si>
    <t>کوکب</t>
  </si>
  <si>
    <t>سنین مبسوطه</t>
  </si>
  <si>
    <t>تبدیل سال قمری مبدا به شمسی</t>
  </si>
  <si>
    <t>فردار اعظم</t>
  </si>
  <si>
    <t>فردار اکبر</t>
  </si>
  <si>
    <t>دور فردار اوسط</t>
  </si>
  <si>
    <t>دور فردار اکبر</t>
  </si>
  <si>
    <t>شمس</t>
  </si>
  <si>
    <t>ذنب</t>
  </si>
  <si>
    <t>فردار اوسط</t>
  </si>
  <si>
    <t>فردار اصغر</t>
  </si>
  <si>
    <t>ص 649</t>
  </si>
  <si>
    <t>ص649</t>
  </si>
  <si>
    <t>ص650-651</t>
  </si>
  <si>
    <t>آفتاب</t>
  </si>
  <si>
    <t>دوره های تامه</t>
  </si>
  <si>
    <t>ماضی از دور اخیر</t>
  </si>
  <si>
    <t>دوره مختص به برج ...</t>
  </si>
  <si>
    <t>ماضی از دوره برج</t>
  </si>
  <si>
    <t>ایام طوفان تا هجرت</t>
  </si>
  <si>
    <t>دور تام ماضی</t>
  </si>
  <si>
    <t>تعداد سال ماضی از دور اخیر</t>
  </si>
  <si>
    <t>فصل</t>
  </si>
  <si>
    <t>سال ماضی از فصل اخیر</t>
  </si>
  <si>
    <t>روز ماضی از سال اخیر</t>
  </si>
  <si>
    <t>فصل چهارم ص 636</t>
  </si>
  <si>
    <t>ص646</t>
  </si>
  <si>
    <t>محاسبه دور 360 ساله تا مبدا طغیانی</t>
  </si>
  <si>
    <t>ص 653</t>
  </si>
  <si>
    <t>جدول حرکات سبعه منحوسه</t>
  </si>
  <si>
    <t>عطیط</t>
  </si>
  <si>
    <t>غرنم</t>
  </si>
  <si>
    <t>سرموش</t>
  </si>
  <si>
    <t>کلاب</t>
  </si>
  <si>
    <t>ذوذوابه</t>
  </si>
  <si>
    <t>لحیانی</t>
  </si>
  <si>
    <t>کید</t>
  </si>
  <si>
    <t>حرکت یک شبانه روز</t>
  </si>
  <si>
    <t>حرکت یک سال کبیسه</t>
  </si>
  <si>
    <t>حرکت یک سال غیر کبیسه</t>
  </si>
  <si>
    <t>بعد ازمبدا</t>
  </si>
  <si>
    <t>مقاله هفتم</t>
  </si>
  <si>
    <t>مقدمه</t>
  </si>
  <si>
    <t>مدخل نجوم</t>
  </si>
  <si>
    <t>احکام عالم</t>
  </si>
  <si>
    <t>احکام موالید</t>
  </si>
  <si>
    <t>اختیارات</t>
  </si>
  <si>
    <t>ضمیر و جنی</t>
  </si>
  <si>
    <t>احکام متعلق به علم احکام</t>
  </si>
  <si>
    <t>در صفات و منسوبات بروج</t>
  </si>
  <si>
    <t>درتفصیل درجات سعد و نحس ومذکر  و مونث</t>
  </si>
  <si>
    <t>در صفات و منسوبات سبعه سیاره و راس و ذنب قمر</t>
  </si>
  <si>
    <t>دربیان بیوت کواکب سبعه</t>
  </si>
  <si>
    <t>دربیان شرف کواکب و راس و ذنب</t>
  </si>
  <si>
    <t>در بیان حدود کواکب</t>
  </si>
  <si>
    <t>در بیان تقسیم وجوه</t>
  </si>
  <si>
    <t>در تقسیم دریجان</t>
  </si>
  <si>
    <t>درتقسیم اردجان</t>
  </si>
  <si>
    <t>در بیان ارباب مثلثه</t>
  </si>
  <si>
    <t>در تقسیم اثناعشریه</t>
  </si>
  <si>
    <t>در بیان تقسیم نه بهره</t>
  </si>
  <si>
    <t>در تقسیم هفت بهره</t>
  </si>
  <si>
    <t>در تقسیم نیم بهره</t>
  </si>
  <si>
    <t>در بیان خداوندان ساعات هر روز و شب</t>
  </si>
  <si>
    <t>درصفات و منسوبات بروج بر سبیل ترکیب</t>
  </si>
  <si>
    <t>درصفات و منسوبات بیوت دوازده گانه</t>
  </si>
  <si>
    <t>در تعدید قوتها و ضعفهای کواکب</t>
  </si>
  <si>
    <t>در بیان سهام</t>
  </si>
  <si>
    <t>در بیان انظار و اتصالات</t>
  </si>
  <si>
    <t>حمل</t>
  </si>
  <si>
    <t>جوزاء</t>
  </si>
  <si>
    <t>سنبله</t>
  </si>
  <si>
    <t>میزان</t>
  </si>
  <si>
    <t>عقرب</t>
  </si>
  <si>
    <t>جدی</t>
  </si>
  <si>
    <t>دلو</t>
  </si>
  <si>
    <t>حوت</t>
  </si>
  <si>
    <t>درجات سعد</t>
  </si>
  <si>
    <t>درجات نحس</t>
  </si>
  <si>
    <t>ص 671</t>
  </si>
  <si>
    <t>درجات آبار بروج</t>
  </si>
  <si>
    <t>حدود کواکب به روش مصریان ص679</t>
  </si>
  <si>
    <t>متحیره</t>
  </si>
  <si>
    <t>انتهاءحد</t>
  </si>
  <si>
    <t>درجات مذکر و مونث</t>
  </si>
  <si>
    <t>جدول خداوندان دریجان کواکب 680</t>
  </si>
  <si>
    <t>جدول خداوندان اردجان کواکب 681</t>
  </si>
  <si>
    <t>جدول قسمت اثناعشریه بروج و خداوندان اثناعشریه 681</t>
  </si>
  <si>
    <t>جدول قسمت 9 بهره و خداوندان آن ص682</t>
  </si>
  <si>
    <t>ج ک</t>
  </si>
  <si>
    <t>و م</t>
  </si>
  <si>
    <t>یج ک</t>
  </si>
  <si>
    <t>یو م</t>
  </si>
  <si>
    <t>کج ک</t>
  </si>
  <si>
    <t>کو م</t>
  </si>
  <si>
    <t>ل</t>
  </si>
  <si>
    <t xml:space="preserve">       درجه</t>
  </si>
  <si>
    <t>د یز</t>
  </si>
  <si>
    <t>ح لد</t>
  </si>
  <si>
    <t>یب نا</t>
  </si>
  <si>
    <t>یز ط</t>
  </si>
  <si>
    <t>کا کو</t>
  </si>
  <si>
    <t>کح مج</t>
  </si>
  <si>
    <t>جدول معرفت خداوندان 7 بهره ص683</t>
  </si>
  <si>
    <t>یه</t>
  </si>
  <si>
    <t>جدول معرفت نیم بهره 683</t>
  </si>
  <si>
    <t>روزها</t>
  </si>
  <si>
    <t>شبها</t>
  </si>
  <si>
    <t>جدول خداوندان روزها و شبها 684</t>
  </si>
  <si>
    <t>دوازده بهره</t>
  </si>
  <si>
    <t>جدول وجوه (صورت)کواکب 680</t>
  </si>
  <si>
    <t>بیوت</t>
  </si>
  <si>
    <t>منسوبات</t>
  </si>
  <si>
    <t>طبع</t>
  </si>
  <si>
    <t>ناری</t>
  </si>
  <si>
    <t>خاکی</t>
  </si>
  <si>
    <t>وایی</t>
  </si>
  <si>
    <t>آبی</t>
  </si>
  <si>
    <t>ارباب روز</t>
  </si>
  <si>
    <t>ارباب شب</t>
  </si>
  <si>
    <t>بروج مثلثه</t>
  </si>
  <si>
    <t>ص 681</t>
  </si>
  <si>
    <t>معادن</t>
  </si>
  <si>
    <t>گرما</t>
  </si>
  <si>
    <t>نبات</t>
  </si>
  <si>
    <t>حیوانات</t>
  </si>
  <si>
    <t>حیوانات آبی و آبها</t>
  </si>
  <si>
    <t>سرما</t>
  </si>
  <si>
    <t>وزیدن بادها</t>
  </si>
  <si>
    <t>بارندگی ها</t>
  </si>
  <si>
    <t>عالی همت، گردنکش، یارگیر</t>
  </si>
  <si>
    <t>کم عقل، غافل، احمق، ممسک، دروغگو</t>
  </si>
  <si>
    <t>شریف، عاقل، ممیز، عالم</t>
  </si>
  <si>
    <t>خسیس، کاهل، تعطیل ننده در کارها</t>
  </si>
  <si>
    <t>اصناف طبیعت</t>
  </si>
  <si>
    <t>آب و هوا</t>
  </si>
  <si>
    <t>مردم</t>
  </si>
  <si>
    <t>جدول منسوبات بیوت اثنا عشر منقول از لوایح القمر ص685</t>
  </si>
  <si>
    <t>تن و جان وبقاء و حیات و نطق و لبتدای امور و تدبیر مصالح و طلبیدن و سعادت و شقاوت</t>
  </si>
  <si>
    <t>مال و معاش و اعوان و دخل وخرج و کسب و صناعات و غذا خوردن و آشامیدن و سخا و بخل</t>
  </si>
  <si>
    <t>پدران ومادران و مقام بود و باش و افلاک و ضیاء وعقار و عاقبت کارها و جایگاه دفن کردن مال</t>
  </si>
  <si>
    <t>فرزندان و طرب وهدیه ورسل و اسباب شادی و ملبوسات و تشریف وتحف ازبزرگان</t>
  </si>
  <si>
    <t xml:space="preserve">امراض و آفات عیوب و بنده و ستوران و حبس و قید و صحت و سلامتی بیمار وضایع شدن چیزها </t>
  </si>
  <si>
    <t>ازدواج و نکاح و شرکاء و دزدان و ضدان و مخالفان و خصومتها و ظفر و هزیمت و یافتن و نیافتن دزیده و گمشده</t>
  </si>
  <si>
    <t>فصل 10</t>
  </si>
  <si>
    <t>فصل 16</t>
  </si>
  <si>
    <t xml:space="preserve">جوزاء </t>
  </si>
  <si>
    <t>عقب</t>
  </si>
  <si>
    <t xml:space="preserve">معوج الطلوع </t>
  </si>
  <si>
    <t>و ناقص المطالع</t>
  </si>
  <si>
    <t>مستقیم الطلوع</t>
  </si>
  <si>
    <t>وزائد المطالع</t>
  </si>
  <si>
    <t>و جنوبی</t>
  </si>
  <si>
    <t xml:space="preserve">و ناقصه </t>
  </si>
  <si>
    <t xml:space="preserve">منخفضه </t>
  </si>
  <si>
    <t>عالیه</t>
  </si>
  <si>
    <t>و زائده</t>
  </si>
  <si>
    <t>و شمالیه</t>
  </si>
  <si>
    <t>خوف وخطر و میراث و اندوه و درویشی و نکبت و بیت مال و ازواج و شرکاء و کیفیت حال هر یک</t>
  </si>
  <si>
    <t>سفر دور و دین و مذهب و تحصیل علوم و خوابها و تدبیر و عقل و کیاست و دانستن احوال غایب و توانگری و درویشی</t>
  </si>
  <si>
    <t>سلطنت و جاه و رفعت و شغل و عمل و شهرت و احوال مادران و در قدم فرزندان</t>
  </si>
  <si>
    <t xml:space="preserve">دشمنان و شقاوت و ... دیگر و ستوران و ... و حبس و زندان و قرض وگرفتاری و خلاصی و شناختن نیکی وبد حال و دشمنان </t>
  </si>
  <si>
    <t>سعادت و رجاء و یافتن دوستان و دشمنی کردن و بیت المال و سلطان و دلیل و ... امراء و عمل و شغل و عشق و صدق و کذب و کیفیت حال هر یک</t>
  </si>
  <si>
    <t>اسامی</t>
  </si>
  <si>
    <t>بیت الحیوة</t>
  </si>
  <si>
    <t>بیت المال</t>
  </si>
  <si>
    <t>بیت الاخوة</t>
  </si>
  <si>
    <t>بیت الآباء</t>
  </si>
  <si>
    <t>بیت الاولاد</t>
  </si>
  <si>
    <t>بیت العبد</t>
  </si>
  <si>
    <t>بیت الاضداد</t>
  </si>
  <si>
    <t>بیت السجون</t>
  </si>
  <si>
    <t>بیت السفر</t>
  </si>
  <si>
    <t>بیت العمل</t>
  </si>
  <si>
    <t>بیت الرجاء</t>
  </si>
  <si>
    <t>بیت الاعداء</t>
  </si>
  <si>
    <t>وتد و مائل وزائل</t>
  </si>
  <si>
    <t>وتد اول و طالع</t>
  </si>
  <si>
    <t>مائل</t>
  </si>
  <si>
    <t>زائل</t>
  </si>
  <si>
    <t>وتد الارض و رابع</t>
  </si>
  <si>
    <t>وتد سابع و غارب</t>
  </si>
  <si>
    <t>وتدالسماء و عاشر</t>
  </si>
  <si>
    <t>ناظر و ساقط</t>
  </si>
  <si>
    <t>ساقط</t>
  </si>
  <si>
    <t xml:space="preserve">ناظر </t>
  </si>
  <si>
    <t>ناظر</t>
  </si>
  <si>
    <t>صاعد و هابط</t>
  </si>
  <si>
    <t>صاعد</t>
  </si>
  <si>
    <t>هابط</t>
  </si>
  <si>
    <t>قوت کواکب</t>
  </si>
  <si>
    <t>ضعف کواکب</t>
  </si>
  <si>
    <t>دلائل اعضاء</t>
  </si>
  <si>
    <t>سر و روی</t>
  </si>
  <si>
    <t>گردن و حلقوم</t>
  </si>
  <si>
    <t>بازو و دست</t>
  </si>
  <si>
    <t>سینه و معده</t>
  </si>
  <si>
    <t>شکم و ناف</t>
  </si>
  <si>
    <t>سرین و زیر ناف</t>
  </si>
  <si>
    <t>آلات شهوت و رحم</t>
  </si>
  <si>
    <t>زانو و پیوندان</t>
  </si>
  <si>
    <t>ساق پای</t>
  </si>
  <si>
    <t>قدم</t>
  </si>
  <si>
    <t>جهات</t>
  </si>
  <si>
    <t>مشرق</t>
  </si>
  <si>
    <t>جنوبی شرقی</t>
  </si>
  <si>
    <t xml:space="preserve">جنوب </t>
  </si>
  <si>
    <t>جنوبی غربی</t>
  </si>
  <si>
    <t>مغرب</t>
  </si>
  <si>
    <t>شمالی غربی</t>
  </si>
  <si>
    <t xml:space="preserve">شمال </t>
  </si>
  <si>
    <t>شمالی شرقی</t>
  </si>
  <si>
    <t>تذکیر و تانیث بیوت</t>
  </si>
  <si>
    <t>مذکر</t>
  </si>
  <si>
    <t>مونث</t>
  </si>
  <si>
    <t>تذکیرو تانیث ارباع</t>
  </si>
  <si>
    <t>امزاج کواکب</t>
  </si>
  <si>
    <t xml:space="preserve">زهره </t>
  </si>
  <si>
    <t>دقیقه*</t>
  </si>
  <si>
    <t>قوت وضعف کواکب به حسب شدت وضعف تاثیر</t>
  </si>
  <si>
    <t>اصناف قوت</t>
  </si>
  <si>
    <t>اصناف قوت درعظیم الاثر: سی وچهار صنف دارد</t>
  </si>
  <si>
    <t>اصناف قوت در متوسط الاثر: چهل وچهار صنف دارد</t>
  </si>
  <si>
    <t>اصناف قوت در حقیر الاثر: اصناف آن پانزده است</t>
  </si>
  <si>
    <t>عظیم الاثر اعلی:  پنج صنف دارد وبهره هر یک از این اصناف در این مرتبه نه باشد از قوت</t>
  </si>
  <si>
    <t>عظیم الاثر اوسط : شش صنف دارد و بهره هر یک از این اصناف در این مرتبه هشت  باشد از قوت</t>
  </si>
  <si>
    <t>عظیم الاثر ادنی: بیست ودو صنف دارد وبهره هر یک از این اصناف در این مرتبه هفت است</t>
  </si>
  <si>
    <t>متوسط الاثر اعلی : ده صنف دارد وبهره هر یک از این اصناف در این مرتبه شش است</t>
  </si>
  <si>
    <t>متوسط الاثر اوسط : هفده صنف دارد وبهره هریک از این اصناف در این مرتبه پنج است.</t>
  </si>
  <si>
    <t>متوسط الاثر ادنی:  هفده صنف دارد وبهره هر یک از این اصناف دراین مرتبه چهار است.</t>
  </si>
  <si>
    <t>حقیرالاثر اعلی: سه صنف دارد وبهره هریک از این اصناف درابن مرتبه سه باشد</t>
  </si>
  <si>
    <t>حقیر الاثر اوسط: هفت صنف دارد وبهره هریک از این اصناف در این مرتبه دو است</t>
  </si>
  <si>
    <t>حقیر الاثر ادنی: پنج صنف دارد وبهره هر یک از این اصناف در این مرتبه یکی باشد از قوت</t>
  </si>
  <si>
    <t>خانه</t>
  </si>
  <si>
    <t>برج شرف</t>
  </si>
  <si>
    <t>تشریق علویه و تعزیب سفلیین</t>
  </si>
  <si>
    <t>اقامت بعد رجعت</t>
  </si>
  <si>
    <t xml:space="preserve">استعلاء: بودن کوکب است در دهم یا یازدهم کوکب دیگر </t>
  </si>
  <si>
    <t>بیت مائل</t>
  </si>
  <si>
    <t>وجه کوکب سعد</t>
  </si>
  <si>
    <t>دریجان سعد</t>
  </si>
  <si>
    <t>نیم بهره و این خاصه نیرین است و در دیگر کواکب چنان باید که به روز در نیم بهره آفتاب باشد وبه شب در نیم بهره ماه</t>
  </si>
  <si>
    <t>درجه شرف</t>
  </si>
  <si>
    <t>استقامت سیر متحیره</t>
  </si>
  <si>
    <t>بیت الاقبال یعنی اوتاد</t>
  </si>
  <si>
    <t>سرعت سیر: حرکت تقویمی زیاده از حرکت وسط باشد</t>
  </si>
  <si>
    <t>بودن کوکب دردو ربع مقبل</t>
  </si>
  <si>
    <t>بیت الفرح</t>
  </si>
  <si>
    <t>نه بهره سعد</t>
  </si>
  <si>
    <t>اردجان سعد</t>
  </si>
  <si>
    <t xml:space="preserve">برج شمالی </t>
  </si>
  <si>
    <t>اهتزاز</t>
  </si>
  <si>
    <t>وآن عبارت است از بودن کوکب در بیت قوی از بیوت دوازده گانه چون طالع ورابع وخامس وسابع وثالث وتاسع وعاشر وحادی عشر که بیوت ما دون ساقطه اند خاصه وقتی که از کواکب به نظر مودت به او نگرند وکمال اهتزاز انگاه بود که با وجود این حال کوکب مهتز در خطی از خطوط خود باشد یعنی در حد خواه صورت خواه در بیت مثلث خود با دیگر خطوط باشد بالجمله هر کوکبی که در صورت زایچه حال آراسته تر باشد مهتز بود</t>
  </si>
  <si>
    <t>اعتلاء وان چنان است که کواکب علویه فوق الارض باشند وسفلیین تحت الارض</t>
  </si>
  <si>
    <t>درجه طالع</t>
  </si>
  <si>
    <t>بودن کوکب در حد خود</t>
  </si>
  <si>
    <t>عرض شمالی</t>
  </si>
  <si>
    <t>بیت قوت وان برای شمس بیت دهم است وبرای قمر چهارم وبرای زحل هشتم و برای مشتری دوم وبرای مریخ سیوم وبرای زهره هفتم وبرای عطارد نهم</t>
  </si>
  <si>
    <t>اثنی عشریه سعد</t>
  </si>
  <si>
    <t>هفت بهره سعد</t>
  </si>
  <si>
    <t>برج درا است</t>
  </si>
  <si>
    <t>تضمیم</t>
  </si>
  <si>
    <t>دوری کوکب از آفتاب مقدار شانزده دقیقه وتضمیم عطارد از همه قویتر باشد زیرا که کسب جوهر آفتاب کند و در حالت تضمیم او را آفتاب دوم خوانند و تضمیم دلیل بر عز وجاه وعظمت باشد.</t>
  </si>
  <si>
    <t>دستوریه: وآن بر چهار نوع است دلیل بر سعادت وخیر عظیم است</t>
  </si>
  <si>
    <t>درجه عاشره</t>
  </si>
  <si>
    <t>بودن رب اول مثلثه در یکی از بروج مثلثه خود</t>
  </si>
  <si>
    <t>زیادتی نور در قمر وآن از تربیع اول قمر به شمس تا تربیع دوم است</t>
  </si>
  <si>
    <t>بیت مذکر مذکر را وبیت مونث مونث را</t>
  </si>
  <si>
    <t xml:space="preserve">درجه مذکر مذکر را ودرجه مونث مونث را </t>
  </si>
  <si>
    <t xml:space="preserve">برج مستقیم الطلوع </t>
  </si>
  <si>
    <t>جرم ثابته</t>
  </si>
  <si>
    <t xml:space="preserve">درجه طلوع تا درجه ممر کوکبی از سیاره موافق درجه طلوع یا درجه ممر کوکبی ثابت سوز شود </t>
  </si>
  <si>
    <t>کواکب علویه در خانه یا شرف خود باشد وافتاب نیز همچنین باشد و از نظر ایمن به آنها نکرد در این وقت گویند که کوکب علوی در دستوریه شمس است قویتر آن دستوریه است که هریک از کوکب وشمس در اوتاد بود مثلا آفتاب در حمل بر وتد السماء ومشتری در سرطان بر افق شرقی دستوریه قوی باشد وبه قیاس قمر هم کواکب علویه را دستوریه هست اما آنکه در قمر اتصال میسره معتبر است وبه شرایط مذکوره میان هر دو کوکب دستوریه میشود مگر آنکه گویند که سریع السیر در دستوریه کوکب بطی السیر است .</t>
  </si>
  <si>
    <t>بودن کوکب بر نفس منطقه البروج</t>
  </si>
  <si>
    <t>صعود د رفلک اوج</t>
  </si>
  <si>
    <t>زیادت قدر وآن وقتی است که کوکب در نطاق دوم وسیوم باشد</t>
  </si>
  <si>
    <t>بیت کوکب سعد</t>
  </si>
  <si>
    <t>نصف صاعد از بیوت دوازده گانه</t>
  </si>
  <si>
    <t>بودن نیرین در ولایت خود</t>
  </si>
  <si>
    <t>کوکبی که در یکی از دو خانه خود باشد وبعدش از یکی دو نیر مثل دوری خانه او باشد از خانه همان نیر مثلا مشتری در قوس وآفتاب در حمل بود</t>
  </si>
  <si>
    <t>صعود در فلک تدویر</t>
  </si>
  <si>
    <t>تزاید فی السیر</t>
  </si>
  <si>
    <t>مثلثه ثابته سعد</t>
  </si>
  <si>
    <t>برج موافق مزاج</t>
  </si>
  <si>
    <t>کواکب علویه در کمال تشریق باشند یعنی بر شمس به ده درجه مقدم باشند وبر سفلیین در تعزیت یعنی وقتی که در غایت سرعت باشند</t>
  </si>
  <si>
    <t>ذروه وسطی از تدویر</t>
  </si>
  <si>
    <t xml:space="preserve">بودن کوکب در ربع صاعد شمالی </t>
  </si>
  <si>
    <t>زیادتی عدد و ان وقتی است که خاصه معدله کنتر از فق درجه باشد</t>
  </si>
  <si>
    <t>نصرت وان عبارت است از قوت دادن کوکبی کوکب دیگر را که در خانه او باشد مثلا هرگاه مشتری در اسد باشد وکوکبی در قوس پس مشتری که صاحب خانه هست آن کوکب را که به نظر تثلیث می نگرد تا خبر باشد</t>
  </si>
  <si>
    <t xml:space="preserve">برج موافق خوی </t>
  </si>
  <si>
    <t>انکه صاحب طالع در عاشر باشد وصاحب عاشر در طالع ودستوریه دلیل بر سعادت وخیر عظیم باشد</t>
  </si>
  <si>
    <t>خیر یعنی بودن کوکب نهاری در نیمه روزی و لیلی در نیمه شبی</t>
  </si>
  <si>
    <t>بودن کوکب فوق الارض</t>
  </si>
  <si>
    <t>زیادتی حساب یعنی تعدیلی که بعد ترکیب تعدیلات حاصل شود زاید باشد</t>
  </si>
  <si>
    <t>اعانت</t>
  </si>
  <si>
    <t>استیلاء</t>
  </si>
  <si>
    <t>نظر کوکب است به برجی که او را دران برج خطی باشد از خطوط خمسه یعنی خط بیت، شرف، حد، وجه ومثلثه وبعضی خداوند ساعت را نیز ضم کرده اند ومعمول همین است واگر صاحب خط در محل خط باشد در اینصورت قوتش مضاعف می گردد وپس هر کوکبی را که خط زیاده باشد مستولی او بود وکواکبی که خط ان کمتر باشد انباز او باشند وکوکبی که مستولی ناظر باشد آن را مزاعم وشاهد خوانند</t>
  </si>
  <si>
    <t>دفع قوت وان چنان است که کوکبی د رخطی باشد از خطوط خود وقوی الحال بود وبه کوکب دیگر پیوندد وقوت خود را به او دهد واگر چنان بود که هردو کوکب د ر خط خود باشد این حالت دفع قوتین باشد</t>
  </si>
  <si>
    <t xml:space="preserve">بودن کوکب مذکر در برج مذکر ومونث در برج مونث </t>
  </si>
  <si>
    <t>استعانت هر گاه دو کوکب نگرند ویکی از برای برج معین خداوند خانه باشد ودیگری برای همان برج خداوند شرف در این حالت صاحب خانه معین باشد وصاحب شرف سبعین مثلاهرگاه میان مشتری وزهره نظر باشد گویند که مشتری اعانت می کند زهره را وچون شرف عطارد بعینه در خانه اوست لهذا نه اعانت کند ونه استعانت خواهد.</t>
  </si>
  <si>
    <t>جلب</t>
  </si>
  <si>
    <t>بودن کواکب نهاری در روز بالای زمین و در شب زیر زمین به شرط اینکه در برج مذکر بود و دلیل مذکر باشد واز بودن کواکب لیلی وقتی که دلالت کند بران به روز زیر زمین وبه شب بالای زمین وعطارد اگر در برج مذکر بود یا آنکه با کوکب مذکر ممازجت دارد یا آنکه در تشریق بودند که هست واگر د ربرج مونث بود یا با کوکب مونث ممازجت دارد یا در تعزیب باشد مونث باشد</t>
  </si>
  <si>
    <t>دفع طبیعت وان چنان است که کوکبی در خط کوکب دیگر باشد وبه صاحب خط پیوندد در این حالت طبیعت خود را به طبیعت صاحب خط میدهد واگر هریک از دو کوکب در خط دیگری باشد واتصال کنند این حالت را دفع طبییعتین خوانند</t>
  </si>
  <si>
    <t xml:space="preserve">بری بودن از نحوس </t>
  </si>
  <si>
    <t xml:space="preserve">درجات نیره غیر زحل </t>
  </si>
  <si>
    <t>نعمت است وآن چنان است که کوکبی به نظر کوکب نحس بد حال باشد در این وقت کوکب دیگر سریع السیر به نظر مودت به او بپیوندد وگویا به او نعمتی رسید</t>
  </si>
  <si>
    <t xml:space="preserve">طریقه نیره: وآن بودن کوکب است میان درجه نوزدهم حمل که شرف شمس است ودرجه سیوم ثور که شرف قمر است </t>
  </si>
  <si>
    <t>قبول مکان : بودن کوکب در یکی از خطوط خود قوی الحال</t>
  </si>
  <si>
    <t xml:space="preserve">درجات ظلمت زحل را بنا بر مناسبت </t>
  </si>
  <si>
    <t>مکافات نعمت وآن چنان است که کوکبی در درجه هبوط یا درجه نیر واقع باشد و در این حالت به او کوکبی سعد از نظر سعد به او بپیوندد وگویا او را از هبوط و نیر خلاص کرده باشد ونعمت ومکافات نعمت دلیل نجات است از هلاکتها</t>
  </si>
  <si>
    <t>ذوالیمینین: ان چنان است که کوکبی در عاشر بشد ومطرح شعاع هردو تربیع او به اعتبار آن کوکب فوق الارض باشد</t>
  </si>
  <si>
    <t>مثلثه اولی سعد</t>
  </si>
  <si>
    <t xml:space="preserve">احضار کوکب بین السعدین </t>
  </si>
  <si>
    <t>ممر در قران: کوکبی که در حالت قران مستعلی باشد گویند که ممر او راست واستعلاء عبارت است از بودن کوکب در نطاق چهارم ونطاق اول</t>
  </si>
  <si>
    <t xml:space="preserve">ربع مذکر مذکر را وربع مونث مونث را </t>
  </si>
  <si>
    <t>بودن کوکب روزی به روز تحت الشعاع وکوکب شبی به شب واین قوت خاصه آفتاب راست چه کوکب خود ضعیف می شود</t>
  </si>
  <si>
    <t>ممازجت با سعود</t>
  </si>
  <si>
    <t xml:space="preserve">وجه </t>
  </si>
  <si>
    <t xml:space="preserve">تیامن کوکب از آفتاب یعنی در نصف لیلی باشد از فلک </t>
  </si>
  <si>
    <t>بودن کوکب در حد سعد</t>
  </si>
  <si>
    <t>نه بهره</t>
  </si>
  <si>
    <t>دریجان</t>
  </si>
  <si>
    <t xml:space="preserve">بودن کوکب به درجه سهم السعادت </t>
  </si>
  <si>
    <t>اردجان</t>
  </si>
  <si>
    <t>ظهور کوکب : در حد تحت الشعاع نبود</t>
  </si>
  <si>
    <t xml:space="preserve">دوازده بهره </t>
  </si>
  <si>
    <t>هفت بهره</t>
  </si>
  <si>
    <t>رد نور: دو گونه است 1. میان دو کوکب بطی السیر اتصال بوده باشد بعده یکی از ان منصرف شود وبعد انصراف کوکب سیوم سریع السیر به کوکب منصرف عنه پیوندد و نور منصرف عنه را به منصرف رد کند وبه منزله آن باشد که گویا اتصال میان ان دو بطی السیر از سر نو تازه گشت 2. آن است که در اختیاری یا در حکمی می باید که نور دو کوکب بر درجه معین افتد از درجات سیر یا انتها تا غرض ان اختیار با حکم برآید واگر نور آن دو کوکب بر ان درجه نیفتد لیکن آن دو کوکب به کوکبی سیوم بطی السیر بگیرند و بواسطه این کوکب بطی السیر نور آن به درجه مطلوب بیفتد</t>
  </si>
  <si>
    <t>جمع نور: پیوستن ستارگان سریع السیر است که با خودها نظر نداشته باشند به کواکب بطی السیر واین بطی نور همه را جمع کند و به منزله باشد که همه قران کرده اند</t>
  </si>
  <si>
    <t>نقل النور: ان چنان است که کوکب سبک روی به میانه رو پیوندد ومیانه رو بکران رو پس این میانه رو نور سبک رو را بکران رومیدهد و این بمنزله باشد که میان سبک رو و کران اتصال حاصل است</t>
  </si>
  <si>
    <t>استیلاء بر جزء مقدم : عبارت است از جزء اجتماع یا جزء استقبال گذشته است</t>
  </si>
  <si>
    <t xml:space="preserve">درجه تقویم کواکب ثابته سعد </t>
  </si>
  <si>
    <t xml:space="preserve"> اصناف ضعف</t>
  </si>
  <si>
    <t>اصناف ضعف درعظیم الاثر: سی وپنج صنف دارد</t>
  </si>
  <si>
    <t>اصناف ضعف در متوسط الاثر: سي دو صنف دارد</t>
  </si>
  <si>
    <t>اصناف ضعف در حقیر الاثر: اصناف آن هفده است</t>
  </si>
  <si>
    <t>عظیم الاثر اعلی:  هفت صنف دارد وبهره هر یک از این اصناف در این مرتبه نه باشد از ضعف</t>
  </si>
  <si>
    <t xml:space="preserve">عظیم الاثر اوسط : شش صنف دارد و بهره هر یک از این اصناف در این مرتبه هشت باشد </t>
  </si>
  <si>
    <t>عظیم الاثر ادنی: بیست ودو صنف دارد وبهره هر یک از این اصناف در این مرتبه هفت باشد از ضعف</t>
  </si>
  <si>
    <t>متوسط الاثر اعلی : نه صنف دارد وبهره هر یک از این اصناف در این مرتبه شش باشد از ضعف</t>
  </si>
  <si>
    <t>متوسط الاثر اوسط : سيزده صنف دارد وبهره هریک از این اصناف در این مرتبه پنج است از ضعف</t>
  </si>
  <si>
    <t>متوسط الاثر ادنی:  ده صنف دارد وبهره هر یک از این اصناف دراین مرتبه چهار است از ضعف.</t>
  </si>
  <si>
    <t>حقیرالاثر اعلی: پنج صنف دارد وبهره هریک از این اصناف درابن مرتبه سه است از ضعف</t>
  </si>
  <si>
    <t>حقیر الاثر اوسط: نه صنف دارد وبهره هریک از این اصناف در این مرتبه دو است</t>
  </si>
  <si>
    <t>حقیر الاثر ادنی: سه صنف دارد وبهره هر یک از این اصناف در این مرتبه یکی باشد</t>
  </si>
  <si>
    <t>وبال</t>
  </si>
  <si>
    <t>برج هبوط</t>
  </si>
  <si>
    <t>تعزیب علوی وتشریق سفلی</t>
  </si>
  <si>
    <t>اقامت براي رجعت</t>
  </si>
  <si>
    <t>بودن كوكب در دو ربع مدير</t>
  </si>
  <si>
    <t>بيت زائل غير ساقط</t>
  </si>
  <si>
    <t>وجه نحس</t>
  </si>
  <si>
    <t>دریجان نحس</t>
  </si>
  <si>
    <t>برج جنوبی</t>
  </si>
  <si>
    <t>درجه هبوط</t>
  </si>
  <si>
    <t xml:space="preserve">رجعت </t>
  </si>
  <si>
    <t>دوری از منطقه</t>
  </si>
  <si>
    <t>بطو سير</t>
  </si>
  <si>
    <t>عرض جنوبي</t>
  </si>
  <si>
    <t>بيت ترح</t>
  </si>
  <si>
    <t>نه بهره نحس</t>
  </si>
  <si>
    <t>اردجان نحس</t>
  </si>
  <si>
    <t xml:space="preserve">برج شمس </t>
  </si>
  <si>
    <t>احتراق</t>
  </si>
  <si>
    <t xml:space="preserve">تحت الشعاع </t>
  </si>
  <si>
    <t>هبوط در فلك خارج المركز</t>
  </si>
  <si>
    <t>نقصان نور د رقمر وان بعد تربيع دوم شمس ميشود تا تربيع اول</t>
  </si>
  <si>
    <t>بيت ضعف وآن نظير بيت قوت است يعني شمس را چهارم وقمر را دهم وزخل را دوم ومشتري را هشتم ومريخ را نهم وزهره را اول وعطارد را سيوم</t>
  </si>
  <si>
    <t>اثنی عشریه نحس</t>
  </si>
  <si>
    <t>هفت بهره نحس</t>
  </si>
  <si>
    <t>برج معوج الطلوع</t>
  </si>
  <si>
    <t xml:space="preserve">کسوف آفتاب </t>
  </si>
  <si>
    <t xml:space="preserve">طریقه محترقه برای نیرین </t>
  </si>
  <si>
    <t>درجه رابع</t>
  </si>
  <si>
    <t>هبوط در فلك تدوير</t>
  </si>
  <si>
    <t>نقصان قدر وان وفتي بود كه كوكب د رنطاق چهارم واول باشد</t>
  </si>
  <si>
    <t>بيت مذكر مونث را وبيت مونث مذكر را</t>
  </si>
  <si>
    <t>درجه مظلمه سرای زحل را</t>
  </si>
  <si>
    <t>درجه قتمه</t>
  </si>
  <si>
    <t xml:space="preserve">خسوف ماه </t>
  </si>
  <si>
    <t>انحطاط فلک یعنی بودن کوکب درنطاق دوم وسیوم</t>
  </si>
  <si>
    <t xml:space="preserve">بیت ثامن </t>
  </si>
  <si>
    <t>هبوط در ربع هابط جنوبي</t>
  </si>
  <si>
    <t>نفصان عدد يعني خاصه معدله بيشتر از قف درجه باشد</t>
  </si>
  <si>
    <t>بيت نحس</t>
  </si>
  <si>
    <t>درجه نیره زحل را</t>
  </si>
  <si>
    <t>درجه مذکر مونث را وبالعکس</t>
  </si>
  <si>
    <t>کسف کواکب</t>
  </si>
  <si>
    <t xml:space="preserve">جزو مقدر ودو تربیع آن </t>
  </si>
  <si>
    <t>حضیض حامل</t>
  </si>
  <si>
    <t xml:space="preserve">بودن كوكب زير زمين </t>
  </si>
  <si>
    <t>نقصان سير يعني سيرش متناقص باشد</t>
  </si>
  <si>
    <t>ضعف خداوند خانه</t>
  </si>
  <si>
    <t>بودن نیرین بر درجات واله بر عمی</t>
  </si>
  <si>
    <t>جرم ثابته نحس</t>
  </si>
  <si>
    <t xml:space="preserve">حضیض تدویر </t>
  </si>
  <si>
    <t>برج مذكر مونث را وبرج مونث مذكر را</t>
  </si>
  <si>
    <t>نقصان حساب يعني تعديل محكم نقصاني باشد</t>
  </si>
  <si>
    <t>مناكرت يعني بودن كوكب نهاري در خانه كوكب ليلي وبالعكس</t>
  </si>
  <si>
    <t>بودن کوکب در نصف هابط از طالع</t>
  </si>
  <si>
    <t>ذوالیسارین وآن عکس ذو الیمینین است یعنی کوکب دررابع باشد ومطرح شعاع دو تربیع کوکب شیب زمین بود</t>
  </si>
  <si>
    <t>مثلثه اول نحس</t>
  </si>
  <si>
    <t>درجه بير</t>
  </si>
  <si>
    <t>حصار بين النحسين</t>
  </si>
  <si>
    <t>برج مخالف مزاج</t>
  </si>
  <si>
    <t>انکار وآن چنان است که کوکبی در وبال یا هبوط باشد وکوکب دیگر از این نظر انکار نماید واگر هر دو در وبال یا هبوط باشند انکار از جانبین باشد</t>
  </si>
  <si>
    <t xml:space="preserve">عربت در مكان يعني كوكبي د ربرجي باشد كه او را هيچ خطي نباشد از قوت وضعف مثلا قمر در جدي </t>
  </si>
  <si>
    <t>مثلثه ثابته نحس</t>
  </si>
  <si>
    <t>عقده جوزهرين متحيره را</t>
  </si>
  <si>
    <t>برج مخالف خوی</t>
  </si>
  <si>
    <t xml:space="preserve">بیت اوبار یعنی بیت زایل وساقط </t>
  </si>
  <si>
    <t>ربع مذكر مونث را وربع مونث مذكر را</t>
  </si>
  <si>
    <t xml:space="preserve">متياسر بودن از افتاب يعني نيمه دوزي از فلك </t>
  </si>
  <si>
    <t xml:space="preserve">گذشتن زیر ممر نحسی </t>
  </si>
  <si>
    <t>خلاف محل يعني بودن كواكب نهاري به روز وليلي به شب زير زمين وعكس آن</t>
  </si>
  <si>
    <t>ممازجت نحوس به نظر عداوت</t>
  </si>
  <si>
    <t>وحشت سير وآن چنان است كه كوكب من اوله الي اخره برجي را قطع كند وبه هيچ كوكب اتصال بكند واين اتفاق نيفتد مگر ماه را وآن دليل وحشت و نفرت است</t>
  </si>
  <si>
    <t>سهام کواکب سبعه سیاره که در جمیع احکام مأخوذ</t>
  </si>
  <si>
    <t xml:space="preserve">قطع نور وآن بر دو نوع باشد یکی آنکه کوکبی سبکتر ودر اول برجی باشدو کوکب مینه رو در وسط برج وکووکب گران رو در آخر برج وسبکرو خواهد که با میانه روز اتصال کند لیکن میانه رو در در این اثنا از گران رو در گذرد وبه سبب توسط گران رو نور سبکرو از میانه رو منقطع گردد </t>
  </si>
  <si>
    <t xml:space="preserve">خلاي سير وآن چنان است كه كوكبي در اوائل برج به كوكبي نظر داشته باشد وچون در اواخر برج رسد به هيچ كوكبي نپيوندد و سير او خالي شود از اتصال وآن دليل خلوت وبطالت است </t>
  </si>
  <si>
    <t>اسامی سهام</t>
  </si>
  <si>
    <t>وفق/خلف</t>
  </si>
  <si>
    <t>سیوم</t>
  </si>
  <si>
    <t>دلالت سهام</t>
  </si>
  <si>
    <t xml:space="preserve">و دوم انکه میانه رو در اول برج باشد وسبکرو در میاانه برج </t>
  </si>
  <si>
    <t>و گران رو دراخر برج چون سبکرو خواهد که به گران رو بپیوندد ومیانه رو راجع شود و به گران رو نظر کند دراین حالت هم نور سبکرو را از گران رو قطع کرده باشد</t>
  </si>
  <si>
    <t>سهم الغیب منسوب است به افتاب</t>
  </si>
  <si>
    <t>مخالف</t>
  </si>
  <si>
    <t>دلیل است بر بزرگی وراستگویی وشکوه وبها</t>
  </si>
  <si>
    <t>منع نور وآن نيز بر دو نوع است؛ اول انكه سه كوكب در يك برج باشند سبكرو در اوائل برج وميانه رو در ميانه برج وگران رو در آخر برج چون سبكرو براي اتصال گران رو متوجه شود ميانه رو نور سبكرو به خود بگيرد واز وصول نورش به گران رو مانع آيد ديگر آنكه گران رو وسبكرو در يك برج باشند متصل به قران وسبكروي ديگر ناظر به هردو باشد ليكن  درجه هردو سبكرو يك باشد پس سبكرو ديگر خواهد كه نظر خود با گران رو كامل سازد پس سبكروي كه با گران رو مقارن است مانع ايد از وصول نور آن بگران رو و منع در كوكب دليل قوت است ودرممنوع دليل ضعف</t>
  </si>
  <si>
    <t>سهم السعاده منسوب است به ماه</t>
  </si>
  <si>
    <t>دلیل است بر معاون و فرمان وکامروایی وحشمت</t>
  </si>
  <si>
    <t>سهم الجنس والمیحن منسوب است به زحل</t>
  </si>
  <si>
    <t>سهم السعاده</t>
  </si>
  <si>
    <t>دلیل است بر دور اندیشی وبرچیزهای کم بوده وبر میراث وضیاع</t>
  </si>
  <si>
    <t>انتكاث: وآن چنان است كه كوكب سريع السير به حسب انوار به كوكب بطي السير اتصال شروع كرده باشد و قبل از وصول به حد حقيقي كوكب سريع السير راجع شود واگر مستقيم بوده باشد ومستقيم شود و اگر راجع بوده باشد واتصال مطلوب باز افتد وآن دليل است بر باز افتادن كارها</t>
  </si>
  <si>
    <t>سهم الحرب والظفر منسوب است به مشتری</t>
  </si>
  <si>
    <t>سهم الفت</t>
  </si>
  <si>
    <t>دلیل است بر سروری وعزت کار نیک وشکر وداد وامانت</t>
  </si>
  <si>
    <t>اعتراض: وآن چنان است كه كوكبي كران رو درميانه برج باشد وميانه روي در اوائل آن برج وسبكروي راجع در آخر آن برج چون ميانه رو خواهد كه به گران رو پيوندد وسبكرو راجع به گران رو پيوندد و از او در گذرد وپيش ميانه رو آيد ومتعرض شود وبه ميانه رو و گران رو وآن دليل اعتراض است در كارها</t>
  </si>
  <si>
    <t>سهم الشجاعه منسوب ست به مریخ</t>
  </si>
  <si>
    <t xml:space="preserve">دلیل است بر تهور وشجاعت وتندی وکشتی ودزدی </t>
  </si>
  <si>
    <t>عقده جوزهرين مر نيرين را</t>
  </si>
  <si>
    <t>سهم الالفه والمحبه منسوب است به زهره</t>
  </si>
  <si>
    <t>سهم الغیب</t>
  </si>
  <si>
    <t>دلیل است بر شهوت ورغبت نمودن در مردان ولهو وخرمی</t>
  </si>
  <si>
    <t>نحوست آفتاب به طلوع نحسين پيش از وي ونحوست ماه به طلوع نحسين بعد از او</t>
  </si>
  <si>
    <t>سهم بیچارگی ودرویشی منسوب است به عطارد</t>
  </si>
  <si>
    <t>دلیل است بر بیم وخصومت وخرید وفروخت و طلب عملها</t>
  </si>
  <si>
    <t>حد نحس</t>
  </si>
  <si>
    <t xml:space="preserve">ضرر وآن بعضي كوكب به بعضي ضرر مي رساند به اتصال خاصه اتصال بد و به تچربه گفته اند كه كه ضرر زحل به مشتري است وضرر مشتري به عطارد وضرر آفتاب وعطارد به زهره وزهره را از احدي شرر نيست وقمر ومريخ به يكديگر ضرر دارند </t>
  </si>
  <si>
    <t>سهم هایی که در تحویل سال عالم بهر احکام به کار آید</t>
  </si>
  <si>
    <t>سهم هایی که در احکام موالید واختیارات بکار آِید</t>
  </si>
  <si>
    <t>درجه ثابته نحس</t>
  </si>
  <si>
    <t>سهم ها</t>
  </si>
  <si>
    <t>روز وشب</t>
  </si>
  <si>
    <t>درجه سهم قاطع يعني بودن  كوكب در يكي از درجات سه سهم كه قاطع اند در مواليد بر مواضع هيلاج ومواضع اين سه سهم در فصل آينده مذكور خواهد شد وهيلاج در لغت به معني مدت عمر است ورد اصطلااح منجمان عبارت از پنج چيز است طالع موضع شمس، موضع قمر، سهم السعادات، جزو مقدم، وتفصيل آن در باب احكام مواليد خواهد آمد ان شاءالله تعالي</t>
  </si>
  <si>
    <t>سهم سلطان</t>
  </si>
  <si>
    <t>سهم زندگانی</t>
  </si>
  <si>
    <t>سهم جنگ</t>
  </si>
  <si>
    <t>یکسان</t>
  </si>
  <si>
    <t>سهم مال</t>
  </si>
  <si>
    <t>خداوند خانه دوم</t>
  </si>
  <si>
    <t>درجه دوم</t>
  </si>
  <si>
    <t>سهم قران اول</t>
  </si>
  <si>
    <t>طالع سال</t>
  </si>
  <si>
    <t>درجه قران</t>
  </si>
  <si>
    <t>سهم وام</t>
  </si>
  <si>
    <t>موافق</t>
  </si>
  <si>
    <t>سهم قران دوم</t>
  </si>
  <si>
    <t>طالع قران</t>
  </si>
  <si>
    <t>سهم برادران</t>
  </si>
  <si>
    <t>سهم الارض</t>
  </si>
  <si>
    <t>سهم ضیاع وعقار</t>
  </si>
  <si>
    <t>سهم الماء</t>
  </si>
  <si>
    <t>سهم عاقبت کارها</t>
  </si>
  <si>
    <t>خداوند خانه جز مقدم</t>
  </si>
  <si>
    <t>سهم النار</t>
  </si>
  <si>
    <t>سهم فرزندان</t>
  </si>
  <si>
    <t>سهم الهواء</t>
  </si>
  <si>
    <t>خداوند خانه</t>
  </si>
  <si>
    <t>سهم بندگان</t>
  </si>
  <si>
    <t>سهم السحاب والمطر</t>
  </si>
  <si>
    <t>سهم تزویج</t>
  </si>
  <si>
    <t>سهم برف</t>
  </si>
  <si>
    <t>سهم خصمان</t>
  </si>
  <si>
    <t>سهم جسد</t>
  </si>
  <si>
    <t>سهم سفر</t>
  </si>
  <si>
    <t>خداوندخانه نهم</t>
  </si>
  <si>
    <t>جز خانه نهم</t>
  </si>
  <si>
    <t>سهم شبنم</t>
  </si>
  <si>
    <t>سهم الفت ومحبت</t>
  </si>
  <si>
    <t>سهم گندم ونخود</t>
  </si>
  <si>
    <t>سهم امید</t>
  </si>
  <si>
    <t>سهم جو وذرت</t>
  </si>
  <si>
    <t>سهم منفعت</t>
  </si>
  <si>
    <t>سهم برنج وماش</t>
  </si>
  <si>
    <t xml:space="preserve">مشتری </t>
  </si>
  <si>
    <t>سهم پدران</t>
  </si>
  <si>
    <t>سهم ارزن وگال</t>
  </si>
  <si>
    <t>سهم پارسایی زن</t>
  </si>
  <si>
    <t>سهم پنبه وقز</t>
  </si>
  <si>
    <t>سهم پارسایی و زهد</t>
  </si>
  <si>
    <t>سهم شکر ومیوه شیرین ورطب</t>
  </si>
  <si>
    <t>سهم خصومت</t>
  </si>
  <si>
    <t>سهم انگبین ومیوه خشک</t>
  </si>
  <si>
    <t>سهم راست ودروغ</t>
  </si>
  <si>
    <t>سهم روغن</t>
  </si>
  <si>
    <t>سهم غلبه وفیروزی</t>
  </si>
  <si>
    <t>سهم هیزم</t>
  </si>
  <si>
    <t>سهم مادران</t>
  </si>
  <si>
    <t>سهم زر</t>
  </si>
  <si>
    <t>سهم حاجت یافتن</t>
  </si>
  <si>
    <t>سهم سعادت</t>
  </si>
  <si>
    <t>سهم سیم</t>
  </si>
  <si>
    <t xml:space="preserve">سهم دوستان </t>
  </si>
  <si>
    <t>سهم مروارید</t>
  </si>
  <si>
    <t>سهم شقاوت</t>
  </si>
  <si>
    <t>سهم غیب</t>
  </si>
  <si>
    <t>سهم حجریات شریف نگینه</t>
  </si>
  <si>
    <t>سهم مرگ وتباهی</t>
  </si>
  <si>
    <t>درجه خانه دوم</t>
  </si>
  <si>
    <t>سهم قاطع اول</t>
  </si>
  <si>
    <t>سهامی چند که در ضمیر بکار آید</t>
  </si>
  <si>
    <t>سهم قاطع دوم</t>
  </si>
  <si>
    <t>خداوندجزومقدم</t>
  </si>
  <si>
    <t>سهم قاطع سیوم</t>
  </si>
  <si>
    <t>سهم یافتن گم کرده</t>
  </si>
  <si>
    <t>سهم الحوادث</t>
  </si>
  <si>
    <t>سهم کار حق</t>
  </si>
  <si>
    <t>سهم فرزند زاده</t>
  </si>
  <si>
    <t>سهم یافتن گم شده</t>
  </si>
  <si>
    <t>سهم تجارت</t>
  </si>
  <si>
    <t>سهم برآمدن حاجت</t>
  </si>
  <si>
    <t>سهم اعدا</t>
  </si>
  <si>
    <t>سهم یافت کار</t>
  </si>
  <si>
    <t>سهم هیلاج</t>
  </si>
  <si>
    <t>جزو مقدم</t>
  </si>
  <si>
    <t>سهم وقت عمل</t>
  </si>
  <si>
    <t>سهم مکافات</t>
  </si>
  <si>
    <t>سهم القسمة</t>
  </si>
  <si>
    <t>سهم جذات</t>
  </si>
  <si>
    <t>سهم قتمه</t>
  </si>
  <si>
    <t>سهم تمنزل</t>
  </si>
  <si>
    <t>سهم الاب</t>
  </si>
  <si>
    <t>تقویم خداونددوم</t>
  </si>
  <si>
    <t>خداونددوم</t>
  </si>
  <si>
    <t>سهم عقوبت</t>
  </si>
  <si>
    <t>درجه شرف زحل</t>
  </si>
  <si>
    <t>سهم العلم والحلم</t>
  </si>
  <si>
    <t>سهم سفر دریا</t>
  </si>
  <si>
    <t>مرکزخانه نهم</t>
  </si>
  <si>
    <t>سهم الاطاعة والعمل</t>
  </si>
  <si>
    <t>سهم المعامله</t>
  </si>
  <si>
    <t>سهم قضاء حاجت</t>
  </si>
  <si>
    <t>خداوندموضع قمر</t>
  </si>
  <si>
    <t>سهم موت الاخوة</t>
  </si>
  <si>
    <t>مرکزدوم</t>
  </si>
  <si>
    <t>سهم موت الاب</t>
  </si>
  <si>
    <t>خانه چهارم</t>
  </si>
  <si>
    <t>سهم البشارة</t>
  </si>
  <si>
    <t>صاحب خامس</t>
  </si>
  <si>
    <t>مرکزخامس</t>
  </si>
  <si>
    <t>سهم العدالت</t>
  </si>
  <si>
    <t>سهم عیب</t>
  </si>
  <si>
    <t>سهم الشجاعة</t>
  </si>
  <si>
    <t>مرکز عاشر</t>
  </si>
  <si>
    <t>سهم البتر</t>
  </si>
  <si>
    <t>سهم عواقب الامور</t>
  </si>
  <si>
    <t>خداوند</t>
  </si>
  <si>
    <t>برادران و خواهران و اقرباء و نقل و تحویل و سفر نزدیک و نیکی و بذی احوال خویشان و مهمان وعلم و آموختن چیزها</t>
  </si>
  <si>
    <t>ص 696</t>
  </si>
  <si>
    <t>اگر موافق بود اول را از دوم بکاهیم و حاصل را بر طالع می افزاییم</t>
  </si>
  <si>
    <t>و اگر مخالف بود اول را بردوم افزاییم و حاصل را بر سوم افزاییم</t>
  </si>
  <si>
    <t>قرمز مونث است</t>
  </si>
  <si>
    <t>باب دوازدهم سمت از  ارتفاع ص77</t>
  </si>
  <si>
    <t>در vba  نوشته شود</t>
  </si>
  <si>
    <t>فوق الارض:1  یا تحت الارض :1-</t>
  </si>
  <si>
    <t>ارتفاع ازسمت . فرض این است که می دانیم کوکب فوق الارض است یا تحت الارض</t>
  </si>
  <si>
    <t>ارتفاع یاانخفاض</t>
  </si>
  <si>
    <t>اگر کوکب در طرف قطب ظاهر باشد ورودی سمت مثبت است واگر در طرف قطب خفی باشد منفی است (ملاک طرف قطب ظاهر یا خفی بودن دایره اول السموت است)</t>
  </si>
  <si>
    <t>خارج قسمت 1</t>
  </si>
  <si>
    <t>خارج قسمت 2</t>
  </si>
  <si>
    <t>فرض 1</t>
  </si>
  <si>
    <t>فرض 2</t>
  </si>
  <si>
    <t>عدیم السمت</t>
  </si>
  <si>
    <t>بعدکوکب</t>
  </si>
  <si>
    <t>باب سیزدهم ارتفاع از سمت</t>
  </si>
  <si>
    <t>اعظم ارتفاع شمس</t>
  </si>
  <si>
    <t>مجموع</t>
  </si>
  <si>
    <t>جهت عرض بلد</t>
  </si>
  <si>
    <t xml:space="preserve">جهت عرض بلد خلاف جهت میل :1 ، جهت عرض بلد موافق جهت جهت میل :2 </t>
  </si>
  <si>
    <t>شاخص</t>
  </si>
  <si>
    <t>سایه</t>
  </si>
  <si>
    <t>طول بلد نوشته نشده است</t>
  </si>
  <si>
    <t>طول 1</t>
  </si>
  <si>
    <t>طول2</t>
  </si>
  <si>
    <t>بعد کوکب 1</t>
  </si>
  <si>
    <t>بعد کوکب 2</t>
  </si>
  <si>
    <t>مطالع ممر 1</t>
  </si>
  <si>
    <t>مطالع ممر 2</t>
  </si>
  <si>
    <t>جیب بعد 1</t>
  </si>
  <si>
    <t>جیب بعد 2</t>
  </si>
  <si>
    <t>جیب تمام بعد 1</t>
  </si>
  <si>
    <t>جیب تمام بعد 2</t>
  </si>
  <si>
    <t>بعد کوکبین اگر هم جهت باشند</t>
  </si>
  <si>
    <t xml:space="preserve">بعد2 کوکب </t>
  </si>
  <si>
    <t>باب 18- سمت قبله</t>
  </si>
  <si>
    <t>متحد الطول</t>
  </si>
  <si>
    <t>ما بین الطولین =90</t>
  </si>
  <si>
    <t>ما بین الطولین &lt;180</t>
  </si>
  <si>
    <t>ما بین الطولین =180</t>
  </si>
  <si>
    <t>زاویه انحراف</t>
  </si>
  <si>
    <t>شرقی/غربی</t>
  </si>
  <si>
    <t>شمالی/جنوبی</t>
  </si>
  <si>
    <t>عرض کوکب 1</t>
  </si>
  <si>
    <t>طول کوکب 1</t>
  </si>
  <si>
    <t>عرض کوکب 2</t>
  </si>
  <si>
    <t>طول کوکب 2</t>
  </si>
  <si>
    <t>فرض</t>
  </si>
  <si>
    <t>مابین التقویمین</t>
  </si>
  <si>
    <t>ما بین التقویمین&lt;90</t>
  </si>
  <si>
    <t>یکی عدیم العرض و دیگری ذو العرض</t>
  </si>
  <si>
    <t>هر دو کوکب عدیم العرض</t>
  </si>
  <si>
    <t>تقویم هر دو یکی است</t>
  </si>
  <si>
    <t>ما بین التقویمین=90</t>
  </si>
  <si>
    <t>ما بین التقویمین&lt;180</t>
  </si>
  <si>
    <t>ما بین التقویمین=180</t>
  </si>
  <si>
    <t>هر دو دارای عرض</t>
  </si>
  <si>
    <t>عرض دو کوکب در یک جهت است</t>
  </si>
  <si>
    <t>عرض دو کوکب در یک جهت نیست</t>
  </si>
  <si>
    <t>محفوظ سوم</t>
  </si>
  <si>
    <t>محفوظ چهارم</t>
  </si>
  <si>
    <t>عرض دو بلد در یک جهت است</t>
  </si>
  <si>
    <t>عرض دو بلد در یک جهت نیست</t>
  </si>
  <si>
    <t>عرض بلد 1</t>
  </si>
  <si>
    <t>طول بلد 1</t>
  </si>
  <si>
    <t>ما بین العرضین</t>
  </si>
  <si>
    <t>مسافت ما بین البلدین</t>
  </si>
  <si>
    <t xml:space="preserve">بعد کوکبین  یا بلدین </t>
  </si>
  <si>
    <t>مسافت بلد تا مکه</t>
  </si>
  <si>
    <t>بعد دو کوکب یا بلد روش کتاب</t>
  </si>
  <si>
    <t>بعد بین بلدین</t>
  </si>
  <si>
    <t>ارتفاع ازسمت</t>
  </si>
  <si>
    <t>اگر در هر روز دراین ساعت(بعد ازنصف النهار) رو به شمس شود سمت قبله است</t>
  </si>
  <si>
    <t xml:space="preserve">مطلوب- بعد از نصف النهار </t>
  </si>
  <si>
    <t>تحصیل سمت قبله از طریق استقبال به شمس</t>
  </si>
  <si>
    <t>فرض 1 عرض کوکب :0</t>
  </si>
  <si>
    <t xml:space="preserve">باب 20-ارتفاع از طالع </t>
  </si>
  <si>
    <t>ارتفاع یا انحطاط</t>
  </si>
  <si>
    <t>فرض 2: کوکب عرض دارد</t>
  </si>
  <si>
    <t>ما بین تقویم و سابع</t>
  </si>
  <si>
    <t xml:space="preserve">ما بین تقویم و طالع </t>
  </si>
  <si>
    <t>شمالی: 1، جنوبی:-1</t>
  </si>
  <si>
    <t>کوکب فوق یا تحت الارض</t>
  </si>
  <si>
    <t>جیب حاصل</t>
  </si>
  <si>
    <t>فرض 3:اگر کوکب بر نفس طالع یا سابع باشد</t>
  </si>
  <si>
    <t>باب 19 - طالع از ارتفاع</t>
  </si>
  <si>
    <t>باب 21- طالع از ساعات ماضیه</t>
  </si>
  <si>
    <t>اجزای ساعت مستویه</t>
  </si>
  <si>
    <t>اجزای ساعت معوجه</t>
  </si>
  <si>
    <t>تعداد کهری (وند) های روز</t>
  </si>
  <si>
    <t>مطالع نظیر جزء</t>
  </si>
  <si>
    <t>جزء نظیر</t>
  </si>
  <si>
    <t>ساعت نصف نهار</t>
  </si>
  <si>
    <t>vba</t>
  </si>
  <si>
    <t>دائر برمبنای نصف اللیل(انگلیسی)</t>
  </si>
  <si>
    <t>ماضی از ظهر</t>
  </si>
  <si>
    <t>گهری های مطالع مفرده</t>
  </si>
  <si>
    <t>گهری های طلوع بقیه برج</t>
  </si>
  <si>
    <t>گهری های ماضیه ازطلوع</t>
  </si>
  <si>
    <t>عدد 6 که ضریب در اینجا است تقریبی است و در واقع باید متغیر باشد</t>
  </si>
  <si>
    <t>طالع(مطلوب)</t>
  </si>
  <si>
    <t>تحصیل طالع هندی</t>
  </si>
  <si>
    <t>برای بدست آوردن برج طالع به بالای جدول رجوع کنید</t>
  </si>
  <si>
    <t>قوس النهار درجه طالع</t>
  </si>
  <si>
    <t>میل اول طالع</t>
  </si>
  <si>
    <t>سدس قوس النهار</t>
  </si>
  <si>
    <t>مطالع طالع بلدی</t>
  </si>
  <si>
    <t>مطالع بیت 11</t>
  </si>
  <si>
    <t>مطالع بیت 5</t>
  </si>
  <si>
    <t>مطالع بیت 12</t>
  </si>
  <si>
    <t>مطالع بیت 6</t>
  </si>
  <si>
    <t>مطالع بیت 2</t>
  </si>
  <si>
    <t>مطالع بیت 8</t>
  </si>
  <si>
    <t>مطالع بیت 3</t>
  </si>
  <si>
    <t>مطالع بیت 9</t>
  </si>
  <si>
    <t>بیت 9</t>
  </si>
  <si>
    <t>بیت 3</t>
  </si>
  <si>
    <t>بیت 8</t>
  </si>
  <si>
    <t>بیت 2</t>
  </si>
  <si>
    <t>بیت 6</t>
  </si>
  <si>
    <t>بیت 12</t>
  </si>
  <si>
    <t>بیت 5</t>
  </si>
  <si>
    <t>بیت 11</t>
  </si>
  <si>
    <t>بیت 4</t>
  </si>
  <si>
    <t>بیت 10</t>
  </si>
  <si>
    <t>بیت 7</t>
  </si>
  <si>
    <t>طالع- بیت 1</t>
  </si>
  <si>
    <t>باب 22 - تحصیل زایچه</t>
  </si>
  <si>
    <t>زایچه بیرونی</t>
  </si>
  <si>
    <t>مطالع جزء شمس از فلک مستقیم</t>
  </si>
  <si>
    <t>ساعت بلوغ به نصف النهار</t>
  </si>
  <si>
    <t>از ظهر</t>
  </si>
  <si>
    <t>باب 23 ساعت بلوغ کف الخضیب به دایره نصف النهار</t>
  </si>
  <si>
    <t>طول کف الخضیب بنا بر استاری نایت  در سال 1442 قمری 24 35 است و تفاوت آن با طول مذکور در زیج 16 1 درجه است</t>
  </si>
  <si>
    <t>طول بلد اولا باید به قوس و ثانیا به مبدا گرینویچ تبدیل شود</t>
  </si>
  <si>
    <t>سال قمری  ناقصه</t>
  </si>
  <si>
    <t>وسط شمس بدون تعدیل الایام</t>
  </si>
  <si>
    <t>تعدیل الشمس محسوب با مرصود تا حدود 30 ثانیه تفاوت دارد و جدول زیج مطابق رصد فرنگ است (زیج محمدشاهی)</t>
  </si>
  <si>
    <t>بعد شمس از مرکز عالم</t>
  </si>
  <si>
    <t>بعد شمس بنا بر نصف قطر ارض واحد</t>
  </si>
  <si>
    <t>دقایق قطر شمس</t>
  </si>
  <si>
    <t>بهت شمس در یکساعت</t>
  </si>
  <si>
    <t>ورودی کتاب مرکز معدل به تعدیل الشمس است</t>
  </si>
  <si>
    <t>سطر قبل</t>
  </si>
  <si>
    <t>سطر بعد</t>
  </si>
  <si>
    <t>j</t>
  </si>
  <si>
    <t>k</t>
  </si>
  <si>
    <t>n</t>
  </si>
  <si>
    <t>اصغر زوایا تعدیل السطرین شود</t>
  </si>
  <si>
    <t xml:space="preserve">تعدیل دوم صحیح نیست </t>
  </si>
  <si>
    <t>تعدیل 1</t>
  </si>
  <si>
    <t>تعدیل السطرین اصغر زوایا</t>
  </si>
  <si>
    <t>منقوص اوج</t>
  </si>
  <si>
    <t>منقوص تقویم</t>
  </si>
  <si>
    <t>ورودی 1</t>
  </si>
  <si>
    <t>ورودی 2</t>
  </si>
  <si>
    <t>سطر بعد طولی</t>
  </si>
  <si>
    <t>سطر بعد عرضی</t>
  </si>
  <si>
    <t>تفاضل 1</t>
  </si>
  <si>
    <t>تفاضل 2</t>
  </si>
  <si>
    <t>سطر بعدی طولی و عرضی</t>
  </si>
  <si>
    <t>مطلوب(تعدیل دوم)</t>
  </si>
  <si>
    <t>جهت درvba زده شود</t>
  </si>
  <si>
    <t>تعدیل السطرین طولی</t>
  </si>
  <si>
    <t>تعدیل السطرین عرضی</t>
  </si>
  <si>
    <t>تعدیل السطرین تعدیل دوم قمر ص443</t>
  </si>
  <si>
    <t>تعدیل السطرین تعدیل العرض قمر ص460</t>
  </si>
  <si>
    <t>مطلوب(تعدیل العرض)</t>
  </si>
  <si>
    <t>3600/</t>
  </si>
  <si>
    <t>180/</t>
  </si>
  <si>
    <t>تعدیل السطرین اصغر زوایا ص462</t>
  </si>
  <si>
    <t>حرکت قمر</t>
  </si>
  <si>
    <t>حرکت شمس</t>
  </si>
  <si>
    <t>تفاضل در طول</t>
  </si>
  <si>
    <t>تفاضل در عرض</t>
  </si>
  <si>
    <t>p</t>
  </si>
  <si>
    <t>q</t>
  </si>
  <si>
    <t>s</t>
  </si>
  <si>
    <t>t</t>
  </si>
  <si>
    <t>u</t>
  </si>
  <si>
    <t>v</t>
  </si>
  <si>
    <t>w</t>
  </si>
  <si>
    <t>x</t>
  </si>
  <si>
    <t>تعدیل السطرین تعدیل سوم قمر ص447</t>
  </si>
  <si>
    <t>مطلوب(تعدیل سوم قمر)</t>
  </si>
  <si>
    <t>جهت تعدیل سوم فقط در vba نوشته شده است و در محیط صفحه گسترده نوشته نشده است</t>
  </si>
  <si>
    <t>ما بین طالع و تقویم</t>
  </si>
  <si>
    <t>راس مریخ</t>
  </si>
  <si>
    <t>راس مشتری</t>
  </si>
  <si>
    <t>اوج  معدل تعدیل الایام</t>
  </si>
  <si>
    <t>مرکز معدل تعدیل الایام</t>
  </si>
  <si>
    <t>مرکزمعدل به تعدیل اول</t>
  </si>
  <si>
    <t>راس معدل</t>
  </si>
  <si>
    <t>نصف زاویه شمس</t>
  </si>
  <si>
    <t>تمام منقح تا ربع</t>
  </si>
  <si>
    <t>بعد شمس ازمرکزعالم بنابر نصف قطر اطول بیضی</t>
  </si>
  <si>
    <t>بعد مریخ</t>
  </si>
  <si>
    <t>بعد مشتری</t>
  </si>
  <si>
    <t>تمام زاویه عرض</t>
  </si>
  <si>
    <t xml:space="preserve">حاصلضرب </t>
  </si>
  <si>
    <t>تقویس ظل تقسیم</t>
  </si>
  <si>
    <t>منهای45</t>
  </si>
  <si>
    <t>ظل تمام قوس منقح</t>
  </si>
  <si>
    <t>حاصلضرب دو ظل</t>
  </si>
  <si>
    <t>تقویس ظل</t>
  </si>
  <si>
    <t>زاویه ارض</t>
  </si>
  <si>
    <t>تبدیل به برج</t>
  </si>
  <si>
    <t>قوس منقح زاویه ارض</t>
  </si>
  <si>
    <t>جیب قوس منقح</t>
  </si>
  <si>
    <t>جیب زاویه شمس</t>
  </si>
  <si>
    <t>راس عطارد</t>
  </si>
  <si>
    <t>راس زهره</t>
  </si>
  <si>
    <t xml:space="preserve">راس </t>
  </si>
  <si>
    <t>مرفوع بعدشمس</t>
  </si>
  <si>
    <t>بعد عطارد</t>
  </si>
  <si>
    <t>بعد زهره</t>
  </si>
  <si>
    <t>منهای 45</t>
  </si>
  <si>
    <t>ظل باقی</t>
  </si>
  <si>
    <t>تقویس ظل حاصلضرب</t>
  </si>
  <si>
    <t>جیب زاویه ارض</t>
  </si>
  <si>
    <t>عرض عطارد</t>
  </si>
  <si>
    <t>عرض زهره</t>
  </si>
  <si>
    <t>راس زحل</t>
  </si>
  <si>
    <t>حصه عرض معدل</t>
  </si>
  <si>
    <t>بعد زحل</t>
  </si>
  <si>
    <t>عرض زحل</t>
  </si>
  <si>
    <t>قریب به تحقیق و استاری نایت</t>
  </si>
  <si>
    <t>تقاویم</t>
  </si>
  <si>
    <t>تقویم برخی از کواکب تا کمتر از یک درجه با استاری نایت اختلاف دارد</t>
  </si>
  <si>
    <t>فرمول جدید اصغر زوایا باید اصلاح سپس جایگزین شود</t>
  </si>
  <si>
    <t>مجموع دو نصف محقق</t>
  </si>
  <si>
    <t>کتاب خود قوس عرض را مربع گرفته است</t>
  </si>
  <si>
    <t>ab</t>
  </si>
  <si>
    <t>روش تعدیل السطرین با 2 ورودی</t>
  </si>
  <si>
    <t>b           a</t>
  </si>
  <si>
    <t>aa</t>
  </si>
  <si>
    <t>bb</t>
  </si>
  <si>
    <t>o</t>
  </si>
  <si>
    <t>yy</t>
  </si>
  <si>
    <t>zz</t>
  </si>
  <si>
    <t>a1</t>
  </si>
  <si>
    <t>a2</t>
  </si>
  <si>
    <t>a3</t>
  </si>
  <si>
    <t>اکسل صحیح است اما vba صحیح نیست</t>
  </si>
  <si>
    <t>قدر حرکت شمس در یک ساعت</t>
  </si>
  <si>
    <t>اختلاف منظر کلی  قمر</t>
  </si>
  <si>
    <t>نام صورت فلکی</t>
  </si>
  <si>
    <t>عدد مطلق</t>
  </si>
  <si>
    <t>عدد صورت</t>
  </si>
  <si>
    <t>مواقع کوکب</t>
  </si>
  <si>
    <t>مقدار حرکت</t>
  </si>
  <si>
    <t>اسماء کواکب مشهوره</t>
  </si>
  <si>
    <t xml:space="preserve">قدر به رای </t>
  </si>
  <si>
    <t>قدر به رای</t>
  </si>
  <si>
    <t>امزجه</t>
  </si>
  <si>
    <t>صور شمالی</t>
  </si>
  <si>
    <t>غیر مشهور</t>
  </si>
  <si>
    <t>دهگانی</t>
  </si>
  <si>
    <t>ده گانی</t>
  </si>
  <si>
    <t>ابن صوفی</t>
  </si>
  <si>
    <t xml:space="preserve"> بطلیموس</t>
  </si>
  <si>
    <t>شما ره صفحه</t>
  </si>
  <si>
    <t>دب اصغر</t>
  </si>
  <si>
    <t>آن کوکب که بر طرف دنبال است</t>
  </si>
  <si>
    <t>ل ه</t>
  </si>
  <si>
    <t xml:space="preserve">آن که بعد اوست بر طرف دنبال </t>
  </si>
  <si>
    <t xml:space="preserve">آن که بعد اوست بر بن دنبال </t>
  </si>
  <si>
    <t>کوکب از ضلع پیشین از اضلاع مربع</t>
  </si>
  <si>
    <t>کوکب شمالی از همین ضلع</t>
  </si>
  <si>
    <t>کوکب جنوبی از آن دو که بر ضلع پسین اند</t>
  </si>
  <si>
    <t>انور الفرقدین</t>
  </si>
  <si>
    <t>اخفی الفرقدین</t>
  </si>
  <si>
    <t>آن کوکب جنوبی که بر استقامت فرقدین است</t>
  </si>
  <si>
    <t>دب اکبر</t>
  </si>
  <si>
    <t>کوکبی که بر سربینی است</t>
  </si>
  <si>
    <t>خ</t>
  </si>
  <si>
    <t>کوکب متقدم از ان دو که بر دو چشم اند</t>
  </si>
  <si>
    <t>کوکب ثانی از آن دو</t>
  </si>
  <si>
    <t>کوکب متقدم از ان دو که بر پیشانی اند</t>
  </si>
  <si>
    <t>تالی آنها</t>
  </si>
  <si>
    <t>آنکه بر طرف گوش متقدم است</t>
  </si>
  <si>
    <t>کوکب متقدم از ان دو که بر گردن اند</t>
  </si>
  <si>
    <t>تالی از آن دو</t>
  </si>
  <si>
    <t>شمالی ترین آن دوکوکب که بر سینه اند</t>
  </si>
  <si>
    <t>جنوبی ترین همان دو</t>
  </si>
  <si>
    <t>آن کوکب که بر رکبه چپ است</t>
  </si>
  <si>
    <t>شمالی ترین آن دوکوکب که بر قدم چپ و مقدم است</t>
  </si>
  <si>
    <t>جنوبی ترین آنها</t>
  </si>
  <si>
    <t>آنکه بالای رکبه راست است</t>
  </si>
  <si>
    <t>آنکه درشیب رکبه راست است</t>
  </si>
  <si>
    <t>آنکه برپشت صورت است از شکل مربع</t>
  </si>
  <si>
    <t>آنکه بر نرمه شکم است هم از آن مربع</t>
  </si>
  <si>
    <r>
      <t>آنکه نزدیک</t>
    </r>
    <r>
      <rPr>
        <sz val="11"/>
        <rFont val="Calibri"/>
        <family val="2"/>
        <scheme val="minor"/>
      </rPr>
      <t xml:space="preserve"> بن</t>
    </r>
    <r>
      <rPr>
        <sz val="11"/>
        <color theme="1"/>
        <rFont val="Calibri"/>
        <family val="2"/>
        <scheme val="minor"/>
      </rPr>
      <t xml:space="preserve"> دنبال است هم از آن مربع</t>
    </r>
  </si>
  <si>
    <t>باقی مربع که بر فخذچپ است که موخر است</t>
  </si>
  <si>
    <t>کوکب متقدم از آن دو که بر قدم چپ اند و موخر است</t>
  </si>
  <si>
    <t>تالی همان دو</t>
  </si>
  <si>
    <r>
      <t xml:space="preserve">آنکه بر </t>
    </r>
    <r>
      <rPr>
        <sz val="11"/>
        <color rgb="FFFF0000"/>
        <rFont val="Calibri"/>
        <family val="2"/>
        <scheme val="minor"/>
      </rPr>
      <t xml:space="preserve">مابض </t>
    </r>
    <r>
      <rPr>
        <sz val="11"/>
        <color theme="1"/>
        <rFont val="Calibri"/>
        <family val="2"/>
        <scheme val="minor"/>
      </rPr>
      <t>چپ است</t>
    </r>
  </si>
  <si>
    <t>شمالی ترین آن دو کوکب که بر قدم راست اند و موخر است</t>
  </si>
  <si>
    <t>جنوبی ترین همان  دو کوکب</t>
  </si>
  <si>
    <t>الفقرة الاولی</t>
  </si>
  <si>
    <r>
      <t xml:space="preserve">اول از آن </t>
    </r>
    <r>
      <rPr>
        <sz val="11"/>
        <color rgb="FFFF0000"/>
        <rFont val="Calibri"/>
        <family val="2"/>
        <scheme val="minor"/>
      </rPr>
      <t>سه 3</t>
    </r>
    <r>
      <rPr>
        <sz val="11"/>
        <color theme="1"/>
        <rFont val="Calibri"/>
        <family val="2"/>
        <scheme val="minor"/>
      </rPr>
      <t xml:space="preserve"> که بر دنبال اند و این کوکب بر بن دنبال است</t>
    </r>
  </si>
  <si>
    <t>الجون</t>
  </si>
  <si>
    <t>ما بین آن سه3 کوکب که در پهلوی اوست سها</t>
  </si>
  <si>
    <t>العناق</t>
  </si>
  <si>
    <t>کوکب سیوم که بر طرف دنبال اوست</t>
  </si>
  <si>
    <r>
      <rPr>
        <sz val="11"/>
        <color rgb="FFFF0000"/>
        <rFont val="Calibri"/>
        <family val="2"/>
        <scheme val="minor"/>
      </rPr>
      <t>العابد</t>
    </r>
    <r>
      <rPr>
        <sz val="11"/>
        <color theme="1"/>
        <rFont val="Calibri"/>
        <family val="2"/>
        <scheme val="minor"/>
      </rPr>
      <t xml:space="preserve"> و البنات</t>
    </r>
  </si>
  <si>
    <t>کواکب خارج</t>
  </si>
  <si>
    <t>آنکه در زیر دنبال است سوی جنوب</t>
  </si>
  <si>
    <t>کبد الاسد</t>
  </si>
  <si>
    <t>آنکه در پیش اوست و از آن باریک تر است</t>
  </si>
  <si>
    <r>
      <t xml:space="preserve">جنوبی ترین آن دو کوکب که مابین دو پای پیش اند میان </t>
    </r>
    <r>
      <rPr>
        <sz val="11"/>
        <color rgb="FFFF0000"/>
        <rFont val="Calibri"/>
        <family val="2"/>
        <scheme val="minor"/>
      </rPr>
      <t xml:space="preserve">دب </t>
    </r>
    <r>
      <rPr>
        <sz val="11"/>
        <rFont val="Calibri"/>
        <family val="2"/>
        <scheme val="minor"/>
      </rPr>
      <t>و راس اسد</t>
    </r>
  </si>
  <si>
    <t>شمالی ترین همان دوکوکب</t>
  </si>
  <si>
    <t>کوکب تالی از آن سه3 باقیه که خفی اند</t>
  </si>
  <si>
    <t>خفی</t>
  </si>
  <si>
    <t>آنکه پیش اوست</t>
  </si>
  <si>
    <t>آنکه از آن هم پیشتر است</t>
  </si>
  <si>
    <t>آنکه میان دوپای پیشین و صورت توامپن است</t>
  </si>
  <si>
    <t>الفره</t>
  </si>
  <si>
    <t>تنین</t>
  </si>
  <si>
    <t>آن کوکب که بر زبان است</t>
  </si>
  <si>
    <t>الرافض</t>
  </si>
  <si>
    <t>ل خ</t>
  </si>
  <si>
    <t>آن که بر دهان است</t>
  </si>
  <si>
    <t>عو  ا</t>
  </si>
  <si>
    <t>آنکه بر بالای چشم است</t>
  </si>
  <si>
    <t>ا   ید</t>
  </si>
  <si>
    <t>انکه بر موضع زنخ است</t>
  </si>
  <si>
    <t>آنکه بر بالای سر است</t>
  </si>
  <si>
    <t>راس التنین</t>
  </si>
  <si>
    <t xml:space="preserve">شمالی ترین آن سه 3 کوکب که بر خط مستقیم اند برکردن در عطف گاه اول </t>
  </si>
  <si>
    <t>جنوبی سه3 کوکب مذکور</t>
  </si>
  <si>
    <t>مابین کواکب ثلثه</t>
  </si>
  <si>
    <t>تالی سه 3 کوکب که از جانب مشرق این مهار کوکب مربع که در عطف دوم است</t>
  </si>
  <si>
    <t>جنوبی از ضلع متقدم مربع</t>
  </si>
  <si>
    <t>شمالی از ضلع متقدم مربع</t>
  </si>
  <si>
    <t>شمالی از ضلع تالی</t>
  </si>
  <si>
    <t>جنوبی از ضلع تالی</t>
  </si>
  <si>
    <r>
      <t xml:space="preserve">جنوبی ترین از مثلث که بر عط </t>
    </r>
    <r>
      <rPr>
        <sz val="11"/>
        <color rgb="FFFF0000"/>
        <rFont val="Calibri"/>
        <family val="2"/>
        <scheme val="minor"/>
      </rPr>
      <t xml:space="preserve">فه </t>
    </r>
    <r>
      <rPr>
        <sz val="11"/>
        <rFont val="Calibri"/>
        <family val="2"/>
        <scheme val="minor"/>
      </rPr>
      <t>است بعد از آن عط فه</t>
    </r>
  </si>
  <si>
    <t>الاثامی</t>
  </si>
  <si>
    <t>آنکه متقدم است از دو کوکب باقی از همان مثلث</t>
  </si>
  <si>
    <t>آنکه تالی است از همان دوکوکب</t>
  </si>
  <si>
    <t>انکه تالی است از آن سه کوکب که در مثلث اند تابع مثلث اول</t>
  </si>
  <si>
    <t>جنوبی ترین از دو کوکب باقی از همان مثلث</t>
  </si>
  <si>
    <t>شمالی ترین آن دو کوکب</t>
  </si>
  <si>
    <t>تالی از آن دو کوکب خرد که نزدیک مثلث اند</t>
  </si>
  <si>
    <t>اظفار الذنب</t>
  </si>
  <si>
    <t>متقدم همان دو کوکب</t>
  </si>
  <si>
    <t>جنوبی ترین آن سه کوکب که بر خطی مستقیم اند بعد از این کواکب</t>
  </si>
  <si>
    <t>مابین همان سه3 کوکب</t>
  </si>
  <si>
    <t>شمالی ترین آنها</t>
  </si>
  <si>
    <t>الذ بز</t>
  </si>
  <si>
    <t>شمالی ترین آن دو کوکب که نزدیک آن کواکب اند ازجانب مغرب</t>
  </si>
  <si>
    <t>جنوبی ترین همان دو کوکب در عطفه</t>
  </si>
  <si>
    <t>آنکه بعد ازین کوکب است در عطفه که نزدیک دنبال است</t>
  </si>
  <si>
    <t>د بح</t>
  </si>
  <si>
    <t>متقدم از آن دو کوکب که از این کوکب مذکور بعدی تمام دارند</t>
  </si>
  <si>
    <t>تالی همان دو کوکب</t>
  </si>
  <si>
    <t>آنکه تابع این دو کوکب است به نزدیکی دنبال</t>
  </si>
  <si>
    <t>تالی او که بطرف دنبال است</t>
  </si>
  <si>
    <t>قیقاووس</t>
  </si>
  <si>
    <t>آن کوکب که برپای راست است</t>
  </si>
  <si>
    <t>ل ی</t>
  </si>
  <si>
    <t>ان که بر پای چپ است</t>
  </si>
  <si>
    <t>الراعی</t>
  </si>
  <si>
    <t>آنکه زیر کمر است بر پهلوی راست</t>
  </si>
  <si>
    <t>آنکه بالای مماس منکب است</t>
  </si>
  <si>
    <t>کوکب الفرق</t>
  </si>
  <si>
    <t>آنکه از بالا مماس موفق راست است</t>
  </si>
  <si>
    <t>آنکه در زیر همین مرفق است</t>
  </si>
  <si>
    <t>آنکه بر سینه است</t>
  </si>
  <si>
    <t>آنکه بر بازوی چپ است</t>
  </si>
  <si>
    <t>جنوبی ترین آن سه 3 کوکب که بر کلاهند</t>
  </si>
  <si>
    <t>ما بین همین سه 3 کوکب</t>
  </si>
  <si>
    <t>شمالی ترهمان سه کوکب</t>
  </si>
  <si>
    <t>آن کوکب که متقدم کواکب است</t>
  </si>
  <si>
    <t>آن که تالی آنهاست</t>
  </si>
  <si>
    <t>کوکب متقدم از آن سه3 که بر دست چپ اند</t>
  </si>
  <si>
    <t>د ل</t>
  </si>
  <si>
    <t>کوکب میانی از آن سه که جنوبی تر است</t>
  </si>
  <si>
    <t>تالی همان سه 3</t>
  </si>
  <si>
    <t>آنکه بر مرفق چپ است</t>
  </si>
  <si>
    <t>آنکه بر منکب چپ است</t>
  </si>
  <si>
    <t>آنکه بر سر است</t>
  </si>
  <si>
    <t>آنکه بر منکب راست است</t>
  </si>
  <si>
    <t>آنکه بشمال مایل تر است و بر عصای ذات الکلایب است</t>
  </si>
  <si>
    <t>آنکه از کوکب مذکور بشمال نزدیکتر است بر طرف عصا و مشترک قدم صورت است</t>
  </si>
  <si>
    <t>کوکب شمالی از آن دو که در زیر منکب اند و بر جنوب عصاست</t>
  </si>
  <si>
    <t>آنکه جنوبی است از همان دو</t>
  </si>
  <si>
    <t>آن که برطرف دست راست است</t>
  </si>
  <si>
    <t>کوکب متقدم از آن دو که بر معصم اند</t>
  </si>
  <si>
    <t>آنکه تالی است از همان دو</t>
  </si>
  <si>
    <t>آن که بر مقبض عصای ذات الکلاب است</t>
  </si>
  <si>
    <t>آنکه بر کمر است و بطلیموس گفته که بر فخذ است در ازار</t>
  </si>
  <si>
    <t>الرامح</t>
  </si>
  <si>
    <t>تالی از آن دو که بر کمر اند</t>
  </si>
  <si>
    <t>متقدم از همان دو</t>
  </si>
  <si>
    <t>آن که بر پاشنه راست است</t>
  </si>
  <si>
    <t>شمالی ترین از آن سه3 که برپای چپ است</t>
  </si>
  <si>
    <t>مفرد الرامح</t>
  </si>
  <si>
    <t>میانه همان سه3 کوکب</t>
  </si>
  <si>
    <t>جنوبی ترین از همان سه</t>
  </si>
  <si>
    <t>آنکه در میان دو فخذ صورت است</t>
  </si>
  <si>
    <t>سماک رامح</t>
  </si>
  <si>
    <t>اکلیل</t>
  </si>
  <si>
    <t>آن کوکب که از همه روشنتر است</t>
  </si>
  <si>
    <t>ه</t>
  </si>
  <si>
    <t>آن که متقدم اوست</t>
  </si>
  <si>
    <t>آن که بالای متقدم است از شمال</t>
  </si>
  <si>
    <t>آنکه ازو شمالی تر است</t>
  </si>
  <si>
    <t>آنکه تابع کوکب روشن است در دیگر نیمه دایره از جانب جنوب</t>
  </si>
  <si>
    <t>آنکه تابع اوست و از اندکی بشمال مائل تر است</t>
  </si>
  <si>
    <t>آنکه تابع این کوکب است و از همه بشمال مائل تر است</t>
  </si>
  <si>
    <t>آنکه بر کنار جنه است از این همه</t>
  </si>
  <si>
    <t>جانی علی الرکبه</t>
  </si>
  <si>
    <t>آن کوکب که بر سر صورت است</t>
  </si>
  <si>
    <t>د</t>
  </si>
  <si>
    <t>آن کوکب که بر منکب راست است نزدیک بغل</t>
  </si>
  <si>
    <t>آنکه بر بازوی راست است</t>
  </si>
  <si>
    <t>آنکه بر مرفق راست است</t>
  </si>
  <si>
    <t>تالی از آن سه3 که بر معصم جپ است</t>
  </si>
  <si>
    <t>شمالی ترین از آن دو کوکب تالی</t>
  </si>
  <si>
    <t>آنکه بر پهلوی راست است</t>
  </si>
  <si>
    <t>آنکه بر پهلوی چپ است</t>
  </si>
  <si>
    <t>آنکه از او شمالی تر است و بر سرین چپ است</t>
  </si>
  <si>
    <t>آنکه بر بن ران این تالی است</t>
  </si>
  <si>
    <t>کوکب متقدم از آن سه که بر فخذ چپ است</t>
  </si>
  <si>
    <t>آنکه در پی مقدم است</t>
  </si>
  <si>
    <t>آنکه در پی این دیگر کوکب است</t>
  </si>
  <si>
    <t>آنکه بر رکب چپ است</t>
  </si>
  <si>
    <t>آنکه بر اول ساق چپ است بموضع کعب</t>
  </si>
  <si>
    <t>کوکب مقدم از آن سه کوکب که برپای چپ اند</t>
  </si>
  <si>
    <t>کوکب میانه از همان سه3</t>
  </si>
  <si>
    <t>کوکب تالی از همان سه3</t>
  </si>
  <si>
    <t>آن کوکب که بر بن ران راست است</t>
  </si>
  <si>
    <t>آن که شمالی تر است و بر همین فخذ است</t>
  </si>
  <si>
    <t>آنکه بر رکبه راست است</t>
  </si>
  <si>
    <t>جنوبی ترین آن دو کوکب که بر رکبه راست است</t>
  </si>
  <si>
    <t>شمالی ترین همان دو2</t>
  </si>
  <si>
    <t>آنکه بر ساق راست است</t>
  </si>
  <si>
    <t>آنکه بر جنوب کوکب است و آن بالای بازوی راست است</t>
  </si>
  <si>
    <t>شلیاق</t>
  </si>
  <si>
    <t>آن کوکب که بر خرنقه حامله است</t>
  </si>
  <si>
    <t>نسر واقع</t>
  </si>
  <si>
    <t>شمالی ترین از آن دو کوکب متوالی که قرین اویند</t>
  </si>
  <si>
    <t>جنوبی ترین از آن هر دو که گفتیم</t>
  </si>
  <si>
    <r>
      <t xml:space="preserve">آنکه تالی این هر دواست و آن مابین </t>
    </r>
    <r>
      <rPr>
        <sz val="11"/>
        <color theme="1"/>
        <rFont val="Calibri"/>
        <family val="2"/>
        <scheme val="minor"/>
      </rPr>
      <t>القربین است</t>
    </r>
    <r>
      <rPr>
        <sz val="11"/>
        <color theme="1"/>
        <rFont val="Calibri"/>
        <family val="2"/>
        <scheme val="minor"/>
      </rPr>
      <t xml:space="preserve"> </t>
    </r>
  </si>
  <si>
    <r>
      <t xml:space="preserve">شمالی ترین آن دو کوکب متوالی که بر شرقی </t>
    </r>
    <r>
      <rPr>
        <sz val="11"/>
        <color rgb="FFFF0000"/>
        <rFont val="Calibri"/>
        <family val="2"/>
        <scheme val="minor"/>
      </rPr>
      <t>خرفقه</t>
    </r>
    <r>
      <rPr>
        <sz val="11"/>
        <color theme="1"/>
        <rFont val="Calibri"/>
        <family val="2"/>
        <scheme val="minor"/>
      </rPr>
      <t xml:space="preserve"> اند</t>
    </r>
  </si>
  <si>
    <t>د ه</t>
  </si>
  <si>
    <t>جنوبی ترین آن دو کوکب متقدم از چهارباقی</t>
  </si>
  <si>
    <t>شمالی ترین آن دو کوکب متقدم از چهار باقی</t>
  </si>
  <si>
    <t>جنوبی ترین همان دو2</t>
  </si>
  <si>
    <t>شمالی ترین آن دو کوکب تالی از چهار باقی</t>
  </si>
  <si>
    <t>طائر</t>
  </si>
  <si>
    <t>آن کوکب که بر منقار است</t>
  </si>
  <si>
    <t>منقار الدجاجه</t>
  </si>
  <si>
    <t>آن کوکب که در پس اوست و بر سر است</t>
  </si>
  <si>
    <t>آنکه بروسط گردن است</t>
  </si>
  <si>
    <t xml:space="preserve">ه </t>
  </si>
  <si>
    <t xml:space="preserve">آن کوکب روشن که بر دنبال است </t>
  </si>
  <si>
    <t>ذنب الدجاجه</t>
  </si>
  <si>
    <t>آن که بر مرفق است بر جناح راست</t>
  </si>
  <si>
    <t>جنوبی ترین سه3 کوکب که بر عاشره جناح راست است</t>
  </si>
  <si>
    <t>میانین همان سه3 کوکب</t>
  </si>
  <si>
    <t>شمالی ترین  آن سه3 کوکب و آن بر کناره عاشره جناح راست است</t>
  </si>
  <si>
    <t>آن کوکب که بر نظیر مرفق است از جناح چپ</t>
  </si>
  <si>
    <t>آنکه از او شمالی تر است و بر میان جناح چپ است</t>
  </si>
  <si>
    <t xml:space="preserve">آنکه بر طرف عاشره جناح چپ است </t>
  </si>
  <si>
    <t>آنکه بر پای چپ است</t>
  </si>
  <si>
    <t>آنکه بر رکبه چپ است</t>
  </si>
  <si>
    <t>آن که متقدم است از آن دو که بر پای راست اند</t>
  </si>
  <si>
    <t xml:space="preserve">آن که تالی است از همان دو کوکب </t>
  </si>
  <si>
    <t>کوکب شمالی که بر رکبه راست است</t>
  </si>
  <si>
    <t>جنوبی ترین آن دو کوکب که در پر جناح است</t>
  </si>
  <si>
    <t>شمالی ترین همان دو کوکب</t>
  </si>
  <si>
    <t>ذات الکرسی</t>
  </si>
  <si>
    <t>آن کوکب که بر سر است</t>
  </si>
  <si>
    <t>آن که برسینه است</t>
  </si>
  <si>
    <t>آن که ازو شمالی تراست و بر کمر است</t>
  </si>
  <si>
    <t>آن که بالای کرسی است بر هر دو فخذ</t>
  </si>
  <si>
    <t>آن که بر هر دو رکبه است</t>
  </si>
  <si>
    <t xml:space="preserve">رکبه ذات الکرسی </t>
  </si>
  <si>
    <t>آن که بر هر دو ساق است</t>
  </si>
  <si>
    <t>آن که بر طرف پای است</t>
  </si>
  <si>
    <t>آن که بر بازوی چپ است</t>
  </si>
  <si>
    <t>آن که در زیر مرفق چپ است</t>
  </si>
  <si>
    <t>آن که بر ساعد راست است</t>
  </si>
  <si>
    <t>آن که بر بالای قایمه منبر است</t>
  </si>
  <si>
    <t>آن که بر وسط مسند است</t>
  </si>
  <si>
    <r>
      <t>کف الخضیب و</t>
    </r>
    <r>
      <rPr>
        <sz val="11"/>
        <color rgb="FFFF0000"/>
        <rFont val="Calibri"/>
        <family val="2"/>
        <scheme val="minor"/>
      </rPr>
      <t xml:space="preserve"> سنام</t>
    </r>
    <r>
      <rPr>
        <sz val="11"/>
        <color theme="1"/>
        <rFont val="Calibri"/>
        <family val="2"/>
        <scheme val="minor"/>
      </rPr>
      <t xml:space="preserve"> اکناف</t>
    </r>
  </si>
  <si>
    <t>آنکه بر طرف مسند است</t>
  </si>
  <si>
    <t>برساوش</t>
  </si>
  <si>
    <t>آن کوکب سحابی که بر طرف دست راست است</t>
  </si>
  <si>
    <t>معصم الثریا</t>
  </si>
  <si>
    <t>سحابی</t>
  </si>
  <si>
    <t>ح د</t>
  </si>
  <si>
    <t>آن کوکب که بر مرفق راست است</t>
  </si>
  <si>
    <t>آن کوکب که بر منکب راست است</t>
  </si>
  <si>
    <t>آن کوکب که بر منکب چپ است</t>
  </si>
  <si>
    <t>آن که بر سر است</t>
  </si>
  <si>
    <t>آن که بر میان دو منکب است</t>
  </si>
  <si>
    <t>آن کوکب روشن که بر پهلوی راست است</t>
  </si>
  <si>
    <r>
      <t xml:space="preserve">مرفق </t>
    </r>
    <r>
      <rPr>
        <sz val="11"/>
        <rFont val="Calibri"/>
        <family val="2"/>
        <scheme val="minor"/>
      </rPr>
      <t>الثریا</t>
    </r>
  </si>
  <si>
    <t>متقدم آن سه3 کوکب که بعد از آنست بر همین پهلو</t>
  </si>
  <si>
    <t>اوسط همان سه3 کوکب</t>
  </si>
  <si>
    <t>تالی همان سه3 کوکب</t>
  </si>
  <si>
    <t>آن کوکب روشن که بر سر غول است</t>
  </si>
  <si>
    <t>راس الغول</t>
  </si>
  <si>
    <t>آن که تالی اوست</t>
  </si>
  <si>
    <t>آن که مقدم کوکب روشن است</t>
  </si>
  <si>
    <t>کوکبی که باقی است از کواکب سر غول</t>
  </si>
  <si>
    <t>آنکه متقدم اوست بالای رکبه</t>
  </si>
  <si>
    <t>متقدم آن کوکب که بالای مابض رکبه است</t>
  </si>
  <si>
    <t>تالی همان دو کوکب در همین مابض</t>
  </si>
  <si>
    <t>آن که بر عضله ساق راست است</t>
  </si>
  <si>
    <t>آن که بر کعب راست است</t>
  </si>
  <si>
    <t xml:space="preserve">آن که بر فخذ چپ است </t>
  </si>
  <si>
    <t>آن که بر رکبه چپ است</t>
  </si>
  <si>
    <t>آن که بر ساق است</t>
  </si>
  <si>
    <t>آن که بر پاشنه چپ است</t>
  </si>
  <si>
    <t>منکب الثریا</t>
  </si>
  <si>
    <t>آن که بالای اوست و بر طرف پای چپ است</t>
  </si>
  <si>
    <t>طابق الثریا</t>
  </si>
  <si>
    <t>آن که از کوکبی که بر رکبه چپ است در جانب مشرق است</t>
  </si>
  <si>
    <t>آن که از کوکبی که بر رکبه راست است در جانب شمال است</t>
  </si>
  <si>
    <t>آن که متقدم آن کوکب است که بر سر غول است</t>
  </si>
  <si>
    <t>ممسک العنان</t>
  </si>
  <si>
    <t>جنوبی ترین آن کوکب که بر سر صورت است</t>
  </si>
  <si>
    <t>خ د</t>
  </si>
  <si>
    <t xml:space="preserve">شمالی ترین همان دو کوکب و این کوکب بالای سر است </t>
  </si>
  <si>
    <t>آن که بر منکب چپ است</t>
  </si>
  <si>
    <t>عیوق</t>
  </si>
  <si>
    <t>آن که بر منکب راست است</t>
  </si>
  <si>
    <t>آن که بر مرفق راست است</t>
  </si>
  <si>
    <t>آن که بر معصم راست است</t>
  </si>
  <si>
    <t>آن که بر مرفق چپ است</t>
  </si>
  <si>
    <r>
      <t xml:space="preserve">کوکب تالی از آن دو کوکب که بر معصم چپ اند و آنها را </t>
    </r>
    <r>
      <rPr>
        <sz val="11"/>
        <color rgb="FFFF0000"/>
        <rFont val="Calibri"/>
        <family val="2"/>
        <scheme val="minor"/>
      </rPr>
      <t>جدمان</t>
    </r>
    <r>
      <rPr>
        <sz val="11"/>
        <color theme="1"/>
        <rFont val="Calibri"/>
        <family val="2"/>
        <scheme val="minor"/>
      </rPr>
      <t xml:space="preserve"> خوانند</t>
    </r>
  </si>
  <si>
    <t>کوکب متقدم از همان دو کوکب</t>
  </si>
  <si>
    <t>د خ</t>
  </si>
  <si>
    <t>آن که بر کعب چپ است</t>
  </si>
  <si>
    <t>آنکه بر کعب راست است و او مشترک است با قرن شمالی ثور</t>
  </si>
  <si>
    <r>
      <t>آنکه در جانب شمال است از</t>
    </r>
    <r>
      <rPr>
        <sz val="11"/>
        <rFont val="Calibri"/>
        <family val="2"/>
        <scheme val="minor"/>
      </rPr>
      <t xml:space="preserve"> </t>
    </r>
    <r>
      <rPr>
        <sz val="11"/>
        <color rgb="FFFF0000"/>
        <rFont val="Calibri"/>
        <family val="2"/>
        <scheme val="minor"/>
      </rPr>
      <t>لفافه</t>
    </r>
    <r>
      <rPr>
        <sz val="11"/>
        <color theme="1"/>
        <rFont val="Calibri"/>
        <family val="2"/>
        <scheme val="minor"/>
      </rPr>
      <t xml:space="preserve"> که برپاست یعنی </t>
    </r>
    <r>
      <rPr>
        <sz val="11"/>
        <color rgb="FFFF0000"/>
        <rFont val="Calibri"/>
        <family val="2"/>
        <scheme val="minor"/>
      </rPr>
      <t>پاناب</t>
    </r>
  </si>
  <si>
    <r>
      <t xml:space="preserve">آنکه ازو شمالی تر است و او بر </t>
    </r>
    <r>
      <rPr>
        <sz val="11"/>
        <rFont val="Calibri"/>
        <family val="2"/>
        <scheme val="minor"/>
      </rPr>
      <t xml:space="preserve">حرفقه یعنی سرون </t>
    </r>
    <r>
      <rPr>
        <sz val="11"/>
        <color theme="1"/>
        <rFont val="Calibri"/>
        <family val="2"/>
        <scheme val="minor"/>
      </rPr>
      <t xml:space="preserve">است </t>
    </r>
  </si>
  <si>
    <t>خو</t>
  </si>
  <si>
    <t>الراعی(راس الحوا)</t>
  </si>
  <si>
    <t>مقدم آن دو کوکب که بر منکب راست اند</t>
  </si>
  <si>
    <t xml:space="preserve">تالی همان دو کوکب </t>
  </si>
  <si>
    <t>متقدم آن دو کوکب که بر منکب چپ اند</t>
  </si>
  <si>
    <t>متقدم آن دو کوکب که بر کف دست چپ اند</t>
  </si>
  <si>
    <t xml:space="preserve">متقدم آن دو کوکب که بر کف دست راست اند </t>
  </si>
  <si>
    <t>آنکه بر رکبه پای راست است</t>
  </si>
  <si>
    <t>آنکه بر پای راست است</t>
  </si>
  <si>
    <t>متقدم از آن چهار کوکب که بر پای راست است</t>
  </si>
  <si>
    <t>تالی آن</t>
  </si>
  <si>
    <t>آنکه تالی این تالی است</t>
  </si>
  <si>
    <t>باقی از چهار که تالی همه است</t>
  </si>
  <si>
    <t>آنکه مماس پاشنه پای راست است</t>
  </si>
  <si>
    <t>آنکه بر رکبه پای چپ است</t>
  </si>
  <si>
    <t>شمالی آن سه3 کوکب که بر خط مستقیم است بر ساق پای چپ</t>
  </si>
  <si>
    <t>جنوبی ترین همان سه3 کوکب</t>
  </si>
  <si>
    <t>آنکه بر پاشنه پای چپ است</t>
  </si>
  <si>
    <t>آن کوکب که مماس احمض پای چپ است یعنی جاهی که بر زمین رسد در قدم</t>
  </si>
  <si>
    <t xml:space="preserve">شمالی آن سه3 کوکب که بر خطی مستقیم اند و از مثلث راست در جانب مشرقند </t>
  </si>
  <si>
    <t>تالی هر سه3 کوکب و آن بالای اوسط است</t>
  </si>
  <si>
    <t xml:space="preserve">کوکب متفرق که از این کواکب بر جانب شمال مائل تر است </t>
  </si>
  <si>
    <t>حیّه</t>
  </si>
  <si>
    <r>
      <t xml:space="preserve">آنکوکب که بر طرف </t>
    </r>
    <r>
      <rPr>
        <sz val="11"/>
        <color rgb="FFFF0000"/>
        <rFont val="Calibri"/>
        <family val="2"/>
        <scheme val="minor"/>
      </rPr>
      <t xml:space="preserve">زنح </t>
    </r>
    <r>
      <rPr>
        <sz val="11"/>
        <rFont val="Calibri"/>
        <family val="2"/>
        <scheme val="minor"/>
      </rPr>
      <t>است از آن مربع که بر سر است</t>
    </r>
  </si>
  <si>
    <t>آن که مماس سوراخ جینی است</t>
  </si>
  <si>
    <r>
      <t xml:space="preserve">ل </t>
    </r>
    <r>
      <rPr>
        <sz val="11"/>
        <rFont val="Calibri"/>
        <family val="2"/>
        <scheme val="minor"/>
      </rPr>
      <t>خ</t>
    </r>
  </si>
  <si>
    <t>آن که میان چشم و کوش است</t>
  </si>
  <si>
    <t>آن که بر بن کردن است</t>
  </si>
  <si>
    <t>آن که در میان مربع است و بر دهن است</t>
  </si>
  <si>
    <t>آن که از سه خارج است در جهت شمال</t>
  </si>
  <si>
    <t>آن که بعد از عطفه اول است از کردن</t>
  </si>
  <si>
    <t>شمالی ترین آن کوکب که تابع اوست</t>
  </si>
  <si>
    <t>عنق الحیه</t>
  </si>
  <si>
    <t>آنکه متقدم است بر دست چپ حوّا بعد از عطفه که از پس اوست</t>
  </si>
  <si>
    <t>آنکه تالی آن دو کوکب است بر دست چپ حوّا</t>
  </si>
  <si>
    <t>آن که بعد از فخذ راست حواست و موخر است</t>
  </si>
  <si>
    <t>جنوبی ترین آن که از پس اویند</t>
  </si>
  <si>
    <t>آنکه بعد از دست راست حواست بر عطفه دنبال</t>
  </si>
  <si>
    <t>آنکه پس اوست بر دنبال</t>
  </si>
  <si>
    <t>آنکه بر طرف دنبال است</t>
  </si>
  <si>
    <t>سهم</t>
  </si>
  <si>
    <t>آن کوکب منفرد که بر پیکان است</t>
  </si>
  <si>
    <t>خ ه</t>
  </si>
  <si>
    <t>تالی از آن کوکب که بر قصبه تیر است</t>
  </si>
  <si>
    <t xml:space="preserve">شمالی </t>
  </si>
  <si>
    <t>متقدم از آن سه3 کوکب</t>
  </si>
  <si>
    <t>آن کوکب که بر طرف سوفار است</t>
  </si>
  <si>
    <t xml:space="preserve"> عقاب</t>
  </si>
  <si>
    <t>آن کوکب که در میان سر است</t>
  </si>
  <si>
    <t>خ ی</t>
  </si>
  <si>
    <t>آن که در پیش این کوکب بر کردن است</t>
  </si>
  <si>
    <t>آن کوکب روشن که بر میان دو منکب است</t>
  </si>
  <si>
    <t>نسر طائر</t>
  </si>
  <si>
    <t>آن که نزدیک است باو از جانب شمال</t>
  </si>
  <si>
    <t>متقدم آن دو کوکب که بر دو منکب چپ اند</t>
  </si>
  <si>
    <t>متقدم آن دو کوکب که بر منکب راست اند</t>
  </si>
  <si>
    <t>آن که زیر دم ببعدی واقع است و مماس مجره است</t>
  </si>
  <si>
    <t>ذنب العقاب</t>
  </si>
  <si>
    <r>
      <t xml:space="preserve">کوکب متقدم از آن دو کوکب که در جانب جنوب اند از سر </t>
    </r>
    <r>
      <rPr>
        <sz val="11"/>
        <color rgb="FFFF0000"/>
        <rFont val="Calibri"/>
        <family val="2"/>
        <scheme val="minor"/>
      </rPr>
      <t>نسر</t>
    </r>
  </si>
  <si>
    <t>آن کوکب که تالی ایشان است در جانب جنوب است بل بمغرب</t>
  </si>
  <si>
    <t>آن کوکب که در منکب چپ نسر است</t>
  </si>
  <si>
    <t>آن کوکب که در جنوب این کوکب است</t>
  </si>
  <si>
    <t>آن کوکب که از این کوکب مائل تر است بجنوب</t>
  </si>
  <si>
    <t>آن که در پیش همه است</t>
  </si>
  <si>
    <t xml:space="preserve">کوکب متقدم از آن سه کوکب که بر دنبال است </t>
  </si>
  <si>
    <t>ذنب الدلقین</t>
  </si>
  <si>
    <t>شمالی ترین دو کوکب باقی</t>
  </si>
  <si>
    <t>جنوبی ترین همان دو کوکب</t>
  </si>
  <si>
    <t>جنوبی ترین دو کوکب که بر ضلع متقدم است در مربع شبیه بمعین</t>
  </si>
  <si>
    <t xml:space="preserve">شمالی ترین همان دو کوکب که بر ضلع متقدم است </t>
  </si>
  <si>
    <t>جنوبی ترین آن دو کوکب که بر ضلع تالی است</t>
  </si>
  <si>
    <t xml:space="preserve">شمالی ترین همان دو کوکب که بر ضلع تالی است </t>
  </si>
  <si>
    <r>
      <t>شمالی ترین آن  سه3 کوکب میان</t>
    </r>
    <r>
      <rPr>
        <sz val="11"/>
        <color theme="9" tint="-0.499984740745262"/>
        <rFont val="Calibri"/>
        <family val="2"/>
        <scheme val="minor"/>
      </rPr>
      <t xml:space="preserve"> (</t>
    </r>
    <r>
      <rPr>
        <sz val="11"/>
        <rFont val="Calibri"/>
        <family val="2"/>
        <scheme val="minor"/>
      </rPr>
      <t xml:space="preserve">دنبال) (صورت) </t>
    </r>
    <r>
      <rPr>
        <sz val="11"/>
        <color theme="1"/>
        <rFont val="Calibri"/>
        <family val="2"/>
        <scheme val="minor"/>
      </rPr>
      <t>و معین است</t>
    </r>
  </si>
  <si>
    <t>متقدم از آن دو کوکب که باقی اند از سه کوکب مذکور</t>
  </si>
  <si>
    <t>کوکب باقی که تالی همان دو کوکب است</t>
  </si>
  <si>
    <t>قطعه الفرس</t>
  </si>
  <si>
    <t>کوکب متقدم  از آن دو که بر سر اند</t>
  </si>
  <si>
    <t>کوکب تالی از همان دو کوکب</t>
  </si>
  <si>
    <t>کوکب مقدم از آن دو که بر دهن اند</t>
  </si>
  <si>
    <t>فرس اعظم</t>
  </si>
  <si>
    <t>آن کوکب که بر سره است و آن مشترک است با رأس مرأة مسلسله</t>
  </si>
  <si>
    <t>سرة الفرس و راس المسلسله الفرس</t>
  </si>
  <si>
    <t>آن کوکب که بر کنار جناح است</t>
  </si>
  <si>
    <t>جناح الفرس</t>
  </si>
  <si>
    <t>آن که بر منکب راست است موضع بیرون آمدن دست از اینجاست</t>
  </si>
  <si>
    <t>منکب الفرس</t>
  </si>
  <si>
    <t>آن که میان کتف و جناح است</t>
  </si>
  <si>
    <t>منتن الفرس</t>
  </si>
  <si>
    <t>شمالی ترین آن دو کوکب که بر بن اند در زیر جناح</t>
  </si>
  <si>
    <t>الکرب</t>
  </si>
  <si>
    <t>شمالی ترین آن دو کوکب که بر رُکبه راست اند</t>
  </si>
  <si>
    <t>سعد منظر</t>
  </si>
  <si>
    <t>متقدم آن دو کوکب بیکدیگر نزدیک که بر سینه اند</t>
  </si>
  <si>
    <r>
      <t>سعد ی</t>
    </r>
    <r>
      <rPr>
        <sz val="11"/>
        <rFont val="Calibri"/>
        <family val="2"/>
        <scheme val="minor"/>
      </rPr>
      <t>ارع</t>
    </r>
  </si>
  <si>
    <t>متقدم آن دو کوکب که بیکدیگر نزدیک  بر کردن اند</t>
  </si>
  <si>
    <t>سعد التمام</t>
  </si>
  <si>
    <t>جنوبی ترین آن دو کوکب که بر سرند</t>
  </si>
  <si>
    <t>شمالی ترین آن دو کوکب که بیکدیگر نزدیک بر سینه اند</t>
  </si>
  <si>
    <t>آن کوکب که بر لب است</t>
  </si>
  <si>
    <t>فم الفرس و....</t>
  </si>
  <si>
    <r>
      <t>مر</t>
    </r>
    <r>
      <rPr>
        <sz val="11"/>
        <rFont val="Calibri"/>
        <family val="2"/>
        <scheme val="minor"/>
      </rPr>
      <t>أ</t>
    </r>
    <r>
      <rPr>
        <sz val="11"/>
        <color theme="1"/>
        <rFont val="Calibri"/>
        <family val="2"/>
        <scheme val="minor"/>
      </rPr>
      <t>ة مسلسله</t>
    </r>
  </si>
  <si>
    <t>آن کوکب که میان دو منکب است</t>
  </si>
  <si>
    <t>جنوبی ترین آن سه کوکب که بر بازوی راست اند</t>
  </si>
  <si>
    <t>شمالی ترین همان سه3 کوکب</t>
  </si>
  <si>
    <t>جنوبی ترین آن سه کوکب که بر کف راست اند</t>
  </si>
  <si>
    <t>اوسط آنها</t>
  </si>
  <si>
    <t>جنوبی ترین آن سه3 کوکب که بالای ازار اند</t>
  </si>
  <si>
    <t>جنب المسلسله</t>
  </si>
  <si>
    <t>آنکه بر پای چپ است و آنرا عناق الارض نیز گویند</t>
  </si>
  <si>
    <t>رجل المسلسله</t>
  </si>
  <si>
    <t>آنکه ازین کوکب مائل تر است بجنوب</t>
  </si>
  <si>
    <t>شمالی ترین آن دو کوکب که بر مابض رکبه چپ اند</t>
  </si>
  <si>
    <t xml:space="preserve">شمالی ترین آن دو کوکب که بر وسط کنار دامن اند </t>
  </si>
  <si>
    <t>کوکب متقدم از آن سه کوکب که بر دست راست اند</t>
  </si>
  <si>
    <t>مثلث</t>
  </si>
  <si>
    <t>آن کوکب که بمنزله سر مثلث است</t>
  </si>
  <si>
    <t>رأس المثلث</t>
  </si>
  <si>
    <t>کوکب متقدم از آن سه3 که بر قاعده اند</t>
  </si>
  <si>
    <t>بر نفس منطقة البروج</t>
  </si>
  <si>
    <t>کوکب متقدم از آن دو که بر سراند</t>
  </si>
  <si>
    <t>مقدم الشرطین</t>
  </si>
  <si>
    <t>خ ل د</t>
  </si>
  <si>
    <t>کوکب متاخر از همان دو</t>
  </si>
  <si>
    <t>موخرالشرطین</t>
  </si>
  <si>
    <t>شمالی ترین آن دو کوکب که بر حطم اند</t>
  </si>
  <si>
    <t>د ر ل</t>
  </si>
  <si>
    <t>آن که بر کردن است</t>
  </si>
  <si>
    <t>آن که بر قطن است</t>
  </si>
  <si>
    <t>آن که بر دنبه است</t>
  </si>
  <si>
    <t>من البطین</t>
  </si>
  <si>
    <t>متقدم آن سه کوکب که بر دنبه است</t>
  </si>
  <si>
    <t xml:space="preserve">اوسط همان سه3 کوکب </t>
  </si>
  <si>
    <t>آن که بر فخذ موخر است</t>
  </si>
  <si>
    <t>آن که بالای مابض است</t>
  </si>
  <si>
    <t>آن که بر قدم موخر است</t>
  </si>
  <si>
    <t>آن که بالای سر است و ابرخش گفته که بر حطم است</t>
  </si>
  <si>
    <t>نا طح</t>
  </si>
  <si>
    <t xml:space="preserve">خ  </t>
  </si>
  <si>
    <t>تالی روشن از آن چهار که بر قطن اند</t>
  </si>
  <si>
    <t>شمالی ترین سه3 کوکب باقی  که باریک تر اند</t>
  </si>
  <si>
    <t>جنوبی ترین همان سه کوکب</t>
  </si>
  <si>
    <t>شمالی ترین آن چهار کوکب که بر موضع قطع است</t>
  </si>
  <si>
    <t>ه ر ل</t>
  </si>
  <si>
    <t>آن که بعد از دست</t>
  </si>
  <si>
    <t>آن که بعد ازین کوکب است</t>
  </si>
  <si>
    <t>جنوبی ترین همان چهار کوکب</t>
  </si>
  <si>
    <t>آن که تالی اوست و بر کتف راست است</t>
  </si>
  <si>
    <t>آن که بر سینه است</t>
  </si>
  <si>
    <t>آن که بر رکبه راست است</t>
  </si>
  <si>
    <t>آن که بر زکبه چپ است</t>
  </si>
  <si>
    <t>آن که برساعد چپ است</t>
  </si>
  <si>
    <t>آن که بر منخر است از آن پنج کوکب که بر روی اند و مجموع بر صورت حرف دال است</t>
  </si>
  <si>
    <t>آن که میان او وچشم شمالی است</t>
  </si>
  <si>
    <t>آن کوکب روشن که میان این و چشم جنوبی است</t>
  </si>
  <si>
    <t>آن کوکب روشن بزرگ که سرخی میزند از صورت دال که برچشم جنوب است</t>
  </si>
  <si>
    <t>عین الثور</t>
  </si>
  <si>
    <t>کوکب باقی که بر چشم شمالی است</t>
  </si>
  <si>
    <t>آن که بر منشای سر و کوش جنوبی است</t>
  </si>
  <si>
    <t>جنوبی ترین آن کوکب که بر قرن جنوبی است</t>
  </si>
  <si>
    <t>آن که بر طرف قرن جنوبی است</t>
  </si>
  <si>
    <t>آن که بر قرن شمالی است</t>
  </si>
  <si>
    <r>
      <t xml:space="preserve">شمالی ترین آن </t>
    </r>
    <r>
      <rPr>
        <sz val="11"/>
        <rFont val="Calibri"/>
        <family val="2"/>
        <scheme val="minor"/>
      </rPr>
      <t>متقارب</t>
    </r>
    <r>
      <rPr>
        <sz val="11"/>
        <color rgb="FFFF0000"/>
        <rFont val="Calibri"/>
        <family val="2"/>
        <scheme val="minor"/>
      </rPr>
      <t xml:space="preserve"> </t>
    </r>
    <r>
      <rPr>
        <sz val="11"/>
        <rFont val="Calibri"/>
        <family val="2"/>
        <scheme val="minor"/>
      </rPr>
      <t>که بر گوش شمالی اند</t>
    </r>
  </si>
  <si>
    <t>متقدم آن دو کوکب خُرد که بر گردن اند</t>
  </si>
  <si>
    <t>جنوبی ترین آن دو کوکب که بر ضلع مقدم اند از مربع شبیه معین</t>
  </si>
  <si>
    <r>
      <t xml:space="preserve">ل </t>
    </r>
    <r>
      <rPr>
        <sz val="11"/>
        <color rgb="FFFF0000"/>
        <rFont val="Calibri"/>
        <family val="2"/>
        <scheme val="minor"/>
      </rPr>
      <t>د</t>
    </r>
  </si>
  <si>
    <t xml:space="preserve">جنوبی ترین آن دو کوکب که بر ضلع تالی اند از همان مربع </t>
  </si>
  <si>
    <t>طرف شمالی از ضلع مقدم ثریا</t>
  </si>
  <si>
    <t>ر</t>
  </si>
  <si>
    <t>طرف جنوبی از همان ضلع</t>
  </si>
  <si>
    <t>طرف شمالی لز ضلع موخر و آن باریک تر است</t>
  </si>
  <si>
    <t>آن کوکب خُرد که خارج از ثریا جانب شمال است</t>
  </si>
  <si>
    <t>آن کوکب که زیر پای راست و کعب است</t>
  </si>
  <si>
    <t>متقدم آن سه3 کوکب که بالای قرن جنوبی اند</t>
  </si>
  <si>
    <t>شمالی ترین آن دو کوکب که زیر قرن شمالی اند</t>
  </si>
  <si>
    <t>؟</t>
  </si>
  <si>
    <t>متقدم آن پنج کوکب که در زیر قرن شمالی اند</t>
  </si>
  <si>
    <t>تالی این تالی</t>
  </si>
  <si>
    <t>جوزا</t>
  </si>
  <si>
    <r>
      <t xml:space="preserve">آن کوکب که بر سر </t>
    </r>
    <r>
      <rPr>
        <sz val="11"/>
        <rFont val="Calibri"/>
        <family val="2"/>
        <scheme val="minor"/>
      </rPr>
      <t>توام</t>
    </r>
    <r>
      <rPr>
        <sz val="11"/>
        <color theme="1"/>
        <rFont val="Calibri"/>
        <family val="2"/>
        <scheme val="minor"/>
      </rPr>
      <t xml:space="preserve"> مقدم است</t>
    </r>
  </si>
  <si>
    <r>
      <t xml:space="preserve">راس </t>
    </r>
    <r>
      <rPr>
        <sz val="11"/>
        <rFont val="Calibri"/>
        <family val="2"/>
        <scheme val="minor"/>
      </rPr>
      <t>التُواَم</t>
    </r>
    <r>
      <rPr>
        <sz val="11"/>
        <color rgb="FFFF0000"/>
        <rFont val="Calibri"/>
        <family val="2"/>
        <scheme val="minor"/>
      </rPr>
      <t xml:space="preserve"> </t>
    </r>
    <r>
      <rPr>
        <sz val="11"/>
        <color theme="1"/>
        <rFont val="Calibri"/>
        <family val="2"/>
        <scheme val="minor"/>
      </rPr>
      <t>المقدم</t>
    </r>
  </si>
  <si>
    <r>
      <t xml:space="preserve">آن کوکب که مائل بسرخی است و بر سر </t>
    </r>
    <r>
      <rPr>
        <sz val="11"/>
        <color rgb="FFFF0000"/>
        <rFont val="Calibri"/>
        <family val="2"/>
        <scheme val="minor"/>
      </rPr>
      <t>توام</t>
    </r>
    <r>
      <rPr>
        <sz val="11"/>
        <color theme="1"/>
        <rFont val="Calibri"/>
        <family val="2"/>
        <scheme val="minor"/>
      </rPr>
      <t xml:space="preserve"> دیگر است</t>
    </r>
  </si>
  <si>
    <t>راس التوام المؤخر</t>
  </si>
  <si>
    <t>آن که بر ساعد چپ توام متقدم است</t>
  </si>
  <si>
    <r>
      <t xml:space="preserve">آن که بر بازوی </t>
    </r>
    <r>
      <rPr>
        <sz val="11"/>
        <rFont val="Calibri"/>
        <family val="2"/>
        <scheme val="minor"/>
      </rPr>
      <t>اینجانب</t>
    </r>
    <r>
      <rPr>
        <sz val="11"/>
        <color theme="1"/>
        <rFont val="Calibri"/>
        <family val="2"/>
        <scheme val="minor"/>
      </rPr>
      <t xml:space="preserve"> است</t>
    </r>
  </si>
  <si>
    <t>آن که تالی اوست و میان دو منکب است</t>
  </si>
  <si>
    <t>آن که تالی اوست و بر منکب راست این توام است</t>
  </si>
  <si>
    <t xml:space="preserve">آن که بر منکب تالی توام ثانی است </t>
  </si>
  <si>
    <t>آن که بر پهلوی راست توام مقدم است</t>
  </si>
  <si>
    <t>آن که بر پهلوی چپ توام ثانی است</t>
  </si>
  <si>
    <t>آن که بر رکبه چپ توام مقدم است</t>
  </si>
  <si>
    <t>آن که در جانب چپ توام ثانی است</t>
  </si>
  <si>
    <t>آن که بالای رکبه چپ توام ثانی است</t>
  </si>
  <si>
    <t>آن که بالای مابض راست این توام است</t>
  </si>
  <si>
    <t>آن که بر پیش پای توام مقدم است</t>
  </si>
  <si>
    <t>آن که بر پای تالی اوست و برین توام است</t>
  </si>
  <si>
    <t>آن که بر پای راست توام متقدم است</t>
  </si>
  <si>
    <t>آن که بر پای چپ توام موخر است</t>
  </si>
  <si>
    <t>آن که بر پای راست این توام است</t>
  </si>
  <si>
    <r>
      <t xml:space="preserve">آن که متقدم است بر کوکبی که در </t>
    </r>
    <r>
      <rPr>
        <sz val="11"/>
        <rFont val="Calibri"/>
        <family val="2"/>
        <scheme val="minor"/>
      </rPr>
      <t>پای</t>
    </r>
    <r>
      <rPr>
        <sz val="11"/>
        <color theme="1"/>
        <rFont val="Calibri"/>
        <family val="2"/>
        <scheme val="minor"/>
      </rPr>
      <t xml:space="preserve"> پیش توام است متقدم است</t>
    </r>
  </si>
  <si>
    <t>آن کوکب روشن که بر رُکبه متقدم است</t>
  </si>
  <si>
    <t>آن که در پیش رکبه چپ توام است</t>
  </si>
  <si>
    <t>شمالی آن سه3 کوکب بر خطی مستقیم اند در پس دست چپ توام ثانی</t>
  </si>
  <si>
    <t>جنوبی همان سه کوکب و او نزدیک ساعد است</t>
  </si>
  <si>
    <t>کوکب روشن که در پس ان سه مذکور است</t>
  </si>
  <si>
    <t>میان آن موضع بهم شده در سحابی که بر سینه است و آنرا معلف خوانند</t>
  </si>
  <si>
    <t>لاوه معلَف</t>
  </si>
  <si>
    <r>
      <t>شمالی ترین آن دو کوکب متقدم</t>
    </r>
    <r>
      <rPr>
        <sz val="11"/>
        <rFont val="Calibri"/>
        <family val="2"/>
        <scheme val="minor"/>
      </rPr>
      <t xml:space="preserve"> از آن چهار کوکب</t>
    </r>
    <r>
      <rPr>
        <sz val="11"/>
        <color theme="1"/>
        <rFont val="Calibri"/>
        <family val="2"/>
        <scheme val="minor"/>
      </rPr>
      <t xml:space="preserve"> که سحابی در میان ایشان است</t>
    </r>
  </si>
  <si>
    <t>شمالی ترین آن دو کوکب تالی از آن چهار کواکب مذکور وآنرا حمارین خوانند</t>
  </si>
  <si>
    <t>حمارشمالی</t>
  </si>
  <si>
    <t>خ س</t>
  </si>
  <si>
    <t>حمارجنوبی</t>
  </si>
  <si>
    <t>آن که بر زبانای جنوبی است</t>
  </si>
  <si>
    <t>آن که بر زبانای شمالی است</t>
  </si>
  <si>
    <t>آن که بر پای موخر شمالی است</t>
  </si>
  <si>
    <t>آن که بر پای موخر جنوبی است</t>
  </si>
  <si>
    <t>آن که بالای مرفق است از زبانای جنوبی</t>
  </si>
  <si>
    <t>د ر</t>
  </si>
  <si>
    <t>آن که تالی طرف زبانای جنوبی است</t>
  </si>
  <si>
    <t>من الطرفه</t>
  </si>
  <si>
    <t>آن که متقدم است از دو کوکب تالی که بالای سحابی اند</t>
  </si>
  <si>
    <t>آن که متاخر است از همان دو کوکب</t>
  </si>
  <si>
    <t>آن کوکب که بر طرف سخر است</t>
  </si>
  <si>
    <t>منحر الاسد</t>
  </si>
  <si>
    <t>آن که بر روی است</t>
  </si>
  <si>
    <t>شمالی ترین آن دو کوکب که بر سراند</t>
  </si>
  <si>
    <t>راس الاسد شمالی</t>
  </si>
  <si>
    <t>ل ر</t>
  </si>
  <si>
    <t>راس الاسد جنوبی</t>
  </si>
  <si>
    <t>شمالی ترین آن سه کوکب که بر گردن اند</t>
  </si>
  <si>
    <t>تابع آن که اوسط همان سه3 کوکب است</t>
  </si>
  <si>
    <t>منکب الاسد</t>
  </si>
  <si>
    <t>آنکه بر موضع قلب است و او را فلکی خوانند</t>
  </si>
  <si>
    <t>قلب الاسد</t>
  </si>
  <si>
    <t xml:space="preserve">آ ن که از آن جنوبی تر است و گوئی بر موضع صدر است </t>
  </si>
  <si>
    <t>آن که اندکی مقدم تر از قلب الاسد است</t>
  </si>
  <si>
    <t>آن که بر رُکبه راست است</t>
  </si>
  <si>
    <t>آن که بر کف دست راست است که مقدم است بر آن</t>
  </si>
  <si>
    <t>آن که بر کف دست چپ است</t>
  </si>
  <si>
    <t>آن که بر رُکبه چپ است</t>
  </si>
  <si>
    <t>آن که بر بغل چپ است</t>
  </si>
  <si>
    <t>متقدم آن سه3 کوکب که بر شکم اند</t>
  </si>
  <si>
    <t>شمال ترین آن دو کوکب که تالی آن دو کوکب اول اند از سه3 کوکب مذکور</t>
  </si>
  <si>
    <t>متقدم آن دوکوکب که بر بطن اند</t>
  </si>
  <si>
    <t>تالی ایشان</t>
  </si>
  <si>
    <t>الزبره من الاسد</t>
  </si>
  <si>
    <t>ل ه ر</t>
  </si>
  <si>
    <r>
      <t xml:space="preserve">شمالی ترین آن دو کوکب که بر </t>
    </r>
    <r>
      <rPr>
        <sz val="11"/>
        <color rgb="FFFF0000"/>
        <rFont val="Calibri"/>
        <family val="2"/>
        <scheme val="minor"/>
      </rPr>
      <t>حرقفه</t>
    </r>
    <r>
      <rPr>
        <sz val="11"/>
        <color theme="1"/>
        <rFont val="Calibri"/>
        <family val="2"/>
        <scheme val="minor"/>
      </rPr>
      <t xml:space="preserve"> اند(حرقفه به معنای استخوان سر ران)</t>
    </r>
  </si>
  <si>
    <t>من الزبره</t>
  </si>
  <si>
    <t>آنکه بر موخر هر دو فخذ است</t>
  </si>
  <si>
    <t>آنکه بر هر دو مابض است</t>
  </si>
  <si>
    <t>آن که ازو جنوبی تر است و گوئی بر دو ساق است</t>
  </si>
  <si>
    <t>ه ا</t>
  </si>
  <si>
    <t>آن که بر دو پای است</t>
  </si>
  <si>
    <t>آن که بر دنبال است</t>
  </si>
  <si>
    <t>صرفه</t>
  </si>
  <si>
    <t>جنوبی شمالی</t>
  </si>
  <si>
    <t>مقدم آن دو کوکب که بالای پشت اند</t>
  </si>
  <si>
    <t>شمالی ترین آن سه3 کوکب که در زیر ناف اند</t>
  </si>
  <si>
    <t>اوسط ایشان</t>
  </si>
  <si>
    <t>جنوبی ترین ایشان</t>
  </si>
  <si>
    <t>جانب شمال از اشتباک سحابی که میان دنبال اسد و دنبال دب اکبر است</t>
  </si>
  <si>
    <t>صفیرة الاسد</t>
  </si>
  <si>
    <t>زاید متقدم از دو زاید جنوبی صفیره</t>
  </si>
  <si>
    <t>شملی</t>
  </si>
  <si>
    <r>
      <t xml:space="preserve">ثالث ایشان و آن بر شکل کل </t>
    </r>
    <r>
      <rPr>
        <sz val="11"/>
        <color rgb="FFFF0000"/>
        <rFont val="Calibri"/>
        <family val="2"/>
        <scheme val="minor"/>
      </rPr>
      <t>قسوس</t>
    </r>
    <r>
      <rPr>
        <sz val="11"/>
        <color theme="1"/>
        <rFont val="Calibri"/>
        <family val="2"/>
        <scheme val="minor"/>
      </rPr>
      <t xml:space="preserve"> است که صنفی از لبلاب است</t>
    </r>
  </si>
  <si>
    <t>جنوبی ترین آن دو کوکب که بر کنار تارک سراند</t>
  </si>
  <si>
    <t>د ر ح</t>
  </si>
  <si>
    <t>شمالی همان دو کوکب</t>
  </si>
  <si>
    <t>شمالی آن دو کوکب که تالی دو کوکب اول اند</t>
  </si>
  <si>
    <t>جنوبی همان دو کوکب</t>
  </si>
  <si>
    <t>آن که بر طرف جناح چپ جنوبی است</t>
  </si>
  <si>
    <t>من العوا</t>
  </si>
  <si>
    <t>متقدم آن چهار کوکب که بر جناح چپ اند</t>
  </si>
  <si>
    <t>تالی آخر هر چهار</t>
  </si>
  <si>
    <t>آن کوکب که بر پهلوی راست و زیر کمر است</t>
  </si>
  <si>
    <t>متقدم آن سه3 کوکب که بر ضلع راست شمالی اند</t>
  </si>
  <si>
    <t>جنوبی دو کوکب باقی</t>
  </si>
  <si>
    <t>ه رد</t>
  </si>
  <si>
    <t>شمالی آن دو کوکب و آنرا مقدمعطاف خوانند</t>
  </si>
  <si>
    <t>آن که بر دست چپ است او را سنبله خوانند</t>
  </si>
  <si>
    <t>سماک اعزل</t>
  </si>
  <si>
    <r>
      <t xml:space="preserve">آن که در زیر جای ازار است گوئی بر </t>
    </r>
    <r>
      <rPr>
        <sz val="11"/>
        <color rgb="FFFF0000"/>
        <rFont val="Calibri"/>
        <family val="2"/>
        <scheme val="minor"/>
      </rPr>
      <t>خرفقه راست</t>
    </r>
    <r>
      <rPr>
        <sz val="11"/>
        <color theme="1"/>
        <rFont val="Calibri"/>
        <family val="2"/>
        <scheme val="minor"/>
      </rPr>
      <t xml:space="preserve"> است</t>
    </r>
  </si>
  <si>
    <t>شمالی ضلع متقدم از آن ذو اربعة اضلاع که بر فخذ چپ است</t>
  </si>
  <si>
    <t>جنوبی ضلع متقدم از آن</t>
  </si>
  <si>
    <t>شمالی ضلع تالی از آن</t>
  </si>
  <si>
    <t>جنوبی ضلع تالی از آن</t>
  </si>
  <si>
    <t>آن که بر موخر فخذ راست است</t>
  </si>
  <si>
    <t>اوسط آن سه3 کوکب که بر گرداگرد پای راست است یعنی بر دامن</t>
  </si>
  <si>
    <t>من النصره</t>
  </si>
  <si>
    <t>جنوبی ترین همان کوکب</t>
  </si>
  <si>
    <t>آن که بر قدم چپ جنوبی است</t>
  </si>
  <si>
    <t>من البحور</t>
  </si>
  <si>
    <t>آن که بر قدم راست شمالی است</t>
  </si>
  <si>
    <t>متقدم از آن کواکب ثلثه که بر خط مستقیم اند زیر ساعد چپ</t>
  </si>
  <si>
    <t>اوسط همان سه کوکب</t>
  </si>
  <si>
    <t>مقدم آن سه کوکب که بر خط مستقیم اند زیر سماک اعزل</t>
  </si>
  <si>
    <r>
      <t xml:space="preserve">اوسط ایشان که بر </t>
    </r>
    <r>
      <rPr>
        <sz val="11"/>
        <rFont val="Calibri"/>
        <family val="2"/>
        <scheme val="minor"/>
      </rPr>
      <t>مضعف</t>
    </r>
    <r>
      <rPr>
        <sz val="11"/>
        <color theme="1"/>
        <rFont val="Calibri"/>
        <family val="2"/>
        <scheme val="minor"/>
      </rPr>
      <t xml:space="preserve"> است</t>
    </r>
  </si>
  <si>
    <t xml:space="preserve">تالی ایشان </t>
  </si>
  <si>
    <t>روشن ترین آن دو کوکب که بر زبانه جنوبی اند</t>
  </si>
  <si>
    <t>کفه جنوبی</t>
  </si>
  <si>
    <t>شمالی ترین و باریک ترین همان دو کوکب</t>
  </si>
  <si>
    <t>روشن ترین آن دو کوکب که بر طرف زبانه شمالی اند</t>
  </si>
  <si>
    <t>کفه شمالی</t>
  </si>
  <si>
    <t>مقدم همان دو کوکب که باریک است</t>
  </si>
  <si>
    <t>آن که بر میانه زبان جنوبی است</t>
  </si>
  <si>
    <t>آن که بر آن مقدم است و بعینه بر همین زبانه است</t>
  </si>
  <si>
    <t>آن که بر میانه زبانه شمالی است</t>
  </si>
  <si>
    <t>آن که تالی اوست و بر همین زبانه است</t>
  </si>
  <si>
    <t>من الاکلیل</t>
  </si>
  <si>
    <t>متقدم آن سه3 کوکب که از زبانه شمالی اند</t>
  </si>
  <si>
    <t>جنوبی دو کوکب باقی از آن سه3</t>
  </si>
  <si>
    <t>تالی ان سه3 کوکب که میان دو زبانه اند</t>
  </si>
  <si>
    <t>شمالی دو کوکب باقی که متقدم اند</t>
  </si>
  <si>
    <t>جنوبی همان دوکوکب</t>
  </si>
  <si>
    <t>متقدم آن سه کوکب که از زبانه جنوبی جنوبی تراند</t>
  </si>
  <si>
    <t>شمالی ترین آن دوکوکب باقی که تالی اند</t>
  </si>
  <si>
    <t>جنوبی ترین همان دوکوکب</t>
  </si>
  <si>
    <t>شمالی ترین آن سه کوکب روشن که بر چشم اند</t>
  </si>
  <si>
    <t>خ س ل</t>
  </si>
  <si>
    <t>جنوبی همان سه کوکب</t>
  </si>
  <si>
    <t>آن که جنوبی تر است و بر یکپای است</t>
  </si>
  <si>
    <t>شمالی آن دو کوکب که نزدیک  و مابعد کوکب روشن اند در شمال</t>
  </si>
  <si>
    <t>جنب العقرب</t>
  </si>
  <si>
    <t>مقدم آن کوکب روشن که بر آن طرف است</t>
  </si>
  <si>
    <t>نباط</t>
  </si>
  <si>
    <t>اوسط همان کوکب که بزرگ و سرخ است</t>
  </si>
  <si>
    <t>قلب العقرب</t>
  </si>
  <si>
    <t>خ س ی</t>
  </si>
  <si>
    <r>
      <t xml:space="preserve">متقدم آن دو کوکب که در پیش آن کوکب اند و گوئی </t>
    </r>
    <r>
      <rPr>
        <sz val="11"/>
        <color rgb="FFFF0000"/>
        <rFont val="Calibri"/>
        <family val="2"/>
        <scheme val="minor"/>
      </rPr>
      <t>پاپرهای</t>
    </r>
    <r>
      <rPr>
        <sz val="11"/>
        <color theme="1"/>
        <rFont val="Calibri"/>
        <family val="2"/>
        <scheme val="minor"/>
      </rPr>
      <t xml:space="preserve"> واپسین اند</t>
    </r>
  </si>
  <si>
    <t>آن که بر خرزه اول است از جانب تن</t>
  </si>
  <si>
    <t>آن که بعد اوست بر خرزه دوم</t>
  </si>
  <si>
    <t>آن که بعد اوست بر خرزه سیوم</t>
  </si>
  <si>
    <t>آن که بعد از ایشان است بر خرزه چهارم</t>
  </si>
  <si>
    <t>آن که بعد از دست بر خرزه پنجم است</t>
  </si>
  <si>
    <t xml:space="preserve">آن که بر خرزه ششم </t>
  </si>
  <si>
    <t>آن که بر خرزه هفتم است که نیش بر اوست</t>
  </si>
  <si>
    <t>تالی آن دو کوکب که بر نیش اند</t>
  </si>
  <si>
    <t>شوله</t>
  </si>
  <si>
    <t>مقدم همان دو کوکب</t>
  </si>
  <si>
    <t>کوکب سحابی که تالی نیش عقرب است</t>
  </si>
  <si>
    <t>تالی شوله</t>
  </si>
  <si>
    <t>خ ر</t>
  </si>
  <si>
    <t>مقدم آن دو کوکب که از نیش شمالی اند</t>
  </si>
  <si>
    <t>آن کوکب که بر پیکان تیر است</t>
  </si>
  <si>
    <t>س خ</t>
  </si>
  <si>
    <t>آن که بر معصم دست چپ است</t>
  </si>
  <si>
    <t>آن که بر جانب جنوبی کمان است</t>
  </si>
  <si>
    <t>جنوبی ترین آن دو کوکب که بر جانب شمال کمان اند</t>
  </si>
  <si>
    <t>شمالی ترین همان دو کوکب که بر طرف کمان است</t>
  </si>
  <si>
    <t>آن که بر منکب است</t>
  </si>
  <si>
    <t>آن که متقدم است و بر سوفار تیر است</t>
  </si>
  <si>
    <t>آن سحابی مضعف که بر چشم رامی است</t>
  </si>
  <si>
    <t>عین الرامی</t>
  </si>
  <si>
    <t>متقدم آن سه3 کوکب که بر سرند</t>
  </si>
  <si>
    <r>
      <t xml:space="preserve">جنوبی آن سه3 کوکب بر </t>
    </r>
    <r>
      <rPr>
        <sz val="11"/>
        <rFont val="Calibri"/>
        <family val="2"/>
        <scheme val="minor"/>
      </rPr>
      <t>ذوابه</t>
    </r>
    <r>
      <rPr>
        <sz val="11"/>
        <color theme="1"/>
        <rFont val="Calibri"/>
        <family val="2"/>
        <scheme val="minor"/>
      </rPr>
      <t xml:space="preserve"> شمالی اند از عصابه</t>
    </r>
  </si>
  <si>
    <t>س ح</t>
  </si>
  <si>
    <t>شمالی همان سه3 کوکب</t>
  </si>
  <si>
    <t>کوکب باریک که تالی آن کوکب است</t>
  </si>
  <si>
    <t>شمالی آن دو کوکب که بر ذوابه جنوبی اند</t>
  </si>
  <si>
    <t>آن که میان دو منکب است از آن سه کوکب که بر پشت اند</t>
  </si>
  <si>
    <t>اوسط همان سه3 کوکب و آن بر کتف است</t>
  </si>
  <si>
    <t>تالی آن سه کوکب پشت و آن زیر بغل است</t>
  </si>
  <si>
    <t>آن که بر مقدم کعب چپ است</t>
  </si>
  <si>
    <t>عرقوب الامی</t>
  </si>
  <si>
    <t>آن که بر رکبه پای چپ است</t>
  </si>
  <si>
    <t>رکبة الرامی</t>
  </si>
  <si>
    <t>ی س ل</t>
  </si>
  <si>
    <t>آن که بر کعب راست مقدم است</t>
  </si>
  <si>
    <t>آن که بر فخذ چپ است</t>
  </si>
  <si>
    <t>آن که بر ساق راست موخر است</t>
  </si>
  <si>
    <t>مقدم ضلع شمالی از آن چهار کوکب که بر بن دنبال است</t>
  </si>
  <si>
    <t>تالی ضلع جنوبی از همان چهار کوکب</t>
  </si>
  <si>
    <t>مقدم ضلع جنوبی از همان چهار کوکب</t>
  </si>
  <si>
    <t>کوکب شمالی از آن سه3 کوکب که بر قرن تالی اند</t>
  </si>
  <si>
    <t>سعد ذابح</t>
  </si>
  <si>
    <t>ه س ل</t>
  </si>
  <si>
    <t>ه س ح</t>
  </si>
  <si>
    <t>آن که بر طرف قرن مقدم است</t>
  </si>
  <si>
    <t>جنوبی ترین آن سه3 کوکب که بر حطم اند</t>
  </si>
  <si>
    <r>
      <t xml:space="preserve">ل س </t>
    </r>
    <r>
      <rPr>
        <sz val="11"/>
        <color rgb="FFFF0000"/>
        <rFont val="Calibri"/>
        <family val="2"/>
        <scheme val="minor"/>
      </rPr>
      <t>ح</t>
    </r>
  </si>
  <si>
    <t>مقدم از دو کوکب باقی از همان سه3 کوکب</t>
  </si>
  <si>
    <t>ل س ح</t>
  </si>
  <si>
    <t>تالی دو کوکب باقی</t>
  </si>
  <si>
    <t>مقدم آن سه3 کوکب که در زیر چشم اند</t>
  </si>
  <si>
    <t>ل س ر</t>
  </si>
  <si>
    <t>شمالی ترین دو کوکب که بر گردن اند</t>
  </si>
  <si>
    <t>آن که در زیر رکبه راست است</t>
  </si>
  <si>
    <t xml:space="preserve">جنوبی </t>
  </si>
  <si>
    <t>متقدم آن دو دو کوکب مقارن که در زیر شکم اند</t>
  </si>
  <si>
    <t>تالی آن سه3 کوکب که برمیان بدن اند</t>
  </si>
  <si>
    <t>کوکب باریک تر از آن دو کوکب باقی که متقدم اند</t>
  </si>
  <si>
    <t>متقدم آن دو کوکب که بر پشت اند</t>
  </si>
  <si>
    <t>منطقه</t>
  </si>
  <si>
    <t>متقدم آن دو کوکب که بر شوکه جنوبی اند</t>
  </si>
  <si>
    <t>متقدم آن دو کوکب که بر اصل دنبال اند</t>
  </si>
  <si>
    <t>ذنب الجدی</t>
  </si>
  <si>
    <t>متقدم آن چهار کوکب که بر جانب شمال دنبال اند</t>
  </si>
  <si>
    <t>جنوبی ترین سه کوکب باقی</t>
  </si>
  <si>
    <t>شمالی ترین همان سه کوکب</t>
  </si>
  <si>
    <t>سعد السعود</t>
  </si>
  <si>
    <t>آن کوکب که بر سرساکت الماء است</t>
  </si>
  <si>
    <t>روشن ترین آن دو کوکب که بر منکب راست اند</t>
  </si>
  <si>
    <t>باریکترین همان دو کوکب که در زیر اوست</t>
  </si>
  <si>
    <r>
      <t xml:space="preserve">آن که در </t>
    </r>
    <r>
      <rPr>
        <sz val="11"/>
        <rFont val="Calibri"/>
        <family val="2"/>
        <scheme val="minor"/>
      </rPr>
      <t>شیب</t>
    </r>
    <r>
      <rPr>
        <sz val="11"/>
        <color theme="1"/>
        <rFont val="Calibri"/>
        <family val="2"/>
        <scheme val="minor"/>
      </rPr>
      <t xml:space="preserve"> اوست بر پشت گوئی که در زیر بغل است</t>
    </r>
  </si>
  <si>
    <t>تالی آن سه3 کوکب که بر دست چپ اند بر جامه</t>
  </si>
  <si>
    <t>سعد</t>
  </si>
  <si>
    <t>بلع</t>
  </si>
  <si>
    <t xml:space="preserve">متقدم همان سه3 کوکب </t>
  </si>
  <si>
    <t>آن که بر ذراع دست راست است</t>
  </si>
  <si>
    <t>اجنبیه</t>
  </si>
  <si>
    <t>شمالی ترین آن سه3 کوکب که بر کتف دست راست است</t>
  </si>
  <si>
    <t>متقدم دو کوکب باقی از همان سه3</t>
  </si>
  <si>
    <t>متقدم از آن دو کوکب مقارن که بر بن فخذ راست اند</t>
  </si>
  <si>
    <t>آن که بر خرفقه راست اند</t>
  </si>
  <si>
    <t>جنوبی آن دو کوکب که بر خرفقه چپ اند</t>
  </si>
  <si>
    <t>جنوبی ترین آن دو کوکب که بر ساق راست اند</t>
  </si>
  <si>
    <t>شمالی ترین همان دو کوکب و آن در مابض است</t>
  </si>
  <si>
    <t xml:space="preserve">آن که موخر فخذ چپ است </t>
  </si>
  <si>
    <t>جنوبی ترین آن دو کوکب که بر ساق چپ است</t>
  </si>
  <si>
    <t>شمالی ترین همان دو کوکب و آن بر رکبه راست است</t>
  </si>
  <si>
    <t>کوکب اول از آنچه بران آب است که از دست راست میریزد و ابتدا از جانب راست کند</t>
  </si>
  <si>
    <t>ل س ی</t>
  </si>
  <si>
    <t>آن که تابع اوست بر جنوب کوکب اول</t>
  </si>
  <si>
    <t>آن که تابع اوست دور از خمی که بر آب افتاده است</t>
  </si>
  <si>
    <t>آنکه تابع این کوکب است</t>
  </si>
  <si>
    <t>آن که بر خم جنوبی است از این کوکب</t>
  </si>
  <si>
    <t>شمالی آن دو کوکب که بر جنوب این کوکب اند</t>
  </si>
  <si>
    <t>آن کوکب منفرد که دور است از انها در جانب جنوب</t>
  </si>
  <si>
    <t>مقدم آن دو کوکب مقارن که بعد ازواند</t>
  </si>
  <si>
    <t>شمالی ترین آن سه3 کوکب که بر خمی اند تابع ایشان</t>
  </si>
  <si>
    <t xml:space="preserve">شمالی آن سه3 کوکب که بعد سه3 کوکب است و او بر همان مثال </t>
  </si>
  <si>
    <t>مقدم آن کوکب که بر خمی باقی است</t>
  </si>
  <si>
    <t>جنوبی ترین دو کوکب باقی از همان سه3 کوکب</t>
  </si>
  <si>
    <t>آنکه بر آخر آب است و بر دهن ماهی جنوبی است</t>
  </si>
  <si>
    <t>فم الحوت الجنوبی</t>
  </si>
  <si>
    <t>مقدم آن سه کوکب که تالی سه3 کوکب اول اند</t>
  </si>
  <si>
    <t>شمالی ترین دو کوکب باقی از همان سه3 کوکب</t>
  </si>
  <si>
    <t>آن کوکب که بر دهن سمکه مقدم است</t>
  </si>
  <si>
    <t>جنوبی ترین آن دو کوکب که بر میان سر اند</t>
  </si>
  <si>
    <t>د س ل</t>
  </si>
  <si>
    <t>ل س د</t>
  </si>
  <si>
    <t>متقدم همان دو کوکب که بر پشت اند</t>
  </si>
  <si>
    <t>متقدم آن دو کوکب که بر شکم اند</t>
  </si>
  <si>
    <t>آن که بر دنبال همین سمکه است</t>
  </si>
  <si>
    <t>اول کواکب که بر ابتدای خیط اند چون از جانب دنبال آغاز کنند</t>
  </si>
  <si>
    <t>متقدم آن سه3 کوکب که بعد از ایشانند</t>
  </si>
  <si>
    <t>شمالی ترین آن دو کوکب که در زیر این دو کوکب اند برعطفه</t>
  </si>
  <si>
    <t>متقدم آن سه3 کوکب که بعد از عطفه اند</t>
  </si>
  <si>
    <t>آن که بر موضع عقده هر دو خط است</t>
  </si>
  <si>
    <t>اول خط شمالی چون ابتدا از موضوع عقده کنند</t>
  </si>
  <si>
    <t>جنوبی ترین آن سه کوکب متوالی که بعد ازوست</t>
  </si>
  <si>
    <r>
      <t xml:space="preserve">شمالی ترین همان سه کوکب که او </t>
    </r>
    <r>
      <rPr>
        <sz val="11"/>
        <color rgb="FFFF0000"/>
        <rFont val="Calibri"/>
        <family val="2"/>
        <scheme val="minor"/>
      </rPr>
      <t>بر</t>
    </r>
    <r>
      <rPr>
        <sz val="11"/>
        <color theme="1"/>
        <rFont val="Calibri"/>
        <family val="2"/>
        <scheme val="minor"/>
      </rPr>
      <t>طرف دنبال اند</t>
    </r>
  </si>
  <si>
    <t>شمالی ترین آن دو کوکب که بر دهن سمکه تالی اند</t>
  </si>
  <si>
    <t>ی س ه</t>
  </si>
  <si>
    <t>خ س د</t>
  </si>
  <si>
    <t>تالی آن سه3 کوکب خرد که بر سراند</t>
  </si>
  <si>
    <t>مقدم همان سه3 کوکب</t>
  </si>
  <si>
    <r>
      <t xml:space="preserve">متقدم آن سه کوکب که بر شوکه اند که بر پشت </t>
    </r>
    <r>
      <rPr>
        <sz val="11"/>
        <color rgb="FFFF0000"/>
        <rFont val="Calibri"/>
        <family val="2"/>
        <scheme val="minor"/>
      </rPr>
      <t>است</t>
    </r>
    <r>
      <rPr>
        <sz val="11"/>
        <color theme="1"/>
        <rFont val="Calibri"/>
        <family val="2"/>
        <scheme val="minor"/>
      </rPr>
      <t xml:space="preserve"> مرأة مسلسله از مرفق</t>
    </r>
  </si>
  <si>
    <t>شمالی ترین آن دو کوکب که بر شکم اند</t>
  </si>
  <si>
    <t>آنکه بر شوکه تالی است نزدیک دنبال</t>
  </si>
  <si>
    <t>متقدم دو کوکب شمالی تر از مربعی که در زیر سمکه متقدم اند</t>
  </si>
  <si>
    <t>متقدم دو کوکب که بر ضلع جنوبی اند</t>
  </si>
  <si>
    <t>صور جنوبی</t>
  </si>
  <si>
    <t>قیطُس</t>
  </si>
  <si>
    <t>آن کوکب که بر طرف منخر است</t>
  </si>
  <si>
    <t>کف الجسدماء</t>
  </si>
  <si>
    <r>
      <t xml:space="preserve">تالی آن سه3 کوکب که بر </t>
    </r>
    <r>
      <rPr>
        <sz val="11"/>
        <rFont val="Calibri"/>
        <family val="2"/>
        <scheme val="minor"/>
      </rPr>
      <t>خطم</t>
    </r>
    <r>
      <rPr>
        <sz val="11"/>
        <color theme="1"/>
        <rFont val="Calibri"/>
        <family val="2"/>
        <scheme val="minor"/>
      </rPr>
      <t xml:space="preserve"> اند و او بر طرف لحیه است</t>
    </r>
  </si>
  <si>
    <t>اوسط آنها و آن بر میان دهن است</t>
  </si>
  <si>
    <t>متقدم آنها و آن برزخ است</t>
  </si>
  <si>
    <t>آن که برابرووچشم است</t>
  </si>
  <si>
    <t>آن که ازو شمالی تر است و کوهی که بر مو است</t>
  </si>
  <si>
    <t>متقدم او و کوهی که بر پس است</t>
  </si>
  <si>
    <t>شمالی ضلع متقدم از مربعی که بر سینه است</t>
  </si>
  <si>
    <t>جنوبی ضلع متقدم</t>
  </si>
  <si>
    <t>شمالی ضلع تالی</t>
  </si>
  <si>
    <t>جنوبی ضلع تالی</t>
  </si>
  <si>
    <t>اوسط همان سه3 کوکب که بر بدن اند</t>
  </si>
  <si>
    <t>النعایم</t>
  </si>
  <si>
    <t>جنوبی همان سه3 کوکب</t>
  </si>
  <si>
    <t>تالی آن دو کوکب که نزدیک اصل دنبال است</t>
  </si>
  <si>
    <t>متقدم آن دو کوکب</t>
  </si>
  <si>
    <t>شمالی ضلع تالی از مربع که بر اصل دنبال است</t>
  </si>
  <si>
    <t xml:space="preserve">شمالی ضلع متقدم </t>
  </si>
  <si>
    <t xml:space="preserve">جنوبی ضلع متقدم </t>
  </si>
  <si>
    <t>آنکه بر دو طرف شعبه شمالی است از دو کوکب که بر دو طرف دو شعبه دنبال است</t>
  </si>
  <si>
    <t xml:space="preserve">ذنب قیطُس شمالی </t>
  </si>
  <si>
    <t>آن که بر دنبال جنوبی است</t>
  </si>
  <si>
    <t>ذنب قیطُس جنوبی</t>
  </si>
  <si>
    <t>جبار</t>
  </si>
  <si>
    <r>
      <t>آن سحابی که بر سر جبار است آن سه 3 کوکب متقارب است مانند نقطه</t>
    </r>
    <r>
      <rPr>
        <sz val="11"/>
        <color rgb="FFFF0000"/>
        <rFont val="Calibri"/>
        <family val="2"/>
        <scheme val="minor"/>
      </rPr>
      <t xml:space="preserve">  ثا</t>
    </r>
    <r>
      <rPr>
        <sz val="11"/>
        <color theme="1"/>
        <rFont val="Calibri"/>
        <family val="2"/>
        <scheme val="minor"/>
      </rPr>
      <t xml:space="preserve"> </t>
    </r>
  </si>
  <si>
    <t>راس الجبار(حقعه)</t>
  </si>
  <si>
    <r>
      <t xml:space="preserve">ی ل </t>
    </r>
    <r>
      <rPr>
        <sz val="11"/>
        <rFont val="Calibri"/>
        <family val="2"/>
        <scheme val="minor"/>
      </rPr>
      <t>خ</t>
    </r>
  </si>
  <si>
    <t>کوکب روشن که بر منکب یمنی است و بسرخی میزند</t>
  </si>
  <si>
    <t>منکب الجوزا</t>
  </si>
  <si>
    <t>آن که بر منکب ایسر است</t>
  </si>
  <si>
    <r>
      <t>مرزم النا</t>
    </r>
    <r>
      <rPr>
        <sz val="11"/>
        <color rgb="FFFF0000"/>
        <rFont val="Calibri"/>
        <family val="2"/>
        <scheme val="minor"/>
      </rPr>
      <t>قه</t>
    </r>
  </si>
  <si>
    <t>ی ل</t>
  </si>
  <si>
    <t>تالی آن که در شیب اوست</t>
  </si>
  <si>
    <t>آن که بر مرفق دست راست است</t>
  </si>
  <si>
    <t>آن که بر صاعد راست است</t>
  </si>
  <si>
    <t>کوکب مضعف که تالی ضلع جنوبیست از مربع که بر کف دست راست است</t>
  </si>
  <si>
    <t>متقدم ضلع جنوبی از همان مربع</t>
  </si>
  <si>
    <t>تالی ضلع شمالی از همان مربع</t>
  </si>
  <si>
    <t>متقدم ضلع شمالی از همان مربع</t>
  </si>
  <si>
    <t>متقدم دو کوکب که بر عصا زده اند</t>
  </si>
  <si>
    <t>تالی آن چهار کوکب که بر خط مستقیم اند برپشت</t>
  </si>
  <si>
    <t>متقدم این تالی</t>
  </si>
  <si>
    <t>آن که بر بن متقدم متقدم است</t>
  </si>
  <si>
    <t>تالی آن چهار کوکب که متقدم همه است</t>
  </si>
  <si>
    <t>تاج الجوزاء</t>
  </si>
  <si>
    <t>شمالی ترین نُه کوکب مقوس که بر آستین است</t>
  </si>
  <si>
    <t>دوم آن نُه کوکب که شمالی تراست</t>
  </si>
  <si>
    <t>سیوم آن نُه کوکب</t>
  </si>
  <si>
    <t>چهارم آن نُه کوکب</t>
  </si>
  <si>
    <t>پنجم آن نُه کوکب</t>
  </si>
  <si>
    <t>ششم آن نُه کوکب</t>
  </si>
  <si>
    <t>هفتم آن نُه کوکب</t>
  </si>
  <si>
    <t>هشتم آن نُه کوکب که چون از شمالی ترین شمرند</t>
  </si>
  <si>
    <t>باقی آن نُه کوکب مقوس و او جنوبی ترین همه است</t>
  </si>
  <si>
    <t>متقدم آن سه3 کوکب که بر منطقه اند</t>
  </si>
  <si>
    <t>آنکه نزدیک مقبض شمشیراند</t>
  </si>
  <si>
    <t>شمالی آن سه3 کوکب مجتمع که بر طرف شمشیراند</t>
  </si>
  <si>
    <t>تالی آن دو کوکب که در شیب طرف شمشیرند</t>
  </si>
  <si>
    <r>
      <t xml:space="preserve">آن دو کوکب روشن که بر پای چپ است و مشترک باطراف </t>
    </r>
    <r>
      <rPr>
        <sz val="11"/>
        <color rgb="FFFF0000"/>
        <rFont val="Calibri"/>
        <family val="2"/>
        <scheme val="minor"/>
      </rPr>
      <t>آب نهر</t>
    </r>
  </si>
  <si>
    <t>رجل الجوزا الیسری</t>
  </si>
  <si>
    <t>آن که ازو شمالی تر است و بالای کعب است</t>
  </si>
  <si>
    <t>آن که در زیر پاشنه چپ است از خارج</t>
  </si>
  <si>
    <t>آن که در زیر رُکبه راست است که تالی است</t>
  </si>
  <si>
    <t>رجل الجوزا الیمنی</t>
  </si>
  <si>
    <t>نهر</t>
  </si>
  <si>
    <t>آن کوکب که بعد ازان کوکب است که بر قدم جبار است بر مبداء نهر</t>
  </si>
  <si>
    <t>شمالی ترین آن که مشترک ساق جبار است</t>
  </si>
  <si>
    <t>تالی آن دو کوکب متوالی که بعد ازان اند</t>
  </si>
  <si>
    <t>تالی آن دو کوکب متوالی که بعد دو اول اند</t>
  </si>
  <si>
    <t>تالی آن سه کوکب که بعد ازانست</t>
  </si>
  <si>
    <t>متقدم همان سه3 کوکب</t>
  </si>
  <si>
    <t>تالی چهار کواکب که بر مسافتی واقع اند تابع ایشان</t>
  </si>
  <si>
    <t>مقدم آن</t>
  </si>
  <si>
    <t>متقدم این مقدم</t>
  </si>
  <si>
    <t>متقدم هر چهار کوکب مذکور</t>
  </si>
  <si>
    <t>تالی هر چهار کوکب که بر مثال این چهاراند در مسافت که بعد ازان است</t>
  </si>
  <si>
    <t>متقدم آن</t>
  </si>
  <si>
    <t>متقدم این متقدم</t>
  </si>
  <si>
    <t>متقدم هر چهار</t>
  </si>
  <si>
    <t>آنکه بر بازگشت نهر است و آن مماس سینه قیطس است</t>
  </si>
  <si>
    <t>تالی این کوکب</t>
  </si>
  <si>
    <t>متقدم سه3 کوکب متوالی</t>
  </si>
  <si>
    <t>شمالی از ضلع مقدم آن چهار کوکب که بر شکل منحرف اند</t>
  </si>
  <si>
    <t>جنوبی همین ضلع مقدم</t>
  </si>
  <si>
    <t>مقدم ضلع تالی همان منحرف</t>
  </si>
  <si>
    <t>تالی ضلع آن و او باقی است</t>
  </si>
  <si>
    <t>شمالی آن دو کوکب که مقارن کواکب مذکوره اند جانب مشرق</t>
  </si>
  <si>
    <t>تالی آن دو کوکب متوالی که بعد از موضع بازگشت اند</t>
  </si>
  <si>
    <t>تالی آن سه کوکب متوالی که بع از مو</t>
  </si>
  <si>
    <t>آن کوکب روشن که برآخر النهر است</t>
  </si>
  <si>
    <t>آخر النهر</t>
  </si>
  <si>
    <t>ارنب</t>
  </si>
  <si>
    <t>کوکب شمالی از ضلع متقدم مربعی که بر دو گوش است</t>
  </si>
  <si>
    <t>جنوبی آن ضلع متقدم</t>
  </si>
  <si>
    <t>شمالی از ضلع تالی همان مربع</t>
  </si>
  <si>
    <t>آن که بر موضع زنخ است</t>
  </si>
  <si>
    <t>آن که بر دست چپ است که در پیش نهاده است</t>
  </si>
  <si>
    <t>آن که در وسط بدن است</t>
  </si>
  <si>
    <r>
      <rPr>
        <sz val="11"/>
        <color rgb="FFFF0000"/>
        <rFont val="Calibri"/>
        <family val="2"/>
        <scheme val="minor"/>
      </rPr>
      <t>غرمین</t>
    </r>
    <r>
      <rPr>
        <sz val="11"/>
        <color theme="1"/>
        <rFont val="Calibri"/>
        <family val="2"/>
        <scheme val="minor"/>
      </rPr>
      <t xml:space="preserve"> الجوزا</t>
    </r>
  </si>
  <si>
    <t>آن که در زیر شکم است</t>
  </si>
  <si>
    <t>جنوبی ترین آن دو کوکب که بر دو پای اند</t>
  </si>
  <si>
    <r>
      <t xml:space="preserve">آن که بر قطن است میان دو </t>
    </r>
    <r>
      <rPr>
        <sz val="11"/>
        <rFont val="Calibri"/>
        <family val="2"/>
        <scheme val="minor"/>
      </rPr>
      <t>سرون</t>
    </r>
  </si>
  <si>
    <t>آن که بر طرف دنبال است</t>
  </si>
  <si>
    <t>کلب اکبر</t>
  </si>
  <si>
    <t>آن کوکب که بر دهن است و او در غایت روشنی است</t>
  </si>
  <si>
    <t>شعری یمانی</t>
  </si>
  <si>
    <t>آن کوکب که بر دو گوش است</t>
  </si>
  <si>
    <t>شمالی ترین آن دو کوکب که بر گردن است</t>
  </si>
  <si>
    <t>آنکه بر طرف پای پیشین است</t>
  </si>
  <si>
    <t>مرزم</t>
  </si>
  <si>
    <t>متقدم آن دو کوکب که بر رکبه چپ اند</t>
  </si>
  <si>
    <t>تالی آن دو کوکب که بر منکب چپ اند</t>
  </si>
  <si>
    <t>آن که فروتر از شکم است در موضع میان فخذ</t>
  </si>
  <si>
    <t>آن که بر مابض پای راست است</t>
  </si>
  <si>
    <t>آن که بر طرف پای چپ است</t>
  </si>
  <si>
    <t>آن که در جانب شمال سر کلب است</t>
  </si>
  <si>
    <t>جنوبی ترین چهار کوکب که بر خط مستقیم اند بزیر</t>
  </si>
  <si>
    <t>آنکه ازین شمالی شمالی تر است</t>
  </si>
  <si>
    <t>آنکه بعد ازوست و از همه شمالی تر است</t>
  </si>
  <si>
    <t>متقدم آن سه3 کوکب که گوئی بر خط مستقیم است در جانب مشرق</t>
  </si>
  <si>
    <t>تالی آن دو کوکب که در زیر این کوکب اند</t>
  </si>
  <si>
    <t>متقدم ایشان</t>
  </si>
  <si>
    <t>باقی کواکب که از همه جنوبی تر است</t>
  </si>
  <si>
    <t>کلب اصغر</t>
  </si>
  <si>
    <t>آن کوکب که بر گردن است</t>
  </si>
  <si>
    <t>آن که بر موخر صورت است</t>
  </si>
  <si>
    <t>شعری شامی</t>
  </si>
  <si>
    <t>سفینه</t>
  </si>
  <si>
    <t>متقدم آن دو کوکب که بر طرف سفینه است</t>
  </si>
  <si>
    <r>
      <t xml:space="preserve">شمالی ترین آن دو کوکب متقارب که بالای پیش </t>
    </r>
    <r>
      <rPr>
        <sz val="11"/>
        <color rgb="FFFF0000"/>
        <rFont val="Calibri"/>
        <family val="2"/>
        <scheme val="minor"/>
      </rPr>
      <t>کوثل</t>
    </r>
    <r>
      <rPr>
        <sz val="11"/>
        <color theme="1"/>
        <rFont val="Calibri"/>
        <family val="2"/>
        <scheme val="minor"/>
      </rPr>
      <t xml:space="preserve"> است</t>
    </r>
  </si>
  <si>
    <t>آن که متقدم است برآن دو کوکب</t>
  </si>
  <si>
    <t>آن کوکب روشن که بر وسط سر است</t>
  </si>
  <si>
    <t>متقدم ازان سه3 کوکب که در زیر سراند</t>
  </si>
  <si>
    <t>تالی آن هر سه3</t>
  </si>
  <si>
    <t>اوسط همان سه3</t>
  </si>
  <si>
    <r>
      <t xml:space="preserve">آن که بر گردن </t>
    </r>
    <r>
      <rPr>
        <sz val="11"/>
        <rFont val="Calibri"/>
        <family val="2"/>
        <scheme val="minor"/>
      </rPr>
      <t>کوثل(بن کشتی)</t>
    </r>
    <r>
      <rPr>
        <sz val="11"/>
        <color theme="1"/>
        <rFont val="Calibri"/>
        <family val="2"/>
        <scheme val="minor"/>
      </rPr>
      <t xml:space="preserve"> است</t>
    </r>
  </si>
  <si>
    <t>شمالی ترین آن دو کوکب که بر چوب بنیاد کوثل واقع اند</t>
  </si>
  <si>
    <t>شمالی ترین آن کوکب که بر فرس کو ثل اند</t>
  </si>
  <si>
    <t>متقدم سه3 کوکب که تابع اویند</t>
  </si>
  <si>
    <t>آن کوکب روشن که تالی اوست و هم بر فرس است</t>
  </si>
  <si>
    <t>متقدم دو کوکب باریک که زیر کوکب روشن است</t>
  </si>
  <si>
    <t>متقدم دو کوکب که بالای کوکب روشن مدکور است</t>
  </si>
  <si>
    <t>شمالی سه3 کوکب که بر بنیان اند و گوئی که بردقل است</t>
  </si>
  <si>
    <t>شمالی ترین دو کوکب متقارن که زیر این سه3 کوکب اند</t>
  </si>
  <si>
    <t>جنوبی ترین آن دو کوکب که بر میان دقل اند</t>
  </si>
  <si>
    <t>متقدم آن دو کوکب که بر طرف دقل اند</t>
  </si>
  <si>
    <t>آن که زیر سر است از توالی سه3 گانه</t>
  </si>
  <si>
    <t>آن که بر مقطع قدس است</t>
  </si>
  <si>
    <t>آن که میان دو سکان است بران جوب که بنیاد کشتی باشد</t>
  </si>
  <si>
    <t>آن کوکب باریک که تالی اوست</t>
  </si>
  <si>
    <t>آن کوکب روشن که تالی اوست در زیرعرش</t>
  </si>
  <si>
    <r>
      <t>آن که بر جنوبی اوست و گویا بر چوب بنیاد سفینه است</t>
    </r>
    <r>
      <rPr>
        <sz val="11"/>
        <color rgb="FFFF0000"/>
        <rFont val="Calibri"/>
        <family val="2"/>
        <scheme val="minor"/>
      </rPr>
      <t xml:space="preserve"> ورو .... است</t>
    </r>
  </si>
  <si>
    <t>متقدم آن سه3 کوکب که تالی اند</t>
  </si>
  <si>
    <r>
      <t xml:space="preserve">متقدم آن دو کوکب که تالی اویند بر مقطع </t>
    </r>
    <r>
      <rPr>
        <sz val="11"/>
        <color rgb="FFFF0000"/>
        <rFont val="Calibri"/>
        <family val="2"/>
        <scheme val="minor"/>
      </rPr>
      <t>عرش</t>
    </r>
  </si>
  <si>
    <t>متقدم آن دو کوکب که بر سگان شمالی مقدم است</t>
  </si>
  <si>
    <t>متقدم آن دو کوکب که بر سگان تالی اند</t>
  </si>
  <si>
    <t>سهیل یمانی</t>
  </si>
  <si>
    <t>شجاع</t>
  </si>
  <si>
    <t>جنوبی ترین دو کوکب متقدم ازان پنج که بر سراند و این بر منخر است</t>
  </si>
  <si>
    <t>شمالی ترین همان دو کوکب و آن بالای چشم است</t>
  </si>
  <si>
    <t>شمالی ترین آن دو کوکب که تالی اند و گوئی بر کفچه اند</t>
  </si>
  <si>
    <r>
      <t>جنوبی ترین همان دو کوکب و گوئی بر جای مو</t>
    </r>
    <r>
      <rPr>
        <sz val="11"/>
        <color rgb="FFFF0000"/>
        <rFont val="Calibri"/>
        <family val="2"/>
        <scheme val="minor"/>
      </rPr>
      <t>ی</t>
    </r>
    <r>
      <rPr>
        <sz val="11"/>
        <color theme="1"/>
        <rFont val="Calibri"/>
        <family val="2"/>
        <scheme val="minor"/>
      </rPr>
      <t xml:space="preserve"> است</t>
    </r>
  </si>
  <si>
    <t>تالی آن چهار کوکب و گوئی که بر زنخ است</t>
  </si>
  <si>
    <t>متقدم دو کوکب که تابع ایشان اند و بر بن گردن است</t>
  </si>
  <si>
    <t>اوسط سه3 کوکب تابع ایشان که بر میان گردن اند</t>
  </si>
  <si>
    <t xml:space="preserve">تالی آن سه3 کوکب </t>
  </si>
  <si>
    <t>آن کوکب باریک شمالی از دو کوکب</t>
  </si>
  <si>
    <t>کوکب روشن از همان دو کوکب</t>
  </si>
  <si>
    <t>فرد الشجاع</t>
  </si>
  <si>
    <t>متقدم آن سه3 کوکب تالی که بعد ازعطفه اند</t>
  </si>
  <si>
    <r>
      <t xml:space="preserve">متقدم آن سه3 کوکب که بعد از </t>
    </r>
    <r>
      <rPr>
        <sz val="11"/>
        <color rgb="FFFF0000"/>
        <rFont val="Calibri"/>
        <family val="2"/>
        <scheme val="minor"/>
      </rPr>
      <t>ایشان</t>
    </r>
    <r>
      <rPr>
        <sz val="11"/>
        <color theme="1"/>
        <rFont val="Calibri"/>
        <family val="2"/>
        <scheme val="minor"/>
      </rPr>
      <t xml:space="preserve"> بر خطی مستقیم واقع اند</t>
    </r>
  </si>
  <si>
    <t>شمالی آن دو کوکب که بر قاعده باطیه است</t>
  </si>
  <si>
    <t>متقدم آن سه3 کوکب که بعد از آن هستند بر شکل مثلثی</t>
  </si>
  <si>
    <t>اوسط همان سه3 کوکب و او از همه جنوبی تر است</t>
  </si>
  <si>
    <t>آن که بعد ازغراب بر بن دنبال است</t>
  </si>
  <si>
    <t>آن که بر جنوب کواکب سر است</t>
  </si>
  <si>
    <t>آن که تالی کوکب گردن است</t>
  </si>
  <si>
    <t>باطیه</t>
  </si>
  <si>
    <t>قاعده الباطیه</t>
  </si>
  <si>
    <t>جنوبی ترین آن دو کوکب که بر میان باطیه است</t>
  </si>
  <si>
    <t xml:space="preserve">شمالی ترین همان دو کوکب </t>
  </si>
  <si>
    <t>آن که بر کنار جنوبی است</t>
  </si>
  <si>
    <t>آن که بر کنار شمالی است</t>
  </si>
  <si>
    <r>
      <t xml:space="preserve">آن که بر </t>
    </r>
    <r>
      <rPr>
        <sz val="11"/>
        <color rgb="FFFF0000"/>
        <rFont val="Calibri"/>
        <family val="2"/>
        <scheme val="minor"/>
      </rPr>
      <t>سرده</t>
    </r>
    <r>
      <rPr>
        <sz val="11"/>
        <color theme="1"/>
        <rFont val="Calibri"/>
        <family val="2"/>
        <scheme val="minor"/>
      </rPr>
      <t xml:space="preserve"> جنوبی است</t>
    </r>
  </si>
  <si>
    <t>آن که بر عروه شمالی است</t>
  </si>
  <si>
    <t>غراب</t>
  </si>
  <si>
    <t>کوکبی که بر منقار است و آن مشترک است میان غراب و شجاع</t>
  </si>
  <si>
    <t>آن که بر گردن و نزدیک سر است</t>
  </si>
  <si>
    <t>آن که بر جناح راست است که متقدم است</t>
  </si>
  <si>
    <t>متقدم آن دو کوکب که بر جناح چپ موخر است</t>
  </si>
  <si>
    <t>آنکه بر طرف پای است و با شجاع مشترک است</t>
  </si>
  <si>
    <t>قنطورس</t>
  </si>
  <si>
    <t>جنوبی ترین آن چهار کوکب که بر سراند</t>
  </si>
  <si>
    <t>متقدم دو کوکب باقی که در میان هستند</t>
  </si>
  <si>
    <t>تالی همان دو که بقیه چهار کوکب است</t>
  </si>
  <si>
    <t>آن که بر منکب چپ متقدم است</t>
  </si>
  <si>
    <t>آن که بر کتف راست است</t>
  </si>
  <si>
    <t>شمالی ترین دو کوکب متقدم از آن چهار کوکب که بر خوشه انگورند</t>
  </si>
  <si>
    <r>
      <t>آنکه بر طرف شاخ</t>
    </r>
    <r>
      <rPr>
        <sz val="11"/>
        <rFont val="Calibri"/>
        <family val="2"/>
        <scheme val="minor"/>
      </rPr>
      <t xml:space="preserve"> رز</t>
    </r>
    <r>
      <rPr>
        <sz val="11"/>
        <color theme="1"/>
        <rFont val="Calibri"/>
        <family val="2"/>
        <scheme val="minor"/>
      </rPr>
      <t xml:space="preserve"> است از دو کوکب باقی</t>
    </r>
  </si>
  <si>
    <t>باقی چهار کوکب و او مایل تر است از انکه پیش اوست</t>
  </si>
  <si>
    <t>مقدم آن سه3 کوکب که بر پهلوی راست اند</t>
  </si>
  <si>
    <t>آن که بر طرف دست راست است</t>
  </si>
  <si>
    <t>آن کوکب روشن که بر منشای بدن انسان است</t>
  </si>
  <si>
    <t>تالی آن دو کوکب که ازو شمالی ترند</t>
  </si>
  <si>
    <r>
      <t xml:space="preserve">آن که بر آخر پشت است از مردم و </t>
    </r>
    <r>
      <rPr>
        <sz val="11"/>
        <color rgb="FFFF0000"/>
        <rFont val="Calibri"/>
        <family val="2"/>
        <scheme val="minor"/>
      </rPr>
      <t xml:space="preserve">اول پشت فرس است </t>
    </r>
  </si>
  <si>
    <t>آن که متقدم اوست بر پشت فرس</t>
  </si>
  <si>
    <t>تالی ازان سه3 کوکب که بر قطن است</t>
  </si>
  <si>
    <t>اوسط آن سه3</t>
  </si>
  <si>
    <t>مقدم همان سه3</t>
  </si>
  <si>
    <t>مقدم آن دو کوکب که با یکدیگر نزدیک اند بر ران راست</t>
  </si>
  <si>
    <t>تالی این هر دو</t>
  </si>
  <si>
    <t>آنکه در سینه زیر بغل است</t>
  </si>
  <si>
    <t xml:space="preserve">مقدم ازان دو کوکب که زیر شکم اند </t>
  </si>
  <si>
    <t>تالی دو کوکب مذکور</t>
  </si>
  <si>
    <t>آن که بر کعب پای راست است</t>
  </si>
  <si>
    <t>آن که زیر مابض پای چپ است</t>
  </si>
  <si>
    <t>آن که بر پشت پای چپ است</t>
  </si>
  <si>
    <t>آن که بر طرف پای راست است از پیش</t>
  </si>
  <si>
    <t>رجل القنطورس</t>
  </si>
  <si>
    <t>آن که برزانوی پای چپ است</t>
  </si>
  <si>
    <t>آن که زیر موخر پای راست است</t>
  </si>
  <si>
    <t>سبع</t>
  </si>
  <si>
    <t>آن که بر طرف پای پسین سبع است نزدیک دست قنطورس</t>
  </si>
  <si>
    <t>آن که بر مابض همین پای است</t>
  </si>
  <si>
    <t>متقدم آن دو کوکب که بر کتف اند</t>
  </si>
  <si>
    <t>آن که در وسط بدن سبع است</t>
  </si>
  <si>
    <t>آن که بر شکم است زیر نرمه</t>
  </si>
  <si>
    <t>آن که بر فخذ است</t>
  </si>
  <si>
    <t>شمالی آن دو کوکب که بر بن فخذ است</t>
  </si>
  <si>
    <t>آن کوکب که بر طرف قطن است</t>
  </si>
  <si>
    <t>جنوبی ازان سه3 کوکب که بر طرف دم است</t>
  </si>
  <si>
    <t>شمالی همان سه3</t>
  </si>
  <si>
    <t>جنوبی ترین آن دو کوکب که در مقدم دهن اند</t>
  </si>
  <si>
    <t>مقدم آن دو کوکب که در مقدم دهن اند</t>
  </si>
  <si>
    <t>جنوبی ترین آن دو کوکب که درپای مقدم است</t>
  </si>
  <si>
    <t>شمالی ترین دو کوکب مذکور</t>
  </si>
  <si>
    <t>کوکبی که محاذی گوش مائل بجنوب است</t>
  </si>
  <si>
    <t>شمالی آن دو کوکب که در قاعده اند</t>
  </si>
  <si>
    <t xml:space="preserve">جنوبی آنها </t>
  </si>
  <si>
    <t>آن که در وسط قرن است</t>
  </si>
  <si>
    <t>شمالی ترین آن سه3 کوکب که بر موضع آتش اند</t>
  </si>
  <si>
    <t>جنوبی دو باقی</t>
  </si>
  <si>
    <t>شمالی آنها</t>
  </si>
  <si>
    <t>آن که بر طرف زبانه است</t>
  </si>
  <si>
    <t>اکلیل جنوبی</t>
  </si>
  <si>
    <t xml:space="preserve">کوکبی که متقدم است از قوس جنوبی </t>
  </si>
  <si>
    <t>د س</t>
  </si>
  <si>
    <t>آنکه تالی اوست و بر اکلیل است</t>
  </si>
  <si>
    <t>آنکه تالی ااین تالی است</t>
  </si>
  <si>
    <t>آن که تالی این تالی آخر است</t>
  </si>
  <si>
    <t xml:space="preserve">آن که بعد ازان است و در پیش رکبه رامی است </t>
  </si>
  <si>
    <t>آن که بعد ازاین کوکب است و از شمال نزدیک تر از رکبه رامی است</t>
  </si>
  <si>
    <t>آن که ازین کوکب شمالی تر است</t>
  </si>
  <si>
    <t>آن که از این کوکب گذشته هم شمالی تر است</t>
  </si>
  <si>
    <t>تالی آن دو کوکب متقدم که بعد از این کوکب اند در قوس شمالی</t>
  </si>
  <si>
    <t xml:space="preserve">مقدم همین دو کوکب خفی </t>
  </si>
  <si>
    <t>دورترین مقدم از همان دو کوکب</t>
  </si>
  <si>
    <t>مقدم ترین برای این کوکب</t>
  </si>
  <si>
    <t>تالی این کوکب که بجنوب مائل تراست</t>
  </si>
  <si>
    <t>سمکه جنوبی</t>
  </si>
  <si>
    <t>آن کوکب که بر دهن است</t>
  </si>
  <si>
    <t>ه ر</t>
  </si>
  <si>
    <r>
      <t xml:space="preserve">متقدم آن سه3 کوکب که بر </t>
    </r>
    <r>
      <rPr>
        <sz val="11"/>
        <rFont val="Calibri"/>
        <family val="2"/>
        <scheme val="minor"/>
      </rPr>
      <t>استدارت سراند</t>
    </r>
  </si>
  <si>
    <t>تالی همان سه کوکب</t>
  </si>
  <si>
    <t>آن که بر سوراخ گوشش است</t>
  </si>
  <si>
    <t>آن که بر خار جنوبی است که بر پشت است</t>
  </si>
  <si>
    <t>تالی آن دو کوکب که بر شکم اند</t>
  </si>
  <si>
    <t>تالی آن دو کوکب که بر خار شمالی اند</t>
  </si>
  <si>
    <t>متقدم آن سه3 کوکب و آن بر طرف دنبال است</t>
  </si>
  <si>
    <t>مقدم ازان سه3 کوکب که پیش روشنترین کوکب سمکه است</t>
  </si>
  <si>
    <t>اوسط سه3 کواکب مذکوره</t>
  </si>
  <si>
    <t xml:space="preserve">کوکب خفی که مقدم است بر کواکب مذکوره </t>
  </si>
  <si>
    <t>کوکب جنوبی ازان دو که بجانب شمال اند</t>
  </si>
  <si>
    <t>اشمل آنها</t>
  </si>
  <si>
    <t>مرصود مولف</t>
  </si>
  <si>
    <t>کوکب جنوبی ازان دو کوکب که مابین نهر و سفینه واقع اند</t>
  </si>
  <si>
    <t>کوکبی که از کواکب سفینه جنوبی تر است</t>
  </si>
  <si>
    <t>ه ک</t>
  </si>
  <si>
    <t xml:space="preserve">کوکبی که زیر پای راست قنطورس است </t>
  </si>
  <si>
    <t xml:space="preserve">مقدم آن دو کوکب که زیر رجل القنطورس و سبع واقع اند </t>
  </si>
  <si>
    <t>تالی آن دو کوکب</t>
  </si>
  <si>
    <t>مقدم ازان سه3 کوکب که زیر رجل رامی واقع اند</t>
  </si>
  <si>
    <t>تالی آن که مایل بجنوب است</t>
  </si>
  <si>
    <t>تالی این تالی که مایل بشمال است</t>
  </si>
  <si>
    <t>مقدم آن دو کوکب که از آن سه3 کوکب مذکور که مائل بمشرق و جنوب اند</t>
  </si>
  <si>
    <t>اصابع جرم</t>
  </si>
  <si>
    <t>مقدار حرکت مشهور</t>
  </si>
  <si>
    <t>قبل طلوع</t>
  </si>
  <si>
    <t>بعدغروب</t>
  </si>
  <si>
    <t>زمان اجتماع بعد از نصف اللیل</t>
  </si>
  <si>
    <t>1=کسوف ممکن و مرئی</t>
  </si>
  <si>
    <t>زمان اجتماع حقیقی</t>
  </si>
  <si>
    <t>مرکز شمس</t>
  </si>
  <si>
    <t>اگر ارتفاع عاشر 90 باشد</t>
  </si>
  <si>
    <t>موضع قمرجزء عاشر نباشد</t>
  </si>
  <si>
    <t>موضع قمرجزء عاشر باشد</t>
  </si>
  <si>
    <t>اگر ارتفاع عاشر 90 نباشد</t>
  </si>
  <si>
    <t>موضع قمر بر تربیع طالع باشد</t>
  </si>
  <si>
    <t>موضع قمر بر تربیع طالع نباشد</t>
  </si>
  <si>
    <t xml:space="preserve"> عرض اقلیم رویت</t>
  </si>
  <si>
    <t>تربیع طالع</t>
  </si>
  <si>
    <t>اگر قمر عرض ندارد</t>
  </si>
  <si>
    <t>اگر قمر عرض دارد</t>
  </si>
  <si>
    <t>و عرض اقلیم رویت موجود نباشد</t>
  </si>
  <si>
    <t>بعد موضع مرئی از سمت الراس</t>
  </si>
  <si>
    <t>اگر عرض اقلیم رویت موجود باشد</t>
  </si>
  <si>
    <t>بعد درجه مرئی ازطالع یا سابع</t>
  </si>
  <si>
    <t>بعد درجه مرئی ازتربیع طالع</t>
  </si>
  <si>
    <t>مراحل کتاب با این فرمول متفاوت است</t>
  </si>
  <si>
    <t xml:space="preserve">تقویم تا طالع </t>
  </si>
  <si>
    <t>تقویم تا سابع</t>
  </si>
  <si>
    <t>موضع مرئی قمر</t>
  </si>
  <si>
    <t xml:space="preserve"> ارتفاع قمر</t>
  </si>
  <si>
    <t>تقویم تا طالع یا سابع (نزدیکتر)</t>
  </si>
  <si>
    <t xml:space="preserve">اختلاف منظر طول </t>
  </si>
  <si>
    <t>i</t>
  </si>
  <si>
    <t>l</t>
  </si>
  <si>
    <t>ac</t>
  </si>
  <si>
    <t>ad</t>
  </si>
  <si>
    <t>ae</t>
  </si>
  <si>
    <t>af</t>
  </si>
  <si>
    <t>ag</t>
  </si>
  <si>
    <t>ah</t>
  </si>
  <si>
    <t>ai</t>
  </si>
  <si>
    <t>aj</t>
  </si>
  <si>
    <t>al</t>
  </si>
  <si>
    <t>am</t>
  </si>
  <si>
    <t>an</t>
  </si>
  <si>
    <t>ao</t>
  </si>
  <si>
    <t>ap</t>
  </si>
  <si>
    <t>at</t>
  </si>
  <si>
    <t>au</t>
  </si>
  <si>
    <t>av</t>
  </si>
  <si>
    <t>aw</t>
  </si>
  <si>
    <t>ax</t>
  </si>
  <si>
    <t>ay</t>
  </si>
  <si>
    <t>az</t>
  </si>
  <si>
    <t>ba</t>
  </si>
  <si>
    <t>bc</t>
  </si>
  <si>
    <t>be</t>
  </si>
  <si>
    <t>bf</t>
  </si>
  <si>
    <t>bg</t>
  </si>
  <si>
    <t>erasher</t>
  </si>
  <si>
    <t>اختلاف شمس</t>
  </si>
  <si>
    <t>اختلاف کلی قمر</t>
  </si>
  <si>
    <t>jj</t>
  </si>
  <si>
    <t>qos1</t>
  </si>
  <si>
    <t>qos2</t>
  </si>
  <si>
    <t>ass</t>
  </si>
  <si>
    <t>bh</t>
  </si>
  <si>
    <t>bi</t>
  </si>
  <si>
    <t>ساعت اجتماع</t>
  </si>
  <si>
    <t>تحصیل:</t>
  </si>
  <si>
    <t>تقویم مرئی</t>
  </si>
  <si>
    <t>سبق</t>
  </si>
  <si>
    <t>قدر شمس</t>
  </si>
  <si>
    <t>قدر قمر</t>
  </si>
  <si>
    <t>ساعت مرئی از اول روز</t>
  </si>
  <si>
    <t>ساعت از نصف النهار</t>
  </si>
  <si>
    <t>ساعت (وسط) اجتماع قریب به تحقیق</t>
  </si>
  <si>
    <t xml:space="preserve">ساعت  </t>
  </si>
  <si>
    <t>ارتفاع مرئی</t>
  </si>
  <si>
    <t>اختلاف منظرافقی قمر</t>
  </si>
  <si>
    <t>تقویم تا تربیع طالع</t>
  </si>
  <si>
    <t>کوچکتر</t>
  </si>
  <si>
    <t>مرکزمعدل قمر</t>
  </si>
  <si>
    <t>za</t>
  </si>
  <si>
    <t>zb</t>
  </si>
  <si>
    <t>zc</t>
  </si>
  <si>
    <t>مابین الطولین&lt;90</t>
  </si>
  <si>
    <t>تقویم  شمس</t>
  </si>
  <si>
    <t>خلاصه فرمول کسوف</t>
  </si>
  <si>
    <t xml:space="preserve">ساعت </t>
  </si>
  <si>
    <t>ما بین التقویمین</t>
  </si>
  <si>
    <t>دقیق نیست</t>
  </si>
  <si>
    <t>بررسی اول ماه</t>
  </si>
  <si>
    <t>فوق و تحت باید اصلاح شود</t>
  </si>
  <si>
    <t>a4</t>
  </si>
  <si>
    <t>a5</t>
  </si>
  <si>
    <t xml:space="preserve">اصابع جرم </t>
  </si>
  <si>
    <t xml:space="preserve">اصابع قطر </t>
  </si>
  <si>
    <t>ارتفاع مرئی قمر</t>
  </si>
  <si>
    <t>تقویم تا طالع یا سابع</t>
  </si>
  <si>
    <t>ساعت غروب</t>
  </si>
  <si>
    <t>ساعت طلوع</t>
  </si>
  <si>
    <t>مرئی و ممکن:1     غیر مرئی و ممکن:2</t>
  </si>
  <si>
    <t>ساعت استقبال</t>
  </si>
  <si>
    <t>وسط خسوف</t>
  </si>
  <si>
    <t>تمام انجلاء</t>
  </si>
  <si>
    <t>طلوع و یا غروب منخسف</t>
  </si>
  <si>
    <t>تمام مدت خسوف</t>
  </si>
  <si>
    <t>آغاز خسوف از شمال یا جنوب</t>
  </si>
  <si>
    <t>رنگ قمر از ابتداء تا انتهاء</t>
  </si>
  <si>
    <t>عرض منقح</t>
  </si>
  <si>
    <t>قمر جنوبی یا شمالی</t>
  </si>
  <si>
    <t>کلی یا جزیی</t>
  </si>
  <si>
    <t>عقده راس و ذنب</t>
  </si>
  <si>
    <t>با مکث یا بی مکث</t>
  </si>
  <si>
    <t>مدت مکث</t>
  </si>
  <si>
    <t>بدو خسوف</t>
  </si>
  <si>
    <t>اطلاعات کلی خسوف</t>
  </si>
  <si>
    <t>مدت تاثیر</t>
  </si>
  <si>
    <t>مدت تاثیر خسوف (روز)</t>
  </si>
  <si>
    <t>بدو مکث</t>
  </si>
  <si>
    <t>تمام انجلاء مکث</t>
  </si>
  <si>
    <t>امکان خسوف</t>
  </si>
  <si>
    <t>کسوف در عقده</t>
  </si>
  <si>
    <t>2= کسوف غیرمرئی</t>
  </si>
  <si>
    <t>وسط کسوف</t>
  </si>
  <si>
    <t>بدو کسوف</t>
  </si>
  <si>
    <t>تاثیر کسوف (روز)</t>
  </si>
  <si>
    <t>مدت کسوف</t>
  </si>
  <si>
    <t>تقویم بدو</t>
  </si>
  <si>
    <t>تقویم وسط</t>
  </si>
  <si>
    <t>انتهای مکث</t>
  </si>
  <si>
    <t>معظم تاثیر کسوف</t>
  </si>
  <si>
    <t>vba زده شود</t>
  </si>
  <si>
    <t>زیج اصول الرصد ص235-236</t>
  </si>
  <si>
    <t>بهت</t>
  </si>
  <si>
    <t>تعدیل السطرین جدول خسوف ص 552</t>
  </si>
  <si>
    <t>مطلوب(اصابع قطر خسوف)</t>
  </si>
  <si>
    <t>معظم تاثیر</t>
  </si>
  <si>
    <t>اذان صبح</t>
  </si>
  <si>
    <t>طلوع آفتاب</t>
  </si>
  <si>
    <t>جمادی الثانیه</t>
  </si>
  <si>
    <t>تعداد روزهای سال</t>
  </si>
  <si>
    <t>تعداد روزهای ماه</t>
  </si>
  <si>
    <t>روز حقیقی</t>
  </si>
  <si>
    <t>نام ماه</t>
  </si>
  <si>
    <t xml:space="preserve">میل اول  </t>
  </si>
  <si>
    <t>بعد کوکب  از معدل</t>
  </si>
  <si>
    <t>نصف قوس نهار</t>
  </si>
  <si>
    <t>تعداد روزهای بعد از اول ماه</t>
  </si>
  <si>
    <t>وسطی</t>
  </si>
  <si>
    <t>تعداد کبیسه ادوار</t>
  </si>
  <si>
    <t>زائد بر30سال</t>
  </si>
  <si>
    <t>بعد سوا</t>
  </si>
  <si>
    <t>روز وسطی</t>
  </si>
  <si>
    <t>حقیقی</t>
  </si>
  <si>
    <t>تفاوت روز وسطی و حقیقی</t>
  </si>
  <si>
    <t>ساعت غروب شمس</t>
  </si>
  <si>
    <t>تفاوت بین روز وسطی و حقیقی</t>
  </si>
  <si>
    <t>تعداد روز بعد از اول وسطی</t>
  </si>
  <si>
    <t>تعداد روز ماه</t>
  </si>
  <si>
    <t>قمر معدل1</t>
  </si>
  <si>
    <t>قمر معدل2</t>
  </si>
  <si>
    <t>تعداد روزهای ماه (صرف نظر از بعد معدل)</t>
  </si>
  <si>
    <t>جــــدول تحــــــــویل شمـــــــس به اول نقطه برج حمل در بـــــلا د به ساعت ظهر کوک</t>
  </si>
  <si>
    <t>جـــــــــــــــــــــــــــدول احــــــــــکام ســــــــــــــــال به قول حکمــــــــــای تـــــــــــرک</t>
  </si>
  <si>
    <t>سنـــــــــــــــــه شمــــــــــــــــــسیه :</t>
  </si>
  <si>
    <t xml:space="preserve">                                              سنـــــــــــــــــه قمــــــــــــریه:</t>
  </si>
  <si>
    <t xml:space="preserve">                                                                                      سنـــــــــــــــــه قمــــــــــــریه:</t>
  </si>
  <si>
    <t xml:space="preserve">                                                  عنــــــــــــــــــــــــــــــــــــــــــــــــــــــــــوان تــــــــــــــــــــــــــــــــــــــــــــــــاريـــــــــــــــــــــــــــــــــــــــــــــــــــــخ</t>
  </si>
  <si>
    <t>تولــــد هـــــلال مـــــــاه های قمــــری</t>
  </si>
  <si>
    <t>رویـــــــــــــــــــــــــت هــــــــــــــــلال مــــــــــــــــــــــــــــــــــاه های قمــــــــــــــــــــری</t>
  </si>
  <si>
    <t xml:space="preserve">مـــــــــــــــــــــــــــــــــــــــــواضـــــــــــــــــــــع ســــــــــــــــــــــــــــــــــــــــــــــــــــــــــــــــــــــيارات </t>
  </si>
  <si>
    <t>مــــــــــــــــــــــــــــــــــــــــــــــــــــــــــــــــــــــــــــــــــــــــــــــــــواضــــــــــــع ســـــــــــــــــــــــــــــــــــــــــــــــــــــــــــــــــــــــــــــــــــــــــــــــیــــــــارات</t>
  </si>
  <si>
    <t xml:space="preserve">اسامی بلاد </t>
  </si>
  <si>
    <t>اسامی بلاد</t>
  </si>
  <si>
    <t>ماه قمری</t>
  </si>
  <si>
    <t>ماه شمسی</t>
  </si>
  <si>
    <t>اسم ترکی</t>
  </si>
  <si>
    <t>اسم فارسی</t>
  </si>
  <si>
    <t xml:space="preserve">           احـــــــــکام مربـــــــــــــــــوط به هر ســــــــــــــــــــــــال</t>
  </si>
  <si>
    <t>اســــابیع</t>
  </si>
  <si>
    <t>باستانی</t>
  </si>
  <si>
    <t xml:space="preserve">                      جــــــــــــــــــــــــــــــــــــــــــــــــدول خســــــــــــــــــــــــــــــــــــــــــــــــــــــــــــــوفـــــــــــــــــات</t>
  </si>
  <si>
    <t xml:space="preserve">                                                                   جــــــــــــــــــــــــــــــــــــــــــــــــــــــــــــــــــــــدول کســــــــــــــــــــــــــــــــــــــــــــــــــــــــــــــوفـــــــــــــــــات</t>
  </si>
  <si>
    <t xml:space="preserve">  ترکی</t>
  </si>
  <si>
    <t>سنبت</t>
  </si>
  <si>
    <t>ساکه سالباهن</t>
  </si>
  <si>
    <t>فرس قدیم</t>
  </si>
  <si>
    <t>فصلی</t>
  </si>
  <si>
    <t>بنگله</t>
  </si>
  <si>
    <t>محمد شاهی</t>
  </si>
  <si>
    <t xml:space="preserve"> شهــــــــور</t>
  </si>
  <si>
    <t>مــاه شمسی</t>
  </si>
  <si>
    <t>بُعد معدل</t>
  </si>
  <si>
    <t>بعد سوی</t>
  </si>
  <si>
    <t>کیفیت رویت</t>
  </si>
  <si>
    <t>اتصــــــــالات قمــــــــر با كــــــــــواكب</t>
  </si>
  <si>
    <t xml:space="preserve">      اتصـــــــــالات شــــــــمس وخــــــــمسه متحـــــــــــيره</t>
  </si>
  <si>
    <t>تحـــــــــــــــــــــــــــــــویلات ومـــــــــــــــــــــــواضــــــــــــــــع شمـــــــــــــــــس</t>
  </si>
  <si>
    <t xml:space="preserve">  </t>
  </si>
  <si>
    <t xml:space="preserve">   انتـــــــــــــــــــــــــــــــــــــــــقالات ومـــــــــــــــــــــــــــــــــــواضـــــــع  قمـــــــــــــــــــــــــــر</t>
  </si>
  <si>
    <t>مــــــــــــــــــــــــــــــــــــــــــــــــــــــــنازل قــــــــــــــــــــــــــــــــــــــــــــــــــــــــــــمر</t>
  </si>
  <si>
    <t xml:space="preserve">تحـــــــــــــــــــــــــــــــــویلات ومـــــــــــــــــــــــــــــــــواضع زهـــــــــــــــــــــــــــــــــــــره </t>
  </si>
  <si>
    <t xml:space="preserve">تحـــــــــــــــــــــــــویلات ومـــــــــــــــــــــــــــــــــواضع عــــــــــــــــــطارد </t>
  </si>
  <si>
    <t xml:space="preserve">تحــــــــــــــــــــــــــــویلات ومـــــــــــــــــــــــــــــــواضـــــــــــــــــــــــع مـــــــــــــــــــــريخ </t>
  </si>
  <si>
    <t xml:space="preserve">تحــــــــــــــــــــــــــویلات ومــــــــــــــــــــــــــــــــواضـــــــــــــــــــــــــــع زحــــــــــــــــــــل </t>
  </si>
  <si>
    <t xml:space="preserve">تحـــــــــــــــــــــــویلات ومــــــــــــــــــــــــــــواضــــــــــــــــــــــــــــــع مـــــــــــــــــــــشتري </t>
  </si>
  <si>
    <t xml:space="preserve">  تنـــــــــــــــــــــــــــــــاظر كــــــــــــــــواكب</t>
  </si>
  <si>
    <t xml:space="preserve"> ازمنه درجه ممر کف الخضیب</t>
  </si>
  <si>
    <t>اراک</t>
  </si>
  <si>
    <t>زنچان</t>
  </si>
  <si>
    <t>سیچقان ئیل</t>
  </si>
  <si>
    <t>موش</t>
  </si>
  <si>
    <t>فـــــــــــروردیـــــن</t>
  </si>
  <si>
    <t>جزیی/کلی</t>
  </si>
  <si>
    <t>مرئی / غیر مرئی</t>
  </si>
  <si>
    <t>ساعات وسط</t>
  </si>
  <si>
    <t>قطر ظل</t>
  </si>
  <si>
    <t>ساعات سقوط</t>
  </si>
  <si>
    <t>ساعات بدو</t>
  </si>
  <si>
    <t>ساعات تمام انجلاء</t>
  </si>
  <si>
    <t>عقده ذنب/ رأس</t>
  </si>
  <si>
    <t>اختلاف منظر طولی</t>
  </si>
  <si>
    <t>اختلاف منظر عرضی</t>
  </si>
  <si>
    <t>ساعات اجتماع مرئی</t>
  </si>
  <si>
    <t>اصابع منکسفه شمس</t>
  </si>
  <si>
    <t>اصابع منکسفه قمر</t>
  </si>
  <si>
    <t>ساعات بدو کسوف</t>
  </si>
  <si>
    <t>رمــــضان</t>
  </si>
  <si>
    <t xml:space="preserve">فروردین </t>
  </si>
  <si>
    <t>نام كوكب</t>
  </si>
  <si>
    <t>علامت اتصال</t>
  </si>
  <si>
    <t>دقيقه</t>
  </si>
  <si>
    <t xml:space="preserve"> نهار/ليل</t>
  </si>
  <si>
    <t>كوكب سريع السير</t>
  </si>
  <si>
    <t>كوكب بطي السير</t>
  </si>
  <si>
    <t>نهار/ليل</t>
  </si>
  <si>
    <t xml:space="preserve">  میل</t>
  </si>
  <si>
    <t>بعد از مركز عالم</t>
  </si>
  <si>
    <t>نصف النهار</t>
  </si>
  <si>
    <t>ظل الاقدام</t>
  </si>
  <si>
    <t>ظل الاصابع</t>
  </si>
  <si>
    <t>شرف</t>
  </si>
  <si>
    <t>تمام شرف</t>
  </si>
  <si>
    <t>هبوط</t>
  </si>
  <si>
    <t>تمام هبوط</t>
  </si>
  <si>
    <t>بعد از مرکز عالم</t>
  </si>
  <si>
    <t>نطاق اوجی</t>
  </si>
  <si>
    <t>نطاق تدویری</t>
  </si>
  <si>
    <t xml:space="preserve">       رأس</t>
  </si>
  <si>
    <t>عدد منزل</t>
  </si>
  <si>
    <t>اسم منزل</t>
  </si>
  <si>
    <t>منتهای منزل</t>
  </si>
  <si>
    <t xml:space="preserve">  عرض</t>
  </si>
  <si>
    <t>رأس</t>
  </si>
  <si>
    <t>علامت تناظر</t>
  </si>
  <si>
    <t>متنــــــــــــاظــــرين</t>
  </si>
  <si>
    <t>استارا</t>
  </si>
  <si>
    <t>زاهدان</t>
  </si>
  <si>
    <t>تنکوزئیل</t>
  </si>
  <si>
    <t>خوک</t>
  </si>
  <si>
    <t>شـــــوال</t>
  </si>
  <si>
    <t>اصفهان</t>
  </si>
  <si>
    <t>سبزوار</t>
  </si>
  <si>
    <t>تنحاقوی ئیل</t>
  </si>
  <si>
    <t>مرغ</t>
  </si>
  <si>
    <t>ذیــــــقعده</t>
  </si>
  <si>
    <t xml:space="preserve">آمل </t>
  </si>
  <si>
    <t>ساری</t>
  </si>
  <si>
    <t>یچی ئیل</t>
  </si>
  <si>
    <t>میمون</t>
  </si>
  <si>
    <t>ذیـــــحجه</t>
  </si>
  <si>
    <t xml:space="preserve"> ارومیه </t>
  </si>
  <si>
    <t>سمنان</t>
  </si>
  <si>
    <t>یونت ئیل</t>
  </si>
  <si>
    <t>اسب</t>
  </si>
  <si>
    <t>محــــــــرم</t>
  </si>
  <si>
    <t xml:space="preserve">اهواز </t>
  </si>
  <si>
    <t>ساوه</t>
  </si>
  <si>
    <t>ئیلان ئیل</t>
  </si>
  <si>
    <t>مار</t>
  </si>
  <si>
    <t>صفـــــــــــر</t>
  </si>
  <si>
    <t xml:space="preserve"> انزلی</t>
  </si>
  <si>
    <t>شیراز</t>
  </si>
  <si>
    <t>توشقان ئیل</t>
  </si>
  <si>
    <t>خرگوش</t>
  </si>
  <si>
    <t>ربیــــــع الاول</t>
  </si>
  <si>
    <t xml:space="preserve"> بابل </t>
  </si>
  <si>
    <t>طالقان</t>
  </si>
  <si>
    <t>بارس ئیل</t>
  </si>
  <si>
    <t>پلنگ</t>
  </si>
  <si>
    <t>ربیــــــع الثانی</t>
  </si>
  <si>
    <t>بروچرد</t>
  </si>
  <si>
    <t>طبس</t>
  </si>
  <si>
    <t>اودئیل</t>
  </si>
  <si>
    <t>گاو</t>
  </si>
  <si>
    <t>جمــادی الاولی</t>
  </si>
  <si>
    <t xml:space="preserve"> بوشهر</t>
  </si>
  <si>
    <t>فسا</t>
  </si>
  <si>
    <t>لوی ئیل</t>
  </si>
  <si>
    <t>نهنگ</t>
  </si>
  <si>
    <t>جمـــادی الثانیه</t>
  </si>
  <si>
    <t xml:space="preserve"> بهشهر</t>
  </si>
  <si>
    <t>فیروزکوه</t>
  </si>
  <si>
    <t>قوی ئیل</t>
  </si>
  <si>
    <t>گوسفند</t>
  </si>
  <si>
    <t>رجـــــــــــــب</t>
  </si>
  <si>
    <t xml:space="preserve"> بهبهان </t>
  </si>
  <si>
    <t xml:space="preserve">قاین </t>
  </si>
  <si>
    <t>ایت ئیل</t>
  </si>
  <si>
    <t>سگ</t>
  </si>
  <si>
    <t>شــــــــــعبـان</t>
  </si>
  <si>
    <t xml:space="preserve"> بغداد</t>
  </si>
  <si>
    <t>قزوین</t>
  </si>
  <si>
    <t xml:space="preserve"> بمبی</t>
  </si>
  <si>
    <t>قم</t>
  </si>
  <si>
    <t>بیت المقدس</t>
  </si>
  <si>
    <t>کربلا</t>
  </si>
  <si>
    <t xml:space="preserve"> کرمانشاه</t>
  </si>
  <si>
    <t>کرمان</t>
  </si>
  <si>
    <t>تبریز</t>
  </si>
  <si>
    <t>کاشان</t>
  </si>
  <si>
    <t xml:space="preserve"> جده</t>
  </si>
  <si>
    <t>کازرون</t>
  </si>
  <si>
    <t xml:space="preserve"> تربت حیدریه</t>
  </si>
  <si>
    <t>لار</t>
  </si>
  <si>
    <t>جهرم</t>
  </si>
  <si>
    <t>لاهیجان</t>
  </si>
  <si>
    <t xml:space="preserve">جندق </t>
  </si>
  <si>
    <t>گلپایکان</t>
  </si>
  <si>
    <t>خوی</t>
  </si>
  <si>
    <t>گرگان</t>
  </si>
  <si>
    <t>خولنسار</t>
  </si>
  <si>
    <t>ملایر</t>
  </si>
  <si>
    <t>خانقین</t>
  </si>
  <si>
    <t>مشهد</t>
  </si>
  <si>
    <t>دامغان</t>
  </si>
  <si>
    <t>مراغه</t>
  </si>
  <si>
    <t>ذزفول</t>
  </si>
  <si>
    <t>مکه</t>
  </si>
  <si>
    <t>رشت</t>
  </si>
  <si>
    <t>نجف</t>
  </si>
  <si>
    <t>تعداد روز</t>
  </si>
  <si>
    <t>روش اول اکسل</t>
  </si>
  <si>
    <t xml:space="preserve"> vba</t>
  </si>
  <si>
    <t>*</t>
  </si>
  <si>
    <t xml:space="preserve">تعدیل السطرین اختلاف منظر افقی </t>
  </si>
  <si>
    <t xml:space="preserve">به ازای هر 2347 سال 1 روز باید به دوره کبیسه افزود تا اینکه ترتیب سال وسطی و حقیقی درست شود و به این مطلب در زیج اشاره نشده است </t>
  </si>
  <si>
    <t>تفاوت روز حقیقی و وسطی</t>
  </si>
  <si>
    <t>هنگام تبدیل زمان نصف النهاری به نصف اللیلی باید طوری تعریف کنیم که اگر ساعت نصف النهاری از 12(تقریبا) بیشتر شد یک روز به ایام هفته و تاریخ اضافه کند</t>
  </si>
  <si>
    <t>زمان رسمی</t>
  </si>
  <si>
    <t>تعداد روزهای وسطی ماضی از اول ماه</t>
  </si>
  <si>
    <t>تعداد روزهای حقیقی ماضی از اول ماه</t>
  </si>
  <si>
    <t>تعداد روزهای حقیقی ماه</t>
  </si>
  <si>
    <t>تعداد روزهای وسطی ماه</t>
  </si>
  <si>
    <t>ساعت نصف النهاری</t>
  </si>
  <si>
    <t>ساعت نصف اللیلی</t>
  </si>
  <si>
    <t>روز حقیقی نصف اللیلی</t>
  </si>
  <si>
    <t>روز حقیقی نصف النهاری</t>
  </si>
  <si>
    <t>تبدیل روز و ساعت نصف اللیلی به نصف النهاری</t>
  </si>
  <si>
    <t>تبدیل روز و ساعت نصف النهاری به نصف اللیلی</t>
  </si>
  <si>
    <t>روز حقیقی نصف الیلی</t>
  </si>
  <si>
    <t>زردهای بالا مثلسمت راست اصلاح شود</t>
  </si>
  <si>
    <t xml:space="preserve">                                   اوقـــــــــــــــــــــــــــــــــــات شــــــــــــــــــرعی</t>
  </si>
  <si>
    <t>جـــــــــــــدول منــــــــــــاسبــــــات</t>
  </si>
  <si>
    <t>نام شهر:</t>
  </si>
  <si>
    <t>عنــــــــــــوان تـــــــــــــاریخ</t>
  </si>
  <si>
    <t>جــــــــــــــــــــــــــــــــدول منـــــــــــــــــــــــــــــــــــــــاسبات</t>
  </si>
  <si>
    <t>بین الطلوعین</t>
  </si>
  <si>
    <t>ظـــــــهر</t>
  </si>
  <si>
    <t>عصــــــــر</t>
  </si>
  <si>
    <t>مغــــــــرب</t>
  </si>
  <si>
    <t>عشــــــــاء</t>
  </si>
  <si>
    <t>صبـــــــــح</t>
  </si>
  <si>
    <t>شــــمسی</t>
  </si>
  <si>
    <t>قمــــــــری</t>
  </si>
  <si>
    <t>میــــــلادی</t>
  </si>
  <si>
    <t>بهـــــــــــت</t>
  </si>
  <si>
    <t>بهــــــــــت</t>
  </si>
  <si>
    <t>بهـــــــت</t>
  </si>
  <si>
    <t>بهــــــــت</t>
  </si>
  <si>
    <t>بهـــــــــت</t>
  </si>
  <si>
    <t>قمری</t>
  </si>
  <si>
    <t>میلادی</t>
  </si>
  <si>
    <t>حلول سال جدید</t>
  </si>
  <si>
    <t>تعدیل زمان</t>
  </si>
  <si>
    <t>تمام ظل غایت ارتفاع</t>
  </si>
  <si>
    <t>اذان ظهر</t>
  </si>
  <si>
    <t>اذان مغرب</t>
  </si>
  <si>
    <t>سهم فضل دایر</t>
  </si>
  <si>
    <t xml:space="preserve">برای محاسبه طلوع و غروب باید هنگام تماس شمس با افق در نظر گرفته شود ، بنابراین دو دقیقه به زمان قوس النهار افزودیم (یک دقیقه از طلوع کاستیم و یک دقیقه به غروب افزودیم). </t>
  </si>
  <si>
    <t>یک دقیقه = زمان طی کردن نصف قطر شمس است به حرکت یومیه</t>
  </si>
  <si>
    <t>ضمنا حدود دو دقیقه به عنوان انکسار نور از زمان طلوع کاستیم و دو دقیقه به زمان غروب افزودیم</t>
  </si>
  <si>
    <t>ص560</t>
  </si>
  <si>
    <t>طلوع کوکب در</t>
  </si>
  <si>
    <t>مطالع درجه غروب شمس</t>
  </si>
  <si>
    <t>مطالع درجه غروب کوکب</t>
  </si>
  <si>
    <t>ارتفاع یا انحطاط کوکب</t>
  </si>
  <si>
    <t>دلفین</t>
  </si>
  <si>
    <t>نیمه شب شرعی</t>
  </si>
  <si>
    <t>اکسل صحیح نیست و vba درست</t>
  </si>
  <si>
    <t>مبدا نطاقات تدویری</t>
  </si>
  <si>
    <t>بعدمعدل</t>
  </si>
  <si>
    <t>ماضی</t>
  </si>
  <si>
    <t>ماه وسطی</t>
  </si>
  <si>
    <t>سال وسطی</t>
  </si>
  <si>
    <t>تعداد روزهای ماضی وسطی</t>
  </si>
  <si>
    <t>مجموع متحیره</t>
  </si>
  <si>
    <t>ارتفاع قمر از طالع</t>
  </si>
  <si>
    <t>تعدیل بعد</t>
  </si>
  <si>
    <t>تعدیل بعدمحاسبه شده چون به لحاظ جمعی نقصانی مخالف جدول می شود بنابراین در -1 ضرب کردیم</t>
  </si>
  <si>
    <t>اختلاف منظر شمس جدول</t>
  </si>
  <si>
    <t>اختلاف منظرافقی</t>
  </si>
  <si>
    <t>ارتفاع مرئی فرمول</t>
  </si>
  <si>
    <t>ارتفاع مرئی معدل</t>
  </si>
  <si>
    <t>جهت عرض اقلیم oo</t>
  </si>
  <si>
    <t>جهت عرض کوکب zz</t>
  </si>
  <si>
    <t>جدول 1</t>
  </si>
  <si>
    <t>جدول 2</t>
  </si>
  <si>
    <t>جدول 3</t>
  </si>
  <si>
    <t>جدول 4</t>
  </si>
  <si>
    <t>جدول 5</t>
  </si>
  <si>
    <t>بقیه الاوجی</t>
  </si>
  <si>
    <t>نصف قطر بزرگتر</t>
  </si>
  <si>
    <t>نصف قطر  کوچکتر</t>
  </si>
  <si>
    <t>مربع قطر کوچکتر</t>
  </si>
  <si>
    <t>جمع فضلین (مقسوم علیه)</t>
  </si>
  <si>
    <t>قوس بزرگتر</t>
  </si>
  <si>
    <t>قطاع کوچکتر</t>
  </si>
  <si>
    <t>قوس کوچکتر</t>
  </si>
  <si>
    <t>سال    ورودی</t>
  </si>
  <si>
    <t>اصابع معدله vba</t>
  </si>
  <si>
    <t>جدول 6</t>
  </si>
  <si>
    <t>نصف قطر مرئی</t>
  </si>
  <si>
    <t>ساعت سقوط معدل بدو کسوف</t>
  </si>
  <si>
    <t xml:space="preserve">طالع </t>
  </si>
  <si>
    <t>مربع جیب عرض مرئی قمر</t>
  </si>
  <si>
    <t>ساعت سقوط معدل تمام انجلاء</t>
  </si>
  <si>
    <t>کل مدت کسوف</t>
  </si>
  <si>
    <t>اصابع قطر جدول</t>
  </si>
  <si>
    <t>اصابع معدله جدول</t>
  </si>
  <si>
    <t>ساعات اجتماع مرئی قریب به تحقیق vba</t>
  </si>
  <si>
    <t>ضعف ساعت سقوط(کل مدت کسوف) جدول</t>
  </si>
  <si>
    <t>تغییراتی ه دراختلاف منظر عرض  نوشته شد دراینجا نیزاعمال شود</t>
  </si>
  <si>
    <t>اختلاف منظر ارتفاع شمس</t>
  </si>
  <si>
    <t>نصف ساعت نهار</t>
  </si>
  <si>
    <t>ساعت اجتماع از اول روز</t>
  </si>
  <si>
    <t xml:space="preserve">اختلاف منظر شمس درطول و عرض </t>
  </si>
  <si>
    <t>اختلاف منظر در طول vba</t>
  </si>
  <si>
    <t>اختلاف منظر در عرض vba</t>
  </si>
  <si>
    <t>تقویم مرئی شمس</t>
  </si>
  <si>
    <t>تقویم شمس مرئی</t>
  </si>
  <si>
    <t>ساعات اجتماع مرئی قریب با تقویم مرئی شمس</t>
  </si>
  <si>
    <t>تقویم زیج</t>
  </si>
  <si>
    <t>حرکت یک درجه</t>
  </si>
  <si>
    <t>نیر الفکه ظاهرا 36 10 7 (طول مذکور در زیج ) است</t>
  </si>
  <si>
    <t>راس الجائی</t>
  </si>
  <si>
    <t>رکبه الدجاجه</t>
  </si>
  <si>
    <t>زیج یک برج تصحیح شد</t>
  </si>
  <si>
    <t>سه برج تصحیح شد</t>
  </si>
  <si>
    <t>آن که بر قاعده باطیه و با کوکب شجاع مشترک است</t>
  </si>
  <si>
    <t>با توجه با زیج محمدشاهی اصلاح شد</t>
  </si>
  <si>
    <t>اصلاح شد</t>
  </si>
  <si>
    <t>من الاعزل-اصلاح شد</t>
  </si>
  <si>
    <t>مجمره</t>
  </si>
  <si>
    <t>مجسطی ندارد</t>
  </si>
  <si>
    <t>تقویم مجسطی</t>
  </si>
  <si>
    <t>تقویم ثوابت</t>
  </si>
  <si>
    <t>تقویم ثوابت vba</t>
  </si>
  <si>
    <t>طول صاحب گنج به مبدایت گرینویچ</t>
  </si>
  <si>
    <t>طول بلد به مبدأیت صاحب گنج</t>
  </si>
  <si>
    <t>طول بلد به مبدأیت گرینویچ</t>
  </si>
  <si>
    <t>تبدیل مبدا صاحب گنج به مبدا گرینویچ</t>
  </si>
  <si>
    <t>تبدیل مبدا گرینویچ به مبدا صاحب گنج</t>
  </si>
  <si>
    <t>طول بلد به مبدأیت صاحب گنج به درجه</t>
  </si>
  <si>
    <t>polaris</t>
  </si>
  <si>
    <t>caph</t>
  </si>
  <si>
    <t>spica</t>
  </si>
  <si>
    <t>arcturus</t>
  </si>
  <si>
    <t>نام کوکب لاتین</t>
  </si>
  <si>
    <t>طول درسال 2023</t>
  </si>
  <si>
    <r>
      <t xml:space="preserve">عوا -بقار -حارث </t>
    </r>
    <r>
      <rPr>
        <sz val="11"/>
        <color rgb="FFFF0000"/>
        <rFont val="Calibri"/>
        <family val="2"/>
        <scheme val="minor"/>
      </rPr>
      <t>الشمال</t>
    </r>
  </si>
  <si>
    <t>بنا بر نظر بطلمیوس همه ثوابت هر 100 سال یک درجه حرکت می کنند</t>
  </si>
  <si>
    <t>daer</t>
  </si>
  <si>
    <t>taqsh</t>
  </si>
  <si>
    <t>اتصالات شمس وقمر</t>
  </si>
  <si>
    <t>اتصالات شمس و عطارد</t>
  </si>
  <si>
    <t>اتصالات شمس و زهره</t>
  </si>
  <si>
    <t>اتصالات شمس و مریخ</t>
  </si>
  <si>
    <t>اتصالات شمس و مشتری</t>
  </si>
  <si>
    <t>اتصالات شمس و زحل</t>
  </si>
  <si>
    <t>اتصالات قمر و عطارد</t>
  </si>
  <si>
    <t>اتصالات قمر و زهره</t>
  </si>
  <si>
    <t>اتصالات قمر و مریخ</t>
  </si>
  <si>
    <t>اتصالات قمر و مشتری</t>
  </si>
  <si>
    <t>اتصالات قمر و زحل</t>
  </si>
  <si>
    <t>اتصالات عطارد و زهره</t>
  </si>
  <si>
    <t>اتصالات عطارد و مریخ</t>
  </si>
  <si>
    <t>اتصالات عطارد و مشتری</t>
  </si>
  <si>
    <t>اتصالات عطارد و زحل</t>
  </si>
  <si>
    <t>اتصالات زهره و مریخ</t>
  </si>
  <si>
    <t>اتصالات زهره و مشتری</t>
  </si>
  <si>
    <t>اتصالات زهره و زحل</t>
  </si>
  <si>
    <t>اتصالات مریخ و مشتری</t>
  </si>
  <si>
    <t>اتصالات مریخ و زحل</t>
  </si>
  <si>
    <t>اتصالات</t>
  </si>
  <si>
    <t>آنچه که به محاسبه زیج بدست آمد طول صاحب گنجبه مبدایت گرینویچ باید 85.93333 باشد، لکن با محاسبه دقیق تر 85.890166667 بدست آمد و لذا این عدد جایگزین شد</t>
  </si>
  <si>
    <t>شمس و عطارد</t>
  </si>
  <si>
    <t>شمس و زهره</t>
  </si>
  <si>
    <t>شمس و مریخ</t>
  </si>
  <si>
    <t>شمس و زحل</t>
  </si>
  <si>
    <t>قمر و زهره</t>
  </si>
  <si>
    <t>قمر و مریخ</t>
  </si>
  <si>
    <t>قمر و مشتری</t>
  </si>
  <si>
    <t>قمر و زحل</t>
  </si>
  <si>
    <t>عطارد و زهره</t>
  </si>
  <si>
    <t>عطارد و مریخ</t>
  </si>
  <si>
    <t>عطارد و مشتری</t>
  </si>
  <si>
    <t>عطارد و زحل</t>
  </si>
  <si>
    <t>زهره و مریخ</t>
  </si>
  <si>
    <t>زهره و مشتری</t>
  </si>
  <si>
    <t>زهره و زحل</t>
  </si>
  <si>
    <t>مریخ و مشتری</t>
  </si>
  <si>
    <t>مریخ و زحل</t>
  </si>
  <si>
    <t>مشتری و زحل</t>
  </si>
  <si>
    <t>کوکبین</t>
  </si>
  <si>
    <t>شمس و قمر</t>
  </si>
  <si>
    <t>شمس و مشتری</t>
  </si>
  <si>
    <t>قمر و عطارد</t>
  </si>
  <si>
    <t>جوک غیرمعدل</t>
  </si>
  <si>
    <t>زمانه وسط جوک</t>
  </si>
  <si>
    <t xml:space="preserve">سال ماضی </t>
  </si>
  <si>
    <t>مقدار حرکت ثوابت</t>
  </si>
  <si>
    <t xml:space="preserve">نچهتر هندی </t>
  </si>
  <si>
    <t>نچهتر فارسی</t>
  </si>
  <si>
    <t>نچهتر ص622</t>
  </si>
  <si>
    <t>انتقال نچهتر</t>
  </si>
  <si>
    <t>تقویم قمر در نصف النهار</t>
  </si>
  <si>
    <t>منتهای نچهتر</t>
  </si>
  <si>
    <t>بهت انتقال</t>
  </si>
  <si>
    <t>کهری انتقال از نصف النهار</t>
  </si>
  <si>
    <t>کهری انتقال از طلوع</t>
  </si>
  <si>
    <t>کهریهای نصف النهار</t>
  </si>
  <si>
    <t>تعداد</t>
  </si>
  <si>
    <t>تقویم کوکب 1</t>
  </si>
  <si>
    <t>تقویم کوکب 2</t>
  </si>
  <si>
    <t>تناظر مطلعی و زمانی</t>
  </si>
  <si>
    <t>زمان تحویلات و اتصلات و تناظر باید با موتور جستجو نیز حاصل شود( آقای بشیری)</t>
  </si>
  <si>
    <t>شرف یا هبوط</t>
  </si>
  <si>
    <t>میل افق حادث در اکسل اصلاح شود</t>
  </si>
  <si>
    <t>ساعت و دقیقه</t>
  </si>
  <si>
    <t>برخی ما بین الطلوعین را بیشتر از مابین غروب و مغیب شفق دانسته اند (دروس معرفت وقت و قبله ص252)</t>
  </si>
  <si>
    <t>هر</t>
  </si>
  <si>
    <t>سال باید یک روز به سال قمری وسطی افزوده شود</t>
  </si>
  <si>
    <t xml:space="preserve"> دقیق تر است vba</t>
  </si>
  <si>
    <t>ساعات حقیقی</t>
  </si>
  <si>
    <t>ساعات مستوی</t>
  </si>
  <si>
    <t>ابتدای بیت</t>
  </si>
  <si>
    <t>تحصیل طالع</t>
  </si>
  <si>
    <t>بیوت کواکب</t>
  </si>
  <si>
    <t>زایچه مشهور- مرکز بیوت</t>
  </si>
  <si>
    <t>زایچه</t>
  </si>
  <si>
    <t>بیت 1</t>
  </si>
  <si>
    <t>مرکز بیت:</t>
  </si>
  <si>
    <t xml:space="preserve">بیت 9   </t>
  </si>
  <si>
    <t>بیت الحیاة</t>
  </si>
  <si>
    <t>بیت الخوف</t>
  </si>
  <si>
    <t xml:space="preserve">بیت الاعداء </t>
  </si>
  <si>
    <t>vba اصلاح شد</t>
  </si>
  <si>
    <t>میل حادث</t>
  </si>
  <si>
    <t>عرض حادث</t>
  </si>
  <si>
    <t>ساعت رسمی کشور</t>
  </si>
  <si>
    <t>وسط شمس در هنگامی صفر می شود که تقویم شمس حدود 2 درجه باشد، یعنی مبدا وسط شمس درجه 2 حمل است تقریبا( و این به دلیل تعدیل الایام بلیالیها است)</t>
  </si>
  <si>
    <t>ساعت مستویه به ساعت رسمی</t>
  </si>
  <si>
    <t xml:space="preserve">ورودی </t>
  </si>
  <si>
    <t>ارتفاع ناظر</t>
  </si>
  <si>
    <t>نصف قطر ارض</t>
  </si>
  <si>
    <t>بعد مرکز عالم تا شمس</t>
  </si>
  <si>
    <t xml:space="preserve">a </t>
  </si>
  <si>
    <t>مرکز معدل</t>
  </si>
  <si>
    <t>فاصله افق حقیقی و ترسی</t>
  </si>
  <si>
    <t>فاصله زمانی بین طلوع بنا برافق حقیقی و حسی</t>
  </si>
  <si>
    <t>تفاضل بین وسط و تقویم شمس هنگام تحویل سال</t>
  </si>
  <si>
    <t>ساعت بلوغ کف الخضیب به نصف النهار</t>
  </si>
  <si>
    <t>ما بین طول بلد وتهران</t>
  </si>
  <si>
    <t>طلوع</t>
  </si>
  <si>
    <t>غروب</t>
  </si>
  <si>
    <t>عشاء</t>
  </si>
  <si>
    <t>مقدار تقریبی 17.4 ( 15 مطابق احتیاط است)</t>
  </si>
  <si>
    <t>مقدار نصف قطرشمس و انکسار نور و تفاوت افق حقیقی و ترسی</t>
  </si>
  <si>
    <t>طلوع قبل از  کسر 3 دقیقه</t>
  </si>
  <si>
    <t>غروب قبل از کسر 3 دقیقه</t>
  </si>
  <si>
    <t>انحطاط شمس عند طلوع فجر صادق</t>
  </si>
  <si>
    <t>انحطاط شمس عند طلوع فجر کاذب</t>
  </si>
  <si>
    <t>ما بین غروب جرم شمس و غروب شفق</t>
  </si>
  <si>
    <t>نیمه شب</t>
  </si>
  <si>
    <t>مقایسه محاسبات ما در نرم افزار با باد صبا</t>
  </si>
  <si>
    <t>اذان ظهر گاهی تا یک دقیقه اختلاف دارد</t>
  </si>
  <si>
    <t>عشاء 2 تا 3 دقیقه</t>
  </si>
  <si>
    <t>صبح وطلوع و غروب و مغرب 1 تا 2 دقیقه</t>
  </si>
  <si>
    <t>2/7 شاخص</t>
  </si>
  <si>
    <t>مجموع ساعت</t>
  </si>
  <si>
    <t>می توان محاسبه کرد که در هر روز به رو کردن به شمس سمت قبله را بدست آورد یعنی زمانی که شمس به دایره سمت قبله می رسد</t>
  </si>
  <si>
    <t>سل</t>
  </si>
  <si>
    <t>ارتفاع عند العصر</t>
  </si>
  <si>
    <t>شاخص4/7</t>
  </si>
  <si>
    <t>ساعت انتهای فضیلت ظهر2/7</t>
  </si>
  <si>
    <t>ساعت ابتدای فضیلت عصر 4/7</t>
  </si>
  <si>
    <t>ساعت ابتدای فضیلت عصر مثل شاخص</t>
  </si>
  <si>
    <t>زمان عصر</t>
  </si>
  <si>
    <t>ظل زاید عند العصر</t>
  </si>
  <si>
    <t>طالع از ارتفاع</t>
  </si>
  <si>
    <t>نصف ما بین غروب و طلوع فجر</t>
  </si>
  <si>
    <t>ساعت زیج</t>
  </si>
  <si>
    <t>غربی</t>
  </si>
  <si>
    <t>اگرساعت به عنوان ورودی باشد باید تعدیل زمان از ساعت کم شود</t>
  </si>
  <si>
    <t>اگرساعت به عنوان خروجی باشد باید تعدیل زمان بر ساعت افزوده شود</t>
  </si>
  <si>
    <t>طول بلد (زیج)</t>
  </si>
  <si>
    <t>ساعت عند الزوال</t>
  </si>
  <si>
    <t>این ساعت به افق تهران است و باید به افق شهر مورد نظر باشد</t>
  </si>
  <si>
    <t>طلوع+2</t>
  </si>
  <si>
    <t>غروب-2</t>
  </si>
  <si>
    <t>تهران</t>
  </si>
  <si>
    <t>صاحب گنج</t>
  </si>
  <si>
    <t>برای محاسبه مقدار انخساف عرض حقیقی قمر در نظر گرفته شده است در حالی که باید عرض مرئی مرعی شود</t>
  </si>
  <si>
    <t>نصف زح</t>
  </si>
  <si>
    <t>زد</t>
  </si>
  <si>
    <t>زب</t>
  </si>
  <si>
    <t>مجموع مربع قطرین</t>
  </si>
  <si>
    <t>مساحت  قطاع ظل</t>
  </si>
  <si>
    <t>مساحت مثلث ظل</t>
  </si>
  <si>
    <t>مساحت قطعه ظل</t>
  </si>
  <si>
    <t>زاویه ظل</t>
  </si>
  <si>
    <t>زاویه قمر</t>
  </si>
  <si>
    <t>وتر عرض</t>
  </si>
  <si>
    <t>مرکز ظل تا موقع عمود (ارتفاع مثلث ظل)</t>
  </si>
  <si>
    <t>اصابع جرم 2</t>
  </si>
  <si>
    <t>اصابع قطر 1</t>
  </si>
  <si>
    <t>بررسی خسوف از طریق شکل و برهان</t>
  </si>
  <si>
    <t>اصابع قطر 2</t>
  </si>
  <si>
    <t>اصابع جرم 1 اگر گرفتگی کمتر از نصف باشد</t>
  </si>
  <si>
    <t>درصد قطر</t>
  </si>
  <si>
    <t>درصد جرم</t>
  </si>
  <si>
    <t>مساحت قطاع ظل</t>
  </si>
  <si>
    <t>مساحت قطاع قمر</t>
  </si>
  <si>
    <t>در این جافرمول درواقع تقریبانصف فرمول قطاع است .وتقریبیبه خاطراین که به جای3.14 که عدد بیاست 3حسابکردهاست.</t>
  </si>
  <si>
    <t>در این مرحله در کتاب اشتباهی رخ داده است</t>
  </si>
  <si>
    <t>مثالهایی از خسوف در تقویم علامه حسن زاده</t>
  </si>
  <si>
    <t>11   37</t>
  </si>
  <si>
    <t>11  44</t>
  </si>
  <si>
    <t>0   30</t>
  </si>
  <si>
    <t>0   13</t>
  </si>
  <si>
    <t>4   19</t>
  </si>
  <si>
    <t>3   28</t>
  </si>
  <si>
    <t>10   9</t>
  </si>
  <si>
    <t>10   49</t>
  </si>
  <si>
    <t>کلی</t>
  </si>
  <si>
    <t>3   55</t>
  </si>
  <si>
    <t>3   4</t>
  </si>
  <si>
    <t>1   51</t>
  </si>
  <si>
    <t>1    3</t>
  </si>
  <si>
    <t>11  47</t>
  </si>
  <si>
    <t>11  56</t>
  </si>
  <si>
    <t>4  45</t>
  </si>
  <si>
    <t>3  59</t>
  </si>
  <si>
    <t>0   24</t>
  </si>
  <si>
    <t>0  6</t>
  </si>
  <si>
    <t>8   43</t>
  </si>
  <si>
    <t>8   53</t>
  </si>
  <si>
    <t>1  37</t>
  </si>
  <si>
    <t>0   51</t>
  </si>
  <si>
    <t>2   6</t>
  </si>
  <si>
    <t>نرم افزار</t>
  </si>
  <si>
    <t>5  28</t>
  </si>
  <si>
    <t>4  51</t>
  </si>
  <si>
    <t>2   38</t>
  </si>
  <si>
    <t>1  43</t>
  </si>
  <si>
    <t>3   6</t>
  </si>
  <si>
    <t>2  11</t>
  </si>
  <si>
    <t>2  20</t>
  </si>
  <si>
    <t>1  26</t>
  </si>
  <si>
    <t>11  14</t>
  </si>
  <si>
    <t>11  40</t>
  </si>
  <si>
    <t>10  38</t>
  </si>
  <si>
    <t>11  4</t>
  </si>
  <si>
    <t>5  6</t>
  </si>
  <si>
    <t>4  24</t>
  </si>
  <si>
    <t>7  23</t>
  </si>
  <si>
    <t>7  22</t>
  </si>
  <si>
    <t>time and data سایت</t>
  </si>
  <si>
    <t>محاسبه نرم افزار ما صحیح است</t>
  </si>
  <si>
    <t>اصبع</t>
  </si>
  <si>
    <t>تقویم علامه</t>
  </si>
  <si>
    <t>1  10</t>
  </si>
  <si>
    <t>نیم سایه</t>
  </si>
  <si>
    <t xml:space="preserve">مثالهایی از خسوف درسایت time and data </t>
  </si>
  <si>
    <t>باید اصلاح شود</t>
  </si>
  <si>
    <t>طول بلد زیج</t>
  </si>
  <si>
    <t>طول بلد از گرینویچ</t>
  </si>
  <si>
    <t>زمان اجتماع حقیقی به ساعت رسمی تهران</t>
  </si>
  <si>
    <t>تفاوت ساعت بلد با تهران</t>
  </si>
  <si>
    <t>تقویم شمس در اجتماع حقیقی</t>
  </si>
  <si>
    <t>تقویم قمر در اجتماع حقیقی</t>
  </si>
  <si>
    <t>ساعت اجتماع حقیقی به ساعت رسمی</t>
  </si>
  <si>
    <t>اکسل</t>
  </si>
  <si>
    <t>در مقدار ظل زاید در ابتدای فضیلت عصر اختلاف است برخی 4/7*60 می دانند و برخی به مقدارخود شاخص یعنی 60.</t>
  </si>
  <si>
    <t xml:space="preserve">عصر </t>
  </si>
  <si>
    <t>انتهای عصر</t>
  </si>
  <si>
    <t>جزء تمام بعد</t>
  </si>
  <si>
    <t>بعد قمر از معدل</t>
  </si>
  <si>
    <t>تمام بعد</t>
  </si>
  <si>
    <t>ارتفاع vba</t>
  </si>
  <si>
    <t xml:space="preserve">قم </t>
  </si>
  <si>
    <t>ساعت وسط کسوف</t>
  </si>
  <si>
    <t>کربلای معلی</t>
  </si>
  <si>
    <t>جهت کوکب ( فوق الارض یا تحت الارض)</t>
  </si>
  <si>
    <t>عرض اقلیم روش دیگر</t>
  </si>
  <si>
    <t>ارتفاع کوکب با فرمول سابق تا چند دقیقه اختلاف دارد</t>
  </si>
  <si>
    <t>گرمسار</t>
  </si>
  <si>
    <t>شرقی غربی</t>
  </si>
  <si>
    <t>29 مارس 2006(1427-29ماه دوم)</t>
  </si>
  <si>
    <t>1 اگوست 2008(1429-29 ماه 7)</t>
  </si>
  <si>
    <t>15 جنری 2010(1431-30 ماه اول)</t>
  </si>
  <si>
    <t>4 جنری 2011(1432-29ماه 1)</t>
  </si>
  <si>
    <t>20 مارس 2015(1436-29 ماه 5)</t>
  </si>
  <si>
    <r>
      <t>ساعت بدو:</t>
    </r>
    <r>
      <rPr>
        <sz val="12"/>
        <color rgb="FF00B0F0"/>
        <rFont val="Arial"/>
        <family val="2"/>
      </rPr>
      <t>1و 42دقیقه</t>
    </r>
  </si>
  <si>
    <r>
      <t>ساعت وسط:</t>
    </r>
    <r>
      <rPr>
        <sz val="12"/>
        <color rgb="FF00B0F0"/>
        <rFont val="Arial"/>
        <family val="2"/>
      </rPr>
      <t>2و 54 دقیقه بعدازظهر</t>
    </r>
  </si>
  <si>
    <r>
      <t>ساعت انتها :</t>
    </r>
    <r>
      <rPr>
        <sz val="12"/>
        <color rgb="FF00B0F0"/>
        <rFont val="Arial"/>
        <family val="2"/>
      </rPr>
      <t>4و 1 دقیقه</t>
    </r>
  </si>
  <si>
    <r>
      <t>درصد گرفتگی:</t>
    </r>
    <r>
      <rPr>
        <sz val="12"/>
        <color rgb="FF00B0F0"/>
        <rFont val="Arial"/>
        <family val="2"/>
      </rPr>
      <t>62درصد</t>
    </r>
  </si>
  <si>
    <r>
      <t xml:space="preserve">ساعت بدو:ساعت </t>
    </r>
    <r>
      <rPr>
        <sz val="12"/>
        <color rgb="FF00B0F0"/>
        <rFont val="Arial"/>
        <family val="2"/>
      </rPr>
      <t>2و 33 دقیقه</t>
    </r>
  </si>
  <si>
    <r>
      <t xml:space="preserve">ساعت وسط:ساعت </t>
    </r>
    <r>
      <rPr>
        <sz val="12"/>
        <color rgb="FF00B0F0"/>
        <rFont val="Arial"/>
        <family val="2"/>
      </rPr>
      <t>3و 33 دقیقه بعدازظهر</t>
    </r>
  </si>
  <si>
    <r>
      <t xml:space="preserve">ساعت انتها:ساعت </t>
    </r>
    <r>
      <rPr>
        <sz val="12"/>
        <color rgb="FF00B0F0"/>
        <rFont val="Arial"/>
        <family val="2"/>
      </rPr>
      <t>4و 27 دقیقه</t>
    </r>
  </si>
  <si>
    <r>
      <t>درصد گرفتگی:</t>
    </r>
    <r>
      <rPr>
        <sz val="12"/>
        <color rgb="FF00B0F0"/>
        <rFont val="Arial"/>
        <family val="2"/>
      </rPr>
      <t>25.5</t>
    </r>
  </si>
  <si>
    <r>
      <t xml:space="preserve">21,22 </t>
    </r>
    <r>
      <rPr>
        <sz val="12"/>
        <color rgb="FFFF0000"/>
        <rFont val="Arial"/>
        <family val="2"/>
      </rPr>
      <t>جولای 2009(1430-29 ماه 7)</t>
    </r>
  </si>
  <si>
    <r>
      <t xml:space="preserve">ساعت بدو:ساعت </t>
    </r>
    <r>
      <rPr>
        <sz val="12"/>
        <color rgb="FF00B0F0"/>
        <rFont val="Arial"/>
        <family val="2"/>
      </rPr>
      <t>6و 4 دقیقه</t>
    </r>
  </si>
  <si>
    <r>
      <t xml:space="preserve">ساعت وسط:ساعت </t>
    </r>
    <r>
      <rPr>
        <sz val="12"/>
        <color rgb="FF00B0F0"/>
        <rFont val="Arial"/>
        <family val="2"/>
      </rPr>
      <t>6 و 8 دقیقه</t>
    </r>
  </si>
  <si>
    <r>
      <t xml:space="preserve">ساعت انتها:ساعت </t>
    </r>
    <r>
      <rPr>
        <sz val="12"/>
        <color rgb="FF00B0F0"/>
        <rFont val="Arial"/>
        <family val="2"/>
      </rPr>
      <t>6 و 15 دقیقه</t>
    </r>
  </si>
  <si>
    <r>
      <t>درصد گرفتگی:</t>
    </r>
    <r>
      <rPr>
        <sz val="12"/>
        <color rgb="FF00B0F0"/>
        <rFont val="Arial"/>
        <family val="2"/>
      </rPr>
      <t>4.15</t>
    </r>
  </si>
  <si>
    <r>
      <t>بدو کسوف:</t>
    </r>
    <r>
      <rPr>
        <sz val="12"/>
        <color rgb="FF00B0F0"/>
        <rFont val="Arial"/>
        <family val="2"/>
      </rPr>
      <t xml:space="preserve">ساعت </t>
    </r>
    <r>
      <rPr>
        <sz val="12"/>
        <color rgb="FF00B0F0"/>
        <rFont val="Calibri"/>
        <family val="2"/>
        <scheme val="minor"/>
      </rPr>
      <t>9</t>
    </r>
    <r>
      <rPr>
        <sz val="12"/>
        <color rgb="FF00B0F0"/>
        <rFont val="Arial"/>
        <family val="2"/>
      </rPr>
      <t xml:space="preserve"> و 36</t>
    </r>
  </si>
  <si>
    <r>
      <t xml:space="preserve">وسط کسوف:ساعت </t>
    </r>
    <r>
      <rPr>
        <sz val="12"/>
        <color rgb="FF00B0F0"/>
        <rFont val="Calibri"/>
        <family val="2"/>
        <scheme val="minor"/>
      </rPr>
      <t>10</t>
    </r>
    <r>
      <rPr>
        <sz val="12"/>
        <color rgb="FF00B0F0"/>
        <rFont val="Arial"/>
        <family val="2"/>
      </rPr>
      <t xml:space="preserve"> و 23 دقیقه </t>
    </r>
  </si>
  <si>
    <r>
      <t xml:space="preserve">انتها کسوف:ساعت </t>
    </r>
    <r>
      <rPr>
        <sz val="12"/>
        <color rgb="FF00B0F0"/>
        <rFont val="Calibri"/>
        <family val="2"/>
        <scheme val="minor"/>
      </rPr>
      <t>11</t>
    </r>
    <r>
      <rPr>
        <sz val="12"/>
        <color rgb="FF00B0F0"/>
        <rFont val="Arial"/>
        <family val="2"/>
      </rPr>
      <t>و 30 دقیقه</t>
    </r>
  </si>
  <si>
    <r>
      <t xml:space="preserve">درصد گرفتگی: </t>
    </r>
    <r>
      <rPr>
        <sz val="12"/>
        <color rgb="FF00B0F0"/>
        <rFont val="Arial"/>
        <family val="2"/>
      </rPr>
      <t>7.54</t>
    </r>
  </si>
  <si>
    <r>
      <t>درصدگرفتگی:</t>
    </r>
    <r>
      <rPr>
        <sz val="12"/>
        <color rgb="FF00B0F0"/>
        <rFont val="Arial"/>
        <family val="2"/>
      </rPr>
      <t>39.27</t>
    </r>
  </si>
  <si>
    <r>
      <t>بدو کسوف:</t>
    </r>
    <r>
      <rPr>
        <sz val="12"/>
        <color rgb="FF00B0F0"/>
        <rFont val="Arial"/>
        <family val="2"/>
      </rPr>
      <t>ساعت 1 و 42 دقیقه</t>
    </r>
  </si>
  <si>
    <r>
      <t>وسط کسوف:</t>
    </r>
    <r>
      <rPr>
        <sz val="12"/>
        <color rgb="FF00B0F0"/>
        <rFont val="Arial"/>
        <family val="2"/>
      </rPr>
      <t xml:space="preserve">ساعت 2 و 4 دقیقه </t>
    </r>
  </si>
  <si>
    <r>
      <t>انتها کسوف:</t>
    </r>
    <r>
      <rPr>
        <sz val="12"/>
        <color rgb="FF00B0F0"/>
        <rFont val="Arial"/>
        <family val="2"/>
      </rPr>
      <t>ساعت 2 و 25 دقیقه</t>
    </r>
  </si>
  <si>
    <r>
      <t>درصد گرفتگی:</t>
    </r>
    <r>
      <rPr>
        <sz val="12"/>
        <color rgb="FF00B0F0"/>
        <rFont val="Arial"/>
        <family val="2"/>
      </rPr>
      <t>0.86</t>
    </r>
  </si>
  <si>
    <t xml:space="preserve">اگر شهرمورد نظر در ایران نباشد ما به التفاوت بین شهر مذکور و مبدا رصد باید لحاظ شود </t>
  </si>
  <si>
    <t>و اگر غیر از تهران باشد باید ملاحظه شود</t>
  </si>
  <si>
    <t xml:space="preserve">کسوف </t>
  </si>
  <si>
    <t>درصد گرفتگی جرم</t>
  </si>
  <si>
    <t>ساعات اجتماع از اول روز (طلوع شمس)</t>
  </si>
  <si>
    <r>
      <t>ساعت انتها:</t>
    </r>
    <r>
      <rPr>
        <sz val="12"/>
        <color rgb="FF00B0F0"/>
        <rFont val="Arial"/>
        <family val="2"/>
      </rPr>
      <t xml:space="preserve">ساعت 2و 15 دقیقه </t>
    </r>
  </si>
  <si>
    <t>نرم افزار صحیح است</t>
  </si>
  <si>
    <t>قریب به 4 اصبع قطر</t>
  </si>
  <si>
    <t>قریب به 2 اصبع قطر</t>
  </si>
  <si>
    <t>قریب به 6 اصبع قطر</t>
  </si>
  <si>
    <t xml:space="preserve">ساعات اجتماع حقیقی </t>
  </si>
  <si>
    <t>اندکی گرفتگی دارد</t>
  </si>
  <si>
    <t>استاری نایت</t>
  </si>
  <si>
    <t>وسط کسوف: 51   12</t>
  </si>
  <si>
    <r>
      <t>بدو کسوف:</t>
    </r>
    <r>
      <rPr>
        <sz val="12"/>
        <color rgb="FF00B0F0"/>
        <rFont val="Arial"/>
        <family val="2"/>
      </rPr>
      <t>ساعت 11 و 21 دقیقه</t>
    </r>
  </si>
  <si>
    <t>اطلاعات صحیح نیست</t>
  </si>
  <si>
    <t>باقی تا ربع دور(بعد تقویم قمر از تربیع طالع)</t>
  </si>
  <si>
    <t>درصد گرفتگی</t>
  </si>
  <si>
    <t>ما بین تقویمین</t>
  </si>
  <si>
    <t>ساعات روز</t>
  </si>
  <si>
    <t>مبدأ ساعت</t>
  </si>
  <si>
    <t>ساعات شب</t>
  </si>
  <si>
    <t>مقدار یک ساعت معوجه شب</t>
  </si>
  <si>
    <t>مقدار یک ساعت معوجه روز</t>
  </si>
  <si>
    <t xml:space="preserve">دقیقه </t>
  </si>
  <si>
    <t>محاسبه مبدا ساعات شبانه روز به ساعت معوجه</t>
  </si>
  <si>
    <t>خورشید گرفتگی جزیی</t>
  </si>
  <si>
    <t>اندازه گرفتگی:0.6424</t>
  </si>
  <si>
    <t>کل مدت کسوف:2 ساعت و 28 دقیقه</t>
  </si>
  <si>
    <t>شروع:13:41</t>
  </si>
  <si>
    <t>وسط:14:58</t>
  </si>
  <si>
    <t>انتها:16:09</t>
  </si>
  <si>
    <t>اندازه گرفتگی:0.9435</t>
  </si>
  <si>
    <t>کل مدت کسوف:2 ساعت و 28 دقیقه و 30 ثانیه</t>
  </si>
  <si>
    <t>شروع:15:09</t>
  </si>
  <si>
    <t>وسط:16:28</t>
  </si>
  <si>
    <t>انتها:17:38</t>
  </si>
  <si>
    <t>اندازه گرفتگی:0.9752</t>
  </si>
  <si>
    <t>مدت کل کسوف:2 ساعت</t>
  </si>
  <si>
    <t>شروع:06:18</t>
  </si>
  <si>
    <t>وسط:06:23</t>
  </si>
  <si>
    <t>انتها:7:26</t>
  </si>
  <si>
    <t>25 اکتبر 2022     قمری  29.3.1444</t>
  </si>
  <si>
    <t>24 اکتبر1995  قمری  1416.5.29</t>
  </si>
  <si>
    <t>11 اگوست 1999   قمری    1420.4.29</t>
  </si>
  <si>
    <t>سایت صحیح است</t>
  </si>
  <si>
    <t>محفوظ اول ass</t>
  </si>
  <si>
    <t>محفوظ دوم at</t>
  </si>
  <si>
    <t>1386.1.28</t>
  </si>
  <si>
    <t>جرم</t>
  </si>
  <si>
    <t>7   5</t>
  </si>
  <si>
    <t>قطر</t>
  </si>
  <si>
    <t>7    59</t>
  </si>
  <si>
    <t>حرکت تقویمی شمس دریکروز</t>
  </si>
  <si>
    <t xml:space="preserve">عرض اقلیم </t>
  </si>
  <si>
    <t>عرض اقلیم</t>
  </si>
  <si>
    <t>غروب آفتاب</t>
  </si>
  <si>
    <t>ارتفاع شمس عند الغروب</t>
  </si>
  <si>
    <t>ارتفاع شمس عند الطلوع</t>
  </si>
  <si>
    <t>ورودی طالع باید ساعت زیج باشد نه ساعت رسمی</t>
  </si>
  <si>
    <t>بغداد</t>
  </si>
  <si>
    <t>قاهره</t>
  </si>
  <si>
    <t>گاهی خطا می دهد مثبت منفی می دهد</t>
  </si>
  <si>
    <t>اگر 17.4 درجه لحاظ شود (مطابق باد صبا)</t>
  </si>
  <si>
    <t>اگر  15 درجه لحاظ شود (نظر علامه حسن زاده و استاد)</t>
  </si>
  <si>
    <t xml:space="preserve"> 18درجه </t>
  </si>
  <si>
    <t>با توجه به عبارت دروس معرفت وقت و قبله ص270 (چاپ جدید ص256) بهتر است به جای انحطاط 18 (4 دقیقه از تقویم شمس)، ارتفاع 15 درجه(3 دقیقه و 20 ثانیه از تقویم شمس) محاسبه شود</t>
  </si>
  <si>
    <t>درجه انحطاط شمس</t>
  </si>
  <si>
    <t>میزان تاثیر درتقویم شمس</t>
  </si>
  <si>
    <t>هنگام غروب آفتاب</t>
  </si>
  <si>
    <t>عشاء 15 درجه</t>
  </si>
  <si>
    <t>عشاء 17.4 درجه</t>
  </si>
  <si>
    <t>ساعت غروب قمر</t>
  </si>
  <si>
    <t>انحطاط شمس هنام غروب قمر</t>
  </si>
  <si>
    <t>اختلاف منظر کلی معدل قمر</t>
  </si>
  <si>
    <t>جهت عرض مرئی</t>
  </si>
  <si>
    <t>در شام 29 ماه همیشه تقویم قمربیشتر ازتقویم شمس است</t>
  </si>
  <si>
    <t>شب</t>
  </si>
  <si>
    <t>این سطر تدقیق شود</t>
  </si>
  <si>
    <t>اول ماه نو</t>
  </si>
  <si>
    <t>روز 29 ام ماه سابق</t>
  </si>
  <si>
    <t xml:space="preserve">بعد معدل </t>
  </si>
  <si>
    <t>تعداد روزهای گذشته وسطی</t>
  </si>
  <si>
    <t xml:space="preserve">فرمول نهایی رویت هلال </t>
  </si>
  <si>
    <t>تعیین روز هفته براساس روز وسطی</t>
  </si>
  <si>
    <t>کبیسه</t>
  </si>
  <si>
    <t>اذان صبح 17.4 درجه (فجر کاذب)</t>
  </si>
  <si>
    <t>صبح 15 درجه</t>
  </si>
  <si>
    <t>تا آخرین دوره 30 ساله</t>
  </si>
  <si>
    <t>تعداد دوره های 30 ساله</t>
  </si>
  <si>
    <t>تعداد کبیسه های در ادوار 30 ساله</t>
  </si>
  <si>
    <t>حرکت یک دور زحل زیج</t>
  </si>
  <si>
    <t>حرکت یک دور زحل امروزی</t>
  </si>
  <si>
    <t>تفاوت به روز</t>
  </si>
  <si>
    <t>قیل</t>
  </si>
  <si>
    <t>استاری نایت تقویم</t>
  </si>
  <si>
    <t>نرم افزار تقویم</t>
  </si>
  <si>
    <t>زیج</t>
  </si>
  <si>
    <t>غیر کبیسه</t>
  </si>
  <si>
    <t>سعد یا نحس</t>
  </si>
  <si>
    <t>فرسی قدیمی یزدگردی</t>
  </si>
  <si>
    <t>مذکر مونث</t>
  </si>
  <si>
    <t>آبار</t>
  </si>
  <si>
    <t>وضوح (نیره مضیئه قتمه مظلمه)</t>
  </si>
  <si>
    <t>اثنا عشریه</t>
  </si>
  <si>
    <t>حدود (مصریان)</t>
  </si>
  <si>
    <t>ص679</t>
  </si>
  <si>
    <t>وجوه</t>
  </si>
  <si>
    <t>ص680</t>
  </si>
  <si>
    <t>ص681</t>
  </si>
  <si>
    <t>ایام هفته</t>
  </si>
  <si>
    <t>نیم بهره</t>
  </si>
  <si>
    <t>ماضی وسطی</t>
  </si>
  <si>
    <t>ص684</t>
  </si>
  <si>
    <t>ساعت معوجه</t>
  </si>
  <si>
    <t>*بهره ساعت</t>
  </si>
  <si>
    <t>مبدا ساعت معوجه به ساعت مستویه</t>
  </si>
  <si>
    <t>منزل قمر</t>
  </si>
  <si>
    <t>برج کوکب</t>
  </si>
  <si>
    <t>ص696 تا 698</t>
  </si>
  <si>
    <t>سهام کواکب سبعه سیاره که در جمیع احکام ماخوذ می شود</t>
  </si>
  <si>
    <t xml:space="preserve">اسامی سهم </t>
  </si>
  <si>
    <t>سهم السعادت</t>
  </si>
  <si>
    <t>دلیل است بر بزرگی و راستگویی و شکوه و بهاء</t>
  </si>
  <si>
    <t>دلیل است بر معادن و فرمان و کامروایی وحشمت</t>
  </si>
  <si>
    <t>دلیل است بر دور اندیشی و برچیزهای گم بوده و بر میراث و اضیاع</t>
  </si>
  <si>
    <t>دلیل است بر سروری وعزت ، کار نیک و شکر و داد و امانت</t>
  </si>
  <si>
    <t>دلیل است بر تهور و شجاعت و تندی و کشتی و دزدی</t>
  </si>
  <si>
    <t>دلیل است بر شهوت و رغبت نمودن در مردان و لهو و خرمی</t>
  </si>
  <si>
    <t>دلیل است بر بیم و خصومت و خرید و فروخت و طلب عملها</t>
  </si>
  <si>
    <t>سهمها</t>
  </si>
  <si>
    <t>روز و شب</t>
  </si>
  <si>
    <t>سهم السحاب و المطر</t>
  </si>
  <si>
    <t>سهم الجسد</t>
  </si>
  <si>
    <t>سهم گندم و نخود</t>
  </si>
  <si>
    <t>سهم هایی که در احکام موالید و اختیارات به کار آید</t>
  </si>
  <si>
    <t>سهم اوام</t>
  </si>
  <si>
    <t>سهم ضیاع و عقار</t>
  </si>
  <si>
    <t>سهم الفت و محبت</t>
  </si>
  <si>
    <t>جزء خانه نهم</t>
  </si>
  <si>
    <t>سهم جو و ذرت</t>
  </si>
  <si>
    <t>سهم برنج و ماش</t>
  </si>
  <si>
    <t>سهم ارزن و گال</t>
  </si>
  <si>
    <t>سهم پنبه و قز</t>
  </si>
  <si>
    <t>سهم شکر و میوه شیرین و رطب</t>
  </si>
  <si>
    <t>سهم انگبین و میوه خشک</t>
  </si>
  <si>
    <t>سهم حجریات شریف مکینه</t>
  </si>
  <si>
    <t>سهم راست و دروغ</t>
  </si>
  <si>
    <t>سهم غلبه و فیروزی</t>
  </si>
  <si>
    <t>سهم دوستان</t>
  </si>
  <si>
    <t>سهم مرگ و تباهی</t>
  </si>
  <si>
    <t>سهم قاطع سوم</t>
  </si>
  <si>
    <t>سهم اعداء</t>
  </si>
  <si>
    <t xml:space="preserve">سهم هیلاج </t>
  </si>
  <si>
    <t>سهم القسمت</t>
  </si>
  <si>
    <t>سهم الخیرات</t>
  </si>
  <si>
    <t>سهم العلم و الحلم</t>
  </si>
  <si>
    <t>سهم الاطاعة و العمل</t>
  </si>
  <si>
    <t>سهم المعاملة</t>
  </si>
  <si>
    <t>سهم العدالة</t>
  </si>
  <si>
    <t>سهم عواقب امور</t>
  </si>
  <si>
    <t>سهم قسمت</t>
  </si>
  <si>
    <t>خداوند خانه نهم</t>
  </si>
  <si>
    <t>تقویم خداوند دوم؟</t>
  </si>
  <si>
    <t>خداوند دوم</t>
  </si>
  <si>
    <t>مرکز خانه نهم</t>
  </si>
  <si>
    <t>مرکز دوم</t>
  </si>
  <si>
    <t>صاحب چهارم</t>
  </si>
  <si>
    <t>خداوند 12</t>
  </si>
  <si>
    <t>خداوند موضع قمر</t>
  </si>
  <si>
    <t>مرکز خامس</t>
  </si>
  <si>
    <t>سهم یاقتن گم شده</t>
  </si>
  <si>
    <t>سهم یافتن کار</t>
  </si>
  <si>
    <t>سهم الحوادث (ص698)</t>
  </si>
  <si>
    <t>ارباب مثلثه</t>
  </si>
  <si>
    <t>سهم الغیب منسوب است به آفتاب</t>
  </si>
  <si>
    <t>سهم الحبس و السجن منسوب است به زحل</t>
  </si>
  <si>
    <t>سهم الحرب  الظفر منسوب است به مشتری</t>
  </si>
  <si>
    <t>سهم الشجاعه منسوب است به مریخ</t>
  </si>
  <si>
    <t>سهم الالفة و المحبة منسوب است به زهره</t>
  </si>
  <si>
    <t>سهم بیچارگی و درویشی منسوب است به عطارد</t>
  </si>
  <si>
    <t>خداوند خانه (عطارد)</t>
  </si>
  <si>
    <t>تحصیل زایچه</t>
  </si>
  <si>
    <t>قیقه</t>
  </si>
  <si>
    <t>مرکز بیوت</t>
  </si>
  <si>
    <t>خداوند بیت جزء مقدم</t>
  </si>
  <si>
    <t xml:space="preserve">ترتیب </t>
  </si>
  <si>
    <t xml:space="preserve">بیت </t>
  </si>
  <si>
    <t>در جایی که دو کوکب در یک بیت است یا اصلا کوکبی نیست اشکال است</t>
  </si>
  <si>
    <t>خداوند خانه جزء مقدم</t>
  </si>
  <si>
    <t>ساعت رسمی</t>
  </si>
  <si>
    <t>صاحب بیت (روضة المنجمین ص120)</t>
  </si>
  <si>
    <t>جزء مقدم(روضه المنجمین: جزء استقبال و اجتماع)</t>
  </si>
  <si>
    <t>بیت</t>
  </si>
  <si>
    <t>ترتیب</t>
  </si>
  <si>
    <t>بیت کوکب</t>
  </si>
  <si>
    <t>درجه سهم</t>
  </si>
  <si>
    <t>تفاضل انحطاط شمس</t>
  </si>
  <si>
    <t xml:space="preserve">خداوند بیوت از روضه المنجمین (ص120) اخذ شده است و لکن در صحت برداشت تردید است </t>
  </si>
  <si>
    <t>باب دوم فصل سوم در احکام قرانات ص704</t>
  </si>
  <si>
    <t>قران در ...</t>
  </si>
  <si>
    <t>حکم</t>
  </si>
  <si>
    <t>مثلثه آتشی (حمل اسد قوس)</t>
  </si>
  <si>
    <t xml:space="preserve">زحل </t>
  </si>
  <si>
    <t>با ...</t>
  </si>
  <si>
    <t>قران ...</t>
  </si>
  <si>
    <t>دلیل است بر سرما و در وقت و آفت و بیماری در زنان و خادمان و اصحاب طرب و بر آمدن نکاح ها به زور و دشواری وضع حمل و بودن خصومتها میان میان زنان و شوهران و تفاوت نرخها و بودن ابرهای سیاه و فساد بعضی میوه‌ها و لهو و طرب در مشایخ و اهل صحرا</t>
  </si>
  <si>
    <t>مثلثه خاکی (ثور سنبله جدی)</t>
  </si>
  <si>
    <t>دلالت کند بر مکروهی دبیران و عمال و ارباب قلم و تجّار و وکیلان و متصرفان و اصحاب حرفت و افتادن اراجیف و سخنان دروغ و تهمت وغمازی و بیع ضیاع و عقار و بدی احوال کاروان ها و کسادی بازارها و فساد کشت وزرع و تفاوت نرخها و سرما وباد بر وقت و بیماریها از انواع صرع و مرگ مفاجات</t>
  </si>
  <si>
    <t>مثلثه هوایی (جوزاء میزان دلو)</t>
  </si>
  <si>
    <t>مثلثه آبی (سرطان عقرب حوت)</t>
  </si>
  <si>
    <t>دلالت کند بر نکبت زنان و خادمان و افسونگران و ناسازگاری زنان با شوهران و فساد حال عطاران و بزازان و بر آمدن ابرهای سیاه در وقت و باریدگی ها و سرما و دشواری وضع حمل و فساد حال اهل طرب و برده و عشق و رغبت نکاح میان مشایخ</t>
  </si>
  <si>
    <t>دلالت کند بر بیماریهای بزرگان و علما و اهل فضل و مرگ مفاجات در اهل دیوان و متصرفان و بودن اراجیف و گواهی دروغ و کسادهای بازارها و گرانی اطعمه و آمدن کاروان ها و باریدگی ها در وقت و میل کردن مردم به علوم دقیقه و راست رفتن احکام نجوم</t>
  </si>
  <si>
    <t>دلالت کند بر غلبه کردن آبها و قوت سرما در وقت و شکستن گرما و حدوث بیماریها از سردی و خراب شدن خانها از آب و علتها در زنان و بسیاری کشت و زرع و فراخی طعام، اگر در برج حوت بود دلیل باشد بر فساد حال زنان و خاتونان و اهل نسب و توبه نمودن اهل طرب، و اگر در برج عقرب بود فساد حال زنان بدکار باشد، و اگر در سرطان باشد دلیل است بر خلاصی محبوسان و سفرهای دریا</t>
  </si>
  <si>
    <t>دلیل است بر ابرهای سیاه و باریدگی ها و سرما بر وقت زیان نباتات از کثرت باران و فساد مسافران دریا و کشتی ها و آمدن کاروان ها و کسادی بازارها و افتادن اراجیف و رونق آب کاران و بستانیان و باغبانان و بیماریها در ارباب قلم و تجار و زحمت این طایفه و نرخها متفاوت باشد و خطوط دروغ نویسند و گواهی به ناحق دهند</t>
  </si>
  <si>
    <t>دلالت کند بر عفت و صلاح زنان و خاتونان و توبه اهل طرب و وقوع نکاح ها و امانت و دیانت در مردم و قوت دین اسلام و بودن لهو وطرب و زینت در علما وقضات و وزرا و راستی و عدول از دروغ و اجابت دعا و اعتدال هوا و تندرستی خلایق و فراخی طعام و میل مردم به خیرات و آوردن مسافران از اطراف</t>
  </si>
  <si>
    <t>دلالت کند بر رونق کار صرافان و صناعان و مستوفیان و دبیران و منصرفان و راستی و امانت در طبقات مردم و آمدن کاروانیان و کثرت بیع و شرای جواهر و آمدن اخیار فرحت ناک و نوشتن خطها و قباله ها و بیع و شرای با نفع و ارزانی و فراخی اطعمه و راست آمدن معالجات و احکام نجوم و گفتن سخن های راست و حق</t>
  </si>
  <si>
    <t>دلالت کند بر حدوث فتنه با بزرگان و اراجیف و نکبت معارف و ائمه و قضات و فساد اطعمه و اشجار و بد گشتن هوا از حرارت و زیان زرع از ملخ و دیگر حیوانات و حدوث امراض حاره یابسه و قوت حال ارباب سلاح و راه داران، و اگر برج ثور بود دلیل است بر فساد نباتات، و اگر برج سنبله بود فساد اغذیه و اطعمه بود، و اگر برج جدی باشد قوت حال لشکریان و امرا و زنان بزرگان و ائمه بود</t>
  </si>
  <si>
    <t>دلالت کند بر نیکوئی احوال طرب و زینت در علما و ائمه و فقها و میل این طایفه به لهو و طرب و بر آمدن نکاح ها و فراهم آمدن قومی برای ایصال خبر و اجابت دعاها و فراخی و بسیاری نعمت ها و شیرینی ها و ملبوسات و اعتدال هوا و تندرستی خلایق و شایستگی حال کشت وزرع و عمارتهای خیر</t>
  </si>
  <si>
    <t>دلیل است بر فتنه و اراجیف و خصومت ها میان اکابر و وزرا و علما و قضات و اشراف و بد گشتن هوا و رفتن بادهای ناخوش و مُضرّ و بیماریها از سرخ باد و آبله و مانند این و افتادن فتنه ها و قتلها و مصادره و جور در قضا و بسیاری خیانت در عدول و کاتبان و خطا شدن در فتواها</t>
  </si>
  <si>
    <t>دلیل است بر قوت حال ادیان خاصه اسلامیان و جمعیت ها و رفتن به مزارهای متبرکه و اجابت دعاها و رسوخ امانت و راستی در مردم و لهو و طرب در اشراف و قیمت عطرها و ملبوسات و وزیدن بادهای خوش و تندرستی و بسیاری نباتات و میوه و اطعمه و فراخی و ارزانی و باریدگی در وقت</t>
  </si>
  <si>
    <t>دلیل است بر قوت حال وزرا و ائمه و قضات و اشراف و خاتونان و خادمان و بسیاری باران و آبها و اعتدال هوا و تندرستی خلایق و ایمنی و فراخی و ارزانی نرخها و نیکوئی حال مسافران دریا و حسن حال نباتات و میوه‌ها، و درحوت دلیل است بر مجامع خیر و نیکی حال خاتونان و اهل نسب و اجابت دعاها و(710) وقوع نکاح ها در بزرگان و رونق دین اسلام، و اگر در عقرب بود دلیل است بر توبه کردن بدکاران و خلاص محبوسان، و در سرطان دلیل است بر صلاح حال وزرا و نیکی عوام و مسافران</t>
  </si>
  <si>
    <t>دلیل است بر خرابی حال مسافران دریا و راست آمدن معالجات طیبه و نیکوئی بازارها و بیع و شرای نباتات و کاغذ وادویه و جواهر آبی و رونق اطبّا و خنکی هوا و باریدگی و ارزانی نرخها و فراخی اطعمه و میوه‌ها و قوت نباتات و رسیدن اخبار فرحت ناک و بیع ضیاع و زیادتی آب کاریز و اجتماع بزرگان جهت اصلاح کارها و بحث و مناظره و خلاصی محبوسان و نیکی حال دبیران و مردم آبکار</t>
  </si>
  <si>
    <t>دلالت کند بر فساد میان زنان و مردان و غضب و ضرب و قتل و بودن فسق و فجور و میل مردم به کارهای ناشایسته و آشکار شدن فواحش و بیماریهای خونی و اسقاط حمل و نکاح ها به زور و ناپسندیده و دلبری زنان بدکار و نقصان باریدگی و بدگشتن هوا و غلبه دزدان و تغیّر هوا</t>
  </si>
  <si>
    <t>دلالت کند بر ساختن آلت های حرب و حرکت عساکر و غضب و سفاهت در مردم و زحمت ارباب قلم و تجار و اهل بازار و غمز و تهمت بر متصرفان و محاسبه داران و خیانت در ایشان و بسیاری اراجیف و رسیدن اخبار بد و فتنه و غوغا و زدن درهم و دینار قلب و فساد حال قلب کاران و طرّاران و ظهور کیمیاگران و داغ کردن دواب و غلبه دزدان و راهزنان و سردی و تری هوا</t>
  </si>
  <si>
    <t>دلیل است بر دلیری دزدان و کثرت فسق و فجور و فاش گشتن لهو و طرب و فساد نباتات و بد گشتن هوا و تاریکی و تغیر آن و تفاوت نرخها و بیماری زنان و ناسازگاری با شوهران و طلاق و فراق به سبب عاشقی، و اگر برج ثور بود فساد حال دزدان و بدکاران باشد، و اگر جدی بود دلالت کند بر قوت حال امرا و لشکریان و گرفتن ولایتها و برده گردانیدن، و اگر برج سنبله باشد دلیل بود بر فساد اطعمه و رنج زنان فاضله و خدم و دبیران و تجّار</t>
  </si>
  <si>
    <t>دلالت کند بر فساد حال مغنیان و مطربان و فسق و فجور میان زنان و خادمان و آفت نباتات و اشجار و میوه‌ها در وقت رسیدگی و بیماریها در مردم و اسقاط حمل و بر آمدن خون و فساد حال بزرگان و اختلاف هوا و آشکارا شدن فواحش و دلیری نمودن زنان بدکار بر فسق و فجور، و اگر برج میزان بود این فساد کمتر باشد</t>
  </si>
  <si>
    <t>دلیل است بر زحمت دبیران و مستوفیان و اهل بازار و متصرفان و عمّال و تجار و اندوه اهل فضل و شعرا و گفتن سخنان بی محل و دروغ و بسیاری اراجیف و بیع دواب و برده و بدگشتن هوا و بیماری دواب و علل دبیران از سرخ باد و صرع و قی الدم و شیوع دزدی و طراری و نوشتن خطها به ناحق و دروغ و فساد حال خطاطان و نقاشان، و اگر در جوزا بود بدی کمتر باشد، و اگر در دلو بود ظهور حیله ها و طلسمات بسیار باشد، و اگر در میزان بود فساد حال اهل طرب و اهل فضل و زنان و خادمان و ندیمان باشد</t>
  </si>
  <si>
    <t>دلالت کند بر فساد آبها و حیوانات و بدی حال زنان بدکار و اسقاط حمل خاصه ذکور و فساد حال زنان شوهردار و بودن سرما و بارش در وقت و اختلاف هوا و آفت نباتات، واگر در برج سرطان بود دلیل خلاصی محبوسان باشد، و اگر در عقرب بود دلیل خلل زنان بدکار بود، و اگر در حوت بود دلیل تهمت باشد بر محارم و فساد حال مسافران دریا</t>
  </si>
  <si>
    <t>دلالت کند بر رونق کار زرگران و پیرایه کاران و نقاشان و عطاران و بزازان و اهل بازارها و بسیاری بیع برده و دواب و اعتدال ابخره و تاریکی هوا ورعد و برق و افتادن عداوتها و غضب و خصومت میان خلایق و ارزانی گوشت دواب</t>
  </si>
  <si>
    <t>دلالت کند بر بسیاری بیع و شرای اطعمه و حیوانات و شیرینی ها و جامها و حسن حال نباتات و غله و ارزانی و فراخی و نیکوئی کشت و زرع و آمد و رفت کاروانیان و مسافران دریا و بسیاری خصومت و عداوت و بدحالی وکیلان و متصرفان و آمد مفسدان و بازیگران و کمی باران و بودن سرما در وقت، و اگر سنبله بود اطعمه سخت ارزان شود</t>
  </si>
  <si>
    <t>دلیل است بر رونق موستوفیان و دبیران و عمال و تجار و بسیاری بحث در علوم و تیزی بازار برده و عطر وجامه و رونق کار شعرا و اهل فضل و اجتماع زنان و کودکان و نوشتن خطوط عشق بازی و نیکوئی احوال اشجار و میوه‌ها و وزیدن بادهای خوش و ابرها و بارش و آمدن کاروان ها و بیع برده و رونق و قوت دین اسلام و رونق مغنیان و تیزی خاطرها و طلب صحبت کودکان</t>
  </si>
  <si>
    <t>دلیل کند بر آمدن مسافران و بسیاری آبها و باریدگی و سرما در وقت و رونق کار شراب داران و ملاحان و غواصان و خمر فروشان و لهو و طرب میان عوام و مردم فرومایه و عداوت انگیزی میان مردم سفله، و اگر برج عقرب بود لوطیان افحش ظاهر گردند، و اگر برج سرطان بود بیع جواهر بسیار به وقوع آید و طرب عوام، و اگر برج حوت بود دلیل کند بر حسن حال کشتی ها و صلاح حال درماندگان و سلیطه شدن زنان و بسیاری بارش</t>
  </si>
  <si>
    <t>دلیل کند بر بزرگ شدن خداوندان ضیاع و قوت حال مشایخ و سعادت حال خاندانهای قدیم و فراخی طعام و رغبت خلایق به زراعت و عمارت و انتقال دولت و افتادن زلزله و اراجیف و توسط باریدگی و فساد بعضی نباتات و اختلاف هوا و سرما در وقت و بیماریهای مزمن و ظهور این تاثیرات  بیش‌تر در بلادی باشد که میان شرق وجنوب باشند</t>
  </si>
  <si>
    <t>دلیل است بر رنج زنان و سختی و اندوه خادمان و بیماریها در این طبقه، دشواری وضع حمل و ناسازگاری زنان با مردان و رغبت مشایخ به طرف نکاح و زینت و فساد نباتات و میوه‌ها و عمارتها و تفاوت نرخها و سرما در وقت و تاریکی و کمی باران و ارزانی برده ها و عطرها و ظهور این تاثیر در اقلیم پنجم  بیش‌تر بود و آذربایجان و دشت عرب</t>
  </si>
  <si>
    <t>دلالت کند بر فساد و فتنه و اراجیف و بد گشتن هوا و بیماریهای خونی و افتادن عداوتها و خطاشدن د رمعالجه ها و احکام نجوم و درخواست ظلم و هراس و بیم در خلایق و حرب و قتل در معارف بزرگان و خشکی سال و رفتن آتشها در هوا و وزیدن بادهای بد و فساد اشجار و خرابی خانها و فساد حال دزدان و بدکاران و شرارت مردم در کار دین و بودن سرما در وقت و تفاوت نرخها و کسادی بازارها و اغلب این تاثیرات در زمین مغرب و اقلیم ششم باشد</t>
  </si>
  <si>
    <t>دلیل است بر قوت حال اهل ادیان و رفتن سخنان در دین و مذهب اگر در دلو بود بحث و مناظره در علوم دقیق کنند و تفاوت نرخها و اگر در برج جوزا بود علم خط و بلاغت و نجوم فاش گردد و مدعیان خروج نمایند  و شعر و هزلیات و بادها جهد و در اشجار بیماریها افتد، و اگر در میزان بود نیکوئی پدید آید و بحث در علم موسیقی و خواندن شعر وقصه ها و باریدگی ها به اندازه باشد و پادشاهان عادل پدید آیند و خاندانهای قدیم رونق پذیرند بیش‌تر این تاثیرات در دیار مغرب بود</t>
  </si>
  <si>
    <t>دلالت کند بر قوت حال ارباب سلاح و امرا و جمع آمدن لشکرها و تعصب دینی و قصد کردن لشکریان بر وزرا و قضات و ائمه و اشراف و توانگران و عدل سلاطین و وقوع قتلها در وجه قصاص و زدن دراهم و گرمی هوا و فراخی و ارزانی طعام و بیماریها از حرارت و اغلب تاثیرات در نواحی مشرق و خراسان و عراق و اقلیم دوم</t>
  </si>
  <si>
    <t>دلالت کند بر فتنه و تشویش خلایق و خلاف نمودن گروهی با رئیسان خویش و بغاوت مردم سفله با بزرگان و در پی شدن به قتل ایشان و افتادن حرب و ترس و پریشانی در مردم و خرابی خانها و نکبت حرامیان و دزدان و فساد کشتی ها و مسافران دریا و بدکاری لشکریان، و اگر در برج سرطان باشد کار بدتر بود و مدعیان سفله خروج کنند و آخر الامر پشیمان شوند، و اگر در عقرب بود از دزدان خرابیها باشد و لشکرهای فروماندگان قوت کنند و زحمت رسد به خاندانهای قدیم و بزرگان و صحرانشینان و سکنای سواحل دریا، و اگر در حوت بود وزرا و علما و قضات را زیانی رسد و نکبت مسافران دریا و باران های مخرب زراعت بارد و فساد جواهر آبی باشد و بیش‌تر ظهور این تاثیرات در اقلیم سوم و طرف شمال باشد</t>
  </si>
  <si>
    <t>دلالت کند بر رفعت مردم فرومایه و سفله و نقل دولت با مردم عوام و دون همت و خلاف کردن قومی با ملوک و بزرگان خود و بسیاری آبها و تفاوت نرخها و فساد مسافران دریا و کشتی ها و بودن سرما و باریدگی ها و خرابی زراعت از آبها و باریدن باران در وقت و اغلب این تاثیرات در در نواحی شمال بود</t>
  </si>
  <si>
    <t>دلیل کند بر خروج کسانی که در دین شریف سخن گویند و انتقال دولت و ناپدید شدن سفلگان و تشویش در اکابر و اشراف و ظهور احکام منافی طبایع و تغیر هوا و تفاوت نرخها و بیماریها و خشکی سال و تفاوت نقود و تغیر بعضی عادتها و اقلیم دوم و ناحیه مشرق عظیم تر باشد</t>
  </si>
  <si>
    <t>دلیل کند بر بدی احوال امرا و لشکریان و برخاستن فتنه و ساختن آلتهای حرب و قوت گرفتن فرومایگان و بدحالی دزدان و راهزنان و خائنان و بیماریهای بد و قطع اعضا و قتلها و حرب و اجرای حدود و مصادره و موت اکابر و شدت و هراس در مردم و نقصان باریدگی ها و آبها و فساد اشجار و مزارع و حیوانات و بیم زلزله و پدید آمدن مور و ملخ و بسیاری اراجیف و قصد همدیگر و اغلب این تاثیر در اقلیم سوم بود و زمین روم</t>
  </si>
  <si>
    <t>دلیل کند بر تشویش و جمعیت لشکرها و افتادن حرب و بزرگ شدن فرومایگان و ساختن سلاحها  و و خرابی جایها و موت اکابر و ضرب دراهم و دینار قلب و نقصانی باران و عروض مکروهی در سلاطین و مشاهیر و شیوخ  ... و تاریکی هوا و برگشتن مزاج ها و آتش زدگی ها و خوف و هراس در خلایق و بیماریهای(705) خونی و قتلها و ظهور این تاثیر  بیش‌تر در اقلیم سوم و ناحیه مشرق باشد</t>
  </si>
  <si>
    <t>دلالت کند بر نکبت مسافران دریا و قصد جاهلان بر وزرا و پیشوایان و توانگران و عمال و تجار و وبسیاری بحث در علوم و مجادله و بی رونقی مدرسه ها و نقصان کاروانیان بود و قوت حال لشکریان و راهداران و خلاصی محبوسان و قوت فرومایگان و سفلگان و مخالفت میان اکابر و ائمه و قضات و افتادن فتنه ها</t>
  </si>
  <si>
    <t>دلیل است بر سعادت حال وزرا و دبیران و مستوفیان و تجّار و اهل بازار و بسیاری بحث و مجادله و رونق مدرسه ها و آمدن کاروان ها و آوردن برده و وزیدن بادهای خوش به اعتدال و تندرستی خلایق و نیکی اشجار و اطعمه و راستی احکام نجوم و علاج ها و رونق کار فضلا و عدول از سخنان دروغ و گفتن سخنان حق و گواهی راست</t>
  </si>
  <si>
    <t>دلیل است بر روائی بازارها و فراخی ... زراعی و نیکوئی نباتات و قوت حال وزرا و دبیران و پیشوایان و اطبّا و اهل تنجیم و(709) صناعان و بازرگانان و آمدن کاروان ها و اخبار خوش و سخنان راستی و حق در متصرفان و عمال و مستوفیان و ایمنی راهها و بحث ها در علوم ونقصان باریدگی</t>
  </si>
  <si>
    <t>دلیل است بر صعود ابخره و تاریکی هوا و بیماریهای اعضای عصبانی و کندی زبان و رطوبت و دماغ و فساد آبها و کشتی ها  و اراجیف و غمازی و تهمت، و اگر در برج حوت بود دزدی ها و خیانت ها بسیار افتد خاصه در سفر دریا و رنج دبیران و ظلم، و اگر در عقرب بود نیکی حال کشتی ها و حکم سرطان مثل حوت باشد</t>
  </si>
  <si>
    <t>دلیل است بر خروج کسان بوالفضول و بدی راهها و غلبه دزدان و طرّاران و فساد حال اشجار(711) و مزارع و اطعمه و نباتات و آمدن کاروان ها و افتادن اراجیف و بدی حال متصرفان و وکیلان و محاسبان دیوان و آفت دواب و نقصان بارش، و اگر برج جدی بود دلالت کند بر ترتیب کار لشکرها و ظهور حکما، و اگر در سنبله بود دلیل ظلم و فساد زرع باشد،و اگر در ثور بود فساد حال زنان و نباتات و دواب بود</t>
  </si>
  <si>
    <r>
      <t>دلیل کند بر بدی احوال دبیران</t>
    </r>
    <r>
      <rPr>
        <b/>
        <sz val="16"/>
        <color theme="1"/>
        <rFont val="Traditional Arabic"/>
        <family val="1"/>
      </rPr>
      <t xml:space="preserve"> </t>
    </r>
    <r>
      <rPr>
        <sz val="16"/>
        <color theme="1"/>
        <rFont val="Traditional Arabic"/>
        <family val="1"/>
      </rPr>
      <t>و اصحاب دواوین و نوشتن خطهای جعلی به ناحق و افتادن اراجیف و ضرب فلوس و رنج ضعیفان و کسادی بازار و تازه شدن سخنان گذشته و آمدن کاروان ها و بودن بازرگانیها با نفع و تغیر هوا و سرما و رعد و برق در وقت و فساد کشت و زرع و تفاوت نرخها وبیماریها از انواع صداع و بیع غلامان و عقاقیر</t>
    </r>
  </si>
  <si>
    <r>
      <t xml:space="preserve">فایده: </t>
    </r>
    <r>
      <rPr>
        <sz val="16"/>
        <color theme="1"/>
        <rFont val="Traditional Arabic"/>
        <family val="1"/>
      </rPr>
      <t>من جمله قرانات قران النحسین و قران السعدین را موثرتر دانسته اند خاصه قران النحسین سرطانی که بدترین قرانات است زیرا که وبال زحل است و هبوط مریخ است و تاثیرش آن است که مدعیان بیرون آیند و مردمان سفله قوت گیرند وغلوی عام شود و مردم شریف را نکبت رسانند و فتنه های عظیم برپا سازند و زود باطل شوند و اضطراب احوال ملوک و سلاطین و اکابر و معارف باشد و خونها و فتنه ها به وقوع آید و خرابی ها رونهد و این قران در حد هر کوکب که افتد فتنه از آن(713) قوم خیزد که منسوب اند به خداوند حد، و اگر این قران حوالی دلایل انتقال دولتی یا قران علویین یا نزدیک انتقال دوری افتد اثرش عظیم تر باشد و بهترین قران السعدین آن است که در برج حوت واقع شود زیرا که خانه مشتری و شرف زهره است و دلیل این قران امن و آسایش و ارزانی و جاه و رفعت بزرگان و عامه خلایق است و اگر این قران نزدیک به انتقال دولت باشد نقل دولت به پادشاه اسلام عادل شود</t>
    </r>
  </si>
  <si>
    <t xml:space="preserve">احتراق </t>
  </si>
  <si>
    <t>احتراقات ص713</t>
  </si>
  <si>
    <r>
      <t xml:space="preserve">دلیل است بر نکبت ملوک و سلاطین در مشرق و اقلیم چهارم و قتل و زحمت بزرگان </t>
    </r>
    <r>
      <rPr>
        <sz val="16"/>
        <color rgb="FFFF0000"/>
        <rFont val="Traditional Arabic"/>
        <family val="1"/>
      </rPr>
      <t xml:space="preserve">با خفا </t>
    </r>
    <r>
      <rPr>
        <sz val="16"/>
        <color rgb="FF000000"/>
        <rFont val="Traditional Arabic"/>
        <family val="1"/>
      </rPr>
      <t>و فساد نقود و اضطراب احوال خاندانهای قدیم و مزارعان و بیماریهای مزمنه و تغیر هوا، و اگر مشتری آن جا بود یا ناظر باشد فراخی طعام بود و خشکی هوا و نقصان فسادها، و اگر مریخ بود خلاف در لشکریان پدید آید و موت حیوانات و فساد دارالضرب، و اگر زهره بود بیماریها و موت زنان باشد و بارش و سرما بسیار شود، و اگر عطارد بود اندوه اهل قلم و کارکنان آتش و کیمیاگران و تغیر هوا و سرما و نم و این همه احکام مناسب وقت وفصل و نظر کواکب دیگر باشد</t>
    </r>
  </si>
  <si>
    <t>دلیل است بر فساد حال ملوک و اکابر در جهت جنوب و ارض خراسان و فساد حال نباتات ومأکولات و بیماریها در مردم و حیوانات و بدی حال مزارعان و سرما و تغیر هوا، و اگر مشتری آن جا بود یا ناظر باشد فساد کمتر بود و هوا معتدل و میوه‌ها و نباتات به فراخی باشد، و اگر مریخ آن جا بود یا ناظر باشد خشکی سال و فساد اطعمه و فتنه و خرابی باشد، و اگر زهره بود بیماریها باشد در زنان و ناسازگاری با شوهران اما نباتات نیکو باشد و تغیر هوا و سرما بود، و اگر عطارد آن جا بود فساد اشجار و اطعمه و شدت سرما و برف و ملخ و بیم زلزله، و اگر قمر بود باران بسیار شود و رنج مسافران و پیکان و آمدن اخبار کاروان ها</t>
  </si>
  <si>
    <t>احتراق در ...</t>
  </si>
  <si>
    <t>دلالت کند بر علت و رنج ملوک به طرف شمال و اقلیم چهارم و فساد مسافران دریا و باریدگی و سرما در وقت، و اگر مشتری آن جا بود یا ناظر باشد در سفر دریا و تجارت نفع شود و باران نیک شود، و اگر مریخ آن جا باشد از فتنه ها و قید وقتل خوف باشد و بد گشتن آبها و هوا، و اگر زهره آن جا باشد باریدگی و سرما و برگشتن هوا و ابر باشد و امراض بلغمی پیدا شود، و اگر عطارد بود لولو و مرجان گران شود و کاروان ها برسند و تغیر حال هوا، و اگر قمر در آن جا باشد سیلاب ها خراب کننده آید و سرما سخت تر بود و مسافران حرکت کنند</t>
  </si>
  <si>
    <r>
      <t xml:space="preserve">دلیل است بر قوت حال سلاطین در شرق و اقلیم چهارم و نکبت توانگران و وزرا و ائمه و قُضات در اقلیم دوم و فتنه های پوشیده افتد و </t>
    </r>
    <r>
      <rPr>
        <sz val="16"/>
        <color rgb="FFFF0000"/>
        <rFont val="Traditional Arabic"/>
        <family val="1"/>
      </rPr>
      <t>عزت</t>
    </r>
    <r>
      <rPr>
        <sz val="16"/>
        <color theme="1"/>
        <rFont val="Traditional Arabic"/>
        <family val="1"/>
      </rPr>
      <t xml:space="preserve"> نقود و گرمی هوا و داد و عدل و فراخی اطعمه، و اگر مریخ آن جا بود یا ناظر باشد دلیل قتل و آفت باشد در شرق و خراسان و اقلیم دوم و بسیاری غضب ملوک وخصومت ها و فساد نواحی مذکور و ساختن آلات حرب، و اگر زهره بود هوا معتدل باشد و فساد اطعمه و میوه‌ها، و اگر عطارد باشد بازار عطرها و دواب تیزی کند و باشد که کار دارالضرب قوی گردد و هوا متغیر شود و بازارها را رونق بود و ابرها و نم ها باشد و هوا به اعتدال بود</t>
    </r>
  </si>
  <si>
    <r>
      <t xml:space="preserve">دلیل است بر نیکی حال ملوک در جنوب و عدل و انصاف در این طایفه و مکروهی وزرا و اهل ورع و ائمه و اهل قضات (شرع) و فراخی طعام و شیرینی ها، اگر مریخ آن جا بود یا ناظر باشد دزدی و ظلم و خیانت پدید آید و خشکی هوا و فساد و اطعمه و حرکت لشکرها، و اگر در آن جا زهره بود اطعمه و میوه‌ها نیکو باشد و </t>
    </r>
    <r>
      <rPr>
        <sz val="16"/>
        <color rgb="FFFF0000"/>
        <rFont val="Traditional Arabic"/>
        <family val="1"/>
      </rPr>
      <t>خوف</t>
    </r>
    <r>
      <rPr>
        <sz val="16"/>
        <color theme="1"/>
        <rFont val="Traditional Arabic"/>
        <family val="1"/>
      </rPr>
      <t xml:space="preserve"> سرما بود در وقت، و اگر عطارد باشد سرما سخت تر باشد </t>
    </r>
    <r>
      <rPr>
        <sz val="16"/>
        <color rgb="FFFF0000"/>
        <rFont val="Traditional Arabic"/>
        <family val="1"/>
      </rPr>
      <t xml:space="preserve">وقتی را </t>
    </r>
    <r>
      <rPr>
        <sz val="16"/>
        <color theme="1"/>
        <rFont val="Traditional Arabic"/>
        <family val="1"/>
      </rPr>
      <t>قوی تر بود و کثرت بیع دواب، و اگر آن جا قمر بود از سرما بیم باشد و فساد حیوانات و زحمت مسافران و اندوه عوام الناس</t>
    </r>
  </si>
  <si>
    <t>دلیل است بر فتنه در ملوک واشراف و اکابرعلما و بدگشتن هوا و بیماریها در خلایق و رفتن بادهای ناخوش و بودن سرما و فساد اشجار، و اگر مشتری آن جا بود یا ناظر باشد بادهای خوش وزد و میوه و اطعمه نیکو باشد و خلایق آسوده تر باشند، و اگر در آن جا مریخ بود در زمین مغرب و خراسان و اقلیم سوم تشویش افتد، و اگر زهره بود اهل طرب و زنان را زیان رسد ومیوه‌ها را کمتر آفت باشد و سرما و تفاوت نرخ اطعمه پدید آید، واگر عطارد بود دلیل کند که علوم دقیق رواج گیرد و اهل ناموس و ادیان را اعتبار شود و تغیر هوا باشد و اراجیف افتد، و اگر قمر بود باریدگی ها باشد و قوت حال نباتات بود و سرما در وقت باشد و بیماریها پدید آید</t>
  </si>
  <si>
    <r>
      <t xml:space="preserve">دلالت کند بر </t>
    </r>
    <r>
      <rPr>
        <sz val="16"/>
        <color rgb="FFFF0000"/>
        <rFont val="Traditional Arabic"/>
        <family val="1"/>
      </rPr>
      <t>وسط</t>
    </r>
    <r>
      <rPr>
        <sz val="16"/>
        <color theme="1"/>
        <rFont val="Traditional Arabic"/>
        <family val="1"/>
      </rPr>
      <t xml:space="preserve"> حال ملوک مغرب و حفظ ناموس و نفاق در اکابر و فراخی معاش و حسن حال اشجار و میوه‌ها و صحت خلایق و عدل و انصاف حکام و میل مردم به طاعات و خیرات و وزیدن بادهای خوش و حرارت هوا، و اگر مریخ آن جا بود یا ناظر باشد فساد اشجار و بیماری د رمردم از باد گرم و شهب و نیازک و تشویش خلایق و اراجیف، و اگر زهره آن جا باشد دلیل کند بر وقوع نکاح ها و توسعه معاش و ارزانی اطعمه خاصه میوه‌ها و تغیر هوا و نم ها در وقت، و اگر عطارد بود بادهای سخت جهد و رونق اهل فضل و حکما ودبیران و تیزی خاطرها و بازارها، و اگر قمر آن جا بود یا ناظر باشد باد و باریدگی بود بر وقت و میوه‌ها نیکو باشد و صحت در خلایق</t>
    </r>
  </si>
  <si>
    <r>
      <t xml:space="preserve">دلیل است بر صحت و سلامتی و حسن حال ملوک و بزرگان و سایر مردمان و اعتدالی هوا و خوبی حال مسافران دریا و کثرت باران و زیادتی میاه آبار و انهار و فراخی طعام و قوت کردن مردم سفله، اگر مریخ آن جا بود یا ناظر باشد دلیل است بر فساد وتباهی سفاین و </t>
    </r>
    <r>
      <rPr>
        <sz val="16"/>
        <color rgb="FFFF0000"/>
        <rFont val="Traditional Arabic"/>
        <family val="1"/>
      </rPr>
      <t xml:space="preserve">حبس </t>
    </r>
    <r>
      <rPr>
        <sz val="16"/>
        <color theme="1"/>
        <rFont val="Traditional Arabic"/>
        <family val="1"/>
      </rPr>
      <t>اهل شر و فتنه و نقصان آبها و فساد حیوانات آبی، و اگر زهره آن جا بود باریدگی بسیارشود و جواهر آبی ارزان گردد و گشایش روزی باشد و ابرهای سیاه پدید آید و سرما در وقت بود، و اگر عطارد آن جا باشد بیع و شرای به کثرت شود و آمدن کشتی ها و کاروان ها و باریدگی و تغیر هوا باشد، و اگر قمر آن جا بود سیل ها آید و خرابی کند و نباتات نیکو باشند و مسافران برای سفر تعجیل کنند</t>
    </r>
  </si>
  <si>
    <t>دلیل است بر غضب ملوک و افتادن مقاتله در مشرق و اقلیم سوم و چهارم و نکبت اکابر و خلاف عساکر و تندی کردن و مرگ حیوانات و فساد جواهر و دارالضرب و بدی حال صرّافان، و اگر زهره آن جا بود یا ناظر باشد هوا معتدل شود و نرخهای ارزان و فرح میان بزرگان اما حال زنان فاسد شود، و اگر عطارد آن جا بود یا ناظر باشد دلیل رعد و برق باشد و رفتن آتش ها در هوا و بیع دواب وبیع جواهر و ضرب درم و دینار و تیزی بازار سلاح، و اگر قمر آن جا بود نم ها و بخارها بر انگیزد و بیع سلاح ها به وقوع آید</t>
  </si>
  <si>
    <t>دلیل است بر نکبت ملوک و اکابر در جهت جنوب و قتلها و فررفتن قوتها و خلاف لشکریان و دزدی و دروغ و خرابی مزرعه ها و جایهای عالی، و اگر زهره آن جا بود یا ناظر باشد میوه‌ها و پنبه و کتان و انواع لباس‌ها و شرینی‌ها  بیش‌تر شود و سرما بر وقت باشد، و اگر عطارد آن جا بود یا ناظر باشد اختلاف هوا بود و سرما با خشکی باشد و در بهایم بیماری ها پیدا شود و بیع و شرای اشجار و حیوانات به کثرت باشد، و اگر قمر آن جا بود یا ناظر باشد باریدگی و سرما در وقت باشد و قوت نباتات باشد و حرکت مسافران</t>
  </si>
  <si>
    <r>
      <t xml:space="preserve">دلیل است بر قتل و بیماری ملوک مغرب و تشویش و اراجیف و بیماریهای دموی و سرخ باد و اختلاف هوا و خشکی و بدی حال امرا و لشکریان و مخالفان پادشاه و فرو رفتن بدکاران، و اگر زهره آن جا بود یا ناظر باشد بادهای خوش وزد به اعتدال و بارش و تندرستی خلایق و ارزانی </t>
    </r>
    <r>
      <rPr>
        <sz val="16"/>
        <color rgb="FFFF0000"/>
        <rFont val="Traditional Arabic"/>
        <family val="1"/>
      </rPr>
      <t xml:space="preserve">دواب </t>
    </r>
    <r>
      <rPr>
        <sz val="16"/>
        <color theme="1"/>
        <rFont val="Traditional Arabic"/>
        <family val="1"/>
      </rPr>
      <t>و برده و فرح در مردم، و اگر عطارد آن جا بود یا ناظر باشد اراجیف بسیار افتد و تغیر و خشکی هوا بود و علامات و شهب در جو و رونق بازار برده و قوت دستکاران و اطبّا، و اگر قمر آن جا بود یا ناظر باشد دلیل بارش و بادهای مخالف و غلبه عوام باشد</t>
    </r>
  </si>
  <si>
    <r>
      <t xml:space="preserve">دلیل است بر خلاف و فتنه جانب شمال و قوت کردن سفلگان و </t>
    </r>
    <r>
      <rPr>
        <sz val="16"/>
        <color rgb="FFFF0000"/>
        <rFont val="Traditional Arabic"/>
        <family val="1"/>
      </rPr>
      <t>شبخون</t>
    </r>
    <r>
      <rPr>
        <sz val="16"/>
        <color theme="1"/>
        <rFont val="Traditional Arabic"/>
        <family val="1"/>
      </rPr>
      <t xml:space="preserve"> و فساد آبها و درماندن خائنان، و اگر زهره آن جا بود یا ناظر باشد ابرهای سیاه برآید و سرما در وقت بود و نیکوئی نباتات و فراخی اطعمه، و اگر عطارد باشد دلالت کند بر نیکوئی حال مسافران دریا و باریدگی و سرما و رونق دستکاران و برگشتن هوا و کسادی بازارها، و اگر در آن جا قمر باشد دلیل کند بر سیلاب ها و باران های تیز</t>
    </r>
  </si>
  <si>
    <r>
      <t xml:space="preserve">دلیل است بر بیماریهای زنان و خادمان و بزرگان در جهت مشرق و اقلیم پنجم و افتادن فتنه ها و تهمت ها و برآمدن نکاح ها و طرب و نشاط در ملوک و حصول تشریف پر زر و قیمتی و هوای معتدل، و اگر عطارد در آن جا بود یا ناظر باشد دلیل بود بر ضرب درهم و دینار و </t>
    </r>
    <r>
      <rPr>
        <sz val="16"/>
        <color rgb="FFFF0000"/>
        <rFont val="Traditional Arabic"/>
        <family val="1"/>
      </rPr>
      <t>نقش</t>
    </r>
    <r>
      <rPr>
        <sz val="16"/>
        <color theme="1"/>
        <rFont val="Traditional Arabic"/>
        <family val="1"/>
      </rPr>
      <t xml:space="preserve"> بستن دروائی کارخانه ها نقاشان و باریدگی و کثرت بیع جواهر و دواب(717)، و اگر قمر آن جا بود یا ناظر باشد هوای سخت وزد و گردباد پدید آید و سردی و نم در وقت باشد</t>
    </r>
  </si>
  <si>
    <t>دلیل است بر فساد نباتات و خاتونان و اهل طرب در جهت جنوب و اقلیم پنجم و پدید آمدن بیماری در زنان و دواب و فساد اطعمه و میوه، و اگر در آن جا عطارد بود یا ناظر باشد دلیل تشویش و اراجیف و سرما باشد و فساد نباتات و حیوان سم شکافته و تفاوت نرخها و افتادن عداوتها، و اگر قمر بود دلیل باریدگی و فراخی اطعمه و گرما باشد در وقت ونیکی حال مسافران</t>
  </si>
  <si>
    <r>
      <t xml:space="preserve">دلیل است بر رنج خواتین و خدم و بیماریها در جهت جنوب و مغرب و اقلیم پنجم و فساد برده و رفتن بادهای خوش به حسب وقت و بسیاری نکاح ها، و اگر در آن جا عطارد بود یا ناظر باشد دلیل است بر بیع و شرای برده و جامهای قیمتی و رونق کار مزامیر و </t>
    </r>
    <r>
      <rPr>
        <sz val="16"/>
        <color rgb="FFFF0000"/>
        <rFont val="Traditional Arabic"/>
        <family val="1"/>
      </rPr>
      <t>تار</t>
    </r>
    <r>
      <rPr>
        <sz val="16"/>
        <color theme="1"/>
        <rFont val="Traditional Arabic"/>
        <family val="1"/>
      </rPr>
      <t xml:space="preserve"> و حال حکما و اهل فضل و دبیران و متصرفان، و اگر قمر باشد نم ها بود و هوای خوش وزد و فراخی اطعمه و میوه‌ها</t>
    </r>
  </si>
  <si>
    <r>
      <t xml:space="preserve">دلیل است بر کثرت توالد و تناسل و رنج زنان حامله و فساد زنان بدکار و ارزانی جواهر و نکاح ها در بزرگان و بر آمدن کارهای سفر دریا و باریدگی ها قوی باشد و آمد و رفت مسافران دریا و بیع و شرای </t>
    </r>
    <r>
      <rPr>
        <sz val="16"/>
        <color rgb="FFFF0000"/>
        <rFont val="Traditional Arabic"/>
        <family val="1"/>
      </rPr>
      <t>عرض</t>
    </r>
    <r>
      <rPr>
        <sz val="16"/>
        <color theme="1"/>
        <rFont val="Traditional Arabic"/>
        <family val="1"/>
      </rPr>
      <t xml:space="preserve"> و جوی و مانند آن، و اگر قمر در آن جا باشد یا ناظر بود سیل ها بسیار آید</t>
    </r>
  </si>
  <si>
    <r>
      <t xml:space="preserve">دلیل است بر رونق دواوین و نهادن خراج و خواستگاری ممالک در جهت شرق و اقلیم سوم و رنج متصرفان و عمّال و بیع مرصعات و جواهر و بیماری در طبقات عطارد، و اگر قمر آن جا بود یا ناظر باشد در هوا کدورت ها پیدا شود و نم ها باشد و بیع جواهر بی قیمت مثل مُهره و آبگینه و </t>
    </r>
    <r>
      <rPr>
        <sz val="16"/>
        <color rgb="FFFF0000"/>
        <rFont val="Traditional Arabic"/>
        <family val="1"/>
      </rPr>
      <t>مینا</t>
    </r>
  </si>
  <si>
    <r>
      <t xml:space="preserve">دلیل است بر تغیر حال هوا مناسب وقت و فساد نباتات و اطعمه و رنج کاروان ها و بیماری دواب و اهل قلم خاصه در ناحیه جنوب و خشکی هوا، و اگر قمر آن جا بود یا ناظر باشد </t>
    </r>
    <r>
      <rPr>
        <sz val="16"/>
        <color rgb="FFFF0000"/>
        <rFont val="Traditional Arabic"/>
        <family val="1"/>
      </rPr>
      <t>نم ها برد</t>
    </r>
    <r>
      <rPr>
        <sz val="16"/>
        <color theme="1"/>
        <rFont val="Traditional Arabic"/>
        <family val="1"/>
      </rPr>
      <t xml:space="preserve"> و کدورت هوا و سرما و تغیر هوا مناسب وقت</t>
    </r>
  </si>
  <si>
    <t>دلیل است بر غلبه ابرها و آبها و فساد کشتی ها و تغیر هوا و بیع جواهر آبی و آفت میوه‌ها در وقت، و اگر قمر در آن جا باشد یا ناظر بود سیلاب ها آید و آب بسیار شود و حسن حال نباتات و باغات و جوبها رودهد</t>
  </si>
  <si>
    <t>دلیل است بر قوت اکابر مغرب و قوت حال وزرا و تیزی بازارها و رونق کار تجّار و رفتن بادهای سرد و حصول عمل به متصرفان و اهل فضل و دبیران و بیاعان، و اگر قمر آن جا بود یا ناظر باشد باریدگی  بیش‌تر بود و میوه‌های نیکو باشد و اجناس خوش تر به هم رسد و فراخی اطعمه</t>
  </si>
  <si>
    <t>مجاسدات رأس و ذنب ص718</t>
  </si>
  <si>
    <t>مجاسده</t>
  </si>
  <si>
    <t>مع رأس</t>
  </si>
  <si>
    <t>مع ذنب</t>
  </si>
  <si>
    <t>دلالت کند بر قوت حا ل مشایخ و خاندانهای قدیم و افزونی عزت و جاه ایشان و تازه شدن دولتهای قدیم و خروج مدعیان در کرامت و ظهور سخنان عشق و تسخیر جن و جمع آوردن پریان در جام و مانند آن و فراخی معاش و میل مردم به زهد و حفظ ناموس و زیارت های مشاهد و مشاعر و نیکوئی کارهای ملوک قدیم</t>
  </si>
  <si>
    <t>دلیل است بر ضد آنچه گفته شد در رأس و بر ضعف حال و بیماری مشایخ و خاندانهای قدیم و اهل جبال و تنزل عزت و جاه این طایفه و برگشتن احوال دواب بارکش و وقوع موتها از شرب سموم و فساد مزرعه ها و رنج کودکان و هراس در مردم</t>
  </si>
  <si>
    <t>دلیل است بر بسیاری خیرات و طاعت ها و قوت های اهل ادیان و میل مردم به سوی حج و زیارات عتبات عالیه و اجابت دعاها و عدل و انصاف سلاطین و حکام و قضات و فراخی و ایمنی در اقلیم دوم و عیش و خرّمی در خلایق و صدقات دادن</t>
  </si>
  <si>
    <t>دلیل است بر ضد آنچه گفته شد در رأس و بد گشتن هوا و بد دیانتی در مردم و بیماریها در اکابر و نفاق در مودت و دوری کردن از بندگان و تزویر مفتیان در باطل کردن حقوق شرعی و محروم شدن مستحقان</t>
  </si>
  <si>
    <t>دلیل است بر توبه نمودن بدکاران و خائنان از فعل بد و پدید آمدن پارسایان بی علم از ترکان و لشکریان و مردم خویشتن دار و خودستایی و رونق کار لشکریان و اطبّا و شفا یافتن علیلان در اقلیم سوم و افتادن سودای خام و بد در سر فرمانروایان و پدید آمدن عزیمت خوانان و جمع آوردن پریان</t>
  </si>
  <si>
    <t>دلیل است بر ضد آنچه گفته شد در رأس و بودن خیانت ها و قصد بزرگان و بیماریهای سوداوی و مثلوج و مصروع و ظاهر گشتن عیب‌ها و افتادن فتنه ها و آفت ها و نا ایمنی و آفت در بزرگان و لشکریان و بدحالی دیوانیان</t>
  </si>
  <si>
    <t>دلیل است بر عدول و انصاف ملوک و سرداران و افزونی در ممالک و بیرون آمدن جواهر نیکو و بیش قیمت از معادن و میل بزرگان به خیرات و طاعات و صدقات و زیادتی عزّ و جاه مهتران خاصه در اقلیم چهارم و تندرستی در خلایق</t>
  </si>
  <si>
    <t>دلیل کند بر ضد آنچه گفته شد و رنجوری بزرگان و مکروهی ایشان از مردم معیوب و درد چشم و خشک شدن بعضی از نبات ها و فساد چرندگان</t>
  </si>
  <si>
    <t>دلیل است بر حکومت خاتونان و خادمان و توبه اهل طرب و رونق دین اسلام و افزونی اعتقاد و بیرون آمدن زنان به کرامات و رونق بازار عطریات و مروارید و برده و رفتن بادهای خوش و فراخی روزی و اجابت دعاها</t>
  </si>
  <si>
    <t>دلیل است بر ضد آنچه گفته شد و اسقاط حمل و بیماریهای زنان از آبله و ریشها و ظاهر شدن زنان ساحره پری دار و فساد اوقات و بدگشتن هوا</t>
  </si>
  <si>
    <t>دلیل است برقوت اهل دیوان و عمال و متصرفان و نجاران و صرافان و ظهور مردم فصیح و فاضل و رغبت مردم بر خواندن اخبار و راست آمدن احکام نجوم و معالجات و نیکی معاملات و راستی دفاتر محاسبات و امانت و دیانت و عزت و رغبت کتاب ها</t>
  </si>
  <si>
    <t>دلیل است بر ضد آنچه گفته شد و ظهور مردم منافق و دروغگوی و ممتحنان و خاصه اهل دیوان و حکما و فضلا و گفتن سخنان ناشایسته و حدوث امراض سوداویه از دیوانگی و راست نیامدن معالجات و گرفتن دیو کودکان را و نوشتن نامه های تزویر و کسادی بازارها و زیان اهل صناعت و نقش کردن خواتم و هیاکل تزویر</t>
  </si>
  <si>
    <t>تثلیثات و تسدیسات کواکب با زحل ص719</t>
  </si>
  <si>
    <t>دلیل است بر الفت میان ملوک و اعیان و دولت و وزرا و صلاح پذیرفتن امور و رغبت سلاطین به عدل و انصاف و میل خلایق به خیرات و فراخی اطعمه و امن و راحت مشایخ و خاندانهای قدیم</t>
  </si>
  <si>
    <t>دلیل است بر ترحم ملوک بر سروران و اکابر و زیر دستان و ضعفا و رعیت و فقرا و رونق کار احتساب و پدید آمدن حق از باطل و ساختن عمارات و حصنها و اهل شر و فتنه با ضعفا و مشایخ و گوشه نشینان دوستی کند و خشکی هوا و توسط حال مأکولات</t>
  </si>
  <si>
    <t>دلیل است بر یافتن ریاست مردم فرومایه و اهل صحرا و رونق خاندانهای قدیم و نیکی حال مزارعان و کم شدن جور و ستم و فراخی و ارزانی اطعمه و میوه‌ها و عنایات ملوک بر اکابر و تغیر هوا و سرما و گرما در وقت</t>
  </si>
  <si>
    <t>دلیل است بر موافقت میان زنان و شوهران و فرح مشایخ و دهاقین و بیع بردگان و دواب وفراخی طعام و ارزانی لباس‌ها و اعتدال هوا در تابستان و سرما در زمستان و باریدگی ها در وقت</t>
  </si>
  <si>
    <r>
      <t xml:space="preserve">دلیل است بر اقرارکارها و بستن(عهدها و نوشتن)عهدنامه ها و رونق اهل بازار و فاش شدن رازها و بیع املاک و غلامان و رونق کار حکما و </t>
    </r>
    <r>
      <rPr>
        <sz val="16"/>
        <color rgb="FFFF0000"/>
        <rFont val="Traditional Arabic"/>
        <family val="1"/>
      </rPr>
      <t>تغیر</t>
    </r>
    <r>
      <rPr>
        <sz val="16"/>
        <color theme="1"/>
        <rFont val="Traditional Arabic"/>
        <family val="1"/>
      </rPr>
      <t xml:space="preserve"> حال هوا و سرما و باریدگی</t>
    </r>
  </si>
  <si>
    <t>دلیل است بر قوت حال ارباب سلاح و توبه نمودن اهل شر و فتنه و وقوع مصالح میان وزرا و ارباب سلاح و امرا و رغبت این طایفه به خیرات و ایمنی و نفاذ احکام قضا و ارزانی نرخها و گرمی هوا و شکستن سرما</t>
  </si>
  <si>
    <t>دلیل است بر قوت حال ملوک و سلاطین و سرداران و افزونی جاه و حرمت وزرا و مقربان درگاه سلطان و ائمه و قضات و اشراف و داد وعدل و روائی نقود و بسیاری خیرات از پادشاه و اکابر و فراخی و ارزانی و گرمی هوا</t>
  </si>
  <si>
    <t xml:space="preserve">دلیل است بر رونق کار اهل ادیان و فرح در ائمه و قضات و توبه نمودن اهل طرب و سعادت حال زنان و خادمان و عزت پیرایه و ملبوسات و مهیا شدن اسباب معیشت در خلایق و ارزانی نرخها و اعتدال هوا و نم ها در وقت تثلیث </t>
  </si>
  <si>
    <t>دلیل است بر رونق کار علما و قضات و قوت حال دبیران و مستوفیان و متصرفان و تجار و راستی مردم در کارها و معاملات بازرگانی و سیری بازار و ایمنی راه­ها و رسیدن اخبار خوش فرحت ناک و گفتن سخن های حق و ونوشتن قباله­ ها و خطوط و راستی در عدول و راست رفتن احکام نجوم و ارزانی نرخها و وزیدن بادهای خوش</t>
  </si>
  <si>
    <t>دلیل است بر عنایات سلطانی بر امرا و ساختن کار لشکرها و عزت آلات حرب و امن و فراغت و غلبه حرارت و یبوست در مزاج بزرگان و گرمی هوا و فراخی و ارزانی طعام و رونق دارالضرب و کار بزرگان</t>
  </si>
  <si>
    <t>دلیل است بر وقوع نکاح ها و شرکت ها و دوستی میان لشکریان و اهل طرب و بودن عروسی و ضیافت ها و زفاف و توبه شکستن اهل زهد و اعتدال هوا و باریدگی در وقت و عزت گوشت و ارزانی طعام</t>
  </si>
  <si>
    <t>دلیل است بر رونق اهل دیوان و عمال و متصرفان و ظهور کیمیاگران و ساختن آلات حرب و اختیارات امور نیک و قوت حال راه داران و تیزی بازار سلاح و دواب و ترک نمودن اهل فضل فسق را و رواج کار دستکاران و اصحاب احکام تنجیم</t>
  </si>
  <si>
    <t>دلیل است بر لهو و طرب وزرا و اصحاب دیوان و متصرفان و اهل بازار و تجار و تیزی بازار برده و عطریات و البسه و اصلاح میان مردان و زنان و دوستی و صحبت میان ایشان و اصلاح معاملات و رونق کار مزامیر و ساز موسیقی و فرح در حکما و اهل فضل و ندما و شعرا</t>
  </si>
  <si>
    <t xml:space="preserve">تثلیث و تسدیس  </t>
  </si>
  <si>
    <t xml:space="preserve">تربیع و مقابله </t>
  </si>
  <si>
    <t>اتصال مشتری با ...</t>
  </si>
  <si>
    <t xml:space="preserve">تثلیثات و تسدیسات مشتری </t>
  </si>
  <si>
    <t>اتصال زحل با ...</t>
  </si>
  <si>
    <r>
      <t xml:space="preserve">دلیل است بر مخالفت میان علما و مشایخ و قضات و اندوه سلاطین و فاش گشتن خیانت ها و عداوت ها میان بزرگان و ظلم و جور ناکسان بر شرفا و بیماریها در معارف و توانگران و </t>
    </r>
    <r>
      <rPr>
        <sz val="16"/>
        <color rgb="FFFF0000"/>
        <rFont val="Traditional Arabic"/>
        <family val="1"/>
      </rPr>
      <t>خرابی</t>
    </r>
    <r>
      <rPr>
        <sz val="16"/>
        <color theme="1"/>
        <rFont val="Traditional Arabic"/>
        <family val="1"/>
      </rPr>
      <t xml:space="preserve"> جایها و تغیر حال ممالک و تعصب میان اکابر و برگشتن هوا و تفاوت نرخها</t>
    </r>
  </si>
  <si>
    <t>دلیل است بر فتنه و قتلها و افتادن عداوت ها و بدی حال دزدان و قصد فرومایگان در بزرگان و حزن و حیرت در خلایق و بدی حال اهل جبال و صحرا نشینان و اهل سلاح و حدوث امراض مهلکه و ناایمنی راه ها و فساد دواب و مزرعه ها و اندوه خاندانهای قدیم و ظلم و جور و برگشتن هوا</t>
  </si>
  <si>
    <t>دلیل است بر غضب ملوک بر اکابر و معارف و ظلم و ستم و خیانت وکیلان و فاش گشتن خیانت ها و انگیختن عداوت ها و خصومت ها و حدوث امراض در ملوک و اکابر و فساد نقود و رنج رعایا و مهتران و حیرت خلایق و تغیر هوا و سرما و نم ها مناسب وقت</t>
  </si>
  <si>
    <t>دلیل کند بر مخالفت میان زنان و شوهران و بیماری و موت در زنان و دشواری و ضع حمل و فاش گشتن اسرارها وخیانت ها و افتادن عداوت ها و بودن فتنه و تشویش امرا و بدی بازار برده و تهمت بر مشایخ و فساد اطعمه میوه‌ها و تغیر هوا و ابرهای سیاه و سرما و باریدگی سخت وظلم بر اهل طرب</t>
  </si>
  <si>
    <t>دلیل است بر دعوی های باطل و خط های دروغ و گواهی به ناحق و فاش گشتن خیانت ها و عداوت ها و زحمت اهل دیوان و متصرفان و مردم بازاری و تجار و افتادن اراجیف و تهمت بر غلامان و خیانت و محاسبه وکیلان و متصرفان و امراض مزمنه و سرما و باریدگی و فساد بعضی نباتات در وقت</t>
  </si>
  <si>
    <t>دلیل است بر خلاف امرا و لشکریان و بزرگان و قضات و اعیان مملکت و توانگران و قید و قتل و ظهور عداوت ها و خصومت ها و حرب و فتنه و غدر در حق بزرگان و مصادره و فساد حال ضرابان و نقود و کمی نرخها و میل قضات و حکام سوی جور و بد شدن هوا و بیماریها و فساد اطعمه</t>
  </si>
  <si>
    <t>دلیل است بر آشفتگی میان زنان و شوهران و رغبت اهل ورع و علما سوی طرب و زینت و رسیدن راز پادشاهان به اهل صحرا و طلب حقوق شرعی و تهمت بر ائمه و قضات و وزرا و عزل از منصب و تفاوت نرخ اطعمه و شیرینی­ها و اعتدال هوا و رفتن بادهای خوش و نیکی حال نباتات</t>
  </si>
  <si>
    <r>
      <t xml:space="preserve">دلیل کند بر غضب ملوک بر وزرا و اعیان مملکت و مصادره توانگران و اندوه علما و میل قضات و حکام و حیرت اکابر و اشراف و تفاوت نرخ طعام و فساد دارالضرب و گرمی هوا و ظلم در صورت عدل و طلب اسرار </t>
    </r>
    <r>
      <rPr>
        <sz val="16"/>
        <color rgb="FFFF0000"/>
        <rFont val="Traditional Arabic"/>
        <family val="1"/>
      </rPr>
      <t xml:space="preserve">اکابر، </t>
    </r>
    <r>
      <rPr>
        <sz val="16"/>
        <color theme="1"/>
        <rFont val="Traditional Arabic"/>
        <family val="1"/>
      </rPr>
      <t>ظاهر شدن خیانت ها</t>
    </r>
  </si>
  <si>
    <t>دلیل است بر مجادله و مناظره و تعصب بر اهل ادیان و نفاق بزرگان و نوشتن فتوی های مزوره و دوری اهل ورع از تقوی و تفاوت نرخها و گذشتن عرایض رخصت به حضور بزرگان و تزویر و خیانت متصرفان در صورت راستی و وزیدن بادها و بودن نها</t>
  </si>
  <si>
    <t>دلیل است بر خلاف لشکریان و امرا و افتادن عداوت ها و فتنه ها و حیرت مفسدان و فاش گشتن خیانت و افتادن حرب و مقاتله و بسیاری اراجیف و هراس در مردم و خرابی جایها و درمانده شدن دزدان و خیانت در خانمان و نکبت در ملوک و بدگشتن هوا و خشکی سال و بیماریها در اکابر و موت بزرگان و فساد نقود و جوهریان و صرافان و کیمیاگران</t>
  </si>
  <si>
    <r>
      <t>دلیل است بر بسیاری زنا و فسق و فجور و پنهانی آن و عداوت ها میان زنان و شوهران و اسقاط حمل و تفاوت نرخها و علت ها در میوه و تغیر</t>
    </r>
    <r>
      <rPr>
        <sz val="16"/>
        <color rgb="FFFF0000"/>
        <rFont val="Traditional Arabic"/>
        <family val="1"/>
      </rPr>
      <t>ی</t>
    </r>
    <r>
      <rPr>
        <sz val="16"/>
        <color theme="1"/>
        <rFont val="Traditional Arabic"/>
        <family val="1"/>
      </rPr>
      <t xml:space="preserve"> هوا و کدورت بازار</t>
    </r>
    <r>
      <rPr>
        <sz val="16"/>
        <color rgb="FFFF0000"/>
        <rFont val="Traditional Arabic"/>
        <family val="1"/>
      </rPr>
      <t xml:space="preserve">یان </t>
    </r>
    <r>
      <rPr>
        <sz val="16"/>
        <color rgb="FF000000"/>
        <rFont val="Traditional Arabic"/>
        <family val="1"/>
      </rPr>
      <t>و مضرت و فضیحتی زنان بدکار و ظاهر شدن فحش­های ایشان پیش بزرگان و فساد حال طبع اهل طرب و خادمان و سختی وشدت بر ایشان و بدنامی خاتونان بزرگ و رسیدن سخنان بد به ایشان و جرأت و جسارت در زنان</t>
    </r>
  </si>
  <si>
    <t>دلیل کند بر عداوت ها و حزن وغم میان امرا و ارباب دیوان و اهل قلم و متصرفان و طلب آلت حرب و تظلم لشکریان بر اهل حرفه و بازاریان و تجار و وقوع دزدی­ها و بدی راه ها و فساد کیمیاگران و ساحران و بسیاری اراجیف و نوشتن خطها به دروغ و اندوه دبیران و اهل فضل و پیداشدن لوطیان و دروغگویان</t>
  </si>
  <si>
    <t>اتصال مریخ با ...</t>
  </si>
  <si>
    <t xml:space="preserve">تثلیث و تسدیس </t>
  </si>
  <si>
    <t>اتصال زهره با ...</t>
  </si>
  <si>
    <t>دلیل است بر تغیر حال هوا و فساد حال حیوانات و بدی حال عوام و زحمت لشکریان.</t>
  </si>
  <si>
    <t>دلیل است بر اندوه اکابر و زنان محتشمه و فساد نباتات و دواب و سرما.</t>
  </si>
  <si>
    <t>سرما بود در وقت و باریدگی و مکروهی بزرگان و بدی مسافران دریا و بادهای سرد.</t>
  </si>
  <si>
    <t>دلیل است بر فرونشستن کارهای عوام و مکروهی بزرگان و بدی حال مسافران و جاسوسان و بادهای سرد.</t>
  </si>
  <si>
    <t>دلیل است بر نکبت و زحمت متصرفان و سرما در وقت بود و فساد اطعمه و اخبار بد وحشتناک.</t>
  </si>
  <si>
    <t>دلیل است بر جستن بادهای مخالف و فرستادن رسولان جهت نکاح و بیع برده و ابر و نم.</t>
  </si>
  <si>
    <t>دلیل است بر درمانده شدن مسافران و جاسوسان و باریدگی ها و سرما و گرفتار شدن بدکاران.</t>
  </si>
  <si>
    <t>دلیل است بر بیماری مردم و حیوانات و مکروهی بزرگان و ابر و بخار.</t>
  </si>
  <si>
    <t>دلیل است بر بدی حال مسافران و جاسوسان و فساد زرع و حیوانات و گزندگی هوا و سرما.</t>
  </si>
  <si>
    <t>دلیل است بر ابرها و بخارها و باریدگی در وقت و فساد مسافران دریا و مکروهی علما.</t>
  </si>
  <si>
    <t>دلیل است بر دیدن بادهای مضطرب و مکروهی مردم فاضل و مسافران عوام و سستی بازارها و تیزی برو.</t>
  </si>
  <si>
    <t>دلیل است بر ..وت ریاح و مکروهی بزرگان و مشایخ و حکما و باریدگی و سرما و هراس در عوام.</t>
  </si>
  <si>
    <t>قران قمر با زحل در بروج دوازده گانه</t>
  </si>
  <si>
    <t>قران قمر با مشتری در بروج دوازده گانه</t>
  </si>
  <si>
    <t>دلیل است بر گشادگی هوا و گرمی و امن ونیکی راه مسافران و بیع و شرای حیوانات.</t>
  </si>
  <si>
    <t>دلیل است بر قوت حال عوام و حیوانات و فرح بزرگان و بزرگ زادگان و نیکی راه مسافران و رسیدن کاروان ها و دواب.</t>
  </si>
  <si>
    <t>دلیل است بر رسیدن اخبار خوش و مجمع خیر و اعتدال هوا و نوشتن خطها.</t>
  </si>
  <si>
    <t>دلیل است بر نیکی حال عوام و حیوانات و فرح بزرگان و بزرگ زادگان و کثرت جواهر آبی و آمدن مسافران دریا.</t>
  </si>
  <si>
    <t>دلیل است بر عبرت عوام و بیع جواهر کانی و طاعت ملوک و روان نشدن نقود.</t>
  </si>
  <si>
    <t>دلیل است بر قوت بزرگان و حکما و اهل دیوان و نیکی زراعت و بیع مأکولات و آمدن مسافران و کاروان ها.</t>
  </si>
  <si>
    <t>دلیل است بر رفتن بادهای خوش و نیکویی میوه­ها و اخبار راست فرحت انگیز و جمعیت های اشراف و علما.</t>
  </si>
  <si>
    <t>دلیل است بر آمدن باران ها و توبه بدکاران و سکونت و جمعیت مسافران.</t>
  </si>
  <si>
    <t>دلیل است بر قوت و جمعیت ائمه و قضات و بیع دواب و نیکویی حال عوام و گرمی هوا و طلب امور دینی.</t>
  </si>
  <si>
    <t>دلیل است بر ایمنی مسافران و آمدن ایشان و اعتدال هوا و اجتماع بزرگان بضرورت.</t>
  </si>
  <si>
    <t>دلیل است بر رفتن باد­ها و جمعیت مشایخ و حکما و ساختن طلسمات و خواندن عزیمت.</t>
  </si>
  <si>
    <t>دلیل است بر منفعت عوام و جمعیت های خیر در علما و قضات و آمدن مسافران و باریدگی.</t>
  </si>
  <si>
    <t>قران قمر با مریخ در بروج دوازده گانه</t>
  </si>
  <si>
    <t>دلیل است بر گرم شدن هواها و میان عوام خصومت ها افتد و درد و قدخ در لشکریان و فساد حیوانات.</t>
  </si>
  <si>
    <t>دلیل است بر غلبه عوام بر لشکریان و درماندن خاینان و شنیع مسافران از ظلم و نقصان.</t>
  </si>
  <si>
    <t>دلیل است بر اخبار دروغ و فتنه میان عوام و اهل فضل و افتادن بخارها و بادهای بد.</t>
  </si>
  <si>
    <t>دلیل است بر غوغای عوام و فساد بدکاران و زحمت مسافران دریا و بخارها.</t>
  </si>
  <si>
    <t>دلیل است بر فرستادن رسول و جاسوس و گرمی هوا و فساد حیوانات و اندوه ملوک.</t>
  </si>
  <si>
    <t>دلیل است بر رسیدن اخبار دروغ و ظلم بر اهل دیوان و تجار و زحمت بازاریان از لشکریان.</t>
  </si>
  <si>
    <t>دلیل است بر خطر مسافران و رنج زنان و اهل طرب و رفتن بادهای بد و شنیع زنان و شوهران.</t>
  </si>
  <si>
    <t>دلیل است بر قید و قتل مسافران و برخاستن بخارها و کدورت در هوا.</t>
  </si>
  <si>
    <t>دلیل است بر گرمی هوا و داغ دواب و خصومت میان اکابر و کردن کارهای آتش و کاهلی عوام در دین.</t>
  </si>
  <si>
    <t>دلیل است بر گرفتار شدن پیکان و جاسوسان و زحمت عوام از لشکریان و خصومت ها.</t>
  </si>
  <si>
    <t>دلیل است بر جستن بادها و بیماری مشایخ و بدی هوا و توقف مسافران.</t>
  </si>
  <si>
    <t>دلیل است بر فساد کشتی ها و حیوانات آبی و مسافران دریا و اندوه عوام و ابرها و بخارها و مکروهی علما و اشراف.</t>
  </si>
  <si>
    <t>قران قمر با شمس در بروج دوازده گانه</t>
  </si>
  <si>
    <t>دلیل است بر تغیر هوا و اندوه ملوک و امرا و تشویش در عوام و غضب زیر دستان.</t>
  </si>
  <si>
    <t>دلیل است بر فساد حیوانات و نباتات و مسافران و نهادن بناها و زحمت زنان و باغبانان.</t>
  </si>
  <si>
    <t>دلیل است بر بادها و نوشتن فرمان و امثله و فساد اشجار و میوه و گرمی هوا و تغیر.</t>
  </si>
  <si>
    <t>دلیل است بر بزرگی عوام و باریدگی و تیرگی هوا و آمدن مسافران خاصه مسافران دریا.</t>
  </si>
  <si>
    <t>دلیل است بر اجتماع ملوک و بزرگان و گفتن اسرار و گرمی هوا و آمدن مسافران و قاصد ملوک.</t>
  </si>
  <si>
    <t>دلیل است بر حضر مسافران و آوردن نامه ها و نوشتن مثالها و بر کار شدن عوام در دیوان ها و بازارها.</t>
  </si>
  <si>
    <t>دلیل است بر اندوه ملوک و آمدن رسولان و رفتن بادها و تاریکی و نم و بر آمدن نکاح ها.</t>
  </si>
  <si>
    <t>دلیل است بر بارش و سرما و درماندن جاسوسان و مسافران و تیرگی هوا و فساد آبها و کشتی ها.</t>
  </si>
  <si>
    <t>دلیل است بر اختلاف هوا و مکروهی بزرگان و فتنه ها و بیع و شرای برده و حیوانات و کارهای آتش.</t>
  </si>
  <si>
    <t>دلیل است بر سرما و درماندن جاسوسان و پیکان و فساد حیوانات و اندوه عوام.</t>
  </si>
  <si>
    <t>دلیل است بر اندوه ملوک و اکابر و سروران و رفتن بادها و سرما و نم و بدی مسافران و زحمت مشایخ و حکما.</t>
  </si>
  <si>
    <t>دلیل است بر بارش و طلب بزرگی در عوام و رسیدن مسافران خاصه از دریا.</t>
  </si>
  <si>
    <t>قران قمر با زهره در بروج دوازده گانه</t>
  </si>
  <si>
    <t>دلیل است بر باریدگی و بیع و شرای زرینه ها و مهمانی و زفاف و معاشرت.</t>
  </si>
  <si>
    <t>دلیل است بر قوت بزرگ زادگان و خاتونان و اهل طرب و اجتماع زنان و آمدن مسافران و سرما در وقت.</t>
  </si>
  <si>
    <t>دلیل است بر جهیدن بادهای خوش و نوشتن خطوط و هبه نامه و آمدن نامه و نیکی حال و طرب مردان.</t>
  </si>
  <si>
    <t>دلیل است بر فراوانی جواهر آبی و نیکی حال مسافران و طرب در عوام و باریدگی و نیکی کشتی ها و شور و مهمانی.</t>
  </si>
  <si>
    <t>دلیل است بر اعتدال هوا و برآمدن نکاح ها و طرب در ملوک و خوانین و ساختن پیرایه ها و خلعت ها.</t>
  </si>
  <si>
    <t>دلیل است بر نیکی حال مسافران و پیکان و جاسوسان و نکاح ها به زور و طرب وزرا و اهل قلم و بیع برده و عطرها و جامه ها.</t>
  </si>
  <si>
    <t>دلیل است بر رونق اهل طرب و برآمدن نکاح ها و فرح در زنان و مجلس های عشرت و رفتن بادهای خوش و دل خوشی مسافران.</t>
  </si>
  <si>
    <t>دلیل است بر بارش و درماندن مسافران و مکروهی زنان و اهل طرب و خدم.</t>
  </si>
  <si>
    <t>دلیل است بر طرب علما و میل عوام به زهد و بیع برده و دواب و ادای درهم و فلوس.</t>
  </si>
  <si>
    <t>دلیل است برآمدن مسافران و خلاصی از زحمت و خوف بودن سرما.</t>
  </si>
  <si>
    <t>دلیل است بر باد و نم و عشرت در مشایخ و حکما و به کار بردن مواد طرب.</t>
  </si>
  <si>
    <t>دلیل است بر باریدگی و سیل ها و جمعیت خوانین و طرب در بزرگان و اشراف و ائمه و قضات و فرح عوام.</t>
  </si>
  <si>
    <t>قران قمر با عطارد در بروج دوازده گانه</t>
  </si>
  <si>
    <t>دلیل است بر بیع دواب و سلاح و برگشتن هوا و بخارها و نم ها و رسیدن اخبار.</t>
  </si>
  <si>
    <t>دلیل است بر سرما و بیع طعام و ستور وعمارت و زرع و آمدن مسافران.</t>
  </si>
  <si>
    <t>دلیل است بر رونق دبیران و نقاشان و نوشتن خطوط و آمدن نامه ها و اخبار وبیع برده.</t>
  </si>
  <si>
    <t>دلیل است بر فرستادن رسولان و حرکت کشتی ها و مسافران و بیع جواهرآبی و بارش و تاریکی و دل خوشی عوام.</t>
  </si>
  <si>
    <t>دلیل است بر حرکت ملوک و سلاطین و رسیدن قاصدان پادشاه و اخبار مُلکی و قصد شکار و بیع جواهر کانی و طلب مال.</t>
  </si>
  <si>
    <t>دلیل است بر حرکت پیکان و جاسوسان و رونق دیوان ها و بازارها و بیع غله و حیوانات و برده و کتابت.</t>
  </si>
  <si>
    <t>دلیل است بر هبوب(وزیدن) ریاح و نم و بیع برده و آمدن اخبار فرحت ناک و رونق شعرا و اهل طرب و ندما.</t>
  </si>
  <si>
    <t>دلیل است بر آمدن ابرها و کدورت هوا و افتادن اراجیف و فساد مسافران و درماندن جاسوسان.</t>
  </si>
  <si>
    <t>دلیل است بر بیع برده و دواب و حرارت هوا و در وقت و بخارها و خلاصی محبوسان و مناظره.</t>
  </si>
  <si>
    <t>دلیل است بر فروماندن مسافران و پیکان و بیع ستور و اختلاف هوا و سرما در وقت.</t>
  </si>
  <si>
    <t>دلیل است بر جستن بادهای مخالف چنان که مردم خایف شوند ونم و اخبار وحشت ناک و بحث علوم دقیق و طلب طلسمات و نقش هیاکل.</t>
  </si>
  <si>
    <t>دلیل است بر حرکت کشتی ها و مسافران دریا و تیرگی هوا و رونق صیادان و باز بودن کارهای شرعی و خلاصی از حبس قاضی.</t>
  </si>
  <si>
    <t>ص724</t>
  </si>
  <si>
    <t>قمر مع الرأس</t>
  </si>
  <si>
    <t>قمر مع الذنب</t>
  </si>
  <si>
    <t>دلیل است بر نیکویی حالات عالم و بزرگ شدن عوام و تربیت یافتن ایشان از ملوک و اکابر و اشراف و روائی کارهای بازرگانی و اخبار خوش و رفتن به مزارهای متبرکه و میل از عوام به خیرات و طاعات و اجابت دعاها</t>
  </si>
  <si>
    <t>دلیل است بر ضد آنچه گفته شد و حدوث امراض در اطفال و زنان و گفتگوی ناآزموده میان عوام و افتادن اراجیف و فساد میوه­ها در وقت و غم و تهمت و فساد مسافران و پیکان و بدشدن نرخها و دردهای چشم و تسلیط اجنه و دیوان</t>
  </si>
  <si>
    <t>اتصال قمر با ...</t>
  </si>
  <si>
    <t>دلیل دل خوشی بود میان زنان و مردان و فرزندان و پدران و تغیر هوا و نیکی حال اهل صحرا و مشایخ و مزارعان و سعادت حال صیادان</t>
  </si>
  <si>
    <t>دلیل است بر افتادن خصومت ها میان عوام و دیدن شدت و رنج مسافران و مکروهی میان پدران و فرزندان و تغیر هوا و سرما و بیماریها خاصه در کودکان وتفاوت نرخ­ها</t>
  </si>
  <si>
    <t>دلالت کند بر رغبت عوام به خیرات و طاعات و نیکی احوال مسافران و عدل و امانت و دیانت و ایمنی و فراخی و برآمدن کارها و حاجت­­ها و آسانی کار خلایق پیش بزرگان</t>
  </si>
  <si>
    <t>دلیل است بر مکروهی خاطر ائمه و قضات از عوام الناس و ظهور دعوی­های شرعی و افتادن خصومت ها و مناظره و مجادله و اندوه توانگران و اشراف و وزرا</t>
  </si>
  <si>
    <t>دلیل است بر حدوث حرارت بر طبایع و حرکت عساکر و فرح در مردم اوباش و شکارکردن و سواری به‌کارداشتن و انواع سلاح خریدن و خلاصی محبوسان</t>
  </si>
  <si>
    <t>دلیل است بر مکروهی عوام و ظلم لشکریان و خصومت رندان و عوام و قصد یکدیگر و بیماری کودکان و بدی راه ها و مقاتله و علاج نمودن به داغ و شق</t>
  </si>
  <si>
    <t>دلیل است بر عدل ملوک با رعیت و عوام خلایق و عنایت بزرگان با خوردان و گرمی هوا و دل خوشی میان پدران و فرزندان و شوهران و زنان و روائی کارها و برآمدن حاجت ها و شکستن سرما و رونق خلفا و ولیعهد</t>
  </si>
  <si>
    <t>دلیل است بر غضب ملوک بر رعایا و قهر و سیاست فرمودن و فاش گشتن بدی های مردم فرومایه و تغیر هوا و شکستن سرما و بودن نم ها</t>
  </si>
  <si>
    <t>دلیل است بر بسیاری فرح و طرب در مردم و مهمانی دعوت ها و بر آمدن نکاح ها و نیکی حال اهل طرب و زنان و خادمان و مسافران و عوام و اعتدال هوا</t>
  </si>
  <si>
    <r>
      <t xml:space="preserve">دلیل است بر تیزی بازار میوه‌ها و کاغذ و غلامان و نوشتن نامه ها و فرستادن رسولان و آمدن اخبار فرحت ناک و راست آمدن معالجات و احکام نجوم و بسیاری </t>
    </r>
    <r>
      <rPr>
        <sz val="16"/>
        <color rgb="FFFF0000"/>
        <rFont val="Traditional Arabic"/>
        <family val="1"/>
      </rPr>
      <t>در</t>
    </r>
    <r>
      <rPr>
        <sz val="16"/>
        <color theme="1"/>
        <rFont val="Traditional Arabic"/>
        <family val="1"/>
      </rPr>
      <t xml:space="preserve"> آمد بیع­ها و فرح متصرفان و تاجران و دبیران و اهل بازار</t>
    </r>
  </si>
  <si>
    <t>دلیل است بر تیزی بازار عطرها و مکروهی خاطر زنان و فاش گشتن خیانت زنان و اعتدال هوا</t>
  </si>
  <si>
    <t>دلیل است بر رسیدن اخبار دروغ و خیانت رسولان و بسیاری حیل میان عوام و اهل بازار و محاسبه وکیلان و متصرفان و ظاهر شدن خیانت­های ایشان و تغیر هوا و نوشتن خطهای دروغ</t>
  </si>
  <si>
    <t>فصل هفدهم: در احکام حلول علویین در بروج اثنا عشریه</t>
  </si>
  <si>
    <t>حلول زحل در ...</t>
  </si>
  <si>
    <t>دلیل است بر حرکت و نهضت سلاطین به قصد محاربه و مرگ شبان و غارت و قتال خاصه در نواحی مشرق و جنوب و کثرت اراجیف و تولد حشرات الارض موذیه و رسیدن مضرت به عظمای آذربایجان و موت در ولایت روم و عموم ظلم و تاریکی و تباهی هوا و نقصان سرما و حدوث باریدگی و رنج حیوانات کوچک و زحمت پیران و کشاورزان و کثرت تگرگ و برف</t>
  </si>
  <si>
    <r>
      <t xml:space="preserve">دلیل است بر حرب و فتنه در اکثر جهات و آفت یکی از فرماندهان و هول و هراس در خلایق و ضعف حال پیران و کثرت علل و امراض در ایشان و بی انتظامی در عالم و نقصان زراعت و فساد ارتفاعات و گرانی غلات و ضیق معاش و تشویش خلایق و مرگ اسبان و حیوانات سم شکافته </t>
    </r>
    <r>
      <rPr>
        <sz val="16"/>
        <color rgb="FFFF0000"/>
        <rFont val="Traditional Arabic"/>
        <family val="1"/>
      </rPr>
      <t xml:space="preserve">ع... </t>
    </r>
    <r>
      <rPr>
        <sz val="16"/>
        <color theme="1"/>
        <rFont val="Traditional Arabic"/>
        <family val="1"/>
      </rPr>
      <t>ولادت و موت زنان اکابر و بسیاری برف و باران متواتره در وقت و امکان طاعون</t>
    </r>
  </si>
  <si>
    <t>دلیل است بر تغیر هوا و خرابی خاندانهای قدیم و نکبت بزرگان و مقاتله و حدوث امراض در شبان و کودکان و آفت طیور و تباهی زرع و وزیدن بادهای سرد و ناخوش وعزت طعام و تنکی غلات و حدوث برف و باران و سیل و آفت و تباهی سفاین از بادهای مخالف و صلح و صلاح میان بزرگان حرمین شریفین و کثرت امراض مزمنه در ولایت هندوستان</t>
  </si>
  <si>
    <t>دلیل است بر نقصان آب انهار و کثرت برف و سرمای سخت و اعتدال هوا در تابستان و آفت غلات از ملخ و فتنه در زمین بلخ و کاشغر و فرغانه و سمرقند و غارت و تاخت در ارمنیه صغری و اقلیم بابل و غرق سفاین و آفت حیوانات آبی و حدوث سعال و امراض صدر و صحت و سلامتی ملوک و اطاعت رعایا و طیب قلوب</t>
  </si>
  <si>
    <t>دلیل است بر فساد زر و سیم و بی رونقی معادن و زحمت آتشکاران و غلبه سباع ضاره در دشت قبچاق و خراسان و تغیر دولت ها و منصب ها و گرانی نرخ ها و حدوث امراض در بزرگان و کثرت امطار و اعتدال هوا در تابستان</t>
  </si>
  <si>
    <r>
      <t xml:space="preserve">دلیل است بر زحمت </t>
    </r>
    <r>
      <rPr>
        <sz val="16"/>
        <color rgb="FFFF0000"/>
        <rFont val="Traditional Arabic"/>
        <family val="1"/>
      </rPr>
      <t xml:space="preserve">اغنیا وات </t>
    </r>
    <r>
      <rPr>
        <sz val="16"/>
        <color theme="1"/>
        <rFont val="Traditional Arabic"/>
        <family val="1"/>
      </rPr>
      <t>غله ها خصوصا گندم و فقدان یکی از فرماندهان و مصادره توانگران و مشقت در اشراف و رؤسا و ظفر پادشاه بر اعدا و فتنه در خراسان و فارس و مرگ گاو و گوسفند و ارزانی نرخها در ولایت عراق و کثرت عمارات و حدوث سرما در زمستان و گرمی در تابستان</t>
    </r>
  </si>
  <si>
    <t>دلیل است بر گرانی اطعمه و کمی محصولات در بلاد منیران و فراخی در اقلیم اول و بسیاری نقره و حدوث امراض از رطوبت و وزیدن بادهای مخالف و قلت آب و فتنه و بنای عمارات عالیه مستحکمه و حدوث حرب و فقدان بزرگی در ولایت روم و حصول ظفر و زیاده شدن شرف و عزت ارباب صناعات و حسن حال مزارعان و ارباب فلاحت</t>
  </si>
  <si>
    <r>
      <t>دلیل است بر نقصان آبها و مخاطره کشتی ها و قلت حیوانات و امراض مزمنه عُسرالبر</t>
    </r>
    <r>
      <rPr>
        <sz val="16"/>
        <color rgb="FFFF0000"/>
        <rFont val="Traditional Arabic"/>
        <family val="1"/>
      </rPr>
      <t>ا</t>
    </r>
    <r>
      <rPr>
        <sz val="16"/>
        <color theme="1"/>
        <rFont val="Traditional Arabic"/>
        <family val="1"/>
      </rPr>
      <t xml:space="preserve"> سیما درجوانان واسقاط اجنّه و کثرت برف و باریدگی و سرما و تباهی زراعت در ممالک خراسان و سفک دماء و وزیدن بادهای خنک ناخوش و ظهور حشرات الارض و سلامتی سکان سواد عراق و اقلیم بابل و تشویش آذربایجان و مازندران</t>
    </r>
  </si>
  <si>
    <t>دلیل است بر اجتماع پادشاهان بامداد و اعانت رعایا در دفع اعادی و ظهور فتنه در زمین مشرق وموت بزرگی در ولایت عراق و دردچشم و سرسام و نقصان معادن و اسقاط ستوران و تسلط غلامان بر مالکان و آفت غله ها و فساد حال وزیری بزرگ و مُکنت اصحاب دنائت و حدوث طاعون و قتال در ناحیه مشرق و ظهور ملخ و اعتدال هوا و سلامتی حال سکنای اماکن شریفه و مزارات متبرکه</t>
  </si>
  <si>
    <t>دلیل است بر فتنه در زمین هند و آشوب و برهم خوردگی در ولایت گیلان و رنج حیوانات و کثرت سرما و برف در فصل شتا و آفت اشجار و اثمار و عدل پادشاهان و خوشنودی رعایا و آسایش و راحت خلق و فراخی نعمت و بالا گرفتن کار اهل قلاع و کوه نشینان و ارباب بیوت قدیمه و بسیاری اراجیف و حدوث زلزله و فساد ارتفاعات و غلات و ظهور جنون و مالیخولیا و تسلط اجلاف بر اشراف</t>
  </si>
  <si>
    <r>
      <t xml:space="preserve">دلیل است بر فتنه و حرب و عذر نمودن سفله با امرا و آفت ایشان و فقدان پادشاهی و موت پیران و تشویش در ولایت طبرستان و حدوث ریاح عاصفه </t>
    </r>
    <r>
      <rPr>
        <sz val="16"/>
        <color rgb="FFFF0000"/>
        <rFont val="Traditional Arabic"/>
        <family val="1"/>
      </rPr>
      <t xml:space="preserve">فخریه </t>
    </r>
    <r>
      <rPr>
        <sz val="16"/>
        <color theme="1"/>
        <rFont val="Traditional Arabic"/>
        <family val="1"/>
      </rPr>
      <t>و آمدن سبلها و باران مضر و وقوع زلزله و ظهور ملخ و مرگ دواب</t>
    </r>
  </si>
  <si>
    <t>دلیل است بر شیوع فتنه و آشوب در طبرستان و سواحل و نقصان آبها و نکبت ملاحان و دردچشم و بیماری و مرگ بزرگان و ناایمنی میان مردم و نقصان و خسران و بسیاری گرما و سرما در وقت خود و رعد و برق و حدوث امراض در اعضای اسافل و کثرت هبوب ریاح</t>
  </si>
  <si>
    <t>حلول مشتری در ...</t>
  </si>
  <si>
    <t>دلیل است بر نیکی حال ملوک و اکابر و خروج جواهر قیمتی از معادن و قوت معدنیان و روائی کار ضیاع و زر وسیم و عزت طلا و نقره و سلامتی اغنام و حصول برکات و صلاح حال اهل مشرق و طیب قلوب ایشان و قلت غم و اندوه و ظهور سلطان عظیم الشان عادل و سلامتی غلّات و کثرت زرع و غرس(731) و پیوند اشجار و گرما در اوائل فصل و سرما در آخر سال حادث گردد، و فی الجمله فتنه در زمین خراسان ظاهر شود و جوشش چشمه ها و چاه و در تابستان بادها جهد و بیماری بهمرسد</t>
  </si>
  <si>
    <r>
      <t xml:space="preserve">دلیل است بر فراخی نعمت و سلامتی ستوران و مزرعه ها و نهادن بناهای خیر از مساجد و مقابر و صوامع و بسیاری کشت و زرع و ارزانی غلّه و قوت حال زنان و مطربان و اهل نغمه و بدحالی عُظما و اشراف و حدوث </t>
    </r>
    <r>
      <rPr>
        <sz val="16"/>
        <color rgb="FFFF0000"/>
        <rFont val="Traditional Arabic"/>
        <family val="1"/>
      </rPr>
      <t xml:space="preserve">رمد </t>
    </r>
    <r>
      <rPr>
        <sz val="16"/>
        <color theme="1"/>
        <rFont val="Traditional Arabic"/>
        <family val="1"/>
      </rPr>
      <t>و شدت برد و کثرت برف و باران در وقت و حدوث زلزله در اول زمستان و ارسال تحف و هدایا و کثرت توالد و تناسل حیوانات</t>
    </r>
  </si>
  <si>
    <t>دلیل است بر وزیدن بادهای خوش و مرطوب وتندرستی مردم و سلامتی اشجار و اثمار و اندوه قضات و اشراف و سادات و بسیاری داد و ستد و شفقت و عطوفت و امن و سکون میان مردم وقوت حال اهل قلم و عمال و تجار و معموری خزاین و ارسال رسل و رسائل فرماندهان و شیوع زهد و حدوث سرمای سخت بر وقت و وزیدن بادهای دبور و فساد زرع و نقصان میاه</t>
  </si>
  <si>
    <t>دلیل است بر قوت حال وزرا و اعیان دولت و باران های نافع و فراخی نعمت و ایمنی راه ها و کثرت سرور و خیر در عالم خاصه در زمین عراق و فایده تجار و سلامتی زرع و فتح قلعه در ساحل دریا و حدوث امراض صدر و جوشش لب و دهان و کثرت سعادت و حصول فواید عظیمه و جمعیت اموال و خزاین پادشاه و حسن اطاعت رعایا و نیکی حال مسافران و سلامتی کشتی ها و حدوث سرمای عظیم و کثرت برف در سرما و گرما به افراط و هبوب سموم بر وقت</t>
  </si>
  <si>
    <t>دلیل است بر خوشحالی و کثرت نقود و نیکی حال صرافان و معموری خزاین از سیم و جواهر و عزت زر و سیم و حرارت هوا در تابستان و اطاعت عبّاد و زهّاد مر ملوک را و خروج خوارج در نواحی مشرق و بیماریهای مردم از نزلات و سرفه و آماس در دست وپا و موت مردم صاحب عزت و اشراف و بادهای تند مخرب اشجار و کثرت باران و مرگ اطفال و حدوث درد شکم و بسیاری گاو و شتر و گوسپند و وفور نعمت و اعتدال هوا</t>
  </si>
  <si>
    <r>
      <t>دلیل است بر اعتدالی و صفا</t>
    </r>
    <r>
      <rPr>
        <sz val="16"/>
        <color rgb="FFFF0000"/>
        <rFont val="Traditional Arabic"/>
        <family val="1"/>
      </rPr>
      <t>ئ</t>
    </r>
    <r>
      <rPr>
        <sz val="16"/>
        <color theme="1"/>
        <rFont val="Traditional Arabic"/>
        <family val="1"/>
      </rPr>
      <t>ی هوا و صحت خلایق و سلامتی کشتی ها و رواج بازارها و حدوث رمد و صداع و اندوه اکابر و اعیان مملکت و کثرت فوج و سرور اهل قلم و کثرت آسودگی در مردم و عفت زنان و سلامتی زرع از آفات و اضطراب نرخها و بسیاری عمارات و زیادتی مطر در وقت و میل مردم به کسب علوم دینیه و قوت حال اطبا و منجمان و بدی حال زنان حامله و موت و قتل در جانب جنوب و حدوث زلزله</t>
    </r>
  </si>
  <si>
    <t>دلیل است بر ایمنی طرق و شوارع و کثرت بادها و حدوث باران در وقت و فراخی نعمت و ظلم ملوک بر رعایا و میلان خلایق به خیرات و طاعات و کثرت نخوت و وقوع باران در آخر تابستان مخرب زراعت و مرگ گاوان و در اول زمستان رعد و برق جهد و غلامان و بندگان هلاک شوند و مسائل شرعیه رواج یابد و سفر بسیار روی دهد</t>
  </si>
  <si>
    <t>دلیل است بر فتنه و آشوب و جور و ستم ترکان و سپه سالاران و قطع طرق و کثرت بادهای تند و باران های مفسد و بی نفع و عزت طعام و تلف اموال و عداوت عظما و قوت عبرت و در قید افتادن لشکرها و سلامتی زرع خاصه گندم و موافقت ازواج و کثرت الفت زنان و ارزانی در ولایت مغرب و استراحت سکان آن جا از فتنه و فساد و توبه نمودن از معاصی و حسن حال ولایت فارس و گرانی و قحط در قسطنطنیه و امکان زلزله در آغاز زمستان و برف باشد و انگور بسیار شود</t>
  </si>
  <si>
    <t>دلیل است بر صحت و سلامتی بزرگان و بسیاری نقود و خیرات و اعتدال هوا و رغبت مردم به صلاح و پرهیزگاری و قوت حال وزرا و اشراف و رواج زر و سیم و حدوث درد سر و چشم سیما در فضل خزان و مرگ ستوران خاصه گاو و حدوث باران و تباهی غله از کثرت آن و داد و عدل با پادشاه خاصه در اقلیم چهارم و کثرت حرارت تابستان وبسیاری میوه‌ها و بعضی عظما را طاعون عارض شود و در ولایت مشرق حرب افتد و ملخ بیرون آید</t>
  </si>
  <si>
    <t>دلیل است بر سلامتی حیوانات و اعتدال هوا و اندوه سادات و قضات و فقها و نیکی حال رعایا و سلامتی زنان حامله و قوت حال مزارعان و پیران و گوشه نشینان و نیکی کشت و زرع و خشم گرفتن سلطان بر عمال و هلاک شدن یکی از معارف و کثرت باران در فصل بهار و نیکی حال میوه‌ها و مرگ سباع و کلاب و جودت طعام و شراب و امکان زلزله</t>
  </si>
  <si>
    <r>
      <t xml:space="preserve">دلیل است بر سلامتی و نیکی حال خلایق و ارزانی نرخها و وفور نعمت و فتوح در کارهای بسته و حسن صفائی هوا و ظهور اشیای مکتومه نزد پادشاهان و شفقت نمودن با بزرگان و بلند نمودن پایه و قضای حوایج عظما و </t>
    </r>
    <r>
      <rPr>
        <sz val="16"/>
        <color rgb="FFFF0000"/>
        <rFont val="Traditional Arabic"/>
        <family val="1"/>
      </rPr>
      <t xml:space="preserve">نجد </t>
    </r>
    <r>
      <rPr>
        <sz val="16"/>
        <color theme="1"/>
        <rFont val="Traditional Arabic"/>
        <family val="1"/>
      </rPr>
      <t>و</t>
    </r>
    <r>
      <rPr>
        <sz val="16"/>
        <color rgb="FFFF0000"/>
        <rFont val="Traditional Arabic"/>
        <family val="1"/>
      </rPr>
      <t xml:space="preserve"> </t>
    </r>
    <r>
      <rPr>
        <sz val="16"/>
        <color theme="1"/>
        <rFont val="Traditional Arabic"/>
        <family val="1"/>
      </rPr>
      <t>اشیای مندرسه و شیوع وبا در ولایت مصر و فتنه در زمین عراق و بابل و ناسازگاری میان طایفه عرب و هلاکی اشراف و بیماری جوانان و تلف شدن سباع و طیور و کثرت برف و باران و شتا و هبوب صبا در صیف و فساد زرع از کثرت امطار و اضطراب نرخها و مرگ زنان و فتنه در زمین طبرستان</t>
    </r>
  </si>
  <si>
    <t>دلیل است بر قوت حال سادات و علما و اشراف و سلامتی کشتی ها و کثرت زراعت و عمارت و تندرستی مردم و سلامتی مسافران دریا و باران های نافع و فرح و سرور پادشاهان و نقل و حرکت ایشان به اطراف و اکرام در حق علما و سادات و عفت زنان و حسن مزاج هوا و هبوب ریاح بارده در نهار و شدت گرما در تابستان و خوبی هوا در خزان و کثرت باریدگی در اول زمستان و بسیاری بادها در وسط آن و حدوث برف در آخر زمستان و خروج خوارج در عراق و دیار مغرب و خوشی در ولایت شام و فتح بعضی از بلاد فرنگ و کثرت اوجاع خبالی و تباهی میوه‌ها خاصه انگور و زیتون و نفاق مردم در مذاهب و ادیان</t>
  </si>
  <si>
    <t xml:space="preserve">سال حقیقی </t>
  </si>
  <si>
    <t xml:space="preserve">ماه حقیقی </t>
  </si>
  <si>
    <t xml:space="preserve">ماضی </t>
  </si>
  <si>
    <t>تفاوت وسطی و حقیقی</t>
  </si>
  <si>
    <t>نام فردار اصغر</t>
  </si>
  <si>
    <t>نام فردار اوسط</t>
  </si>
  <si>
    <t>مستقیم راجع</t>
  </si>
  <si>
    <t>برج فردار اکبر</t>
  </si>
  <si>
    <t>برج فردار اعظم</t>
  </si>
  <si>
    <r>
      <t>دلیل کند بر بدی احوال دبیران</t>
    </r>
    <r>
      <rPr>
        <b/>
        <sz val="16"/>
        <color theme="1"/>
        <rFont val="B Badr"/>
        <charset val="178"/>
      </rPr>
      <t xml:space="preserve"> </t>
    </r>
    <r>
      <rPr>
        <sz val="16"/>
        <color theme="1"/>
        <rFont val="B Badr"/>
        <charset val="178"/>
      </rPr>
      <t>و اصحاب دواوین و نوشتن خطهای جعلی به ناحق و افتادن اراجیف و ضرب فلوس و رنج ضعیفان و کسادی بازار و تازه شدن سخنان گذشته و آمدن کاروان ها و بودن بازرگانیها با نفع و تغیر هوا و سرما و رعد و برق در وقت و فساد کشت و زرع و تفاوت نرخها وبیماریها از انواع صداع و بیع غلامان و عقاقیر</t>
    </r>
  </si>
  <si>
    <r>
      <t xml:space="preserve">فایده: </t>
    </r>
    <r>
      <rPr>
        <sz val="16"/>
        <color theme="1"/>
        <rFont val="B Badr"/>
        <charset val="178"/>
      </rPr>
      <t>من جمله قرانات قران النحسین و قران السعدین را موثرتر دانسته اند خاصه قران النحسین سرطانی که بدترین قرانات است زیرا که وبال زحل است و هبوط مریخ است و تاثیرش آن است که مدعیان بیرون آیند و مردمان سفله قوت گیرند وغلوی عام شود و مردم شریف را نکبت رسانند و فتنه های عظیم برپا سازند و زود باطل شوند و اضطراب احوال ملوک و سلاطین و اکابر و معارف باشد و خونها و فتنه ها به وقوع آید و خرابی ها رونهد و این قران در حد هر کوکب که افتد فتنه از آن(713) قوم خیزد که منسوب اند به خداوند حد، و اگر این قران حوالی دلایل انتقال دولتی یا قران علویین یا نزدیک انتقال دوری افتد اثرش عظیم تر باشد و بهترین قران السعدین آن است که در برج حوت واقع شود زیرا که خانه مشتری و شرف زهره است و دلیل این قران امن و آسایش و ارزانی و جاه و رفعت بزرگان و عامه خلایق است و اگر این قران نزدیک به انتقال دولت باشد نقل دولت به پادشاه اسلام عادل شود</t>
    </r>
  </si>
  <si>
    <r>
      <t xml:space="preserve">دلیل است بر نکبت ملوک و سلاطین در مشرق و اقلیم چهارم و قتل و زحمت بزرگان </t>
    </r>
    <r>
      <rPr>
        <sz val="16"/>
        <color rgb="FFFF0000"/>
        <rFont val="B Badr"/>
        <charset val="178"/>
      </rPr>
      <t xml:space="preserve">با خفا </t>
    </r>
    <r>
      <rPr>
        <sz val="16"/>
        <color rgb="FF000000"/>
        <rFont val="B Badr"/>
        <charset val="178"/>
      </rPr>
      <t>و فساد نقود و اضطراب احوال خاندانهای قدیم و مزارعان و بیماریهای مزمنه و تغیر هوا، و اگر مشتری آن جا بود یا ناظر باشد فراخی طعام بود و خشکی هوا و نقصان فسادها، و اگر مریخ بود خلاف در لشکریان پدید آید و موت حیوانات و فساد دارالضرب، و اگر زهره بود بیماریها و موت زنان باشد و بارش و سرما بسیار شود، و اگر عطارد بود اندوه اهل قلم و کارکنان آتش و کیمیاگران و تغیر هوا و سرما و نم و این همه احکام مناسب وقت وفصل و نظر کواکب دیگر باشد</t>
    </r>
  </si>
  <si>
    <r>
      <t xml:space="preserve">دلیل است بر صحت و سلامتی و حسن حال ملوک و بزرگان و سایر مردمان و اعتدالی هوا و خوبی حال مسافران دریا و کثرت باران و زیادتی میاه آبار و انهار و فراخی طعام و قوت کردن مردم سفله، اگر مریخ آن جا بود یا ناظر باشد دلیل است بر فساد وتباهی سفاین و </t>
    </r>
    <r>
      <rPr>
        <sz val="16"/>
        <color rgb="FFFF0000"/>
        <rFont val="B Badr"/>
        <charset val="178"/>
      </rPr>
      <t xml:space="preserve">حبس </t>
    </r>
    <r>
      <rPr>
        <sz val="16"/>
        <color theme="1"/>
        <rFont val="B Badr"/>
        <charset val="178"/>
      </rPr>
      <t>اهل شر و فتنه و نقصان آبها و فساد حیوانات آبی، و اگر زهره آن جا بود باریدگی بسیارشود و جواهر آبی ارزان گردد و گشایش روزی باشد و ابرهای سیاه پدید آید و سرما در وقت بود، و اگر عطارد آن جا باشد بیع و شرای به کثرت شود و آمدن کشتی ها و کاروان ها و باریدگی و تغیر هوا باشد، و اگر قمر آن جا بود سیل ها آید و خرابی کند و نباتات نیکو باشند و مسافران برای سفر تعجیل کنند</t>
    </r>
  </si>
  <si>
    <r>
      <t xml:space="preserve">دلالت کند بر </t>
    </r>
    <r>
      <rPr>
        <sz val="16"/>
        <color rgb="FFFF0000"/>
        <rFont val="B Badr"/>
        <charset val="178"/>
      </rPr>
      <t>وسط</t>
    </r>
    <r>
      <rPr>
        <sz val="16"/>
        <color theme="1"/>
        <rFont val="B Badr"/>
        <charset val="178"/>
      </rPr>
      <t xml:space="preserve"> حال ملوک مغرب و حفظ ناموس و نفاق در اکابر و فراخی معاش و حسن حال اشجار و میوه‌ها و صحت خلایق و عدل و انصاف حکام و میل مردم به طاعات و خیرات و وزیدن بادهای خوش و حرارت هوا، و اگر مریخ آن جا بود یا ناظر باشد فساد اشجار و بیماری د رمردم از باد گرم و شهب و نیازک و تشویش خلایق و اراجیف، و اگر زهره آن جا باشد دلیل کند بر وقوع نکاح ها و توسعه معاش و ارزانی اطعمه خاصه میوه‌ها و تغیر هوا و نم ها در وقت، و اگر عطارد بود بادهای سخت جهد و رونق اهل فضل و حکما ودبیران و تیزی خاطرها و بازارها، و اگر قمر آن جا بود یا ناظر باشد باد و باریدگی بود بر وقت و میوه‌ها نیکو باشد و صحت در خلایق</t>
    </r>
  </si>
  <si>
    <r>
      <t xml:space="preserve">دلیل است بر نیکی حال ملوک در جنوب و عدل و انصاف در این طایفه و مکروهی وزرا و اهل ورع و ائمه و اهل قضات (شرع) و فراخی طعام و شیرینی ها، اگر مریخ آن جا بود یا ناظر باشد دزدی و ظلم و خیانت پدید آید و خشکی هوا و فساد و اطعمه و حرکت لشکرها، و اگر در آن جا زهره بود اطعمه و میوه‌ها نیکو باشد و </t>
    </r>
    <r>
      <rPr>
        <sz val="16"/>
        <color rgb="FFFF0000"/>
        <rFont val="B Badr"/>
        <charset val="178"/>
      </rPr>
      <t>خوف</t>
    </r>
    <r>
      <rPr>
        <sz val="16"/>
        <color theme="1"/>
        <rFont val="B Badr"/>
        <charset val="178"/>
      </rPr>
      <t xml:space="preserve"> سرما بود در وقت، و اگر عطارد باشد سرما سخت تر باشد </t>
    </r>
    <r>
      <rPr>
        <sz val="16"/>
        <color rgb="FFFF0000"/>
        <rFont val="B Badr"/>
        <charset val="178"/>
      </rPr>
      <t xml:space="preserve">وقتی را </t>
    </r>
    <r>
      <rPr>
        <sz val="16"/>
        <color theme="1"/>
        <rFont val="B Badr"/>
        <charset val="178"/>
      </rPr>
      <t>قوی تر بود و کثرت بیع دواب، و اگر آن جا قمر بود از سرما بیم باشد و فساد حیوانات و زحمت مسافران و اندوه عوام الناس</t>
    </r>
  </si>
  <si>
    <r>
      <t xml:space="preserve">دلیل است بر قوت حال سلاطین در شرق و اقلیم چهارم و نکبت توانگران و وزرا و ائمه و قُضات در اقلیم دوم و فتنه های پوشیده افتد و </t>
    </r>
    <r>
      <rPr>
        <sz val="16"/>
        <color rgb="FFFF0000"/>
        <rFont val="B Badr"/>
        <charset val="178"/>
      </rPr>
      <t>عزت</t>
    </r>
    <r>
      <rPr>
        <sz val="16"/>
        <color theme="1"/>
        <rFont val="B Badr"/>
        <charset val="178"/>
      </rPr>
      <t xml:space="preserve"> نقود و گرمی هوا و داد و عدل و فراخی اطعمه، و اگر مریخ آن جا بود یا ناظر باشد دلیل قتل و آفت باشد در شرق و خراسان و اقلیم دوم و بسیاری غضب ملوک وخصومت ها و فساد نواحی مذکور و ساختن آلات حرب، و اگر زهره بود هوا معتدل باشد و فساد اطعمه و میوه‌ها، و اگر عطارد باشد بازار عطرها و دواب تیزی کند و باشد که کار دارالضرب قوی گردد و هوا متغیر شود و بازارها را رونق بود و ابرها و نم ها باشد و هوا به اعتدال بود</t>
    </r>
  </si>
  <si>
    <r>
      <t xml:space="preserve">دلیل است بر خلاف و فتنه جانب شمال و قوت کردن سفلگان و </t>
    </r>
    <r>
      <rPr>
        <sz val="16"/>
        <color rgb="FFFF0000"/>
        <rFont val="B Badr"/>
        <charset val="178"/>
      </rPr>
      <t>شبیخون</t>
    </r>
    <r>
      <rPr>
        <sz val="16"/>
        <color theme="1"/>
        <rFont val="B Badr"/>
        <charset val="178"/>
      </rPr>
      <t xml:space="preserve"> و فساد آبها و درماندن خائنان، و اگر زهره آن جا بود یا ناظر باشد ابرهای سیاه برآید و سرما در وقت بود و نیکوئی نباتات و فراخی اطعمه، و اگر عطارد باشد دلالت کند بر نیکوئی حال مسافران دریا و باریدگی و سرما و رونق دستکاران و برگشتن هوا و کسادی بازارها، و اگر در آن جا قمر باشد دلیل کند بر سیلاب ها و باران های تیز</t>
    </r>
  </si>
  <si>
    <r>
      <t xml:space="preserve">دلیل است بر قتل و بیماری ملوک مغرب و تشویش و اراجیف و بیماریهای دموی و سرخ باد و اختلاف هوا و خشکی و بدی حال امرا و لشکریان و مخالفان پادشاه و فرو رفتن بدکاران، و اگر زهره آن جا بود یا ناظر باشد بادهای خوش وزد به اعتدال و بارش و تندرستی خلایق و ارزانی </t>
    </r>
    <r>
      <rPr>
        <sz val="16"/>
        <color rgb="FFFF0000"/>
        <rFont val="B Badr"/>
        <charset val="178"/>
      </rPr>
      <t xml:space="preserve">دواب </t>
    </r>
    <r>
      <rPr>
        <sz val="16"/>
        <color theme="1"/>
        <rFont val="B Badr"/>
        <charset val="178"/>
      </rPr>
      <t>و برده و فرح در مردم، و اگر عطارد آن جا بود یا ناظر باشد اراجیف بسیار افتد و تغیر و خشکی هوا بود و علامات و شهب در جو و رونق بازار برده و قوت دستکاران و اطبّا، و اگر قمر آن جا بود یا ناظر باشد دلیل بارش و بادهای مخالف و غلبه عوام باشد</t>
    </r>
  </si>
  <si>
    <r>
      <t xml:space="preserve">دلیل است بر کثرت توالد و تناسل و رنج زنان حامله و فساد زنان بدکار و ارزانی جواهر و نکاح ها در بزرگان و بر آمدن کارهای سفر دریا و باریدگی ها قوی باشد و آمد و رفت مسافران دریا و بیع و شرای </t>
    </r>
    <r>
      <rPr>
        <sz val="16"/>
        <color rgb="FFFF0000"/>
        <rFont val="B Badr"/>
        <charset val="178"/>
      </rPr>
      <t>عرض</t>
    </r>
    <r>
      <rPr>
        <sz val="16"/>
        <color theme="1"/>
        <rFont val="B Badr"/>
        <charset val="178"/>
      </rPr>
      <t xml:space="preserve"> و جوی و مانند آن، و اگر قمر در آن جا باشد یا ناظر بود سیل ها بسیار آید</t>
    </r>
  </si>
  <si>
    <r>
      <t xml:space="preserve">دلیل است بر رنج خواتین و خدم و بیماریها در جهت جنوب و مغرب و اقلیم پنجم و فساد برده و رفتن بادهای خوش به حسب وقت و بسیاری نکاح ها، و اگر در آن جا عطارد بود یا ناظر باشد دلیل است بر بیع و شرای برده و جامهای قیمتی و رونق کار مزامیر و </t>
    </r>
    <r>
      <rPr>
        <sz val="16"/>
        <color rgb="FFFF0000"/>
        <rFont val="B Badr"/>
        <charset val="178"/>
      </rPr>
      <t>تار</t>
    </r>
    <r>
      <rPr>
        <sz val="16"/>
        <color theme="1"/>
        <rFont val="B Badr"/>
        <charset val="178"/>
      </rPr>
      <t xml:space="preserve"> و حال حکما و اهل فضل و دبیران و متصرفان، و اگر قمر باشد نم ها بود و هوای خوش وزد و فراخی اطعمه و میوه‌ها</t>
    </r>
  </si>
  <si>
    <r>
      <t xml:space="preserve">دلیل است بر بیماریهای زنان و خادمان و بزرگان در جهت مشرق و اقلیم پنجم و افتادن فتنه ها و تهمت ها و برآمدن نکاح ها و طرب و نشاط در ملوک و حصول تشریف پر زر و قیمتی و هوای معتدل، و اگر عطارد در آن جا بود یا ناظر باشد دلیل بود بر ضرب درهم و دینار و </t>
    </r>
    <r>
      <rPr>
        <sz val="16"/>
        <color rgb="FFFF0000"/>
        <rFont val="B Badr"/>
        <charset val="178"/>
      </rPr>
      <t>نقش</t>
    </r>
    <r>
      <rPr>
        <sz val="16"/>
        <color theme="1"/>
        <rFont val="B Badr"/>
        <charset val="178"/>
      </rPr>
      <t xml:space="preserve"> بستن دروائی کارخانه ها نقاشان و باریدگی و کثرت بیع جواهر و دواب(717)، و اگر قمر آن جا بود یا ناظر باشد هوای سخت وزد و گردباد پدید آید و سردی و نم در وقت باشد</t>
    </r>
  </si>
  <si>
    <r>
      <t xml:space="preserve">دلیل است بر تغیر حال هوا مناسب وقت و فساد نباتات و اطعمه و رنج کاروان ها و بیماری دواب و اهل قلم خاصه در ناحیه جنوب و خشکی هوا، و اگر قمر آن جا بود یا ناظر باشد </t>
    </r>
    <r>
      <rPr>
        <sz val="16"/>
        <color rgb="FFFF0000"/>
        <rFont val="B Badr"/>
        <charset val="178"/>
      </rPr>
      <t>نم ها برد</t>
    </r>
    <r>
      <rPr>
        <sz val="16"/>
        <color theme="1"/>
        <rFont val="B Badr"/>
        <charset val="178"/>
      </rPr>
      <t xml:space="preserve"> و کدورت هوا و سرما و تغیر هوا مناسب وقت</t>
    </r>
  </si>
  <si>
    <r>
      <t xml:space="preserve">دلیل است بر رونق دواوین و نهادن خراج و خواستگاری ممالک در جهت شرق و اقلیم سوم و رنج متصرفان و عمّال و بیع مرصعات و جواهر و بیماری در طبقات عطارد، و اگر قمر آن جا بود یا ناظر باشد در هوا کدورت ها پیدا شود و نم ها باشد و بیع جواهر بی قیمت مثل مُهره و آبگینه و </t>
    </r>
    <r>
      <rPr>
        <sz val="16"/>
        <color rgb="FFFF0000"/>
        <rFont val="B Badr"/>
        <charset val="178"/>
      </rPr>
      <t>مینا</t>
    </r>
  </si>
  <si>
    <r>
      <t xml:space="preserve">دلیل است بر مخالفت میان علما و مشایخ و قضات و اندوه سلاطین و فاش گشتن خیانت ها و عداوت ها میان بزرگان و ظلم و جور ناکسان بر شرفا و بیماریها در معارف و توانگران و </t>
    </r>
    <r>
      <rPr>
        <sz val="16"/>
        <color rgb="FFFF0000"/>
        <rFont val="B Badr"/>
        <charset val="178"/>
      </rPr>
      <t>خرابی</t>
    </r>
    <r>
      <rPr>
        <sz val="16"/>
        <color theme="1"/>
        <rFont val="B Badr"/>
        <charset val="178"/>
      </rPr>
      <t xml:space="preserve"> جایها و تغیر حال ممالک و تعصب میان اکابر و برگشتن هوا و تفاوت نرخها</t>
    </r>
  </si>
  <si>
    <r>
      <t xml:space="preserve">دلیل است بر اقرارکارها و بستن(عهدها و نوشتن)عهدنامه ها و رونق اهل بازار و فاش شدن رازها و بیع املاک و غلامان و رونق کار حکما و </t>
    </r>
    <r>
      <rPr>
        <sz val="16"/>
        <color rgb="FFFF0000"/>
        <rFont val="B Badr"/>
        <charset val="178"/>
      </rPr>
      <t>تغیر</t>
    </r>
    <r>
      <rPr>
        <sz val="16"/>
        <color theme="1"/>
        <rFont val="B Badr"/>
        <charset val="178"/>
      </rPr>
      <t xml:space="preserve"> حال هوا و سرما و باریدگی</t>
    </r>
  </si>
  <si>
    <r>
      <t xml:space="preserve">دلیل کند بر غضب ملوک بر وزرا و اعیان مملکت و مصادره توانگران و اندوه علما و میل قضات و حکام و حیرت اکابر و اشراف و تفاوت نرخ طعام و فساد دارالضرب و گرمی هوا و ظلم در صورت عدل و طلب اسرار </t>
    </r>
    <r>
      <rPr>
        <sz val="16"/>
        <color rgb="FFFF0000"/>
        <rFont val="B Badr"/>
        <charset val="178"/>
      </rPr>
      <t xml:space="preserve">اکابر، </t>
    </r>
    <r>
      <rPr>
        <sz val="16"/>
        <color theme="1"/>
        <rFont val="B Badr"/>
        <charset val="178"/>
      </rPr>
      <t>ظاهر شدن خیانت ها</t>
    </r>
  </si>
  <si>
    <r>
      <t>دلیل است بر بسیاری زنا و فسق و فجور و پنهانی آن و عداوت ها میان زنان و شوهران و اسقاط حمل و تفاوت نرخها و علت ها در میوه و تغیر</t>
    </r>
    <r>
      <rPr>
        <sz val="16"/>
        <color rgb="FFFF0000"/>
        <rFont val="B Badr"/>
        <charset val="178"/>
      </rPr>
      <t>ی</t>
    </r>
    <r>
      <rPr>
        <sz val="16"/>
        <color theme="1"/>
        <rFont val="B Badr"/>
        <charset val="178"/>
      </rPr>
      <t xml:space="preserve"> هوا و کدورت بازار</t>
    </r>
    <r>
      <rPr>
        <sz val="16"/>
        <color rgb="FFFF0000"/>
        <rFont val="B Badr"/>
        <charset val="178"/>
      </rPr>
      <t xml:space="preserve">یان </t>
    </r>
    <r>
      <rPr>
        <sz val="16"/>
        <color rgb="FF000000"/>
        <rFont val="B Badr"/>
        <charset val="178"/>
      </rPr>
      <t>و مضرت و فضیحتی زنان بدکار و ظاهر شدن فحش­های ایشان پیش بزرگان و فساد حال طبع اهل طرب و خادمان و سختی وشدت بر ایشان و بدنامی خاتونان بزرگ و رسیدن سخنان بد به ایشان و جرأت و جسارت در زنان</t>
    </r>
  </si>
  <si>
    <r>
      <t xml:space="preserve">دلیل است بر تیزی بازار میوه‌ها و کاغذ و غلامان و نوشتن نامه ها و فرستادن رسولان و آمدن اخبار فرحت ناک و راست آمدن معالجات و احکام نجوم و بسیاری </t>
    </r>
    <r>
      <rPr>
        <sz val="16"/>
        <color rgb="FFFF0000"/>
        <rFont val="B Badr"/>
        <charset val="178"/>
      </rPr>
      <t>در</t>
    </r>
    <r>
      <rPr>
        <sz val="16"/>
        <color theme="1"/>
        <rFont val="B Badr"/>
        <charset val="178"/>
      </rPr>
      <t xml:space="preserve"> آمد بیع­ها و فرح متصرفان و تاجران و دبیران و اهل بازار</t>
    </r>
  </si>
  <si>
    <r>
      <t xml:space="preserve">دلیل است بر حرب و فتنه در اکثر جهات و آفت یکی از فرماندهان و هول و هراس در خلایق و ضعف حال پیران و کثرت علل و امراض در ایشان و بی انتظامی در عالم و نقصان زراعت و فساد ارتفاعات و گرانی غلات و ضیق معاش و تشویش خلایق و مرگ اسبان و حیوانات سم شکافته </t>
    </r>
    <r>
      <rPr>
        <sz val="16"/>
        <color rgb="FFFF0000"/>
        <rFont val="B Badr"/>
        <charset val="178"/>
      </rPr>
      <t xml:space="preserve">ع... </t>
    </r>
    <r>
      <rPr>
        <sz val="16"/>
        <color theme="1"/>
        <rFont val="B Badr"/>
        <charset val="178"/>
      </rPr>
      <t>ولادت و موت زنان اکابر و بسیاری برف و باران متواتره در وقت و امکان طاعون</t>
    </r>
  </si>
  <si>
    <r>
      <t xml:space="preserve">دلیل است بر زحمت </t>
    </r>
    <r>
      <rPr>
        <sz val="16"/>
        <color rgb="FFFF0000"/>
        <rFont val="B Badr"/>
        <charset val="178"/>
      </rPr>
      <t xml:space="preserve">اغنیا وات </t>
    </r>
    <r>
      <rPr>
        <sz val="16"/>
        <color theme="1"/>
        <rFont val="B Badr"/>
        <charset val="178"/>
      </rPr>
      <t>غله ها خصوصا گندم و فقدان یکی از فرماندهان و مصادره توانگران و مشقت در اشراف و رؤسا و ظفر پادشاه بر اعدا و فتنه در خراسان و فارس و مرگ گاو و گوسفند و ارزانی نرخها در ولایت عراق و کثرت عمارات و حدوث سرما در زمستان و گرمی در تابستان</t>
    </r>
  </si>
  <si>
    <r>
      <t>دلیل است بر نقصان آبها و مخاطره کشتی ها و قلت حیوانات و امراض مزمنه عُسرالبر</t>
    </r>
    <r>
      <rPr>
        <sz val="16"/>
        <color rgb="FFFF0000"/>
        <rFont val="B Badr"/>
        <charset val="178"/>
      </rPr>
      <t>ا</t>
    </r>
    <r>
      <rPr>
        <sz val="16"/>
        <color theme="1"/>
        <rFont val="B Badr"/>
        <charset val="178"/>
      </rPr>
      <t xml:space="preserve"> سیما درجوانان واسقاط اجنّه و کثرت برف و باریدگی و سرما و تباهی زراعت در ممالک خراسان و سفک دماء و وزیدن بادهای خنک ناخوش و ظهور حشرات الارض و سلامتی سکان سواد عراق و اقلیم بابل و تشویش آذربایجان و مازندران</t>
    </r>
  </si>
  <si>
    <r>
      <t xml:space="preserve">دلیل است بر فتنه و حرب و عذر نمودن سفله با امرا و آفت ایشان و فقدان پادشاهی و موت پیران و تشویش در ولایت طبرستان و حدوث ریاح عاصفه </t>
    </r>
    <r>
      <rPr>
        <sz val="16"/>
        <color rgb="FFFF0000"/>
        <rFont val="B Badr"/>
        <charset val="178"/>
      </rPr>
      <t xml:space="preserve">فخریه </t>
    </r>
    <r>
      <rPr>
        <sz val="16"/>
        <color theme="1"/>
        <rFont val="B Badr"/>
        <charset val="178"/>
      </rPr>
      <t>و آمدن سبلها و باران مضر و وقوع زلزله و ظهور ملخ و مرگ دواب</t>
    </r>
  </si>
  <si>
    <r>
      <t xml:space="preserve">دلیل است بر فراخی نعمت و سلامتی ستوران و مزرعه ها و نهادن بناهای خیر از مساجد و مقابر و صوامع و بسیاری کشت و زرع و ارزانی غلّه و قوت حال زنان و مطربان و اهل نغمه و بدحالی عُظما و اشراف و حدوث </t>
    </r>
    <r>
      <rPr>
        <sz val="16"/>
        <color rgb="FFFF0000"/>
        <rFont val="B Badr"/>
        <charset val="178"/>
      </rPr>
      <t xml:space="preserve">رمد </t>
    </r>
    <r>
      <rPr>
        <sz val="16"/>
        <color theme="1"/>
        <rFont val="B Badr"/>
        <charset val="178"/>
      </rPr>
      <t>و شدت برد و کثرت برف و باران در وقت و حدوث زلزله در اول زمستان و ارسال تحف و هدایا و کثرت توالد و تناسل حیوانات</t>
    </r>
  </si>
  <si>
    <r>
      <t>دلیل است بر اعتدالی و صفا</t>
    </r>
    <r>
      <rPr>
        <sz val="16"/>
        <color rgb="FFFF0000"/>
        <rFont val="B Badr"/>
        <charset val="178"/>
      </rPr>
      <t>ئ</t>
    </r>
    <r>
      <rPr>
        <sz val="16"/>
        <color theme="1"/>
        <rFont val="B Badr"/>
        <charset val="178"/>
      </rPr>
      <t>ی هوا و صحت خلایق و سلامتی کشتی ها و رواج بازارها و حدوث رمد و صداع و اندوه اکابر و اعیان مملکت و کثرت فوج و سرور اهل قلم و کثرت آسودگی در مردم و عفت زنان و سلامتی زرع از آفات و اضطراب نرخها و بسیاری عمارات و زیادتی مطر در وقت و میل مردم به کسب علوم دینیه و قوت حال اطبا و منجمان و بدی حال زنان حامله و موت و قتل در جانب جنوب و حدوث زلزله</t>
    </r>
  </si>
  <si>
    <r>
      <t xml:space="preserve">دلیل است بر سلامتی و نیکی حال خلایق و ارزانی نرخها و وفور نعمت و فتوح در کارهای بسته و حسن صفائی هوا و ظهور اشیای مکتومه نزد پادشاهان و شفقت نمودن با بزرگان و بلند نمودن پایه و قضای حوایج عظما و </t>
    </r>
    <r>
      <rPr>
        <sz val="16"/>
        <color rgb="FFFF0000"/>
        <rFont val="B Badr"/>
        <charset val="178"/>
      </rPr>
      <t xml:space="preserve">نجد </t>
    </r>
    <r>
      <rPr>
        <sz val="16"/>
        <color theme="1"/>
        <rFont val="B Badr"/>
        <charset val="178"/>
      </rPr>
      <t>و</t>
    </r>
    <r>
      <rPr>
        <sz val="16"/>
        <color rgb="FFFF0000"/>
        <rFont val="B Badr"/>
        <charset val="178"/>
      </rPr>
      <t xml:space="preserve"> </t>
    </r>
    <r>
      <rPr>
        <sz val="16"/>
        <color theme="1"/>
        <rFont val="B Badr"/>
        <charset val="178"/>
      </rPr>
      <t>اشیای مندرسه و شیوع وبا در ولایت مصر و فتنه در زمین عراق و بابل و ناسازگاری میان طایفه عرب و هلاکی اشراف و بیماری جوانان و تلف شدن سباع و طیور و کثرت برف و باران و شتا و هبوب صبا در صیف و فساد زرع از کثرت امطار و اضطراب نرخها و مرگ زنان و فتنه در زمین طبرستان</t>
    </r>
  </si>
  <si>
    <t>از ابتدای سال اول طغیانی تا مبدا تسییرات و انتهاءات</t>
  </si>
  <si>
    <t xml:space="preserve">سال قمری </t>
  </si>
  <si>
    <t>انتهاء</t>
  </si>
  <si>
    <t>ابتداء</t>
  </si>
  <si>
    <t>فردار اوسط vba</t>
  </si>
  <si>
    <t>سال 1215 شمسی معادل 1251 هجری قمری است</t>
  </si>
  <si>
    <t>دوره</t>
  </si>
  <si>
    <t>موضع انتهاء سنوی</t>
  </si>
  <si>
    <t>موضع انتهاء شهوری</t>
  </si>
  <si>
    <t>حصه ایام شهوری</t>
  </si>
  <si>
    <t>حصه ایام سنوی</t>
  </si>
  <si>
    <t>دور (سال)</t>
  </si>
  <si>
    <t>دور (فصل)</t>
  </si>
  <si>
    <t>عطایای عظمی کواکب</t>
  </si>
  <si>
    <t>درجه قسمت</t>
  </si>
  <si>
    <t>درجه قسمت vba</t>
  </si>
  <si>
    <t>قاسم</t>
  </si>
  <si>
    <t>صاحب برج</t>
  </si>
  <si>
    <t>مدبّر تسییر</t>
  </si>
  <si>
    <t>مدبر انتهاء</t>
  </si>
  <si>
    <t>ماه مبدا</t>
  </si>
  <si>
    <t>روز مبدا</t>
  </si>
  <si>
    <t>عرض کوکب مبد</t>
  </si>
  <si>
    <t>سال مبدا قاسم</t>
  </si>
  <si>
    <t>سال خداه انتهاء اکبر</t>
  </si>
  <si>
    <t>سال خداه انتهاء اوسط</t>
  </si>
  <si>
    <t>صاحب نوبت فردار اکبر</t>
  </si>
  <si>
    <t>کوکب فردار اعظم- صاحب نوبت</t>
  </si>
  <si>
    <t>اسامی بیوت</t>
  </si>
  <si>
    <t>وتد مائل زائل</t>
  </si>
  <si>
    <t>صاعد هابط</t>
  </si>
  <si>
    <t>ناظر ساقط</t>
  </si>
  <si>
    <t>ص685</t>
  </si>
  <si>
    <t>دلایل اعضاء</t>
  </si>
  <si>
    <t>تذکیر و تانیث ارباع</t>
  </si>
  <si>
    <t>حد</t>
  </si>
  <si>
    <t>رب مثلثه 1</t>
  </si>
  <si>
    <t>رب مثلثه 3</t>
  </si>
  <si>
    <t>رب مثلثه 2</t>
  </si>
  <si>
    <t>رب صورت (وجه)</t>
  </si>
  <si>
    <t>رب ساعت</t>
  </si>
  <si>
    <t>مستولی</t>
  </si>
  <si>
    <t>shams</t>
  </si>
  <si>
    <t>moshtari</t>
  </si>
  <si>
    <t>zohal</t>
  </si>
  <si>
    <t>شریک</t>
  </si>
  <si>
    <t>شاهد</t>
  </si>
  <si>
    <t>عدد برج</t>
  </si>
  <si>
    <t>اثنا عشریه اصلاح نیاز دارد</t>
  </si>
  <si>
    <t>صاحب خسوف</t>
  </si>
  <si>
    <t>مدبّر</t>
  </si>
  <si>
    <t>بزرگترین</t>
  </si>
  <si>
    <t>رتبه</t>
  </si>
  <si>
    <t>برج تثلیث</t>
  </si>
  <si>
    <t>برج تسدیس</t>
  </si>
  <si>
    <t>ص688</t>
  </si>
  <si>
    <t>برج کسوف</t>
  </si>
  <si>
    <t>حکم 2</t>
  </si>
  <si>
    <t>حکم 3</t>
  </si>
  <si>
    <t>طالع شخص</t>
  </si>
  <si>
    <t>حکم 1</t>
  </si>
  <si>
    <t>این مراحل در خسوف نیز انجام شود</t>
  </si>
  <si>
    <t>بیتی که کسوف درآن واقع است به منسوبات(ص685) آن ضرر می رساند</t>
  </si>
  <si>
    <t>بیت12</t>
  </si>
  <si>
    <t>زایچه کسوف</t>
  </si>
  <si>
    <t xml:space="preserve">برج </t>
  </si>
  <si>
    <t xml:space="preserve">عطارد </t>
  </si>
  <si>
    <t xml:space="preserve">مریخ </t>
  </si>
  <si>
    <t xml:space="preserve"> انواع علل سوداوی حادث گردد و سختی سرما وابر و بیم وباد و مضرت در حیوانات بزرگ و بارکش و فساد حال مشایخ و دهاقین و خاندانهای قدیم و فقرا و گوشه نشینان</t>
  </si>
  <si>
    <t xml:space="preserve"> مردم را بر انگیزد به طلب مال و معاش و حرمت و جاه و فراخی پدید آید و نتایج حیوانات بسیار بود و هوا به اعتدال باشد و نم ها بود و بادهای خوش جهد</t>
  </si>
  <si>
    <t>فسادها پدید آید از خشکی هوا و افتادن خصومت ها و قتلها و بیماریها که منسوب به مریخ است و وقوع دزدی ها و خیانت ها و خوف سموم بود و نقصان بارش در وقت و نمودن آتش ها در هوا و فساد حال اشجار و تغیر حال لشکرها و بیماریها در گوسپندان و به زودی شکستن سرما در هنگام او و بودن اراجیف</t>
  </si>
  <si>
    <t xml:space="preserve"> فعل او مناسب فعل مشتری باشد و طلب تزویج و معاشرت و طرب و سلیطه شدن زنان و ناسازگاری کردن و ارزانی برده و ملبوسات و اطعمه</t>
  </si>
  <si>
    <t xml:space="preserve"> مزاج آن کوکب گیرد که بدو متصل باشد و به حسب بروج که موضع اوست فعل کند و بادهای مضطرب وزد و اراجیف بسیار افتد و مردم تیز خاطر شوند و حیله ها سازند و نامهای تزویر نویسند و خیانت ها کنند </t>
  </si>
  <si>
    <t>خسوف در مثلثه</t>
  </si>
  <si>
    <t>مدت خسوف</t>
  </si>
  <si>
    <t>تاثیر خسوف به روز</t>
  </si>
  <si>
    <t>تاثیرکسوف به روز</t>
  </si>
  <si>
    <t xml:space="preserve">مدت کسوف </t>
  </si>
  <si>
    <t>راس یا ذنب تعیین شود</t>
  </si>
  <si>
    <t>رنگ تحویل سال</t>
  </si>
  <si>
    <t>حربه تحویل سال</t>
  </si>
  <si>
    <t>زمان قرائت وقت تحویل</t>
  </si>
  <si>
    <t xml:space="preserve">شمس </t>
  </si>
  <si>
    <t xml:space="preserve">قمر </t>
  </si>
  <si>
    <t>ص746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</si>
</sst>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5" formatCode="0.00000"/>
  </numFmts>
  <fonts count="77">
    <font>
      <sz val="11"/>
      <color theme="1"/>
      <name val="Calibri"/>
      <family val="2"/>
      <scheme val="minor"/>
    </font>
    <font>
      <sz val="14"/>
      <color theme="1"/>
      <name val="B Zar"/>
      <charset val="178"/>
    </font>
    <font>
      <sz val="11"/>
      <color theme="1"/>
      <name val="B Badr"/>
      <charset val="178"/>
    </font>
    <font>
      <sz val="14"/>
      <color theme="1"/>
      <name val="Calibri"/>
      <family val="2"/>
      <scheme val="minor"/>
    </font>
    <font>
      <sz val="11"/>
      <color theme="0"/>
      <name val="Calibri"/>
      <family val="2"/>
      <scheme val="minor"/>
    </font>
    <font>
      <sz val="14"/>
      <color theme="1"/>
      <name val="B Badr"/>
      <charset val="178"/>
    </font>
    <font>
      <sz val="11"/>
      <color theme="1"/>
      <name val="Arabic Typesetting"/>
      <family val="4"/>
    </font>
    <font>
      <sz val="14"/>
      <color theme="1"/>
      <name val="Arabic Typesetting"/>
      <family val="4"/>
    </font>
    <font>
      <sz val="12"/>
      <color theme="1"/>
      <name val="B Badr"/>
      <charset val="178"/>
    </font>
    <font>
      <sz val="14"/>
      <name val="Microsoft Uighur"/>
    </font>
    <font>
      <b/>
      <sz val="12"/>
      <color theme="0"/>
      <name val="Microsoft Uighur"/>
    </font>
    <font>
      <b/>
      <sz val="14"/>
      <color theme="0" tint="-0.24994659260841701"/>
      <name val="Microsoft Uighur"/>
    </font>
    <font>
      <b/>
      <sz val="14"/>
      <color theme="9" tint="-0.499984740745262"/>
      <name val="Microsoft Uighur"/>
    </font>
    <font>
      <b/>
      <sz val="12"/>
      <color theme="0" tint="-0.14996795556505021"/>
      <name val="Microsoft Uighur"/>
    </font>
    <font>
      <b/>
      <sz val="12"/>
      <color theme="1" tint="0.249977111117893"/>
      <name val="Microsoft Uighur"/>
    </font>
    <font>
      <sz val="11"/>
      <name val="Microsoft Uighur"/>
    </font>
    <font>
      <sz val="14"/>
      <color theme="0"/>
      <name val="Microsoft Uighur"/>
    </font>
    <font>
      <b/>
      <sz val="14"/>
      <color theme="0"/>
      <name val="Microsoft Uighur"/>
    </font>
    <font>
      <sz val="11"/>
      <color theme="1"/>
      <name val="Calibri"/>
      <family val="2"/>
      <charset val="178"/>
      <scheme val="minor"/>
    </font>
    <font>
      <sz val="11"/>
      <color theme="1"/>
      <name val="B Mitra"/>
      <charset val="178"/>
    </font>
    <font>
      <sz val="12"/>
      <color theme="1"/>
      <name val="B Mitra"/>
      <charset val="178"/>
    </font>
    <font>
      <sz val="14"/>
      <color theme="1"/>
      <name val="B Mitra"/>
      <charset val="178"/>
    </font>
    <font>
      <b/>
      <sz val="11"/>
      <color theme="1"/>
      <name val="B Mitra"/>
      <charset val="178"/>
    </font>
    <font>
      <sz val="12"/>
      <color theme="1"/>
      <name val="B Zar"/>
      <charset val="178"/>
    </font>
    <font>
      <sz val="12"/>
      <color theme="1"/>
      <name val="Traditional Arabic"/>
      <family val="1"/>
    </font>
    <font>
      <sz val="11"/>
      <color theme="1"/>
      <name val="Traditional Arabic"/>
      <family val="1"/>
    </font>
    <font>
      <sz val="14"/>
      <color theme="1"/>
      <name val="2  Badr"/>
      <charset val="178"/>
    </font>
    <font>
      <b/>
      <sz val="16"/>
      <color rgb="FFFF0000"/>
      <name val="2  Badr"/>
      <charset val="178"/>
    </font>
    <font>
      <b/>
      <sz val="14"/>
      <color rgb="FFFF0000"/>
      <name val="2  Badr"/>
      <charset val="178"/>
    </font>
    <font>
      <sz val="11"/>
      <color rgb="FF0070C0"/>
      <name val="Calibri"/>
      <family val="2"/>
      <scheme val="minor"/>
    </font>
    <font>
      <sz val="16"/>
      <color rgb="FFFF0000"/>
      <name val="2  Badr"/>
      <charset val="178"/>
    </font>
    <font>
      <b/>
      <sz val="20"/>
      <color rgb="FF7030A0"/>
      <name val="2  Badr"/>
      <charset val="178"/>
    </font>
    <font>
      <b/>
      <sz val="20"/>
      <color rgb="FF7030A0"/>
      <name val="Calibri"/>
      <family val="2"/>
      <scheme val="minor"/>
    </font>
    <font>
      <b/>
      <sz val="18"/>
      <color rgb="FFFF0000"/>
      <name val="2  Badr"/>
      <charset val="178"/>
    </font>
    <font>
      <b/>
      <sz val="22"/>
      <color rgb="FF7030A0"/>
      <name val="Calibri"/>
      <family val="2"/>
      <scheme val="minor"/>
    </font>
    <font>
      <sz val="22"/>
      <color theme="5" tint="-0.499984740745262"/>
      <name val="2  Badr"/>
      <charset val="178"/>
    </font>
    <font>
      <sz val="22"/>
      <color rgb="FF7030A0"/>
      <name val="2  Badr"/>
      <charset val="178"/>
    </font>
    <font>
      <sz val="11"/>
      <color theme="4" tint="-0.499984740745262"/>
      <name val="Calibri"/>
      <family val="2"/>
      <scheme val="minor"/>
    </font>
    <font>
      <sz val="22"/>
      <color theme="1"/>
      <name val="2  Badr"/>
      <charset val="178"/>
    </font>
    <font>
      <sz val="20"/>
      <color theme="1"/>
      <name val="2  Badr"/>
      <charset val="178"/>
    </font>
    <font>
      <sz val="11"/>
      <color theme="1"/>
      <name val="Calibri"/>
      <family val="2"/>
      <scheme val="minor"/>
    </font>
    <font>
      <sz val="11"/>
      <color rgb="FFFF0000"/>
      <name val="Calibri"/>
      <family val="2"/>
      <scheme val="minor"/>
    </font>
    <font>
      <sz val="11"/>
      <name val="Calibri"/>
      <family val="2"/>
      <scheme val="minor"/>
    </font>
    <font>
      <sz val="11"/>
      <color rgb="FFFF0000"/>
      <name val="Calibri"/>
      <family val="2"/>
      <charset val="178"/>
      <scheme val="minor"/>
    </font>
    <font>
      <sz val="11"/>
      <name val="Calibri"/>
      <family val="2"/>
      <charset val="178"/>
      <scheme val="minor"/>
    </font>
    <font>
      <sz val="11"/>
      <color theme="9" tint="-0.499984740745262"/>
      <name val="Calibri"/>
      <family val="2"/>
      <scheme val="minor"/>
    </font>
    <font>
      <u/>
      <sz val="11"/>
      <color theme="1"/>
      <name val="Calibri"/>
      <family val="2"/>
      <scheme val="minor"/>
    </font>
    <font>
      <sz val="14"/>
      <color theme="1"/>
      <name val="B Baran"/>
      <charset val="178"/>
    </font>
    <font>
      <sz val="12"/>
      <color theme="1"/>
      <name val="B Baran"/>
      <charset val="178"/>
    </font>
    <font>
      <sz val="16"/>
      <color theme="1"/>
      <name val="B Baran"/>
      <charset val="178"/>
    </font>
    <font>
      <sz val="16"/>
      <color theme="1"/>
      <name val="Calibri"/>
      <family val="2"/>
      <scheme val="minor"/>
    </font>
    <font>
      <sz val="16"/>
      <name val="B Baran"/>
      <charset val="178"/>
    </font>
    <font>
      <sz val="14"/>
      <color theme="0"/>
      <name val="B Baran"/>
      <charset val="178"/>
    </font>
    <font>
      <sz val="12"/>
      <color theme="0"/>
      <name val="B Baran"/>
      <charset val="178"/>
    </font>
    <font>
      <sz val="14"/>
      <color theme="0"/>
      <name val="Calibri"/>
      <family val="2"/>
      <scheme val="minor"/>
    </font>
    <font>
      <b/>
      <sz val="9"/>
      <color indexed="81"/>
      <name val="Tahoma"/>
      <family val="2"/>
    </font>
    <font>
      <sz val="11"/>
      <color theme="1"/>
      <name val="B Zar"/>
      <charset val="178"/>
    </font>
    <font>
      <b/>
      <sz val="14"/>
      <color theme="1"/>
      <name val="B Badr"/>
      <charset val="178"/>
    </font>
    <font>
      <sz val="12"/>
      <color rgb="FFFF0000"/>
      <name val="Arial"/>
      <family val="2"/>
    </font>
    <font>
      <sz val="12"/>
      <color theme="1"/>
      <name val="Arial"/>
      <family val="2"/>
    </font>
    <font>
      <sz val="12"/>
      <color rgb="FF00B0F0"/>
      <name val="Arial"/>
      <family val="2"/>
    </font>
    <font>
      <sz val="12"/>
      <color rgb="FFFF0000"/>
      <name val="Calibri"/>
      <family val="2"/>
      <scheme val="minor"/>
    </font>
    <font>
      <sz val="12"/>
      <color rgb="FF00B0F0"/>
      <name val="Calibri"/>
      <family val="2"/>
      <scheme val="minor"/>
    </font>
    <font>
      <sz val="11"/>
      <color theme="1"/>
      <name val="Arial"/>
      <family val="2"/>
    </font>
    <font>
      <sz val="12"/>
      <color rgb="FFFF0000"/>
      <name val="B Badr"/>
      <charset val="178"/>
    </font>
    <font>
      <sz val="14"/>
      <color theme="1"/>
      <name val="B Nazanin"/>
      <charset val="178"/>
    </font>
    <font>
      <sz val="16"/>
      <color theme="1"/>
      <name val="Traditional Arabic"/>
      <family val="1"/>
    </font>
    <font>
      <sz val="16"/>
      <color rgb="FFFF0000"/>
      <name val="Traditional Arabic"/>
      <family val="1"/>
    </font>
    <font>
      <b/>
      <sz val="16"/>
      <color theme="1"/>
      <name val="Traditional Arabic"/>
      <family val="1"/>
    </font>
    <font>
      <sz val="16"/>
      <color rgb="FF000000"/>
      <name val="Traditional Arabic"/>
      <family val="1"/>
    </font>
    <font>
      <b/>
      <sz val="12"/>
      <color theme="1"/>
      <name val="B Badr"/>
      <charset val="178"/>
    </font>
    <font>
      <sz val="12"/>
      <color theme="1"/>
      <name val="B Nazanin"/>
      <charset val="178"/>
    </font>
    <font>
      <sz val="11"/>
      <color theme="1"/>
      <name val="B Nazanin"/>
      <charset val="178"/>
    </font>
    <font>
      <sz val="16"/>
      <color theme="1"/>
      <name val="B Badr"/>
      <charset val="178"/>
    </font>
    <font>
      <b/>
      <sz val="16"/>
      <color theme="1"/>
      <name val="B Badr"/>
      <charset val="178"/>
    </font>
    <font>
      <sz val="16"/>
      <color rgb="FFFF0000"/>
      <name val="B Badr"/>
      <charset val="178"/>
    </font>
    <font>
      <sz val="16"/>
      <color rgb="FF000000"/>
      <name val="B Badr"/>
      <charset val="178"/>
    </font>
  </fonts>
  <fills count="57">
    <fill>
      <patternFill patternType="none"/>
    </fill>
    <fill>
      <patternFill patternType="gray125"/>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00B0F0"/>
        <bgColor indexed="64"/>
      </patternFill>
    </fill>
    <fill>
      <patternFill patternType="solid">
        <fgColor rgb="FF00B050"/>
        <bgColor indexed="64"/>
      </patternFill>
    </fill>
    <fill>
      <patternFill patternType="solid">
        <fgColor theme="4"/>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7"/>
        <bgColor indexed="64"/>
      </patternFill>
    </fill>
    <fill>
      <patternFill patternType="solid">
        <fgColor rgb="FFC00000"/>
        <bgColor indexed="64"/>
      </patternFill>
    </fill>
    <fill>
      <gradientFill>
        <stop position="0">
          <color theme="3"/>
        </stop>
        <stop position="1">
          <color theme="3" tint="-0.49803155613879818"/>
        </stop>
      </gradientFill>
    </fill>
    <fill>
      <patternFill patternType="solid">
        <fgColor theme="1" tint="0.14996795556505021"/>
        <bgColor indexed="64"/>
      </patternFill>
    </fill>
    <fill>
      <gradientFill degree="90">
        <stop position="0">
          <color rgb="FFFF3300"/>
        </stop>
        <stop position="1">
          <color rgb="FFFF7401"/>
        </stop>
      </gradientFill>
    </fill>
    <fill>
      <patternFill patternType="solid">
        <fgColor theme="4" tint="-0.24994659260841701"/>
        <bgColor indexed="64"/>
      </patternFill>
    </fill>
    <fill>
      <patternFill patternType="solid">
        <fgColor theme="0" tint="-4.9989318521683403E-2"/>
        <bgColor indexed="64"/>
      </patternFill>
    </fill>
    <fill>
      <gradientFill>
        <stop position="0">
          <color theme="1"/>
        </stop>
        <stop position="1">
          <color theme="3" tint="-0.25098422193060094"/>
        </stop>
      </gradientFill>
    </fill>
    <fill>
      <gradientFill type="path">
        <stop position="0">
          <color theme="0" tint="-5.0965910824915313E-2"/>
        </stop>
        <stop position="1">
          <color theme="0" tint="-0.1490218817712943"/>
        </stop>
      </gradientFill>
    </fill>
    <fill>
      <gradientFill degree="135">
        <stop position="0">
          <color theme="3" tint="-0.25098422193060094"/>
        </stop>
        <stop position="1">
          <color theme="4" tint="-0.25098422193060094"/>
        </stop>
      </gradientFill>
    </fill>
    <fill>
      <gradientFill degree="45">
        <stop position="0">
          <color rgb="FFC00000"/>
        </stop>
        <stop position="1">
          <color rgb="FFFF0000"/>
        </stop>
      </gradientFill>
    </fill>
    <fill>
      <patternFill patternType="solid">
        <fgColor rgb="FF92D050"/>
        <bgColor indexed="64"/>
      </patternFill>
    </fill>
    <fill>
      <patternFill patternType="solid">
        <fgColor rgb="FFFF0000"/>
        <bgColor indexed="64"/>
      </patternFill>
    </fill>
    <fill>
      <patternFill patternType="solid">
        <fgColor rgb="FF0070C0"/>
        <bgColor indexed="64"/>
      </patternFill>
    </fill>
    <fill>
      <patternFill patternType="solid">
        <fgColor theme="2" tint="-9.9978637043366805E-2"/>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theme="7" tint="-0.249977111117893"/>
        <bgColor indexed="64"/>
      </patternFill>
    </fill>
    <fill>
      <patternFill patternType="solid">
        <fgColor theme="8" tint="-0.499984740745262"/>
        <bgColor indexed="64"/>
      </patternFill>
    </fill>
    <fill>
      <patternFill patternType="solid">
        <fgColor theme="6"/>
        <bgColor indexed="64"/>
      </patternFill>
    </fill>
    <fill>
      <patternFill patternType="solid">
        <fgColor theme="0" tint="-0.499984740745262"/>
        <bgColor indexed="64"/>
      </patternFill>
    </fill>
    <fill>
      <patternFill patternType="solid">
        <fgColor theme="8"/>
        <bgColor indexed="64"/>
      </patternFill>
    </fill>
    <fill>
      <patternFill patternType="solid">
        <fgColor rgb="FF7030A0"/>
        <bgColor indexed="64"/>
      </patternFill>
    </fill>
    <fill>
      <patternFill patternType="solid">
        <fgColor rgb="FF99FF33"/>
        <bgColor indexed="64"/>
      </patternFill>
    </fill>
    <fill>
      <patternFill patternType="solid">
        <fgColor rgb="FFCCFF33"/>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FF33CC"/>
        <bgColor indexed="64"/>
      </patternFill>
    </fill>
    <fill>
      <patternFill patternType="solid">
        <fgColor rgb="FFFF66CC"/>
        <bgColor indexed="64"/>
      </patternFill>
    </fill>
    <fill>
      <patternFill patternType="solid">
        <fgColor theme="3" tint="0.79998168889431442"/>
        <bgColor indexed="64"/>
      </patternFill>
    </fill>
    <fill>
      <patternFill patternType="solid">
        <fgColor theme="2"/>
        <bgColor indexed="64"/>
      </patternFill>
    </fill>
  </fills>
  <borders count="7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theme="0"/>
      </top>
      <bottom/>
      <diagonal/>
    </border>
    <border>
      <left/>
      <right style="thin">
        <color theme="0"/>
      </right>
      <top style="thin">
        <color theme="0"/>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s>
  <cellStyleXfs count="5">
    <xf numFmtId="0" fontId="0" fillId="0" borderId="0"/>
    <xf numFmtId="1" fontId="10" fillId="27" borderId="4" applyBorder="0">
      <alignment horizontal="center" vertical="center" wrapText="1"/>
    </xf>
    <xf numFmtId="164" fontId="11" fillId="28" borderId="6">
      <alignment horizontal="center" vertical="center" wrapText="1"/>
    </xf>
    <xf numFmtId="1" fontId="13" fillId="30" borderId="6">
      <alignment horizontal="center" vertical="center" wrapText="1"/>
    </xf>
    <xf numFmtId="0" fontId="18" fillId="0" borderId="0"/>
  </cellStyleXfs>
  <cellXfs count="258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4" borderId="0" xfId="0" applyFill="1" applyAlignment="1">
      <alignment horizontal="left"/>
    </xf>
    <xf numFmtId="0" fontId="0" fillId="16" borderId="0" xfId="0" applyFill="1"/>
    <xf numFmtId="0" fontId="0" fillId="15" borderId="1" xfId="0" applyFill="1" applyBorder="1"/>
    <xf numFmtId="0" fontId="0" fillId="15" borderId="2" xfId="0" applyFill="1" applyBorder="1" applyAlignment="1">
      <alignment horizontal="center" vertical="center"/>
    </xf>
    <xf numFmtId="0" fontId="0" fillId="15" borderId="3" xfId="0" applyFill="1" applyBorder="1"/>
    <xf numFmtId="0" fontId="0" fillId="3" borderId="0" xfId="0" applyFill="1" applyAlignment="1">
      <alignment horizontal="left"/>
    </xf>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1" fillId="20" borderId="0" xfId="0" applyFont="1" applyFill="1" applyAlignment="1" applyProtection="1">
      <alignment horizontal="center"/>
      <protection locked="0"/>
    </xf>
    <xf numFmtId="0" fontId="1" fillId="22" borderId="0" xfId="0" applyFont="1" applyFill="1" applyAlignment="1" applyProtection="1">
      <alignment horizontal="center"/>
      <protection locked="0"/>
    </xf>
    <xf numFmtId="0" fontId="1" fillId="11" borderId="0" xfId="0" applyFont="1" applyFill="1" applyAlignment="1" applyProtection="1">
      <alignment horizontal="center"/>
      <protection locked="0"/>
    </xf>
    <xf numFmtId="0" fontId="0" fillId="23" borderId="0" xfId="0" applyFill="1"/>
    <xf numFmtId="0" fontId="0" fillId="24" borderId="0" xfId="0" applyFill="1"/>
    <xf numFmtId="0" fontId="1" fillId="2" borderId="0" xfId="0" applyFont="1" applyFill="1" applyAlignment="1" applyProtection="1">
      <alignment horizontal="center"/>
      <protection locked="0"/>
    </xf>
    <xf numFmtId="0" fontId="1" fillId="3" borderId="0" xfId="0" applyFont="1" applyFill="1" applyAlignment="1" applyProtection="1">
      <alignment horizontal="center"/>
      <protection locked="0"/>
    </xf>
    <xf numFmtId="0" fontId="0" fillId="22" borderId="0" xfId="0" applyFill="1"/>
    <xf numFmtId="0" fontId="2" fillId="20" borderId="0" xfId="0" applyFont="1" applyFill="1"/>
    <xf numFmtId="0" fontId="2" fillId="11" borderId="0" xfId="0" applyFont="1" applyFill="1"/>
    <xf numFmtId="0" fontId="0" fillId="0" borderId="0" xfId="0" applyProtection="1">
      <protection locked="0"/>
    </xf>
    <xf numFmtId="0" fontId="0" fillId="25" borderId="0" xfId="0" applyFill="1"/>
    <xf numFmtId="0" fontId="0" fillId="3" borderId="0" xfId="0" applyFill="1" applyProtection="1">
      <protection locked="0"/>
    </xf>
    <xf numFmtId="0" fontId="0" fillId="4" borderId="0" xfId="0" applyFill="1" applyProtection="1">
      <protection locked="0"/>
    </xf>
    <xf numFmtId="0" fontId="1" fillId="9" borderId="0" xfId="0" applyFont="1" applyFill="1" applyAlignment="1" applyProtection="1">
      <alignment horizontal="center"/>
      <protection locked="0"/>
    </xf>
    <xf numFmtId="0" fontId="0" fillId="2" borderId="0" xfId="0" applyFill="1" applyAlignment="1">
      <alignment horizontal="center"/>
    </xf>
    <xf numFmtId="0" fontId="0" fillId="17" borderId="0" xfId="0" applyFill="1" applyAlignment="1">
      <alignment horizontal="center"/>
    </xf>
    <xf numFmtId="0" fontId="0" fillId="13" borderId="0" xfId="0" applyFill="1" applyAlignment="1">
      <alignment horizontal="center"/>
    </xf>
    <xf numFmtId="0" fontId="0" fillId="23" borderId="0" xfId="0" applyFill="1" applyAlignment="1">
      <alignment horizontal="center"/>
    </xf>
    <xf numFmtId="0" fontId="0" fillId="23" borderId="0" xfId="0" applyFill="1" applyAlignment="1">
      <alignment horizontal="right"/>
    </xf>
    <xf numFmtId="0" fontId="0" fillId="11" borderId="0" xfId="0" applyFill="1" applyAlignment="1">
      <alignment horizontal="right"/>
    </xf>
    <xf numFmtId="0" fontId="0" fillId="2" borderId="0" xfId="0" applyFill="1" applyAlignment="1">
      <alignment horizontal="left"/>
    </xf>
    <xf numFmtId="0" fontId="0" fillId="2" borderId="0" xfId="0" applyFill="1" applyAlignment="1">
      <alignment horizontal="right"/>
    </xf>
    <xf numFmtId="0" fontId="3" fillId="0" borderId="0" xfId="0" applyFont="1"/>
    <xf numFmtId="0" fontId="0" fillId="3" borderId="0" xfId="0" applyFill="1" applyAlignment="1">
      <alignment horizontal="center"/>
    </xf>
    <xf numFmtId="0" fontId="5" fillId="2" borderId="0" xfId="0" applyFont="1" applyFill="1" applyAlignment="1">
      <alignment horizontal="center"/>
    </xf>
    <xf numFmtId="0" fontId="6" fillId="7" borderId="0" xfId="0" applyFont="1" applyFill="1"/>
    <xf numFmtId="0" fontId="7" fillId="7" borderId="0" xfId="0" applyFont="1" applyFill="1" applyAlignment="1" applyProtection="1">
      <alignment horizontal="center"/>
      <protection locked="0"/>
    </xf>
    <xf numFmtId="0" fontId="2" fillId="13" borderId="0" xfId="0" applyFont="1" applyFill="1"/>
    <xf numFmtId="0" fontId="8" fillId="0" borderId="0" xfId="0" applyFont="1"/>
    <xf numFmtId="0" fontId="8" fillId="16" borderId="0" xfId="0" applyFont="1" applyFill="1"/>
    <xf numFmtId="0" fontId="2" fillId="19" borderId="0" xfId="0" applyFont="1" applyFill="1"/>
    <xf numFmtId="0" fontId="4" fillId="26" borderId="0" xfId="0" applyFont="1" applyFill="1"/>
    <xf numFmtId="164" fontId="9" fillId="18" borderId="0" xfId="0" applyNumberFormat="1" applyFont="1" applyFill="1" applyProtection="1"/>
    <xf numFmtId="0" fontId="9" fillId="0" borderId="0" xfId="0" applyFont="1" applyFill="1" applyProtection="1"/>
    <xf numFmtId="165" fontId="9" fillId="0" borderId="0" xfId="0" applyNumberFormat="1" applyFont="1" applyFill="1" applyProtection="1"/>
    <xf numFmtId="0" fontId="4" fillId="22" borderId="0" xfId="0" applyFont="1" applyFill="1"/>
    <xf numFmtId="0" fontId="2" fillId="8" borderId="0" xfId="0" applyFont="1" applyFill="1"/>
    <xf numFmtId="0" fontId="5" fillId="13" borderId="0" xfId="0" applyFont="1" applyFill="1" applyAlignment="1">
      <alignment horizontal="center"/>
    </xf>
    <xf numFmtId="0" fontId="1" fillId="13" borderId="0" xfId="0" applyFont="1" applyFill="1" applyAlignment="1" applyProtection="1">
      <alignment horizontal="center"/>
      <protection locked="0"/>
    </xf>
    <xf numFmtId="0" fontId="8" fillId="8" borderId="0" xfId="0" applyFont="1" applyFill="1"/>
    <xf numFmtId="1" fontId="10" fillId="27" borderId="5" xfId="1" applyBorder="1" applyProtection="1">
      <alignment horizontal="center" vertical="center" wrapText="1"/>
    </xf>
    <xf numFmtId="164" fontId="12" fillId="29" borderId="7" xfId="2" applyFont="1" applyFill="1" applyBorder="1" applyProtection="1">
      <alignment horizontal="center" vertical="center" wrapText="1"/>
    </xf>
    <xf numFmtId="164" fontId="12" fillId="29" borderId="8" xfId="2" applyFont="1" applyFill="1" applyBorder="1" applyProtection="1">
      <alignment horizontal="center" vertical="center" wrapText="1"/>
    </xf>
    <xf numFmtId="164" fontId="12" fillId="29" borderId="9" xfId="2" applyFont="1" applyFill="1" applyBorder="1" applyProtection="1">
      <alignment horizontal="center" vertical="center" wrapText="1"/>
    </xf>
    <xf numFmtId="165" fontId="10" fillId="28" borderId="5" xfId="2" applyNumberFormat="1" applyFont="1" applyBorder="1" applyProtection="1">
      <alignment horizontal="center" vertical="center" wrapText="1"/>
    </xf>
    <xf numFmtId="0" fontId="0" fillId="22" borderId="0" xfId="0" applyFill="1" applyProtection="1">
      <protection locked="0"/>
    </xf>
    <xf numFmtId="1" fontId="14" fillId="31" borderId="10" xfId="3" applyFont="1" applyFill="1" applyBorder="1" applyProtection="1">
      <alignment horizontal="center" vertical="center" wrapText="1"/>
      <protection locked="0"/>
    </xf>
    <xf numFmtId="164" fontId="11" fillId="32" borderId="10" xfId="2" applyFill="1" applyBorder="1" applyProtection="1">
      <alignment horizontal="center" vertical="center" wrapText="1"/>
    </xf>
    <xf numFmtId="1" fontId="0" fillId="8" borderId="0" xfId="0" applyNumberFormat="1" applyFill="1"/>
    <xf numFmtId="0" fontId="9" fillId="0" borderId="0" xfId="0" applyFont="1" applyProtection="1"/>
    <xf numFmtId="0" fontId="8" fillId="8" borderId="0" xfId="0" applyFont="1" applyFill="1" applyAlignment="1">
      <alignment horizontal="right"/>
    </xf>
    <xf numFmtId="0" fontId="8" fillId="3" borderId="0" xfId="0" applyFont="1" applyFill="1"/>
    <xf numFmtId="0" fontId="2" fillId="5" borderId="0" xfId="0" applyFont="1" applyFill="1"/>
    <xf numFmtId="0" fontId="0" fillId="11" borderId="0" xfId="0" applyFill="1" applyProtection="1">
      <protection locked="0"/>
    </xf>
    <xf numFmtId="0" fontId="5" fillId="22" borderId="0" xfId="0" applyFont="1" applyFill="1" applyAlignment="1">
      <alignment horizontal="center"/>
    </xf>
    <xf numFmtId="0" fontId="9" fillId="18" borderId="0" xfId="0" applyFont="1" applyFill="1" applyProtection="1"/>
    <xf numFmtId="0" fontId="9" fillId="0" borderId="0" xfId="0" applyFont="1" applyFill="1" applyProtection="1">
      <protection locked="0"/>
    </xf>
    <xf numFmtId="1" fontId="10" fillId="27" borderId="0" xfId="1" applyBorder="1" applyProtection="1">
      <alignment horizontal="center" vertical="center" wrapText="1"/>
    </xf>
    <xf numFmtId="1" fontId="15" fillId="33" borderId="9" xfId="3" applyFont="1" applyFill="1" applyBorder="1" applyProtection="1">
      <alignment horizontal="center" vertical="center" wrapText="1"/>
      <protection locked="0"/>
    </xf>
    <xf numFmtId="165" fontId="16" fillId="34" borderId="5" xfId="0" applyNumberFormat="1" applyFont="1" applyFill="1" applyBorder="1" applyAlignment="1" applyProtection="1">
      <alignment horizontal="center" vertical="center"/>
    </xf>
    <xf numFmtId="1" fontId="13" fillId="30" borderId="8" xfId="3" applyBorder="1" applyProtection="1">
      <alignment horizontal="center" vertical="center" wrapText="1"/>
    </xf>
    <xf numFmtId="0" fontId="2" fillId="4" borderId="0" xfId="0" applyFont="1" applyFill="1"/>
    <xf numFmtId="0" fontId="2" fillId="0" borderId="0" xfId="0" applyFont="1"/>
    <xf numFmtId="165" fontId="9" fillId="0" borderId="0" xfId="0" applyNumberFormat="1" applyFont="1" applyProtection="1"/>
    <xf numFmtId="1" fontId="10" fillId="27" borderId="11" xfId="1" applyBorder="1" applyProtection="1">
      <alignment horizontal="center" vertical="center" wrapText="1"/>
    </xf>
    <xf numFmtId="164" fontId="12" fillId="29" borderId="10" xfId="2" applyFont="1" applyFill="1" applyBorder="1" applyProtection="1">
      <alignment horizontal="center" vertical="center" wrapText="1"/>
    </xf>
    <xf numFmtId="164" fontId="10" fillId="28" borderId="5" xfId="2" applyFont="1" applyBorder="1" applyProtection="1">
      <alignment horizontal="center" vertical="center" wrapText="1"/>
    </xf>
    <xf numFmtId="0" fontId="2" fillId="22" borderId="0" xfId="0" applyFont="1" applyFill="1"/>
    <xf numFmtId="1" fontId="13" fillId="30" borderId="5" xfId="3" applyBorder="1" applyProtection="1">
      <alignment horizontal="center" vertical="center" wrapText="1"/>
    </xf>
    <xf numFmtId="0" fontId="17" fillId="35" borderId="5" xfId="0" applyFont="1" applyFill="1" applyBorder="1" applyAlignment="1" applyProtection="1">
      <alignment horizontal="center" vertical="center"/>
    </xf>
    <xf numFmtId="0" fontId="16" fillId="34" borderId="5" xfId="0" applyNumberFormat="1" applyFont="1" applyFill="1" applyBorder="1" applyAlignment="1" applyProtection="1">
      <alignment horizontal="center" vertical="center"/>
    </xf>
    <xf numFmtId="0" fontId="0" fillId="36" borderId="0" xfId="0" applyFill="1"/>
    <xf numFmtId="0" fontId="2" fillId="36" borderId="0" xfId="0" applyFont="1" applyFill="1"/>
    <xf numFmtId="0" fontId="5" fillId="36" borderId="0" xfId="0" applyFont="1" applyFill="1" applyAlignment="1">
      <alignment horizontal="center"/>
    </xf>
    <xf numFmtId="0" fontId="1" fillId="36" borderId="0" xfId="0" applyFont="1" applyFill="1" applyAlignment="1" applyProtection="1">
      <alignment horizontal="center"/>
      <protection locked="0"/>
    </xf>
    <xf numFmtId="0" fontId="0" fillId="2" borderId="12" xfId="0" applyFill="1" applyBorder="1"/>
    <xf numFmtId="0" fontId="0" fillId="2" borderId="13" xfId="0" applyFill="1" applyBorder="1"/>
    <xf numFmtId="0" fontId="0" fillId="2" borderId="14" xfId="0" applyFill="1" applyBorder="1"/>
    <xf numFmtId="0" fontId="0" fillId="2" borderId="15" xfId="0" applyFill="1" applyBorder="1"/>
    <xf numFmtId="0" fontId="0" fillId="2" borderId="0" xfId="0" applyFill="1" applyBorder="1"/>
    <xf numFmtId="0" fontId="0" fillId="2" borderId="16" xfId="0" applyFill="1" applyBorder="1"/>
    <xf numFmtId="0" fontId="0" fillId="11" borderId="12" xfId="0" applyFill="1" applyBorder="1"/>
    <xf numFmtId="0" fontId="0" fillId="11" borderId="13" xfId="0" applyFill="1" applyBorder="1"/>
    <xf numFmtId="0" fontId="0" fillId="3" borderId="13" xfId="0" applyFill="1" applyBorder="1"/>
    <xf numFmtId="0" fontId="0" fillId="3" borderId="14" xfId="0" applyFill="1" applyBorder="1"/>
    <xf numFmtId="0" fontId="0" fillId="11" borderId="15" xfId="0" applyFill="1" applyBorder="1"/>
    <xf numFmtId="0" fontId="0" fillId="11" borderId="0" xfId="0" applyFill="1" applyBorder="1"/>
    <xf numFmtId="0" fontId="0" fillId="3" borderId="0" xfId="0" applyFill="1" applyBorder="1"/>
    <xf numFmtId="0" fontId="0" fillId="3" borderId="16" xfId="0" applyFill="1" applyBorder="1"/>
    <xf numFmtId="0" fontId="0" fillId="10" borderId="0" xfId="0" applyFill="1" applyBorder="1"/>
    <xf numFmtId="0" fontId="0" fillId="11" borderId="17" xfId="0" applyFill="1" applyBorder="1"/>
    <xf numFmtId="0" fontId="0" fillId="11" borderId="18" xfId="0" applyFill="1" applyBorder="1"/>
    <xf numFmtId="0" fontId="0" fillId="3" borderId="18" xfId="0" applyFill="1" applyBorder="1"/>
    <xf numFmtId="0" fontId="0" fillId="10" borderId="18" xfId="0" applyFill="1" applyBorder="1"/>
    <xf numFmtId="0" fontId="0" fillId="3" borderId="19" xfId="0" applyFill="1" applyBorder="1"/>
    <xf numFmtId="0" fontId="0" fillId="2" borderId="20" xfId="0" applyFill="1" applyBorder="1"/>
    <xf numFmtId="0" fontId="0" fillId="2" borderId="21" xfId="0" applyFill="1" applyBorder="1"/>
    <xf numFmtId="0" fontId="0" fillId="2" borderId="22" xfId="0" applyFill="1" applyBorder="1"/>
    <xf numFmtId="0" fontId="0" fillId="2" borderId="17" xfId="0" applyFill="1" applyBorder="1"/>
    <xf numFmtId="0" fontId="0" fillId="2" borderId="18" xfId="0" applyFill="1" applyBorder="1"/>
    <xf numFmtId="0" fontId="0" fillId="2" borderId="19" xfId="0" applyFill="1" applyBorder="1"/>
    <xf numFmtId="0" fontId="0" fillId="24" borderId="0" xfId="0" applyFill="1" applyProtection="1">
      <protection locked="0"/>
    </xf>
    <xf numFmtId="0" fontId="1" fillId="24" borderId="0" xfId="0" applyFont="1" applyFill="1" applyAlignment="1" applyProtection="1">
      <alignment horizontal="center"/>
      <protection locked="0"/>
    </xf>
    <xf numFmtId="0" fontId="0" fillId="5" borderId="0" xfId="0" applyFill="1" applyProtection="1">
      <protection locked="0"/>
    </xf>
    <xf numFmtId="0" fontId="0" fillId="13" borderId="0" xfId="0" applyFill="1" applyProtection="1">
      <protection locked="0"/>
    </xf>
    <xf numFmtId="0" fontId="0" fillId="37" borderId="0" xfId="0" applyFill="1"/>
    <xf numFmtId="0" fontId="1" fillId="5" borderId="0" xfId="0" applyFont="1" applyFill="1" applyAlignment="1" applyProtection="1">
      <alignment horizontal="center"/>
      <protection locked="0"/>
    </xf>
    <xf numFmtId="0" fontId="0" fillId="9" borderId="0" xfId="0" applyFill="1" applyProtection="1">
      <protection locked="0"/>
    </xf>
    <xf numFmtId="0" fontId="0" fillId="17" borderId="0" xfId="0" applyFill="1" applyProtection="1">
      <protection locked="0"/>
    </xf>
    <xf numFmtId="0" fontId="8" fillId="36" borderId="0" xfId="0" applyFont="1" applyFill="1" applyAlignment="1">
      <alignment horizontal="center"/>
    </xf>
    <xf numFmtId="0" fontId="8" fillId="36" borderId="0" xfId="0" applyFont="1" applyFill="1" applyAlignment="1" applyProtection="1">
      <alignment horizontal="center"/>
      <protection locked="0"/>
    </xf>
    <xf numFmtId="0" fontId="8" fillId="11" borderId="0" xfId="0" applyFont="1" applyFill="1" applyAlignment="1">
      <alignment horizontal="center"/>
    </xf>
    <xf numFmtId="0" fontId="8" fillId="11" borderId="0" xfId="0" applyFont="1" applyFill="1" applyAlignment="1" applyProtection="1">
      <alignment horizontal="center"/>
      <protection locked="0"/>
    </xf>
    <xf numFmtId="0" fontId="8" fillId="6" borderId="0" xfId="0" applyFont="1" applyFill="1" applyAlignment="1">
      <alignment horizontal="center"/>
    </xf>
    <xf numFmtId="0" fontId="8" fillId="6" borderId="0" xfId="0" applyFont="1" applyFill="1" applyAlignment="1" applyProtection="1">
      <alignment horizontal="center"/>
      <protection locked="0"/>
    </xf>
    <xf numFmtId="0" fontId="8" fillId="7" borderId="0" xfId="0" applyFont="1" applyFill="1" applyAlignment="1">
      <alignment horizontal="center"/>
    </xf>
    <xf numFmtId="0" fontId="8" fillId="7" borderId="0" xfId="0" applyFont="1" applyFill="1" applyAlignment="1" applyProtection="1">
      <alignment horizontal="center"/>
      <protection locked="0"/>
    </xf>
    <xf numFmtId="0" fontId="1" fillId="7" borderId="0" xfId="0" applyFont="1" applyFill="1" applyAlignment="1" applyProtection="1">
      <alignment horizontal="center"/>
      <protection locked="0"/>
    </xf>
    <xf numFmtId="0" fontId="8" fillId="6" borderId="0" xfId="0" applyFont="1" applyFill="1" applyAlignment="1">
      <alignment horizontal="right"/>
    </xf>
    <xf numFmtId="0" fontId="5" fillId="22" borderId="0" xfId="0" applyFont="1" applyFill="1" applyAlignment="1" applyProtection="1">
      <alignment horizontal="center"/>
      <protection locked="0"/>
    </xf>
    <xf numFmtId="0" fontId="2" fillId="22" borderId="0" xfId="0" applyFont="1" applyFill="1" applyAlignment="1">
      <alignment horizontal="center"/>
    </xf>
    <xf numFmtId="0" fontId="2" fillId="0" borderId="0" xfId="0" applyFont="1" applyAlignment="1">
      <alignment horizontal="center"/>
    </xf>
    <xf numFmtId="0" fontId="8" fillId="6" borderId="0" xfId="0" applyFont="1" applyFill="1" applyAlignment="1" applyProtection="1">
      <alignment horizontal="right"/>
      <protection locked="0"/>
    </xf>
    <xf numFmtId="0" fontId="8" fillId="20" borderId="0" xfId="0" applyFont="1" applyFill="1" applyAlignment="1">
      <alignment horizontal="right"/>
    </xf>
    <xf numFmtId="0" fontId="8" fillId="0" borderId="0" xfId="0" applyFont="1" applyAlignment="1">
      <alignment horizontal="right"/>
    </xf>
    <xf numFmtId="0" fontId="8" fillId="4" borderId="0" xfId="0" applyFont="1" applyFill="1" applyAlignment="1">
      <alignment horizontal="right"/>
    </xf>
    <xf numFmtId="0" fontId="8" fillId="11" borderId="0" xfId="0" applyFont="1" applyFill="1" applyAlignment="1">
      <alignment horizontal="right"/>
    </xf>
    <xf numFmtId="0" fontId="8" fillId="18" borderId="0" xfId="0" applyFont="1" applyFill="1" applyAlignment="1">
      <alignment horizontal="right"/>
    </xf>
    <xf numFmtId="0" fontId="8" fillId="18" borderId="0" xfId="0" applyFont="1" applyFill="1" applyAlignment="1" applyProtection="1">
      <alignment horizontal="right"/>
      <protection locked="0"/>
    </xf>
    <xf numFmtId="0" fontId="8" fillId="13" borderId="0" xfId="0" applyFont="1" applyFill="1" applyAlignment="1">
      <alignment horizontal="right"/>
    </xf>
    <xf numFmtId="0" fontId="8" fillId="11" borderId="0" xfId="0" applyFont="1" applyFill="1" applyAlignment="1" applyProtection="1">
      <alignment horizontal="right"/>
      <protection locked="0"/>
    </xf>
    <xf numFmtId="0" fontId="8" fillId="20" borderId="0" xfId="0" applyFont="1" applyFill="1" applyAlignment="1" applyProtection="1">
      <alignment horizontal="right"/>
      <protection locked="0"/>
    </xf>
    <xf numFmtId="0" fontId="8" fillId="13" borderId="0" xfId="0" applyFont="1" applyFill="1" applyAlignment="1" applyProtection="1">
      <alignment horizontal="right"/>
      <protection locked="0"/>
    </xf>
    <xf numFmtId="0" fontId="8" fillId="22" borderId="0" xfId="0" applyFont="1" applyFill="1" applyAlignment="1">
      <alignment horizontal="right"/>
    </xf>
    <xf numFmtId="0" fontId="8" fillId="22" borderId="0" xfId="0" applyFont="1" applyFill="1" applyAlignment="1" applyProtection="1">
      <alignment horizontal="right"/>
      <protection locked="0"/>
    </xf>
    <xf numFmtId="0" fontId="8" fillId="37" borderId="0" xfId="0" applyFont="1" applyFill="1" applyAlignment="1">
      <alignment horizontal="right"/>
    </xf>
    <xf numFmtId="0" fontId="8" fillId="5" borderId="0" xfId="0" applyFont="1" applyFill="1" applyAlignment="1">
      <alignment horizontal="right"/>
    </xf>
    <xf numFmtId="0" fontId="8" fillId="9" borderId="0" xfId="0" applyFont="1" applyFill="1" applyAlignment="1">
      <alignment horizontal="right"/>
    </xf>
    <xf numFmtId="0" fontId="8" fillId="9" borderId="0" xfId="0" applyFont="1" applyFill="1" applyAlignment="1" applyProtection="1">
      <alignment horizontal="right"/>
      <protection locked="0"/>
    </xf>
    <xf numFmtId="0" fontId="19" fillId="20" borderId="0" xfId="0" applyFont="1" applyFill="1"/>
    <xf numFmtId="0" fontId="20" fillId="9" borderId="0" xfId="0" applyFont="1" applyFill="1" applyAlignment="1" applyProtection="1">
      <alignment horizontal="right"/>
      <protection locked="0"/>
    </xf>
    <xf numFmtId="0" fontId="21" fillId="11" borderId="0" xfId="0" applyFont="1" applyFill="1" applyAlignment="1" applyProtection="1">
      <alignment horizontal="center"/>
      <protection locked="0"/>
    </xf>
    <xf numFmtId="0" fontId="19" fillId="9" borderId="0" xfId="0" applyFont="1" applyFill="1"/>
    <xf numFmtId="0" fontId="19" fillId="11" borderId="0" xfId="0" applyFont="1" applyFill="1"/>
    <xf numFmtId="0" fontId="22" fillId="11" borderId="0" xfId="0" applyFont="1" applyFill="1" applyAlignment="1">
      <alignment horizontal="center"/>
    </xf>
    <xf numFmtId="0" fontId="20" fillId="23" borderId="0" xfId="0" applyFont="1" applyFill="1" applyAlignment="1" applyProtection="1">
      <alignment horizontal="right"/>
      <protection locked="0"/>
    </xf>
    <xf numFmtId="0" fontId="23" fillId="6" borderId="0" xfId="0" applyFont="1" applyFill="1" applyAlignment="1">
      <alignment horizontal="right"/>
    </xf>
    <xf numFmtId="0" fontId="23" fillId="6" borderId="0" xfId="0" applyFont="1" applyFill="1" applyAlignment="1" applyProtection="1">
      <alignment horizontal="right"/>
      <protection locked="0"/>
    </xf>
    <xf numFmtId="0" fontId="24" fillId="6" borderId="0" xfId="0" applyFont="1" applyFill="1" applyAlignment="1">
      <alignment horizontal="right"/>
    </xf>
    <xf numFmtId="0" fontId="25" fillId="11" borderId="0" xfId="0" applyFont="1" applyFill="1"/>
    <xf numFmtId="0" fontId="24" fillId="18" borderId="0" xfId="0" applyFont="1" applyFill="1" applyAlignment="1">
      <alignment horizontal="right"/>
    </xf>
    <xf numFmtId="0" fontId="24" fillId="8" borderId="0" xfId="0" applyFont="1" applyFill="1" applyAlignment="1">
      <alignment horizontal="right"/>
    </xf>
    <xf numFmtId="0" fontId="23" fillId="8" borderId="0" xfId="0" applyFont="1" applyFill="1" applyAlignment="1">
      <alignment horizontal="right"/>
    </xf>
    <xf numFmtId="0" fontId="21" fillId="8" borderId="0" xfId="0" applyFont="1" applyFill="1" applyAlignment="1" applyProtection="1">
      <alignment horizontal="center"/>
      <protection locked="0"/>
    </xf>
    <xf numFmtId="0" fontId="24" fillId="4" borderId="0" xfId="0" applyFont="1" applyFill="1" applyAlignment="1">
      <alignment horizontal="right"/>
    </xf>
    <xf numFmtId="0" fontId="23" fillId="4" borderId="0" xfId="0" applyFont="1" applyFill="1" applyAlignment="1">
      <alignment horizontal="right"/>
    </xf>
    <xf numFmtId="0" fontId="20" fillId="4" borderId="0" xfId="0" applyFont="1" applyFill="1" applyAlignment="1" applyProtection="1">
      <alignment horizontal="right"/>
      <protection locked="0"/>
    </xf>
    <xf numFmtId="0" fontId="20" fillId="5" borderId="0" xfId="0" applyFont="1" applyFill="1" applyAlignment="1" applyProtection="1">
      <alignment horizontal="right"/>
      <protection locked="0"/>
    </xf>
    <xf numFmtId="0" fontId="21" fillId="5" borderId="0" xfId="0" applyFont="1" applyFill="1" applyAlignment="1" applyProtection="1">
      <alignment horizontal="center"/>
      <protection locked="0"/>
    </xf>
    <xf numFmtId="0" fontId="20" fillId="11" borderId="0" xfId="0" applyFont="1" applyFill="1" applyAlignment="1" applyProtection="1">
      <alignment horizontal="right"/>
      <protection locked="0"/>
    </xf>
    <xf numFmtId="0" fontId="21" fillId="4" borderId="0" xfId="0" applyFont="1" applyFill="1" applyAlignment="1" applyProtection="1">
      <alignment horizontal="center"/>
      <protection locked="0"/>
    </xf>
    <xf numFmtId="0" fontId="23" fillId="22" borderId="0" xfId="0" applyFont="1" applyFill="1" applyAlignment="1">
      <alignment horizontal="right"/>
    </xf>
    <xf numFmtId="0" fontId="24" fillId="22" borderId="0" xfId="0" applyFont="1" applyFill="1" applyAlignment="1">
      <alignment horizontal="right"/>
    </xf>
    <xf numFmtId="0" fontId="1" fillId="18" borderId="0" xfId="0" applyFont="1" applyFill="1" applyAlignment="1" applyProtection="1">
      <alignment horizontal="center"/>
      <protection locked="0"/>
    </xf>
    <xf numFmtId="0" fontId="5" fillId="20" borderId="0" xfId="0" applyFont="1" applyFill="1" applyAlignment="1">
      <alignment horizontal="center"/>
    </xf>
    <xf numFmtId="0" fontId="21" fillId="22" borderId="0" xfId="0" applyFont="1" applyFill="1" applyAlignment="1" applyProtection="1">
      <alignment horizontal="center"/>
      <protection locked="0"/>
    </xf>
    <xf numFmtId="0" fontId="0" fillId="13" borderId="24" xfId="0" applyFill="1" applyBorder="1"/>
    <xf numFmtId="0" fontId="0" fillId="13" borderId="25" xfId="0" applyFill="1" applyBorder="1"/>
    <xf numFmtId="0" fontId="0" fillId="13" borderId="26" xfId="0" applyFill="1" applyBorder="1"/>
    <xf numFmtId="0" fontId="0" fillId="13" borderId="23" xfId="0" applyFill="1" applyBorder="1"/>
    <xf numFmtId="0" fontId="0" fillId="13" borderId="27" xfId="0" applyFill="1" applyBorder="1"/>
    <xf numFmtId="0" fontId="0" fillId="13" borderId="28" xfId="0" applyFill="1" applyBorder="1"/>
    <xf numFmtId="0" fontId="0" fillId="8" borderId="25" xfId="0" applyFill="1" applyBorder="1"/>
    <xf numFmtId="0" fontId="21" fillId="8" borderId="26" xfId="0" applyFont="1" applyFill="1" applyBorder="1" applyAlignment="1" applyProtection="1">
      <alignment horizontal="center"/>
      <protection locked="0"/>
    </xf>
    <xf numFmtId="0" fontId="0" fillId="8" borderId="23" xfId="0" applyFill="1" applyBorder="1"/>
    <xf numFmtId="0" fontId="0" fillId="8" borderId="26" xfId="0" applyFill="1" applyBorder="1"/>
    <xf numFmtId="0" fontId="0" fillId="24" borderId="27" xfId="0" applyFill="1" applyBorder="1"/>
    <xf numFmtId="0" fontId="0" fillId="24" borderId="28" xfId="0" applyFill="1" applyBorder="1"/>
    <xf numFmtId="0" fontId="0" fillId="13" borderId="29" xfId="0" applyFill="1" applyBorder="1"/>
    <xf numFmtId="0" fontId="0" fillId="13" borderId="30" xfId="0" applyFill="1" applyBorder="1"/>
    <xf numFmtId="0" fontId="0" fillId="8" borderId="24" xfId="0" applyFill="1" applyBorder="1"/>
    <xf numFmtId="0" fontId="0" fillId="24" borderId="26" xfId="0" applyFill="1" applyBorder="1"/>
    <xf numFmtId="0" fontId="0" fillId="24" borderId="23" xfId="0" applyFill="1" applyBorder="1"/>
    <xf numFmtId="0" fontId="0" fillId="24" borderId="24" xfId="0" applyFill="1" applyBorder="1"/>
    <xf numFmtId="0" fontId="0" fillId="24" borderId="25" xfId="0" applyFill="1" applyBorder="1"/>
    <xf numFmtId="0" fontId="0" fillId="11" borderId="31" xfId="0" applyFill="1" applyBorder="1"/>
    <xf numFmtId="0" fontId="0" fillId="11" borderId="25" xfId="0" applyFill="1" applyBorder="1"/>
    <xf numFmtId="0" fontId="21" fillId="11" borderId="0" xfId="0" applyFont="1" applyFill="1" applyBorder="1" applyAlignment="1" applyProtection="1">
      <alignment horizontal="center"/>
      <protection locked="0"/>
    </xf>
    <xf numFmtId="0" fontId="0" fillId="11" borderId="23" xfId="0" applyFill="1" applyBorder="1"/>
    <xf numFmtId="0" fontId="0" fillId="11" borderId="26" xfId="0" applyFill="1" applyBorder="1"/>
    <xf numFmtId="0" fontId="0" fillId="11" borderId="27" xfId="0" applyFill="1" applyBorder="1"/>
    <xf numFmtId="0" fontId="0" fillId="11" borderId="21" xfId="0" applyFill="1" applyBorder="1"/>
    <xf numFmtId="0" fontId="0" fillId="11" borderId="28" xfId="0" applyFill="1" applyBorder="1"/>
    <xf numFmtId="0" fontId="0" fillId="11" borderId="24" xfId="0" applyFill="1" applyBorder="1"/>
    <xf numFmtId="0" fontId="0" fillId="5" borderId="24" xfId="0" applyFill="1" applyBorder="1"/>
    <xf numFmtId="0" fontId="0" fillId="5" borderId="31" xfId="0" applyFill="1" applyBorder="1"/>
    <xf numFmtId="0" fontId="0" fillId="5" borderId="25" xfId="0" applyFill="1" applyBorder="1"/>
    <xf numFmtId="0" fontId="0" fillId="5" borderId="26" xfId="0" applyFill="1" applyBorder="1"/>
    <xf numFmtId="0" fontId="21" fillId="36" borderId="0" xfId="0" applyFont="1" applyFill="1" applyBorder="1" applyAlignment="1" applyProtection="1">
      <alignment horizontal="center"/>
      <protection locked="0"/>
    </xf>
    <xf numFmtId="0" fontId="0" fillId="36" borderId="0" xfId="0" applyFill="1" applyBorder="1"/>
    <xf numFmtId="0" fontId="0" fillId="36" borderId="23" xfId="0" applyFill="1" applyBorder="1"/>
    <xf numFmtId="0" fontId="1" fillId="20" borderId="0" xfId="0" applyFont="1" applyFill="1" applyBorder="1" applyAlignment="1" applyProtection="1">
      <alignment horizontal="center"/>
      <protection locked="0"/>
    </xf>
    <xf numFmtId="0" fontId="0" fillId="36" borderId="21" xfId="0" applyFill="1" applyBorder="1"/>
    <xf numFmtId="0" fontId="1" fillId="20" borderId="21" xfId="0" applyFont="1" applyFill="1" applyBorder="1" applyAlignment="1" applyProtection="1">
      <alignment horizontal="center"/>
      <protection locked="0"/>
    </xf>
    <xf numFmtId="0" fontId="0" fillId="20" borderId="24" xfId="0" applyFill="1" applyBorder="1"/>
    <xf numFmtId="0" fontId="0" fillId="20" borderId="25" xfId="0" applyFill="1" applyBorder="1"/>
    <xf numFmtId="0" fontId="0" fillId="19" borderId="0" xfId="0" applyFill="1" applyBorder="1"/>
    <xf numFmtId="0" fontId="0" fillId="5" borderId="29" xfId="0" applyFill="1" applyBorder="1"/>
    <xf numFmtId="0" fontId="0" fillId="5" borderId="32" xfId="0" applyFill="1" applyBorder="1"/>
    <xf numFmtId="0" fontId="0" fillId="5" borderId="30" xfId="0" applyFill="1" applyBorder="1"/>
    <xf numFmtId="0" fontId="21" fillId="3" borderId="0" xfId="0" applyFont="1" applyFill="1" applyBorder="1" applyAlignment="1" applyProtection="1">
      <alignment horizontal="center"/>
      <protection locked="0"/>
    </xf>
    <xf numFmtId="0" fontId="0" fillId="5" borderId="0" xfId="0" applyFill="1" applyBorder="1"/>
    <xf numFmtId="0" fontId="0" fillId="5" borderId="21" xfId="0" applyFill="1" applyBorder="1"/>
    <xf numFmtId="0" fontId="0" fillId="3" borderId="21" xfId="0" applyFill="1" applyBorder="1"/>
    <xf numFmtId="0" fontId="0" fillId="19" borderId="21" xfId="0" applyFill="1" applyBorder="1"/>
    <xf numFmtId="0" fontId="0" fillId="13" borderId="0" xfId="0" applyFill="1" applyBorder="1"/>
    <xf numFmtId="0" fontId="21" fillId="5" borderId="0" xfId="0" applyFont="1" applyFill="1" applyBorder="1" applyAlignment="1" applyProtection="1">
      <alignment horizontal="center"/>
      <protection locked="0"/>
    </xf>
    <xf numFmtId="0" fontId="21" fillId="13" borderId="0" xfId="0" applyFont="1" applyFill="1" applyBorder="1" applyAlignment="1" applyProtection="1">
      <alignment horizontal="center"/>
      <protection locked="0"/>
    </xf>
    <xf numFmtId="0" fontId="0" fillId="5" borderId="27" xfId="0" applyFill="1" applyBorder="1"/>
    <xf numFmtId="0" fontId="0" fillId="13" borderId="21" xfId="0" applyFill="1" applyBorder="1"/>
    <xf numFmtId="0" fontId="0" fillId="3" borderId="23" xfId="0" applyFill="1" applyBorder="1"/>
    <xf numFmtId="0" fontId="21" fillId="8" borderId="24" xfId="0" applyFont="1" applyFill="1" applyBorder="1" applyAlignment="1" applyProtection="1">
      <alignment horizontal="right"/>
      <protection locked="0"/>
    </xf>
    <xf numFmtId="0" fontId="0" fillId="3" borderId="31" xfId="0" applyFill="1" applyBorder="1"/>
    <xf numFmtId="0" fontId="0" fillId="9" borderId="0" xfId="0" applyFill="1" applyBorder="1"/>
    <xf numFmtId="0" fontId="0" fillId="6" borderId="0" xfId="0" applyFill="1" applyBorder="1"/>
    <xf numFmtId="0" fontId="0" fillId="20" borderId="26" xfId="0" applyFill="1" applyBorder="1"/>
    <xf numFmtId="0" fontId="0" fillId="20" borderId="23" xfId="0" applyFill="1" applyBorder="1"/>
    <xf numFmtId="0" fontId="0" fillId="20" borderId="27" xfId="0" applyFill="1" applyBorder="1"/>
    <xf numFmtId="0" fontId="0" fillId="20" borderId="28" xfId="0" applyFill="1" applyBorder="1"/>
    <xf numFmtId="0" fontId="0" fillId="9" borderId="31" xfId="0" applyFill="1" applyBorder="1"/>
    <xf numFmtId="0" fontId="0" fillId="9" borderId="25" xfId="0" applyFill="1" applyBorder="1"/>
    <xf numFmtId="0" fontId="0" fillId="9" borderId="23" xfId="0" applyFill="1" applyBorder="1"/>
    <xf numFmtId="0" fontId="0" fillId="9" borderId="21" xfId="0" applyFill="1" applyBorder="1"/>
    <xf numFmtId="0" fontId="0" fillId="9" borderId="28" xfId="0" applyFill="1" applyBorder="1"/>
    <xf numFmtId="0" fontId="0" fillId="20" borderId="0" xfId="0" applyFill="1" applyBorder="1"/>
    <xf numFmtId="0" fontId="0" fillId="20" borderId="21" xfId="0" applyFill="1" applyBorder="1"/>
    <xf numFmtId="0" fontId="0" fillId="3" borderId="24" xfId="0" applyFill="1" applyBorder="1"/>
    <xf numFmtId="0" fontId="0" fillId="3" borderId="26" xfId="0" applyFill="1" applyBorder="1"/>
    <xf numFmtId="0" fontId="0" fillId="3" borderId="27" xfId="0" applyFill="1" applyBorder="1"/>
    <xf numFmtId="0" fontId="0" fillId="6" borderId="26" xfId="0" applyFill="1" applyBorder="1"/>
    <xf numFmtId="0" fontId="0" fillId="6" borderId="23" xfId="0" applyFill="1" applyBorder="1"/>
    <xf numFmtId="0" fontId="0" fillId="8" borderId="0" xfId="0" applyFill="1" applyBorder="1"/>
    <xf numFmtId="0" fontId="0" fillId="9" borderId="24" xfId="0" applyFill="1" applyBorder="1"/>
    <xf numFmtId="0" fontId="0" fillId="9" borderId="26" xfId="0" applyFill="1" applyBorder="1"/>
    <xf numFmtId="0" fontId="0" fillId="5" borderId="23" xfId="0" applyFill="1" applyBorder="1"/>
    <xf numFmtId="0" fontId="0" fillId="23" borderId="0" xfId="0" applyFill="1" applyBorder="1"/>
    <xf numFmtId="0" fontId="0" fillId="23" borderId="31" xfId="0" applyFill="1" applyBorder="1"/>
    <xf numFmtId="0" fontId="0" fillId="22" borderId="0" xfId="0" applyFill="1" applyBorder="1"/>
    <xf numFmtId="0" fontId="8" fillId="20" borderId="0" xfId="0" applyFont="1" applyFill="1" applyBorder="1" applyAlignment="1">
      <alignment horizontal="right"/>
    </xf>
    <xf numFmtId="0" fontId="21" fillId="22" borderId="0" xfId="0" applyFont="1" applyFill="1" applyBorder="1" applyAlignment="1" applyProtection="1">
      <alignment horizontal="center"/>
      <protection locked="0"/>
    </xf>
    <xf numFmtId="0" fontId="0" fillId="13" borderId="31" xfId="0" applyFill="1" applyBorder="1"/>
    <xf numFmtId="0" fontId="0" fillId="36" borderId="24" xfId="0" applyFill="1" applyBorder="1"/>
    <xf numFmtId="0" fontId="0" fillId="36" borderId="25" xfId="0" applyFill="1" applyBorder="1"/>
    <xf numFmtId="0" fontId="0" fillId="36" borderId="26" xfId="0" applyFill="1" applyBorder="1"/>
    <xf numFmtId="0" fontId="0" fillId="36" borderId="31" xfId="0" applyFill="1" applyBorder="1"/>
    <xf numFmtId="0" fontId="0" fillId="5" borderId="28" xfId="0" applyFill="1" applyBorder="1"/>
    <xf numFmtId="0" fontId="0" fillId="36" borderId="27" xfId="0" applyFill="1" applyBorder="1"/>
    <xf numFmtId="0" fontId="0" fillId="36" borderId="28" xfId="0" applyFill="1" applyBorder="1"/>
    <xf numFmtId="0" fontId="0" fillId="8" borderId="29" xfId="0" applyFill="1" applyBorder="1"/>
    <xf numFmtId="0" fontId="0" fillId="8" borderId="30" xfId="0" applyFill="1" applyBorder="1"/>
    <xf numFmtId="0" fontId="0" fillId="8" borderId="31" xfId="0" applyFill="1" applyBorder="1"/>
    <xf numFmtId="0" fontId="0" fillId="0" borderId="0" xfId="0" applyBorder="1"/>
    <xf numFmtId="0" fontId="0" fillId="0" borderId="21" xfId="0" applyBorder="1"/>
    <xf numFmtId="0" fontId="0" fillId="6" borderId="24" xfId="0" applyFill="1" applyBorder="1"/>
    <xf numFmtId="0" fontId="0" fillId="6" borderId="31" xfId="0" applyFill="1" applyBorder="1"/>
    <xf numFmtId="0" fontId="0" fillId="6" borderId="25" xfId="0" applyFill="1" applyBorder="1"/>
    <xf numFmtId="0" fontId="0" fillId="6" borderId="27" xfId="0" applyFill="1" applyBorder="1"/>
    <xf numFmtId="0" fontId="0" fillId="6" borderId="21" xfId="0" applyFill="1" applyBorder="1"/>
    <xf numFmtId="0" fontId="0" fillId="24" borderId="32" xfId="0" applyFill="1" applyBorder="1"/>
    <xf numFmtId="0" fontId="0" fillId="11" borderId="6" xfId="0" applyFill="1" applyBorder="1"/>
    <xf numFmtId="0" fontId="0" fillId="11" borderId="33" xfId="0" applyFill="1" applyBorder="1"/>
    <xf numFmtId="0" fontId="0" fillId="11" borderId="34" xfId="0" applyFill="1" applyBorder="1"/>
    <xf numFmtId="0" fontId="0" fillId="11" borderId="35" xfId="0" applyFill="1" applyBorder="1"/>
    <xf numFmtId="0" fontId="0" fillId="4" borderId="24" xfId="0" applyFill="1" applyBorder="1"/>
    <xf numFmtId="0" fontId="0" fillId="4" borderId="31" xfId="0" applyFill="1" applyBorder="1"/>
    <xf numFmtId="0" fontId="0" fillId="4" borderId="25" xfId="0" applyFill="1" applyBorder="1"/>
    <xf numFmtId="0" fontId="0" fillId="4" borderId="26" xfId="0" applyFill="1" applyBorder="1"/>
    <xf numFmtId="0" fontId="0" fillId="4" borderId="0" xfId="0" applyFill="1" applyBorder="1"/>
    <xf numFmtId="0" fontId="0" fillId="4" borderId="23" xfId="0" applyFill="1" applyBorder="1"/>
    <xf numFmtId="0" fontId="0" fillId="4" borderId="27" xfId="0" applyFill="1" applyBorder="1"/>
    <xf numFmtId="0" fontId="0" fillId="4" borderId="21" xfId="0" applyFill="1" applyBorder="1"/>
    <xf numFmtId="0" fontId="0" fillId="4" borderId="28" xfId="0" applyFill="1" applyBorder="1"/>
    <xf numFmtId="0" fontId="0" fillId="15" borderId="0" xfId="0" applyFill="1" applyBorder="1"/>
    <xf numFmtId="0" fontId="0" fillId="15" borderId="34" xfId="0" applyFill="1" applyBorder="1"/>
    <xf numFmtId="0" fontId="0" fillId="15" borderId="27" xfId="0" applyFill="1" applyBorder="1"/>
    <xf numFmtId="0" fontId="0" fillId="15" borderId="21" xfId="0" applyFill="1" applyBorder="1"/>
    <xf numFmtId="0" fontId="0" fillId="15" borderId="28" xfId="0" applyFill="1" applyBorder="1"/>
    <xf numFmtId="0" fontId="0" fillId="4" borderId="16" xfId="0" applyFill="1" applyBorder="1"/>
    <xf numFmtId="0" fontId="0" fillId="4" borderId="19" xfId="0" applyFill="1" applyBorder="1"/>
    <xf numFmtId="0" fontId="0" fillId="11" borderId="14" xfId="0" applyFill="1" applyBorder="1"/>
    <xf numFmtId="0" fontId="0" fillId="11" borderId="16" xfId="0" applyFill="1" applyBorder="1"/>
    <xf numFmtId="0" fontId="0" fillId="9" borderId="14" xfId="0" applyFill="1" applyBorder="1"/>
    <xf numFmtId="0" fontId="0" fillId="9" borderId="16" xfId="0" applyFill="1" applyBorder="1"/>
    <xf numFmtId="0" fontId="0" fillId="11" borderId="22" xfId="0" applyFill="1" applyBorder="1"/>
    <xf numFmtId="0" fontId="0" fillId="4" borderId="37" xfId="0" applyFill="1" applyBorder="1"/>
    <xf numFmtId="0" fontId="0" fillId="16" borderId="0" xfId="0" applyFill="1" applyBorder="1"/>
    <xf numFmtId="0" fontId="0" fillId="25" borderId="15" xfId="0" applyFill="1" applyBorder="1"/>
    <xf numFmtId="0" fontId="0" fillId="25" borderId="0" xfId="0" applyFill="1" applyBorder="1"/>
    <xf numFmtId="0" fontId="0" fillId="36" borderId="32" xfId="0" applyFill="1" applyBorder="1"/>
    <xf numFmtId="0" fontId="0" fillId="36" borderId="30" xfId="0" applyFill="1" applyBorder="1"/>
    <xf numFmtId="0" fontId="0" fillId="0" borderId="0" xfId="0"/>
    <xf numFmtId="0" fontId="26" fillId="0" borderId="0" xfId="0" applyFont="1"/>
    <xf numFmtId="0" fontId="0" fillId="0" borderId="0" xfId="0" applyAlignment="1">
      <alignment readingOrder="1"/>
    </xf>
    <xf numFmtId="0" fontId="28" fillId="0" borderId="0" xfId="0" applyFont="1"/>
    <xf numFmtId="0" fontId="29" fillId="0" borderId="0" xfId="0" applyFont="1"/>
    <xf numFmtId="0" fontId="30" fillId="0" borderId="0" xfId="0" applyFont="1"/>
    <xf numFmtId="0" fontId="33" fillId="0" borderId="0" xfId="0" applyFont="1"/>
    <xf numFmtId="0" fontId="0" fillId="0" borderId="0" xfId="0" applyFont="1"/>
    <xf numFmtId="0" fontId="35" fillId="0" borderId="0" xfId="0" applyFont="1"/>
    <xf numFmtId="0" fontId="36" fillId="0" borderId="0" xfId="0" applyFont="1"/>
    <xf numFmtId="0" fontId="0" fillId="0" borderId="0" xfId="0" applyFont="1" applyFill="1"/>
    <xf numFmtId="0" fontId="0" fillId="19" borderId="0" xfId="0" applyFont="1" applyFill="1"/>
    <xf numFmtId="0" fontId="0" fillId="37" borderId="0" xfId="0" applyFont="1" applyFill="1"/>
    <xf numFmtId="0" fontId="0" fillId="19" borderId="0" xfId="0" applyFill="1"/>
    <xf numFmtId="0" fontId="0" fillId="37" borderId="0" xfId="0" applyFill="1"/>
    <xf numFmtId="0" fontId="0" fillId="18" borderId="0" xfId="0" applyFill="1"/>
    <xf numFmtId="0" fontId="0" fillId="38" borderId="0" xfId="0" applyFill="1"/>
    <xf numFmtId="0" fontId="30" fillId="14" borderId="0" xfId="0" applyFont="1" applyFill="1"/>
    <xf numFmtId="0" fontId="0" fillId="14" borderId="0" xfId="0" applyFill="1"/>
    <xf numFmtId="0" fontId="0" fillId="8" borderId="0" xfId="0" applyFill="1"/>
    <xf numFmtId="0" fontId="30" fillId="20" borderId="0" xfId="0" applyFont="1" applyFill="1"/>
    <xf numFmtId="0" fontId="0" fillId="20" borderId="0" xfId="0" applyFill="1"/>
    <xf numFmtId="0" fontId="37" fillId="18" borderId="0" xfId="0" applyFont="1" applyFill="1"/>
    <xf numFmtId="0" fontId="27" fillId="20" borderId="0" xfId="0" applyFont="1" applyFill="1"/>
    <xf numFmtId="0" fontId="27" fillId="24" borderId="0" xfId="0" applyFont="1" applyFill="1"/>
    <xf numFmtId="0" fontId="0" fillId="24" borderId="0" xfId="0" applyFill="1"/>
    <xf numFmtId="0" fontId="0" fillId="0" borderId="0" xfId="0" applyFont="1" applyFill="1" applyAlignment="1">
      <alignment readingOrder="1"/>
    </xf>
    <xf numFmtId="0" fontId="0" fillId="0" borderId="0" xfId="0" applyFont="1" applyFill="1" applyAlignment="1"/>
    <xf numFmtId="0" fontId="0" fillId="14" borderId="0" xfId="0" applyFont="1" applyFill="1" applyAlignment="1">
      <alignment horizontal="right"/>
    </xf>
    <xf numFmtId="0" fontId="0" fillId="36" borderId="0" xfId="0" applyFont="1" applyFill="1"/>
    <xf numFmtId="0" fontId="0" fillId="14" borderId="0" xfId="0" applyFont="1" applyFill="1"/>
    <xf numFmtId="0" fontId="0" fillId="14" borderId="0" xfId="0" applyFont="1" applyFill="1" applyAlignment="1">
      <alignment readingOrder="1"/>
    </xf>
    <xf numFmtId="0" fontId="27" fillId="39" borderId="0" xfId="0" applyFont="1" applyFill="1"/>
    <xf numFmtId="0" fontId="0" fillId="39" borderId="0" xfId="0" applyFill="1"/>
    <xf numFmtId="0" fontId="0" fillId="9" borderId="0" xfId="0" applyFill="1"/>
    <xf numFmtId="0" fontId="0" fillId="12" borderId="0" xfId="0" applyFill="1"/>
    <xf numFmtId="0" fontId="0" fillId="36" borderId="0" xfId="0" applyFill="1"/>
    <xf numFmtId="0" fontId="0" fillId="40" borderId="0" xfId="0" applyFill="1"/>
    <xf numFmtId="0" fontId="26" fillId="20" borderId="0" xfId="0" applyFont="1" applyFill="1"/>
    <xf numFmtId="0" fontId="30" fillId="9" borderId="0" xfId="0" applyFont="1" applyFill="1"/>
    <xf numFmtId="0" fontId="30" fillId="40" borderId="0" xfId="0" applyFont="1" applyFill="1"/>
    <xf numFmtId="0" fontId="0" fillId="41" borderId="0" xfId="0" applyFill="1"/>
    <xf numFmtId="0" fontId="30" fillId="24" borderId="0" xfId="0" applyFont="1" applyFill="1"/>
    <xf numFmtId="0" fontId="33" fillId="20" borderId="0" xfId="0" applyFont="1" applyFill="1"/>
    <xf numFmtId="0" fontId="38" fillId="14" borderId="0" xfId="0" applyFont="1" applyFill="1"/>
    <xf numFmtId="0" fontId="31" fillId="19" borderId="0" xfId="0" applyFont="1" applyFill="1"/>
    <xf numFmtId="0" fontId="34" fillId="19" borderId="0" xfId="0" applyFont="1" applyFill="1"/>
    <xf numFmtId="0" fontId="32" fillId="19" borderId="0" xfId="0" applyFont="1" applyFill="1"/>
    <xf numFmtId="0" fontId="0" fillId="12" borderId="0" xfId="0" applyFont="1" applyFill="1"/>
    <xf numFmtId="0" fontId="39" fillId="37" borderId="0" xfId="0" applyFont="1" applyFill="1"/>
    <xf numFmtId="0" fontId="0" fillId="42" borderId="0" xfId="0" applyFill="1"/>
    <xf numFmtId="0" fontId="0" fillId="43" borderId="0" xfId="0" applyFill="1"/>
    <xf numFmtId="0" fontId="0" fillId="44" borderId="0" xfId="0" applyFill="1"/>
    <xf numFmtId="0" fontId="0" fillId="10" borderId="0" xfId="0" applyFill="1"/>
    <xf numFmtId="0" fontId="0" fillId="45" borderId="0" xfId="0" applyFill="1"/>
    <xf numFmtId="0" fontId="0" fillId="46" borderId="0" xfId="0" applyFill="1"/>
    <xf numFmtId="0" fontId="0" fillId="47" borderId="0" xfId="0" applyFill="1"/>
    <xf numFmtId="0" fontId="0" fillId="0" borderId="0" xfId="0" applyFill="1"/>
    <xf numFmtId="0" fontId="0" fillId="48" borderId="0" xfId="0" applyFill="1"/>
    <xf numFmtId="0" fontId="4" fillId="0" borderId="0" xfId="0" applyFont="1" applyFill="1"/>
    <xf numFmtId="0" fontId="0" fillId="18" borderId="26" xfId="0" applyFill="1" applyBorder="1"/>
    <xf numFmtId="0" fontId="0" fillId="18" borderId="0" xfId="0" applyFill="1" applyBorder="1"/>
    <xf numFmtId="0" fontId="0" fillId="8" borderId="32" xfId="0" applyFill="1" applyBorder="1"/>
    <xf numFmtId="0" fontId="0" fillId="43" borderId="27" xfId="0" applyFill="1" applyBorder="1"/>
    <xf numFmtId="0" fontId="0" fillId="43" borderId="21" xfId="0" applyFill="1" applyBorder="1"/>
    <xf numFmtId="0" fontId="0" fillId="8" borderId="27" xfId="0" applyFill="1" applyBorder="1"/>
    <xf numFmtId="0" fontId="0" fillId="8" borderId="21" xfId="0" applyFill="1" applyBorder="1"/>
    <xf numFmtId="0" fontId="0" fillId="8" borderId="28" xfId="0" applyFill="1" applyBorder="1"/>
    <xf numFmtId="0" fontId="0" fillId="36" borderId="6" xfId="0" applyFill="1" applyBorder="1"/>
    <xf numFmtId="0" fontId="0" fillId="14" borderId="15" xfId="0" applyFill="1" applyBorder="1"/>
    <xf numFmtId="0" fontId="0" fillId="14" borderId="16" xfId="0" applyFill="1" applyBorder="1"/>
    <xf numFmtId="0" fontId="0" fillId="14" borderId="17" xfId="0" applyFill="1" applyBorder="1"/>
    <xf numFmtId="0" fontId="0" fillId="14" borderId="19" xfId="0" applyFill="1" applyBorder="1"/>
    <xf numFmtId="0" fontId="0" fillId="14" borderId="41" xfId="0" applyFill="1" applyBorder="1"/>
    <xf numFmtId="0" fontId="0" fillId="14" borderId="42" xfId="0" applyFill="1" applyBorder="1"/>
    <xf numFmtId="0" fontId="0" fillId="40" borderId="24" xfId="0" applyFill="1" applyBorder="1"/>
    <xf numFmtId="0" fontId="0" fillId="40" borderId="25" xfId="0" applyFill="1" applyBorder="1"/>
    <xf numFmtId="0" fontId="0" fillId="40" borderId="27" xfId="0" applyFill="1" applyBorder="1"/>
    <xf numFmtId="0" fontId="0" fillId="40" borderId="28" xfId="0" applyFill="1" applyBorder="1"/>
    <xf numFmtId="0" fontId="0" fillId="15" borderId="24" xfId="0" applyFill="1" applyBorder="1"/>
    <xf numFmtId="0" fontId="0" fillId="15" borderId="31" xfId="0" applyFill="1" applyBorder="1"/>
    <xf numFmtId="0" fontId="0" fillId="15" borderId="25" xfId="0" applyFill="1" applyBorder="1"/>
    <xf numFmtId="0" fontId="0" fillId="24" borderId="0" xfId="0" applyFill="1" applyBorder="1"/>
    <xf numFmtId="0" fontId="0" fillId="14" borderId="12" xfId="0" applyFill="1" applyBorder="1"/>
    <xf numFmtId="0" fontId="0" fillId="14" borderId="13" xfId="0" applyFill="1" applyBorder="1"/>
    <xf numFmtId="0" fontId="0" fillId="14" borderId="0" xfId="0" applyFill="1" applyBorder="1"/>
    <xf numFmtId="0" fontId="0" fillId="14" borderId="18" xfId="0" applyFill="1" applyBorder="1"/>
    <xf numFmtId="0" fontId="0" fillId="7" borderId="14" xfId="0" applyFill="1" applyBorder="1"/>
    <xf numFmtId="0" fontId="0" fillId="7" borderId="16" xfId="0" applyFill="1" applyBorder="1"/>
    <xf numFmtId="0" fontId="0" fillId="7" borderId="19" xfId="0" applyFill="1" applyBorder="1"/>
    <xf numFmtId="0" fontId="5" fillId="2" borderId="0" xfId="0" applyFont="1" applyFill="1" applyBorder="1" applyAlignment="1">
      <alignment horizontal="center"/>
    </xf>
    <xf numFmtId="0" fontId="5" fillId="2" borderId="23" xfId="0" applyFont="1" applyFill="1" applyBorder="1" applyAlignment="1">
      <alignment horizontal="center"/>
    </xf>
    <xf numFmtId="0" fontId="5" fillId="2" borderId="21" xfId="0" applyFont="1" applyFill="1" applyBorder="1" applyAlignment="1">
      <alignment horizontal="center"/>
    </xf>
    <xf numFmtId="0" fontId="5" fillId="2" borderId="28" xfId="0" applyFont="1" applyFill="1" applyBorder="1" applyAlignment="1">
      <alignment horizontal="center"/>
    </xf>
    <xf numFmtId="0" fontId="0" fillId="24" borderId="21" xfId="0" applyFill="1" applyBorder="1"/>
    <xf numFmtId="0" fontId="0" fillId="16" borderId="24" xfId="0" applyFill="1" applyBorder="1"/>
    <xf numFmtId="0" fontId="0" fillId="16" borderId="26" xfId="0" applyFill="1" applyBorder="1"/>
    <xf numFmtId="0" fontId="0" fillId="16" borderId="27" xfId="0" applyFill="1" applyBorder="1"/>
    <xf numFmtId="0" fontId="0" fillId="16" borderId="31" xfId="0" applyFill="1" applyBorder="1"/>
    <xf numFmtId="0" fontId="0" fillId="16" borderId="21" xfId="0" applyFill="1" applyBorder="1"/>
    <xf numFmtId="0" fontId="5" fillId="2" borderId="26" xfId="0" applyFont="1" applyFill="1" applyBorder="1" applyAlignment="1">
      <alignment horizontal="center"/>
    </xf>
    <xf numFmtId="0" fontId="5" fillId="2" borderId="27" xfId="0" applyFont="1" applyFill="1" applyBorder="1" applyAlignment="1">
      <alignment horizontal="center"/>
    </xf>
    <xf numFmtId="0" fontId="8" fillId="36" borderId="0" xfId="0" applyFont="1" applyFill="1" applyBorder="1" applyAlignment="1">
      <alignment horizontal="right"/>
    </xf>
    <xf numFmtId="0" fontId="8" fillId="36" borderId="26" xfId="0" applyFont="1" applyFill="1" applyBorder="1" applyAlignment="1">
      <alignment horizontal="right"/>
    </xf>
    <xf numFmtId="0" fontId="0" fillId="4" borderId="35" xfId="0" applyFill="1" applyBorder="1"/>
    <xf numFmtId="0" fontId="0" fillId="4" borderId="33" xfId="0" applyFill="1" applyBorder="1"/>
    <xf numFmtId="0" fontId="0" fillId="4" borderId="34" xfId="0" applyFill="1" applyBorder="1"/>
    <xf numFmtId="0" fontId="20" fillId="36" borderId="0" xfId="0" applyFont="1" applyFill="1" applyAlignment="1" applyProtection="1">
      <alignment horizontal="right"/>
      <protection locked="0"/>
    </xf>
    <xf numFmtId="0" fontId="21" fillId="36" borderId="0" xfId="0" applyFont="1" applyFill="1" applyAlignment="1" applyProtection="1">
      <alignment horizontal="center"/>
      <protection locked="0"/>
    </xf>
    <xf numFmtId="0" fontId="21" fillId="36" borderId="23" xfId="0" applyFont="1" applyFill="1" applyBorder="1" applyAlignment="1" applyProtection="1">
      <alignment horizontal="center"/>
      <protection locked="0"/>
    </xf>
    <xf numFmtId="0" fontId="21" fillId="4" borderId="0" xfId="0" applyFont="1" applyFill="1" applyBorder="1" applyAlignment="1" applyProtection="1">
      <alignment horizontal="center"/>
      <protection locked="0"/>
    </xf>
    <xf numFmtId="0" fontId="21" fillId="43" borderId="21" xfId="0" applyFont="1" applyFill="1" applyBorder="1" applyAlignment="1" applyProtection="1">
      <alignment horizontal="center"/>
      <protection locked="0"/>
    </xf>
    <xf numFmtId="0" fontId="0" fillId="43" borderId="28" xfId="0" applyFill="1" applyBorder="1"/>
    <xf numFmtId="0" fontId="0" fillId="43" borderId="24" xfId="0" applyFill="1" applyBorder="1"/>
    <xf numFmtId="0" fontId="0" fillId="43" borderId="31" xfId="0" applyFill="1" applyBorder="1"/>
    <xf numFmtId="0" fontId="21" fillId="43" borderId="31" xfId="0" applyFont="1" applyFill="1" applyBorder="1" applyAlignment="1" applyProtection="1">
      <alignment horizontal="center"/>
      <protection locked="0"/>
    </xf>
    <xf numFmtId="0" fontId="0" fillId="43" borderId="25" xfId="0" applyFill="1" applyBorder="1"/>
    <xf numFmtId="0" fontId="20" fillId="11" borderId="24" xfId="0" applyFont="1" applyFill="1" applyBorder="1" applyAlignment="1" applyProtection="1">
      <alignment horizontal="right"/>
      <protection locked="0"/>
    </xf>
    <xf numFmtId="0" fontId="1" fillId="11" borderId="0" xfId="0" applyFont="1" applyFill="1" applyBorder="1" applyAlignment="1" applyProtection="1">
      <alignment horizontal="center"/>
      <protection locked="0"/>
    </xf>
    <xf numFmtId="0" fontId="20" fillId="11" borderId="0" xfId="0" applyFont="1" applyFill="1" applyBorder="1" applyAlignment="1" applyProtection="1">
      <alignment horizontal="right"/>
      <protection locked="0"/>
    </xf>
    <xf numFmtId="0" fontId="1" fillId="11" borderId="21" xfId="0" applyFont="1" applyFill="1" applyBorder="1" applyAlignment="1" applyProtection="1">
      <alignment horizontal="center"/>
      <protection locked="0"/>
    </xf>
    <xf numFmtId="0" fontId="0" fillId="22" borderId="26" xfId="0" applyFill="1" applyBorder="1"/>
    <xf numFmtId="0" fontId="0" fillId="22" borderId="23" xfId="0" applyFill="1" applyBorder="1"/>
    <xf numFmtId="0" fontId="1" fillId="22" borderId="0" xfId="0" applyFont="1" applyFill="1" applyBorder="1" applyAlignment="1" applyProtection="1">
      <alignment horizontal="center"/>
      <protection locked="0"/>
    </xf>
    <xf numFmtId="0" fontId="1" fillId="5" borderId="0" xfId="0" applyFont="1" applyFill="1" applyBorder="1" applyAlignment="1" applyProtection="1">
      <alignment horizontal="center"/>
      <protection locked="0"/>
    </xf>
    <xf numFmtId="0" fontId="1" fillId="5" borderId="23"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 fillId="3" borderId="23" xfId="0" applyFont="1" applyFill="1" applyBorder="1" applyAlignment="1" applyProtection="1">
      <alignment horizontal="center"/>
      <protection locked="0"/>
    </xf>
    <xf numFmtId="0" fontId="1" fillId="3" borderId="0"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8" xfId="0" applyFont="1" applyFill="1" applyBorder="1" applyAlignment="1" applyProtection="1">
      <alignment horizontal="center"/>
      <protection locked="0"/>
    </xf>
    <xf numFmtId="0" fontId="20" fillId="6" borderId="31" xfId="0" applyFont="1" applyFill="1" applyBorder="1" applyAlignment="1" applyProtection="1">
      <alignment horizontal="right"/>
      <protection locked="0"/>
    </xf>
    <xf numFmtId="0" fontId="1" fillId="6" borderId="31" xfId="0" applyFont="1" applyFill="1" applyBorder="1" applyAlignment="1" applyProtection="1">
      <alignment horizontal="center"/>
      <protection locked="0"/>
    </xf>
    <xf numFmtId="0" fontId="20" fillId="6" borderId="0" xfId="0" applyFont="1" applyFill="1" applyBorder="1" applyAlignment="1" applyProtection="1">
      <alignment horizontal="right"/>
      <protection locked="0"/>
    </xf>
    <xf numFmtId="0" fontId="1" fillId="6" borderId="0" xfId="0" applyFont="1" applyFill="1" applyBorder="1" applyAlignment="1" applyProtection="1">
      <alignment horizontal="center"/>
      <protection locked="0"/>
    </xf>
    <xf numFmtId="0" fontId="1" fillId="6" borderId="23" xfId="0" applyFont="1" applyFill="1" applyBorder="1" applyAlignment="1" applyProtection="1">
      <alignment horizontal="center"/>
      <protection locked="0"/>
    </xf>
    <xf numFmtId="0" fontId="1" fillId="6" borderId="26" xfId="0" applyFont="1" applyFill="1" applyBorder="1" applyAlignment="1" applyProtection="1">
      <alignment horizontal="center"/>
      <protection locked="0"/>
    </xf>
    <xf numFmtId="0" fontId="1" fillId="6" borderId="21" xfId="0" applyFont="1" applyFill="1" applyBorder="1" applyAlignment="1" applyProtection="1">
      <alignment horizontal="center"/>
      <protection locked="0"/>
    </xf>
    <xf numFmtId="0" fontId="1" fillId="6" borderId="28" xfId="0" applyFont="1" applyFill="1" applyBorder="1" applyAlignment="1" applyProtection="1">
      <alignment horizontal="center"/>
      <protection locked="0"/>
    </xf>
    <xf numFmtId="0" fontId="0" fillId="24" borderId="29" xfId="0" applyFill="1" applyBorder="1"/>
    <xf numFmtId="0" fontId="1" fillId="24" borderId="32" xfId="0" applyFont="1" applyFill="1" applyBorder="1" applyAlignment="1" applyProtection="1">
      <alignment horizontal="center"/>
      <protection locked="0"/>
    </xf>
    <xf numFmtId="0" fontId="1" fillId="24" borderId="30" xfId="0" applyFont="1" applyFill="1" applyBorder="1" applyAlignment="1" applyProtection="1">
      <alignment horizontal="center"/>
      <protection locked="0"/>
    </xf>
    <xf numFmtId="0" fontId="1" fillId="4" borderId="25" xfId="0" applyFont="1" applyFill="1" applyBorder="1" applyAlignment="1" applyProtection="1">
      <alignment horizontal="center"/>
      <protection locked="0"/>
    </xf>
    <xf numFmtId="0" fontId="1" fillId="4" borderId="23" xfId="0" applyFont="1" applyFill="1" applyBorder="1" applyAlignment="1" applyProtection="1">
      <alignment horizontal="center"/>
      <protection locked="0"/>
    </xf>
    <xf numFmtId="0" fontId="1" fillId="4" borderId="0" xfId="0" applyFont="1" applyFill="1" applyBorder="1" applyAlignment="1" applyProtection="1">
      <alignment horizontal="center"/>
      <protection locked="0"/>
    </xf>
    <xf numFmtId="0" fontId="1" fillId="4" borderId="26" xfId="0" applyFont="1" applyFill="1" applyBorder="1" applyAlignment="1" applyProtection="1">
      <alignment horizontal="center"/>
      <protection locked="0"/>
    </xf>
    <xf numFmtId="0" fontId="1" fillId="4" borderId="21" xfId="0" applyFont="1" applyFill="1" applyBorder="1" applyAlignment="1" applyProtection="1">
      <alignment horizontal="center"/>
      <protection locked="0"/>
    </xf>
    <xf numFmtId="0" fontId="1" fillId="4" borderId="28" xfId="0" applyFont="1" applyFill="1" applyBorder="1" applyAlignment="1" applyProtection="1">
      <alignment horizontal="center"/>
      <protection locked="0"/>
    </xf>
    <xf numFmtId="0" fontId="0" fillId="20" borderId="29" xfId="0" applyFill="1" applyBorder="1"/>
    <xf numFmtId="0" fontId="0" fillId="20" borderId="32" xfId="0" applyFill="1" applyBorder="1"/>
    <xf numFmtId="0" fontId="1" fillId="20" borderId="32" xfId="0" applyFont="1" applyFill="1" applyBorder="1" applyAlignment="1" applyProtection="1">
      <alignment horizontal="center"/>
      <protection locked="0"/>
    </xf>
    <xf numFmtId="0" fontId="1" fillId="20" borderId="30" xfId="0" applyFont="1" applyFill="1" applyBorder="1" applyAlignment="1" applyProtection="1">
      <alignment horizontal="center"/>
      <protection locked="0"/>
    </xf>
    <xf numFmtId="0" fontId="1" fillId="16" borderId="0" xfId="0" applyFont="1" applyFill="1" applyBorder="1" applyAlignment="1" applyProtection="1">
      <alignment horizontal="center"/>
      <protection locked="0"/>
    </xf>
    <xf numFmtId="0" fontId="1" fillId="16" borderId="23" xfId="0" applyFont="1" applyFill="1" applyBorder="1" applyAlignment="1" applyProtection="1">
      <alignment horizontal="center"/>
      <protection locked="0"/>
    </xf>
    <xf numFmtId="0" fontId="1" fillId="24" borderId="0" xfId="0" applyFont="1" applyFill="1" applyBorder="1" applyAlignment="1" applyProtection="1">
      <alignment horizontal="center"/>
      <protection locked="0"/>
    </xf>
    <xf numFmtId="0" fontId="1" fillId="24" borderId="23" xfId="0" applyFont="1" applyFill="1" applyBorder="1" applyAlignment="1" applyProtection="1">
      <alignment horizontal="center"/>
      <protection locked="0"/>
    </xf>
    <xf numFmtId="0" fontId="1" fillId="10" borderId="0" xfId="0" applyFont="1" applyFill="1" applyBorder="1" applyAlignment="1" applyProtection="1">
      <alignment horizontal="center"/>
      <protection locked="0"/>
    </xf>
    <xf numFmtId="0" fontId="1" fillId="10" borderId="23" xfId="0" applyFont="1" applyFill="1" applyBorder="1" applyAlignment="1" applyProtection="1">
      <alignment horizontal="center"/>
      <protection locked="0"/>
    </xf>
    <xf numFmtId="0" fontId="0" fillId="15" borderId="12" xfId="0" applyFill="1" applyBorder="1"/>
    <xf numFmtId="0" fontId="0" fillId="15" borderId="13" xfId="0" applyFill="1" applyBorder="1"/>
    <xf numFmtId="0" fontId="1" fillId="4" borderId="13" xfId="0" applyFont="1" applyFill="1" applyBorder="1" applyAlignment="1" applyProtection="1">
      <alignment horizontal="center"/>
      <protection locked="0"/>
    </xf>
    <xf numFmtId="0" fontId="1" fillId="4" borderId="14" xfId="0" applyFont="1" applyFill="1" applyBorder="1" applyAlignment="1" applyProtection="1">
      <alignment horizontal="center"/>
      <protection locked="0"/>
    </xf>
    <xf numFmtId="0" fontId="0" fillId="15" borderId="15" xfId="0" applyFill="1" applyBorder="1"/>
    <xf numFmtId="0" fontId="1" fillId="4" borderId="16" xfId="0" applyFont="1" applyFill="1" applyBorder="1" applyAlignment="1" applyProtection="1">
      <alignment horizontal="center"/>
      <protection locked="0"/>
    </xf>
    <xf numFmtId="0" fontId="0" fillId="15" borderId="17" xfId="0" applyFill="1" applyBorder="1"/>
    <xf numFmtId="0" fontId="0" fillId="15" borderId="18" xfId="0" applyFill="1" applyBorder="1"/>
    <xf numFmtId="0" fontId="1" fillId="4" borderId="18" xfId="0" applyFont="1" applyFill="1" applyBorder="1" applyAlignment="1" applyProtection="1">
      <alignment horizontal="center"/>
      <protection locked="0"/>
    </xf>
    <xf numFmtId="0" fontId="1" fillId="4" borderId="19" xfId="0" applyFont="1" applyFill="1" applyBorder="1" applyAlignment="1" applyProtection="1">
      <alignment horizontal="center"/>
      <protection locked="0"/>
    </xf>
    <xf numFmtId="0" fontId="0" fillId="22" borderId="15" xfId="0" applyFill="1" applyBorder="1"/>
    <xf numFmtId="0" fontId="0" fillId="20" borderId="6" xfId="0" applyFill="1" applyBorder="1"/>
    <xf numFmtId="0" fontId="8" fillId="20" borderId="0" xfId="0" applyFont="1" applyFill="1" applyAlignment="1">
      <alignment horizontal="center" readingOrder="2"/>
    </xf>
    <xf numFmtId="0" fontId="2" fillId="20" borderId="0" xfId="0" applyFont="1" applyFill="1" applyAlignment="1">
      <alignment horizontal="center" readingOrder="2"/>
    </xf>
    <xf numFmtId="0" fontId="0" fillId="20" borderId="0" xfId="0" applyFill="1" applyAlignment="1">
      <alignment horizontal="center"/>
    </xf>
    <xf numFmtId="0" fontId="8" fillId="20" borderId="0" xfId="0" applyFont="1" applyFill="1" applyAlignment="1">
      <alignment horizontal="center"/>
    </xf>
    <xf numFmtId="0" fontId="8" fillId="5" borderId="0" xfId="0" applyFont="1" applyFill="1" applyBorder="1" applyAlignment="1">
      <alignment horizontal="right"/>
    </xf>
    <xf numFmtId="0" fontId="8" fillId="5" borderId="0" xfId="0" applyFont="1" applyFill="1" applyAlignment="1" applyProtection="1">
      <alignment horizontal="right"/>
      <protection locked="0"/>
    </xf>
    <xf numFmtId="0" fontId="0" fillId="20" borderId="0" xfId="0" applyFill="1" applyAlignment="1">
      <alignment horizontal="right"/>
    </xf>
    <xf numFmtId="0" fontId="0" fillId="49" borderId="0" xfId="0" applyFill="1"/>
    <xf numFmtId="0" fontId="0" fillId="49" borderId="24" xfId="0" applyFill="1" applyBorder="1" applyAlignment="1">
      <alignment horizontal="center"/>
    </xf>
    <xf numFmtId="0" fontId="0" fillId="49" borderId="24" xfId="0" applyFill="1" applyBorder="1"/>
    <xf numFmtId="0" fontId="0" fillId="49" borderId="31" xfId="0" applyFill="1" applyBorder="1" applyAlignment="1">
      <alignment horizontal="center"/>
    </xf>
    <xf numFmtId="0" fontId="0" fillId="49" borderId="31" xfId="0" applyFill="1" applyBorder="1"/>
    <xf numFmtId="0" fontId="0" fillId="49" borderId="25" xfId="0" applyFill="1" applyBorder="1"/>
    <xf numFmtId="0" fontId="0" fillId="49" borderId="35" xfId="0" applyFill="1" applyBorder="1" applyAlignment="1">
      <alignment horizontal="center"/>
    </xf>
    <xf numFmtId="0" fontId="0" fillId="49" borderId="27" xfId="0" applyFill="1" applyBorder="1"/>
    <xf numFmtId="0" fontId="0" fillId="49" borderId="34" xfId="0" applyFill="1" applyBorder="1"/>
    <xf numFmtId="0" fontId="0" fillId="49" borderId="6" xfId="0" applyFill="1" applyBorder="1"/>
    <xf numFmtId="0" fontId="0" fillId="49" borderId="27" xfId="0" applyFill="1" applyBorder="1" applyAlignment="1">
      <alignment horizontal="center"/>
    </xf>
    <xf numFmtId="0" fontId="0" fillId="49" borderId="21" xfId="0" applyFill="1" applyBorder="1" applyAlignment="1">
      <alignment horizontal="center"/>
    </xf>
    <xf numFmtId="0" fontId="0" fillId="49" borderId="34" xfId="0" applyFill="1" applyBorder="1" applyAlignment="1">
      <alignment horizontal="center"/>
    </xf>
    <xf numFmtId="0" fontId="0" fillId="49" borderId="28" xfId="0" applyFill="1" applyBorder="1" applyAlignment="1">
      <alignment horizontal="center"/>
    </xf>
    <xf numFmtId="0" fontId="42" fillId="50" borderId="0" xfId="0" applyFont="1" applyFill="1"/>
    <xf numFmtId="0" fontId="0" fillId="18" borderId="0" xfId="0" applyFill="1" applyAlignment="1">
      <alignment horizontal="center"/>
    </xf>
    <xf numFmtId="0" fontId="0" fillId="11" borderId="34" xfId="0" applyFill="1" applyBorder="1" applyAlignment="1">
      <alignment horizontal="center"/>
    </xf>
    <xf numFmtId="0" fontId="0" fillId="11" borderId="6" xfId="0" applyFill="1" applyBorder="1" applyAlignment="1">
      <alignment horizontal="center"/>
    </xf>
    <xf numFmtId="0" fontId="0" fillId="0" borderId="6" xfId="0" applyBorder="1" applyAlignment="1">
      <alignment horizontal="center"/>
    </xf>
    <xf numFmtId="0" fontId="0" fillId="0" borderId="6" xfId="0" applyBorder="1"/>
    <xf numFmtId="0" fontId="0" fillId="0" borderId="34" xfId="0" applyBorder="1" applyAlignment="1">
      <alignment horizontal="center"/>
    </xf>
    <xf numFmtId="0" fontId="0" fillId="18" borderId="6" xfId="0" applyFill="1" applyBorder="1" applyAlignment="1">
      <alignment horizontal="center"/>
    </xf>
    <xf numFmtId="0" fontId="0" fillId="13" borderId="6" xfId="0" applyFill="1" applyBorder="1" applyAlignment="1">
      <alignment horizontal="center"/>
    </xf>
    <xf numFmtId="0" fontId="0" fillId="13" borderId="6" xfId="0" applyFill="1" applyBorder="1"/>
    <xf numFmtId="0" fontId="0" fillId="13" borderId="34" xfId="0" applyFill="1" applyBorder="1" applyAlignment="1">
      <alignment horizontal="center"/>
    </xf>
    <xf numFmtId="0" fontId="0" fillId="0" borderId="0" xfId="0" applyFill="1" applyBorder="1" applyAlignment="1"/>
    <xf numFmtId="0" fontId="0" fillId="22" borderId="34" xfId="0" applyFill="1" applyBorder="1" applyAlignment="1">
      <alignment horizontal="center"/>
    </xf>
    <xf numFmtId="0" fontId="43" fillId="13" borderId="6" xfId="0" applyFont="1" applyFill="1" applyBorder="1" applyAlignment="1">
      <alignment horizontal="center"/>
    </xf>
    <xf numFmtId="0" fontId="40" fillId="0" borderId="6" xfId="0" applyFont="1" applyBorder="1" applyAlignment="1">
      <alignment horizontal="center"/>
    </xf>
    <xf numFmtId="0" fontId="0" fillId="0" borderId="6" xfId="0" applyFill="1" applyBorder="1" applyAlignment="1">
      <alignment horizontal="center"/>
    </xf>
    <xf numFmtId="0" fontId="41" fillId="0" borderId="6" xfId="0" applyFont="1" applyBorder="1" applyAlignment="1">
      <alignment horizontal="center"/>
    </xf>
    <xf numFmtId="0" fontId="0" fillId="0" borderId="0" xfId="0" applyAlignment="1">
      <alignment horizontal="center"/>
    </xf>
    <xf numFmtId="0" fontId="44" fillId="22" borderId="6" xfId="0" applyFont="1" applyFill="1" applyBorder="1" applyAlignment="1">
      <alignment horizontal="center"/>
    </xf>
    <xf numFmtId="0" fontId="44" fillId="11" borderId="6" xfId="0" applyFont="1" applyFill="1" applyBorder="1" applyAlignment="1">
      <alignment horizontal="center"/>
    </xf>
    <xf numFmtId="0" fontId="44" fillId="0" borderId="6" xfId="0" applyFont="1" applyBorder="1" applyAlignment="1">
      <alignment horizontal="center"/>
    </xf>
    <xf numFmtId="0" fontId="43" fillId="0" borderId="6" xfId="0" applyFont="1" applyBorder="1" applyAlignment="1">
      <alignment horizontal="center"/>
    </xf>
    <xf numFmtId="0" fontId="0" fillId="0" borderId="0" xfId="0" applyAlignment="1"/>
    <xf numFmtId="0" fontId="0" fillId="49" borderId="0" xfId="0" applyFill="1" applyAlignment="1"/>
    <xf numFmtId="0" fontId="0" fillId="0" borderId="6" xfId="0" applyBorder="1" applyAlignment="1"/>
    <xf numFmtId="0" fontId="44" fillId="13" borderId="6" xfId="0" applyFont="1" applyFill="1" applyBorder="1" applyAlignment="1">
      <alignment horizontal="center"/>
    </xf>
    <xf numFmtId="0" fontId="0" fillId="18" borderId="34" xfId="0" applyFill="1" applyBorder="1" applyAlignment="1">
      <alignment horizontal="center"/>
    </xf>
    <xf numFmtId="0" fontId="0" fillId="18" borderId="6" xfId="0" applyFill="1" applyBorder="1"/>
    <xf numFmtId="0" fontId="0" fillId="11" borderId="24" xfId="0" applyFill="1" applyBorder="1" applyAlignment="1">
      <alignment horizontal="center"/>
    </xf>
    <xf numFmtId="0" fontId="40" fillId="13" borderId="6" xfId="0" applyFont="1" applyFill="1" applyBorder="1" applyAlignment="1">
      <alignment horizontal="center"/>
    </xf>
    <xf numFmtId="0" fontId="40" fillId="18" borderId="6" xfId="0" applyFont="1" applyFill="1" applyBorder="1" applyAlignment="1">
      <alignment horizontal="center"/>
    </xf>
    <xf numFmtId="0" fontId="0" fillId="11" borderId="6" xfId="0" applyFill="1" applyBorder="1" applyAlignment="1"/>
    <xf numFmtId="0" fontId="0" fillId="22" borderId="6" xfId="0" applyFill="1" applyBorder="1" applyAlignment="1">
      <alignment horizontal="center"/>
    </xf>
    <xf numFmtId="0" fontId="0" fillId="13" borderId="24" xfId="0" applyFill="1" applyBorder="1" applyAlignment="1">
      <alignment horizontal="center"/>
    </xf>
    <xf numFmtId="0" fontId="0" fillId="13" borderId="6" xfId="0" applyFill="1" applyBorder="1" applyAlignment="1"/>
    <xf numFmtId="0" fontId="0" fillId="22" borderId="24" xfId="0" applyFill="1" applyBorder="1" applyAlignment="1">
      <alignment horizontal="center"/>
    </xf>
    <xf numFmtId="0" fontId="0" fillId="22" borderId="24" xfId="0" applyFill="1" applyBorder="1" applyAlignment="1"/>
    <xf numFmtId="0" fontId="0" fillId="11" borderId="24" xfId="0" applyFill="1" applyBorder="1" applyAlignment="1"/>
    <xf numFmtId="0" fontId="43" fillId="11" borderId="6" xfId="0" applyFont="1" applyFill="1" applyBorder="1" applyAlignment="1">
      <alignment horizontal="center"/>
    </xf>
    <xf numFmtId="0" fontId="42" fillId="13" borderId="6" xfId="0" applyFont="1" applyFill="1" applyBorder="1" applyAlignment="1">
      <alignment horizontal="center"/>
    </xf>
    <xf numFmtId="0" fontId="41" fillId="0" borderId="0" xfId="0" applyFont="1" applyAlignment="1">
      <alignment horizontal="center"/>
    </xf>
    <xf numFmtId="0" fontId="40" fillId="13" borderId="6" xfId="0" applyFont="1" applyFill="1" applyBorder="1" applyAlignment="1"/>
    <xf numFmtId="0" fontId="40" fillId="0" borderId="6" xfId="0" applyFont="1" applyBorder="1" applyAlignment="1"/>
    <xf numFmtId="0" fontId="41" fillId="11" borderId="6" xfId="0" applyFont="1" applyFill="1" applyBorder="1" applyAlignment="1">
      <alignment horizontal="center"/>
    </xf>
    <xf numFmtId="0" fontId="0" fillId="19" borderId="0" xfId="0" applyFill="1" applyAlignment="1">
      <alignment horizontal="center"/>
    </xf>
    <xf numFmtId="0" fontId="42" fillId="0" borderId="0" xfId="0" applyFont="1" applyAlignment="1">
      <alignment horizontal="center"/>
    </xf>
    <xf numFmtId="0" fontId="42" fillId="11" borderId="6" xfId="0" applyFont="1" applyFill="1" applyBorder="1" applyAlignment="1">
      <alignment horizontal="center"/>
    </xf>
    <xf numFmtId="0" fontId="42" fillId="0" borderId="6" xfId="0" applyFont="1" applyBorder="1" applyAlignment="1">
      <alignment horizontal="center"/>
    </xf>
    <xf numFmtId="0" fontId="0" fillId="7" borderId="0" xfId="0" applyFill="1" applyAlignment="1">
      <alignment horizontal="center"/>
    </xf>
    <xf numFmtId="0" fontId="41" fillId="13" borderId="6" xfId="0" applyFont="1" applyFill="1" applyBorder="1" applyAlignment="1">
      <alignment horizontal="center"/>
    </xf>
    <xf numFmtId="0" fontId="40" fillId="11" borderId="6" xfId="0" applyFont="1" applyFill="1" applyBorder="1" applyAlignment="1">
      <alignment horizontal="center"/>
    </xf>
    <xf numFmtId="0" fontId="44" fillId="19" borderId="0" xfId="0" applyFont="1" applyFill="1"/>
    <xf numFmtId="0" fontId="8" fillId="36" borderId="13" xfId="0" applyFont="1" applyFill="1" applyBorder="1" applyAlignment="1">
      <alignment horizontal="right"/>
    </xf>
    <xf numFmtId="0" fontId="8" fillId="36" borderId="13" xfId="0" applyFont="1" applyFill="1" applyBorder="1" applyAlignment="1" applyProtection="1">
      <alignment horizontal="right"/>
      <protection locked="0"/>
    </xf>
    <xf numFmtId="0" fontId="8" fillId="36" borderId="14" xfId="0" applyFont="1" applyFill="1" applyBorder="1" applyAlignment="1" applyProtection="1">
      <alignment horizontal="right"/>
      <protection locked="0"/>
    </xf>
    <xf numFmtId="0" fontId="8" fillId="36" borderId="0" xfId="0" applyFont="1" applyFill="1" applyBorder="1" applyAlignment="1" applyProtection="1">
      <alignment horizontal="right"/>
      <protection locked="0"/>
    </xf>
    <xf numFmtId="0" fontId="8" fillId="36" borderId="16" xfId="0" applyFont="1" applyFill="1" applyBorder="1" applyAlignment="1" applyProtection="1">
      <alignment horizontal="right"/>
      <protection locked="0"/>
    </xf>
    <xf numFmtId="0" fontId="8" fillId="36" borderId="0" xfId="0" applyFont="1" applyFill="1" applyBorder="1" applyAlignment="1">
      <alignment horizontal="center"/>
    </xf>
    <xf numFmtId="0" fontId="8" fillId="7" borderId="0" xfId="0" applyFont="1" applyFill="1" applyAlignment="1">
      <alignment horizontal="right"/>
    </xf>
    <xf numFmtId="0" fontId="8" fillId="7" borderId="0" xfId="0" applyFont="1" applyFill="1" applyAlignment="1" applyProtection="1">
      <alignment horizontal="right"/>
      <protection locked="0"/>
    </xf>
    <xf numFmtId="0" fontId="23" fillId="7" borderId="0" xfId="0" applyFont="1" applyFill="1" applyAlignment="1" applyProtection="1">
      <alignment horizontal="right"/>
      <protection locked="0"/>
    </xf>
    <xf numFmtId="0" fontId="8" fillId="19" borderId="12" xfId="0" applyFont="1" applyFill="1" applyBorder="1" applyAlignment="1">
      <alignment horizontal="right"/>
    </xf>
    <xf numFmtId="0" fontId="8" fillId="19" borderId="14" xfId="0" applyFont="1" applyFill="1" applyBorder="1" applyAlignment="1">
      <alignment horizontal="right"/>
    </xf>
    <xf numFmtId="0" fontId="8" fillId="19" borderId="15" xfId="0" applyFont="1" applyFill="1" applyBorder="1" applyAlignment="1">
      <alignment horizontal="right"/>
    </xf>
    <xf numFmtId="0" fontId="8" fillId="19" borderId="16" xfId="0" applyFont="1" applyFill="1" applyBorder="1" applyAlignment="1">
      <alignment horizontal="right"/>
    </xf>
    <xf numFmtId="0" fontId="8" fillId="19" borderId="17" xfId="0" applyFont="1" applyFill="1" applyBorder="1" applyAlignment="1">
      <alignment horizontal="right"/>
    </xf>
    <xf numFmtId="0" fontId="8" fillId="5" borderId="24" xfId="0" applyFont="1" applyFill="1" applyBorder="1" applyAlignment="1">
      <alignment horizontal="right"/>
    </xf>
    <xf numFmtId="0" fontId="8" fillId="5" borderId="25" xfId="0" applyFont="1" applyFill="1" applyBorder="1" applyAlignment="1">
      <alignment horizontal="right"/>
    </xf>
    <xf numFmtId="0" fontId="8" fillId="5" borderId="26" xfId="0" applyFont="1" applyFill="1" applyBorder="1" applyAlignment="1">
      <alignment horizontal="right"/>
    </xf>
    <xf numFmtId="0" fontId="8" fillId="5" borderId="23" xfId="0" applyFont="1" applyFill="1" applyBorder="1" applyAlignment="1">
      <alignment horizontal="right"/>
    </xf>
    <xf numFmtId="0" fontId="8" fillId="5" borderId="27" xfId="0" applyFont="1" applyFill="1" applyBorder="1" applyAlignment="1">
      <alignment horizontal="right"/>
    </xf>
    <xf numFmtId="0" fontId="8" fillId="5" borderId="21" xfId="0" applyFont="1" applyFill="1" applyBorder="1" applyAlignment="1">
      <alignment horizontal="right"/>
    </xf>
    <xf numFmtId="0" fontId="8" fillId="5" borderId="28" xfId="0" applyFont="1" applyFill="1" applyBorder="1" applyAlignment="1">
      <alignment horizontal="right"/>
    </xf>
    <xf numFmtId="0" fontId="8" fillId="16" borderId="27" xfId="0" applyFont="1" applyFill="1" applyBorder="1" applyAlignment="1">
      <alignment horizontal="right"/>
    </xf>
    <xf numFmtId="0" fontId="8" fillId="16" borderId="28" xfId="0" applyFont="1" applyFill="1" applyBorder="1" applyAlignment="1">
      <alignment horizontal="right"/>
    </xf>
    <xf numFmtId="0" fontId="8" fillId="15" borderId="12" xfId="0" applyFont="1" applyFill="1" applyBorder="1" applyAlignment="1">
      <alignment horizontal="right"/>
    </xf>
    <xf numFmtId="0" fontId="8" fillId="15" borderId="13" xfId="0" applyFont="1" applyFill="1" applyBorder="1" applyAlignment="1">
      <alignment horizontal="right"/>
    </xf>
    <xf numFmtId="0" fontId="8" fillId="15" borderId="13" xfId="0" applyFont="1" applyFill="1" applyBorder="1" applyAlignment="1" applyProtection="1">
      <alignment horizontal="right"/>
      <protection locked="0"/>
    </xf>
    <xf numFmtId="0" fontId="8" fillId="15" borderId="15" xfId="0" applyFont="1" applyFill="1" applyBorder="1" applyAlignment="1">
      <alignment horizontal="right"/>
    </xf>
    <xf numFmtId="0" fontId="8" fillId="15" borderId="0" xfId="0" applyFont="1" applyFill="1" applyBorder="1" applyAlignment="1">
      <alignment horizontal="right"/>
    </xf>
    <xf numFmtId="0" fontId="8" fillId="15" borderId="0" xfId="0" applyFont="1" applyFill="1" applyBorder="1" applyAlignment="1" applyProtection="1">
      <alignment horizontal="right"/>
      <protection locked="0"/>
    </xf>
    <xf numFmtId="0" fontId="8" fillId="15" borderId="17" xfId="0" applyFont="1" applyFill="1" applyBorder="1" applyAlignment="1">
      <alignment horizontal="right"/>
    </xf>
    <xf numFmtId="0" fontId="8" fillId="15" borderId="18" xfId="0" applyFont="1" applyFill="1" applyBorder="1" applyAlignment="1">
      <alignment horizontal="right"/>
    </xf>
    <xf numFmtId="0" fontId="8" fillId="15" borderId="18" xfId="0" applyFont="1" applyFill="1" applyBorder="1" applyAlignment="1" applyProtection="1">
      <alignment horizontal="right"/>
      <protection locked="0"/>
    </xf>
    <xf numFmtId="0" fontId="8" fillId="16" borderId="26" xfId="0" applyFont="1" applyFill="1" applyBorder="1" applyAlignment="1">
      <alignment horizontal="right"/>
    </xf>
    <xf numFmtId="0" fontId="8" fillId="16" borderId="23" xfId="0" applyFont="1" applyFill="1" applyBorder="1" applyAlignment="1">
      <alignment horizontal="right"/>
    </xf>
    <xf numFmtId="0" fontId="8" fillId="5" borderId="0" xfId="0" applyFont="1" applyFill="1" applyBorder="1" applyAlignment="1" applyProtection="1">
      <alignment horizontal="right"/>
      <protection locked="0"/>
    </xf>
    <xf numFmtId="0" fontId="8" fillId="5" borderId="23" xfId="0" applyFont="1" applyFill="1" applyBorder="1" applyAlignment="1">
      <alignment horizontal="center"/>
    </xf>
    <xf numFmtId="0" fontId="8" fillId="8" borderId="0" xfId="0" applyFont="1" applyFill="1" applyBorder="1" applyAlignment="1">
      <alignment horizontal="right"/>
    </xf>
    <xf numFmtId="0" fontId="8" fillId="8" borderId="0" xfId="0" applyFont="1" applyFill="1" applyBorder="1" applyAlignment="1" applyProtection="1">
      <alignment horizontal="right"/>
      <protection locked="0"/>
    </xf>
    <xf numFmtId="0" fontId="8" fillId="18" borderId="0" xfId="0" applyFont="1" applyFill="1" applyBorder="1" applyAlignment="1">
      <alignment horizontal="right"/>
    </xf>
    <xf numFmtId="0" fontId="8" fillId="36" borderId="36" xfId="0" applyFont="1" applyFill="1" applyBorder="1" applyAlignment="1">
      <alignment horizontal="right"/>
    </xf>
    <xf numFmtId="0" fontId="8" fillId="36" borderId="27" xfId="0" applyFont="1" applyFill="1" applyBorder="1" applyAlignment="1">
      <alignment horizontal="right"/>
    </xf>
    <xf numFmtId="0" fontId="8" fillId="36" borderId="21" xfId="0" applyFont="1" applyFill="1" applyBorder="1" applyAlignment="1">
      <alignment horizontal="right"/>
    </xf>
    <xf numFmtId="0" fontId="8" fillId="36" borderId="21" xfId="0" applyFont="1" applyFill="1" applyBorder="1" applyAlignment="1" applyProtection="1">
      <alignment horizontal="right"/>
      <protection locked="0"/>
    </xf>
    <xf numFmtId="0" fontId="8" fillId="36" borderId="22" xfId="0" applyFont="1" applyFill="1" applyBorder="1" applyAlignment="1" applyProtection="1">
      <alignment horizontal="right"/>
      <protection locked="0"/>
    </xf>
    <xf numFmtId="0" fontId="8" fillId="5" borderId="28" xfId="0" applyFont="1" applyFill="1" applyBorder="1" applyAlignment="1">
      <alignment horizontal="center"/>
    </xf>
    <xf numFmtId="0" fontId="8" fillId="15" borderId="14" xfId="0" applyFont="1" applyFill="1" applyBorder="1" applyAlignment="1">
      <alignment horizontal="right"/>
    </xf>
    <xf numFmtId="0" fontId="8" fillId="15" borderId="16" xfId="0" applyFont="1" applyFill="1" applyBorder="1" applyAlignment="1">
      <alignment horizontal="right"/>
    </xf>
    <xf numFmtId="0" fontId="8" fillId="15" borderId="19" xfId="0" applyFont="1" applyFill="1" applyBorder="1" applyAlignment="1">
      <alignment horizontal="right"/>
    </xf>
    <xf numFmtId="0" fontId="8" fillId="5" borderId="21" xfId="0" applyFont="1" applyFill="1" applyBorder="1" applyAlignment="1" applyProtection="1">
      <alignment horizontal="right"/>
      <protection locked="0"/>
    </xf>
    <xf numFmtId="0" fontId="8" fillId="4" borderId="26" xfId="0" applyFont="1" applyFill="1" applyBorder="1" applyAlignment="1">
      <alignment horizontal="right"/>
    </xf>
    <xf numFmtId="0" fontId="8" fillId="4" borderId="0" xfId="0" applyFont="1" applyFill="1" applyBorder="1" applyAlignment="1">
      <alignment horizontal="right"/>
    </xf>
    <xf numFmtId="0" fontId="8" fillId="4" borderId="0" xfId="0" applyFont="1" applyFill="1" applyBorder="1" applyAlignment="1" applyProtection="1">
      <alignment horizontal="right"/>
      <protection locked="0"/>
    </xf>
    <xf numFmtId="0" fontId="8" fillId="4" borderId="27" xfId="0" applyFont="1" applyFill="1" applyBorder="1" applyAlignment="1">
      <alignment horizontal="right"/>
    </xf>
    <xf numFmtId="0" fontId="8" fillId="4" borderId="21" xfId="0" applyFont="1" applyFill="1" applyBorder="1" applyAlignment="1">
      <alignment horizontal="right"/>
    </xf>
    <xf numFmtId="0" fontId="8" fillId="11" borderId="0" xfId="0" applyFont="1" applyFill="1" applyBorder="1" applyAlignment="1">
      <alignment horizontal="right"/>
    </xf>
    <xf numFmtId="0" fontId="8" fillId="11" borderId="0" xfId="0" applyFont="1" applyFill="1" applyBorder="1" applyAlignment="1" applyProtection="1">
      <alignment horizontal="right"/>
      <protection locked="0"/>
    </xf>
    <xf numFmtId="0" fontId="8" fillId="4" borderId="28" xfId="0" applyFont="1" applyFill="1" applyBorder="1" applyAlignment="1">
      <alignment horizontal="right"/>
    </xf>
    <xf numFmtId="0" fontId="8" fillId="3" borderId="15" xfId="0" applyFont="1" applyFill="1" applyBorder="1" applyAlignment="1">
      <alignment horizontal="right"/>
    </xf>
    <xf numFmtId="0" fontId="8" fillId="3" borderId="0" xfId="0" applyFont="1" applyFill="1" applyBorder="1" applyAlignment="1">
      <alignment horizontal="right"/>
    </xf>
    <xf numFmtId="0" fontId="8" fillId="3" borderId="0" xfId="0" applyFont="1" applyFill="1" applyBorder="1" applyAlignment="1" applyProtection="1">
      <alignment horizontal="right"/>
      <protection locked="0"/>
    </xf>
    <xf numFmtId="0" fontId="8" fillId="3" borderId="18" xfId="0" applyFont="1" applyFill="1" applyBorder="1" applyAlignment="1">
      <alignment horizontal="right"/>
    </xf>
    <xf numFmtId="0" fontId="8" fillId="11" borderId="15" xfId="0" applyFont="1" applyFill="1" applyBorder="1" applyAlignment="1">
      <alignment horizontal="right"/>
    </xf>
    <xf numFmtId="0" fontId="8" fillId="5" borderId="36" xfId="0" applyFont="1" applyFill="1" applyBorder="1" applyAlignment="1">
      <alignment horizontal="right"/>
    </xf>
    <xf numFmtId="0" fontId="8" fillId="5" borderId="13" xfId="0" applyFont="1" applyFill="1" applyBorder="1" applyAlignment="1">
      <alignment horizontal="right"/>
    </xf>
    <xf numFmtId="0" fontId="8" fillId="5" borderId="43" xfId="0" applyFont="1" applyFill="1" applyBorder="1" applyAlignment="1">
      <alignment horizontal="right"/>
    </xf>
    <xf numFmtId="0" fontId="8" fillId="5" borderId="15" xfId="0" applyFont="1" applyFill="1" applyBorder="1" applyAlignment="1">
      <alignment horizontal="right"/>
    </xf>
    <xf numFmtId="0" fontId="8" fillId="5" borderId="16" xfId="0" applyFont="1" applyFill="1" applyBorder="1" applyAlignment="1">
      <alignment horizontal="right"/>
    </xf>
    <xf numFmtId="0" fontId="8" fillId="19" borderId="0" xfId="0" applyFont="1" applyFill="1" applyBorder="1" applyAlignment="1">
      <alignment horizontal="right"/>
    </xf>
    <xf numFmtId="0" fontId="8" fillId="22" borderId="0" xfId="0" applyFont="1" applyFill="1" applyBorder="1" applyAlignment="1">
      <alignment horizontal="right"/>
    </xf>
    <xf numFmtId="0" fontId="8" fillId="11" borderId="21" xfId="0" applyFont="1" applyFill="1" applyBorder="1" applyAlignment="1">
      <alignment horizontal="right"/>
    </xf>
    <xf numFmtId="0" fontId="8" fillId="6" borderId="0" xfId="0" applyFont="1" applyFill="1" applyBorder="1" applyAlignment="1" applyProtection="1">
      <alignment horizontal="right"/>
      <protection locked="0"/>
    </xf>
    <xf numFmtId="0" fontId="8" fillId="11" borderId="13" xfId="0" applyFont="1" applyFill="1" applyBorder="1" applyAlignment="1">
      <alignment horizontal="right"/>
    </xf>
    <xf numFmtId="0" fontId="0" fillId="6" borderId="13" xfId="0" applyFill="1" applyBorder="1"/>
    <xf numFmtId="0" fontId="0" fillId="6" borderId="16" xfId="0" applyFill="1" applyBorder="1"/>
    <xf numFmtId="0" fontId="8" fillId="6" borderId="16" xfId="0" applyFont="1" applyFill="1" applyBorder="1" applyAlignment="1" applyProtection="1">
      <alignment horizontal="right"/>
      <protection locked="0"/>
    </xf>
    <xf numFmtId="0" fontId="8" fillId="20" borderId="13" xfId="0" applyFont="1" applyFill="1" applyBorder="1" applyAlignment="1">
      <alignment horizontal="right"/>
    </xf>
    <xf numFmtId="0" fontId="0" fillId="20" borderId="15" xfId="0" applyFill="1" applyBorder="1"/>
    <xf numFmtId="0" fontId="8" fillId="20" borderId="0" xfId="0" applyFont="1" applyFill="1" applyBorder="1" applyAlignment="1" applyProtection="1">
      <alignment horizontal="right"/>
      <protection locked="0"/>
    </xf>
    <xf numFmtId="0" fontId="8" fillId="20" borderId="16" xfId="0" applyFont="1" applyFill="1" applyBorder="1" applyAlignment="1" applyProtection="1">
      <alignment horizontal="right"/>
      <protection locked="0"/>
    </xf>
    <xf numFmtId="0" fontId="0" fillId="20" borderId="17" xfId="0" applyFill="1" applyBorder="1"/>
    <xf numFmtId="0" fontId="0" fillId="20" borderId="18" xfId="0" applyFill="1" applyBorder="1"/>
    <xf numFmtId="0" fontId="8" fillId="20" borderId="18" xfId="0" applyFont="1" applyFill="1" applyBorder="1" applyAlignment="1" applyProtection="1">
      <alignment horizontal="right"/>
      <protection locked="0"/>
    </xf>
    <xf numFmtId="0" fontId="8" fillId="20" borderId="19" xfId="0" applyFont="1" applyFill="1" applyBorder="1" applyAlignment="1" applyProtection="1">
      <alignment horizontal="right"/>
      <protection locked="0"/>
    </xf>
    <xf numFmtId="0" fontId="8" fillId="5" borderId="23" xfId="0" applyFont="1" applyFill="1" applyBorder="1" applyAlignment="1" applyProtection="1">
      <alignment horizontal="right"/>
      <protection locked="0"/>
    </xf>
    <xf numFmtId="0" fontId="8" fillId="6" borderId="26" xfId="0" applyFont="1" applyFill="1" applyBorder="1" applyAlignment="1">
      <alignment horizontal="right"/>
    </xf>
    <xf numFmtId="0" fontId="8" fillId="6" borderId="0" xfId="0" applyFont="1" applyFill="1" applyBorder="1" applyAlignment="1">
      <alignment horizontal="right"/>
    </xf>
    <xf numFmtId="0" fontId="8" fillId="6" borderId="23" xfId="0" applyFont="1" applyFill="1" applyBorder="1" applyAlignment="1" applyProtection="1">
      <alignment horizontal="right"/>
      <protection locked="0"/>
    </xf>
    <xf numFmtId="0" fontId="8" fillId="6" borderId="21" xfId="0" applyFont="1" applyFill="1" applyBorder="1" applyAlignment="1">
      <alignment horizontal="right"/>
    </xf>
    <xf numFmtId="0" fontId="8" fillId="6" borderId="21" xfId="0" applyFont="1" applyFill="1" applyBorder="1" applyAlignment="1" applyProtection="1">
      <alignment horizontal="right"/>
      <protection locked="0"/>
    </xf>
    <xf numFmtId="0" fontId="8" fillId="11" borderId="16" xfId="0" applyFont="1" applyFill="1" applyBorder="1" applyAlignment="1">
      <alignment horizontal="right"/>
    </xf>
    <xf numFmtId="0" fontId="8" fillId="6" borderId="23" xfId="0" applyFont="1" applyFill="1" applyBorder="1" applyAlignment="1">
      <alignment horizontal="right"/>
    </xf>
    <xf numFmtId="0" fontId="8" fillId="3" borderId="31" xfId="0" applyFont="1" applyFill="1" applyBorder="1" applyAlignment="1">
      <alignment horizontal="right"/>
    </xf>
    <xf numFmtId="0" fontId="8" fillId="3" borderId="25" xfId="0" applyFont="1" applyFill="1" applyBorder="1" applyAlignment="1">
      <alignment horizontal="right"/>
    </xf>
    <xf numFmtId="0" fontId="8" fillId="3" borderId="23" xfId="0" applyFont="1" applyFill="1" applyBorder="1" applyAlignment="1">
      <alignment horizontal="right"/>
    </xf>
    <xf numFmtId="0" fontId="8" fillId="3" borderId="23" xfId="0" applyFont="1" applyFill="1" applyBorder="1" applyAlignment="1" applyProtection="1">
      <alignment horizontal="right"/>
      <protection locked="0"/>
    </xf>
    <xf numFmtId="0" fontId="8" fillId="3" borderId="21" xfId="0" applyFont="1" applyFill="1" applyBorder="1" applyAlignment="1">
      <alignment horizontal="right"/>
    </xf>
    <xf numFmtId="0" fontId="8" fillId="3" borderId="24" xfId="0" applyFont="1" applyFill="1" applyBorder="1" applyAlignment="1">
      <alignment horizontal="right"/>
    </xf>
    <xf numFmtId="0" fontId="8" fillId="3" borderId="26" xfId="0" applyFont="1" applyFill="1" applyBorder="1" applyAlignment="1" applyProtection="1">
      <alignment horizontal="right"/>
      <protection locked="0"/>
    </xf>
    <xf numFmtId="0" fontId="8" fillId="3" borderId="26" xfId="0" applyFont="1" applyFill="1" applyBorder="1" applyAlignment="1">
      <alignment horizontal="right"/>
    </xf>
    <xf numFmtId="0" fontId="8" fillId="3" borderId="27" xfId="0" applyFont="1" applyFill="1" applyBorder="1" applyAlignment="1">
      <alignment horizontal="right"/>
    </xf>
    <xf numFmtId="0" fontId="8" fillId="20" borderId="12" xfId="0" applyFont="1" applyFill="1" applyBorder="1" applyAlignment="1">
      <alignment horizontal="right"/>
    </xf>
    <xf numFmtId="0" fontId="8" fillId="20" borderId="14" xfId="0" applyFont="1" applyFill="1" applyBorder="1" applyAlignment="1">
      <alignment horizontal="right"/>
    </xf>
    <xf numFmtId="0" fontId="8" fillId="20" borderId="15" xfId="0" applyFont="1" applyFill="1" applyBorder="1" applyAlignment="1">
      <alignment horizontal="right"/>
    </xf>
    <xf numFmtId="0" fontId="8" fillId="20" borderId="16" xfId="0" applyFont="1" applyFill="1" applyBorder="1" applyAlignment="1">
      <alignment horizontal="right"/>
    </xf>
    <xf numFmtId="0" fontId="8" fillId="20" borderId="17" xfId="0" applyFont="1" applyFill="1" applyBorder="1" applyAlignment="1">
      <alignment horizontal="right"/>
    </xf>
    <xf numFmtId="0" fontId="8" fillId="20" borderId="18" xfId="0" applyFont="1" applyFill="1" applyBorder="1" applyAlignment="1">
      <alignment horizontal="right"/>
    </xf>
    <xf numFmtId="0" fontId="8" fillId="20" borderId="19" xfId="0" applyFont="1" applyFill="1" applyBorder="1" applyAlignment="1">
      <alignment horizontal="right"/>
    </xf>
    <xf numFmtId="0" fontId="8" fillId="4" borderId="36" xfId="0" applyFont="1" applyFill="1" applyBorder="1" applyAlignment="1">
      <alignment horizontal="right"/>
    </xf>
    <xf numFmtId="0" fontId="8" fillId="4" borderId="13" xfId="0" applyFont="1" applyFill="1" applyBorder="1" applyAlignment="1">
      <alignment horizontal="right"/>
    </xf>
    <xf numFmtId="0" fontId="8" fillId="4" borderId="14" xfId="0" applyFont="1" applyFill="1" applyBorder="1" applyAlignment="1">
      <alignment horizontal="right"/>
    </xf>
    <xf numFmtId="0" fontId="8" fillId="4" borderId="16" xfId="0" applyFont="1" applyFill="1" applyBorder="1" applyAlignment="1">
      <alignment horizontal="right"/>
    </xf>
    <xf numFmtId="0" fontId="8" fillId="4" borderId="16" xfId="0" applyFont="1" applyFill="1" applyBorder="1" applyAlignment="1" applyProtection="1">
      <alignment horizontal="right"/>
      <protection locked="0"/>
    </xf>
    <xf numFmtId="0" fontId="8" fillId="4" borderId="22" xfId="0" applyFont="1" applyFill="1" applyBorder="1" applyAlignment="1">
      <alignment horizontal="right"/>
    </xf>
    <xf numFmtId="0" fontId="8" fillId="5" borderId="18" xfId="0" applyFont="1" applyFill="1" applyBorder="1" applyAlignment="1">
      <alignment horizontal="right"/>
    </xf>
    <xf numFmtId="0" fontId="8" fillId="5" borderId="17" xfId="0" applyFont="1" applyFill="1" applyBorder="1" applyAlignment="1">
      <alignment horizontal="right"/>
    </xf>
    <xf numFmtId="0" fontId="23" fillId="6" borderId="0" xfId="0" applyFont="1" applyFill="1" applyBorder="1" applyAlignment="1" applyProtection="1">
      <alignment horizontal="right"/>
      <protection locked="0"/>
    </xf>
    <xf numFmtId="0" fontId="8" fillId="6" borderId="27" xfId="0" applyFont="1" applyFill="1" applyBorder="1" applyAlignment="1">
      <alignment horizontal="right"/>
    </xf>
    <xf numFmtId="0" fontId="8" fillId="6" borderId="28" xfId="0" applyFont="1" applyFill="1" applyBorder="1" applyAlignment="1">
      <alignment horizontal="right"/>
    </xf>
    <xf numFmtId="0" fontId="8" fillId="8" borderId="23" xfId="0" applyFont="1" applyFill="1" applyBorder="1" applyAlignment="1" applyProtection="1">
      <alignment horizontal="right"/>
      <protection locked="0"/>
    </xf>
    <xf numFmtId="0" fontId="8" fillId="6" borderId="26" xfId="0" applyFont="1" applyFill="1" applyBorder="1" applyAlignment="1" applyProtection="1">
      <alignment horizontal="right"/>
      <protection locked="0"/>
    </xf>
    <xf numFmtId="0" fontId="0" fillId="0" borderId="14" xfId="0" applyBorder="1"/>
    <xf numFmtId="0" fontId="0" fillId="0" borderId="16" xfId="0" applyBorder="1"/>
    <xf numFmtId="0" fontId="0" fillId="22" borderId="16" xfId="0" applyFill="1" applyBorder="1"/>
    <xf numFmtId="0" fontId="0" fillId="18" borderId="16" xfId="0" applyFill="1" applyBorder="1"/>
    <xf numFmtId="0" fontId="0" fillId="0" borderId="19" xfId="0" applyBorder="1"/>
    <xf numFmtId="0" fontId="0" fillId="4" borderId="12" xfId="0" applyFill="1" applyBorder="1"/>
    <xf numFmtId="0" fontId="0" fillId="4" borderId="13" xfId="0" applyFill="1" applyBorder="1"/>
    <xf numFmtId="0" fontId="0" fillId="4" borderId="14" xfId="0" applyFill="1" applyBorder="1"/>
    <xf numFmtId="0" fontId="0" fillId="4" borderId="17" xfId="0" applyFill="1" applyBorder="1"/>
    <xf numFmtId="0" fontId="0" fillId="4" borderId="18" xfId="0" applyFill="1" applyBorder="1"/>
    <xf numFmtId="0" fontId="0" fillId="4" borderId="15" xfId="0" applyFill="1" applyBorder="1"/>
    <xf numFmtId="0" fontId="0" fillId="4" borderId="44" xfId="0" applyFill="1" applyBorder="1"/>
    <xf numFmtId="0" fontId="0" fillId="4" borderId="22" xfId="0" applyFill="1" applyBorder="1"/>
    <xf numFmtId="0" fontId="0" fillId="20" borderId="44" xfId="0" applyFill="1" applyBorder="1"/>
    <xf numFmtId="0" fontId="0" fillId="36" borderId="12" xfId="0" applyFill="1" applyBorder="1"/>
    <xf numFmtId="0" fontId="0" fillId="36" borderId="13" xfId="0" applyFill="1" applyBorder="1"/>
    <xf numFmtId="0" fontId="0" fillId="36" borderId="14" xfId="0" applyFill="1" applyBorder="1"/>
    <xf numFmtId="0" fontId="0" fillId="36" borderId="15" xfId="0" applyFill="1" applyBorder="1"/>
    <xf numFmtId="0" fontId="0" fillId="19" borderId="14" xfId="0" applyFill="1" applyBorder="1"/>
    <xf numFmtId="0" fontId="0" fillId="19" borderId="17" xfId="0" applyFill="1" applyBorder="1"/>
    <xf numFmtId="0" fontId="0" fillId="19" borderId="18" xfId="0" applyFill="1" applyBorder="1"/>
    <xf numFmtId="0" fontId="0" fillId="19" borderId="19" xfId="0" applyFill="1" applyBorder="1"/>
    <xf numFmtId="0" fontId="0" fillId="11" borderId="47" xfId="0" applyFill="1" applyBorder="1"/>
    <xf numFmtId="0" fontId="0" fillId="11" borderId="48" xfId="0" applyFill="1" applyBorder="1"/>
    <xf numFmtId="0" fontId="8" fillId="22" borderId="0" xfId="0" applyFont="1" applyFill="1" applyBorder="1" applyAlignment="1" applyProtection="1">
      <alignment horizontal="right"/>
      <protection locked="0"/>
    </xf>
    <xf numFmtId="0" fontId="0" fillId="23" borderId="12" xfId="0" applyFill="1" applyBorder="1"/>
    <xf numFmtId="0" fontId="8" fillId="23" borderId="13" xfId="0" applyFont="1" applyFill="1" applyBorder="1" applyAlignment="1">
      <alignment horizontal="right"/>
    </xf>
    <xf numFmtId="0" fontId="0" fillId="23" borderId="13" xfId="0" applyFill="1" applyBorder="1"/>
    <xf numFmtId="0" fontId="8" fillId="23" borderId="14" xfId="0" applyFont="1" applyFill="1" applyBorder="1" applyAlignment="1">
      <alignment horizontal="right"/>
    </xf>
    <xf numFmtId="0" fontId="0" fillId="23" borderId="15" xfId="0" applyFill="1" applyBorder="1"/>
    <xf numFmtId="0" fontId="8" fillId="23" borderId="0" xfId="0" applyFont="1" applyFill="1" applyBorder="1" applyAlignment="1">
      <alignment horizontal="right"/>
    </xf>
    <xf numFmtId="0" fontId="8" fillId="23" borderId="16" xfId="0" applyFont="1" applyFill="1" applyBorder="1" applyAlignment="1">
      <alignment horizontal="right"/>
    </xf>
    <xf numFmtId="0" fontId="8" fillId="23" borderId="0" xfId="0" applyFont="1" applyFill="1" applyBorder="1" applyAlignment="1" applyProtection="1">
      <alignment horizontal="right"/>
      <protection locked="0"/>
    </xf>
    <xf numFmtId="0" fontId="0" fillId="23" borderId="17" xfId="0" applyFill="1" applyBorder="1"/>
    <xf numFmtId="0" fontId="8" fillId="23" borderId="18" xfId="0" applyFont="1" applyFill="1" applyBorder="1" applyAlignment="1">
      <alignment horizontal="right"/>
    </xf>
    <xf numFmtId="0" fontId="0" fillId="23" borderId="18" xfId="0" applyFill="1" applyBorder="1"/>
    <xf numFmtId="0" fontId="8" fillId="23" borderId="19" xfId="0" applyFont="1" applyFill="1" applyBorder="1" applyAlignment="1">
      <alignment horizontal="right"/>
    </xf>
    <xf numFmtId="0" fontId="0" fillId="5" borderId="12" xfId="0" applyFill="1" applyBorder="1"/>
    <xf numFmtId="0" fontId="0" fillId="5" borderId="13" xfId="0" applyFill="1" applyBorder="1"/>
    <xf numFmtId="0" fontId="0" fillId="5" borderId="14" xfId="0" applyFill="1" applyBorder="1"/>
    <xf numFmtId="0" fontId="0" fillId="5" borderId="16" xfId="0" applyFill="1" applyBorder="1"/>
    <xf numFmtId="0" fontId="0" fillId="5" borderId="15" xfId="0" applyFill="1" applyBorder="1"/>
    <xf numFmtId="0" fontId="21" fillId="5" borderId="16" xfId="0" applyFont="1" applyFill="1" applyBorder="1" applyAlignment="1" applyProtection="1">
      <alignment horizontal="center"/>
      <protection locked="0"/>
    </xf>
    <xf numFmtId="0" fontId="0" fillId="5" borderId="17" xfId="0" applyFill="1" applyBorder="1"/>
    <xf numFmtId="0" fontId="0" fillId="5" borderId="18" xfId="0" applyFill="1" applyBorder="1"/>
    <xf numFmtId="0" fontId="0" fillId="5" borderId="19" xfId="0" applyFill="1" applyBorder="1"/>
    <xf numFmtId="0" fontId="8" fillId="5" borderId="14" xfId="0" applyFont="1" applyFill="1" applyBorder="1" applyAlignment="1">
      <alignment horizontal="right"/>
    </xf>
    <xf numFmtId="0" fontId="8" fillId="23" borderId="43" xfId="0" applyFont="1" applyFill="1" applyBorder="1" applyAlignment="1">
      <alignment horizontal="right"/>
    </xf>
    <xf numFmtId="0" fontId="8" fillId="23" borderId="23" xfId="0" applyFont="1" applyFill="1" applyBorder="1" applyAlignment="1">
      <alignment horizontal="right"/>
    </xf>
    <xf numFmtId="0" fontId="0" fillId="19" borderId="15" xfId="0" applyFill="1" applyBorder="1"/>
    <xf numFmtId="0" fontId="0" fillId="19" borderId="16" xfId="0" applyFill="1" applyBorder="1"/>
    <xf numFmtId="0" fontId="0" fillId="36" borderId="1" xfId="0" applyFill="1" applyBorder="1"/>
    <xf numFmtId="0" fontId="0" fillId="36" borderId="2" xfId="0" applyFill="1" applyBorder="1"/>
    <xf numFmtId="0" fontId="0" fillId="36" borderId="3" xfId="0" applyFill="1" applyBorder="1"/>
    <xf numFmtId="0" fontId="8" fillId="23" borderId="16" xfId="0" applyFont="1" applyFill="1" applyBorder="1" applyAlignment="1" applyProtection="1">
      <alignment horizontal="right"/>
      <protection locked="0"/>
    </xf>
    <xf numFmtId="0" fontId="23" fillId="23" borderId="16" xfId="0" applyFont="1" applyFill="1" applyBorder="1" applyAlignment="1" applyProtection="1">
      <alignment horizontal="right"/>
      <protection locked="0"/>
    </xf>
    <xf numFmtId="0" fontId="0" fillId="11" borderId="20" xfId="0" applyFill="1" applyBorder="1"/>
    <xf numFmtId="0" fontId="21" fillId="11" borderId="44" xfId="0" applyFont="1" applyFill="1" applyBorder="1" applyAlignment="1" applyProtection="1">
      <alignment horizontal="right"/>
      <protection locked="0"/>
    </xf>
    <xf numFmtId="0" fontId="21" fillId="11" borderId="15" xfId="0" applyFont="1" applyFill="1" applyBorder="1" applyAlignment="1" applyProtection="1">
      <alignment horizontal="center"/>
      <protection locked="0"/>
    </xf>
    <xf numFmtId="0" fontId="0" fillId="11" borderId="49" xfId="0" applyFill="1" applyBorder="1"/>
    <xf numFmtId="0" fontId="0" fillId="11" borderId="50" xfId="0" applyFill="1" applyBorder="1"/>
    <xf numFmtId="0" fontId="0" fillId="5" borderId="46" xfId="0" applyFill="1" applyBorder="1"/>
    <xf numFmtId="0" fontId="0" fillId="5" borderId="47" xfId="0" applyFill="1" applyBorder="1"/>
    <xf numFmtId="0" fontId="0" fillId="5" borderId="48" xfId="0" applyFill="1" applyBorder="1"/>
    <xf numFmtId="0" fontId="0" fillId="18" borderId="47" xfId="0" applyFill="1" applyBorder="1"/>
    <xf numFmtId="0" fontId="21" fillId="11" borderId="15" xfId="0" applyFont="1" applyFill="1" applyBorder="1" applyAlignment="1" applyProtection="1">
      <alignment horizontal="right"/>
      <protection locked="0"/>
    </xf>
    <xf numFmtId="0" fontId="0" fillId="11" borderId="1" xfId="0" applyFill="1" applyBorder="1"/>
    <xf numFmtId="0" fontId="0" fillId="11" borderId="3" xfId="0" applyFill="1" applyBorder="1"/>
    <xf numFmtId="0" fontId="0" fillId="0" borderId="0" xfId="0"/>
    <xf numFmtId="0" fontId="0" fillId="0" borderId="6" xfId="0" applyBorder="1"/>
    <xf numFmtId="0" fontId="0" fillId="36" borderId="16" xfId="0" applyFill="1" applyBorder="1"/>
    <xf numFmtId="0" fontId="0" fillId="36" borderId="17" xfId="0" applyFill="1" applyBorder="1"/>
    <xf numFmtId="0" fontId="0" fillId="36" borderId="18" xfId="0" applyFill="1" applyBorder="1"/>
    <xf numFmtId="0" fontId="0" fillId="36" borderId="19" xfId="0" applyFill="1" applyBorder="1"/>
    <xf numFmtId="0" fontId="8" fillId="52" borderId="0" xfId="0" applyFont="1" applyFill="1" applyBorder="1" applyAlignment="1">
      <alignment horizontal="right"/>
    </xf>
    <xf numFmtId="0" fontId="8" fillId="52" borderId="16" xfId="0" applyFont="1" applyFill="1" applyBorder="1" applyAlignment="1">
      <alignment horizontal="right"/>
    </xf>
    <xf numFmtId="0" fontId="8" fillId="52" borderId="18" xfId="0" applyFont="1" applyFill="1" applyBorder="1" applyAlignment="1">
      <alignment horizontal="right"/>
    </xf>
    <xf numFmtId="0" fontId="8" fillId="52" borderId="19" xfId="0" applyFont="1" applyFill="1" applyBorder="1" applyAlignment="1">
      <alignment horizontal="right"/>
    </xf>
    <xf numFmtId="0" fontId="0" fillId="4" borderId="46" xfId="0" applyFill="1" applyBorder="1"/>
    <xf numFmtId="0" fontId="0" fillId="4" borderId="47" xfId="0" applyFill="1" applyBorder="1"/>
    <xf numFmtId="0" fontId="0" fillId="4" borderId="48" xfId="0" applyFill="1" applyBorder="1"/>
    <xf numFmtId="0" fontId="0" fillId="11" borderId="19" xfId="0" applyFill="1" applyBorder="1"/>
    <xf numFmtId="0" fontId="0" fillId="15" borderId="14" xfId="0" applyFill="1" applyBorder="1"/>
    <xf numFmtId="0" fontId="0" fillId="15" borderId="16" xfId="0" applyFill="1" applyBorder="1"/>
    <xf numFmtId="0" fontId="21" fillId="15" borderId="0" xfId="0" applyFont="1" applyFill="1" applyBorder="1" applyAlignment="1" applyProtection="1">
      <alignment horizontal="center"/>
      <protection locked="0"/>
    </xf>
    <xf numFmtId="0" fontId="21" fillId="15" borderId="16" xfId="0" applyFont="1" applyFill="1" applyBorder="1" applyAlignment="1" applyProtection="1">
      <alignment horizontal="center"/>
      <protection locked="0"/>
    </xf>
    <xf numFmtId="0" fontId="0" fillId="15" borderId="19" xfId="0" applyFill="1" applyBorder="1"/>
    <xf numFmtId="0" fontId="0" fillId="0" borderId="15" xfId="0" applyBorder="1"/>
    <xf numFmtId="0" fontId="0" fillId="6" borderId="15" xfId="0" applyFill="1" applyBorder="1"/>
    <xf numFmtId="0" fontId="0" fillId="8" borderId="15" xfId="0" applyFill="1" applyBorder="1"/>
    <xf numFmtId="0" fontId="0" fillId="8" borderId="16" xfId="0" applyFill="1" applyBorder="1"/>
    <xf numFmtId="0" fontId="0" fillId="8" borderId="17" xfId="0" applyFill="1" applyBorder="1"/>
    <xf numFmtId="0" fontId="0" fillId="8" borderId="19" xfId="0" applyFill="1" applyBorder="1"/>
    <xf numFmtId="0" fontId="0" fillId="13" borderId="12" xfId="0" applyFill="1" applyBorder="1"/>
    <xf numFmtId="0" fontId="0" fillId="13" borderId="13" xfId="0" applyFill="1" applyBorder="1"/>
    <xf numFmtId="0" fontId="0" fillId="13" borderId="14" xfId="0" applyFill="1" applyBorder="1"/>
    <xf numFmtId="0" fontId="0" fillId="13" borderId="15" xfId="0" applyFill="1" applyBorder="1"/>
    <xf numFmtId="0" fontId="0" fillId="13" borderId="16" xfId="0" applyFill="1" applyBorder="1"/>
    <xf numFmtId="0" fontId="21" fillId="13" borderId="16" xfId="0" applyFont="1" applyFill="1" applyBorder="1" applyAlignment="1" applyProtection="1">
      <alignment horizontal="center"/>
      <protection locked="0"/>
    </xf>
    <xf numFmtId="0" fontId="0" fillId="13" borderId="17" xfId="0" applyFill="1" applyBorder="1"/>
    <xf numFmtId="0" fontId="0" fillId="13" borderId="18" xfId="0" applyFill="1" applyBorder="1"/>
    <xf numFmtId="0" fontId="0" fillId="13" borderId="19" xfId="0" applyFill="1" applyBorder="1"/>
    <xf numFmtId="0" fontId="21" fillId="13" borderId="18" xfId="0" applyFont="1" applyFill="1" applyBorder="1" applyAlignment="1" applyProtection="1">
      <alignment horizontal="center"/>
      <protection locked="0"/>
    </xf>
    <xf numFmtId="0" fontId="21" fillId="15" borderId="18" xfId="0" applyFont="1" applyFill="1" applyBorder="1" applyAlignment="1" applyProtection="1">
      <alignment horizontal="center"/>
      <protection locked="0"/>
    </xf>
    <xf numFmtId="0" fontId="21" fillId="15" borderId="19" xfId="0" applyFont="1" applyFill="1" applyBorder="1" applyAlignment="1" applyProtection="1">
      <alignment horizontal="center"/>
      <protection locked="0"/>
    </xf>
    <xf numFmtId="0" fontId="21" fillId="13" borderId="19" xfId="0" applyFont="1" applyFill="1" applyBorder="1" applyAlignment="1" applyProtection="1">
      <alignment horizontal="center"/>
      <protection locked="0"/>
    </xf>
    <xf numFmtId="0" fontId="0" fillId="0" borderId="0" xfId="0"/>
    <xf numFmtId="0" fontId="0" fillId="0" borderId="32" xfId="0" applyBorder="1"/>
    <xf numFmtId="0" fontId="48" fillId="0" borderId="0" xfId="0" applyFont="1" applyBorder="1"/>
    <xf numFmtId="0" fontId="48" fillId="0" borderId="0" xfId="0" applyFont="1"/>
    <xf numFmtId="0" fontId="46" fillId="0" borderId="0" xfId="0" applyFont="1" applyBorder="1"/>
    <xf numFmtId="0" fontId="47" fillId="24" borderId="6" xfId="0" applyFont="1" applyFill="1" applyBorder="1"/>
    <xf numFmtId="0" fontId="47" fillId="14" borderId="6" xfId="0" applyFont="1" applyFill="1" applyBorder="1"/>
    <xf numFmtId="0" fontId="48" fillId="0" borderId="29" xfId="0" applyFont="1" applyBorder="1"/>
    <xf numFmtId="0" fontId="48" fillId="0" borderId="32" xfId="0" applyFont="1" applyBorder="1"/>
    <xf numFmtId="0" fontId="0" fillId="0" borderId="30" xfId="0" applyBorder="1"/>
    <xf numFmtId="0" fontId="47" fillId="14" borderId="27" xfId="0" applyFont="1" applyFill="1" applyBorder="1"/>
    <xf numFmtId="0" fontId="0" fillId="19" borderId="6" xfId="0" applyFill="1" applyBorder="1"/>
    <xf numFmtId="0" fontId="0" fillId="0" borderId="6" xfId="0" applyBorder="1"/>
    <xf numFmtId="0" fontId="47" fillId="14" borderId="0" xfId="0" applyFont="1" applyFill="1" applyBorder="1"/>
    <xf numFmtId="0" fontId="0" fillId="19" borderId="0" xfId="0" applyFill="1"/>
    <xf numFmtId="0" fontId="47" fillId="0" borderId="0" xfId="0" applyFont="1"/>
    <xf numFmtId="0" fontId="47" fillId="19" borderId="6" xfId="0" applyFont="1" applyFill="1" applyBorder="1"/>
    <xf numFmtId="0" fontId="49" fillId="19" borderId="29" xfId="0" applyFont="1" applyFill="1" applyBorder="1"/>
    <xf numFmtId="0" fontId="0" fillId="19" borderId="32" xfId="0" applyFill="1" applyBorder="1"/>
    <xf numFmtId="0" fontId="0" fillId="19" borderId="30" xfId="0" applyFill="1" applyBorder="1"/>
    <xf numFmtId="0" fontId="0" fillId="36" borderId="6" xfId="0" applyFill="1" applyBorder="1"/>
    <xf numFmtId="0" fontId="47" fillId="0" borderId="6" xfId="0" applyFont="1" applyBorder="1"/>
    <xf numFmtId="0" fontId="49" fillId="37" borderId="6" xfId="0" applyFont="1" applyFill="1" applyBorder="1"/>
    <xf numFmtId="0" fontId="0" fillId="0" borderId="29" xfId="0" applyBorder="1"/>
    <xf numFmtId="0" fontId="47" fillId="19" borderId="32" xfId="0" applyFont="1" applyFill="1" applyBorder="1"/>
    <xf numFmtId="0" fontId="49" fillId="19" borderId="32" xfId="0" applyFont="1" applyFill="1" applyBorder="1"/>
    <xf numFmtId="0" fontId="47" fillId="19" borderId="29" xfId="0" applyFont="1" applyFill="1" applyBorder="1"/>
    <xf numFmtId="0" fontId="0" fillId="36" borderId="29" xfId="0" applyFill="1" applyBorder="1"/>
    <xf numFmtId="0" fontId="47" fillId="19" borderId="30" xfId="0" applyFont="1" applyFill="1" applyBorder="1"/>
    <xf numFmtId="0" fontId="49" fillId="19" borderId="30" xfId="0" applyFont="1" applyFill="1" applyBorder="1"/>
    <xf numFmtId="0" fontId="47" fillId="14" borderId="29" xfId="0" applyFont="1" applyFill="1" applyBorder="1"/>
    <xf numFmtId="0" fontId="0" fillId="37" borderId="0" xfId="0" applyFill="1"/>
    <xf numFmtId="0" fontId="50" fillId="0" borderId="0" xfId="0" applyFont="1"/>
    <xf numFmtId="0" fontId="49" fillId="4" borderId="32" xfId="0" applyFont="1" applyFill="1" applyBorder="1"/>
    <xf numFmtId="0" fontId="49" fillId="4" borderId="30" xfId="0" applyFont="1" applyFill="1" applyBorder="1"/>
    <xf numFmtId="0" fontId="49" fillId="14" borderId="6" xfId="0" applyFont="1" applyFill="1" applyBorder="1"/>
    <xf numFmtId="0" fontId="49" fillId="37" borderId="29" xfId="0" applyFont="1" applyFill="1" applyBorder="1"/>
    <xf numFmtId="0" fontId="49" fillId="14" borderId="30" xfId="0" applyFont="1" applyFill="1" applyBorder="1"/>
    <xf numFmtId="0" fontId="48" fillId="0" borderId="6" xfId="0" applyFont="1" applyBorder="1"/>
    <xf numFmtId="0" fontId="49" fillId="51" borderId="6" xfId="0" applyFont="1" applyFill="1" applyBorder="1"/>
    <xf numFmtId="0" fontId="50" fillId="51" borderId="6" xfId="0" applyFont="1" applyFill="1" applyBorder="1"/>
    <xf numFmtId="0" fontId="48" fillId="36" borderId="6" xfId="0" applyFont="1" applyFill="1" applyBorder="1"/>
    <xf numFmtId="0" fontId="48" fillId="24" borderId="6" xfId="0" applyFont="1" applyFill="1" applyBorder="1"/>
    <xf numFmtId="0" fontId="48" fillId="0" borderId="6" xfId="0" applyFont="1" applyBorder="1" applyAlignment="1">
      <alignment textRotation="255"/>
    </xf>
    <xf numFmtId="0" fontId="49" fillId="4" borderId="31" xfId="0" applyFont="1" applyFill="1" applyBorder="1"/>
    <xf numFmtId="0" fontId="47" fillId="14" borderId="34" xfId="0" applyFont="1" applyFill="1" applyBorder="1"/>
    <xf numFmtId="0" fontId="49" fillId="37" borderId="30" xfId="0" applyFont="1" applyFill="1" applyBorder="1"/>
    <xf numFmtId="0" fontId="49" fillId="4" borderId="24" xfId="0" applyFont="1" applyFill="1" applyBorder="1"/>
    <xf numFmtId="0" fontId="0" fillId="0" borderId="0" xfId="0" applyFill="1" applyBorder="1"/>
    <xf numFmtId="0" fontId="0" fillId="37" borderId="30" xfId="0" applyFill="1" applyBorder="1"/>
    <xf numFmtId="0" fontId="0" fillId="0" borderId="0" xfId="0" applyBorder="1"/>
    <xf numFmtId="0" fontId="47" fillId="0" borderId="0" xfId="0" applyFont="1" applyFill="1" applyBorder="1"/>
    <xf numFmtId="0" fontId="49" fillId="19" borderId="6" xfId="0" applyFont="1" applyFill="1" applyBorder="1"/>
    <xf numFmtId="0" fontId="47" fillId="36" borderId="6" xfId="0" applyFont="1" applyFill="1" applyBorder="1"/>
    <xf numFmtId="0" fontId="0" fillId="18" borderId="6" xfId="0" applyFill="1" applyBorder="1"/>
    <xf numFmtId="0" fontId="49" fillId="4" borderId="0" xfId="0" applyFont="1" applyFill="1" applyBorder="1"/>
    <xf numFmtId="0" fontId="0" fillId="0" borderId="6" xfId="0" applyFill="1" applyBorder="1"/>
    <xf numFmtId="0" fontId="3" fillId="19" borderId="29" xfId="0" applyFont="1" applyFill="1" applyBorder="1"/>
    <xf numFmtId="0" fontId="0" fillId="37" borderId="32" xfId="0" applyFill="1" applyBorder="1"/>
    <xf numFmtId="0" fontId="47" fillId="52" borderId="29" xfId="0" applyFont="1" applyFill="1" applyBorder="1"/>
    <xf numFmtId="0" fontId="3" fillId="52" borderId="32" xfId="0" applyFont="1" applyFill="1" applyBorder="1"/>
    <xf numFmtId="0" fontId="0" fillId="52" borderId="32" xfId="0" applyFill="1" applyBorder="1"/>
    <xf numFmtId="0" fontId="47" fillId="52" borderId="30" xfId="0" applyFont="1" applyFill="1" applyBorder="1"/>
    <xf numFmtId="0" fontId="47" fillId="52" borderId="32" xfId="0" applyFont="1" applyFill="1" applyBorder="1"/>
    <xf numFmtId="0" fontId="0" fillId="52" borderId="30" xfId="0" applyFill="1" applyBorder="1"/>
    <xf numFmtId="0" fontId="47" fillId="52" borderId="6" xfId="0" applyFont="1" applyFill="1" applyBorder="1"/>
    <xf numFmtId="0" fontId="0" fillId="52" borderId="6" xfId="0" applyFill="1" applyBorder="1"/>
    <xf numFmtId="0" fontId="3" fillId="19" borderId="6" xfId="0" applyFont="1" applyFill="1" applyBorder="1"/>
    <xf numFmtId="0" fontId="49" fillId="0" borderId="0" xfId="0" applyFont="1" applyFill="1" applyBorder="1"/>
    <xf numFmtId="0" fontId="47" fillId="19" borderId="0" xfId="0" applyFont="1" applyFill="1" applyBorder="1"/>
    <xf numFmtId="0" fontId="51" fillId="19" borderId="29" xfId="0" applyFont="1" applyFill="1" applyBorder="1"/>
    <xf numFmtId="0" fontId="51" fillId="19" borderId="32" xfId="0" applyFont="1" applyFill="1" applyBorder="1"/>
    <xf numFmtId="0" fontId="42" fillId="19" borderId="32" xfId="0" applyFont="1" applyFill="1" applyBorder="1"/>
    <xf numFmtId="0" fontId="42" fillId="19" borderId="30" xfId="0" applyFont="1" applyFill="1" applyBorder="1"/>
    <xf numFmtId="0" fontId="52" fillId="0" borderId="11" xfId="0" applyFont="1" applyFill="1" applyBorder="1"/>
    <xf numFmtId="0" fontId="52" fillId="0" borderId="51" xfId="0" applyFont="1" applyFill="1" applyBorder="1"/>
    <xf numFmtId="0" fontId="52" fillId="0" borderId="52" xfId="0" applyFont="1" applyFill="1" applyBorder="1"/>
    <xf numFmtId="0" fontId="53" fillId="0" borderId="0" xfId="0" applyFont="1" applyFill="1" applyBorder="1"/>
    <xf numFmtId="0" fontId="4" fillId="0" borderId="0" xfId="0" applyFont="1" applyFill="1" applyBorder="1"/>
    <xf numFmtId="0" fontId="47" fillId="10" borderId="6" xfId="0" applyFont="1" applyFill="1" applyBorder="1"/>
    <xf numFmtId="0" fontId="52" fillId="19" borderId="30" xfId="0" applyFont="1" applyFill="1" applyBorder="1"/>
    <xf numFmtId="0" fontId="52" fillId="19" borderId="6" xfId="0" applyFont="1" applyFill="1" applyBorder="1"/>
    <xf numFmtId="0" fontId="48" fillId="0" borderId="6" xfId="0" applyFont="1" applyFill="1" applyBorder="1"/>
    <xf numFmtId="0" fontId="48" fillId="14" borderId="6" xfId="0" applyFont="1" applyFill="1" applyBorder="1"/>
    <xf numFmtId="0" fontId="52" fillId="19" borderId="26" xfId="0" applyFont="1" applyFill="1" applyBorder="1"/>
    <xf numFmtId="0" fontId="52" fillId="19" borderId="0" xfId="0" applyFont="1" applyFill="1" applyBorder="1"/>
    <xf numFmtId="0" fontId="54" fillId="19" borderId="23" xfId="0" applyFont="1" applyFill="1" applyBorder="1"/>
    <xf numFmtId="0" fontId="47" fillId="19" borderId="0" xfId="0" applyFont="1" applyFill="1"/>
    <xf numFmtId="0" fontId="0" fillId="19" borderId="25" xfId="0" applyFill="1" applyBorder="1"/>
    <xf numFmtId="0" fontId="49" fillId="14" borderId="34" xfId="0" applyFont="1" applyFill="1" applyBorder="1"/>
    <xf numFmtId="0" fontId="49" fillId="37" borderId="32" xfId="0" applyFont="1" applyFill="1" applyBorder="1"/>
    <xf numFmtId="0" fontId="0" fillId="19" borderId="0" xfId="0" applyFill="1" applyBorder="1"/>
    <xf numFmtId="0" fontId="46" fillId="0" borderId="11" xfId="0" applyFont="1" applyFill="1" applyBorder="1"/>
    <xf numFmtId="0" fontId="47" fillId="0" borderId="29" xfId="0" applyFont="1" applyFill="1" applyBorder="1"/>
    <xf numFmtId="0" fontId="47" fillId="0" borderId="32" xfId="0" applyFont="1" applyFill="1" applyBorder="1"/>
    <xf numFmtId="0" fontId="47" fillId="0" borderId="30" xfId="0" applyFont="1" applyFill="1" applyBorder="1"/>
    <xf numFmtId="0" fontId="48" fillId="0" borderId="6" xfId="0" applyFont="1" applyFill="1" applyBorder="1" applyAlignment="1">
      <alignment textRotation="255"/>
    </xf>
    <xf numFmtId="0" fontId="4" fillId="19" borderId="26" xfId="0" applyFont="1" applyFill="1" applyBorder="1"/>
    <xf numFmtId="0" fontId="4" fillId="19" borderId="23" xfId="0" applyFont="1" applyFill="1" applyBorder="1"/>
    <xf numFmtId="0" fontId="47" fillId="14" borderId="32" xfId="0" applyFont="1" applyFill="1" applyBorder="1"/>
    <xf numFmtId="0" fontId="3" fillId="14" borderId="30" xfId="0" applyFont="1" applyFill="1" applyBorder="1"/>
    <xf numFmtId="0" fontId="0" fillId="14" borderId="29" xfId="0" applyFill="1" applyBorder="1"/>
    <xf numFmtId="0" fontId="0" fillId="14" borderId="30" xfId="0" applyFill="1" applyBorder="1"/>
    <xf numFmtId="0" fontId="4" fillId="22" borderId="0" xfId="0" applyFont="1" applyFill="1"/>
    <xf numFmtId="0" fontId="21" fillId="11" borderId="16" xfId="0" applyFont="1" applyFill="1" applyBorder="1" applyAlignment="1" applyProtection="1">
      <alignment horizontal="center"/>
      <protection locked="0"/>
    </xf>
    <xf numFmtId="0" fontId="21" fillId="5" borderId="18" xfId="0" applyFont="1" applyFill="1" applyBorder="1" applyAlignment="1" applyProtection="1">
      <alignment horizontal="center"/>
      <protection locked="0"/>
    </xf>
    <xf numFmtId="0" fontId="21" fillId="5" borderId="19" xfId="0" applyFont="1" applyFill="1" applyBorder="1" applyAlignment="1" applyProtection="1">
      <alignment horizontal="center"/>
      <protection locked="0"/>
    </xf>
    <xf numFmtId="0" fontId="21" fillId="11" borderId="18" xfId="0" applyFont="1" applyFill="1" applyBorder="1" applyAlignment="1" applyProtection="1">
      <alignment horizontal="center"/>
      <protection locked="0"/>
    </xf>
    <xf numFmtId="0" fontId="21" fillId="11" borderId="19" xfId="0" applyFont="1" applyFill="1" applyBorder="1" applyAlignment="1" applyProtection="1">
      <alignment horizontal="center"/>
      <protection locked="0"/>
    </xf>
    <xf numFmtId="0" fontId="0" fillId="3" borderId="15" xfId="0" applyFill="1" applyBorder="1"/>
    <xf numFmtId="0" fontId="21" fillId="3" borderId="16" xfId="0" applyFont="1" applyFill="1" applyBorder="1" applyAlignment="1" applyProtection="1">
      <alignment horizontal="center"/>
      <protection locked="0"/>
    </xf>
    <xf numFmtId="0" fontId="24" fillId="4" borderId="12" xfId="0" applyFont="1" applyFill="1" applyBorder="1" applyAlignment="1">
      <alignment horizontal="right"/>
    </xf>
    <xf numFmtId="0" fontId="23" fillId="4" borderId="13" xfId="0" applyFont="1" applyFill="1" applyBorder="1" applyAlignment="1">
      <alignment horizontal="right"/>
    </xf>
    <xf numFmtId="0" fontId="25" fillId="4" borderId="13" xfId="0" applyFont="1" applyFill="1" applyBorder="1"/>
    <xf numFmtId="0" fontId="24" fillId="4" borderId="15" xfId="0" applyFont="1" applyFill="1" applyBorder="1" applyAlignment="1">
      <alignment horizontal="right"/>
    </xf>
    <xf numFmtId="0" fontId="23" fillId="4" borderId="0" xfId="0" applyFont="1" applyFill="1" applyBorder="1" applyAlignment="1">
      <alignment horizontal="right"/>
    </xf>
    <xf numFmtId="0" fontId="25" fillId="4" borderId="0" xfId="0" applyFont="1" applyFill="1" applyBorder="1"/>
    <xf numFmtId="0" fontId="21" fillId="4" borderId="16" xfId="0" applyFont="1" applyFill="1" applyBorder="1" applyAlignment="1" applyProtection="1">
      <alignment horizontal="center"/>
      <protection locked="0"/>
    </xf>
    <xf numFmtId="0" fontId="20" fillId="4" borderId="0" xfId="0" applyFont="1" applyFill="1" applyBorder="1" applyAlignment="1" applyProtection="1">
      <alignment horizontal="right"/>
      <protection locked="0"/>
    </xf>
    <xf numFmtId="0" fontId="0" fillId="3" borderId="17" xfId="0" applyFill="1" applyBorder="1"/>
    <xf numFmtId="0" fontId="21" fillId="3" borderId="18" xfId="0" applyFont="1" applyFill="1" applyBorder="1" applyAlignment="1" applyProtection="1">
      <alignment horizontal="center"/>
      <protection locked="0"/>
    </xf>
    <xf numFmtId="0" fontId="21" fillId="3" borderId="19" xfId="0" applyFont="1" applyFill="1" applyBorder="1" applyAlignment="1" applyProtection="1">
      <alignment horizontal="center"/>
      <protection locked="0"/>
    </xf>
    <xf numFmtId="0" fontId="19" fillId="22" borderId="0" xfId="0" applyFont="1" applyFill="1"/>
    <xf numFmtId="0" fontId="0" fillId="9" borderId="12" xfId="0" applyFill="1" applyBorder="1"/>
    <xf numFmtId="0" fontId="0" fillId="9" borderId="13" xfId="0" applyFill="1" applyBorder="1"/>
    <xf numFmtId="0" fontId="19" fillId="3" borderId="15" xfId="0" applyFont="1" applyFill="1" applyBorder="1"/>
    <xf numFmtId="0" fontId="20" fillId="3" borderId="0" xfId="0" applyFont="1" applyFill="1" applyBorder="1" applyAlignment="1" applyProtection="1">
      <alignment horizontal="right"/>
      <protection locked="0"/>
    </xf>
    <xf numFmtId="0" fontId="19" fillId="23" borderId="15" xfId="0" applyFont="1" applyFill="1" applyBorder="1"/>
    <xf numFmtId="0" fontId="19" fillId="23" borderId="17" xfId="0" applyFont="1" applyFill="1" applyBorder="1"/>
    <xf numFmtId="0" fontId="0" fillId="0" borderId="18" xfId="0" applyBorder="1"/>
    <xf numFmtId="0" fontId="0" fillId="47" borderId="17" xfId="0" applyFill="1" applyBorder="1"/>
    <xf numFmtId="0" fontId="0" fillId="47" borderId="18" xfId="0" applyFill="1" applyBorder="1"/>
    <xf numFmtId="0" fontId="0" fillId="47" borderId="19" xfId="0" applyFill="1" applyBorder="1"/>
    <xf numFmtId="0" fontId="1" fillId="19" borderId="0" xfId="0" applyFont="1" applyFill="1" applyBorder="1" applyAlignment="1" applyProtection="1">
      <alignment horizontal="center"/>
      <protection locked="0"/>
    </xf>
    <xf numFmtId="0" fontId="1" fillId="15" borderId="0" xfId="0" applyFont="1" applyFill="1" applyBorder="1" applyAlignment="1" applyProtection="1">
      <alignment horizontal="center"/>
      <protection locked="0"/>
    </xf>
    <xf numFmtId="0" fontId="1" fillId="5" borderId="16" xfId="0" applyFont="1" applyFill="1" applyBorder="1" applyAlignment="1" applyProtection="1">
      <alignment horizontal="center"/>
      <protection locked="0"/>
    </xf>
    <xf numFmtId="0" fontId="1" fillId="20" borderId="16" xfId="0" applyFont="1" applyFill="1" applyBorder="1" applyAlignment="1" applyProtection="1">
      <alignment horizontal="center"/>
      <protection locked="0"/>
    </xf>
    <xf numFmtId="0" fontId="1" fillId="19" borderId="16" xfId="0" applyFont="1" applyFill="1" applyBorder="1" applyAlignment="1" applyProtection="1">
      <alignment horizontal="center"/>
      <protection locked="0"/>
    </xf>
    <xf numFmtId="0" fontId="1" fillId="6" borderId="16" xfId="0" applyFont="1" applyFill="1" applyBorder="1" applyAlignment="1" applyProtection="1">
      <alignment horizontal="center"/>
      <protection locked="0"/>
    </xf>
    <xf numFmtId="0" fontId="0" fillId="10" borderId="15" xfId="0" applyFill="1" applyBorder="1"/>
    <xf numFmtId="0" fontId="1" fillId="10" borderId="16" xfId="0" applyFont="1" applyFill="1" applyBorder="1" applyAlignment="1" applyProtection="1">
      <alignment horizontal="center"/>
      <protection locked="0"/>
    </xf>
    <xf numFmtId="0" fontId="1" fillId="15" borderId="16" xfId="0" applyFont="1" applyFill="1" applyBorder="1" applyAlignment="1" applyProtection="1">
      <alignment horizontal="center"/>
      <protection locked="0"/>
    </xf>
    <xf numFmtId="0" fontId="1" fillId="5" borderId="13" xfId="0" applyFont="1" applyFill="1" applyBorder="1" applyAlignment="1" applyProtection="1">
      <alignment horizontal="center"/>
      <protection locked="0"/>
    </xf>
    <xf numFmtId="0" fontId="1" fillId="5" borderId="14" xfId="0" applyFont="1" applyFill="1" applyBorder="1" applyAlignment="1" applyProtection="1">
      <alignment horizontal="center"/>
      <protection locked="0"/>
    </xf>
    <xf numFmtId="0" fontId="0" fillId="5" borderId="20" xfId="0" applyFill="1" applyBorder="1"/>
    <xf numFmtId="0" fontId="1" fillId="5" borderId="21" xfId="0" applyFont="1" applyFill="1" applyBorder="1" applyAlignment="1" applyProtection="1">
      <alignment horizontal="center"/>
      <protection locked="0"/>
    </xf>
    <xf numFmtId="0" fontId="1" fillId="5" borderId="22" xfId="0" applyFont="1" applyFill="1" applyBorder="1" applyAlignment="1" applyProtection="1">
      <alignment horizontal="center"/>
      <protection locked="0"/>
    </xf>
    <xf numFmtId="0" fontId="0" fillId="20" borderId="20" xfId="0" applyFill="1" applyBorder="1"/>
    <xf numFmtId="0" fontId="1" fillId="20" borderId="22" xfId="0" applyFont="1" applyFill="1" applyBorder="1" applyAlignment="1" applyProtection="1">
      <alignment horizontal="center"/>
      <protection locked="0"/>
    </xf>
    <xf numFmtId="0" fontId="0" fillId="19" borderId="20" xfId="0" applyFill="1" applyBorder="1"/>
    <xf numFmtId="0" fontId="1" fillId="19" borderId="21" xfId="0" applyFont="1" applyFill="1" applyBorder="1" applyAlignment="1" applyProtection="1">
      <alignment horizontal="center"/>
      <protection locked="0"/>
    </xf>
    <xf numFmtId="0" fontId="1" fillId="19" borderId="22" xfId="0" applyFont="1" applyFill="1" applyBorder="1" applyAlignment="1" applyProtection="1">
      <alignment horizontal="center"/>
      <protection locked="0"/>
    </xf>
    <xf numFmtId="0" fontId="0" fillId="6" borderId="20" xfId="0" applyFill="1" applyBorder="1"/>
    <xf numFmtId="0" fontId="1" fillId="6" borderId="22" xfId="0" applyFont="1" applyFill="1" applyBorder="1" applyAlignment="1" applyProtection="1">
      <alignment horizontal="center"/>
      <protection locked="0"/>
    </xf>
    <xf numFmtId="0" fontId="0" fillId="10" borderId="20" xfId="0" applyFill="1" applyBorder="1"/>
    <xf numFmtId="0" fontId="0" fillId="10" borderId="21" xfId="0" applyFill="1" applyBorder="1"/>
    <xf numFmtId="0" fontId="1" fillId="10" borderId="21" xfId="0" applyFont="1" applyFill="1" applyBorder="1" applyAlignment="1" applyProtection="1">
      <alignment horizontal="center"/>
      <protection locked="0"/>
    </xf>
    <xf numFmtId="0" fontId="1" fillId="10" borderId="22" xfId="0" applyFont="1" applyFill="1" applyBorder="1" applyAlignment="1" applyProtection="1">
      <alignment horizontal="center"/>
      <protection locked="0"/>
    </xf>
    <xf numFmtId="0" fontId="0" fillId="15" borderId="20" xfId="0" applyFill="1" applyBorder="1"/>
    <xf numFmtId="0" fontId="1" fillId="15" borderId="21" xfId="0" applyFont="1" applyFill="1" applyBorder="1" applyAlignment="1" applyProtection="1">
      <alignment horizontal="center"/>
      <protection locked="0"/>
    </xf>
    <xf numFmtId="0" fontId="1" fillId="15" borderId="22" xfId="0" applyFont="1" applyFill="1" applyBorder="1" applyAlignment="1" applyProtection="1">
      <alignment horizontal="center"/>
      <protection locked="0"/>
    </xf>
    <xf numFmtId="0" fontId="0" fillId="10" borderId="16" xfId="0" applyFill="1" applyBorder="1"/>
    <xf numFmtId="0" fontId="19" fillId="18" borderId="15" xfId="0" applyFont="1" applyFill="1" applyBorder="1"/>
    <xf numFmtId="0" fontId="19" fillId="9" borderId="12" xfId="0" applyFont="1" applyFill="1" applyBorder="1"/>
    <xf numFmtId="0" fontId="19" fillId="9" borderId="15" xfId="0" applyFont="1" applyFill="1" applyBorder="1"/>
    <xf numFmtId="0" fontId="19" fillId="9" borderId="0" xfId="0" applyFont="1" applyFill="1" applyBorder="1"/>
    <xf numFmtId="0" fontId="19" fillId="9" borderId="16" xfId="0" applyFont="1" applyFill="1" applyBorder="1"/>
    <xf numFmtId="0" fontId="0" fillId="9" borderId="17" xfId="0" applyFill="1" applyBorder="1"/>
    <xf numFmtId="0" fontId="0" fillId="9" borderId="18" xfId="0" applyFill="1" applyBorder="1"/>
    <xf numFmtId="0" fontId="0" fillId="9" borderId="19" xfId="0" applyFill="1" applyBorder="1"/>
    <xf numFmtId="0" fontId="0" fillId="18" borderId="17" xfId="0" applyFill="1" applyBorder="1"/>
    <xf numFmtId="0" fontId="19" fillId="20" borderId="16" xfId="0" applyFont="1" applyFill="1" applyBorder="1"/>
    <xf numFmtId="0" fontId="19" fillId="20" borderId="0" xfId="0" applyFont="1" applyFill="1" applyBorder="1"/>
    <xf numFmtId="0" fontId="19" fillId="20" borderId="12" xfId="0" applyFont="1" applyFill="1" applyBorder="1"/>
    <xf numFmtId="0" fontId="19" fillId="20" borderId="15" xfId="0" applyFont="1" applyFill="1" applyBorder="1"/>
    <xf numFmtId="0" fontId="0" fillId="20" borderId="19" xfId="0" applyFill="1" applyBorder="1"/>
    <xf numFmtId="0" fontId="0" fillId="18" borderId="18" xfId="0" applyFill="1" applyBorder="1"/>
    <xf numFmtId="0" fontId="0" fillId="18" borderId="19" xfId="0" applyFill="1" applyBorder="1"/>
    <xf numFmtId="0" fontId="0" fillId="37" borderId="0" xfId="0" applyFill="1" applyBorder="1"/>
    <xf numFmtId="0" fontId="0" fillId="18" borderId="15" xfId="0" applyFill="1" applyBorder="1"/>
    <xf numFmtId="0" fontId="0" fillId="9" borderId="15" xfId="0" applyFill="1" applyBorder="1"/>
    <xf numFmtId="0" fontId="19" fillId="22" borderId="0" xfId="0" applyFont="1" applyFill="1" applyBorder="1"/>
    <xf numFmtId="0" fontId="1" fillId="11" borderId="18" xfId="0" applyFont="1" applyFill="1" applyBorder="1" applyAlignment="1" applyProtection="1">
      <alignment horizontal="center"/>
      <protection locked="0"/>
    </xf>
    <xf numFmtId="0" fontId="8" fillId="5" borderId="26" xfId="0" applyFont="1" applyFill="1" applyBorder="1" applyAlignment="1" applyProtection="1">
      <alignment horizontal="right"/>
      <protection locked="0"/>
    </xf>
    <xf numFmtId="0" fontId="8" fillId="20" borderId="14" xfId="0" applyFont="1" applyFill="1" applyBorder="1" applyAlignment="1" applyProtection="1">
      <alignment horizontal="right"/>
      <protection locked="0"/>
    </xf>
    <xf numFmtId="0" fontId="8" fillId="0" borderId="0" xfId="0" applyFont="1" applyBorder="1" applyAlignment="1">
      <alignment horizontal="right"/>
    </xf>
    <xf numFmtId="0" fontId="8" fillId="6" borderId="12" xfId="0" applyFont="1" applyFill="1" applyBorder="1" applyAlignment="1">
      <alignment horizontal="right"/>
    </xf>
    <xf numFmtId="0" fontId="8" fillId="6" borderId="13" xfId="0" applyFont="1" applyFill="1" applyBorder="1" applyAlignment="1">
      <alignment horizontal="right"/>
    </xf>
    <xf numFmtId="0" fontId="8" fillId="6" borderId="14" xfId="0" applyFont="1" applyFill="1" applyBorder="1" applyAlignment="1">
      <alignment horizontal="right"/>
    </xf>
    <xf numFmtId="0" fontId="8" fillId="6" borderId="15" xfId="0" applyFont="1" applyFill="1" applyBorder="1" applyAlignment="1">
      <alignment horizontal="right"/>
    </xf>
    <xf numFmtId="0" fontId="8" fillId="6" borderId="16" xfId="0" applyFont="1" applyFill="1" applyBorder="1" applyAlignment="1">
      <alignment horizontal="right"/>
    </xf>
    <xf numFmtId="0" fontId="8" fillId="6" borderId="17" xfId="0" applyFont="1" applyFill="1" applyBorder="1" applyAlignment="1">
      <alignment horizontal="right"/>
    </xf>
    <xf numFmtId="0" fontId="8" fillId="6" borderId="18" xfId="0" applyFont="1" applyFill="1" applyBorder="1" applyAlignment="1">
      <alignment horizontal="right"/>
    </xf>
    <xf numFmtId="0" fontId="8" fillId="6" borderId="19" xfId="0" applyFont="1" applyFill="1" applyBorder="1" applyAlignment="1">
      <alignment horizontal="right"/>
    </xf>
    <xf numFmtId="0" fontId="8" fillId="19" borderId="13" xfId="0" applyFont="1" applyFill="1" applyBorder="1" applyAlignment="1">
      <alignment horizontal="right"/>
    </xf>
    <xf numFmtId="0" fontId="8" fillId="19" borderId="18" xfId="0" applyFont="1" applyFill="1" applyBorder="1" applyAlignment="1">
      <alignment horizontal="right"/>
    </xf>
    <xf numFmtId="0" fontId="8" fillId="19" borderId="19" xfId="0" applyFont="1" applyFill="1" applyBorder="1" applyAlignment="1">
      <alignment horizontal="right"/>
    </xf>
    <xf numFmtId="0" fontId="8" fillId="6" borderId="43" xfId="0" applyFont="1" applyFill="1" applyBorder="1" applyAlignment="1">
      <alignment horizontal="right"/>
    </xf>
    <xf numFmtId="0" fontId="8" fillId="6" borderId="36" xfId="0" applyFont="1" applyFill="1" applyBorder="1" applyAlignment="1">
      <alignment horizontal="right"/>
    </xf>
    <xf numFmtId="0" fontId="8" fillId="6" borderId="20" xfId="0" applyFont="1" applyFill="1" applyBorder="1" applyAlignment="1">
      <alignment horizontal="right"/>
    </xf>
    <xf numFmtId="0" fontId="8" fillId="6" borderId="38" xfId="0" applyFont="1" applyFill="1" applyBorder="1" applyAlignment="1">
      <alignment horizontal="right"/>
    </xf>
    <xf numFmtId="0" fontId="8" fillId="6" borderId="18" xfId="0" applyFont="1" applyFill="1" applyBorder="1" applyAlignment="1" applyProtection="1">
      <alignment horizontal="right"/>
      <protection locked="0"/>
    </xf>
    <xf numFmtId="0" fontId="8" fillId="6" borderId="45" xfId="0" applyFont="1" applyFill="1" applyBorder="1" applyAlignment="1" applyProtection="1">
      <alignment horizontal="right"/>
      <protection locked="0"/>
    </xf>
    <xf numFmtId="0" fontId="8" fillId="5" borderId="2" xfId="0" applyFont="1" applyFill="1" applyBorder="1"/>
    <xf numFmtId="0" fontId="8" fillId="5" borderId="3" xfId="0" applyFont="1" applyFill="1" applyBorder="1"/>
    <xf numFmtId="0" fontId="8" fillId="4" borderId="15" xfId="0" applyFont="1" applyFill="1" applyBorder="1"/>
    <xf numFmtId="0" fontId="8" fillId="4" borderId="0" xfId="0" applyFont="1" applyFill="1" applyBorder="1"/>
    <xf numFmtId="0" fontId="8" fillId="5" borderId="13" xfId="0" applyFont="1" applyFill="1" applyBorder="1"/>
    <xf numFmtId="0" fontId="8" fillId="5" borderId="12" xfId="0" applyFont="1" applyFill="1" applyBorder="1"/>
    <xf numFmtId="0" fontId="8" fillId="5" borderId="0" xfId="0" applyFont="1" applyFill="1"/>
    <xf numFmtId="0" fontId="8" fillId="5" borderId="0" xfId="0" applyFont="1" applyFill="1" applyBorder="1"/>
    <xf numFmtId="0" fontId="8" fillId="5" borderId="16" xfId="0" applyFont="1" applyFill="1" applyBorder="1"/>
    <xf numFmtId="0" fontId="8" fillId="14" borderId="47" xfId="0" applyFont="1" applyFill="1" applyBorder="1"/>
    <xf numFmtId="0" fontId="8" fillId="14" borderId="16" xfId="0" applyFont="1" applyFill="1" applyBorder="1"/>
    <xf numFmtId="0" fontId="8" fillId="5" borderId="15" xfId="0" applyFont="1" applyFill="1" applyBorder="1"/>
    <xf numFmtId="0" fontId="8" fillId="5" borderId="0" xfId="0" applyFont="1" applyFill="1" applyBorder="1" applyAlignment="1" applyProtection="1">
      <alignment horizontal="center"/>
      <protection locked="0"/>
    </xf>
    <xf numFmtId="0" fontId="8" fillId="5" borderId="18" xfId="0" applyFont="1" applyFill="1" applyBorder="1"/>
    <xf numFmtId="0" fontId="8" fillId="5" borderId="19" xfId="0" applyFont="1" applyFill="1" applyBorder="1"/>
    <xf numFmtId="0" fontId="8" fillId="52" borderId="0" xfId="0" applyFont="1" applyFill="1" applyBorder="1" applyAlignment="1" applyProtection="1">
      <alignment horizontal="center"/>
      <protection locked="0"/>
    </xf>
    <xf numFmtId="0" fontId="8" fillId="52" borderId="16" xfId="0" applyFont="1" applyFill="1" applyBorder="1" applyAlignment="1" applyProtection="1">
      <alignment horizontal="center"/>
      <protection locked="0"/>
    </xf>
    <xf numFmtId="0" fontId="8" fillId="5" borderId="15" xfId="0" applyFont="1" applyFill="1" applyBorder="1" applyAlignment="1" applyProtection="1">
      <alignment horizontal="center"/>
      <protection locked="0"/>
    </xf>
    <xf numFmtId="0" fontId="8" fillId="5" borderId="16" xfId="0" applyFont="1" applyFill="1" applyBorder="1" applyAlignment="1" applyProtection="1">
      <alignment horizontal="center"/>
      <protection locked="0"/>
    </xf>
    <xf numFmtId="0" fontId="8" fillId="52" borderId="0" xfId="0" applyFont="1" applyFill="1" applyBorder="1"/>
    <xf numFmtId="0" fontId="8" fillId="52" borderId="15" xfId="0" applyFont="1" applyFill="1" applyBorder="1"/>
    <xf numFmtId="0" fontId="8" fillId="52" borderId="16" xfId="0" applyFont="1" applyFill="1" applyBorder="1"/>
    <xf numFmtId="0" fontId="8" fillId="22" borderId="0" xfId="0" applyFont="1" applyFill="1" applyBorder="1"/>
    <xf numFmtId="0" fontId="8" fillId="52" borderId="17" xfId="0" applyFont="1" applyFill="1" applyBorder="1"/>
    <xf numFmtId="0" fontId="8" fillId="52" borderId="18" xfId="0" applyFont="1" applyFill="1" applyBorder="1"/>
    <xf numFmtId="0" fontId="8" fillId="14" borderId="1" xfId="0" applyFont="1" applyFill="1" applyBorder="1"/>
    <xf numFmtId="0" fontId="8" fillId="14" borderId="3" xfId="0" applyFont="1" applyFill="1" applyBorder="1"/>
    <xf numFmtId="0" fontId="8" fillId="53" borderId="15" xfId="0" applyFont="1" applyFill="1" applyBorder="1" applyAlignment="1">
      <alignment horizontal="right"/>
    </xf>
    <xf numFmtId="0" fontId="8" fillId="53" borderId="17" xfId="0" applyFont="1" applyFill="1" applyBorder="1"/>
    <xf numFmtId="0" fontId="0" fillId="53" borderId="15" xfId="0" applyFill="1" applyBorder="1"/>
    <xf numFmtId="0" fontId="8" fillId="4" borderId="23" xfId="0" applyFont="1" applyFill="1" applyBorder="1" applyAlignment="1" applyProtection="1">
      <alignment horizontal="right"/>
      <protection locked="0"/>
    </xf>
    <xf numFmtId="0" fontId="8" fillId="54" borderId="12" xfId="0" applyFont="1" applyFill="1" applyBorder="1"/>
    <xf numFmtId="0" fontId="8" fillId="54" borderId="0" xfId="0" applyFont="1" applyFill="1" applyBorder="1" applyAlignment="1" applyProtection="1">
      <alignment horizontal="center"/>
      <protection locked="0"/>
    </xf>
    <xf numFmtId="0" fontId="8" fillId="54" borderId="16" xfId="0" applyFont="1" applyFill="1" applyBorder="1" applyAlignment="1" applyProtection="1">
      <alignment horizontal="center"/>
      <protection locked="0"/>
    </xf>
    <xf numFmtId="0" fontId="8" fillId="54" borderId="15" xfId="0" applyFont="1" applyFill="1" applyBorder="1"/>
    <xf numFmtId="0" fontId="8" fillId="54" borderId="17" xfId="0" applyFont="1" applyFill="1" applyBorder="1"/>
    <xf numFmtId="0" fontId="0" fillId="54" borderId="18" xfId="0" applyFill="1" applyBorder="1"/>
    <xf numFmtId="0" fontId="0" fillId="54" borderId="19" xfId="0" applyFill="1" applyBorder="1"/>
    <xf numFmtId="0" fontId="8" fillId="53" borderId="39" xfId="0" applyFont="1" applyFill="1" applyBorder="1"/>
    <xf numFmtId="0" fontId="8" fillId="54" borderId="1" xfId="0" applyFont="1" applyFill="1" applyBorder="1"/>
    <xf numFmtId="0" fontId="0" fillId="54" borderId="2" xfId="0" applyFill="1" applyBorder="1"/>
    <xf numFmtId="0" fontId="8" fillId="54" borderId="13" xfId="0" applyFont="1" applyFill="1" applyBorder="1" applyAlignment="1" applyProtection="1">
      <alignment horizontal="center"/>
      <protection locked="0"/>
    </xf>
    <xf numFmtId="0" fontId="8" fillId="54" borderId="14" xfId="0" applyFont="1" applyFill="1" applyBorder="1" applyAlignment="1" applyProtection="1">
      <alignment horizontal="center"/>
      <protection locked="0"/>
    </xf>
    <xf numFmtId="0" fontId="8" fillId="6" borderId="22" xfId="0" applyFont="1" applyFill="1" applyBorder="1" applyAlignment="1">
      <alignment horizontal="right"/>
    </xf>
    <xf numFmtId="3" fontId="8" fillId="19" borderId="18" xfId="0" applyNumberFormat="1" applyFont="1" applyFill="1" applyBorder="1" applyAlignment="1">
      <alignment horizontal="right"/>
    </xf>
    <xf numFmtId="0" fontId="8" fillId="22" borderId="0" xfId="0" applyFont="1" applyFill="1" applyBorder="1" applyAlignment="1">
      <alignment horizontal="center"/>
    </xf>
    <xf numFmtId="0" fontId="8" fillId="8" borderId="15" xfId="0" applyFont="1" applyFill="1" applyBorder="1" applyAlignment="1">
      <alignment horizontal="right"/>
    </xf>
    <xf numFmtId="0" fontId="8" fillId="8" borderId="16" xfId="0" applyFont="1" applyFill="1" applyBorder="1" applyAlignment="1" applyProtection="1">
      <alignment horizontal="right"/>
      <protection locked="0"/>
    </xf>
    <xf numFmtId="0" fontId="8" fillId="14" borderId="0" xfId="0" applyFont="1" applyFill="1" applyBorder="1" applyAlignment="1">
      <alignment horizontal="right"/>
    </xf>
    <xf numFmtId="0" fontId="8" fillId="14" borderId="0" xfId="0" applyFont="1" applyFill="1" applyBorder="1" applyAlignment="1" applyProtection="1">
      <alignment horizontal="right"/>
      <protection locked="0"/>
    </xf>
    <xf numFmtId="0" fontId="8" fillId="14" borderId="16" xfId="0" applyFont="1" applyFill="1" applyBorder="1" applyAlignment="1" applyProtection="1">
      <alignment horizontal="right"/>
      <protection locked="0"/>
    </xf>
    <xf numFmtId="0" fontId="8" fillId="14" borderId="18" xfId="0" applyFont="1" applyFill="1" applyBorder="1" applyAlignment="1">
      <alignment horizontal="right"/>
    </xf>
    <xf numFmtId="0" fontId="8" fillId="14" borderId="18" xfId="0" applyFont="1" applyFill="1" applyBorder="1" applyAlignment="1" applyProtection="1">
      <alignment horizontal="right"/>
      <protection locked="0"/>
    </xf>
    <xf numFmtId="0" fontId="8" fillId="14" borderId="19" xfId="0" applyFont="1" applyFill="1" applyBorder="1" applyAlignment="1" applyProtection="1">
      <alignment horizontal="right"/>
      <protection locked="0"/>
    </xf>
    <xf numFmtId="0" fontId="8" fillId="8" borderId="17" xfId="0" applyFont="1" applyFill="1" applyBorder="1" applyAlignment="1">
      <alignment horizontal="right"/>
    </xf>
    <xf numFmtId="3" fontId="8" fillId="4" borderId="21" xfId="0" applyNumberFormat="1" applyFont="1" applyFill="1" applyBorder="1" applyAlignment="1">
      <alignment horizontal="right"/>
    </xf>
    <xf numFmtId="0" fontId="8" fillId="11" borderId="23" xfId="0" applyFont="1" applyFill="1" applyBorder="1" applyAlignment="1" applyProtection="1">
      <alignment horizontal="right"/>
      <protection locked="0"/>
    </xf>
    <xf numFmtId="0" fontId="8" fillId="3" borderId="0" xfId="0" applyFont="1" applyFill="1" applyAlignment="1">
      <alignment horizontal="right"/>
    </xf>
    <xf numFmtId="0" fontId="8" fillId="43" borderId="0" xfId="0" applyFont="1" applyFill="1" applyAlignment="1">
      <alignment horizontal="right"/>
    </xf>
    <xf numFmtId="0" fontId="8" fillId="43" borderId="0" xfId="0" applyFont="1" applyFill="1" applyBorder="1" applyAlignment="1" applyProtection="1">
      <alignment horizontal="right"/>
      <protection locked="0"/>
    </xf>
    <xf numFmtId="0" fontId="8" fillId="43" borderId="23" xfId="0" applyFont="1" applyFill="1" applyBorder="1" applyAlignment="1" applyProtection="1">
      <alignment horizontal="right"/>
      <protection locked="0"/>
    </xf>
    <xf numFmtId="0" fontId="8" fillId="43" borderId="0" xfId="0" applyFont="1" applyFill="1" applyBorder="1" applyAlignment="1">
      <alignment horizontal="right"/>
    </xf>
    <xf numFmtId="0" fontId="8" fillId="43" borderId="15" xfId="0" applyFont="1" applyFill="1" applyBorder="1" applyAlignment="1">
      <alignment horizontal="right"/>
    </xf>
    <xf numFmtId="0" fontId="8" fillId="18" borderId="0" xfId="0" applyFont="1" applyFill="1" applyBorder="1" applyAlignment="1" applyProtection="1">
      <alignment horizontal="right"/>
      <protection locked="0"/>
    </xf>
    <xf numFmtId="0" fontId="0" fillId="15" borderId="18" xfId="0" applyFill="1" applyBorder="1" applyAlignment="1">
      <alignment horizontal="center"/>
    </xf>
    <xf numFmtId="0" fontId="0" fillId="36" borderId="18" xfId="0" applyFill="1" applyBorder="1" applyAlignment="1">
      <alignment horizontal="center"/>
    </xf>
    <xf numFmtId="0" fontId="0" fillId="18" borderId="12" xfId="0" applyFill="1" applyBorder="1" applyAlignment="1">
      <alignment horizontal="center"/>
    </xf>
    <xf numFmtId="0" fontId="0" fillId="18" borderId="13" xfId="0" applyFill="1" applyBorder="1" applyAlignment="1">
      <alignment horizontal="center"/>
    </xf>
    <xf numFmtId="0" fontId="0" fillId="18" borderId="14" xfId="0" applyFill="1" applyBorder="1" applyAlignment="1">
      <alignment horizontal="center"/>
    </xf>
    <xf numFmtId="0" fontId="0" fillId="15" borderId="12" xfId="0" applyFill="1" applyBorder="1" applyAlignment="1">
      <alignment horizontal="center"/>
    </xf>
    <xf numFmtId="0" fontId="0" fillId="15" borderId="13" xfId="0" applyFill="1" applyBorder="1" applyAlignment="1">
      <alignment horizontal="center"/>
    </xf>
    <xf numFmtId="0" fontId="0" fillId="15" borderId="15" xfId="0" applyFill="1" applyBorder="1" applyAlignment="1">
      <alignment horizontal="center"/>
    </xf>
    <xf numFmtId="0" fontId="0" fillId="15" borderId="0" xfId="0" applyFill="1" applyBorder="1" applyAlignment="1">
      <alignment horizontal="center"/>
    </xf>
    <xf numFmtId="0" fontId="0" fillId="15" borderId="16" xfId="0" applyFill="1" applyBorder="1" applyAlignment="1">
      <alignment horizontal="center"/>
    </xf>
    <xf numFmtId="0" fontId="0" fillId="15" borderId="17" xfId="0" applyFill="1" applyBorder="1" applyAlignment="1">
      <alignment horizontal="center"/>
    </xf>
    <xf numFmtId="0" fontId="0" fillId="15" borderId="19" xfId="0"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0" fillId="18" borderId="16" xfId="0" applyFill="1" applyBorder="1" applyAlignment="1">
      <alignment horizontal="center"/>
    </xf>
    <xf numFmtId="0" fontId="0" fillId="36" borderId="12" xfId="0" applyFill="1" applyBorder="1" applyAlignment="1">
      <alignment horizontal="center"/>
    </xf>
    <xf numFmtId="0" fontId="0" fillId="36" borderId="13" xfId="0" applyFill="1" applyBorder="1" applyAlignment="1">
      <alignment horizontal="center"/>
    </xf>
    <xf numFmtId="0" fontId="0" fillId="36" borderId="14" xfId="0" applyFill="1" applyBorder="1" applyAlignment="1">
      <alignment horizontal="center"/>
    </xf>
    <xf numFmtId="0" fontId="0" fillId="36" borderId="15" xfId="0" applyFill="1" applyBorder="1" applyAlignment="1">
      <alignment horizontal="center"/>
    </xf>
    <xf numFmtId="0" fontId="0" fillId="36" borderId="0" xfId="0" applyFill="1" applyBorder="1" applyAlignment="1">
      <alignment horizontal="center"/>
    </xf>
    <xf numFmtId="0" fontId="0" fillId="36" borderId="16" xfId="0" applyFill="1" applyBorder="1" applyAlignment="1">
      <alignment horizontal="center"/>
    </xf>
    <xf numFmtId="0" fontId="8" fillId="36" borderId="0" xfId="0" applyFont="1" applyFill="1" applyBorder="1" applyAlignment="1" applyProtection="1">
      <alignment horizontal="center"/>
      <protection locked="0"/>
    </xf>
    <xf numFmtId="0" fontId="8" fillId="36" borderId="16" xfId="0" applyFont="1" applyFill="1" applyBorder="1" applyAlignment="1" applyProtection="1">
      <alignment horizontal="center"/>
      <protection locked="0"/>
    </xf>
    <xf numFmtId="0" fontId="0" fillId="36" borderId="17" xfId="0" applyFill="1" applyBorder="1" applyAlignment="1">
      <alignment horizontal="center"/>
    </xf>
    <xf numFmtId="0" fontId="0" fillId="36" borderId="19" xfId="0" applyFill="1" applyBorder="1" applyAlignment="1">
      <alignment horizontal="center"/>
    </xf>
    <xf numFmtId="0" fontId="0" fillId="49" borderId="0" xfId="0" applyFill="1" applyBorder="1" applyAlignment="1">
      <alignment horizontal="center"/>
    </xf>
    <xf numFmtId="0" fontId="0" fillId="11" borderId="0" xfId="0" applyFill="1" applyBorder="1" applyAlignment="1">
      <alignment horizontal="center"/>
    </xf>
    <xf numFmtId="0" fontId="0" fillId="18" borderId="12" xfId="0" applyFill="1" applyBorder="1"/>
    <xf numFmtId="0" fontId="0" fillId="18" borderId="13" xfId="0" applyFill="1" applyBorder="1"/>
    <xf numFmtId="0" fontId="0" fillId="18" borderId="14" xfId="0" applyFill="1" applyBorder="1"/>
    <xf numFmtId="0" fontId="1" fillId="36" borderId="13" xfId="0" applyFont="1" applyFill="1" applyBorder="1" applyAlignment="1" applyProtection="1">
      <alignment horizontal="center"/>
      <protection locked="0"/>
    </xf>
    <xf numFmtId="0" fontId="1" fillId="36" borderId="14" xfId="0" applyFont="1" applyFill="1" applyBorder="1" applyAlignment="1" applyProtection="1">
      <alignment horizontal="center"/>
      <protection locked="0"/>
    </xf>
    <xf numFmtId="0" fontId="1" fillId="36" borderId="0" xfId="0" applyFont="1" applyFill="1" applyBorder="1" applyAlignment="1" applyProtection="1">
      <alignment horizontal="center"/>
      <protection locked="0"/>
    </xf>
    <xf numFmtId="0" fontId="1" fillId="36" borderId="16" xfId="0" applyFont="1" applyFill="1" applyBorder="1" applyAlignment="1" applyProtection="1">
      <alignment horizontal="center"/>
      <protection locked="0"/>
    </xf>
    <xf numFmtId="0" fontId="0" fillId="22" borderId="0" xfId="0" applyFill="1" applyBorder="1" applyAlignment="1">
      <alignment horizontal="center"/>
    </xf>
    <xf numFmtId="0" fontId="1" fillId="5" borderId="18" xfId="0" applyFont="1" applyFill="1" applyBorder="1" applyAlignment="1" applyProtection="1">
      <alignment horizontal="center"/>
      <protection locked="0"/>
    </xf>
    <xf numFmtId="0" fontId="1" fillId="5" borderId="19" xfId="0" applyFont="1" applyFill="1" applyBorder="1" applyAlignment="1" applyProtection="1">
      <alignment horizontal="center"/>
      <protection locked="0"/>
    </xf>
    <xf numFmtId="0" fontId="0" fillId="8" borderId="18" xfId="0" applyFill="1" applyBorder="1" applyAlignment="1">
      <alignment horizontal="center"/>
    </xf>
    <xf numFmtId="0" fontId="23" fillId="8" borderId="15" xfId="0" applyFont="1" applyFill="1" applyBorder="1" applyAlignment="1">
      <alignment horizontal="center"/>
    </xf>
    <xf numFmtId="0" fontId="1" fillId="5" borderId="31" xfId="0" applyFont="1" applyFill="1" applyBorder="1" applyAlignment="1" applyProtection="1">
      <alignment horizontal="center"/>
      <protection locked="0"/>
    </xf>
    <xf numFmtId="0" fontId="1" fillId="5" borderId="37" xfId="0" applyFont="1" applyFill="1" applyBorder="1" applyAlignment="1" applyProtection="1">
      <alignment horizontal="center"/>
      <protection locked="0"/>
    </xf>
    <xf numFmtId="0" fontId="56" fillId="8" borderId="2" xfId="0" applyFont="1" applyFill="1" applyBorder="1" applyAlignment="1">
      <alignment horizontal="center"/>
    </xf>
    <xf numFmtId="0" fontId="56" fillId="5" borderId="54" xfId="0" applyFont="1" applyFill="1" applyBorder="1" applyAlignment="1">
      <alignment horizontal="center"/>
    </xf>
    <xf numFmtId="0" fontId="56" fillId="5" borderId="2" xfId="0" applyFont="1" applyFill="1" applyBorder="1" applyAlignment="1">
      <alignment horizontal="center"/>
    </xf>
    <xf numFmtId="0" fontId="56" fillId="5" borderId="3" xfId="0" applyFont="1" applyFill="1" applyBorder="1" applyAlignment="1">
      <alignment horizontal="center"/>
    </xf>
    <xf numFmtId="0" fontId="23" fillId="8" borderId="12" xfId="0" applyFont="1" applyFill="1" applyBorder="1" applyAlignment="1">
      <alignment horizontal="center"/>
    </xf>
    <xf numFmtId="0" fontId="23" fillId="5" borderId="13" xfId="0" applyFont="1" applyFill="1" applyBorder="1" applyAlignment="1">
      <alignment horizontal="center"/>
    </xf>
    <xf numFmtId="0" fontId="23" fillId="5" borderId="0" xfId="0" applyFont="1" applyFill="1" applyBorder="1" applyAlignment="1">
      <alignment horizontal="center"/>
    </xf>
    <xf numFmtId="0" fontId="23" fillId="8" borderId="20" xfId="0" applyFont="1" applyFill="1" applyBorder="1" applyAlignment="1">
      <alignment horizontal="center"/>
    </xf>
    <xf numFmtId="0" fontId="23" fillId="5" borderId="21" xfId="0" applyFont="1" applyFill="1" applyBorder="1" applyAlignment="1">
      <alignment horizontal="center"/>
    </xf>
    <xf numFmtId="0" fontId="23" fillId="8" borderId="44" xfId="0" applyFont="1" applyFill="1" applyBorder="1" applyAlignment="1">
      <alignment horizontal="center"/>
    </xf>
    <xf numFmtId="0" fontId="23" fillId="5" borderId="31" xfId="0" applyFont="1" applyFill="1" applyBorder="1" applyAlignment="1">
      <alignment horizontal="center"/>
    </xf>
    <xf numFmtId="0" fontId="23" fillId="8" borderId="0" xfId="0" applyFont="1" applyFill="1" applyBorder="1" applyAlignment="1">
      <alignment horizontal="center"/>
    </xf>
    <xf numFmtId="0" fontId="23" fillId="5" borderId="18" xfId="0" applyFont="1" applyFill="1" applyBorder="1" applyAlignment="1">
      <alignment horizontal="center"/>
    </xf>
    <xf numFmtId="0" fontId="0" fillId="5" borderId="55" xfId="0" applyFill="1" applyBorder="1" applyAlignment="1">
      <alignment horizontal="center"/>
    </xf>
    <xf numFmtId="0" fontId="0" fillId="5" borderId="18" xfId="0" applyFill="1" applyBorder="1" applyAlignment="1">
      <alignment horizontal="center"/>
    </xf>
    <xf numFmtId="0" fontId="0" fillId="5" borderId="19" xfId="0" applyFill="1" applyBorder="1" applyAlignment="1">
      <alignment horizontal="center"/>
    </xf>
    <xf numFmtId="0" fontId="20" fillId="19" borderId="0" xfId="0" applyFont="1" applyFill="1" applyBorder="1" applyAlignment="1" applyProtection="1">
      <alignment horizontal="center" vertical="center"/>
      <protection locked="0"/>
    </xf>
    <xf numFmtId="0" fontId="20" fillId="13" borderId="23" xfId="0" applyFont="1" applyFill="1" applyBorder="1" applyAlignment="1">
      <alignment horizontal="center" vertical="center"/>
    </xf>
    <xf numFmtId="0" fontId="20" fillId="11" borderId="31" xfId="0" applyFont="1" applyFill="1" applyBorder="1" applyAlignment="1" applyProtection="1">
      <alignment horizontal="center" vertical="center"/>
      <protection locked="0"/>
    </xf>
    <xf numFmtId="0" fontId="20" fillId="22" borderId="0" xfId="0" applyFont="1" applyFill="1" applyBorder="1" applyAlignment="1">
      <alignment horizontal="center" vertical="center"/>
    </xf>
    <xf numFmtId="0" fontId="20" fillId="22" borderId="0" xfId="0" applyFont="1" applyFill="1" applyAlignment="1">
      <alignment horizontal="center" vertical="center"/>
    </xf>
    <xf numFmtId="0" fontId="20" fillId="20" borderId="31" xfId="0" applyFont="1" applyFill="1" applyBorder="1" applyAlignment="1">
      <alignment horizontal="center" vertical="center"/>
    </xf>
    <xf numFmtId="0" fontId="20" fillId="20" borderId="25" xfId="0" applyFont="1" applyFill="1" applyBorder="1" applyAlignment="1">
      <alignment horizontal="center" vertical="center"/>
    </xf>
    <xf numFmtId="0" fontId="20" fillId="20" borderId="0" xfId="0" applyFont="1" applyFill="1" applyBorder="1" applyAlignment="1">
      <alignment horizontal="center" vertical="center"/>
    </xf>
    <xf numFmtId="0" fontId="20" fillId="20" borderId="23" xfId="0" applyFont="1" applyFill="1" applyBorder="1" applyAlignment="1">
      <alignment horizontal="center" vertical="center"/>
    </xf>
    <xf numFmtId="0" fontId="20" fillId="0" borderId="0" xfId="0" applyFont="1" applyAlignment="1">
      <alignment horizontal="center" vertical="center"/>
    </xf>
    <xf numFmtId="0" fontId="20" fillId="8" borderId="0" xfId="0" applyFont="1" applyFill="1" applyAlignment="1">
      <alignment horizontal="center" vertical="center"/>
    </xf>
    <xf numFmtId="0" fontId="20" fillId="20" borderId="24" xfId="0" applyFont="1" applyFill="1" applyBorder="1" applyAlignment="1">
      <alignment horizontal="center" vertical="center"/>
    </xf>
    <xf numFmtId="0" fontId="20" fillId="9" borderId="31" xfId="0" applyFont="1" applyFill="1" applyBorder="1" applyAlignment="1">
      <alignment horizontal="center" vertical="center"/>
    </xf>
    <xf numFmtId="0" fontId="20" fillId="9" borderId="25" xfId="0" applyFont="1" applyFill="1" applyBorder="1" applyAlignment="1">
      <alignment horizontal="center" vertical="center"/>
    </xf>
    <xf numFmtId="0" fontId="20" fillId="4" borderId="0" xfId="0" applyFont="1" applyFill="1" applyAlignment="1">
      <alignment horizontal="center" vertical="center"/>
    </xf>
    <xf numFmtId="0" fontId="20" fillId="11" borderId="0" xfId="0" applyFont="1" applyFill="1" applyAlignment="1">
      <alignment horizontal="center" vertical="center"/>
    </xf>
    <xf numFmtId="0" fontId="20" fillId="3" borderId="31" xfId="0" applyFont="1" applyFill="1" applyBorder="1" applyAlignment="1">
      <alignment horizontal="center" vertical="center"/>
    </xf>
    <xf numFmtId="0" fontId="20" fillId="3" borderId="25" xfId="0" applyFont="1" applyFill="1" applyBorder="1" applyAlignment="1">
      <alignment horizontal="center" vertical="center"/>
    </xf>
    <xf numFmtId="0" fontId="20" fillId="7" borderId="0" xfId="0" applyFont="1" applyFill="1" applyAlignment="1">
      <alignment horizontal="center" vertical="center"/>
    </xf>
    <xf numFmtId="0" fontId="20" fillId="20" borderId="0" xfId="0" applyFont="1" applyFill="1" applyAlignment="1">
      <alignment horizontal="center" vertical="center"/>
    </xf>
    <xf numFmtId="0" fontId="20" fillId="20" borderId="26" xfId="0" applyFont="1" applyFill="1" applyBorder="1" applyAlignment="1">
      <alignment horizontal="center" vertical="center"/>
    </xf>
    <xf numFmtId="0" fontId="20" fillId="9" borderId="0" xfId="0" applyFont="1" applyFill="1" applyBorder="1" applyAlignment="1">
      <alignment horizontal="center" vertical="center"/>
    </xf>
    <xf numFmtId="0" fontId="20" fillId="9" borderId="23" xfId="0" applyFont="1" applyFill="1" applyBorder="1" applyAlignment="1">
      <alignment horizontal="center" vertical="center"/>
    </xf>
    <xf numFmtId="0" fontId="20" fillId="3" borderId="26" xfId="0" applyFont="1" applyFill="1" applyBorder="1" applyAlignment="1">
      <alignment horizontal="center" vertical="center"/>
    </xf>
    <xf numFmtId="0" fontId="20" fillId="3" borderId="0" xfId="0" applyFont="1" applyFill="1" applyBorder="1" applyAlignment="1" applyProtection="1">
      <alignment horizontal="center" vertical="center"/>
      <protection locked="0"/>
    </xf>
    <xf numFmtId="0" fontId="20" fillId="3" borderId="0" xfId="0" applyFont="1" applyFill="1" applyBorder="1" applyAlignment="1">
      <alignment horizontal="center" vertical="center"/>
    </xf>
    <xf numFmtId="0" fontId="20" fillId="3" borderId="23" xfId="0" applyFont="1" applyFill="1" applyBorder="1" applyAlignment="1">
      <alignment horizontal="center" vertical="center"/>
    </xf>
    <xf numFmtId="0" fontId="20" fillId="5" borderId="0" xfId="0" applyFont="1" applyFill="1" applyAlignment="1">
      <alignment horizontal="center" vertical="center"/>
    </xf>
    <xf numFmtId="0" fontId="20" fillId="5" borderId="26" xfId="0" applyFont="1" applyFill="1" applyBorder="1" applyAlignment="1">
      <alignment horizontal="center" vertical="center"/>
    </xf>
    <xf numFmtId="0" fontId="20" fillId="5" borderId="0" xfId="0" applyFont="1" applyFill="1" applyBorder="1" applyAlignment="1">
      <alignment horizontal="center" vertical="center"/>
    </xf>
    <xf numFmtId="0" fontId="20" fillId="11" borderId="0" xfId="0" applyFont="1" applyFill="1" applyBorder="1" applyAlignment="1">
      <alignment horizontal="center" vertical="center"/>
    </xf>
    <xf numFmtId="0" fontId="20" fillId="16" borderId="0" xfId="0" applyFont="1" applyFill="1" applyAlignment="1">
      <alignment horizontal="center" vertical="center"/>
    </xf>
    <xf numFmtId="0" fontId="20" fillId="8" borderId="0" xfId="0" applyFont="1" applyFill="1" applyBorder="1" applyAlignment="1">
      <alignment horizontal="center" vertical="center"/>
    </xf>
    <xf numFmtId="0" fontId="20" fillId="20" borderId="0" xfId="0" applyFont="1" applyFill="1" applyBorder="1" applyAlignment="1" applyProtection="1">
      <alignment horizontal="center" vertical="center"/>
      <protection locked="0"/>
    </xf>
    <xf numFmtId="0" fontId="20" fillId="20" borderId="23" xfId="0" applyFont="1" applyFill="1" applyBorder="1" applyAlignment="1" applyProtection="1">
      <alignment horizontal="center" vertical="center"/>
      <protection locked="0"/>
    </xf>
    <xf numFmtId="0" fontId="20" fillId="3" borderId="21" xfId="0" applyFont="1" applyFill="1" applyBorder="1" applyAlignment="1">
      <alignment horizontal="center" vertical="center"/>
    </xf>
    <xf numFmtId="0" fontId="20" fillId="3" borderId="28" xfId="0" applyFont="1" applyFill="1" applyBorder="1" applyAlignment="1">
      <alignment horizontal="center" vertical="center"/>
    </xf>
    <xf numFmtId="0" fontId="20" fillId="13" borderId="31" xfId="0" applyFont="1" applyFill="1" applyBorder="1" applyAlignment="1">
      <alignment horizontal="center" vertical="center"/>
    </xf>
    <xf numFmtId="0" fontId="20" fillId="13" borderId="25" xfId="0" applyFont="1" applyFill="1" applyBorder="1" applyAlignment="1">
      <alignment horizontal="center" vertical="center"/>
    </xf>
    <xf numFmtId="0" fontId="20" fillId="36" borderId="24" xfId="0" applyFont="1" applyFill="1" applyBorder="1" applyAlignment="1">
      <alignment horizontal="center" vertical="center"/>
    </xf>
    <xf numFmtId="0" fontId="20" fillId="36" borderId="25" xfId="0" applyFont="1" applyFill="1" applyBorder="1" applyAlignment="1">
      <alignment horizontal="center" vertical="center"/>
    </xf>
    <xf numFmtId="0" fontId="20" fillId="36" borderId="31" xfId="0" applyFont="1" applyFill="1" applyBorder="1" applyAlignment="1">
      <alignment horizontal="center" vertical="center"/>
    </xf>
    <xf numFmtId="0" fontId="20" fillId="5" borderId="24" xfId="0" applyFont="1" applyFill="1" applyBorder="1" applyAlignment="1">
      <alignment horizontal="center" vertical="center"/>
    </xf>
    <xf numFmtId="0" fontId="20" fillId="5" borderId="25" xfId="0" applyFont="1" applyFill="1" applyBorder="1" applyAlignment="1">
      <alignment horizontal="center" vertical="center"/>
    </xf>
    <xf numFmtId="0" fontId="20" fillId="11" borderId="29" xfId="0" applyFont="1" applyFill="1" applyBorder="1" applyAlignment="1">
      <alignment horizontal="center" vertical="center"/>
    </xf>
    <xf numFmtId="0" fontId="20" fillId="11" borderId="32" xfId="0" applyFont="1" applyFill="1" applyBorder="1" applyAlignment="1">
      <alignment horizontal="center" vertical="center"/>
    </xf>
    <xf numFmtId="0" fontId="20" fillId="5" borderId="32" xfId="0" applyFont="1" applyFill="1" applyBorder="1" applyAlignment="1">
      <alignment horizontal="center" vertical="center"/>
    </xf>
    <xf numFmtId="0" fontId="20" fillId="3" borderId="32" xfId="0" applyFont="1" applyFill="1" applyBorder="1" applyAlignment="1">
      <alignment horizontal="center" vertical="center"/>
    </xf>
    <xf numFmtId="0" fontId="20" fillId="3" borderId="30" xfId="0" applyFont="1" applyFill="1" applyBorder="1" applyAlignment="1">
      <alignment horizontal="center" vertical="center"/>
    </xf>
    <xf numFmtId="0" fontId="20" fillId="20" borderId="27" xfId="0" applyFont="1" applyFill="1" applyBorder="1" applyAlignment="1">
      <alignment horizontal="center" vertical="center"/>
    </xf>
    <xf numFmtId="0" fontId="20" fillId="20" borderId="28" xfId="0" applyFont="1" applyFill="1" applyBorder="1" applyAlignment="1">
      <alignment horizontal="center" vertical="center"/>
    </xf>
    <xf numFmtId="0" fontId="20" fillId="9" borderId="21" xfId="0" applyFont="1" applyFill="1" applyBorder="1" applyAlignment="1">
      <alignment horizontal="center" vertical="center"/>
    </xf>
    <xf numFmtId="0" fontId="20" fillId="9" borderId="28" xfId="0" applyFont="1" applyFill="1" applyBorder="1" applyAlignment="1">
      <alignment horizontal="center" vertical="center"/>
    </xf>
    <xf numFmtId="0" fontId="20" fillId="36" borderId="0" xfId="0" applyFont="1" applyFill="1" applyAlignment="1">
      <alignment horizontal="center" vertical="center"/>
    </xf>
    <xf numFmtId="0" fontId="20" fillId="6" borderId="0" xfId="0" applyFont="1" applyFill="1" applyBorder="1" applyAlignment="1" applyProtection="1">
      <alignment horizontal="center" vertical="center"/>
      <protection locked="0"/>
    </xf>
    <xf numFmtId="0" fontId="20" fillId="13" borderId="0" xfId="0" applyFont="1" applyFill="1" applyBorder="1" applyAlignment="1">
      <alignment horizontal="center" vertical="center"/>
    </xf>
    <xf numFmtId="0" fontId="20" fillId="36" borderId="26" xfId="0" applyFont="1" applyFill="1" applyBorder="1" applyAlignment="1">
      <alignment horizontal="center" vertical="center"/>
    </xf>
    <xf numFmtId="0" fontId="20" fillId="36" borderId="23" xfId="0" applyFont="1" applyFill="1" applyBorder="1" applyAlignment="1">
      <alignment horizontal="center" vertical="center"/>
    </xf>
    <xf numFmtId="0" fontId="20" fillId="36" borderId="0" xfId="0" applyFont="1" applyFill="1" applyBorder="1" applyAlignment="1">
      <alignment horizontal="center" vertical="center"/>
    </xf>
    <xf numFmtId="0" fontId="20" fillId="5" borderId="23" xfId="0" applyFont="1" applyFill="1" applyBorder="1" applyAlignment="1">
      <alignment horizontal="center" vertical="center"/>
    </xf>
    <xf numFmtId="0" fontId="20" fillId="5" borderId="31" xfId="0" applyFont="1" applyFill="1" applyBorder="1" applyAlignment="1">
      <alignment horizontal="center" vertical="center"/>
    </xf>
    <xf numFmtId="0" fontId="20" fillId="8" borderId="29" xfId="0" applyFont="1" applyFill="1" applyBorder="1" applyAlignment="1">
      <alignment horizontal="center" vertical="center"/>
    </xf>
    <xf numFmtId="0" fontId="20" fillId="8" borderId="30" xfId="0" applyFont="1" applyFill="1" applyBorder="1" applyAlignment="1">
      <alignment horizontal="center" vertical="center"/>
    </xf>
    <xf numFmtId="0" fontId="20" fillId="19" borderId="26" xfId="0" applyFont="1" applyFill="1" applyBorder="1" applyAlignment="1">
      <alignment horizontal="center" vertical="center"/>
    </xf>
    <xf numFmtId="0" fontId="20" fillId="19" borderId="0" xfId="0" applyFont="1" applyFill="1" applyBorder="1" applyAlignment="1">
      <alignment horizontal="center" vertical="center"/>
    </xf>
    <xf numFmtId="0" fontId="20" fillId="19" borderId="23" xfId="0" applyFont="1" applyFill="1" applyBorder="1" applyAlignment="1">
      <alignment horizontal="center" vertical="center"/>
    </xf>
    <xf numFmtId="0" fontId="20" fillId="13" borderId="24" xfId="0" applyFont="1" applyFill="1" applyBorder="1" applyAlignment="1">
      <alignment horizontal="center" vertical="center"/>
    </xf>
    <xf numFmtId="0" fontId="20" fillId="24" borderId="12" xfId="0" applyFont="1" applyFill="1" applyBorder="1" applyAlignment="1">
      <alignment horizontal="center" vertical="center"/>
    </xf>
    <xf numFmtId="0" fontId="20" fillId="24" borderId="13" xfId="0" applyFont="1" applyFill="1" applyBorder="1" applyAlignment="1">
      <alignment horizontal="center" vertical="center"/>
    </xf>
    <xf numFmtId="0" fontId="20" fillId="24" borderId="14" xfId="0" applyFont="1" applyFill="1" applyBorder="1" applyAlignment="1">
      <alignment horizontal="center" vertical="center"/>
    </xf>
    <xf numFmtId="0" fontId="20" fillId="11" borderId="24" xfId="0" applyFont="1" applyFill="1" applyBorder="1" applyAlignment="1">
      <alignment horizontal="center" vertical="center"/>
    </xf>
    <xf numFmtId="0" fontId="20" fillId="11" borderId="31" xfId="0" applyFont="1" applyFill="1" applyBorder="1" applyAlignment="1">
      <alignment horizontal="center" vertical="center"/>
    </xf>
    <xf numFmtId="0" fontId="20" fillId="6" borderId="26" xfId="0" applyFont="1" applyFill="1" applyBorder="1" applyAlignment="1">
      <alignment horizontal="center" vertical="center"/>
    </xf>
    <xf numFmtId="0" fontId="20" fillId="6" borderId="0" xfId="0" applyFont="1" applyFill="1" applyBorder="1" applyAlignment="1">
      <alignment horizontal="center" vertical="center"/>
    </xf>
    <xf numFmtId="0" fontId="20" fillId="6" borderId="23" xfId="0" applyFont="1" applyFill="1" applyBorder="1" applyAlignment="1">
      <alignment horizontal="center" vertical="center"/>
    </xf>
    <xf numFmtId="0" fontId="20" fillId="7" borderId="0" xfId="0" applyFont="1" applyFill="1" applyBorder="1" applyAlignment="1" applyProtection="1">
      <alignment horizontal="center" vertical="center"/>
      <protection locked="0"/>
    </xf>
    <xf numFmtId="0" fontId="20" fillId="11" borderId="0" xfId="0" applyFont="1" applyFill="1" applyBorder="1" applyAlignment="1" applyProtection="1">
      <alignment horizontal="center" vertical="center"/>
      <protection locked="0"/>
    </xf>
    <xf numFmtId="0" fontId="20" fillId="13" borderId="21" xfId="0" applyFont="1" applyFill="1" applyBorder="1" applyAlignment="1">
      <alignment horizontal="center" vertical="center"/>
    </xf>
    <xf numFmtId="0" fontId="20" fillId="13" borderId="28" xfId="0" applyFont="1" applyFill="1" applyBorder="1" applyAlignment="1">
      <alignment horizontal="center" vertical="center"/>
    </xf>
    <xf numFmtId="0" fontId="20" fillId="11" borderId="25" xfId="0" applyFont="1" applyFill="1" applyBorder="1" applyAlignment="1">
      <alignment horizontal="center" vertical="center"/>
    </xf>
    <xf numFmtId="0" fontId="20" fillId="5" borderId="0" xfId="0" applyFont="1" applyFill="1" applyBorder="1" applyAlignment="1" applyProtection="1">
      <alignment horizontal="center" vertical="center"/>
      <protection locked="0"/>
    </xf>
    <xf numFmtId="0" fontId="20" fillId="19" borderId="23" xfId="0" applyFont="1" applyFill="1" applyBorder="1" applyAlignment="1" applyProtection="1">
      <alignment horizontal="center" vertical="center"/>
      <protection locked="0"/>
    </xf>
    <xf numFmtId="0" fontId="20" fillId="13" borderId="26" xfId="0" applyFont="1" applyFill="1" applyBorder="1" applyAlignment="1">
      <alignment horizontal="center" vertical="center"/>
    </xf>
    <xf numFmtId="0" fontId="20" fillId="24" borderId="15" xfId="0" applyFont="1" applyFill="1" applyBorder="1" applyAlignment="1">
      <alignment horizontal="center" vertical="center"/>
    </xf>
    <xf numFmtId="0" fontId="20" fillId="24" borderId="0" xfId="0" applyFont="1" applyFill="1" applyBorder="1" applyAlignment="1">
      <alignment horizontal="center" vertical="center"/>
    </xf>
    <xf numFmtId="0" fontId="20" fillId="24" borderId="16" xfId="0" applyFont="1" applyFill="1" applyBorder="1" applyAlignment="1">
      <alignment horizontal="center" vertical="center"/>
    </xf>
    <xf numFmtId="0" fontId="20" fillId="11" borderId="27" xfId="0" applyFont="1" applyFill="1" applyBorder="1" applyAlignment="1">
      <alignment horizontal="center" vertical="center"/>
    </xf>
    <xf numFmtId="0" fontId="20" fillId="11" borderId="21" xfId="0" applyFont="1" applyFill="1" applyBorder="1" applyAlignment="1">
      <alignment horizontal="center" vertical="center"/>
    </xf>
    <xf numFmtId="0" fontId="20" fillId="5" borderId="21" xfId="0" applyFont="1" applyFill="1" applyBorder="1" applyAlignment="1">
      <alignment horizontal="center" vertical="center"/>
    </xf>
    <xf numFmtId="0" fontId="20" fillId="8" borderId="24" xfId="0" applyFont="1" applyFill="1" applyBorder="1" applyAlignment="1">
      <alignment horizontal="center" vertical="center"/>
    </xf>
    <xf numFmtId="0" fontId="20" fillId="8" borderId="25" xfId="0" applyFont="1" applyFill="1" applyBorder="1" applyAlignment="1">
      <alignment horizontal="center" vertical="center"/>
    </xf>
    <xf numFmtId="0" fontId="20" fillId="11" borderId="26" xfId="0" applyFont="1" applyFill="1" applyBorder="1" applyAlignment="1">
      <alignment horizontal="center" vertical="center"/>
    </xf>
    <xf numFmtId="0" fontId="20" fillId="11" borderId="23" xfId="0" applyFont="1" applyFill="1" applyBorder="1" applyAlignment="1">
      <alignment horizontal="center" vertical="center"/>
    </xf>
    <xf numFmtId="0" fontId="20" fillId="13" borderId="27" xfId="0" applyFont="1" applyFill="1" applyBorder="1" applyAlignment="1">
      <alignment horizontal="center" vertical="center"/>
    </xf>
    <xf numFmtId="0" fontId="20" fillId="8" borderId="26" xfId="0" applyFont="1" applyFill="1" applyBorder="1" applyAlignment="1">
      <alignment horizontal="center" vertical="center"/>
    </xf>
    <xf numFmtId="0" fontId="20" fillId="8" borderId="23" xfId="0" applyFont="1" applyFill="1" applyBorder="1" applyAlignment="1">
      <alignment horizontal="center" vertical="center"/>
    </xf>
    <xf numFmtId="0" fontId="20" fillId="19" borderId="26" xfId="0" applyFont="1" applyFill="1" applyBorder="1" applyAlignment="1" applyProtection="1">
      <alignment horizontal="center" vertical="center"/>
      <protection locked="0"/>
    </xf>
    <xf numFmtId="0" fontId="20" fillId="8" borderId="24" xfId="0" applyFont="1" applyFill="1" applyBorder="1" applyAlignment="1" applyProtection="1">
      <alignment horizontal="center" vertical="center"/>
      <protection locked="0"/>
    </xf>
    <xf numFmtId="0" fontId="20" fillId="11" borderId="28" xfId="0" applyFont="1" applyFill="1" applyBorder="1" applyAlignment="1">
      <alignment horizontal="center" vertical="center"/>
    </xf>
    <xf numFmtId="0" fontId="20" fillId="22" borderId="0" xfId="0" applyFont="1" applyFill="1" applyAlignment="1" applyProtection="1">
      <alignment horizontal="center" vertical="center"/>
      <protection locked="0"/>
    </xf>
    <xf numFmtId="0" fontId="20" fillId="8" borderId="26" xfId="0" applyFont="1" applyFill="1" applyBorder="1" applyAlignment="1" applyProtection="1">
      <alignment horizontal="center" vertical="center"/>
      <protection locked="0"/>
    </xf>
    <xf numFmtId="0" fontId="20" fillId="20" borderId="12" xfId="0" applyFont="1" applyFill="1" applyBorder="1" applyAlignment="1">
      <alignment horizontal="center" vertical="center"/>
    </xf>
    <xf numFmtId="0" fontId="20" fillId="20" borderId="13" xfId="0" applyFont="1" applyFill="1" applyBorder="1" applyAlignment="1">
      <alignment horizontal="center" vertical="center"/>
    </xf>
    <xf numFmtId="0" fontId="20" fillId="20" borderId="14" xfId="0" applyFont="1" applyFill="1" applyBorder="1" applyAlignment="1">
      <alignment horizontal="center" vertical="center"/>
    </xf>
    <xf numFmtId="0" fontId="20" fillId="13" borderId="0" xfId="0" applyFont="1" applyFill="1" applyAlignment="1">
      <alignment horizontal="center" vertical="center"/>
    </xf>
    <xf numFmtId="0" fontId="20" fillId="20" borderId="15" xfId="0" applyFont="1" applyFill="1" applyBorder="1" applyAlignment="1">
      <alignment horizontal="center" vertical="center"/>
    </xf>
    <xf numFmtId="0" fontId="20" fillId="20" borderId="16" xfId="0" applyFont="1" applyFill="1" applyBorder="1" applyAlignment="1">
      <alignment horizontal="center" vertical="center"/>
    </xf>
    <xf numFmtId="0" fontId="20" fillId="2" borderId="24" xfId="0" applyFont="1" applyFill="1" applyBorder="1" applyAlignment="1">
      <alignment horizontal="center" vertical="center"/>
    </xf>
    <xf numFmtId="0" fontId="20" fillId="2" borderId="31" xfId="0" applyFont="1" applyFill="1" applyBorder="1" applyAlignment="1">
      <alignment horizontal="center" vertical="center"/>
    </xf>
    <xf numFmtId="0" fontId="20" fillId="2" borderId="25" xfId="0" applyFont="1" applyFill="1" applyBorder="1" applyAlignment="1">
      <alignment horizontal="center" vertical="center"/>
    </xf>
    <xf numFmtId="0" fontId="20" fillId="2" borderId="26" xfId="0" applyFont="1" applyFill="1" applyBorder="1" applyAlignment="1">
      <alignment horizontal="center" vertical="center"/>
    </xf>
    <xf numFmtId="0" fontId="20" fillId="2" borderId="0" xfId="0" applyFont="1" applyFill="1" applyBorder="1" applyAlignment="1">
      <alignment horizontal="center" vertical="center"/>
    </xf>
    <xf numFmtId="0" fontId="20" fillId="2" borderId="23" xfId="0" applyFont="1" applyFill="1" applyBorder="1" applyAlignment="1">
      <alignment horizontal="center" vertical="center"/>
    </xf>
    <xf numFmtId="0" fontId="20" fillId="24" borderId="24" xfId="0" applyFont="1" applyFill="1" applyBorder="1" applyAlignment="1">
      <alignment horizontal="center" vertical="center"/>
    </xf>
    <xf numFmtId="0" fontId="20" fillId="5" borderId="27" xfId="0" applyFont="1" applyFill="1" applyBorder="1" applyAlignment="1">
      <alignment horizontal="center" vertical="center"/>
    </xf>
    <xf numFmtId="0" fontId="20" fillId="5" borderId="28" xfId="0" applyFont="1" applyFill="1" applyBorder="1" applyAlignment="1">
      <alignment horizontal="center" vertical="center"/>
    </xf>
    <xf numFmtId="0" fontId="20" fillId="24" borderId="26" xfId="0" applyFont="1" applyFill="1" applyBorder="1" applyAlignment="1">
      <alignment horizontal="center" vertical="center"/>
    </xf>
    <xf numFmtId="0" fontId="20" fillId="24" borderId="23" xfId="0" applyFont="1" applyFill="1" applyBorder="1" applyAlignment="1">
      <alignment horizontal="center" vertical="center"/>
    </xf>
    <xf numFmtId="0" fontId="20" fillId="24" borderId="27" xfId="0" applyFont="1" applyFill="1" applyBorder="1" applyAlignment="1">
      <alignment horizontal="center" vertical="center"/>
    </xf>
    <xf numFmtId="0" fontId="20" fillId="24" borderId="28" xfId="0" applyFont="1" applyFill="1" applyBorder="1" applyAlignment="1">
      <alignment horizontal="center" vertical="center"/>
    </xf>
    <xf numFmtId="0" fontId="20" fillId="19" borderId="27" xfId="0" applyFont="1" applyFill="1" applyBorder="1" applyAlignment="1" applyProtection="1">
      <alignment horizontal="center" vertical="center"/>
      <protection locked="0"/>
    </xf>
    <xf numFmtId="0" fontId="20" fillId="19" borderId="21" xfId="0" applyFont="1" applyFill="1" applyBorder="1" applyAlignment="1" applyProtection="1">
      <alignment horizontal="center" vertical="center"/>
      <protection locked="0"/>
    </xf>
    <xf numFmtId="0" fontId="20" fillId="19" borderId="28" xfId="0" applyFont="1" applyFill="1" applyBorder="1" applyAlignment="1" applyProtection="1">
      <alignment horizontal="center" vertical="center"/>
      <protection locked="0"/>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24" borderId="25" xfId="0" applyFont="1" applyFill="1" applyBorder="1" applyAlignment="1">
      <alignment horizontal="center" vertical="center"/>
    </xf>
    <xf numFmtId="0" fontId="20" fillId="2" borderId="21" xfId="0" applyFont="1" applyFill="1" applyBorder="1" applyAlignment="1">
      <alignment horizontal="center" vertical="center"/>
    </xf>
    <xf numFmtId="0" fontId="20" fillId="2" borderId="21" xfId="0" applyFont="1" applyFill="1" applyBorder="1" applyAlignment="1" applyProtection="1">
      <alignment horizontal="center" vertical="center"/>
      <protection locked="0"/>
    </xf>
    <xf numFmtId="0" fontId="20" fillId="2" borderId="28" xfId="0" applyFont="1" applyFill="1" applyBorder="1" applyAlignment="1" applyProtection="1">
      <alignment horizontal="center" vertical="center"/>
      <protection locked="0"/>
    </xf>
    <xf numFmtId="0" fontId="20" fillId="22" borderId="0" xfId="0" applyFont="1" applyFill="1" applyBorder="1" applyAlignment="1" applyProtection="1">
      <alignment horizontal="center" vertical="center"/>
      <protection locked="0"/>
    </xf>
    <xf numFmtId="0" fontId="20" fillId="2" borderId="31" xfId="0" applyFont="1" applyFill="1" applyBorder="1" applyAlignment="1" applyProtection="1">
      <alignment horizontal="center" vertical="center"/>
      <protection locked="0"/>
    </xf>
    <xf numFmtId="0" fontId="20" fillId="2" borderId="25" xfId="0" applyFont="1" applyFill="1" applyBorder="1" applyAlignment="1" applyProtection="1">
      <alignment horizontal="center" vertical="center"/>
      <protection locked="0"/>
    </xf>
    <xf numFmtId="0" fontId="20" fillId="22" borderId="25" xfId="0" applyFont="1" applyFill="1" applyBorder="1" applyAlignment="1">
      <alignment horizontal="center" vertical="center"/>
    </xf>
    <xf numFmtId="0" fontId="20" fillId="2" borderId="27" xfId="0" applyFont="1" applyFill="1" applyBorder="1" applyAlignment="1">
      <alignment horizontal="center" vertical="center"/>
    </xf>
    <xf numFmtId="0" fontId="20" fillId="36" borderId="27" xfId="0" applyFont="1" applyFill="1" applyBorder="1" applyAlignment="1">
      <alignment horizontal="center" vertical="center"/>
    </xf>
    <xf numFmtId="0" fontId="20" fillId="36" borderId="21" xfId="0" applyFont="1" applyFill="1" applyBorder="1" applyAlignment="1">
      <alignment horizontal="center" vertical="center"/>
    </xf>
    <xf numFmtId="0" fontId="20" fillId="36" borderId="28" xfId="0" applyFont="1" applyFill="1" applyBorder="1" applyAlignment="1">
      <alignment horizontal="center" vertical="center"/>
    </xf>
    <xf numFmtId="0" fontId="20" fillId="13" borderId="0" xfId="0" applyFont="1" applyFill="1" applyBorder="1" applyAlignment="1" applyProtection="1">
      <alignment horizontal="center" vertical="center"/>
      <protection locked="0"/>
    </xf>
    <xf numFmtId="0" fontId="20" fillId="36" borderId="0" xfId="0" applyFont="1" applyFill="1" applyBorder="1" applyAlignment="1" applyProtection="1">
      <alignment horizontal="center" vertical="center"/>
      <protection locked="0"/>
    </xf>
    <xf numFmtId="0" fontId="20" fillId="7" borderId="24" xfId="0" applyFont="1" applyFill="1" applyBorder="1" applyAlignment="1">
      <alignment horizontal="center" vertical="center"/>
    </xf>
    <xf numFmtId="0" fontId="20" fillId="7" borderId="25" xfId="0" applyFont="1" applyFill="1" applyBorder="1" applyAlignment="1">
      <alignment horizontal="center" vertical="center"/>
    </xf>
    <xf numFmtId="0" fontId="20" fillId="7" borderId="31" xfId="0" applyFont="1" applyFill="1" applyBorder="1" applyAlignment="1">
      <alignment horizontal="center" vertical="center"/>
    </xf>
    <xf numFmtId="0" fontId="20" fillId="20" borderId="17" xfId="0" applyFont="1" applyFill="1" applyBorder="1" applyAlignment="1">
      <alignment horizontal="center" vertical="center"/>
    </xf>
    <xf numFmtId="0" fontId="20" fillId="20" borderId="18" xfId="0" applyFont="1" applyFill="1" applyBorder="1" applyAlignment="1">
      <alignment horizontal="center" vertical="center"/>
    </xf>
    <xf numFmtId="0" fontId="20" fillId="20" borderId="18" xfId="0" applyFont="1" applyFill="1" applyBorder="1" applyAlignment="1" applyProtection="1">
      <alignment horizontal="center" vertical="center"/>
      <protection locked="0"/>
    </xf>
    <xf numFmtId="0" fontId="20" fillId="20" borderId="19" xfId="0" applyFont="1" applyFill="1" applyBorder="1" applyAlignment="1">
      <alignment horizontal="center" vertical="center"/>
    </xf>
    <xf numFmtId="0" fontId="20" fillId="7" borderId="26" xfId="0" applyFont="1" applyFill="1" applyBorder="1" applyAlignment="1">
      <alignment horizontal="center" vertical="center"/>
    </xf>
    <xf numFmtId="0" fontId="20" fillId="7" borderId="23" xfId="0" applyFont="1" applyFill="1" applyBorder="1" applyAlignment="1">
      <alignment horizontal="center" vertical="center"/>
    </xf>
    <xf numFmtId="0" fontId="20" fillId="7" borderId="0" xfId="0" applyFont="1" applyFill="1" applyBorder="1" applyAlignment="1">
      <alignment horizontal="center" vertical="center"/>
    </xf>
    <xf numFmtId="0" fontId="20" fillId="7" borderId="27" xfId="0" applyFont="1" applyFill="1" applyBorder="1" applyAlignment="1">
      <alignment horizontal="center" vertical="center"/>
    </xf>
    <xf numFmtId="0" fontId="20" fillId="7" borderId="28" xfId="0" applyFont="1" applyFill="1" applyBorder="1" applyAlignment="1">
      <alignment horizontal="center" vertical="center"/>
    </xf>
    <xf numFmtId="0" fontId="20" fillId="7" borderId="21" xfId="0" applyFont="1" applyFill="1" applyBorder="1" applyAlignment="1">
      <alignment horizontal="center" vertical="center"/>
    </xf>
    <xf numFmtId="0" fontId="20" fillId="5" borderId="26" xfId="0" applyFont="1" applyFill="1" applyBorder="1" applyAlignment="1" applyProtection="1">
      <alignment horizontal="center" vertical="center"/>
      <protection locked="0"/>
    </xf>
    <xf numFmtId="0" fontId="20" fillId="7" borderId="24" xfId="0" applyFont="1" applyFill="1" applyBorder="1" applyAlignment="1" applyProtection="1">
      <alignment horizontal="center" vertical="center"/>
      <protection locked="0"/>
    </xf>
    <xf numFmtId="0" fontId="20" fillId="11" borderId="24" xfId="0" applyFont="1" applyFill="1" applyBorder="1" applyAlignment="1" applyProtection="1">
      <alignment horizontal="center" vertical="center"/>
      <protection locked="0"/>
    </xf>
    <xf numFmtId="0" fontId="20" fillId="20" borderId="21" xfId="0" applyFont="1" applyFill="1" applyBorder="1" applyAlignment="1" applyProtection="1">
      <alignment horizontal="center" vertical="center"/>
      <protection locked="0"/>
    </xf>
    <xf numFmtId="0" fontId="20" fillId="20" borderId="28" xfId="0" applyFont="1" applyFill="1" applyBorder="1" applyAlignment="1" applyProtection="1">
      <alignment horizontal="center" vertical="center"/>
      <protection locked="0"/>
    </xf>
    <xf numFmtId="0" fontId="20" fillId="20" borderId="21" xfId="0" applyFont="1" applyFill="1" applyBorder="1" applyAlignment="1">
      <alignment horizontal="center" vertical="center"/>
    </xf>
    <xf numFmtId="0" fontId="20" fillId="7" borderId="26" xfId="0" applyFont="1" applyFill="1" applyBorder="1" applyAlignment="1" applyProtection="1">
      <alignment horizontal="center" vertical="center"/>
      <protection locked="0"/>
    </xf>
    <xf numFmtId="0" fontId="20" fillId="11" borderId="26" xfId="0" applyFont="1" applyFill="1" applyBorder="1" applyAlignment="1" applyProtection="1">
      <alignment horizontal="center" vertical="center"/>
      <protection locked="0"/>
    </xf>
    <xf numFmtId="0" fontId="20" fillId="5" borderId="29" xfId="0" applyFont="1" applyFill="1" applyBorder="1" applyAlignment="1">
      <alignment horizontal="center" vertical="center"/>
    </xf>
    <xf numFmtId="0" fontId="20" fillId="5" borderId="30" xfId="0" applyFont="1" applyFill="1" applyBorder="1" applyAlignment="1">
      <alignment horizontal="center" vertical="center"/>
    </xf>
    <xf numFmtId="0" fontId="20" fillId="19" borderId="21" xfId="0" applyFont="1" applyFill="1" applyBorder="1" applyAlignment="1">
      <alignment horizontal="center" vertical="center"/>
    </xf>
    <xf numFmtId="0" fontId="20" fillId="19" borderId="28" xfId="0" applyFont="1" applyFill="1" applyBorder="1" applyAlignment="1">
      <alignment horizontal="center" vertical="center"/>
    </xf>
    <xf numFmtId="0" fontId="20" fillId="15" borderId="12" xfId="0" applyFont="1" applyFill="1" applyBorder="1" applyAlignment="1">
      <alignment horizontal="center" vertical="center"/>
    </xf>
    <xf numFmtId="0" fontId="20" fillId="15" borderId="13" xfId="0" applyFont="1" applyFill="1" applyBorder="1" applyAlignment="1">
      <alignment horizontal="center" vertical="center"/>
    </xf>
    <xf numFmtId="0" fontId="20" fillId="15" borderId="14" xfId="0" applyFont="1" applyFill="1" applyBorder="1" applyAlignment="1">
      <alignment horizontal="center" vertical="center"/>
    </xf>
    <xf numFmtId="0" fontId="20" fillId="15" borderId="15" xfId="0" applyFont="1" applyFill="1" applyBorder="1" applyAlignment="1">
      <alignment horizontal="center" vertical="center"/>
    </xf>
    <xf numFmtId="0" fontId="20" fillId="15" borderId="0" xfId="0" applyFont="1" applyFill="1" applyBorder="1" applyAlignment="1">
      <alignment horizontal="center" vertical="center"/>
    </xf>
    <xf numFmtId="0" fontId="20" fillId="15" borderId="16" xfId="0" applyFont="1" applyFill="1" applyBorder="1" applyAlignment="1">
      <alignment horizontal="center" vertical="center"/>
    </xf>
    <xf numFmtId="0" fontId="20" fillId="15" borderId="17" xfId="0" applyFont="1" applyFill="1" applyBorder="1" applyAlignment="1">
      <alignment horizontal="center" vertical="center"/>
    </xf>
    <xf numFmtId="0" fontId="20" fillId="15" borderId="18" xfId="0" applyFont="1" applyFill="1" applyBorder="1" applyAlignment="1">
      <alignment horizontal="center" vertical="center"/>
    </xf>
    <xf numFmtId="0" fontId="20" fillId="15" borderId="19" xfId="0" applyFont="1" applyFill="1" applyBorder="1" applyAlignment="1">
      <alignment horizontal="center" vertical="center"/>
    </xf>
    <xf numFmtId="0" fontId="20" fillId="36" borderId="12" xfId="0" applyFont="1" applyFill="1" applyBorder="1" applyAlignment="1">
      <alignment horizontal="center" vertical="center"/>
    </xf>
    <xf numFmtId="0" fontId="20" fillId="36" borderId="13" xfId="0" applyFont="1" applyFill="1" applyBorder="1" applyAlignment="1">
      <alignment horizontal="center" vertical="center"/>
    </xf>
    <xf numFmtId="0" fontId="20" fillId="36" borderId="14" xfId="0" applyFont="1" applyFill="1" applyBorder="1" applyAlignment="1">
      <alignment horizontal="center" vertical="center"/>
    </xf>
    <xf numFmtId="0" fontId="20" fillId="36" borderId="15" xfId="0" applyFont="1" applyFill="1" applyBorder="1" applyAlignment="1">
      <alignment horizontal="center" vertical="center"/>
    </xf>
    <xf numFmtId="0" fontId="20" fillId="36" borderId="16" xfId="0" applyFont="1" applyFill="1" applyBorder="1" applyAlignment="1">
      <alignment horizontal="center" vertical="center"/>
    </xf>
    <xf numFmtId="0" fontId="20" fillId="36" borderId="17" xfId="0" applyFont="1" applyFill="1" applyBorder="1" applyAlignment="1">
      <alignment horizontal="center" vertical="center"/>
    </xf>
    <xf numFmtId="0" fontId="20" fillId="36" borderId="18" xfId="0" applyFont="1" applyFill="1" applyBorder="1" applyAlignment="1">
      <alignment horizontal="center" vertical="center"/>
    </xf>
    <xf numFmtId="0" fontId="20" fillId="36" borderId="19" xfId="0" applyFont="1" applyFill="1" applyBorder="1" applyAlignment="1">
      <alignment horizontal="center" vertical="center"/>
    </xf>
    <xf numFmtId="0" fontId="20" fillId="36" borderId="13" xfId="0" applyFont="1" applyFill="1" applyBorder="1" applyAlignment="1" applyProtection="1">
      <alignment horizontal="center" vertical="center"/>
      <protection locked="0"/>
    </xf>
    <xf numFmtId="0" fontId="20" fillId="36" borderId="18" xfId="0" applyFont="1" applyFill="1" applyBorder="1" applyAlignment="1" applyProtection="1">
      <alignment horizontal="center" vertical="center"/>
      <protection locked="0"/>
    </xf>
    <xf numFmtId="0" fontId="24" fillId="4" borderId="20" xfId="0" applyFont="1" applyFill="1" applyBorder="1" applyAlignment="1">
      <alignment horizontal="right"/>
    </xf>
    <xf numFmtId="0" fontId="20" fillId="4" borderId="21" xfId="0" applyFont="1" applyFill="1" applyBorder="1" applyAlignment="1" applyProtection="1">
      <alignment horizontal="right"/>
      <protection locked="0"/>
    </xf>
    <xf numFmtId="0" fontId="21" fillId="4" borderId="21" xfId="0" applyFont="1" applyFill="1" applyBorder="1" applyAlignment="1" applyProtection="1">
      <alignment horizontal="center"/>
      <protection locked="0"/>
    </xf>
    <xf numFmtId="0" fontId="21" fillId="4" borderId="22" xfId="0" applyFont="1" applyFill="1" applyBorder="1" applyAlignment="1" applyProtection="1">
      <alignment horizontal="center"/>
      <protection locked="0"/>
    </xf>
    <xf numFmtId="0" fontId="0" fillId="19" borderId="12" xfId="0" applyFill="1" applyBorder="1"/>
    <xf numFmtId="0" fontId="0" fillId="19" borderId="13" xfId="0" applyFill="1" applyBorder="1"/>
    <xf numFmtId="0" fontId="1" fillId="11" borderId="16" xfId="0" applyFont="1" applyFill="1" applyBorder="1" applyAlignment="1" applyProtection="1">
      <alignment horizontal="center"/>
      <protection locked="0"/>
    </xf>
    <xf numFmtId="0" fontId="1" fillId="11" borderId="19" xfId="0" applyFont="1" applyFill="1" applyBorder="1" applyAlignment="1" applyProtection="1">
      <alignment horizontal="center"/>
      <protection locked="0"/>
    </xf>
    <xf numFmtId="0" fontId="1" fillId="19" borderId="13" xfId="0" applyFont="1" applyFill="1" applyBorder="1" applyAlignment="1" applyProtection="1">
      <alignment horizontal="center"/>
      <protection locked="0"/>
    </xf>
    <xf numFmtId="0" fontId="1" fillId="19" borderId="14" xfId="0" applyFont="1" applyFill="1" applyBorder="1" applyAlignment="1" applyProtection="1">
      <alignment horizontal="center"/>
      <protection locked="0"/>
    </xf>
    <xf numFmtId="0" fontId="1" fillId="19" borderId="18" xfId="0" applyFont="1" applyFill="1" applyBorder="1" applyAlignment="1" applyProtection="1">
      <alignment horizontal="center"/>
      <protection locked="0"/>
    </xf>
    <xf numFmtId="0" fontId="1" fillId="19" borderId="19" xfId="0" applyFont="1" applyFill="1" applyBorder="1" applyAlignment="1" applyProtection="1">
      <alignment horizontal="center"/>
      <protection locked="0"/>
    </xf>
    <xf numFmtId="0" fontId="0" fillId="4" borderId="2" xfId="0" applyFill="1" applyBorder="1"/>
    <xf numFmtId="0" fontId="0" fillId="4" borderId="3" xfId="0" applyFill="1" applyBorder="1"/>
    <xf numFmtId="0" fontId="56" fillId="4" borderId="1" xfId="0" applyFont="1" applyFill="1" applyBorder="1" applyAlignment="1">
      <alignment horizontal="right"/>
    </xf>
    <xf numFmtId="0" fontId="23" fillId="0" borderId="0" xfId="0" applyFont="1" applyFill="1" applyBorder="1" applyAlignment="1">
      <alignment horizontal="right"/>
    </xf>
    <xf numFmtId="0" fontId="20" fillId="0" borderId="0" xfId="0" applyFont="1" applyAlignment="1">
      <alignment horizontal="right" vertical="center"/>
    </xf>
    <xf numFmtId="0" fontId="23" fillId="8" borderId="21" xfId="0" applyFont="1" applyFill="1" applyBorder="1" applyAlignment="1">
      <alignment horizontal="center"/>
    </xf>
    <xf numFmtId="0" fontId="23" fillId="8" borderId="18" xfId="0" applyFont="1" applyFill="1" applyBorder="1" applyAlignment="1">
      <alignment horizontal="center"/>
    </xf>
    <xf numFmtId="0" fontId="0" fillId="11" borderId="41" xfId="0" applyFill="1" applyBorder="1"/>
    <xf numFmtId="0" fontId="0" fillId="11" borderId="57" xfId="0" applyFill="1" applyBorder="1"/>
    <xf numFmtId="0" fontId="0" fillId="11" borderId="42" xfId="0" applyFill="1" applyBorder="1"/>
    <xf numFmtId="0" fontId="20" fillId="0" borderId="0" xfId="0" applyFont="1" applyAlignment="1">
      <alignment horizontal="left" vertical="center"/>
    </xf>
    <xf numFmtId="0" fontId="20" fillId="5" borderId="0" xfId="0" applyFont="1" applyFill="1" applyAlignment="1">
      <alignment horizontal="right" vertical="center"/>
    </xf>
    <xf numFmtId="0" fontId="21" fillId="4" borderId="31" xfId="0" applyFont="1" applyFill="1" applyBorder="1" applyAlignment="1" applyProtection="1">
      <alignment horizontal="center"/>
      <protection locked="0"/>
    </xf>
    <xf numFmtId="0" fontId="21" fillId="4" borderId="25" xfId="0" applyFont="1" applyFill="1" applyBorder="1" applyAlignment="1" applyProtection="1">
      <alignment horizontal="center"/>
      <protection locked="0"/>
    </xf>
    <xf numFmtId="0" fontId="21" fillId="4" borderId="23" xfId="0" applyFont="1" applyFill="1" applyBorder="1" applyAlignment="1" applyProtection="1">
      <alignment horizontal="center"/>
      <protection locked="0"/>
    </xf>
    <xf numFmtId="0" fontId="21" fillId="4" borderId="28" xfId="0" applyFont="1" applyFill="1" applyBorder="1" applyAlignment="1" applyProtection="1">
      <alignment horizontal="center"/>
      <protection locked="0"/>
    </xf>
    <xf numFmtId="0" fontId="0" fillId="4" borderId="43" xfId="0" applyFill="1" applyBorder="1"/>
    <xf numFmtId="0" fontId="21" fillId="4" borderId="18" xfId="0" applyFont="1" applyFill="1" applyBorder="1" applyAlignment="1" applyProtection="1">
      <alignment horizontal="center"/>
      <protection locked="0"/>
    </xf>
    <xf numFmtId="0" fontId="21" fillId="4" borderId="13" xfId="0" applyFont="1" applyFill="1" applyBorder="1" applyAlignment="1" applyProtection="1">
      <alignment horizontal="center"/>
      <protection locked="0"/>
    </xf>
    <xf numFmtId="0" fontId="0" fillId="11" borderId="43" xfId="0" applyFill="1" applyBorder="1"/>
    <xf numFmtId="0" fontId="0" fillId="11" borderId="45" xfId="0" applyFill="1" applyBorder="1"/>
    <xf numFmtId="0" fontId="0" fillId="22" borderId="31" xfId="0" applyFill="1" applyBorder="1"/>
    <xf numFmtId="0" fontId="0" fillId="6" borderId="41" xfId="0" applyFill="1" applyBorder="1"/>
    <xf numFmtId="0" fontId="0" fillId="6" borderId="57" xfId="0" applyFill="1" applyBorder="1"/>
    <xf numFmtId="0" fontId="0" fillId="6" borderId="58" xfId="0" applyFill="1" applyBorder="1"/>
    <xf numFmtId="0" fontId="0" fillId="6" borderId="59" xfId="0" applyFill="1" applyBorder="1"/>
    <xf numFmtId="0" fontId="0" fillId="6" borderId="44" xfId="0" applyFill="1" applyBorder="1"/>
    <xf numFmtId="0" fontId="21" fillId="6" borderId="24" xfId="0" applyFont="1" applyFill="1" applyBorder="1" applyAlignment="1" applyProtection="1">
      <alignment horizontal="center"/>
      <protection locked="0"/>
    </xf>
    <xf numFmtId="0" fontId="21" fillId="6" borderId="26" xfId="0" applyFont="1" applyFill="1" applyBorder="1" applyAlignment="1" applyProtection="1">
      <alignment horizontal="center"/>
      <protection locked="0"/>
    </xf>
    <xf numFmtId="0" fontId="21" fillId="6" borderId="27" xfId="0" applyFont="1" applyFill="1" applyBorder="1" applyAlignment="1" applyProtection="1">
      <alignment horizontal="center"/>
      <protection locked="0"/>
    </xf>
    <xf numFmtId="0" fontId="21" fillId="6" borderId="0" xfId="0" applyFont="1" applyFill="1" applyBorder="1" applyAlignment="1" applyProtection="1">
      <alignment horizontal="center"/>
      <protection locked="0"/>
    </xf>
    <xf numFmtId="0" fontId="21" fillId="6" borderId="23" xfId="0" applyFont="1" applyFill="1" applyBorder="1" applyAlignment="1" applyProtection="1">
      <alignment horizontal="center"/>
      <protection locked="0"/>
    </xf>
    <xf numFmtId="0" fontId="0" fillId="6" borderId="37" xfId="0" applyFill="1" applyBorder="1"/>
    <xf numFmtId="0" fontId="0" fillId="6" borderId="17" xfId="0" applyFill="1" applyBorder="1"/>
    <xf numFmtId="0" fontId="0" fillId="6" borderId="18" xfId="0" applyFill="1" applyBorder="1"/>
    <xf numFmtId="0" fontId="21" fillId="6" borderId="18" xfId="0" applyFont="1" applyFill="1" applyBorder="1" applyAlignment="1" applyProtection="1">
      <alignment horizontal="center"/>
      <protection locked="0"/>
    </xf>
    <xf numFmtId="0" fontId="21" fillId="6" borderId="45" xfId="0" applyFont="1" applyFill="1" applyBorder="1" applyAlignment="1" applyProtection="1">
      <alignment horizontal="center"/>
      <protection locked="0"/>
    </xf>
    <xf numFmtId="0" fontId="0" fillId="6" borderId="19" xfId="0" applyFill="1" applyBorder="1"/>
    <xf numFmtId="0" fontId="0" fillId="5" borderId="58" xfId="0" applyFill="1" applyBorder="1"/>
    <xf numFmtId="0" fontId="0" fillId="5" borderId="59" xfId="0" applyFill="1" applyBorder="1"/>
    <xf numFmtId="0" fontId="0" fillId="36" borderId="47" xfId="0" applyFill="1" applyBorder="1"/>
    <xf numFmtId="0" fontId="0" fillId="36" borderId="48" xfId="0" applyFill="1" applyBorder="1"/>
    <xf numFmtId="0" fontId="0" fillId="36" borderId="53" xfId="0" applyFill="1" applyBorder="1"/>
    <xf numFmtId="0" fontId="8" fillId="36" borderId="23" xfId="0" applyFont="1" applyFill="1" applyBorder="1" applyAlignment="1">
      <alignment horizontal="center"/>
    </xf>
    <xf numFmtId="0" fontId="8" fillId="36" borderId="28" xfId="0" applyFont="1" applyFill="1" applyBorder="1" applyAlignment="1">
      <alignment horizontal="center"/>
    </xf>
    <xf numFmtId="0" fontId="8" fillId="11" borderId="56" xfId="0" applyFont="1" applyFill="1" applyBorder="1" applyAlignment="1">
      <alignment horizontal="center"/>
    </xf>
    <xf numFmtId="0" fontId="8" fillId="36" borderId="21" xfId="0" applyFont="1" applyFill="1" applyBorder="1" applyAlignment="1">
      <alignment horizontal="center"/>
    </xf>
    <xf numFmtId="0" fontId="8" fillId="36" borderId="26" xfId="0" applyFont="1" applyFill="1" applyBorder="1" applyAlignment="1">
      <alignment horizontal="center"/>
    </xf>
    <xf numFmtId="0" fontId="8" fillId="36" borderId="25" xfId="0" applyFont="1" applyFill="1" applyBorder="1" applyAlignment="1">
      <alignment horizontal="center"/>
    </xf>
    <xf numFmtId="0" fontId="8" fillId="11" borderId="0" xfId="0" applyFont="1" applyFill="1" applyBorder="1" applyAlignment="1">
      <alignment horizontal="center"/>
    </xf>
    <xf numFmtId="0" fontId="8" fillId="11" borderId="25" xfId="0" applyFont="1" applyFill="1" applyBorder="1" applyAlignment="1">
      <alignment horizontal="center"/>
    </xf>
    <xf numFmtId="0" fontId="8" fillId="36" borderId="24" xfId="0" applyFont="1" applyFill="1" applyBorder="1" applyAlignment="1">
      <alignment horizontal="center"/>
    </xf>
    <xf numFmtId="0" fontId="8" fillId="11" borderId="35" xfId="0" applyFont="1" applyFill="1" applyBorder="1" applyAlignment="1">
      <alignment horizontal="center"/>
    </xf>
    <xf numFmtId="0" fontId="8" fillId="11" borderId="24" xfId="0" applyFont="1" applyFill="1" applyBorder="1" applyAlignment="1">
      <alignment horizontal="center"/>
    </xf>
    <xf numFmtId="0" fontId="8" fillId="11" borderId="32" xfId="0" applyFont="1" applyFill="1" applyBorder="1" applyAlignment="1">
      <alignment horizontal="center"/>
    </xf>
    <xf numFmtId="0" fontId="8" fillId="11" borderId="28" xfId="0" applyFont="1" applyFill="1" applyBorder="1" applyAlignment="1">
      <alignment horizontal="center"/>
    </xf>
    <xf numFmtId="0" fontId="8" fillId="11" borderId="21" xfId="0" applyFont="1" applyFill="1" applyBorder="1" applyAlignment="1">
      <alignment horizontal="center"/>
    </xf>
    <xf numFmtId="0" fontId="8" fillId="11" borderId="23" xfId="0" applyFont="1" applyFill="1" applyBorder="1" applyAlignment="1">
      <alignment horizontal="center"/>
    </xf>
    <xf numFmtId="0" fontId="8" fillId="36" borderId="30" xfId="0" applyFont="1" applyFill="1" applyBorder="1" applyAlignment="1">
      <alignment horizontal="center"/>
    </xf>
    <xf numFmtId="0" fontId="8" fillId="11" borderId="30" xfId="0" applyFont="1" applyFill="1" applyBorder="1" applyAlignment="1">
      <alignment horizontal="center"/>
    </xf>
    <xf numFmtId="0" fontId="8" fillId="36" borderId="12" xfId="0" applyFont="1" applyFill="1" applyBorder="1" applyAlignment="1">
      <alignment horizontal="center"/>
    </xf>
    <xf numFmtId="0" fontId="8" fillId="36" borderId="14" xfId="0" applyFont="1" applyFill="1" applyBorder="1" applyAlignment="1">
      <alignment horizontal="center"/>
    </xf>
    <xf numFmtId="0" fontId="8" fillId="36" borderId="15" xfId="0" applyFont="1" applyFill="1" applyBorder="1" applyAlignment="1">
      <alignment horizontal="center"/>
    </xf>
    <xf numFmtId="0" fontId="8" fillId="36" borderId="16" xfId="0" applyFont="1" applyFill="1" applyBorder="1" applyAlignment="1">
      <alignment horizontal="center"/>
    </xf>
    <xf numFmtId="0" fontId="8" fillId="11" borderId="60" xfId="0" applyFont="1" applyFill="1" applyBorder="1" applyAlignment="1">
      <alignment horizontal="center"/>
    </xf>
    <xf numFmtId="0" fontId="8" fillId="11" borderId="61" xfId="0" applyFont="1" applyFill="1" applyBorder="1" applyAlignment="1">
      <alignment horizontal="center"/>
    </xf>
    <xf numFmtId="0" fontId="8" fillId="11" borderId="29" xfId="0" applyFont="1" applyFill="1" applyBorder="1" applyAlignment="1">
      <alignment horizontal="center"/>
    </xf>
    <xf numFmtId="0" fontId="8" fillId="9" borderId="58" xfId="0" applyFont="1" applyFill="1" applyBorder="1" applyAlignment="1">
      <alignment horizontal="center"/>
    </xf>
    <xf numFmtId="0" fontId="8" fillId="9" borderId="13" xfId="0" applyFont="1" applyFill="1" applyBorder="1" applyAlignment="1">
      <alignment horizontal="center"/>
    </xf>
    <xf numFmtId="0" fontId="8" fillId="9" borderId="0" xfId="0" applyFont="1" applyFill="1" applyBorder="1" applyAlignment="1">
      <alignment horizontal="center"/>
    </xf>
    <xf numFmtId="0" fontId="8" fillId="9" borderId="28" xfId="0" applyFont="1" applyFill="1" applyBorder="1" applyAlignment="1">
      <alignment horizontal="center"/>
    </xf>
    <xf numFmtId="0" fontId="8" fillId="9" borderId="34" xfId="0" applyFont="1" applyFill="1" applyBorder="1" applyAlignment="1">
      <alignment horizontal="center"/>
    </xf>
    <xf numFmtId="0" fontId="8" fillId="9" borderId="21" xfId="0" applyFont="1" applyFill="1" applyBorder="1" applyAlignment="1">
      <alignment horizontal="center"/>
    </xf>
    <xf numFmtId="0" fontId="8" fillId="9" borderId="59" xfId="0" applyFont="1" applyFill="1" applyBorder="1" applyAlignment="1">
      <alignment horizontal="center"/>
    </xf>
    <xf numFmtId="0" fontId="8" fillId="9" borderId="25" xfId="0" applyFont="1" applyFill="1" applyBorder="1" applyAlignment="1">
      <alignment horizontal="center"/>
    </xf>
    <xf numFmtId="0" fontId="8" fillId="9" borderId="24" xfId="0" applyFont="1" applyFill="1" applyBorder="1" applyAlignment="1">
      <alignment horizontal="center"/>
    </xf>
    <xf numFmtId="0" fontId="57" fillId="8" borderId="39" xfId="0" applyFont="1" applyFill="1" applyBorder="1" applyAlignment="1">
      <alignment horizontal="center"/>
    </xf>
    <xf numFmtId="0" fontId="0" fillId="11" borderId="55" xfId="0" applyFill="1" applyBorder="1"/>
    <xf numFmtId="0" fontId="0" fillId="36" borderId="62" xfId="0" applyFill="1" applyBorder="1"/>
    <xf numFmtId="0" fontId="0" fillId="9" borderId="45" xfId="0" applyFill="1" applyBorder="1"/>
    <xf numFmtId="0" fontId="20" fillId="11" borderId="0" xfId="0" applyFont="1" applyFill="1" applyAlignment="1">
      <alignment horizontal="right" vertical="center"/>
    </xf>
    <xf numFmtId="0" fontId="20" fillId="4" borderId="0" xfId="0" applyFont="1" applyFill="1" applyAlignment="1">
      <alignment horizontal="right" vertical="center"/>
    </xf>
    <xf numFmtId="0" fontId="20" fillId="6" borderId="16" xfId="0" applyFont="1" applyFill="1" applyBorder="1" applyAlignment="1">
      <alignment horizontal="center" vertical="center"/>
    </xf>
    <xf numFmtId="0" fontId="20" fillId="5" borderId="13" xfId="0" applyFont="1" applyFill="1" applyBorder="1" applyAlignment="1">
      <alignment horizontal="center" vertical="center"/>
    </xf>
    <xf numFmtId="0" fontId="20" fillId="5" borderId="36" xfId="0" applyFont="1" applyFill="1" applyBorder="1" applyAlignment="1">
      <alignment horizontal="center" vertical="center"/>
    </xf>
    <xf numFmtId="0" fontId="20" fillId="5" borderId="16" xfId="0" applyFont="1" applyFill="1" applyBorder="1" applyAlignment="1">
      <alignment horizontal="center" vertical="center"/>
    </xf>
    <xf numFmtId="0" fontId="20" fillId="5" borderId="21" xfId="0" applyFont="1" applyFill="1" applyBorder="1" applyAlignment="1" applyProtection="1">
      <alignment horizontal="center" vertical="center"/>
      <protection locked="0"/>
    </xf>
    <xf numFmtId="0" fontId="20" fillId="5" borderId="16" xfId="0" applyFont="1" applyFill="1" applyBorder="1" applyAlignment="1" applyProtection="1">
      <alignment horizontal="center" vertical="center"/>
      <protection locked="0"/>
    </xf>
    <xf numFmtId="0" fontId="20" fillId="5" borderId="31" xfId="0" applyFont="1" applyFill="1" applyBorder="1" applyAlignment="1" applyProtection="1">
      <alignment horizontal="center" vertical="center"/>
      <protection locked="0"/>
    </xf>
    <xf numFmtId="0" fontId="20" fillId="5" borderId="37" xfId="0" applyFont="1" applyFill="1" applyBorder="1" applyAlignment="1" applyProtection="1">
      <alignment horizontal="center" vertical="center"/>
      <protection locked="0"/>
    </xf>
    <xf numFmtId="0" fontId="20" fillId="5" borderId="22" xfId="0" applyFont="1" applyFill="1" applyBorder="1" applyAlignment="1" applyProtection="1">
      <alignment horizontal="center" vertical="center"/>
      <protection locked="0"/>
    </xf>
    <xf numFmtId="0" fontId="20" fillId="5" borderId="18" xfId="0" applyFont="1" applyFill="1" applyBorder="1" applyAlignment="1">
      <alignment horizontal="center" vertical="center"/>
    </xf>
    <xf numFmtId="0" fontId="20" fillId="5" borderId="38" xfId="0" applyFont="1" applyFill="1" applyBorder="1" applyAlignment="1">
      <alignment horizontal="center" vertical="center"/>
    </xf>
    <xf numFmtId="0" fontId="20" fillId="5" borderId="45" xfId="0" applyFont="1" applyFill="1" applyBorder="1" applyAlignment="1">
      <alignment horizontal="center" vertical="center"/>
    </xf>
    <xf numFmtId="0" fontId="20" fillId="5" borderId="18" xfId="0" applyFont="1" applyFill="1" applyBorder="1" applyAlignment="1" applyProtection="1">
      <alignment horizontal="center" vertical="center"/>
      <protection locked="0"/>
    </xf>
    <xf numFmtId="0" fontId="20" fillId="5" borderId="19" xfId="0" applyFont="1" applyFill="1" applyBorder="1" applyAlignment="1" applyProtection="1">
      <alignment horizontal="center" vertical="center"/>
      <protection locked="0"/>
    </xf>
    <xf numFmtId="0" fontId="20" fillId="11" borderId="12" xfId="0" applyFont="1" applyFill="1" applyBorder="1" applyAlignment="1">
      <alignment horizontal="center" vertical="center"/>
    </xf>
    <xf numFmtId="0" fontId="20" fillId="11" borderId="13" xfId="0" applyFont="1" applyFill="1" applyBorder="1" applyAlignment="1">
      <alignment horizontal="center" vertical="center"/>
    </xf>
    <xf numFmtId="0" fontId="20" fillId="11" borderId="43" xfId="0" applyFont="1" applyFill="1" applyBorder="1" applyAlignment="1">
      <alignment horizontal="center" vertical="center"/>
    </xf>
    <xf numFmtId="0" fontId="20" fillId="11" borderId="15" xfId="0" applyFont="1" applyFill="1" applyBorder="1" applyAlignment="1">
      <alignment horizontal="center" vertical="center"/>
    </xf>
    <xf numFmtId="0" fontId="20" fillId="11" borderId="20" xfId="0" applyFont="1" applyFill="1" applyBorder="1" applyAlignment="1">
      <alignment horizontal="center" vertical="center"/>
    </xf>
    <xf numFmtId="0" fontId="20" fillId="11" borderId="21" xfId="0" applyFont="1" applyFill="1" applyBorder="1" applyAlignment="1" applyProtection="1">
      <alignment horizontal="center" vertical="center"/>
      <protection locked="0"/>
    </xf>
    <xf numFmtId="0" fontId="20" fillId="11" borderId="28" xfId="0" applyFont="1" applyFill="1" applyBorder="1" applyAlignment="1" applyProtection="1">
      <alignment horizontal="center" vertical="center"/>
      <protection locked="0"/>
    </xf>
    <xf numFmtId="0" fontId="20" fillId="11" borderId="44" xfId="0" applyFont="1" applyFill="1" applyBorder="1" applyAlignment="1">
      <alignment horizontal="center" vertical="center"/>
    </xf>
    <xf numFmtId="0" fontId="20" fillId="11" borderId="23" xfId="0" applyFont="1" applyFill="1" applyBorder="1" applyAlignment="1" applyProtection="1">
      <alignment horizontal="center" vertical="center"/>
      <protection locked="0"/>
    </xf>
    <xf numFmtId="0" fontId="20" fillId="11" borderId="25" xfId="0" applyFont="1" applyFill="1" applyBorder="1" applyAlignment="1" applyProtection="1">
      <alignment horizontal="center" vertical="center"/>
      <protection locked="0"/>
    </xf>
    <xf numFmtId="0" fontId="20" fillId="11" borderId="17" xfId="0" applyFont="1" applyFill="1" applyBorder="1" applyAlignment="1">
      <alignment horizontal="center" vertical="center"/>
    </xf>
    <xf numFmtId="0" fontId="20" fillId="11" borderId="18" xfId="0" applyFont="1" applyFill="1" applyBorder="1" applyAlignment="1">
      <alignment horizontal="center" vertical="center"/>
    </xf>
    <xf numFmtId="0" fontId="20" fillId="6" borderId="27" xfId="0" applyFont="1" applyFill="1" applyBorder="1" applyAlignment="1">
      <alignment horizontal="center" vertical="center"/>
    </xf>
    <xf numFmtId="0" fontId="20" fillId="6" borderId="21" xfId="0" applyFont="1" applyFill="1" applyBorder="1" applyAlignment="1">
      <alignment horizontal="center" vertical="center"/>
    </xf>
    <xf numFmtId="0" fontId="20" fillId="4" borderId="24" xfId="0" applyFont="1" applyFill="1" applyBorder="1" applyAlignment="1">
      <alignment horizontal="center" vertical="center"/>
    </xf>
    <xf numFmtId="0" fontId="20" fillId="4" borderId="31" xfId="0" applyFont="1" applyFill="1" applyBorder="1" applyAlignment="1">
      <alignment horizontal="center" vertical="center"/>
    </xf>
    <xf numFmtId="0" fontId="20" fillId="4" borderId="31" xfId="0" applyFont="1" applyFill="1" applyBorder="1" applyAlignment="1">
      <alignment horizontal="right" vertical="center"/>
    </xf>
    <xf numFmtId="0" fontId="20" fillId="4" borderId="25" xfId="0" applyFont="1" applyFill="1" applyBorder="1" applyAlignment="1">
      <alignment horizontal="center" vertical="center"/>
    </xf>
    <xf numFmtId="0" fontId="20" fillId="4" borderId="26" xfId="0" applyFont="1" applyFill="1" applyBorder="1" applyAlignment="1">
      <alignment horizontal="center" vertical="center"/>
    </xf>
    <xf numFmtId="0" fontId="20" fillId="4" borderId="0" xfId="0" applyFont="1" applyFill="1" applyBorder="1" applyAlignment="1">
      <alignment horizontal="center" vertical="center"/>
    </xf>
    <xf numFmtId="0" fontId="20" fillId="4" borderId="23" xfId="0" applyFont="1" applyFill="1" applyBorder="1" applyAlignment="1">
      <alignment horizontal="center" vertical="center"/>
    </xf>
    <xf numFmtId="0" fontId="20" fillId="4" borderId="27" xfId="0" applyFont="1" applyFill="1" applyBorder="1" applyAlignment="1">
      <alignment horizontal="center" vertical="center"/>
    </xf>
    <xf numFmtId="0" fontId="20" fillId="4" borderId="21" xfId="0" applyFont="1" applyFill="1" applyBorder="1" applyAlignment="1">
      <alignment horizontal="center" vertical="center"/>
    </xf>
    <xf numFmtId="0" fontId="20" fillId="4" borderId="28" xfId="0" applyFont="1" applyFill="1" applyBorder="1" applyAlignment="1">
      <alignment horizontal="center" vertical="center"/>
    </xf>
    <xf numFmtId="0" fontId="20" fillId="6" borderId="36" xfId="0" applyFont="1" applyFill="1" applyBorder="1" applyAlignment="1">
      <alignment horizontal="center" vertical="center"/>
    </xf>
    <xf numFmtId="0" fontId="20" fillId="6" borderId="13" xfId="0" applyFont="1" applyFill="1" applyBorder="1" applyAlignment="1">
      <alignment horizontal="center" vertical="center"/>
    </xf>
    <xf numFmtId="0" fontId="20" fillId="6" borderId="13" xfId="0" applyFont="1" applyFill="1" applyBorder="1" applyAlignment="1">
      <alignment horizontal="right" vertical="center"/>
    </xf>
    <xf numFmtId="0" fontId="20" fillId="6" borderId="14" xfId="0" applyFont="1" applyFill="1" applyBorder="1" applyAlignment="1">
      <alignment horizontal="center" vertical="center"/>
    </xf>
    <xf numFmtId="0" fontId="20" fillId="6" borderId="22" xfId="0" applyFont="1" applyFill="1" applyBorder="1" applyAlignment="1">
      <alignment horizontal="center" vertical="center"/>
    </xf>
    <xf numFmtId="0" fontId="8" fillId="37" borderId="0" xfId="0" applyFont="1" applyFill="1" applyBorder="1" applyAlignment="1">
      <alignment horizontal="right"/>
    </xf>
    <xf numFmtId="0" fontId="0" fillId="15" borderId="24" xfId="0" applyFill="1" applyBorder="1" applyAlignment="1">
      <alignment horizontal="center"/>
    </xf>
    <xf numFmtId="0" fontId="0" fillId="15" borderId="29" xfId="0" applyFill="1" applyBorder="1" applyAlignment="1">
      <alignment horizontal="center"/>
    </xf>
    <xf numFmtId="0" fontId="0" fillId="15" borderId="32" xfId="0" applyFill="1" applyBorder="1" applyAlignment="1">
      <alignment horizontal="center"/>
    </xf>
    <xf numFmtId="0" fontId="0" fillId="15" borderId="30" xfId="0" applyFill="1" applyBorder="1" applyAlignment="1">
      <alignment horizontal="center"/>
    </xf>
    <xf numFmtId="0" fontId="0" fillId="15" borderId="30" xfId="0" applyFill="1" applyBorder="1"/>
    <xf numFmtId="0" fontId="0" fillId="15" borderId="31" xfId="0" applyFill="1" applyBorder="1" applyAlignment="1">
      <alignment horizontal="center"/>
    </xf>
    <xf numFmtId="0" fontId="0" fillId="15" borderId="35" xfId="0" applyFill="1" applyBorder="1" applyAlignment="1">
      <alignment horizontal="center"/>
    </xf>
    <xf numFmtId="0" fontId="0" fillId="15" borderId="6" xfId="0" applyFill="1" applyBorder="1"/>
    <xf numFmtId="0" fontId="0" fillId="15" borderId="27" xfId="0" applyFill="1" applyBorder="1" applyAlignment="1">
      <alignment horizontal="center"/>
    </xf>
    <xf numFmtId="0" fontId="0" fillId="15" borderId="21" xfId="0" applyFill="1" applyBorder="1" applyAlignment="1">
      <alignment horizontal="center"/>
    </xf>
    <xf numFmtId="0" fontId="0" fillId="15" borderId="34" xfId="0" applyFill="1" applyBorder="1" applyAlignment="1">
      <alignment horizontal="center"/>
    </xf>
    <xf numFmtId="0" fontId="0" fillId="15" borderId="28" xfId="0" applyFill="1" applyBorder="1" applyAlignment="1">
      <alignment horizontal="center"/>
    </xf>
    <xf numFmtId="0" fontId="0" fillId="54" borderId="12" xfId="0" applyFill="1" applyBorder="1"/>
    <xf numFmtId="0" fontId="0" fillId="54" borderId="13" xfId="0" applyFill="1" applyBorder="1"/>
    <xf numFmtId="0" fontId="0" fillId="54" borderId="14" xfId="0" applyFill="1" applyBorder="1"/>
    <xf numFmtId="0" fontId="0" fillId="54" borderId="17" xfId="0" applyFill="1" applyBorder="1"/>
    <xf numFmtId="0" fontId="21" fillId="8" borderId="0" xfId="0" applyFont="1" applyFill="1" applyBorder="1" applyAlignment="1" applyProtection="1">
      <alignment horizontal="center"/>
      <protection locked="0"/>
    </xf>
    <xf numFmtId="0" fontId="21" fillId="8" borderId="16" xfId="0" applyFont="1" applyFill="1" applyBorder="1" applyAlignment="1" applyProtection="1">
      <alignment horizontal="center"/>
      <protection locked="0"/>
    </xf>
    <xf numFmtId="0" fontId="0" fillId="8" borderId="18" xfId="0" applyFill="1" applyBorder="1"/>
    <xf numFmtId="0" fontId="21" fillId="8" borderId="18" xfId="0" applyFont="1" applyFill="1" applyBorder="1" applyAlignment="1" applyProtection="1">
      <alignment horizontal="center"/>
      <protection locked="0"/>
    </xf>
    <xf numFmtId="0" fontId="21" fillId="8" borderId="19" xfId="0" applyFont="1" applyFill="1" applyBorder="1" applyAlignment="1" applyProtection="1">
      <alignment horizontal="center"/>
      <protection locked="0"/>
    </xf>
    <xf numFmtId="0" fontId="0" fillId="8" borderId="1" xfId="0" applyFill="1" applyBorder="1"/>
    <xf numFmtId="0" fontId="0" fillId="8" borderId="2" xfId="0" applyFill="1" applyBorder="1"/>
    <xf numFmtId="0" fontId="0" fillId="8" borderId="3" xfId="0" applyFill="1" applyBorder="1"/>
    <xf numFmtId="0" fontId="21" fillId="6" borderId="16" xfId="0" applyFont="1" applyFill="1" applyBorder="1" applyAlignment="1" applyProtection="1">
      <alignment horizontal="center"/>
      <protection locked="0"/>
    </xf>
    <xf numFmtId="0" fontId="24" fillId="4" borderId="13" xfId="0" applyFont="1" applyFill="1" applyBorder="1" applyAlignment="1">
      <alignment horizontal="right"/>
    </xf>
    <xf numFmtId="0" fontId="24" fillId="4" borderId="0" xfId="0" applyFont="1" applyFill="1" applyBorder="1" applyAlignment="1">
      <alignment horizontal="right"/>
    </xf>
    <xf numFmtId="0" fontId="24" fillId="4" borderId="21" xfId="0" applyFont="1" applyFill="1" applyBorder="1" applyAlignment="1">
      <alignment horizontal="right"/>
    </xf>
    <xf numFmtId="0" fontId="23" fillId="4" borderId="21" xfId="0" applyFont="1" applyFill="1" applyBorder="1" applyAlignment="1">
      <alignment horizontal="right"/>
    </xf>
    <xf numFmtId="0" fontId="0" fillId="18" borderId="1" xfId="0" applyFill="1" applyBorder="1" applyAlignment="1">
      <alignment horizontal="center"/>
    </xf>
    <xf numFmtId="0" fontId="0" fillId="18" borderId="2" xfId="0" applyFill="1" applyBorder="1" applyAlignment="1">
      <alignment horizontal="center"/>
    </xf>
    <xf numFmtId="0" fontId="0" fillId="14" borderId="1" xfId="0" applyFill="1" applyBorder="1" applyAlignment="1">
      <alignment horizontal="center"/>
    </xf>
    <xf numFmtId="0" fontId="0" fillId="14" borderId="3" xfId="0" applyFill="1" applyBorder="1" applyAlignment="1">
      <alignment horizontal="center"/>
    </xf>
    <xf numFmtId="0" fontId="25" fillId="8" borderId="13" xfId="0" applyFont="1" applyFill="1" applyBorder="1"/>
    <xf numFmtId="0" fontId="0" fillId="8" borderId="13" xfId="0" applyFill="1" applyBorder="1"/>
    <xf numFmtId="0" fontId="0" fillId="8" borderId="14" xfId="0" applyFill="1" applyBorder="1"/>
    <xf numFmtId="0" fontId="25" fillId="8" borderId="0" xfId="0" applyFont="1" applyFill="1" applyBorder="1"/>
    <xf numFmtId="0" fontId="0" fillId="8" borderId="0" xfId="0" applyFill="1" applyBorder="1" applyAlignment="1">
      <alignment horizontal="center"/>
    </xf>
    <xf numFmtId="0" fontId="0" fillId="8" borderId="16" xfId="0" applyFill="1" applyBorder="1" applyAlignment="1">
      <alignment horizontal="center"/>
    </xf>
    <xf numFmtId="0" fontId="8" fillId="8" borderId="0" xfId="0" applyFont="1" applyFill="1" applyBorder="1" applyAlignment="1" applyProtection="1">
      <alignment horizontal="center"/>
      <protection locked="0"/>
    </xf>
    <xf numFmtId="0" fontId="8" fillId="8" borderId="16" xfId="0" applyFont="1" applyFill="1" applyBorder="1" applyAlignment="1" applyProtection="1">
      <alignment horizontal="center"/>
      <protection locked="0"/>
    </xf>
    <xf numFmtId="0" fontId="0" fillId="14" borderId="0" xfId="0" applyFill="1" applyBorder="1" applyAlignment="1">
      <alignment horizontal="center"/>
    </xf>
    <xf numFmtId="0" fontId="24" fillId="22" borderId="0" xfId="0" applyFont="1" applyFill="1" applyBorder="1" applyAlignment="1">
      <alignment horizontal="right"/>
    </xf>
    <xf numFmtId="0" fontId="5" fillId="4" borderId="15" xfId="0" applyFont="1" applyFill="1" applyBorder="1" applyAlignment="1">
      <alignment horizontal="center"/>
    </xf>
    <xf numFmtId="0" fontId="5" fillId="4" borderId="0" xfId="0" applyFont="1" applyFill="1" applyBorder="1" applyAlignment="1">
      <alignment horizontal="center"/>
    </xf>
    <xf numFmtId="0" fontId="0" fillId="4" borderId="20" xfId="0" applyFill="1" applyBorder="1"/>
    <xf numFmtId="0" fontId="1" fillId="3" borderId="18" xfId="0" applyFont="1" applyFill="1" applyBorder="1" applyAlignment="1" applyProtection="1">
      <alignment horizontal="center"/>
      <protection locked="0"/>
    </xf>
    <xf numFmtId="0" fontId="1" fillId="3" borderId="19" xfId="0" applyFont="1" applyFill="1" applyBorder="1" applyAlignment="1" applyProtection="1">
      <alignment horizontal="center"/>
      <protection locked="0"/>
    </xf>
    <xf numFmtId="0" fontId="21" fillId="25" borderId="0" xfId="0" applyFont="1" applyFill="1" applyBorder="1" applyAlignment="1" applyProtection="1">
      <alignment horizontal="center"/>
      <protection locked="0"/>
    </xf>
    <xf numFmtId="0" fontId="21" fillId="25" borderId="16" xfId="0" applyFont="1" applyFill="1" applyBorder="1" applyAlignment="1" applyProtection="1">
      <alignment horizontal="center"/>
      <protection locked="0"/>
    </xf>
    <xf numFmtId="16" fontId="0" fillId="4" borderId="15" xfId="0" applyNumberFormat="1" applyFill="1" applyBorder="1"/>
    <xf numFmtId="0" fontId="21" fillId="6" borderId="21" xfId="0" applyFont="1" applyFill="1" applyBorder="1" applyAlignment="1" applyProtection="1">
      <alignment horizontal="center"/>
      <protection locked="0"/>
    </xf>
    <xf numFmtId="0" fontId="21" fillId="6" borderId="22" xfId="0" applyFont="1" applyFill="1" applyBorder="1" applyAlignment="1" applyProtection="1">
      <alignment horizontal="center"/>
      <protection locked="0"/>
    </xf>
    <xf numFmtId="0" fontId="8" fillId="3" borderId="0" xfId="0" applyFont="1" applyFill="1" applyBorder="1" applyAlignment="1" applyProtection="1">
      <alignment horizontal="center"/>
      <protection locked="0"/>
    </xf>
    <xf numFmtId="0" fontId="0" fillId="0" borderId="0" xfId="0"/>
    <xf numFmtId="0" fontId="0" fillId="6" borderId="41" xfId="0" applyFill="1" applyBorder="1"/>
    <xf numFmtId="0" fontId="0" fillId="6" borderId="57" xfId="0" applyFill="1" applyBorder="1"/>
    <xf numFmtId="0" fontId="0" fillId="5" borderId="58" xfId="0" applyFill="1" applyBorder="1"/>
    <xf numFmtId="0" fontId="0" fillId="6" borderId="59" xfId="0" applyFill="1" applyBorder="1"/>
    <xf numFmtId="0" fontId="0" fillId="6" borderId="58" xfId="0" applyFill="1" applyBorder="1"/>
    <xf numFmtId="0" fontId="0" fillId="5" borderId="59" xfId="0" applyFill="1" applyBorder="1"/>
    <xf numFmtId="0" fontId="0" fillId="6" borderId="13" xfId="0" applyFill="1" applyBorder="1"/>
    <xf numFmtId="0" fontId="0" fillId="11" borderId="12" xfId="0" applyFill="1" applyBorder="1"/>
    <xf numFmtId="0" fontId="0" fillId="11" borderId="13" xfId="0" applyFill="1" applyBorder="1"/>
    <xf numFmtId="0" fontId="0" fillId="11" borderId="14" xfId="0" applyFill="1" applyBorder="1"/>
    <xf numFmtId="0" fontId="8" fillId="36" borderId="12" xfId="0" applyFont="1" applyFill="1" applyBorder="1" applyAlignment="1">
      <alignment horizontal="center"/>
    </xf>
    <xf numFmtId="0" fontId="8" fillId="9" borderId="58" xfId="0" applyFont="1" applyFill="1" applyBorder="1" applyAlignment="1">
      <alignment horizontal="center"/>
    </xf>
    <xf numFmtId="0" fontId="8" fillId="9" borderId="13" xfId="0" applyFont="1" applyFill="1" applyBorder="1" applyAlignment="1">
      <alignment horizontal="center"/>
    </xf>
    <xf numFmtId="0" fontId="57" fillId="8" borderId="39" xfId="0" applyFont="1" applyFill="1" applyBorder="1" applyAlignment="1">
      <alignment horizontal="center"/>
    </xf>
    <xf numFmtId="0" fontId="8" fillId="9" borderId="59" xfId="0" applyFont="1" applyFill="1" applyBorder="1" applyAlignment="1">
      <alignment horizontal="center"/>
    </xf>
    <xf numFmtId="0" fontId="8" fillId="36" borderId="14" xfId="0" applyFont="1" applyFill="1" applyBorder="1" applyAlignment="1">
      <alignment horizontal="center"/>
    </xf>
    <xf numFmtId="0" fontId="0" fillId="11" borderId="43" xfId="0" applyFill="1" applyBorder="1"/>
    <xf numFmtId="0" fontId="0" fillId="6" borderId="44" xfId="0" applyFill="1" applyBorder="1"/>
    <xf numFmtId="0" fontId="0" fillId="6" borderId="31" xfId="0" applyFill="1" applyBorder="1"/>
    <xf numFmtId="0" fontId="0" fillId="5" borderId="24" xfId="0" applyFill="1" applyBorder="1"/>
    <xf numFmtId="0" fontId="21" fillId="6" borderId="24" xfId="0" applyFont="1" applyFill="1" applyBorder="1" applyAlignment="1" applyProtection="1">
      <alignment horizontal="center"/>
      <protection locked="0"/>
    </xf>
    <xf numFmtId="0" fontId="0" fillId="5" borderId="25" xfId="0" applyFill="1" applyBorder="1"/>
    <xf numFmtId="0" fontId="0" fillId="6" borderId="0" xfId="0" applyFill="1" applyBorder="1"/>
    <xf numFmtId="0" fontId="0" fillId="11" borderId="15" xfId="0" applyFill="1" applyBorder="1"/>
    <xf numFmtId="0" fontId="0" fillId="11" borderId="0" xfId="0" applyFill="1" applyBorder="1"/>
    <xf numFmtId="0" fontId="0" fillId="11" borderId="16" xfId="0" applyFill="1" applyBorder="1"/>
    <xf numFmtId="0" fontId="8" fillId="36" borderId="15" xfId="0" applyFont="1" applyFill="1" applyBorder="1" applyAlignment="1">
      <alignment horizontal="center"/>
    </xf>
    <xf numFmtId="0" fontId="8" fillId="36" borderId="23" xfId="0" applyFont="1" applyFill="1" applyBorder="1" applyAlignment="1">
      <alignment horizontal="center"/>
    </xf>
    <xf numFmtId="0" fontId="8" fillId="9" borderId="0" xfId="0" applyFont="1" applyFill="1" applyBorder="1" applyAlignment="1">
      <alignment horizontal="center"/>
    </xf>
    <xf numFmtId="0" fontId="8" fillId="9" borderId="28" xfId="0" applyFont="1" applyFill="1" applyBorder="1" applyAlignment="1">
      <alignment horizontal="center"/>
    </xf>
    <xf numFmtId="0" fontId="8" fillId="11" borderId="56" xfId="0" applyFont="1" applyFill="1" applyBorder="1" applyAlignment="1">
      <alignment horizontal="center"/>
    </xf>
    <xf numFmtId="0" fontId="8" fillId="9" borderId="21" xfId="0" applyFont="1" applyFill="1" applyBorder="1" applyAlignment="1">
      <alignment horizontal="center"/>
    </xf>
    <xf numFmtId="0" fontId="8" fillId="36" borderId="26" xfId="0" applyFont="1" applyFill="1" applyBorder="1" applyAlignment="1">
      <alignment horizontal="center"/>
    </xf>
    <xf numFmtId="0" fontId="8" fillId="36" borderId="16" xfId="0" applyFont="1" applyFill="1" applyBorder="1" applyAlignment="1">
      <alignment horizontal="center"/>
    </xf>
    <xf numFmtId="0" fontId="0" fillId="11" borderId="23" xfId="0" applyFill="1" applyBorder="1"/>
    <xf numFmtId="0" fontId="0" fillId="6" borderId="15" xfId="0" applyFill="1" applyBorder="1"/>
    <xf numFmtId="0" fontId="0" fillId="5" borderId="26" xfId="0" applyFill="1" applyBorder="1"/>
    <xf numFmtId="0" fontId="21" fillId="6" borderId="26" xfId="0" applyFont="1" applyFill="1" applyBorder="1" applyAlignment="1" applyProtection="1">
      <alignment horizontal="center"/>
      <protection locked="0"/>
    </xf>
    <xf numFmtId="0" fontId="0" fillId="5" borderId="23" xfId="0" applyFill="1" applyBorder="1"/>
    <xf numFmtId="0" fontId="8" fillId="36" borderId="0" xfId="0" applyFont="1" applyFill="1" applyBorder="1" applyAlignment="1">
      <alignment horizontal="center"/>
    </xf>
    <xf numFmtId="0" fontId="8" fillId="36" borderId="25" xfId="0" applyFont="1" applyFill="1" applyBorder="1" applyAlignment="1">
      <alignment horizontal="center"/>
    </xf>
    <xf numFmtId="0" fontId="8" fillId="11" borderId="0" xfId="0" applyFont="1" applyFill="1" applyBorder="1" applyAlignment="1">
      <alignment horizontal="center"/>
    </xf>
    <xf numFmtId="0" fontId="8" fillId="11" borderId="25" xfId="0" applyFont="1" applyFill="1" applyBorder="1" applyAlignment="1">
      <alignment horizontal="center"/>
    </xf>
    <xf numFmtId="0" fontId="8" fillId="36" borderId="24" xfId="0" applyFont="1" applyFill="1" applyBorder="1" applyAlignment="1">
      <alignment horizontal="center"/>
    </xf>
    <xf numFmtId="0" fontId="0" fillId="11" borderId="17" xfId="0" applyFill="1" applyBorder="1"/>
    <xf numFmtId="0" fontId="0" fillId="11" borderId="18" xfId="0" applyFill="1" applyBorder="1"/>
    <xf numFmtId="0" fontId="0" fillId="11" borderId="19" xfId="0" applyFill="1" applyBorder="1"/>
    <xf numFmtId="0" fontId="8" fillId="9" borderId="34" xfId="0" applyFont="1" applyFill="1" applyBorder="1" applyAlignment="1">
      <alignment horizontal="center"/>
    </xf>
    <xf numFmtId="0" fontId="21" fillId="22" borderId="0" xfId="0" applyFont="1" applyFill="1" applyBorder="1" applyAlignment="1" applyProtection="1">
      <alignment horizontal="center"/>
      <protection locked="0"/>
    </xf>
    <xf numFmtId="0" fontId="0" fillId="11" borderId="45" xfId="0" applyFill="1" applyBorder="1"/>
    <xf numFmtId="0" fontId="0" fillId="6" borderId="16" xfId="0" applyFill="1" applyBorder="1"/>
    <xf numFmtId="0" fontId="8" fillId="36" borderId="28" xfId="0" applyFont="1" applyFill="1" applyBorder="1" applyAlignment="1">
      <alignment horizontal="center"/>
    </xf>
    <xf numFmtId="0" fontId="8" fillId="11" borderId="35" xfId="0" applyFont="1" applyFill="1" applyBorder="1" applyAlignment="1">
      <alignment horizontal="center"/>
    </xf>
    <xf numFmtId="0" fontId="0" fillId="4" borderId="12" xfId="0" applyFill="1" applyBorder="1"/>
    <xf numFmtId="0" fontId="0" fillId="4" borderId="43" xfId="0" applyFill="1" applyBorder="1"/>
    <xf numFmtId="0" fontId="21" fillId="4" borderId="13" xfId="0" applyFont="1" applyFill="1" applyBorder="1" applyAlignment="1" applyProtection="1">
      <alignment horizontal="center"/>
      <protection locked="0"/>
    </xf>
    <xf numFmtId="0" fontId="0" fillId="4" borderId="13" xfId="0" applyFill="1" applyBorder="1"/>
    <xf numFmtId="0" fontId="1" fillId="11" borderId="0" xfId="0" applyFont="1" applyFill="1" applyBorder="1" applyAlignment="1" applyProtection="1">
      <alignment horizontal="center"/>
      <protection locked="0"/>
    </xf>
    <xf numFmtId="0" fontId="8" fillId="11" borderId="24" xfId="0" applyFont="1" applyFill="1" applyBorder="1" applyAlignment="1">
      <alignment horizontal="center"/>
    </xf>
    <xf numFmtId="0" fontId="0" fillId="4" borderId="15" xfId="0" applyFill="1" applyBorder="1"/>
    <xf numFmtId="0" fontId="0" fillId="4" borderId="0" xfId="0" applyFill="1" applyBorder="1"/>
    <xf numFmtId="0" fontId="21" fillId="4" borderId="0" xfId="0" applyFont="1" applyFill="1" applyBorder="1" applyAlignment="1" applyProtection="1">
      <alignment horizontal="center"/>
      <protection locked="0"/>
    </xf>
    <xf numFmtId="0" fontId="8" fillId="36" borderId="21" xfId="0" applyFont="1" applyFill="1" applyBorder="1" applyAlignment="1">
      <alignment horizontal="center"/>
    </xf>
    <xf numFmtId="0" fontId="8" fillId="11" borderId="60" xfId="0" applyFont="1" applyFill="1" applyBorder="1" applyAlignment="1">
      <alignment horizontal="center"/>
    </xf>
    <xf numFmtId="0" fontId="8" fillId="11" borderId="32" xfId="0" applyFont="1" applyFill="1" applyBorder="1" applyAlignment="1">
      <alignment horizontal="center"/>
    </xf>
    <xf numFmtId="0" fontId="8" fillId="11" borderId="61" xfId="0" applyFont="1" applyFill="1" applyBorder="1" applyAlignment="1">
      <alignment horizontal="center"/>
    </xf>
    <xf numFmtId="0" fontId="8" fillId="11" borderId="28" xfId="0" applyFont="1" applyFill="1" applyBorder="1" applyAlignment="1">
      <alignment horizontal="center"/>
    </xf>
    <xf numFmtId="0" fontId="8" fillId="11" borderId="21" xfId="0" applyFont="1" applyFill="1" applyBorder="1" applyAlignment="1">
      <alignment horizontal="center"/>
    </xf>
    <xf numFmtId="0" fontId="8" fillId="11" borderId="23" xfId="0" applyFont="1" applyFill="1" applyBorder="1" applyAlignment="1">
      <alignment horizontal="center"/>
    </xf>
    <xf numFmtId="0" fontId="8" fillId="36" borderId="30" xfId="0" applyFont="1" applyFill="1" applyBorder="1" applyAlignment="1">
      <alignment horizontal="center"/>
    </xf>
    <xf numFmtId="0" fontId="8" fillId="11" borderId="29" xfId="0" applyFont="1" applyFill="1" applyBorder="1" applyAlignment="1">
      <alignment horizontal="center"/>
    </xf>
    <xf numFmtId="0" fontId="8" fillId="11" borderId="30" xfId="0" applyFont="1" applyFill="1" applyBorder="1" applyAlignment="1">
      <alignment horizontal="center"/>
    </xf>
    <xf numFmtId="0" fontId="1" fillId="11" borderId="18" xfId="0" applyFont="1" applyFill="1" applyBorder="1" applyAlignment="1" applyProtection="1">
      <alignment horizontal="center"/>
      <protection locked="0"/>
    </xf>
    <xf numFmtId="0" fontId="8" fillId="9" borderId="24" xfId="0" applyFont="1" applyFill="1" applyBorder="1" applyAlignment="1">
      <alignment horizontal="center"/>
    </xf>
    <xf numFmtId="0" fontId="8" fillId="9" borderId="25" xfId="0" applyFont="1" applyFill="1" applyBorder="1" applyAlignment="1">
      <alignment horizontal="center"/>
    </xf>
    <xf numFmtId="0" fontId="21" fillId="6" borderId="27" xfId="0" applyFont="1" applyFill="1" applyBorder="1" applyAlignment="1" applyProtection="1">
      <alignment horizontal="center"/>
      <protection locked="0"/>
    </xf>
    <xf numFmtId="0" fontId="0" fillId="6" borderId="21" xfId="0" applyFill="1" applyBorder="1"/>
    <xf numFmtId="0" fontId="0" fillId="5" borderId="28" xfId="0" applyFill="1" applyBorder="1"/>
    <xf numFmtId="0" fontId="21" fillId="6" borderId="0" xfId="0" applyFont="1" applyFill="1" applyBorder="1" applyAlignment="1" applyProtection="1">
      <alignment horizontal="center"/>
      <protection locked="0"/>
    </xf>
    <xf numFmtId="0" fontId="21" fillId="6" borderId="23" xfId="0" applyFont="1" applyFill="1" applyBorder="1" applyAlignment="1" applyProtection="1">
      <alignment horizontal="center"/>
      <protection locked="0"/>
    </xf>
    <xf numFmtId="0" fontId="0" fillId="4" borderId="24" xfId="0" applyFill="1" applyBorder="1"/>
    <xf numFmtId="0" fontId="21" fillId="4" borderId="31" xfId="0" applyFont="1" applyFill="1" applyBorder="1" applyAlignment="1" applyProtection="1">
      <alignment horizontal="center"/>
      <protection locked="0"/>
    </xf>
    <xf numFmtId="0" fontId="21" fillId="4" borderId="25" xfId="0" applyFont="1" applyFill="1" applyBorder="1" applyAlignment="1" applyProtection="1">
      <alignment horizontal="center"/>
      <protection locked="0"/>
    </xf>
    <xf numFmtId="0" fontId="0" fillId="4" borderId="31" xfId="0" applyFill="1" applyBorder="1"/>
    <xf numFmtId="0" fontId="0" fillId="22" borderId="0" xfId="0" applyFill="1" applyBorder="1"/>
    <xf numFmtId="0" fontId="0" fillId="4" borderId="26" xfId="0" applyFill="1" applyBorder="1"/>
    <xf numFmtId="0" fontId="21" fillId="4" borderId="23" xfId="0" applyFont="1" applyFill="1" applyBorder="1" applyAlignment="1" applyProtection="1">
      <alignment horizontal="center"/>
      <protection locked="0"/>
    </xf>
    <xf numFmtId="0" fontId="0" fillId="4" borderId="27" xfId="0" applyFill="1" applyBorder="1"/>
    <xf numFmtId="0" fontId="21" fillId="4" borderId="21" xfId="0" applyFont="1" applyFill="1" applyBorder="1" applyAlignment="1" applyProtection="1">
      <alignment horizontal="center"/>
      <protection locked="0"/>
    </xf>
    <xf numFmtId="0" fontId="21" fillId="4" borderId="28" xfId="0" applyFont="1" applyFill="1" applyBorder="1" applyAlignment="1" applyProtection="1">
      <alignment horizontal="center"/>
      <protection locked="0"/>
    </xf>
    <xf numFmtId="0" fontId="0" fillId="4" borderId="17" xfId="0" applyFill="1" applyBorder="1"/>
    <xf numFmtId="0" fontId="0" fillId="4" borderId="18" xfId="0" applyFill="1" applyBorder="1"/>
    <xf numFmtId="0" fontId="21" fillId="4" borderId="18" xfId="0" applyFont="1" applyFill="1" applyBorder="1" applyAlignment="1" applyProtection="1">
      <alignment horizontal="center"/>
      <protection locked="0"/>
    </xf>
    <xf numFmtId="0" fontId="21" fillId="4" borderId="0" xfId="0" applyFont="1" applyFill="1" applyAlignment="1" applyProtection="1">
      <alignment horizontal="center"/>
      <protection locked="0"/>
    </xf>
    <xf numFmtId="0" fontId="0" fillId="6" borderId="17" xfId="0" applyFill="1" applyBorder="1"/>
    <xf numFmtId="0" fontId="0" fillId="6" borderId="18" xfId="0" applyFill="1" applyBorder="1"/>
    <xf numFmtId="0" fontId="21" fillId="6" borderId="18" xfId="0" applyFont="1" applyFill="1" applyBorder="1" applyAlignment="1" applyProtection="1">
      <alignment horizontal="center"/>
      <protection locked="0"/>
    </xf>
    <xf numFmtId="0" fontId="21" fillId="6" borderId="45" xfId="0" applyFont="1" applyFill="1" applyBorder="1" applyAlignment="1" applyProtection="1">
      <alignment horizontal="center"/>
      <protection locked="0"/>
    </xf>
    <xf numFmtId="0" fontId="0" fillId="6" borderId="19" xfId="0" applyFill="1" applyBorder="1"/>
    <xf numFmtId="0" fontId="0" fillId="9" borderId="18" xfId="0" applyFill="1" applyBorder="1" applyAlignment="1">
      <alignment horizontal="center"/>
    </xf>
    <xf numFmtId="0" fontId="0" fillId="36" borderId="62" xfId="0" applyFill="1" applyBorder="1" applyAlignment="1">
      <alignment horizontal="center"/>
    </xf>
    <xf numFmtId="0" fontId="0" fillId="11" borderId="55" xfId="0" applyFill="1" applyBorder="1" applyAlignment="1">
      <alignment horizontal="center"/>
    </xf>
    <xf numFmtId="0" fontId="0" fillId="9" borderId="45" xfId="0" applyFill="1" applyBorder="1" applyAlignment="1">
      <alignment horizontal="center"/>
    </xf>
    <xf numFmtId="0" fontId="8" fillId="37" borderId="21" xfId="0" applyFont="1" applyFill="1" applyBorder="1" applyAlignment="1">
      <alignment horizontal="right"/>
    </xf>
    <xf numFmtId="0" fontId="8" fillId="15" borderId="23" xfId="0" applyFont="1" applyFill="1" applyBorder="1" applyAlignment="1">
      <alignment horizontal="right"/>
    </xf>
    <xf numFmtId="0" fontId="0" fillId="3" borderId="0" xfId="0" applyFill="1" applyBorder="1" applyAlignment="1">
      <alignment horizontal="center"/>
    </xf>
    <xf numFmtId="0" fontId="8" fillId="36" borderId="15" xfId="0" applyFont="1" applyFill="1" applyBorder="1" applyAlignment="1">
      <alignment horizontal="right"/>
    </xf>
    <xf numFmtId="0" fontId="8" fillId="22" borderId="17" xfId="0" applyFont="1" applyFill="1" applyBorder="1" applyAlignment="1">
      <alignment horizontal="right"/>
    </xf>
    <xf numFmtId="0" fontId="8" fillId="22" borderId="18" xfId="0" applyFont="1" applyFill="1" applyBorder="1" applyAlignment="1">
      <alignment horizontal="right"/>
    </xf>
    <xf numFmtId="0" fontId="8" fillId="0" borderId="18" xfId="0" applyFont="1" applyBorder="1" applyAlignment="1">
      <alignment horizontal="right"/>
    </xf>
    <xf numFmtId="0" fontId="8" fillId="0" borderId="19" xfId="0" applyFont="1" applyBorder="1" applyAlignment="1">
      <alignment horizontal="right"/>
    </xf>
    <xf numFmtId="0" fontId="8" fillId="0" borderId="26" xfId="0" applyFont="1" applyBorder="1" applyAlignment="1">
      <alignment horizontal="right"/>
    </xf>
    <xf numFmtId="0" fontId="8" fillId="3" borderId="28" xfId="0" applyFont="1" applyFill="1" applyBorder="1" applyAlignment="1">
      <alignment horizontal="right"/>
    </xf>
    <xf numFmtId="0" fontId="8" fillId="11" borderId="24" xfId="0" applyFont="1" applyFill="1" applyBorder="1" applyAlignment="1">
      <alignment horizontal="right"/>
    </xf>
    <xf numFmtId="0" fontId="8" fillId="11" borderId="25" xfId="0" applyFont="1" applyFill="1" applyBorder="1" applyAlignment="1">
      <alignment horizontal="right"/>
    </xf>
    <xf numFmtId="0" fontId="8" fillId="11" borderId="26" xfId="0" applyFont="1" applyFill="1" applyBorder="1" applyAlignment="1">
      <alignment horizontal="right"/>
    </xf>
    <xf numFmtId="0" fontId="8" fillId="11" borderId="23" xfId="0" applyFont="1" applyFill="1" applyBorder="1" applyAlignment="1">
      <alignment horizontal="right"/>
    </xf>
    <xf numFmtId="0" fontId="8" fillId="11" borderId="27" xfId="0" applyFont="1" applyFill="1" applyBorder="1" applyAlignment="1">
      <alignment horizontal="right"/>
    </xf>
    <xf numFmtId="0" fontId="8" fillId="11" borderId="28" xfId="0" applyFont="1" applyFill="1" applyBorder="1" applyAlignment="1">
      <alignment horizontal="right"/>
    </xf>
    <xf numFmtId="0" fontId="8" fillId="11" borderId="31" xfId="0" applyFont="1" applyFill="1" applyBorder="1" applyAlignment="1">
      <alignment horizontal="right"/>
    </xf>
    <xf numFmtId="0" fontId="8" fillId="11" borderId="15" xfId="0" quotePrefix="1" applyFont="1" applyFill="1" applyBorder="1" applyAlignment="1">
      <alignment horizontal="right"/>
    </xf>
    <xf numFmtId="0" fontId="23" fillId="14" borderId="43" xfId="0" applyFont="1" applyFill="1" applyBorder="1" applyAlignment="1">
      <alignment horizontal="right"/>
    </xf>
    <xf numFmtId="0" fontId="23" fillId="14" borderId="23" xfId="0" applyFont="1" applyFill="1" applyBorder="1" applyAlignment="1">
      <alignment horizontal="right"/>
    </xf>
    <xf numFmtId="0" fontId="20" fillId="14" borderId="23" xfId="0" applyFont="1" applyFill="1" applyBorder="1" applyAlignment="1" applyProtection="1">
      <alignment horizontal="right"/>
      <protection locked="0"/>
    </xf>
    <xf numFmtId="0" fontId="24" fillId="5" borderId="15" xfId="0" applyFont="1" applyFill="1" applyBorder="1" applyAlignment="1">
      <alignment horizontal="right"/>
    </xf>
    <xf numFmtId="0" fontId="24" fillId="5" borderId="17" xfId="0" applyFont="1" applyFill="1" applyBorder="1" applyAlignment="1">
      <alignment horizontal="right"/>
    </xf>
    <xf numFmtId="0" fontId="0" fillId="5" borderId="57" xfId="0" applyFill="1" applyBorder="1" applyAlignment="1">
      <alignment horizontal="center"/>
    </xf>
    <xf numFmtId="0" fontId="0" fillId="5" borderId="42" xfId="0" applyFill="1" applyBorder="1" applyAlignment="1">
      <alignment horizontal="center"/>
    </xf>
    <xf numFmtId="0" fontId="0" fillId="5" borderId="57" xfId="0" applyFill="1" applyBorder="1"/>
    <xf numFmtId="0" fontId="24" fillId="14" borderId="13" xfId="0" applyFont="1" applyFill="1" applyBorder="1" applyAlignment="1">
      <alignment horizontal="right"/>
    </xf>
    <xf numFmtId="0" fontId="24" fillId="14" borderId="0" xfId="0" applyFont="1" applyFill="1" applyBorder="1" applyAlignment="1">
      <alignment horizontal="right"/>
    </xf>
    <xf numFmtId="0" fontId="24" fillId="5" borderId="0" xfId="0" applyFont="1" applyFill="1" applyBorder="1" applyAlignment="1">
      <alignment horizontal="right"/>
    </xf>
    <xf numFmtId="0" fontId="0" fillId="18" borderId="3" xfId="0" applyFill="1" applyBorder="1" applyAlignment="1">
      <alignment horizontal="center"/>
    </xf>
    <xf numFmtId="0" fontId="0" fillId="2" borderId="0" xfId="0" applyFill="1" applyBorder="1" applyAlignment="1">
      <alignment horizontal="center"/>
    </xf>
    <xf numFmtId="0" fontId="0" fillId="2" borderId="16" xfId="0" applyFill="1" applyBorder="1" applyAlignment="1">
      <alignment horizontal="center"/>
    </xf>
    <xf numFmtId="0" fontId="8" fillId="20" borderId="23" xfId="0" applyFont="1" applyFill="1" applyBorder="1" applyAlignment="1" applyProtection="1">
      <alignment horizontal="right"/>
      <protection locked="0"/>
    </xf>
    <xf numFmtId="0" fontId="8" fillId="18" borderId="16" xfId="0" applyFont="1" applyFill="1" applyBorder="1" applyAlignment="1" applyProtection="1">
      <alignment horizontal="right"/>
      <protection locked="0"/>
    </xf>
    <xf numFmtId="0" fontId="0" fillId="14" borderId="2" xfId="0" applyFill="1" applyBorder="1" applyAlignment="1">
      <alignment horizontal="right"/>
    </xf>
    <xf numFmtId="0" fontId="0" fillId="36" borderId="13" xfId="0" applyFill="1" applyBorder="1" applyAlignment="1">
      <alignment horizontal="right"/>
    </xf>
    <xf numFmtId="0" fontId="0" fillId="36" borderId="0" xfId="0" applyFill="1" applyBorder="1" applyAlignment="1">
      <alignment horizontal="right"/>
    </xf>
    <xf numFmtId="0" fontId="0" fillId="36" borderId="18" xfId="0" applyFill="1" applyBorder="1" applyAlignment="1">
      <alignment horizontal="right"/>
    </xf>
    <xf numFmtId="0" fontId="0" fillId="18" borderId="13" xfId="0" applyFill="1" applyBorder="1" applyAlignment="1">
      <alignment horizontal="right"/>
    </xf>
    <xf numFmtId="0" fontId="8" fillId="11" borderId="29" xfId="0" applyFont="1" applyFill="1" applyBorder="1" applyAlignment="1">
      <alignment horizontal="right"/>
    </xf>
    <xf numFmtId="0" fontId="8" fillId="11" borderId="32" xfId="0" applyFont="1" applyFill="1" applyBorder="1" applyAlignment="1" applyProtection="1">
      <alignment horizontal="right"/>
      <protection locked="0"/>
    </xf>
    <xf numFmtId="0" fontId="8" fillId="11" borderId="30" xfId="0" applyFont="1" applyFill="1" applyBorder="1" applyAlignment="1" applyProtection="1">
      <alignment horizontal="right"/>
      <protection locked="0"/>
    </xf>
    <xf numFmtId="0" fontId="1" fillId="11" borderId="31" xfId="0" applyFont="1" applyFill="1" applyBorder="1" applyAlignment="1" applyProtection="1">
      <alignment horizontal="center"/>
      <protection locked="0"/>
    </xf>
    <xf numFmtId="0" fontId="1" fillId="11" borderId="37" xfId="0" applyFont="1" applyFill="1" applyBorder="1" applyAlignment="1" applyProtection="1">
      <alignment horizontal="center"/>
      <protection locked="0"/>
    </xf>
    <xf numFmtId="0" fontId="1" fillId="11" borderId="15" xfId="0" applyFont="1" applyFill="1" applyBorder="1"/>
    <xf numFmtId="0" fontId="1" fillId="11" borderId="0" xfId="0" applyFont="1" applyFill="1" applyBorder="1"/>
    <xf numFmtId="0" fontId="1" fillId="11" borderId="44" xfId="0" applyFont="1" applyFill="1" applyBorder="1"/>
    <xf numFmtId="0" fontId="1" fillId="11" borderId="31" xfId="0" applyFont="1" applyFill="1" applyBorder="1"/>
    <xf numFmtId="0" fontId="1" fillId="11" borderId="17" xfId="0" applyFont="1" applyFill="1" applyBorder="1"/>
    <xf numFmtId="0" fontId="8" fillId="8" borderId="26" xfId="0" applyFont="1" applyFill="1" applyBorder="1" applyAlignment="1">
      <alignment horizontal="right"/>
    </xf>
    <xf numFmtId="0" fontId="8" fillId="2" borderId="26" xfId="0" applyFont="1" applyFill="1" applyBorder="1" applyAlignment="1">
      <alignment horizontal="right"/>
    </xf>
    <xf numFmtId="0" fontId="8" fillId="2" borderId="0" xfId="0" applyFont="1" applyFill="1" applyBorder="1" applyAlignment="1">
      <alignment horizontal="right"/>
    </xf>
    <xf numFmtId="0" fontId="8" fillId="2" borderId="0" xfId="0" applyFont="1" applyFill="1" applyBorder="1" applyAlignment="1" applyProtection="1">
      <alignment horizontal="right"/>
      <protection locked="0"/>
    </xf>
    <xf numFmtId="0" fontId="8" fillId="2" borderId="23" xfId="0" applyFont="1" applyFill="1" applyBorder="1" applyAlignment="1" applyProtection="1">
      <alignment horizontal="right"/>
      <protection locked="0"/>
    </xf>
    <xf numFmtId="0" fontId="58" fillId="5" borderId="0" xfId="0" applyFont="1" applyFill="1" applyAlignment="1">
      <alignment horizontal="right" vertical="center" readingOrder="2"/>
    </xf>
    <xf numFmtId="0" fontId="59" fillId="5" borderId="0" xfId="0" applyFont="1" applyFill="1" applyAlignment="1">
      <alignment horizontal="right" vertical="center" readingOrder="2"/>
    </xf>
    <xf numFmtId="0" fontId="61" fillId="5" borderId="0" xfId="0" applyFont="1" applyFill="1" applyAlignment="1">
      <alignment horizontal="right" vertical="center" readingOrder="2"/>
    </xf>
    <xf numFmtId="0" fontId="8" fillId="4" borderId="15" xfId="0" applyFont="1" applyFill="1" applyBorder="1" applyAlignment="1">
      <alignment horizontal="right"/>
    </xf>
    <xf numFmtId="0" fontId="23" fillId="36" borderId="0" xfId="0" applyFont="1" applyFill="1" applyBorder="1" applyAlignment="1">
      <alignment horizontal="right"/>
    </xf>
    <xf numFmtId="0" fontId="23" fillId="36" borderId="18" xfId="0" applyFont="1" applyFill="1" applyBorder="1" applyAlignment="1">
      <alignment horizontal="right"/>
    </xf>
    <xf numFmtId="0" fontId="23" fillId="36" borderId="15" xfId="0" applyFont="1" applyFill="1" applyBorder="1" applyAlignment="1">
      <alignment horizontal="right"/>
    </xf>
    <xf numFmtId="0" fontId="23" fillId="36" borderId="0" xfId="0" applyFont="1" applyFill="1" applyBorder="1" applyAlignment="1" applyProtection="1">
      <alignment horizontal="right"/>
      <protection locked="0"/>
    </xf>
    <xf numFmtId="0" fontId="23" fillId="36" borderId="17" xfId="0" applyFont="1" applyFill="1" applyBorder="1" applyAlignment="1">
      <alignment horizontal="right"/>
    </xf>
    <xf numFmtId="0" fontId="23" fillId="11" borderId="15" xfId="0" applyFont="1" applyFill="1" applyBorder="1" applyAlignment="1">
      <alignment horizontal="right"/>
    </xf>
    <xf numFmtId="0" fontId="23" fillId="36" borderId="0" xfId="0" applyFont="1" applyFill="1" applyBorder="1" applyAlignment="1" applyProtection="1">
      <alignment horizontal="center"/>
      <protection locked="0"/>
    </xf>
    <xf numFmtId="0" fontId="23" fillId="36" borderId="16" xfId="0" applyFont="1" applyFill="1" applyBorder="1"/>
    <xf numFmtId="0" fontId="23" fillId="36" borderId="18" xfId="0" applyFont="1" applyFill="1" applyBorder="1"/>
    <xf numFmtId="0" fontId="23" fillId="36" borderId="18" xfId="0" applyFont="1" applyFill="1" applyBorder="1" applyAlignment="1">
      <alignment horizontal="center"/>
    </xf>
    <xf numFmtId="0" fontId="23" fillId="36" borderId="19" xfId="0" applyFont="1" applyFill="1" applyBorder="1"/>
    <xf numFmtId="0" fontId="23" fillId="11" borderId="20" xfId="0" applyFont="1" applyFill="1" applyBorder="1"/>
    <xf numFmtId="0" fontId="23" fillId="11" borderId="21" xfId="0" applyFont="1" applyFill="1" applyBorder="1"/>
    <xf numFmtId="0" fontId="23" fillId="11" borderId="21" xfId="0" applyFont="1" applyFill="1" applyBorder="1" applyAlignment="1" applyProtection="1">
      <alignment horizontal="center"/>
      <protection locked="0"/>
    </xf>
    <xf numFmtId="0" fontId="23" fillId="55" borderId="21" xfId="0" applyFont="1" applyFill="1" applyBorder="1"/>
    <xf numFmtId="0" fontId="23" fillId="55" borderId="21" xfId="0" applyFont="1" applyFill="1" applyBorder="1" applyAlignment="1" applyProtection="1">
      <alignment horizontal="center"/>
      <protection locked="0"/>
    </xf>
    <xf numFmtId="0" fontId="23" fillId="55" borderId="22" xfId="0" applyFont="1" applyFill="1" applyBorder="1" applyAlignment="1" applyProtection="1">
      <alignment horizontal="center"/>
      <protection locked="0"/>
    </xf>
    <xf numFmtId="0" fontId="23" fillId="4" borderId="49" xfId="0" applyFont="1" applyFill="1" applyBorder="1"/>
    <xf numFmtId="0" fontId="23" fillId="4" borderId="63" xfId="0" applyFont="1" applyFill="1" applyBorder="1"/>
    <xf numFmtId="0" fontId="23" fillId="4" borderId="63" xfId="0" applyFont="1" applyFill="1" applyBorder="1" applyAlignment="1">
      <alignment horizontal="center"/>
    </xf>
    <xf numFmtId="0" fontId="23" fillId="4" borderId="64" xfId="0" applyFont="1" applyFill="1" applyBorder="1" applyAlignment="1">
      <alignment horizontal="center"/>
    </xf>
    <xf numFmtId="0" fontId="23" fillId="20" borderId="63" xfId="0" applyFont="1" applyFill="1" applyBorder="1" applyAlignment="1">
      <alignment horizontal="center"/>
    </xf>
    <xf numFmtId="0" fontId="23" fillId="20" borderId="50" xfId="0" applyFont="1" applyFill="1" applyBorder="1" applyAlignment="1">
      <alignment horizontal="center"/>
    </xf>
    <xf numFmtId="0" fontId="23" fillId="11" borderId="0" xfId="0" applyFont="1" applyFill="1" applyBorder="1"/>
    <xf numFmtId="0" fontId="23" fillId="11" borderId="0" xfId="0" applyFont="1" applyFill="1" applyBorder="1" applyAlignment="1" applyProtection="1">
      <alignment horizontal="center"/>
      <protection locked="0"/>
    </xf>
    <xf numFmtId="0" fontId="23" fillId="11" borderId="23" xfId="0" applyFont="1" applyFill="1" applyBorder="1" applyAlignment="1" applyProtection="1">
      <alignment horizontal="center"/>
      <protection locked="0"/>
    </xf>
    <xf numFmtId="0" fontId="23" fillId="55" borderId="0" xfId="0" applyFont="1" applyFill="1" applyBorder="1"/>
    <xf numFmtId="0" fontId="23" fillId="55" borderId="0" xfId="0" applyFont="1" applyFill="1" applyBorder="1" applyAlignment="1" applyProtection="1">
      <alignment horizontal="center"/>
      <protection locked="0"/>
    </xf>
    <xf numFmtId="0" fontId="23" fillId="55" borderId="16" xfId="0" applyFont="1" applyFill="1" applyBorder="1" applyAlignment="1" applyProtection="1">
      <alignment horizontal="center"/>
      <protection locked="0"/>
    </xf>
    <xf numFmtId="0" fontId="23" fillId="11" borderId="15" xfId="0" applyFont="1" applyFill="1" applyBorder="1"/>
    <xf numFmtId="0" fontId="23" fillId="11" borderId="17" xfId="0" applyFont="1" applyFill="1" applyBorder="1"/>
    <xf numFmtId="0" fontId="23" fillId="11" borderId="18" xfId="0" applyFont="1" applyFill="1" applyBorder="1"/>
    <xf numFmtId="0" fontId="23" fillId="11" borderId="18" xfId="0" applyFont="1" applyFill="1" applyBorder="1" applyAlignment="1" applyProtection="1">
      <alignment horizontal="center"/>
      <protection locked="0"/>
    </xf>
    <xf numFmtId="0" fontId="23" fillId="11" borderId="45" xfId="0" applyFont="1" applyFill="1" applyBorder="1" applyAlignment="1" applyProtection="1">
      <alignment horizontal="center"/>
      <protection locked="0"/>
    </xf>
    <xf numFmtId="0" fontId="23" fillId="55" borderId="18" xfId="0" applyFont="1" applyFill="1" applyBorder="1"/>
    <xf numFmtId="0" fontId="23" fillId="55" borderId="18" xfId="0" applyFont="1" applyFill="1" applyBorder="1" applyAlignment="1" applyProtection="1">
      <alignment horizontal="center"/>
      <protection locked="0"/>
    </xf>
    <xf numFmtId="0" fontId="23" fillId="55" borderId="19" xfId="0" applyFont="1" applyFill="1" applyBorder="1" applyAlignment="1" applyProtection="1">
      <alignment horizontal="center"/>
      <protection locked="0"/>
    </xf>
    <xf numFmtId="0" fontId="23" fillId="11" borderId="28" xfId="0" applyFont="1" applyFill="1" applyBorder="1" applyAlignment="1" applyProtection="1">
      <alignment horizontal="center"/>
      <protection locked="0"/>
    </xf>
    <xf numFmtId="0" fontId="23" fillId="36" borderId="0" xfId="0" applyFont="1" applyFill="1" applyBorder="1" applyAlignment="1">
      <alignment horizontal="center"/>
    </xf>
    <xf numFmtId="0" fontId="0" fillId="36" borderId="57" xfId="0" applyFill="1" applyBorder="1"/>
    <xf numFmtId="0" fontId="63" fillId="5" borderId="0" xfId="0" applyFont="1" applyFill="1" applyAlignment="1">
      <alignment horizontal="right" vertical="center" readingOrder="2"/>
    </xf>
    <xf numFmtId="0" fontId="5" fillId="11" borderId="31" xfId="0" applyFont="1" applyFill="1" applyBorder="1"/>
    <xf numFmtId="0" fontId="5" fillId="11" borderId="18" xfId="0" applyFont="1" applyFill="1" applyBorder="1"/>
    <xf numFmtId="3" fontId="8" fillId="0" borderId="0" xfId="0" applyNumberFormat="1" applyFont="1" applyAlignment="1">
      <alignment horizontal="right"/>
    </xf>
    <xf numFmtId="0" fontId="8" fillId="19" borderId="0" xfId="0" applyFont="1" applyFill="1" applyAlignment="1">
      <alignment horizontal="right"/>
    </xf>
    <xf numFmtId="0" fontId="8" fillId="4" borderId="12" xfId="0" applyFont="1" applyFill="1" applyBorder="1"/>
    <xf numFmtId="0" fontId="8" fillId="4" borderId="13" xfId="0" applyFont="1" applyFill="1" applyBorder="1"/>
    <xf numFmtId="0" fontId="8" fillId="4" borderId="0" xfId="0" applyFont="1" applyFill="1" applyBorder="1" applyAlignment="1" applyProtection="1">
      <alignment horizontal="center"/>
      <protection locked="0"/>
    </xf>
    <xf numFmtId="0" fontId="8" fillId="4" borderId="18" xfId="0" applyFont="1" applyFill="1" applyBorder="1"/>
    <xf numFmtId="0" fontId="8" fillId="4" borderId="13" xfId="0" applyFont="1" applyFill="1" applyBorder="1" applyAlignment="1" applyProtection="1">
      <alignment horizontal="center"/>
      <protection locked="0"/>
    </xf>
    <xf numFmtId="0" fontId="8" fillId="4" borderId="14" xfId="0" applyFont="1" applyFill="1" applyBorder="1" applyAlignment="1" applyProtection="1">
      <alignment horizontal="center"/>
      <protection locked="0"/>
    </xf>
    <xf numFmtId="0" fontId="8" fillId="4" borderId="16" xfId="0" applyFont="1" applyFill="1" applyBorder="1" applyAlignment="1" applyProtection="1">
      <alignment horizontal="center"/>
      <protection locked="0"/>
    </xf>
    <xf numFmtId="0" fontId="8" fillId="4" borderId="18" xfId="0" applyFont="1" applyFill="1" applyBorder="1" applyAlignment="1" applyProtection="1">
      <alignment horizontal="center"/>
      <protection locked="0"/>
    </xf>
    <xf numFmtId="0" fontId="8" fillId="4" borderId="19" xfId="0" applyFont="1" applyFill="1" applyBorder="1" applyAlignment="1" applyProtection="1">
      <alignment horizontal="center"/>
      <protection locked="0"/>
    </xf>
    <xf numFmtId="0" fontId="8" fillId="23" borderId="15" xfId="0" applyFont="1" applyFill="1" applyBorder="1"/>
    <xf numFmtId="0" fontId="64" fillId="23" borderId="23" xfId="0" applyFont="1" applyFill="1" applyBorder="1" applyAlignment="1">
      <alignment horizontal="right"/>
    </xf>
    <xf numFmtId="0" fontId="8" fillId="37" borderId="16" xfId="0" applyFont="1" applyFill="1" applyBorder="1" applyAlignment="1">
      <alignment horizontal="right"/>
    </xf>
    <xf numFmtId="0" fontId="0" fillId="54" borderId="3" xfId="0" applyFill="1" applyBorder="1"/>
    <xf numFmtId="0" fontId="0" fillId="19" borderId="2" xfId="0" applyFill="1" applyBorder="1"/>
    <xf numFmtId="0" fontId="8" fillId="0" borderId="0" xfId="0" applyFont="1" applyFill="1" applyBorder="1"/>
    <xf numFmtId="0" fontId="8" fillId="19" borderId="2" xfId="0" applyFont="1" applyFill="1" applyBorder="1"/>
    <xf numFmtId="0" fontId="8" fillId="11" borderId="0" xfId="0" applyFont="1" applyFill="1"/>
    <xf numFmtId="0" fontId="8" fillId="11" borderId="2" xfId="0" applyFont="1" applyFill="1" applyBorder="1"/>
    <xf numFmtId="0" fontId="8" fillId="15" borderId="0" xfId="0" applyFont="1" applyFill="1" applyBorder="1"/>
    <xf numFmtId="0" fontId="8" fillId="15" borderId="0" xfId="0" applyFont="1" applyFill="1"/>
    <xf numFmtId="0" fontId="8" fillId="15" borderId="1" xfId="0" applyFont="1" applyFill="1" applyBorder="1"/>
    <xf numFmtId="0" fontId="8" fillId="8" borderId="2" xfId="0" applyFont="1" applyFill="1" applyBorder="1"/>
    <xf numFmtId="0" fontId="0" fillId="54" borderId="0" xfId="0" applyFill="1"/>
    <xf numFmtId="0" fontId="8" fillId="54" borderId="3" xfId="0" applyFont="1" applyFill="1" applyBorder="1"/>
    <xf numFmtId="0" fontId="8" fillId="8" borderId="3" xfId="0" applyFont="1" applyFill="1" applyBorder="1"/>
    <xf numFmtId="0" fontId="2" fillId="8" borderId="47" xfId="0" applyFont="1" applyFill="1" applyBorder="1"/>
    <xf numFmtId="0" fontId="8" fillId="8" borderId="16" xfId="0" applyFont="1" applyFill="1" applyBorder="1"/>
    <xf numFmtId="0" fontId="8" fillId="8" borderId="0" xfId="0" applyFont="1" applyFill="1" applyBorder="1"/>
    <xf numFmtId="0" fontId="8" fillId="8" borderId="47" xfId="0" applyFont="1" applyFill="1" applyBorder="1"/>
    <xf numFmtId="0" fontId="8" fillId="8" borderId="15" xfId="0" applyFont="1" applyFill="1" applyBorder="1"/>
    <xf numFmtId="0" fontId="8" fillId="8" borderId="48" xfId="0" applyFont="1" applyFill="1" applyBorder="1"/>
    <xf numFmtId="0" fontId="8" fillId="8" borderId="19" xfId="0" applyFont="1" applyFill="1" applyBorder="1"/>
    <xf numFmtId="0" fontId="8" fillId="8" borderId="18" xfId="0" applyFont="1" applyFill="1" applyBorder="1"/>
    <xf numFmtId="0" fontId="8" fillId="8" borderId="17" xfId="0" applyFont="1" applyFill="1" applyBorder="1"/>
    <xf numFmtId="0" fontId="8" fillId="8" borderId="1" xfId="0" applyFont="1" applyFill="1" applyBorder="1"/>
    <xf numFmtId="0" fontId="8" fillId="36" borderId="12" xfId="0" applyFont="1" applyFill="1" applyBorder="1" applyAlignment="1">
      <alignment horizontal="right"/>
    </xf>
    <xf numFmtId="0" fontId="8" fillId="36" borderId="17" xfId="0" applyFont="1" applyFill="1" applyBorder="1" applyAlignment="1">
      <alignment horizontal="right"/>
    </xf>
    <xf numFmtId="0" fontId="0" fillId="19" borderId="46" xfId="0" applyFill="1" applyBorder="1"/>
    <xf numFmtId="0" fontId="0" fillId="19" borderId="47" xfId="0" applyFill="1" applyBorder="1"/>
    <xf numFmtId="0" fontId="0" fillId="19" borderId="48" xfId="0" applyFill="1" applyBorder="1"/>
    <xf numFmtId="0" fontId="0" fillId="19" borderId="39" xfId="0" applyFill="1" applyBorder="1"/>
    <xf numFmtId="0" fontId="0" fillId="20" borderId="46" xfId="0" applyFill="1" applyBorder="1"/>
    <xf numFmtId="0" fontId="0" fillId="20" borderId="47" xfId="0" applyFill="1" applyBorder="1"/>
    <xf numFmtId="0" fontId="8" fillId="20" borderId="47" xfId="0" applyFont="1" applyFill="1" applyBorder="1" applyAlignment="1">
      <alignment horizontal="right"/>
    </xf>
    <xf numFmtId="0" fontId="0" fillId="20" borderId="48" xfId="0" applyFill="1" applyBorder="1"/>
    <xf numFmtId="0" fontId="8" fillId="36" borderId="2" xfId="0" applyFont="1" applyFill="1" applyBorder="1"/>
    <xf numFmtId="0" fontId="8" fillId="36" borderId="3" xfId="0" applyFont="1" applyFill="1" applyBorder="1"/>
    <xf numFmtId="0" fontId="8" fillId="6" borderId="0" xfId="0" applyFont="1" applyFill="1" applyBorder="1" applyAlignment="1" applyProtection="1">
      <alignment horizontal="center"/>
      <protection locked="0"/>
    </xf>
    <xf numFmtId="0" fontId="8" fillId="6" borderId="16" xfId="0" applyFont="1" applyFill="1" applyBorder="1" applyAlignment="1" applyProtection="1">
      <alignment horizontal="center"/>
      <protection locked="0"/>
    </xf>
    <xf numFmtId="0" fontId="8" fillId="6" borderId="18" xfId="0" applyFont="1" applyFill="1" applyBorder="1" applyAlignment="1" applyProtection="1">
      <alignment horizontal="center"/>
      <protection locked="0"/>
    </xf>
    <xf numFmtId="0" fontId="8" fillId="6" borderId="19" xfId="0" applyFont="1" applyFill="1" applyBorder="1" applyAlignment="1" applyProtection="1">
      <alignment horizontal="center"/>
      <protection locked="0"/>
    </xf>
    <xf numFmtId="0" fontId="8" fillId="6" borderId="14" xfId="0" applyFont="1" applyFill="1" applyBorder="1"/>
    <xf numFmtId="0" fontId="21" fillId="0" borderId="0" xfId="0" applyFont="1" applyFill="1" applyBorder="1" applyAlignment="1" applyProtection="1">
      <alignment horizontal="right"/>
      <protection locked="0"/>
    </xf>
    <xf numFmtId="0" fontId="21" fillId="0" borderId="0" xfId="0" applyFont="1" applyFill="1" applyBorder="1" applyAlignment="1" applyProtection="1">
      <alignment horizontal="center"/>
      <protection locked="0"/>
    </xf>
    <xf numFmtId="0" fontId="0" fillId="19" borderId="65" xfId="0" applyFill="1" applyBorder="1"/>
    <xf numFmtId="0" fontId="1" fillId="0" borderId="0" xfId="0" applyFont="1" applyFill="1" applyBorder="1" applyAlignment="1" applyProtection="1">
      <alignment horizontal="center"/>
      <protection locked="0"/>
    </xf>
    <xf numFmtId="0" fontId="20" fillId="0" borderId="0" xfId="0" applyFont="1" applyFill="1" applyBorder="1" applyAlignment="1">
      <alignment horizontal="center" vertical="center"/>
    </xf>
    <xf numFmtId="0" fontId="20" fillId="0" borderId="0" xfId="0" applyFont="1" applyFill="1" applyAlignment="1">
      <alignment horizontal="center" vertical="center"/>
    </xf>
    <xf numFmtId="0" fontId="20" fillId="24" borderId="0" xfId="0" applyFont="1" applyFill="1" applyBorder="1" applyAlignment="1" applyProtection="1">
      <alignment horizontal="center" vertical="center"/>
      <protection locked="0"/>
    </xf>
    <xf numFmtId="0" fontId="20" fillId="24" borderId="18" xfId="0" applyFont="1" applyFill="1" applyBorder="1" applyAlignment="1" applyProtection="1">
      <alignment horizontal="center" vertical="center"/>
      <protection locked="0"/>
    </xf>
    <xf numFmtId="0" fontId="20" fillId="24" borderId="17" xfId="0" applyFont="1" applyFill="1" applyBorder="1" applyAlignment="1">
      <alignment horizontal="center" vertical="center"/>
    </xf>
    <xf numFmtId="0" fontId="23" fillId="8" borderId="13" xfId="0" applyFont="1" applyFill="1" applyBorder="1" applyAlignment="1">
      <alignment horizontal="center"/>
    </xf>
    <xf numFmtId="0" fontId="1" fillId="9" borderId="15" xfId="0" applyFont="1" applyFill="1" applyBorder="1" applyAlignment="1" applyProtection="1">
      <alignment horizontal="center"/>
      <protection locked="0"/>
    </xf>
    <xf numFmtId="0" fontId="1" fillId="9" borderId="0" xfId="0" applyFont="1" applyFill="1" applyBorder="1" applyAlignment="1" applyProtection="1">
      <alignment horizontal="center"/>
      <protection locked="0"/>
    </xf>
    <xf numFmtId="0" fontId="1" fillId="9" borderId="16" xfId="0" applyFont="1" applyFill="1" applyBorder="1" applyAlignment="1" applyProtection="1">
      <alignment horizontal="center"/>
      <protection locked="0"/>
    </xf>
    <xf numFmtId="0" fontId="1" fillId="9" borderId="18" xfId="0" applyFont="1" applyFill="1" applyBorder="1" applyAlignment="1" applyProtection="1">
      <alignment horizontal="center"/>
      <protection locked="0"/>
    </xf>
    <xf numFmtId="0" fontId="1" fillId="9" borderId="19" xfId="0" applyFont="1" applyFill="1" applyBorder="1" applyAlignment="1" applyProtection="1">
      <alignment horizontal="center"/>
      <protection locked="0"/>
    </xf>
    <xf numFmtId="0" fontId="1" fillId="0" borderId="0" xfId="0" applyFont="1" applyFill="1" applyBorder="1"/>
    <xf numFmtId="0" fontId="5" fillId="0" borderId="0" xfId="0" applyFont="1" applyFill="1" applyBorder="1"/>
    <xf numFmtId="0" fontId="65" fillId="36" borderId="18" xfId="0" applyFont="1" applyFill="1" applyBorder="1" applyAlignment="1">
      <alignment horizontal="right"/>
    </xf>
    <xf numFmtId="0" fontId="56" fillId="11" borderId="0" xfId="0" applyFont="1" applyFill="1" applyBorder="1" applyAlignment="1" applyProtection="1">
      <alignment horizontal="center"/>
      <protection locked="0"/>
    </xf>
    <xf numFmtId="0" fontId="56" fillId="11" borderId="18" xfId="0" applyFont="1" applyFill="1" applyBorder="1" applyAlignment="1" applyProtection="1">
      <alignment horizontal="center"/>
      <protection locked="0"/>
    </xf>
    <xf numFmtId="0" fontId="56" fillId="11" borderId="12" xfId="0" applyFont="1" applyFill="1" applyBorder="1" applyAlignment="1">
      <alignment horizontal="center"/>
    </xf>
    <xf numFmtId="0" fontId="56" fillId="11" borderId="13" xfId="0" applyFont="1" applyFill="1" applyBorder="1" applyAlignment="1">
      <alignment horizontal="center"/>
    </xf>
    <xf numFmtId="0" fontId="56" fillId="11" borderId="14" xfId="0" applyFont="1" applyFill="1" applyBorder="1" applyAlignment="1">
      <alignment horizontal="center"/>
    </xf>
    <xf numFmtId="0" fontId="56" fillId="11" borderId="15" xfId="0" applyFont="1" applyFill="1" applyBorder="1" applyAlignment="1">
      <alignment horizontal="center"/>
    </xf>
    <xf numFmtId="0" fontId="56" fillId="11" borderId="0" xfId="0" applyFont="1" applyFill="1" applyBorder="1" applyAlignment="1">
      <alignment horizontal="center"/>
    </xf>
    <xf numFmtId="0" fontId="56" fillId="11" borderId="16" xfId="0" applyFont="1" applyFill="1" applyBorder="1" applyAlignment="1">
      <alignment horizontal="center"/>
    </xf>
    <xf numFmtId="0" fontId="56" fillId="11" borderId="41" xfId="0" applyFont="1" applyFill="1" applyBorder="1" applyAlignment="1">
      <alignment horizontal="center"/>
    </xf>
    <xf numFmtId="0" fontId="56" fillId="11" borderId="57" xfId="0" applyFont="1" applyFill="1" applyBorder="1" applyAlignment="1">
      <alignment horizontal="center"/>
    </xf>
    <xf numFmtId="0" fontId="56" fillId="11" borderId="53" xfId="0" applyFont="1" applyFill="1" applyBorder="1" applyAlignment="1">
      <alignment horizontal="center"/>
    </xf>
    <xf numFmtId="0" fontId="56" fillId="11" borderId="47" xfId="0" applyFont="1" applyFill="1" applyBorder="1" applyAlignment="1">
      <alignment horizontal="center"/>
    </xf>
    <xf numFmtId="0" fontId="56" fillId="11" borderId="17" xfId="0" applyFont="1" applyFill="1" applyBorder="1" applyAlignment="1">
      <alignment horizontal="center"/>
    </xf>
    <xf numFmtId="0" fontId="56" fillId="11" borderId="18" xfId="0" applyFont="1" applyFill="1" applyBorder="1" applyAlignment="1">
      <alignment horizontal="center"/>
    </xf>
    <xf numFmtId="0" fontId="23" fillId="36" borderId="12" xfId="0" applyFont="1" applyFill="1" applyBorder="1" applyAlignment="1">
      <alignment horizontal="right"/>
    </xf>
    <xf numFmtId="0" fontId="23" fillId="36" borderId="13" xfId="0" applyFont="1" applyFill="1" applyBorder="1" applyAlignment="1">
      <alignment horizontal="right"/>
    </xf>
    <xf numFmtId="0" fontId="0" fillId="36" borderId="42" xfId="0" applyFill="1" applyBorder="1"/>
    <xf numFmtId="0" fontId="23" fillId="36" borderId="16" xfId="0" applyFont="1" applyFill="1" applyBorder="1" applyAlignment="1" applyProtection="1">
      <alignment horizontal="center"/>
      <protection locked="0"/>
    </xf>
    <xf numFmtId="0" fontId="23" fillId="36" borderId="19" xfId="0" applyFont="1" applyFill="1" applyBorder="1" applyAlignment="1">
      <alignment horizontal="center"/>
    </xf>
    <xf numFmtId="0" fontId="0" fillId="36" borderId="36" xfId="0" applyFill="1" applyBorder="1"/>
    <xf numFmtId="0" fontId="23" fillId="36" borderId="26" xfId="0" applyFont="1" applyFill="1" applyBorder="1"/>
    <xf numFmtId="0" fontId="23" fillId="36" borderId="38" xfId="0" applyFont="1" applyFill="1" applyBorder="1"/>
    <xf numFmtId="0" fontId="0" fillId="5" borderId="48" xfId="0" applyFill="1" applyBorder="1" applyAlignment="1">
      <alignment horizontal="center"/>
    </xf>
    <xf numFmtId="0" fontId="20" fillId="36" borderId="0" xfId="0" applyFont="1" applyFill="1" applyBorder="1" applyAlignment="1">
      <alignment horizontal="right" vertical="center"/>
    </xf>
    <xf numFmtId="0" fontId="20" fillId="24" borderId="16" xfId="0" applyFont="1" applyFill="1" applyBorder="1" applyAlignment="1" applyProtection="1">
      <alignment horizontal="center" vertical="center"/>
      <protection locked="0"/>
    </xf>
    <xf numFmtId="0" fontId="20" fillId="24" borderId="18" xfId="0" applyFont="1" applyFill="1" applyBorder="1" applyAlignment="1">
      <alignment horizontal="center" vertical="center"/>
    </xf>
    <xf numFmtId="0" fontId="20" fillId="24" borderId="19" xfId="0" applyFont="1" applyFill="1" applyBorder="1" applyAlignment="1" applyProtection="1">
      <alignment horizontal="center" vertical="center"/>
      <protection locked="0"/>
    </xf>
    <xf numFmtId="0" fontId="0" fillId="36" borderId="41" xfId="0" applyFill="1" applyBorder="1"/>
    <xf numFmtId="0" fontId="0" fillId="36" borderId="43" xfId="0" applyFill="1" applyBorder="1"/>
    <xf numFmtId="0" fontId="0" fillId="36" borderId="45" xfId="0" applyFill="1" applyBorder="1"/>
    <xf numFmtId="0" fontId="0" fillId="8" borderId="15" xfId="0" applyFill="1" applyBorder="1" applyAlignment="1">
      <alignment horizontal="center"/>
    </xf>
    <xf numFmtId="0" fontId="0" fillId="8" borderId="17" xfId="0" applyFill="1" applyBorder="1" applyAlignment="1">
      <alignment horizontal="center"/>
    </xf>
    <xf numFmtId="0" fontId="20" fillId="8" borderId="18" xfId="0" applyFont="1" applyFill="1" applyBorder="1" applyAlignment="1">
      <alignment horizontal="center" vertical="center"/>
    </xf>
    <xf numFmtId="0" fontId="66" fillId="19" borderId="0" xfId="0" applyFont="1" applyFill="1" applyBorder="1"/>
    <xf numFmtId="0" fontId="66" fillId="52" borderId="0" xfId="0" applyFont="1" applyFill="1" applyBorder="1"/>
    <xf numFmtId="0" fontId="66" fillId="0" borderId="0" xfId="0" applyFont="1" applyFill="1" applyBorder="1"/>
    <xf numFmtId="0" fontId="66" fillId="19" borderId="18" xfId="0" applyFont="1" applyFill="1" applyBorder="1"/>
    <xf numFmtId="0" fontId="66" fillId="52" borderId="18" xfId="0" applyFont="1" applyFill="1" applyBorder="1"/>
    <xf numFmtId="0" fontId="66" fillId="14" borderId="0" xfId="0" applyFont="1" applyFill="1" applyBorder="1"/>
    <xf numFmtId="0" fontId="66" fillId="31" borderId="0" xfId="0" applyFont="1" applyFill="1" applyBorder="1"/>
    <xf numFmtId="0" fontId="66" fillId="14" borderId="18" xfId="0" applyFont="1" applyFill="1" applyBorder="1"/>
    <xf numFmtId="0" fontId="66" fillId="31" borderId="18" xfId="0" applyFont="1" applyFill="1" applyBorder="1"/>
    <xf numFmtId="0" fontId="68" fillId="2" borderId="3" xfId="0" applyFont="1" applyFill="1" applyBorder="1"/>
    <xf numFmtId="0" fontId="0" fillId="0" borderId="0" xfId="0" applyFont="1" applyFill="1" applyBorder="1"/>
    <xf numFmtId="0" fontId="0" fillId="14" borderId="2" xfId="0" applyFont="1" applyFill="1" applyBorder="1"/>
    <xf numFmtId="0" fontId="0" fillId="14" borderId="13" xfId="0" applyFont="1" applyFill="1" applyBorder="1"/>
    <xf numFmtId="0" fontId="0" fillId="14" borderId="43" xfId="0" applyFont="1" applyFill="1" applyBorder="1"/>
    <xf numFmtId="0" fontId="0" fillId="31" borderId="2" xfId="0" applyFont="1" applyFill="1" applyBorder="1"/>
    <xf numFmtId="0" fontId="0" fillId="31" borderId="66" xfId="0" applyFont="1" applyFill="1" applyBorder="1"/>
    <xf numFmtId="0" fontId="0" fillId="52" borderId="0" xfId="0" applyFont="1" applyFill="1"/>
    <xf numFmtId="0" fontId="0" fillId="52" borderId="2" xfId="0" applyFont="1" applyFill="1" applyBorder="1"/>
    <xf numFmtId="0" fontId="0" fillId="52" borderId="66" xfId="0" applyFont="1" applyFill="1" applyBorder="1"/>
    <xf numFmtId="0" fontId="0" fillId="19" borderId="2" xfId="0" applyFont="1" applyFill="1" applyBorder="1"/>
    <xf numFmtId="0" fontId="0" fillId="19" borderId="66" xfId="0" applyFont="1" applyFill="1" applyBorder="1"/>
    <xf numFmtId="0" fontId="0" fillId="11" borderId="2" xfId="0" applyFont="1" applyFill="1" applyBorder="1"/>
    <xf numFmtId="0" fontId="0" fillId="11" borderId="3" xfId="0" applyFont="1" applyFill="1" applyBorder="1"/>
    <xf numFmtId="0" fontId="0" fillId="14" borderId="41" xfId="0" applyFont="1" applyFill="1" applyBorder="1"/>
    <xf numFmtId="0" fontId="0" fillId="14" borderId="57" xfId="0" applyFont="1" applyFill="1" applyBorder="1"/>
    <xf numFmtId="0" fontId="0" fillId="31" borderId="58" xfId="0" applyFont="1" applyFill="1" applyBorder="1"/>
    <xf numFmtId="0" fontId="0" fillId="31" borderId="57" xfId="0" applyFont="1" applyFill="1" applyBorder="1"/>
    <xf numFmtId="0" fontId="0" fillId="52" borderId="57" xfId="0" applyFont="1" applyFill="1" applyBorder="1"/>
    <xf numFmtId="0" fontId="0" fillId="52" borderId="58" xfId="0" applyFont="1" applyFill="1" applyBorder="1"/>
    <xf numFmtId="0" fontId="0" fillId="19" borderId="58" xfId="0" applyFont="1" applyFill="1" applyBorder="1"/>
    <xf numFmtId="0" fontId="0" fillId="19" borderId="57" xfId="0" applyFont="1" applyFill="1" applyBorder="1"/>
    <xf numFmtId="0" fontId="0" fillId="11" borderId="58" xfId="0" applyFont="1" applyFill="1" applyBorder="1"/>
    <xf numFmtId="0" fontId="0" fillId="11" borderId="57" xfId="0" applyFont="1" applyFill="1" applyBorder="1"/>
    <xf numFmtId="0" fontId="0" fillId="11" borderId="42" xfId="0" applyFont="1" applyFill="1" applyBorder="1"/>
    <xf numFmtId="0" fontId="0" fillId="14" borderId="15" xfId="0" applyFont="1" applyFill="1" applyBorder="1"/>
    <xf numFmtId="0" fontId="0" fillId="14" borderId="0" xfId="0" applyFont="1" applyFill="1" applyBorder="1"/>
    <xf numFmtId="0" fontId="0" fillId="31" borderId="26" xfId="0" applyFont="1" applyFill="1" applyBorder="1"/>
    <xf numFmtId="0" fontId="0" fillId="31" borderId="0" xfId="0" applyFont="1" applyFill="1" applyBorder="1"/>
    <xf numFmtId="0" fontId="0" fillId="52" borderId="0" xfId="0" applyFont="1" applyFill="1" applyBorder="1"/>
    <xf numFmtId="0" fontId="0" fillId="52" borderId="26" xfId="0" applyFont="1" applyFill="1" applyBorder="1"/>
    <xf numFmtId="0" fontId="0" fillId="19" borderId="26" xfId="0" applyFont="1" applyFill="1" applyBorder="1"/>
    <xf numFmtId="0" fontId="0" fillId="19" borderId="0" xfId="0" applyFont="1" applyFill="1" applyBorder="1"/>
    <xf numFmtId="0" fontId="0" fillId="11" borderId="26" xfId="0" applyFont="1" applyFill="1" applyBorder="1"/>
    <xf numFmtId="0" fontId="0" fillId="11" borderId="0" xfId="0" applyFont="1" applyFill="1" applyBorder="1"/>
    <xf numFmtId="0" fontId="0" fillId="11" borderId="16" xfId="0" applyFont="1" applyFill="1" applyBorder="1"/>
    <xf numFmtId="0" fontId="0" fillId="14" borderId="17" xfId="0" applyFont="1" applyFill="1" applyBorder="1"/>
    <xf numFmtId="0" fontId="0" fillId="14" borderId="18" xfId="0" applyFont="1" applyFill="1" applyBorder="1"/>
    <xf numFmtId="0" fontId="0" fillId="31" borderId="38" xfId="0" applyFont="1" applyFill="1" applyBorder="1"/>
    <xf numFmtId="0" fontId="0" fillId="31" borderId="18" xfId="0" applyFont="1" applyFill="1" applyBorder="1"/>
    <xf numFmtId="0" fontId="0" fillId="52" borderId="18" xfId="0" applyFont="1" applyFill="1" applyBorder="1"/>
    <xf numFmtId="0" fontId="0" fillId="52" borderId="38" xfId="0" applyFont="1" applyFill="1" applyBorder="1"/>
    <xf numFmtId="0" fontId="0" fillId="19" borderId="38" xfId="0" applyFont="1" applyFill="1" applyBorder="1"/>
    <xf numFmtId="0" fontId="0" fillId="19" borderId="18" xfId="0" applyFont="1" applyFill="1" applyBorder="1"/>
    <xf numFmtId="0" fontId="0" fillId="11" borderId="38" xfId="0" applyFont="1" applyFill="1" applyBorder="1"/>
    <xf numFmtId="0" fontId="0" fillId="11" borderId="18" xfId="0" applyFont="1" applyFill="1" applyBorder="1"/>
    <xf numFmtId="0" fontId="0" fillId="11" borderId="19" xfId="0" applyFont="1" applyFill="1" applyBorder="1"/>
    <xf numFmtId="0" fontId="0" fillId="2" borderId="1" xfId="0" applyFont="1" applyFill="1" applyBorder="1"/>
    <xf numFmtId="0" fontId="0" fillId="2" borderId="2" xfId="0" applyFont="1" applyFill="1" applyBorder="1"/>
    <xf numFmtId="0" fontId="0" fillId="19" borderId="13" xfId="0" applyFont="1" applyFill="1" applyBorder="1"/>
    <xf numFmtId="0" fontId="0" fillId="19" borderId="43" xfId="0" applyFont="1" applyFill="1" applyBorder="1"/>
    <xf numFmtId="0" fontId="0" fillId="19" borderId="29" xfId="0" applyFont="1" applyFill="1" applyBorder="1"/>
    <xf numFmtId="0" fontId="0" fillId="19" borderId="32" xfId="0" applyFont="1" applyFill="1" applyBorder="1"/>
    <xf numFmtId="0" fontId="0" fillId="19" borderId="30" xfId="0" applyFont="1" applyFill="1" applyBorder="1"/>
    <xf numFmtId="0" fontId="66" fillId="19" borderId="23" xfId="0" applyFont="1" applyFill="1" applyBorder="1"/>
    <xf numFmtId="0" fontId="0" fillId="31" borderId="24" xfId="0" applyFont="1" applyFill="1" applyBorder="1"/>
    <xf numFmtId="0" fontId="0" fillId="31" borderId="31" xfId="0" applyFont="1" applyFill="1" applyBorder="1"/>
    <xf numFmtId="0" fontId="66" fillId="31" borderId="25" xfId="0" applyFont="1" applyFill="1" applyBorder="1"/>
    <xf numFmtId="0" fontId="66" fillId="31" borderId="23" xfId="0" applyFont="1" applyFill="1" applyBorder="1"/>
    <xf numFmtId="0" fontId="0" fillId="14" borderId="1" xfId="0" applyFont="1" applyFill="1" applyBorder="1"/>
    <xf numFmtId="0" fontId="0" fillId="52" borderId="13" xfId="0" applyFont="1" applyFill="1" applyBorder="1"/>
    <xf numFmtId="0" fontId="66" fillId="31" borderId="45" xfId="0" applyFont="1" applyFill="1" applyBorder="1"/>
    <xf numFmtId="0" fontId="66" fillId="19" borderId="45" xfId="0" applyFont="1" applyFill="1" applyBorder="1"/>
    <xf numFmtId="0" fontId="70" fillId="0" borderId="0" xfId="0" applyFont="1"/>
    <xf numFmtId="0" fontId="66" fillId="6" borderId="0" xfId="0" applyFont="1" applyFill="1" applyBorder="1"/>
    <xf numFmtId="0" fontId="66" fillId="24" borderId="0" xfId="0" applyFont="1" applyFill="1" applyBorder="1"/>
    <xf numFmtId="0" fontId="66" fillId="15" borderId="0" xfId="0" applyFont="1" applyFill="1" applyBorder="1"/>
    <xf numFmtId="0" fontId="0" fillId="11" borderId="13" xfId="0" applyFont="1" applyFill="1" applyBorder="1"/>
    <xf numFmtId="0" fontId="0" fillId="15" borderId="15" xfId="0" applyFont="1" applyFill="1" applyBorder="1"/>
    <xf numFmtId="0" fontId="0" fillId="15" borderId="0" xfId="0" applyFont="1" applyFill="1" applyBorder="1"/>
    <xf numFmtId="0" fontId="0" fillId="24" borderId="0" xfId="0" applyFont="1" applyFill="1" applyBorder="1"/>
    <xf numFmtId="0" fontId="0" fillId="15" borderId="17" xfId="0" applyFont="1" applyFill="1" applyBorder="1"/>
    <xf numFmtId="0" fontId="0" fillId="15" borderId="18" xfId="0" applyFont="1" applyFill="1" applyBorder="1"/>
    <xf numFmtId="0" fontId="66" fillId="15" borderId="18" xfId="0" applyFont="1" applyFill="1" applyBorder="1"/>
    <xf numFmtId="0" fontId="0" fillId="24" borderId="18" xfId="0" applyFont="1" applyFill="1" applyBorder="1"/>
    <xf numFmtId="0" fontId="66" fillId="24" borderId="18" xfId="0" applyFont="1" applyFill="1" applyBorder="1"/>
    <xf numFmtId="0" fontId="0" fillId="15" borderId="41" xfId="0" applyFont="1" applyFill="1" applyBorder="1"/>
    <xf numFmtId="0" fontId="0" fillId="15" borderId="57" xfId="0" applyFont="1" applyFill="1" applyBorder="1"/>
    <xf numFmtId="0" fontId="66" fillId="15" borderId="57" xfId="0" applyFont="1" applyFill="1" applyBorder="1"/>
    <xf numFmtId="0" fontId="0" fillId="24" borderId="57" xfId="0" applyFont="1" applyFill="1" applyBorder="1"/>
    <xf numFmtId="0" fontId="66" fillId="24" borderId="57" xfId="0" applyFont="1" applyFill="1" applyBorder="1"/>
    <xf numFmtId="0" fontId="0" fillId="24" borderId="58" xfId="0" applyFont="1" applyFill="1" applyBorder="1"/>
    <xf numFmtId="0" fontId="0" fillId="24" borderId="26" xfId="0" applyFont="1" applyFill="1" applyBorder="1"/>
    <xf numFmtId="0" fontId="0" fillId="24" borderId="38" xfId="0" applyFont="1" applyFill="1" applyBorder="1"/>
    <xf numFmtId="0" fontId="0" fillId="6" borderId="0" xfId="0" applyFont="1" applyFill="1" applyBorder="1"/>
    <xf numFmtId="0" fontId="0" fillId="23" borderId="13" xfId="0" applyFont="1" applyFill="1" applyBorder="1"/>
    <xf numFmtId="0" fontId="66" fillId="23" borderId="13" xfId="0" applyFont="1" applyFill="1" applyBorder="1"/>
    <xf numFmtId="0" fontId="0" fillId="11" borderId="14" xfId="0" applyFont="1" applyFill="1" applyBorder="1"/>
    <xf numFmtId="0" fontId="0" fillId="23" borderId="0" xfId="0" applyFont="1" applyFill="1" applyBorder="1"/>
    <xf numFmtId="0" fontId="66" fillId="23" borderId="0" xfId="0" applyFont="1" applyFill="1" applyBorder="1"/>
    <xf numFmtId="0" fontId="0" fillId="23" borderId="18" xfId="0" applyFont="1" applyFill="1" applyBorder="1"/>
    <xf numFmtId="0" fontId="66" fillId="23" borderId="18" xfId="0" applyFont="1" applyFill="1" applyBorder="1"/>
    <xf numFmtId="0" fontId="0" fillId="11" borderId="36" xfId="0" applyFont="1" applyFill="1" applyBorder="1"/>
    <xf numFmtId="0" fontId="0" fillId="6" borderId="13" xfId="0" applyFont="1" applyFill="1" applyBorder="1"/>
    <xf numFmtId="0" fontId="66" fillId="6" borderId="13" xfId="0" applyFont="1" applyFill="1" applyBorder="1"/>
    <xf numFmtId="0" fontId="0" fillId="6" borderId="15" xfId="0" applyFont="1" applyFill="1" applyBorder="1"/>
    <xf numFmtId="0" fontId="0" fillId="6" borderId="17" xfId="0" applyFont="1" applyFill="1" applyBorder="1"/>
    <xf numFmtId="0" fontId="0" fillId="6" borderId="18" xfId="0" applyFont="1" applyFill="1" applyBorder="1"/>
    <xf numFmtId="0" fontId="66" fillId="6" borderId="18" xfId="0" applyFont="1" applyFill="1" applyBorder="1"/>
    <xf numFmtId="0" fontId="0" fillId="4" borderId="0" xfId="0" applyFont="1" applyFill="1" applyBorder="1"/>
    <xf numFmtId="0" fontId="66" fillId="2" borderId="2" xfId="0" applyFont="1" applyFill="1" applyBorder="1"/>
    <xf numFmtId="0" fontId="0" fillId="24" borderId="12" xfId="0" applyFont="1" applyFill="1" applyBorder="1"/>
    <xf numFmtId="0" fontId="0" fillId="24" borderId="13" xfId="0" applyFont="1" applyFill="1" applyBorder="1"/>
    <xf numFmtId="0" fontId="66" fillId="24" borderId="13" xfId="0" applyFont="1" applyFill="1" applyBorder="1"/>
    <xf numFmtId="0" fontId="0" fillId="24" borderId="17" xfId="0" applyFont="1" applyFill="1" applyBorder="1"/>
    <xf numFmtId="0" fontId="0" fillId="11" borderId="67" xfId="0" applyFont="1" applyFill="1" applyBorder="1"/>
    <xf numFmtId="0" fontId="0" fillId="23" borderId="36" xfId="0" applyFont="1" applyFill="1" applyBorder="1"/>
    <xf numFmtId="0" fontId="0" fillId="23" borderId="26" xfId="0" applyFont="1" applyFill="1" applyBorder="1"/>
    <xf numFmtId="0" fontId="0" fillId="23" borderId="38" xfId="0" applyFont="1" applyFill="1" applyBorder="1"/>
    <xf numFmtId="0" fontId="0" fillId="9" borderId="2" xfId="0" applyFont="1" applyFill="1" applyBorder="1"/>
    <xf numFmtId="0" fontId="0" fillId="6" borderId="67" xfId="0" applyFont="1" applyFill="1" applyBorder="1"/>
    <xf numFmtId="0" fontId="0" fillId="6" borderId="2" xfId="0" applyFont="1" applyFill="1" applyBorder="1"/>
    <xf numFmtId="0" fontId="0" fillId="5" borderId="67" xfId="0" applyFont="1" applyFill="1" applyBorder="1"/>
    <xf numFmtId="0" fontId="0" fillId="5" borderId="2" xfId="0" applyFont="1" applyFill="1" applyBorder="1"/>
    <xf numFmtId="0" fontId="0" fillId="5" borderId="3" xfId="0" applyFont="1" applyFill="1" applyBorder="1"/>
    <xf numFmtId="0" fontId="0" fillId="20" borderId="2" xfId="0" applyFont="1" applyFill="1" applyBorder="1"/>
    <xf numFmtId="0" fontId="0" fillId="23" borderId="2" xfId="0" applyFont="1" applyFill="1" applyBorder="1"/>
    <xf numFmtId="0" fontId="68" fillId="23" borderId="2" xfId="0" applyFont="1" applyFill="1" applyBorder="1"/>
    <xf numFmtId="0" fontId="0" fillId="5" borderId="1" xfId="0" applyFont="1" applyFill="1" applyBorder="1"/>
    <xf numFmtId="0" fontId="0" fillId="5" borderId="15" xfId="0" applyFont="1" applyFill="1" applyBorder="1"/>
    <xf numFmtId="0" fontId="0" fillId="5" borderId="0" xfId="0" applyFont="1" applyFill="1" applyBorder="1"/>
    <xf numFmtId="0" fontId="0" fillId="5" borderId="17" xfId="0" applyFont="1" applyFill="1" applyBorder="1"/>
    <xf numFmtId="0" fontId="0" fillId="5" borderId="18" xfId="0" applyFont="1" applyFill="1" applyBorder="1"/>
    <xf numFmtId="0" fontId="0" fillId="11" borderId="15" xfId="0" applyFont="1" applyFill="1" applyBorder="1"/>
    <xf numFmtId="0" fontId="0" fillId="11" borderId="17" xfId="0" applyFont="1" applyFill="1" applyBorder="1"/>
    <xf numFmtId="0" fontId="0" fillId="4" borderId="1" xfId="0" applyFont="1" applyFill="1" applyBorder="1"/>
    <xf numFmtId="0" fontId="0" fillId="4" borderId="2" xfId="0" applyFont="1" applyFill="1" applyBorder="1"/>
    <xf numFmtId="0" fontId="0" fillId="4" borderId="12" xfId="0" applyFont="1" applyFill="1" applyBorder="1"/>
    <xf numFmtId="0" fontId="0" fillId="4" borderId="13" xfId="0" applyFont="1" applyFill="1" applyBorder="1"/>
    <xf numFmtId="0" fontId="0" fillId="4" borderId="15" xfId="0" applyFont="1" applyFill="1" applyBorder="1"/>
    <xf numFmtId="0" fontId="0" fillId="4" borderId="17" xfId="0" applyFont="1" applyFill="1" applyBorder="1"/>
    <xf numFmtId="0" fontId="0" fillId="4" borderId="18" xfId="0" applyFont="1" applyFill="1" applyBorder="1"/>
    <xf numFmtId="0" fontId="0" fillId="6" borderId="36" xfId="0" applyFont="1" applyFill="1" applyBorder="1"/>
    <xf numFmtId="0" fontId="0" fillId="6" borderId="26" xfId="0" applyFont="1" applyFill="1" applyBorder="1"/>
    <xf numFmtId="0" fontId="0" fillId="6" borderId="38" xfId="0" applyFont="1" applyFill="1" applyBorder="1"/>
    <xf numFmtId="0" fontId="0" fillId="9" borderId="1" xfId="0" applyFont="1" applyFill="1" applyBorder="1"/>
    <xf numFmtId="0" fontId="0" fillId="9" borderId="15" xfId="0" applyFont="1" applyFill="1" applyBorder="1"/>
    <xf numFmtId="0" fontId="0" fillId="9" borderId="0" xfId="0" applyFont="1" applyFill="1" applyBorder="1"/>
    <xf numFmtId="0" fontId="0" fillId="9" borderId="17" xfId="0" applyFont="1" applyFill="1" applyBorder="1"/>
    <xf numFmtId="0" fontId="0" fillId="9" borderId="18" xfId="0" applyFont="1" applyFill="1" applyBorder="1"/>
    <xf numFmtId="0" fontId="0" fillId="20" borderId="26" xfId="0" applyFont="1" applyFill="1" applyBorder="1"/>
    <xf numFmtId="0" fontId="0" fillId="20" borderId="0" xfId="0" applyFont="1" applyFill="1" applyBorder="1"/>
    <xf numFmtId="0" fontId="66" fillId="20" borderId="0" xfId="0" applyFont="1" applyFill="1" applyBorder="1"/>
    <xf numFmtId="0" fontId="0" fillId="20" borderId="38" xfId="0" applyFont="1" applyFill="1" applyBorder="1"/>
    <xf numFmtId="0" fontId="0" fillId="20" borderId="18" xfId="0" applyFont="1" applyFill="1" applyBorder="1"/>
    <xf numFmtId="0" fontId="66" fillId="20" borderId="18" xfId="0" applyFont="1" applyFill="1" applyBorder="1"/>
    <xf numFmtId="0" fontId="68" fillId="11" borderId="3" xfId="0" applyFont="1" applyFill="1" applyBorder="1"/>
    <xf numFmtId="0" fontId="0" fillId="20" borderId="67" xfId="0" applyFont="1" applyFill="1" applyBorder="1"/>
    <xf numFmtId="0" fontId="68" fillId="6" borderId="2" xfId="0" applyFont="1" applyFill="1" applyBorder="1"/>
    <xf numFmtId="0" fontId="66" fillId="4" borderId="13" xfId="0" applyFont="1" applyFill="1" applyBorder="1"/>
    <xf numFmtId="0" fontId="66" fillId="4" borderId="0" xfId="0" applyFont="1" applyFill="1" applyBorder="1"/>
    <xf numFmtId="0" fontId="66" fillId="4" borderId="18" xfId="0" applyFont="1" applyFill="1" applyBorder="1"/>
    <xf numFmtId="0" fontId="0" fillId="9" borderId="12" xfId="0" applyFont="1" applyFill="1" applyBorder="1"/>
    <xf numFmtId="0" fontId="0" fillId="9" borderId="13" xfId="0" applyFont="1" applyFill="1" applyBorder="1"/>
    <xf numFmtId="0" fontId="66" fillId="9" borderId="13" xfId="0" applyFont="1" applyFill="1" applyBorder="1"/>
    <xf numFmtId="0" fontId="66" fillId="9" borderId="0" xfId="0" applyFont="1" applyFill="1" applyBorder="1"/>
    <xf numFmtId="0" fontId="66" fillId="9" borderId="18" xfId="0" applyFont="1" applyFill="1" applyBorder="1"/>
    <xf numFmtId="0" fontId="66" fillId="5" borderId="0" xfId="0" applyFont="1" applyFill="1" applyBorder="1"/>
    <xf numFmtId="0" fontId="66" fillId="5" borderId="18" xfId="0" applyFont="1" applyFill="1" applyBorder="1"/>
    <xf numFmtId="0" fontId="0" fillId="6" borderId="16" xfId="0" applyFont="1" applyFill="1" applyBorder="1"/>
    <xf numFmtId="0" fontId="0" fillId="6" borderId="19" xfId="0" applyFont="1" applyFill="1" applyBorder="1"/>
    <xf numFmtId="0" fontId="0" fillId="11" borderId="41" xfId="0" applyFont="1" applyFill="1" applyBorder="1"/>
    <xf numFmtId="0" fontId="0" fillId="5" borderId="16" xfId="0" applyFont="1" applyFill="1" applyBorder="1"/>
    <xf numFmtId="0" fontId="0" fillId="5" borderId="19" xfId="0" applyFont="1" applyFill="1" applyBorder="1"/>
    <xf numFmtId="0" fontId="0" fillId="20" borderId="15" xfId="0" applyFont="1" applyFill="1" applyBorder="1"/>
    <xf numFmtId="0" fontId="0" fillId="20" borderId="16" xfId="0" applyFont="1" applyFill="1" applyBorder="1"/>
    <xf numFmtId="0" fontId="0" fillId="20" borderId="17" xfId="0" applyFont="1" applyFill="1" applyBorder="1"/>
    <xf numFmtId="0" fontId="0" fillId="20" borderId="19" xfId="0" applyFont="1" applyFill="1" applyBorder="1"/>
    <xf numFmtId="0" fontId="0" fillId="4" borderId="16" xfId="0" applyFont="1" applyFill="1" applyBorder="1"/>
    <xf numFmtId="0" fontId="0" fillId="4" borderId="19" xfId="0" applyFont="1" applyFill="1" applyBorder="1"/>
    <xf numFmtId="0" fontId="0" fillId="15" borderId="16" xfId="0" applyFont="1" applyFill="1" applyBorder="1"/>
    <xf numFmtId="0" fontId="0" fillId="15" borderId="19" xfId="0" applyFont="1" applyFill="1" applyBorder="1"/>
    <xf numFmtId="0" fontId="0" fillId="2" borderId="15" xfId="0" applyFont="1" applyFill="1" applyBorder="1"/>
    <xf numFmtId="0" fontId="0" fillId="2" borderId="0" xfId="0" applyFont="1" applyFill="1" applyBorder="1"/>
    <xf numFmtId="0" fontId="0" fillId="2" borderId="16" xfId="0" applyFont="1" applyFill="1" applyBorder="1"/>
    <xf numFmtId="0" fontId="0" fillId="2" borderId="17" xfId="0" applyFont="1" applyFill="1" applyBorder="1"/>
    <xf numFmtId="0" fontId="0" fillId="2" borderId="18" xfId="0" applyFont="1" applyFill="1" applyBorder="1"/>
    <xf numFmtId="0" fontId="0" fillId="2" borderId="19" xfId="0" applyFont="1" applyFill="1" applyBorder="1"/>
    <xf numFmtId="0" fontId="66" fillId="4" borderId="66" xfId="0" applyFont="1" applyFill="1" applyBorder="1"/>
    <xf numFmtId="0" fontId="0" fillId="4" borderId="14" xfId="0" applyFont="1" applyFill="1" applyBorder="1"/>
    <xf numFmtId="0" fontId="0" fillId="4" borderId="36" xfId="0" applyFont="1" applyFill="1" applyBorder="1"/>
    <xf numFmtId="0" fontId="0" fillId="4" borderId="38" xfId="0" applyFont="1" applyFill="1" applyBorder="1"/>
    <xf numFmtId="0" fontId="68" fillId="0" borderId="0" xfId="0" applyFont="1"/>
    <xf numFmtId="0" fontId="0" fillId="20" borderId="12" xfId="0" applyFont="1" applyFill="1" applyBorder="1"/>
    <xf numFmtId="0" fontId="0" fillId="20" borderId="13" xfId="0" applyFont="1" applyFill="1" applyBorder="1"/>
    <xf numFmtId="0" fontId="66" fillId="20" borderId="43" xfId="0" applyFont="1" applyFill="1" applyBorder="1"/>
    <xf numFmtId="0" fontId="66" fillId="20" borderId="23" xfId="0" applyFont="1" applyFill="1" applyBorder="1"/>
    <xf numFmtId="0" fontId="66" fillId="20" borderId="45" xfId="0" applyFont="1" applyFill="1" applyBorder="1"/>
    <xf numFmtId="0" fontId="66" fillId="2" borderId="23" xfId="0" applyFont="1" applyFill="1" applyBorder="1"/>
    <xf numFmtId="0" fontId="0" fillId="2" borderId="12" xfId="0" applyFont="1" applyFill="1" applyBorder="1"/>
    <xf numFmtId="0" fontId="0" fillId="2" borderId="13" xfId="0" applyFont="1" applyFill="1" applyBorder="1"/>
    <xf numFmtId="0" fontId="66" fillId="2" borderId="43" xfId="0" applyFont="1" applyFill="1" applyBorder="1"/>
    <xf numFmtId="0" fontId="66" fillId="2" borderId="45" xfId="0" applyFont="1" applyFill="1" applyBorder="1"/>
    <xf numFmtId="0" fontId="72" fillId="0" borderId="0" xfId="0" applyFont="1"/>
    <xf numFmtId="0" fontId="71" fillId="15" borderId="13" xfId="0" applyFont="1" applyFill="1" applyBorder="1" applyAlignment="1">
      <alignment horizontal="right"/>
    </xf>
    <xf numFmtId="0" fontId="71" fillId="15" borderId="15" xfId="0" applyFont="1" applyFill="1" applyBorder="1" applyAlignment="1">
      <alignment horizontal="right" vertical="center"/>
    </xf>
    <xf numFmtId="0" fontId="71" fillId="15" borderId="0" xfId="0" applyFont="1" applyFill="1" applyBorder="1" applyAlignment="1">
      <alignment horizontal="right"/>
    </xf>
    <xf numFmtId="0" fontId="71" fillId="15" borderId="16" xfId="0" applyFont="1" applyFill="1" applyBorder="1" applyAlignment="1">
      <alignment horizontal="right"/>
    </xf>
    <xf numFmtId="0" fontId="65" fillId="15" borderId="14" xfId="0" applyFont="1" applyFill="1" applyBorder="1" applyAlignment="1">
      <alignment horizontal="right"/>
    </xf>
    <xf numFmtId="0" fontId="71" fillId="15" borderId="16" xfId="0" applyFont="1" applyFill="1" applyBorder="1" applyAlignment="1">
      <alignment horizontal="right" vertical="center"/>
    </xf>
    <xf numFmtId="0" fontId="72" fillId="11" borderId="16" xfId="0" applyFont="1" applyFill="1" applyBorder="1"/>
    <xf numFmtId="0" fontId="0" fillId="0" borderId="0" xfId="0" applyFill="1" applyBorder="1" applyAlignment="1">
      <alignment horizontal="center"/>
    </xf>
    <xf numFmtId="0" fontId="0" fillId="11" borderId="46" xfId="0" applyFill="1" applyBorder="1"/>
    <xf numFmtId="0" fontId="1" fillId="20" borderId="18" xfId="0" applyFont="1" applyFill="1" applyBorder="1" applyAlignment="1" applyProtection="1">
      <alignment horizontal="center"/>
      <protection locked="0"/>
    </xf>
    <xf numFmtId="0" fontId="0" fillId="20" borderId="12" xfId="0" applyFill="1" applyBorder="1"/>
    <xf numFmtId="0" fontId="0" fillId="20" borderId="13" xfId="0" applyFill="1" applyBorder="1"/>
    <xf numFmtId="0" fontId="1" fillId="20" borderId="13" xfId="0" applyFont="1" applyFill="1" applyBorder="1" applyAlignment="1" applyProtection="1">
      <alignment horizontal="center"/>
      <protection locked="0"/>
    </xf>
    <xf numFmtId="0" fontId="0" fillId="20" borderId="14" xfId="0" applyFill="1" applyBorder="1" applyAlignment="1">
      <alignment horizontal="center"/>
    </xf>
    <xf numFmtId="0" fontId="0" fillId="20" borderId="16" xfId="0" applyFill="1" applyBorder="1" applyAlignment="1">
      <alignment horizontal="center"/>
    </xf>
    <xf numFmtId="0" fontId="0" fillId="20" borderId="19" xfId="0" applyFill="1" applyBorder="1" applyAlignment="1">
      <alignment horizontal="center"/>
    </xf>
    <xf numFmtId="0" fontId="71" fillId="15" borderId="0" xfId="0" applyFont="1" applyFill="1" applyBorder="1" applyAlignment="1">
      <alignment horizontal="right" vertical="center"/>
    </xf>
    <xf numFmtId="0" fontId="71" fillId="15" borderId="12" xfId="0" applyFont="1" applyFill="1" applyBorder="1" applyAlignment="1">
      <alignment horizontal="right"/>
    </xf>
    <xf numFmtId="0" fontId="71" fillId="15" borderId="17" xfId="0" applyFont="1" applyFill="1" applyBorder="1" applyAlignment="1">
      <alignment horizontal="right" vertical="center"/>
    </xf>
    <xf numFmtId="0" fontId="71" fillId="15" borderId="18" xfId="0" applyFont="1" applyFill="1" applyBorder="1" applyAlignment="1">
      <alignment horizontal="right" vertical="center"/>
    </xf>
    <xf numFmtId="0" fontId="71" fillId="15" borderId="18" xfId="0" applyFont="1" applyFill="1" applyBorder="1" applyAlignment="1">
      <alignment horizontal="right"/>
    </xf>
    <xf numFmtId="0" fontId="71" fillId="15" borderId="19" xfId="0" applyFont="1" applyFill="1" applyBorder="1" applyAlignment="1">
      <alignment horizontal="right" vertical="center"/>
    </xf>
    <xf numFmtId="0" fontId="72" fillId="15" borderId="13" xfId="0" applyFont="1" applyFill="1" applyBorder="1"/>
    <xf numFmtId="0" fontId="72" fillId="15" borderId="0" xfId="0" applyFont="1" applyFill="1" applyBorder="1"/>
    <xf numFmtId="0" fontId="71" fillId="15" borderId="36" xfId="0" applyFont="1" applyFill="1" applyBorder="1" applyAlignment="1">
      <alignment horizontal="right"/>
    </xf>
    <xf numFmtId="0" fontId="71" fillId="15" borderId="26" xfId="0" applyFont="1" applyFill="1" applyBorder="1" applyAlignment="1">
      <alignment horizontal="right"/>
    </xf>
    <xf numFmtId="0" fontId="71" fillId="15" borderId="38" xfId="0" applyFont="1" applyFill="1" applyBorder="1" applyAlignment="1">
      <alignment horizontal="right"/>
    </xf>
    <xf numFmtId="0" fontId="72" fillId="15" borderId="36" xfId="0" applyFont="1" applyFill="1" applyBorder="1"/>
    <xf numFmtId="0" fontId="72" fillId="15" borderId="26" xfId="0" applyFont="1" applyFill="1" applyBorder="1"/>
    <xf numFmtId="0" fontId="71" fillId="15" borderId="36" xfId="0" applyFont="1" applyFill="1" applyBorder="1" applyAlignment="1">
      <alignment horizontal="right" vertical="center"/>
    </xf>
    <xf numFmtId="0" fontId="71" fillId="15" borderId="26" xfId="0" applyFont="1" applyFill="1" applyBorder="1" applyAlignment="1">
      <alignment horizontal="right" vertical="center"/>
    </xf>
    <xf numFmtId="0" fontId="71" fillId="15" borderId="38" xfId="0" applyFont="1" applyFill="1" applyBorder="1" applyAlignment="1">
      <alignment horizontal="right" vertical="center"/>
    </xf>
    <xf numFmtId="0" fontId="1" fillId="11" borderId="32" xfId="0" applyFont="1" applyFill="1" applyBorder="1" applyAlignment="1" applyProtection="1">
      <alignment horizontal="center"/>
      <protection locked="0"/>
    </xf>
    <xf numFmtId="0" fontId="1" fillId="11" borderId="61" xfId="0" applyFont="1" applyFill="1" applyBorder="1" applyAlignment="1" applyProtection="1">
      <alignment horizontal="center"/>
      <protection locked="0"/>
    </xf>
    <xf numFmtId="0" fontId="1" fillId="11" borderId="15" xfId="0" applyFont="1" applyFill="1" applyBorder="1" applyAlignment="1">
      <alignment horizontal="center"/>
    </xf>
    <xf numFmtId="0" fontId="21" fillId="11" borderId="60" xfId="0" applyFont="1" applyFill="1" applyBorder="1" applyAlignment="1">
      <alignment horizontal="center" vertical="center"/>
    </xf>
    <xf numFmtId="0" fontId="20" fillId="36" borderId="24" xfId="0" applyFont="1" applyFill="1" applyBorder="1" applyAlignment="1">
      <alignment horizontal="right" vertical="top"/>
    </xf>
    <xf numFmtId="0" fontId="20" fillId="36" borderId="26" xfId="0" applyFont="1" applyFill="1" applyBorder="1" applyAlignment="1">
      <alignment horizontal="right" vertical="top"/>
    </xf>
    <xf numFmtId="0" fontId="0" fillId="11" borderId="37" xfId="0" applyFill="1" applyBorder="1"/>
    <xf numFmtId="0" fontId="0" fillId="11" borderId="37" xfId="0" applyFill="1" applyBorder="1" applyAlignment="1">
      <alignment horizontal="center"/>
    </xf>
    <xf numFmtId="0" fontId="0" fillId="11" borderId="16" xfId="0" applyFill="1" applyBorder="1" applyAlignment="1">
      <alignment horizontal="center"/>
    </xf>
    <xf numFmtId="0" fontId="20" fillId="10" borderId="12" xfId="0" applyFont="1" applyFill="1" applyBorder="1" applyAlignment="1">
      <alignment horizontal="center" vertical="center"/>
    </xf>
    <xf numFmtId="0" fontId="20" fillId="10" borderId="14" xfId="0" applyFont="1" applyFill="1" applyBorder="1" applyAlignment="1">
      <alignment horizontal="center" vertical="center"/>
    </xf>
    <xf numFmtId="0" fontId="20" fillId="10" borderId="15" xfId="0" applyFont="1" applyFill="1" applyBorder="1" applyAlignment="1">
      <alignment horizontal="center" vertical="center"/>
    </xf>
    <xf numFmtId="0" fontId="20" fillId="10" borderId="16" xfId="0" applyFont="1" applyFill="1" applyBorder="1" applyAlignment="1">
      <alignment horizontal="center" vertical="center"/>
    </xf>
    <xf numFmtId="0" fontId="20" fillId="10" borderId="17" xfId="0" applyFont="1" applyFill="1" applyBorder="1" applyAlignment="1">
      <alignment horizontal="center" vertical="center"/>
    </xf>
    <xf numFmtId="0" fontId="20" fillId="10" borderId="19" xfId="0" applyFont="1" applyFill="1" applyBorder="1" applyAlignment="1">
      <alignment horizontal="center" vertical="center"/>
    </xf>
    <xf numFmtId="0" fontId="2" fillId="20" borderId="24" xfId="0" applyFont="1" applyFill="1" applyBorder="1"/>
    <xf numFmtId="0" fontId="2" fillId="20" borderId="25" xfId="0" applyFont="1" applyFill="1" applyBorder="1"/>
    <xf numFmtId="0" fontId="2" fillId="9" borderId="31" xfId="0" applyFont="1" applyFill="1" applyBorder="1"/>
    <xf numFmtId="0" fontId="2" fillId="11" borderId="21" xfId="0" applyFont="1" applyFill="1" applyBorder="1"/>
    <xf numFmtId="0" fontId="2" fillId="20" borderId="26" xfId="0" applyFont="1" applyFill="1" applyBorder="1"/>
    <xf numFmtId="0" fontId="2" fillId="20" borderId="23" xfId="0" applyFont="1" applyFill="1" applyBorder="1"/>
    <xf numFmtId="0" fontId="2" fillId="9" borderId="0" xfId="0" applyFont="1" applyFill="1" applyBorder="1"/>
    <xf numFmtId="0" fontId="2" fillId="36" borderId="12" xfId="0" applyFont="1" applyFill="1" applyBorder="1" applyAlignment="1">
      <alignment horizontal="center"/>
    </xf>
    <xf numFmtId="0" fontId="2" fillId="36" borderId="13" xfId="0" applyFont="1" applyFill="1" applyBorder="1" applyAlignment="1">
      <alignment horizontal="right"/>
    </xf>
    <xf numFmtId="0" fontId="2" fillId="36" borderId="13" xfId="0" applyFont="1" applyFill="1" applyBorder="1" applyAlignment="1">
      <alignment horizontal="center"/>
    </xf>
    <xf numFmtId="0" fontId="5" fillId="36" borderId="13" xfId="0" applyFont="1" applyFill="1" applyBorder="1" applyAlignment="1" applyProtection="1">
      <alignment horizontal="center"/>
      <protection locked="0"/>
    </xf>
    <xf numFmtId="0" fontId="5" fillId="36" borderId="14" xfId="0" applyFont="1" applyFill="1" applyBorder="1" applyAlignment="1" applyProtection="1">
      <alignment horizontal="center"/>
      <protection locked="0"/>
    </xf>
    <xf numFmtId="0" fontId="5" fillId="11" borderId="0" xfId="0" applyFont="1" applyFill="1" applyBorder="1" applyAlignment="1" applyProtection="1">
      <alignment horizontal="center"/>
      <protection locked="0"/>
    </xf>
    <xf numFmtId="0" fontId="2" fillId="14" borderId="2" xfId="0" applyFont="1" applyFill="1" applyBorder="1"/>
    <xf numFmtId="0" fontId="2" fillId="14" borderId="13" xfId="0" applyFont="1" applyFill="1" applyBorder="1"/>
    <xf numFmtId="0" fontId="2" fillId="14" borderId="43" xfId="0" applyFont="1" applyFill="1" applyBorder="1"/>
    <xf numFmtId="0" fontId="2" fillId="31" borderId="2" xfId="0" applyFont="1" applyFill="1" applyBorder="1"/>
    <xf numFmtId="0" fontId="2" fillId="31" borderId="66" xfId="0" applyFont="1" applyFill="1" applyBorder="1"/>
    <xf numFmtId="0" fontId="2" fillId="52" borderId="0" xfId="0" applyFont="1" applyFill="1"/>
    <xf numFmtId="0" fontId="2" fillId="52" borderId="2" xfId="0" applyFont="1" applyFill="1" applyBorder="1"/>
    <xf numFmtId="0" fontId="2" fillId="52" borderId="66" xfId="0" applyFont="1" applyFill="1" applyBorder="1"/>
    <xf numFmtId="0" fontId="2" fillId="19" borderId="2" xfId="0" applyFont="1" applyFill="1" applyBorder="1"/>
    <xf numFmtId="0" fontId="2" fillId="19" borderId="66" xfId="0" applyFont="1" applyFill="1" applyBorder="1"/>
    <xf numFmtId="0" fontId="2" fillId="11" borderId="2" xfId="0" applyFont="1" applyFill="1" applyBorder="1"/>
    <xf numFmtId="0" fontId="2" fillId="11" borderId="3" xfId="0" applyFont="1" applyFill="1" applyBorder="1"/>
    <xf numFmtId="0" fontId="2" fillId="9" borderId="0" xfId="0" applyFont="1" applyFill="1"/>
    <xf numFmtId="0" fontId="2" fillId="8" borderId="24" xfId="0" applyFont="1" applyFill="1" applyBorder="1"/>
    <xf numFmtId="0" fontId="2" fillId="8" borderId="31" xfId="0" applyFont="1" applyFill="1" applyBorder="1"/>
    <xf numFmtId="0" fontId="2" fillId="8" borderId="25" xfId="0" applyFont="1" applyFill="1" applyBorder="1"/>
    <xf numFmtId="0" fontId="2" fillId="11" borderId="35" xfId="0" applyFont="1" applyFill="1" applyBorder="1"/>
    <xf numFmtId="0" fontId="2" fillId="11" borderId="31" xfId="0" applyFont="1" applyFill="1" applyBorder="1"/>
    <xf numFmtId="0" fontId="2" fillId="11" borderId="25" xfId="0" applyFont="1" applyFill="1" applyBorder="1"/>
    <xf numFmtId="0" fontId="2" fillId="11" borderId="24" xfId="0" applyFont="1" applyFill="1" applyBorder="1"/>
    <xf numFmtId="0" fontId="2" fillId="11" borderId="29" xfId="0" applyFont="1" applyFill="1" applyBorder="1"/>
    <xf numFmtId="0" fontId="2" fillId="11" borderId="32" xfId="0" applyFont="1" applyFill="1" applyBorder="1"/>
    <xf numFmtId="0" fontId="2" fillId="11" borderId="30" xfId="0" applyFont="1" applyFill="1" applyBorder="1"/>
    <xf numFmtId="0" fontId="2" fillId="36" borderId="15" xfId="0" applyFont="1" applyFill="1" applyBorder="1" applyAlignment="1">
      <alignment horizontal="center"/>
    </xf>
    <xf numFmtId="0" fontId="2" fillId="36" borderId="0" xfId="0" applyFont="1" applyFill="1" applyBorder="1" applyAlignment="1">
      <alignment horizontal="right"/>
    </xf>
    <xf numFmtId="0" fontId="2" fillId="36" borderId="0" xfId="0" applyFont="1" applyFill="1" applyBorder="1" applyAlignment="1">
      <alignment horizontal="center"/>
    </xf>
    <xf numFmtId="0" fontId="2" fillId="36" borderId="16" xfId="0" applyFont="1" applyFill="1" applyBorder="1" applyAlignment="1">
      <alignment horizontal="center"/>
    </xf>
    <xf numFmtId="0" fontId="2" fillId="14" borderId="41" xfId="0" applyFont="1" applyFill="1" applyBorder="1"/>
    <xf numFmtId="0" fontId="2" fillId="14" borderId="57" xfId="0" applyFont="1" applyFill="1" applyBorder="1"/>
    <xf numFmtId="0" fontId="2" fillId="31" borderId="58" xfId="0" applyFont="1" applyFill="1" applyBorder="1"/>
    <xf numFmtId="0" fontId="2" fillId="31" borderId="57" xfId="0" applyFont="1" applyFill="1" applyBorder="1"/>
    <xf numFmtId="0" fontId="2" fillId="52" borderId="57" xfId="0" applyFont="1" applyFill="1" applyBorder="1"/>
    <xf numFmtId="0" fontId="2" fillId="52" borderId="58" xfId="0" applyFont="1" applyFill="1" applyBorder="1"/>
    <xf numFmtId="0" fontId="2" fillId="19" borderId="58" xfId="0" applyFont="1" applyFill="1" applyBorder="1"/>
    <xf numFmtId="0" fontId="2" fillId="19" borderId="57" xfId="0" applyFont="1" applyFill="1" applyBorder="1"/>
    <xf numFmtId="0" fontId="2" fillId="11" borderId="58" xfId="0" applyFont="1" applyFill="1" applyBorder="1"/>
    <xf numFmtId="0" fontId="2" fillId="11" borderId="57" xfId="0" applyFont="1" applyFill="1" applyBorder="1"/>
    <xf numFmtId="0" fontId="2" fillId="11" borderId="42" xfId="0" applyFont="1" applyFill="1" applyBorder="1"/>
    <xf numFmtId="0" fontId="2" fillId="9" borderId="21" xfId="0" applyFont="1" applyFill="1" applyBorder="1"/>
    <xf numFmtId="0" fontId="2" fillId="0" borderId="26" xfId="0" applyFont="1" applyBorder="1"/>
    <xf numFmtId="0" fontId="2" fillId="0" borderId="0" xfId="0" applyFont="1" applyBorder="1"/>
    <xf numFmtId="0" fontId="2" fillId="0" borderId="23" xfId="0" applyFont="1" applyBorder="1"/>
    <xf numFmtId="0" fontId="2" fillId="11" borderId="6" xfId="0" applyFont="1" applyFill="1" applyBorder="1"/>
    <xf numFmtId="0" fontId="2" fillId="24" borderId="32" xfId="0" applyFont="1" applyFill="1" applyBorder="1"/>
    <xf numFmtId="0" fontId="2" fillId="24" borderId="30" xfId="0" applyFont="1" applyFill="1" applyBorder="1"/>
    <xf numFmtId="0" fontId="2" fillId="11" borderId="34" xfId="0" applyFont="1" applyFill="1" applyBorder="1"/>
    <xf numFmtId="0" fontId="2" fillId="11" borderId="28" xfId="0" applyFont="1" applyFill="1" applyBorder="1"/>
    <xf numFmtId="0" fontId="2" fillId="11" borderId="27" xfId="0" applyFont="1" applyFill="1" applyBorder="1"/>
    <xf numFmtId="0" fontId="2" fillId="5" borderId="24" xfId="0" applyFont="1" applyFill="1" applyBorder="1"/>
    <xf numFmtId="0" fontId="2" fillId="5" borderId="31" xfId="0" applyFont="1" applyFill="1" applyBorder="1"/>
    <xf numFmtId="0" fontId="2" fillId="5" borderId="25" xfId="0" applyFont="1" applyFill="1" applyBorder="1"/>
    <xf numFmtId="0" fontId="2" fillId="36" borderId="20" xfId="0" applyFont="1" applyFill="1" applyBorder="1"/>
    <xf numFmtId="0" fontId="2" fillId="36" borderId="21" xfId="0" applyFont="1" applyFill="1" applyBorder="1"/>
    <xf numFmtId="0" fontId="5" fillId="36" borderId="21" xfId="0" applyFont="1" applyFill="1" applyBorder="1" applyAlignment="1" applyProtection="1">
      <alignment horizontal="center"/>
      <protection locked="0"/>
    </xf>
    <xf numFmtId="0" fontId="5" fillId="36" borderId="22" xfId="0" applyFont="1" applyFill="1" applyBorder="1" applyAlignment="1" applyProtection="1">
      <alignment horizontal="center"/>
      <protection locked="0"/>
    </xf>
    <xf numFmtId="0" fontId="2" fillId="14" borderId="15" xfId="0" applyFont="1" applyFill="1" applyBorder="1"/>
    <xf numFmtId="0" fontId="2" fillId="14" borderId="0" xfId="0" applyFont="1" applyFill="1" applyBorder="1"/>
    <xf numFmtId="0" fontId="73" fillId="14" borderId="0" xfId="0" applyFont="1" applyFill="1" applyBorder="1"/>
    <xf numFmtId="0" fontId="2" fillId="31" borderId="26" xfId="0" applyFont="1" applyFill="1" applyBorder="1"/>
    <xf numFmtId="0" fontId="2" fillId="31" borderId="0" xfId="0" applyFont="1" applyFill="1" applyBorder="1"/>
    <xf numFmtId="0" fontId="73" fillId="31" borderId="0" xfId="0" applyFont="1" applyFill="1" applyBorder="1"/>
    <xf numFmtId="0" fontId="2" fillId="52" borderId="0" xfId="0" applyFont="1" applyFill="1" applyBorder="1"/>
    <xf numFmtId="0" fontId="2" fillId="52" borderId="26" xfId="0" applyFont="1" applyFill="1" applyBorder="1"/>
    <xf numFmtId="0" fontId="73" fillId="52" borderId="0" xfId="0" applyFont="1" applyFill="1" applyBorder="1"/>
    <xf numFmtId="0" fontId="2" fillId="19" borderId="26" xfId="0" applyFont="1" applyFill="1" applyBorder="1"/>
    <xf numFmtId="0" fontId="2" fillId="19" borderId="0" xfId="0" applyFont="1" applyFill="1" applyBorder="1"/>
    <xf numFmtId="0" fontId="73" fillId="19" borderId="0" xfId="0" applyFont="1" applyFill="1" applyBorder="1"/>
    <xf numFmtId="0" fontId="2" fillId="11" borderId="26" xfId="0" applyFont="1" applyFill="1" applyBorder="1"/>
    <xf numFmtId="0" fontId="2" fillId="11" borderId="0" xfId="0" applyFont="1" applyFill="1" applyBorder="1"/>
    <xf numFmtId="0" fontId="2" fillId="11" borderId="16" xfId="0" applyFont="1" applyFill="1" applyBorder="1"/>
    <xf numFmtId="0" fontId="2" fillId="15" borderId="29" xfId="0" applyFont="1" applyFill="1" applyBorder="1"/>
    <xf numFmtId="0" fontId="2" fillId="15" borderId="32" xfId="0" applyFont="1" applyFill="1" applyBorder="1"/>
    <xf numFmtId="0" fontId="2" fillId="15" borderId="40" xfId="0" applyFont="1" applyFill="1" applyBorder="1"/>
    <xf numFmtId="0" fontId="2" fillId="11" borderId="23" xfId="0" applyFont="1" applyFill="1" applyBorder="1"/>
    <xf numFmtId="0" fontId="2" fillId="11" borderId="33" xfId="0" applyFont="1" applyFill="1" applyBorder="1"/>
    <xf numFmtId="0" fontId="2" fillId="6" borderId="0" xfId="0" applyFont="1" applyFill="1" applyBorder="1"/>
    <xf numFmtId="0" fontId="2" fillId="6" borderId="23" xfId="0" applyFont="1" applyFill="1" applyBorder="1"/>
    <xf numFmtId="0" fontId="2" fillId="6" borderId="24" xfId="0" applyFont="1" applyFill="1" applyBorder="1"/>
    <xf numFmtId="0" fontId="2" fillId="6" borderId="31" xfId="0" applyFont="1" applyFill="1" applyBorder="1"/>
    <xf numFmtId="0" fontId="2" fillId="6" borderId="25" xfId="0" applyFont="1" applyFill="1" applyBorder="1"/>
    <xf numFmtId="0" fontId="2" fillId="5" borderId="26" xfId="0" applyFont="1" applyFill="1" applyBorder="1"/>
    <xf numFmtId="0" fontId="2" fillId="5" borderId="0" xfId="0" applyFont="1" applyFill="1" applyBorder="1"/>
    <xf numFmtId="0" fontId="2" fillId="5" borderId="23" xfId="0" applyFont="1" applyFill="1" applyBorder="1"/>
    <xf numFmtId="0" fontId="2" fillId="36" borderId="15" xfId="0" applyFont="1" applyFill="1" applyBorder="1"/>
    <xf numFmtId="0" fontId="2" fillId="36" borderId="0" xfId="0" applyFont="1" applyFill="1" applyBorder="1"/>
    <xf numFmtId="0" fontId="2" fillId="36" borderId="16" xfId="0" applyFont="1" applyFill="1" applyBorder="1"/>
    <xf numFmtId="0" fontId="2" fillId="24" borderId="0" xfId="0" applyFont="1" applyFill="1"/>
    <xf numFmtId="0" fontId="2" fillId="0" borderId="0" xfId="0" applyFont="1" applyFill="1" applyBorder="1"/>
    <xf numFmtId="0" fontId="2" fillId="6" borderId="26" xfId="0" applyFont="1" applyFill="1" applyBorder="1"/>
    <xf numFmtId="0" fontId="2" fillId="20" borderId="0" xfId="0" applyFont="1" applyFill="1" applyBorder="1"/>
    <xf numFmtId="0" fontId="2" fillId="36" borderId="17" xfId="0" applyFont="1" applyFill="1" applyBorder="1"/>
    <xf numFmtId="0" fontId="2" fillId="36" borderId="18" xfId="0" applyFont="1" applyFill="1" applyBorder="1"/>
    <xf numFmtId="0" fontId="2" fillId="36" borderId="19" xfId="0" applyFont="1" applyFill="1" applyBorder="1"/>
    <xf numFmtId="0" fontId="2" fillId="5" borderId="27" xfId="0" applyFont="1" applyFill="1" applyBorder="1"/>
    <xf numFmtId="0" fontId="2" fillId="5" borderId="21" xfId="0" applyFont="1" applyFill="1" applyBorder="1"/>
    <xf numFmtId="0" fontId="2" fillId="5" borderId="28" xfId="0" applyFont="1" applyFill="1" applyBorder="1"/>
    <xf numFmtId="0" fontId="2" fillId="4" borderId="1" xfId="0" applyFont="1" applyFill="1" applyBorder="1"/>
    <xf numFmtId="0" fontId="2" fillId="4" borderId="2" xfId="0" applyFont="1" applyFill="1" applyBorder="1"/>
    <xf numFmtId="0" fontId="2" fillId="4" borderId="3" xfId="0" applyFont="1" applyFill="1" applyBorder="1"/>
    <xf numFmtId="0" fontId="2" fillId="4" borderId="41" xfId="0" applyFont="1" applyFill="1" applyBorder="1"/>
    <xf numFmtId="0" fontId="2" fillId="4" borderId="57" xfId="0" applyFont="1" applyFill="1" applyBorder="1"/>
    <xf numFmtId="0" fontId="2" fillId="4" borderId="21" xfId="0" applyFont="1" applyFill="1" applyBorder="1"/>
    <xf numFmtId="0" fontId="2" fillId="4" borderId="22" xfId="0" applyFont="1" applyFill="1" applyBorder="1"/>
    <xf numFmtId="0" fontId="2" fillId="7" borderId="15" xfId="0" applyFont="1" applyFill="1" applyBorder="1"/>
    <xf numFmtId="0" fontId="2" fillId="24" borderId="0" xfId="0" applyFont="1" applyFill="1" applyBorder="1"/>
    <xf numFmtId="0" fontId="5" fillId="11" borderId="0" xfId="0" applyFont="1" applyFill="1" applyBorder="1"/>
    <xf numFmtId="0" fontId="2" fillId="17" borderId="0" xfId="0" applyFont="1" applyFill="1" applyBorder="1"/>
    <xf numFmtId="0" fontId="5" fillId="17" borderId="0" xfId="0" applyFont="1" applyFill="1" applyBorder="1"/>
    <xf numFmtId="0" fontId="2" fillId="4" borderId="0" xfId="0" applyFont="1" applyFill="1" applyBorder="1"/>
    <xf numFmtId="0" fontId="2" fillId="4" borderId="16" xfId="0" applyFont="1" applyFill="1" applyBorder="1"/>
    <xf numFmtId="0" fontId="2" fillId="14" borderId="17" xfId="0" applyFont="1" applyFill="1" applyBorder="1"/>
    <xf numFmtId="0" fontId="2" fillId="14" borderId="18" xfId="0" applyFont="1" applyFill="1" applyBorder="1"/>
    <xf numFmtId="0" fontId="73" fillId="14" borderId="18" xfId="0" applyFont="1" applyFill="1" applyBorder="1"/>
    <xf numFmtId="0" fontId="2" fillId="31" borderId="38" xfId="0" applyFont="1" applyFill="1" applyBorder="1"/>
    <xf numFmtId="0" fontId="2" fillId="31" borderId="18" xfId="0" applyFont="1" applyFill="1" applyBorder="1"/>
    <xf numFmtId="0" fontId="73" fillId="31" borderId="18" xfId="0" applyFont="1" applyFill="1" applyBorder="1"/>
    <xf numFmtId="0" fontId="2" fillId="52" borderId="18" xfId="0" applyFont="1" applyFill="1" applyBorder="1"/>
    <xf numFmtId="0" fontId="2" fillId="52" borderId="38" xfId="0" applyFont="1" applyFill="1" applyBorder="1"/>
    <xf numFmtId="0" fontId="73" fillId="52" borderId="18" xfId="0" applyFont="1" applyFill="1" applyBorder="1"/>
    <xf numFmtId="0" fontId="2" fillId="19" borderId="38" xfId="0" applyFont="1" applyFill="1" applyBorder="1"/>
    <xf numFmtId="0" fontId="2" fillId="19" borderId="18" xfId="0" applyFont="1" applyFill="1" applyBorder="1"/>
    <xf numFmtId="0" fontId="73" fillId="19" borderId="18" xfId="0" applyFont="1" applyFill="1" applyBorder="1"/>
    <xf numFmtId="0" fontId="2" fillId="11" borderId="38" xfId="0" applyFont="1" applyFill="1" applyBorder="1"/>
    <xf numFmtId="0" fontId="2" fillId="11" borderId="18" xfId="0" applyFont="1" applyFill="1" applyBorder="1"/>
    <xf numFmtId="0" fontId="2" fillId="11" borderId="19" xfId="0" applyFont="1" applyFill="1" applyBorder="1"/>
    <xf numFmtId="0" fontId="2" fillId="2" borderId="1" xfId="0" applyFont="1" applyFill="1" applyBorder="1"/>
    <xf numFmtId="0" fontId="2" fillId="2" borderId="2" xfId="0" applyFont="1" applyFill="1" applyBorder="1"/>
    <xf numFmtId="0" fontId="74" fillId="2" borderId="3" xfId="0" applyFont="1" applyFill="1" applyBorder="1"/>
    <xf numFmtId="0" fontId="2" fillId="0" borderId="27" xfId="0" applyFont="1" applyBorder="1"/>
    <xf numFmtId="0" fontId="2" fillId="0" borderId="21" xfId="0" applyFont="1" applyBorder="1"/>
    <xf numFmtId="0" fontId="2" fillId="0" borderId="28" xfId="0" applyFont="1" applyBorder="1"/>
    <xf numFmtId="0" fontId="2" fillId="6" borderId="21" xfId="0" applyFont="1" applyFill="1" applyBorder="1"/>
    <xf numFmtId="0" fontId="2" fillId="6" borderId="28" xfId="0" applyFont="1" applyFill="1" applyBorder="1"/>
    <xf numFmtId="0" fontId="2" fillId="6" borderId="27" xfId="0" applyFont="1" applyFill="1" applyBorder="1"/>
    <xf numFmtId="0" fontId="2" fillId="14" borderId="1" xfId="0" applyFont="1" applyFill="1" applyBorder="1"/>
    <xf numFmtId="0" fontId="2" fillId="52" borderId="13" xfId="0" applyFont="1" applyFill="1" applyBorder="1"/>
    <xf numFmtId="0" fontId="2" fillId="19" borderId="13" xfId="0" applyFont="1" applyFill="1" applyBorder="1"/>
    <xf numFmtId="0" fontId="2" fillId="19" borderId="43" xfId="0" applyFont="1" applyFill="1" applyBorder="1"/>
    <xf numFmtId="0" fontId="2" fillId="19" borderId="29" xfId="0" applyFont="1" applyFill="1" applyBorder="1"/>
    <xf numFmtId="0" fontId="2" fillId="19" borderId="32" xfId="0" applyFont="1" applyFill="1" applyBorder="1"/>
    <xf numFmtId="0" fontId="2" fillId="19" borderId="30" xfId="0" applyFont="1" applyFill="1" applyBorder="1"/>
    <xf numFmtId="0" fontId="2" fillId="9" borderId="25" xfId="0" applyFont="1" applyFill="1" applyBorder="1"/>
    <xf numFmtId="0" fontId="2" fillId="7" borderId="17" xfId="0" applyFont="1" applyFill="1" applyBorder="1"/>
    <xf numFmtId="0" fontId="2" fillId="24" borderId="18" xfId="0" applyFont="1" applyFill="1" applyBorder="1"/>
    <xf numFmtId="0" fontId="2" fillId="17" borderId="18" xfId="0" applyFont="1" applyFill="1" applyBorder="1"/>
    <xf numFmtId="0" fontId="2" fillId="4" borderId="18" xfId="0" applyFont="1" applyFill="1" applyBorder="1"/>
    <xf numFmtId="0" fontId="2" fillId="4" borderId="19" xfId="0" applyFont="1" applyFill="1" applyBorder="1"/>
    <xf numFmtId="0" fontId="2" fillId="31" borderId="24" xfId="0" applyFont="1" applyFill="1" applyBorder="1"/>
    <xf numFmtId="0" fontId="2" fillId="31" borderId="31" xfId="0" applyFont="1" applyFill="1" applyBorder="1"/>
    <xf numFmtId="0" fontId="73" fillId="31" borderId="25" xfId="0" applyFont="1" applyFill="1" applyBorder="1"/>
    <xf numFmtId="0" fontId="73" fillId="19" borderId="23" xfId="0" applyFont="1" applyFill="1" applyBorder="1"/>
    <xf numFmtId="0" fontId="2" fillId="12" borderId="39" xfId="0" applyFont="1" applyFill="1" applyBorder="1"/>
    <xf numFmtId="0" fontId="2" fillId="12" borderId="3" xfId="0" applyFont="1" applyFill="1" applyBorder="1"/>
    <xf numFmtId="0" fontId="2" fillId="9" borderId="23" xfId="0" applyFont="1" applyFill="1" applyBorder="1"/>
    <xf numFmtId="0" fontId="73" fillId="31" borderId="23" xfId="0" applyFont="1" applyFill="1" applyBorder="1"/>
    <xf numFmtId="0" fontId="2" fillId="37" borderId="0" xfId="0" applyFont="1" applyFill="1"/>
    <xf numFmtId="0" fontId="2" fillId="20" borderId="27" xfId="0" applyFont="1" applyFill="1" applyBorder="1"/>
    <xf numFmtId="0" fontId="2" fillId="20" borderId="28" xfId="0" applyFont="1" applyFill="1" applyBorder="1"/>
    <xf numFmtId="0" fontId="2" fillId="9" borderId="28" xfId="0" applyFont="1" applyFill="1" applyBorder="1"/>
    <xf numFmtId="0" fontId="2" fillId="6" borderId="41" xfId="0" applyFont="1" applyFill="1" applyBorder="1"/>
    <xf numFmtId="0" fontId="2" fillId="6" borderId="57" xfId="0" applyFont="1" applyFill="1" applyBorder="1"/>
    <xf numFmtId="0" fontId="2" fillId="11" borderId="12" xfId="0" applyFont="1" applyFill="1" applyBorder="1"/>
    <xf numFmtId="0" fontId="2" fillId="11" borderId="43" xfId="0" applyFont="1" applyFill="1" applyBorder="1"/>
    <xf numFmtId="0" fontId="2" fillId="11" borderId="13" xfId="0" applyFont="1" applyFill="1" applyBorder="1"/>
    <xf numFmtId="0" fontId="2" fillId="4" borderId="12" xfId="0" applyFont="1" applyFill="1" applyBorder="1"/>
    <xf numFmtId="0" fontId="2" fillId="4" borderId="13" xfId="0" applyFont="1" applyFill="1" applyBorder="1"/>
    <xf numFmtId="0" fontId="2" fillId="4" borderId="14" xfId="0" applyFont="1" applyFill="1" applyBorder="1"/>
    <xf numFmtId="0" fontId="2" fillId="5" borderId="20" xfId="0" applyFont="1" applyFill="1" applyBorder="1"/>
    <xf numFmtId="0" fontId="2" fillId="24" borderId="21" xfId="0" applyFont="1" applyFill="1" applyBorder="1"/>
    <xf numFmtId="0" fontId="2" fillId="9" borderId="32" xfId="0" applyFont="1" applyFill="1" applyBorder="1"/>
    <xf numFmtId="0" fontId="2" fillId="4" borderId="32" xfId="0" applyFont="1" applyFill="1" applyBorder="1"/>
    <xf numFmtId="0" fontId="2" fillId="11" borderId="15" xfId="0" applyFont="1" applyFill="1" applyBorder="1"/>
    <xf numFmtId="0" fontId="2" fillId="4" borderId="15" xfId="0" applyFont="1" applyFill="1" applyBorder="1"/>
    <xf numFmtId="0" fontId="73" fillId="31" borderId="45" xfId="0" applyFont="1" applyFill="1" applyBorder="1"/>
    <xf numFmtId="0" fontId="73" fillId="19" borderId="45" xfId="0" applyFont="1" applyFill="1" applyBorder="1"/>
    <xf numFmtId="0" fontId="2" fillId="25" borderId="0" xfId="0" applyFont="1" applyFill="1"/>
    <xf numFmtId="0" fontId="2" fillId="5" borderId="15" xfId="0" applyFont="1" applyFill="1" applyBorder="1"/>
    <xf numFmtId="0" fontId="5" fillId="13" borderId="0" xfId="0" applyFont="1" applyFill="1" applyBorder="1" applyAlignment="1" applyProtection="1">
      <alignment horizontal="center"/>
      <protection locked="0"/>
    </xf>
    <xf numFmtId="0" fontId="2" fillId="11" borderId="17" xfId="0" applyFont="1" applyFill="1" applyBorder="1"/>
    <xf numFmtId="0" fontId="2" fillId="11" borderId="45" xfId="0" applyFont="1" applyFill="1" applyBorder="1"/>
    <xf numFmtId="0" fontId="2" fillId="4" borderId="17" xfId="0" applyFont="1" applyFill="1" applyBorder="1"/>
    <xf numFmtId="0" fontId="5" fillId="4" borderId="18" xfId="0" applyFont="1" applyFill="1" applyBorder="1" applyAlignment="1" applyProtection="1">
      <alignment horizontal="center"/>
      <protection locked="0"/>
    </xf>
    <xf numFmtId="0" fontId="5" fillId="4" borderId="19" xfId="0" applyFont="1" applyFill="1" applyBorder="1" applyAlignment="1" applyProtection="1">
      <alignment horizontal="center"/>
      <protection locked="0"/>
    </xf>
    <xf numFmtId="0" fontId="2" fillId="5" borderId="58" xfId="0" applyFont="1" applyFill="1" applyBorder="1"/>
    <xf numFmtId="0" fontId="2" fillId="20" borderId="20" xfId="0" applyFont="1" applyFill="1" applyBorder="1"/>
    <xf numFmtId="0" fontId="2" fillId="20" borderId="21" xfId="0" applyFont="1" applyFill="1" applyBorder="1"/>
    <xf numFmtId="0" fontId="2" fillId="3" borderId="21" xfId="0" applyFont="1" applyFill="1" applyBorder="1" applyAlignment="1">
      <alignment horizontal="center"/>
    </xf>
    <xf numFmtId="0" fontId="2" fillId="3" borderId="0" xfId="0" applyFont="1" applyFill="1" applyBorder="1" applyAlignment="1">
      <alignment horizontal="center"/>
    </xf>
    <xf numFmtId="0" fontId="2" fillId="15" borderId="41" xfId="0" applyFont="1" applyFill="1" applyBorder="1"/>
    <xf numFmtId="0" fontId="2" fillId="15" borderId="57" xfId="0" applyFont="1" applyFill="1" applyBorder="1"/>
    <xf numFmtId="0" fontId="73" fillId="15" borderId="57" xfId="0" applyFont="1" applyFill="1" applyBorder="1"/>
    <xf numFmtId="0" fontId="2" fillId="24" borderId="58" xfId="0" applyFont="1" applyFill="1" applyBorder="1"/>
    <xf numFmtId="0" fontId="2" fillId="24" borderId="57" xfId="0" applyFont="1" applyFill="1" applyBorder="1"/>
    <xf numFmtId="0" fontId="73" fillId="24" borderId="57" xfId="0" applyFont="1" applyFill="1" applyBorder="1"/>
    <xf numFmtId="0" fontId="2" fillId="12" borderId="1" xfId="0" applyFont="1" applyFill="1" applyBorder="1"/>
    <xf numFmtId="0" fontId="2" fillId="6" borderId="44" xfId="0" applyFont="1" applyFill="1" applyBorder="1"/>
    <xf numFmtId="0" fontId="5" fillId="6" borderId="24" xfId="0" applyFont="1" applyFill="1" applyBorder="1" applyAlignment="1" applyProtection="1">
      <alignment horizontal="center"/>
      <protection locked="0"/>
    </xf>
    <xf numFmtId="0" fontId="2" fillId="3" borderId="0" xfId="0" applyFont="1" applyFill="1" applyAlignment="1">
      <alignment horizontal="center"/>
    </xf>
    <xf numFmtId="0" fontId="2" fillId="15" borderId="15" xfId="0" applyFont="1" applyFill="1" applyBorder="1"/>
    <xf numFmtId="0" fontId="2" fillId="15" borderId="0" xfId="0" applyFont="1" applyFill="1" applyBorder="1"/>
    <xf numFmtId="0" fontId="73" fillId="15" borderId="0" xfId="0" applyFont="1" applyFill="1" applyBorder="1"/>
    <xf numFmtId="0" fontId="2" fillId="24" borderId="26" xfId="0" applyFont="1" applyFill="1" applyBorder="1"/>
    <xf numFmtId="0" fontId="73" fillId="24" borderId="0" xfId="0" applyFont="1" applyFill="1" applyBorder="1"/>
    <xf numFmtId="0" fontId="2" fillId="6" borderId="6" xfId="0" applyFont="1" applyFill="1" applyBorder="1"/>
    <xf numFmtId="0" fontId="2" fillId="9" borderId="29" xfId="0" applyFont="1" applyFill="1" applyBorder="1"/>
    <xf numFmtId="0" fontId="2" fillId="9" borderId="30" xfId="0" applyFont="1" applyFill="1" applyBorder="1"/>
    <xf numFmtId="0" fontId="2" fillId="13" borderId="29" xfId="0" applyFont="1" applyFill="1" applyBorder="1"/>
    <xf numFmtId="0" fontId="2" fillId="13" borderId="32" xfId="0" applyFont="1" applyFill="1" applyBorder="1"/>
    <xf numFmtId="0" fontId="2" fillId="13" borderId="30" xfId="0" applyFont="1" applyFill="1" applyBorder="1"/>
    <xf numFmtId="0" fontId="2" fillId="14" borderId="6" xfId="0" applyFont="1" applyFill="1" applyBorder="1"/>
    <xf numFmtId="0" fontId="2" fillId="14" borderId="29" xfId="0" applyFont="1" applyFill="1" applyBorder="1"/>
    <xf numFmtId="0" fontId="2" fillId="14" borderId="32" xfId="0" applyFont="1" applyFill="1" applyBorder="1"/>
    <xf numFmtId="0" fontId="2" fillId="14" borderId="30" xfId="0" applyFont="1" applyFill="1" applyBorder="1"/>
    <xf numFmtId="0" fontId="2" fillId="6" borderId="15" xfId="0" applyFont="1" applyFill="1" applyBorder="1"/>
    <xf numFmtId="0" fontId="5" fillId="6" borderId="26" xfId="0" applyFont="1" applyFill="1" applyBorder="1" applyAlignment="1" applyProtection="1">
      <alignment horizontal="center"/>
      <protection locked="0"/>
    </xf>
    <xf numFmtId="0" fontId="2" fillId="8" borderId="35" xfId="0" applyFont="1" applyFill="1" applyBorder="1"/>
    <xf numFmtId="0" fontId="2" fillId="4" borderId="24" xfId="0" applyFont="1" applyFill="1" applyBorder="1"/>
    <xf numFmtId="0" fontId="2" fillId="4" borderId="31" xfId="0" applyFont="1" applyFill="1" applyBorder="1"/>
    <xf numFmtId="0" fontId="2" fillId="4" borderId="25" xfId="0" applyFont="1" applyFill="1" applyBorder="1"/>
    <xf numFmtId="0" fontId="2" fillId="20" borderId="31" xfId="0" applyFont="1" applyFill="1" applyBorder="1"/>
    <xf numFmtId="0" fontId="2" fillId="36" borderId="24" xfId="0" applyFont="1" applyFill="1" applyBorder="1"/>
    <xf numFmtId="0" fontId="2" fillId="36" borderId="31" xfId="0" applyFont="1" applyFill="1" applyBorder="1"/>
    <xf numFmtId="0" fontId="2" fillId="36" borderId="25" xfId="0" applyFont="1" applyFill="1" applyBorder="1"/>
    <xf numFmtId="0" fontId="2" fillId="15" borderId="33" xfId="0" applyFont="1" applyFill="1" applyBorder="1"/>
    <xf numFmtId="0" fontId="2" fillId="15" borderId="26" xfId="0" applyFont="1" applyFill="1" applyBorder="1"/>
    <xf numFmtId="0" fontId="2" fillId="15" borderId="23" xfId="0" applyFont="1" applyFill="1" applyBorder="1"/>
    <xf numFmtId="0" fontId="2" fillId="8" borderId="33" xfId="0" applyFont="1" applyFill="1" applyBorder="1"/>
    <xf numFmtId="0" fontId="2" fillId="4" borderId="26" xfId="0" applyFont="1" applyFill="1" applyBorder="1"/>
    <xf numFmtId="0" fontId="2" fillId="4" borderId="23" xfId="0" applyFont="1" applyFill="1" applyBorder="1"/>
    <xf numFmtId="0" fontId="2" fillId="36" borderId="26" xfId="0" applyFont="1" applyFill="1" applyBorder="1"/>
    <xf numFmtId="0" fontId="2" fillId="36" borderId="23" xfId="0" applyFont="1" applyFill="1" applyBorder="1"/>
    <xf numFmtId="0" fontId="2" fillId="8" borderId="34" xfId="0" applyFont="1" applyFill="1" applyBorder="1"/>
    <xf numFmtId="0" fontId="2" fillId="4" borderId="27" xfId="0" applyFont="1" applyFill="1" applyBorder="1"/>
    <xf numFmtId="0" fontId="2" fillId="4" borderId="28" xfId="0" applyFont="1" applyFill="1" applyBorder="1"/>
    <xf numFmtId="0" fontId="2" fillId="36" borderId="27" xfId="0" applyFont="1" applyFill="1" applyBorder="1"/>
    <xf numFmtId="0" fontId="2" fillId="36" borderId="28" xfId="0" applyFont="1" applyFill="1" applyBorder="1"/>
    <xf numFmtId="0" fontId="2" fillId="15" borderId="34" xfId="0" applyFont="1" applyFill="1" applyBorder="1"/>
    <xf numFmtId="0" fontId="2" fillId="15" borderId="27" xfId="0" applyFont="1" applyFill="1" applyBorder="1"/>
    <xf numFmtId="0" fontId="2" fillId="15" borderId="21" xfId="0" applyFont="1" applyFill="1" applyBorder="1"/>
    <xf numFmtId="0" fontId="2" fillId="15" borderId="28" xfId="0" applyFont="1" applyFill="1" applyBorder="1"/>
    <xf numFmtId="0" fontId="2" fillId="15" borderId="17" xfId="0" applyFont="1" applyFill="1" applyBorder="1"/>
    <xf numFmtId="0" fontId="2" fillId="15" borderId="18" xfId="0" applyFont="1" applyFill="1" applyBorder="1"/>
    <xf numFmtId="0" fontId="73" fillId="15" borderId="18" xfId="0" applyFont="1" applyFill="1" applyBorder="1"/>
    <xf numFmtId="0" fontId="2" fillId="24" borderId="38" xfId="0" applyFont="1" applyFill="1" applyBorder="1"/>
    <xf numFmtId="0" fontId="73" fillId="24" borderId="18" xfId="0" applyFont="1" applyFill="1" applyBorder="1"/>
    <xf numFmtId="0" fontId="2" fillId="16" borderId="12" xfId="0" applyFont="1" applyFill="1" applyBorder="1"/>
    <xf numFmtId="0" fontId="2" fillId="16" borderId="13" xfId="0" applyFont="1" applyFill="1" applyBorder="1"/>
    <xf numFmtId="0" fontId="2" fillId="9" borderId="36" xfId="0" applyFont="1" applyFill="1" applyBorder="1"/>
    <xf numFmtId="0" fontId="2" fillId="9" borderId="14" xfId="0" applyFont="1" applyFill="1" applyBorder="1"/>
    <xf numFmtId="0" fontId="73" fillId="4" borderId="66" xfId="0" applyFont="1" applyFill="1" applyBorder="1"/>
    <xf numFmtId="0" fontId="2" fillId="23" borderId="2" xfId="0" applyFont="1" applyFill="1" applyBorder="1"/>
    <xf numFmtId="0" fontId="74" fillId="23" borderId="2" xfId="0" applyFont="1" applyFill="1" applyBorder="1"/>
    <xf numFmtId="0" fontId="2" fillId="5" borderId="67" xfId="0" applyFont="1" applyFill="1" applyBorder="1"/>
    <xf numFmtId="0" fontId="2" fillId="5" borderId="2" xfId="0" applyFont="1" applyFill="1" applyBorder="1"/>
    <xf numFmtId="0" fontId="2" fillId="5" borderId="3" xfId="0" applyFont="1" applyFill="1" applyBorder="1"/>
    <xf numFmtId="0" fontId="2" fillId="16" borderId="15" xfId="0" applyFont="1" applyFill="1" applyBorder="1"/>
    <xf numFmtId="0" fontId="2" fillId="16" borderId="0" xfId="0" applyFont="1" applyFill="1" applyBorder="1"/>
    <xf numFmtId="0" fontId="2" fillId="9" borderId="26" xfId="0" applyFont="1" applyFill="1" applyBorder="1"/>
    <xf numFmtId="0" fontId="2" fillId="9" borderId="16" xfId="0" applyFont="1" applyFill="1" applyBorder="1"/>
    <xf numFmtId="0" fontId="73" fillId="4" borderId="13" xfId="0" applyFont="1" applyFill="1" applyBorder="1"/>
    <xf numFmtId="0" fontId="2" fillId="23" borderId="36" xfId="0" applyFont="1" applyFill="1" applyBorder="1"/>
    <xf numFmtId="0" fontId="2" fillId="23" borderId="13" xfId="0" applyFont="1" applyFill="1" applyBorder="1"/>
    <xf numFmtId="0" fontId="73" fillId="23" borderId="13" xfId="0" applyFont="1" applyFill="1" applyBorder="1"/>
    <xf numFmtId="0" fontId="2" fillId="11" borderId="36" xfId="0" applyFont="1" applyFill="1" applyBorder="1"/>
    <xf numFmtId="0" fontId="2" fillId="11" borderId="14" xfId="0" applyFont="1" applyFill="1" applyBorder="1"/>
    <xf numFmtId="0" fontId="2" fillId="9" borderId="27" xfId="0" applyFont="1" applyFill="1" applyBorder="1"/>
    <xf numFmtId="0" fontId="2" fillId="9" borderId="22" xfId="0" applyFont="1" applyFill="1" applyBorder="1"/>
    <xf numFmtId="0" fontId="73" fillId="4" borderId="0" xfId="0" applyFont="1" applyFill="1" applyBorder="1"/>
    <xf numFmtId="0" fontId="2" fillId="23" borderId="26" xfId="0" applyFont="1" applyFill="1" applyBorder="1"/>
    <xf numFmtId="0" fontId="2" fillId="23" borderId="0" xfId="0" applyFont="1" applyFill="1" applyBorder="1"/>
    <xf numFmtId="0" fontId="73" fillId="23" borderId="0" xfId="0" applyFont="1" applyFill="1" applyBorder="1"/>
    <xf numFmtId="0" fontId="2" fillId="20" borderId="37" xfId="0" applyFont="1" applyFill="1" applyBorder="1"/>
    <xf numFmtId="0" fontId="5" fillId="6" borderId="27" xfId="0" applyFont="1" applyFill="1" applyBorder="1" applyAlignment="1" applyProtection="1">
      <alignment horizontal="center"/>
      <protection locked="0"/>
    </xf>
    <xf numFmtId="0" fontId="2" fillId="20" borderId="16" xfId="0" applyFont="1" applyFill="1" applyBorder="1"/>
    <xf numFmtId="0" fontId="5" fillId="6" borderId="0" xfId="0"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2" fillId="0" borderId="16" xfId="0" applyFont="1" applyFill="1" applyBorder="1"/>
    <xf numFmtId="0" fontId="73" fillId="4" borderId="18" xfId="0" applyFont="1" applyFill="1" applyBorder="1"/>
    <xf numFmtId="0" fontId="2" fillId="23" borderId="38" xfId="0" applyFont="1" applyFill="1" applyBorder="1"/>
    <xf numFmtId="0" fontId="2" fillId="23" borderId="18" xfId="0" applyFont="1" applyFill="1" applyBorder="1"/>
    <xf numFmtId="0" fontId="73" fillId="23" borderId="18" xfId="0" applyFont="1" applyFill="1" applyBorder="1"/>
    <xf numFmtId="0" fontId="2" fillId="25" borderId="12" xfId="0" applyFont="1" applyFill="1" applyBorder="1"/>
    <xf numFmtId="0" fontId="2" fillId="25" borderId="13" xfId="0" applyFont="1" applyFill="1" applyBorder="1"/>
    <xf numFmtId="0" fontId="2" fillId="25" borderId="15" xfId="0" applyFont="1" applyFill="1" applyBorder="1"/>
    <xf numFmtId="0" fontId="2" fillId="25" borderId="0" xfId="0" applyFont="1" applyFill="1" applyBorder="1"/>
    <xf numFmtId="0" fontId="2" fillId="0" borderId="16" xfId="0" applyFont="1" applyBorder="1"/>
    <xf numFmtId="0" fontId="2" fillId="9" borderId="1" xfId="0" applyFont="1" applyFill="1" applyBorder="1"/>
    <xf numFmtId="0" fontId="2" fillId="9" borderId="2" xfId="0" applyFont="1" applyFill="1" applyBorder="1"/>
    <xf numFmtId="0" fontId="2" fillId="6" borderId="67" xfId="0" applyFont="1" applyFill="1" applyBorder="1"/>
    <xf numFmtId="0" fontId="2" fillId="6" borderId="2" xfId="0" applyFont="1" applyFill="1" applyBorder="1"/>
    <xf numFmtId="0" fontId="74" fillId="6" borderId="2" xfId="0" applyFont="1" applyFill="1" applyBorder="1"/>
    <xf numFmtId="0" fontId="2" fillId="11" borderId="67" xfId="0" applyFont="1" applyFill="1" applyBorder="1"/>
    <xf numFmtId="0" fontId="2" fillId="11" borderId="22" xfId="0" applyFont="1" applyFill="1" applyBorder="1"/>
    <xf numFmtId="0" fontId="2" fillId="9" borderId="12" xfId="0" applyFont="1" applyFill="1" applyBorder="1"/>
    <xf numFmtId="0" fontId="2" fillId="9" borderId="13" xfId="0" applyFont="1" applyFill="1" applyBorder="1"/>
    <xf numFmtId="0" fontId="73" fillId="9" borderId="13" xfId="0" applyFont="1" applyFill="1" applyBorder="1"/>
    <xf numFmtId="0" fontId="2" fillId="6" borderId="36" xfId="0" applyFont="1" applyFill="1" applyBorder="1"/>
    <xf numFmtId="0" fontId="2" fillId="6" borderId="13" xfId="0" applyFont="1" applyFill="1" applyBorder="1"/>
    <xf numFmtId="0" fontId="73" fillId="6" borderId="13" xfId="0" applyFont="1" applyFill="1" applyBorder="1"/>
    <xf numFmtId="0" fontId="2" fillId="4" borderId="37" xfId="0" applyFont="1" applyFill="1" applyBorder="1"/>
    <xf numFmtId="0" fontId="2" fillId="9" borderId="15" xfId="0" applyFont="1" applyFill="1" applyBorder="1"/>
    <xf numFmtId="0" fontId="73" fillId="9" borderId="0" xfId="0" applyFont="1" applyFill="1" applyBorder="1"/>
    <xf numFmtId="0" fontId="73" fillId="6" borderId="0" xfId="0" applyFont="1" applyFill="1" applyBorder="1"/>
    <xf numFmtId="0" fontId="2" fillId="25" borderId="17" xfId="0" applyFont="1" applyFill="1" applyBorder="1"/>
    <xf numFmtId="0" fontId="2" fillId="25" borderId="18" xfId="0" applyFont="1" applyFill="1" applyBorder="1"/>
    <xf numFmtId="0" fontId="2" fillId="4" borderId="38" xfId="0" applyFont="1" applyFill="1" applyBorder="1"/>
    <xf numFmtId="0" fontId="2" fillId="9" borderId="17" xfId="0" applyFont="1" applyFill="1" applyBorder="1"/>
    <xf numFmtId="0" fontId="2" fillId="9" borderId="18" xfId="0" applyFont="1" applyFill="1" applyBorder="1"/>
    <xf numFmtId="0" fontId="73" fillId="9" borderId="18" xfId="0" applyFont="1" applyFill="1" applyBorder="1"/>
    <xf numFmtId="0" fontId="2" fillId="6" borderId="38" xfId="0" applyFont="1" applyFill="1" applyBorder="1"/>
    <xf numFmtId="0" fontId="2" fillId="6" borderId="18" xfId="0" applyFont="1" applyFill="1" applyBorder="1"/>
    <xf numFmtId="0" fontId="73" fillId="6" borderId="18" xfId="0" applyFont="1" applyFill="1" applyBorder="1"/>
    <xf numFmtId="0" fontId="2" fillId="5" borderId="1" xfId="0" applyFont="1" applyFill="1" applyBorder="1"/>
    <xf numFmtId="0" fontId="2" fillId="20" borderId="67" xfId="0" applyFont="1" applyFill="1" applyBorder="1"/>
    <xf numFmtId="0" fontId="2" fillId="20" borderId="2" xfId="0" applyFont="1" applyFill="1" applyBorder="1"/>
    <xf numFmtId="0" fontId="74" fillId="11" borderId="3" xfId="0" applyFont="1" applyFill="1" applyBorder="1"/>
    <xf numFmtId="0" fontId="2" fillId="24" borderId="2" xfId="0" applyFont="1" applyFill="1" applyBorder="1"/>
    <xf numFmtId="0" fontId="2" fillId="9" borderId="3" xfId="0" applyFont="1" applyFill="1" applyBorder="1"/>
    <xf numFmtId="0" fontId="73" fillId="5" borderId="0" xfId="0" applyFont="1" applyFill="1" applyBorder="1"/>
    <xf numFmtId="0" fontId="73" fillId="20" borderId="0" xfId="0" applyFont="1" applyFill="1" applyBorder="1"/>
    <xf numFmtId="0" fontId="2" fillId="5" borderId="41" xfId="0" applyFont="1" applyFill="1" applyBorder="1"/>
    <xf numFmtId="0" fontId="2" fillId="9" borderId="57" xfId="0" applyFont="1" applyFill="1" applyBorder="1"/>
    <xf numFmtId="0" fontId="2" fillId="9" borderId="42" xfId="0" applyFont="1" applyFill="1" applyBorder="1"/>
    <xf numFmtId="0" fontId="2" fillId="6" borderId="17" xfId="0" applyFont="1" applyFill="1" applyBorder="1"/>
    <xf numFmtId="0" fontId="5" fillId="6" borderId="18" xfId="0" applyFont="1" applyFill="1" applyBorder="1" applyAlignment="1" applyProtection="1">
      <alignment horizontal="center"/>
      <protection locked="0"/>
    </xf>
    <xf numFmtId="0" fontId="2" fillId="0" borderId="18" xfId="0" applyFont="1" applyBorder="1"/>
    <xf numFmtId="0" fontId="2" fillId="0" borderId="19" xfId="0" applyFont="1" applyBorder="1"/>
    <xf numFmtId="0" fontId="2" fillId="5" borderId="17" xfId="0" applyFont="1" applyFill="1" applyBorder="1"/>
    <xf numFmtId="0" fontId="2" fillId="5" borderId="18" xfId="0" applyFont="1" applyFill="1" applyBorder="1"/>
    <xf numFmtId="0" fontId="73" fillId="5" borderId="18" xfId="0" applyFont="1" applyFill="1" applyBorder="1"/>
    <xf numFmtId="0" fontId="2" fillId="20" borderId="38" xfId="0" applyFont="1" applyFill="1" applyBorder="1"/>
    <xf numFmtId="0" fontId="2" fillId="20" borderId="18" xfId="0" applyFont="1" applyFill="1" applyBorder="1"/>
    <xf numFmtId="0" fontId="73" fillId="20" borderId="18" xfId="0" applyFont="1" applyFill="1" applyBorder="1"/>
    <xf numFmtId="0" fontId="73" fillId="2" borderId="2" xfId="0" applyFont="1" applyFill="1" applyBorder="1"/>
    <xf numFmtId="0" fontId="2" fillId="11" borderId="41" xfId="0" applyFont="1" applyFill="1" applyBorder="1"/>
    <xf numFmtId="0" fontId="2" fillId="20" borderId="15" xfId="0" applyFont="1" applyFill="1" applyBorder="1"/>
    <xf numFmtId="0" fontId="2" fillId="20" borderId="17" xfId="0" applyFont="1" applyFill="1" applyBorder="1"/>
    <xf numFmtId="0" fontId="2" fillId="20" borderId="19" xfId="0" applyFont="1" applyFill="1" applyBorder="1"/>
    <xf numFmtId="0" fontId="2" fillId="15" borderId="16" xfId="0" applyFont="1" applyFill="1" applyBorder="1"/>
    <xf numFmtId="0" fontId="2" fillId="15" borderId="19" xfId="0" applyFont="1" applyFill="1" applyBorder="1"/>
    <xf numFmtId="0" fontId="2" fillId="6" borderId="16" xfId="0" applyFont="1" applyFill="1" applyBorder="1"/>
    <xf numFmtId="0" fontId="2" fillId="6" borderId="19" xfId="0" applyFont="1" applyFill="1" applyBorder="1"/>
    <xf numFmtId="0" fontId="2" fillId="2" borderId="15" xfId="0" applyFont="1" applyFill="1" applyBorder="1"/>
    <xf numFmtId="0" fontId="2" fillId="2" borderId="0" xfId="0" applyFont="1" applyFill="1" applyBorder="1"/>
    <xf numFmtId="0" fontId="2" fillId="2" borderId="16" xfId="0" applyFont="1" applyFill="1" applyBorder="1"/>
    <xf numFmtId="0" fontId="2" fillId="9" borderId="19" xfId="0" applyFont="1" applyFill="1" applyBorder="1"/>
    <xf numFmtId="0" fontId="2" fillId="2" borderId="17" xfId="0" applyFont="1" applyFill="1" applyBorder="1"/>
    <xf numFmtId="0" fontId="2" fillId="2" borderId="18" xfId="0" applyFont="1" applyFill="1" applyBorder="1"/>
    <xf numFmtId="0" fontId="2" fillId="2" borderId="19" xfId="0" applyFont="1" applyFill="1" applyBorder="1"/>
    <xf numFmtId="0" fontId="2" fillId="5" borderId="16" xfId="0" applyFont="1" applyFill="1" applyBorder="1"/>
    <xf numFmtId="0" fontId="2" fillId="5" borderId="19" xfId="0" applyFont="1" applyFill="1" applyBorder="1"/>
    <xf numFmtId="0" fontId="2" fillId="24" borderId="12" xfId="0" applyFont="1" applyFill="1" applyBorder="1"/>
    <xf numFmtId="0" fontId="2" fillId="24" borderId="13" xfId="0" applyFont="1" applyFill="1" applyBorder="1"/>
    <xf numFmtId="0" fontId="73" fillId="24" borderId="13" xfId="0" applyFont="1" applyFill="1" applyBorder="1"/>
    <xf numFmtId="0" fontId="2" fillId="4" borderId="36" xfId="0" applyFont="1" applyFill="1" applyBorder="1"/>
    <xf numFmtId="0" fontId="2" fillId="24" borderId="17" xfId="0" applyFont="1" applyFill="1" applyBorder="1"/>
    <xf numFmtId="0" fontId="74" fillId="0" borderId="0" xfId="0" applyFont="1"/>
    <xf numFmtId="0" fontId="2" fillId="20" borderId="12" xfId="0" applyFont="1" applyFill="1" applyBorder="1"/>
    <xf numFmtId="0" fontId="2" fillId="20" borderId="13" xfId="0" applyFont="1" applyFill="1" applyBorder="1"/>
    <xf numFmtId="0" fontId="73" fillId="20" borderId="43" xfId="0" applyFont="1" applyFill="1" applyBorder="1"/>
    <xf numFmtId="0" fontId="73" fillId="20" borderId="23" xfId="0" applyFont="1" applyFill="1" applyBorder="1"/>
    <xf numFmtId="0" fontId="73" fillId="20" borderId="45" xfId="0" applyFont="1" applyFill="1" applyBorder="1"/>
    <xf numFmtId="0" fontId="2" fillId="2" borderId="12" xfId="0" applyFont="1" applyFill="1" applyBorder="1"/>
    <xf numFmtId="0" fontId="2" fillId="2" borderId="13" xfId="0" applyFont="1" applyFill="1" applyBorder="1"/>
    <xf numFmtId="0" fontId="73" fillId="2" borderId="43" xfId="0" applyFont="1" applyFill="1" applyBorder="1"/>
    <xf numFmtId="0" fontId="73" fillId="2" borderId="23" xfId="0" applyFont="1" applyFill="1" applyBorder="1"/>
    <xf numFmtId="0" fontId="73" fillId="2" borderId="45" xfId="0" applyFont="1" applyFill="1" applyBorder="1"/>
    <xf numFmtId="0" fontId="20" fillId="2" borderId="29" xfId="0" applyFont="1" applyFill="1" applyBorder="1" applyAlignment="1">
      <alignment horizontal="center" vertical="center"/>
    </xf>
    <xf numFmtId="0" fontId="20" fillId="2" borderId="32" xfId="0" applyFont="1" applyFill="1" applyBorder="1" applyAlignment="1">
      <alignment horizontal="center" vertical="center"/>
    </xf>
    <xf numFmtId="0" fontId="20" fillId="2" borderId="30" xfId="0" applyFont="1" applyFill="1" applyBorder="1" applyAlignment="1">
      <alignment horizontal="center" vertical="center"/>
    </xf>
    <xf numFmtId="0" fontId="20" fillId="8" borderId="15" xfId="0" applyFont="1" applyFill="1" applyBorder="1" applyAlignment="1">
      <alignment horizontal="center" vertical="center"/>
    </xf>
    <xf numFmtId="0" fontId="20" fillId="24" borderId="44" xfId="0" applyFont="1" applyFill="1" applyBorder="1" applyAlignment="1">
      <alignment horizontal="center" vertical="center"/>
    </xf>
    <xf numFmtId="0" fontId="20" fillId="24" borderId="20" xfId="0" applyFont="1" applyFill="1" applyBorder="1" applyAlignment="1">
      <alignment horizontal="center" vertical="center"/>
    </xf>
    <xf numFmtId="0" fontId="20" fillId="2" borderId="68" xfId="0" applyFont="1" applyFill="1" applyBorder="1" applyAlignment="1">
      <alignment horizontal="center" vertical="center"/>
    </xf>
    <xf numFmtId="0" fontId="20" fillId="2" borderId="63" xfId="0" applyFont="1" applyFill="1" applyBorder="1" applyAlignment="1">
      <alignment horizontal="center" vertical="center"/>
    </xf>
    <xf numFmtId="0" fontId="20" fillId="2" borderId="64" xfId="0" applyFont="1" applyFill="1" applyBorder="1" applyAlignment="1">
      <alignment horizontal="center" vertical="center"/>
    </xf>
    <xf numFmtId="0" fontId="20" fillId="11" borderId="12" xfId="0" applyFont="1" applyFill="1" applyBorder="1" applyAlignment="1">
      <alignment vertical="center"/>
    </xf>
    <xf numFmtId="0" fontId="20" fillId="11" borderId="13" xfId="0" applyFont="1" applyFill="1" applyBorder="1" applyAlignment="1">
      <alignment horizontal="right" vertical="center"/>
    </xf>
    <xf numFmtId="0" fontId="20" fillId="11" borderId="14" xfId="0" applyFont="1" applyFill="1" applyBorder="1" applyAlignment="1">
      <alignment horizontal="center" vertical="center"/>
    </xf>
    <xf numFmtId="0" fontId="20" fillId="11" borderId="16" xfId="0" applyFont="1" applyFill="1" applyBorder="1" applyAlignment="1">
      <alignment horizontal="center" vertical="center"/>
    </xf>
    <xf numFmtId="0" fontId="20" fillId="11" borderId="19" xfId="0" applyFont="1" applyFill="1" applyBorder="1" applyAlignment="1">
      <alignment horizontal="center" vertical="center"/>
    </xf>
    <xf numFmtId="0" fontId="20" fillId="36" borderId="26" xfId="0" applyFont="1" applyFill="1" applyBorder="1" applyAlignment="1">
      <alignment horizontal="right" vertical="center"/>
    </xf>
    <xf numFmtId="0" fontId="20" fillId="7" borderId="0" xfId="0" applyFont="1" applyFill="1" applyAlignment="1">
      <alignment horizontal="right" vertical="center"/>
    </xf>
    <xf numFmtId="0" fontId="20" fillId="0" borderId="24" xfId="0" applyFont="1" applyBorder="1" applyAlignment="1">
      <alignment horizontal="center" vertical="center"/>
    </xf>
    <xf numFmtId="0" fontId="20" fillId="0" borderId="25" xfId="0" applyFont="1" applyBorder="1" applyAlignment="1">
      <alignment horizontal="center" vertical="center"/>
    </xf>
    <xf numFmtId="0" fontId="20" fillId="0" borderId="26" xfId="0" applyFont="1" applyBorder="1" applyAlignment="1">
      <alignment horizontal="center" vertical="center"/>
    </xf>
    <xf numFmtId="0" fontId="20" fillId="0" borderId="23" xfId="0" applyFont="1" applyBorder="1" applyAlignment="1">
      <alignment horizontal="center" vertical="center"/>
    </xf>
    <xf numFmtId="0" fontId="20" fillId="0" borderId="27" xfId="0" applyFont="1" applyBorder="1" applyAlignment="1">
      <alignment horizontal="center" vertical="center"/>
    </xf>
    <xf numFmtId="0" fontId="20" fillId="0" borderId="28" xfId="0" applyFont="1" applyBorder="1" applyAlignment="1">
      <alignment horizontal="center" vertical="center"/>
    </xf>
    <xf numFmtId="0" fontId="20" fillId="22" borderId="23" xfId="0" applyFont="1" applyFill="1" applyBorder="1" applyAlignment="1">
      <alignment horizontal="center" vertical="center"/>
    </xf>
    <xf numFmtId="0" fontId="20" fillId="22" borderId="28" xfId="0" applyFont="1" applyFill="1" applyBorder="1" applyAlignment="1">
      <alignment horizontal="center" vertical="center"/>
    </xf>
    <xf numFmtId="0" fontId="20" fillId="22" borderId="24" xfId="0" applyFont="1" applyFill="1" applyBorder="1" applyAlignment="1">
      <alignment horizontal="center" vertical="center"/>
    </xf>
    <xf numFmtId="0" fontId="20" fillId="22" borderId="26" xfId="0" applyFont="1" applyFill="1" applyBorder="1" applyAlignment="1">
      <alignment horizontal="center" vertical="center"/>
    </xf>
    <xf numFmtId="0" fontId="20" fillId="22" borderId="27" xfId="0" applyFont="1" applyFill="1" applyBorder="1" applyAlignment="1">
      <alignment horizontal="center" vertical="center"/>
    </xf>
    <xf numFmtId="0" fontId="20" fillId="0" borderId="29" xfId="0" applyFont="1" applyBorder="1" applyAlignment="1">
      <alignment horizontal="center" vertical="center"/>
    </xf>
    <xf numFmtId="0" fontId="20" fillId="0" borderId="30" xfId="0" applyFont="1" applyBorder="1" applyAlignment="1">
      <alignment horizontal="center" vertical="center"/>
    </xf>
    <xf numFmtId="0" fontId="20" fillId="22" borderId="30" xfId="0" applyFont="1" applyFill="1" applyBorder="1" applyAlignment="1">
      <alignment horizontal="center" vertical="center"/>
    </xf>
    <xf numFmtId="0" fontId="20" fillId="22" borderId="29" xfId="0" applyFont="1" applyFill="1" applyBorder="1" applyAlignment="1">
      <alignment horizontal="center" vertical="center"/>
    </xf>
    <xf numFmtId="0" fontId="20" fillId="0" borderId="31" xfId="0" applyFont="1" applyBorder="1" applyAlignment="1">
      <alignment horizontal="center" vertical="center"/>
    </xf>
    <xf numFmtId="0" fontId="20" fillId="0" borderId="0" xfId="0" applyFont="1" applyBorder="1" applyAlignment="1">
      <alignment horizontal="center" vertical="center"/>
    </xf>
    <xf numFmtId="0" fontId="20" fillId="0" borderId="21" xfId="0" applyFont="1" applyBorder="1" applyAlignment="1">
      <alignment horizontal="center" vertical="center"/>
    </xf>
    <xf numFmtId="0" fontId="20" fillId="18" borderId="29" xfId="0" applyFont="1" applyFill="1" applyBorder="1" applyAlignment="1">
      <alignment horizontal="center" vertical="center"/>
    </xf>
    <xf numFmtId="0" fontId="20" fillId="18" borderId="30" xfId="0" applyFont="1" applyFill="1" applyBorder="1" applyAlignment="1">
      <alignment horizontal="center" vertical="center"/>
    </xf>
    <xf numFmtId="0" fontId="20" fillId="18" borderId="24" xfId="0" applyFont="1" applyFill="1" applyBorder="1" applyAlignment="1">
      <alignment horizontal="center" vertical="center"/>
    </xf>
    <xf numFmtId="0" fontId="20" fillId="18" borderId="25" xfId="0" applyFont="1" applyFill="1" applyBorder="1" applyAlignment="1">
      <alignment horizontal="center" vertical="center"/>
    </xf>
    <xf numFmtId="0" fontId="20" fillId="18" borderId="26" xfId="0" applyFont="1" applyFill="1" applyBorder="1" applyAlignment="1">
      <alignment horizontal="center" vertical="center"/>
    </xf>
    <xf numFmtId="0" fontId="20" fillId="18" borderId="23" xfId="0" applyFont="1" applyFill="1" applyBorder="1" applyAlignment="1">
      <alignment horizontal="center" vertical="center"/>
    </xf>
    <xf numFmtId="0" fontId="20" fillId="18" borderId="27" xfId="0" applyFont="1" applyFill="1" applyBorder="1" applyAlignment="1">
      <alignment horizontal="center" vertical="center"/>
    </xf>
    <xf numFmtId="0" fontId="20" fillId="18" borderId="28" xfId="0" applyFont="1" applyFill="1" applyBorder="1" applyAlignment="1">
      <alignment horizontal="center" vertical="center"/>
    </xf>
    <xf numFmtId="0" fontId="20" fillId="0" borderId="0" xfId="0" applyFont="1" applyFill="1" applyBorder="1" applyAlignment="1" applyProtection="1">
      <alignment horizontal="center" vertical="center"/>
      <protection locked="0"/>
    </xf>
    <xf numFmtId="0" fontId="20" fillId="36" borderId="37" xfId="0" applyFont="1" applyFill="1" applyBorder="1" applyAlignment="1">
      <alignment horizontal="center" vertical="center"/>
    </xf>
    <xf numFmtId="0" fontId="20" fillId="0" borderId="0" xfId="0" applyFont="1" applyFill="1" applyBorder="1" applyAlignment="1">
      <alignment horizontal="right" vertical="center"/>
    </xf>
    <xf numFmtId="0" fontId="20" fillId="11" borderId="0" xfId="0" applyFont="1" applyFill="1" applyBorder="1" applyAlignment="1">
      <alignment horizontal="right" vertical="center"/>
    </xf>
    <xf numFmtId="0" fontId="20" fillId="12" borderId="24" xfId="0" applyFont="1" applyFill="1" applyBorder="1" applyAlignment="1">
      <alignment horizontal="center" vertical="center"/>
    </xf>
    <xf numFmtId="0" fontId="20" fillId="12" borderId="37" xfId="0" applyFont="1" applyFill="1" applyBorder="1" applyAlignment="1">
      <alignment horizontal="center" vertical="center"/>
    </xf>
    <xf numFmtId="0" fontId="20" fillId="12" borderId="16" xfId="0" applyFont="1" applyFill="1" applyBorder="1" applyAlignment="1">
      <alignment horizontal="center" vertical="center"/>
    </xf>
    <xf numFmtId="0" fontId="20" fillId="12" borderId="26" xfId="0" applyFont="1" applyFill="1" applyBorder="1" applyAlignment="1">
      <alignment horizontal="center" vertical="center"/>
    </xf>
    <xf numFmtId="0" fontId="20" fillId="13" borderId="61" xfId="0" applyFont="1" applyFill="1" applyBorder="1" applyAlignment="1" applyProtection="1">
      <alignment horizontal="center" vertical="center"/>
      <protection locked="0"/>
    </xf>
    <xf numFmtId="0" fontId="2" fillId="24" borderId="41" xfId="0" applyFont="1" applyFill="1" applyBorder="1"/>
    <xf numFmtId="0" fontId="2" fillId="24" borderId="42" xfId="0" applyFont="1" applyFill="1" applyBorder="1"/>
    <xf numFmtId="0" fontId="5" fillId="24" borderId="15" xfId="0" applyFont="1" applyFill="1" applyBorder="1"/>
    <xf numFmtId="0" fontId="5" fillId="24" borderId="0" xfId="0" applyFont="1" applyFill="1" applyBorder="1"/>
    <xf numFmtId="0" fontId="5" fillId="24" borderId="0" xfId="0" applyFont="1" applyFill="1" applyBorder="1" applyAlignment="1" applyProtection="1">
      <alignment horizontal="center"/>
      <protection locked="0"/>
    </xf>
    <xf numFmtId="0" fontId="5" fillId="24" borderId="16" xfId="0" applyFont="1" applyFill="1" applyBorder="1" applyAlignment="1" applyProtection="1">
      <alignment horizontal="center"/>
      <protection locked="0"/>
    </xf>
    <xf numFmtId="0" fontId="2" fillId="24" borderId="15" xfId="0" applyFont="1" applyFill="1" applyBorder="1"/>
    <xf numFmtId="0" fontId="2" fillId="24" borderId="0" xfId="0" applyFont="1" applyFill="1" applyBorder="1" applyAlignment="1">
      <alignment horizontal="center"/>
    </xf>
    <xf numFmtId="0" fontId="2" fillId="24" borderId="16" xfId="0" applyFont="1" applyFill="1" applyBorder="1"/>
    <xf numFmtId="0" fontId="2" fillId="24" borderId="0" xfId="0" applyFont="1" applyFill="1" applyAlignment="1">
      <alignment horizontal="center"/>
    </xf>
    <xf numFmtId="0" fontId="5" fillId="13" borderId="2" xfId="0" applyFont="1" applyFill="1" applyBorder="1" applyAlignment="1" applyProtection="1">
      <alignment horizontal="center"/>
      <protection locked="0"/>
    </xf>
    <xf numFmtId="0" fontId="5" fillId="13" borderId="57" xfId="0" applyFont="1" applyFill="1" applyBorder="1" applyAlignment="1" applyProtection="1">
      <alignment horizontal="center"/>
      <protection locked="0"/>
    </xf>
    <xf numFmtId="0" fontId="5" fillId="13" borderId="18" xfId="0" applyFont="1" applyFill="1" applyBorder="1" applyAlignment="1" applyProtection="1">
      <alignment horizontal="center"/>
      <protection locked="0"/>
    </xf>
    <xf numFmtId="0" fontId="56" fillId="5" borderId="56" xfId="0" applyFont="1" applyFill="1" applyBorder="1" applyAlignment="1">
      <alignment horizontal="left"/>
    </xf>
    <xf numFmtId="0" fontId="56" fillId="5" borderId="56" xfId="0" applyFont="1" applyFill="1" applyBorder="1" applyAlignment="1"/>
    <xf numFmtId="0" fontId="56" fillId="5" borderId="33" xfId="0" applyFont="1" applyFill="1" applyBorder="1" applyAlignment="1"/>
    <xf numFmtId="0" fontId="56" fillId="5" borderId="34" xfId="0" applyFont="1" applyFill="1" applyBorder="1" applyAlignment="1"/>
    <xf numFmtId="0" fontId="56" fillId="5" borderId="55" xfId="0" applyFont="1" applyFill="1" applyBorder="1" applyAlignment="1"/>
    <xf numFmtId="0" fontId="56" fillId="5" borderId="33" xfId="0" applyFont="1" applyFill="1" applyBorder="1" applyAlignment="1">
      <alignment horizontal="left"/>
    </xf>
    <xf numFmtId="0" fontId="56" fillId="5" borderId="34" xfId="0" applyFont="1" applyFill="1" applyBorder="1" applyAlignment="1">
      <alignment horizontal="left"/>
    </xf>
    <xf numFmtId="0" fontId="56" fillId="5" borderId="35" xfId="0" applyFont="1" applyFill="1" applyBorder="1" applyAlignment="1">
      <alignment horizontal="left"/>
    </xf>
    <xf numFmtId="0" fontId="5" fillId="24" borderId="0" xfId="0" applyFont="1" applyFill="1" applyBorder="1" applyAlignment="1">
      <alignment horizontal="center"/>
    </xf>
    <xf numFmtId="0" fontId="0" fillId="8" borderId="12" xfId="0" applyFill="1" applyBorder="1"/>
    <xf numFmtId="0" fontId="0" fillId="8" borderId="13" xfId="0" applyFill="1" applyBorder="1" applyAlignment="1">
      <alignment horizontal="center"/>
    </xf>
    <xf numFmtId="0" fontId="20" fillId="8" borderId="13" xfId="0" applyFont="1" applyFill="1" applyBorder="1" applyAlignment="1">
      <alignment horizontal="center" vertical="center"/>
    </xf>
    <xf numFmtId="0" fontId="20" fillId="8" borderId="16" xfId="0" applyFont="1" applyFill="1" applyBorder="1" applyAlignment="1">
      <alignment horizontal="right" vertical="center"/>
    </xf>
    <xf numFmtId="0" fontId="2" fillId="5" borderId="57" xfId="0" applyFont="1" applyFill="1" applyBorder="1"/>
    <xf numFmtId="0" fontId="2" fillId="56" borderId="12" xfId="0" applyFont="1" applyFill="1" applyBorder="1"/>
    <xf numFmtId="0" fontId="2" fillId="56" borderId="14" xfId="0" applyFont="1" applyFill="1" applyBorder="1"/>
    <xf numFmtId="0" fontId="2" fillId="56" borderId="15" xfId="0" applyFont="1" applyFill="1" applyBorder="1"/>
    <xf numFmtId="0" fontId="2" fillId="56" borderId="16" xfId="0" applyFont="1" applyFill="1" applyBorder="1"/>
    <xf numFmtId="0" fontId="2" fillId="56" borderId="17" xfId="0" applyFont="1" applyFill="1" applyBorder="1"/>
    <xf numFmtId="0" fontId="2" fillId="56" borderId="19" xfId="0" applyFont="1" applyFill="1" applyBorder="1"/>
    <xf numFmtId="0" fontId="2" fillId="24" borderId="23" xfId="0" applyFont="1" applyFill="1" applyBorder="1"/>
    <xf numFmtId="0" fontId="20" fillId="18" borderId="14" xfId="0" applyFont="1" applyFill="1" applyBorder="1" applyAlignment="1">
      <alignment horizontal="center" vertical="center"/>
    </xf>
    <xf numFmtId="0" fontId="20" fillId="18" borderId="13" xfId="0" applyFont="1" applyFill="1" applyBorder="1" applyAlignment="1">
      <alignment horizontal="center" vertical="center"/>
    </xf>
    <xf numFmtId="0" fontId="20" fillId="11" borderId="57" xfId="0" applyFont="1" applyFill="1" applyBorder="1" applyAlignment="1">
      <alignment horizontal="center" vertical="center"/>
    </xf>
    <xf numFmtId="0" fontId="20" fillId="11" borderId="57" xfId="0" applyFont="1" applyFill="1" applyBorder="1" applyAlignment="1">
      <alignment horizontal="right" vertical="center"/>
    </xf>
    <xf numFmtId="0" fontId="20" fillId="11" borderId="59" xfId="0" applyFont="1" applyFill="1" applyBorder="1" applyAlignment="1">
      <alignment horizontal="center" vertical="center"/>
    </xf>
    <xf numFmtId="0" fontId="20" fillId="11" borderId="45" xfId="0" applyFont="1" applyFill="1" applyBorder="1" applyAlignment="1">
      <alignment horizontal="center" vertical="center"/>
    </xf>
    <xf numFmtId="0" fontId="20" fillId="36" borderId="69" xfId="0" applyFont="1" applyFill="1" applyBorder="1" applyAlignment="1">
      <alignment horizontal="center" vertical="center"/>
    </xf>
    <xf numFmtId="0" fontId="20" fillId="36" borderId="70" xfId="0" applyFont="1" applyFill="1" applyBorder="1" applyAlignment="1">
      <alignment horizontal="center" vertical="center"/>
    </xf>
    <xf numFmtId="0" fontId="20" fillId="36" borderId="62" xfId="0" applyFont="1" applyFill="1" applyBorder="1" applyAlignment="1">
      <alignment horizontal="center" vertical="center"/>
    </xf>
    <xf numFmtId="0" fontId="20" fillId="11" borderId="71" xfId="0" applyFont="1" applyFill="1" applyBorder="1" applyAlignment="1">
      <alignment horizontal="center" vertical="center"/>
    </xf>
    <xf numFmtId="0" fontId="1" fillId="11" borderId="70" xfId="0" applyFont="1" applyFill="1" applyBorder="1" applyAlignment="1">
      <alignment horizontal="center"/>
    </xf>
    <xf numFmtId="0" fontId="1" fillId="11" borderId="62" xfId="0" applyFont="1" applyFill="1" applyBorder="1" applyAlignment="1">
      <alignment horizontal="center"/>
    </xf>
    <xf numFmtId="0" fontId="20" fillId="4" borderId="58" xfId="0" applyFont="1" applyFill="1" applyBorder="1" applyAlignment="1">
      <alignment horizontal="center" vertical="center"/>
    </xf>
    <xf numFmtId="0" fontId="20" fillId="4" borderId="18" xfId="0" applyFont="1" applyFill="1" applyBorder="1" applyAlignment="1">
      <alignment horizontal="center" vertical="center"/>
    </xf>
    <xf numFmtId="0" fontId="20" fillId="4" borderId="57" xfId="0" applyFont="1" applyFill="1" applyBorder="1" applyAlignment="1">
      <alignment horizontal="center" vertical="center"/>
    </xf>
    <xf numFmtId="0" fontId="20" fillId="36" borderId="22" xfId="0" applyFont="1" applyFill="1" applyBorder="1" applyAlignment="1">
      <alignment horizontal="center" vertical="center"/>
    </xf>
    <xf numFmtId="0" fontId="20" fillId="36" borderId="36" xfId="0" applyFont="1" applyFill="1" applyBorder="1" applyAlignment="1">
      <alignment horizontal="center" vertical="center"/>
    </xf>
    <xf numFmtId="0" fontId="2" fillId="52" borderId="15" xfId="0" applyFont="1" applyFill="1" applyBorder="1"/>
    <xf numFmtId="0" fontId="1" fillId="19" borderId="0" xfId="0" applyFont="1" applyFill="1" applyBorder="1"/>
    <xf numFmtId="0" fontId="8" fillId="24" borderId="21" xfId="0" applyFont="1" applyFill="1" applyBorder="1" applyAlignment="1">
      <alignment horizontal="right"/>
    </xf>
    <xf numFmtId="0" fontId="8" fillId="19" borderId="24" xfId="0" applyFont="1" applyFill="1" applyBorder="1" applyAlignment="1">
      <alignment horizontal="right"/>
    </xf>
    <xf numFmtId="0" fontId="8" fillId="19" borderId="31" xfId="0" applyFont="1" applyFill="1" applyBorder="1" applyAlignment="1">
      <alignment horizontal="right"/>
    </xf>
    <xf numFmtId="0" fontId="8" fillId="19" borderId="25" xfId="0" applyFont="1" applyFill="1" applyBorder="1" applyAlignment="1">
      <alignment horizontal="right"/>
    </xf>
    <xf numFmtId="0" fontId="8" fillId="19" borderId="26" xfId="0" applyFont="1" applyFill="1" applyBorder="1" applyAlignment="1">
      <alignment horizontal="right"/>
    </xf>
    <xf numFmtId="0" fontId="8" fillId="19" borderId="23" xfId="0" applyFont="1" applyFill="1" applyBorder="1" applyAlignment="1">
      <alignment horizontal="right"/>
    </xf>
    <xf numFmtId="0" fontId="1" fillId="19" borderId="23" xfId="0" applyFont="1" applyFill="1" applyBorder="1"/>
    <xf numFmtId="0" fontId="8" fillId="24" borderId="28" xfId="0" applyFont="1" applyFill="1" applyBorder="1" applyAlignment="1">
      <alignment horizontal="right"/>
    </xf>
    <xf numFmtId="0" fontId="8" fillId="24" borderId="24" xfId="0" applyFont="1" applyFill="1" applyBorder="1" applyAlignment="1">
      <alignment horizontal="right"/>
    </xf>
    <xf numFmtId="0" fontId="8" fillId="24" borderId="31" xfId="0" applyFont="1" applyFill="1" applyBorder="1" applyAlignment="1">
      <alignment horizontal="right"/>
    </xf>
    <xf numFmtId="0" fontId="8" fillId="24" borderId="25" xfId="0" applyFont="1" applyFill="1" applyBorder="1" applyAlignment="1">
      <alignment horizontal="right"/>
    </xf>
    <xf numFmtId="0" fontId="8" fillId="24" borderId="26" xfId="0" applyFont="1" applyFill="1" applyBorder="1" applyAlignment="1">
      <alignment horizontal="right"/>
    </xf>
    <xf numFmtId="0" fontId="8" fillId="24" borderId="0" xfId="0" applyFont="1" applyFill="1" applyBorder="1" applyAlignment="1">
      <alignment horizontal="right"/>
    </xf>
    <xf numFmtId="0" fontId="8" fillId="24" borderId="23" xfId="0" applyFont="1" applyFill="1" applyBorder="1" applyAlignment="1">
      <alignment horizontal="right"/>
    </xf>
    <xf numFmtId="0" fontId="8" fillId="24" borderId="27" xfId="0" applyFont="1" applyFill="1" applyBorder="1" applyAlignment="1">
      <alignment horizontal="right"/>
    </xf>
    <xf numFmtId="0" fontId="8" fillId="4" borderId="23" xfId="0" applyFont="1" applyFill="1" applyBorder="1" applyAlignment="1">
      <alignment horizontal="right"/>
    </xf>
    <xf numFmtId="0" fontId="66" fillId="0" borderId="0" xfId="0" applyFont="1"/>
    <xf numFmtId="0" fontId="8" fillId="0" borderId="0" xfId="0" applyFont="1" applyFill="1" applyBorder="1" applyAlignment="1">
      <alignment horizontal="right"/>
    </xf>
    <xf numFmtId="0" fontId="8" fillId="20" borderId="24" xfId="0" applyFont="1" applyFill="1" applyBorder="1" applyAlignment="1">
      <alignment horizontal="right"/>
    </xf>
    <xf numFmtId="0" fontId="8" fillId="20" borderId="31" xfId="0" applyFont="1" applyFill="1" applyBorder="1" applyAlignment="1">
      <alignment horizontal="right"/>
    </xf>
    <xf numFmtId="0" fontId="8" fillId="20" borderId="25" xfId="0" applyFont="1" applyFill="1" applyBorder="1" applyAlignment="1">
      <alignment horizontal="right"/>
    </xf>
    <xf numFmtId="0" fontId="8" fillId="20" borderId="26" xfId="0" applyFont="1" applyFill="1" applyBorder="1" applyAlignment="1">
      <alignment horizontal="right"/>
    </xf>
    <xf numFmtId="0" fontId="8" fillId="20" borderId="23" xfId="0" applyFont="1" applyFill="1" applyBorder="1" applyAlignment="1">
      <alignment horizontal="right"/>
    </xf>
    <xf numFmtId="0" fontId="8" fillId="20" borderId="27" xfId="0" applyFont="1" applyFill="1" applyBorder="1" applyAlignment="1">
      <alignment horizontal="right"/>
    </xf>
    <xf numFmtId="0" fontId="8" fillId="20" borderId="21" xfId="0" applyFont="1" applyFill="1" applyBorder="1" applyAlignment="1">
      <alignment horizontal="right"/>
    </xf>
    <xf numFmtId="0" fontId="8" fillId="20" borderId="28" xfId="0" applyFont="1" applyFill="1" applyBorder="1" applyAlignment="1">
      <alignment horizontal="right"/>
    </xf>
    <xf numFmtId="0" fontId="8" fillId="0" borderId="0" xfId="0" applyFont="1" applyFill="1" applyBorder="1" applyAlignment="1" applyProtection="1">
      <alignment horizontal="right"/>
      <protection locked="0"/>
    </xf>
    <xf numFmtId="0" fontId="8" fillId="0" borderId="0" xfId="0" applyFont="1" applyFill="1" applyAlignment="1">
      <alignment horizontal="right"/>
    </xf>
    <xf numFmtId="0" fontId="8" fillId="24" borderId="29" xfId="0" applyFont="1" applyFill="1" applyBorder="1" applyAlignment="1">
      <alignment horizontal="right"/>
    </xf>
    <xf numFmtId="0" fontId="8" fillId="24" borderId="32" xfId="0" applyFont="1" applyFill="1" applyBorder="1" applyAlignment="1">
      <alignment horizontal="right"/>
    </xf>
    <xf numFmtId="0" fontId="8" fillId="24" borderId="30" xfId="0" applyFont="1" applyFill="1" applyBorder="1" applyAlignment="1">
      <alignment horizontal="right"/>
    </xf>
    <xf numFmtId="0" fontId="8" fillId="24" borderId="0" xfId="0" applyFont="1" applyFill="1" applyAlignment="1">
      <alignment horizontal="right"/>
    </xf>
    <xf numFmtId="0" fontId="20" fillId="5" borderId="0" xfId="0" applyFont="1" applyFill="1" applyAlignment="1">
      <alignment vertical="center"/>
    </xf>
    <xf numFmtId="0" fontId="20" fillId="8" borderId="32" xfId="0" applyFont="1" applyFill="1" applyBorder="1" applyAlignment="1">
      <alignment horizontal="center" vertical="center"/>
    </xf>
    <xf numFmtId="0" fontId="1" fillId="8" borderId="32" xfId="0" applyFont="1" applyFill="1" applyBorder="1" applyAlignment="1" applyProtection="1">
      <alignment horizontal="center"/>
      <protection locked="0"/>
    </xf>
    <xf numFmtId="0" fontId="1" fillId="8" borderId="30" xfId="0" applyFont="1" applyFill="1" applyBorder="1" applyAlignment="1" applyProtection="1">
      <alignment horizontal="center"/>
      <protection locked="0"/>
    </xf>
    <xf numFmtId="0" fontId="20" fillId="24" borderId="29" xfId="0" applyFont="1" applyFill="1" applyBorder="1" applyAlignment="1">
      <alignment horizontal="center" vertical="center"/>
    </xf>
    <xf numFmtId="0" fontId="20" fillId="24" borderId="32" xfId="0" applyFont="1" applyFill="1" applyBorder="1" applyAlignment="1">
      <alignment horizontal="center" vertical="center"/>
    </xf>
    <xf numFmtId="0" fontId="20" fillId="24" borderId="32" xfId="0" applyFont="1" applyFill="1" applyBorder="1" applyAlignment="1">
      <alignment horizontal="right" vertical="center"/>
    </xf>
    <xf numFmtId="0" fontId="20" fillId="24" borderId="30" xfId="0" applyFont="1" applyFill="1" applyBorder="1" applyAlignment="1">
      <alignment horizontal="right" vertical="center"/>
    </xf>
  </cellXfs>
  <cellStyles count="5">
    <cellStyle name="Normal" xfId="0" builtinId="0"/>
    <cellStyle name="Normal 2" xfId="4"/>
    <cellStyle name="Style 1" xfId="3"/>
    <cellStyle name="Style 2" xfId="2"/>
    <cellStyle name="Style 5" xfId="1"/>
  </cellStyles>
  <dxfs count="0"/>
  <tableStyles count="0" defaultTableStyle="TableStyleMedium2" defaultPivotStyle="PivotStyleLight16"/>
  <colors>
    <mruColors>
      <color rgb="FF95483B"/>
      <color rgb="FFFF66CC"/>
      <color rgb="FFFF33CC"/>
      <color rgb="FFCC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pc/AppData/Roaming/Microsoft/AddIns/aminasi.xla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c/AppData/Roaming/Microsoft/AddIns/09.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pc/AppData/Roaming/Microsoft/AddIns/Copy%20of%2009.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1234/Desktop/&#1575;&#1582;&#1578;&#1604;&#1575;&#1601;%20&#1605;&#1606;&#1592;&#1585;.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1234/AppData/Roaming/Microsoft/AddIns/tt.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aazam"/>
      <definedName name="abaad1"/>
      <definedName name="abarame"/>
      <definedName name="acj"/>
      <definedName name="acs"/>
      <definedName name="adadborj"/>
      <definedName name="Aezaaame"/>
      <definedName name="almazy"/>
      <definedName name="amonaqah"/>
      <definedName name="Amzajame"/>
      <definedName name="arbabame"/>
      <definedName name="ardjaname"/>
      <definedName name="arzhades"/>
      <definedName name="arzhaqiqi"/>
      <definedName name="arzmaree"/>
      <definedName name="arzmer"/>
      <definedName name="arzmosh"/>
      <definedName name="arzota"/>
      <definedName name="arzq"/>
      <definedName name="arzqmr"/>
      <definedName name="arzr"/>
      <definedName name="Arzr2"/>
      <definedName name="arzzohal"/>
      <definedName name="arzzohre"/>
      <definedName name="asabejerm"/>
      <definedName name="asabejermk"/>
      <definedName name="asabejermkh"/>
      <definedName name="asabeqotrj"/>
      <definedName name="asabeqotrk"/>
      <definedName name="asabeqotrkh"/>
      <definedName name="asajermqmr"/>
      <definedName name="asaqotrqmr"/>
      <definedName name="asaqotrqmr1"/>
      <definedName name="asher"/>
      <definedName name="asher2"/>
      <definedName name="asn"/>
      <definedName name="asqar"/>
      <definedName name="atayaame"/>
      <definedName name="atit"/>
      <definedName name="atj"/>
      <definedName name="ba"/>
      <definedName name="bait11"/>
      <definedName name="bait12"/>
      <definedName name="bait2"/>
      <definedName name="bait3"/>
      <definedName name="bait4"/>
      <definedName name="bait5"/>
      <definedName name="bait6"/>
      <definedName name="bait7"/>
      <definedName name="bait8"/>
      <definedName name="bait9"/>
      <definedName name="beyt11b"/>
      <definedName name="beyt12b"/>
      <definedName name="beyt2b"/>
      <definedName name="beyt3b"/>
      <definedName name="beyt5b"/>
      <definedName name="beyt6b"/>
      <definedName name="beyt8b"/>
      <definedName name="beyt9b"/>
      <definedName name="bjfardakbame"/>
      <definedName name="bkhsh"/>
      <definedName name="bkm"/>
      <definedName name="bmosh"/>
      <definedName name="boadq"/>
      <definedName name="bodmoadal"/>
      <definedName name="bodovkhosoof"/>
      <definedName name="bodovkosoof"/>
      <definedName name="bodovmakskh"/>
      <definedName name="bodq"/>
      <definedName name="bodsava"/>
      <definedName name="bohtq"/>
      <definedName name="bohtqa"/>
      <definedName name="bohtsh"/>
      <definedName name="bohtsha"/>
      <definedName name="borjame"/>
      <definedName name="borjfardaazame"/>
      <definedName name="bota"/>
      <definedName name="bshams"/>
      <definedName name="bzohal"/>
      <definedName name="bzrsh"/>
      <definedName name="csn"/>
      <definedName name="ctn"/>
      <definedName name="daragamaame"/>
      <definedName name="darageqesmat"/>
      <definedName name="daryjaname"/>
      <definedName name="drgmosahah"/>
      <definedName name="dtl"/>
      <definedName name="ebtedabait1"/>
      <definedName name="ebtedabait10"/>
      <definedName name="ebtedabait11"/>
      <definedName name="ebtedabait12"/>
      <definedName name="ebtedabait2"/>
      <definedName name="ebtedabait3"/>
      <definedName name="ebtedabait4"/>
      <definedName name="ebtedabait5"/>
      <definedName name="ebtedabait6"/>
      <definedName name="ebtedabait7"/>
      <definedName name="ebtedabait8"/>
      <definedName name="ebtedabait9"/>
      <definedName name="ekharzq"/>
      <definedName name="ekharzsh"/>
      <definedName name="ekhtmanzkoly"/>
      <definedName name="ekhtmanzofoq"/>
      <definedName name="ekhtoolq"/>
      <definedName name="ekhtoolsh"/>
      <definedName name="emkaname"/>
      <definedName name="enjelakhosoof"/>
      <definedName name="enjelamakskh"/>
      <definedName name="entaazam"/>
      <definedName name="entakbar"/>
      <definedName name="entasqar"/>
      <definedName name="entavsat"/>
      <definedName name="eqlim"/>
      <definedName name="ertaztale"/>
      <definedName name="ertefaqamar"/>
      <definedName name="ertefasa"/>
      <definedName name="ertefashams"/>
      <definedName name="ertmaree"/>
      <definedName name="ertqamar"/>
      <definedName name="esmbaytame"/>
      <definedName name="esnaasharame"/>
      <definedName name="esteqbal"/>
      <definedName name="etahqiq"/>
      <definedName name="farasqarame"/>
      <definedName name="fardaazam"/>
      <definedName name="fardarakbar"/>
      <definedName name="fardaravsat"/>
      <definedName name="fasladvarame"/>
      <definedName name="fdaer"/>
      <definedName name="fdavsatame"/>
      <definedName name="haftbahrame"/>
      <definedName name="hesayamsanavi"/>
      <definedName name="hesayamshoori"/>
      <definedName name="hesetasir"/>
      <definedName name="hesseh"/>
      <definedName name="hesseha"/>
      <definedName name="hodoodame"/>
      <definedName name="jahatmerame"/>
      <definedName name="jahatmoshame"/>
      <definedName name="jahatotaame"/>
      <definedName name="jahatzohalame"/>
      <definedName name="jahatzohreame"/>
      <definedName name="Jehatame"/>
      <definedName name="jookame"/>
      <definedName name="jowsat"/>
      <definedName name="jozeekolik"/>
      <definedName name="jozeikolli"/>
      <definedName name="kab"/>
      <definedName name="kaff"/>
      <definedName name="kahryenteqtathe"/>
      <definedName name="kahryentjook"/>
      <definedName name="kahryentnachahtar"/>
      <definedName name="kelab"/>
      <definedName name="kername"/>
      <definedName name="keyd"/>
      <definedName name="kokabfardaazame"/>
      <definedName name="lehyani"/>
      <definedName name="manazelame"/>
      <definedName name="manzarer"/>
      <definedName name="manzarsh"/>
      <definedName name="manzert"/>
      <definedName name="maqk"/>
      <definedName name="markaz3"/>
      <definedName name="markaz3a"/>
      <definedName name="mbtoloo"/>
      <definedName name="mbtool"/>
      <definedName name="merikhmoshtariame"/>
      <definedName name="merikhzohalame"/>
      <definedName name="ml"/>
      <definedName name="mlhades"/>
      <definedName name="modatkhosoof"/>
      <definedName name="modatkosoof"/>
      <definedName name="modd"/>
      <definedName name="moshtarizohalame"/>
      <definedName name="mostavieh"/>
      <definedName name="movajjeh"/>
      <definedName name="mozakarame"/>
      <definedName name="mozamtasirk"/>
      <definedName name="mozeentehsanavi"/>
      <definedName name="mozeentehshohoori"/>
      <definedName name="mozetasir"/>
      <definedName name="mtash"/>
      <definedName name="mtasha"/>
      <definedName name="mtb"/>
      <definedName name="mtdt"/>
      <definedName name="mtl"/>
      <definedName name="mtlmosahah"/>
      <definedName name="mtm"/>
      <definedName name="mtmm"/>
      <definedName name="nachparsame"/>
      <definedName name="nahhendme"/>
      <definedName name="nazerame"/>
      <definedName name="netmerbame"/>
      <definedName name="netmermame"/>
      <definedName name="netmoshbame"/>
      <definedName name="netmoshmame"/>
      <definedName name="netotbabame"/>
      <definedName name="netotbaqame"/>
      <definedName name="netotbosame"/>
      <definedName name="netotmabame"/>
      <definedName name="netotmaqame"/>
      <definedName name="netotmosame"/>
      <definedName name="netqbame"/>
      <definedName name="netqmame"/>
      <definedName name="netshbame"/>
      <definedName name="netshmame"/>
      <definedName name="nettmerbabame"/>
      <definedName name="nettmerbaqame"/>
      <definedName name="nettmerbosame"/>
      <definedName name="nettmermabame"/>
      <definedName name="nettmermaqame"/>
      <definedName name="nettmermosame"/>
      <definedName name="nettmoshbabame"/>
      <definedName name="nettmoshbaqame"/>
      <definedName name="nettmoshbosame"/>
      <definedName name="nettmoshmabame"/>
      <definedName name="nettmoshmaqame"/>
      <definedName name="nettmoshmosame"/>
      <definedName name="nettottbabame"/>
      <definedName name="nettottbaqame"/>
      <definedName name="nettottbosame"/>
      <definedName name="nettottmabame"/>
      <definedName name="nettottmaqame"/>
      <definedName name="nettqbabame"/>
      <definedName name="nettqbaqame"/>
      <definedName name="nettqbosame"/>
      <definedName name="nettqmabame"/>
      <definedName name="nettqmosame"/>
      <definedName name="nettzhbabame"/>
      <definedName name="nettzhbaqame"/>
      <definedName name="nettzhbosame"/>
      <definedName name="nettzhmabame"/>
      <definedName name="nettzhmaqame"/>
      <definedName name="nettzhmosame"/>
      <definedName name="nettzrbabame"/>
      <definedName name="nettzrbaqame"/>
      <definedName name="nettzrbosame"/>
      <definedName name="nettzrmabame"/>
      <definedName name="nettzrmaqame"/>
      <definedName name="nettzrmosame"/>
      <definedName name="netzohbame"/>
      <definedName name="netzohmame"/>
      <definedName name="netzorbame"/>
      <definedName name="netzormame"/>
      <definedName name="nimbahrame"/>
      <definedName name="nimeshab"/>
      <definedName name="nohbahrame"/>
      <definedName name="oqdeh"/>
      <definedName name="otaredmerikhame"/>
      <definedName name="otaredmoshtariame"/>
      <definedName name="otaredzohalame"/>
      <definedName name="otaredzohreame"/>
      <definedName name="oujmer"/>
      <definedName name="oujmosh"/>
      <definedName name="oujott"/>
      <definedName name="oujq"/>
      <definedName name="oujqa"/>
      <definedName name="oujsh"/>
      <definedName name="oujsha"/>
      <definedName name="oujzh"/>
      <definedName name="oujzo"/>
      <definedName name="qadrsaatq"/>
      <definedName name="qadrsaatsh"/>
      <definedName name="qamarmerikhame"/>
      <definedName name="qamarmoadal1"/>
      <definedName name="qamarmoadal2"/>
      <definedName name="qamarmoshtariame"/>
      <definedName name="qamarotaredame"/>
      <definedName name="qamarzohalame"/>
      <definedName name="qamarzohreame"/>
      <definedName name="qarnam"/>
      <definedName name="qasemame"/>
      <definedName name="qeraname"/>
      <definedName name="qotrer"/>
      <definedName name="qotrqmr"/>
      <definedName name="qovvatame"/>
      <definedName name="qrk"/>
      <definedName name="qsl"/>
      <definedName name="qsn"/>
      <definedName name="qtrq"/>
      <definedName name="qtrsh"/>
      <definedName name="rangkh"/>
      <definedName name="rasmer"/>
      <definedName name="rasmosh"/>
      <definedName name="rasott"/>
      <definedName name="rasq"/>
      <definedName name="raszh"/>
      <definedName name="raszo"/>
      <definedName name="royathelalame"/>
      <definedName name="roz"/>
      <definedName name="rozhaq"/>
      <definedName name="saaedame"/>
      <definedName name="saat"/>
      <definedName name="saatame"/>
      <definedName name="saatejtema"/>
      <definedName name="saatmakskh"/>
      <definedName name="saatrasmi"/>
      <definedName name="saatzij"/>
      <definedName name="sabqq"/>
      <definedName name="sadnahsame"/>
      <definedName name="saejtmaree11"/>
      <definedName name="sahebborjame"/>
      <definedName name="sahebsharafame"/>
      <definedName name="sahmolhavadeth"/>
      <definedName name="sahmqaib"/>
      <definedName name="sahmsaadat"/>
      <definedName name="saladvarame"/>
      <definedName name="sarmoosh"/>
      <definedName name="sasoqootk"/>
      <definedName name="sat"/>
      <definedName name="sem"/>
      <definedName name="senjelak"/>
      <definedName name="shamsmerikhame"/>
      <definedName name="shamsmoshtariame"/>
      <definedName name="shamsotaredame"/>
      <definedName name="shamsqamarame"/>
      <definedName name="shamszohalame"/>
      <definedName name="shamszohreame"/>
      <definedName name="sharafainame"/>
      <definedName name="sharafmerikhame"/>
      <definedName name="sharafmoshtaryame"/>
      <definedName name="sharafotaredame"/>
      <definedName name="sharafqamarame"/>
      <definedName name="sharafshamsame"/>
      <definedName name="sharafzohalame"/>
      <definedName name="sharafzohreame"/>
      <definedName name="sn"/>
      <definedName name="taam"/>
      <definedName name="tabdilgrin"/>
      <definedName name="tabdilsaheb"/>
      <definedName name="tabeborjame"/>
      <definedName name="tadb1"/>
      <definedName name="tadm1"/>
      <definedName name="tadna"/>
      <definedName name="tadq1"/>
      <definedName name="tadqroob"/>
      <definedName name="tafavot"/>
      <definedName name="tafazoll"/>
      <definedName name="tale3"/>
      <definedName name="talea"/>
      <definedName name="talee"/>
      <definedName name="tanazormatlaame"/>
      <definedName name="tanazorzamaname"/>
      <definedName name="taqm1"/>
      <definedName name="taqm2"/>
      <definedName name="taqm3"/>
      <definedName name="taqm4"/>
      <definedName name="taqmaree"/>
      <definedName name="taqmareeq"/>
      <definedName name="taqmareeqa"/>
      <definedName name="taqmareesh"/>
      <definedName name="taqmareesha"/>
      <definedName name="taqmer"/>
      <definedName name="taqmosh"/>
      <definedName name="taqota"/>
      <definedName name="taqq"/>
      <definedName name="taqqa"/>
      <definedName name="taqrasq"/>
      <definedName name="taqsabet"/>
      <definedName name="taqsh"/>
      <definedName name="taqsha"/>
      <definedName name="taqtalsab"/>
      <definedName name="taqtasa"/>
      <definedName name="taqzohal"/>
      <definedName name="taqzohre"/>
      <definedName name="tarasz"/>
      <definedName name="tasaazam"/>
      <definedName name="tasakbar"/>
      <definedName name="tasasqar"/>
      <definedName name="tasavsat"/>
      <definedName name="tash"/>
      <definedName name="tasirk"/>
      <definedName name="tasirkh"/>
      <definedName name="Tazkirarbaeame"/>
      <definedName name="Tazkirboyootame"/>
      <definedName name="tazmb"/>
      <definedName name="tdnk"/>
      <definedName name="tedadrooz"/>
      <definedName name="tl"/>
      <definedName name="tmanzelame"/>
      <definedName name="tmer1"/>
      <definedName name="tmer2"/>
      <definedName name="tmosh1"/>
      <definedName name="tmosh2"/>
      <definedName name="tn"/>
      <definedName name="tota1"/>
      <definedName name="tota2"/>
      <definedName name="tq"/>
      <definedName name="troozhaq"/>
      <definedName name="troozv"/>
      <definedName name="tsabetm"/>
      <definedName name="tsabetz"/>
      <definedName name="tzaman"/>
      <definedName name="tzaman2"/>
      <definedName name="tzohal1"/>
      <definedName name="tzohal2"/>
      <definedName name="tzohre1"/>
      <definedName name="tzohre2"/>
      <definedName name="vasatkhosoof"/>
      <definedName name="vasr"/>
      <definedName name="vatadame"/>
      <definedName name="ventehaasr"/>
      <definedName name="vesha"/>
      <definedName name="vesha15"/>
      <definedName name="vfajr"/>
      <definedName name="vfajr15"/>
      <definedName name="vmaqreb"/>
      <definedName name="vojoohame"/>
      <definedName name="vozoohame"/>
      <definedName name="vqoroob"/>
      <definedName name="vtoloo"/>
      <definedName name="vzohr"/>
      <definedName name="wasat"/>
      <definedName name="wasata"/>
      <definedName name="wasatmer"/>
      <definedName name="wasatmosh"/>
      <definedName name="wasatott"/>
      <definedName name="wasatq"/>
      <definedName name="wasatzh"/>
      <definedName name="wasatzo"/>
      <definedName name="zaefame"/>
      <definedName name="zarzmer"/>
      <definedName name="zarzmosh"/>
      <definedName name="zarzota"/>
      <definedName name="zarzzohal"/>
      <definedName name="zarzzohre"/>
      <definedName name="zohorkame"/>
      <definedName name="zohremerikhame"/>
      <definedName name="zohremoshtariame"/>
      <definedName name="zohrezohalame"/>
      <definedName name="zoozoabeh"/>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تواریخ"/>
      <sheetName val="Sheet4"/>
      <sheetName val="قمر"/>
      <sheetName val="تعدیلات قمر"/>
      <sheetName val="تاریخ"/>
      <sheetName val="مجموع"/>
      <sheetName val="Sheet5"/>
      <sheetName val="تعدیل شمس"/>
      <sheetName val="09"/>
    </sheetNames>
    <definedNames>
      <definedName name="aazam"/>
      <definedName name="abaad1"/>
      <definedName name="acs"/>
      <definedName name="arzmarei"/>
      <definedName name="arzmo"/>
      <definedName name="arzota"/>
      <definedName name="arzqmr"/>
      <definedName name="arzr"/>
      <definedName name="Arzr2"/>
      <definedName name="arzzr"/>
      <definedName name="asabejermm"/>
      <definedName name="asabeqotrkhj"/>
      <definedName name="asabeqotrr"/>
      <definedName name="asher"/>
      <definedName name="asn"/>
      <definedName name="asqar"/>
      <definedName name="atj"/>
      <definedName name="b2k"/>
      <definedName name="ba"/>
      <definedName name="bkhar"/>
      <definedName name="bkhsh"/>
      <definedName name="bkm"/>
      <definedName name="boadq"/>
      <definedName name="boadsh"/>
      <definedName name="bohtq"/>
      <definedName name="bohtsh"/>
      <definedName name="brish"/>
      <definedName name="bshams"/>
      <definedName name="csn"/>
      <definedName name="ctn"/>
      <definedName name="dtl"/>
      <definedName name="ekhtool"/>
      <definedName name="ertasher"/>
      <definedName name="ertaztale"/>
      <definedName name="ertefasa"/>
      <definedName name="hesseh"/>
      <definedName name="hesseh2"/>
      <definedName name="hesseha"/>
      <definedName name="kab"/>
      <definedName name="khmanzar"/>
      <definedName name="khmanzarertq"/>
      <definedName name="markaz3"/>
      <definedName name="markaz3a"/>
      <definedName name="mbtool"/>
      <definedName name="ml"/>
      <definedName name="MODd"/>
      <definedName name="mtash"/>
      <definedName name="mtasha"/>
      <definedName name="mtb"/>
      <definedName name="mtdt"/>
      <definedName name="mtl"/>
      <definedName name="mtm"/>
      <definedName name="oujmosh"/>
      <definedName name="oujq"/>
      <definedName name="oujsh"/>
      <definedName name="oujzo"/>
      <definedName name="qadrsaatq"/>
      <definedName name="qadrsaatsh"/>
      <definedName name="qotrqmr"/>
      <definedName name="qrk"/>
      <definedName name="qsn"/>
      <definedName name="qst"/>
      <definedName name="qtr"/>
      <definedName name="rasmosh"/>
      <definedName name="rasq"/>
      <definedName name="rasqnamoaddal"/>
      <definedName name="raszo"/>
      <definedName name="roz"/>
      <definedName name="saatejtema"/>
      <definedName name="sabqq"/>
      <definedName name="sem"/>
      <definedName name="sn"/>
      <definedName name="taam"/>
      <definedName name="tadarzq"/>
      <definedName name="tadilarz"/>
      <definedName name="tadilbb"/>
      <definedName name="tadilq2"/>
      <definedName name="tadilr"/>
      <definedName name="tadm1"/>
      <definedName name="tadna"/>
      <definedName name="tadq1"/>
      <definedName name="talea"/>
      <definedName name="taqm1"/>
      <definedName name="taqm2"/>
      <definedName name="taqm3"/>
      <definedName name="taqm4"/>
      <definedName name="taqq"/>
      <definedName name="taqqa"/>
      <definedName name="taqrasq"/>
      <definedName name="taqsh"/>
      <definedName name="taqsha"/>
      <definedName name="tash"/>
      <definedName name="tazmb"/>
      <definedName name="tmer1"/>
      <definedName name="tmosh1"/>
      <definedName name="tmosh2"/>
      <definedName name="tn"/>
      <definedName name="tota1"/>
      <definedName name="tota2"/>
      <definedName name="tq"/>
      <definedName name="tzohal1"/>
      <definedName name="tzohre1"/>
      <definedName name="tzohre2"/>
      <definedName name="wasat"/>
      <definedName name="wasata"/>
      <definedName name="wasatmosh"/>
      <definedName name="wasatq"/>
      <definedName name="wasatzo"/>
      <definedName name="yawm"/>
      <definedName name="zamanejtema"/>
      <definedName name="zarz"/>
      <definedName name="zav2"/>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تواریخ"/>
      <sheetName val="Sheet4"/>
      <sheetName val="قمر"/>
      <sheetName val="تعدیلات قمر"/>
      <sheetName val="تاریخ"/>
      <sheetName val="Sheet2"/>
      <sheetName val="مجموع"/>
      <sheetName val="Sheet5"/>
      <sheetName val="تعدیل شمس"/>
      <sheetName val="Sheet3"/>
      <sheetName val="Copy of 09"/>
    </sheetNames>
    <definedNames>
      <definedName name="asabeqotrj"/>
    </defined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اختلاف منظر"/>
    </sheetNames>
    <definedNames>
      <definedName name="acs"/>
      <definedName name="arzkokab"/>
      <definedName name="arzmo"/>
      <definedName name="arzmr"/>
      <definedName name="arzota"/>
      <definedName name="arzqmr"/>
      <definedName name="arzr"/>
      <definedName name="arzzr"/>
      <definedName name="asher"/>
      <definedName name="asn"/>
      <definedName name="atj"/>
      <definedName name="b2k"/>
      <definedName name="bjn"/>
      <definedName name="bkhar"/>
      <definedName name="bkhsh"/>
      <definedName name="bkm"/>
      <definedName name="bkr"/>
      <definedName name="bmn"/>
      <definedName name="bshams"/>
      <definedName name="csn"/>
      <definedName name="ctn"/>
      <definedName name="dtl"/>
      <definedName name="enq"/>
      <definedName name="ertastl"/>
      <definedName name="fdaer"/>
      <definedName name="hess"/>
      <definedName name="jowsat"/>
      <definedName name="jowsat2"/>
      <definedName name="kahrir"/>
      <definedName name="kahrish"/>
      <definedName name="mail2"/>
      <definedName name="matert"/>
      <definedName name="ml"/>
      <definedName name="mnk"/>
      <definedName name="mosr"/>
      <definedName name="mossh"/>
      <definedName name="movr"/>
      <definedName name="movsh"/>
      <definedName name="mtash"/>
      <definedName name="MTB"/>
      <definedName name="mtdq"/>
      <definedName name="mtdt"/>
      <definedName name="mtl"/>
      <definedName name="mtm"/>
      <definedName name="mtq"/>
      <definedName name="oujsh"/>
      <definedName name="qnk"/>
      <definedName name="qrk"/>
      <definedName name="qsl"/>
      <definedName name="qsn"/>
      <definedName name="sazr"/>
      <definedName name="sem"/>
      <definedName name="sn"/>
      <definedName name="taam"/>
      <definedName name="tadna"/>
      <definedName name="taq"/>
      <definedName name="taqk"/>
      <definedName name="taqm1"/>
      <definedName name="taqm2"/>
      <definedName name="taqm3"/>
      <definedName name="taqm4"/>
      <definedName name="tash"/>
      <definedName name="tazmb"/>
      <definedName name="tdnk"/>
      <definedName name="tl"/>
      <definedName name="tmer1"/>
      <definedName name="tmer2"/>
      <definedName name="tmosh1"/>
      <definedName name="tmosh2"/>
      <definedName name="tn"/>
      <definedName name="tota1"/>
      <definedName name="tota2"/>
      <definedName name="TQ"/>
      <definedName name="tzohal1"/>
      <definedName name="tzohre1"/>
      <definedName name="tzohre2"/>
      <definedName name="wasat"/>
      <definedName name="zarz"/>
      <definedName name="zshams"/>
      <definedName name="zwa"/>
    </definedNames>
    <sheetDataSet>
      <sheetData sheetId="0" refreshError="1"/>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تواریخ"/>
      <sheetName val="Sheet4"/>
      <sheetName val="قمر"/>
      <sheetName val="تعدیلات قمر"/>
      <sheetName val="تاریخ"/>
      <sheetName val="Sheet2"/>
      <sheetName val="مجموع"/>
      <sheetName val="Sheet5"/>
      <sheetName val="تعدیل شمس"/>
      <sheetName val="Sheet3"/>
      <sheetName val="tt"/>
    </sheetNames>
    <definedNames>
      <definedName name="arzmo"/>
      <definedName name="arzqmr"/>
      <definedName name="ba"/>
      <definedName name="boadsharz"/>
      <definedName name="brish"/>
      <definedName name="hesseh"/>
      <definedName name="kab"/>
      <definedName name="mbtool"/>
      <definedName name="oujq"/>
      <definedName name="oujsh"/>
      <definedName name="oujzh"/>
      <definedName name="rasq"/>
      <definedName name="raszh"/>
      <definedName name="roz"/>
      <definedName name="taam"/>
      <definedName name="tamerk1"/>
      <definedName name="taqam1"/>
      <definedName name="taqm1"/>
      <definedName name="taqm2"/>
      <definedName name="taqm3"/>
      <definedName name="taqm4"/>
      <definedName name="taqq"/>
      <definedName name="taqsh"/>
      <definedName name="tash"/>
      <definedName name="tmosh2"/>
      <definedName name="tn"/>
      <definedName name="tq"/>
      <definedName name="tzohal1"/>
      <definedName name="wasat"/>
      <definedName name="wasata"/>
      <definedName name="wasatkh"/>
      <definedName name="wasatmer"/>
      <definedName name="wasatq"/>
      <definedName name="wasatzh"/>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I235"/>
  <sheetViews>
    <sheetView topLeftCell="A15" zoomScale="91" zoomScaleNormal="91" workbookViewId="0">
      <selection activeCell="S20" sqref="S20"/>
    </sheetView>
  </sheetViews>
  <sheetFormatPr defaultColWidth="9.140625" defaultRowHeight="23.25"/>
  <cols>
    <col min="1" max="3" width="9.140625" style="151"/>
    <col min="4" max="4" width="5.28515625" style="151" customWidth="1"/>
    <col min="5" max="5" width="5.42578125" style="151" customWidth="1"/>
    <col min="6" max="6" width="5.140625" style="151" customWidth="1"/>
    <col min="7" max="7" width="5" style="151" customWidth="1"/>
    <col min="8" max="9" width="13.28515625" style="151" customWidth="1"/>
    <col min="10" max="10" width="9.140625" style="151"/>
    <col min="11" max="11" width="11.7109375" style="151" customWidth="1"/>
    <col min="12" max="12" width="9.140625" style="151"/>
    <col min="13" max="13" width="11.7109375" style="151" customWidth="1"/>
    <col min="14" max="14" width="19.28515625" style="151" customWidth="1"/>
    <col min="15" max="15" width="9.85546875" style="151" bestFit="1" customWidth="1"/>
    <col min="16" max="16" width="8" style="151" customWidth="1"/>
    <col min="17" max="17" width="9" style="151" customWidth="1"/>
    <col min="18" max="18" width="7.42578125" style="151" customWidth="1"/>
    <col min="19" max="19" width="8" style="151" customWidth="1"/>
    <col min="20" max="20" width="7.7109375" style="151" customWidth="1"/>
    <col min="21" max="21" width="6" style="151" customWidth="1"/>
    <col min="22" max="22" width="13.140625" style="151" customWidth="1"/>
    <col min="23" max="23" width="11.7109375" style="151" customWidth="1"/>
    <col min="24" max="24" width="12.28515625" style="151" bestFit="1" customWidth="1"/>
    <col min="25" max="26" width="9.28515625" style="151" bestFit="1" customWidth="1"/>
    <col min="27" max="27" width="5" style="151" customWidth="1"/>
    <col min="28" max="28" width="5.85546875" style="151" customWidth="1"/>
    <col min="29" max="29" width="11.7109375" style="151" customWidth="1"/>
    <col min="30" max="30" width="9.28515625" style="151" bestFit="1" customWidth="1"/>
    <col min="31" max="31" width="15.7109375" style="151" customWidth="1"/>
    <col min="32" max="32" width="10.28515625" style="151" customWidth="1"/>
    <col min="33" max="36" width="9.28515625" style="151" bestFit="1" customWidth="1"/>
    <col min="37" max="37" width="12" style="151" customWidth="1"/>
    <col min="38" max="38" width="10.7109375" style="151" customWidth="1"/>
    <col min="39" max="39" width="9.85546875" style="151" bestFit="1" customWidth="1"/>
    <col min="40" max="41" width="9.140625" style="151"/>
    <col min="42" max="42" width="13.42578125" style="151" customWidth="1"/>
    <col min="43" max="43" width="9.28515625" style="151" bestFit="1" customWidth="1"/>
    <col min="44" max="44" width="9.28515625" style="151" customWidth="1"/>
    <col min="45" max="45" width="9.28515625" style="151" bestFit="1" customWidth="1"/>
    <col min="46" max="46" width="7.85546875" style="151" customWidth="1"/>
    <col min="47" max="47" width="12" style="151" customWidth="1"/>
    <col min="48" max="48" width="6.85546875" style="151" customWidth="1"/>
    <col min="49" max="49" width="25.85546875" style="151" customWidth="1"/>
    <col min="50" max="50" width="13.85546875" style="151" bestFit="1" customWidth="1"/>
    <col min="51" max="52" width="9.28515625" style="151" bestFit="1" customWidth="1"/>
    <col min="53" max="53" width="14.28515625" style="151" bestFit="1" customWidth="1"/>
    <col min="54" max="54" width="9.28515625" style="151" bestFit="1" customWidth="1"/>
    <col min="55" max="55" width="6.7109375" style="151" customWidth="1"/>
    <col min="56" max="56" width="18.140625" style="151" customWidth="1"/>
    <col min="57" max="57" width="15.28515625" style="151" customWidth="1"/>
    <col min="58" max="58" width="11" style="151" customWidth="1"/>
    <col min="59" max="59" width="13.140625" style="151" customWidth="1"/>
    <col min="60" max="60" width="12.85546875" style="151" customWidth="1"/>
    <col min="61" max="62" width="9.28515625" style="151" customWidth="1"/>
    <col min="63" max="63" width="11.140625" style="151" customWidth="1"/>
    <col min="64" max="64" width="13.85546875" style="151" customWidth="1"/>
    <col min="65" max="65" width="21" style="151" customWidth="1"/>
    <col min="66" max="66" width="14.28515625" style="151" customWidth="1"/>
    <col min="67" max="69" width="9.28515625" style="151" bestFit="1" customWidth="1"/>
    <col min="70" max="71" width="9.140625" style="151"/>
    <col min="72" max="72" width="9.42578125" style="151" customWidth="1"/>
    <col min="73" max="73" width="18.85546875" style="151" customWidth="1"/>
    <col min="74" max="74" width="14.28515625" style="151" customWidth="1"/>
    <col min="75" max="75" width="9.7109375" style="151" bestFit="1" customWidth="1"/>
    <col min="76" max="78" width="9.28515625" style="151" bestFit="1" customWidth="1"/>
    <col min="79" max="79" width="11.5703125" style="151" customWidth="1"/>
    <col min="80" max="80" width="19.42578125" style="151" customWidth="1"/>
    <col min="81" max="81" width="10.140625" style="151" customWidth="1"/>
    <col min="82" max="82" width="12.140625" style="151" customWidth="1"/>
    <col min="83" max="83" width="9.7109375" style="151" bestFit="1" customWidth="1"/>
    <col min="84" max="84" width="9.140625" style="151"/>
    <col min="85" max="85" width="11.85546875" style="151" customWidth="1"/>
    <col min="86" max="86" width="11.140625" style="151" customWidth="1"/>
    <col min="87" max="87" width="7.5703125" style="151" customWidth="1"/>
    <col min="88" max="88" width="11.140625" style="151" customWidth="1"/>
    <col min="89" max="89" width="4.85546875" style="151" customWidth="1"/>
    <col min="90" max="90" width="8.85546875" style="151" customWidth="1"/>
    <col min="91" max="91" width="2.7109375" style="151" customWidth="1"/>
    <col min="92" max="92" width="6.42578125" style="151" customWidth="1"/>
    <col min="93" max="93" width="18.28515625" style="151" customWidth="1"/>
    <col min="94" max="94" width="9.140625" style="151" customWidth="1"/>
    <col min="95" max="95" width="6.42578125" style="151" customWidth="1"/>
    <col min="96" max="97" width="9.28515625" style="151" bestFit="1" customWidth="1"/>
    <col min="98" max="98" width="8.7109375" style="151" customWidth="1"/>
    <col min="99" max="99" width="5.28515625" style="151" customWidth="1"/>
    <col min="100" max="100" width="12.42578125" style="151" customWidth="1"/>
    <col min="101" max="101" width="9.42578125" style="151" customWidth="1"/>
    <col min="102" max="102" width="5.85546875" style="151" customWidth="1"/>
    <col min="103" max="103" width="12.7109375" style="151" customWidth="1"/>
    <col min="104" max="104" width="8.42578125" style="151" customWidth="1"/>
    <col min="105" max="105" width="6" style="151" customWidth="1"/>
    <col min="106" max="106" width="6.140625" style="151" customWidth="1"/>
    <col min="107" max="107" width="6.42578125" style="151" customWidth="1"/>
    <col min="108" max="108" width="5.42578125" style="151" customWidth="1"/>
    <col min="109" max="109" width="11.28515625" style="151" bestFit="1" customWidth="1"/>
    <col min="110" max="110" width="19.7109375" style="151" customWidth="1"/>
    <col min="111" max="111" width="11.42578125" style="151" bestFit="1" customWidth="1"/>
    <col min="112" max="113" width="9.28515625" style="151" bestFit="1" customWidth="1"/>
    <col min="114" max="114" width="7.140625" style="151" customWidth="1"/>
    <col min="115" max="115" width="9" style="151" customWidth="1"/>
    <col min="116" max="116" width="11.7109375" style="151" customWidth="1"/>
    <col min="117" max="117" width="9.85546875" style="151" bestFit="1" customWidth="1"/>
    <col min="118" max="118" width="10.28515625" style="151" customWidth="1"/>
    <col min="119" max="119" width="9" style="151" customWidth="1"/>
    <col min="120" max="120" width="11.140625" style="151" customWidth="1"/>
    <col min="121" max="121" width="9.28515625" style="151" bestFit="1" customWidth="1"/>
    <col min="122" max="122" width="5.7109375" style="151" customWidth="1"/>
    <col min="123" max="123" width="6" style="151" customWidth="1"/>
    <col min="124" max="124" width="5.140625" style="151" customWidth="1"/>
    <col min="125" max="125" width="5.42578125" style="151" customWidth="1"/>
    <col min="126" max="126" width="6" style="151" customWidth="1"/>
    <col min="127" max="130" width="9.28515625" style="151" bestFit="1" customWidth="1"/>
    <col min="131" max="131" width="4.7109375" style="151" customWidth="1"/>
    <col min="132" max="132" width="5" style="151" customWidth="1"/>
    <col min="133" max="133" width="10.28515625" style="151" customWidth="1"/>
    <col min="134" max="134" width="9.42578125" style="151" customWidth="1"/>
    <col min="135" max="135" width="5.85546875" style="151" customWidth="1"/>
    <col min="136" max="136" width="6.42578125" style="151" customWidth="1"/>
    <col min="137" max="137" width="6.7109375" style="151" customWidth="1"/>
    <col min="138" max="138" width="7" style="151" customWidth="1"/>
    <col min="139" max="142" width="9.28515625" style="151" bestFit="1" customWidth="1"/>
    <col min="143" max="143" width="9.140625" style="151" customWidth="1"/>
    <col min="144" max="144" width="22" style="151" customWidth="1"/>
    <col min="145" max="149" width="9.28515625" style="151" bestFit="1" customWidth="1"/>
    <col min="150" max="150" width="9.140625" style="151"/>
    <col min="151" max="151" width="17" style="151" customWidth="1"/>
    <col min="152" max="156" width="9.28515625" style="151" bestFit="1" customWidth="1"/>
    <col min="157" max="158" width="9.140625" style="151"/>
    <col min="159" max="159" width="14.5703125" style="151" customWidth="1"/>
    <col min="160" max="160" width="9.85546875" style="151" bestFit="1" customWidth="1"/>
    <col min="161" max="164" width="9.28515625" style="151" bestFit="1" customWidth="1"/>
    <col min="165" max="165" width="9.140625" style="151"/>
    <col min="166" max="166" width="9.85546875" style="151" bestFit="1" customWidth="1"/>
    <col min="167" max="167" width="9.140625" style="151"/>
    <col min="168" max="168" width="9.85546875" style="151" bestFit="1" customWidth="1"/>
    <col min="169" max="169" width="9.140625" style="151" customWidth="1"/>
    <col min="170" max="170" width="14.85546875" style="151" customWidth="1"/>
    <col min="171" max="172" width="9.85546875" style="151" bestFit="1" customWidth="1"/>
    <col min="173" max="173" width="9.140625" style="151"/>
    <col min="174" max="176" width="9.85546875" style="151" bestFit="1" customWidth="1"/>
    <col min="177" max="177" width="9.140625" style="151"/>
    <col min="178" max="178" width="9.85546875" style="151" bestFit="1" customWidth="1"/>
    <col min="179" max="179" width="9.140625" style="151"/>
    <col min="180" max="180" width="6.42578125" style="151" customWidth="1"/>
    <col min="181" max="181" width="12.42578125" style="151" customWidth="1"/>
    <col min="182" max="182" width="9.7109375" style="151" bestFit="1" customWidth="1"/>
    <col min="183" max="185" width="9.140625" style="151"/>
    <col min="186" max="186" width="9.85546875" style="151" bestFit="1" customWidth="1"/>
    <col min="187" max="202" width="9.140625" style="151"/>
    <col min="203" max="203" width="15.42578125" style="151" customWidth="1"/>
    <col min="204" max="207" width="9.140625" style="151"/>
    <col min="208" max="208" width="9.85546875" style="151" bestFit="1" customWidth="1"/>
    <col min="209" max="215" width="9.140625" style="151"/>
    <col min="216" max="216" width="9.85546875" style="151" bestFit="1" customWidth="1"/>
    <col min="217" max="224" width="9.140625" style="151"/>
    <col min="225" max="225" width="9.7109375" style="151" bestFit="1" customWidth="1"/>
    <col min="226" max="237" width="9.140625" style="151"/>
    <col min="238" max="238" width="11" style="151" customWidth="1"/>
    <col min="239" max="16384" width="9.140625" style="151"/>
  </cols>
  <sheetData>
    <row r="1" spans="1:243" ht="28.5" thickBot="1">
      <c r="H1" s="151" t="s">
        <v>1481</v>
      </c>
      <c r="J1" s="2556"/>
      <c r="K1" s="2556"/>
      <c r="AW1" s="151">
        <f>INT([1]!taqsha(AX2,AX3,[1]!roz(AX4,12,0,0),AX8))</f>
        <v>19</v>
      </c>
      <c r="AX1" s="151">
        <f>[1]!tzaman(AW1)</f>
        <v>-9.7840001217661995E-2</v>
      </c>
      <c r="AY1" s="641">
        <f t="shared" ref="AY1" si="0">INT(ABS(AX1))</f>
        <v>0</v>
      </c>
      <c r="AZ1" s="641">
        <f t="shared" ref="AZ1" si="1">INT((ABS(AX1)-AY1)*60)</f>
        <v>5</v>
      </c>
      <c r="BA1" s="641">
        <f t="shared" ref="BA1" si="2">INT((((ABS(AX1)-AY1)*60)-AZ1)*60)</f>
        <v>52</v>
      </c>
      <c r="BB1" s="641">
        <f t="shared" ref="BB1" si="3">INT((((((ABS(AX1)-AY1)*60)-AZ1)*60)-BA1)*60)</f>
        <v>13</v>
      </c>
      <c r="BK1" s="151">
        <f>[1]!saatzij(BN3,BN4,BN5)</f>
        <v>21.850429798819352</v>
      </c>
      <c r="BL1" s="641">
        <f>INT(ABS(BK1))</f>
        <v>21</v>
      </c>
      <c r="BM1" s="641">
        <f>INT((ABS(BK1)-BL1)*60)</f>
        <v>51</v>
      </c>
      <c r="BN1" s="641">
        <f>INT((((ABS(BK1)-BL1)*60)-BM1)*60)</f>
        <v>1</v>
      </c>
      <c r="CE1" s="656"/>
    </row>
    <row r="2" spans="1:243" ht="24" thickBot="1">
      <c r="E2" s="2541"/>
      <c r="F2" s="2542" t="str">
        <f>[1]!tabeborjame(H2)</f>
        <v>khaki</v>
      </c>
      <c r="G2" s="2542">
        <f>[1]!adadborj(H2)</f>
        <v>6</v>
      </c>
      <c r="H2" s="2542">
        <f>O31</f>
        <v>175.68568129359679</v>
      </c>
      <c r="I2" s="2543" t="s">
        <v>1544</v>
      </c>
      <c r="J2" s="2558" t="s">
        <v>275</v>
      </c>
      <c r="K2" s="2559" t="s">
        <v>403</v>
      </c>
      <c r="L2" s="2560"/>
      <c r="M2" s="642"/>
      <c r="N2" s="642"/>
      <c r="O2" s="642"/>
      <c r="P2" s="642"/>
      <c r="Q2" s="642"/>
      <c r="R2" s="642"/>
      <c r="S2" s="642"/>
      <c r="T2" s="642"/>
      <c r="U2" s="642"/>
      <c r="V2" s="642"/>
      <c r="W2" s="642"/>
      <c r="X2" s="642"/>
      <c r="Y2" s="642"/>
      <c r="Z2" s="642"/>
      <c r="AA2" s="642"/>
      <c r="AB2" s="642"/>
      <c r="AC2" s="642"/>
      <c r="AD2" s="642"/>
      <c r="AE2" s="642"/>
      <c r="AF2" s="642"/>
      <c r="AG2" s="642"/>
      <c r="AH2" s="642"/>
      <c r="AI2" s="642"/>
      <c r="AJ2" s="642" t="s">
        <v>4024</v>
      </c>
      <c r="AK2" s="642"/>
      <c r="AL2" s="678"/>
      <c r="AM2" s="679"/>
      <c r="AN2" s="679"/>
      <c r="AO2" s="679"/>
      <c r="AP2" s="679"/>
      <c r="AQ2" s="680" t="s">
        <v>3516</v>
      </c>
      <c r="AR2" s="2557"/>
      <c r="AS2" s="163" t="s">
        <v>275</v>
      </c>
      <c r="AT2" s="163" t="s">
        <v>403</v>
      </c>
      <c r="AU2" s="163"/>
      <c r="AV2" s="580"/>
      <c r="AW2" s="991" t="s">
        <v>3830</v>
      </c>
      <c r="AX2" s="991">
        <v>1445</v>
      </c>
      <c r="AY2" s="991"/>
      <c r="AZ2" s="991"/>
      <c r="BA2" s="991" t="s">
        <v>3817</v>
      </c>
      <c r="BB2" s="581" t="s">
        <v>4149</v>
      </c>
      <c r="BC2" s="984"/>
      <c r="BD2" s="984"/>
      <c r="BE2" s="984"/>
      <c r="BF2" s="984"/>
      <c r="BG2" s="984"/>
      <c r="BH2" s="994" t="s">
        <v>3818</v>
      </c>
      <c r="BI2" s="634"/>
      <c r="BJ2" s="634"/>
      <c r="BK2" s="995"/>
      <c r="BL2" s="984"/>
      <c r="BM2" s="984"/>
      <c r="BN2" s="984"/>
      <c r="BO2" s="984"/>
      <c r="BP2" s="984"/>
      <c r="BQ2" s="984"/>
      <c r="BR2" s="994" t="s">
        <v>3819</v>
      </c>
      <c r="BS2" s="634"/>
      <c r="BT2" s="995"/>
      <c r="BU2" s="984"/>
      <c r="BV2" s="984"/>
      <c r="BW2" s="984"/>
      <c r="BX2" s="984"/>
      <c r="BY2" s="984"/>
      <c r="BZ2" s="984" t="s">
        <v>3820</v>
      </c>
      <c r="CA2" s="983"/>
      <c r="CB2" s="984"/>
      <c r="CC2" s="984"/>
      <c r="CD2" s="984"/>
      <c r="CE2" s="984"/>
      <c r="CF2" s="984"/>
      <c r="CG2" s="994" t="s">
        <v>3821</v>
      </c>
      <c r="CH2" s="984"/>
      <c r="CI2" s="984"/>
      <c r="CJ2" s="984"/>
      <c r="CK2" s="984"/>
      <c r="CL2" s="984"/>
      <c r="CM2" s="984"/>
      <c r="CN2" s="984"/>
      <c r="CO2" s="984"/>
      <c r="CP2" s="984"/>
      <c r="CQ2" s="984"/>
      <c r="CR2" s="984"/>
      <c r="CS2" s="984"/>
      <c r="CT2" s="985" t="s">
        <v>3832</v>
      </c>
      <c r="CU2" s="646"/>
      <c r="CV2" s="646"/>
      <c r="CW2" s="646"/>
      <c r="CX2" s="646"/>
      <c r="CY2" s="646"/>
      <c r="CZ2" s="646"/>
      <c r="DA2" s="981"/>
      <c r="DE2" s="983"/>
      <c r="DF2" s="679" t="s">
        <v>3</v>
      </c>
      <c r="DG2" s="679">
        <f>AX2</f>
        <v>1445</v>
      </c>
      <c r="DH2" s="984"/>
      <c r="DI2" s="984"/>
      <c r="DJ2" s="984"/>
      <c r="DK2" s="985"/>
      <c r="DQ2" s="715"/>
      <c r="DR2" s="639"/>
      <c r="DS2" s="639"/>
      <c r="DT2" s="639"/>
      <c r="FJ2" s="151" t="e">
        <f ca="1">stenjela(FJ9,FJ10,FJ11,FJ12,FJ13,FJ14)</f>
        <v>#NAME?</v>
      </c>
      <c r="FK2" s="596" t="e">
        <f ca="1">INT(ABS(FJ2))</f>
        <v>#NAME?</v>
      </c>
      <c r="FL2" s="596" t="e">
        <f ca="1">INT((ABS(FJ2)-FK2)*60)</f>
        <v>#NAME?</v>
      </c>
      <c r="FM2" s="596" t="e">
        <f ca="1">INT((((ABS(FJ2)-FK2)*60)-FL2)*60)</f>
        <v>#NAME?</v>
      </c>
      <c r="FN2" s="596" t="e">
        <f ca="1">INT((((((ABS(FJ2)-FK2)*60)-FL2)*60)-FM2)*60)</f>
        <v>#NAME?</v>
      </c>
    </row>
    <row r="3" spans="1:243" ht="24" thickBot="1">
      <c r="E3" s="620"/>
      <c r="F3" s="621" t="str">
        <f>[1]!tabeborjame(H3)</f>
        <v>abi</v>
      </c>
      <c r="G3" s="621">
        <f>[1]!adadborj(H3)</f>
        <v>12</v>
      </c>
      <c r="H3" s="621">
        <f>O32</f>
        <v>355.69548582357299</v>
      </c>
      <c r="I3" s="2555" t="s">
        <v>849</v>
      </c>
      <c r="J3" s="2561">
        <v>35.721899999999998</v>
      </c>
      <c r="K3" s="275">
        <v>51.334699999999998</v>
      </c>
      <c r="L3" s="2562" t="s">
        <v>4022</v>
      </c>
      <c r="M3" s="429" t="s">
        <v>144</v>
      </c>
      <c r="N3" s="429" t="s">
        <v>3</v>
      </c>
      <c r="O3" s="429">
        <v>1446</v>
      </c>
      <c r="P3" s="429"/>
      <c r="Q3" s="429"/>
      <c r="R3" s="429"/>
      <c r="S3" s="429" t="s">
        <v>960</v>
      </c>
      <c r="T3" s="625"/>
      <c r="U3" s="625"/>
      <c r="V3" s="667"/>
      <c r="W3" s="662"/>
      <c r="X3" s="662"/>
      <c r="Y3" s="662"/>
      <c r="Z3" s="662"/>
      <c r="AA3" s="662" t="s">
        <v>973</v>
      </c>
      <c r="AB3" s="662"/>
      <c r="AC3" s="662"/>
      <c r="AD3" s="667"/>
      <c r="AE3" s="662" t="s">
        <v>3</v>
      </c>
      <c r="AF3" s="662">
        <f>O3</f>
        <v>1446</v>
      </c>
      <c r="AG3" s="662"/>
      <c r="AH3" s="662"/>
      <c r="AI3" s="662"/>
      <c r="AJ3" s="663" t="s">
        <v>961</v>
      </c>
      <c r="AK3" s="625"/>
      <c r="AL3" s="620" t="s">
        <v>3</v>
      </c>
      <c r="AM3" s="621">
        <f>O3</f>
        <v>1446</v>
      </c>
      <c r="AN3" s="621"/>
      <c r="AO3" s="621"/>
      <c r="AP3" s="621"/>
      <c r="AQ3" s="681"/>
      <c r="AR3" s="2557"/>
      <c r="AS3" s="163">
        <v>35.721899999999998</v>
      </c>
      <c r="AT3" s="163">
        <v>51.334699999999998</v>
      </c>
      <c r="AU3" s="163" t="s">
        <v>4022</v>
      </c>
      <c r="AV3" s="582"/>
      <c r="AW3" s="638" t="s">
        <v>4</v>
      </c>
      <c r="AX3" s="638">
        <v>9</v>
      </c>
      <c r="AY3" s="638"/>
      <c r="AZ3" s="638"/>
      <c r="BA3" s="638"/>
      <c r="BB3" s="583"/>
      <c r="BC3" s="656"/>
      <c r="BD3" s="656" t="s">
        <v>3</v>
      </c>
      <c r="BE3" s="656">
        <f>AX2</f>
        <v>1445</v>
      </c>
      <c r="BF3" s="656"/>
      <c r="BG3" s="656"/>
      <c r="BH3" s="661" t="s">
        <v>1024</v>
      </c>
      <c r="BI3" s="502"/>
      <c r="BJ3" s="502"/>
      <c r="BK3" s="655"/>
      <c r="BL3" s="656"/>
      <c r="BM3" s="656" t="s">
        <v>3</v>
      </c>
      <c r="BN3" s="656">
        <f>BE3</f>
        <v>1445</v>
      </c>
      <c r="BO3" s="656"/>
      <c r="BP3" s="656"/>
      <c r="BQ3" s="656"/>
      <c r="BR3" s="661" t="s">
        <v>1046</v>
      </c>
      <c r="BS3" s="502"/>
      <c r="BT3" s="655"/>
      <c r="BU3" s="656"/>
      <c r="BV3" s="656"/>
      <c r="BW3" s="656"/>
      <c r="BX3" s="656"/>
      <c r="BY3" s="656"/>
      <c r="BZ3" s="656" t="s">
        <v>1087</v>
      </c>
      <c r="CA3" s="986"/>
      <c r="CB3" s="656"/>
      <c r="CC3" s="656"/>
      <c r="CD3" s="656"/>
      <c r="CE3" s="656"/>
      <c r="CF3" s="656"/>
      <c r="CG3" s="661"/>
      <c r="CH3" s="656"/>
      <c r="CI3" s="656"/>
      <c r="CJ3" s="656"/>
      <c r="CK3" s="656"/>
      <c r="CL3" s="656"/>
      <c r="CM3" s="656"/>
      <c r="CN3" s="656"/>
      <c r="CO3" s="656"/>
      <c r="CP3" s="656"/>
      <c r="CQ3" s="656"/>
      <c r="CR3" s="656"/>
      <c r="CS3" s="656"/>
      <c r="CT3" s="987"/>
      <c r="CU3" s="275"/>
      <c r="CV3" s="275"/>
      <c r="CW3" s="275"/>
      <c r="CX3" s="275"/>
      <c r="CY3" s="275"/>
      <c r="CZ3" s="275"/>
      <c r="DA3" s="674" t="s">
        <v>3487</v>
      </c>
      <c r="DE3" s="986"/>
      <c r="DF3" s="621" t="s">
        <v>4</v>
      </c>
      <c r="DG3" s="621">
        <f>AX3</f>
        <v>9</v>
      </c>
      <c r="DH3" s="656"/>
      <c r="DI3" s="656"/>
      <c r="DJ3" s="656"/>
      <c r="DK3" s="987" t="s">
        <v>3847</v>
      </c>
      <c r="DQ3" s="639"/>
      <c r="DR3" s="639"/>
      <c r="DS3" s="639"/>
      <c r="DT3" s="639"/>
      <c r="FI3" s="151" t="s">
        <v>3495</v>
      </c>
      <c r="FJ3" s="151" t="e">
        <f ca="1">asajerm(FJ9,FJ10,FJ11,FJ12,FJ13,FJ14)</f>
        <v>#NAME?</v>
      </c>
      <c r="FK3" s="596" t="e">
        <f ca="1">INT(ABS(FJ3))</f>
        <v>#NAME?</v>
      </c>
      <c r="FL3" s="596" t="e">
        <f ca="1">INT((ABS(FJ3)-FK3)*60)</f>
        <v>#NAME?</v>
      </c>
      <c r="FM3" s="596" t="e">
        <f ca="1">INT((((ABS(FJ3)-FK3)*60)-FL3)*60)</f>
        <v>#NAME?</v>
      </c>
      <c r="FN3" s="596" t="e">
        <f ca="1">INT((((((ABS(FJ3)-FK3)*60)-FL3)*60)-FM3)*60)</f>
        <v>#NAME?</v>
      </c>
      <c r="FQ3" s="278" t="s">
        <v>177</v>
      </c>
      <c r="FR3" s="281">
        <f>FJ14</f>
        <v>35.721899999999998</v>
      </c>
      <c r="FS3" s="281"/>
      <c r="FT3" s="281"/>
      <c r="FU3" s="279"/>
      <c r="GT3" s="577" t="s">
        <v>3</v>
      </c>
      <c r="GU3" s="577">
        <f>FT3</f>
        <v>0</v>
      </c>
      <c r="GV3" s="577" t="s">
        <v>144</v>
      </c>
      <c r="GW3" s="577"/>
      <c r="GX3" s="577"/>
      <c r="GY3" s="577"/>
    </row>
    <row r="4" spans="1:243" ht="25.5" thickBot="1">
      <c r="D4" s="151" t="s">
        <v>4700</v>
      </c>
      <c r="E4" s="2544"/>
      <c r="F4" s="638" t="str">
        <f>[1]!tabeborjame(H4)</f>
        <v>khaki</v>
      </c>
      <c r="G4" s="638">
        <f>[1]!adadborj(H4)</f>
        <v>6</v>
      </c>
      <c r="H4" s="2539">
        <f>[1]!taqota(O3,O4,(O5+O35/24),O8)</f>
        <v>164.95878627147547</v>
      </c>
      <c r="I4" s="2546" t="s">
        <v>4694</v>
      </c>
      <c r="J4" s="2561">
        <v>24.8</v>
      </c>
      <c r="K4" s="275">
        <v>85.890169999999998</v>
      </c>
      <c r="L4" s="2562" t="s">
        <v>4023</v>
      </c>
      <c r="M4" s="429"/>
      <c r="N4" s="429" t="s">
        <v>4</v>
      </c>
      <c r="O4" s="429">
        <v>3</v>
      </c>
      <c r="P4" s="429"/>
      <c r="Q4" s="429"/>
      <c r="R4" s="429"/>
      <c r="S4" s="429" t="s">
        <v>1021</v>
      </c>
      <c r="T4" s="625"/>
      <c r="U4" s="625"/>
      <c r="V4" s="669"/>
      <c r="W4" s="629" t="s">
        <v>891</v>
      </c>
      <c r="X4" s="629">
        <f>[1]!esteqbal(O3,O4,O5,O8)</f>
        <v>6.1246238254898477</v>
      </c>
      <c r="Y4" s="630">
        <f t="shared" ref="Y4" si="4">INT(ABS(X4))</f>
        <v>6</v>
      </c>
      <c r="Z4" s="630">
        <f t="shared" ref="Z4:Z6" si="5">INT((ABS(X4)-Y4)*60)</f>
        <v>7</v>
      </c>
      <c r="AA4" s="630">
        <f t="shared" ref="AA4:AA6" si="6">INT((((ABS(X4)-Y4)*60)-Z4)*60)</f>
        <v>28</v>
      </c>
      <c r="AB4" s="630">
        <f>INT((((((ABS(X4)-Y4)*60)-Z4)*60)-AA4)*60)</f>
        <v>38</v>
      </c>
      <c r="AC4" s="630"/>
      <c r="AD4" s="668"/>
      <c r="AE4" s="629" t="s">
        <v>4</v>
      </c>
      <c r="AF4" s="629">
        <f>O4</f>
        <v>3</v>
      </c>
      <c r="AG4" s="629"/>
      <c r="AH4" s="629"/>
      <c r="AI4" s="629"/>
      <c r="AJ4" s="664"/>
      <c r="AK4" s="625"/>
      <c r="AL4" s="620" t="s">
        <v>4</v>
      </c>
      <c r="AM4" s="621">
        <f>O4</f>
        <v>3</v>
      </c>
      <c r="AN4" s="621"/>
      <c r="AO4" s="621"/>
      <c r="AP4" s="621"/>
      <c r="AQ4" s="681"/>
      <c r="AR4" s="2557"/>
      <c r="AS4" s="163">
        <v>24.8</v>
      </c>
      <c r="AT4" s="163">
        <v>85.890169999999998</v>
      </c>
      <c r="AU4" s="163" t="s">
        <v>4023</v>
      </c>
      <c r="AV4" s="582"/>
      <c r="AW4" s="638" t="s">
        <v>5</v>
      </c>
      <c r="AX4" s="638">
        <v>29</v>
      </c>
      <c r="AY4" s="638"/>
      <c r="AZ4" s="638"/>
      <c r="BA4" s="638" t="s">
        <v>219</v>
      </c>
      <c r="BB4" s="583" t="s">
        <v>166</v>
      </c>
      <c r="BC4" s="656"/>
      <c r="BD4" s="656" t="s">
        <v>4</v>
      </c>
      <c r="BE4" s="656">
        <f>AX3</f>
        <v>9</v>
      </c>
      <c r="BF4" s="656"/>
      <c r="BG4" s="656"/>
      <c r="BH4" s="661"/>
      <c r="BI4" s="502"/>
      <c r="BJ4" s="502"/>
      <c r="BK4" s="655"/>
      <c r="BL4" s="656"/>
      <c r="BM4" s="656" t="s">
        <v>4</v>
      </c>
      <c r="BN4" s="656">
        <f>BE4</f>
        <v>9</v>
      </c>
      <c r="BO4" s="656"/>
      <c r="BP4" s="656"/>
      <c r="BQ4" s="656"/>
      <c r="BR4" s="661"/>
      <c r="BS4" s="502"/>
      <c r="BT4" s="655"/>
      <c r="BU4" s="656"/>
      <c r="BV4" s="656"/>
      <c r="BW4" s="656"/>
      <c r="BX4" s="656"/>
      <c r="BY4" s="656"/>
      <c r="BZ4" s="656"/>
      <c r="CA4" s="986"/>
      <c r="CB4" s="656" t="s">
        <v>3</v>
      </c>
      <c r="CC4" s="656">
        <f>BN3</f>
        <v>1445</v>
      </c>
      <c r="CD4" s="656"/>
      <c r="CE4" s="656"/>
      <c r="CF4" s="656"/>
      <c r="CG4" s="661" t="s">
        <v>1105</v>
      </c>
      <c r="CH4" s="656"/>
      <c r="CI4" s="656"/>
      <c r="CJ4" s="656"/>
      <c r="CK4" s="656"/>
      <c r="CL4" s="656"/>
      <c r="CM4" s="656"/>
      <c r="CN4" s="656"/>
      <c r="CO4" s="656"/>
      <c r="CP4" s="656"/>
      <c r="CQ4" s="656"/>
      <c r="CR4" s="656"/>
      <c r="CS4" s="656"/>
      <c r="CT4" s="987"/>
      <c r="CU4" s="275"/>
      <c r="CV4" s="275" t="s">
        <v>3</v>
      </c>
      <c r="CW4" s="275">
        <f>AX2</f>
        <v>1445</v>
      </c>
      <c r="CX4" s="275" t="s">
        <v>144</v>
      </c>
      <c r="CY4" s="275"/>
      <c r="CZ4" s="275"/>
      <c r="DA4" s="674"/>
      <c r="DE4" s="986"/>
      <c r="DF4" s="621" t="s">
        <v>5</v>
      </c>
      <c r="DG4" s="621">
        <f>AX4</f>
        <v>29</v>
      </c>
      <c r="DH4" s="656"/>
      <c r="DI4" s="656"/>
      <c r="DJ4" s="656"/>
      <c r="DK4" s="987"/>
      <c r="DQ4" s="639"/>
      <c r="DR4" s="639"/>
      <c r="DS4" s="639"/>
      <c r="DT4" s="639"/>
      <c r="FI4" s="151" t="s">
        <v>3496</v>
      </c>
      <c r="FJ4" s="151" t="e">
        <f ca="1">asaqotr(FJ9,FJ10,FJ11,FJ12,FJ13,FJ14)</f>
        <v>#NAME?</v>
      </c>
      <c r="FK4" s="596" t="e">
        <f ca="1">INT(ABS(FJ4))</f>
        <v>#NAME?</v>
      </c>
      <c r="FL4" s="596" t="e">
        <f ca="1">INT((ABS(FJ4)-FK4)*60)</f>
        <v>#NAME?</v>
      </c>
      <c r="FM4" s="596" t="e">
        <f ca="1">INT((((ABS(FJ4)-FK4)*60)-FL4)*60)</f>
        <v>#NAME?</v>
      </c>
      <c r="FN4" s="596" t="e">
        <f ca="1">INT((((((ABS(FJ4)-FK4)*60)-FL4)*60)-FM4)*60)</f>
        <v>#NAME?</v>
      </c>
      <c r="FQ4" s="280" t="s">
        <v>175</v>
      </c>
      <c r="FR4" s="226">
        <v>0</v>
      </c>
      <c r="FS4" s="226">
        <f>IF(FR4&gt;=0,1,-1)</f>
        <v>1</v>
      </c>
      <c r="FT4" s="226"/>
      <c r="FU4" s="227"/>
      <c r="GT4" s="577" t="s">
        <v>4</v>
      </c>
      <c r="GU4" s="577">
        <f>FT4</f>
        <v>0</v>
      </c>
      <c r="GV4" s="577"/>
      <c r="GW4" s="577"/>
      <c r="GX4" s="577"/>
      <c r="GY4" s="577"/>
      <c r="HC4" s="327" t="s">
        <v>2185</v>
      </c>
      <c r="HD4" s="327" t="s">
        <v>2202</v>
      </c>
      <c r="HE4" s="327"/>
      <c r="HF4" s="327"/>
      <c r="HG4" s="327"/>
      <c r="HI4" s="327" t="s">
        <v>2185</v>
      </c>
      <c r="HJ4" s="327" t="s">
        <v>2202</v>
      </c>
      <c r="HK4" s="327"/>
      <c r="HL4" s="327"/>
      <c r="HM4" s="327"/>
      <c r="IA4" s="151" t="s">
        <v>3491</v>
      </c>
    </row>
    <row r="5" spans="1:243" ht="24.75">
      <c r="D5" s="151" t="s">
        <v>4699</v>
      </c>
      <c r="E5" s="2544"/>
      <c r="F5" s="638" t="str">
        <f>[1]!tabeborjame(H5)</f>
        <v>havayi</v>
      </c>
      <c r="G5" s="638">
        <f>[1]!adadborj(H5)</f>
        <v>7</v>
      </c>
      <c r="H5" s="2539">
        <f>[1]!taqzohre(O3,O4,(O5+O35/24),O8)</f>
        <v>204.09000311550381</v>
      </c>
      <c r="I5" s="2546" t="s">
        <v>1754</v>
      </c>
      <c r="J5" s="2561">
        <v>35.203000000000003</v>
      </c>
      <c r="K5" s="275">
        <v>52.329000000000001</v>
      </c>
      <c r="L5" s="2562" t="s">
        <v>4118</v>
      </c>
      <c r="M5" s="429"/>
      <c r="N5" s="429" t="s">
        <v>5</v>
      </c>
      <c r="O5" s="429">
        <v>14</v>
      </c>
      <c r="P5" s="429"/>
      <c r="Q5" s="429"/>
      <c r="R5" s="574"/>
      <c r="S5" s="574"/>
      <c r="T5" s="626"/>
      <c r="U5" s="625"/>
      <c r="V5" s="669"/>
      <c r="W5" s="629" t="s">
        <v>177</v>
      </c>
      <c r="X5" s="629">
        <f>O6</f>
        <v>35.721899999999998</v>
      </c>
      <c r="Y5" s="630">
        <f t="shared" ref="Y5:Y11" si="7">INT(ABS(X5))</f>
        <v>35</v>
      </c>
      <c r="Z5" s="630">
        <f t="shared" si="5"/>
        <v>43</v>
      </c>
      <c r="AA5" s="630">
        <f t="shared" si="6"/>
        <v>18</v>
      </c>
      <c r="AB5" s="630">
        <f t="shared" ref="AB5:AB6" si="8">INT((((((ABS(X5)-Y5)*60)-Z5)*60)-AA5)*60)</f>
        <v>50</v>
      </c>
      <c r="AC5" s="629"/>
      <c r="AD5" s="669"/>
      <c r="AE5" s="629" t="s">
        <v>5</v>
      </c>
      <c r="AF5" s="629">
        <f>O5</f>
        <v>14</v>
      </c>
      <c r="AG5" s="629"/>
      <c r="AH5" s="629"/>
      <c r="AI5" s="629"/>
      <c r="AJ5" s="664"/>
      <c r="AK5" s="625"/>
      <c r="AL5" s="620" t="s">
        <v>5</v>
      </c>
      <c r="AM5" s="621">
        <f>O5</f>
        <v>14</v>
      </c>
      <c r="AN5" s="621"/>
      <c r="AO5" s="621"/>
      <c r="AP5" s="621"/>
      <c r="AQ5" s="681"/>
      <c r="AR5" s="2557"/>
      <c r="AS5" s="163">
        <v>35.203000000000003</v>
      </c>
      <c r="AT5" s="163">
        <v>52.329000000000001</v>
      </c>
      <c r="AU5" s="163" t="s">
        <v>4118</v>
      </c>
      <c r="AV5" s="582"/>
      <c r="AW5" s="638"/>
      <c r="AX5" s="638"/>
      <c r="AY5" s="638" t="s">
        <v>219</v>
      </c>
      <c r="AZ5" s="1639">
        <f>AX27</f>
        <v>21.938862912798051</v>
      </c>
      <c r="BA5" s="1640">
        <f t="shared" ref="BA5" si="9">INT(ABS(AZ5))</f>
        <v>21</v>
      </c>
      <c r="BB5" s="1641">
        <f t="shared" ref="BB5" si="10">INT((ABS(AZ5)-BA5)*60)</f>
        <v>56</v>
      </c>
      <c r="BC5" s="656"/>
      <c r="BD5" s="656" t="s">
        <v>5</v>
      </c>
      <c r="BE5" s="656">
        <f>AX4</f>
        <v>29</v>
      </c>
      <c r="BF5" s="656"/>
      <c r="BG5" s="656"/>
      <c r="BH5" s="661"/>
      <c r="BI5" s="502"/>
      <c r="BJ5" s="502"/>
      <c r="BK5" s="655"/>
      <c r="BL5" s="656"/>
      <c r="BM5" s="656" t="s">
        <v>5</v>
      </c>
      <c r="BN5" s="656">
        <f>[1]!roz(AX4,AX27,0,0)</f>
        <v>29.914119288033252</v>
      </c>
      <c r="BO5" s="656"/>
      <c r="BP5" s="656"/>
      <c r="BQ5" s="656"/>
      <c r="BR5" s="661"/>
      <c r="BS5" s="502"/>
      <c r="BT5" s="655"/>
      <c r="BU5" s="656"/>
      <c r="BV5" s="656"/>
      <c r="BW5" s="656"/>
      <c r="BX5" s="656"/>
      <c r="BY5" s="656"/>
      <c r="BZ5" s="656"/>
      <c r="CA5" s="986"/>
      <c r="CB5" s="656" t="s">
        <v>4</v>
      </c>
      <c r="CC5" s="656">
        <f>BN4</f>
        <v>9</v>
      </c>
      <c r="CD5" s="656"/>
      <c r="CE5" s="145"/>
      <c r="CF5" s="656"/>
      <c r="CG5" s="661"/>
      <c r="CH5" s="656"/>
      <c r="CI5" s="656"/>
      <c r="CJ5" s="656"/>
      <c r="CK5" s="656"/>
      <c r="CL5" s="656"/>
      <c r="CM5" s="656"/>
      <c r="CN5" s="656"/>
      <c r="CO5" s="656"/>
      <c r="CP5" s="656"/>
      <c r="CQ5" s="656"/>
      <c r="CR5" s="656"/>
      <c r="CS5" s="656"/>
      <c r="CT5" s="987"/>
      <c r="CU5" s="275"/>
      <c r="CV5" s="275" t="s">
        <v>4</v>
      </c>
      <c r="CW5" s="275">
        <f>AX3</f>
        <v>9</v>
      </c>
      <c r="CX5" s="275"/>
      <c r="CY5" s="275"/>
      <c r="CZ5" s="275"/>
      <c r="DA5" s="674"/>
      <c r="DE5" s="986"/>
      <c r="DF5" s="621" t="s">
        <v>3488</v>
      </c>
      <c r="DG5" s="621">
        <f>AZ5</f>
        <v>21.938862912798051</v>
      </c>
      <c r="DH5" s="656">
        <v>6</v>
      </c>
      <c r="DI5" s="656">
        <v>23</v>
      </c>
      <c r="DJ5" s="656">
        <v>0</v>
      </c>
      <c r="DK5" s="987"/>
      <c r="DQ5" s="639"/>
      <c r="DR5" s="639"/>
      <c r="DS5" s="639"/>
      <c r="DT5" s="639"/>
      <c r="FE5" s="594" t="s">
        <v>2202</v>
      </c>
      <c r="FF5" s="595"/>
      <c r="FG5" s="595"/>
      <c r="FH5" s="595"/>
      <c r="FI5" s="595" t="s">
        <v>1102</v>
      </c>
      <c r="FJ5" s="595">
        <f>[1]!ekhtoolq(FJ9,FJ14,FJ17,FJ56,FJ66,FJ29)</f>
        <v>1.4210854715202004E-14</v>
      </c>
      <c r="FK5" s="596">
        <f t="shared" ref="FK5:FK8" si="11">INT(ABS(FJ5))</f>
        <v>0</v>
      </c>
      <c r="FL5" s="596">
        <f t="shared" ref="FL5:FL8" si="12">INT((ABS(FJ5)-FK5)*60)</f>
        <v>0</v>
      </c>
      <c r="FM5" s="596">
        <f t="shared" ref="FM5:FM8" si="13">INT((((ABS(FJ5)-FK5)*60)-FL5)*60)</f>
        <v>0</v>
      </c>
      <c r="FN5" s="596">
        <f t="shared" ref="FN5:FN8" si="14">INT((((((ABS(FJ5)-FK5)*60)-FL5)*60)-FM5)*60)</f>
        <v>0</v>
      </c>
      <c r="FO5" s="616" t="s">
        <v>1372</v>
      </c>
      <c r="FQ5" s="280" t="s">
        <v>1481</v>
      </c>
      <c r="FR5" s="226">
        <f>[1]!taqsha(FJ9,FJ10,[1]!roz(FJ11,FJ12,0,0),FJ13)</f>
        <v>19.427923152300121</v>
      </c>
      <c r="FS5" s="226"/>
      <c r="FT5" s="226"/>
      <c r="FU5" s="227"/>
      <c r="FV5" s="274"/>
      <c r="FW5" s="274"/>
      <c r="GT5" s="577" t="s">
        <v>5</v>
      </c>
      <c r="GU5" s="577">
        <f>FT5</f>
        <v>0</v>
      </c>
      <c r="GV5" s="577"/>
      <c r="GW5" s="577"/>
      <c r="GX5" s="577"/>
      <c r="GY5" s="577"/>
      <c r="HC5" s="278" t="s">
        <v>177</v>
      </c>
      <c r="HD5" s="281">
        <f>GU8</f>
        <v>37</v>
      </c>
      <c r="HE5" s="281"/>
      <c r="HF5" s="281"/>
      <c r="HG5" s="279"/>
      <c r="HI5" s="278" t="s">
        <v>177</v>
      </c>
      <c r="HJ5" s="281">
        <f>HD5</f>
        <v>37</v>
      </c>
      <c r="HK5" s="281"/>
      <c r="HL5" s="281"/>
      <c r="HM5" s="279"/>
      <c r="HY5" s="633" t="s">
        <v>3</v>
      </c>
      <c r="HZ5" s="634">
        <v>1443</v>
      </c>
      <c r="IA5" s="635" t="s">
        <v>144</v>
      </c>
      <c r="ID5" s="327" t="s">
        <v>3535</v>
      </c>
      <c r="IE5" s="327" t="e">
        <f ca="1">IE28</f>
        <v>#NAME?</v>
      </c>
      <c r="IF5" s="451" t="e">
        <f ca="1">INT(ABS(IE5))</f>
        <v>#NAME?</v>
      </c>
      <c r="IG5" s="451" t="e">
        <f ca="1">INT((ABS(IE5)-IF5)*60)</f>
        <v>#NAME?</v>
      </c>
      <c r="IH5" s="451" t="e">
        <f ca="1">INT((((ABS(IE5)-IF5)*60)-IG5)*60)</f>
        <v>#NAME?</v>
      </c>
      <c r="II5" s="452" t="e">
        <f ca="1">INT((((((ABS(IE5)-IF5)*60)-IG5)*60)-IH5)*60)</f>
        <v>#NAME?</v>
      </c>
    </row>
    <row r="6" spans="1:243" ht="24.75">
      <c r="D6" s="151" t="s">
        <v>4698</v>
      </c>
      <c r="E6" s="2544"/>
      <c r="F6" s="638" t="str">
        <f>[1]!tabeborjame(H6)</f>
        <v>abi</v>
      </c>
      <c r="G6" s="638">
        <f>[1]!adadborj(H6)</f>
        <v>4</v>
      </c>
      <c r="H6" s="2539">
        <f>[1]!taqmer(O3,O4,(O5+O35/24),O8)</f>
        <v>97.750794968537775</v>
      </c>
      <c r="I6" s="2546" t="s">
        <v>4695</v>
      </c>
      <c r="J6" s="2561">
        <v>33.312800000000003</v>
      </c>
      <c r="K6" s="275">
        <v>44.36148</v>
      </c>
      <c r="L6" s="2562" t="s">
        <v>4207</v>
      </c>
      <c r="M6" s="429"/>
      <c r="N6" s="429" t="s">
        <v>177</v>
      </c>
      <c r="O6" s="429">
        <f>J3</f>
        <v>35.721899999999998</v>
      </c>
      <c r="P6" s="429"/>
      <c r="Q6" s="429"/>
      <c r="R6" s="429"/>
      <c r="S6" s="429"/>
      <c r="T6" s="626"/>
      <c r="U6" s="626"/>
      <c r="V6" s="669"/>
      <c r="W6" s="629" t="s">
        <v>227</v>
      </c>
      <c r="X6" s="629">
        <f>[1]!ml(O3,O23)</f>
        <v>1.5255724746615977</v>
      </c>
      <c r="Y6" s="630">
        <f t="shared" si="7"/>
        <v>1</v>
      </c>
      <c r="Z6" s="630">
        <f t="shared" si="5"/>
        <v>31</v>
      </c>
      <c r="AA6" s="630">
        <f t="shared" si="6"/>
        <v>32</v>
      </c>
      <c r="AB6" s="630">
        <f t="shared" si="8"/>
        <v>3</v>
      </c>
      <c r="AC6" s="629"/>
      <c r="AD6" s="669"/>
      <c r="AE6" s="629" t="s">
        <v>219</v>
      </c>
      <c r="AF6" s="629">
        <f>X4</f>
        <v>6.1246238254898477</v>
      </c>
      <c r="AG6" s="629"/>
      <c r="AH6" s="629"/>
      <c r="AI6" s="629"/>
      <c r="AJ6" s="664">
        <v>3</v>
      </c>
      <c r="AK6" s="625"/>
      <c r="AL6" s="620" t="s">
        <v>377</v>
      </c>
      <c r="AM6" s="621">
        <f>O8</f>
        <v>9.598740740833335E-2</v>
      </c>
      <c r="AN6" s="621"/>
      <c r="AO6" s="621"/>
      <c r="AP6" s="621"/>
      <c r="AQ6" s="681"/>
      <c r="AR6" s="2557"/>
      <c r="AS6" s="163">
        <v>33.312800000000003</v>
      </c>
      <c r="AT6" s="163">
        <v>44.36148</v>
      </c>
      <c r="AU6" s="163" t="s">
        <v>4207</v>
      </c>
      <c r="AV6" s="582"/>
      <c r="AW6" s="638" t="s">
        <v>4098</v>
      </c>
      <c r="AX6" s="1702">
        <f>AT3</f>
        <v>51.334699999999998</v>
      </c>
      <c r="AY6" s="638"/>
      <c r="AZ6" s="638"/>
      <c r="BA6" s="638"/>
      <c r="BB6" s="583"/>
      <c r="BC6" s="656"/>
      <c r="BD6" s="656" t="s">
        <v>377</v>
      </c>
      <c r="BE6" s="656">
        <f>AX8</f>
        <v>9.598740740833335E-2</v>
      </c>
      <c r="BF6" s="656"/>
      <c r="BG6" s="656"/>
      <c r="BH6" s="661"/>
      <c r="BI6" s="502"/>
      <c r="BJ6" s="502"/>
      <c r="BK6" s="655"/>
      <c r="BL6" s="656"/>
      <c r="BM6" s="656" t="s">
        <v>377</v>
      </c>
      <c r="BN6" s="656">
        <f>BE6</f>
        <v>9.598740740833335E-2</v>
      </c>
      <c r="BO6" s="656"/>
      <c r="BP6" s="656"/>
      <c r="BQ6" s="656"/>
      <c r="BR6" s="661"/>
      <c r="BS6" s="502"/>
      <c r="BT6" s="655"/>
      <c r="BU6" s="656"/>
      <c r="BV6" s="656"/>
      <c r="BW6" s="656"/>
      <c r="BX6" s="656"/>
      <c r="BY6" s="656"/>
      <c r="BZ6" s="656"/>
      <c r="CA6" s="986"/>
      <c r="CB6" s="656" t="s">
        <v>5</v>
      </c>
      <c r="CC6" s="656">
        <f>BN5</f>
        <v>29.914119288033252</v>
      </c>
      <c r="CD6" s="656"/>
      <c r="CE6" s="656"/>
      <c r="CF6" s="656"/>
      <c r="CG6" s="661"/>
      <c r="CH6" s="656"/>
      <c r="CI6" s="656"/>
      <c r="CJ6" s="656"/>
      <c r="CK6" s="656"/>
      <c r="CL6" s="656"/>
      <c r="CM6" s="656"/>
      <c r="CN6" s="656"/>
      <c r="CO6" s="656"/>
      <c r="CP6" s="656"/>
      <c r="CQ6" s="656"/>
      <c r="CR6" s="656"/>
      <c r="CS6" s="656"/>
      <c r="CT6" s="987"/>
      <c r="CU6" s="275"/>
      <c r="CV6" s="275" t="s">
        <v>5</v>
      </c>
      <c r="CW6" s="275">
        <f>AX4</f>
        <v>29</v>
      </c>
      <c r="CX6" s="275"/>
      <c r="CY6" s="275"/>
      <c r="CZ6" s="275"/>
      <c r="DA6" s="674"/>
      <c r="DE6" s="986"/>
      <c r="DF6" s="621" t="s">
        <v>377</v>
      </c>
      <c r="DG6" s="621">
        <f>AX8</f>
        <v>9.598740740833335E-2</v>
      </c>
      <c r="DH6" s="656"/>
      <c r="DI6" s="656"/>
      <c r="DJ6" s="656"/>
      <c r="DK6" s="987"/>
      <c r="DQ6" s="639"/>
      <c r="DR6" s="639"/>
      <c r="DS6" s="639"/>
      <c r="DT6" s="639"/>
      <c r="FE6" s="597"/>
      <c r="FF6" s="598"/>
      <c r="FG6" s="598"/>
      <c r="FH6" s="598"/>
      <c r="FI6" s="598" t="s">
        <v>1167</v>
      </c>
      <c r="FJ6" s="598">
        <f>[1]!ekharzq(FJ56,FJ7)</f>
        <v>0.71861586895535945</v>
      </c>
      <c r="FK6" s="599">
        <f t="shared" si="11"/>
        <v>0</v>
      </c>
      <c r="FL6" s="599">
        <f t="shared" si="12"/>
        <v>43</v>
      </c>
      <c r="FM6" s="599">
        <f t="shared" si="13"/>
        <v>7</v>
      </c>
      <c r="FN6" s="599">
        <f t="shared" si="14"/>
        <v>1</v>
      </c>
      <c r="FO6" s="617"/>
      <c r="FQ6" s="280" t="s">
        <v>279</v>
      </c>
      <c r="FR6" s="226">
        <f>FJ66</f>
        <v>243.2079726865957</v>
      </c>
      <c r="FS6" s="226">
        <f>IF(FR5-FR7&gt;0,FR5-FR7,FR5-FR7+360)</f>
        <v>316.21995046570441</v>
      </c>
      <c r="FT6" s="226"/>
      <c r="FU6" s="227"/>
      <c r="FV6" s="208"/>
      <c r="FW6" s="409"/>
      <c r="GT6" s="577" t="s">
        <v>219</v>
      </c>
      <c r="GU6" s="577">
        <f>BN8</f>
        <v>21.938862912798051</v>
      </c>
      <c r="GV6" s="578">
        <f>INT(ABS(GU6))</f>
        <v>21</v>
      </c>
      <c r="GW6" s="578">
        <f>INT((ABS(GU6)-GV6)*60)</f>
        <v>56</v>
      </c>
      <c r="GX6" s="578">
        <f>INT((((ABS(GU6)-GV6)*60)-GW6)*60)</f>
        <v>19</v>
      </c>
      <c r="GY6" s="577"/>
      <c r="HC6" s="280" t="s">
        <v>175</v>
      </c>
      <c r="HD6" s="226">
        <f>FJ56</f>
        <v>0.3593079344776835</v>
      </c>
      <c r="HE6" s="226"/>
      <c r="HF6" s="226"/>
      <c r="HG6" s="227"/>
      <c r="HI6" s="280" t="s">
        <v>175</v>
      </c>
      <c r="HJ6" s="226">
        <f>FP47</f>
        <v>0</v>
      </c>
      <c r="HK6" s="226"/>
      <c r="HL6" s="226"/>
      <c r="HM6" s="227"/>
      <c r="HY6" s="587" t="s">
        <v>4</v>
      </c>
      <c r="HZ6" s="502">
        <v>4</v>
      </c>
      <c r="IA6" s="588"/>
      <c r="IC6" s="263"/>
      <c r="ID6" s="249" t="s">
        <v>2263</v>
      </c>
      <c r="IE6" s="249" t="s">
        <v>275</v>
      </c>
      <c r="IF6" s="150">
        <v>45</v>
      </c>
      <c r="IG6" s="249"/>
      <c r="IH6" s="249"/>
      <c r="II6" s="453"/>
    </row>
    <row r="7" spans="1:243" ht="25.5" thickBot="1">
      <c r="D7" s="151" t="s">
        <v>4697</v>
      </c>
      <c r="E7" s="2544"/>
      <c r="F7" s="638" t="str">
        <f>[1]!tabeborjame(H7)</f>
        <v>havayi</v>
      </c>
      <c r="G7" s="638">
        <f>[1]!adadborj(H7)</f>
        <v>3</v>
      </c>
      <c r="H7" s="2539">
        <f>[1]!taqmosh(O3,O4,(O5+O35/24),O8)</f>
        <v>80.509464820891651</v>
      </c>
      <c r="I7" s="2546" t="s">
        <v>2034</v>
      </c>
      <c r="J7" s="2563">
        <v>31.23</v>
      </c>
      <c r="K7" s="2564">
        <v>30.044</v>
      </c>
      <c r="L7" s="2565" t="s">
        <v>4208</v>
      </c>
      <c r="M7" s="429"/>
      <c r="N7" s="429" t="s">
        <v>4098</v>
      </c>
      <c r="O7" s="429">
        <f>K3</f>
        <v>51.334699999999998</v>
      </c>
      <c r="P7" s="429"/>
      <c r="Q7" s="429"/>
      <c r="R7" s="429"/>
      <c r="S7" s="429"/>
      <c r="T7" s="626"/>
      <c r="U7" s="626"/>
      <c r="V7" s="669"/>
      <c r="W7" s="629" t="s">
        <v>364</v>
      </c>
      <c r="X7" s="629">
        <f>[1]!qsn(X6,X5)</f>
        <v>182.19489185176815</v>
      </c>
      <c r="Y7" s="630">
        <f t="shared" si="7"/>
        <v>182</v>
      </c>
      <c r="Z7" s="630">
        <f t="shared" ref="Z7" si="15">INT((ABS(X7)-Y7)*60)</f>
        <v>11</v>
      </c>
      <c r="AA7" s="630">
        <f t="shared" ref="AA7" si="16">INT((((ABS(X7)-Y7)*60)-Z7)*60)</f>
        <v>41</v>
      </c>
      <c r="AB7" s="630">
        <f t="shared" ref="AB7" si="17">INT((((((ABS(X7)-Y7)*60)-Z7)*60)-AA7)*60)</f>
        <v>36</v>
      </c>
      <c r="AC7" s="629"/>
      <c r="AD7" s="669"/>
      <c r="AE7" s="629" t="s">
        <v>377</v>
      </c>
      <c r="AF7" s="629">
        <f>O8</f>
        <v>9.598740740833335E-2</v>
      </c>
      <c r="AG7" s="629"/>
      <c r="AH7" s="629"/>
      <c r="AI7" s="629"/>
      <c r="AJ7" s="664"/>
      <c r="AK7" s="625"/>
      <c r="AL7" s="620" t="s">
        <v>177</v>
      </c>
      <c r="AM7" s="621">
        <f>O6</f>
        <v>35.721899999999998</v>
      </c>
      <c r="AN7" s="621"/>
      <c r="AO7" s="621"/>
      <c r="AP7" s="621"/>
      <c r="AQ7" s="681"/>
      <c r="AR7" s="2557"/>
      <c r="AS7" s="163">
        <v>31.23</v>
      </c>
      <c r="AT7" s="163">
        <v>30.044</v>
      </c>
      <c r="AU7" s="163" t="s">
        <v>4208</v>
      </c>
      <c r="AV7" s="584"/>
      <c r="AW7" s="992" t="s">
        <v>177</v>
      </c>
      <c r="AX7" s="1044">
        <f>AS3</f>
        <v>35.721899999999998</v>
      </c>
      <c r="AY7" s="992"/>
      <c r="AZ7" s="992"/>
      <c r="BA7" s="992"/>
      <c r="BB7" s="993"/>
      <c r="BC7" s="996"/>
      <c r="BD7" s="658"/>
      <c r="BE7" s="658"/>
      <c r="BF7" s="658"/>
      <c r="BG7" s="658"/>
      <c r="BH7" s="688"/>
      <c r="BI7" s="590"/>
      <c r="BJ7" s="590"/>
      <c r="BK7" s="687"/>
      <c r="BL7" s="658"/>
      <c r="BM7" s="658"/>
      <c r="BN7" s="658"/>
      <c r="BO7" s="658"/>
      <c r="BP7" s="658"/>
      <c r="BQ7" s="658"/>
      <c r="BR7" s="688" t="s">
        <v>4206</v>
      </c>
      <c r="BS7" s="590"/>
      <c r="BT7" s="687"/>
      <c r="BU7" s="658"/>
      <c r="BV7" s="658"/>
      <c r="BW7" s="658"/>
      <c r="BX7" s="658"/>
      <c r="BY7" s="658"/>
      <c r="BZ7" s="658"/>
      <c r="CA7" s="996"/>
      <c r="CB7" s="658" t="s">
        <v>377</v>
      </c>
      <c r="CC7" s="658">
        <f>BN6</f>
        <v>9.598740740833335E-2</v>
      </c>
      <c r="CD7" s="658"/>
      <c r="CE7" s="658"/>
      <c r="CF7" s="658"/>
      <c r="CG7" s="688"/>
      <c r="CH7" s="658"/>
      <c r="CI7" s="658"/>
      <c r="CJ7" s="658"/>
      <c r="CK7" s="658"/>
      <c r="CL7" s="658"/>
      <c r="CM7" s="658"/>
      <c r="CN7" s="658"/>
      <c r="CO7" s="658"/>
      <c r="CP7" s="658"/>
      <c r="CQ7" s="658"/>
      <c r="CR7" s="658"/>
      <c r="CS7" s="658" t="s">
        <v>1128</v>
      </c>
      <c r="CT7" s="1043"/>
      <c r="CU7" s="275"/>
      <c r="CV7" s="275" t="s">
        <v>3476</v>
      </c>
      <c r="CW7" s="275">
        <v>0</v>
      </c>
      <c r="CX7" s="275"/>
      <c r="CY7" s="275"/>
      <c r="CZ7" s="275"/>
      <c r="DA7" s="674"/>
      <c r="DE7" s="996"/>
      <c r="DF7" s="624" t="s">
        <v>177</v>
      </c>
      <c r="DG7" s="1055">
        <f>AX7</f>
        <v>35.721899999999998</v>
      </c>
      <c r="DH7" s="658"/>
      <c r="DI7" s="658"/>
      <c r="DJ7" s="658"/>
      <c r="DK7" s="1043"/>
      <c r="DQ7" s="639"/>
      <c r="DR7" s="639"/>
      <c r="DS7" s="639"/>
      <c r="DT7" s="639"/>
      <c r="EM7" s="156"/>
      <c r="EN7" s="156"/>
      <c r="EO7" s="156"/>
      <c r="EP7" s="156"/>
      <c r="EQ7" s="156" t="s">
        <v>1147</v>
      </c>
      <c r="ER7" s="156"/>
      <c r="ES7" s="156" t="s">
        <v>1150</v>
      </c>
      <c r="EU7" s="156"/>
      <c r="EV7" s="156"/>
      <c r="EW7" s="156"/>
      <c r="EX7" s="156" t="s">
        <v>1160</v>
      </c>
      <c r="EY7" s="156"/>
      <c r="EZ7" s="156" t="s">
        <v>1150</v>
      </c>
      <c r="FE7" s="597"/>
      <c r="FF7" s="598"/>
      <c r="FG7" s="598"/>
      <c r="FH7" s="598" t="s">
        <v>3843</v>
      </c>
      <c r="FI7" s="598" t="s">
        <v>1100</v>
      </c>
      <c r="FJ7" s="598">
        <f>[1]!arzmaree(FJ9,FJ14,FJ17,FJ56,FJ66,FJ29)</f>
        <v>-0.35930793447767589</v>
      </c>
      <c r="FK7" s="599">
        <f t="shared" si="11"/>
        <v>0</v>
      </c>
      <c r="FL7" s="599">
        <f t="shared" si="12"/>
        <v>21</v>
      </c>
      <c r="FM7" s="599">
        <f t="shared" si="13"/>
        <v>33</v>
      </c>
      <c r="FN7" s="599">
        <f t="shared" si="14"/>
        <v>30</v>
      </c>
      <c r="FO7" s="617"/>
      <c r="FQ7" s="280" t="s">
        <v>1067</v>
      </c>
      <c r="FR7" s="226">
        <f>IF(FR6&lt;180,FR6+180,FR6-180)</f>
        <v>63.207972686595696</v>
      </c>
      <c r="FS7" s="226">
        <f>IF(FS6&lt;180,1,-1)</f>
        <v>-1</v>
      </c>
      <c r="FT7" s="226" t="s">
        <v>2191</v>
      </c>
      <c r="FU7" s="227"/>
      <c r="FV7" s="208"/>
      <c r="FW7" s="409"/>
      <c r="GT7" s="577" t="s">
        <v>377</v>
      </c>
      <c r="GU7" s="577">
        <f>BN6</f>
        <v>9.598740740833335E-2</v>
      </c>
      <c r="GV7" s="577"/>
      <c r="GW7" s="577"/>
      <c r="GX7" s="577"/>
      <c r="GY7" s="577"/>
      <c r="HC7" s="280" t="s">
        <v>1481</v>
      </c>
      <c r="HD7" s="226">
        <f>FJ17</f>
        <v>19.426839013482223</v>
      </c>
      <c r="HE7" s="226"/>
      <c r="HF7" s="226"/>
      <c r="HG7" s="227"/>
      <c r="HI7" s="280" t="s">
        <v>1481</v>
      </c>
      <c r="HJ7" s="226" t="e">
        <f ca="1">GU12</f>
        <v>#NAME?</v>
      </c>
      <c r="HK7" s="226"/>
      <c r="HL7" s="226"/>
      <c r="HM7" s="227"/>
      <c r="HY7" s="587" t="s">
        <v>5</v>
      </c>
      <c r="HZ7" s="502">
        <v>28</v>
      </c>
      <c r="IA7" s="588"/>
      <c r="IC7" s="264"/>
      <c r="ID7" s="114" t="s">
        <v>2264</v>
      </c>
      <c r="IE7" s="114" t="s">
        <v>3534</v>
      </c>
      <c r="IF7" s="150">
        <v>12.5</v>
      </c>
      <c r="IG7" s="114"/>
      <c r="IH7" s="114"/>
      <c r="II7" s="454"/>
    </row>
    <row r="8" spans="1:243" ht="25.5" thickBot="1">
      <c r="D8" s="151" t="s">
        <v>4696</v>
      </c>
      <c r="E8" s="2544"/>
      <c r="F8" s="638" t="str">
        <f>[1]!tabeborjame(H8)</f>
        <v>abi</v>
      </c>
      <c r="G8" s="638">
        <f>[1]!adadborj(H8)</f>
        <v>12</v>
      </c>
      <c r="H8" s="2539">
        <f>[1]!taqzohal(O3,O4,(O5+O35/24),O8)</f>
        <v>343.79618710138521</v>
      </c>
      <c r="I8" s="2546" t="s">
        <v>4350</v>
      </c>
      <c r="K8" s="1756"/>
      <c r="L8" s="845"/>
      <c r="M8" s="629"/>
      <c r="N8" s="629" t="s">
        <v>4017</v>
      </c>
      <c r="O8" s="629">
        <f>[1]!tabdilsaheb(O7)</f>
        <v>9.598740740833335E-2</v>
      </c>
      <c r="P8" s="1495">
        <f>INT(ABS(O8*24))</f>
        <v>2</v>
      </c>
      <c r="Q8" s="1495">
        <f>INT((ABS(O8*24)-P8)*60)</f>
        <v>18</v>
      </c>
      <c r="R8" s="1495">
        <f>((((ABS(O8*24)-P8)*60)-Q8)*60)</f>
        <v>13.312000080001951</v>
      </c>
      <c r="S8" s="1602">
        <f>IF(O8&gt;0,1,-1)</f>
        <v>1</v>
      </c>
      <c r="T8" s="625"/>
      <c r="U8" s="625"/>
      <c r="V8" s="669"/>
      <c r="W8" s="629" t="s">
        <v>3499</v>
      </c>
      <c r="X8" s="629">
        <f>[1]!vqoroob(O3,O4,O5,O8,O6)</f>
        <v>18.09689728263309</v>
      </c>
      <c r="Y8" s="630">
        <f t="shared" si="7"/>
        <v>18</v>
      </c>
      <c r="Z8" s="630">
        <f t="shared" ref="Z8:Z11" si="18">INT((ABS(X8)-Y8)*60)</f>
        <v>5</v>
      </c>
      <c r="AA8" s="630">
        <f t="shared" ref="AA8:AA11" si="19">INT((((ABS(X8)-Y8)*60)-Z8)*60)</f>
        <v>48</v>
      </c>
      <c r="AB8" s="630">
        <f t="shared" ref="AB8:AB11" si="20">INT((((((ABS(X8)-Y8)*60)-Z8)*60)-AA8)*60)</f>
        <v>49</v>
      </c>
      <c r="AC8" s="629"/>
      <c r="AD8" s="669">
        <v>1</v>
      </c>
      <c r="AE8" s="629" t="s">
        <v>896</v>
      </c>
      <c r="AF8" s="629">
        <f>[1]!taqsha(AF3,AF4,[1]!roz(AF5,AF6,0,0),AF7)</f>
        <v>175.68500904915214</v>
      </c>
      <c r="AG8" s="630">
        <f>INT(ABS(AF8))</f>
        <v>175</v>
      </c>
      <c r="AH8" s="630">
        <f>INT((ABS(AF8)-AG8)*60)</f>
        <v>41</v>
      </c>
      <c r="AI8" s="630">
        <f>INT((((ABS(AF8)-AG8)*60)-AH8)*60)</f>
        <v>6</v>
      </c>
      <c r="AJ8" s="665">
        <f>INT((((((ABS(AF8)-AG8)*60)-AH8)*60)-AI8)*60)</f>
        <v>1</v>
      </c>
      <c r="AK8" s="625"/>
      <c r="AL8" s="620" t="s">
        <v>3502</v>
      </c>
      <c r="AM8" s="621">
        <f>[1]!esteqbal(AM3,AM4,AM5,AM6)</f>
        <v>6.1246238254898477</v>
      </c>
      <c r="AN8" s="622">
        <f>INT(ABS(AM8))</f>
        <v>6</v>
      </c>
      <c r="AO8" s="622">
        <f>INT((ABS(AM8)-AN8)*60)</f>
        <v>7</v>
      </c>
      <c r="AP8" s="622">
        <f>INT((((ABS(AM8)-AN8)*60)-AO8)*60)</f>
        <v>28</v>
      </c>
      <c r="AQ8" s="682">
        <f>INT((((((ABS(AM8)-AN8)*60)-AO8)*60)-AP8)*60)</f>
        <v>38</v>
      </c>
      <c r="AR8" s="2566"/>
      <c r="AS8" s="163"/>
      <c r="AT8" s="163"/>
      <c r="AU8" s="163">
        <f>[1]!vtoloo(AX2,AX3,AX4,AX8,AX7)</f>
        <v>5.7112240001705299</v>
      </c>
      <c r="AV8" s="995"/>
      <c r="AW8" s="145" t="s">
        <v>4097</v>
      </c>
      <c r="AX8" s="656">
        <f>[1]!tabdilsaheb(AX6)</f>
        <v>9.598740740833335E-2</v>
      </c>
      <c r="AY8" s="641">
        <f t="shared" ref="AY8" si="21">INT(ABS(AX8))</f>
        <v>0</v>
      </c>
      <c r="AZ8" s="641">
        <f t="shared" ref="AZ8" si="22">INT((ABS(AX8)-AY8)*60)</f>
        <v>5</v>
      </c>
      <c r="BA8" s="641">
        <f t="shared" ref="BA8" si="23">INT((((ABS(AX8)-AY8)*60)-AZ8)*60)</f>
        <v>45</v>
      </c>
      <c r="BB8" s="641">
        <f t="shared" ref="BB8" si="24">INT((((((ABS(AX8)-AY8)*60)-AZ8)*60)-BA8)*60)</f>
        <v>33</v>
      </c>
      <c r="BC8" s="655"/>
      <c r="BD8" s="656" t="s">
        <v>175</v>
      </c>
      <c r="BE8" s="656">
        <v>0</v>
      </c>
      <c r="BF8" s="641">
        <f>INT(ABS(BE8))</f>
        <v>0</v>
      </c>
      <c r="BG8" s="641">
        <f>INT((ABS(BE8)-BF8)*60)</f>
        <v>0</v>
      </c>
      <c r="BH8" s="657">
        <f>INT((((ABS(BE8)-BF8)*60)-BG8)*60)</f>
        <v>0</v>
      </c>
      <c r="BI8" s="502"/>
      <c r="BJ8" s="502"/>
      <c r="BK8" s="655"/>
      <c r="BL8" s="656">
        <v>1</v>
      </c>
      <c r="BM8" s="656" t="s">
        <v>1054</v>
      </c>
      <c r="BN8" s="641">
        <f>AX27</f>
        <v>21.938862912798051</v>
      </c>
      <c r="BO8" s="641">
        <f>INT(ABS(BN8))</f>
        <v>21</v>
      </c>
      <c r="BP8" s="641">
        <f>INT((ABS(BN8)-BO8)*60)</f>
        <v>56</v>
      </c>
      <c r="BQ8" s="641">
        <f>INT((((ABS(BN8)-BO8)*60)-BP8)*60)</f>
        <v>19</v>
      </c>
      <c r="BR8" s="657">
        <f>((((((ABS(BN8)-BO8)*60)-BP8)*60)-BQ8)*60)</f>
        <v>54.389164378969781</v>
      </c>
      <c r="BS8" s="502"/>
      <c r="BT8" s="690">
        <v>1</v>
      </c>
      <c r="BU8" s="656" t="s">
        <v>1182</v>
      </c>
      <c r="BV8" s="656">
        <f>[1]!sn(BN88)</f>
        <v>0.81179337833324117</v>
      </c>
      <c r="BW8" s="641">
        <f>INT(ABS(BV8))</f>
        <v>0</v>
      </c>
      <c r="BX8" s="641">
        <f>INT((ABS(BV8)-BW8)*60)</f>
        <v>48</v>
      </c>
      <c r="BY8" s="641">
        <f>INT((((ABS(BV8)-BW8)*60)-BX8)*60)</f>
        <v>42</v>
      </c>
      <c r="BZ8" s="641">
        <f>INT((((((ABS(BV8)-BW8)*60)-BX8)*60)-BY8)*60)</f>
        <v>27</v>
      </c>
      <c r="CA8" s="986">
        <v>1</v>
      </c>
      <c r="CB8" s="656" t="s">
        <v>821</v>
      </c>
      <c r="CC8" s="656">
        <f>[1]!sabqq(CC4,CC5,CC6,CC7)</f>
        <v>0.58707379999881226</v>
      </c>
      <c r="CD8" s="641">
        <f t="shared" ref="CD8:CD11" si="25">INT(ABS(CC8))</f>
        <v>0</v>
      </c>
      <c r="CE8" s="641">
        <f t="shared" ref="CE8:CE11" si="26">INT((ABS(CC8)-CD8)*60)</f>
        <v>35</v>
      </c>
      <c r="CF8" s="641">
        <f t="shared" ref="CF8:CF11" si="27">INT((((ABS(CC8)-CD8)*60)-CE8)*60)</f>
        <v>13</v>
      </c>
      <c r="CG8" s="657">
        <f t="shared" ref="CG8:CG11" si="28">INT((((((ABS(CC8)-CD8)*60)-CE8)*60)-CF8)*60)</f>
        <v>27</v>
      </c>
      <c r="CH8" s="656"/>
      <c r="CI8" s="656" t="s">
        <v>1054</v>
      </c>
      <c r="CJ8" s="641">
        <f>BN8</f>
        <v>21.938862912798051</v>
      </c>
      <c r="CK8" s="656"/>
      <c r="CL8" s="656"/>
      <c r="CM8" s="641"/>
      <c r="CN8" s="656">
        <v>2</v>
      </c>
      <c r="CO8" s="656" t="s">
        <v>1162</v>
      </c>
      <c r="CP8" s="656">
        <f>POWER(CC106,2)</f>
        <v>1.9272057392883894E-2</v>
      </c>
      <c r="CQ8" s="641">
        <f t="shared" ref="CQ8:CQ30" si="29">INT(ABS(CP8))</f>
        <v>0</v>
      </c>
      <c r="CR8" s="641">
        <f t="shared" ref="CR8:CR30" si="30">INT((ABS(CP8)-CQ8)*60)</f>
        <v>1</v>
      </c>
      <c r="CS8" s="641">
        <f t="shared" ref="CS8:CS30" si="31">INT((((ABS(CP8)-CQ8)*60)-CR8)*60)</f>
        <v>9</v>
      </c>
      <c r="CT8" s="645">
        <f t="shared" ref="CT8:CT30" si="32">INT((((((ABS(CP8)-CQ8)*60)-CR8)*60)-CS8)*60)</f>
        <v>22</v>
      </c>
      <c r="CU8" s="275"/>
      <c r="CV8" s="275" t="s">
        <v>377</v>
      </c>
      <c r="CW8" s="275">
        <f>AX8</f>
        <v>9.598740740833335E-2</v>
      </c>
      <c r="CX8" s="275"/>
      <c r="CY8" s="275"/>
      <c r="CZ8" s="275"/>
      <c r="DA8" s="674"/>
      <c r="DE8" s="1046">
        <v>1</v>
      </c>
      <c r="DF8" s="607" t="s">
        <v>378</v>
      </c>
      <c r="DG8" s="607">
        <f>[1]!taqsh(DG2,DG3,[1]!roz(DG4,DG5,0,0),DG6)</f>
        <v>19.426611073137092</v>
      </c>
      <c r="DH8" s="608">
        <f t="shared" ref="DH8:DH33" si="33">INT(ABS(DG8))</f>
        <v>19</v>
      </c>
      <c r="DI8" s="608">
        <f t="shared" ref="DI8:DI33" si="34">INT((ABS(DG8)-DH8)*60)</f>
        <v>25</v>
      </c>
      <c r="DJ8" s="608">
        <f t="shared" ref="DJ8:DJ33" si="35">INT((((ABS(DG8)-DH8)*60)-DI8)*60)</f>
        <v>35</v>
      </c>
      <c r="DK8" s="1047">
        <f t="shared" ref="DK8:DK33" si="36">INT((((((ABS(DG8)-DH8)*60)-DI8)*60)-DJ8)*60)</f>
        <v>47</v>
      </c>
      <c r="DQ8" s="639"/>
      <c r="DR8" s="639"/>
      <c r="DS8" s="639"/>
      <c r="DT8" s="639"/>
      <c r="EM8" s="156">
        <v>1</v>
      </c>
      <c r="EN8" s="156" t="s">
        <v>175</v>
      </c>
      <c r="EO8" s="156">
        <f>BN36</f>
        <v>0.36115740311873984</v>
      </c>
      <c r="EP8" s="159">
        <f>INT(ABS(EO8))</f>
        <v>0</v>
      </c>
      <c r="EQ8" s="159">
        <f>INT((ABS(EO8)-EP8)*60)</f>
        <v>21</v>
      </c>
      <c r="ER8" s="159">
        <f>INT((((ABS(EO8)-EP8)*60)-EQ8)*60)</f>
        <v>40</v>
      </c>
      <c r="ES8" s="159">
        <f>INT((((((ABS(EO8)-EP8)*60)-EQ8)*60)-ER8)*60)</f>
        <v>9</v>
      </c>
      <c r="EU8" s="156" t="s">
        <v>1154</v>
      </c>
      <c r="EV8" s="156">
        <f>EO8</f>
        <v>0.36115740311873984</v>
      </c>
      <c r="EW8" s="159">
        <f>INT(ABS(EV8))</f>
        <v>0</v>
      </c>
      <c r="EX8" s="159">
        <f>INT((ABS(EV8)-EW8)*60)</f>
        <v>21</v>
      </c>
      <c r="EY8" s="159">
        <f>INT((((ABS(EV8)-EW8)*60)-EX8)*60)</f>
        <v>40</v>
      </c>
      <c r="EZ8" s="159">
        <f>INT((((((ABS(EV8)-EW8)*60)-EX8)*60)-EY8)*60)</f>
        <v>9</v>
      </c>
      <c r="FE8" s="600"/>
      <c r="FF8" s="601"/>
      <c r="FG8" s="601"/>
      <c r="FH8" s="601"/>
      <c r="FI8" s="601" t="s">
        <v>3469</v>
      </c>
      <c r="FJ8" s="601">
        <f>[1]!taqmaree(FJ17,FJ68,FJ5)</f>
        <v>19.426839013482208</v>
      </c>
      <c r="FK8" s="602">
        <f t="shared" si="11"/>
        <v>19</v>
      </c>
      <c r="FL8" s="602">
        <f t="shared" si="12"/>
        <v>25</v>
      </c>
      <c r="FM8" s="602">
        <f t="shared" si="13"/>
        <v>36</v>
      </c>
      <c r="FN8" s="602">
        <f t="shared" si="14"/>
        <v>37</v>
      </c>
      <c r="FO8" s="618"/>
      <c r="FQ8" s="280" t="s">
        <v>2184</v>
      </c>
      <c r="FR8" s="226"/>
      <c r="FS8" s="226"/>
      <c r="FT8" s="226"/>
      <c r="FU8" s="227"/>
      <c r="FV8" s="208"/>
      <c r="FW8" s="409"/>
      <c r="GT8" s="577" t="s">
        <v>177</v>
      </c>
      <c r="GU8" s="578">
        <v>37</v>
      </c>
      <c r="GV8" s="577">
        <v>0</v>
      </c>
      <c r="GW8" s="577">
        <v>0</v>
      </c>
      <c r="GX8" s="577"/>
      <c r="GY8" s="577"/>
      <c r="HC8" s="280" t="s">
        <v>279</v>
      </c>
      <c r="HD8" s="226" t="e">
        <f ca="1">GU21</f>
        <v>#NAME?</v>
      </c>
      <c r="HE8" s="226" t="e">
        <f ca="1">IF(HD7-HD9&gt;0,HD7-HD9,HD7-HD9+360)</f>
        <v>#NAME?</v>
      </c>
      <c r="HF8" s="226"/>
      <c r="HG8" s="227"/>
      <c r="HI8" s="280" t="s">
        <v>279</v>
      </c>
      <c r="HJ8" s="226" t="e">
        <f ca="1">GU21</f>
        <v>#NAME?</v>
      </c>
      <c r="HK8" s="226" t="e">
        <f ca="1">IF(HJ7-HJ9&gt;0,HJ7-HJ9,HJ7-HJ9+360)</f>
        <v>#NAME?</v>
      </c>
      <c r="HL8" s="226"/>
      <c r="HM8" s="227"/>
      <c r="HY8" s="587" t="s">
        <v>3476</v>
      </c>
      <c r="HZ8" s="502">
        <v>0</v>
      </c>
      <c r="IA8" s="588"/>
      <c r="IC8" s="264" t="s">
        <v>341</v>
      </c>
      <c r="ID8" s="114"/>
      <c r="IE8" s="114">
        <f>INT(IF6/2)*2</f>
        <v>44</v>
      </c>
      <c r="IF8" s="114"/>
      <c r="IG8" s="114"/>
      <c r="IH8" s="114"/>
      <c r="II8" s="247"/>
    </row>
    <row r="9" spans="1:243" ht="25.5" thickBot="1">
      <c r="E9" s="2544"/>
      <c r="F9" s="638"/>
      <c r="G9" s="638"/>
      <c r="H9" s="638" t="str">
        <f>[1]!sahebborjame(O32)</f>
        <v>moshtari</v>
      </c>
      <c r="I9" s="2545" t="s">
        <v>4677</v>
      </c>
      <c r="K9" s="1756"/>
      <c r="L9" s="845"/>
      <c r="N9" s="151" t="s">
        <v>4100</v>
      </c>
      <c r="O9" s="151">
        <f>(O7-K3)/15</f>
        <v>0</v>
      </c>
      <c r="T9" s="625"/>
      <c r="U9" s="625"/>
      <c r="V9" s="669"/>
      <c r="W9" s="629" t="s">
        <v>3500</v>
      </c>
      <c r="X9" s="629">
        <f>[1]!vtoloo(O3,O4,O5,O8,O6)</f>
        <v>5.8227575236335767</v>
      </c>
      <c r="Y9" s="630">
        <f t="shared" si="7"/>
        <v>5</v>
      </c>
      <c r="Z9" s="630">
        <f t="shared" si="18"/>
        <v>49</v>
      </c>
      <c r="AA9" s="630">
        <f t="shared" si="19"/>
        <v>21</v>
      </c>
      <c r="AB9" s="630">
        <f t="shared" si="20"/>
        <v>55</v>
      </c>
      <c r="AC9" s="629"/>
      <c r="AD9" s="669">
        <v>2</v>
      </c>
      <c r="AE9" s="629" t="s">
        <v>698</v>
      </c>
      <c r="AF9" s="629">
        <f>[1]!taqqa(AF3,AF4,[1]!roz(AF5,AF6,0,0),AF7)</f>
        <v>355.68500898759402</v>
      </c>
      <c r="AG9" s="630">
        <f t="shared" ref="AG9:AG11" si="37">INT(ABS(AF9))</f>
        <v>355</v>
      </c>
      <c r="AH9" s="630">
        <f t="shared" ref="AH9:AH11" si="38">INT((ABS(AF9)-AG9)*60)</f>
        <v>41</v>
      </c>
      <c r="AI9" s="630">
        <f t="shared" ref="AI9:AI11" si="39">INT((((ABS(AF9)-AG9)*60)-AH9)*60)</f>
        <v>6</v>
      </c>
      <c r="AJ9" s="665">
        <f t="shared" ref="AJ9:AJ11" si="40">INT((((((ABS(AF9)-AG9)*60)-AH9)*60)-AI9)*60)</f>
        <v>1</v>
      </c>
      <c r="AK9" s="625"/>
      <c r="AL9" s="620" t="s">
        <v>3521</v>
      </c>
      <c r="AM9" s="621" t="str">
        <f>[1]!emkaname(AM3,AM4,AM5,AM8,AM6,AM7)</f>
        <v>yes</v>
      </c>
      <c r="AN9" s="621"/>
      <c r="AO9" s="621"/>
      <c r="AP9" s="621"/>
      <c r="AQ9" s="681"/>
      <c r="AR9" s="2557"/>
      <c r="AS9" s="163"/>
      <c r="AT9" s="163"/>
      <c r="AU9" s="163" t="s">
        <v>4147</v>
      </c>
      <c r="AV9" s="655"/>
      <c r="AW9" s="656" t="s">
        <v>4018</v>
      </c>
      <c r="AX9" s="656">
        <f>[1]!vzohr(AX2,AX3,AX4,AX8)</f>
        <v>12.111537771017662</v>
      </c>
      <c r="AY9" s="641">
        <f t="shared" ref="AY9:AY10" si="41">INT(ABS(AX9))</f>
        <v>12</v>
      </c>
      <c r="AZ9" s="641">
        <f t="shared" ref="AZ9:AZ10" si="42">INT((ABS(AX9)-AY9)*60)</f>
        <v>6</v>
      </c>
      <c r="BA9" s="641">
        <f t="shared" ref="BA9:BA10" si="43">INT((((ABS(AX9)-AY9)*60)-AZ9)*60)</f>
        <v>41</v>
      </c>
      <c r="BB9" s="641">
        <f t="shared" ref="BB9" si="44">INT((((((ABS(AX9)-AY9)*60)-AZ9)*60)-BA9)*60)</f>
        <v>32</v>
      </c>
      <c r="BC9" s="655"/>
      <c r="BD9" s="656" t="s">
        <v>966</v>
      </c>
      <c r="BE9" s="656">
        <f>AX28</f>
        <v>19.427923152300121</v>
      </c>
      <c r="BF9" s="641">
        <f>INT(ABS(BE9))</f>
        <v>19</v>
      </c>
      <c r="BG9" s="641">
        <f>INT((ABS(BE9)-BF9)*60)</f>
        <v>25</v>
      </c>
      <c r="BH9" s="657">
        <f>INT((((ABS(BE9)-BF9)*60)-BG9)*60)</f>
        <v>40</v>
      </c>
      <c r="BI9" s="502"/>
      <c r="BJ9" s="502"/>
      <c r="BK9" s="655"/>
      <c r="BL9" s="656"/>
      <c r="BM9" s="656" t="s">
        <v>395</v>
      </c>
      <c r="BN9" s="656">
        <f>[1]!taqsha(BN3,BN4,[1]!roz(BE5,BN8,0,0),BN6)</f>
        <v>19.427923152300121</v>
      </c>
      <c r="BO9" s="641">
        <f>INT(ABS(BN9))</f>
        <v>19</v>
      </c>
      <c r="BP9" s="641">
        <f t="shared" ref="BP9:BP17" si="45">INT((ABS(BN9)-BO9)*60)</f>
        <v>25</v>
      </c>
      <c r="BQ9" s="641">
        <f t="shared" ref="BQ9:BQ17" si="46">INT((((ABS(BN9)-BO9)*60)-BP9)*60)</f>
        <v>40</v>
      </c>
      <c r="BR9" s="657">
        <f t="shared" ref="BR9:BR72" si="47">((((((ABS(BN9)-BO9)*60)-BP9)*60)-BQ9)*60)</f>
        <v>31.40089682609073</v>
      </c>
      <c r="BS9" s="502"/>
      <c r="BT9" s="655">
        <v>2</v>
      </c>
      <c r="BU9" s="656" t="s">
        <v>1088</v>
      </c>
      <c r="BV9" s="656">
        <f>[1]!sn(BN29)</f>
        <v>27.793114668076694</v>
      </c>
      <c r="BW9" s="641">
        <f t="shared" ref="BW9:BW14" si="48">INT(ABS(BV9))</f>
        <v>27</v>
      </c>
      <c r="BX9" s="641">
        <f t="shared" ref="BX9:BX14" si="49">INT((ABS(BV9)-BW9)*60)</f>
        <v>47</v>
      </c>
      <c r="BY9" s="641">
        <f t="shared" ref="BY9:BY14" si="50">INT((((ABS(BV9)-BW9)*60)-BX9)*60)</f>
        <v>35</v>
      </c>
      <c r="BZ9" s="641">
        <f t="shared" ref="BZ9:BZ14" si="51">INT((((((ABS(BV9)-BW9)*60)-BX9)*60)-BY9)*60)</f>
        <v>12</v>
      </c>
      <c r="CA9" s="986">
        <v>2</v>
      </c>
      <c r="CB9" s="656" t="s">
        <v>1091</v>
      </c>
      <c r="CC9" s="656">
        <f>BV47/CC8</f>
        <v>23.794007941590984</v>
      </c>
      <c r="CD9" s="641">
        <f t="shared" si="25"/>
        <v>23</v>
      </c>
      <c r="CE9" s="641">
        <f t="shared" si="26"/>
        <v>47</v>
      </c>
      <c r="CF9" s="641">
        <f t="shared" si="27"/>
        <v>38</v>
      </c>
      <c r="CG9" s="657">
        <f t="shared" si="28"/>
        <v>25</v>
      </c>
      <c r="CH9" s="641"/>
      <c r="CI9" s="656" t="s">
        <v>395</v>
      </c>
      <c r="CJ9" s="656">
        <f>[1]!taqsha(CC4,CC5,CC6,CC7)</f>
        <v>19.427923152300121</v>
      </c>
      <c r="CK9" s="656"/>
      <c r="CL9" s="656"/>
      <c r="CM9" s="641"/>
      <c r="CN9" s="656">
        <v>2</v>
      </c>
      <c r="CO9" s="656" t="s">
        <v>1129</v>
      </c>
      <c r="CP9" s="656">
        <f>CC105</f>
        <v>0.54868109255290065</v>
      </c>
      <c r="CQ9" s="641">
        <f t="shared" si="29"/>
        <v>0</v>
      </c>
      <c r="CR9" s="641">
        <f t="shared" si="30"/>
        <v>32</v>
      </c>
      <c r="CS9" s="641">
        <f t="shared" si="31"/>
        <v>55</v>
      </c>
      <c r="CT9" s="645">
        <f t="shared" si="32"/>
        <v>15</v>
      </c>
      <c r="CU9" s="676"/>
      <c r="CV9" s="676" t="s">
        <v>177</v>
      </c>
      <c r="CW9" s="676">
        <f>AX7</f>
        <v>35.721899999999998</v>
      </c>
      <c r="CX9" s="676"/>
      <c r="CY9" s="676"/>
      <c r="CZ9" s="676"/>
      <c r="DA9" s="677"/>
      <c r="DE9" s="1046">
        <v>2</v>
      </c>
      <c r="DF9" s="607" t="s">
        <v>279</v>
      </c>
      <c r="DG9" s="607">
        <f>[1]!tale3(DG2,DG7,DG8,DG5)</f>
        <v>243.20696308180717</v>
      </c>
      <c r="DH9" s="608">
        <f t="shared" si="33"/>
        <v>243</v>
      </c>
      <c r="DI9" s="608">
        <f t="shared" si="34"/>
        <v>12</v>
      </c>
      <c r="DJ9" s="608">
        <f t="shared" si="35"/>
        <v>25</v>
      </c>
      <c r="DK9" s="1047">
        <f t="shared" si="36"/>
        <v>4</v>
      </c>
      <c r="DQ9" s="639"/>
      <c r="DR9" s="639"/>
      <c r="DS9" s="639"/>
      <c r="DT9" s="639"/>
      <c r="EM9" s="156">
        <v>2</v>
      </c>
      <c r="EN9" s="156" t="s">
        <v>659</v>
      </c>
      <c r="EO9" s="156">
        <f>AX28</f>
        <v>19.427923152300121</v>
      </c>
      <c r="EP9" s="159">
        <f t="shared" ref="EP9:EP17" si="52">INT(ABS(EO9))</f>
        <v>19</v>
      </c>
      <c r="EQ9" s="159">
        <f t="shared" ref="EQ9:EQ17" si="53">INT((ABS(EO9)-EP9)*60)</f>
        <v>25</v>
      </c>
      <c r="ER9" s="159">
        <f t="shared" ref="ER9:ER17" si="54">INT((((ABS(EO9)-EP9)*60)-EQ9)*60)</f>
        <v>40</v>
      </c>
      <c r="ES9" s="159">
        <f t="shared" ref="ES9:ES17" si="55">INT((((((ABS(EO9)-EP9)*60)-EQ9)*60)-ER9)*60)</f>
        <v>31</v>
      </c>
      <c r="EU9" s="156" t="s">
        <v>659</v>
      </c>
      <c r="EV9" s="156">
        <f>EO9</f>
        <v>19.427923152300121</v>
      </c>
      <c r="EW9" s="159">
        <f>INT(ABS(EV9))</f>
        <v>19</v>
      </c>
      <c r="EX9" s="159">
        <f>INT((ABS(EV9)-EW9)*60)</f>
        <v>25</v>
      </c>
      <c r="EY9" s="159">
        <f>INT((((ABS(EV9)-EW9)*60)-EX9)*60)</f>
        <v>40</v>
      </c>
      <c r="EZ9" s="159">
        <f>INT((((((ABS(EV9)-EW9)*60)-EX9)*60)-EY9)*60)</f>
        <v>31</v>
      </c>
      <c r="FE9" s="620"/>
      <c r="FF9" s="621"/>
      <c r="FG9" s="621"/>
      <c r="FH9" s="621"/>
      <c r="FI9" s="621" t="s">
        <v>3</v>
      </c>
      <c r="FJ9" s="621">
        <f>AX2</f>
        <v>1445</v>
      </c>
      <c r="FK9" s="622"/>
      <c r="FL9" s="622"/>
      <c r="FM9" s="621"/>
      <c r="FN9" s="603" t="s">
        <v>3468</v>
      </c>
      <c r="FO9" s="604"/>
      <c r="FQ9" s="280" t="s">
        <v>2189</v>
      </c>
      <c r="FR9" s="388">
        <f>IF(IF(FR6-FR5&gt;180,360-(FR6-FR5),ABS(FR6-FR5))&lt;=180,IF(FR6-FR5&gt;180,360-(FR6-FR5),ABS(FR6-FR5)),360-IF(FR6-FR5&gt;180,360-(FR6-FR5),ABS(FR6-FR5)))</f>
        <v>136.21995046570441</v>
      </c>
      <c r="FS9" s="226"/>
      <c r="FT9" s="226"/>
      <c r="FU9" s="227"/>
      <c r="FV9" s="208"/>
      <c r="FW9" s="409"/>
      <c r="GT9" s="577" t="s">
        <v>3407</v>
      </c>
      <c r="GU9" s="577" t="e">
        <f ca="1">[2]!zamanejtema(GU3,GU4,GU5,GU7)</f>
        <v>#NAME?</v>
      </c>
      <c r="GV9" s="578" t="e">
        <f ca="1">INT(ABS(GU9))</f>
        <v>#NAME?</v>
      </c>
      <c r="GW9" s="578" t="e">
        <f ca="1">INT((ABS(GU9)-GV9)*60)</f>
        <v>#NAME?</v>
      </c>
      <c r="GX9" s="578" t="e">
        <f ca="1">INT((((ABS(GU9)-GV9)*60)-GW9)*60)</f>
        <v>#NAME?</v>
      </c>
      <c r="GY9" s="578" t="e">
        <f ca="1">INT((((((ABS(GU9)-GV9)*60)-GW9)*60)-GX9)*60)</f>
        <v>#NAME?</v>
      </c>
      <c r="HC9" s="280" t="s">
        <v>1067</v>
      </c>
      <c r="HD9" s="226" t="e">
        <f ca="1">IF(HD8&lt;180,HD8+180,HD8-180)</f>
        <v>#NAME?</v>
      </c>
      <c r="HE9" s="226" t="e">
        <f ca="1">IF(HE8&lt;180,1,-1)</f>
        <v>#NAME?</v>
      </c>
      <c r="HF9" s="226" t="s">
        <v>2191</v>
      </c>
      <c r="HG9" s="227"/>
      <c r="HI9" s="280" t="s">
        <v>1067</v>
      </c>
      <c r="HJ9" s="226" t="e">
        <f ca="1">IF(HJ8&lt;180,HJ8+180,HJ8-180)</f>
        <v>#NAME?</v>
      </c>
      <c r="HK9" s="226" t="e">
        <f ca="1">IF(HK8&lt;180,1,-1)</f>
        <v>#NAME?</v>
      </c>
      <c r="HL9" s="226" t="s">
        <v>2191</v>
      </c>
      <c r="HM9" s="227"/>
      <c r="HY9" s="587" t="s">
        <v>377</v>
      </c>
      <c r="HZ9" s="502" t="e">
        <f ca="1">[2]!mbtool(2,17,0,1)</f>
        <v>#NAME?</v>
      </c>
      <c r="IA9" s="588"/>
      <c r="IC9" s="264" t="s">
        <v>333</v>
      </c>
      <c r="ID9" s="114"/>
      <c r="IE9" s="114">
        <f>((INT(((IF7*6)-1)/2))*2)+1</f>
        <v>75</v>
      </c>
      <c r="IF9" s="455">
        <f t="shared" ref="IF9:IF27" si="56">INT(ABS(IE9))</f>
        <v>75</v>
      </c>
      <c r="IG9" s="455">
        <f t="shared" ref="IG9:IG27" si="57">INT((ABS(IE9)-IF9)*60)</f>
        <v>0</v>
      </c>
      <c r="IH9" s="455">
        <f t="shared" ref="IH9:IH27" si="58">INT((((ABS(IE9)-IF9)*60)-IG9)*60)</f>
        <v>0</v>
      </c>
      <c r="II9" s="454"/>
    </row>
    <row r="10" spans="1:243" ht="24.75">
      <c r="A10" s="2548"/>
      <c r="B10" s="2549"/>
      <c r="C10" s="2549"/>
      <c r="D10" s="2549"/>
      <c r="E10" s="2549"/>
      <c r="F10" s="2549"/>
      <c r="G10" s="2549"/>
      <c r="H10" s="2549"/>
      <c r="I10" s="2550" t="str">
        <f>IF(F3="havayi","مضرتش در نوع انسان و حیوانات و طیور بود",IF(F3="khaki","مضرتش در حیوانات سُم شکافته و نباتات و عمارات و اطعمه باشد و احتمال زلزله و ستم و بدی راه ها",IF(F3="abi","مضرتش در حیوانات آبی و جواهر آبی و کشتی ها و مسافران دریا باشد و از باریدگی بسیار خرابی ها شود","مضرتش در معادن پدید آید و کثرت گرما و شکستن سرما در وقت و فساد در گوسپندان و بزان و اسبان و چهارپایان")))</f>
        <v>مضرتش در حیوانات آبی و جواهر آبی و کشتی ها و مسافران دریا باشد و از باریدگی بسیار خرابی ها شود</v>
      </c>
      <c r="K10" s="845"/>
      <c r="L10" s="845"/>
      <c r="M10" s="982"/>
      <c r="N10" s="982" t="s">
        <v>4018</v>
      </c>
      <c r="O10" s="982">
        <f>[1]!vzohr(O3,O4,O5,O8)</f>
        <v>11.959827403133334</v>
      </c>
      <c r="P10" s="630">
        <f t="shared" ref="P10:P21" si="59">INT(ABS(O10))</f>
        <v>11</v>
      </c>
      <c r="Q10" s="630">
        <f t="shared" ref="Q10:Q21" si="60">INT((ABS(O10)-P10)*60)</f>
        <v>57</v>
      </c>
      <c r="R10" s="630">
        <f t="shared" ref="R10:R21" si="61">INT((((ABS(O10)-P10)*60)-Q10)*60)</f>
        <v>35</v>
      </c>
      <c r="S10" s="630">
        <f t="shared" ref="S10:S21" si="62">INT((((((ABS(O10)-P10)*60)-Q10)*60)-R10)*60)</f>
        <v>22</v>
      </c>
      <c r="T10" s="625"/>
      <c r="U10" s="625"/>
      <c r="V10" s="669"/>
      <c r="W10" s="629" t="s">
        <v>4020</v>
      </c>
      <c r="X10" s="629">
        <f>X9+(2+(4/60))</f>
        <v>7.8894241903002431</v>
      </c>
      <c r="Y10" s="630">
        <f t="shared" si="7"/>
        <v>7</v>
      </c>
      <c r="Z10" s="630">
        <f t="shared" si="18"/>
        <v>53</v>
      </c>
      <c r="AA10" s="630">
        <f t="shared" si="19"/>
        <v>21</v>
      </c>
      <c r="AB10" s="630">
        <f t="shared" si="20"/>
        <v>55</v>
      </c>
      <c r="AC10" s="629"/>
      <c r="AD10" s="669">
        <v>3</v>
      </c>
      <c r="AE10" s="629" t="s">
        <v>443</v>
      </c>
      <c r="AF10" s="629">
        <f>[1]!hesseha(AF3,AF4,[1]!roz(AF5,AF6,0,0),AF7)</f>
        <v>348.50401606943183</v>
      </c>
      <c r="AG10" s="630">
        <f t="shared" si="37"/>
        <v>348</v>
      </c>
      <c r="AH10" s="630">
        <f t="shared" si="38"/>
        <v>30</v>
      </c>
      <c r="AI10" s="630">
        <f t="shared" si="39"/>
        <v>14</v>
      </c>
      <c r="AJ10" s="665">
        <f t="shared" si="40"/>
        <v>27</v>
      </c>
      <c r="AK10" s="625"/>
      <c r="AL10" s="620" t="s">
        <v>3515</v>
      </c>
      <c r="AM10" s="621">
        <f>[1]!bodovkhosoof(AM3,AM4,AM5,AM8,AM6,AM7)</f>
        <v>5.5645104822922917</v>
      </c>
      <c r="AN10" s="622">
        <f>INT(ABS(AM10))</f>
        <v>5</v>
      </c>
      <c r="AO10" s="622">
        <f>INT((ABS(AM10)-AN10)*60)</f>
        <v>33</v>
      </c>
      <c r="AP10" s="622">
        <f>INT((((ABS(AM10)-AN10)*60)-AO10)*60)</f>
        <v>52</v>
      </c>
      <c r="AQ10" s="682">
        <f>INT((((((ABS(AM10)-AN10)*60)-AO10)*60)-AP10)*60)</f>
        <v>14</v>
      </c>
      <c r="AR10" s="2566"/>
      <c r="AS10" s="163"/>
      <c r="AT10" s="163"/>
      <c r="AU10" s="163" t="s">
        <v>4148</v>
      </c>
      <c r="AV10" s="655"/>
      <c r="AW10" s="145" t="s">
        <v>4100</v>
      </c>
      <c r="AX10" s="145">
        <f>(AX6-AT3)/15</f>
        <v>0</v>
      </c>
      <c r="AY10" s="641">
        <f t="shared" si="41"/>
        <v>0</v>
      </c>
      <c r="AZ10" s="641">
        <f t="shared" si="42"/>
        <v>0</v>
      </c>
      <c r="BA10" s="641">
        <f t="shared" si="43"/>
        <v>0</v>
      </c>
      <c r="BB10" s="641">
        <f t="shared" ref="BB10" si="63">((((((ABS(AX10)-AY10)*60)-AZ10)*60)-BA10)*60)</f>
        <v>0</v>
      </c>
      <c r="BC10" s="655"/>
      <c r="BD10" s="641" t="s">
        <v>177</v>
      </c>
      <c r="BE10" s="641">
        <f>AX7</f>
        <v>35.721899999999998</v>
      </c>
      <c r="BF10" s="656">
        <v>24</v>
      </c>
      <c r="BG10" s="656">
        <v>48</v>
      </c>
      <c r="BH10" s="661"/>
      <c r="BI10" s="502"/>
      <c r="BJ10" s="502"/>
      <c r="BK10" s="655"/>
      <c r="BL10" s="656" t="s">
        <v>341</v>
      </c>
      <c r="BM10" s="656" t="s">
        <v>227</v>
      </c>
      <c r="BN10" s="656">
        <f>[1]!ml(BN3,BN9)</f>
        <v>7.5985699563131686</v>
      </c>
      <c r="BO10" s="641">
        <f>INT(ABS(BN10))</f>
        <v>7</v>
      </c>
      <c r="BP10" s="641">
        <f t="shared" si="45"/>
        <v>35</v>
      </c>
      <c r="BQ10" s="641">
        <f t="shared" si="46"/>
        <v>54</v>
      </c>
      <c r="BR10" s="657">
        <f t="shared" si="47"/>
        <v>51.110563644409126</v>
      </c>
      <c r="BS10" s="502"/>
      <c r="BT10" s="655">
        <v>3</v>
      </c>
      <c r="BU10" s="656" t="s">
        <v>787</v>
      </c>
      <c r="BV10" s="656">
        <f>BV8*BV9</f>
        <v>22.562266450801136</v>
      </c>
      <c r="BW10" s="641">
        <f t="shared" si="48"/>
        <v>22</v>
      </c>
      <c r="BX10" s="641">
        <f t="shared" si="49"/>
        <v>33</v>
      </c>
      <c r="BY10" s="641">
        <f t="shared" si="50"/>
        <v>44</v>
      </c>
      <c r="BZ10" s="641">
        <f t="shared" si="51"/>
        <v>9</v>
      </c>
      <c r="CA10" s="986">
        <f>[1]!taqtasa(BN40,BN18)</f>
        <v>43.781133673113459</v>
      </c>
      <c r="CB10" s="656" t="s">
        <v>4157</v>
      </c>
      <c r="CC10" s="609">
        <f>IF(CA10&lt;90,CJ8+CC9,CJ8-CC9)</f>
        <v>45.732870854389034</v>
      </c>
      <c r="CD10" s="641">
        <f t="shared" si="25"/>
        <v>45</v>
      </c>
      <c r="CE10" s="641">
        <f t="shared" si="26"/>
        <v>43</v>
      </c>
      <c r="CF10" s="641">
        <f t="shared" si="27"/>
        <v>58</v>
      </c>
      <c r="CG10" s="657">
        <f t="shared" si="28"/>
        <v>20</v>
      </c>
      <c r="CH10" s="641"/>
      <c r="CI10" s="656" t="s">
        <v>227</v>
      </c>
      <c r="CJ10" s="656">
        <f>[1]!ml(FJ9,CJ9)</f>
        <v>7.5985699563131686</v>
      </c>
      <c r="CK10" s="656"/>
      <c r="CL10" s="656"/>
      <c r="CM10" s="641"/>
      <c r="CN10" s="656">
        <v>3</v>
      </c>
      <c r="CO10" s="656" t="s">
        <v>924</v>
      </c>
      <c r="CP10" s="656">
        <f>POWER(CP9,2)</f>
        <v>0.30105094132504473</v>
      </c>
      <c r="CQ10" s="641">
        <f t="shared" si="29"/>
        <v>0</v>
      </c>
      <c r="CR10" s="641">
        <f t="shared" si="30"/>
        <v>18</v>
      </c>
      <c r="CS10" s="641">
        <f t="shared" si="31"/>
        <v>3</v>
      </c>
      <c r="CT10" s="645">
        <f t="shared" si="32"/>
        <v>47</v>
      </c>
      <c r="CU10" s="275"/>
      <c r="CV10" s="275"/>
      <c r="CW10" s="275"/>
      <c r="CX10" s="275"/>
      <c r="CY10" s="275"/>
      <c r="CZ10" s="275"/>
      <c r="DA10" s="674"/>
      <c r="DE10" s="1046">
        <v>3</v>
      </c>
      <c r="DF10" s="607" t="s">
        <v>1064</v>
      </c>
      <c r="DG10" s="607">
        <f>[1]!ertaztale(DG2,DG7,0,DG8,DG9)</f>
        <v>-37.820579839172048</v>
      </c>
      <c r="DH10" s="608">
        <f t="shared" si="33"/>
        <v>37</v>
      </c>
      <c r="DI10" s="608">
        <f t="shared" si="34"/>
        <v>49</v>
      </c>
      <c r="DJ10" s="608">
        <f t="shared" si="35"/>
        <v>14</v>
      </c>
      <c r="DK10" s="1047">
        <f t="shared" si="36"/>
        <v>5</v>
      </c>
      <c r="DQ10" s="715"/>
      <c r="DR10" s="715"/>
      <c r="DS10" s="715"/>
      <c r="DT10" s="1045"/>
      <c r="EK10" s="151" t="s">
        <v>1210</v>
      </c>
      <c r="EL10" s="151" t="e">
        <f ca="1">[2]!dtl(EO8,BN11,EO9)</f>
        <v>#NAME?</v>
      </c>
      <c r="EM10" s="156">
        <v>3</v>
      </c>
      <c r="EN10" s="156" t="str">
        <f>EK10</f>
        <v>درجه طلوع کوکب</v>
      </c>
      <c r="EO10" s="156" t="e">
        <f ca="1">EL10</f>
        <v>#NAME?</v>
      </c>
      <c r="EP10" s="159" t="e">
        <f ca="1">INT(ABS(EO10))</f>
        <v>#NAME?</v>
      </c>
      <c r="EQ10" s="159" t="e">
        <f ca="1">INT((ABS(EO10)-EP10)*60)</f>
        <v>#NAME?</v>
      </c>
      <c r="ER10" s="159" t="e">
        <f ca="1">INT((((ABS(EO10)-EP10)*60)-EQ10)*60)</f>
        <v>#NAME?</v>
      </c>
      <c r="ES10" s="159" t="e">
        <f ca="1">INT((((((ABS(EO10)-EP10)*60)-EQ10)*60)-ER10)*60)</f>
        <v>#NAME?</v>
      </c>
      <c r="EU10" s="156" t="s">
        <v>279</v>
      </c>
      <c r="EV10" s="156" t="e">
        <f ca="1">EO10</f>
        <v>#NAME?</v>
      </c>
      <c r="EW10" s="159" t="e">
        <f ca="1">INT(ABS(EV10))</f>
        <v>#NAME?</v>
      </c>
      <c r="EX10" s="159" t="e">
        <f ca="1">INT((ABS(EV10)-EW10)*60)</f>
        <v>#NAME?</v>
      </c>
      <c r="EY10" s="159" t="e">
        <f ca="1">INT((((ABS(EV10)-EW10)*60)-EX10)*60)</f>
        <v>#NAME?</v>
      </c>
      <c r="EZ10" s="159" t="e">
        <f ca="1">INT((((((ABS(EV10)-EW10)*60)-EX10)*60)-EY10)*60)</f>
        <v>#NAME?</v>
      </c>
      <c r="FD10" s="639" t="e">
        <f ca="1">[2]!ml(FG17)</f>
        <v>#NAME?</v>
      </c>
      <c r="FE10" s="620"/>
      <c r="FF10" s="621"/>
      <c r="FG10" s="621"/>
      <c r="FH10" s="621"/>
      <c r="FI10" s="621" t="s">
        <v>4</v>
      </c>
      <c r="FJ10" s="621">
        <f>AX3</f>
        <v>9</v>
      </c>
      <c r="FK10" s="621"/>
      <c r="FL10" s="621"/>
      <c r="FM10" s="621"/>
      <c r="FN10" s="603" t="s">
        <v>1102</v>
      </c>
      <c r="FO10" s="604"/>
      <c r="FQ10" s="280" t="s">
        <v>2188</v>
      </c>
      <c r="FR10" s="226">
        <f>180-FR9</f>
        <v>43.780049534295586</v>
      </c>
      <c r="FS10" s="226"/>
      <c r="FT10" s="226"/>
      <c r="FU10" s="227"/>
      <c r="FV10" s="208"/>
      <c r="FW10" s="409"/>
      <c r="GT10" s="577" t="s">
        <v>387</v>
      </c>
      <c r="GU10" s="577" t="e">
        <f ca="1">[2]!taam([2]!wasata(GU3,GU4,GU5,GU7))</f>
        <v>#NAME?</v>
      </c>
      <c r="GV10" s="578" t="e">
        <f ca="1">INT(ABS(GU10))</f>
        <v>#NAME?</v>
      </c>
      <c r="GW10" s="578" t="e">
        <f ca="1">INT((ABS(GU10)-GV10)*60)</f>
        <v>#NAME?</v>
      </c>
      <c r="GX10" s="578" t="e">
        <f ca="1">INT((((ABS(GU10)-GV10)*60)-GW10)*60)</f>
        <v>#NAME?</v>
      </c>
      <c r="GY10" s="578" t="e">
        <f ca="1">INT((((((ABS(GU10)-GV10)*60)-GW10)*60)-GX10)*60)</f>
        <v>#NAME?</v>
      </c>
      <c r="HC10" s="280" t="s">
        <v>2184</v>
      </c>
      <c r="HD10" s="226"/>
      <c r="HE10" s="226"/>
      <c r="HF10" s="226"/>
      <c r="HG10" s="227"/>
      <c r="HI10" s="280" t="s">
        <v>2184</v>
      </c>
      <c r="HJ10" s="226"/>
      <c r="HK10" s="226"/>
      <c r="HL10" s="226"/>
      <c r="HM10" s="227"/>
      <c r="HY10" s="587" t="s">
        <v>177</v>
      </c>
      <c r="HZ10" s="502">
        <v>35</v>
      </c>
      <c r="IA10" s="588"/>
      <c r="IC10" s="264" t="s">
        <v>342</v>
      </c>
      <c r="ID10" s="114" t="s">
        <v>2252</v>
      </c>
      <c r="IE10" s="114" t="e">
        <f ca="1">asabeqotrkhj(IE8,IE9/6)</f>
        <v>#NAME?</v>
      </c>
      <c r="IF10" s="455" t="e">
        <f t="shared" ref="IF10:IF24" ca="1" si="64">INT(ABS(IE10))</f>
        <v>#NAME?</v>
      </c>
      <c r="IG10" s="455" t="e">
        <f t="shared" ref="IG10:IG24" ca="1" si="65">INT((ABS(IE10)-IF10)*60)</f>
        <v>#NAME?</v>
      </c>
      <c r="IH10" s="455" t="e">
        <f t="shared" ref="IH10:IH24" ca="1" si="66">INT((((ABS(IE10)-IF10)*60)-IG10)*60)</f>
        <v>#NAME?</v>
      </c>
      <c r="II10" s="454" t="e">
        <f t="shared" ref="II10:II24" ca="1" si="67">INT((((((ABS(IE10)-IF10)*60)-IG10)*60)-IH10)*60)</f>
        <v>#NAME?</v>
      </c>
    </row>
    <row r="11" spans="1:243" ht="24.75">
      <c r="A11" s="2551"/>
      <c r="B11" s="2552"/>
      <c r="C11" s="2552"/>
      <c r="D11" s="2552"/>
      <c r="E11" s="2568" t="str">
        <f>IF(G3=G8,I8,"")</f>
        <v xml:space="preserve">زحل </v>
      </c>
      <c r="F11" s="2569" t="str">
        <f>IF(G3=G7,I7,"")</f>
        <v/>
      </c>
      <c r="G11" s="2569" t="str">
        <f>IF(G3=G6,I6,"")</f>
        <v/>
      </c>
      <c r="H11" s="2569" t="str">
        <f>IF(G3=G5,I5,"")</f>
        <v/>
      </c>
      <c r="I11" s="2570" t="str">
        <f>IF(G3=G4,I4,"")</f>
        <v/>
      </c>
      <c r="K11" s="845"/>
      <c r="L11" s="845"/>
      <c r="M11" s="629"/>
      <c r="N11" s="629" t="s">
        <v>401</v>
      </c>
      <c r="O11" s="629">
        <f>[1]!wasatq(O3,O4,[1]!roz(O5,O10,0,0),O8)</f>
        <v>359.64500470826169</v>
      </c>
      <c r="P11" s="630">
        <f t="shared" si="59"/>
        <v>359</v>
      </c>
      <c r="Q11" s="630">
        <f t="shared" si="60"/>
        <v>38</v>
      </c>
      <c r="R11" s="630">
        <f t="shared" si="61"/>
        <v>42</v>
      </c>
      <c r="S11" s="630">
        <f t="shared" si="62"/>
        <v>1</v>
      </c>
      <c r="T11" s="625"/>
      <c r="U11" s="625"/>
      <c r="V11" s="669"/>
      <c r="W11" s="629" t="s">
        <v>4021</v>
      </c>
      <c r="X11" s="629">
        <f>X8-(2+(4/60))</f>
        <v>16.030230615966424</v>
      </c>
      <c r="Y11" s="630">
        <f t="shared" si="7"/>
        <v>16</v>
      </c>
      <c r="Z11" s="630">
        <f t="shared" si="18"/>
        <v>1</v>
      </c>
      <c r="AA11" s="630">
        <f t="shared" si="19"/>
        <v>48</v>
      </c>
      <c r="AB11" s="630">
        <f t="shared" si="20"/>
        <v>49</v>
      </c>
      <c r="AC11" s="629"/>
      <c r="AD11" s="669">
        <v>4</v>
      </c>
      <c r="AE11" s="629" t="s">
        <v>416</v>
      </c>
      <c r="AF11" s="629">
        <f>[1]!arzq(AF10)</f>
        <v>-0.9997941762626571</v>
      </c>
      <c r="AG11" s="630">
        <f t="shared" si="37"/>
        <v>0</v>
      </c>
      <c r="AH11" s="630">
        <f t="shared" si="38"/>
        <v>59</v>
      </c>
      <c r="AI11" s="630">
        <f t="shared" si="39"/>
        <v>59</v>
      </c>
      <c r="AJ11" s="665">
        <f t="shared" si="40"/>
        <v>15</v>
      </c>
      <c r="AK11" s="625"/>
      <c r="AL11" s="620" t="s">
        <v>3503</v>
      </c>
      <c r="AM11" s="621">
        <f>[1]!vasatkhosoof(AM3,AM4,AM5,AM8,AM6,AM7)</f>
        <v>6.1226129397029254</v>
      </c>
      <c r="AN11" s="622">
        <f>INT(ABS(AM11))</f>
        <v>6</v>
      </c>
      <c r="AO11" s="622">
        <f>INT((ABS(AM11)-AN11)*60)</f>
        <v>7</v>
      </c>
      <c r="AP11" s="622">
        <f>INT((((ABS(AM11)-AN11)*60)-AO11)*60)</f>
        <v>21</v>
      </c>
      <c r="AQ11" s="682">
        <f>INT((((((ABS(AM11)-AN11)*60)-AO11)*60)-AP11)*60)</f>
        <v>24</v>
      </c>
      <c r="AR11" s="2566"/>
      <c r="AV11" s="986">
        <v>1</v>
      </c>
      <c r="AW11" s="656" t="s">
        <v>1022</v>
      </c>
      <c r="AX11" s="656">
        <f>[1]!taqsha(AX2,AX3,[1]!roz(AX4,AX9+AX10,0,0),AX8)</f>
        <v>19.025449104555619</v>
      </c>
      <c r="AY11" s="641">
        <f t="shared" ref="AY11:AY16" si="68">INT(ABS(AX11))</f>
        <v>19</v>
      </c>
      <c r="AZ11" s="641">
        <f t="shared" ref="AZ11:AZ18" si="69">INT((ABS(AX11)-AY11)*60)</f>
        <v>1</v>
      </c>
      <c r="BA11" s="641">
        <f t="shared" ref="BA11:BA18" si="70">INT((((ABS(AX11)-AY11)*60)-AZ11)*60)</f>
        <v>31</v>
      </c>
      <c r="BB11" s="641">
        <f t="shared" ref="BB11:BB20" si="71">((((((ABS(AX11)-AY11)*60)-AZ11)*60)-BA11)*60)</f>
        <v>37.006584013774955</v>
      </c>
      <c r="BC11" s="655"/>
      <c r="BD11" s="656" t="s">
        <v>426</v>
      </c>
      <c r="BE11" s="656">
        <f>[1]!dtl(BE3,BE8,BE9,BE10)</f>
        <v>19.427923152300039</v>
      </c>
      <c r="BF11" s="641">
        <f t="shared" ref="BF11:BF19" si="72">INT(ABS(BE11))</f>
        <v>19</v>
      </c>
      <c r="BG11" s="641">
        <f t="shared" ref="BG11:BG19" si="73">INT((ABS(BE11)-BF11)*60)</f>
        <v>25</v>
      </c>
      <c r="BH11" s="657">
        <f t="shared" ref="BH11:BH19" si="74">INT((((ABS(BE11)-BF11)*60)-BG11)*60)</f>
        <v>40</v>
      </c>
      <c r="BI11" s="502"/>
      <c r="BJ11" s="502"/>
      <c r="BK11" s="655"/>
      <c r="BL11" s="656"/>
      <c r="BM11" s="656" t="s">
        <v>177</v>
      </c>
      <c r="BN11" s="641">
        <f>BE10</f>
        <v>35.721899999999998</v>
      </c>
      <c r="BO11" s="641">
        <f>INT(ABS(BN11))</f>
        <v>35</v>
      </c>
      <c r="BP11" s="641">
        <f t="shared" ref="BP11" si="75">INT((ABS(BN11)-BO11)*60)</f>
        <v>43</v>
      </c>
      <c r="BQ11" s="641">
        <f t="shared" ref="BQ11" si="76">INT((((ABS(BN11)-BO11)*60)-BP11)*60)</f>
        <v>18</v>
      </c>
      <c r="BR11" s="657">
        <f t="shared" ref="BR11" si="77">((((((ABS(BN11)-BO11)*60)-BP11)*60)-BQ11)*60)</f>
        <v>50.399999999565352</v>
      </c>
      <c r="BS11" s="502"/>
      <c r="BT11" s="690">
        <v>4</v>
      </c>
      <c r="BU11" s="656" t="s">
        <v>1089</v>
      </c>
      <c r="BV11" s="656">
        <f>[1]!csn(BN54)</f>
        <v>47.259852879399865</v>
      </c>
      <c r="BW11" s="641">
        <f t="shared" si="48"/>
        <v>47</v>
      </c>
      <c r="BX11" s="641">
        <f t="shared" si="49"/>
        <v>15</v>
      </c>
      <c r="BY11" s="641">
        <f t="shared" si="50"/>
        <v>35</v>
      </c>
      <c r="BZ11" s="641">
        <f t="shared" si="51"/>
        <v>28</v>
      </c>
      <c r="CA11" s="986">
        <v>4</v>
      </c>
      <c r="CB11" s="656" t="s">
        <v>698</v>
      </c>
      <c r="CC11" s="656">
        <f>[1]!taqqa(CC4,CC5,[1]!roz(BE5,CC10,0,0),CC7)</f>
        <v>34.252378055466409</v>
      </c>
      <c r="CD11" s="641">
        <f t="shared" si="25"/>
        <v>34</v>
      </c>
      <c r="CE11" s="641">
        <f t="shared" si="26"/>
        <v>15</v>
      </c>
      <c r="CF11" s="641">
        <f t="shared" si="27"/>
        <v>8</v>
      </c>
      <c r="CG11" s="657">
        <f t="shared" si="28"/>
        <v>33</v>
      </c>
      <c r="CH11" s="641"/>
      <c r="CI11" s="656" t="s">
        <v>177</v>
      </c>
      <c r="CJ11" s="641">
        <f>FJ14</f>
        <v>35.721899999999998</v>
      </c>
      <c r="CK11" s="656"/>
      <c r="CL11" s="656"/>
      <c r="CM11" s="641"/>
      <c r="CN11" s="656">
        <v>4</v>
      </c>
      <c r="CO11" s="656" t="s">
        <v>839</v>
      </c>
      <c r="CP11" s="656">
        <f>(CP10-CP8)</f>
        <v>0.28177888393216083</v>
      </c>
      <c r="CQ11" s="641">
        <f t="shared" si="29"/>
        <v>0</v>
      </c>
      <c r="CR11" s="641">
        <f t="shared" si="30"/>
        <v>16</v>
      </c>
      <c r="CS11" s="641">
        <f t="shared" si="31"/>
        <v>54</v>
      </c>
      <c r="CT11" s="645">
        <f t="shared" si="32"/>
        <v>24</v>
      </c>
      <c r="CU11" s="275"/>
      <c r="CV11" s="275" t="s">
        <v>3467</v>
      </c>
      <c r="CW11" s="275">
        <f>[1]!saatejtema(CW4,CW5,CW6,CW8)</f>
        <v>21.935667209729971</v>
      </c>
      <c r="CX11" s="648">
        <f>INT(ABS(CW11))</f>
        <v>21</v>
      </c>
      <c r="CY11" s="648">
        <f>INT((ABS(CW11)-CX11)*60)</f>
        <v>56</v>
      </c>
      <c r="CZ11" s="648">
        <f>INT((((ABS(CW11)-CX11)*60)-CY11)*60)</f>
        <v>8</v>
      </c>
      <c r="DA11" s="649">
        <f>INT((((((ABS(CW11)-CX11)*60)-CY11)*60)-CZ11)*60)</f>
        <v>24</v>
      </c>
      <c r="DE11" s="1046">
        <v>4</v>
      </c>
      <c r="DF11" s="607" t="s">
        <v>3844</v>
      </c>
      <c r="DG11" s="607">
        <f>[1]!manzarsh(ABS(DG10))</f>
        <v>3.3879361185568495E-2</v>
      </c>
      <c r="DH11" s="608">
        <f t="shared" si="33"/>
        <v>0</v>
      </c>
      <c r="DI11" s="608">
        <f t="shared" si="34"/>
        <v>2</v>
      </c>
      <c r="DJ11" s="608">
        <f t="shared" si="35"/>
        <v>1</v>
      </c>
      <c r="DK11" s="1047">
        <f t="shared" si="36"/>
        <v>57</v>
      </c>
      <c r="DQ11" s="715"/>
      <c r="DR11" s="715"/>
      <c r="DS11" s="715"/>
      <c r="DT11" s="1045"/>
      <c r="EK11" s="151" t="s">
        <v>1215</v>
      </c>
      <c r="EL11" s="151" t="e">
        <f ca="1">[2]!qsn([2]!bkm(EO8,EO9),BN11)</f>
        <v>#NAME?</v>
      </c>
      <c r="EM11" s="156">
        <v>4</v>
      </c>
      <c r="EN11" s="156" t="s">
        <v>231</v>
      </c>
      <c r="EO11" s="156">
        <f>BN29</f>
        <v>27.594992261182135</v>
      </c>
      <c r="EP11" s="159">
        <f t="shared" si="52"/>
        <v>27</v>
      </c>
      <c r="EQ11" s="159">
        <f t="shared" si="53"/>
        <v>35</v>
      </c>
      <c r="ER11" s="159">
        <f t="shared" si="54"/>
        <v>41</v>
      </c>
      <c r="ES11" s="159">
        <f t="shared" si="55"/>
        <v>58</v>
      </c>
      <c r="EU11" s="156" t="s">
        <v>231</v>
      </c>
      <c r="EV11" s="156">
        <f>EO11</f>
        <v>27.594992261182135</v>
      </c>
      <c r="EW11" s="159">
        <f>INT(ABS(EV11))</f>
        <v>27</v>
      </c>
      <c r="EX11" s="159">
        <f>INT((ABS(EV11)-EW11)*60)</f>
        <v>35</v>
      </c>
      <c r="EY11" s="159">
        <f>INT((((ABS(EV11)-EW11)*60)-EX11)*60)</f>
        <v>41</v>
      </c>
      <c r="EZ11" s="159">
        <f>INT((((((ABS(EV11)-EW11)*60)-EX11)*60)-EY11)*60)</f>
        <v>58</v>
      </c>
      <c r="FC11" s="151" t="s">
        <v>2349</v>
      </c>
      <c r="FD11" s="151" t="e">
        <f ca="1">[2]!qsn(FD10,FJ14)</f>
        <v>#NAME?</v>
      </c>
      <c r="FE11" s="620"/>
      <c r="FF11" s="621"/>
      <c r="FG11" s="621"/>
      <c r="FH11" s="621"/>
      <c r="FI11" s="621" t="s">
        <v>5</v>
      </c>
      <c r="FJ11" s="621">
        <f>AX4</f>
        <v>29</v>
      </c>
      <c r="FK11" s="621"/>
      <c r="FL11" s="621"/>
      <c r="FM11" s="621"/>
      <c r="FN11" s="603" t="s">
        <v>1167</v>
      </c>
      <c r="FO11" s="604"/>
      <c r="FQ11" s="280" t="s">
        <v>3480</v>
      </c>
      <c r="FR11" s="429">
        <f>IF(FR10&lt;FR9,FR10,FR9)</f>
        <v>43.780049534295586</v>
      </c>
      <c r="FS11" s="226"/>
      <c r="FT11" s="226"/>
      <c r="FU11" s="227"/>
      <c r="FV11" s="208"/>
      <c r="FW11" s="409"/>
      <c r="GT11" s="577" t="s">
        <v>1054</v>
      </c>
      <c r="GU11" s="578">
        <f>GU6</f>
        <v>21.938862912798051</v>
      </c>
      <c r="GV11" s="578">
        <f t="shared" ref="GV11:GV14" si="78">INT(ABS(GU11))</f>
        <v>21</v>
      </c>
      <c r="GW11" s="578">
        <f t="shared" ref="GW11:GW14" si="79">INT((ABS(GU11)-GV11)*60)</f>
        <v>56</v>
      </c>
      <c r="GX11" s="578">
        <f t="shared" ref="GX11:GX14" si="80">INT((((ABS(GU11)-GV11)*60)-GW11)*60)</f>
        <v>19</v>
      </c>
      <c r="GY11" s="578">
        <f t="shared" ref="GY11:GY14" si="81">INT((((((ABS(GU11)-GV11)*60)-GW11)*60)-GX11)*60)</f>
        <v>54</v>
      </c>
      <c r="HC11" s="280" t="s">
        <v>2189</v>
      </c>
      <c r="HD11" s="388" t="e">
        <f ca="1">IF(IF(HD8-HD7&gt;180,360-(HD8-HD7),ABS(HD8-HD7))&lt;=180,IF(HD8-HD7&gt;180,360-(HD8-HD7),ABS(HD8-HD7)),360-IF(HD8-HD7&gt;180,360-(HD8-HD7),ABS(HD8-HD7)))</f>
        <v>#NAME?</v>
      </c>
      <c r="HE11" s="226"/>
      <c r="HF11" s="226"/>
      <c r="HG11" s="227"/>
      <c r="HI11" s="280" t="s">
        <v>2189</v>
      </c>
      <c r="HJ11" s="388" t="e">
        <f ca="1">IF(IF(HJ8-HJ7&gt;180,360-(HJ8-HJ7),ABS(HJ8-HJ7))&lt;=180,IF(HJ8-HJ7&gt;180,360-(HJ8-HJ7),ABS(HJ8-HJ7)),360-IF(HJ8-HJ7&gt;180,360-(HJ8-HJ7),ABS(HJ8-HJ7)))</f>
        <v>#NAME?</v>
      </c>
      <c r="HK11" s="226"/>
      <c r="HL11" s="226"/>
      <c r="HM11" s="227"/>
      <c r="HY11" s="638"/>
      <c r="HZ11" s="638"/>
      <c r="IA11" s="638"/>
      <c r="IC11" s="264" t="s">
        <v>343</v>
      </c>
      <c r="ID11" s="114" t="s">
        <v>2265</v>
      </c>
      <c r="IE11" s="114" t="e">
        <f ca="1">[2]!asabeqotrkhj(IE8+2,IE9/6)</f>
        <v>#NAME?</v>
      </c>
      <c r="IF11" s="455" t="e">
        <f t="shared" ca="1" si="64"/>
        <v>#NAME?</v>
      </c>
      <c r="IG11" s="455" t="e">
        <f t="shared" ca="1" si="65"/>
        <v>#NAME?</v>
      </c>
      <c r="IH11" s="455" t="e">
        <f t="shared" ca="1" si="66"/>
        <v>#NAME?</v>
      </c>
      <c r="II11" s="454" t="e">
        <f t="shared" ca="1" si="67"/>
        <v>#NAME?</v>
      </c>
    </row>
    <row r="12" spans="1:243" ht="24.75">
      <c r="A12" s="2551"/>
      <c r="B12" s="2552"/>
      <c r="C12" s="2552"/>
      <c r="D12" s="2552"/>
      <c r="E12" s="2552"/>
      <c r="F12" s="2552"/>
      <c r="G12" s="2552" t="str">
        <f>IF(H12=I8,D8,IF(H12=I7,D7,IF(H12=I6,D6,IF(H12=I5,D5,IF(H12=D4,"",IF(H12="","مدبر ندارد ","مدبر متعدد است"))))))</f>
        <v xml:space="preserve"> انواع علل سوداوی حادث گردد و سختی سرما وابر و بیم وباد و مضرت در حیوانات بزرگ و بارکش و فساد حال مشایخ و دهاقین و خاندانهای قدیم و فقرا و گوشه نشینان</v>
      </c>
      <c r="H12" s="2552" t="str">
        <f>CONCATENATE(I11,H11,G11,F11,E11)</f>
        <v xml:space="preserve">زحل </v>
      </c>
      <c r="I12" s="2553" t="s">
        <v>4678</v>
      </c>
      <c r="K12" s="845"/>
      <c r="L12" s="845"/>
      <c r="M12" s="629">
        <v>1</v>
      </c>
      <c r="N12" s="629" t="s">
        <v>884</v>
      </c>
      <c r="O12" s="629">
        <f>[1]!taqsha(O3,O4,[1]!roz(O5,O10,0,0),O8)</f>
        <v>175.92225714369135</v>
      </c>
      <c r="P12" s="630">
        <f t="shared" si="59"/>
        <v>175</v>
      </c>
      <c r="Q12" s="630">
        <f t="shared" si="60"/>
        <v>55</v>
      </c>
      <c r="R12" s="630">
        <f t="shared" si="61"/>
        <v>20</v>
      </c>
      <c r="S12" s="630">
        <f t="shared" si="62"/>
        <v>7</v>
      </c>
      <c r="T12" s="625"/>
      <c r="U12" s="625"/>
      <c r="V12" s="669"/>
      <c r="W12" s="629"/>
      <c r="X12" s="621" t="str">
        <f>IF(AND(X4&gt;X10,X4&lt;X11),"غیرمرئی","مرئی")</f>
        <v>مرئی</v>
      </c>
      <c r="Y12" s="629"/>
      <c r="Z12" s="629"/>
      <c r="AA12" s="629"/>
      <c r="AB12" s="629"/>
      <c r="AC12" s="629"/>
      <c r="AD12" s="669"/>
      <c r="AE12" s="629" t="s">
        <v>3509</v>
      </c>
      <c r="AF12" s="629">
        <f>[1]!amonaqah(AF3,AF4,[1]!roz(AF5,AF6,0,0),AF7)</f>
        <v>-1.0088897035903548</v>
      </c>
      <c r="AG12" s="630">
        <f t="shared" ref="AG12" si="82">INT(ABS(AF12))</f>
        <v>1</v>
      </c>
      <c r="AH12" s="630">
        <f t="shared" ref="AH12" si="83">INT((ABS(AF12)-AG12)*60)</f>
        <v>0</v>
      </c>
      <c r="AI12" s="630">
        <f t="shared" ref="AI12" si="84">INT((((ABS(AF12)-AG12)*60)-AH12)*60)</f>
        <v>32</v>
      </c>
      <c r="AJ12" s="665">
        <f t="shared" ref="AJ12" si="85">INT((((((ABS(AF12)-AG12)*60)-AH12)*60)-AI12)*60)</f>
        <v>0</v>
      </c>
      <c r="AK12" s="625"/>
      <c r="AL12" s="620" t="s">
        <v>3504</v>
      </c>
      <c r="AM12" s="621">
        <f>[1]!enjelakhosoof(AM3,AM4,AM5,AM8,AM6,AM7)</f>
        <v>6.6807153971135591</v>
      </c>
      <c r="AN12" s="622">
        <f>INT(ABS(AM12))</f>
        <v>6</v>
      </c>
      <c r="AO12" s="622">
        <f>INT((ABS(AM12)-AN12)*60)</f>
        <v>40</v>
      </c>
      <c r="AP12" s="622">
        <f>INT((((ABS(AM12)-AN12)*60)-AO12)*60)</f>
        <v>50</v>
      </c>
      <c r="AQ12" s="682">
        <f>INT((((((ABS(AM12)-AN12)*60)-AO12)*60)-AP12)*60)</f>
        <v>34</v>
      </c>
      <c r="AR12" s="2566"/>
      <c r="AS12" s="2571"/>
      <c r="AT12" s="2571" t="str">
        <f>[1]!borjame(AX29)</f>
        <v>hamal</v>
      </c>
      <c r="AU12" s="2571" t="s">
        <v>4684</v>
      </c>
      <c r="AV12" s="986">
        <v>2</v>
      </c>
      <c r="AW12" s="656" t="s">
        <v>1023</v>
      </c>
      <c r="AX12" s="656">
        <f>[1]!taqqa(AX2,AX3,[1]!roz(AX4,AX9+AX10,0,0),AX8)</f>
        <v>13.304880112932153</v>
      </c>
      <c r="AY12" s="641">
        <f t="shared" si="68"/>
        <v>13</v>
      </c>
      <c r="AZ12" s="641">
        <f t="shared" si="69"/>
        <v>18</v>
      </c>
      <c r="BA12" s="641">
        <f t="shared" si="70"/>
        <v>17</v>
      </c>
      <c r="BB12" s="641">
        <f t="shared" si="71"/>
        <v>34.104393345096469</v>
      </c>
      <c r="BC12" s="655"/>
      <c r="BD12" s="656" t="s">
        <v>394</v>
      </c>
      <c r="BE12" s="656">
        <f>[1]!tadna(BE3,BE10,BE9)</f>
        <v>5.5052626996533442</v>
      </c>
      <c r="BF12" s="641">
        <f t="shared" si="72"/>
        <v>5</v>
      </c>
      <c r="BG12" s="641">
        <f t="shared" si="73"/>
        <v>30</v>
      </c>
      <c r="BH12" s="657">
        <f t="shared" si="74"/>
        <v>18</v>
      </c>
      <c r="BI12" s="502"/>
      <c r="BJ12" s="502"/>
      <c r="BK12" s="655"/>
      <c r="BL12" s="656" t="s">
        <v>333</v>
      </c>
      <c r="BM12" s="656" t="s">
        <v>1055</v>
      </c>
      <c r="BN12" s="656">
        <f>[1]!qsn(BN10,BN11)</f>
        <v>191.01052539930669</v>
      </c>
      <c r="BO12" s="641">
        <f t="shared" ref="BO12:BO22" si="86">INT(ABS(BN12))</f>
        <v>191</v>
      </c>
      <c r="BP12" s="641">
        <f t="shared" si="45"/>
        <v>0</v>
      </c>
      <c r="BQ12" s="641">
        <f t="shared" si="46"/>
        <v>37</v>
      </c>
      <c r="BR12" s="657">
        <f t="shared" si="47"/>
        <v>53.486250244332041</v>
      </c>
      <c r="BS12" s="502"/>
      <c r="BT12" s="655">
        <v>5</v>
      </c>
      <c r="BU12" s="656" t="s">
        <v>1091</v>
      </c>
      <c r="BV12" s="656">
        <f>BV10/BV11</f>
        <v>0.47740873227804353</v>
      </c>
      <c r="BW12" s="641">
        <f t="shared" si="48"/>
        <v>0</v>
      </c>
      <c r="BX12" s="641">
        <f t="shared" si="49"/>
        <v>28</v>
      </c>
      <c r="BY12" s="641">
        <f t="shared" si="50"/>
        <v>38</v>
      </c>
      <c r="BZ12" s="641">
        <f t="shared" si="51"/>
        <v>40</v>
      </c>
      <c r="CA12" s="986"/>
      <c r="CB12" s="656" t="s">
        <v>3851</v>
      </c>
      <c r="CC12" s="656">
        <f>[1]!taqmareesha(CC4,CC5,AX4,CC10,CC7,CJ11)</f>
        <v>20.395841999744238</v>
      </c>
      <c r="CD12" s="641">
        <f>INT(ABS(CC12))</f>
        <v>20</v>
      </c>
      <c r="CE12" s="641">
        <f>INT((ABS(CC12)-CD12)*60)</f>
        <v>23</v>
      </c>
      <c r="CF12" s="641">
        <f>INT((((ABS(CC12)-CD12)*60)-CE12)*60)</f>
        <v>45</v>
      </c>
      <c r="CG12" s="657">
        <f>INT((((((ABS(CC12)-CD12)*60)-CE12)*60)-CF12)*60)</f>
        <v>1</v>
      </c>
      <c r="CH12" s="641"/>
      <c r="CI12" s="656" t="s">
        <v>1055</v>
      </c>
      <c r="CJ12" s="656">
        <f>[1]!qsn(CJ10,CJ11)</f>
        <v>191.01052539930669</v>
      </c>
      <c r="CK12" s="656"/>
      <c r="CL12" s="656"/>
      <c r="CM12" s="656"/>
      <c r="CN12" s="656">
        <v>5</v>
      </c>
      <c r="CO12" s="656" t="s">
        <v>927</v>
      </c>
      <c r="CP12" s="656">
        <f>SQRT(CP11)</f>
        <v>0.53082848824470685</v>
      </c>
      <c r="CQ12" s="641">
        <f t="shared" si="29"/>
        <v>0</v>
      </c>
      <c r="CR12" s="641">
        <f t="shared" si="30"/>
        <v>31</v>
      </c>
      <c r="CS12" s="641">
        <f t="shared" si="31"/>
        <v>50</v>
      </c>
      <c r="CT12" s="645">
        <f t="shared" si="32"/>
        <v>58</v>
      </c>
      <c r="CU12" s="275"/>
      <c r="CV12" s="275"/>
      <c r="CW12" s="275">
        <f>[1]!wasata(CW4,CW5,[1]!roz(CW6,CW11,0,0),CW8)</f>
        <v>17.510176344631873</v>
      </c>
      <c r="CX12" s="648"/>
      <c r="CY12" s="648"/>
      <c r="CZ12" s="648"/>
      <c r="DA12" s="649"/>
      <c r="DE12" s="1046">
        <v>5</v>
      </c>
      <c r="DF12" s="607" t="s">
        <v>1182</v>
      </c>
      <c r="DG12" s="607">
        <f>[1]!sn(DG11)</f>
        <v>3.5478382002169448E-2</v>
      </c>
      <c r="DH12" s="608">
        <f t="shared" si="33"/>
        <v>0</v>
      </c>
      <c r="DI12" s="608">
        <f t="shared" si="34"/>
        <v>2</v>
      </c>
      <c r="DJ12" s="608">
        <f t="shared" si="35"/>
        <v>7</v>
      </c>
      <c r="DK12" s="1047">
        <f t="shared" si="36"/>
        <v>43</v>
      </c>
      <c r="DQ12" s="715"/>
      <c r="DR12" s="715"/>
      <c r="DS12" s="715"/>
      <c r="DT12" s="1045"/>
      <c r="EK12" s="151" t="s">
        <v>1214</v>
      </c>
      <c r="EL12" s="151" t="e">
        <f ca="1">IF(EL10+EL11&lt;360,EL10+EL11,EL11+EL10-360)</f>
        <v>#NAME?</v>
      </c>
      <c r="EM12" s="156">
        <v>5</v>
      </c>
      <c r="EN12" s="156" t="s">
        <v>1140</v>
      </c>
      <c r="EO12" s="156" t="e">
        <f ca="1">[2]!asn([2]!sn(IF((ABS(EO9-EO10))&gt;90,180-ABS(EO9-EO10),EO9-EO10))*[2]!csn(EO11)/60)</f>
        <v>#NAME?</v>
      </c>
      <c r="EP12" s="159" t="e">
        <f ca="1">INT(ABS(EO12))</f>
        <v>#NAME?</v>
      </c>
      <c r="EQ12" s="159" t="e">
        <f ca="1">INT((ABS(EO12)-EP12)*60)</f>
        <v>#NAME?</v>
      </c>
      <c r="ER12" s="159" t="e">
        <f ca="1">INT((((ABS(EO12)-EP12)*60)-EQ12)*60)</f>
        <v>#NAME?</v>
      </c>
      <c r="ES12" s="159" t="e">
        <f ca="1">INT((((((ABS(EO12)-EP12)*60)-EQ12)*60)-ER12)*60)</f>
        <v>#NAME?</v>
      </c>
      <c r="EU12" s="156"/>
      <c r="EV12" s="156"/>
      <c r="EW12" s="156"/>
      <c r="EX12" s="156"/>
      <c r="EY12" s="156"/>
      <c r="EZ12" s="156"/>
      <c r="FC12" s="151" t="s">
        <v>2350</v>
      </c>
      <c r="FD12" s="151" t="e">
        <f ca="1">((360-FD11))/15</f>
        <v>#NAME?</v>
      </c>
      <c r="FE12" s="620"/>
      <c r="FF12" s="621"/>
      <c r="FG12" s="621"/>
      <c r="FH12" s="621"/>
      <c r="FI12" s="621" t="s">
        <v>3467</v>
      </c>
      <c r="FJ12" s="621">
        <f>BN8</f>
        <v>21.938862912798051</v>
      </c>
      <c r="FK12" s="621"/>
      <c r="FL12" s="621"/>
      <c r="FM12" s="621"/>
      <c r="FN12" s="603" t="s">
        <v>1100</v>
      </c>
      <c r="FO12" s="604"/>
      <c r="FQ12" s="430" t="s">
        <v>206</v>
      </c>
      <c r="FR12" s="429">
        <f>[1]!mtb(FJ9,FR6,FR3)</f>
        <v>257.01632074364778</v>
      </c>
      <c r="FS12" s="226"/>
      <c r="FT12" s="226"/>
      <c r="FU12" s="227"/>
      <c r="FV12" s="208"/>
      <c r="FW12" s="409"/>
      <c r="GT12" s="577" t="s">
        <v>395</v>
      </c>
      <c r="GU12" s="577" t="e">
        <f ca="1">[2]!taqsha(GU3,GU4,[2]!roz(GU5,GU6,0,0),GU7)</f>
        <v>#NAME?</v>
      </c>
      <c r="GV12" s="578" t="e">
        <f ca="1">INT(ABS(GU12))</f>
        <v>#NAME?</v>
      </c>
      <c r="GW12" s="578" t="e">
        <f ca="1">INT((ABS(GU12)-GV12)*60)</f>
        <v>#NAME?</v>
      </c>
      <c r="GX12" s="578" t="e">
        <f ca="1">INT((((ABS(GU12)-GV12)*60)-GW12)*60)</f>
        <v>#NAME?</v>
      </c>
      <c r="GY12" s="578" t="e">
        <f ca="1">INT((((((ABS(GU12)-GV12)*60)-GW12)*60)-GX12)*60)</f>
        <v>#NAME?</v>
      </c>
      <c r="HC12" s="280" t="s">
        <v>2188</v>
      </c>
      <c r="HD12" s="226" t="e">
        <f ca="1">180-HD11</f>
        <v>#NAME?</v>
      </c>
      <c r="HE12" s="226"/>
      <c r="HF12" s="226"/>
      <c r="HG12" s="227"/>
      <c r="HI12" s="280" t="s">
        <v>2188</v>
      </c>
      <c r="HJ12" s="226" t="e">
        <f ca="1">180-HJ11</f>
        <v>#NAME?</v>
      </c>
      <c r="HK12" s="226"/>
      <c r="HL12" s="226"/>
      <c r="HM12" s="227"/>
      <c r="HY12" s="629" t="s">
        <v>3467</v>
      </c>
      <c r="HZ12" s="629" t="e">
        <f ca="1">[2]!saatejtema(HZ5,HZ6,HZ7,HZ9)</f>
        <v>#NAME?</v>
      </c>
      <c r="IA12" s="630"/>
      <c r="IC12" s="456" t="s">
        <v>344</v>
      </c>
      <c r="ID12" s="114" t="s">
        <v>2266</v>
      </c>
      <c r="IE12" s="114" t="e">
        <f ca="1">[2]!asabeqotrkhj(IE8,(IE9+2)/6)</f>
        <v>#NAME?</v>
      </c>
      <c r="IF12" s="455" t="e">
        <f t="shared" ca="1" si="64"/>
        <v>#NAME?</v>
      </c>
      <c r="IG12" s="455" t="e">
        <f t="shared" ca="1" si="65"/>
        <v>#NAME?</v>
      </c>
      <c r="IH12" s="455" t="e">
        <f t="shared" ca="1" si="66"/>
        <v>#NAME?</v>
      </c>
      <c r="II12" s="454" t="e">
        <f t="shared" ca="1" si="67"/>
        <v>#NAME?</v>
      </c>
    </row>
    <row r="13" spans="1:243" ht="24.75">
      <c r="A13" s="2551"/>
      <c r="B13" s="2552"/>
      <c r="C13" s="2552"/>
      <c r="D13" s="2552"/>
      <c r="E13" s="2552"/>
      <c r="F13" s="2552"/>
      <c r="G13" s="2552"/>
      <c r="H13" s="2552">
        <f>[1]!tale3(O3,O31,O6,O35)</f>
        <v>39.201432742094596</v>
      </c>
      <c r="I13" s="2553" t="s">
        <v>279</v>
      </c>
      <c r="K13" s="845"/>
      <c r="L13" s="845"/>
      <c r="M13" s="629">
        <v>2</v>
      </c>
      <c r="N13" s="629" t="s">
        <v>808</v>
      </c>
      <c r="O13" s="629">
        <f>[1]!taqsha(O3,O4,1+[1]!roz(O5,O10,0,0),O8)</f>
        <v>176.89837385331825</v>
      </c>
      <c r="P13" s="630">
        <f t="shared" si="59"/>
        <v>176</v>
      </c>
      <c r="Q13" s="630">
        <f t="shared" si="60"/>
        <v>53</v>
      </c>
      <c r="R13" s="630">
        <f t="shared" si="61"/>
        <v>54</v>
      </c>
      <c r="S13" s="630">
        <f t="shared" si="62"/>
        <v>8</v>
      </c>
      <c r="T13" s="625"/>
      <c r="U13" s="625"/>
      <c r="V13" s="669"/>
      <c r="W13" s="629" t="s">
        <v>968</v>
      </c>
      <c r="X13" s="629">
        <f>[1]!taqrasq(O3,O4,O5+(X4/24),O8)</f>
        <v>7.1922328657937227</v>
      </c>
      <c r="Y13" s="630">
        <f t="shared" ref="Y13:Y18" si="87">INT(ABS(X13))</f>
        <v>7</v>
      </c>
      <c r="Z13" s="630">
        <f t="shared" ref="Z13:Z19" si="88">INT((ABS(X13)-Y13)*60)</f>
        <v>11</v>
      </c>
      <c r="AA13" s="630">
        <f t="shared" ref="AA13:AA19" si="89">INT((((ABS(X13)-Y13)*60)-Z13)*60)</f>
        <v>32</v>
      </c>
      <c r="AB13" s="630">
        <f t="shared" ref="AB13:AB19" si="90">INT((((((ABS(X13)-Y13)*60)-Z13)*60)-AA13)*60)</f>
        <v>2</v>
      </c>
      <c r="AC13" s="629"/>
      <c r="AD13" s="669">
        <v>5</v>
      </c>
      <c r="AE13" s="629" t="s">
        <v>897</v>
      </c>
      <c r="AF13" s="629">
        <f>[1]!aazam(AF10)</f>
        <v>85.078541945470903</v>
      </c>
      <c r="AG13" s="630">
        <f t="shared" ref="AG13:AG31" si="91">INT(ABS(AF13))</f>
        <v>85</v>
      </c>
      <c r="AH13" s="630">
        <f t="shared" ref="AH13:AH31" si="92">INT((ABS(AF13)-AG13)*60)</f>
        <v>4</v>
      </c>
      <c r="AI13" s="630">
        <f t="shared" ref="AI13:AI31" si="93">INT((((ABS(AF13)-AG13)*60)-AH13)*60)</f>
        <v>42</v>
      </c>
      <c r="AJ13" s="665">
        <f t="shared" ref="AJ13:AJ31" si="94">INT((((((ABS(AF13)-AG13)*60)-AH13)*60)-AI13)*60)</f>
        <v>45</v>
      </c>
      <c r="AK13" s="625"/>
      <c r="AL13" s="620" t="s">
        <v>3505</v>
      </c>
      <c r="AM13" s="621"/>
      <c r="AN13" s="622">
        <f>INT(ABS(AM13))</f>
        <v>0</v>
      </c>
      <c r="AO13" s="622">
        <f>INT((ABS(AM13)-AN13)*60)</f>
        <v>0</v>
      </c>
      <c r="AP13" s="622">
        <f>INT((((ABS(AM13)-AN13)*60)-AO13)*60)</f>
        <v>0</v>
      </c>
      <c r="AQ13" s="682">
        <f>INT((((((ABS(AM13)-AN13)*60)-AO13)*60)-AP13)*60)</f>
        <v>0</v>
      </c>
      <c r="AR13" s="2566"/>
      <c r="AS13" s="2571"/>
      <c r="AT13" s="2571" t="str">
        <f>IF(AND(CC109&gt;6,(OR(AT12="hamal",AT12="asad",AT12="qovs"))),"امکان ذوات الاذناب، مضرت به افراط، فتنه، فساد و قتل روی می دهد، پادشاه به نکبت رسد و تبدل احوال دولت شود","-")</f>
        <v>امکان ذوات الاذناب، مضرت به افراط، فتنه، فساد و قتل روی می دهد، پادشاه به نکبت رسد و تبدل احوال دولت شود</v>
      </c>
      <c r="AU13" s="2571" t="s">
        <v>4688</v>
      </c>
      <c r="AV13" s="986">
        <v>3</v>
      </c>
      <c r="AW13" s="656" t="s">
        <v>901</v>
      </c>
      <c r="AX13" s="656">
        <f>[1]!mtasha(AX2,AX3,[1]!roz(AX4,AX9+AX10,0,0),AX8)</f>
        <v>275.37486954316228</v>
      </c>
      <c r="AY13" s="641">
        <f t="shared" si="68"/>
        <v>275</v>
      </c>
      <c r="AZ13" s="641">
        <f t="shared" si="69"/>
        <v>22</v>
      </c>
      <c r="BA13" s="641">
        <f t="shared" si="70"/>
        <v>29</v>
      </c>
      <c r="BB13" s="641">
        <f t="shared" si="71"/>
        <v>31.821323051699437</v>
      </c>
      <c r="BC13" s="655"/>
      <c r="BD13" s="656" t="s">
        <v>967</v>
      </c>
      <c r="BE13" s="656">
        <f>BE12/15</f>
        <v>0.36701751331022298</v>
      </c>
      <c r="BF13" s="641">
        <f t="shared" si="72"/>
        <v>0</v>
      </c>
      <c r="BG13" s="641">
        <f t="shared" si="73"/>
        <v>22</v>
      </c>
      <c r="BH13" s="657">
        <f t="shared" si="74"/>
        <v>1</v>
      </c>
      <c r="BI13" s="502"/>
      <c r="BJ13" s="502"/>
      <c r="BK13" s="655"/>
      <c r="BL13" s="656" t="s">
        <v>342</v>
      </c>
      <c r="BM13" s="656" t="s">
        <v>1056</v>
      </c>
      <c r="BN13" s="656">
        <f>BN12/2/15</f>
        <v>6.3670175133102225</v>
      </c>
      <c r="BO13" s="641">
        <f t="shared" si="86"/>
        <v>6</v>
      </c>
      <c r="BP13" s="641">
        <f t="shared" si="45"/>
        <v>22</v>
      </c>
      <c r="BQ13" s="641">
        <f t="shared" si="46"/>
        <v>1</v>
      </c>
      <c r="BR13" s="657">
        <f t="shared" si="47"/>
        <v>15.782875008054873</v>
      </c>
      <c r="BS13" s="502"/>
      <c r="BT13" s="655">
        <v>6</v>
      </c>
      <c r="BU13" s="656" t="s">
        <v>1090</v>
      </c>
      <c r="BV13" s="656">
        <f>[1]!asn(BV12)</f>
        <v>0.4558965683240136</v>
      </c>
      <c r="BW13" s="641">
        <f t="shared" si="48"/>
        <v>0</v>
      </c>
      <c r="BX13" s="641">
        <f t="shared" si="49"/>
        <v>27</v>
      </c>
      <c r="BY13" s="641">
        <f t="shared" si="50"/>
        <v>21</v>
      </c>
      <c r="BZ13" s="641">
        <f t="shared" si="51"/>
        <v>13</v>
      </c>
      <c r="CA13" s="986">
        <v>7</v>
      </c>
      <c r="CB13" s="145" t="s">
        <v>279</v>
      </c>
      <c r="CC13" s="145">
        <f>[1]!tale3(CC4,AX7,CC12,CC10)</f>
        <v>241.41043128305063</v>
      </c>
      <c r="CD13" s="641">
        <f t="shared" ref="CD13" si="95">INT(ABS(CC13))</f>
        <v>241</v>
      </c>
      <c r="CE13" s="641">
        <f t="shared" ref="CE13" si="96">INT((ABS(CC13)-CD13)*60)</f>
        <v>24</v>
      </c>
      <c r="CF13" s="641">
        <f t="shared" ref="CF13" si="97">INT((((ABS(CC13)-CD13)*60)-CE13)*60)</f>
        <v>37</v>
      </c>
      <c r="CG13" s="657">
        <f t="shared" ref="CG13" si="98">INT((((((ABS(CC13)-CD13)*60)-CE13)*60)-CF13)*60)</f>
        <v>33</v>
      </c>
      <c r="CH13" s="656"/>
      <c r="CI13" s="656" t="s">
        <v>1056</v>
      </c>
      <c r="CJ13" s="656">
        <f>CJ12/2/15</f>
        <v>6.3670175133102225</v>
      </c>
      <c r="CK13" s="656"/>
      <c r="CL13" s="656"/>
      <c r="CM13" s="656"/>
      <c r="CN13" s="656">
        <v>6</v>
      </c>
      <c r="CO13" s="656" t="s">
        <v>821</v>
      </c>
      <c r="CP13" s="656">
        <f>AX18</f>
        <v>0.58995390392001568</v>
      </c>
      <c r="CQ13" s="641">
        <f t="shared" si="29"/>
        <v>0</v>
      </c>
      <c r="CR13" s="641">
        <f t="shared" si="30"/>
        <v>35</v>
      </c>
      <c r="CS13" s="641">
        <f t="shared" si="31"/>
        <v>23</v>
      </c>
      <c r="CT13" s="645">
        <f t="shared" si="32"/>
        <v>50</v>
      </c>
      <c r="CU13" s="275"/>
      <c r="CV13" s="275" t="s">
        <v>3486</v>
      </c>
      <c r="CW13" s="275">
        <f>[1]!taqsha(CW4,CW5,[1]!roz(CW6,CW11,0,0),CW8)</f>
        <v>19.427792273599106</v>
      </c>
      <c r="CX13" s="648">
        <f t="shared" ref="CX13:CX18" si="99">INT(ABS(CW13))</f>
        <v>19</v>
      </c>
      <c r="CY13" s="648">
        <f t="shared" ref="CY13:CY18" si="100">INT((ABS(CW13)-CX13)*60)</f>
        <v>25</v>
      </c>
      <c r="CZ13" s="648">
        <f t="shared" ref="CZ13:CZ18" si="101">INT((((ABS(CW13)-CX13)*60)-CY13)*60)</f>
        <v>40</v>
      </c>
      <c r="DA13" s="649">
        <f t="shared" ref="DA13:DA18" si="102">INT((((((ABS(CW13)-CX13)*60)-CY13)*60)-CZ13)*60)</f>
        <v>3</v>
      </c>
      <c r="DE13" s="1046">
        <v>6</v>
      </c>
      <c r="DF13" s="607" t="s">
        <v>281</v>
      </c>
      <c r="DG13" s="607">
        <f>[1]!asher(DG2,DG9,DG7)</f>
        <v>165.89354868057188</v>
      </c>
      <c r="DH13" s="608">
        <f t="shared" si="33"/>
        <v>165</v>
      </c>
      <c r="DI13" s="608">
        <f t="shared" si="34"/>
        <v>53</v>
      </c>
      <c r="DJ13" s="608">
        <f t="shared" si="35"/>
        <v>36</v>
      </c>
      <c r="DK13" s="1047">
        <f t="shared" si="36"/>
        <v>46</v>
      </c>
      <c r="DQ13" s="715"/>
      <c r="DR13" s="715"/>
      <c r="DS13" s="715"/>
      <c r="DT13" s="1045"/>
      <c r="EM13" s="156">
        <v>6</v>
      </c>
      <c r="EN13" s="156" t="s">
        <v>1214</v>
      </c>
      <c r="EO13" s="156" t="e">
        <f ca="1">EL12</f>
        <v>#NAME?</v>
      </c>
      <c r="EP13" s="159" t="e">
        <f ca="1">INT(ABS(EO13))</f>
        <v>#NAME?</v>
      </c>
      <c r="EQ13" s="159" t="e">
        <f ca="1">INT((ABS(EO13)-EP13)*60)</f>
        <v>#NAME?</v>
      </c>
      <c r="ER13" s="159" t="e">
        <f ca="1">INT((((ABS(EO13)-EP13)*60)-EQ13)*60)</f>
        <v>#NAME?</v>
      </c>
      <c r="ES13" s="159" t="e">
        <f ca="1">INT((((((ABS(EO13)-EP13)*60)-EQ13)*60)-ER13)*60)</f>
        <v>#NAME?</v>
      </c>
      <c r="EU13" s="156" t="s">
        <v>1067</v>
      </c>
      <c r="EV13" s="156" t="e">
        <f ca="1">IF((EV10+180)&lt;360,EV10+180,EV10+180-360)</f>
        <v>#NAME?</v>
      </c>
      <c r="EW13" s="159" t="e">
        <f t="shared" ref="EW13:EW22" ca="1" si="103">INT(ABS(EV13))</f>
        <v>#NAME?</v>
      </c>
      <c r="EX13" s="159" t="e">
        <f t="shared" ref="EX13:EX22" ca="1" si="104">INT((ABS(EV13)-EW13)*60)</f>
        <v>#NAME?</v>
      </c>
      <c r="EY13" s="159" t="e">
        <f t="shared" ref="EY13:EY22" ca="1" si="105">INT((((ABS(EV13)-EW13)*60)-EX13)*60)</f>
        <v>#NAME?</v>
      </c>
      <c r="EZ13" s="159" t="e">
        <f t="shared" ref="EZ13:EZ22" ca="1" si="106">INT((((((ABS(EV13)-EW13)*60)-EX13)*60)-EY13)*60)</f>
        <v>#NAME?</v>
      </c>
      <c r="FC13" s="151" t="s">
        <v>2351</v>
      </c>
      <c r="FD13" s="151" t="e">
        <f ca="1">FD11/30</f>
        <v>#NAME?</v>
      </c>
      <c r="FE13" s="620"/>
      <c r="FF13" s="621"/>
      <c r="FG13" s="621"/>
      <c r="FH13" s="621"/>
      <c r="FI13" s="621" t="s">
        <v>377</v>
      </c>
      <c r="FJ13" s="621">
        <f>AX8</f>
        <v>9.598740740833335E-2</v>
      </c>
      <c r="FK13" s="621"/>
      <c r="FL13" s="621"/>
      <c r="FM13" s="621"/>
      <c r="FN13" s="592" t="s">
        <v>3469</v>
      </c>
      <c r="FO13" s="593"/>
      <c r="FQ13" s="430" t="s">
        <v>1193</v>
      </c>
      <c r="FR13" s="429">
        <f>[1]!ml(FJ9,FR12)</f>
        <v>-22.791647019369634</v>
      </c>
      <c r="FS13" s="226"/>
      <c r="FT13" s="226"/>
      <c r="FU13" s="227"/>
      <c r="FV13" s="208"/>
      <c r="FW13" s="409"/>
      <c r="GT13" s="577" t="s">
        <v>227</v>
      </c>
      <c r="GU13" s="577" t="e">
        <f ca="1">[2]!ml(GU12)</f>
        <v>#NAME?</v>
      </c>
      <c r="GV13" s="578" t="e">
        <f ca="1">INT(ABS(GU13))</f>
        <v>#NAME?</v>
      </c>
      <c r="GW13" s="578" t="e">
        <f ca="1">INT((ABS(GU13)-GV13)*60)</f>
        <v>#NAME?</v>
      </c>
      <c r="GX13" s="578" t="e">
        <f ca="1">INT((((ABS(GU13)-GV13)*60)-GW13)*60)</f>
        <v>#NAME?</v>
      </c>
      <c r="GY13" s="578" t="e">
        <f ca="1">INT((((((ABS(GU13)-GV13)*60)-GW13)*60)-GX13)*60)</f>
        <v>#NAME?</v>
      </c>
      <c r="HC13" s="280"/>
      <c r="HD13" s="429" t="e">
        <f ca="1">IF(HD12&lt;HD11,HD12,HD11)</f>
        <v>#NAME?</v>
      </c>
      <c r="HE13" s="226"/>
      <c r="HF13" s="226"/>
      <c r="HG13" s="227"/>
      <c r="HI13" s="280"/>
      <c r="HJ13" s="429" t="e">
        <f ca="1">IF(HJ12&lt;HJ11,HJ12,HJ11)</f>
        <v>#NAME?</v>
      </c>
      <c r="HK13" s="226"/>
      <c r="HL13" s="226"/>
      <c r="HM13" s="227"/>
      <c r="HY13" s="629" t="s">
        <v>821</v>
      </c>
      <c r="HZ13" s="629" t="e">
        <f ca="1">[2]!sabqq(HZ5,HZ6,HZ7,HZ9)</f>
        <v>#NAME?</v>
      </c>
      <c r="IC13" s="264" t="s">
        <v>345</v>
      </c>
      <c r="ID13" s="114" t="s">
        <v>2269</v>
      </c>
      <c r="IE13" s="114" t="e">
        <f ca="1">[2]!asabeqotrkhj(IE8+2,(IE9+2)/6)</f>
        <v>#NAME?</v>
      </c>
      <c r="IF13" s="455" t="e">
        <f t="shared" ca="1" si="64"/>
        <v>#NAME?</v>
      </c>
      <c r="IG13" s="455" t="e">
        <f t="shared" ca="1" si="65"/>
        <v>#NAME?</v>
      </c>
      <c r="IH13" s="455" t="e">
        <f t="shared" ca="1" si="66"/>
        <v>#NAME?</v>
      </c>
      <c r="II13" s="454" t="e">
        <f t="shared" ca="1" si="67"/>
        <v>#NAME?</v>
      </c>
    </row>
    <row r="14" spans="1:243" ht="24.75">
      <c r="A14" s="2551"/>
      <c r="B14" s="2552"/>
      <c r="C14" s="2552"/>
      <c r="D14" s="2552"/>
      <c r="E14" s="2552"/>
      <c r="F14" s="2552"/>
      <c r="G14" s="2552"/>
      <c r="H14" s="2552"/>
      <c r="I14" s="2553" t="s">
        <v>4669</v>
      </c>
      <c r="M14" s="628">
        <v>3</v>
      </c>
      <c r="N14" s="629" t="s">
        <v>885</v>
      </c>
      <c r="O14" s="629">
        <f>[1]!bohtsha(O3,O4,[1]!roz(O5,O10,0,0),O8)</f>
        <v>0.97611670962689345</v>
      </c>
      <c r="P14" s="630">
        <f t="shared" si="59"/>
        <v>0</v>
      </c>
      <c r="Q14" s="630">
        <f t="shared" si="60"/>
        <v>58</v>
      </c>
      <c r="R14" s="630">
        <f t="shared" si="61"/>
        <v>34</v>
      </c>
      <c r="S14" s="630">
        <f t="shared" si="62"/>
        <v>1</v>
      </c>
      <c r="T14" s="625"/>
      <c r="U14" s="625"/>
      <c r="V14" s="669"/>
      <c r="W14" s="629" t="s">
        <v>969</v>
      </c>
      <c r="X14" s="629">
        <f>IF(X13+180&lt;360,X13+180,X13-180)</f>
        <v>187.19223286579373</v>
      </c>
      <c r="Y14" s="630">
        <f t="shared" si="87"/>
        <v>187</v>
      </c>
      <c r="Z14" s="630">
        <f t="shared" si="88"/>
        <v>11</v>
      </c>
      <c r="AA14" s="630">
        <f t="shared" si="89"/>
        <v>32</v>
      </c>
      <c r="AB14" s="630">
        <f t="shared" si="90"/>
        <v>2</v>
      </c>
      <c r="AC14" s="629"/>
      <c r="AD14" s="669">
        <v>6</v>
      </c>
      <c r="AE14" s="629" t="s">
        <v>898</v>
      </c>
      <c r="AF14" s="629">
        <f>[1]!qadrsaatsh([1]!mtasha(AF3,AF4,[1]!roz(AF5,AF6,0,0),AF7))</f>
        <v>4.0555555555555553E-2</v>
      </c>
      <c r="AG14" s="630">
        <f t="shared" si="91"/>
        <v>0</v>
      </c>
      <c r="AH14" s="630">
        <f t="shared" si="92"/>
        <v>2</v>
      </c>
      <c r="AI14" s="630">
        <f t="shared" si="93"/>
        <v>26</v>
      </c>
      <c r="AJ14" s="665">
        <f t="shared" si="94"/>
        <v>-1</v>
      </c>
      <c r="AK14" s="625"/>
      <c r="AL14" s="620" t="s">
        <v>3506</v>
      </c>
      <c r="AM14" s="621">
        <f>[1]!modatkhosoof(AM3,AM4,AM5,AM8,AM6,AM7)</f>
        <v>1.1162049148212678</v>
      </c>
      <c r="AN14" s="622">
        <f>INT(ABS(AM14))</f>
        <v>1</v>
      </c>
      <c r="AO14" s="622">
        <f>INT((ABS(AM14)-AN14)*60)</f>
        <v>6</v>
      </c>
      <c r="AP14" s="622">
        <f>INT((((ABS(AM14)-AN14)*60)-AO14)*60)</f>
        <v>58</v>
      </c>
      <c r="AQ14" s="682">
        <f>INT((((((ABS(AM14)-AN14)*60)-AO14)*60)-AP14)*60)</f>
        <v>20</v>
      </c>
      <c r="AR14" s="2566"/>
      <c r="AS14" s="2571"/>
      <c r="AT14" s="2571">
        <f>BN18</f>
        <v>243.2079726865957</v>
      </c>
      <c r="AU14" s="2571" t="s">
        <v>4687</v>
      </c>
      <c r="AV14" s="986">
        <v>4</v>
      </c>
      <c r="AW14" s="656" t="s">
        <v>2353</v>
      </c>
      <c r="AX14" s="656">
        <f>[1]!qadrsaatsh(AX13)</f>
        <v>4.1111111111111112E-2</v>
      </c>
      <c r="AY14" s="641">
        <f t="shared" si="68"/>
        <v>0</v>
      </c>
      <c r="AZ14" s="641">
        <f t="shared" si="69"/>
        <v>2</v>
      </c>
      <c r="BA14" s="641">
        <f t="shared" si="70"/>
        <v>28</v>
      </c>
      <c r="BB14" s="641">
        <f t="shared" si="71"/>
        <v>4.2632564145606011E-13</v>
      </c>
      <c r="BC14" s="655"/>
      <c r="BD14" s="656" t="s">
        <v>3500</v>
      </c>
      <c r="BE14" s="656">
        <f>[1]!vtoloo(BE3,BE4,BE5,BE6,BE10)</f>
        <v>5.7112240001705299</v>
      </c>
      <c r="BF14" s="641">
        <f t="shared" si="72"/>
        <v>5</v>
      </c>
      <c r="BG14" s="641">
        <f t="shared" si="73"/>
        <v>42</v>
      </c>
      <c r="BH14" s="657">
        <f t="shared" si="74"/>
        <v>40</v>
      </c>
      <c r="BI14" s="502" t="s">
        <v>356</v>
      </c>
      <c r="BJ14" s="502">
        <f>ABS((BN12/2)-BN15)</f>
        <v>149.08294369197077</v>
      </c>
      <c r="BK14" s="655"/>
      <c r="BL14" s="656" t="s">
        <v>343</v>
      </c>
      <c r="BM14" s="656" t="s">
        <v>4151</v>
      </c>
      <c r="BN14" s="656">
        <f>BN8-(12-BN13)</f>
        <v>16.305880426108274</v>
      </c>
      <c r="BO14" s="641">
        <f t="shared" si="86"/>
        <v>16</v>
      </c>
      <c r="BP14" s="641">
        <f t="shared" si="45"/>
        <v>18</v>
      </c>
      <c r="BQ14" s="641">
        <f t="shared" si="46"/>
        <v>21</v>
      </c>
      <c r="BR14" s="657">
        <f t="shared" si="47"/>
        <v>10.1720393872165</v>
      </c>
      <c r="BS14" s="502"/>
      <c r="BT14" s="690">
        <v>7</v>
      </c>
      <c r="BU14" s="656" t="s">
        <v>1092</v>
      </c>
      <c r="BV14" s="656"/>
      <c r="BW14" s="641">
        <f t="shared" si="48"/>
        <v>0</v>
      </c>
      <c r="BX14" s="641">
        <f t="shared" si="49"/>
        <v>0</v>
      </c>
      <c r="BY14" s="641">
        <f t="shared" si="50"/>
        <v>0</v>
      </c>
      <c r="BZ14" s="641">
        <f t="shared" si="51"/>
        <v>0</v>
      </c>
      <c r="CA14" s="986">
        <v>8</v>
      </c>
      <c r="CB14" s="656" t="s">
        <v>1063</v>
      </c>
      <c r="CC14" s="145">
        <f>IF(ABS(CC13-CC12)&lt;180,ABS(CC13-CC12),ABS(360-CC13-CC12))</f>
        <v>98.193726717205138</v>
      </c>
      <c r="CD14" s="641">
        <f t="shared" ref="CD14:CD20" si="107">INT(ABS(CC14))</f>
        <v>98</v>
      </c>
      <c r="CE14" s="641">
        <f t="shared" ref="CE14:CE20" si="108">INT((ABS(CC14)-CD14)*60)</f>
        <v>11</v>
      </c>
      <c r="CF14" s="641">
        <f t="shared" ref="CF14:CF20" si="109">INT((((ABS(CC14)-CD14)*60)-CE14)*60)</f>
        <v>37</v>
      </c>
      <c r="CG14" s="657">
        <f t="shared" ref="CG14:CG20" si="110">INT((((((ABS(CC14)-CD14)*60)-CE14)*60)-CF14)*60)</f>
        <v>24</v>
      </c>
      <c r="CH14" s="656"/>
      <c r="CI14" s="656" t="s">
        <v>1057</v>
      </c>
      <c r="CJ14" s="656">
        <f>IF(CJ13+CJ8&lt;24,CJ13+CJ8,CJ13+CJ8-24)</f>
        <v>4.3058804261082742</v>
      </c>
      <c r="CK14" s="656"/>
      <c r="CL14" s="656"/>
      <c r="CM14" s="656"/>
      <c r="CN14" s="656">
        <v>7</v>
      </c>
      <c r="CO14" s="656" t="s">
        <v>1130</v>
      </c>
      <c r="CP14" s="656">
        <f>CP12/CP13</f>
        <v>0.8997796009443394</v>
      </c>
      <c r="CQ14" s="641">
        <f t="shared" si="29"/>
        <v>0</v>
      </c>
      <c r="CR14" s="641">
        <f t="shared" si="30"/>
        <v>53</v>
      </c>
      <c r="CS14" s="641">
        <f t="shared" si="31"/>
        <v>59</v>
      </c>
      <c r="CT14" s="645">
        <f t="shared" si="32"/>
        <v>12</v>
      </c>
      <c r="CU14" s="275"/>
      <c r="CV14" s="275" t="s">
        <v>698</v>
      </c>
      <c r="CW14" s="275">
        <f>[1]!taqqa(CW4,CW5,[1]!roz(CW6,CW11,0,0),CW8)</f>
        <v>19.424839583554789</v>
      </c>
      <c r="CX14" s="648">
        <f t="shared" si="99"/>
        <v>19</v>
      </c>
      <c r="CY14" s="648">
        <f t="shared" si="100"/>
        <v>25</v>
      </c>
      <c r="CZ14" s="648">
        <f t="shared" si="101"/>
        <v>29</v>
      </c>
      <c r="DA14" s="649">
        <f t="shared" si="102"/>
        <v>25</v>
      </c>
      <c r="DE14" s="1046">
        <v>7</v>
      </c>
      <c r="DF14" s="607" t="s">
        <v>3845</v>
      </c>
      <c r="DG14" s="607">
        <f>[1]!qsn([1]!ml(DG2,DG8),DG7)/30</f>
        <v>6.3669931847935421</v>
      </c>
      <c r="DH14" s="608">
        <f t="shared" si="33"/>
        <v>6</v>
      </c>
      <c r="DI14" s="608">
        <f t="shared" si="34"/>
        <v>22</v>
      </c>
      <c r="DJ14" s="608">
        <f t="shared" si="35"/>
        <v>1</v>
      </c>
      <c r="DK14" s="1047">
        <f t="shared" si="36"/>
        <v>10</v>
      </c>
      <c r="DQ14" s="715"/>
      <c r="DR14" s="715"/>
      <c r="DS14" s="715"/>
      <c r="DT14" s="1045"/>
      <c r="EM14" s="156">
        <v>7</v>
      </c>
      <c r="EN14" s="156"/>
      <c r="EO14" s="156" t="e">
        <f ca="1">ABS(EO10-EO9)</f>
        <v>#NAME?</v>
      </c>
      <c r="EP14" s="159" t="e">
        <f ca="1">INT(ABS(EO14))</f>
        <v>#NAME?</v>
      </c>
      <c r="EQ14" s="159" t="e">
        <f ca="1">INT((ABS(EO14)-EP14)*60)</f>
        <v>#NAME?</v>
      </c>
      <c r="ER14" s="159" t="e">
        <f ca="1">INT((((ABS(EO14)-EP14)*60)-EQ14)*60)</f>
        <v>#NAME?</v>
      </c>
      <c r="ES14" s="159" t="e">
        <f ca="1">INT((((((ABS(EO14)-EP14)*60)-EQ14)*60)-ER14)*60)</f>
        <v>#NAME?</v>
      </c>
      <c r="EU14" s="156"/>
      <c r="EV14" s="156" t="e">
        <f ca="1">ABS(EV10-EV9)</f>
        <v>#NAME?</v>
      </c>
      <c r="EW14" s="159" t="e">
        <f t="shared" ca="1" si="103"/>
        <v>#NAME?</v>
      </c>
      <c r="EX14" s="159" t="e">
        <f t="shared" ca="1" si="104"/>
        <v>#NAME?</v>
      </c>
      <c r="EY14" s="159" t="e">
        <f t="shared" ca="1" si="105"/>
        <v>#NAME?</v>
      </c>
      <c r="EZ14" s="159" t="e">
        <f t="shared" ca="1" si="106"/>
        <v>#NAME?</v>
      </c>
      <c r="FC14" s="151" t="s">
        <v>3493</v>
      </c>
      <c r="FD14" s="151" t="e">
        <f ca="1">FD12+FD13</f>
        <v>#NAME?</v>
      </c>
      <c r="FE14" s="623"/>
      <c r="FF14" s="624"/>
      <c r="FG14" s="624"/>
      <c r="FH14" s="624"/>
      <c r="FI14" s="624" t="s">
        <v>177</v>
      </c>
      <c r="FJ14" s="624">
        <f>AX7</f>
        <v>35.721899999999998</v>
      </c>
      <c r="FK14" s="624"/>
      <c r="FL14" s="624"/>
      <c r="FM14" s="624"/>
      <c r="FN14" s="624"/>
      <c r="FO14" s="627"/>
      <c r="FQ14" s="430" t="s">
        <v>281</v>
      </c>
      <c r="FR14" s="429">
        <f>[1]!asher(FJ9,FR6,FR3)</f>
        <v>165.89487157271435</v>
      </c>
      <c r="FS14" s="226"/>
      <c r="FT14" s="226"/>
      <c r="FU14" s="227"/>
      <c r="FV14" s="208"/>
      <c r="FW14" s="409"/>
      <c r="GT14" s="577" t="s">
        <v>177</v>
      </c>
      <c r="GU14" s="578">
        <f>GU8</f>
        <v>37</v>
      </c>
      <c r="GV14" s="578">
        <f t="shared" si="78"/>
        <v>37</v>
      </c>
      <c r="GW14" s="578">
        <f t="shared" si="79"/>
        <v>0</v>
      </c>
      <c r="GX14" s="578">
        <f t="shared" si="80"/>
        <v>0</v>
      </c>
      <c r="GY14" s="578">
        <f t="shared" si="81"/>
        <v>0</v>
      </c>
      <c r="HC14" s="430" t="s">
        <v>206</v>
      </c>
      <c r="HD14" s="429" t="e">
        <f ca="1">[2]!mtb(HD8,HD5)</f>
        <v>#NAME?</v>
      </c>
      <c r="HE14" s="226"/>
      <c r="HF14" s="226"/>
      <c r="HG14" s="227"/>
      <c r="HI14" s="430" t="s">
        <v>206</v>
      </c>
      <c r="HJ14" s="429" t="e">
        <f ca="1">[2]!mtb(HJ8,HJ5)</f>
        <v>#NAME?</v>
      </c>
      <c r="HK14" s="226"/>
      <c r="HL14" s="226"/>
      <c r="HM14" s="227"/>
      <c r="HY14" s="629" t="s">
        <v>3486</v>
      </c>
      <c r="HZ14" s="629" t="e">
        <f ca="1">[2]!taqsha(HZ5,HZ6,[2]!roz(HZ7,HZ12,0,0),HZ9)</f>
        <v>#NAME?</v>
      </c>
      <c r="IC14" s="264" t="s">
        <v>346</v>
      </c>
      <c r="ID14" s="114" t="s">
        <v>2267</v>
      </c>
      <c r="IE14" s="114" t="e">
        <f ca="1">IE11-IE10</f>
        <v>#NAME?</v>
      </c>
      <c r="IF14" s="455" t="e">
        <f t="shared" ca="1" si="64"/>
        <v>#NAME?</v>
      </c>
      <c r="IG14" s="455" t="e">
        <f t="shared" ca="1" si="65"/>
        <v>#NAME?</v>
      </c>
      <c r="IH14" s="455" t="e">
        <f t="shared" ca="1" si="66"/>
        <v>#NAME?</v>
      </c>
      <c r="II14" s="454" t="e">
        <f t="shared" ca="1" si="67"/>
        <v>#NAME?</v>
      </c>
    </row>
    <row r="15" spans="1:243" ht="24.75">
      <c r="A15" s="2551"/>
      <c r="B15" s="2552"/>
      <c r="C15" s="2552"/>
      <c r="D15" s="2552"/>
      <c r="E15" s="2552"/>
      <c r="F15" s="2552"/>
      <c r="G15" s="2552"/>
      <c r="H15" s="2552" t="str">
        <f>[1]!borjame(O32)</f>
        <v>hoot</v>
      </c>
      <c r="I15" s="2553" t="s">
        <v>4693</v>
      </c>
      <c r="M15" s="628">
        <v>4</v>
      </c>
      <c r="N15" s="629" t="s">
        <v>886</v>
      </c>
      <c r="O15" s="629">
        <f>[1]!taqqa(O3,O4,[1]!roz(O5,O10,0,0),O8)</f>
        <v>359.37295596245804</v>
      </c>
      <c r="P15" s="630">
        <f t="shared" si="59"/>
        <v>359</v>
      </c>
      <c r="Q15" s="630">
        <f t="shared" si="60"/>
        <v>22</v>
      </c>
      <c r="R15" s="630">
        <f t="shared" si="61"/>
        <v>22</v>
      </c>
      <c r="S15" s="630">
        <f t="shared" si="62"/>
        <v>38</v>
      </c>
      <c r="T15" s="625"/>
      <c r="U15" s="625"/>
      <c r="V15" s="669"/>
      <c r="W15" s="629" t="s">
        <v>895</v>
      </c>
      <c r="X15" s="629">
        <f>O32</f>
        <v>355.69548582357299</v>
      </c>
      <c r="Y15" s="630">
        <f t="shared" si="87"/>
        <v>355</v>
      </c>
      <c r="Z15" s="630">
        <f t="shared" si="88"/>
        <v>41</v>
      </c>
      <c r="AA15" s="630">
        <f t="shared" si="89"/>
        <v>43</v>
      </c>
      <c r="AB15" s="630">
        <f t="shared" si="90"/>
        <v>44</v>
      </c>
      <c r="AC15" s="629"/>
      <c r="AD15" s="669">
        <v>7</v>
      </c>
      <c r="AE15" s="629" t="s">
        <v>899</v>
      </c>
      <c r="AF15" s="629">
        <f>[1]!qadrsaatq([1]!markaz3a(AF3,AF4,[1]!roz(AF5,AF6,0,0),AF7))</f>
        <v>0.63410008912844062</v>
      </c>
      <c r="AG15" s="630">
        <f t="shared" si="91"/>
        <v>0</v>
      </c>
      <c r="AH15" s="630">
        <f t="shared" si="92"/>
        <v>38</v>
      </c>
      <c r="AI15" s="630">
        <f t="shared" si="93"/>
        <v>2</v>
      </c>
      <c r="AJ15" s="665">
        <f t="shared" si="94"/>
        <v>45</v>
      </c>
      <c r="AK15" s="625"/>
      <c r="AL15" s="620" t="s">
        <v>3507</v>
      </c>
      <c r="AM15" s="621" t="str">
        <f>IF(AM24&gt;0,"jonoobi","shomali")</f>
        <v>shomali</v>
      </c>
      <c r="AN15" s="622"/>
      <c r="AO15" s="622"/>
      <c r="AP15" s="622"/>
      <c r="AQ15" s="682"/>
      <c r="AR15" s="2566"/>
      <c r="AS15" s="2571"/>
      <c r="AT15" s="2571" t="str">
        <f>IF(AND(INT(AX28)=INT(AT14),BE39="ras"),"  زیان رسد بر تن و جان شخص،و نقصان بصر و رفتن چشم",IF(AND(INT(AX28)=INT(AT14),BE39="zanab"),"  به شدت زیان رسد بر تن و جان شخص،و نقصان  بصر و رفتن چشم","-"))</f>
        <v>-</v>
      </c>
      <c r="AU15" s="2571" t="s">
        <v>4685</v>
      </c>
      <c r="AV15" s="986">
        <v>5</v>
      </c>
      <c r="AW15" s="656" t="s">
        <v>1025</v>
      </c>
      <c r="AX15" s="656">
        <f>[1]!markaz3a(AX2,AX3,[1]!roz(AX4,AX9+AX10,0,0),AX8)</f>
        <v>202.16594588794359</v>
      </c>
      <c r="AY15" s="641">
        <f t="shared" si="68"/>
        <v>202</v>
      </c>
      <c r="AZ15" s="641">
        <f t="shared" si="69"/>
        <v>9</v>
      </c>
      <c r="BA15" s="641">
        <f t="shared" si="70"/>
        <v>57</v>
      </c>
      <c r="BB15" s="641">
        <f t="shared" si="71"/>
        <v>24.311795816111044</v>
      </c>
      <c r="BC15" s="655"/>
      <c r="BD15" s="656" t="s">
        <v>3499</v>
      </c>
      <c r="BE15" s="656">
        <f>[1]!vqoroob(BE3,BE4,BE5,BE6,BE10)</f>
        <v>18.511851541864797</v>
      </c>
      <c r="BF15" s="641">
        <f t="shared" si="72"/>
        <v>18</v>
      </c>
      <c r="BG15" s="641">
        <f t="shared" si="73"/>
        <v>30</v>
      </c>
      <c r="BH15" s="657">
        <f t="shared" si="74"/>
        <v>42</v>
      </c>
      <c r="BI15" s="502" t="s">
        <v>4108</v>
      </c>
      <c r="BJ15" s="502">
        <f>[1]!atj([1]!csn(BJ14)*[1]!ctn(BN11)/60)</f>
        <v>-50.028268210594881</v>
      </c>
      <c r="BK15" s="655"/>
      <c r="BL15" s="656" t="s">
        <v>344</v>
      </c>
      <c r="BM15" s="656" t="s">
        <v>1058</v>
      </c>
      <c r="BN15" s="656">
        <f>BN14*15</f>
        <v>244.58820639162411</v>
      </c>
      <c r="BO15" s="641">
        <f t="shared" si="86"/>
        <v>244</v>
      </c>
      <c r="BP15" s="641">
        <f t="shared" si="45"/>
        <v>35</v>
      </c>
      <c r="BQ15" s="641">
        <f t="shared" si="46"/>
        <v>17</v>
      </c>
      <c r="BR15" s="657">
        <f t="shared" si="47"/>
        <v>32.580590808247507</v>
      </c>
      <c r="BS15" s="502"/>
      <c r="BT15" s="655">
        <v>8</v>
      </c>
      <c r="BU15" s="656" t="s">
        <v>1181</v>
      </c>
      <c r="BV15" s="656">
        <f>BN80</f>
        <v>0.80901059779866846</v>
      </c>
      <c r="BW15" s="641">
        <f t="shared" ref="BW15:BW26" si="111">INT(ABS(BV15))</f>
        <v>0</v>
      </c>
      <c r="BX15" s="641">
        <f t="shared" ref="BX15:BX26" si="112">INT((ABS(BV15)-BW15)*60)</f>
        <v>48</v>
      </c>
      <c r="BY15" s="641">
        <f t="shared" ref="BY15:BY26" si="113">INT((((ABS(BV15)-BW15)*60)-BX15)*60)</f>
        <v>32</v>
      </c>
      <c r="BZ15" s="641">
        <f t="shared" ref="BZ15:BZ26" si="114">INT((((((ABS(BV15)-BW15)*60)-BX15)*60)-BY15)*60)</f>
        <v>26</v>
      </c>
      <c r="CA15" s="986">
        <v>9</v>
      </c>
      <c r="CB15" s="145" t="s">
        <v>416</v>
      </c>
      <c r="CC15" s="145">
        <f>[1]!arzq([1]!hesseha(CC4,CC5,[1]!roz(BE5,CC10,0,0),CC7))</f>
        <v>1.6978041592473483</v>
      </c>
      <c r="CD15" s="641">
        <f t="shared" si="107"/>
        <v>1</v>
      </c>
      <c r="CE15" s="641">
        <f t="shared" si="108"/>
        <v>41</v>
      </c>
      <c r="CF15" s="641">
        <f t="shared" si="109"/>
        <v>52</v>
      </c>
      <c r="CG15" s="657">
        <f t="shared" si="110"/>
        <v>5</v>
      </c>
      <c r="CH15" s="656"/>
      <c r="CI15" s="656"/>
      <c r="CJ15" s="656"/>
      <c r="CK15" s="656"/>
      <c r="CL15" s="656"/>
      <c r="CM15" s="656"/>
      <c r="CN15" s="656">
        <v>8</v>
      </c>
      <c r="CO15" s="656" t="s">
        <v>1131</v>
      </c>
      <c r="CP15" s="656">
        <f>CC77</f>
        <v>22.759298071397275</v>
      </c>
      <c r="CQ15" s="641">
        <f t="shared" si="29"/>
        <v>22</v>
      </c>
      <c r="CR15" s="641">
        <f t="shared" si="30"/>
        <v>45</v>
      </c>
      <c r="CS15" s="641">
        <f t="shared" si="31"/>
        <v>33</v>
      </c>
      <c r="CT15" s="645">
        <f t="shared" si="32"/>
        <v>28</v>
      </c>
      <c r="CU15" s="275"/>
      <c r="CV15" s="275" t="s">
        <v>812</v>
      </c>
      <c r="CW15" s="275">
        <f>[1]!bohtq(CW4,CW5,CW6,CW8)</f>
        <v>15.032942381916962</v>
      </c>
      <c r="CX15" s="648">
        <f t="shared" si="99"/>
        <v>15</v>
      </c>
      <c r="CY15" s="648">
        <f t="shared" si="100"/>
        <v>1</v>
      </c>
      <c r="CZ15" s="648">
        <f t="shared" si="101"/>
        <v>58</v>
      </c>
      <c r="DA15" s="649">
        <f t="shared" si="102"/>
        <v>35</v>
      </c>
      <c r="DE15" s="1046">
        <v>8</v>
      </c>
      <c r="DF15" s="607" t="s">
        <v>3846</v>
      </c>
      <c r="DG15" s="607">
        <f>IF(DG14+DG5&lt;24,DG14+DG5,DG14+DG5-24)</f>
        <v>4.3058560975915938</v>
      </c>
      <c r="DH15" s="608">
        <f t="shared" si="33"/>
        <v>4</v>
      </c>
      <c r="DI15" s="608">
        <f t="shared" si="34"/>
        <v>18</v>
      </c>
      <c r="DJ15" s="608">
        <f t="shared" si="35"/>
        <v>21</v>
      </c>
      <c r="DK15" s="1047">
        <f t="shared" si="36"/>
        <v>4</v>
      </c>
      <c r="DQ15" s="715"/>
      <c r="DR15" s="715"/>
      <c r="DS15" s="715"/>
      <c r="DT15" s="1045"/>
      <c r="EM15" s="156">
        <v>8</v>
      </c>
      <c r="EN15" s="156"/>
      <c r="EO15" s="156" t="e">
        <f ca="1">ABS(EO13-EO9)</f>
        <v>#NAME?</v>
      </c>
      <c r="EP15" s="159" t="e">
        <f ca="1">INT(ABS(EO15))</f>
        <v>#NAME?</v>
      </c>
      <c r="EQ15" s="159" t="e">
        <f ca="1">INT((ABS(EO15)-EP15)*60)</f>
        <v>#NAME?</v>
      </c>
      <c r="ER15" s="159" t="e">
        <f ca="1">INT((((ABS(EO15)-EP15)*60)-EQ15)*60)</f>
        <v>#NAME?</v>
      </c>
      <c r="ES15" s="159" t="e">
        <f ca="1">INT((((((ABS(EO15)-EP15)*60)-EQ15)*60)-ER15)*60)</f>
        <v>#NAME?</v>
      </c>
      <c r="EU15" s="156"/>
      <c r="EV15" s="156" t="e">
        <f ca="1">ABS(EV13-EV9)</f>
        <v>#NAME?</v>
      </c>
      <c r="EW15" s="159" t="e">
        <f t="shared" ca="1" si="103"/>
        <v>#NAME?</v>
      </c>
      <c r="EX15" s="159" t="e">
        <f t="shared" ca="1" si="104"/>
        <v>#NAME?</v>
      </c>
      <c r="EY15" s="159" t="e">
        <f t="shared" ca="1" si="105"/>
        <v>#NAME?</v>
      </c>
      <c r="EZ15" s="159" t="e">
        <f t="shared" ca="1" si="106"/>
        <v>#NAME?</v>
      </c>
      <c r="FC15" s="151" t="s">
        <v>3494</v>
      </c>
      <c r="FD15" s="151" t="e">
        <f ca="1">FJ12-FD14</f>
        <v>#NAME?</v>
      </c>
      <c r="FE15" s="587" t="s">
        <v>3417</v>
      </c>
      <c r="FF15" s="502"/>
      <c r="FG15" s="502" t="s">
        <v>3409</v>
      </c>
      <c r="FH15" s="502"/>
      <c r="FI15" s="605" t="s">
        <v>281</v>
      </c>
      <c r="FJ15" s="605">
        <f>[1]!asher(FJ9,FJ66,FJ14)</f>
        <v>165.89487157271435</v>
      </c>
      <c r="FK15" s="605">
        <f t="shared" ref="FK15" si="115">INT(ABS(FJ15))</f>
        <v>165</v>
      </c>
      <c r="FL15" s="605">
        <f t="shared" ref="FL15" si="116">INT((ABS(FJ15)-FK15)*60)</f>
        <v>53</v>
      </c>
      <c r="FM15" s="605">
        <f t="shared" ref="FM15" si="117">INT((((ABS(FJ15)-FK15)*60)-FL15)*60)</f>
        <v>41</v>
      </c>
      <c r="FN15" s="605">
        <f t="shared" ref="FN15" si="118">INT((((((ABS(FJ15)-FK15)*60)-FL15)*60)-FM15)*60)</f>
        <v>32</v>
      </c>
      <c r="FO15" s="606" t="s">
        <v>341</v>
      </c>
      <c r="FQ15" s="430" t="s">
        <v>278</v>
      </c>
      <c r="FR15" s="429">
        <f>[1]!qrk([1]!ml(FJ9,FR14),FR3)</f>
        <v>59.837772441105301</v>
      </c>
      <c r="FS15" s="226"/>
      <c r="FT15" s="226"/>
      <c r="FU15" s="227"/>
      <c r="FV15" s="208"/>
      <c r="FW15" s="409"/>
      <c r="GT15" s="577" t="s">
        <v>1055</v>
      </c>
      <c r="GU15" s="577" t="e">
        <f ca="1">[2]!qsn(GU13,GU14)</f>
        <v>#NAME?</v>
      </c>
      <c r="GV15" s="578" t="e">
        <f t="shared" ref="GV15:GV21" ca="1" si="119">INT(ABS(GU15))</f>
        <v>#NAME?</v>
      </c>
      <c r="GW15" s="578" t="e">
        <f t="shared" ref="GW15:GW21" ca="1" si="120">INT((ABS(GU15)-GV15)*60)</f>
        <v>#NAME?</v>
      </c>
      <c r="GX15" s="578" t="e">
        <f t="shared" ref="GX15:GX21" ca="1" si="121">INT((((ABS(GU15)-GV15)*60)-GW15)*60)</f>
        <v>#NAME?</v>
      </c>
      <c r="GY15" s="578" t="e">
        <f t="shared" ref="GY15:GY21" ca="1" si="122">INT((((((ABS(GU15)-GV15)*60)-GW15)*60)-GX15)*60)</f>
        <v>#NAME?</v>
      </c>
      <c r="HC15" s="430" t="s">
        <v>1193</v>
      </c>
      <c r="HD15" s="429" t="e">
        <f ca="1">[2]!ml(HD14)</f>
        <v>#NAME?</v>
      </c>
      <c r="HE15" s="226"/>
      <c r="HF15" s="226"/>
      <c r="HG15" s="227"/>
      <c r="HI15" s="430" t="s">
        <v>1193</v>
      </c>
      <c r="HJ15" s="429" t="e">
        <f ca="1">[2]!ml(HJ14)</f>
        <v>#NAME?</v>
      </c>
      <c r="HK15" s="226"/>
      <c r="HL15" s="226"/>
      <c r="HM15" s="227"/>
      <c r="HY15" s="629" t="s">
        <v>698</v>
      </c>
      <c r="HZ15" s="629" t="e">
        <f ca="1">[2]!taqqa(HZ5,HZ6,[2]!roz(HZ7,HZ12,0,0),HZ9)</f>
        <v>#NAME?</v>
      </c>
      <c r="IC15" s="264" t="s">
        <v>347</v>
      </c>
      <c r="ID15" s="114" t="s">
        <v>2268</v>
      </c>
      <c r="IE15" s="114" t="e">
        <f ca="1">IE12-IE10</f>
        <v>#NAME?</v>
      </c>
      <c r="IF15" s="455" t="e">
        <f t="shared" ca="1" si="64"/>
        <v>#NAME?</v>
      </c>
      <c r="IG15" s="455" t="e">
        <f t="shared" ca="1" si="65"/>
        <v>#NAME?</v>
      </c>
      <c r="IH15" s="455" t="e">
        <f t="shared" ca="1" si="66"/>
        <v>#NAME?</v>
      </c>
      <c r="II15" s="454" t="e">
        <f t="shared" ca="1" si="67"/>
        <v>#NAME?</v>
      </c>
    </row>
    <row r="16" spans="1:243" ht="24.75">
      <c r="A16" s="2551"/>
      <c r="B16" s="2552"/>
      <c r="C16" s="2552"/>
      <c r="D16" s="2552"/>
      <c r="E16" s="2552"/>
      <c r="F16" s="2552"/>
      <c r="G16" s="2552"/>
      <c r="H16" s="2552" t="str">
        <f>IF(F3="havayi","مضرتش در نوع انسان و حیوانات و طیور بود",IF(F3="khaki","مضرتش در حیوانات سُم شکافته و نباتات و عمارات و اطعمه باشد و احتمال زلزله و ستم و بدی راه ها",IF(F3="abi","مضرتش در حیوانات آبی و جواهر آبی و کشتی ها و مسافران دریا باشد و از باریدگی بسیار خرابی ها شود","مضرتش در معادن پدید آید و کثرت گرما و شکستن سرما در وقت و فساد در گوسپندان و بزان و اسبان و چهارپایان")))</f>
        <v>مضرتش در حیوانات آبی و جواهر آبی و کشتی ها و مسافران دریا باشد و از باریدگی بسیار خرابی ها شود</v>
      </c>
      <c r="I16" s="2553" t="s">
        <v>4701</v>
      </c>
      <c r="M16" s="628">
        <v>5</v>
      </c>
      <c r="N16" s="629" t="s">
        <v>811</v>
      </c>
      <c r="O16" s="629">
        <f>[1]!taqqa(O3,O4,1+[1]!roz(O5,O10,0,0),O8)</f>
        <v>14.507770232208786</v>
      </c>
      <c r="P16" s="630">
        <f t="shared" si="59"/>
        <v>14</v>
      </c>
      <c r="Q16" s="630">
        <f t="shared" si="60"/>
        <v>30</v>
      </c>
      <c r="R16" s="630">
        <f t="shared" si="61"/>
        <v>27</v>
      </c>
      <c r="S16" s="630">
        <f t="shared" si="62"/>
        <v>58</v>
      </c>
      <c r="T16" s="625"/>
      <c r="U16" s="625"/>
      <c r="V16" s="669"/>
      <c r="W16" s="629"/>
      <c r="X16" s="629">
        <f>IF(ABS(X15-X14)&lt;180,ABS(X15-X14),360-ABS(X15-X14))</f>
        <v>168.50325295777927</v>
      </c>
      <c r="Y16" s="630">
        <f t="shared" si="87"/>
        <v>168</v>
      </c>
      <c r="Z16" s="630">
        <f t="shared" si="88"/>
        <v>30</v>
      </c>
      <c r="AA16" s="630">
        <f t="shared" si="89"/>
        <v>11</v>
      </c>
      <c r="AB16" s="630">
        <f t="shared" si="90"/>
        <v>42</v>
      </c>
      <c r="AC16" s="629" t="s">
        <v>2338</v>
      </c>
      <c r="AD16" s="669">
        <v>8</v>
      </c>
      <c r="AE16" s="629" t="s">
        <v>900</v>
      </c>
      <c r="AF16" s="630">
        <f>[1]!asqar(AF14,AF15)</f>
        <v>0.34148439096738004</v>
      </c>
      <c r="AG16" s="630">
        <f t="shared" si="91"/>
        <v>0</v>
      </c>
      <c r="AH16" s="630">
        <f t="shared" si="92"/>
        <v>20</v>
      </c>
      <c r="AI16" s="630">
        <f t="shared" si="93"/>
        <v>29</v>
      </c>
      <c r="AJ16" s="665">
        <f t="shared" si="94"/>
        <v>20</v>
      </c>
      <c r="AK16" s="625"/>
      <c r="AL16" s="620" t="s">
        <v>3508</v>
      </c>
      <c r="AM16" s="621" t="str">
        <f>[1]!rangkh([1]!arzq(AM21),AM14)</f>
        <v>nohasi</v>
      </c>
      <c r="AN16" s="622"/>
      <c r="AO16" s="622"/>
      <c r="AP16" s="622"/>
      <c r="AQ16" s="682"/>
      <c r="AR16" s="2566"/>
      <c r="AS16" s="2571"/>
      <c r="AT16" s="2571" t="str">
        <f>IF(INT(AX28)=INT(BN19),"بدی احوال عمل و مکاسب باشد و از پادشاه و اکابر الم رسد","-")</f>
        <v>-</v>
      </c>
      <c r="AU16" s="2571" t="s">
        <v>4686</v>
      </c>
      <c r="AV16" s="986"/>
      <c r="AW16" s="656" t="s">
        <v>812</v>
      </c>
      <c r="AX16" s="656">
        <f>[1]!bohtq(AX2,AX3,[1]!roz(AX4,AX9+AX10,0,0),AX8)</f>
        <v>14.971915582774061</v>
      </c>
      <c r="AY16" s="641">
        <f t="shared" si="68"/>
        <v>14</v>
      </c>
      <c r="AZ16" s="641">
        <f t="shared" si="69"/>
        <v>58</v>
      </c>
      <c r="BA16" s="641">
        <f t="shared" si="70"/>
        <v>18</v>
      </c>
      <c r="BB16" s="641">
        <f t="shared" si="71"/>
        <v>53.765879197196114</v>
      </c>
      <c r="BC16" s="655"/>
      <c r="BD16" s="656"/>
      <c r="BE16" s="656"/>
      <c r="BF16" s="641">
        <f t="shared" si="72"/>
        <v>0</v>
      </c>
      <c r="BG16" s="641">
        <f t="shared" si="73"/>
        <v>0</v>
      </c>
      <c r="BH16" s="657">
        <f t="shared" si="74"/>
        <v>0</v>
      </c>
      <c r="BI16" s="502" t="s">
        <v>4109</v>
      </c>
      <c r="BJ16" s="502">
        <f>BN10</f>
        <v>7.5985699563131686</v>
      </c>
      <c r="BK16" s="655"/>
      <c r="BL16" s="656" t="s">
        <v>345</v>
      </c>
      <c r="BM16" s="656" t="s">
        <v>1059</v>
      </c>
      <c r="BN16" s="656">
        <f>[1]!mtb(BN3,BN9,BN11)</f>
        <v>12.428114352023684</v>
      </c>
      <c r="BO16" s="641">
        <f t="shared" si="86"/>
        <v>12</v>
      </c>
      <c r="BP16" s="641">
        <f t="shared" si="45"/>
        <v>25</v>
      </c>
      <c r="BQ16" s="641">
        <f t="shared" si="46"/>
        <v>41</v>
      </c>
      <c r="BR16" s="657">
        <f t="shared" si="47"/>
        <v>12.700037115714622</v>
      </c>
      <c r="BS16" s="502"/>
      <c r="BT16" s="655">
        <v>9</v>
      </c>
      <c r="BU16" s="656"/>
      <c r="BV16" s="656">
        <f>90-BV15</f>
        <v>89.190989402201325</v>
      </c>
      <c r="BW16" s="641">
        <f t="shared" si="111"/>
        <v>89</v>
      </c>
      <c r="BX16" s="641">
        <f t="shared" si="112"/>
        <v>11</v>
      </c>
      <c r="BY16" s="641">
        <f t="shared" si="113"/>
        <v>27</v>
      </c>
      <c r="BZ16" s="641">
        <f t="shared" si="114"/>
        <v>33</v>
      </c>
      <c r="CA16" s="986"/>
      <c r="CB16" s="145" t="s">
        <v>3497</v>
      </c>
      <c r="CC16" s="145">
        <f>[1]!ertmaree(CC4,CC5,BE5,CC10,CC7,CP18)</f>
        <v>-24.111954936895451</v>
      </c>
      <c r="CD16" s="641">
        <f t="shared" si="107"/>
        <v>24</v>
      </c>
      <c r="CE16" s="641">
        <f t="shared" si="108"/>
        <v>6</v>
      </c>
      <c r="CF16" s="641">
        <f t="shared" si="109"/>
        <v>43</v>
      </c>
      <c r="CG16" s="657">
        <f t="shared" si="110"/>
        <v>2</v>
      </c>
      <c r="CH16" s="656"/>
      <c r="CI16" s="656" t="s">
        <v>1063</v>
      </c>
      <c r="CJ16" s="656">
        <f>BN30</f>
        <v>136.21995046570441</v>
      </c>
      <c r="CK16" s="656"/>
      <c r="CL16" s="656"/>
      <c r="CM16" s="656"/>
      <c r="CN16" s="656">
        <v>9</v>
      </c>
      <c r="CO16" s="656" t="s">
        <v>1132</v>
      </c>
      <c r="CP16" s="656">
        <f>CP15-CP14</f>
        <v>21.859518470452937</v>
      </c>
      <c r="CQ16" s="641">
        <f t="shared" si="29"/>
        <v>21</v>
      </c>
      <c r="CR16" s="641">
        <f t="shared" si="30"/>
        <v>51</v>
      </c>
      <c r="CS16" s="641">
        <f t="shared" si="31"/>
        <v>34</v>
      </c>
      <c r="CT16" s="645">
        <f t="shared" si="32"/>
        <v>15</v>
      </c>
      <c r="CU16" s="275"/>
      <c r="CV16" s="275" t="s">
        <v>1065</v>
      </c>
      <c r="CW16" s="275">
        <f>[1]!tale3(CW4,CW9,CW13,CW11)</f>
        <v>243.16837827369244</v>
      </c>
      <c r="CX16" s="648">
        <f t="shared" si="99"/>
        <v>243</v>
      </c>
      <c r="CY16" s="648">
        <f t="shared" si="100"/>
        <v>10</v>
      </c>
      <c r="CZ16" s="648">
        <f t="shared" si="101"/>
        <v>6</v>
      </c>
      <c r="DA16" s="649">
        <f t="shared" si="102"/>
        <v>9</v>
      </c>
      <c r="DE16" s="1046">
        <v>9</v>
      </c>
      <c r="DF16" s="607" t="s">
        <v>1480</v>
      </c>
      <c r="DG16" s="607">
        <f>DG15*15</f>
        <v>64.5878414638739</v>
      </c>
      <c r="DH16" s="608">
        <f t="shared" si="33"/>
        <v>64</v>
      </c>
      <c r="DI16" s="608">
        <f t="shared" si="34"/>
        <v>35</v>
      </c>
      <c r="DJ16" s="608">
        <f t="shared" si="35"/>
        <v>16</v>
      </c>
      <c r="DK16" s="1047">
        <f t="shared" si="36"/>
        <v>13</v>
      </c>
      <c r="DQ16" s="715"/>
      <c r="DR16" s="715"/>
      <c r="DS16" s="715"/>
      <c r="DT16" s="1045"/>
      <c r="EM16" s="156">
        <v>9</v>
      </c>
      <c r="EN16" s="156" t="s">
        <v>1141</v>
      </c>
      <c r="EO16" s="156" t="e">
        <f ca="1">IF(EO15&lt;EO14,EO15,EO14)</f>
        <v>#NAME?</v>
      </c>
      <c r="EP16" s="159" t="e">
        <f ca="1">INT(ABS(EO16))</f>
        <v>#NAME?</v>
      </c>
      <c r="EQ16" s="159" t="e">
        <f ca="1">INT((ABS(EO16)-EP16)*60)</f>
        <v>#NAME?</v>
      </c>
      <c r="ER16" s="159" t="e">
        <f ca="1">INT((((ABS(EO16)-EP16)*60)-EQ16)*60)</f>
        <v>#NAME?</v>
      </c>
      <c r="ES16" s="159" t="e">
        <f ca="1">INT((((((ABS(EO16)-EP16)*60)-EQ16)*60)-ER16)*60)</f>
        <v>#NAME?</v>
      </c>
      <c r="EU16" s="156" t="s">
        <v>1155</v>
      </c>
      <c r="EV16" s="156" t="e">
        <f ca="1">IF(EV15&lt;EV14,EV15,EV14)</f>
        <v>#NAME?</v>
      </c>
      <c r="EW16" s="159" t="e">
        <f t="shared" ca="1" si="103"/>
        <v>#NAME?</v>
      </c>
      <c r="EX16" s="159" t="e">
        <f t="shared" ca="1" si="104"/>
        <v>#NAME?</v>
      </c>
      <c r="EY16" s="159" t="e">
        <f t="shared" ca="1" si="105"/>
        <v>#NAME?</v>
      </c>
      <c r="EZ16" s="159" t="e">
        <f t="shared" ca="1" si="106"/>
        <v>#NAME?</v>
      </c>
      <c r="FE16" s="587"/>
      <c r="FF16" s="502"/>
      <c r="FG16" s="502"/>
      <c r="FH16" s="502" t="s">
        <v>3411</v>
      </c>
      <c r="FI16" s="502" t="s">
        <v>278</v>
      </c>
      <c r="FJ16" s="502">
        <f>[1]!qrk([1]!ml(FJ9,FJ15),FJ14)</f>
        <v>59.837772441105301</v>
      </c>
      <c r="FK16" s="605">
        <f t="shared" ref="FK16:FK26" si="123">INT(ABS(FJ16))</f>
        <v>59</v>
      </c>
      <c r="FL16" s="605">
        <f t="shared" ref="FL16:FL26" si="124">INT((ABS(FJ16)-FK16)*60)</f>
        <v>50</v>
      </c>
      <c r="FM16" s="605">
        <f t="shared" ref="FM16:FM26" si="125">INT((((ABS(FJ16)-FK16)*60)-FL16)*60)</f>
        <v>15</v>
      </c>
      <c r="FN16" s="605">
        <f t="shared" ref="FN16:FN26" si="126">INT((((((ABS(FJ16)-FK16)*60)-FL16)*60)-FM16)*60)</f>
        <v>58</v>
      </c>
      <c r="FO16" s="606" t="s">
        <v>3458</v>
      </c>
      <c r="FQ16" s="430" t="s">
        <v>380</v>
      </c>
      <c r="FR16" s="226">
        <f>[1]!ml(FJ9,FR5)</f>
        <v>7.5985699563131686</v>
      </c>
      <c r="FS16" s="226"/>
      <c r="FT16" s="226"/>
      <c r="FU16" s="227"/>
      <c r="FV16" s="208"/>
      <c r="FW16" s="309"/>
      <c r="GT16" s="577" t="s">
        <v>1056</v>
      </c>
      <c r="GU16" s="577" t="e">
        <f ca="1">GU15/2/15</f>
        <v>#NAME?</v>
      </c>
      <c r="GV16" s="578" t="e">
        <f t="shared" ca="1" si="119"/>
        <v>#NAME?</v>
      </c>
      <c r="GW16" s="578" t="e">
        <f t="shared" ca="1" si="120"/>
        <v>#NAME?</v>
      </c>
      <c r="GX16" s="578" t="e">
        <f t="shared" ca="1" si="121"/>
        <v>#NAME?</v>
      </c>
      <c r="GY16" s="578" t="e">
        <f t="shared" ca="1" si="122"/>
        <v>#NAME?</v>
      </c>
      <c r="HC16" s="430" t="s">
        <v>281</v>
      </c>
      <c r="HD16" s="429" t="e">
        <f ca="1">[2]!asher(HD8,HD5)</f>
        <v>#NAME?</v>
      </c>
      <c r="HE16" s="226"/>
      <c r="HF16" s="226"/>
      <c r="HG16" s="227"/>
      <c r="HI16" s="430" t="s">
        <v>281</v>
      </c>
      <c r="HJ16" s="429" t="e">
        <f ca="1">[2]!asher(HJ8,HJ5)</f>
        <v>#NAME?</v>
      </c>
      <c r="HK16" s="226"/>
      <c r="HL16" s="226"/>
      <c r="HM16" s="227"/>
      <c r="HY16" s="629"/>
      <c r="HZ16" s="629"/>
      <c r="IC16" s="264" t="s">
        <v>2254</v>
      </c>
      <c r="ID16" s="114"/>
      <c r="IE16" s="114" t="e">
        <f ca="1">((IF6-IE8)/2)*IE14</f>
        <v>#NAME?</v>
      </c>
      <c r="IF16" s="455" t="e">
        <f t="shared" ca="1" si="64"/>
        <v>#NAME?</v>
      </c>
      <c r="IG16" s="455" t="e">
        <f t="shared" ca="1" si="65"/>
        <v>#NAME?</v>
      </c>
      <c r="IH16" s="455" t="e">
        <f t="shared" ca="1" si="66"/>
        <v>#NAME?</v>
      </c>
      <c r="II16" s="454" t="e">
        <f t="shared" ca="1" si="67"/>
        <v>#NAME?</v>
      </c>
    </row>
    <row r="17" spans="1:243" ht="24.75">
      <c r="A17" s="2551"/>
      <c r="B17" s="2552"/>
      <c r="C17" s="2552"/>
      <c r="D17" s="2552"/>
      <c r="E17" s="2552"/>
      <c r="F17" s="2552"/>
      <c r="G17" s="2552"/>
      <c r="H17" s="2552">
        <f>AF59</f>
        <v>0.39971112443042406</v>
      </c>
      <c r="I17" s="2553" t="s">
        <v>4702</v>
      </c>
      <c r="M17" s="628">
        <v>6</v>
      </c>
      <c r="N17" s="629" t="s">
        <v>812</v>
      </c>
      <c r="O17" s="629">
        <f>[1]!bohtqa(O3,O4,[1]!roz(O5,O10,0,0),O8)</f>
        <v>15.134814269750734</v>
      </c>
      <c r="P17" s="630">
        <f t="shared" si="59"/>
        <v>15</v>
      </c>
      <c r="Q17" s="630">
        <f t="shared" si="60"/>
        <v>8</v>
      </c>
      <c r="R17" s="630">
        <f t="shared" si="61"/>
        <v>5</v>
      </c>
      <c r="S17" s="630">
        <f t="shared" si="62"/>
        <v>19</v>
      </c>
      <c r="T17" s="625"/>
      <c r="U17" s="625"/>
      <c r="V17" s="669"/>
      <c r="W17" s="629" t="s">
        <v>839</v>
      </c>
      <c r="X17" s="629">
        <f>IF(ABS(X15-X13)&lt;180,ABS(X15-X13),360-ABS(X15-X13))</f>
        <v>11.496747042220704</v>
      </c>
      <c r="Y17" s="630">
        <f t="shared" si="87"/>
        <v>11</v>
      </c>
      <c r="Z17" s="630">
        <f t="shared" si="88"/>
        <v>29</v>
      </c>
      <c r="AA17" s="630">
        <f t="shared" si="89"/>
        <v>48</v>
      </c>
      <c r="AB17" s="630">
        <f t="shared" si="90"/>
        <v>17</v>
      </c>
      <c r="AC17" s="629"/>
      <c r="AD17" s="669">
        <v>9</v>
      </c>
      <c r="AE17" s="629" t="s">
        <v>901</v>
      </c>
      <c r="AF17" s="629">
        <f>[1]!mtasha(AF3,AF4,[1]!roz(AF5,AF6,0,0),AF7)</f>
        <v>72.026812154535804</v>
      </c>
      <c r="AG17" s="630">
        <f t="shared" si="91"/>
        <v>72</v>
      </c>
      <c r="AH17" s="630">
        <f t="shared" si="92"/>
        <v>1</v>
      </c>
      <c r="AI17" s="630">
        <f t="shared" si="93"/>
        <v>36</v>
      </c>
      <c r="AJ17" s="665">
        <f t="shared" si="94"/>
        <v>31</v>
      </c>
      <c r="AK17" s="625"/>
      <c r="AL17" s="620" t="s">
        <v>3518</v>
      </c>
      <c r="AM17" s="621">
        <f>[1]!tasirkh(AM14)</f>
        <v>33.486147444638036</v>
      </c>
      <c r="AN17" s="622">
        <f t="shared" ref="AN17" si="127">INT(ABS(AM17))</f>
        <v>33</v>
      </c>
      <c r="AO17" s="622">
        <f t="shared" ref="AO17" si="128">INT((ABS(AM17)-AN17)*60)</f>
        <v>29</v>
      </c>
      <c r="AP17" s="622">
        <f t="shared" ref="AP17" si="129">INT((((ABS(AM17)-AN17)*60)-AO17)*60)</f>
        <v>10</v>
      </c>
      <c r="AQ17" s="682">
        <f t="shared" ref="AQ17" si="130">INT((((((ABS(AM17)-AN17)*60)-AO17)*60)-AP17)*60)</f>
        <v>7</v>
      </c>
      <c r="AR17" s="2566"/>
      <c r="AS17" s="2571"/>
      <c r="AT17" s="2571"/>
      <c r="AU17" s="2571" t="s">
        <v>4690</v>
      </c>
      <c r="AV17" s="986">
        <v>6</v>
      </c>
      <c r="AW17" s="656" t="s">
        <v>820</v>
      </c>
      <c r="AX17" s="656">
        <f>[1]!qadrsaatq(AX15)</f>
        <v>0.63106501503112677</v>
      </c>
      <c r="AY17" s="641">
        <f t="shared" ref="AY17:AY20" si="131">INT(ABS(AX17))</f>
        <v>0</v>
      </c>
      <c r="AZ17" s="641">
        <f t="shared" si="69"/>
        <v>37</v>
      </c>
      <c r="BA17" s="641">
        <f t="shared" si="70"/>
        <v>51</v>
      </c>
      <c r="BB17" s="641">
        <f t="shared" si="71"/>
        <v>50.04324672339294</v>
      </c>
      <c r="BC17" s="655"/>
      <c r="BD17" s="656" t="s">
        <v>1143</v>
      </c>
      <c r="BE17" s="641">
        <f>((((BH17)/60)+BG17)/60)+BF17</f>
        <v>1.1666666666666667</v>
      </c>
      <c r="BF17" s="641">
        <v>1</v>
      </c>
      <c r="BG17" s="641">
        <v>10</v>
      </c>
      <c r="BH17" s="657">
        <v>0</v>
      </c>
      <c r="BI17" s="502" t="s">
        <v>4110</v>
      </c>
      <c r="BJ17" s="502">
        <f>90-BJ16</f>
        <v>82.40143004368683</v>
      </c>
      <c r="BK17" s="655"/>
      <c r="BL17" s="641" t="s">
        <v>346</v>
      </c>
      <c r="BM17" s="656" t="s">
        <v>357</v>
      </c>
      <c r="BN17" s="686">
        <f>IF(BN16+BN15&lt;360,BN16+BN15,BN16+BN15-360)</f>
        <v>257.01632074364778</v>
      </c>
      <c r="BO17" s="641">
        <f t="shared" si="86"/>
        <v>257</v>
      </c>
      <c r="BP17" s="641">
        <f t="shared" si="45"/>
        <v>0</v>
      </c>
      <c r="BQ17" s="641">
        <f t="shared" si="46"/>
        <v>58</v>
      </c>
      <c r="BR17" s="657">
        <f t="shared" si="47"/>
        <v>45.280627920892584</v>
      </c>
      <c r="BS17" s="502"/>
      <c r="BT17" s="690">
        <v>10</v>
      </c>
      <c r="BU17" s="656"/>
      <c r="BV17" s="656">
        <f>90-BV13</f>
        <v>89.544103431675993</v>
      </c>
      <c r="BW17" s="641">
        <f t="shared" si="111"/>
        <v>89</v>
      </c>
      <c r="BX17" s="641">
        <f t="shared" si="112"/>
        <v>32</v>
      </c>
      <c r="BY17" s="641">
        <f t="shared" si="113"/>
        <v>38</v>
      </c>
      <c r="BZ17" s="641">
        <f t="shared" si="114"/>
        <v>46</v>
      </c>
      <c r="CA17" s="145">
        <f>[1]!ekhtoolq(BN3,BN11,CC11,CC15,CC13,CC16)</f>
        <v>0.79685940121620291</v>
      </c>
      <c r="CB17" s="145" t="s">
        <v>1102</v>
      </c>
      <c r="CC17" s="145">
        <f>CA17</f>
        <v>0.79685940121620291</v>
      </c>
      <c r="CD17" s="641">
        <f t="shared" si="107"/>
        <v>0</v>
      </c>
      <c r="CE17" s="641">
        <f t="shared" si="108"/>
        <v>47</v>
      </c>
      <c r="CF17" s="641">
        <f t="shared" si="109"/>
        <v>48</v>
      </c>
      <c r="CG17" s="657">
        <f t="shared" si="110"/>
        <v>41</v>
      </c>
      <c r="CH17" s="656"/>
      <c r="CI17" s="656" t="s">
        <v>2188</v>
      </c>
      <c r="CJ17" s="686">
        <f>180-CJ16</f>
        <v>43.780049534295586</v>
      </c>
      <c r="CK17" s="656"/>
      <c r="CL17" s="656"/>
      <c r="CM17" s="656"/>
      <c r="CN17" s="656">
        <v>10</v>
      </c>
      <c r="CO17" s="656" t="s">
        <v>1133</v>
      </c>
      <c r="CP17" s="656">
        <f>CP15+CP14</f>
        <v>23.659077672341613</v>
      </c>
      <c r="CQ17" s="641">
        <f t="shared" si="29"/>
        <v>23</v>
      </c>
      <c r="CR17" s="641">
        <f t="shared" si="30"/>
        <v>39</v>
      </c>
      <c r="CS17" s="641">
        <f t="shared" si="31"/>
        <v>32</v>
      </c>
      <c r="CT17" s="645">
        <f t="shared" si="32"/>
        <v>40</v>
      </c>
      <c r="CU17" s="275"/>
      <c r="CV17" s="275" t="s">
        <v>1066</v>
      </c>
      <c r="CW17" s="275">
        <f>[1]!hesseha(CW4,CW5,[1]!roz(CW6,CW11,0,0),CW8)</f>
        <v>4.1285708380709458</v>
      </c>
      <c r="CX17" s="648">
        <f t="shared" si="99"/>
        <v>4</v>
      </c>
      <c r="CY17" s="648">
        <f t="shared" si="100"/>
        <v>7</v>
      </c>
      <c r="CZ17" s="648">
        <f t="shared" si="101"/>
        <v>42</v>
      </c>
      <c r="DA17" s="649">
        <f t="shared" si="102"/>
        <v>51</v>
      </c>
      <c r="DE17" s="1046">
        <v>10</v>
      </c>
      <c r="DF17" s="607" t="s">
        <v>1059</v>
      </c>
      <c r="DG17" s="607">
        <f>[1]!mtb(DG2,DG8,DG7)</f>
        <v>12.427253914149276</v>
      </c>
      <c r="DH17" s="608">
        <f t="shared" si="33"/>
        <v>12</v>
      </c>
      <c r="DI17" s="608">
        <f t="shared" si="34"/>
        <v>25</v>
      </c>
      <c r="DJ17" s="608">
        <f t="shared" si="35"/>
        <v>38</v>
      </c>
      <c r="DK17" s="1047">
        <f t="shared" si="36"/>
        <v>6</v>
      </c>
      <c r="DQ17" s="715"/>
      <c r="DR17" s="715"/>
      <c r="DS17" s="715"/>
      <c r="DT17" s="1045"/>
      <c r="EM17" s="156">
        <v>10</v>
      </c>
      <c r="EN17" s="156"/>
      <c r="EO17" s="156"/>
      <c r="EP17" s="159">
        <f t="shared" si="52"/>
        <v>0</v>
      </c>
      <c r="EQ17" s="159">
        <f t="shared" si="53"/>
        <v>0</v>
      </c>
      <c r="ER17" s="159">
        <f t="shared" si="54"/>
        <v>0</v>
      </c>
      <c r="ES17" s="159">
        <f t="shared" si="55"/>
        <v>0</v>
      </c>
      <c r="EU17" s="156" t="s">
        <v>1156</v>
      </c>
      <c r="EV17" s="156" t="e">
        <f ca="1">[2]!asn([2]!csn(EV8)*[2]!csn(EV16)/60)</f>
        <v>#NAME?</v>
      </c>
      <c r="EW17" s="159" t="e">
        <f t="shared" ca="1" si="103"/>
        <v>#NAME?</v>
      </c>
      <c r="EX17" s="159" t="e">
        <f t="shared" ca="1" si="104"/>
        <v>#NAME?</v>
      </c>
      <c r="EY17" s="159" t="e">
        <f t="shared" ca="1" si="105"/>
        <v>#NAME?</v>
      </c>
      <c r="EZ17" s="159" t="e">
        <f t="shared" ca="1" si="106"/>
        <v>#NAME?</v>
      </c>
      <c r="FE17" s="587"/>
      <c r="FF17" s="502" t="s">
        <v>378</v>
      </c>
      <c r="FG17" s="502">
        <f>[1]!taqsha(FJ9,FJ10,[1]!roz(FJ11,FJ12,0,0),FJ13)</f>
        <v>19.427923152300121</v>
      </c>
      <c r="FH17" s="502"/>
      <c r="FI17" s="502" t="s">
        <v>698</v>
      </c>
      <c r="FJ17" s="502">
        <f>[1]!taqqa(FJ9,FJ10,[1]!roz(FJ11,FJ12,0,0),FJ13)</f>
        <v>19.426839013482223</v>
      </c>
      <c r="FK17" s="605">
        <f t="shared" si="123"/>
        <v>19</v>
      </c>
      <c r="FL17" s="605">
        <f t="shared" si="124"/>
        <v>25</v>
      </c>
      <c r="FM17" s="605">
        <f t="shared" si="125"/>
        <v>36</v>
      </c>
      <c r="FN17" s="605">
        <f t="shared" si="126"/>
        <v>37</v>
      </c>
      <c r="FO17" s="606" t="s">
        <v>342</v>
      </c>
      <c r="FQ17" s="430" t="s">
        <v>231</v>
      </c>
      <c r="FR17" s="429">
        <f>[1]!Arzr2(FJ9,FR14,FR13,FR3)</f>
        <v>27.594992261182139</v>
      </c>
      <c r="FS17" s="226">
        <f>IF(OR(AND(FR3&gt;0,[1]!ml(FJ9,FR14)&gt;FR3),AND(FR3&lt;0,[1]!ml(FJ9,FR14)&lt;FR3)),-1,1)</f>
        <v>1</v>
      </c>
      <c r="FT17" s="226" t="s">
        <v>2190</v>
      </c>
      <c r="FU17" s="227"/>
      <c r="FV17" s="327"/>
      <c r="FW17" s="327"/>
      <c r="GT17" s="577" t="s">
        <v>1057</v>
      </c>
      <c r="GU17" s="577" t="e">
        <f ca="1">IF(GU16+GU11&lt;24,GU16+GU11,GU16+GU11-24)</f>
        <v>#NAME?</v>
      </c>
      <c r="GV17" s="578" t="e">
        <f t="shared" ca="1" si="119"/>
        <v>#NAME?</v>
      </c>
      <c r="GW17" s="578" t="e">
        <f t="shared" ca="1" si="120"/>
        <v>#NAME?</v>
      </c>
      <c r="GX17" s="578" t="e">
        <f t="shared" ca="1" si="121"/>
        <v>#NAME?</v>
      </c>
      <c r="GY17" s="578" t="e">
        <f t="shared" ca="1" si="122"/>
        <v>#NAME?</v>
      </c>
      <c r="HC17" s="430" t="s">
        <v>278</v>
      </c>
      <c r="HD17" s="429" t="e">
        <f ca="1">[2]!qrk([2]!ml(HD16),HD5)</f>
        <v>#NAME?</v>
      </c>
      <c r="HE17" s="226"/>
      <c r="HF17" s="226"/>
      <c r="HG17" s="227"/>
      <c r="HI17" s="430" t="s">
        <v>278</v>
      </c>
      <c r="HJ17" s="429" t="e">
        <f ca="1">[2]!qrk([2]!ml(HJ16),HJ5)</f>
        <v>#NAME?</v>
      </c>
      <c r="HK17" s="226"/>
      <c r="HL17" s="226"/>
      <c r="HM17" s="227"/>
      <c r="HY17" s="629" t="s">
        <v>227</v>
      </c>
      <c r="HZ17" s="629" t="e">
        <f ca="1">[2]!ml(HZ14)</f>
        <v>#NAME?</v>
      </c>
      <c r="IC17" s="264" t="s">
        <v>2255</v>
      </c>
      <c r="ID17" s="114"/>
      <c r="IE17" s="114" t="e">
        <f ca="1">IE15*(IF7-(IE9)/6)/(20/60)</f>
        <v>#NAME?</v>
      </c>
      <c r="IF17" s="455" t="e">
        <f t="shared" ca="1" si="64"/>
        <v>#NAME?</v>
      </c>
      <c r="IG17" s="455" t="e">
        <f t="shared" ca="1" si="65"/>
        <v>#NAME?</v>
      </c>
      <c r="IH17" s="455" t="e">
        <f t="shared" ca="1" si="66"/>
        <v>#NAME?</v>
      </c>
      <c r="II17" s="454" t="e">
        <f t="shared" ca="1" si="67"/>
        <v>#NAME?</v>
      </c>
    </row>
    <row r="18" spans="1:243" ht="24.75">
      <c r="A18" s="2554"/>
      <c r="B18" s="2540"/>
      <c r="C18" s="2540"/>
      <c r="D18" s="2540"/>
      <c r="E18" s="2540"/>
      <c r="F18" s="2540"/>
      <c r="G18" s="2540"/>
      <c r="H18" s="2540">
        <f>H17*60*0.5</f>
        <v>11.991333732912722</v>
      </c>
      <c r="I18" s="2547" t="s">
        <v>4703</v>
      </c>
      <c r="M18" s="628">
        <v>7</v>
      </c>
      <c r="N18" s="629" t="s">
        <v>814</v>
      </c>
      <c r="O18" s="629">
        <f>O17-O14</f>
        <v>14.158697560123841</v>
      </c>
      <c r="P18" s="630">
        <f t="shared" si="59"/>
        <v>14</v>
      </c>
      <c r="Q18" s="630">
        <f t="shared" si="60"/>
        <v>9</v>
      </c>
      <c r="R18" s="630">
        <f t="shared" si="61"/>
        <v>31</v>
      </c>
      <c r="S18" s="630">
        <f t="shared" si="62"/>
        <v>18</v>
      </c>
      <c r="T18" s="625"/>
      <c r="U18" s="625"/>
      <c r="V18" s="669"/>
      <c r="W18" s="629"/>
      <c r="X18" s="629">
        <f>IF(X17&lt;X16,X17,X16)</f>
        <v>11.496747042220704</v>
      </c>
      <c r="Y18" s="630">
        <f t="shared" si="87"/>
        <v>11</v>
      </c>
      <c r="Z18" s="630">
        <f t="shared" si="88"/>
        <v>29</v>
      </c>
      <c r="AA18" s="630">
        <f t="shared" si="89"/>
        <v>48</v>
      </c>
      <c r="AB18" s="630">
        <f t="shared" si="90"/>
        <v>17</v>
      </c>
      <c r="AC18" s="629"/>
      <c r="AD18" s="669">
        <v>10</v>
      </c>
      <c r="AE18" s="629" t="s">
        <v>902</v>
      </c>
      <c r="AF18" s="629">
        <f>[1]!qtrsh(AF17)</f>
        <v>0.53334078115403771</v>
      </c>
      <c r="AG18" s="630">
        <f t="shared" si="91"/>
        <v>0</v>
      </c>
      <c r="AH18" s="630">
        <f t="shared" si="92"/>
        <v>32</v>
      </c>
      <c r="AI18" s="630">
        <f t="shared" si="93"/>
        <v>0</v>
      </c>
      <c r="AJ18" s="665">
        <f t="shared" si="94"/>
        <v>1</v>
      </c>
      <c r="AK18" s="625"/>
      <c r="AL18" s="1608" t="s">
        <v>3537</v>
      </c>
      <c r="AM18" s="982" t="e">
        <f ca="1">mozamtasirkh(AM3,AM4,AM5,AM8,AM6,AM7)</f>
        <v>#NAME?</v>
      </c>
      <c r="AN18" s="622" t="e">
        <f ca="1">INT(ABS(AM18))</f>
        <v>#NAME?</v>
      </c>
      <c r="AO18" s="622" t="e">
        <f ca="1">INT((ABS(AM18)-AN18)*60)</f>
        <v>#NAME?</v>
      </c>
      <c r="AP18" s="622" t="e">
        <f ca="1">INT((((ABS(AM18)-AN18)*60)-AO18)*60)</f>
        <v>#NAME?</v>
      </c>
      <c r="AQ18" s="682" t="e">
        <f ca="1">INT((((((ABS(AM18)-AN18)*60)-AO18)*60)-AP18)*60)</f>
        <v>#NAME?</v>
      </c>
      <c r="AR18" s="2566"/>
      <c r="AS18" s="2571"/>
      <c r="AT18" s="2571">
        <f>[1]!sahmqaib(AX2,AX3,AX4,AX26,AX6,AX7)</f>
        <v>26.171692380179763</v>
      </c>
      <c r="AU18" s="2571" t="s">
        <v>2055</v>
      </c>
      <c r="AV18" s="986">
        <v>7</v>
      </c>
      <c r="AW18" s="656" t="s">
        <v>821</v>
      </c>
      <c r="AX18" s="656">
        <f>AX17-AX14</f>
        <v>0.58995390392001568</v>
      </c>
      <c r="AY18" s="641">
        <f t="shared" si="131"/>
        <v>0</v>
      </c>
      <c r="AZ18" s="641">
        <f t="shared" si="69"/>
        <v>35</v>
      </c>
      <c r="BA18" s="641">
        <f t="shared" si="70"/>
        <v>23</v>
      </c>
      <c r="BB18" s="641">
        <f t="shared" si="71"/>
        <v>50.043246723386119</v>
      </c>
      <c r="BC18" s="655"/>
      <c r="BD18" s="656" t="s">
        <v>3403</v>
      </c>
      <c r="BE18" s="656">
        <f>BE14-BE17</f>
        <v>4.5445573335038629</v>
      </c>
      <c r="BF18" s="641">
        <f t="shared" si="72"/>
        <v>4</v>
      </c>
      <c r="BG18" s="641">
        <f t="shared" si="73"/>
        <v>32</v>
      </c>
      <c r="BH18" s="657">
        <f t="shared" si="74"/>
        <v>40</v>
      </c>
      <c r="BI18" s="502" t="s">
        <v>250</v>
      </c>
      <c r="BJ18" s="502">
        <f>BJ17-BJ15</f>
        <v>132.4296982542817</v>
      </c>
      <c r="BK18" s="1650">
        <f>[1]!tale3(BN3,BN11,BN9,BN8)</f>
        <v>243.2079726865957</v>
      </c>
      <c r="BL18" s="1651">
        <v>8</v>
      </c>
      <c r="BM18" s="1651" t="s">
        <v>1065</v>
      </c>
      <c r="BN18" s="1651">
        <f>[1]!tazmb(BN3,BN17,BN11)</f>
        <v>243.2079726865957</v>
      </c>
      <c r="BO18" s="1652">
        <f t="shared" si="86"/>
        <v>243</v>
      </c>
      <c r="BP18" s="1652">
        <f t="shared" ref="BP18:BP22" si="132">INT((ABS(BN18)-BO18)*60)</f>
        <v>12</v>
      </c>
      <c r="BQ18" s="1652">
        <f t="shared" ref="BQ18:BQ22" si="133">INT((((ABS(BN18)-BO18)*60)-BP18)*60)</f>
        <v>28</v>
      </c>
      <c r="BR18" s="1653">
        <f t="shared" si="47"/>
        <v>42.100304670266269</v>
      </c>
      <c r="BS18" s="502"/>
      <c r="BT18" s="655">
        <v>11</v>
      </c>
      <c r="BU18" s="656"/>
      <c r="BV18" s="656">
        <f>[1]!sn(BV16)</f>
        <v>59.994018953264835</v>
      </c>
      <c r="BW18" s="641">
        <f t="shared" si="111"/>
        <v>59</v>
      </c>
      <c r="BX18" s="641">
        <f t="shared" si="112"/>
        <v>59</v>
      </c>
      <c r="BY18" s="641">
        <f t="shared" si="113"/>
        <v>38</v>
      </c>
      <c r="BZ18" s="641">
        <f t="shared" si="114"/>
        <v>28</v>
      </c>
      <c r="CA18" s="986">
        <f>[1]!taqmareeqa(CC$4,CC$5,AX$4,CC10,AX$8,AX$7)</f>
        <v>33.455518654250206</v>
      </c>
      <c r="CB18" s="656" t="s">
        <v>1107</v>
      </c>
      <c r="CC18" s="656">
        <f>[1]!taqmaree(CC11,CC13,CC17)</f>
        <v>33.455518654250206</v>
      </c>
      <c r="CD18" s="641">
        <f t="shared" si="107"/>
        <v>33</v>
      </c>
      <c r="CE18" s="641">
        <f t="shared" si="108"/>
        <v>27</v>
      </c>
      <c r="CF18" s="641">
        <f t="shared" si="109"/>
        <v>19</v>
      </c>
      <c r="CG18" s="657">
        <f t="shared" si="110"/>
        <v>52</v>
      </c>
      <c r="CH18" s="656"/>
      <c r="CI18" s="656"/>
      <c r="CJ18" s="656"/>
      <c r="CK18" s="656"/>
      <c r="CL18" s="656"/>
      <c r="CM18" s="656"/>
      <c r="CN18" s="656">
        <v>11</v>
      </c>
      <c r="CO18" s="656" t="s">
        <v>177</v>
      </c>
      <c r="CP18" s="656">
        <f>BN11</f>
        <v>35.721899999999998</v>
      </c>
      <c r="CQ18" s="641">
        <f t="shared" si="29"/>
        <v>35</v>
      </c>
      <c r="CR18" s="641">
        <f t="shared" si="30"/>
        <v>43</v>
      </c>
      <c r="CS18" s="641">
        <f t="shared" si="31"/>
        <v>18</v>
      </c>
      <c r="CT18" s="645">
        <f t="shared" si="32"/>
        <v>50</v>
      </c>
      <c r="CU18" s="275">
        <f>IF(CW18&gt;0,1,-1)</f>
        <v>1</v>
      </c>
      <c r="CV18" s="275" t="s">
        <v>416</v>
      </c>
      <c r="CW18" s="275">
        <f>[1]!arzqmr(CW17)</f>
        <v>0.36097217055342995</v>
      </c>
      <c r="CX18" s="648">
        <f t="shared" si="99"/>
        <v>0</v>
      </c>
      <c r="CY18" s="648">
        <f t="shared" si="100"/>
        <v>21</v>
      </c>
      <c r="CZ18" s="648">
        <f t="shared" si="101"/>
        <v>39</v>
      </c>
      <c r="DA18" s="649">
        <f t="shared" si="102"/>
        <v>29</v>
      </c>
      <c r="DE18" s="1046">
        <v>11</v>
      </c>
      <c r="DF18" s="607" t="s">
        <v>357</v>
      </c>
      <c r="DG18" s="607">
        <f>IF(DG17+DG16&lt;360,DG17+DG16,DG17+DG16-360)</f>
        <v>77.015095378023176</v>
      </c>
      <c r="DH18" s="608">
        <f t="shared" si="33"/>
        <v>77</v>
      </c>
      <c r="DI18" s="608">
        <f t="shared" si="34"/>
        <v>0</v>
      </c>
      <c r="DJ18" s="608">
        <f t="shared" si="35"/>
        <v>54</v>
      </c>
      <c r="DK18" s="1047">
        <f t="shared" si="36"/>
        <v>20</v>
      </c>
      <c r="DQ18" s="715"/>
      <c r="DR18" s="715"/>
      <c r="DS18" s="715"/>
      <c r="DT18" s="1045"/>
      <c r="EM18" s="156">
        <v>11</v>
      </c>
      <c r="EN18" s="156" t="s">
        <v>1142</v>
      </c>
      <c r="EO18" s="156" t="e">
        <f ca="1">[2]!csn(EO16)</f>
        <v>#NAME?</v>
      </c>
      <c r="EP18" s="159" t="e">
        <f ca="1">INT(ABS(EO18))</f>
        <v>#NAME?</v>
      </c>
      <c r="EQ18" s="159" t="e">
        <f ca="1">INT((ABS(EO18)-EP18)*60)</f>
        <v>#NAME?</v>
      </c>
      <c r="ER18" s="159" t="e">
        <f ca="1">INT((((ABS(EO18)-EP18)*60)-EQ18)*60)</f>
        <v>#NAME?</v>
      </c>
      <c r="ES18" s="159" t="e">
        <f ca="1">INT((((((ABS(EO18)-EP18)*60)-EQ18)*60)-ER18)*60)</f>
        <v>#NAME?</v>
      </c>
      <c r="EU18" s="156" t="s">
        <v>1157</v>
      </c>
      <c r="EV18" s="156" t="e">
        <f ca="1">90-EV17</f>
        <v>#NAME?</v>
      </c>
      <c r="EW18" s="159" t="e">
        <f t="shared" ca="1" si="103"/>
        <v>#NAME?</v>
      </c>
      <c r="EX18" s="159" t="e">
        <f t="shared" ca="1" si="104"/>
        <v>#NAME?</v>
      </c>
      <c r="EY18" s="159" t="e">
        <f t="shared" ca="1" si="105"/>
        <v>#NAME?</v>
      </c>
      <c r="EZ18" s="159" t="e">
        <f t="shared" ca="1" si="106"/>
        <v>#NAME?</v>
      </c>
      <c r="FE18" s="587"/>
      <c r="FF18" s="502"/>
      <c r="FG18" s="502"/>
      <c r="FH18" s="502"/>
      <c r="FI18" s="502" t="s">
        <v>1102</v>
      </c>
      <c r="FJ18" s="502">
        <v>0</v>
      </c>
      <c r="FK18" s="605">
        <f t="shared" si="123"/>
        <v>0</v>
      </c>
      <c r="FL18" s="605">
        <f t="shared" si="124"/>
        <v>0</v>
      </c>
      <c r="FM18" s="605">
        <f t="shared" si="125"/>
        <v>0</v>
      </c>
      <c r="FN18" s="605">
        <f t="shared" si="126"/>
        <v>0</v>
      </c>
      <c r="FO18" s="606"/>
      <c r="FQ18" s="280"/>
      <c r="FR18" s="226"/>
      <c r="FS18" s="226"/>
      <c r="FT18" s="226"/>
      <c r="FU18" s="227"/>
      <c r="FV18" s="208"/>
      <c r="FW18" s="409"/>
      <c r="GT18" s="577" t="s">
        <v>1058</v>
      </c>
      <c r="GU18" s="577" t="e">
        <f ca="1">GU17*15</f>
        <v>#NAME?</v>
      </c>
      <c r="GV18" s="578" t="e">
        <f t="shared" ca="1" si="119"/>
        <v>#NAME?</v>
      </c>
      <c r="GW18" s="578" t="e">
        <f t="shared" ca="1" si="120"/>
        <v>#NAME?</v>
      </c>
      <c r="GX18" s="578" t="e">
        <f t="shared" ca="1" si="121"/>
        <v>#NAME?</v>
      </c>
      <c r="GY18" s="578" t="e">
        <f t="shared" ca="1" si="122"/>
        <v>#NAME?</v>
      </c>
      <c r="HC18" s="430" t="s">
        <v>380</v>
      </c>
      <c r="HD18" s="226" t="e">
        <f ca="1">[2]!ml(HD7)</f>
        <v>#NAME?</v>
      </c>
      <c r="HE18" s="226"/>
      <c r="HF18" s="226"/>
      <c r="HG18" s="227"/>
      <c r="HI18" s="430" t="s">
        <v>380</v>
      </c>
      <c r="HJ18" s="226" t="e">
        <f ca="1">[2]!ml(HJ7)</f>
        <v>#NAME?</v>
      </c>
      <c r="HK18" s="226"/>
      <c r="HL18" s="226"/>
      <c r="HM18" s="227"/>
      <c r="HY18" s="629"/>
      <c r="HZ18" s="630"/>
      <c r="IC18" s="264" t="s">
        <v>349</v>
      </c>
      <c r="ID18" s="114" t="s">
        <v>2272</v>
      </c>
      <c r="IE18" s="114" t="e">
        <f ca="1">IE10+IE16</f>
        <v>#NAME?</v>
      </c>
      <c r="IF18" s="455" t="e">
        <f t="shared" ca="1" si="64"/>
        <v>#NAME?</v>
      </c>
      <c r="IG18" s="455" t="e">
        <f t="shared" ca="1" si="65"/>
        <v>#NAME?</v>
      </c>
      <c r="IH18" s="455" t="e">
        <f t="shared" ca="1" si="66"/>
        <v>#NAME?</v>
      </c>
      <c r="II18" s="454" t="e">
        <f t="shared" ca="1" si="67"/>
        <v>#NAME?</v>
      </c>
    </row>
    <row r="19" spans="1:243" ht="24.75">
      <c r="G19" s="2571"/>
      <c r="H19" s="2571" t="str">
        <f>[1]!borjame(O32)</f>
        <v>hoot</v>
      </c>
      <c r="I19" s="2571" t="s">
        <v>4684</v>
      </c>
      <c r="M19" s="628">
        <v>8</v>
      </c>
      <c r="N19" s="629" t="s">
        <v>250</v>
      </c>
      <c r="O19" s="629">
        <f>ABS(O15-O12)</f>
        <v>183.45069881876668</v>
      </c>
      <c r="P19" s="630">
        <f t="shared" si="59"/>
        <v>183</v>
      </c>
      <c r="Q19" s="630">
        <f t="shared" si="60"/>
        <v>27</v>
      </c>
      <c r="R19" s="630">
        <f t="shared" si="61"/>
        <v>2</v>
      </c>
      <c r="S19" s="630">
        <f t="shared" si="62"/>
        <v>30</v>
      </c>
      <c r="T19" s="625"/>
      <c r="U19" s="625"/>
      <c r="V19" s="669"/>
      <c r="W19" s="621"/>
      <c r="X19" s="621" t="str">
        <f>IF(X18&lt;12.466666666,"ممکن","غیر ممکن")</f>
        <v>ممکن</v>
      </c>
      <c r="Y19" s="629" t="e">
        <f>[1]!oqdeh(O3,O4,O5,O7,O6)</f>
        <v>#VALUE!</v>
      </c>
      <c r="Z19" s="629" t="e">
        <f t="shared" si="88"/>
        <v>#VALUE!</v>
      </c>
      <c r="AA19" s="629" t="e">
        <f t="shared" si="89"/>
        <v>#VALUE!</v>
      </c>
      <c r="AB19" s="629" t="e">
        <f t="shared" si="90"/>
        <v>#VALUE!</v>
      </c>
      <c r="AC19" s="629"/>
      <c r="AD19" s="669">
        <v>11</v>
      </c>
      <c r="AE19" s="629" t="s">
        <v>903</v>
      </c>
      <c r="AF19" s="629">
        <f>[1]!markaz3a(AF3,AF4,[1]!roz(AF5,AF6,0,0),AF7)</f>
        <v>166.38016043119308</v>
      </c>
      <c r="AG19" s="630">
        <f t="shared" si="91"/>
        <v>166</v>
      </c>
      <c r="AH19" s="630">
        <f t="shared" si="92"/>
        <v>22</v>
      </c>
      <c r="AI19" s="630">
        <f t="shared" si="93"/>
        <v>48</v>
      </c>
      <c r="AJ19" s="665">
        <f t="shared" si="94"/>
        <v>34</v>
      </c>
      <c r="AK19" s="625"/>
      <c r="AL19" s="620" t="s">
        <v>378</v>
      </c>
      <c r="AM19" s="621">
        <f>[1]!taqsha(AM3,AM4,[1]!roz(AM5,AM8,0,0),AM6)</f>
        <v>175.68500904915214</v>
      </c>
      <c r="AN19" s="622">
        <f>INT(ABS(AM19))</f>
        <v>175</v>
      </c>
      <c r="AO19" s="622">
        <f>INT((ABS(AM19)-AN19)*60)</f>
        <v>41</v>
      </c>
      <c r="AP19" s="622">
        <f>INT((((ABS(AM19)-AN19)*60)-AO19)*60)</f>
        <v>6</v>
      </c>
      <c r="AQ19" s="682">
        <f>INT((((((ABS(AM19)-AN19)*60)-AO19)*60)-AP19)*60)</f>
        <v>1</v>
      </c>
      <c r="AR19" s="2566"/>
      <c r="AS19" s="2571"/>
      <c r="AT19" s="2571">
        <f>[1]!sahmsaadat(AX2,AX3,AX4,AX26,AX6,AX7)</f>
        <v>186.78309925921667</v>
      </c>
      <c r="AU19" s="2571" t="s">
        <v>2050</v>
      </c>
      <c r="AV19" s="986">
        <v>8</v>
      </c>
      <c r="AW19" s="656" t="s">
        <v>1026</v>
      </c>
      <c r="AX19" s="656">
        <f>IF(ABS(AX11-AX12)&lt;180,ABS(AX11-AX12),ABS(360-AX11-AX12))</f>
        <v>5.7205689916234661</v>
      </c>
      <c r="AY19" s="641">
        <f t="shared" si="131"/>
        <v>5</v>
      </c>
      <c r="AZ19" s="641">
        <f t="shared" ref="AZ19:AZ20" si="134">INT((ABS(AX19)-AY19)*60)</f>
        <v>43</v>
      </c>
      <c r="BA19" s="641">
        <f t="shared" ref="BA19:BA20" si="135">INT((((ABS(AX19)-AY19)*60)-AZ19)*60)</f>
        <v>14</v>
      </c>
      <c r="BB19" s="641">
        <f t="shared" si="71"/>
        <v>2.902190668678486</v>
      </c>
      <c r="BC19" s="655"/>
      <c r="BD19" s="656" t="s">
        <v>3404</v>
      </c>
      <c r="BE19" s="656">
        <f>BE15+BE17</f>
        <v>19.678518208531464</v>
      </c>
      <c r="BF19" s="641">
        <f t="shared" si="72"/>
        <v>19</v>
      </c>
      <c r="BG19" s="641">
        <f t="shared" si="73"/>
        <v>40</v>
      </c>
      <c r="BH19" s="657">
        <f t="shared" si="74"/>
        <v>42</v>
      </c>
      <c r="BI19" s="502" t="s">
        <v>244</v>
      </c>
      <c r="BJ19" s="502">
        <f>[1]!csn(BJ18)*[1]!sn(BN11)</f>
        <v>-1418.0973559815714</v>
      </c>
      <c r="BK19" s="655"/>
      <c r="BL19" s="656">
        <v>9</v>
      </c>
      <c r="BM19" s="656" t="s">
        <v>281</v>
      </c>
      <c r="BN19" s="656">
        <f>[1]!asher(BN3,BN18,BN11)</f>
        <v>165.89487157271435</v>
      </c>
      <c r="BO19" s="641">
        <f t="shared" si="86"/>
        <v>165</v>
      </c>
      <c r="BP19" s="641">
        <f t="shared" si="132"/>
        <v>53</v>
      </c>
      <c r="BQ19" s="641">
        <f t="shared" si="133"/>
        <v>41</v>
      </c>
      <c r="BR19" s="657">
        <f t="shared" si="47"/>
        <v>32.259706299773825</v>
      </c>
      <c r="BS19" s="502"/>
      <c r="BT19" s="655">
        <v>12</v>
      </c>
      <c r="BU19" s="656"/>
      <c r="BV19" s="656">
        <f>[1]!sn(BV17)</f>
        <v>59.998100644123269</v>
      </c>
      <c r="BW19" s="641">
        <f t="shared" si="111"/>
        <v>59</v>
      </c>
      <c r="BX19" s="641">
        <f t="shared" si="112"/>
        <v>59</v>
      </c>
      <c r="BY19" s="641">
        <f t="shared" si="113"/>
        <v>53</v>
      </c>
      <c r="BZ19" s="641">
        <f t="shared" si="114"/>
        <v>9</v>
      </c>
      <c r="CA19" s="986">
        <v>13</v>
      </c>
      <c r="CB19" s="656" t="s">
        <v>4165</v>
      </c>
      <c r="CC19" s="656">
        <f>IF(ABS(CC12-CC18)&lt;180,CC12-CC18,IF(ABS(CC12-CC18)&lt;-180,360-(CC12-CC18),CC12-CC18-360))</f>
        <v>-13.059676654505967</v>
      </c>
      <c r="CD19" s="641">
        <f t="shared" si="107"/>
        <v>13</v>
      </c>
      <c r="CE19" s="641">
        <f t="shared" si="108"/>
        <v>3</v>
      </c>
      <c r="CF19" s="641">
        <f t="shared" si="109"/>
        <v>34</v>
      </c>
      <c r="CG19" s="657">
        <f t="shared" si="110"/>
        <v>50</v>
      </c>
      <c r="CH19" s="656" t="e">
        <f>[1]!taqsha(CC4,CC5,[1]!roz(AX4,#REF!-CJ13,0,0),CC7)</f>
        <v>#VALUE!</v>
      </c>
      <c r="CI19" s="656"/>
      <c r="CJ19" s="656"/>
      <c r="CK19" s="656"/>
      <c r="CL19" s="656"/>
      <c r="CM19" s="656"/>
      <c r="CN19" s="656">
        <v>12</v>
      </c>
      <c r="CO19" s="656" t="s">
        <v>378</v>
      </c>
      <c r="CP19" s="656">
        <f>[1]!taqsh(CC4,CC5,[1]!roz(BE5,CP16,0,0),CC7)</f>
        <v>19.423362207243983</v>
      </c>
      <c r="CQ19" s="641">
        <f t="shared" si="29"/>
        <v>19</v>
      </c>
      <c r="CR19" s="641">
        <f t="shared" si="30"/>
        <v>25</v>
      </c>
      <c r="CS19" s="641">
        <f t="shared" si="31"/>
        <v>24</v>
      </c>
      <c r="CT19" s="645">
        <f t="shared" si="32"/>
        <v>6</v>
      </c>
      <c r="CU19" s="275"/>
      <c r="CV19" s="275" t="s">
        <v>3522</v>
      </c>
      <c r="CW19" s="275" t="str">
        <f>[1]!oqdeh(CW17)</f>
        <v>ras</v>
      </c>
      <c r="CX19" s="275"/>
      <c r="CY19" s="275"/>
      <c r="CZ19" s="275"/>
      <c r="DA19" s="674"/>
      <c r="DE19" s="1046">
        <v>12</v>
      </c>
      <c r="DF19" s="607" t="s">
        <v>231</v>
      </c>
      <c r="DG19" s="607">
        <f>[1]!arzr(DG2,DG13,[1]!ml(DG2,DG18),DG7)</f>
        <v>27.594557420353617</v>
      </c>
      <c r="DH19" s="608">
        <f t="shared" si="33"/>
        <v>27</v>
      </c>
      <c r="DI19" s="608">
        <f t="shared" si="34"/>
        <v>35</v>
      </c>
      <c r="DJ19" s="608">
        <f t="shared" si="35"/>
        <v>40</v>
      </c>
      <c r="DK19" s="1047">
        <f t="shared" si="36"/>
        <v>24</v>
      </c>
      <c r="DQ19" s="715"/>
      <c r="DR19" s="715"/>
      <c r="DS19" s="715"/>
      <c r="DT19" s="1045"/>
      <c r="EM19" s="156">
        <v>12</v>
      </c>
      <c r="EN19" s="156" t="s">
        <v>1151</v>
      </c>
      <c r="EO19" s="156" t="e">
        <f ca="1">90-[2]!asn([2]!csn(EO8)*EO18/60)</f>
        <v>#NAME?</v>
      </c>
      <c r="EP19" s="159" t="e">
        <f ca="1">INT(ABS(EO19))</f>
        <v>#NAME?</v>
      </c>
      <c r="EQ19" s="159" t="e">
        <f ca="1">INT((ABS(EO19)-EP19)*60)</f>
        <v>#NAME?</v>
      </c>
      <c r="ER19" s="159" t="e">
        <f ca="1">INT((((ABS(EO19)-EP19)*60)-EQ19)*60)</f>
        <v>#NAME?</v>
      </c>
      <c r="ES19" s="159" t="e">
        <f ca="1">INT((((((ABS(EO19)-EP19)*60)-EQ19)*60)-ER19)*60)</f>
        <v>#NAME?</v>
      </c>
      <c r="EU19" s="156" t="s">
        <v>1158</v>
      </c>
      <c r="EV19" s="156" t="e">
        <f ca="1">[2]!asn([2]!sn(EV8)*60/[2]!sn(EV18))</f>
        <v>#NAME?</v>
      </c>
      <c r="EW19" s="159" t="e">
        <f t="shared" ca="1" si="103"/>
        <v>#NAME?</v>
      </c>
      <c r="EX19" s="159" t="e">
        <f t="shared" ca="1" si="104"/>
        <v>#NAME?</v>
      </c>
      <c r="EY19" s="159" t="e">
        <f t="shared" ca="1" si="105"/>
        <v>#NAME?</v>
      </c>
      <c r="EZ19" s="159" t="e">
        <f t="shared" ca="1" si="106"/>
        <v>#NAME?</v>
      </c>
      <c r="FE19" s="587"/>
      <c r="FF19" s="502"/>
      <c r="FG19" s="502"/>
      <c r="FH19" s="502"/>
      <c r="FI19" s="502" t="s">
        <v>1167</v>
      </c>
      <c r="FJ19" s="502">
        <v>0</v>
      </c>
      <c r="FK19" s="605">
        <f t="shared" si="123"/>
        <v>0</v>
      </c>
      <c r="FL19" s="605">
        <f t="shared" si="124"/>
        <v>0</v>
      </c>
      <c r="FM19" s="605">
        <f t="shared" si="125"/>
        <v>0</v>
      </c>
      <c r="FN19" s="605">
        <f t="shared" si="126"/>
        <v>0</v>
      </c>
      <c r="FO19" s="606"/>
      <c r="FQ19" s="280"/>
      <c r="FR19" s="388"/>
      <c r="FS19" s="226"/>
      <c r="FT19" s="226"/>
      <c r="FU19" s="227"/>
      <c r="FV19" s="203"/>
      <c r="FW19" s="421"/>
      <c r="GT19" s="577" t="s">
        <v>1059</v>
      </c>
      <c r="GU19" s="577" t="e">
        <f ca="1">[2]!mtb(GU12,GU14)</f>
        <v>#NAME?</v>
      </c>
      <c r="GV19" s="578" t="e">
        <f t="shared" ca="1" si="119"/>
        <v>#NAME?</v>
      </c>
      <c r="GW19" s="578" t="e">
        <f t="shared" ca="1" si="120"/>
        <v>#NAME?</v>
      </c>
      <c r="GX19" s="578" t="e">
        <f t="shared" ca="1" si="121"/>
        <v>#NAME?</v>
      </c>
      <c r="GY19" s="578" t="e">
        <f t="shared" ca="1" si="122"/>
        <v>#NAME?</v>
      </c>
      <c r="HC19" s="430" t="s">
        <v>231</v>
      </c>
      <c r="HD19" s="429" t="e">
        <f ca="1">[2]!arzr(HD17,HD15)</f>
        <v>#NAME?</v>
      </c>
      <c r="HE19" s="226" t="e">
        <f ca="1">IF(HD5&gt;HD18,1,-1)</f>
        <v>#NAME?</v>
      </c>
      <c r="HF19" s="226" t="s">
        <v>2190</v>
      </c>
      <c r="HG19" s="227"/>
      <c r="HI19" s="430" t="s">
        <v>231</v>
      </c>
      <c r="HJ19" s="429" t="e">
        <f ca="1">[2]!arzr(HJ17,HJ15)</f>
        <v>#NAME?</v>
      </c>
      <c r="HK19" s="226" t="e">
        <f ca="1">IF(HJ5&gt;HJ18,1,-1)</f>
        <v>#NAME?</v>
      </c>
      <c r="HL19" s="226" t="s">
        <v>2190</v>
      </c>
      <c r="HM19" s="227"/>
      <c r="HY19" s="629" t="s">
        <v>1055</v>
      </c>
      <c r="HZ19" s="629" t="e">
        <f ca="1">[2]!qsn(HZ17,HZ10)</f>
        <v>#NAME?</v>
      </c>
      <c r="IC19" s="264" t="s">
        <v>2256</v>
      </c>
      <c r="ID19" s="114" t="s">
        <v>2273</v>
      </c>
      <c r="IE19" s="388" t="e">
        <f ca="1">IE10+IE17</f>
        <v>#NAME?</v>
      </c>
      <c r="IF19" s="455" t="e">
        <f t="shared" ca="1" si="64"/>
        <v>#NAME?</v>
      </c>
      <c r="IG19" s="455" t="e">
        <f t="shared" ca="1" si="65"/>
        <v>#NAME?</v>
      </c>
      <c r="IH19" s="455" t="e">
        <f t="shared" ca="1" si="66"/>
        <v>#NAME?</v>
      </c>
      <c r="II19" s="454" t="e">
        <f t="shared" ca="1" si="67"/>
        <v>#NAME?</v>
      </c>
    </row>
    <row r="20" spans="1:243" ht="24.75">
      <c r="G20" s="2571"/>
      <c r="H20" s="2571" t="str">
        <f>IF(AND(AF65&gt;6,(OR(H19="hamal",H19="asad",H19="qovs"))),"امکان ذوات الاذناب، مضرت به افراط، فتنه، فساد و قتل روی می دهد، پادشاه به نکبت رسد و تبدل احوال دولت شود","-")</f>
        <v>-</v>
      </c>
      <c r="I20" s="2571" t="s">
        <v>4688</v>
      </c>
      <c r="M20" s="628">
        <v>9</v>
      </c>
      <c r="N20" s="629" t="s">
        <v>1332</v>
      </c>
      <c r="O20" s="629">
        <f>ABS(IF(O19-180&lt;180,O19-180,360-O19-180))</f>
        <v>3.4506988187666821</v>
      </c>
      <c r="P20" s="630">
        <f t="shared" si="59"/>
        <v>3</v>
      </c>
      <c r="Q20" s="630">
        <f t="shared" si="60"/>
        <v>27</v>
      </c>
      <c r="R20" s="630">
        <f t="shared" si="61"/>
        <v>2</v>
      </c>
      <c r="S20" s="630">
        <f t="shared" si="62"/>
        <v>30</v>
      </c>
      <c r="T20" s="625"/>
      <c r="U20" s="625"/>
      <c r="V20" s="669"/>
      <c r="W20" s="621"/>
      <c r="X20" s="621" t="str">
        <f>IF(AND(X12="مرئی",X19="ممکن"),"خسوف ممکن و مرئی است","خسوف ممکن و مرئی  نیست")</f>
        <v>خسوف ممکن و مرئی است</v>
      </c>
      <c r="Y20" s="629"/>
      <c r="Z20" s="629"/>
      <c r="AA20" s="629"/>
      <c r="AB20" s="629"/>
      <c r="AC20" s="629"/>
      <c r="AD20" s="669">
        <v>12</v>
      </c>
      <c r="AE20" s="629" t="s">
        <v>850</v>
      </c>
      <c r="AF20" s="629">
        <f>[1]!qtrq(AF19)</f>
        <v>0.5575</v>
      </c>
      <c r="AG20" s="630">
        <f t="shared" si="91"/>
        <v>0</v>
      </c>
      <c r="AH20" s="630">
        <f t="shared" si="92"/>
        <v>33</v>
      </c>
      <c r="AI20" s="630">
        <f t="shared" si="93"/>
        <v>27</v>
      </c>
      <c r="AJ20" s="665">
        <f t="shared" si="94"/>
        <v>0</v>
      </c>
      <c r="AK20" s="625"/>
      <c r="AL20" s="620" t="s">
        <v>698</v>
      </c>
      <c r="AM20" s="621">
        <f>[1]!taqqa(AM3,AM4,[1]!roz(AM5,AM8,0,0),AM6)</f>
        <v>355.68500898759402</v>
      </c>
      <c r="AN20" s="622">
        <f>INT(ABS(AM20))</f>
        <v>355</v>
      </c>
      <c r="AO20" s="622">
        <f>INT((ABS(AM20)-AN20)*60)</f>
        <v>41</v>
      </c>
      <c r="AP20" s="622">
        <f>INT((((ABS(AM20)-AN20)*60)-AO20)*60)</f>
        <v>6</v>
      </c>
      <c r="AQ20" s="682">
        <f>INT((((((ABS(AM20)-AN20)*60)-AO20)*60)-AP20)*60)</f>
        <v>1</v>
      </c>
      <c r="AR20" s="2566"/>
      <c r="AS20" s="2571"/>
      <c r="AT20" s="2571"/>
      <c r="AU20" s="2571" t="s">
        <v>4689</v>
      </c>
      <c r="AV20" s="1657">
        <v>9</v>
      </c>
      <c r="AW20" s="621" t="s">
        <v>1027</v>
      </c>
      <c r="AX20" s="621">
        <f>AX19/AX18</f>
        <v>9.6966372348966523</v>
      </c>
      <c r="AY20" s="622">
        <f t="shared" si="131"/>
        <v>9</v>
      </c>
      <c r="AZ20" s="622">
        <f t="shared" si="134"/>
        <v>41</v>
      </c>
      <c r="BA20" s="622">
        <f t="shared" si="135"/>
        <v>47</v>
      </c>
      <c r="BB20" s="622">
        <f t="shared" si="71"/>
        <v>53.642737676897241</v>
      </c>
      <c r="BC20" s="655"/>
      <c r="BD20" s="656" t="s">
        <v>3405</v>
      </c>
      <c r="BE20" s="656">
        <f>AX32</f>
        <v>21.908857671085467</v>
      </c>
      <c r="BF20" s="641"/>
      <c r="BG20" s="641"/>
      <c r="BH20" s="657"/>
      <c r="BI20" s="502" t="s">
        <v>788</v>
      </c>
      <c r="BJ20" s="502">
        <f>BJ19/[1]!csn(BJ15)</f>
        <v>-36.791100980430805</v>
      </c>
      <c r="BK20" s="655"/>
      <c r="BL20" s="641">
        <v>10</v>
      </c>
      <c r="BM20" s="656" t="s">
        <v>1060</v>
      </c>
      <c r="BN20" s="656">
        <f>[1]!ml(BN3,BN19)</f>
        <v>5.5596724411052962</v>
      </c>
      <c r="BO20" s="641">
        <f t="shared" si="86"/>
        <v>5</v>
      </c>
      <c r="BP20" s="641">
        <f t="shared" si="132"/>
        <v>33</v>
      </c>
      <c r="BQ20" s="641">
        <f t="shared" si="133"/>
        <v>34</v>
      </c>
      <c r="BR20" s="657">
        <f t="shared" si="47"/>
        <v>49.247278743999914</v>
      </c>
      <c r="BS20" s="502"/>
      <c r="BT20" s="690">
        <v>13</v>
      </c>
      <c r="BU20" s="656"/>
      <c r="BV20" s="656">
        <f>BV18/BV19*60</f>
        <v>59.995918179927749</v>
      </c>
      <c r="BW20" s="641">
        <f t="shared" si="111"/>
        <v>59</v>
      </c>
      <c r="BX20" s="641">
        <f t="shared" si="112"/>
        <v>59</v>
      </c>
      <c r="BY20" s="641">
        <f t="shared" si="113"/>
        <v>45</v>
      </c>
      <c r="BZ20" s="641">
        <f t="shared" si="114"/>
        <v>18</v>
      </c>
      <c r="CA20" s="1062">
        <v>14</v>
      </c>
      <c r="CB20" s="1061" t="s">
        <v>1091</v>
      </c>
      <c r="CC20" s="1061">
        <f>CC19/CC8</f>
        <v>-22.245374694855041</v>
      </c>
      <c r="CD20" s="1059">
        <f t="shared" si="107"/>
        <v>22</v>
      </c>
      <c r="CE20" s="1059">
        <f t="shared" si="108"/>
        <v>14</v>
      </c>
      <c r="CF20" s="1059">
        <f t="shared" si="109"/>
        <v>43</v>
      </c>
      <c r="CG20" s="1060">
        <f t="shared" si="110"/>
        <v>20</v>
      </c>
      <c r="CH20" s="656" t="e">
        <f>CH19-CC18</f>
        <v>#VALUE!</v>
      </c>
      <c r="CI20" s="656"/>
      <c r="CJ20" s="656"/>
      <c r="CK20" s="656"/>
      <c r="CL20" s="656"/>
      <c r="CM20" s="656"/>
      <c r="CN20" s="656">
        <v>13</v>
      </c>
      <c r="CO20" s="656" t="s">
        <v>227</v>
      </c>
      <c r="CP20" s="656">
        <f>[1]!ml(CC4,CP19)</f>
        <v>7.5968448486741771</v>
      </c>
      <c r="CQ20" s="641">
        <f t="shared" si="29"/>
        <v>7</v>
      </c>
      <c r="CR20" s="641">
        <f t="shared" si="30"/>
        <v>35</v>
      </c>
      <c r="CS20" s="641">
        <f t="shared" si="31"/>
        <v>48</v>
      </c>
      <c r="CT20" s="645">
        <f t="shared" si="32"/>
        <v>38</v>
      </c>
      <c r="CU20" s="275"/>
      <c r="CV20" s="275" t="s">
        <v>1064</v>
      </c>
      <c r="CW20" s="275">
        <f>[1]!ertaztale(CW4,CW9,0,CW13,CW16)</f>
        <v>-37.795096852063494</v>
      </c>
      <c r="CX20" s="648">
        <f t="shared" ref="CX20:CX31" si="136">INT(ABS(CW20))</f>
        <v>37</v>
      </c>
      <c r="CY20" s="648">
        <f t="shared" ref="CY20:CY31" si="137">INT((ABS(CW20)-CX20)*60)</f>
        <v>47</v>
      </c>
      <c r="CZ20" s="648">
        <f t="shared" ref="CZ20:CZ31" si="138">INT((((ABS(CW20)-CX20)*60)-CY20)*60)</f>
        <v>42</v>
      </c>
      <c r="DA20" s="649">
        <f t="shared" ref="DA20:DA31" si="139">INT((((((ABS(CW20)-CX20)*60)-CY20)*60)-CZ20)*60)</f>
        <v>20</v>
      </c>
      <c r="DE20" s="1046">
        <v>13</v>
      </c>
      <c r="DF20" s="607" t="s">
        <v>1088</v>
      </c>
      <c r="DG20" s="607">
        <f>[1]!sn(DG19)</f>
        <v>27.792711103409943</v>
      </c>
      <c r="DH20" s="608">
        <f t="shared" si="33"/>
        <v>27</v>
      </c>
      <c r="DI20" s="608">
        <f t="shared" si="34"/>
        <v>47</v>
      </c>
      <c r="DJ20" s="608">
        <f t="shared" si="35"/>
        <v>33</v>
      </c>
      <c r="DK20" s="1047">
        <f t="shared" si="36"/>
        <v>45</v>
      </c>
      <c r="DS20" s="715"/>
      <c r="DT20" s="1045"/>
      <c r="EM20" s="156">
        <v>13</v>
      </c>
      <c r="EN20" s="156" t="s">
        <v>1152</v>
      </c>
      <c r="EO20" s="156" t="e">
        <f ca="1">[2]!asn([2]!sn(EO8)/[2]!sn(EO19)*60)</f>
        <v>#NAME?</v>
      </c>
      <c r="EP20" s="159" t="e">
        <f ca="1">INT(ABS(EO20))</f>
        <v>#NAME?</v>
      </c>
      <c r="EQ20" s="159" t="e">
        <f ca="1">INT((ABS(EO20)-EP20)*60)</f>
        <v>#NAME?</v>
      </c>
      <c r="ER20" s="159" t="e">
        <f ca="1">INT((((ABS(EO20)-EP20)*60)-EQ20)*60)</f>
        <v>#NAME?</v>
      </c>
      <c r="ES20" s="159" t="e">
        <f ca="1">INT((((((ABS(EO20)-EP20)*60)-EQ20)*60)-ER20)*60)</f>
        <v>#NAME?</v>
      </c>
      <c r="EU20" s="156" t="s">
        <v>1072</v>
      </c>
      <c r="EV20" s="156" t="e">
        <f ca="1">(90-EV11)+EV19</f>
        <v>#NAME?</v>
      </c>
      <c r="EW20" s="159" t="e">
        <f t="shared" ca="1" si="103"/>
        <v>#NAME?</v>
      </c>
      <c r="EX20" s="159" t="e">
        <f t="shared" ca="1" si="104"/>
        <v>#NAME?</v>
      </c>
      <c r="EY20" s="159" t="e">
        <f t="shared" ca="1" si="105"/>
        <v>#NAME?</v>
      </c>
      <c r="EZ20" s="159" t="e">
        <f t="shared" ca="1" si="106"/>
        <v>#NAME?</v>
      </c>
      <c r="FE20" s="587"/>
      <c r="FF20" s="502"/>
      <c r="FG20" s="502"/>
      <c r="FH20" s="502"/>
      <c r="FI20" s="502" t="s">
        <v>3428</v>
      </c>
      <c r="FJ20" s="502">
        <f>FR90</f>
        <v>-37.609765444771753</v>
      </c>
      <c r="FK20" s="605">
        <f t="shared" si="123"/>
        <v>37</v>
      </c>
      <c r="FL20" s="605">
        <f t="shared" si="124"/>
        <v>36</v>
      </c>
      <c r="FM20" s="605">
        <f t="shared" si="125"/>
        <v>35</v>
      </c>
      <c r="FN20" s="605">
        <f t="shared" si="126"/>
        <v>9</v>
      </c>
      <c r="FO20" s="606" t="s">
        <v>343</v>
      </c>
      <c r="FQ20" s="430"/>
      <c r="FR20" s="226"/>
      <c r="FT20" s="226"/>
      <c r="FU20" s="227"/>
      <c r="GT20" s="577" t="s">
        <v>357</v>
      </c>
      <c r="GU20" s="579" t="e">
        <f ca="1">IF(GU19+GU18&lt;360,GU19+GU18,GU19+GU18-360)</f>
        <v>#NAME?</v>
      </c>
      <c r="GV20" s="578" t="e">
        <f t="shared" ca="1" si="119"/>
        <v>#NAME?</v>
      </c>
      <c r="GW20" s="578" t="e">
        <f t="shared" ca="1" si="120"/>
        <v>#NAME?</v>
      </c>
      <c r="GX20" s="578" t="e">
        <f t="shared" ca="1" si="121"/>
        <v>#NAME?</v>
      </c>
      <c r="GY20" s="578" t="e">
        <f t="shared" ca="1" si="122"/>
        <v>#NAME?</v>
      </c>
      <c r="HC20" s="280"/>
      <c r="HD20" s="226"/>
      <c r="HE20" s="226"/>
      <c r="HF20" s="226"/>
      <c r="HG20" s="227"/>
      <c r="HI20" s="280"/>
      <c r="HJ20" s="226"/>
      <c r="HK20" s="226"/>
      <c r="HL20" s="226"/>
      <c r="HM20" s="227"/>
      <c r="HY20" s="629" t="s">
        <v>1056</v>
      </c>
      <c r="HZ20" s="629" t="e">
        <f ca="1">HZ19/2/15</f>
        <v>#NAME?</v>
      </c>
      <c r="IC20" s="264" t="s">
        <v>2284</v>
      </c>
      <c r="ID20" s="114"/>
      <c r="IE20" s="114" t="e">
        <f ca="1">(IF7-(IE9/6))*(IE13-IE11)</f>
        <v>#NAME?</v>
      </c>
      <c r="IF20" s="455" t="e">
        <f t="shared" ca="1" si="64"/>
        <v>#NAME?</v>
      </c>
      <c r="IG20" s="455" t="e">
        <f t="shared" ca="1" si="65"/>
        <v>#NAME?</v>
      </c>
      <c r="IH20" s="455" t="e">
        <f t="shared" ca="1" si="66"/>
        <v>#NAME?</v>
      </c>
      <c r="II20" s="454" t="e">
        <f t="shared" ca="1" si="67"/>
        <v>#NAME?</v>
      </c>
    </row>
    <row r="21" spans="1:243" ht="24.75">
      <c r="G21" s="2571"/>
      <c r="H21" s="2571">
        <f>X23</f>
        <v>179.7124297927819</v>
      </c>
      <c r="I21" s="2571" t="s">
        <v>4687</v>
      </c>
      <c r="M21" s="628">
        <v>10</v>
      </c>
      <c r="N21" s="629" t="s">
        <v>893</v>
      </c>
      <c r="O21" s="629">
        <f>O20*24/O18</f>
        <v>5.8491800745601914</v>
      </c>
      <c r="P21" s="630">
        <f t="shared" si="59"/>
        <v>5</v>
      </c>
      <c r="Q21" s="630">
        <f t="shared" si="60"/>
        <v>50</v>
      </c>
      <c r="R21" s="630">
        <f t="shared" si="61"/>
        <v>57</v>
      </c>
      <c r="S21" s="630">
        <f t="shared" si="62"/>
        <v>2</v>
      </c>
      <c r="T21" s="625"/>
      <c r="U21" s="625"/>
      <c r="V21" s="670"/>
      <c r="W21" s="666" t="s">
        <v>3501</v>
      </c>
      <c r="X21" s="1600" t="str">
        <f>[1]!emkaname(O3,O4,O5,X4,O8,X5)</f>
        <v>yes</v>
      </c>
      <c r="Y21" s="666"/>
      <c r="Z21" s="666"/>
      <c r="AA21" s="666"/>
      <c r="AB21" s="666"/>
      <c r="AC21" s="666"/>
      <c r="AD21" s="669"/>
      <c r="AE21" s="629" t="s">
        <v>914</v>
      </c>
      <c r="AF21" s="629">
        <f>[1]!boadq(AF20)</f>
        <v>56.057898231214082</v>
      </c>
      <c r="AG21" s="630">
        <f t="shared" si="91"/>
        <v>56</v>
      </c>
      <c r="AH21" s="630">
        <f t="shared" si="92"/>
        <v>3</v>
      </c>
      <c r="AI21" s="630">
        <f t="shared" si="93"/>
        <v>28</v>
      </c>
      <c r="AJ21" s="665">
        <f t="shared" si="94"/>
        <v>26</v>
      </c>
      <c r="AK21" s="625"/>
      <c r="AL21" s="620" t="s">
        <v>443</v>
      </c>
      <c r="AM21" s="621">
        <f>[1]!hesseha(AM3,AM4,[1]!roz(AM5,AM8,0,0),AM6)</f>
        <v>348.50401606943183</v>
      </c>
      <c r="AN21" s="622">
        <f>INT(ABS(AM21))</f>
        <v>348</v>
      </c>
      <c r="AO21" s="622">
        <f>INT((ABS(AM21)-AN21)*60)</f>
        <v>30</v>
      </c>
      <c r="AP21" s="622">
        <f>INT((((ABS(AM21)-AN21)*60)-AO21)*60)</f>
        <v>14</v>
      </c>
      <c r="AQ21" s="682">
        <f>INT((((((ABS(AM21)-AN21)*60)-AO21)*60)-AP21)*60)</f>
        <v>27</v>
      </c>
      <c r="AR21" s="2566"/>
      <c r="AS21" s="2571"/>
      <c r="AT21" s="2571">
        <f>CP74</f>
        <v>0.82773057100235403</v>
      </c>
      <c r="AU21" s="2571" t="s">
        <v>4705</v>
      </c>
      <c r="AV21" s="986">
        <v>10</v>
      </c>
      <c r="AW21" s="656" t="s">
        <v>1028</v>
      </c>
      <c r="AX21" s="656">
        <f>[1]!taqsha(AX2,AX3,[1]!roz(AX4,AX9+AX10+AX20,0,0),AX8)</f>
        <v>19.422570882977876</v>
      </c>
      <c r="AY21" s="641">
        <f t="shared" ref="AY21:AY24" si="140">INT(ABS(AX21))</f>
        <v>19</v>
      </c>
      <c r="AZ21" s="641">
        <f t="shared" ref="AZ21:AZ25" si="141">INT((ABS(AX21)-AY21)*60)</f>
        <v>25</v>
      </c>
      <c r="BA21" s="641">
        <f t="shared" ref="BA21:BA25" si="142">INT((((ABS(AX21)-AY21)*60)-AZ21)*60)</f>
        <v>21</v>
      </c>
      <c r="BB21" s="641">
        <f t="shared" ref="BB21:BB25" si="143">((((((ABS(AX21)-AY21)*60)-AZ21)*60)-BA21)*60)</f>
        <v>15.310723221224407</v>
      </c>
      <c r="BC21" s="655"/>
      <c r="BD21" s="656"/>
      <c r="BE21" s="656" t="str">
        <f>IF(AND(BE20&gt;BE18,BE20&lt;BE19),"رویت کسوف ممکن است","رویت کسوف ممکن نیست")</f>
        <v>رویت کسوف ممکن نیست</v>
      </c>
      <c r="BF21" s="656"/>
      <c r="BG21" s="656"/>
      <c r="BH21" s="661"/>
      <c r="BI21" s="502" t="s">
        <v>1064</v>
      </c>
      <c r="BJ21" s="502">
        <f>[1]!asn(BJ20)</f>
        <v>-37.820158402351304</v>
      </c>
      <c r="BK21" s="655" t="s">
        <v>606</v>
      </c>
      <c r="BL21" s="656">
        <v>11</v>
      </c>
      <c r="BM21" s="656" t="s">
        <v>879</v>
      </c>
      <c r="BN21" s="656">
        <f>90-BN11</f>
        <v>54.278100000000002</v>
      </c>
      <c r="BO21" s="641">
        <f t="shared" si="86"/>
        <v>54</v>
      </c>
      <c r="BP21" s="641">
        <f t="shared" si="132"/>
        <v>16</v>
      </c>
      <c r="BQ21" s="641">
        <f t="shared" si="133"/>
        <v>41</v>
      </c>
      <c r="BR21" s="657">
        <f t="shared" si="47"/>
        <v>9.6000000004346475</v>
      </c>
      <c r="BS21" s="502"/>
      <c r="BT21" s="655">
        <v>14</v>
      </c>
      <c r="BU21" s="656" t="s">
        <v>1093</v>
      </c>
      <c r="BV21" s="656">
        <f>[1]!asn(BV20)</f>
        <v>89.331669323663533</v>
      </c>
      <c r="BW21" s="641">
        <f t="shared" si="111"/>
        <v>89</v>
      </c>
      <c r="BX21" s="641">
        <f t="shared" si="112"/>
        <v>19</v>
      </c>
      <c r="BY21" s="641">
        <f t="shared" si="113"/>
        <v>54</v>
      </c>
      <c r="BZ21" s="641">
        <f t="shared" si="114"/>
        <v>0</v>
      </c>
      <c r="CA21" s="1062">
        <v>15</v>
      </c>
      <c r="CB21" s="1061" t="s">
        <v>1178</v>
      </c>
      <c r="CC21" s="1061">
        <f>CC10+CC20</f>
        <v>23.487496159533993</v>
      </c>
      <c r="CD21" s="1059">
        <f>INT(ABS(CC21))</f>
        <v>23</v>
      </c>
      <c r="CE21" s="1059">
        <f>INT((ABS(CC21)-CD21)*60)</f>
        <v>29</v>
      </c>
      <c r="CF21" s="1059">
        <f>INT((((ABS(CC21)-CD21)*60)-CE21)*60)</f>
        <v>14</v>
      </c>
      <c r="CG21" s="1060">
        <f>INT((((((ABS(CC21)-CD21)*60)-CE21)*60)-CF21)*60)</f>
        <v>59</v>
      </c>
      <c r="CH21" s="656"/>
      <c r="CI21" s="656"/>
      <c r="CJ21" s="656"/>
      <c r="CK21" s="656"/>
      <c r="CL21" s="656"/>
      <c r="CM21" s="656"/>
      <c r="CN21" s="656">
        <v>14</v>
      </c>
      <c r="CO21" s="656" t="s">
        <v>364</v>
      </c>
      <c r="CP21" s="656">
        <f>[1]!qsn(CP20,CP18)</f>
        <v>191.00798832121001</v>
      </c>
      <c r="CQ21" s="641">
        <f t="shared" si="29"/>
        <v>191</v>
      </c>
      <c r="CR21" s="641">
        <f t="shared" si="30"/>
        <v>0</v>
      </c>
      <c r="CS21" s="641">
        <f t="shared" si="31"/>
        <v>28</v>
      </c>
      <c r="CT21" s="645">
        <f t="shared" si="32"/>
        <v>45</v>
      </c>
      <c r="CU21" s="275"/>
      <c r="CV21" s="275" t="s">
        <v>1074</v>
      </c>
      <c r="CW21" s="275">
        <f>[1]!ertaztale(CW4,CW9,CW18,CW14,CW16)</f>
        <v>-37.585425310855378</v>
      </c>
      <c r="CX21" s="648">
        <f t="shared" si="136"/>
        <v>37</v>
      </c>
      <c r="CY21" s="648">
        <f t="shared" si="137"/>
        <v>35</v>
      </c>
      <c r="CZ21" s="648">
        <f t="shared" si="138"/>
        <v>7</v>
      </c>
      <c r="DA21" s="649">
        <f t="shared" si="139"/>
        <v>31</v>
      </c>
      <c r="DE21" s="1046">
        <v>14</v>
      </c>
      <c r="DF21" s="607" t="s">
        <v>787</v>
      </c>
      <c r="DG21" s="607">
        <f>DG12*DG20</f>
        <v>0.98604042140271431</v>
      </c>
      <c r="DH21" s="608">
        <f t="shared" si="33"/>
        <v>0</v>
      </c>
      <c r="DI21" s="608">
        <f t="shared" si="34"/>
        <v>59</v>
      </c>
      <c r="DJ21" s="608">
        <f t="shared" si="35"/>
        <v>9</v>
      </c>
      <c r="DK21" s="1047">
        <f t="shared" si="36"/>
        <v>44</v>
      </c>
      <c r="DS21" s="715"/>
      <c r="DT21" s="639"/>
      <c r="EM21" s="156">
        <v>14</v>
      </c>
      <c r="EN21" s="156" t="s">
        <v>1146</v>
      </c>
      <c r="EO21" s="156" t="e">
        <f ca="1">IF(OR(AND((EO10&lt;180),(AND(EO13&lt;EO9,EO10&gt;EO9))),AND((EO10&gt;180),(OR(EO13&lt;EO9,EO10&gt;EO9)))),1,-1)</f>
        <v>#NAME?</v>
      </c>
      <c r="EP21" s="159"/>
      <c r="EQ21" s="159"/>
      <c r="ER21" s="159"/>
      <c r="ES21" s="159"/>
      <c r="EU21" s="156"/>
      <c r="EV21" s="156" t="e">
        <f ca="1">[2]!sn(EV20)</f>
        <v>#NAME?</v>
      </c>
      <c r="EW21" s="159" t="e">
        <f t="shared" ca="1" si="103"/>
        <v>#NAME?</v>
      </c>
      <c r="EX21" s="159" t="e">
        <f t="shared" ca="1" si="104"/>
        <v>#NAME?</v>
      </c>
      <c r="EY21" s="159" t="e">
        <f t="shared" ca="1" si="105"/>
        <v>#NAME?</v>
      </c>
      <c r="EZ21" s="159" t="e">
        <f t="shared" ca="1" si="106"/>
        <v>#NAME?</v>
      </c>
      <c r="FE21" s="587"/>
      <c r="FF21" s="502"/>
      <c r="FG21" s="502"/>
      <c r="FH21" s="502"/>
      <c r="FI21" s="502" t="s">
        <v>3481</v>
      </c>
      <c r="FJ21" s="502">
        <f>[1]!markaz3a(FJ9,FJ10,[1]!roz(FJ11,FJ12,0,0),FJ13)</f>
        <v>208.2671600021379</v>
      </c>
      <c r="FK21" s="605">
        <f t="shared" si="123"/>
        <v>208</v>
      </c>
      <c r="FL21" s="605">
        <f t="shared" si="124"/>
        <v>16</v>
      </c>
      <c r="FM21" s="605">
        <f t="shared" si="125"/>
        <v>1</v>
      </c>
      <c r="FN21" s="605">
        <f t="shared" si="126"/>
        <v>46</v>
      </c>
      <c r="FO21" s="606" t="s">
        <v>344</v>
      </c>
      <c r="FQ21" s="430" t="s">
        <v>1095</v>
      </c>
      <c r="FR21" s="226">
        <f>90-[1]!asn([1]!csn(FR4)*[1]!csn(FR11)/60)</f>
        <v>43.780049534295586</v>
      </c>
      <c r="FS21" s="226"/>
      <c r="FT21" s="226"/>
      <c r="FU21" s="227"/>
      <c r="GT21" s="577" t="s">
        <v>1065</v>
      </c>
      <c r="GU21" s="577" t="e">
        <f ca="1">[2]!tazmb(GU20,GU14)</f>
        <v>#NAME?</v>
      </c>
      <c r="GV21" s="578" t="e">
        <f t="shared" ca="1" si="119"/>
        <v>#NAME?</v>
      </c>
      <c r="GW21" s="578" t="e">
        <f t="shared" ca="1" si="120"/>
        <v>#NAME?</v>
      </c>
      <c r="GX21" s="578" t="e">
        <f t="shared" ca="1" si="121"/>
        <v>#NAME?</v>
      </c>
      <c r="GY21" s="578" t="e">
        <f t="shared" ca="1" si="122"/>
        <v>#NAME?</v>
      </c>
      <c r="HC21" s="280"/>
      <c r="HD21" s="388"/>
      <c r="HE21" s="226"/>
      <c r="HF21" s="226"/>
      <c r="HG21" s="227"/>
      <c r="HI21" s="280"/>
      <c r="HJ21" s="388"/>
      <c r="HK21" s="226"/>
      <c r="HL21" s="226"/>
      <c r="HM21" s="227"/>
      <c r="HZ21" s="151" t="e">
        <f ca="1">IF(HZ12&lt;HZ20,HZ20,HZ12+(24-HZ12)+HZ20)</f>
        <v>#NAME?</v>
      </c>
      <c r="IC21" s="264" t="s">
        <v>2285</v>
      </c>
      <c r="ID21" s="114"/>
      <c r="IE21" s="388" t="e">
        <f ca="1">IE11+IE20</f>
        <v>#NAME?</v>
      </c>
      <c r="IF21" s="455" t="e">
        <f t="shared" ca="1" si="64"/>
        <v>#NAME?</v>
      </c>
      <c r="IG21" s="455" t="e">
        <f t="shared" ca="1" si="65"/>
        <v>#NAME?</v>
      </c>
      <c r="IH21" s="455" t="e">
        <f t="shared" ca="1" si="66"/>
        <v>#NAME?</v>
      </c>
      <c r="II21" s="454" t="e">
        <f t="shared" ca="1" si="67"/>
        <v>#NAME?</v>
      </c>
    </row>
    <row r="22" spans="1:243" ht="24.75">
      <c r="G22" s="2571"/>
      <c r="H22" s="2571" t="str">
        <f>IF(AND(INT(H3)=INT(H21),S46="ras"),"  زیان رسد بر تن و جان شخص،و نقصان بصر و رفتن چشم",IF(AND(INT(H3)=INT(H21),S46="zanab"),"  به شدت زیان رسد بر تن و جان شخص،و نقصان  بصر و رفتن چشم","-"))</f>
        <v>-</v>
      </c>
      <c r="I22" s="2571" t="s">
        <v>4685</v>
      </c>
      <c r="M22" s="628"/>
      <c r="N22" s="629" t="s">
        <v>3502</v>
      </c>
      <c r="O22" s="629">
        <f>O21+O10</f>
        <v>17.809007477693527</v>
      </c>
      <c r="P22" s="629"/>
      <c r="Q22" s="629"/>
      <c r="R22" s="629"/>
      <c r="S22" s="629"/>
      <c r="T22" s="625"/>
      <c r="U22" s="625"/>
      <c r="V22" s="625"/>
      <c r="W22" s="625"/>
      <c r="X22" s="625" t="s">
        <v>4706</v>
      </c>
      <c r="Y22" s="625"/>
      <c r="Z22" s="625"/>
      <c r="AA22" s="625"/>
      <c r="AB22" s="625"/>
      <c r="AC22" s="629"/>
      <c r="AD22" s="669">
        <v>13</v>
      </c>
      <c r="AE22" s="629" t="s">
        <v>904</v>
      </c>
      <c r="AF22" s="629">
        <f>[1]!ekhtmanzofoq(AF19)</f>
        <v>1.022327822341998</v>
      </c>
      <c r="AG22" s="630">
        <f t="shared" si="91"/>
        <v>1</v>
      </c>
      <c r="AH22" s="630">
        <f t="shared" si="92"/>
        <v>1</v>
      </c>
      <c r="AI22" s="630">
        <f t="shared" si="93"/>
        <v>20</v>
      </c>
      <c r="AJ22" s="665">
        <f t="shared" si="94"/>
        <v>22</v>
      </c>
      <c r="AK22" s="625"/>
      <c r="AL22" s="620" t="s">
        <v>416</v>
      </c>
      <c r="AM22" s="621">
        <f>[1]!arzqmr(AM21)</f>
        <v>-0.9997941762626571</v>
      </c>
      <c r="AN22" s="622">
        <f t="shared" ref="AN22:AN23" si="144">INT(ABS(AM22))</f>
        <v>0</v>
      </c>
      <c r="AO22" s="622">
        <f t="shared" ref="AO22:AO23" si="145">INT((ABS(AM22)-AN22)*60)</f>
        <v>59</v>
      </c>
      <c r="AP22" s="622">
        <f t="shared" ref="AP22:AP23" si="146">INT((((ABS(AM22)-AN22)*60)-AO22)*60)</f>
        <v>59</v>
      </c>
      <c r="AQ22" s="682">
        <f t="shared" ref="AQ22:AQ23" si="147">INT((((((ABS(AM22)-AN22)*60)-AO22)*60)-AP22)*60)</f>
        <v>15</v>
      </c>
      <c r="AR22" s="2566"/>
      <c r="AS22" s="2571"/>
      <c r="AT22" s="2571">
        <f>AT21*60*6</f>
        <v>297.98300556084746</v>
      </c>
      <c r="AU22" s="2571" t="s">
        <v>4704</v>
      </c>
      <c r="AV22" s="986">
        <v>11</v>
      </c>
      <c r="AW22" s="656" t="s">
        <v>1029</v>
      </c>
      <c r="AX22" s="656">
        <f>[1]!taqqa(AX2,AX3,[1]!roz(AX4,AX9+AX10+AX20,0,0),AX8)</f>
        <v>19.345471042116682</v>
      </c>
      <c r="AY22" s="641">
        <f t="shared" si="140"/>
        <v>19</v>
      </c>
      <c r="AZ22" s="641">
        <f t="shared" si="141"/>
        <v>20</v>
      </c>
      <c r="BA22" s="641">
        <f t="shared" si="142"/>
        <v>43</v>
      </c>
      <c r="BB22" s="641">
        <f t="shared" si="143"/>
        <v>41.745097203216801</v>
      </c>
      <c r="BC22" s="655"/>
      <c r="BD22" s="656" t="s">
        <v>968</v>
      </c>
      <c r="BE22" s="656">
        <f>[1]!taqrasq(BE3,BE4,BE5+(AX32/24),BE6)</f>
        <v>15.342856796911637</v>
      </c>
      <c r="BF22" s="641">
        <f t="shared" ref="BF22:BF27" si="148">INT(ABS(BE22))</f>
        <v>15</v>
      </c>
      <c r="BG22" s="641">
        <f t="shared" ref="BG22:BG27" si="149">INT((ABS(BE22)-BF22)*60)</f>
        <v>20</v>
      </c>
      <c r="BH22" s="657">
        <f t="shared" ref="BH22:BH27" si="150">INT((((ABS(BE22)-BF22)*60)-BG22)*60)</f>
        <v>34</v>
      </c>
      <c r="BI22" s="502" t="s">
        <v>4111</v>
      </c>
      <c r="BJ22" s="502">
        <f>[1]!ertefashams(BN3,BN4,BE5,BN8,BN6,BN11)</f>
        <v>-37.820158402351304</v>
      </c>
      <c r="BK22" s="655">
        <f>[1]!qrk([1]!ml(BN3,BN19),BN11)</f>
        <v>59.837772441105301</v>
      </c>
      <c r="BL22" s="656">
        <v>12</v>
      </c>
      <c r="BM22" s="656" t="s">
        <v>278</v>
      </c>
      <c r="BN22" s="656">
        <f>IF(OR(AND(BN20&gt;0,BN11&gt;0),(AND(BN20&lt;0,BN11&lt;0))),BN21+ABS(BN20),BN21-ABS(BN20))</f>
        <v>59.837772441105301</v>
      </c>
      <c r="BO22" s="641">
        <f t="shared" si="86"/>
        <v>59</v>
      </c>
      <c r="BP22" s="641">
        <f t="shared" si="132"/>
        <v>50</v>
      </c>
      <c r="BQ22" s="641">
        <f t="shared" si="133"/>
        <v>15</v>
      </c>
      <c r="BR22" s="657">
        <f t="shared" si="47"/>
        <v>58.847278744997311</v>
      </c>
      <c r="BS22" s="502"/>
      <c r="BT22" s="655">
        <v>15</v>
      </c>
      <c r="BU22" s="656" t="s">
        <v>1094</v>
      </c>
      <c r="BV22" s="656">
        <f>90-BV21</f>
        <v>0.66833067633646692</v>
      </c>
      <c r="BW22" s="641">
        <f t="shared" si="111"/>
        <v>0</v>
      </c>
      <c r="BX22" s="641">
        <f t="shared" si="112"/>
        <v>40</v>
      </c>
      <c r="BY22" s="641">
        <f t="shared" si="113"/>
        <v>5</v>
      </c>
      <c r="BZ22" s="641">
        <f t="shared" si="114"/>
        <v>59</v>
      </c>
      <c r="CA22" s="1058"/>
      <c r="CB22" s="1061" t="s">
        <v>698</v>
      </c>
      <c r="CC22" s="1058">
        <f>[1]!taqqa(CC4,CC5,[1]!roz(BE5,CC21,0,0),CC7)</f>
        <v>20.392911059796269</v>
      </c>
      <c r="CD22" s="1059">
        <f>INT(ABS(CC22))</f>
        <v>20</v>
      </c>
      <c r="CE22" s="1059">
        <f>INT((ABS(CC22)-CD22)*60)</f>
        <v>23</v>
      </c>
      <c r="CF22" s="1059">
        <f>INT((((ABS(CC22)-CD22)*60)-CE22)*60)</f>
        <v>34</v>
      </c>
      <c r="CG22" s="1060">
        <f>INT((((((ABS(CC22)-CD22)*60)-CE22)*60)-CF22)*60)</f>
        <v>28</v>
      </c>
      <c r="CH22" s="656"/>
      <c r="CI22" s="656">
        <f>[1]!taqmareesh(CC4,CC5,AX4,CJ8+CC9,CC7,CJ11)</f>
        <v>20.394342063678977</v>
      </c>
      <c r="CJ22" s="656"/>
      <c r="CK22" s="656"/>
      <c r="CL22" s="656"/>
      <c r="CM22" s="656"/>
      <c r="CN22" s="656">
        <v>15</v>
      </c>
      <c r="CO22" s="656" t="s">
        <v>363</v>
      </c>
      <c r="CP22" s="656">
        <f>CP21/2</f>
        <v>95.503994160605004</v>
      </c>
      <c r="CQ22" s="641">
        <f t="shared" si="29"/>
        <v>95</v>
      </c>
      <c r="CR22" s="641">
        <f t="shared" si="30"/>
        <v>30</v>
      </c>
      <c r="CS22" s="641">
        <f t="shared" si="31"/>
        <v>14</v>
      </c>
      <c r="CT22" s="645">
        <f t="shared" si="32"/>
        <v>22</v>
      </c>
      <c r="CU22" s="275"/>
      <c r="CV22" s="275" t="s">
        <v>934</v>
      </c>
      <c r="CW22" s="275">
        <f>[1]!asaqotrqmr(CW4,CW5,CW6,CW11,CW8,CW9)</f>
        <v>-70.594217600155375</v>
      </c>
      <c r="CX22" s="648">
        <f t="shared" si="136"/>
        <v>70</v>
      </c>
      <c r="CY22" s="648">
        <f t="shared" si="137"/>
        <v>35</v>
      </c>
      <c r="CZ22" s="648">
        <f t="shared" si="138"/>
        <v>39</v>
      </c>
      <c r="DA22" s="649">
        <f t="shared" si="139"/>
        <v>11</v>
      </c>
      <c r="DE22" s="1046">
        <v>15</v>
      </c>
      <c r="DF22" s="607" t="s">
        <v>1089</v>
      </c>
      <c r="DG22" s="607">
        <f>[1]!csn(DG10)</f>
        <v>47.396088828327642</v>
      </c>
      <c r="DH22" s="608">
        <f t="shared" si="33"/>
        <v>47</v>
      </c>
      <c r="DI22" s="608">
        <f t="shared" si="34"/>
        <v>23</v>
      </c>
      <c r="DJ22" s="608">
        <f t="shared" si="35"/>
        <v>45</v>
      </c>
      <c r="DK22" s="1047">
        <f t="shared" si="36"/>
        <v>55</v>
      </c>
      <c r="DS22" s="715"/>
      <c r="DT22" s="639"/>
      <c r="EM22" s="156">
        <v>15</v>
      </c>
      <c r="EN22" s="156" t="s">
        <v>1078</v>
      </c>
      <c r="EO22" s="156" t="e">
        <f ca="1">IF(EO21=1,"کوکب فوق افق","کوکب تحت افق")</f>
        <v>#NAME?</v>
      </c>
      <c r="EP22" s="159"/>
      <c r="EQ22" s="159"/>
      <c r="ER22" s="159"/>
      <c r="ES22" s="159"/>
      <c r="EU22" s="156" t="s">
        <v>1159</v>
      </c>
      <c r="EV22" s="156" t="e">
        <f ca="1">[2]!asn([2]!sn(EV20)*[2]!sn(EV18)/60)</f>
        <v>#NAME?</v>
      </c>
      <c r="EW22" s="159" t="e">
        <f t="shared" ca="1" si="103"/>
        <v>#NAME?</v>
      </c>
      <c r="EX22" s="159" t="e">
        <f t="shared" ca="1" si="104"/>
        <v>#NAME?</v>
      </c>
      <c r="EY22" s="159" t="e">
        <f t="shared" ca="1" si="105"/>
        <v>#NAME?</v>
      </c>
      <c r="EZ22" s="159" t="e">
        <f t="shared" ca="1" si="106"/>
        <v>#NAME?</v>
      </c>
      <c r="FE22" s="587"/>
      <c r="FF22" s="502"/>
      <c r="FG22" s="502"/>
      <c r="FH22" s="502"/>
      <c r="FI22" s="502" t="s">
        <v>3478</v>
      </c>
      <c r="FJ22" s="502">
        <f>[1]!ekhtmanzofoq(FJ21)</f>
        <v>1.0164440333315516</v>
      </c>
      <c r="FK22" s="605">
        <f t="shared" si="123"/>
        <v>1</v>
      </c>
      <c r="FL22" s="605">
        <f t="shared" si="124"/>
        <v>0</v>
      </c>
      <c r="FM22" s="605">
        <f t="shared" si="125"/>
        <v>59</v>
      </c>
      <c r="FN22" s="605">
        <f t="shared" si="126"/>
        <v>11</v>
      </c>
      <c r="FO22" s="606" t="s">
        <v>345</v>
      </c>
      <c r="FQ22" s="430" t="s">
        <v>1071</v>
      </c>
      <c r="FR22" s="226">
        <f>IF(FR3&gt;0,[1]!asn([1]!sn(ABS(FR4))*60/[1]!sn(FR21)),[1]!asn([1]!sn((FR4))*60/[1]!sn(FR21)))</f>
        <v>0</v>
      </c>
      <c r="FS22" s="226"/>
      <c r="FT22" s="226"/>
      <c r="FU22" s="227"/>
      <c r="FV22" s="157"/>
      <c r="FW22" s="157"/>
      <c r="GT22" s="577" t="s">
        <v>1067</v>
      </c>
      <c r="GU22" s="577" t="e">
        <f ca="1">IF(GU21&gt;180,GU21-180,GU21+180)</f>
        <v>#NAME?</v>
      </c>
      <c r="GV22" s="577"/>
      <c r="GW22" s="577"/>
      <c r="GX22" s="577"/>
      <c r="GY22" s="577"/>
      <c r="HC22" s="430"/>
      <c r="HD22" s="226"/>
      <c r="HE22" s="226">
        <f>IF(HD6&gt;0,1,-1)</f>
        <v>1</v>
      </c>
      <c r="HF22" s="226"/>
      <c r="HG22" s="227"/>
      <c r="HI22" s="430"/>
      <c r="HJ22" s="226"/>
      <c r="HK22" s="226">
        <f>IF(HJ6&gt;0,1,-1)</f>
        <v>-1</v>
      </c>
      <c r="HL22" s="226"/>
      <c r="HM22" s="227"/>
      <c r="HY22" s="151" t="s">
        <v>5</v>
      </c>
      <c r="HZ22" s="151" t="e">
        <f ca="1">IF(HZ21&lt;24,HZ7,HZ7+1)</f>
        <v>#NAME?</v>
      </c>
      <c r="IC22" s="264" t="s">
        <v>610</v>
      </c>
      <c r="ID22" s="114"/>
      <c r="IE22" s="114" t="e">
        <f ca="1">IE21-IE19</f>
        <v>#NAME?</v>
      </c>
      <c r="IF22" s="455" t="e">
        <f t="shared" ca="1" si="64"/>
        <v>#NAME?</v>
      </c>
      <c r="IG22" s="455" t="e">
        <f t="shared" ca="1" si="65"/>
        <v>#NAME?</v>
      </c>
      <c r="IH22" s="455" t="e">
        <f t="shared" ca="1" si="66"/>
        <v>#NAME?</v>
      </c>
      <c r="II22" s="454" t="e">
        <f t="shared" ca="1" si="67"/>
        <v>#NAME?</v>
      </c>
    </row>
    <row r="23" spans="1:243" ht="24.75">
      <c r="G23" s="2571"/>
      <c r="H23" s="2571" t="e">
        <f>IF(INT(L35)=INT(AB26),"بدی احوال عمل و مکاسب باشد و از پادشاه و اکابر الم رسد","-")</f>
        <v>#VALUE!</v>
      </c>
      <c r="I23" s="2571" t="s">
        <v>4686</v>
      </c>
      <c r="M23" s="628">
        <v>11</v>
      </c>
      <c r="N23" s="629" t="s">
        <v>894</v>
      </c>
      <c r="O23" s="629">
        <f>[1]!taqsha(O3,O4,O5+((O21+O10)/24),O8)</f>
        <v>176.16007349557771</v>
      </c>
      <c r="P23" s="630">
        <f t="shared" ref="P23:P37" si="151">INT(ABS(O23))</f>
        <v>176</v>
      </c>
      <c r="Q23" s="630">
        <f t="shared" ref="Q23:Q37" si="152">INT((ABS(O23)-P23)*60)</f>
        <v>9</v>
      </c>
      <c r="R23" s="630">
        <f t="shared" ref="R23:R37" si="153">INT((((ABS(O23)-P23)*60)-Q23)*60)</f>
        <v>36</v>
      </c>
      <c r="S23" s="630">
        <f t="shared" ref="S23:S37" si="154">INT((((((ABS(O23)-P23)*60)-Q23)*60)-R23)*60)</f>
        <v>15</v>
      </c>
      <c r="T23" s="625"/>
      <c r="U23" s="625"/>
      <c r="V23" s="625"/>
      <c r="W23" s="625" t="s">
        <v>279</v>
      </c>
      <c r="X23" s="625">
        <f>[1]!tale3(O3,O6,O31,O37)</f>
        <v>179.7124297927819</v>
      </c>
      <c r="Y23" s="630">
        <f t="shared" ref="Y23:Y24" si="155">INT(ABS(X23))</f>
        <v>179</v>
      </c>
      <c r="Z23" s="630">
        <f t="shared" ref="Z23:Z24" si="156">INT((ABS(X23)-Y23)*60)</f>
        <v>42</v>
      </c>
      <c r="AA23" s="630">
        <f t="shared" ref="AA23:AA24" si="157">INT((((ABS(X23)-Y23)*60)-Z23)*60)</f>
        <v>44</v>
      </c>
      <c r="AB23" s="630">
        <f t="shared" ref="AB23:AB24" si="158">INT((((((ABS(X23)-Y23)*60)-Z23)*60)-AA23)*60)</f>
        <v>44</v>
      </c>
      <c r="AC23" s="629"/>
      <c r="AD23" s="669">
        <v>14</v>
      </c>
      <c r="AE23" s="629" t="s">
        <v>402</v>
      </c>
      <c r="AF23" s="629">
        <f>[1]!oujqa(AF3,AF4,[1]!roz(AF5,AF6,0,0),AF7)</f>
        <v>189.2618818715971</v>
      </c>
      <c r="AG23" s="630">
        <f t="shared" si="91"/>
        <v>189</v>
      </c>
      <c r="AH23" s="630">
        <f t="shared" si="92"/>
        <v>15</v>
      </c>
      <c r="AI23" s="630">
        <f t="shared" si="93"/>
        <v>42</v>
      </c>
      <c r="AJ23" s="665">
        <f t="shared" si="94"/>
        <v>46</v>
      </c>
      <c r="AK23" s="625"/>
      <c r="AL23" s="620"/>
      <c r="AM23" s="621">
        <f>[1]!bohtqa(AM3,AM4,[1]!roz(AM5,AM8,0,0),AM6)</f>
        <v>15.171530219804424</v>
      </c>
      <c r="AN23" s="622">
        <f t="shared" si="144"/>
        <v>15</v>
      </c>
      <c r="AO23" s="622">
        <f t="shared" si="145"/>
        <v>10</v>
      </c>
      <c r="AP23" s="622">
        <f t="shared" si="146"/>
        <v>17</v>
      </c>
      <c r="AQ23" s="682">
        <f t="shared" si="147"/>
        <v>30</v>
      </c>
      <c r="AR23" s="2566"/>
      <c r="AV23" s="986">
        <v>12</v>
      </c>
      <c r="AW23" s="656" t="s">
        <v>839</v>
      </c>
      <c r="AX23" s="656">
        <f>ABS(AX21-AX22)</f>
        <v>7.709984086119448E-2</v>
      </c>
      <c r="AY23" s="641">
        <f t="shared" si="140"/>
        <v>0</v>
      </c>
      <c r="AZ23" s="641">
        <f t="shared" si="141"/>
        <v>4</v>
      </c>
      <c r="BA23" s="641">
        <f t="shared" si="142"/>
        <v>37</v>
      </c>
      <c r="BB23" s="641">
        <f t="shared" si="143"/>
        <v>33.565626018007606</v>
      </c>
      <c r="BC23" s="655"/>
      <c r="BD23" s="656" t="s">
        <v>969</v>
      </c>
      <c r="BE23" s="656">
        <f>IF(BE22+180&lt;360,BE22+180,BE22-180)</f>
        <v>195.34285679691163</v>
      </c>
      <c r="BF23" s="641">
        <f t="shared" si="148"/>
        <v>195</v>
      </c>
      <c r="BG23" s="641">
        <f t="shared" si="149"/>
        <v>20</v>
      </c>
      <c r="BH23" s="657">
        <f t="shared" si="150"/>
        <v>34</v>
      </c>
      <c r="BI23" s="502" t="s">
        <v>1074</v>
      </c>
      <c r="BJ23" s="502">
        <f>[1]!ertefaqamar(BN3,BN4,BE5,BN8,BN6,BN11)</f>
        <v>-37.53785768927176</v>
      </c>
      <c r="BK23" s="587"/>
      <c r="BL23" s="502" t="s">
        <v>3490</v>
      </c>
      <c r="BM23" s="502" t="s">
        <v>1074</v>
      </c>
      <c r="BN23" s="502">
        <f>BJ23</f>
        <v>-37.53785768927176</v>
      </c>
      <c r="BO23" s="605">
        <f t="shared" ref="BO23" si="159">INT(ABS(BN23))</f>
        <v>37</v>
      </c>
      <c r="BP23" s="605">
        <f t="shared" ref="BP23" si="160">INT((ABS(BN23)-BO23)*60)</f>
        <v>32</v>
      </c>
      <c r="BQ23" s="605">
        <f t="shared" ref="BQ23" si="161">INT((((ABS(BN23)-BO23)*60)-BP23)*60)</f>
        <v>16</v>
      </c>
      <c r="BR23" s="654">
        <f t="shared" ref="BR23" si="162">((((((ABS(BN23)-BO23)*60)-BP23)*60)-BQ23)*60)</f>
        <v>17.260882700238653</v>
      </c>
      <c r="BS23" s="502"/>
      <c r="BT23" s="690"/>
      <c r="BU23" s="656"/>
      <c r="BV23" s="656"/>
      <c r="BW23" s="641"/>
      <c r="BX23" s="641"/>
      <c r="BY23" s="641"/>
      <c r="BZ23" s="656" t="s">
        <v>1104</v>
      </c>
      <c r="CA23" s="1062">
        <v>16</v>
      </c>
      <c r="CB23" s="1061" t="s">
        <v>3851</v>
      </c>
      <c r="CC23" s="1061">
        <f>[1]!taqmareesha(CC4,CC5,AX4,CC21,CC7,CJ11)</f>
        <v>19.481880661533456</v>
      </c>
      <c r="CD23" s="1059">
        <f>INT(ABS(CC23))</f>
        <v>19</v>
      </c>
      <c r="CE23" s="1059">
        <f>INT((ABS(CC23)-CD23)*60)</f>
        <v>28</v>
      </c>
      <c r="CF23" s="1059">
        <f>INT((((ABS(CC23)-CD23)*60)-CE23)*60)</f>
        <v>54</v>
      </c>
      <c r="CG23" s="1060">
        <f>INT((((((ABS(CC23)-CD23)*60)-CE23)*60)-CF23)*60)</f>
        <v>46</v>
      </c>
      <c r="CH23" s="656"/>
      <c r="CI23" s="656"/>
      <c r="CJ23" s="656"/>
      <c r="CK23" s="656"/>
      <c r="CL23" s="656"/>
      <c r="CM23" s="656"/>
      <c r="CN23" s="656">
        <v>16</v>
      </c>
      <c r="CO23" s="656" t="s">
        <v>1134</v>
      </c>
      <c r="CP23" s="656">
        <f>CP22/15</f>
        <v>6.3669329440403333</v>
      </c>
      <c r="CQ23" s="641">
        <f t="shared" si="29"/>
        <v>6</v>
      </c>
      <c r="CR23" s="641">
        <f t="shared" si="30"/>
        <v>22</v>
      </c>
      <c r="CS23" s="641">
        <f t="shared" si="31"/>
        <v>0</v>
      </c>
      <c r="CT23" s="645">
        <f t="shared" si="32"/>
        <v>57</v>
      </c>
      <c r="CU23" s="275"/>
      <c r="CV23" s="275" t="s">
        <v>3401</v>
      </c>
      <c r="CW23" s="275" t="e">
        <f>[1]!asajermqmr(CW4,CW5,CW6,CW11,CW8,CW9)</f>
        <v>#VALUE!</v>
      </c>
      <c r="CX23" s="648" t="e">
        <f t="shared" si="136"/>
        <v>#VALUE!</v>
      </c>
      <c r="CY23" s="648" t="e">
        <f t="shared" si="137"/>
        <v>#VALUE!</v>
      </c>
      <c r="CZ23" s="648" t="e">
        <f t="shared" si="138"/>
        <v>#VALUE!</v>
      </c>
      <c r="DA23" s="649" t="e">
        <f t="shared" si="139"/>
        <v>#VALUE!</v>
      </c>
      <c r="DE23" s="1046">
        <v>16</v>
      </c>
      <c r="DF23" s="607" t="s">
        <v>1091</v>
      </c>
      <c r="DG23" s="607">
        <f>DG21/DG22</f>
        <v>2.0804257181942381E-2</v>
      </c>
      <c r="DH23" s="608">
        <f t="shared" si="33"/>
        <v>0</v>
      </c>
      <c r="DI23" s="608">
        <f t="shared" si="34"/>
        <v>1</v>
      </c>
      <c r="DJ23" s="608">
        <f t="shared" si="35"/>
        <v>14</v>
      </c>
      <c r="DK23" s="1047">
        <f t="shared" si="36"/>
        <v>53</v>
      </c>
      <c r="DS23" s="715"/>
      <c r="DT23" s="639"/>
      <c r="EM23" s="156">
        <v>16</v>
      </c>
      <c r="EN23" s="156" t="s">
        <v>1144</v>
      </c>
      <c r="EO23" s="156">
        <f>IF(EO8&gt;0,1,-1)</f>
        <v>1</v>
      </c>
      <c r="EP23" s="159"/>
      <c r="EQ23" s="159"/>
      <c r="ER23" s="159"/>
      <c r="ES23" s="159"/>
      <c r="FE23" s="587"/>
      <c r="FF23" s="502"/>
      <c r="FG23" s="502"/>
      <c r="FH23" s="502"/>
      <c r="FI23" s="502" t="s">
        <v>3460</v>
      </c>
      <c r="FJ23" s="502">
        <f>[1]!manzarer(FJ20,FJ22)</f>
        <v>0</v>
      </c>
      <c r="FK23" s="605">
        <f t="shared" si="123"/>
        <v>0</v>
      </c>
      <c r="FL23" s="605">
        <f t="shared" si="124"/>
        <v>0</v>
      </c>
      <c r="FM23" s="605">
        <f t="shared" si="125"/>
        <v>0</v>
      </c>
      <c r="FN23" s="605">
        <f t="shared" si="126"/>
        <v>0</v>
      </c>
      <c r="FO23" s="606" t="s">
        <v>346</v>
      </c>
      <c r="FQ23" s="280" t="s">
        <v>244</v>
      </c>
      <c r="FR23" s="226">
        <f>IF(OR(AND(FS7=1,FS4=FS17),AND(FS7=-1,FS17=FS4*-1)),FR22+(90-FR17),ABS(FR22-(90-FR17)))</f>
        <v>62.405007738817858</v>
      </c>
      <c r="FS23" s="226"/>
      <c r="FT23" s="226"/>
      <c r="FU23" s="227"/>
      <c r="GT23" s="577" t="s">
        <v>3425</v>
      </c>
      <c r="GU23" s="577" t="e">
        <f ca="1">IF(ABS(GU12-GU21)&lt;180,ABS(GU12-GU21),ABS(GU12-GU21)-180)</f>
        <v>#NAME?</v>
      </c>
      <c r="GV23" s="577"/>
      <c r="GW23" s="577"/>
      <c r="GX23" s="577"/>
      <c r="GY23" s="577"/>
      <c r="HC23" s="430" t="s">
        <v>1095</v>
      </c>
      <c r="HD23" s="226" t="e">
        <f ca="1">90-[2]!asn([2]!csn(HD6)*[2]!csn(HD13)/60)</f>
        <v>#NAME?</v>
      </c>
      <c r="HE23" s="226"/>
      <c r="HF23" s="226"/>
      <c r="HG23" s="227"/>
      <c r="HI23" s="430" t="s">
        <v>1095</v>
      </c>
      <c r="HJ23" s="226" t="e">
        <f ca="1">90-[2]!asn([2]!csn(HJ6)*[2]!csn(HJ13)/60)</f>
        <v>#NAME?</v>
      </c>
      <c r="HK23" s="226"/>
      <c r="HL23" s="226"/>
      <c r="HM23" s="227"/>
      <c r="HY23" s="151" t="s">
        <v>3488</v>
      </c>
      <c r="HZ23" s="151" t="e">
        <f ca="1">IF(HZ21&lt;24,HZ21,HZ21-24)</f>
        <v>#NAME?</v>
      </c>
      <c r="IC23" s="264" t="s">
        <v>2286</v>
      </c>
      <c r="ID23" s="114"/>
      <c r="IE23" s="114" t="e">
        <f ca="1">((IF6-IE8)/2)*IE22</f>
        <v>#NAME?</v>
      </c>
      <c r="IF23" s="455" t="e">
        <f t="shared" ca="1" si="64"/>
        <v>#NAME?</v>
      </c>
      <c r="IG23" s="455" t="e">
        <f t="shared" ca="1" si="65"/>
        <v>#NAME?</v>
      </c>
      <c r="IH23" s="455" t="e">
        <f t="shared" ca="1" si="66"/>
        <v>#NAME?</v>
      </c>
      <c r="II23" s="454" t="e">
        <f t="shared" ca="1" si="67"/>
        <v>#NAME?</v>
      </c>
    </row>
    <row r="24" spans="1:243" ht="24.75">
      <c r="G24" s="2571"/>
      <c r="H24" s="2571"/>
      <c r="I24" s="2571" t="s">
        <v>4690</v>
      </c>
      <c r="M24" s="628">
        <v>13</v>
      </c>
      <c r="N24" s="629" t="s">
        <v>895</v>
      </c>
      <c r="O24" s="629">
        <f>[1]!taqqa(O3,O4,O5+((O10+O21)/24),O8)</f>
        <v>3.0843361502498725</v>
      </c>
      <c r="P24" s="630">
        <f t="shared" si="151"/>
        <v>3</v>
      </c>
      <c r="Q24" s="630">
        <f t="shared" si="152"/>
        <v>5</v>
      </c>
      <c r="R24" s="630">
        <f t="shared" si="153"/>
        <v>3</v>
      </c>
      <c r="S24" s="630">
        <f t="shared" si="154"/>
        <v>36</v>
      </c>
      <c r="T24" s="625"/>
      <c r="U24" s="625"/>
      <c r="V24" s="625"/>
      <c r="W24" s="625" t="s">
        <v>1074</v>
      </c>
      <c r="X24" s="625">
        <f>[1]!ertaztale(O3,O6,AF33,AF9,X23)</f>
        <v>-4.1468329749819022</v>
      </c>
      <c r="Y24" s="630">
        <f t="shared" si="155"/>
        <v>4</v>
      </c>
      <c r="Z24" s="630">
        <f t="shared" si="156"/>
        <v>8</v>
      </c>
      <c r="AA24" s="630">
        <f t="shared" si="157"/>
        <v>48</v>
      </c>
      <c r="AB24" s="630">
        <f t="shared" si="158"/>
        <v>35</v>
      </c>
      <c r="AC24" s="629"/>
      <c r="AD24" s="669">
        <v>15</v>
      </c>
      <c r="AE24" s="629" t="s">
        <v>839</v>
      </c>
      <c r="AF24" s="629">
        <f>[1]!tq(AF23-AF8)</f>
        <v>13.576872822444955</v>
      </c>
      <c r="AG24" s="630">
        <f t="shared" si="91"/>
        <v>13</v>
      </c>
      <c r="AH24" s="630">
        <f t="shared" si="92"/>
        <v>34</v>
      </c>
      <c r="AI24" s="630">
        <f t="shared" si="93"/>
        <v>36</v>
      </c>
      <c r="AJ24" s="665">
        <f t="shared" si="94"/>
        <v>44</v>
      </c>
      <c r="AK24" s="625"/>
      <c r="AL24" s="620" t="s">
        <v>3509</v>
      </c>
      <c r="AM24" s="621">
        <f>[1]!amonaqah(AM3,AM4,[1]!roz(AM5,AM8,0,0),AM6)</f>
        <v>-1.0088897035903548</v>
      </c>
      <c r="AN24" s="622">
        <f>INT(ABS(AM24))</f>
        <v>1</v>
      </c>
      <c r="AO24" s="622">
        <f>INT((ABS(AM24)-AN24)*60)</f>
        <v>0</v>
      </c>
      <c r="AP24" s="622">
        <f>INT((((ABS(AM24)-AN24)*60)-AO24)*60)</f>
        <v>32</v>
      </c>
      <c r="AQ24" s="682">
        <f>INT((((((ABS(AM24)-AN24)*60)-AO24)*60)-AP24)*60)</f>
        <v>0</v>
      </c>
      <c r="AR24" s="2566"/>
      <c r="AV24" s="986">
        <v>13</v>
      </c>
      <c r="AW24" s="656" t="s">
        <v>1091</v>
      </c>
      <c r="AX24" s="656">
        <f>AX23/AX18</f>
        <v>0.13068790688373419</v>
      </c>
      <c r="AY24" s="641">
        <f t="shared" si="140"/>
        <v>0</v>
      </c>
      <c r="AZ24" s="641">
        <f t="shared" si="141"/>
        <v>7</v>
      </c>
      <c r="BA24" s="641">
        <f t="shared" si="142"/>
        <v>50</v>
      </c>
      <c r="BB24" s="641">
        <f t="shared" si="143"/>
        <v>28.58788688658592</v>
      </c>
      <c r="BC24" s="655"/>
      <c r="BD24" s="656" t="s">
        <v>1053</v>
      </c>
      <c r="BE24" s="656">
        <f>AX28</f>
        <v>19.427923152300121</v>
      </c>
      <c r="BF24" s="641">
        <f t="shared" si="148"/>
        <v>19</v>
      </c>
      <c r="BG24" s="641">
        <f t="shared" si="149"/>
        <v>25</v>
      </c>
      <c r="BH24" s="657">
        <f t="shared" si="150"/>
        <v>40</v>
      </c>
      <c r="BI24" s="502"/>
      <c r="BJ24" s="502"/>
      <c r="BK24" s="655"/>
      <c r="BL24" s="641">
        <v>13</v>
      </c>
      <c r="BM24" s="656" t="s">
        <v>1061</v>
      </c>
      <c r="BN24" s="656">
        <f>[1]!sn(BN22)</f>
        <v>51.876373905504963</v>
      </c>
      <c r="BO24" s="641">
        <f t="shared" ref="BO24:BO50" si="163">INT(ABS(BN24))</f>
        <v>51</v>
      </c>
      <c r="BP24" s="641">
        <f t="shared" ref="BP24:BP50" si="164">INT((ABS(BN24)-BO24)*60)</f>
        <v>52</v>
      </c>
      <c r="BQ24" s="641">
        <f t="shared" ref="BQ24:BQ50" si="165">INT((((ABS(BN24)-BO24)*60)-BP24)*60)</f>
        <v>34</v>
      </c>
      <c r="BR24" s="657">
        <f t="shared" si="47"/>
        <v>56.763589071929346</v>
      </c>
      <c r="BS24" s="502"/>
      <c r="BT24" s="655">
        <v>17</v>
      </c>
      <c r="BU24" s="656" t="s">
        <v>1095</v>
      </c>
      <c r="BV24" s="656">
        <f>BN46</f>
        <v>43.782321402633379</v>
      </c>
      <c r="BW24" s="641">
        <f t="shared" si="111"/>
        <v>43</v>
      </c>
      <c r="BX24" s="641">
        <f t="shared" si="112"/>
        <v>46</v>
      </c>
      <c r="BY24" s="641">
        <f t="shared" si="113"/>
        <v>56</v>
      </c>
      <c r="BZ24" s="641">
        <f t="shared" si="114"/>
        <v>21</v>
      </c>
      <c r="CA24" s="1062">
        <v>17</v>
      </c>
      <c r="CB24" s="1058" t="s">
        <v>279</v>
      </c>
      <c r="CC24" s="1058">
        <f>[1]!tale3(CC4,AX7,CC23,CC21)</f>
        <v>262.93794317505098</v>
      </c>
      <c r="CD24" s="1059">
        <f t="shared" ref="CD24" si="166">INT(ABS(CC24))</f>
        <v>262</v>
      </c>
      <c r="CE24" s="1059">
        <f t="shared" ref="CE24" si="167">INT((ABS(CC24)-CD24)*60)</f>
        <v>56</v>
      </c>
      <c r="CF24" s="1059">
        <f t="shared" ref="CF24" si="168">INT((((ABS(CC24)-CD24)*60)-CE24)*60)</f>
        <v>16</v>
      </c>
      <c r="CG24" s="1060">
        <f t="shared" ref="CG24" si="169">INT((((((ABS(CC24)-CD24)*60)-CE24)*60)-CF24)*60)</f>
        <v>35</v>
      </c>
      <c r="CH24" s="656"/>
      <c r="CI24" s="656"/>
      <c r="CJ24" s="656"/>
      <c r="CK24" s="656"/>
      <c r="CL24" s="656"/>
      <c r="CM24" s="656"/>
      <c r="CN24" s="656">
        <v>17</v>
      </c>
      <c r="CO24" s="656" t="s">
        <v>1135</v>
      </c>
      <c r="CP24" s="656">
        <f>CP16-CP23</f>
        <v>15.492585526412604</v>
      </c>
      <c r="CQ24" s="641">
        <f t="shared" si="29"/>
        <v>15</v>
      </c>
      <c r="CR24" s="641">
        <f t="shared" si="30"/>
        <v>29</v>
      </c>
      <c r="CS24" s="641">
        <f t="shared" si="31"/>
        <v>33</v>
      </c>
      <c r="CT24" s="645">
        <f t="shared" si="32"/>
        <v>18</v>
      </c>
      <c r="CU24" s="275"/>
      <c r="CV24" s="275"/>
      <c r="CW24" s="275">
        <f>[1]!taqqa(CW4,CW5,[1]!roz(CW6,CW28,0,0),CW8)</f>
        <v>20.11519150577714</v>
      </c>
      <c r="CX24" s="648">
        <f t="shared" si="136"/>
        <v>20</v>
      </c>
      <c r="CY24" s="648">
        <f t="shared" si="137"/>
        <v>6</v>
      </c>
      <c r="CZ24" s="648">
        <f t="shared" si="138"/>
        <v>54</v>
      </c>
      <c r="DA24" s="649">
        <f t="shared" si="139"/>
        <v>41</v>
      </c>
      <c r="DE24" s="1046">
        <v>17</v>
      </c>
      <c r="DF24" s="1048" t="s">
        <v>1090</v>
      </c>
      <c r="DG24" s="1048">
        <f>[1]!asn(DG23)</f>
        <v>1.9866602605250777E-2</v>
      </c>
      <c r="DH24" s="1049">
        <f t="shared" si="33"/>
        <v>0</v>
      </c>
      <c r="DI24" s="1049">
        <f t="shared" si="34"/>
        <v>1</v>
      </c>
      <c r="DJ24" s="1049">
        <f t="shared" si="35"/>
        <v>11</v>
      </c>
      <c r="DK24" s="1050">
        <f t="shared" si="36"/>
        <v>31</v>
      </c>
      <c r="DQ24" s="715"/>
      <c r="DR24" s="715"/>
      <c r="DS24" s="715"/>
      <c r="DT24" s="1045"/>
      <c r="EM24" s="156">
        <v>17</v>
      </c>
      <c r="EN24" s="156" t="s">
        <v>1145</v>
      </c>
      <c r="EO24" s="156">
        <f>IF(EO11&lt;180,1,-1)</f>
        <v>1</v>
      </c>
      <c r="EP24" s="159"/>
      <c r="EQ24" s="159"/>
      <c r="ER24" s="159"/>
      <c r="ES24" s="159"/>
      <c r="FE24" s="587"/>
      <c r="FF24" s="502"/>
      <c r="FG24" s="502"/>
      <c r="FH24" s="502"/>
      <c r="FI24" s="502" t="s">
        <v>1064</v>
      </c>
      <c r="FJ24" s="502">
        <f>[1]!ertaztale(FJ9,FJ14,0,FG17,FJ66)</f>
        <v>-37.820158402351346</v>
      </c>
      <c r="FK24" s="605">
        <f t="shared" si="123"/>
        <v>37</v>
      </c>
      <c r="FL24" s="605">
        <f t="shared" si="124"/>
        <v>49</v>
      </c>
      <c r="FM24" s="605">
        <f t="shared" si="125"/>
        <v>12</v>
      </c>
      <c r="FN24" s="605">
        <f t="shared" si="126"/>
        <v>34</v>
      </c>
      <c r="FO24" s="606" t="s">
        <v>347</v>
      </c>
      <c r="FQ24" s="280" t="s">
        <v>2192</v>
      </c>
      <c r="FR24" s="226">
        <f>[1]!sn(FR23)</f>
        <v>53.174644117729081</v>
      </c>
      <c r="FS24" s="226"/>
      <c r="FT24" s="226"/>
      <c r="FU24" s="227"/>
      <c r="GT24" s="577" t="s">
        <v>3426</v>
      </c>
      <c r="GU24" s="577" t="e">
        <f ca="1">IF(ABS(GU12-GU22)&lt;180,ABS(GU12-GU22),ABS(GU12-GU22)-180)</f>
        <v>#NAME?</v>
      </c>
      <c r="GV24" s="577"/>
      <c r="GW24" s="577"/>
      <c r="GX24" s="577"/>
      <c r="GY24" s="577"/>
      <c r="HC24" s="430" t="s">
        <v>1071</v>
      </c>
      <c r="HD24" s="226" t="e">
        <f ca="1">[2]!asn([2]!sn(HD6)*60/[2]!sn(HD23))</f>
        <v>#NAME?</v>
      </c>
      <c r="HE24" s="226"/>
      <c r="HF24" s="226"/>
      <c r="HG24" s="227"/>
      <c r="HI24" s="430" t="s">
        <v>1071</v>
      </c>
      <c r="HJ24" s="226" t="e">
        <f ca="1">[2]!asn([2]!sn(HJ6)*60/[2]!sn(HJ23))</f>
        <v>#NAME?</v>
      </c>
      <c r="HK24" s="226"/>
      <c r="HL24" s="226"/>
      <c r="HM24" s="227"/>
      <c r="HY24" s="629" t="s">
        <v>3486</v>
      </c>
      <c r="HZ24" s="629" t="e">
        <f ca="1">[2]!taqsha(HZ5,HZ6,[2]!roz(HZ22,HZ23,0,0),HZ9)</f>
        <v>#NAME?</v>
      </c>
      <c r="IC24" s="264" t="s">
        <v>2287</v>
      </c>
      <c r="ID24" s="114"/>
      <c r="IE24" s="114" t="e">
        <f ca="1">IE19+IE23</f>
        <v>#NAME?</v>
      </c>
      <c r="IF24" s="455" t="e">
        <f t="shared" ca="1" si="64"/>
        <v>#NAME?</v>
      </c>
      <c r="IG24" s="455" t="e">
        <f t="shared" ca="1" si="65"/>
        <v>#NAME?</v>
      </c>
      <c r="IH24" s="455" t="e">
        <f t="shared" ca="1" si="66"/>
        <v>#NAME?</v>
      </c>
      <c r="II24" s="454" t="e">
        <f t="shared" ca="1" si="67"/>
        <v>#NAME?</v>
      </c>
    </row>
    <row r="25" spans="1:243" ht="24.75">
      <c r="G25" s="2571"/>
      <c r="H25" s="2571">
        <f>[1]!sahmqaib(L9,L10,L11,L33,L13,L14)</f>
        <v>26.063116657961938</v>
      </c>
      <c r="I25" s="2571" t="s">
        <v>2055</v>
      </c>
      <c r="M25" s="628">
        <v>14</v>
      </c>
      <c r="N25" s="629" t="s">
        <v>839</v>
      </c>
      <c r="O25" s="629">
        <f>(O23-[1]!tq(O24+180))</f>
        <v>-6.9242626546721624</v>
      </c>
      <c r="P25" s="630">
        <f t="shared" si="151"/>
        <v>6</v>
      </c>
      <c r="Q25" s="630">
        <f t="shared" si="152"/>
        <v>55</v>
      </c>
      <c r="R25" s="630">
        <f t="shared" si="153"/>
        <v>27</v>
      </c>
      <c r="S25" s="630">
        <f t="shared" si="154"/>
        <v>20</v>
      </c>
      <c r="T25" s="625"/>
      <c r="U25" s="625"/>
      <c r="V25" s="625" t="s">
        <v>4096</v>
      </c>
      <c r="W25" s="1441" t="s">
        <v>3497</v>
      </c>
      <c r="X25" s="1441">
        <f>[1]!ertmaree(O3,O4,O5,AF6,O7,O6)</f>
        <v>-76.177586182358937</v>
      </c>
      <c r="Y25" s="625"/>
      <c r="Z25" s="625"/>
      <c r="AA25" s="625"/>
      <c r="AB25" s="625"/>
      <c r="AC25" s="629"/>
      <c r="AD25" s="669">
        <v>16</v>
      </c>
      <c r="AE25" s="629" t="s">
        <v>905</v>
      </c>
      <c r="AF25" s="630">
        <f>[1]!tadq1(AF24,AF19)</f>
        <v>-7.1830486298228536E-4</v>
      </c>
      <c r="AG25" s="630">
        <f t="shared" si="91"/>
        <v>0</v>
      </c>
      <c r="AH25" s="630">
        <f t="shared" si="92"/>
        <v>0</v>
      </c>
      <c r="AI25" s="630">
        <f t="shared" si="93"/>
        <v>2</v>
      </c>
      <c r="AJ25" s="665">
        <f t="shared" si="94"/>
        <v>35</v>
      </c>
      <c r="AK25" s="625"/>
      <c r="AL25" s="620" t="s">
        <v>3510</v>
      </c>
      <c r="AM25" s="621"/>
      <c r="AN25" s="622">
        <f>INT(ABS(AM25))</f>
        <v>0</v>
      </c>
      <c r="AO25" s="622">
        <f>INT((ABS(AM25)-AN25)*60)</f>
        <v>0</v>
      </c>
      <c r="AP25" s="622">
        <f>INT((((ABS(AM25)-AN25)*60)-AO25)*60)</f>
        <v>0</v>
      </c>
      <c r="AQ25" s="682">
        <f>INT((((((ABS(AM25)-AN25)*60)-AO25)*60)-AP25)*60)</f>
        <v>0</v>
      </c>
      <c r="AR25" s="2566"/>
      <c r="AV25" s="986">
        <v>14</v>
      </c>
      <c r="AW25" s="656" t="s">
        <v>1177</v>
      </c>
      <c r="AX25" s="145">
        <f>IF(AX21&gt;AX22,AX24+AX20,AX20-AX24)+AX10</f>
        <v>9.8273251417803866</v>
      </c>
      <c r="AY25" s="641">
        <f>INT(ABS(AX25))</f>
        <v>9</v>
      </c>
      <c r="AZ25" s="641">
        <f t="shared" si="141"/>
        <v>49</v>
      </c>
      <c r="BA25" s="641">
        <f t="shared" si="142"/>
        <v>38</v>
      </c>
      <c r="BB25" s="641">
        <f t="shared" si="143"/>
        <v>22.230624563512151</v>
      </c>
      <c r="BC25" s="655"/>
      <c r="BD25" s="656" t="s">
        <v>1049</v>
      </c>
      <c r="BE25" s="656">
        <f>ABS(BE24-BE23)</f>
        <v>175.91493364461152</v>
      </c>
      <c r="BF25" s="641">
        <f t="shared" si="148"/>
        <v>175</v>
      </c>
      <c r="BG25" s="641">
        <f t="shared" si="149"/>
        <v>54</v>
      </c>
      <c r="BH25" s="657">
        <f t="shared" si="150"/>
        <v>53</v>
      </c>
      <c r="BI25" s="502"/>
      <c r="BJ25" s="502" t="s">
        <v>2127</v>
      </c>
      <c r="BK25" s="655">
        <f>IF(BN11&gt;=0,1,-1)</f>
        <v>1</v>
      </c>
      <c r="BL25" s="656">
        <v>14</v>
      </c>
      <c r="BM25" s="656" t="s">
        <v>277</v>
      </c>
      <c r="BN25" s="656">
        <f>IF(ABS(BN18-BN19)&lt;=180,ABS(BN18-BN19),360-ABS(BN18-BN19))</f>
        <v>77.313101113881345</v>
      </c>
      <c r="BO25" s="641">
        <f t="shared" si="163"/>
        <v>77</v>
      </c>
      <c r="BP25" s="641">
        <f t="shared" si="164"/>
        <v>18</v>
      </c>
      <c r="BQ25" s="641">
        <f t="shared" si="165"/>
        <v>47</v>
      </c>
      <c r="BR25" s="657">
        <f t="shared" si="47"/>
        <v>9.8405983704924438</v>
      </c>
      <c r="BS25" s="502"/>
      <c r="BT25" s="655">
        <v>18</v>
      </c>
      <c r="BU25" s="656" t="s">
        <v>1071</v>
      </c>
      <c r="BV25" s="656">
        <f>BN50</f>
        <v>0.52196753439025956</v>
      </c>
      <c r="BW25" s="641">
        <f t="shared" si="111"/>
        <v>0</v>
      </c>
      <c r="BX25" s="641">
        <f t="shared" si="112"/>
        <v>31</v>
      </c>
      <c r="BY25" s="641">
        <f t="shared" si="113"/>
        <v>19</v>
      </c>
      <c r="BZ25" s="641">
        <f t="shared" si="114"/>
        <v>4</v>
      </c>
      <c r="CA25" s="1062">
        <v>18</v>
      </c>
      <c r="CB25" s="1061" t="s">
        <v>1063</v>
      </c>
      <c r="CC25" s="1058">
        <f>IF(ABS(CC24-CC23)&lt;180,ABS(CC24-CC23),ABS(360-CC24-CC23))</f>
        <v>77.580176163415572</v>
      </c>
      <c r="CD25" s="1059">
        <f t="shared" ref="CD25:CD28" si="170">INT(ABS(CC25))</f>
        <v>77</v>
      </c>
      <c r="CE25" s="1059">
        <f t="shared" ref="CE25:CE28" si="171">INT((ABS(CC25)-CD25)*60)</f>
        <v>34</v>
      </c>
      <c r="CF25" s="1059">
        <f t="shared" ref="CF25:CF28" si="172">INT((((ABS(CC25)-CD25)*60)-CE25)*60)</f>
        <v>48</v>
      </c>
      <c r="CG25" s="1060">
        <f t="shared" ref="CG25:CG28" si="173">INT((((((ABS(CC25)-CD25)*60)-CE25)*60)-CF25)*60)</f>
        <v>38</v>
      </c>
      <c r="CH25" s="656"/>
      <c r="CI25" s="656"/>
      <c r="CJ25" s="656"/>
      <c r="CK25" s="656"/>
      <c r="CL25" s="656"/>
      <c r="CM25" s="656"/>
      <c r="CN25" s="656">
        <v>18</v>
      </c>
      <c r="CO25" s="656" t="s">
        <v>443</v>
      </c>
      <c r="CP25" s="656">
        <f>[1]!hesseh(CC4,CC5,[1]!roz(BE5,CP16,0,0),CC7)</f>
        <v>4.0573042271282134</v>
      </c>
      <c r="CQ25" s="641">
        <f t="shared" si="29"/>
        <v>4</v>
      </c>
      <c r="CR25" s="641">
        <f t="shared" si="30"/>
        <v>3</v>
      </c>
      <c r="CS25" s="641">
        <f t="shared" si="31"/>
        <v>26</v>
      </c>
      <c r="CT25" s="645">
        <f t="shared" si="32"/>
        <v>17</v>
      </c>
      <c r="CU25" s="275"/>
      <c r="CV25" s="275" t="s">
        <v>3477</v>
      </c>
      <c r="CW25" s="275">
        <f>[1]!ertmaree(CW4,CW5,CW6,CW11,CW8,CW9)</f>
        <v>-38.381968493883896</v>
      </c>
      <c r="CX25" s="648">
        <f t="shared" si="136"/>
        <v>38</v>
      </c>
      <c r="CY25" s="648">
        <f t="shared" si="137"/>
        <v>22</v>
      </c>
      <c r="CZ25" s="648">
        <f t="shared" si="138"/>
        <v>55</v>
      </c>
      <c r="DA25" s="649">
        <f t="shared" si="139"/>
        <v>5</v>
      </c>
      <c r="DE25" s="1046">
        <v>18</v>
      </c>
      <c r="DF25" s="1048" t="s">
        <v>3849</v>
      </c>
      <c r="DG25" s="1048">
        <f>[1]!ekharzsh(DG2,DG3,DG4,DG5,DG6,DG7)</f>
        <v>1.9866602605250777E-2</v>
      </c>
      <c r="DH25" s="1049">
        <f t="shared" si="33"/>
        <v>0</v>
      </c>
      <c r="DI25" s="1049">
        <f t="shared" si="34"/>
        <v>1</v>
      </c>
      <c r="DJ25" s="1049">
        <f t="shared" si="35"/>
        <v>11</v>
      </c>
      <c r="DK25" s="1050">
        <f t="shared" si="36"/>
        <v>31</v>
      </c>
      <c r="DQ25" s="715"/>
      <c r="DR25" s="715"/>
      <c r="DS25" s="715"/>
      <c r="DT25" s="1045"/>
      <c r="EM25" s="156">
        <v>18</v>
      </c>
      <c r="EN25" s="156" t="s">
        <v>1153</v>
      </c>
      <c r="EO25" s="156" t="e">
        <f ca="1">IF(AND(EO21=1,EO23=EO24),(90-EO11)+EO20,IF(AND(EO21=-1,EO23=(EO24*-1)),(90-EO11)+EO20,ABS((90-EO11)-EO20)))</f>
        <v>#NAME?</v>
      </c>
      <c r="EP25" s="159" t="e">
        <f ca="1">INT(ABS(EO25))</f>
        <v>#NAME?</v>
      </c>
      <c r="EQ25" s="159" t="e">
        <f ca="1">INT((ABS(EO25)-EP25)*60)</f>
        <v>#NAME?</v>
      </c>
      <c r="ER25" s="159" t="e">
        <f ca="1">INT((((ABS(EO25)-EP25)*60)-EQ25)*60)</f>
        <v>#NAME?</v>
      </c>
      <c r="ES25" s="159" t="e">
        <f ca="1">INT((((((ABS(EO25)-EP25)*60)-EQ25)*60)-ER25)*60)</f>
        <v>#NAME?</v>
      </c>
      <c r="FE25" s="587"/>
      <c r="FF25" s="502"/>
      <c r="FG25" s="502"/>
      <c r="FH25" s="502"/>
      <c r="FI25" s="502" t="s">
        <v>3459</v>
      </c>
      <c r="FJ25" s="502">
        <f>[1]!manzarsh((FJ24))</f>
        <v>0</v>
      </c>
      <c r="FK25" s="605">
        <f t="shared" si="123"/>
        <v>0</v>
      </c>
      <c r="FL25" s="605">
        <f t="shared" si="124"/>
        <v>0</v>
      </c>
      <c r="FM25" s="605">
        <f t="shared" si="125"/>
        <v>0</v>
      </c>
      <c r="FN25" s="605">
        <f t="shared" si="126"/>
        <v>0</v>
      </c>
      <c r="FO25" s="606" t="s">
        <v>3431</v>
      </c>
      <c r="FQ25" s="280"/>
      <c r="FR25" s="226">
        <f>[1]!asn(FR24*[1]!sn(FR21)/60)</f>
        <v>37.820158402351325</v>
      </c>
      <c r="FS25" s="226"/>
      <c r="FT25" s="226"/>
      <c r="FU25" s="227"/>
      <c r="GT25" s="577" t="s">
        <v>281</v>
      </c>
      <c r="GU25" s="577" t="e">
        <f ca="1">[2]!asher(GU21,GU14)</f>
        <v>#NAME?</v>
      </c>
      <c r="GV25" s="578" t="e">
        <f t="shared" ref="GV25:GV49" ca="1" si="174">INT(ABS(GU25))</f>
        <v>#NAME?</v>
      </c>
      <c r="GW25" s="578" t="e">
        <f t="shared" ref="GW25:GW49" ca="1" si="175">INT((ABS(GU25)-GV25)*60)</f>
        <v>#NAME?</v>
      </c>
      <c r="GX25" s="578" t="e">
        <f t="shared" ref="GX25:GX49" ca="1" si="176">INT((((ABS(GU25)-GV25)*60)-GW25)*60)</f>
        <v>#NAME?</v>
      </c>
      <c r="GY25" s="578" t="e">
        <f t="shared" ref="GY25:GY49" ca="1" si="177">INT((((((ABS(GU25)-GV25)*60)-GW25)*60)-GX25)*60)</f>
        <v>#NAME?</v>
      </c>
      <c r="HC25" s="280" t="s">
        <v>244</v>
      </c>
      <c r="HD25" s="226" t="e">
        <f ca="1">IF(OR(AND(HE9=1,HE22=HE19),AND(HE9=-1,HE19=HE22*-1)),HD24+(90-HD19),ABS(HD24-(90-HD19)))</f>
        <v>#NAME?</v>
      </c>
      <c r="HE25" s="226"/>
      <c r="HF25" s="226"/>
      <c r="HG25" s="227"/>
      <c r="HI25" s="280" t="s">
        <v>244</v>
      </c>
      <c r="HJ25" s="226" t="e">
        <f ca="1">IF(OR(AND(HK9=1,HK22=HK19),AND(HK9=-1,HK19=HK22*-1)),HJ24+(90-HJ19),ABS(HJ24-(90-HJ19)))</f>
        <v>#NAME?</v>
      </c>
      <c r="HK25" s="226"/>
      <c r="HL25" s="226"/>
      <c r="HM25" s="227"/>
      <c r="HY25" s="629" t="s">
        <v>698</v>
      </c>
      <c r="HZ25" s="629" t="e">
        <f ca="1">[2]!taqqa(HZ5,HZ6,[2]!roz(HZ22,HZ23,0,0),HZ9)</f>
        <v>#NAME?</v>
      </c>
      <c r="IC25" s="264" t="s">
        <v>2288</v>
      </c>
      <c r="ID25" s="114"/>
      <c r="IE25" s="114"/>
      <c r="IF25" s="455">
        <f t="shared" si="56"/>
        <v>0</v>
      </c>
      <c r="IG25" s="455">
        <f t="shared" si="57"/>
        <v>0</v>
      </c>
      <c r="IH25" s="455">
        <f t="shared" si="58"/>
        <v>0</v>
      </c>
      <c r="II25" s="454">
        <f t="shared" ref="II25:II27" si="178">INT((((((ABS(IE25)-IF25)*60)-IG25)*60)-IH25)*60)</f>
        <v>0</v>
      </c>
    </row>
    <row r="26" spans="1:243" ht="25.5" thickBot="1">
      <c r="G26" s="2571"/>
      <c r="H26" s="2571">
        <f>[1]!sahmsaadat(L9,L10,L11,L33,L13,L14)</f>
        <v>345.43836803497982</v>
      </c>
      <c r="I26" s="2571" t="s">
        <v>2050</v>
      </c>
      <c r="M26" s="628">
        <v>15</v>
      </c>
      <c r="N26" s="629" t="s">
        <v>820</v>
      </c>
      <c r="O26" s="629">
        <f>[1]!qadrsaatq([1]!markaz3a(O3,O4,O5+(O21/24),O8))</f>
        <v>0.63400361317419229</v>
      </c>
      <c r="P26" s="630">
        <f t="shared" si="151"/>
        <v>0</v>
      </c>
      <c r="Q26" s="630">
        <f t="shared" si="152"/>
        <v>38</v>
      </c>
      <c r="R26" s="630">
        <f t="shared" si="153"/>
        <v>2</v>
      </c>
      <c r="S26" s="630">
        <f t="shared" si="154"/>
        <v>24</v>
      </c>
      <c r="T26" s="625"/>
      <c r="U26" s="625"/>
      <c r="V26" s="625"/>
      <c r="W26" s="1441"/>
      <c r="X26" s="1441"/>
      <c r="Y26" s="625"/>
      <c r="Z26" s="625"/>
      <c r="AA26" s="625"/>
      <c r="AB26" s="625"/>
      <c r="AC26" s="629"/>
      <c r="AD26" s="669">
        <v>17</v>
      </c>
      <c r="AE26" s="629" t="s">
        <v>906</v>
      </c>
      <c r="AF26" s="630">
        <f>[1]!tadm1(AF24,AF19)</f>
        <v>-1.4725755753403386E-3</v>
      </c>
      <c r="AG26" s="630">
        <f t="shared" si="91"/>
        <v>0</v>
      </c>
      <c r="AH26" s="630">
        <f t="shared" si="92"/>
        <v>0</v>
      </c>
      <c r="AI26" s="630">
        <f t="shared" si="93"/>
        <v>5</v>
      </c>
      <c r="AJ26" s="665">
        <f t="shared" si="94"/>
        <v>18</v>
      </c>
      <c r="AK26" s="625"/>
      <c r="AL26" s="620" t="s">
        <v>934</v>
      </c>
      <c r="AM26" s="621">
        <f>[1]!asabeqotrkh(AM3,AM4,AM5,AM8,AM6,AM7)</f>
        <v>1.1565793714485182</v>
      </c>
      <c r="AN26" s="622">
        <f>INT(ABS(AM26))</f>
        <v>1</v>
      </c>
      <c r="AO26" s="622">
        <f>INT((ABS(AM26)-AN26)*60)</f>
        <v>9</v>
      </c>
      <c r="AP26" s="622">
        <f>INT((((ABS(AM26)-AN26)*60)-AO26)*60)</f>
        <v>23</v>
      </c>
      <c r="AQ26" s="682">
        <f>INT((((((ABS(AM26)-AN26)*60)-AO26)*60)-AP26)*60)</f>
        <v>41</v>
      </c>
      <c r="AR26" s="2566"/>
      <c r="AV26" s="986"/>
      <c r="AW26" s="656"/>
      <c r="AX26" s="1441">
        <f>[1]!saatejtema(AX2,AX3,AX4,AX8)</f>
        <v>21.935667209729971</v>
      </c>
      <c r="AY26" s="641">
        <f>INT(ABS(AX26))</f>
        <v>21</v>
      </c>
      <c r="AZ26" s="641">
        <f t="shared" ref="AZ26" si="179">INT((ABS(AX26)-AY26)*60)</f>
        <v>56</v>
      </c>
      <c r="BA26" s="641">
        <f t="shared" ref="BA26" si="180">INT((((ABS(AX26)-AY26)*60)-AZ26)*60)</f>
        <v>8</v>
      </c>
      <c r="BB26" s="641">
        <f t="shared" ref="BB26" si="181">((((((ABS(AX26)-AY26)*60)-AZ26)*60)-BA26)*60)</f>
        <v>24.11730167368205</v>
      </c>
      <c r="BC26" s="655"/>
      <c r="BD26" s="656" t="s">
        <v>1050</v>
      </c>
      <c r="BE26" s="656">
        <f>ABS(BE24-BE22)</f>
        <v>4.0850663553884843</v>
      </c>
      <c r="BF26" s="641">
        <f t="shared" si="148"/>
        <v>4</v>
      </c>
      <c r="BG26" s="641">
        <f t="shared" si="149"/>
        <v>5</v>
      </c>
      <c r="BH26" s="657">
        <f t="shared" si="150"/>
        <v>6</v>
      </c>
      <c r="BI26" s="502"/>
      <c r="BJ26" s="502"/>
      <c r="BK26" s="655"/>
      <c r="BL26" s="656">
        <v>15</v>
      </c>
      <c r="BM26" s="656" t="s">
        <v>1062</v>
      </c>
      <c r="BN26" s="656">
        <f>[1]!sn(BN25)</f>
        <v>58.53508727654134</v>
      </c>
      <c r="BO26" s="641">
        <f t="shared" si="163"/>
        <v>58</v>
      </c>
      <c r="BP26" s="641">
        <f t="shared" si="164"/>
        <v>32</v>
      </c>
      <c r="BQ26" s="641">
        <f t="shared" si="165"/>
        <v>6</v>
      </c>
      <c r="BR26" s="657">
        <f t="shared" si="47"/>
        <v>18.851732929422269</v>
      </c>
      <c r="BS26" s="502"/>
      <c r="BT26" s="690">
        <v>19</v>
      </c>
      <c r="BU26" s="656" t="s">
        <v>1096</v>
      </c>
      <c r="BV26" s="656">
        <f>ABS([1]!csn(BV24))</f>
        <v>43.318425259701868</v>
      </c>
      <c r="BW26" s="641">
        <f t="shared" si="111"/>
        <v>43</v>
      </c>
      <c r="BX26" s="641">
        <f t="shared" si="112"/>
        <v>19</v>
      </c>
      <c r="BY26" s="641">
        <f t="shared" si="113"/>
        <v>6</v>
      </c>
      <c r="BZ26" s="641">
        <f t="shared" si="114"/>
        <v>19</v>
      </c>
      <c r="CA26" s="1062">
        <v>19</v>
      </c>
      <c r="CB26" s="1058" t="s">
        <v>416</v>
      </c>
      <c r="CC26" s="1058">
        <f>[1]!arzq([1]!hesseha(CC4,CC5,[1]!roz(BE5,CC21,0,0),CC7))</f>
        <v>0.45053099046153616</v>
      </c>
      <c r="CD26" s="1059">
        <f t="shared" si="170"/>
        <v>0</v>
      </c>
      <c r="CE26" s="1059">
        <f t="shared" si="171"/>
        <v>27</v>
      </c>
      <c r="CF26" s="1059">
        <f t="shared" si="172"/>
        <v>1</v>
      </c>
      <c r="CG26" s="1060">
        <f t="shared" si="173"/>
        <v>54</v>
      </c>
      <c r="CH26" s="656"/>
      <c r="CI26" s="656"/>
      <c r="CJ26" s="656"/>
      <c r="CK26" s="656"/>
      <c r="CL26" s="656"/>
      <c r="CM26" s="656"/>
      <c r="CN26" s="656">
        <v>19</v>
      </c>
      <c r="CO26" s="656" t="s">
        <v>416</v>
      </c>
      <c r="CP26" s="656">
        <f>[1]!arzqmr(CP25)</f>
        <v>0.3547363420959409</v>
      </c>
      <c r="CQ26" s="641">
        <f t="shared" si="29"/>
        <v>0</v>
      </c>
      <c r="CR26" s="641">
        <f t="shared" si="30"/>
        <v>21</v>
      </c>
      <c r="CS26" s="641">
        <f t="shared" si="31"/>
        <v>17</v>
      </c>
      <c r="CT26" s="645">
        <f t="shared" si="32"/>
        <v>3</v>
      </c>
      <c r="CU26" s="275"/>
      <c r="CV26" s="275" t="s">
        <v>1100</v>
      </c>
      <c r="CW26" s="275">
        <f>[1]!arzmaree(CW4,CW9,CW14,CW18,CW16,CW25)</f>
        <v>0.10826175345492332</v>
      </c>
      <c r="CX26" s="648">
        <f t="shared" si="136"/>
        <v>0</v>
      </c>
      <c r="CY26" s="648">
        <f t="shared" si="137"/>
        <v>6</v>
      </c>
      <c r="CZ26" s="648">
        <f t="shared" si="138"/>
        <v>29</v>
      </c>
      <c r="DA26" s="649">
        <f t="shared" si="139"/>
        <v>44</v>
      </c>
      <c r="DE26" s="1046">
        <v>19</v>
      </c>
      <c r="DF26" s="607" t="s">
        <v>1181</v>
      </c>
      <c r="DG26" s="607">
        <f>DG11</f>
        <v>3.3879361185568495E-2</v>
      </c>
      <c r="DH26" s="608">
        <f t="shared" si="33"/>
        <v>0</v>
      </c>
      <c r="DI26" s="608">
        <f t="shared" si="34"/>
        <v>2</v>
      </c>
      <c r="DJ26" s="608">
        <f t="shared" si="35"/>
        <v>1</v>
      </c>
      <c r="DK26" s="1047">
        <f t="shared" si="36"/>
        <v>57</v>
      </c>
      <c r="DQ26" s="715"/>
      <c r="DR26" s="715"/>
      <c r="DS26" s="715"/>
      <c r="DT26" s="1045"/>
      <c r="EM26" s="156">
        <v>19</v>
      </c>
      <c r="EN26" s="156" t="s">
        <v>1148</v>
      </c>
      <c r="EO26" s="156" t="e">
        <f ca="1">[2]!asn([2]!sn(EO25)*[2]!sn(EO19)/60)</f>
        <v>#NAME?</v>
      </c>
      <c r="EP26" s="159" t="e">
        <f ca="1">INT(ABS(EO26))</f>
        <v>#NAME?</v>
      </c>
      <c r="EQ26" s="159" t="e">
        <f ca="1">INT((ABS(EO26)-EP26)*60)</f>
        <v>#NAME?</v>
      </c>
      <c r="ER26" s="159" t="e">
        <f ca="1">INT((((ABS(EO26)-EP26)*60)-EQ26)*60)</f>
        <v>#NAME?</v>
      </c>
      <c r="ES26" s="159" t="e">
        <f ca="1">INT((((((ABS(EO26)-EP26)*60)-EQ26)*60)-ER26)*60)</f>
        <v>#NAME?</v>
      </c>
      <c r="FE26" s="587"/>
      <c r="FF26" s="502"/>
      <c r="FG26" s="502"/>
      <c r="FH26" s="502" t="s">
        <v>3410</v>
      </c>
      <c r="FI26" s="502" t="s">
        <v>908</v>
      </c>
      <c r="FJ26" s="502">
        <f>FJ23-FJ25</f>
        <v>0</v>
      </c>
      <c r="FK26" s="605">
        <f t="shared" si="123"/>
        <v>0</v>
      </c>
      <c r="FL26" s="605">
        <f t="shared" si="124"/>
        <v>0</v>
      </c>
      <c r="FM26" s="605">
        <f t="shared" si="125"/>
        <v>0</v>
      </c>
      <c r="FN26" s="605">
        <f t="shared" si="126"/>
        <v>0</v>
      </c>
      <c r="FO26" s="606" t="s">
        <v>2254</v>
      </c>
      <c r="FQ26" s="280" t="s">
        <v>2186</v>
      </c>
      <c r="FR26" s="388">
        <f>IF(AND(FS7=1,FS4=FS17),FR25,IF(AND(FS7=1,FS4=-1*FS17,(90-FR17)&gt;FR22),FR25,IF(AND(FS7=-1,FS4=FS17,FR22&gt;(90-FR17)),FR25,FR25*-1)))</f>
        <v>-37.820158402351325</v>
      </c>
      <c r="FS26" s="149"/>
      <c r="FT26" s="149"/>
      <c r="FU26" s="149"/>
      <c r="GT26" s="577" t="s">
        <v>278</v>
      </c>
      <c r="GU26" s="577" t="e">
        <f ca="1">[2]!qrk([2]!ml(GU25),GU8)</f>
        <v>#NAME?</v>
      </c>
      <c r="GV26" s="578" t="e">
        <f t="shared" ca="1" si="174"/>
        <v>#NAME?</v>
      </c>
      <c r="GW26" s="578" t="e">
        <f t="shared" ca="1" si="175"/>
        <v>#NAME?</v>
      </c>
      <c r="GX26" s="578" t="e">
        <f t="shared" ca="1" si="176"/>
        <v>#NAME?</v>
      </c>
      <c r="GY26" s="578" t="e">
        <f t="shared" ca="1" si="177"/>
        <v>#NAME?</v>
      </c>
      <c r="HC26" s="280" t="s">
        <v>2192</v>
      </c>
      <c r="HD26" s="226" t="e">
        <f ca="1">[2]!sn(HD25)</f>
        <v>#NAME?</v>
      </c>
      <c r="HE26" s="226"/>
      <c r="HF26" s="226"/>
      <c r="HG26" s="227"/>
      <c r="HI26" s="280" t="s">
        <v>2192</v>
      </c>
      <c r="HJ26" s="226" t="e">
        <f ca="1">[2]!sn(HJ25)</f>
        <v>#NAME?</v>
      </c>
      <c r="HK26" s="226"/>
      <c r="HL26" s="226"/>
      <c r="HM26" s="227"/>
      <c r="HY26" s="151" t="s">
        <v>3489</v>
      </c>
      <c r="HZ26" s="151" t="e">
        <f ca="1">HZ25-HZ24</f>
        <v>#NAME?</v>
      </c>
      <c r="IC26" s="264" t="s">
        <v>2289</v>
      </c>
      <c r="ID26" s="114"/>
      <c r="IE26" s="114">
        <f>IF(IF6=IE8,1,2)</f>
        <v>2</v>
      </c>
      <c r="IF26" s="455">
        <f t="shared" si="56"/>
        <v>2</v>
      </c>
      <c r="IG26" s="455">
        <f t="shared" si="57"/>
        <v>0</v>
      </c>
      <c r="IH26" s="455">
        <f t="shared" si="58"/>
        <v>0</v>
      </c>
      <c r="II26" s="454">
        <f t="shared" si="178"/>
        <v>0</v>
      </c>
    </row>
    <row r="27" spans="1:243" ht="24.75">
      <c r="M27" s="628">
        <v>16</v>
      </c>
      <c r="N27" s="629" t="s">
        <v>819</v>
      </c>
      <c r="O27" s="629">
        <f>[1]!qadrsaatsh([1]!mtasha(O3,O4,O5+(O21/24),O8))</f>
        <v>4.0555555555555553E-2</v>
      </c>
      <c r="P27" s="630">
        <f t="shared" si="151"/>
        <v>0</v>
      </c>
      <c r="Q27" s="630">
        <f t="shared" si="152"/>
        <v>2</v>
      </c>
      <c r="R27" s="630">
        <f t="shared" si="153"/>
        <v>26</v>
      </c>
      <c r="S27" s="630">
        <f t="shared" si="154"/>
        <v>-1</v>
      </c>
      <c r="T27" s="625"/>
      <c r="U27" s="625"/>
      <c r="V27" s="625"/>
      <c r="W27" s="625"/>
      <c r="X27" s="625"/>
      <c r="Y27" s="625"/>
      <c r="Z27" s="625"/>
      <c r="AA27" s="625"/>
      <c r="AB27" s="625"/>
      <c r="AC27" s="629"/>
      <c r="AD27" s="669">
        <v>18</v>
      </c>
      <c r="AE27" s="629" t="s">
        <v>907</v>
      </c>
      <c r="AF27" s="629">
        <f>AF20+AF25</f>
        <v>0.5567816951370177</v>
      </c>
      <c r="AG27" s="630">
        <f t="shared" si="91"/>
        <v>0</v>
      </c>
      <c r="AH27" s="630">
        <f t="shared" si="92"/>
        <v>33</v>
      </c>
      <c r="AI27" s="630">
        <f t="shared" si="93"/>
        <v>24</v>
      </c>
      <c r="AJ27" s="665">
        <f t="shared" si="94"/>
        <v>24</v>
      </c>
      <c r="AK27" s="625"/>
      <c r="AL27" s="620" t="s">
        <v>3401</v>
      </c>
      <c r="AM27" s="621">
        <f>[1]!asabejermkh(AM3,AM4,AM5,AM8,AM6,AM7)</f>
        <v>14.63635294176864</v>
      </c>
      <c r="AN27" s="622">
        <f>INT(ABS(AM27))</f>
        <v>14</v>
      </c>
      <c r="AO27" s="622">
        <f>INT((ABS(AM27)-AN27)*60)</f>
        <v>38</v>
      </c>
      <c r="AP27" s="622">
        <f>INT((((ABS(AM27)-AN27)*60)-AO27)*60)</f>
        <v>10</v>
      </c>
      <c r="AQ27" s="682">
        <f>INT((((((ABS(AM27)-AN27)*60)-AO27)*60)-AP27)*60)</f>
        <v>52</v>
      </c>
      <c r="AR27" s="2566"/>
      <c r="AT27" s="671"/>
      <c r="AU27" s="672" t="s">
        <v>4692</v>
      </c>
      <c r="AV27" s="145"/>
      <c r="AW27" s="145" t="s">
        <v>4103</v>
      </c>
      <c r="AX27" s="656">
        <f>AX25+AX9</f>
        <v>21.938862912798051</v>
      </c>
      <c r="AY27" s="641">
        <f t="shared" ref="AY27" si="182">INT(ABS(AX27))</f>
        <v>21</v>
      </c>
      <c r="AZ27" s="641">
        <f t="shared" ref="AZ27" si="183">INT((ABS(AX27)-AY27)*60)</f>
        <v>56</v>
      </c>
      <c r="BA27" s="641">
        <f t="shared" ref="BA27" si="184">INT((((ABS(AX27)-AY27)*60)-AZ27)*60)</f>
        <v>19</v>
      </c>
      <c r="BB27" s="641">
        <f t="shared" ref="BB27" si="185">((((((ABS(AX27)-AY27)*60)-AZ27)*60)-BA27)*60)</f>
        <v>54.389164378969781</v>
      </c>
      <c r="BC27" s="655"/>
      <c r="BD27" s="656"/>
      <c r="BE27" s="656"/>
      <c r="BF27" s="641">
        <f t="shared" si="148"/>
        <v>0</v>
      </c>
      <c r="BG27" s="641">
        <f t="shared" si="149"/>
        <v>0</v>
      </c>
      <c r="BH27" s="657">
        <f t="shared" si="150"/>
        <v>0</v>
      </c>
      <c r="BI27" s="502"/>
      <c r="BJ27" s="502" t="s">
        <v>4201</v>
      </c>
      <c r="BK27" s="655">
        <f>[1]!eqlim(BN3,BN4,BE5,BN8,BN6,BN11)</f>
        <v>27.594557420353617</v>
      </c>
      <c r="BL27" s="641">
        <v>16</v>
      </c>
      <c r="BM27" s="656"/>
      <c r="BN27" s="656">
        <f>BN24/BN26*60</f>
        <v>53.174644117729088</v>
      </c>
      <c r="BO27" s="641">
        <f t="shared" si="163"/>
        <v>53</v>
      </c>
      <c r="BP27" s="641">
        <f t="shared" si="164"/>
        <v>10</v>
      </c>
      <c r="BQ27" s="641">
        <f t="shared" si="165"/>
        <v>28</v>
      </c>
      <c r="BR27" s="657">
        <f t="shared" si="47"/>
        <v>43.129429482924024</v>
      </c>
      <c r="BS27" s="502"/>
      <c r="BT27" s="655">
        <v>20</v>
      </c>
      <c r="BU27" s="656" t="s">
        <v>1086</v>
      </c>
      <c r="BV27" s="656">
        <f>BN90</f>
        <v>52.742990611933621</v>
      </c>
      <c r="BW27" s="641">
        <f t="shared" ref="BW27:BW42" si="186">INT(ABS(BV27))</f>
        <v>52</v>
      </c>
      <c r="BX27" s="641">
        <f t="shared" ref="BX27:BX42" si="187">INT((ABS(BV27)-BW27)*60)</f>
        <v>44</v>
      </c>
      <c r="BY27" s="641">
        <f t="shared" ref="BY27:BY42" si="188">INT((((ABS(BV27)-BW27)*60)-BX27)*60)</f>
        <v>34</v>
      </c>
      <c r="BZ27" s="641">
        <f t="shared" ref="BZ27:BZ42" si="189">INT((((((ABS(BV27)-BW27)*60)-BX27)*60)-BY27)*60)</f>
        <v>45</v>
      </c>
      <c r="CA27" s="1062">
        <v>20</v>
      </c>
      <c r="CB27" s="1058" t="s">
        <v>3497</v>
      </c>
      <c r="CC27" s="1058">
        <f>[1]!ertmaree(CC4,CC5,BE5,CC21,CC7,CP18)</f>
        <v>-45.906606220891234</v>
      </c>
      <c r="CD27" s="1059">
        <f t="shared" si="170"/>
        <v>45</v>
      </c>
      <c r="CE27" s="1059">
        <f t="shared" si="171"/>
        <v>54</v>
      </c>
      <c r="CF27" s="1059">
        <f t="shared" si="172"/>
        <v>23</v>
      </c>
      <c r="CG27" s="1060">
        <f t="shared" si="173"/>
        <v>46</v>
      </c>
      <c r="CH27" s="656"/>
      <c r="CI27" s="656"/>
      <c r="CJ27" s="656"/>
      <c r="CK27" s="656"/>
      <c r="CL27" s="656"/>
      <c r="CM27" s="656"/>
      <c r="CN27" s="656">
        <v>20</v>
      </c>
      <c r="CO27" s="145" t="s">
        <v>698</v>
      </c>
      <c r="CP27" s="145">
        <f>[1]!taqq(CC4,CC5,[1]!roz(BE5,CP16,0,0),CC7)</f>
        <v>19.357543481810644</v>
      </c>
      <c r="CQ27" s="641">
        <f t="shared" si="29"/>
        <v>19</v>
      </c>
      <c r="CR27" s="641">
        <f t="shared" si="30"/>
        <v>21</v>
      </c>
      <c r="CS27" s="641">
        <f t="shared" si="31"/>
        <v>27</v>
      </c>
      <c r="CT27" s="645">
        <f t="shared" si="32"/>
        <v>9</v>
      </c>
      <c r="CU27" s="275"/>
      <c r="CV27" s="275" t="s">
        <v>3525</v>
      </c>
      <c r="CW27" s="275">
        <f>[1]!bodovkosoof(CW4,CW5,CW6,CW28,CW8,CW9)</f>
        <v>22.646653138438118</v>
      </c>
      <c r="CX27" s="648">
        <f t="shared" si="136"/>
        <v>22</v>
      </c>
      <c r="CY27" s="648">
        <f t="shared" si="137"/>
        <v>38</v>
      </c>
      <c r="CZ27" s="648">
        <f t="shared" si="138"/>
        <v>47</v>
      </c>
      <c r="DA27" s="649">
        <f t="shared" si="139"/>
        <v>57</v>
      </c>
      <c r="DE27" s="1046">
        <v>20</v>
      </c>
      <c r="DF27" s="607"/>
      <c r="DG27" s="607">
        <f>90-DG26</f>
        <v>89.966120638814431</v>
      </c>
      <c r="DH27" s="608">
        <f t="shared" si="33"/>
        <v>89</v>
      </c>
      <c r="DI27" s="608">
        <f t="shared" si="34"/>
        <v>57</v>
      </c>
      <c r="DJ27" s="608">
        <f t="shared" si="35"/>
        <v>58</v>
      </c>
      <c r="DK27" s="1047">
        <f t="shared" si="36"/>
        <v>2</v>
      </c>
      <c r="DQ27" s="715"/>
      <c r="DR27" s="715"/>
      <c r="DS27" s="715"/>
      <c r="DT27" s="1045"/>
      <c r="EM27" s="156">
        <v>20</v>
      </c>
      <c r="EN27" s="156" t="s">
        <v>1149</v>
      </c>
      <c r="EO27" s="156" t="e">
        <f ca="1">IF(EO8=0,EO12,EO26)</f>
        <v>#NAME?</v>
      </c>
      <c r="EP27" s="159" t="e">
        <f ca="1">INT(ABS(EO27))</f>
        <v>#NAME?</v>
      </c>
      <c r="EQ27" s="159" t="e">
        <f ca="1">INT((ABS(EO27)-EP27)*60)</f>
        <v>#NAME?</v>
      </c>
      <c r="ER27" s="159" t="e">
        <f ca="1">INT((((ABS(EO27)-EP27)*60)-EQ27)*60)</f>
        <v>#NAME?</v>
      </c>
      <c r="ES27" s="159" t="e">
        <f ca="1">INT((((((ABS(EO27)-EP27)*60)-EQ27)*60)-ER27)*60)</f>
        <v>#NAME?</v>
      </c>
      <c r="FE27" s="587"/>
      <c r="FF27" s="502"/>
      <c r="FG27" s="502"/>
      <c r="FH27" s="502"/>
      <c r="FI27" s="502" t="s">
        <v>1082</v>
      </c>
      <c r="FJ27" s="502">
        <f>90-FJ20</f>
        <v>127.60976544477175</v>
      </c>
      <c r="FK27" s="605">
        <f t="shared" ref="FK27:FK30" si="190">INT(ABS(FJ27))</f>
        <v>127</v>
      </c>
      <c r="FL27" s="605">
        <f t="shared" ref="FL27:FL30" si="191">INT((ABS(FJ27)-FK27)*60)</f>
        <v>36</v>
      </c>
      <c r="FM27" s="605">
        <f t="shared" ref="FM27:FM30" si="192">INT((((ABS(FJ27)-FK27)*60)-FL27)*60)</f>
        <v>35</v>
      </c>
      <c r="FN27" s="605">
        <f t="shared" ref="FN27:FN30" si="193">INT((((((ABS(FJ27)-FK27)*60)-FL27)*60)-FM27)*60)</f>
        <v>9</v>
      </c>
      <c r="FO27" s="588" t="s">
        <v>3482</v>
      </c>
      <c r="FQ27" s="280" t="s">
        <v>2193</v>
      </c>
      <c r="FR27" s="226"/>
      <c r="FS27" s="226"/>
      <c r="FT27" s="226"/>
      <c r="FU27" s="227"/>
      <c r="GT27" s="577" t="s">
        <v>278</v>
      </c>
      <c r="GU27" s="577" t="e">
        <f ca="1">[2]!ertasher(GU3,GU4,GU5,GU11,GU7,GU8)</f>
        <v>#NAME?</v>
      </c>
      <c r="GV27" s="578" t="e">
        <f t="shared" ca="1" si="174"/>
        <v>#NAME?</v>
      </c>
      <c r="GW27" s="578" t="e">
        <f t="shared" ca="1" si="175"/>
        <v>#NAME?</v>
      </c>
      <c r="GX27" s="578" t="e">
        <f t="shared" ca="1" si="176"/>
        <v>#NAME?</v>
      </c>
      <c r="GY27" s="578" t="e">
        <f t="shared" ca="1" si="177"/>
        <v>#NAME?</v>
      </c>
      <c r="HC27" s="280"/>
      <c r="HD27" s="226" t="e">
        <f ca="1">[2]!asn(HD26*[2]!sn(HD23)/60)</f>
        <v>#NAME?</v>
      </c>
      <c r="HE27" s="226"/>
      <c r="HF27" s="226"/>
      <c r="HG27" s="227"/>
      <c r="HI27" s="280"/>
      <c r="HJ27" s="226" t="e">
        <f ca="1">[2]!asn(HJ26*[2]!sn(HJ23)/60)</f>
        <v>#NAME?</v>
      </c>
      <c r="HK27" s="226"/>
      <c r="HL27" s="226"/>
      <c r="HM27" s="227"/>
      <c r="HZ27" s="151" t="s">
        <v>3490</v>
      </c>
      <c r="IC27" s="264" t="s">
        <v>2290</v>
      </c>
      <c r="ID27" s="114"/>
      <c r="IE27" s="114">
        <f>IF(IF7=IE9,1,2)</f>
        <v>2</v>
      </c>
      <c r="IF27" s="455">
        <f t="shared" si="56"/>
        <v>2</v>
      </c>
      <c r="IG27" s="455">
        <f t="shared" si="57"/>
        <v>0</v>
      </c>
      <c r="IH27" s="455">
        <f t="shared" si="58"/>
        <v>0</v>
      </c>
      <c r="II27" s="454">
        <f t="shared" si="178"/>
        <v>0</v>
      </c>
    </row>
    <row r="28" spans="1:243" ht="24.75">
      <c r="M28" s="628">
        <v>17</v>
      </c>
      <c r="N28" s="629" t="s">
        <v>892</v>
      </c>
      <c r="O28" s="629">
        <f>O26-O27</f>
        <v>0.59344805761863673</v>
      </c>
      <c r="P28" s="630">
        <f t="shared" si="151"/>
        <v>0</v>
      </c>
      <c r="Q28" s="630">
        <f t="shared" si="152"/>
        <v>35</v>
      </c>
      <c r="R28" s="630">
        <f t="shared" si="153"/>
        <v>36</v>
      </c>
      <c r="S28" s="630">
        <f t="shared" si="154"/>
        <v>24</v>
      </c>
      <c r="T28" s="625"/>
      <c r="U28" s="625"/>
      <c r="V28" s="625"/>
      <c r="W28" s="625"/>
      <c r="X28" s="625"/>
      <c r="Y28" s="625"/>
      <c r="Z28" s="625"/>
      <c r="AA28" s="625"/>
      <c r="AB28" s="625"/>
      <c r="AC28" s="629"/>
      <c r="AD28" s="669">
        <v>19</v>
      </c>
      <c r="AE28" s="629" t="s">
        <v>908</v>
      </c>
      <c r="AF28" s="629">
        <f>AF22+AF26</f>
        <v>1.0208552467666576</v>
      </c>
      <c r="AG28" s="630">
        <f t="shared" si="91"/>
        <v>1</v>
      </c>
      <c r="AH28" s="630">
        <f t="shared" si="92"/>
        <v>1</v>
      </c>
      <c r="AI28" s="630">
        <f t="shared" si="93"/>
        <v>15</v>
      </c>
      <c r="AJ28" s="665">
        <f t="shared" si="94"/>
        <v>4</v>
      </c>
      <c r="AK28" s="626"/>
      <c r="AL28" s="620" t="s">
        <v>3512</v>
      </c>
      <c r="AM28" s="621" t="str">
        <f>[1]!oqdeh(AM21)</f>
        <v>ras</v>
      </c>
      <c r="AN28" s="622"/>
      <c r="AO28" s="622"/>
      <c r="AP28" s="622"/>
      <c r="AQ28" s="682"/>
      <c r="AR28" s="2566"/>
      <c r="AT28" s="673">
        <f>BN18</f>
        <v>243.2079726865957</v>
      </c>
      <c r="AU28" s="674" t="s">
        <v>3962</v>
      </c>
      <c r="AV28" s="656">
        <v>15</v>
      </c>
      <c r="AW28" s="656" t="s">
        <v>4101</v>
      </c>
      <c r="AX28" s="656">
        <f>[1]!taqsha(AX2,AX3,[1]!roz(AX4,AX27,0,0),AX8)</f>
        <v>19.427923152300121</v>
      </c>
      <c r="AY28" s="641">
        <f t="shared" ref="AY28:AY32" si="194">INT(ABS(AX28))</f>
        <v>19</v>
      </c>
      <c r="AZ28" s="641">
        <f t="shared" ref="AZ28:AZ32" si="195">INT((ABS(AX28)-AY28)*60)</f>
        <v>25</v>
      </c>
      <c r="BA28" s="641">
        <f t="shared" ref="BA28:BA32" si="196">INT((((ABS(AX28)-AY28)*60)-AZ28)*60)</f>
        <v>40</v>
      </c>
      <c r="BB28" s="641">
        <f t="shared" ref="BB28:BB32" si="197">((((((ABS(AX28)-AY28)*60)-AZ28)*60)-BA28)*60)</f>
        <v>31.40089682609073</v>
      </c>
      <c r="BC28" s="655"/>
      <c r="BD28" s="656" t="s">
        <v>1047</v>
      </c>
      <c r="BE28" s="641">
        <f>((((BH28)/60)+BG28)/60)+BF28</f>
        <v>8.65</v>
      </c>
      <c r="BF28" s="656">
        <v>8</v>
      </c>
      <c r="BG28" s="656">
        <v>39</v>
      </c>
      <c r="BH28" s="661">
        <v>0</v>
      </c>
      <c r="BI28" s="502"/>
      <c r="BJ28" s="502" t="s">
        <v>4116</v>
      </c>
      <c r="BK28" s="655">
        <f>[1]!Arzr2(BN3,BN19,[1]!ml(BN3,BN17),BN11)</f>
        <v>27.594992261182139</v>
      </c>
      <c r="BL28" s="656">
        <v>17</v>
      </c>
      <c r="BM28" s="656" t="s">
        <v>1200</v>
      </c>
      <c r="BN28" s="656">
        <f>IF(BN27&lt;60,[1]!asn(BN27),[1]!asn(120-BN27))</f>
        <v>62.405007738817865</v>
      </c>
      <c r="BO28" s="641">
        <f t="shared" si="163"/>
        <v>62</v>
      </c>
      <c r="BP28" s="641">
        <f t="shared" si="164"/>
        <v>24</v>
      </c>
      <c r="BQ28" s="641">
        <f t="shared" si="165"/>
        <v>18</v>
      </c>
      <c r="BR28" s="657">
        <f t="shared" si="47"/>
        <v>1.6715846588408567</v>
      </c>
      <c r="BS28" s="502"/>
      <c r="BT28" s="655">
        <v>21</v>
      </c>
      <c r="BU28" s="656" t="s">
        <v>1097</v>
      </c>
      <c r="BV28" s="656">
        <f>[1]!sn(BV27)</f>
        <v>47.755676807275506</v>
      </c>
      <c r="BW28" s="641">
        <f t="shared" si="186"/>
        <v>47</v>
      </c>
      <c r="BX28" s="641">
        <f t="shared" si="187"/>
        <v>45</v>
      </c>
      <c r="BY28" s="641">
        <f t="shared" si="188"/>
        <v>20</v>
      </c>
      <c r="BZ28" s="641">
        <f t="shared" si="189"/>
        <v>26</v>
      </c>
      <c r="CA28" s="1058">
        <f>[1]!ekhtoolq(BN3,BN11,CC22,CC26,CC24,CC27)</f>
        <v>0.37289641298984577</v>
      </c>
      <c r="CB28" s="1058" t="s">
        <v>1102</v>
      </c>
      <c r="CC28" s="1058">
        <f>CA28</f>
        <v>0.37289641298984577</v>
      </c>
      <c r="CD28" s="1059">
        <f t="shared" si="170"/>
        <v>0</v>
      </c>
      <c r="CE28" s="1059">
        <f t="shared" si="171"/>
        <v>22</v>
      </c>
      <c r="CF28" s="1059">
        <f t="shared" si="172"/>
        <v>22</v>
      </c>
      <c r="CG28" s="1060">
        <f t="shared" si="173"/>
        <v>25</v>
      </c>
      <c r="CH28" s="656"/>
      <c r="CI28" s="656"/>
      <c r="CJ28" s="656"/>
      <c r="CK28" s="656"/>
      <c r="CL28" s="656"/>
      <c r="CM28" s="656"/>
      <c r="CN28" s="656">
        <v>21</v>
      </c>
      <c r="CO28" s="145" t="s">
        <v>279</v>
      </c>
      <c r="CP28" s="145">
        <f>[1]!tale3(CC4,CP18,[1]!taqsh(CC4,CC5,[1]!roz(BE5,CP16,0,0),CC7),CP16)</f>
        <v>242.22472952243234</v>
      </c>
      <c r="CQ28" s="641">
        <f t="shared" si="29"/>
        <v>242</v>
      </c>
      <c r="CR28" s="641">
        <f t="shared" si="30"/>
        <v>13</v>
      </c>
      <c r="CS28" s="641">
        <f t="shared" si="31"/>
        <v>29</v>
      </c>
      <c r="CT28" s="645">
        <f t="shared" si="32"/>
        <v>1</v>
      </c>
      <c r="CU28" s="275"/>
      <c r="CV28" s="275" t="s">
        <v>3524</v>
      </c>
      <c r="CW28" s="275">
        <f>[1]!etahqiq(CW4,CW5,CW6,CW11,CW8,CW9)</f>
        <v>23.041915218387736</v>
      </c>
      <c r="CX28" s="648">
        <f t="shared" si="136"/>
        <v>23</v>
      </c>
      <c r="CY28" s="648">
        <f t="shared" si="137"/>
        <v>2</v>
      </c>
      <c r="CZ28" s="648">
        <f t="shared" si="138"/>
        <v>30</v>
      </c>
      <c r="DA28" s="649">
        <f t="shared" si="139"/>
        <v>53</v>
      </c>
      <c r="DE28" s="1046">
        <v>21</v>
      </c>
      <c r="DF28" s="607"/>
      <c r="DG28" s="607">
        <f>90-DG24</f>
        <v>89.980133397394752</v>
      </c>
      <c r="DH28" s="608">
        <f t="shared" si="33"/>
        <v>89</v>
      </c>
      <c r="DI28" s="608">
        <f t="shared" si="34"/>
        <v>58</v>
      </c>
      <c r="DJ28" s="608">
        <f t="shared" si="35"/>
        <v>48</v>
      </c>
      <c r="DK28" s="1047">
        <f t="shared" si="36"/>
        <v>28</v>
      </c>
      <c r="DQ28" s="715"/>
      <c r="DR28" s="715"/>
      <c r="EM28" s="151">
        <v>21</v>
      </c>
      <c r="FE28" s="587"/>
      <c r="FF28" s="502"/>
      <c r="FG28" s="502"/>
      <c r="FH28" s="607"/>
      <c r="FI28" s="607" t="s">
        <v>3420</v>
      </c>
      <c r="FJ28" s="607">
        <f>FJ27+FJ26</f>
        <v>127.60976544477175</v>
      </c>
      <c r="FK28" s="608">
        <f t="shared" si="190"/>
        <v>127</v>
      </c>
      <c r="FL28" s="608">
        <f t="shared" si="191"/>
        <v>36</v>
      </c>
      <c r="FM28" s="608">
        <f t="shared" si="192"/>
        <v>35</v>
      </c>
      <c r="FN28" s="608">
        <f t="shared" si="193"/>
        <v>9</v>
      </c>
      <c r="FO28" s="588" t="s">
        <v>3483</v>
      </c>
      <c r="FQ28" s="280"/>
      <c r="FR28" s="226">
        <f>[1]!asn([1]!sn(FR4)*[1]!sn(FR17)/60)</f>
        <v>0</v>
      </c>
      <c r="FS28" s="226"/>
      <c r="FT28" s="226"/>
      <c r="FU28" s="227"/>
      <c r="GT28" s="577" t="s">
        <v>903</v>
      </c>
      <c r="GU28" s="577" t="e">
        <f ca="1">[2]!markaz3a(GU3,GU4,GU5,GU7)</f>
        <v>#NAME?</v>
      </c>
      <c r="GV28" s="578" t="e">
        <f t="shared" ca="1" si="174"/>
        <v>#NAME?</v>
      </c>
      <c r="GW28" s="578" t="e">
        <f t="shared" ca="1" si="175"/>
        <v>#NAME?</v>
      </c>
      <c r="GX28" s="578" t="e">
        <f t="shared" ca="1" si="176"/>
        <v>#NAME?</v>
      </c>
      <c r="GY28" s="578" t="e">
        <f t="shared" ca="1" si="177"/>
        <v>#NAME?</v>
      </c>
      <c r="HC28" s="280" t="s">
        <v>2186</v>
      </c>
      <c r="HD28" s="388" t="e">
        <f ca="1">IF(AND(HE9=1,HE22=HE19),HD27,IF(AND(HE9=1,HE22=-1*HE19,(90-HD19)&gt;HD24),HD27,IF(AND(HE9=-1,HE22=HE19,HD24&gt;(90-HD19)),HD27,HD27*-1)))</f>
        <v>#NAME?</v>
      </c>
      <c r="HE28" s="149"/>
      <c r="HF28" s="149"/>
      <c r="HG28" s="149"/>
      <c r="HI28" s="280" t="s">
        <v>2186</v>
      </c>
      <c r="HJ28" s="388" t="e">
        <f ca="1">IF(AND(HK9=1,HK22=HK19),HJ27,IF(AND(HK9=1,HK22=-1*HK19,(90-HJ19)&gt;HJ24),HJ27,IF(AND(HK9=-1,HK22=HK19,HJ24&gt;(90-HJ19)),HJ27,HJ27*-1)))</f>
        <v>#NAME?</v>
      </c>
      <c r="HK28" s="149"/>
      <c r="HL28" s="149"/>
      <c r="HM28" s="149"/>
      <c r="IC28" s="265"/>
      <c r="ID28" s="240" t="s">
        <v>3536</v>
      </c>
      <c r="IE28" s="240" t="e">
        <f ca="1">IF(AND(IE26=1,IE27=1),IE10,IF(AND(IE27=1,IE26&gt;1),IE18,IF(AND(IE26=1,IE27&gt;1),IE19,IE24)))</f>
        <v>#NAME?</v>
      </c>
      <c r="IF28" s="457" t="e">
        <f ca="1">INT(ABS(IE28))</f>
        <v>#NAME?</v>
      </c>
      <c r="IG28" s="457" t="e">
        <f ca="1">INT((ABS(IE28)-IF28)*60)</f>
        <v>#NAME?</v>
      </c>
      <c r="IH28" s="457" t="e">
        <f ca="1">INT((((ABS(IE28)-IF28)*60)-IG28)*60)</f>
        <v>#NAME?</v>
      </c>
      <c r="II28" s="458" t="e">
        <f ca="1">INT((((((ABS(IE28)-IF28)*60)-IG28)*60)-IH28)*60)</f>
        <v>#NAME?</v>
      </c>
    </row>
    <row r="29" spans="1:243" ht="24.75">
      <c r="M29" s="628">
        <v>18</v>
      </c>
      <c r="N29" s="629"/>
      <c r="O29" s="629">
        <f>O25/O28</f>
        <v>-11.667849554445507</v>
      </c>
      <c r="P29" s="630">
        <f t="shared" si="151"/>
        <v>11</v>
      </c>
      <c r="Q29" s="630">
        <f t="shared" si="152"/>
        <v>40</v>
      </c>
      <c r="R29" s="630">
        <f t="shared" si="153"/>
        <v>4</v>
      </c>
      <c r="S29" s="630">
        <f t="shared" si="154"/>
        <v>15</v>
      </c>
      <c r="T29" s="625"/>
      <c r="U29" s="625"/>
      <c r="V29" s="625"/>
      <c r="Y29" s="625"/>
      <c r="Z29" s="625"/>
      <c r="AA29" s="625"/>
      <c r="AB29" s="625"/>
      <c r="AC29" s="629"/>
      <c r="AD29" s="669">
        <v>20</v>
      </c>
      <c r="AE29" s="629" t="s">
        <v>909</v>
      </c>
      <c r="AF29" s="629">
        <f>AF13-AF16</f>
        <v>84.737057554503522</v>
      </c>
      <c r="AG29" s="630">
        <f t="shared" si="91"/>
        <v>84</v>
      </c>
      <c r="AH29" s="630">
        <f t="shared" si="92"/>
        <v>44</v>
      </c>
      <c r="AI29" s="630">
        <f t="shared" si="93"/>
        <v>13</v>
      </c>
      <c r="AJ29" s="665">
        <f t="shared" si="94"/>
        <v>24</v>
      </c>
      <c r="AK29" s="626"/>
      <c r="AL29" s="620" t="s">
        <v>3511</v>
      </c>
      <c r="AM29" s="621" t="str">
        <f>[1]!jozeikolli(AM3,AM4,AM5,AM8,AM6,AM7)</f>
        <v>jozei</v>
      </c>
      <c r="AN29" s="622"/>
      <c r="AO29" s="622"/>
      <c r="AP29" s="622"/>
      <c r="AQ29" s="682"/>
      <c r="AR29" s="2566"/>
      <c r="AT29" s="673">
        <f>[1]!bait2(AX2,AX3,AX4,AX7,AX27,AX8)</f>
        <v>275.92648414666019</v>
      </c>
      <c r="AU29" s="674" t="s">
        <v>2227</v>
      </c>
      <c r="AV29" s="656"/>
      <c r="AW29" s="656" t="s">
        <v>4102</v>
      </c>
      <c r="AX29" s="656">
        <f>[1]!taqqa(AX2,AX3,[1]!roz(AX4,AX27,0,0),AX8)</f>
        <v>19.426839013482223</v>
      </c>
      <c r="AY29" s="641">
        <f t="shared" si="194"/>
        <v>19</v>
      </c>
      <c r="AZ29" s="641">
        <f t="shared" si="195"/>
        <v>25</v>
      </c>
      <c r="BA29" s="641">
        <f t="shared" si="196"/>
        <v>36</v>
      </c>
      <c r="BB29" s="641">
        <f t="shared" si="197"/>
        <v>37.226912160090251</v>
      </c>
      <c r="BC29" s="655"/>
      <c r="BD29" s="656" t="s">
        <v>1048</v>
      </c>
      <c r="BE29" s="641">
        <f>((((BH29)/60)+BG29)/60)+BF29</f>
        <v>18.233333333333334</v>
      </c>
      <c r="BF29" s="656">
        <v>18</v>
      </c>
      <c r="BG29" s="656">
        <v>14</v>
      </c>
      <c r="BH29" s="661">
        <v>0</v>
      </c>
      <c r="BI29" s="502"/>
      <c r="BJ29" s="502" t="s">
        <v>3815</v>
      </c>
      <c r="BK29" s="655">
        <f>IF(BN11&gt;=0,IF((BN11)&gt;BN20,BK25,BK25*-1),IF((BN11)&lt;BN20,BK25,BK25*-1))</f>
        <v>1</v>
      </c>
      <c r="BL29" s="656">
        <v>18</v>
      </c>
      <c r="BM29" s="656" t="s">
        <v>231</v>
      </c>
      <c r="BN29" s="656">
        <f>90-BN28</f>
        <v>27.594992261182135</v>
      </c>
      <c r="BO29" s="641">
        <f t="shared" si="163"/>
        <v>27</v>
      </c>
      <c r="BP29" s="641">
        <f t="shared" si="164"/>
        <v>35</v>
      </c>
      <c r="BQ29" s="641">
        <f t="shared" si="165"/>
        <v>41</v>
      </c>
      <c r="BR29" s="657">
        <f t="shared" si="47"/>
        <v>58.328415341159143</v>
      </c>
      <c r="BS29" s="502"/>
      <c r="BT29" s="690">
        <v>22</v>
      </c>
      <c r="BU29" s="656" t="s">
        <v>983</v>
      </c>
      <c r="BV29" s="656">
        <f>BV28*BV26</f>
        <v>2068.700716502442</v>
      </c>
      <c r="BW29" s="641">
        <f t="shared" si="186"/>
        <v>2068</v>
      </c>
      <c r="BX29" s="641">
        <f t="shared" si="187"/>
        <v>42</v>
      </c>
      <c r="BY29" s="641">
        <f t="shared" si="188"/>
        <v>2</v>
      </c>
      <c r="BZ29" s="641">
        <f t="shared" si="189"/>
        <v>34</v>
      </c>
      <c r="CA29" s="1062">
        <f>[1]!taqmareeqa(CC$4,CC$5,AX$4,CC21,AX$8,AX$7)</f>
        <v>20.020014646806423</v>
      </c>
      <c r="CB29" s="1061" t="s">
        <v>1107</v>
      </c>
      <c r="CC29" s="1058">
        <f>[1]!taqmaree([1]!taqqa(CC4,CC5,[1]!roz(AX4,CC21,0,0),CC7),CC24,CC28)</f>
        <v>20.020014646806423</v>
      </c>
      <c r="CD29" s="1059">
        <f t="shared" ref="CD29:CD30" si="198">INT(ABS(CC29))</f>
        <v>20</v>
      </c>
      <c r="CE29" s="1059">
        <f t="shared" ref="CE29:CE30" si="199">INT((ABS(CC29)-CD29)*60)</f>
        <v>1</v>
      </c>
      <c r="CF29" s="1059">
        <f t="shared" ref="CF29:CF30" si="200">INT((((ABS(CC29)-CD29)*60)-CE29)*60)</f>
        <v>12</v>
      </c>
      <c r="CG29" s="1060">
        <f t="shared" ref="CG29:CG30" si="201">INT((((((ABS(CC29)-CD29)*60)-CE29)*60)-CF29)*60)</f>
        <v>3</v>
      </c>
      <c r="CH29" s="656"/>
      <c r="CI29" s="656"/>
      <c r="CJ29" s="656"/>
      <c r="CK29" s="656"/>
      <c r="CL29" s="656"/>
      <c r="CM29" s="145"/>
      <c r="CN29" s="656">
        <v>22</v>
      </c>
      <c r="CO29" s="145" t="s">
        <v>3497</v>
      </c>
      <c r="CP29" s="145">
        <f>[1]!ertmaree(CC4,CC5,BE5,CP16,CC7,CP18)</f>
        <v>-37.826453869677515</v>
      </c>
      <c r="CQ29" s="641">
        <f t="shared" si="29"/>
        <v>37</v>
      </c>
      <c r="CR29" s="641">
        <f t="shared" si="30"/>
        <v>49</v>
      </c>
      <c r="CS29" s="641">
        <f t="shared" si="31"/>
        <v>35</v>
      </c>
      <c r="CT29" s="645">
        <f t="shared" si="32"/>
        <v>14</v>
      </c>
      <c r="CU29" s="275"/>
      <c r="CV29" s="275" t="s">
        <v>930</v>
      </c>
      <c r="CW29" s="275">
        <f>[1]!senjelak(CW4,CW5,CW6,CW28,CW8,CW9)</f>
        <v>23.413234964866366</v>
      </c>
      <c r="CX29" s="648">
        <f t="shared" si="136"/>
        <v>23</v>
      </c>
      <c r="CY29" s="648">
        <f t="shared" si="137"/>
        <v>24</v>
      </c>
      <c r="CZ29" s="648">
        <f t="shared" si="138"/>
        <v>47</v>
      </c>
      <c r="DA29" s="649">
        <f t="shared" si="139"/>
        <v>38</v>
      </c>
      <c r="DE29" s="1046">
        <v>22</v>
      </c>
      <c r="DF29" s="607"/>
      <c r="DG29" s="607">
        <f>[1]!sn(DG27)</f>
        <v>59.999989510702505</v>
      </c>
      <c r="DH29" s="608">
        <f t="shared" si="33"/>
        <v>59</v>
      </c>
      <c r="DI29" s="608">
        <f t="shared" si="34"/>
        <v>59</v>
      </c>
      <c r="DJ29" s="608">
        <f t="shared" si="35"/>
        <v>59</v>
      </c>
      <c r="DK29" s="1047">
        <f t="shared" si="36"/>
        <v>57</v>
      </c>
      <c r="DQ29" s="715"/>
      <c r="DR29" s="715"/>
      <c r="EM29" s="151">
        <v>22</v>
      </c>
      <c r="FE29" s="587"/>
      <c r="FF29" s="502"/>
      <c r="FG29" s="502"/>
      <c r="FH29" s="502"/>
      <c r="FI29" s="502" t="s">
        <v>3477</v>
      </c>
      <c r="FJ29" s="502">
        <f>90-FJ28</f>
        <v>-37.609765444771753</v>
      </c>
      <c r="FK29" s="605">
        <f t="shared" si="190"/>
        <v>37</v>
      </c>
      <c r="FL29" s="605">
        <f t="shared" si="191"/>
        <v>36</v>
      </c>
      <c r="FM29" s="605">
        <f t="shared" si="192"/>
        <v>35</v>
      </c>
      <c r="FN29" s="605">
        <f t="shared" si="193"/>
        <v>9</v>
      </c>
      <c r="FO29" s="588" t="s">
        <v>3484</v>
      </c>
      <c r="FQ29" s="280"/>
      <c r="FR29" s="226">
        <f>IF(FS4=FS17,FR28,FR28*-1)</f>
        <v>0</v>
      </c>
      <c r="FS29" s="226"/>
      <c r="FT29" s="226"/>
      <c r="FU29" s="227"/>
      <c r="GT29" s="577" t="s">
        <v>3472</v>
      </c>
      <c r="GU29" s="577" t="e">
        <f ca="1">[2]!qadrsaatq(GU28)</f>
        <v>#NAME?</v>
      </c>
      <c r="GV29" s="578" t="e">
        <f t="shared" ca="1" si="174"/>
        <v>#NAME?</v>
      </c>
      <c r="GW29" s="578" t="e">
        <f t="shared" ca="1" si="175"/>
        <v>#NAME?</v>
      </c>
      <c r="GX29" s="578" t="e">
        <f t="shared" ca="1" si="176"/>
        <v>#NAME?</v>
      </c>
      <c r="GY29" s="578" t="e">
        <f t="shared" ca="1" si="177"/>
        <v>#NAME?</v>
      </c>
      <c r="HC29" s="280" t="s">
        <v>2193</v>
      </c>
      <c r="HD29" s="226"/>
      <c r="HE29" s="226"/>
      <c r="HF29" s="226"/>
      <c r="HG29" s="227"/>
      <c r="HI29" s="280" t="s">
        <v>2193</v>
      </c>
      <c r="HJ29" s="226"/>
      <c r="HK29" s="226"/>
      <c r="HL29" s="226"/>
      <c r="HM29" s="227"/>
      <c r="HY29" s="159"/>
      <c r="IC29" s="265"/>
      <c r="ID29" s="240"/>
      <c r="IE29" s="240" t="e">
        <f ca="1">[3]!asabeqotrj(IF6,IF7)</f>
        <v>#NAME?</v>
      </c>
      <c r="IF29" s="457"/>
      <c r="IG29" s="457"/>
      <c r="IH29" s="457"/>
      <c r="II29" s="458"/>
    </row>
    <row r="30" spans="1:243">
      <c r="M30" s="628">
        <v>19</v>
      </c>
      <c r="N30" s="629" t="s">
        <v>891</v>
      </c>
      <c r="O30" s="629">
        <f>O21+O29+O10</f>
        <v>6.1411579232480182</v>
      </c>
      <c r="P30" s="630">
        <f t="shared" si="151"/>
        <v>6</v>
      </c>
      <c r="Q30" s="630">
        <f t="shared" si="152"/>
        <v>8</v>
      </c>
      <c r="R30" s="630">
        <f t="shared" si="153"/>
        <v>28</v>
      </c>
      <c r="S30" s="630">
        <f t="shared" si="154"/>
        <v>10</v>
      </c>
      <c r="T30" s="625"/>
      <c r="U30" s="625"/>
      <c r="V30" s="625"/>
      <c r="W30" s="625"/>
      <c r="X30" s="625"/>
      <c r="Y30" s="625"/>
      <c r="Z30" s="625"/>
      <c r="AA30" s="625"/>
      <c r="AB30" s="625"/>
      <c r="AC30" s="629"/>
      <c r="AD30" s="669">
        <v>21</v>
      </c>
      <c r="AE30" s="629" t="s">
        <v>910</v>
      </c>
      <c r="AF30" s="629">
        <f>[1]!sn(AF29)</f>
        <v>59.747053981511577</v>
      </c>
      <c r="AG30" s="630">
        <f t="shared" si="91"/>
        <v>59</v>
      </c>
      <c r="AH30" s="630">
        <f t="shared" si="92"/>
        <v>44</v>
      </c>
      <c r="AI30" s="630">
        <f t="shared" si="93"/>
        <v>49</v>
      </c>
      <c r="AJ30" s="665">
        <f t="shared" si="94"/>
        <v>23</v>
      </c>
      <c r="AK30" s="626"/>
      <c r="AL30" s="620" t="s">
        <v>3513</v>
      </c>
      <c r="AM30" s="621"/>
      <c r="AN30" s="622">
        <f>INT(ABS(AM30))</f>
        <v>0</v>
      </c>
      <c r="AO30" s="622">
        <f>INT((ABS(AM30)-AN30)*60)</f>
        <v>0</v>
      </c>
      <c r="AP30" s="622">
        <f>INT((((ABS(AM30)-AN30)*60)-AO30)*60)</f>
        <v>0</v>
      </c>
      <c r="AQ30" s="682">
        <f>INT((((((ABS(AM30)-AN30)*60)-AO30)*60)-AP30)*60)</f>
        <v>0</v>
      </c>
      <c r="AR30" s="2566"/>
      <c r="AT30" s="673">
        <f>[1]!bait3(AX2,AX3,AX4,AX7,AX27,AX8)</f>
        <v>309.30157796562196</v>
      </c>
      <c r="AU30" s="674" t="s">
        <v>2225</v>
      </c>
      <c r="AV30" s="656">
        <v>16</v>
      </c>
      <c r="AW30" s="656" t="s">
        <v>1030</v>
      </c>
      <c r="AX30" s="656">
        <f>[1]!wasata(AX2,AX3,[1]!roz(AX4,AX27-AX20,0,0),AX8)</f>
        <v>17.112079895558054</v>
      </c>
      <c r="AY30" s="641">
        <f t="shared" si="194"/>
        <v>17</v>
      </c>
      <c r="AZ30" s="641">
        <f t="shared" si="195"/>
        <v>6</v>
      </c>
      <c r="BA30" s="641">
        <f t="shared" si="196"/>
        <v>43</v>
      </c>
      <c r="BB30" s="641">
        <f t="shared" si="197"/>
        <v>29.257440539659001</v>
      </c>
      <c r="BC30" s="655"/>
      <c r="BD30" s="656" t="s">
        <v>344</v>
      </c>
      <c r="BE30" s="656">
        <f>BE22-BE28</f>
        <v>6.6928567969116362</v>
      </c>
      <c r="BF30" s="641">
        <f>INT(ABS(BE30))</f>
        <v>6</v>
      </c>
      <c r="BG30" s="641">
        <f>INT((ABS(BE30)-BF30)*60)</f>
        <v>41</v>
      </c>
      <c r="BH30" s="657">
        <f>INT((((ABS(BE30)-BF30)*60)-BG30)*60)</f>
        <v>34</v>
      </c>
      <c r="BI30" s="502"/>
      <c r="BJ30" s="502" t="s">
        <v>3816</v>
      </c>
      <c r="BK30" s="655">
        <f>IF(BN36&gt;=0,1,-1)</f>
        <v>1</v>
      </c>
      <c r="BL30" s="641">
        <v>19</v>
      </c>
      <c r="BM30" s="656" t="s">
        <v>1063</v>
      </c>
      <c r="BN30" s="656">
        <f>IF(ABS(BN18-BN9)&lt;180,ABS(BN18-BN9),360-ABS(BN18-BN9))</f>
        <v>136.21995046570441</v>
      </c>
      <c r="BO30" s="641">
        <f t="shared" si="163"/>
        <v>136</v>
      </c>
      <c r="BP30" s="641">
        <f t="shared" si="164"/>
        <v>13</v>
      </c>
      <c r="BQ30" s="641">
        <f t="shared" si="165"/>
        <v>11</v>
      </c>
      <c r="BR30" s="657">
        <f t="shared" si="47"/>
        <v>49.300592153522302</v>
      </c>
      <c r="BS30" s="502"/>
      <c r="BT30" s="655">
        <v>23</v>
      </c>
      <c r="BU30" s="656" t="s">
        <v>1089</v>
      </c>
      <c r="BV30" s="656">
        <f>BV11</f>
        <v>47.259852879399865</v>
      </c>
      <c r="BW30" s="641">
        <f t="shared" si="186"/>
        <v>47</v>
      </c>
      <c r="BX30" s="641">
        <f t="shared" si="187"/>
        <v>15</v>
      </c>
      <c r="BY30" s="641">
        <f t="shared" si="188"/>
        <v>35</v>
      </c>
      <c r="BZ30" s="641">
        <f t="shared" si="189"/>
        <v>28</v>
      </c>
      <c r="CA30" s="1062">
        <v>23</v>
      </c>
      <c r="CB30" s="1061" t="s">
        <v>3489</v>
      </c>
      <c r="CC30" s="1061">
        <f>IF(ABS(CC23-CC29)&lt;180,CC23-CC29,IF(ABS(CC23-CC29)&lt;-180,360-(CC23-CC29),CC23-CC29-360))</f>
        <v>-0.53813398527296741</v>
      </c>
      <c r="CD30" s="1059">
        <f t="shared" si="198"/>
        <v>0</v>
      </c>
      <c r="CE30" s="1059">
        <f t="shared" si="199"/>
        <v>32</v>
      </c>
      <c r="CF30" s="1059">
        <f t="shared" si="200"/>
        <v>17</v>
      </c>
      <c r="CG30" s="1060">
        <f t="shared" si="201"/>
        <v>16</v>
      </c>
      <c r="CH30" s="656"/>
      <c r="CI30" s="656"/>
      <c r="CJ30" s="656"/>
      <c r="CK30" s="656"/>
      <c r="CL30" s="656"/>
      <c r="CM30" s="656"/>
      <c r="CN30" s="656">
        <v>23</v>
      </c>
      <c r="CO30" s="145" t="s">
        <v>1100</v>
      </c>
      <c r="CP30" s="145">
        <f>[1]!arzmaree(CC4,CP18,CP27,CP26,CP28,CP29)</f>
        <v>9.8657876426238064E-2</v>
      </c>
      <c r="CQ30" s="641">
        <f t="shared" si="29"/>
        <v>0</v>
      </c>
      <c r="CR30" s="641">
        <f t="shared" si="30"/>
        <v>5</v>
      </c>
      <c r="CS30" s="641">
        <f t="shared" si="31"/>
        <v>55</v>
      </c>
      <c r="CT30" s="645">
        <f t="shared" si="32"/>
        <v>10</v>
      </c>
      <c r="CU30" s="275"/>
      <c r="CV30" s="275" t="s">
        <v>3527</v>
      </c>
      <c r="CW30" s="275">
        <f>[1]!modatkosoof(CW27,CW29)</f>
        <v>0.76658182642824713</v>
      </c>
      <c r="CX30" s="648">
        <f t="shared" si="136"/>
        <v>0</v>
      </c>
      <c r="CY30" s="648">
        <f t="shared" si="137"/>
        <v>45</v>
      </c>
      <c r="CZ30" s="648">
        <f t="shared" si="138"/>
        <v>59</v>
      </c>
      <c r="DA30" s="649">
        <f t="shared" si="139"/>
        <v>41</v>
      </c>
      <c r="DE30" s="1046">
        <v>23</v>
      </c>
      <c r="DF30" s="607"/>
      <c r="DG30" s="607">
        <f>[1]!sn(DG28)</f>
        <v>59.999996393190585</v>
      </c>
      <c r="DH30" s="608">
        <f t="shared" si="33"/>
        <v>59</v>
      </c>
      <c r="DI30" s="608">
        <f t="shared" si="34"/>
        <v>59</v>
      </c>
      <c r="DJ30" s="608">
        <f t="shared" si="35"/>
        <v>59</v>
      </c>
      <c r="DK30" s="1047">
        <f t="shared" si="36"/>
        <v>59</v>
      </c>
      <c r="DQ30" s="715"/>
      <c r="DR30" s="715"/>
      <c r="EM30" s="151">
        <v>23</v>
      </c>
      <c r="FE30" s="587"/>
      <c r="FF30" s="502"/>
      <c r="FG30" s="502"/>
      <c r="FH30" s="502"/>
      <c r="FI30" s="502" t="s">
        <v>1102</v>
      </c>
      <c r="FJ30" s="502">
        <f>FJ26</f>
        <v>0</v>
      </c>
      <c r="FK30" s="605">
        <f t="shared" si="190"/>
        <v>0</v>
      </c>
      <c r="FL30" s="605">
        <f t="shared" si="191"/>
        <v>0</v>
      </c>
      <c r="FM30" s="605">
        <f t="shared" si="192"/>
        <v>0</v>
      </c>
      <c r="FN30" s="605">
        <f t="shared" si="193"/>
        <v>0</v>
      </c>
      <c r="FO30" s="606" t="s">
        <v>3461</v>
      </c>
      <c r="FQ30" s="311" t="s">
        <v>2186</v>
      </c>
      <c r="FR30" s="312">
        <f>IF(OR(FR5=FR6,FR5=FR7),FR29,IF(FR4=0,FR26,FR26))</f>
        <v>-37.820158402351325</v>
      </c>
      <c r="FS30" s="149">
        <f>INT(ABS(FR30))</f>
        <v>37</v>
      </c>
      <c r="FT30" s="149">
        <f>INT((ABS(FR30)-FS30)*60)</f>
        <v>49</v>
      </c>
      <c r="FU30" s="149">
        <f>INT((((ABS(FR30)-FS30)*60)-FT30)*60)</f>
        <v>12</v>
      </c>
      <c r="GT30" s="577" t="s">
        <v>3408</v>
      </c>
      <c r="GU30" s="577" t="e">
        <f ca="1">[2]!mtasha(GU3,GU4,GU5,GU7)</f>
        <v>#NAME?</v>
      </c>
      <c r="GV30" s="578" t="e">
        <f t="shared" ca="1" si="174"/>
        <v>#NAME?</v>
      </c>
      <c r="GW30" s="578" t="e">
        <f t="shared" ca="1" si="175"/>
        <v>#NAME?</v>
      </c>
      <c r="GX30" s="578" t="e">
        <f t="shared" ca="1" si="176"/>
        <v>#NAME?</v>
      </c>
      <c r="GY30" s="578" t="e">
        <f t="shared" ca="1" si="177"/>
        <v>#NAME?</v>
      </c>
      <c r="HC30" s="280"/>
      <c r="HD30" s="226" t="e">
        <f ca="1">[2]!asn([2]!sn(HD6)*[2]!sn(HD19)/60)</f>
        <v>#NAME?</v>
      </c>
      <c r="HE30" s="226"/>
      <c r="HF30" s="226"/>
      <c r="HG30" s="227"/>
      <c r="HI30" s="280"/>
      <c r="HJ30" s="226" t="e">
        <f ca="1">[2]!asn([2]!sn(HJ6)*[2]!sn(HJ19)/60)</f>
        <v>#NAME?</v>
      </c>
      <c r="HK30" s="226"/>
      <c r="HL30" s="226"/>
      <c r="HM30" s="227"/>
      <c r="HZ30" s="630"/>
      <c r="IA30" s="630"/>
    </row>
    <row r="31" spans="1:243">
      <c r="M31" s="628">
        <v>20</v>
      </c>
      <c r="N31" s="629" t="s">
        <v>889</v>
      </c>
      <c r="O31" s="629">
        <f>[1]!taqsha(O3,O4,[1]!roz(O5,O30,0,0),O8)</f>
        <v>175.68568129359679</v>
      </c>
      <c r="P31" s="630">
        <f t="shared" si="151"/>
        <v>175</v>
      </c>
      <c r="Q31" s="630">
        <f t="shared" si="152"/>
        <v>41</v>
      </c>
      <c r="R31" s="630">
        <f t="shared" si="153"/>
        <v>8</v>
      </c>
      <c r="S31" s="630">
        <f t="shared" si="154"/>
        <v>27</v>
      </c>
      <c r="T31" s="625"/>
      <c r="U31" s="625"/>
      <c r="V31" s="625"/>
      <c r="Y31" s="625"/>
      <c r="Z31" s="625"/>
      <c r="AA31" s="625"/>
      <c r="AB31" s="625"/>
      <c r="AC31" s="629"/>
      <c r="AD31" s="669">
        <v>22</v>
      </c>
      <c r="AE31" s="629" t="s">
        <v>911</v>
      </c>
      <c r="AF31" s="629">
        <f>[1]!sn(AF11)</f>
        <v>-1.0469288809440298</v>
      </c>
      <c r="AG31" s="630">
        <f t="shared" si="91"/>
        <v>1</v>
      </c>
      <c r="AH31" s="630">
        <f t="shared" si="92"/>
        <v>2</v>
      </c>
      <c r="AI31" s="630">
        <f t="shared" si="93"/>
        <v>48</v>
      </c>
      <c r="AJ31" s="665">
        <f t="shared" si="94"/>
        <v>56</v>
      </c>
      <c r="AK31" s="625"/>
      <c r="AL31" s="620" t="s">
        <v>3514</v>
      </c>
      <c r="AM31" s="621"/>
      <c r="AN31" s="622">
        <f>INT(ABS(AM31))</f>
        <v>0</v>
      </c>
      <c r="AO31" s="622">
        <f>INT((ABS(AM31)-AN31)*60)</f>
        <v>0</v>
      </c>
      <c r="AP31" s="622">
        <f>INT((((ABS(AM31)-AN31)*60)-AO31)*60)</f>
        <v>0</v>
      </c>
      <c r="AQ31" s="682">
        <f>INT((((((ABS(AM31)-AN31)*60)-AO31)*60)-AP31)*60)</f>
        <v>0</v>
      </c>
      <c r="AR31" s="2566"/>
      <c r="AT31" s="673">
        <f>[1]!bait4(AX2,AX3,AX4,AX7,AX27,AX8)</f>
        <v>345.89354868057171</v>
      </c>
      <c r="AU31" s="674" t="s">
        <v>2232</v>
      </c>
      <c r="AV31" s="656">
        <v>17</v>
      </c>
      <c r="AW31" s="656" t="s">
        <v>387</v>
      </c>
      <c r="AX31" s="656">
        <f>[1]!taam(AX30)</f>
        <v>-3.0005241712584209E-2</v>
      </c>
      <c r="AY31" s="641">
        <f t="shared" si="194"/>
        <v>0</v>
      </c>
      <c r="AZ31" s="641">
        <f t="shared" si="195"/>
        <v>1</v>
      </c>
      <c r="BA31" s="641">
        <f t="shared" si="196"/>
        <v>48</v>
      </c>
      <c r="BB31" s="641">
        <f t="shared" si="197"/>
        <v>1.13220991818892</v>
      </c>
      <c r="BC31" s="655"/>
      <c r="BD31" s="656" t="s">
        <v>342</v>
      </c>
      <c r="BE31" s="656">
        <f>BE22+BE29</f>
        <v>33.576190130244967</v>
      </c>
      <c r="BF31" s="641">
        <f>INT(ABS(BE31))</f>
        <v>33</v>
      </c>
      <c r="BG31" s="641">
        <f>INT((ABS(BE31)-BF31)*60)</f>
        <v>34</v>
      </c>
      <c r="BH31" s="657">
        <f>INT((((ABS(BE31)-BF31)*60)-BG31)*60)</f>
        <v>34</v>
      </c>
      <c r="BI31" s="502"/>
      <c r="BJ31" s="502" t="s">
        <v>4115</v>
      </c>
      <c r="BK31" s="655">
        <f>IF(OR(BJ32=1,BJ34=1),1,-1)</f>
        <v>1</v>
      </c>
      <c r="BL31" s="656">
        <v>20</v>
      </c>
      <c r="BM31" s="656" t="s">
        <v>780</v>
      </c>
      <c r="BN31" s="656">
        <f>IF(BN30&lt;90,BN30,180-BN30)</f>
        <v>43.780049534295586</v>
      </c>
      <c r="BO31" s="641">
        <f t="shared" si="163"/>
        <v>43</v>
      </c>
      <c r="BP31" s="641">
        <f t="shared" si="164"/>
        <v>46</v>
      </c>
      <c r="BQ31" s="641">
        <f t="shared" si="165"/>
        <v>48</v>
      </c>
      <c r="BR31" s="657">
        <f t="shared" si="47"/>
        <v>10.699407846477698</v>
      </c>
      <c r="BS31" s="502"/>
      <c r="BT31" s="655">
        <v>24</v>
      </c>
      <c r="BU31" s="656" t="s">
        <v>1091</v>
      </c>
      <c r="BV31" s="656">
        <f>BV29/BV30</f>
        <v>43.772897934774775</v>
      </c>
      <c r="BW31" s="641">
        <f t="shared" si="186"/>
        <v>43</v>
      </c>
      <c r="BX31" s="641">
        <f t="shared" si="187"/>
        <v>46</v>
      </c>
      <c r="BY31" s="641">
        <f t="shared" si="188"/>
        <v>22</v>
      </c>
      <c r="BZ31" s="641">
        <f t="shared" si="189"/>
        <v>25</v>
      </c>
      <c r="CA31" s="152"/>
      <c r="CB31" s="152" t="s">
        <v>1091</v>
      </c>
      <c r="CC31" s="152">
        <f>CC30/CC8</f>
        <v>-0.91663771279531825</v>
      </c>
      <c r="CD31" s="622">
        <f t="shared" ref="CD31" si="202">INT(ABS(CC31))</f>
        <v>0</v>
      </c>
      <c r="CE31" s="622">
        <f t="shared" ref="CE31" si="203">INT((ABS(CC31)-CD31)*60)</f>
        <v>54</v>
      </c>
      <c r="CF31" s="622">
        <f t="shared" ref="CF31" si="204">INT((((ABS(CC31)-CD31)*60)-CE31)*60)</f>
        <v>59</v>
      </c>
      <c r="CG31" s="1030">
        <f t="shared" ref="CG31" si="205">INT((((((ABS(CC31)-CD31)*60)-CE31)*60)-CF31)*60)</f>
        <v>53</v>
      </c>
      <c r="CH31" s="656"/>
      <c r="CI31" s="656"/>
      <c r="CJ31" s="656"/>
      <c r="CK31" s="656"/>
      <c r="CL31" s="656"/>
      <c r="CM31" s="656"/>
      <c r="CN31" s="656">
        <v>24</v>
      </c>
      <c r="CO31" s="656" t="s">
        <v>1136</v>
      </c>
      <c r="CP31" s="656">
        <f>[1]!sn(CP30)</f>
        <v>0.10331423554610059</v>
      </c>
      <c r="CQ31" s="641">
        <f t="shared" ref="CQ31:CQ39" si="206">INT(ABS(CP31))</f>
        <v>0</v>
      </c>
      <c r="CR31" s="641">
        <f t="shared" ref="CR31:CR32" si="207">INT((ABS(CP31)-CQ31)*60)</f>
        <v>6</v>
      </c>
      <c r="CS31" s="641">
        <f t="shared" ref="CS31:CS32" si="208">INT((((ABS(CP31)-CQ31)*60)-CR31)*60)</f>
        <v>11</v>
      </c>
      <c r="CT31" s="645">
        <f t="shared" ref="CT31:CT32" si="209">INT((((((ABS(CP31)-CQ31)*60)-CR31)*60)-CS31)*60)</f>
        <v>55</v>
      </c>
      <c r="CU31" s="275"/>
      <c r="CV31" s="275" t="s">
        <v>3526</v>
      </c>
      <c r="CW31" s="275">
        <f>[1]!tasirk(CW30)</f>
        <v>275.96945751416899</v>
      </c>
      <c r="CX31" s="648">
        <f t="shared" si="136"/>
        <v>275</v>
      </c>
      <c r="CY31" s="648">
        <f t="shared" si="137"/>
        <v>58</v>
      </c>
      <c r="CZ31" s="648">
        <f t="shared" si="138"/>
        <v>10</v>
      </c>
      <c r="DA31" s="649">
        <f t="shared" si="139"/>
        <v>2</v>
      </c>
      <c r="DE31" s="1046">
        <v>24</v>
      </c>
      <c r="DF31" s="607"/>
      <c r="DG31" s="607">
        <f>DG29/DG30*60</f>
        <v>59.999993117511508</v>
      </c>
      <c r="DH31" s="608">
        <f t="shared" si="33"/>
        <v>59</v>
      </c>
      <c r="DI31" s="608">
        <f t="shared" si="34"/>
        <v>59</v>
      </c>
      <c r="DJ31" s="608">
        <f t="shared" si="35"/>
        <v>59</v>
      </c>
      <c r="DK31" s="1047">
        <f t="shared" si="36"/>
        <v>58</v>
      </c>
      <c r="DQ31" s="715"/>
      <c r="DR31" s="715"/>
      <c r="EM31" s="151">
        <v>24</v>
      </c>
      <c r="FE31" s="587"/>
      <c r="FF31" s="502"/>
      <c r="FG31" s="502"/>
      <c r="FH31" s="502"/>
      <c r="FI31" s="502" t="s">
        <v>1167</v>
      </c>
      <c r="FJ31" s="502">
        <v>0</v>
      </c>
      <c r="FK31" s="605">
        <f>INT(ABS(FJ31))</f>
        <v>0</v>
      </c>
      <c r="FL31" s="605">
        <f>INT((ABS(FJ31)-FK31)*60)</f>
        <v>0</v>
      </c>
      <c r="FM31" s="605">
        <f>INT((((ABS(FJ31)-FK31)*60)-FL31)*60)</f>
        <v>0</v>
      </c>
      <c r="FN31" s="605">
        <f>INT((((((ABS(FJ31)-FK31)*60)-FL31)*60)-FM31)*60)</f>
        <v>0</v>
      </c>
      <c r="FO31" s="606"/>
      <c r="FR31" s="151">
        <f>[1]!ertaztale(FJ9,FR3,FR4,FR5,FR6)</f>
        <v>-37.820158402351346</v>
      </c>
      <c r="GT31" s="577" t="s">
        <v>3471</v>
      </c>
      <c r="GU31" s="577" t="e">
        <f ca="1">[2]!qadrsaatsh(GU30)</f>
        <v>#NAME?</v>
      </c>
      <c r="GV31" s="578" t="e">
        <f t="shared" ca="1" si="174"/>
        <v>#NAME?</v>
      </c>
      <c r="GW31" s="578" t="e">
        <f t="shared" ca="1" si="175"/>
        <v>#NAME?</v>
      </c>
      <c r="GX31" s="578" t="e">
        <f t="shared" ca="1" si="176"/>
        <v>#NAME?</v>
      </c>
      <c r="GY31" s="578" t="e">
        <f t="shared" ca="1" si="177"/>
        <v>#NAME?</v>
      </c>
      <c r="HC31" s="280"/>
      <c r="HD31" s="226" t="e">
        <f ca="1">IF(HE22=HE19,HD30,HD30*-1)</f>
        <v>#NAME?</v>
      </c>
      <c r="HE31" s="226"/>
      <c r="HF31" s="226"/>
      <c r="HG31" s="227"/>
      <c r="HI31" s="280"/>
      <c r="HJ31" s="226" t="e">
        <f ca="1">IF(HK22=HK19,HJ30,HJ30*-1)</f>
        <v>#NAME?</v>
      </c>
      <c r="HK31" s="226"/>
      <c r="HL31" s="226"/>
      <c r="HM31" s="227"/>
    </row>
    <row r="32" spans="1:243">
      <c r="M32" s="628">
        <v>21</v>
      </c>
      <c r="N32" s="629" t="s">
        <v>890</v>
      </c>
      <c r="O32" s="629">
        <f>[1]!taqqa(O3,O4,[1]!roz(O5,O30,0,0),O8)</f>
        <v>355.69548582357299</v>
      </c>
      <c r="P32" s="630">
        <f t="shared" si="151"/>
        <v>355</v>
      </c>
      <c r="Q32" s="630">
        <f t="shared" si="152"/>
        <v>41</v>
      </c>
      <c r="R32" s="630">
        <f t="shared" si="153"/>
        <v>43</v>
      </c>
      <c r="S32" s="630">
        <f t="shared" si="154"/>
        <v>44</v>
      </c>
      <c r="T32" s="625"/>
      <c r="U32" s="625"/>
      <c r="V32" s="625"/>
      <c r="W32" s="625"/>
      <c r="X32" s="625"/>
      <c r="Y32" s="625"/>
      <c r="Z32" s="625"/>
      <c r="AA32" s="625"/>
      <c r="AB32" s="625"/>
      <c r="AC32" s="629"/>
      <c r="AD32" s="669">
        <v>23</v>
      </c>
      <c r="AE32" s="629" t="s">
        <v>787</v>
      </c>
      <c r="AF32" s="629">
        <f>AF30*AF31/60</f>
        <v>-1.0425152727427742</v>
      </c>
      <c r="AG32" s="630">
        <f t="shared" ref="AG32:AG33" si="210">INT(ABS(AF32))</f>
        <v>1</v>
      </c>
      <c r="AH32" s="630">
        <f t="shared" ref="AH32:AH33" si="211">INT((ABS(AF32)-AG32)*60)</f>
        <v>2</v>
      </c>
      <c r="AI32" s="630">
        <f t="shared" ref="AI32:AI33" si="212">INT((((ABS(AF32)-AG32)*60)-AH32)*60)</f>
        <v>33</v>
      </c>
      <c r="AJ32" s="665">
        <f t="shared" ref="AJ32:AJ33" si="213">INT((((((ABS(AF32)-AG32)*60)-AH32)*60)-AI32)*60)</f>
        <v>3</v>
      </c>
      <c r="AK32" s="625"/>
      <c r="AL32" s="620" t="s">
        <v>3519</v>
      </c>
      <c r="AM32" s="621">
        <f>[1]!bodovmakskh(AM11,AM31)</f>
        <v>6.1226129397029254</v>
      </c>
      <c r="AN32" s="621"/>
      <c r="AO32" s="621"/>
      <c r="AP32" s="621"/>
      <c r="AQ32" s="681"/>
      <c r="AR32" s="2557"/>
      <c r="AT32" s="673">
        <f>[1]!bait5(AX2,AX3,AX4,AX7,AX27,AX8)</f>
        <v>12.755680971500095</v>
      </c>
      <c r="AU32" s="674" t="s">
        <v>2230</v>
      </c>
      <c r="AV32" s="656">
        <v>18</v>
      </c>
      <c r="AW32" s="656" t="s">
        <v>4099</v>
      </c>
      <c r="AX32" s="656">
        <f>AX27+AX31</f>
        <v>21.908857671085467</v>
      </c>
      <c r="AY32" s="641">
        <f t="shared" si="194"/>
        <v>21</v>
      </c>
      <c r="AZ32" s="641">
        <f t="shared" si="195"/>
        <v>54</v>
      </c>
      <c r="BA32" s="641">
        <f t="shared" si="196"/>
        <v>31</v>
      </c>
      <c r="BB32" s="641">
        <f t="shared" si="197"/>
        <v>53.256954460968018</v>
      </c>
      <c r="BC32" s="655"/>
      <c r="BD32" s="656" t="s">
        <v>345</v>
      </c>
      <c r="BE32" s="656">
        <f>BE23+BE28</f>
        <v>203.99285679691164</v>
      </c>
      <c r="BF32" s="641">
        <f>INT(ABS(BE32))</f>
        <v>203</v>
      </c>
      <c r="BG32" s="641">
        <f>INT((ABS(BE32)-BF32)*60)</f>
        <v>59</v>
      </c>
      <c r="BH32" s="657">
        <f>INT((((ABS(BE32)-BF32)*60)-BG32)*60)</f>
        <v>34</v>
      </c>
      <c r="BI32" s="502"/>
      <c r="BJ32" s="588">
        <f>IF(BN39+180&lt;360,1,-1)</f>
        <v>1</v>
      </c>
      <c r="BK32" s="656"/>
      <c r="BL32" s="656">
        <v>21</v>
      </c>
      <c r="BM32" s="656" t="s">
        <v>918</v>
      </c>
      <c r="BN32" s="656">
        <f>[1]!sn(BN31)</f>
        <v>41.513508843397283</v>
      </c>
      <c r="BO32" s="641">
        <f t="shared" si="163"/>
        <v>41</v>
      </c>
      <c r="BP32" s="641">
        <f t="shared" si="164"/>
        <v>30</v>
      </c>
      <c r="BQ32" s="641">
        <f t="shared" si="165"/>
        <v>48</v>
      </c>
      <c r="BR32" s="657">
        <f t="shared" si="47"/>
        <v>37.910173813027086</v>
      </c>
      <c r="BS32" s="502"/>
      <c r="BT32" s="690">
        <v>25</v>
      </c>
      <c r="BU32" s="656" t="s">
        <v>4193</v>
      </c>
      <c r="BV32" s="656">
        <f>[1]!asn(BV31)</f>
        <v>46.848539716104668</v>
      </c>
      <c r="BW32" s="641">
        <f t="shared" si="186"/>
        <v>46</v>
      </c>
      <c r="BX32" s="641">
        <f t="shared" si="187"/>
        <v>50</v>
      </c>
      <c r="BY32" s="641">
        <f t="shared" si="188"/>
        <v>54</v>
      </c>
      <c r="BZ32" s="641">
        <f t="shared" si="189"/>
        <v>44</v>
      </c>
      <c r="CA32" s="152"/>
      <c r="CB32" s="152" t="s">
        <v>219</v>
      </c>
      <c r="CC32" s="152">
        <f>CC31+CC21</f>
        <v>22.570858446738676</v>
      </c>
      <c r="CD32" s="622">
        <f t="shared" ref="CD32" si="214">INT(ABS(CC32))</f>
        <v>22</v>
      </c>
      <c r="CE32" s="622">
        <f t="shared" ref="CE32" si="215">INT((ABS(CC32)-CD32)*60)</f>
        <v>34</v>
      </c>
      <c r="CF32" s="622">
        <f t="shared" ref="CF32" si="216">INT((((ABS(CC32)-CD32)*60)-CE32)*60)</f>
        <v>15</v>
      </c>
      <c r="CG32" s="1030">
        <f t="shared" ref="CG32" si="217">INT((((((ABS(CC32)-CD32)*60)-CE32)*60)-CF32)*60)</f>
        <v>5</v>
      </c>
      <c r="CH32" s="656"/>
      <c r="CI32" s="656"/>
      <c r="CJ32" s="656"/>
      <c r="CK32" s="656"/>
      <c r="CL32" s="656"/>
      <c r="CM32" s="656"/>
      <c r="CN32" s="656">
        <v>25</v>
      </c>
      <c r="CO32" s="656" t="s">
        <v>924</v>
      </c>
      <c r="CP32" s="656">
        <f>POWER(CP31,2)</f>
        <v>1.0673831266475154E-2</v>
      </c>
      <c r="CQ32" s="641">
        <f t="shared" si="206"/>
        <v>0</v>
      </c>
      <c r="CR32" s="641">
        <f t="shared" si="207"/>
        <v>0</v>
      </c>
      <c r="CS32" s="641">
        <f t="shared" si="208"/>
        <v>38</v>
      </c>
      <c r="CT32" s="645">
        <f t="shared" si="209"/>
        <v>25</v>
      </c>
      <c r="CU32" s="275"/>
      <c r="CV32" s="275"/>
      <c r="CW32" s="275" t="str">
        <f>[1]!jozeekolik(CW4,CW5,CW6,CW28,CW8,CW9)</f>
        <v>halqavi qeirmotashabeh</v>
      </c>
      <c r="CX32" s="275"/>
      <c r="CY32" s="275"/>
      <c r="CZ32" s="275"/>
      <c r="DA32" s="674"/>
      <c r="DE32" s="1046">
        <v>25</v>
      </c>
      <c r="DF32" s="607" t="s">
        <v>1093</v>
      </c>
      <c r="DG32" s="607">
        <f>[1]!asn(DG31)</f>
        <v>89.972556799656033</v>
      </c>
      <c r="DH32" s="608">
        <f t="shared" si="33"/>
        <v>89</v>
      </c>
      <c r="DI32" s="608">
        <f t="shared" si="34"/>
        <v>58</v>
      </c>
      <c r="DJ32" s="608">
        <f t="shared" si="35"/>
        <v>21</v>
      </c>
      <c r="DK32" s="1047">
        <f t="shared" si="36"/>
        <v>12</v>
      </c>
      <c r="EM32" s="151">
        <v>25</v>
      </c>
      <c r="FE32" s="587"/>
      <c r="FF32" s="502"/>
      <c r="FG32" s="502"/>
      <c r="FH32" s="502"/>
      <c r="FI32" s="502" t="s">
        <v>1102</v>
      </c>
      <c r="FJ32" s="502">
        <f>IF(FJ17=FJ15,FJ18,FJ30)</f>
        <v>0</v>
      </c>
      <c r="FK32" s="605">
        <f>INT(ABS(FJ32))</f>
        <v>0</v>
      </c>
      <c r="FL32" s="605">
        <f>INT((ABS(FJ32)-FK32)*60)</f>
        <v>0</v>
      </c>
      <c r="FM32" s="605">
        <f>INT((((ABS(FJ32)-FK32)*60)-FL32)*60)</f>
        <v>0</v>
      </c>
      <c r="FN32" s="605">
        <f>INT((((((ABS(FJ32)-FK32)*60)-FL32)*60)-FM32)*60)</f>
        <v>0</v>
      </c>
      <c r="FO32" s="606" t="s">
        <v>2255</v>
      </c>
      <c r="GT32" s="577" t="s">
        <v>3470</v>
      </c>
      <c r="GU32" s="577" t="e">
        <f ca="1">GU29-GU31</f>
        <v>#NAME?</v>
      </c>
      <c r="GV32" s="578" t="e">
        <f t="shared" ca="1" si="174"/>
        <v>#NAME?</v>
      </c>
      <c r="GW32" s="578" t="e">
        <f t="shared" ca="1" si="175"/>
        <v>#NAME?</v>
      </c>
      <c r="GX32" s="578" t="e">
        <f t="shared" ca="1" si="176"/>
        <v>#NAME?</v>
      </c>
      <c r="GY32" s="578" t="e">
        <f t="shared" ca="1" si="177"/>
        <v>#NAME?</v>
      </c>
      <c r="HC32" s="311" t="s">
        <v>2186</v>
      </c>
      <c r="HD32" s="312" t="e">
        <f ca="1">IF(OR(HD7=HD8,HD7=HD9),HD31,IF(HD6=0,HD28,HD28))</f>
        <v>#NAME?</v>
      </c>
      <c r="HE32" s="149" t="e">
        <f ca="1">INT(ABS(HD32))</f>
        <v>#NAME?</v>
      </c>
      <c r="HF32" s="149" t="e">
        <f ca="1">INT((ABS(HD32)-HE32)*60)</f>
        <v>#NAME?</v>
      </c>
      <c r="HG32" s="149" t="e">
        <f ca="1">INT((((ABS(HD32)-HE32)*60)-HF32)*60)</f>
        <v>#NAME?</v>
      </c>
      <c r="HI32" s="311" t="s">
        <v>2186</v>
      </c>
      <c r="HJ32" s="312" t="e">
        <f ca="1">IF(OR(HJ7=HJ8,HJ7=HJ9),HJ31,IF(HJ6=0,HJ28,HJ28))</f>
        <v>#NAME?</v>
      </c>
      <c r="HK32" s="149" t="e">
        <f ca="1">INT(ABS(HJ32))</f>
        <v>#NAME?</v>
      </c>
      <c r="HL32" s="149" t="e">
        <f ca="1">INT((ABS(HJ32)-HK32)*60)</f>
        <v>#NAME?</v>
      </c>
      <c r="HM32" s="149" t="e">
        <f ca="1">INT((((ABS(HJ32)-HK32)*60)-HL32)*60)</f>
        <v>#NAME?</v>
      </c>
    </row>
    <row r="33" spans="12:218">
      <c r="M33" s="628">
        <v>22</v>
      </c>
      <c r="N33" s="629" t="s">
        <v>888</v>
      </c>
      <c r="O33" s="629">
        <f>[1]!wasat(O3,O4,[1]!roz(O5,O10,0,0),O8)</f>
        <v>177.75443594954535</v>
      </c>
      <c r="P33" s="630">
        <f t="shared" si="151"/>
        <v>177</v>
      </c>
      <c r="Q33" s="630">
        <f t="shared" si="152"/>
        <v>45</v>
      </c>
      <c r="R33" s="630">
        <f t="shared" si="153"/>
        <v>15</v>
      </c>
      <c r="S33" s="630">
        <f t="shared" si="154"/>
        <v>58</v>
      </c>
      <c r="T33" s="625"/>
      <c r="U33" s="625"/>
      <c r="V33" s="625"/>
      <c r="W33" s="625"/>
      <c r="X33" s="625"/>
      <c r="Y33" s="625"/>
      <c r="Z33" s="625"/>
      <c r="AA33" s="625"/>
      <c r="AB33" s="625"/>
      <c r="AC33" s="629"/>
      <c r="AD33" s="669">
        <v>24</v>
      </c>
      <c r="AE33" s="629" t="s">
        <v>912</v>
      </c>
      <c r="AF33" s="629">
        <f>[1]!asn(AF32)</f>
        <v>-0.99557885184184669</v>
      </c>
      <c r="AG33" s="630">
        <f t="shared" si="210"/>
        <v>0</v>
      </c>
      <c r="AH33" s="630">
        <f t="shared" si="211"/>
        <v>59</v>
      </c>
      <c r="AI33" s="630">
        <f t="shared" si="212"/>
        <v>44</v>
      </c>
      <c r="AJ33" s="665">
        <f t="shared" si="213"/>
        <v>5</v>
      </c>
      <c r="AK33" s="625"/>
      <c r="AL33" s="623" t="s">
        <v>3520</v>
      </c>
      <c r="AM33" s="624">
        <f>[1]!enjelamakskh(AM11,AM31)</f>
        <v>0</v>
      </c>
      <c r="AN33" s="624">
        <f>36/60</f>
        <v>0.6</v>
      </c>
      <c r="AO33" s="624"/>
      <c r="AP33" s="624"/>
      <c r="AQ33" s="683"/>
      <c r="AR33" s="2557"/>
      <c r="AT33" s="673">
        <f>[1]!bait6(AX2,AX3,AX4,AX7,AX27,AX8)</f>
        <v>38.83703846944416</v>
      </c>
      <c r="AU33" s="674" t="s">
        <v>2228</v>
      </c>
      <c r="AV33" s="658"/>
      <c r="AW33" s="658" t="s">
        <v>2202</v>
      </c>
      <c r="AX33" s="658" t="e">
        <f ca="1">zamanejtema(AX2,AX3,AX4,AX8)</f>
        <v>#NAME?</v>
      </c>
      <c r="AY33" s="659" t="e">
        <f ca="1">INT(ABS(AX33))</f>
        <v>#NAME?</v>
      </c>
      <c r="AZ33" s="659" t="e">
        <f ca="1">INT((ABS(AX33)-AY33)*60)</f>
        <v>#NAME?</v>
      </c>
      <c r="BA33" s="659" t="e">
        <f ca="1">INT((((ABS(AX33)-AY33)*60)-AZ33)*60)</f>
        <v>#NAME?</v>
      </c>
      <c r="BB33" s="659" t="e">
        <f ca="1">((((((ABS(AX33)-AY33)*60)-AZ33)*60)-BA33)*60)</f>
        <v>#NAME?</v>
      </c>
      <c r="BC33" s="655"/>
      <c r="BD33" s="656" t="s">
        <v>343</v>
      </c>
      <c r="BE33" s="656">
        <f>BE23-BE29</f>
        <v>177.10952346357828</v>
      </c>
      <c r="BF33" s="641">
        <f>INT(ABS(BE33))</f>
        <v>177</v>
      </c>
      <c r="BG33" s="641">
        <f>INT((ABS(BE33)-BF33)*60)</f>
        <v>6</v>
      </c>
      <c r="BH33" s="657">
        <f>INT((((ABS(BE33)-BF33)*60)-BG33)*60)</f>
        <v>34</v>
      </c>
      <c r="BI33" s="502"/>
      <c r="BJ33" s="588">
        <f>IF(AND(BJ32=1,AND(BN40&gt;BN39,BN40&lt;=BN39+180)),1,-1)</f>
        <v>-1</v>
      </c>
      <c r="BK33" s="656"/>
      <c r="BL33" s="641">
        <v>22</v>
      </c>
      <c r="BM33" s="656"/>
      <c r="BN33" s="656">
        <f>BN32*[1]!csn(BN29)/60</f>
        <v>36.791100980430834</v>
      </c>
      <c r="BO33" s="641">
        <f t="shared" si="163"/>
        <v>36</v>
      </c>
      <c r="BP33" s="641">
        <f t="shared" si="164"/>
        <v>47</v>
      </c>
      <c r="BQ33" s="641">
        <f t="shared" si="165"/>
        <v>27</v>
      </c>
      <c r="BR33" s="657">
        <f t="shared" si="47"/>
        <v>57.811773060045653</v>
      </c>
      <c r="BS33" s="502"/>
      <c r="BT33" s="655">
        <v>26</v>
      </c>
      <c r="BU33" s="656" t="s">
        <v>1168</v>
      </c>
      <c r="BV33" s="1048">
        <f>BN92</f>
        <v>-38.404963981695026</v>
      </c>
      <c r="BW33" s="641">
        <f t="shared" si="186"/>
        <v>38</v>
      </c>
      <c r="BX33" s="641">
        <f t="shared" si="187"/>
        <v>24</v>
      </c>
      <c r="BY33" s="641">
        <f t="shared" si="188"/>
        <v>17</v>
      </c>
      <c r="BZ33" s="641">
        <f t="shared" si="189"/>
        <v>52</v>
      </c>
      <c r="CA33" s="152"/>
      <c r="CB33" s="152" t="s">
        <v>698</v>
      </c>
      <c r="CC33" s="152">
        <f>[1]!taqqa(CC4,CC5,[1]!roz(BE5,CC32,0,0),CC7)</f>
        <v>19.821171937304563</v>
      </c>
      <c r="CD33" s="622">
        <f t="shared" ref="CD33" si="218">INT(ABS(CC33))</f>
        <v>19</v>
      </c>
      <c r="CE33" s="622">
        <f t="shared" ref="CE33" si="219">INT((ABS(CC33)-CD33)*60)</f>
        <v>49</v>
      </c>
      <c r="CF33" s="622">
        <f t="shared" ref="CF33" si="220">INT((((ABS(CC33)-CD33)*60)-CE33)*60)</f>
        <v>16</v>
      </c>
      <c r="CG33" s="1030">
        <f t="shared" ref="CG33" si="221">INT((((((ABS(CC33)-CD33)*60)-CE33)*60)-CF33)*60)</f>
        <v>13</v>
      </c>
      <c r="CH33" s="656"/>
      <c r="CI33" s="656"/>
      <c r="CJ33" s="656"/>
      <c r="CK33" s="656"/>
      <c r="CL33" s="656"/>
      <c r="CM33" s="656"/>
      <c r="CN33" s="656">
        <v>26</v>
      </c>
      <c r="CO33" s="145" t="s">
        <v>921</v>
      </c>
      <c r="CP33" s="145">
        <f>[1]!qtrsh([1]!mtash(CC4,CC5,[1]!roz(BE5,CP16,0,0),CC7))/2</f>
        <v>0.26767044949503171</v>
      </c>
      <c r="CQ33" s="641">
        <f t="shared" si="206"/>
        <v>0</v>
      </c>
      <c r="CR33" s="641">
        <f t="shared" ref="CR33:CR36" si="222">INT((ABS(CP33)-CQ33)*60)</f>
        <v>16</v>
      </c>
      <c r="CS33" s="641">
        <f t="shared" ref="CS33:CS36" si="223">INT((((ABS(CP33)-CQ33)*60)-CR33)*60)</f>
        <v>3</v>
      </c>
      <c r="CT33" s="645">
        <f t="shared" ref="CT33:CT36" si="224">INT((((((ABS(CP33)-CQ33)*60)-CR33)*60)-CS33)*60)</f>
        <v>36</v>
      </c>
      <c r="CU33" s="275"/>
      <c r="CV33" s="275"/>
      <c r="CW33" s="275" t="str">
        <f>IF(CW26&gt;0,"طرف جنوب","طرف شمال")</f>
        <v>طرف جنوب</v>
      </c>
      <c r="CX33" s="275"/>
      <c r="CY33" s="275"/>
      <c r="CZ33" s="275"/>
      <c r="DA33" s="674"/>
      <c r="DE33" s="1046">
        <v>26</v>
      </c>
      <c r="DF33" s="1048" t="s">
        <v>1094</v>
      </c>
      <c r="DG33" s="1048">
        <f>90-DG32</f>
        <v>2.7443200343967078E-2</v>
      </c>
      <c r="DH33" s="1049">
        <f t="shared" si="33"/>
        <v>0</v>
      </c>
      <c r="DI33" s="1049">
        <f t="shared" si="34"/>
        <v>1</v>
      </c>
      <c r="DJ33" s="1049">
        <f t="shared" si="35"/>
        <v>38</v>
      </c>
      <c r="DK33" s="1050">
        <f t="shared" si="36"/>
        <v>47</v>
      </c>
      <c r="EM33" s="151">
        <v>26</v>
      </c>
      <c r="FE33" s="589"/>
      <c r="FF33" s="590"/>
      <c r="FG33" s="590"/>
      <c r="FH33" s="590"/>
      <c r="FI33" s="590" t="s">
        <v>1167</v>
      </c>
      <c r="FJ33" s="590">
        <v>0</v>
      </c>
      <c r="FK33" s="619">
        <f>INT(ABS(FJ33))</f>
        <v>0</v>
      </c>
      <c r="FL33" s="619">
        <f>INT((ABS(FJ33)-FK33)*60)</f>
        <v>0</v>
      </c>
      <c r="FM33" s="619">
        <f>INT((((ABS(FJ33)-FK33)*60)-FL33)*60)</f>
        <v>0</v>
      </c>
      <c r="FN33" s="619">
        <f>INT((((((ABS(FJ33)-FK33)*60)-FL33)*60)-FM33)*60)</f>
        <v>0</v>
      </c>
      <c r="FO33" s="615" t="s">
        <v>3432</v>
      </c>
      <c r="GT33" s="577" t="s">
        <v>1102</v>
      </c>
      <c r="GU33" s="577" t="e">
        <f ca="1">[2]!ekhtool(GU3,GU4,GU5,GU6,GU7,GU8)</f>
        <v>#NAME?</v>
      </c>
      <c r="GV33" s="578" t="e">
        <f t="shared" ca="1" si="174"/>
        <v>#NAME?</v>
      </c>
      <c r="GW33" s="578" t="e">
        <f t="shared" ca="1" si="175"/>
        <v>#NAME?</v>
      </c>
      <c r="GX33" s="578" t="e">
        <f t="shared" ca="1" si="176"/>
        <v>#NAME?</v>
      </c>
      <c r="GY33" s="578" t="e">
        <f t="shared" ca="1" si="177"/>
        <v>#NAME?</v>
      </c>
      <c r="HD33" s="151" t="e">
        <f ca="1">[2]!ertaztale(HD5,HD6,HD7,HD8)</f>
        <v>#NAME?</v>
      </c>
      <c r="HJ33" s="151" t="e">
        <f ca="1">[2]!ertaztale(HJ5,HJ6,HJ7,HJ8)</f>
        <v>#NAME?</v>
      </c>
    </row>
    <row r="34" spans="12:218" ht="24" thickBot="1">
      <c r="M34" s="628">
        <v>23</v>
      </c>
      <c r="N34" s="629" t="s">
        <v>387</v>
      </c>
      <c r="O34" s="629">
        <f>[1]!taam(O33)</f>
        <v>-0.15972623842106426</v>
      </c>
      <c r="P34" s="630">
        <f t="shared" si="151"/>
        <v>0</v>
      </c>
      <c r="Q34" s="630">
        <f t="shared" si="152"/>
        <v>9</v>
      </c>
      <c r="R34" s="630">
        <f t="shared" si="153"/>
        <v>35</v>
      </c>
      <c r="S34" s="630">
        <f t="shared" si="154"/>
        <v>0</v>
      </c>
      <c r="T34" s="625"/>
      <c r="U34" s="625"/>
      <c r="V34" s="625"/>
      <c r="W34" s="625"/>
      <c r="X34" s="625"/>
      <c r="Y34" s="625"/>
      <c r="Z34" s="625"/>
      <c r="AA34" s="625"/>
      <c r="AB34" s="625"/>
      <c r="AC34" s="629"/>
      <c r="AD34" s="669"/>
      <c r="AE34" s="629" t="s">
        <v>912</v>
      </c>
      <c r="AF34" s="629">
        <f>[1]!arzhaqiqi(AF3,AF4,O5,X4,AF7,X5)</f>
        <v>-0.99557885184184669</v>
      </c>
      <c r="AG34" s="630">
        <f t="shared" ref="AG34" si="225">INT(ABS(AF34))</f>
        <v>0</v>
      </c>
      <c r="AH34" s="630">
        <f t="shared" ref="AH34" si="226">INT((ABS(AF34)-AG34)*60)</f>
        <v>59</v>
      </c>
      <c r="AI34" s="630">
        <f t="shared" ref="AI34" si="227">INT((((ABS(AF34)-AG34)*60)-AH34)*60)</f>
        <v>44</v>
      </c>
      <c r="AJ34" s="665">
        <f t="shared" ref="AJ34" si="228">INT((((((ABS(AF34)-AG34)*60)-AH34)*60)-AI34)*60)</f>
        <v>5</v>
      </c>
      <c r="AK34" s="625"/>
      <c r="AL34" s="626"/>
      <c r="AM34" s="626">
        <f>[1]!asabeqotrj(AM22,AM23)</f>
        <v>0</v>
      </c>
      <c r="AN34" s="625"/>
      <c r="AO34" s="625"/>
      <c r="AP34" s="625"/>
      <c r="AQ34" s="660"/>
      <c r="AR34" s="2557"/>
      <c r="AT34" s="673">
        <f>[1]!bait7(AX2,AX3,AX4,AX7,AX27,AX8)</f>
        <v>63.206963081807203</v>
      </c>
      <c r="AU34" s="674" t="s">
        <v>2234</v>
      </c>
      <c r="AV34" s="641"/>
      <c r="AW34" s="641" t="s">
        <v>4150</v>
      </c>
      <c r="AX34" s="641">
        <f>BZ141</f>
        <v>0.72115585279913319</v>
      </c>
      <c r="AY34" s="641"/>
      <c r="AZ34" s="605"/>
      <c r="BA34" s="605"/>
      <c r="BB34" s="1654" t="s">
        <v>4120</v>
      </c>
      <c r="BC34" s="655">
        <v>1</v>
      </c>
      <c r="BD34" s="656"/>
      <c r="BE34" s="656" t="str">
        <f>IF(OR(AND(BE24&gt;BE31,BE24&lt;BE33),AND(BE24&gt;BE32,BE24&lt;BE30)),"امکان کسوف وجود ندارد","امکان کسوف وجود دارد")</f>
        <v>امکان کسوف وجود دارد</v>
      </c>
      <c r="BF34" s="656"/>
      <c r="BG34" s="656"/>
      <c r="BH34" s="661"/>
      <c r="BI34" s="502"/>
      <c r="BJ34" s="588">
        <f>IF(AND(BJ32=-1,OR(BN40&gt;BN39,BN40&lt;BN39-180)),1,-1)</f>
        <v>-1</v>
      </c>
      <c r="BK34" s="502">
        <f>[1]!asn([1]!sn(IF((ABS(BN9-BN18))&gt;90,180-ABS(BN9-BN18),BN9-BN18))*[1]!csn(BK28)/60)</f>
        <v>-37.820158402351325</v>
      </c>
      <c r="BL34" s="502">
        <v>23</v>
      </c>
      <c r="BM34" s="502" t="s">
        <v>1064</v>
      </c>
      <c r="BN34" s="502">
        <f>[1]!asn(BN33)</f>
        <v>37.820158402351346</v>
      </c>
      <c r="BO34" s="605">
        <f t="shared" si="163"/>
        <v>37</v>
      </c>
      <c r="BP34" s="605">
        <f t="shared" si="164"/>
        <v>49</v>
      </c>
      <c r="BQ34" s="605">
        <f t="shared" si="165"/>
        <v>12</v>
      </c>
      <c r="BR34" s="654">
        <f t="shared" si="47"/>
        <v>34.214907890775521</v>
      </c>
      <c r="BS34" s="502"/>
      <c r="BT34" s="655">
        <v>27</v>
      </c>
      <c r="BU34" s="656" t="s">
        <v>1175</v>
      </c>
      <c r="BV34" s="656">
        <f>[1]!sn(BV33)</f>
        <v>-37.272940526598511</v>
      </c>
      <c r="BW34" s="641">
        <f t="shared" si="186"/>
        <v>37</v>
      </c>
      <c r="BX34" s="641">
        <f t="shared" si="187"/>
        <v>16</v>
      </c>
      <c r="BY34" s="641">
        <f t="shared" si="188"/>
        <v>22</v>
      </c>
      <c r="BZ34" s="641">
        <f t="shared" si="189"/>
        <v>35</v>
      </c>
      <c r="CA34" s="152"/>
      <c r="CB34" s="621" t="s">
        <v>3851</v>
      </c>
      <c r="CC34" s="152">
        <f>[1]!taqmareesha(CC4,CC5,AX4,CC32,CC7,CJ11)</f>
        <v>19.444260569995659</v>
      </c>
      <c r="CD34" s="622">
        <f>INT(ABS(CC34))</f>
        <v>19</v>
      </c>
      <c r="CE34" s="622">
        <f>INT((ABS(CC34)-CD34)*60)</f>
        <v>26</v>
      </c>
      <c r="CF34" s="622">
        <f>INT((((ABS(CC34)-CD34)*60)-CE34)*60)</f>
        <v>39</v>
      </c>
      <c r="CG34" s="1030">
        <f>INT((((((ABS(CC34)-CD34)*60)-CE34)*60)-CF34)*60)</f>
        <v>20</v>
      </c>
      <c r="CH34" s="656"/>
      <c r="CI34" s="656"/>
      <c r="CJ34" s="656"/>
      <c r="CK34" s="656"/>
      <c r="CL34" s="656"/>
      <c r="CM34" s="656"/>
      <c r="CN34" s="656">
        <v>27</v>
      </c>
      <c r="CO34" s="145" t="s">
        <v>850</v>
      </c>
      <c r="CP34" s="145">
        <f>[1]!qtrq([1]!markaz3(CC4,CC5,[1]!roz(BE5,CP16,0,0),CC7))</f>
        <v>0.55438941606948011</v>
      </c>
      <c r="CQ34" s="641">
        <f t="shared" si="206"/>
        <v>0</v>
      </c>
      <c r="CR34" s="641">
        <f t="shared" si="222"/>
        <v>33</v>
      </c>
      <c r="CS34" s="641">
        <f t="shared" si="223"/>
        <v>15</v>
      </c>
      <c r="CT34" s="645">
        <f t="shared" si="224"/>
        <v>48</v>
      </c>
      <c r="CU34" s="275"/>
      <c r="CV34" s="275" t="s">
        <v>3528</v>
      </c>
      <c r="CW34" s="275">
        <f>[1]!taqqa(CW4,CW5,[1]!roz(CW6,CW27,0,0),CW8)</f>
        <v>19.868442253699293</v>
      </c>
      <c r="CX34" s="648">
        <f t="shared" ref="CX34:CX42" si="229">INT(ABS(CW34))</f>
        <v>19</v>
      </c>
      <c r="CY34" s="648">
        <f t="shared" ref="CY34:CY42" si="230">INT((ABS(CW34)-CX34)*60)</f>
        <v>52</v>
      </c>
      <c r="CZ34" s="648">
        <f t="shared" ref="CZ34:CZ42" si="231">INT((((ABS(CW34)-CX34)*60)-CY34)*60)</f>
        <v>6</v>
      </c>
      <c r="DA34" s="649">
        <f t="shared" ref="DA34:DA42" si="232">INT((((((ABS(CW34)-CX34)*60)-CY34)*60)-CZ34)*60)</f>
        <v>23</v>
      </c>
      <c r="DE34" s="1054"/>
      <c r="DF34" s="1051" t="s">
        <v>3848</v>
      </c>
      <c r="DG34" s="1051">
        <f>[1]!ekhtoolsh(DG2,DG3,DG4,DG5,DG6,DG7)</f>
        <v>2.7443200343967078E-2</v>
      </c>
      <c r="DH34" s="1052">
        <f t="shared" ref="DH34:DH35" si="233">INT(ABS(DG34))</f>
        <v>0</v>
      </c>
      <c r="DI34" s="1052">
        <f t="shared" ref="DI34:DI35" si="234">INT((ABS(DG34)-DH34)*60)</f>
        <v>1</v>
      </c>
      <c r="DJ34" s="1052">
        <f t="shared" ref="DJ34:DJ35" si="235">INT((((ABS(DG34)-DH34)*60)-DI34)*60)</f>
        <v>38</v>
      </c>
      <c r="DK34" s="1053">
        <f t="shared" ref="DK34:DK35" si="236">INT((((((ABS(DG34)-DH34)*60)-DI34)*60)-DJ34)*60)</f>
        <v>47</v>
      </c>
      <c r="FE34" s="587"/>
      <c r="FF34" s="502"/>
      <c r="FG34" s="502" t="s">
        <v>3412</v>
      </c>
      <c r="FH34" s="502"/>
      <c r="FI34" s="502"/>
      <c r="FJ34" s="502"/>
      <c r="FK34" s="605"/>
      <c r="FL34" s="605"/>
      <c r="FM34" s="605"/>
      <c r="FN34" s="605"/>
      <c r="FO34" s="606"/>
      <c r="GT34" s="577" t="s">
        <v>1091</v>
      </c>
      <c r="GU34" s="577" t="e">
        <f ca="1">GU33/GU32</f>
        <v>#NAME?</v>
      </c>
      <c r="GV34" s="578" t="e">
        <f t="shared" ca="1" si="174"/>
        <v>#NAME?</v>
      </c>
      <c r="GW34" s="578" t="e">
        <f t="shared" ca="1" si="175"/>
        <v>#NAME?</v>
      </c>
      <c r="GX34" s="578" t="e">
        <f t="shared" ca="1" si="176"/>
        <v>#NAME?</v>
      </c>
      <c r="GY34" s="578" t="e">
        <f t="shared" ca="1" si="177"/>
        <v>#NAME?</v>
      </c>
    </row>
    <row r="35" spans="12:218">
      <c r="L35" s="151" t="s">
        <v>4019</v>
      </c>
      <c r="M35" s="628"/>
      <c r="N35" s="629" t="s">
        <v>887</v>
      </c>
      <c r="O35" s="629">
        <f>O30-O34</f>
        <v>6.3008841616690825</v>
      </c>
      <c r="P35" s="630">
        <f t="shared" si="151"/>
        <v>6</v>
      </c>
      <c r="Q35" s="630">
        <f t="shared" si="152"/>
        <v>18</v>
      </c>
      <c r="R35" s="630">
        <f t="shared" si="153"/>
        <v>3</v>
      </c>
      <c r="S35" s="630">
        <f t="shared" si="154"/>
        <v>10</v>
      </c>
      <c r="T35" s="625"/>
      <c r="U35" s="625"/>
      <c r="V35" s="625"/>
      <c r="W35" s="625"/>
      <c r="X35" s="625"/>
      <c r="Y35" s="625"/>
      <c r="Z35" s="625"/>
      <c r="AA35" s="625"/>
      <c r="AB35" s="625"/>
      <c r="AC35" s="629"/>
      <c r="AD35" s="669">
        <v>25</v>
      </c>
      <c r="AE35" s="629" t="s">
        <v>913</v>
      </c>
      <c r="AF35" s="629">
        <f>90-AF29</f>
        <v>5.2629424454964777</v>
      </c>
      <c r="AG35" s="630">
        <f t="shared" ref="AG35:AG43" si="237">INT(ABS(AF35))</f>
        <v>5</v>
      </c>
      <c r="AH35" s="630">
        <f t="shared" ref="AH35:AH43" si="238">INT((ABS(AF35)-AG35)*60)</f>
        <v>15</v>
      </c>
      <c r="AI35" s="630">
        <f t="shared" ref="AI35:AI43" si="239">INT((((ABS(AF35)-AG35)*60)-AH35)*60)</f>
        <v>46</v>
      </c>
      <c r="AJ35" s="665">
        <f t="shared" ref="AJ35:AJ43" si="240">INT((((((ABS(AF35)-AG35)*60)-AH35)*60)-AI35)*60)</f>
        <v>35</v>
      </c>
      <c r="AK35" s="625"/>
      <c r="AL35" s="626"/>
      <c r="AM35" s="626"/>
      <c r="AN35" s="625"/>
      <c r="AO35" s="625"/>
      <c r="AP35" s="625"/>
      <c r="AQ35" s="660"/>
      <c r="AR35" s="2557"/>
      <c r="AT35" s="673">
        <f>[1]!bait8(AX2,AX3,AX4,AX7,AX27,AX8)</f>
        <v>95.926484146660144</v>
      </c>
      <c r="AU35" s="674" t="s">
        <v>2226</v>
      </c>
      <c r="AV35" s="502"/>
      <c r="AW35" s="502"/>
      <c r="AX35" s="502" t="s">
        <v>4159</v>
      </c>
      <c r="AY35" s="502" t="s">
        <v>4072</v>
      </c>
      <c r="AZ35" s="502"/>
      <c r="BA35" s="502"/>
      <c r="BB35" s="1655" t="s">
        <v>4125</v>
      </c>
      <c r="BC35" s="655"/>
      <c r="BD35" s="656"/>
      <c r="BE35" s="656" t="str">
        <f>IF(AND(BE21="رویت کسوف ممکن است",BE34="امکان کسوف وجود دارد"),"کسوف ممکن و مرئی است","کسوف ممکن و مرئی  نیست")</f>
        <v>کسوف ممکن و مرئی  نیست</v>
      </c>
      <c r="BF35" s="656"/>
      <c r="BG35" s="656"/>
      <c r="BH35" s="661"/>
      <c r="BI35" s="502"/>
      <c r="BJ35" s="502"/>
      <c r="BK35" s="655" t="e">
        <f ca="1">ertsh(AX2,AX3,AX4,AX8,BN11)</f>
        <v>#NAME?</v>
      </c>
      <c r="BL35" s="656">
        <v>24</v>
      </c>
      <c r="BM35" s="656" t="s">
        <v>1066</v>
      </c>
      <c r="BN35" s="656">
        <f>[1]!hesseha(BN3,BN4,BN5,BN6)</f>
        <v>4.1306877816744869</v>
      </c>
      <c r="BO35" s="641">
        <f t="shared" si="163"/>
        <v>4</v>
      </c>
      <c r="BP35" s="641">
        <f t="shared" si="164"/>
        <v>7</v>
      </c>
      <c r="BQ35" s="641">
        <f t="shared" si="165"/>
        <v>50</v>
      </c>
      <c r="BR35" s="657">
        <f t="shared" si="47"/>
        <v>28.560841689173344</v>
      </c>
      <c r="BS35" s="502"/>
      <c r="BT35" s="690">
        <v>28</v>
      </c>
      <c r="BU35" s="656" t="s">
        <v>1098</v>
      </c>
      <c r="BV35" s="656">
        <f>[1]!csn(BV32)</f>
        <v>41.035757655876054</v>
      </c>
      <c r="BW35" s="641">
        <f t="shared" si="186"/>
        <v>41</v>
      </c>
      <c r="BX35" s="641">
        <f t="shared" si="187"/>
        <v>2</v>
      </c>
      <c r="BY35" s="641">
        <f t="shared" si="188"/>
        <v>8</v>
      </c>
      <c r="BZ35" s="641">
        <f t="shared" si="189"/>
        <v>43</v>
      </c>
      <c r="CA35" s="152"/>
      <c r="CB35" s="152" t="s">
        <v>279</v>
      </c>
      <c r="CC35" s="152">
        <f>[1]!tale3(CC4,AX7,CC34,CC32)</f>
        <v>251.1007022290741</v>
      </c>
      <c r="CD35" s="622">
        <f t="shared" ref="CD35:CD41" si="241">INT(ABS(CC35))</f>
        <v>251</v>
      </c>
      <c r="CE35" s="622">
        <f t="shared" ref="CE35:CE41" si="242">INT((ABS(CC35)-CD35)*60)</f>
        <v>6</v>
      </c>
      <c r="CF35" s="622">
        <f t="shared" ref="CF35:CF41" si="243">INT((((ABS(CC35)-CD35)*60)-CE35)*60)</f>
        <v>2</v>
      </c>
      <c r="CG35" s="1030">
        <f t="shared" ref="CG35:CG41" si="244">INT((((((ABS(CC35)-CD35)*60)-CE35)*60)-CF35)*60)</f>
        <v>31</v>
      </c>
      <c r="CH35" s="656"/>
      <c r="CI35" s="656"/>
      <c r="CJ35" s="656"/>
      <c r="CK35" s="656"/>
      <c r="CL35" s="656"/>
      <c r="CM35" s="656"/>
      <c r="CN35" s="656">
        <v>28</v>
      </c>
      <c r="CO35" s="145" t="s">
        <v>402</v>
      </c>
      <c r="CP35" s="145">
        <f>[1]!oujq(CC4,CC5,[1]!roz(BE5,CP24,0,0),CC7)</f>
        <v>171.14541645359259</v>
      </c>
      <c r="CQ35" s="641">
        <f t="shared" si="206"/>
        <v>171</v>
      </c>
      <c r="CR35" s="641">
        <f t="shared" si="222"/>
        <v>8</v>
      </c>
      <c r="CS35" s="641">
        <f t="shared" si="223"/>
        <v>43</v>
      </c>
      <c r="CT35" s="645">
        <f t="shared" si="224"/>
        <v>29</v>
      </c>
      <c r="CU35" s="275"/>
      <c r="CV35" s="275" t="s">
        <v>3529</v>
      </c>
      <c r="CW35" s="275">
        <f>[1]!taqqa(CW4,CW5,[1]!roz(CW6,CW28,0,0),CW8)</f>
        <v>20.11519150577714</v>
      </c>
      <c r="CX35" s="648">
        <f t="shared" si="229"/>
        <v>20</v>
      </c>
      <c r="CY35" s="648">
        <f t="shared" si="230"/>
        <v>6</v>
      </c>
      <c r="CZ35" s="648">
        <f t="shared" si="231"/>
        <v>54</v>
      </c>
      <c r="DA35" s="649">
        <f t="shared" si="232"/>
        <v>41</v>
      </c>
      <c r="DE35" s="77"/>
      <c r="DF35" s="77" t="s">
        <v>3850</v>
      </c>
      <c r="DG35" s="77">
        <f>[1]!taqmareesh(DG2,DG3,DG4,DG5,DG6,DG7)</f>
        <v>19.417013108335507</v>
      </c>
      <c r="DH35" s="608">
        <f t="shared" si="233"/>
        <v>19</v>
      </c>
      <c r="DI35" s="608">
        <f t="shared" si="234"/>
        <v>25</v>
      </c>
      <c r="DJ35" s="608">
        <f t="shared" si="235"/>
        <v>1</v>
      </c>
      <c r="DK35" s="1047">
        <f t="shared" si="236"/>
        <v>14</v>
      </c>
      <c r="FE35" s="587"/>
      <c r="FF35" s="502"/>
      <c r="FG35" s="502"/>
      <c r="FH35" s="502" t="s">
        <v>3413</v>
      </c>
      <c r="FI35" s="502"/>
      <c r="FJ35" s="502"/>
      <c r="FK35" s="605"/>
      <c r="FL35" s="605"/>
      <c r="FM35" s="605"/>
      <c r="FN35" s="605"/>
      <c r="FO35" s="606"/>
      <c r="GT35" s="577" t="s">
        <v>3473</v>
      </c>
      <c r="GU35" s="577" t="e">
        <f ca="1">IF(GU24&lt;GU23,GU17+GU34,GU17-GU34)</f>
        <v>#NAME?</v>
      </c>
      <c r="GV35" s="578" t="e">
        <f t="shared" ca="1" si="174"/>
        <v>#NAME?</v>
      </c>
      <c r="GW35" s="578" t="e">
        <f t="shared" ca="1" si="175"/>
        <v>#NAME?</v>
      </c>
      <c r="GX35" s="578" t="e">
        <f t="shared" ca="1" si="176"/>
        <v>#NAME?</v>
      </c>
      <c r="GY35" s="578" t="e">
        <f t="shared" ca="1" si="177"/>
        <v>#NAME?</v>
      </c>
    </row>
    <row r="36" spans="12:218">
      <c r="M36" s="628"/>
      <c r="N36" s="625"/>
      <c r="O36" s="625">
        <f>[1]!tzaman(INT([1]!wasat(O3,O4,O5,O8)))</f>
        <v>2.2994479702203578E-2</v>
      </c>
      <c r="P36" s="630">
        <f t="shared" si="151"/>
        <v>0</v>
      </c>
      <c r="Q36" s="630">
        <f t="shared" si="152"/>
        <v>1</v>
      </c>
      <c r="R36" s="630">
        <f t="shared" si="153"/>
        <v>22</v>
      </c>
      <c r="S36" s="630">
        <f t="shared" si="154"/>
        <v>46</v>
      </c>
      <c r="T36" s="625"/>
      <c r="U36" s="625"/>
      <c r="V36" s="625"/>
      <c r="W36" s="625"/>
      <c r="X36" s="626"/>
      <c r="Y36" s="626"/>
      <c r="Z36" s="626"/>
      <c r="AA36" s="626"/>
      <c r="AB36" s="626"/>
      <c r="AC36" s="629"/>
      <c r="AD36" s="669">
        <v>26</v>
      </c>
      <c r="AE36" s="629" t="s">
        <v>918</v>
      </c>
      <c r="AF36" s="629">
        <f>[1]!sn(AF35)</f>
        <v>5.5035934197887642</v>
      </c>
      <c r="AG36" s="630">
        <f t="shared" si="237"/>
        <v>5</v>
      </c>
      <c r="AH36" s="630">
        <f t="shared" si="238"/>
        <v>30</v>
      </c>
      <c r="AI36" s="630">
        <f t="shared" si="239"/>
        <v>12</v>
      </c>
      <c r="AJ36" s="665">
        <f t="shared" si="240"/>
        <v>56</v>
      </c>
      <c r="AK36" s="626"/>
      <c r="AL36" s="625"/>
      <c r="AM36" s="625"/>
      <c r="AN36" s="625"/>
      <c r="AO36" s="625"/>
      <c r="AP36" s="625"/>
      <c r="AQ36" s="660"/>
      <c r="AR36" s="2557"/>
      <c r="AT36" s="673">
        <f>[1]!bait9(AX2,AX3,AX4,AX7,AX27,AX8)</f>
        <v>129.30157796562196</v>
      </c>
      <c r="AU36" s="674" t="s">
        <v>2224</v>
      </c>
      <c r="AV36" s="502"/>
      <c r="AW36" s="502"/>
      <c r="AX36" s="502"/>
      <c r="AY36" s="502"/>
      <c r="AZ36" s="502"/>
      <c r="BA36" s="502"/>
      <c r="BB36" s="1655" t="s">
        <v>4126</v>
      </c>
      <c r="BC36" s="655"/>
      <c r="BD36" s="656"/>
      <c r="BE36" s="656" t="e">
        <f ca="1">emkankosoof(AX2,AX3,AX4,AX8,BE10)</f>
        <v>#NAME?</v>
      </c>
      <c r="BF36" s="656"/>
      <c r="BG36" s="656"/>
      <c r="BH36" s="661"/>
      <c r="BI36" s="502"/>
      <c r="BJ36" s="502"/>
      <c r="BK36" s="655"/>
      <c r="BL36" s="641">
        <v>25</v>
      </c>
      <c r="BM36" s="656" t="s">
        <v>416</v>
      </c>
      <c r="BN36" s="656">
        <f>[1]!arzqmr(BN35)</f>
        <v>0.36115740311873984</v>
      </c>
      <c r="BO36" s="641">
        <f t="shared" si="163"/>
        <v>0</v>
      </c>
      <c r="BP36" s="641">
        <f t="shared" si="164"/>
        <v>21</v>
      </c>
      <c r="BQ36" s="641">
        <f t="shared" si="165"/>
        <v>40</v>
      </c>
      <c r="BR36" s="657">
        <f t="shared" si="47"/>
        <v>9.9990736478076769</v>
      </c>
      <c r="BS36" s="502"/>
      <c r="BT36" s="655">
        <v>29</v>
      </c>
      <c r="BU36" s="656" t="s">
        <v>1091</v>
      </c>
      <c r="BV36" s="656">
        <f>BV34/BV35</f>
        <v>-0.90830394406672466</v>
      </c>
      <c r="BW36" s="641">
        <f t="shared" si="186"/>
        <v>0</v>
      </c>
      <c r="BX36" s="641">
        <f t="shared" si="187"/>
        <v>54</v>
      </c>
      <c r="BY36" s="641">
        <f t="shared" si="188"/>
        <v>29</v>
      </c>
      <c r="BZ36" s="641">
        <f t="shared" si="189"/>
        <v>53</v>
      </c>
      <c r="CA36" s="152"/>
      <c r="CB36" s="621" t="s">
        <v>1063</v>
      </c>
      <c r="CC36" s="152">
        <f>IF(ABS(CC35-CC34)&lt;180,ABS(CC35-CC34),ABS(360-CC35-CC34))</f>
        <v>89.455037200930235</v>
      </c>
      <c r="CD36" s="622">
        <f t="shared" si="241"/>
        <v>89</v>
      </c>
      <c r="CE36" s="622">
        <f t="shared" si="242"/>
        <v>27</v>
      </c>
      <c r="CF36" s="622">
        <f t="shared" si="243"/>
        <v>18</v>
      </c>
      <c r="CG36" s="1030">
        <f t="shared" si="244"/>
        <v>8</v>
      </c>
      <c r="CH36" s="656"/>
      <c r="CI36" s="656"/>
      <c r="CJ36" s="656"/>
      <c r="CK36" s="656"/>
      <c r="CL36" s="656"/>
      <c r="CM36" s="656"/>
      <c r="CN36" s="656">
        <v>29</v>
      </c>
      <c r="CO36" s="145" t="s">
        <v>378</v>
      </c>
      <c r="CP36" s="145">
        <f>[1]!taqsh(CC4,CC5,[1]!roz(BE5,CP24,0,0),CC7)</f>
        <v>19.162659495444352</v>
      </c>
      <c r="CQ36" s="641">
        <f t="shared" si="206"/>
        <v>19</v>
      </c>
      <c r="CR36" s="641">
        <f t="shared" si="222"/>
        <v>9</v>
      </c>
      <c r="CS36" s="641">
        <f t="shared" si="223"/>
        <v>45</v>
      </c>
      <c r="CT36" s="645">
        <f t="shared" si="224"/>
        <v>34</v>
      </c>
      <c r="CU36" s="275"/>
      <c r="CV36" s="275"/>
      <c r="CW36" s="275">
        <f>CW35-CW34</f>
        <v>0.24674925207784781</v>
      </c>
      <c r="CX36" s="648">
        <f t="shared" si="229"/>
        <v>0</v>
      </c>
      <c r="CY36" s="648">
        <f t="shared" si="230"/>
        <v>14</v>
      </c>
      <c r="CZ36" s="648">
        <f t="shared" si="231"/>
        <v>48</v>
      </c>
      <c r="DA36" s="649">
        <f t="shared" si="232"/>
        <v>17</v>
      </c>
      <c r="FE36" s="587"/>
      <c r="FF36" s="502"/>
      <c r="FG36" s="502"/>
      <c r="FH36" s="502"/>
      <c r="FI36" s="502" t="s">
        <v>1102</v>
      </c>
      <c r="FJ36" s="502">
        <v>0</v>
      </c>
      <c r="FK36" s="605">
        <f t="shared" ref="FK36:FK46" si="245">INT(ABS(FJ36))</f>
        <v>0</v>
      </c>
      <c r="FL36" s="605">
        <f t="shared" ref="FL36:FL46" si="246">INT((ABS(FJ36)-FK36)*60)</f>
        <v>0</v>
      </c>
      <c r="FM36" s="605">
        <f t="shared" ref="FM36:FM46" si="247">INT((((ABS(FJ36)-FK36)*60)-FL36)*60)</f>
        <v>0</v>
      </c>
      <c r="FN36" s="605">
        <f t="shared" ref="FN36:FN46" si="248">INT((((((ABS(FJ36)-FK36)*60)-FL36)*60)-FM36)*60)</f>
        <v>0</v>
      </c>
      <c r="FO36" s="606"/>
      <c r="GT36" s="577"/>
      <c r="GU36" s="577" t="e">
        <f ca="1">GU35-GU16</f>
        <v>#NAME?</v>
      </c>
      <c r="GV36" s="578" t="e">
        <f t="shared" ca="1" si="174"/>
        <v>#NAME?</v>
      </c>
      <c r="GW36" s="578" t="e">
        <f t="shared" ca="1" si="175"/>
        <v>#NAME?</v>
      </c>
      <c r="GX36" s="578" t="e">
        <f t="shared" ca="1" si="176"/>
        <v>#NAME?</v>
      </c>
      <c r="GY36" s="578" t="e">
        <f t="shared" ca="1" si="177"/>
        <v>#NAME?</v>
      </c>
    </row>
    <row r="37" spans="12:218">
      <c r="M37" s="632"/>
      <c r="N37" s="625" t="s">
        <v>3973</v>
      </c>
      <c r="O37" s="625">
        <f>[1]!saatrasmi(O3,O4,[1]!roz(O5,O35,0,0))</f>
        <v>6.2409230457728171</v>
      </c>
      <c r="P37" s="630">
        <f t="shared" si="151"/>
        <v>6</v>
      </c>
      <c r="Q37" s="630">
        <f t="shared" si="152"/>
        <v>14</v>
      </c>
      <c r="R37" s="630">
        <f t="shared" si="153"/>
        <v>27</v>
      </c>
      <c r="S37" s="630">
        <f t="shared" si="154"/>
        <v>19</v>
      </c>
      <c r="T37" s="625"/>
      <c r="U37" s="625"/>
      <c r="V37" s="625">
        <f>AF65</f>
        <v>1.1565793714485182</v>
      </c>
      <c r="W37" s="630">
        <f t="shared" ref="W37" si="249">INT(ABS(V37))</f>
        <v>1</v>
      </c>
      <c r="X37" s="630">
        <f t="shared" ref="X37" si="250">INT((ABS(V37)-W37)*60)</f>
        <v>9</v>
      </c>
      <c r="Y37" s="625"/>
      <c r="Z37" s="626"/>
      <c r="AA37" s="626"/>
      <c r="AB37" s="626"/>
      <c r="AC37" s="629"/>
      <c r="AD37" s="669">
        <v>27</v>
      </c>
      <c r="AE37" s="629" t="s">
        <v>787</v>
      </c>
      <c r="AF37" s="629">
        <f>AF36*[1]!sn(ABS(AF33))/60</f>
        <v>9.5626336584940352E-2</v>
      </c>
      <c r="AG37" s="630">
        <f t="shared" si="237"/>
        <v>0</v>
      </c>
      <c r="AH37" s="630">
        <f t="shared" si="238"/>
        <v>5</v>
      </c>
      <c r="AI37" s="630">
        <f t="shared" si="239"/>
        <v>44</v>
      </c>
      <c r="AJ37" s="665">
        <f t="shared" si="240"/>
        <v>15</v>
      </c>
      <c r="AK37" s="625"/>
      <c r="AL37" s="626"/>
      <c r="AM37" s="626"/>
      <c r="AN37" s="625"/>
      <c r="AO37" s="625"/>
      <c r="AP37" s="625"/>
      <c r="AQ37" s="660"/>
      <c r="AR37" s="2557"/>
      <c r="AT37" s="673">
        <f>BN19</f>
        <v>165.89487157271435</v>
      </c>
      <c r="AU37" s="674" t="s">
        <v>2233</v>
      </c>
      <c r="AV37" s="502"/>
      <c r="AW37" s="502"/>
      <c r="AX37" s="502"/>
      <c r="AY37" s="502"/>
      <c r="AZ37" s="502"/>
      <c r="BA37" s="502"/>
      <c r="BB37" s="1655" t="s">
        <v>4127</v>
      </c>
      <c r="BC37" s="655"/>
      <c r="BD37" s="656"/>
      <c r="BE37" s="656" t="s">
        <v>3406</v>
      </c>
      <c r="BF37" s="656"/>
      <c r="BG37" s="656"/>
      <c r="BH37" s="661"/>
      <c r="BI37" s="502"/>
      <c r="BJ37" s="502"/>
      <c r="BK37" s="655"/>
      <c r="BL37" s="656">
        <v>26</v>
      </c>
      <c r="BM37" s="656" t="s">
        <v>1068</v>
      </c>
      <c r="BN37" s="656">
        <f>90-ABS(BN36)</f>
        <v>89.638842596881261</v>
      </c>
      <c r="BO37" s="641">
        <f t="shared" si="163"/>
        <v>89</v>
      </c>
      <c r="BP37" s="641">
        <f t="shared" si="164"/>
        <v>38</v>
      </c>
      <c r="BQ37" s="641">
        <f t="shared" si="165"/>
        <v>19</v>
      </c>
      <c r="BR37" s="657">
        <f t="shared" si="47"/>
        <v>50.000926352422539</v>
      </c>
      <c r="BS37" s="502"/>
      <c r="BT37" s="655">
        <f>[1]!asn([1]!sn(BV33)*60/BV35)</f>
        <v>-65.272011422220089</v>
      </c>
      <c r="BU37" s="656" t="s">
        <v>4194</v>
      </c>
      <c r="BV37" s="656">
        <f>IF(AND(BV25&gt;BN29,BK29=BK30),180-[1]!asn(BV36*60),[1]!asn(BV36*60))</f>
        <v>-65.272011422220089</v>
      </c>
      <c r="BW37" s="641">
        <f t="shared" si="186"/>
        <v>65</v>
      </c>
      <c r="BX37" s="641">
        <f t="shared" si="187"/>
        <v>16</v>
      </c>
      <c r="BY37" s="641">
        <f t="shared" si="188"/>
        <v>19</v>
      </c>
      <c r="BZ37" s="641">
        <f t="shared" si="189"/>
        <v>14</v>
      </c>
      <c r="CA37" s="152"/>
      <c r="CB37" s="152" t="s">
        <v>416</v>
      </c>
      <c r="CC37" s="152">
        <f>[1]!arzq([1]!hesseha(CC4,CC5,[1]!roz(BE5,CC32,0,0),CC7))</f>
        <v>0.39768980978378904</v>
      </c>
      <c r="CD37" s="622">
        <f t="shared" si="241"/>
        <v>0</v>
      </c>
      <c r="CE37" s="622">
        <f t="shared" si="242"/>
        <v>23</v>
      </c>
      <c r="CF37" s="622">
        <f t="shared" si="243"/>
        <v>51</v>
      </c>
      <c r="CG37" s="1030">
        <f t="shared" si="244"/>
        <v>40</v>
      </c>
      <c r="CH37" s="656"/>
      <c r="CI37" s="656"/>
      <c r="CJ37" s="656"/>
      <c r="CK37" s="656"/>
      <c r="CL37" s="656"/>
      <c r="CM37" s="656"/>
      <c r="CN37" s="656">
        <v>30</v>
      </c>
      <c r="CO37" s="145" t="s">
        <v>3822</v>
      </c>
      <c r="CP37" s="145">
        <f>IF(CP35-CP36&gt;0,CP35-CP36,CP35-CP36+360)</f>
        <v>151.98275695814823</v>
      </c>
      <c r="CQ37" s="641">
        <f t="shared" si="206"/>
        <v>151</v>
      </c>
      <c r="CR37" s="641">
        <f t="shared" ref="CR37:CR39" si="251">INT((ABS(CP37)-CQ37)*60)</f>
        <v>58</v>
      </c>
      <c r="CS37" s="641">
        <f t="shared" ref="CS37:CS39" si="252">INT((((ABS(CP37)-CQ37)*60)-CR37)*60)</f>
        <v>57</v>
      </c>
      <c r="CT37" s="645">
        <f t="shared" ref="CT37:CT39" si="253">INT((((((ABS(CP37)-CQ37)*60)-CR37)*60)-CS37)*60)</f>
        <v>55</v>
      </c>
      <c r="CU37" s="275"/>
      <c r="CV37" s="275"/>
      <c r="CW37" s="275">
        <f>[1]!qtrsh([1]!mtasha(CW4,CW5,[1]!roz(CW6,CW28,0,0),CW8))</f>
        <v>0.53532708407578511</v>
      </c>
      <c r="CX37" s="648">
        <f t="shared" si="229"/>
        <v>0</v>
      </c>
      <c r="CY37" s="648">
        <f t="shared" si="230"/>
        <v>32</v>
      </c>
      <c r="CZ37" s="648">
        <f t="shared" si="231"/>
        <v>7</v>
      </c>
      <c r="DA37" s="649">
        <f t="shared" si="232"/>
        <v>10</v>
      </c>
      <c r="FE37" s="589"/>
      <c r="FF37" s="590"/>
      <c r="FG37" s="590"/>
      <c r="FH37" s="590"/>
      <c r="FI37" s="590" t="s">
        <v>1167</v>
      </c>
      <c r="FJ37" s="590">
        <f>FJ26</f>
        <v>0</v>
      </c>
      <c r="FK37" s="619">
        <f t="shared" si="245"/>
        <v>0</v>
      </c>
      <c r="FL37" s="619">
        <f t="shared" si="246"/>
        <v>0</v>
      </c>
      <c r="FM37" s="619">
        <f t="shared" si="247"/>
        <v>0</v>
      </c>
      <c r="FN37" s="619">
        <f t="shared" si="248"/>
        <v>0</v>
      </c>
      <c r="FO37" s="615" t="s">
        <v>349</v>
      </c>
      <c r="GT37" s="577" t="s">
        <v>378</v>
      </c>
      <c r="GU37" s="577" t="e">
        <f ca="1">[2]!taqsha(GU3,GU4,[2]!roz(GU5,GU36,0,0),GU7)</f>
        <v>#NAME?</v>
      </c>
      <c r="GV37" s="578" t="e">
        <f t="shared" ca="1" si="174"/>
        <v>#NAME?</v>
      </c>
      <c r="GW37" s="578" t="e">
        <f t="shared" ca="1" si="175"/>
        <v>#NAME?</v>
      </c>
      <c r="GX37" s="578" t="e">
        <f t="shared" ca="1" si="176"/>
        <v>#NAME?</v>
      </c>
      <c r="GY37" s="578" t="e">
        <f t="shared" ca="1" si="177"/>
        <v>#NAME?</v>
      </c>
    </row>
    <row r="38" spans="12:218">
      <c r="M38" s="632"/>
      <c r="N38" s="625"/>
      <c r="O38" s="625"/>
      <c r="P38" s="625"/>
      <c r="Q38" s="625"/>
      <c r="R38" s="625"/>
      <c r="S38" s="625"/>
      <c r="T38" s="625"/>
      <c r="U38" s="625"/>
      <c r="V38" s="625">
        <f>AF98</f>
        <v>0.51100043672006235</v>
      </c>
      <c r="W38" s="630">
        <f t="shared" ref="W38" si="254">INT(ABS(V38))</f>
        <v>0</v>
      </c>
      <c r="X38" s="630">
        <f t="shared" ref="X38" si="255">INT((ABS(V38)-W38)*60)</f>
        <v>30</v>
      </c>
      <c r="Y38" s="626"/>
      <c r="Z38" s="626"/>
      <c r="AA38" s="626"/>
      <c r="AB38" s="626"/>
      <c r="AC38" s="629"/>
      <c r="AD38" s="669">
        <v>28</v>
      </c>
      <c r="AE38" s="629" t="s">
        <v>944</v>
      </c>
      <c r="AF38" s="629">
        <f>AF37/[1]!sabqq(AF3,AF4,[1]!roz(AF5,AF6,0,0),AF7)</f>
        <v>0.16111063479821905</v>
      </c>
      <c r="AG38" s="630">
        <f t="shared" si="237"/>
        <v>0</v>
      </c>
      <c r="AH38" s="630">
        <f t="shared" si="238"/>
        <v>9</v>
      </c>
      <c r="AI38" s="630">
        <f t="shared" si="239"/>
        <v>39</v>
      </c>
      <c r="AJ38" s="665">
        <f t="shared" si="240"/>
        <v>59</v>
      </c>
      <c r="AK38" s="625"/>
      <c r="AL38" s="625"/>
      <c r="AM38" s="625"/>
      <c r="AN38" s="625"/>
      <c r="AO38" s="625"/>
      <c r="AP38" s="625"/>
      <c r="AQ38" s="660"/>
      <c r="AR38" s="2557"/>
      <c r="AT38" s="673">
        <f>[1]!bait11(AX2,AX3,AX4,AX7,AX27,AX8)</f>
        <v>192.75568097150008</v>
      </c>
      <c r="AU38" s="674" t="s">
        <v>2231</v>
      </c>
      <c r="AV38" s="502"/>
      <c r="AW38" s="502"/>
      <c r="AX38" s="502" t="s">
        <v>4192</v>
      </c>
      <c r="AY38" s="502">
        <v>0.52</v>
      </c>
      <c r="AZ38" s="502"/>
      <c r="BA38" s="502"/>
      <c r="BB38" s="1655" t="s">
        <v>4128</v>
      </c>
      <c r="BC38" s="655"/>
      <c r="BD38" s="656"/>
      <c r="BE38" s="656" t="s">
        <v>3523</v>
      </c>
      <c r="BF38" s="656"/>
      <c r="BG38" s="656"/>
      <c r="BH38" s="661"/>
      <c r="BI38" s="502"/>
      <c r="BJ38" s="502"/>
      <c r="BK38" s="655"/>
      <c r="BL38" s="656">
        <v>27</v>
      </c>
      <c r="BM38" s="656" t="s">
        <v>1069</v>
      </c>
      <c r="BN38" s="656">
        <f>[1]!sn(BN37)</f>
        <v>59.998808023769499</v>
      </c>
      <c r="BO38" s="641">
        <f t="shared" si="163"/>
        <v>59</v>
      </c>
      <c r="BP38" s="641">
        <f t="shared" si="164"/>
        <v>59</v>
      </c>
      <c r="BQ38" s="641">
        <f t="shared" si="165"/>
        <v>55</v>
      </c>
      <c r="BR38" s="657">
        <f t="shared" si="47"/>
        <v>42.533134211726065</v>
      </c>
      <c r="BS38" s="502"/>
      <c r="BT38" s="690">
        <v>31</v>
      </c>
      <c r="BU38" s="656" t="s">
        <v>1099</v>
      </c>
      <c r="BV38" s="656">
        <f>IF(ABS(BN28-BV37)&lt;180,ABS(BN28-BV37),360-ABS(BN28-BV37))</f>
        <v>127.67701916103795</v>
      </c>
      <c r="BW38" s="641">
        <f t="shared" si="186"/>
        <v>127</v>
      </c>
      <c r="BX38" s="641">
        <f t="shared" si="187"/>
        <v>40</v>
      </c>
      <c r="BY38" s="641">
        <f t="shared" si="188"/>
        <v>37</v>
      </c>
      <c r="BZ38" s="641">
        <f t="shared" si="189"/>
        <v>16</v>
      </c>
      <c r="CA38" s="152"/>
      <c r="CB38" s="152" t="s">
        <v>3497</v>
      </c>
      <c r="CC38" s="152">
        <f>[1]!ertmaree(CC4,CC5,BE5,CC32,CC7,CP18)</f>
        <v>-42.410941579265909</v>
      </c>
      <c r="CD38" s="622">
        <f t="shared" si="241"/>
        <v>42</v>
      </c>
      <c r="CE38" s="622">
        <f t="shared" si="242"/>
        <v>24</v>
      </c>
      <c r="CF38" s="622">
        <f t="shared" si="243"/>
        <v>39</v>
      </c>
      <c r="CG38" s="1030">
        <f t="shared" si="244"/>
        <v>23</v>
      </c>
      <c r="CH38" s="656"/>
      <c r="CI38" s="656"/>
      <c r="CJ38" s="656"/>
      <c r="CK38" s="656"/>
      <c r="CL38" s="656"/>
      <c r="CM38" s="656"/>
      <c r="CN38" s="656">
        <v>31</v>
      </c>
      <c r="CO38" s="145" t="s">
        <v>1025</v>
      </c>
      <c r="CP38" s="145">
        <f>[1]!markaz3(CC4,CC5,[1]!roz(BE5,CP24,0,0),CC7)</f>
        <v>204.25633875514683</v>
      </c>
      <c r="CQ38" s="641">
        <f t="shared" si="206"/>
        <v>204</v>
      </c>
      <c r="CR38" s="641">
        <f t="shared" si="251"/>
        <v>15</v>
      </c>
      <c r="CS38" s="641">
        <f t="shared" si="252"/>
        <v>22</v>
      </c>
      <c r="CT38" s="645">
        <f t="shared" si="253"/>
        <v>49</v>
      </c>
      <c r="CU38" s="275"/>
      <c r="CV38" s="275"/>
      <c r="CW38" s="275">
        <f>CW36-CW37</f>
        <v>-0.2885778319979373</v>
      </c>
      <c r="CX38" s="648">
        <f t="shared" si="229"/>
        <v>0</v>
      </c>
      <c r="CY38" s="648">
        <f t="shared" si="230"/>
        <v>17</v>
      </c>
      <c r="CZ38" s="648">
        <f t="shared" si="231"/>
        <v>18</v>
      </c>
      <c r="DA38" s="649">
        <f t="shared" si="232"/>
        <v>52</v>
      </c>
      <c r="FE38" s="587"/>
      <c r="FF38" s="502"/>
      <c r="FG38" s="502"/>
      <c r="FH38" s="502" t="s">
        <v>3414</v>
      </c>
      <c r="FI38" s="502"/>
      <c r="FJ38" s="502"/>
      <c r="FK38" s="605">
        <f t="shared" si="245"/>
        <v>0</v>
      </c>
      <c r="FL38" s="605">
        <f t="shared" si="246"/>
        <v>0</v>
      </c>
      <c r="FM38" s="605">
        <f t="shared" si="247"/>
        <v>0</v>
      </c>
      <c r="FN38" s="605">
        <f t="shared" si="248"/>
        <v>0</v>
      </c>
      <c r="FO38" s="606"/>
      <c r="GT38" s="577" t="s">
        <v>698</v>
      </c>
      <c r="GU38" s="577" t="e">
        <f ca="1">[2]!taqqa(GU3,GU4,[2]!roz(GU5,GU36,0,0),GU7)</f>
        <v>#NAME?</v>
      </c>
      <c r="GV38" s="578" t="e">
        <f t="shared" ca="1" si="174"/>
        <v>#NAME?</v>
      </c>
      <c r="GW38" s="578" t="e">
        <f t="shared" ca="1" si="175"/>
        <v>#NAME?</v>
      </c>
      <c r="GX38" s="578" t="e">
        <f t="shared" ca="1" si="176"/>
        <v>#NAME?</v>
      </c>
      <c r="GY38" s="578" t="e">
        <f t="shared" ca="1" si="177"/>
        <v>#NAME?</v>
      </c>
    </row>
    <row r="39" spans="12:218" ht="24" thickBot="1">
      <c r="M39" s="632"/>
      <c r="N39" s="625"/>
      <c r="O39" s="625"/>
      <c r="P39" s="625"/>
      <c r="Q39" s="625"/>
      <c r="R39" s="625"/>
      <c r="S39" s="625" t="s">
        <v>4047</v>
      </c>
      <c r="T39" s="625"/>
      <c r="U39" s="625"/>
      <c r="V39" s="625"/>
      <c r="W39" s="625"/>
      <c r="X39" s="625"/>
      <c r="Y39" s="626"/>
      <c r="Z39" s="626"/>
      <c r="AA39" s="626"/>
      <c r="AB39" s="626"/>
      <c r="AC39" s="629"/>
      <c r="AD39" s="669">
        <v>29</v>
      </c>
      <c r="AE39" s="629" t="s">
        <v>919</v>
      </c>
      <c r="AF39" s="629">
        <f>IF(OR(AF10&lt;30,AND(AF10&gt;180,AF10&lt;=210)),O35-AF38,O35+AF38)</f>
        <v>6.4619947964673017</v>
      </c>
      <c r="AG39" s="630">
        <f t="shared" si="237"/>
        <v>6</v>
      </c>
      <c r="AH39" s="630">
        <f t="shared" si="238"/>
        <v>27</v>
      </c>
      <c r="AI39" s="630">
        <f t="shared" si="239"/>
        <v>43</v>
      </c>
      <c r="AJ39" s="665">
        <f t="shared" si="240"/>
        <v>10</v>
      </c>
      <c r="AK39" s="625"/>
      <c r="AL39" s="625"/>
      <c r="AM39" s="625"/>
      <c r="AN39" s="625"/>
      <c r="AO39" s="625"/>
      <c r="AP39" s="625"/>
      <c r="AQ39" s="660"/>
      <c r="AR39" s="2557"/>
      <c r="AT39" s="675">
        <f>[1]!bait12(AX2,AX3,AX4,AX7,AX27,AX8)</f>
        <v>218.8370384694442</v>
      </c>
      <c r="AU39" s="677" t="s">
        <v>4691</v>
      </c>
      <c r="AV39" s="502"/>
      <c r="AW39" s="502"/>
      <c r="AX39" s="605"/>
      <c r="AY39" s="605"/>
      <c r="AZ39" s="605"/>
      <c r="BA39" s="502"/>
      <c r="BB39" s="1654" t="s">
        <v>4121</v>
      </c>
      <c r="BC39" s="687">
        <v>2</v>
      </c>
      <c r="BD39" s="658"/>
      <c r="BE39" s="658" t="str">
        <f>[1]!oqdeh(BN35)</f>
        <v>ras</v>
      </c>
      <c r="BF39" s="658"/>
      <c r="BG39" s="658"/>
      <c r="BH39" s="688"/>
      <c r="BI39" s="502"/>
      <c r="BJ39" s="502"/>
      <c r="BK39" s="655"/>
      <c r="BL39" s="641">
        <v>28</v>
      </c>
      <c r="BM39" s="656" t="s">
        <v>1067</v>
      </c>
      <c r="BN39" s="656">
        <f>IF(BN18&gt;180,BN18-180,BN18+180)</f>
        <v>63.207972686595696</v>
      </c>
      <c r="BO39" s="641">
        <f t="shared" si="163"/>
        <v>63</v>
      </c>
      <c r="BP39" s="641">
        <f t="shared" si="164"/>
        <v>12</v>
      </c>
      <c r="BQ39" s="641">
        <f t="shared" si="165"/>
        <v>28</v>
      </c>
      <c r="BR39" s="657">
        <f t="shared" si="47"/>
        <v>42.100304670266269</v>
      </c>
      <c r="BS39" s="502"/>
      <c r="BT39" s="655">
        <v>32</v>
      </c>
      <c r="BU39" s="656" t="s">
        <v>918</v>
      </c>
      <c r="BV39" s="656">
        <f>[1]!sn(BV38)</f>
        <v>47.488124849737055</v>
      </c>
      <c r="BW39" s="641">
        <f t="shared" si="186"/>
        <v>47</v>
      </c>
      <c r="BX39" s="641">
        <f t="shared" si="187"/>
        <v>29</v>
      </c>
      <c r="BY39" s="641">
        <f t="shared" si="188"/>
        <v>17</v>
      </c>
      <c r="BZ39" s="641">
        <f t="shared" si="189"/>
        <v>14</v>
      </c>
      <c r="CA39" s="152">
        <f>[1]!ekhtoolq(BN3,BN11,CC33,CC37,CC35,CC38)</f>
        <v>0.54041361695711743</v>
      </c>
      <c r="CB39" s="152" t="s">
        <v>1102</v>
      </c>
      <c r="CC39" s="152">
        <f>CA39</f>
        <v>0.54041361695711743</v>
      </c>
      <c r="CD39" s="622">
        <f t="shared" si="241"/>
        <v>0</v>
      </c>
      <c r="CE39" s="622">
        <f t="shared" si="242"/>
        <v>32</v>
      </c>
      <c r="CF39" s="622">
        <f t="shared" si="243"/>
        <v>25</v>
      </c>
      <c r="CG39" s="1030">
        <f t="shared" si="244"/>
        <v>29</v>
      </c>
      <c r="CH39" s="656"/>
      <c r="CI39" s="656"/>
      <c r="CJ39" s="656"/>
      <c r="CK39" s="656"/>
      <c r="CL39" s="656"/>
      <c r="CM39" s="656"/>
      <c r="CN39" s="656">
        <v>32</v>
      </c>
      <c r="CO39" s="145" t="s">
        <v>1109</v>
      </c>
      <c r="CP39" s="145">
        <f>[1]!tadq1(CP37,CP38)</f>
        <v>1.6293489427933498E-3</v>
      </c>
      <c r="CQ39" s="641">
        <f t="shared" si="206"/>
        <v>0</v>
      </c>
      <c r="CR39" s="641">
        <f t="shared" si="251"/>
        <v>0</v>
      </c>
      <c r="CS39" s="641">
        <f t="shared" si="252"/>
        <v>5</v>
      </c>
      <c r="CT39" s="645">
        <f t="shared" si="253"/>
        <v>51</v>
      </c>
      <c r="CU39" s="275"/>
      <c r="CV39" s="275" t="s">
        <v>3514</v>
      </c>
      <c r="CW39" s="275">
        <f>(CW38*24/CW15)/2</f>
        <v>-0.23035636643833549</v>
      </c>
      <c r="CX39" s="648">
        <f t="shared" si="229"/>
        <v>0</v>
      </c>
      <c r="CY39" s="648">
        <f t="shared" si="230"/>
        <v>13</v>
      </c>
      <c r="CZ39" s="648">
        <f t="shared" si="231"/>
        <v>49</v>
      </c>
      <c r="DA39" s="649">
        <f t="shared" si="232"/>
        <v>16</v>
      </c>
      <c r="FE39" s="587"/>
      <c r="FF39" s="502"/>
      <c r="FG39" s="502"/>
      <c r="FH39" s="502"/>
      <c r="FI39" s="502" t="s">
        <v>3416</v>
      </c>
      <c r="FJ39" s="502">
        <f>[1]!tq(FJ66-90)</f>
        <v>153.2079726865957</v>
      </c>
      <c r="FK39" s="605">
        <f t="shared" si="245"/>
        <v>153</v>
      </c>
      <c r="FL39" s="605">
        <f t="shared" si="246"/>
        <v>12</v>
      </c>
      <c r="FM39" s="605">
        <f t="shared" si="247"/>
        <v>28</v>
      </c>
      <c r="FN39" s="605">
        <f t="shared" si="248"/>
        <v>42</v>
      </c>
      <c r="FO39" s="606" t="s">
        <v>2256</v>
      </c>
      <c r="GT39" s="577" t="s">
        <v>1107</v>
      </c>
      <c r="GU39" s="577" t="e">
        <f ca="1">IF(GU24&gt;GU23,GU38+GU33,GU38-GU33)</f>
        <v>#NAME?</v>
      </c>
      <c r="GV39" s="578" t="e">
        <f t="shared" ca="1" si="174"/>
        <v>#NAME?</v>
      </c>
      <c r="GW39" s="578" t="e">
        <f t="shared" ca="1" si="175"/>
        <v>#NAME?</v>
      </c>
      <c r="GX39" s="578" t="e">
        <f t="shared" ca="1" si="176"/>
        <v>#NAME?</v>
      </c>
      <c r="GY39" s="578" t="e">
        <f t="shared" ca="1" si="177"/>
        <v>#NAME?</v>
      </c>
    </row>
    <row r="40" spans="12:218">
      <c r="M40" s="632"/>
      <c r="N40" s="625"/>
      <c r="O40" s="625"/>
      <c r="P40" s="625"/>
      <c r="Q40" s="1610"/>
      <c r="R40" s="1611" t="s">
        <v>4092</v>
      </c>
      <c r="S40" s="1610"/>
      <c r="T40" s="1616" t="s">
        <v>4072</v>
      </c>
      <c r="U40" s="1610" t="s">
        <v>4089</v>
      </c>
      <c r="V40" s="1616" t="s">
        <v>4091</v>
      </c>
      <c r="W40" s="1611" t="s">
        <v>166</v>
      </c>
      <c r="X40" s="625"/>
      <c r="Y40" s="626"/>
      <c r="Z40" s="626"/>
      <c r="AA40" s="626"/>
      <c r="AB40" s="626"/>
      <c r="AC40" s="629"/>
      <c r="AD40" s="669"/>
      <c r="AE40" s="629" t="s">
        <v>919</v>
      </c>
      <c r="AF40" s="629">
        <f>[1]!vasatkhosoof(AF3,AF4,AF5,AF6,AF7,X5)</f>
        <v>6.1226129397029254</v>
      </c>
      <c r="AG40" s="630">
        <f t="shared" si="237"/>
        <v>6</v>
      </c>
      <c r="AH40" s="630">
        <f t="shared" si="238"/>
        <v>7</v>
      </c>
      <c r="AI40" s="630">
        <f t="shared" si="239"/>
        <v>21</v>
      </c>
      <c r="AJ40" s="665">
        <f t="shared" si="240"/>
        <v>24</v>
      </c>
      <c r="AK40" s="625"/>
      <c r="AL40" s="625"/>
      <c r="AM40" s="625"/>
      <c r="AN40" s="625"/>
      <c r="AO40" s="625"/>
      <c r="AP40" s="625"/>
      <c r="AQ40" s="660"/>
      <c r="AR40" s="2557"/>
      <c r="AV40" s="502"/>
      <c r="AW40" s="502"/>
      <c r="AX40" s="605"/>
      <c r="AY40" s="605"/>
      <c r="AZ40" s="605"/>
      <c r="BA40" s="502"/>
      <c r="BB40" s="1655" t="s">
        <v>4129</v>
      </c>
      <c r="BC40" s="502"/>
      <c r="BD40" s="151" t="s">
        <v>3</v>
      </c>
      <c r="BE40" s="151">
        <v>1251</v>
      </c>
      <c r="BJ40" s="502"/>
      <c r="BK40" s="655"/>
      <c r="BL40" s="656">
        <v>29</v>
      </c>
      <c r="BM40" s="656" t="s">
        <v>698</v>
      </c>
      <c r="BN40" s="656">
        <f>AX29</f>
        <v>19.426839013482223</v>
      </c>
      <c r="BO40" s="641">
        <f t="shared" si="163"/>
        <v>19</v>
      </c>
      <c r="BP40" s="641">
        <f t="shared" si="164"/>
        <v>25</v>
      </c>
      <c r="BQ40" s="641">
        <f t="shared" si="165"/>
        <v>36</v>
      </c>
      <c r="BR40" s="657">
        <f t="shared" si="47"/>
        <v>37.226912160090251</v>
      </c>
      <c r="BS40" s="502"/>
      <c r="BT40" s="655">
        <v>33</v>
      </c>
      <c r="BU40" s="656" t="s">
        <v>1176</v>
      </c>
      <c r="BV40" s="656">
        <f>BV39*BV35/60</f>
        <v>32.478519714429922</v>
      </c>
      <c r="BW40" s="641">
        <f t="shared" si="186"/>
        <v>32</v>
      </c>
      <c r="BX40" s="641">
        <f t="shared" si="187"/>
        <v>28</v>
      </c>
      <c r="BY40" s="641">
        <f t="shared" si="188"/>
        <v>42</v>
      </c>
      <c r="BZ40" s="641">
        <f t="shared" si="189"/>
        <v>40</v>
      </c>
      <c r="CA40" s="1657">
        <f>[1]!taqmareeqa(CC$4,CC$5,AX$4,CC32,AX$8,AX$7)</f>
        <v>19.280758320347445</v>
      </c>
      <c r="CB40" s="152" t="s">
        <v>1107</v>
      </c>
      <c r="CC40" s="152">
        <f>[1]!taqmaree([1]!taqqa(CC4,CC5,[1]!roz(AX4,CC32,0,0),CC7),CC35,CC39)</f>
        <v>19.280758320347445</v>
      </c>
      <c r="CD40" s="622">
        <f t="shared" si="241"/>
        <v>19</v>
      </c>
      <c r="CE40" s="622">
        <f t="shared" si="242"/>
        <v>16</v>
      </c>
      <c r="CF40" s="622">
        <f t="shared" si="243"/>
        <v>50</v>
      </c>
      <c r="CG40" s="1030">
        <f t="shared" si="244"/>
        <v>43</v>
      </c>
      <c r="CH40" s="656"/>
      <c r="CI40" s="656"/>
      <c r="CJ40" s="656"/>
      <c r="CK40" s="656"/>
      <c r="CL40" s="656"/>
      <c r="CM40" s="656"/>
      <c r="CN40" s="656">
        <v>33</v>
      </c>
      <c r="CO40" s="145" t="s">
        <v>907</v>
      </c>
      <c r="CP40" s="145">
        <f>CP34+CP39</f>
        <v>0.55601876501227343</v>
      </c>
      <c r="CQ40" s="641">
        <f t="shared" ref="CQ40:CQ43" si="256">INT(ABS(CP40))</f>
        <v>0</v>
      </c>
      <c r="CR40" s="641">
        <f t="shared" ref="CR40:CR43" si="257">INT((ABS(CP40)-CQ40)*60)</f>
        <v>33</v>
      </c>
      <c r="CS40" s="641">
        <f t="shared" ref="CS40:CS43" si="258">INT((((ABS(CP40)-CQ40)*60)-CR40)*60)</f>
        <v>21</v>
      </c>
      <c r="CT40" s="645">
        <f t="shared" ref="CT40:CT43" si="259">INT((((((ABS(CP40)-CQ40)*60)-CR40)*60)-CS40)*60)</f>
        <v>40</v>
      </c>
      <c r="CU40" s="275"/>
      <c r="CV40" s="275" t="s">
        <v>3519</v>
      </c>
      <c r="CW40" s="275">
        <f>CW28-(CW39/2)</f>
        <v>23.157093401606904</v>
      </c>
      <c r="CX40" s="648">
        <f t="shared" si="229"/>
        <v>23</v>
      </c>
      <c r="CY40" s="648">
        <f t="shared" si="230"/>
        <v>9</v>
      </c>
      <c r="CZ40" s="648">
        <f t="shared" si="231"/>
        <v>25</v>
      </c>
      <c r="DA40" s="649">
        <f t="shared" si="232"/>
        <v>32</v>
      </c>
      <c r="FE40" s="587"/>
      <c r="FF40" s="502"/>
      <c r="FG40" s="502">
        <f>90-FJ40</f>
        <v>62.405007738817858</v>
      </c>
      <c r="FH40" s="502">
        <f>IF(FJ40&gt;0,1,-1)</f>
        <v>1</v>
      </c>
      <c r="FI40" s="502" t="s">
        <v>3415</v>
      </c>
      <c r="FJ40" s="502">
        <f>[1]!Arzr2(FJ9,FJ15,[1]!ml(FJ9,BN17),FJ14)</f>
        <v>27.594992261182139</v>
      </c>
      <c r="FK40" s="605">
        <f t="shared" si="245"/>
        <v>27</v>
      </c>
      <c r="FL40" s="605">
        <f t="shared" si="246"/>
        <v>35</v>
      </c>
      <c r="FM40" s="605">
        <f t="shared" si="247"/>
        <v>41</v>
      </c>
      <c r="FN40" s="605">
        <f t="shared" si="248"/>
        <v>58</v>
      </c>
      <c r="FO40" s="606" t="s">
        <v>2346</v>
      </c>
      <c r="GT40" s="577"/>
      <c r="GU40" s="577" t="e">
        <f ca="1">ABS(GU39-GU37)</f>
        <v>#NAME?</v>
      </c>
      <c r="GV40" s="578" t="e">
        <f t="shared" ca="1" si="174"/>
        <v>#NAME?</v>
      </c>
      <c r="GW40" s="578" t="e">
        <f t="shared" ca="1" si="175"/>
        <v>#NAME?</v>
      </c>
      <c r="GX40" s="578" t="e">
        <f t="shared" ca="1" si="176"/>
        <v>#NAME?</v>
      </c>
      <c r="GY40" s="578" t="e">
        <f t="shared" ca="1" si="177"/>
        <v>#NAME?</v>
      </c>
    </row>
    <row r="41" spans="12:218">
      <c r="M41" s="632"/>
      <c r="N41" s="625" t="s">
        <v>3</v>
      </c>
      <c r="O41" s="625" t="s">
        <v>4</v>
      </c>
      <c r="P41" s="625" t="s">
        <v>5</v>
      </c>
      <c r="Q41" s="1614" t="s">
        <v>934</v>
      </c>
      <c r="R41" s="1615" t="s">
        <v>3401</v>
      </c>
      <c r="S41" s="1614" t="s">
        <v>934</v>
      </c>
      <c r="T41" s="640" t="s">
        <v>3401</v>
      </c>
      <c r="U41" s="1614"/>
      <c r="V41" s="640"/>
      <c r="W41" s="1615"/>
      <c r="X41" s="153"/>
      <c r="Y41" s="626"/>
      <c r="Z41" s="626"/>
      <c r="AA41" s="626"/>
      <c r="AB41" s="626"/>
      <c r="AC41" s="629"/>
      <c r="AD41" s="669">
        <v>30</v>
      </c>
      <c r="AE41" s="629" t="s">
        <v>920</v>
      </c>
      <c r="AF41" s="629">
        <f>AF28</f>
        <v>1.0208552467666576</v>
      </c>
      <c r="AG41" s="630">
        <f t="shared" si="237"/>
        <v>1</v>
      </c>
      <c r="AH41" s="630">
        <f t="shared" si="238"/>
        <v>1</v>
      </c>
      <c r="AI41" s="630">
        <f t="shared" si="239"/>
        <v>15</v>
      </c>
      <c r="AJ41" s="665">
        <f t="shared" si="240"/>
        <v>4</v>
      </c>
      <c r="AK41" s="625"/>
      <c r="AL41" s="625"/>
      <c r="AM41" s="625"/>
      <c r="AN41" s="625"/>
      <c r="AO41" s="625"/>
      <c r="AP41" s="625"/>
      <c r="AQ41" s="660"/>
      <c r="AR41" s="2557"/>
      <c r="AV41" s="636"/>
      <c r="AW41" s="163"/>
      <c r="AX41" s="163"/>
      <c r="AY41" s="502"/>
      <c r="AZ41" s="502"/>
      <c r="BA41" s="502"/>
      <c r="BB41" s="1655" t="s">
        <v>4130</v>
      </c>
      <c r="BC41" s="502"/>
      <c r="BD41" s="151" t="s">
        <v>4</v>
      </c>
      <c r="BE41" s="151">
        <v>1</v>
      </c>
      <c r="BJ41" s="502"/>
      <c r="BK41" s="655"/>
      <c r="BL41" s="656">
        <v>30</v>
      </c>
      <c r="BM41" s="656" t="s">
        <v>839</v>
      </c>
      <c r="BN41" s="656">
        <f>[1]!taqtalsab(BN40,BN18)</f>
        <v>43.781133673113459</v>
      </c>
      <c r="BO41" s="641">
        <f>INT(ABS(BN41))</f>
        <v>43</v>
      </c>
      <c r="BP41" s="641">
        <f t="shared" si="164"/>
        <v>46</v>
      </c>
      <c r="BQ41" s="641">
        <f t="shared" si="165"/>
        <v>52</v>
      </c>
      <c r="BR41" s="657">
        <f t="shared" si="47"/>
        <v>4.8733925071064732</v>
      </c>
      <c r="BS41" s="502">
        <f>IF(AND(BK29 = BK30, BV25 &lt; BN29, BV37 &lt; (90 - BN29)),BK30*-1,BK30)</f>
        <v>-1</v>
      </c>
      <c r="BT41" s="980">
        <v>34</v>
      </c>
      <c r="BU41" s="502" t="s">
        <v>1100</v>
      </c>
      <c r="BV41" s="502">
        <f>[1]!asn(BV40)*BS41</f>
        <v>-32.772769639974079</v>
      </c>
      <c r="BW41" s="605">
        <f t="shared" si="186"/>
        <v>32</v>
      </c>
      <c r="BX41" s="605">
        <f t="shared" si="187"/>
        <v>46</v>
      </c>
      <c r="BY41" s="605">
        <f t="shared" si="188"/>
        <v>21</v>
      </c>
      <c r="BZ41" s="605">
        <f t="shared" si="189"/>
        <v>58</v>
      </c>
      <c r="CA41" s="152"/>
      <c r="CB41" s="152" t="s">
        <v>3489</v>
      </c>
      <c r="CC41" s="621">
        <f>IF(ABS(CC34-CC40)&lt;180,CC34-CC40,IF(ABS(CC34-CC40)&lt;-180,360-(CC34-CC40),CC34-CC40-360))</f>
        <v>0.16350224964821436</v>
      </c>
      <c r="CD41" s="622">
        <f t="shared" si="241"/>
        <v>0</v>
      </c>
      <c r="CE41" s="622">
        <f t="shared" si="242"/>
        <v>9</v>
      </c>
      <c r="CF41" s="622">
        <f t="shared" si="243"/>
        <v>48</v>
      </c>
      <c r="CG41" s="1030">
        <f t="shared" si="244"/>
        <v>36</v>
      </c>
      <c r="CH41" s="656"/>
      <c r="CI41" s="656"/>
      <c r="CJ41" s="656"/>
      <c r="CK41" s="656"/>
      <c r="CL41" s="656"/>
      <c r="CM41" s="656"/>
      <c r="CN41" s="656">
        <v>34</v>
      </c>
      <c r="CO41" s="656" t="s">
        <v>869</v>
      </c>
      <c r="CP41" s="145">
        <f>[1]!ertaztale(CC4,CP18,CP26,CP27,CP28)</f>
        <v>-37.040440432519297</v>
      </c>
      <c r="CQ41" s="641">
        <f t="shared" si="256"/>
        <v>37</v>
      </c>
      <c r="CR41" s="641">
        <f t="shared" si="257"/>
        <v>2</v>
      </c>
      <c r="CS41" s="641">
        <f t="shared" si="258"/>
        <v>25</v>
      </c>
      <c r="CT41" s="645">
        <f t="shared" si="259"/>
        <v>35</v>
      </c>
      <c r="CU41" s="275" t="s">
        <v>3532</v>
      </c>
      <c r="CV41" s="275" t="s">
        <v>3530</v>
      </c>
      <c r="CW41" s="275">
        <f>CW28+(CW39/2)</f>
        <v>22.926737035168568</v>
      </c>
      <c r="CX41" s="648">
        <f t="shared" si="229"/>
        <v>22</v>
      </c>
      <c r="CY41" s="648">
        <f t="shared" si="230"/>
        <v>55</v>
      </c>
      <c r="CZ41" s="648">
        <f t="shared" si="231"/>
        <v>36</v>
      </c>
      <c r="DA41" s="649">
        <f t="shared" si="232"/>
        <v>15</v>
      </c>
      <c r="FE41" s="587"/>
      <c r="FF41" s="502"/>
      <c r="FG41" s="502"/>
      <c r="FH41" s="502">
        <f>FH40*-1</f>
        <v>-1</v>
      </c>
      <c r="FI41" s="502" t="s">
        <v>1167</v>
      </c>
      <c r="FJ41" s="502">
        <f>([1]!asn([1]!sn(FJ40)*[1]!sn(FJ26)/[1]!csn(FJ20)))*FH41</f>
        <v>0</v>
      </c>
      <c r="FK41" s="605">
        <f t="shared" si="245"/>
        <v>0</v>
      </c>
      <c r="FL41" s="605">
        <f t="shared" si="246"/>
        <v>0</v>
      </c>
      <c r="FM41" s="605">
        <f t="shared" si="247"/>
        <v>0</v>
      </c>
      <c r="FN41" s="605">
        <f t="shared" si="248"/>
        <v>0</v>
      </c>
      <c r="FO41" s="606" t="s">
        <v>2284</v>
      </c>
      <c r="GT41" s="577"/>
      <c r="GU41" s="577" t="e">
        <f ca="1">GU40/GU32</f>
        <v>#NAME?</v>
      </c>
      <c r="GV41" s="578" t="e">
        <f t="shared" ca="1" si="174"/>
        <v>#NAME?</v>
      </c>
      <c r="GW41" s="578" t="e">
        <f t="shared" ca="1" si="175"/>
        <v>#NAME?</v>
      </c>
      <c r="GX41" s="578" t="e">
        <f t="shared" ca="1" si="176"/>
        <v>#NAME?</v>
      </c>
      <c r="GY41" s="578" t="e">
        <f t="shared" ca="1" si="177"/>
        <v>#NAME?</v>
      </c>
    </row>
    <row r="42" spans="12:218" ht="24" thickBot="1">
      <c r="M42" s="632">
        <v>1</v>
      </c>
      <c r="N42" s="625">
        <v>1381</v>
      </c>
      <c r="O42" s="625">
        <v>3</v>
      </c>
      <c r="P42" s="625">
        <v>14</v>
      </c>
      <c r="Q42" s="1612" t="s">
        <v>4048</v>
      </c>
      <c r="R42" s="1613" t="s">
        <v>4049</v>
      </c>
      <c r="S42" s="1612" t="s">
        <v>4061</v>
      </c>
      <c r="T42" s="625" t="s">
        <v>4062</v>
      </c>
      <c r="U42" s="1612"/>
      <c r="V42" s="625">
        <f t="shared" ref="V42:V49" si="260">INT(U42*12)</f>
        <v>0</v>
      </c>
      <c r="W42" s="1613">
        <f t="shared" ref="W42:W49" si="261">((U42*12)-INT(U42*12))*60</f>
        <v>0</v>
      </c>
      <c r="X42" s="153"/>
      <c r="Y42" s="626"/>
      <c r="Z42" s="626"/>
      <c r="AA42" s="626"/>
      <c r="AB42" s="626"/>
      <c r="AC42" s="629"/>
      <c r="AD42" s="669">
        <v>31</v>
      </c>
      <c r="AE42" s="629" t="s">
        <v>921</v>
      </c>
      <c r="AF42" s="629">
        <f>AF18/2</f>
        <v>0.26667039057701886</v>
      </c>
      <c r="AG42" s="630">
        <f t="shared" si="237"/>
        <v>0</v>
      </c>
      <c r="AH42" s="630">
        <f t="shared" si="238"/>
        <v>16</v>
      </c>
      <c r="AI42" s="630">
        <f t="shared" si="239"/>
        <v>0</v>
      </c>
      <c r="AJ42" s="665">
        <f t="shared" si="240"/>
        <v>0</v>
      </c>
      <c r="AK42" s="625"/>
      <c r="AL42" s="625"/>
      <c r="AM42" s="625"/>
      <c r="AN42" s="625"/>
      <c r="AO42" s="625"/>
      <c r="AP42" s="625"/>
      <c r="AQ42" s="660"/>
      <c r="AR42" s="2557"/>
      <c r="AV42" s="636"/>
      <c r="AW42" s="163"/>
      <c r="AX42" s="163"/>
      <c r="AY42" s="502"/>
      <c r="AZ42" s="502"/>
      <c r="BA42" s="502"/>
      <c r="BB42" s="1655" t="s">
        <v>4131</v>
      </c>
      <c r="BC42" s="502"/>
      <c r="BD42" s="151" t="s">
        <v>5</v>
      </c>
      <c r="BE42" s="151">
        <v>1</v>
      </c>
      <c r="BJ42" s="502"/>
      <c r="BK42" s="655"/>
      <c r="BL42" s="641">
        <v>31</v>
      </c>
      <c r="BM42" s="656" t="s">
        <v>4163</v>
      </c>
      <c r="BN42" s="656">
        <f>90-BN41</f>
        <v>46.218866326886541</v>
      </c>
      <c r="BO42" s="641">
        <f t="shared" si="163"/>
        <v>46</v>
      </c>
      <c r="BP42" s="641">
        <f t="shared" si="164"/>
        <v>13</v>
      </c>
      <c r="BQ42" s="641">
        <f t="shared" si="165"/>
        <v>7</v>
      </c>
      <c r="BR42" s="657">
        <f t="shared" si="47"/>
        <v>55.126607492893527</v>
      </c>
      <c r="BS42" s="502"/>
      <c r="BT42" s="587"/>
      <c r="BU42" s="502" t="s">
        <v>1100</v>
      </c>
      <c r="BV42" s="502">
        <f>[1]!arzmaree(AX2,BN11,BN40,BN36,BN18,BN91)</f>
        <v>-0.56849198523999478</v>
      </c>
      <c r="BW42" s="605">
        <f t="shared" si="186"/>
        <v>0</v>
      </c>
      <c r="BX42" s="605">
        <f t="shared" si="187"/>
        <v>34</v>
      </c>
      <c r="BY42" s="605">
        <f t="shared" si="188"/>
        <v>6</v>
      </c>
      <c r="BZ42" s="605">
        <f t="shared" si="189"/>
        <v>34</v>
      </c>
      <c r="CA42" s="1057"/>
      <c r="CB42" s="1057" t="s">
        <v>1091</v>
      </c>
      <c r="CC42" s="1057">
        <f>CC41/CC8</f>
        <v>0.27850374117963561</v>
      </c>
      <c r="CD42" s="630">
        <f t="shared" ref="CD42:CD43" si="262">INT(ABS(CC42))</f>
        <v>0</v>
      </c>
      <c r="CE42" s="630">
        <f t="shared" ref="CE42:CE43" si="263">INT((ABS(CC42)-CD42)*60)</f>
        <v>16</v>
      </c>
      <c r="CF42" s="630">
        <f t="shared" ref="CF42:CF43" si="264">INT((((ABS(CC42)-CD42)*60)-CE42)*60)</f>
        <v>42</v>
      </c>
      <c r="CG42" s="665">
        <f t="shared" ref="CG42:CG43" si="265">INT((((((ABS(CC42)-CD42)*60)-CE42)*60)-CF42)*60)</f>
        <v>36</v>
      </c>
      <c r="CH42" s="656"/>
      <c r="CI42" s="656"/>
      <c r="CJ42" s="656"/>
      <c r="CK42" s="656"/>
      <c r="CL42" s="656"/>
      <c r="CM42" s="656"/>
      <c r="CN42" s="656">
        <v>35</v>
      </c>
      <c r="CO42" s="145" t="s">
        <v>3833</v>
      </c>
      <c r="CP42" s="145">
        <f>[1]!qotrer(CP41,CP40)/2</f>
        <v>0</v>
      </c>
      <c r="CQ42" s="641">
        <f t="shared" si="256"/>
        <v>0</v>
      </c>
      <c r="CR42" s="641">
        <f t="shared" si="257"/>
        <v>0</v>
      </c>
      <c r="CS42" s="641">
        <f t="shared" si="258"/>
        <v>0</v>
      </c>
      <c r="CT42" s="645">
        <f t="shared" si="259"/>
        <v>0</v>
      </c>
      <c r="CU42" s="676"/>
      <c r="CV42" s="676" t="s">
        <v>3531</v>
      </c>
      <c r="CW42" s="676">
        <f>[1]!mozamtasirk(CW4,CW5,CW6,CW28,CW8,CW9)</f>
        <v>4098.0204816845953</v>
      </c>
      <c r="CX42" s="652">
        <f t="shared" si="229"/>
        <v>4098</v>
      </c>
      <c r="CY42" s="652">
        <f t="shared" si="230"/>
        <v>1</v>
      </c>
      <c r="CZ42" s="652">
        <f t="shared" si="231"/>
        <v>13</v>
      </c>
      <c r="DA42" s="653">
        <f t="shared" si="232"/>
        <v>44</v>
      </c>
      <c r="FE42" s="587"/>
      <c r="FF42" s="502"/>
      <c r="FG42" s="502"/>
      <c r="FH42" s="502"/>
      <c r="FI42" s="502"/>
      <c r="FJ42" s="502">
        <f>[1]!asn([1]!csn(FJ26)*60/([1]!csn(FJ41)))</f>
        <v>90</v>
      </c>
      <c r="FK42" s="605">
        <f t="shared" si="245"/>
        <v>90</v>
      </c>
      <c r="FL42" s="605">
        <f t="shared" si="246"/>
        <v>0</v>
      </c>
      <c r="FM42" s="605">
        <f t="shared" si="247"/>
        <v>0</v>
      </c>
      <c r="FN42" s="605">
        <f t="shared" si="248"/>
        <v>0</v>
      </c>
      <c r="FO42" s="606" t="s">
        <v>2285</v>
      </c>
      <c r="GT42" s="577"/>
      <c r="GU42" s="577" t="e">
        <f ca="1">IF(GU24&lt;GU23,GU35+GU41,GU35-GU41)</f>
        <v>#NAME?</v>
      </c>
      <c r="GV42" s="578" t="e">
        <f t="shared" ca="1" si="174"/>
        <v>#NAME?</v>
      </c>
      <c r="GW42" s="578" t="e">
        <f t="shared" ca="1" si="175"/>
        <v>#NAME?</v>
      </c>
      <c r="GX42" s="578" t="e">
        <f t="shared" ca="1" si="176"/>
        <v>#NAME?</v>
      </c>
      <c r="GY42" s="578" t="e">
        <f t="shared" ca="1" si="177"/>
        <v>#NAME?</v>
      </c>
    </row>
    <row r="43" spans="12:218">
      <c r="M43" s="632">
        <v>2</v>
      </c>
      <c r="N43" s="625">
        <v>1382</v>
      </c>
      <c r="O43" s="625">
        <v>3</v>
      </c>
      <c r="P43" s="625">
        <v>14</v>
      </c>
      <c r="Q43" s="1612" t="s">
        <v>4050</v>
      </c>
      <c r="R43" s="1613" t="s">
        <v>4051</v>
      </c>
      <c r="S43" s="1612" t="s">
        <v>4063</v>
      </c>
      <c r="T43" s="625" t="s">
        <v>4064</v>
      </c>
      <c r="U43" s="1612"/>
      <c r="V43" s="625">
        <f t="shared" si="260"/>
        <v>0</v>
      </c>
      <c r="W43" s="1613">
        <f t="shared" si="261"/>
        <v>0</v>
      </c>
      <c r="X43" s="625"/>
      <c r="Y43" s="626"/>
      <c r="Z43" s="626"/>
      <c r="AA43" s="626"/>
      <c r="AB43" s="626"/>
      <c r="AC43" s="629"/>
      <c r="AD43" s="669">
        <v>32</v>
      </c>
      <c r="AE43" s="629" t="s">
        <v>922</v>
      </c>
      <c r="AF43" s="629">
        <f>AF41-AF42</f>
        <v>0.75418485618963871</v>
      </c>
      <c r="AG43" s="630">
        <f t="shared" si="237"/>
        <v>0</v>
      </c>
      <c r="AH43" s="630">
        <f t="shared" si="238"/>
        <v>45</v>
      </c>
      <c r="AI43" s="630">
        <f t="shared" si="239"/>
        <v>15</v>
      </c>
      <c r="AJ43" s="665">
        <f t="shared" si="240"/>
        <v>3</v>
      </c>
      <c r="AK43" s="625"/>
      <c r="AL43" s="625"/>
      <c r="AM43" s="625"/>
      <c r="AN43" s="625"/>
      <c r="AO43" s="625"/>
      <c r="AP43" s="625"/>
      <c r="AQ43" s="660"/>
      <c r="AR43" s="2557"/>
      <c r="AV43" s="636"/>
      <c r="AW43" s="163"/>
      <c r="AX43" s="163" t="s">
        <v>4154</v>
      </c>
      <c r="AY43" s="502">
        <v>0.22</v>
      </c>
      <c r="AZ43" s="502"/>
      <c r="BA43" s="502"/>
      <c r="BB43" s="1655" t="s">
        <v>4132</v>
      </c>
      <c r="BC43" s="502"/>
      <c r="BD43" s="151" t="s">
        <v>219</v>
      </c>
      <c r="BE43" s="151">
        <f>12+BF43</f>
        <v>15.755555555555556</v>
      </c>
      <c r="BF43" s="151">
        <f>(((BI43/60)+BH43)/60)+BG43</f>
        <v>3.7555555555555555</v>
      </c>
      <c r="BG43" s="151">
        <v>3</v>
      </c>
      <c r="BH43" s="151">
        <v>45</v>
      </c>
      <c r="BI43" s="151">
        <v>20</v>
      </c>
      <c r="BJ43" s="502"/>
      <c r="BK43" s="655"/>
      <c r="BL43" s="656">
        <v>32</v>
      </c>
      <c r="BM43" s="656" t="s">
        <v>918</v>
      </c>
      <c r="BN43" s="656">
        <f>[1]!sn(BN42)</f>
        <v>43.319285852352834</v>
      </c>
      <c r="BO43" s="641">
        <f t="shared" si="163"/>
        <v>43</v>
      </c>
      <c r="BP43" s="641">
        <f t="shared" si="164"/>
        <v>19</v>
      </c>
      <c r="BQ43" s="641">
        <f t="shared" si="165"/>
        <v>9</v>
      </c>
      <c r="BR43" s="657">
        <f t="shared" si="47"/>
        <v>25.744108212220453</v>
      </c>
      <c r="BS43" s="502"/>
      <c r="BT43" s="655">
        <v>35</v>
      </c>
      <c r="BU43" s="656" t="s">
        <v>1180</v>
      </c>
      <c r="BV43" s="656">
        <f>[1]!csn(BV41)</f>
        <v>50.449437629763402</v>
      </c>
      <c r="BW43" s="641">
        <f t="shared" ref="BW43:BW47" si="266">INT(ABS(BV43))</f>
        <v>50</v>
      </c>
      <c r="BX43" s="641">
        <f t="shared" ref="BX43:BX47" si="267">INT((ABS(BV43)-BW43)*60)</f>
        <v>26</v>
      </c>
      <c r="BY43" s="641">
        <f t="shared" ref="BY43:BY47" si="268">INT((((ABS(BV43)-BW43)*60)-BX43)*60)</f>
        <v>57</v>
      </c>
      <c r="BZ43" s="641">
        <f t="shared" ref="BZ43:BZ47" si="269">INT((((((ABS(BV43)-BW43)*60)-BX43)*60)-BY43)*60)</f>
        <v>58</v>
      </c>
      <c r="CA43" s="1057"/>
      <c r="CB43" s="1057" t="s">
        <v>219</v>
      </c>
      <c r="CC43" s="1057">
        <f>CC42+CC32</f>
        <v>22.84936218791831</v>
      </c>
      <c r="CD43" s="630">
        <f t="shared" si="262"/>
        <v>22</v>
      </c>
      <c r="CE43" s="630">
        <f t="shared" si="263"/>
        <v>50</v>
      </c>
      <c r="CF43" s="630">
        <f t="shared" si="264"/>
        <v>57</v>
      </c>
      <c r="CG43" s="665">
        <f t="shared" si="265"/>
        <v>42</v>
      </c>
      <c r="CH43" s="145"/>
      <c r="CI43" s="656"/>
      <c r="CJ43" s="656"/>
      <c r="CK43" s="656"/>
      <c r="CL43" s="656"/>
      <c r="CM43" s="656"/>
      <c r="CN43" s="656">
        <v>36</v>
      </c>
      <c r="CO43" s="656" t="s">
        <v>1129</v>
      </c>
      <c r="CP43" s="656">
        <f>CP33+CP42</f>
        <v>0.26767044949503171</v>
      </c>
      <c r="CQ43" s="641">
        <f t="shared" si="256"/>
        <v>0</v>
      </c>
      <c r="CR43" s="641">
        <f t="shared" si="257"/>
        <v>16</v>
      </c>
      <c r="CS43" s="641">
        <f t="shared" si="258"/>
        <v>3</v>
      </c>
      <c r="CT43" s="645">
        <f t="shared" si="259"/>
        <v>36</v>
      </c>
      <c r="CU43" s="502"/>
      <c r="CV43" s="502"/>
      <c r="CW43" s="502"/>
      <c r="CX43" s="502"/>
      <c r="CY43" s="502"/>
      <c r="CZ43" s="637"/>
      <c r="FE43" s="587"/>
      <c r="FF43" s="502"/>
      <c r="FG43" s="502"/>
      <c r="FH43" s="502"/>
      <c r="FI43" s="502" t="s">
        <v>1102</v>
      </c>
      <c r="FJ43" s="502">
        <f>90-FJ42</f>
        <v>0</v>
      </c>
      <c r="FK43" s="605">
        <f t="shared" si="245"/>
        <v>0</v>
      </c>
      <c r="FL43" s="605">
        <f t="shared" si="246"/>
        <v>0</v>
      </c>
      <c r="FM43" s="605">
        <f t="shared" si="247"/>
        <v>0</v>
      </c>
      <c r="FN43" s="605">
        <f t="shared" si="248"/>
        <v>0</v>
      </c>
      <c r="FO43" s="606" t="s">
        <v>610</v>
      </c>
      <c r="GT43" s="577" t="s">
        <v>3474</v>
      </c>
      <c r="GU43" s="577" t="e">
        <f ca="1">GU42-GU16</f>
        <v>#NAME?</v>
      </c>
      <c r="GV43" s="578" t="e">
        <f t="shared" ca="1" si="174"/>
        <v>#NAME?</v>
      </c>
      <c r="GW43" s="578" t="e">
        <f t="shared" ca="1" si="175"/>
        <v>#NAME?</v>
      </c>
      <c r="GX43" s="578" t="e">
        <f t="shared" ca="1" si="176"/>
        <v>#NAME?</v>
      </c>
      <c r="GY43" s="578" t="e">
        <f t="shared" ca="1" si="177"/>
        <v>#NAME?</v>
      </c>
    </row>
    <row r="44" spans="12:218">
      <c r="M44" s="632">
        <v>3</v>
      </c>
      <c r="N44" s="625">
        <v>1382</v>
      </c>
      <c r="O44" s="625">
        <v>8</v>
      </c>
      <c r="P44" s="625">
        <v>13</v>
      </c>
      <c r="Q44" s="1612" t="s">
        <v>4052</v>
      </c>
      <c r="R44" s="1613" t="s">
        <v>4053</v>
      </c>
      <c r="S44" s="1612" t="s">
        <v>4065</v>
      </c>
      <c r="T44" s="625" t="s">
        <v>4066</v>
      </c>
      <c r="U44" s="1612"/>
      <c r="V44" s="625">
        <f t="shared" si="260"/>
        <v>0</v>
      </c>
      <c r="W44" s="1613">
        <f t="shared" si="261"/>
        <v>0</v>
      </c>
      <c r="X44" s="625"/>
      <c r="Y44" s="626"/>
      <c r="Z44" s="626"/>
      <c r="AA44" s="626"/>
      <c r="AB44" s="626"/>
      <c r="AC44" s="629"/>
      <c r="AD44" s="669"/>
      <c r="AE44" s="629" t="s">
        <v>915</v>
      </c>
      <c r="AF44" s="630">
        <f>((((((AJ44)/60)+AI44)/60)+AH44)/60)+AG44</f>
        <v>1.6666666666666666E-2</v>
      </c>
      <c r="AG44" s="630">
        <v>0</v>
      </c>
      <c r="AH44" s="630">
        <v>1</v>
      </c>
      <c r="AI44" s="630">
        <v>0</v>
      </c>
      <c r="AJ44" s="665">
        <v>0</v>
      </c>
      <c r="AK44" s="625"/>
      <c r="AL44" s="625"/>
      <c r="AM44" s="625"/>
      <c r="AN44" s="625"/>
      <c r="AO44" s="625"/>
      <c r="AP44" s="625" t="s">
        <v>4038</v>
      </c>
      <c r="AQ44" s="660"/>
      <c r="AR44" s="2557"/>
      <c r="AV44" s="636"/>
      <c r="AW44" s="163"/>
      <c r="AX44" s="163"/>
      <c r="AY44" s="502"/>
      <c r="AZ44" s="502"/>
      <c r="BA44" s="502"/>
      <c r="BB44" s="1656" t="s">
        <v>4133</v>
      </c>
      <c r="BC44" s="502">
        <v>3</v>
      </c>
      <c r="BD44" s="151" t="s">
        <v>326</v>
      </c>
      <c r="BE44" s="151">
        <f>[1]!mbtool(0,10,6,-1)</f>
        <v>-7.013888888888889E-3</v>
      </c>
      <c r="BJ44" s="502"/>
      <c r="BK44" s="655"/>
      <c r="BL44" s="656">
        <v>33</v>
      </c>
      <c r="BM44" s="656"/>
      <c r="BN44" s="656">
        <f>BN43*BN38/60</f>
        <v>43.318425259701861</v>
      </c>
      <c r="BO44" s="641">
        <f t="shared" si="163"/>
        <v>43</v>
      </c>
      <c r="BP44" s="641">
        <f t="shared" si="164"/>
        <v>19</v>
      </c>
      <c r="BQ44" s="641">
        <f t="shared" si="165"/>
        <v>6</v>
      </c>
      <c r="BR44" s="657">
        <f t="shared" si="47"/>
        <v>19.856095602042387</v>
      </c>
      <c r="BS44" s="502"/>
      <c r="BT44" s="655">
        <v>36</v>
      </c>
      <c r="BU44" s="656" t="s">
        <v>1091</v>
      </c>
      <c r="BV44" s="656">
        <f>[1]!sn(BV32)/BV43</f>
        <v>0.86765878850848277</v>
      </c>
      <c r="BW44" s="641">
        <f t="shared" si="266"/>
        <v>0</v>
      </c>
      <c r="BX44" s="641">
        <f t="shared" si="267"/>
        <v>52</v>
      </c>
      <c r="BY44" s="641">
        <f t="shared" si="268"/>
        <v>3</v>
      </c>
      <c r="BZ44" s="641">
        <f t="shared" si="269"/>
        <v>34</v>
      </c>
      <c r="CA44" s="1057"/>
      <c r="CB44" s="1057" t="s">
        <v>698</v>
      </c>
      <c r="CC44" s="1057">
        <f>[1]!taqqa(CC4,CC5,[1]!roz(BE5,CC43,0,0),CC7)</f>
        <v>19.995080233857298</v>
      </c>
      <c r="CD44" s="630">
        <f t="shared" ref="CD44" si="270">INT(ABS(CC44))</f>
        <v>19</v>
      </c>
      <c r="CE44" s="630">
        <f t="shared" ref="CE44" si="271">INT((ABS(CC44)-CD44)*60)</f>
        <v>59</v>
      </c>
      <c r="CF44" s="630">
        <f t="shared" ref="CF44" si="272">INT((((ABS(CC44)-CD44)*60)-CE44)*60)</f>
        <v>42</v>
      </c>
      <c r="CG44" s="665">
        <f t="shared" ref="CG44" si="273">INT((((((ABS(CC44)-CD44)*60)-CE44)*60)-CF44)*60)</f>
        <v>17</v>
      </c>
      <c r="CH44" s="145"/>
      <c r="CI44" s="656"/>
      <c r="CJ44" s="656"/>
      <c r="CK44" s="656"/>
      <c r="CL44" s="656"/>
      <c r="CM44" s="656"/>
      <c r="CN44" s="656">
        <v>37</v>
      </c>
      <c r="CO44" s="656" t="s">
        <v>924</v>
      </c>
      <c r="CP44" s="656">
        <f>POWER(CP43,2)</f>
        <v>7.1647469532872321E-2</v>
      </c>
      <c r="CQ44" s="641">
        <f t="shared" ref="CQ44:CQ48" si="274">INT(ABS(CP44))</f>
        <v>0</v>
      </c>
      <c r="CR44" s="641">
        <f t="shared" ref="CR44:CR48" si="275">INT((ABS(CP44)-CQ44)*60)</f>
        <v>4</v>
      </c>
      <c r="CS44" s="641">
        <f t="shared" ref="CS44:CS48" si="276">INT((((ABS(CP44)-CQ44)*60)-CR44)*60)</f>
        <v>17</v>
      </c>
      <c r="CT44" s="645">
        <f t="shared" ref="CT44:CT48" si="277">INT((((((ABS(CP44)-CQ44)*60)-CR44)*60)-CS44)*60)</f>
        <v>55</v>
      </c>
      <c r="CU44" s="607" t="s">
        <v>364</v>
      </c>
      <c r="CV44" s="607">
        <f>[1]!qsn([1]!ml(CW4,[1]!taqsha(CW4,CW5,[1]!roz(CW6,CW28,0,0),CW8)),CW9)</f>
        <v>191.0356526360751</v>
      </c>
      <c r="CW44" s="608">
        <f>INT(ABS(CV44))</f>
        <v>191</v>
      </c>
      <c r="CX44" s="608">
        <f>INT((ABS(CV44)-CW44)*60)</f>
        <v>2</v>
      </c>
      <c r="CY44" s="608">
        <f>INT((((ABS(CV44)-CW44)*60)-CX44)*60)</f>
        <v>8</v>
      </c>
      <c r="CZ44" s="689">
        <f>INT((((((ABS(CV44)-CW44)*60)-CX44)*60)-CY44)*60)</f>
        <v>20</v>
      </c>
      <c r="FE44" s="587"/>
      <c r="FF44" s="502"/>
      <c r="FG44" s="502"/>
      <c r="FH44" s="502"/>
      <c r="FI44" s="502" t="s">
        <v>1102</v>
      </c>
      <c r="FJ44" s="502">
        <f>IF(FJ17=FJ39,FJ36,FJ43)</f>
        <v>0</v>
      </c>
      <c r="FK44" s="605">
        <f t="shared" si="245"/>
        <v>0</v>
      </c>
      <c r="FL44" s="605">
        <f t="shared" si="246"/>
        <v>0</v>
      </c>
      <c r="FM44" s="605">
        <f t="shared" si="247"/>
        <v>0</v>
      </c>
      <c r="FN44" s="605">
        <f t="shared" si="248"/>
        <v>0</v>
      </c>
      <c r="FO44" s="606" t="s">
        <v>2286</v>
      </c>
      <c r="GT44" s="154" t="s">
        <v>378</v>
      </c>
      <c r="GU44" s="154" t="e">
        <f ca="1">[2]!taqsha(GU3,GU4,[2]!roz(GU5,GU43,0,0),GU7)</f>
        <v>#NAME?</v>
      </c>
      <c r="GV44" s="155" t="e">
        <f t="shared" ca="1" si="174"/>
        <v>#NAME?</v>
      </c>
      <c r="GW44" s="155" t="e">
        <f t="shared" ca="1" si="175"/>
        <v>#NAME?</v>
      </c>
      <c r="GX44" s="155" t="e">
        <f t="shared" ca="1" si="176"/>
        <v>#NAME?</v>
      </c>
      <c r="GY44" s="155" t="e">
        <f t="shared" ca="1" si="177"/>
        <v>#NAME?</v>
      </c>
    </row>
    <row r="45" spans="12:218">
      <c r="M45" s="632">
        <v>4</v>
      </c>
      <c r="N45" s="625">
        <v>1383</v>
      </c>
      <c r="O45" s="625">
        <v>2</v>
      </c>
      <c r="P45" s="625">
        <v>15</v>
      </c>
      <c r="Q45" s="1612" t="s">
        <v>4054</v>
      </c>
      <c r="R45" s="1613" t="s">
        <v>4055</v>
      </c>
      <c r="S45" s="1612" t="s">
        <v>4067</v>
      </c>
      <c r="T45" s="625" t="s">
        <v>4068</v>
      </c>
      <c r="U45" s="1612">
        <v>0.7</v>
      </c>
      <c r="V45" s="625">
        <f t="shared" si="260"/>
        <v>8</v>
      </c>
      <c r="W45" s="1613">
        <f t="shared" si="261"/>
        <v>23.999999999999915</v>
      </c>
      <c r="X45" s="625"/>
      <c r="Y45" s="626"/>
      <c r="Z45" s="626"/>
      <c r="AA45" s="626"/>
      <c r="AB45" s="626"/>
      <c r="AC45" s="629" t="s">
        <v>4026</v>
      </c>
      <c r="AD45" s="669">
        <v>33</v>
      </c>
      <c r="AE45" s="629" t="s">
        <v>916</v>
      </c>
      <c r="AF45" s="629">
        <f>AF43+AF44</f>
        <v>0.77085152285630543</v>
      </c>
      <c r="AG45" s="630">
        <f>INT(ABS(AF45))</f>
        <v>0</v>
      </c>
      <c r="AH45" s="630">
        <f>INT((ABS(AF45)-AG45)*60)</f>
        <v>46</v>
      </c>
      <c r="AI45" s="630">
        <f>INT((((ABS(AF45)-AG45)*60)-AH45)*60)</f>
        <v>15</v>
      </c>
      <c r="AJ45" s="665">
        <f>INT((((((ABS(AF45)-AG45)*60)-AH45)*60)-AI45)*60)</f>
        <v>3</v>
      </c>
      <c r="AK45" s="625"/>
      <c r="AL45" s="625"/>
      <c r="AM45" s="626">
        <f t="shared" ref="AM45:AM46" si="278">INT(ABS(AL45))</f>
        <v>0</v>
      </c>
      <c r="AN45" s="626">
        <f t="shared" ref="AN45:AN46" si="279">INT((ABS(AL45)-AM45)*60)</f>
        <v>0</v>
      </c>
      <c r="AO45" s="626">
        <f t="shared" ref="AO45:AO46" si="280">INT((((ABS(AL45)-AM45)*60)-AN45)*60)</f>
        <v>0</v>
      </c>
      <c r="AP45" s="626">
        <f t="shared" ref="AP45:AP46" si="281">INT((((((ABS(AL45)-AM45)*60)-AN45)*60)-AO45)*60)</f>
        <v>0</v>
      </c>
      <c r="AQ45" s="660"/>
      <c r="AR45" s="2557"/>
      <c r="AV45" s="636"/>
      <c r="AW45" s="163"/>
      <c r="AX45" s="163"/>
      <c r="AY45" s="502"/>
      <c r="AZ45" s="502"/>
      <c r="BA45" s="502"/>
      <c r="BB45" s="1655" t="s">
        <v>4134</v>
      </c>
      <c r="BC45" s="502" t="s">
        <v>4162</v>
      </c>
      <c r="BD45" s="151" t="s">
        <v>177</v>
      </c>
      <c r="BE45" s="1701">
        <f>AX7</f>
        <v>35.721899999999998</v>
      </c>
      <c r="BJ45" s="502"/>
      <c r="BK45" s="655"/>
      <c r="BL45" s="656">
        <v>34</v>
      </c>
      <c r="BM45" s="656" t="s">
        <v>694</v>
      </c>
      <c r="BN45" s="656">
        <f>[1]!asn(BN44)</f>
        <v>46.217678597366621</v>
      </c>
      <c r="BO45" s="641">
        <f t="shared" si="163"/>
        <v>46</v>
      </c>
      <c r="BP45" s="641">
        <f t="shared" si="164"/>
        <v>13</v>
      </c>
      <c r="BQ45" s="641">
        <f t="shared" si="165"/>
        <v>3</v>
      </c>
      <c r="BR45" s="657">
        <f t="shared" si="47"/>
        <v>38.577031190204707</v>
      </c>
      <c r="BS45" s="502"/>
      <c r="BT45" s="690">
        <v>37</v>
      </c>
      <c r="BU45" s="656" t="s">
        <v>1101</v>
      </c>
      <c r="BV45" s="656">
        <f>[1]!asn(BV44*60)</f>
        <v>60.187704986358277</v>
      </c>
      <c r="BW45" s="641">
        <f t="shared" si="266"/>
        <v>60</v>
      </c>
      <c r="BX45" s="641">
        <f t="shared" si="267"/>
        <v>11</v>
      </c>
      <c r="BY45" s="641">
        <f t="shared" si="268"/>
        <v>15</v>
      </c>
      <c r="BZ45" s="641">
        <f t="shared" si="269"/>
        <v>44</v>
      </c>
      <c r="CA45" s="1057"/>
      <c r="CB45" s="629" t="s">
        <v>3851</v>
      </c>
      <c r="CC45" s="1057">
        <f>[1]!taqmareesha(CC4,CC5,AX4,CC43,CC7,CJ11)</f>
        <v>19.455690275906726</v>
      </c>
      <c r="CD45" s="630">
        <f t="shared" ref="CD45:CD53" si="282">INT(ABS(CC45))</f>
        <v>19</v>
      </c>
      <c r="CE45" s="630">
        <f t="shared" ref="CE45:CE53" si="283">INT((ABS(CC45)-CD45)*60)</f>
        <v>27</v>
      </c>
      <c r="CF45" s="630">
        <f t="shared" ref="CF45:CF53" si="284">INT((((ABS(CC45)-CD45)*60)-CE45)*60)</f>
        <v>20</v>
      </c>
      <c r="CG45" s="665">
        <f t="shared" ref="CG45:CG53" si="285">INT((((((ABS(CC45)-CD45)*60)-CE45)*60)-CF45)*60)</f>
        <v>29</v>
      </c>
      <c r="CH45" s="656"/>
      <c r="CI45" s="656"/>
      <c r="CJ45" s="656"/>
      <c r="CK45" s="656"/>
      <c r="CL45" s="656"/>
      <c r="CM45" s="656"/>
      <c r="CN45" s="656">
        <v>38</v>
      </c>
      <c r="CO45" s="656" t="s">
        <v>1137</v>
      </c>
      <c r="CP45" s="656">
        <f>(CP44-CP32)</f>
        <v>6.0973638266397165E-2</v>
      </c>
      <c r="CQ45" s="641">
        <f t="shared" si="274"/>
        <v>0</v>
      </c>
      <c r="CR45" s="641">
        <f t="shared" si="275"/>
        <v>3</v>
      </c>
      <c r="CS45" s="641">
        <f t="shared" si="276"/>
        <v>39</v>
      </c>
      <c r="CT45" s="645">
        <f t="shared" si="277"/>
        <v>30</v>
      </c>
      <c r="CU45" s="607"/>
      <c r="CV45" s="607">
        <f>CV44/12</f>
        <v>15.919637719672926</v>
      </c>
      <c r="CW45" s="608">
        <f>INT(ABS(CV45))</f>
        <v>15</v>
      </c>
      <c r="CX45" s="608">
        <f>INT((ABS(CV45)-CW45)*60)</f>
        <v>55</v>
      </c>
      <c r="CY45" s="608">
        <f>INT((((ABS(CV45)-CW45)*60)-CX45)*60)</f>
        <v>10</v>
      </c>
      <c r="CZ45" s="689">
        <f>INT((((((ABS(CV45)-CW45)*60)-CX45)*60)-CY45)*60)</f>
        <v>41</v>
      </c>
      <c r="FE45" s="587"/>
      <c r="FF45" s="502"/>
      <c r="FG45" s="502"/>
      <c r="FH45" s="502"/>
      <c r="FI45" s="502" t="s">
        <v>1167</v>
      </c>
      <c r="FJ45" s="502">
        <f>IF(FJ17=FJ39,FJ37,FJ41)</f>
        <v>0</v>
      </c>
      <c r="FK45" s="605">
        <f t="shared" si="245"/>
        <v>0</v>
      </c>
      <c r="FL45" s="605">
        <f t="shared" si="246"/>
        <v>0</v>
      </c>
      <c r="FM45" s="605">
        <f t="shared" si="247"/>
        <v>0</v>
      </c>
      <c r="FN45" s="605">
        <f t="shared" si="248"/>
        <v>0</v>
      </c>
      <c r="FO45" s="606" t="s">
        <v>2287</v>
      </c>
      <c r="GT45" s="577" t="s">
        <v>698</v>
      </c>
      <c r="GU45" s="577" t="e">
        <f ca="1">[2]!taqqa(GU3,GU4,[2]!roz(GU5,GU43,0,0),GU7)</f>
        <v>#NAME?</v>
      </c>
      <c r="GV45" s="578" t="e">
        <f t="shared" ca="1" si="174"/>
        <v>#NAME?</v>
      </c>
      <c r="GW45" s="578" t="e">
        <f t="shared" ca="1" si="175"/>
        <v>#NAME?</v>
      </c>
      <c r="GX45" s="578" t="e">
        <f t="shared" ca="1" si="176"/>
        <v>#NAME?</v>
      </c>
      <c r="GY45" s="578" t="e">
        <f t="shared" ca="1" si="177"/>
        <v>#NAME?</v>
      </c>
    </row>
    <row r="46" spans="12:218">
      <c r="M46" s="632">
        <v>5</v>
      </c>
      <c r="N46" s="625">
        <v>1384</v>
      </c>
      <c r="O46" s="625">
        <v>2</v>
      </c>
      <c r="P46" s="625">
        <v>14</v>
      </c>
      <c r="Q46" s="1612" t="s">
        <v>4056</v>
      </c>
      <c r="R46" s="1613" t="s">
        <v>4056</v>
      </c>
      <c r="S46" s="1612" t="s">
        <v>4056</v>
      </c>
      <c r="T46" s="625" t="s">
        <v>4056</v>
      </c>
      <c r="U46" s="1612"/>
      <c r="V46" s="625">
        <f t="shared" si="260"/>
        <v>0</v>
      </c>
      <c r="W46" s="1613">
        <f t="shared" si="261"/>
        <v>0</v>
      </c>
      <c r="X46" s="153"/>
      <c r="Y46" s="626"/>
      <c r="Z46" s="626"/>
      <c r="AA46" s="626"/>
      <c r="AB46" s="626"/>
      <c r="AC46" s="629" t="s">
        <v>4027</v>
      </c>
      <c r="AD46" s="669">
        <v>34</v>
      </c>
      <c r="AE46" s="629" t="s">
        <v>917</v>
      </c>
      <c r="AF46" s="629">
        <f>AF27/2</f>
        <v>0.27839084756850885</v>
      </c>
      <c r="AG46" s="630">
        <f>INT(ABS(AF46))</f>
        <v>0</v>
      </c>
      <c r="AH46" s="630">
        <f>INT((ABS(AF46)-AG46)*60)</f>
        <v>16</v>
      </c>
      <c r="AI46" s="630">
        <f>INT((((ABS(AF46)-AG46)*60)-AH46)*60)</f>
        <v>42</v>
      </c>
      <c r="AJ46" s="665">
        <f>INT((((((ABS(AF46)-AG46)*60)-AH46)*60)-AI46)*60)</f>
        <v>12</v>
      </c>
      <c r="AK46" s="625" t="s">
        <v>4034</v>
      </c>
      <c r="AL46" s="625">
        <f>ABS([1]!sn(AF33/2)*2)</f>
        <v>1.0425546197911182</v>
      </c>
      <c r="AM46" s="626">
        <f t="shared" si="278"/>
        <v>1</v>
      </c>
      <c r="AN46" s="626">
        <f t="shared" si="279"/>
        <v>2</v>
      </c>
      <c r="AO46" s="626">
        <f t="shared" si="280"/>
        <v>33</v>
      </c>
      <c r="AP46" s="626">
        <f t="shared" si="281"/>
        <v>11</v>
      </c>
      <c r="AQ46" s="660"/>
      <c r="AR46" s="2557"/>
      <c r="AV46" s="636"/>
      <c r="AW46" s="163"/>
      <c r="AX46" s="163"/>
      <c r="AY46" s="502"/>
      <c r="AZ46" s="502"/>
      <c r="BA46" s="502" t="s">
        <v>435</v>
      </c>
      <c r="BB46" s="1655" t="s">
        <v>4135</v>
      </c>
      <c r="BC46" s="502"/>
      <c r="BJ46" s="502"/>
      <c r="BK46" s="655"/>
      <c r="BL46" s="656">
        <v>35</v>
      </c>
      <c r="BM46" s="656" t="s">
        <v>1164</v>
      </c>
      <c r="BN46" s="656">
        <f>90-BN45</f>
        <v>43.782321402633379</v>
      </c>
      <c r="BO46" s="641">
        <f t="shared" si="163"/>
        <v>43</v>
      </c>
      <c r="BP46" s="641">
        <f t="shared" si="164"/>
        <v>46</v>
      </c>
      <c r="BQ46" s="641">
        <f t="shared" si="165"/>
        <v>56</v>
      </c>
      <c r="BR46" s="657">
        <f t="shared" si="47"/>
        <v>21.422968809795293</v>
      </c>
      <c r="BS46" s="502"/>
      <c r="BT46" s="655">
        <v>38</v>
      </c>
      <c r="BU46" s="656" t="s">
        <v>1103</v>
      </c>
      <c r="BV46" s="656">
        <f>BN42</f>
        <v>46.218866326886541</v>
      </c>
      <c r="BW46" s="641">
        <f t="shared" si="266"/>
        <v>46</v>
      </c>
      <c r="BX46" s="641">
        <f t="shared" si="267"/>
        <v>13</v>
      </c>
      <c r="BY46" s="641">
        <f t="shared" si="268"/>
        <v>7</v>
      </c>
      <c r="BZ46" s="641">
        <f t="shared" si="269"/>
        <v>55</v>
      </c>
      <c r="CA46" s="1057"/>
      <c r="CB46" s="1057" t="s">
        <v>279</v>
      </c>
      <c r="CC46" s="1057">
        <f>[1]!tale3(CC4,AX7,CC45,CC43)</f>
        <v>254.63920406439331</v>
      </c>
      <c r="CD46" s="630">
        <f t="shared" si="282"/>
        <v>254</v>
      </c>
      <c r="CE46" s="630">
        <f t="shared" si="283"/>
        <v>38</v>
      </c>
      <c r="CF46" s="630">
        <f t="shared" si="284"/>
        <v>21</v>
      </c>
      <c r="CG46" s="665">
        <f t="shared" si="285"/>
        <v>8</v>
      </c>
      <c r="CH46" s="656"/>
      <c r="CI46" s="656"/>
      <c r="CJ46" s="656"/>
      <c r="CK46" s="656"/>
      <c r="CL46" s="656"/>
      <c r="CM46" s="656"/>
      <c r="CN46" s="656">
        <v>39</v>
      </c>
      <c r="CO46" s="656" t="s">
        <v>927</v>
      </c>
      <c r="CP46" s="656">
        <f>SQRT(CP45)</f>
        <v>0.24692840716773995</v>
      </c>
      <c r="CQ46" s="641">
        <f t="shared" si="274"/>
        <v>0</v>
      </c>
      <c r="CR46" s="641">
        <f t="shared" si="275"/>
        <v>14</v>
      </c>
      <c r="CS46" s="641">
        <f t="shared" si="276"/>
        <v>48</v>
      </c>
      <c r="CT46" s="645">
        <f t="shared" si="277"/>
        <v>56</v>
      </c>
      <c r="CU46" s="607"/>
      <c r="CV46" s="607">
        <f>CW28*15/CV45</f>
        <v>21.710841311966558</v>
      </c>
      <c r="CW46" s="608">
        <f>INT(ABS(CV46))</f>
        <v>21</v>
      </c>
      <c r="CX46" s="608">
        <f>INT((ABS(CV46)-CW46)*60)</f>
        <v>42</v>
      </c>
      <c r="CY46" s="608">
        <f>INT((((ABS(CV46)-CW46)*60)-CX46)*60)</f>
        <v>39</v>
      </c>
      <c r="CZ46" s="689">
        <f>INT((((((ABS(CV46)-CW46)*60)-CX46)*60)-CY46)*60)</f>
        <v>1</v>
      </c>
      <c r="FE46" s="587"/>
      <c r="FF46" s="502"/>
      <c r="FG46" s="502"/>
      <c r="FH46" s="502"/>
      <c r="FI46" s="502" t="s">
        <v>1100</v>
      </c>
      <c r="FJ46" s="502">
        <f>FJ41</f>
        <v>0</v>
      </c>
      <c r="FK46" s="605">
        <f t="shared" si="245"/>
        <v>0</v>
      </c>
      <c r="FL46" s="605">
        <f t="shared" si="246"/>
        <v>0</v>
      </c>
      <c r="FM46" s="605">
        <f t="shared" si="247"/>
        <v>0</v>
      </c>
      <c r="FN46" s="605">
        <f t="shared" si="248"/>
        <v>0</v>
      </c>
      <c r="FO46" s="606" t="s">
        <v>2288</v>
      </c>
      <c r="GT46" s="154" t="s">
        <v>1107</v>
      </c>
      <c r="GU46" s="154" t="e">
        <f ca="1">IF(GU24&gt;GU23,GU45+GU33,GU45-GU33)</f>
        <v>#NAME?</v>
      </c>
      <c r="GV46" s="155" t="e">
        <f t="shared" ca="1" si="174"/>
        <v>#NAME?</v>
      </c>
      <c r="GW46" s="155" t="e">
        <f t="shared" ca="1" si="175"/>
        <v>#NAME?</v>
      </c>
      <c r="GX46" s="155" t="e">
        <f t="shared" ca="1" si="176"/>
        <v>#NAME?</v>
      </c>
      <c r="GY46" s="155" t="e">
        <f t="shared" ca="1" si="177"/>
        <v>#NAME?</v>
      </c>
    </row>
    <row r="47" spans="12:218">
      <c r="M47" s="632">
        <v>6</v>
      </c>
      <c r="N47" s="625">
        <v>1384</v>
      </c>
      <c r="O47" s="625">
        <v>8</v>
      </c>
      <c r="P47" s="625">
        <v>14</v>
      </c>
      <c r="Q47" s="1612" t="s">
        <v>4056</v>
      </c>
      <c r="R47" s="1613" t="s">
        <v>4056</v>
      </c>
      <c r="S47" s="1612" t="s">
        <v>4056</v>
      </c>
      <c r="T47" s="625" t="s">
        <v>4056</v>
      </c>
      <c r="U47" s="1612"/>
      <c r="V47" s="625">
        <f t="shared" si="260"/>
        <v>0</v>
      </c>
      <c r="W47" s="1613">
        <f t="shared" si="261"/>
        <v>0</v>
      </c>
      <c r="X47" s="153"/>
      <c r="Y47" s="625"/>
      <c r="Z47" s="625"/>
      <c r="AA47" s="625"/>
      <c r="AB47" s="625"/>
      <c r="AC47" s="629"/>
      <c r="AD47" s="669">
        <v>35</v>
      </c>
      <c r="AE47" s="629" t="s">
        <v>2339</v>
      </c>
      <c r="AF47" s="629">
        <f>AF46+AF45</f>
        <v>1.0492423704248144</v>
      </c>
      <c r="AG47" s="630">
        <f>INT(ABS(AF47))</f>
        <v>1</v>
      </c>
      <c r="AH47" s="630">
        <f>INT((ABS(AF47)-AG47)*60)</f>
        <v>2</v>
      </c>
      <c r="AI47" s="630">
        <f>INT((((ABS(AF47)-AG47)*60)-AH47)*60)</f>
        <v>57</v>
      </c>
      <c r="AJ47" s="665">
        <f>INT((((((ABS(AF47)-AG47)*60)-AH47)*60)-AI47)*60)</f>
        <v>16</v>
      </c>
      <c r="AK47" s="625" t="s">
        <v>4028</v>
      </c>
      <c r="AL47" s="625">
        <f>POWER(AF45,2)+POWER(AL46,2)</f>
        <v>1.6811322055376883</v>
      </c>
      <c r="AM47" s="626">
        <f t="shared" ref="AM47:AM48" si="286">INT(ABS(AL47))</f>
        <v>1</v>
      </c>
      <c r="AN47" s="626">
        <f t="shared" ref="AN47:AN48" si="287">INT((ABS(AL47)-AM47)*60)</f>
        <v>40</v>
      </c>
      <c r="AO47" s="626">
        <f t="shared" ref="AO47:AO48" si="288">INT((((ABS(AL47)-AM47)*60)-AN47)*60)</f>
        <v>52</v>
      </c>
      <c r="AP47" s="626">
        <f t="shared" ref="AP47:AP48" si="289">INT((((((ABS(AL47)-AM47)*60)-AN47)*60)-AO47)*60)</f>
        <v>4</v>
      </c>
      <c r="AQ47" s="660"/>
      <c r="AR47" s="2557"/>
      <c r="AV47" s="636"/>
      <c r="AW47" s="163"/>
      <c r="AX47" s="163"/>
      <c r="AY47" s="163"/>
      <c r="AZ47" s="163"/>
      <c r="BA47" s="163"/>
      <c r="BB47" s="1655" t="s">
        <v>4136</v>
      </c>
      <c r="BC47" s="502"/>
      <c r="BD47" s="502"/>
      <c r="BE47" s="502">
        <v>0.98564733138288796</v>
      </c>
      <c r="BF47" s="641">
        <f t="shared" ref="BF47:BF48" si="290">INT(ABS(BE47))</f>
        <v>0</v>
      </c>
      <c r="BG47" s="641">
        <f t="shared" ref="BG47:BG48" si="291">INT((ABS(BE47)-BF47)*60)</f>
        <v>59</v>
      </c>
      <c r="BH47" s="641">
        <f t="shared" ref="BH47:BH48" si="292">INT((((ABS(BE47)-BF47)*60)-BG47)*60)</f>
        <v>8</v>
      </c>
      <c r="BI47" s="641">
        <f t="shared" ref="BI47:BI48" si="293">((((((ABS(BE47)-BF47)*60)-BG47)*60)-BH47)*60)</f>
        <v>19.823578703805538</v>
      </c>
      <c r="BJ47" s="502"/>
      <c r="BK47" s="655"/>
      <c r="BL47" s="656">
        <v>36</v>
      </c>
      <c r="BM47" s="656" t="s">
        <v>1070</v>
      </c>
      <c r="BN47" s="656">
        <f>[1]!sn(BN46)</f>
        <v>41.515226520153107</v>
      </c>
      <c r="BO47" s="641">
        <f t="shared" si="163"/>
        <v>41</v>
      </c>
      <c r="BP47" s="641">
        <f t="shared" si="164"/>
        <v>30</v>
      </c>
      <c r="BQ47" s="641">
        <f t="shared" si="165"/>
        <v>54</v>
      </c>
      <c r="BR47" s="657">
        <f t="shared" si="47"/>
        <v>48.928353071014499</v>
      </c>
      <c r="BS47" s="502"/>
      <c r="BT47" s="587">
        <v>39</v>
      </c>
      <c r="BU47" s="502" t="s">
        <v>1102</v>
      </c>
      <c r="BV47" s="502">
        <f>IF(ABS(BV45-BV46)&lt;180,ABS(BV45-BV46),ABS(360-BV45-BV46))</f>
        <v>13.968838659471736</v>
      </c>
      <c r="BW47" s="605">
        <f t="shared" si="266"/>
        <v>13</v>
      </c>
      <c r="BX47" s="605">
        <f t="shared" si="267"/>
        <v>58</v>
      </c>
      <c r="BY47" s="605">
        <f t="shared" si="268"/>
        <v>7</v>
      </c>
      <c r="BZ47" s="605">
        <f t="shared" si="269"/>
        <v>49</v>
      </c>
      <c r="CA47" s="1057"/>
      <c r="CB47" s="629" t="s">
        <v>1063</v>
      </c>
      <c r="CC47" s="1057">
        <f>IF(ABS(CC46-CC45)&lt;180,ABS(CC46-CC45),ABS(360-CC46-CC45))</f>
        <v>85.905105659699956</v>
      </c>
      <c r="CD47" s="630">
        <f t="shared" si="282"/>
        <v>85</v>
      </c>
      <c r="CE47" s="630">
        <f t="shared" si="283"/>
        <v>54</v>
      </c>
      <c r="CF47" s="630">
        <f t="shared" si="284"/>
        <v>18</v>
      </c>
      <c r="CG47" s="665">
        <f t="shared" si="285"/>
        <v>22</v>
      </c>
      <c r="CH47" s="656"/>
      <c r="CI47" s="656"/>
      <c r="CJ47" s="656"/>
      <c r="CK47" s="656"/>
      <c r="CL47" s="656"/>
      <c r="CM47" s="656"/>
      <c r="CN47" s="656">
        <v>40</v>
      </c>
      <c r="CO47" s="145" t="s">
        <v>3834</v>
      </c>
      <c r="CP47" s="145">
        <f>CP46/CP13</f>
        <v>0.41855542530864892</v>
      </c>
      <c r="CQ47" s="641">
        <f t="shared" si="274"/>
        <v>0</v>
      </c>
      <c r="CR47" s="641">
        <f t="shared" si="275"/>
        <v>25</v>
      </c>
      <c r="CS47" s="641">
        <f t="shared" si="276"/>
        <v>6</v>
      </c>
      <c r="CT47" s="645">
        <f t="shared" si="277"/>
        <v>47</v>
      </c>
      <c r="CU47" s="607" t="s">
        <v>2291</v>
      </c>
      <c r="CV47" s="607">
        <f>CV46*CW30/12</f>
        <v>1.3869280321850972</v>
      </c>
      <c r="CW47" s="608">
        <f>INT(ABS(CV47))</f>
        <v>1</v>
      </c>
      <c r="CX47" s="608">
        <f>INT((ABS(CV47)-CW47)*60)</f>
        <v>23</v>
      </c>
      <c r="CY47" s="608">
        <f>INT((((ABS(CV47)-CW47)*60)-CX47)*60)</f>
        <v>12</v>
      </c>
      <c r="CZ47" s="689">
        <f>INT((((((ABS(CV47)-CW47)*60)-CX47)*60)-CY47)*60)</f>
        <v>56</v>
      </c>
      <c r="FE47" s="587"/>
      <c r="FF47" s="502"/>
      <c r="FG47" s="502"/>
      <c r="FH47" s="502"/>
      <c r="FI47" s="502"/>
      <c r="FJ47" s="502"/>
      <c r="FK47" s="605"/>
      <c r="FL47" s="605"/>
      <c r="FM47" s="605"/>
      <c r="FN47" s="605"/>
      <c r="FO47" s="606"/>
      <c r="GT47" s="577"/>
      <c r="GU47" s="577" t="e">
        <f ca="1">[2]!wasata(GU3,GU4,[2]!roz(GU5,GU43,0,0),GU7)</f>
        <v>#NAME?</v>
      </c>
      <c r="GV47" s="578" t="e">
        <f t="shared" ca="1" si="174"/>
        <v>#NAME?</v>
      </c>
      <c r="GW47" s="578" t="e">
        <f t="shared" ca="1" si="175"/>
        <v>#NAME?</v>
      </c>
      <c r="GX47" s="578" t="e">
        <f t="shared" ca="1" si="176"/>
        <v>#NAME?</v>
      </c>
      <c r="GY47" s="578" t="e">
        <f t="shared" ca="1" si="177"/>
        <v>#NAME?</v>
      </c>
    </row>
    <row r="48" spans="12:218">
      <c r="M48" s="632">
        <v>7</v>
      </c>
      <c r="N48" s="625">
        <v>1385</v>
      </c>
      <c r="O48" s="625">
        <v>2</v>
      </c>
      <c r="P48" s="625">
        <v>15</v>
      </c>
      <c r="Q48" s="1612" t="s">
        <v>4057</v>
      </c>
      <c r="R48" s="1613" t="s">
        <v>4058</v>
      </c>
      <c r="S48" s="1612" t="s">
        <v>4069</v>
      </c>
      <c r="T48" s="625" t="s">
        <v>4070</v>
      </c>
      <c r="U48" s="1612">
        <v>9.1700000000000004E-2</v>
      </c>
      <c r="V48" s="625">
        <f t="shared" si="260"/>
        <v>1</v>
      </c>
      <c r="W48" s="1613">
        <f t="shared" si="261"/>
        <v>6.0240000000000027</v>
      </c>
      <c r="X48" s="153"/>
      <c r="Y48" s="153"/>
      <c r="Z48" s="153"/>
      <c r="AA48" s="625"/>
      <c r="AB48" s="625"/>
      <c r="AC48" s="630"/>
      <c r="AD48" s="669"/>
      <c r="AE48" s="598"/>
      <c r="AF48" s="599" t="str">
        <f>IF(ABS(AF33)&gt;AF47,"خسوف واقع نشود",IF((AF45-AF46)&gt;ABS(AF33),"کلی با مکث",IF((AF45-AF46)=ABS(AF33),"کلی بلا مکث","خسوف جزئی")))</f>
        <v>خسوف جزئی</v>
      </c>
      <c r="AG48" s="598"/>
      <c r="AH48" s="598"/>
      <c r="AI48" s="598"/>
      <c r="AJ48" s="1601"/>
      <c r="AK48" s="625" t="s">
        <v>1123</v>
      </c>
      <c r="AL48" s="625">
        <f>POWER(AF46,2)</f>
        <v>7.7501464009912729E-2</v>
      </c>
      <c r="AM48" s="626">
        <f t="shared" si="286"/>
        <v>0</v>
      </c>
      <c r="AN48" s="626">
        <f t="shared" si="287"/>
        <v>4</v>
      </c>
      <c r="AO48" s="626">
        <f t="shared" si="288"/>
        <v>39</v>
      </c>
      <c r="AP48" s="626">
        <f t="shared" si="289"/>
        <v>0</v>
      </c>
      <c r="AQ48" s="660"/>
      <c r="AR48" s="2557"/>
      <c r="AV48" s="636"/>
      <c r="AW48" s="502"/>
      <c r="AX48" s="163" t="s">
        <v>4153</v>
      </c>
      <c r="AY48" s="502">
        <v>0.24</v>
      </c>
      <c r="AZ48" s="502"/>
      <c r="BA48" s="502"/>
      <c r="BB48" s="1655" t="s">
        <v>4137</v>
      </c>
      <c r="BC48" s="502"/>
      <c r="BD48" s="502"/>
      <c r="BE48" s="151">
        <f>360+BE47</f>
        <v>360.98564733138289</v>
      </c>
      <c r="BF48" s="641">
        <f t="shared" si="290"/>
        <v>360</v>
      </c>
      <c r="BG48" s="641">
        <f t="shared" si="291"/>
        <v>59</v>
      </c>
      <c r="BH48" s="641">
        <f t="shared" si="292"/>
        <v>8</v>
      </c>
      <c r="BI48" s="641">
        <f t="shared" si="293"/>
        <v>19.823578704854299</v>
      </c>
      <c r="BJ48" s="502"/>
      <c r="BK48" s="655"/>
      <c r="BL48" s="656">
        <v>37</v>
      </c>
      <c r="BM48" s="656" t="s">
        <v>1163</v>
      </c>
      <c r="BN48" s="656">
        <f>[1]!sn(BN36)</f>
        <v>0.37820064364380046</v>
      </c>
      <c r="BO48" s="641">
        <f t="shared" si="163"/>
        <v>0</v>
      </c>
      <c r="BP48" s="641">
        <f t="shared" si="164"/>
        <v>22</v>
      </c>
      <c r="BQ48" s="641">
        <f t="shared" si="165"/>
        <v>41</v>
      </c>
      <c r="BR48" s="657">
        <f t="shared" si="47"/>
        <v>31.339027060904243</v>
      </c>
      <c r="BS48" s="502"/>
      <c r="BT48" s="587"/>
      <c r="BU48" s="502"/>
      <c r="BV48" s="502">
        <f>[1]!ekhtoolq(BN3,BN11,BN40,BN36,BN18,BN91)</f>
        <v>0.28405367344221588</v>
      </c>
      <c r="BW48" s="605">
        <f t="shared" ref="BW48" si="294">INT(ABS(BV48))</f>
        <v>0</v>
      </c>
      <c r="BX48" s="605">
        <f t="shared" ref="BX48" si="295">INT((ABS(BV48)-BW48)*60)</f>
        <v>17</v>
      </c>
      <c r="BY48" s="605">
        <f t="shared" ref="BY48" si="296">INT((((ABS(BV48)-BW48)*60)-BX48)*60)</f>
        <v>2</v>
      </c>
      <c r="BZ48" s="605">
        <f t="shared" ref="BZ48" si="297">INT((((((ABS(BV48)-BW48)*60)-BX48)*60)-BY48)*60)</f>
        <v>35</v>
      </c>
      <c r="CA48" s="1057"/>
      <c r="CB48" s="1057" t="s">
        <v>416</v>
      </c>
      <c r="CC48" s="1057">
        <f>[1]!arzq([1]!hesseha(CC4,CC5,[1]!roz(BE5,CC43,0,0),CC7))</f>
        <v>0.41380151306773871</v>
      </c>
      <c r="CD48" s="630">
        <f t="shared" si="282"/>
        <v>0</v>
      </c>
      <c r="CE48" s="630">
        <f t="shared" si="283"/>
        <v>24</v>
      </c>
      <c r="CF48" s="630">
        <f t="shared" si="284"/>
        <v>49</v>
      </c>
      <c r="CG48" s="665">
        <f t="shared" si="285"/>
        <v>41</v>
      </c>
      <c r="CH48" s="656"/>
      <c r="CI48" s="656"/>
      <c r="CJ48" s="656"/>
      <c r="CL48" s="656">
        <f>[1]!bodovkosoof(CC4,CC5,BE5,BN8,BE6,BN11)</f>
        <v>21.518005165247846</v>
      </c>
      <c r="CM48" s="656"/>
      <c r="CN48" s="621">
        <v>41</v>
      </c>
      <c r="CO48" s="621" t="s">
        <v>1138</v>
      </c>
      <c r="CP48" s="621">
        <f>CC77-CP47</f>
        <v>22.340742646088625</v>
      </c>
      <c r="CQ48" s="622">
        <f t="shared" si="274"/>
        <v>22</v>
      </c>
      <c r="CR48" s="622">
        <f t="shared" si="275"/>
        <v>20</v>
      </c>
      <c r="CS48" s="622">
        <f t="shared" si="276"/>
        <v>26</v>
      </c>
      <c r="CT48" s="682">
        <f t="shared" si="277"/>
        <v>40</v>
      </c>
      <c r="CU48" s="607" t="s">
        <v>3531</v>
      </c>
      <c r="CV48" s="607">
        <f>CV47/(10/3600)</f>
        <v>499.29409158663498</v>
      </c>
      <c r="CW48" s="608">
        <f>INT(ABS(CV48))</f>
        <v>499</v>
      </c>
      <c r="CX48" s="608">
        <f>INT((ABS(CV48)-CW48)*60)</f>
        <v>17</v>
      </c>
      <c r="CY48" s="608">
        <f>INT((((ABS(CV48)-CW48)*60)-CX48)*60)</f>
        <v>38</v>
      </c>
      <c r="CZ48" s="689">
        <f>INT((((((ABS(CV48)-CW48)*60)-CX48)*60)-CY48)*60)</f>
        <v>43</v>
      </c>
      <c r="FE48" s="587"/>
      <c r="FF48" s="502"/>
      <c r="FG48" s="502"/>
      <c r="FH48" s="502"/>
      <c r="FI48" s="585" t="s">
        <v>1102</v>
      </c>
      <c r="FJ48" s="586">
        <f>IF(FJ16=90,FJ32,FJ44)</f>
        <v>0</v>
      </c>
      <c r="FK48" s="605">
        <f>INT(ABS(FJ48))</f>
        <v>0</v>
      </c>
      <c r="FL48" s="605">
        <f>INT((ABS(FJ48)-FK48)*60)</f>
        <v>0</v>
      </c>
      <c r="FM48" s="605">
        <f>INT((((ABS(FJ48)-FK48)*60)-FL48)*60)</f>
        <v>0</v>
      </c>
      <c r="FN48" s="605">
        <f>INT((((((ABS(FJ48)-FK48)*60)-FL48)*60)-FM48)*60)</f>
        <v>0</v>
      </c>
      <c r="FO48" s="606" t="s">
        <v>2289</v>
      </c>
      <c r="GT48" s="577" t="s">
        <v>387</v>
      </c>
      <c r="GU48" s="577" t="e">
        <f ca="1">[2]!taam(GU47)</f>
        <v>#NAME?</v>
      </c>
      <c r="GV48" s="578" t="e">
        <f t="shared" ca="1" si="174"/>
        <v>#NAME?</v>
      </c>
      <c r="GW48" s="578" t="e">
        <f t="shared" ca="1" si="175"/>
        <v>#NAME?</v>
      </c>
      <c r="GX48" s="578" t="e">
        <f t="shared" ca="1" si="176"/>
        <v>#NAME?</v>
      </c>
      <c r="GY48" s="578" t="e">
        <f t="shared" ca="1" si="177"/>
        <v>#NAME?</v>
      </c>
    </row>
    <row r="49" spans="13:207">
      <c r="M49" s="632">
        <v>8</v>
      </c>
      <c r="N49" s="625">
        <v>1385</v>
      </c>
      <c r="O49" s="625">
        <v>8</v>
      </c>
      <c r="P49" s="625">
        <v>15</v>
      </c>
      <c r="Q49" s="1614" t="s">
        <v>4059</v>
      </c>
      <c r="R49" s="1615" t="s">
        <v>4060</v>
      </c>
      <c r="S49" s="1614" t="s">
        <v>4071</v>
      </c>
      <c r="T49" s="640" t="s">
        <v>4093</v>
      </c>
      <c r="U49" s="1614">
        <v>-0.12</v>
      </c>
      <c r="V49" s="640">
        <f t="shared" si="260"/>
        <v>-2</v>
      </c>
      <c r="W49" s="1615">
        <f t="shared" si="261"/>
        <v>33.6</v>
      </c>
      <c r="X49" s="153" t="s">
        <v>4094</v>
      </c>
      <c r="Y49" s="153"/>
      <c r="Z49" s="153"/>
      <c r="AA49" s="625"/>
      <c r="AB49" s="625"/>
      <c r="AC49" s="630"/>
      <c r="AD49" s="669">
        <v>36</v>
      </c>
      <c r="AE49" s="629" t="s">
        <v>925</v>
      </c>
      <c r="AF49" s="629">
        <f>POWER(AF47,2)</f>
        <v>1.1009095518946834</v>
      </c>
      <c r="AG49" s="630">
        <f t="shared" ref="AG49:AG54" si="298">INT(ABS(AF49))</f>
        <v>1</v>
      </c>
      <c r="AH49" s="630">
        <f t="shared" ref="AH49:AH54" si="299">INT((ABS(AF49)-AG49)*60)</f>
        <v>6</v>
      </c>
      <c r="AI49" s="630">
        <f t="shared" ref="AI49:AI54" si="300">INT((((ABS(AF49)-AG49)*60)-AH49)*60)</f>
        <v>3</v>
      </c>
      <c r="AJ49" s="665">
        <f t="shared" ref="AJ49:AJ54" si="301">INT((((((ABS(AF49)-AG49)*60)-AH49)*60)-AI49)*60)</f>
        <v>16</v>
      </c>
      <c r="AK49" s="625" t="s">
        <v>938</v>
      </c>
      <c r="AL49" s="625">
        <f>AL47-AL48</f>
        <v>1.6036307415277755</v>
      </c>
      <c r="AM49" s="626">
        <f t="shared" ref="AM49:AM50" si="302">INT(ABS(AL49))</f>
        <v>1</v>
      </c>
      <c r="AN49" s="626">
        <f t="shared" ref="AN49:AN50" si="303">INT((ABS(AL49)-AM49)*60)</f>
        <v>36</v>
      </c>
      <c r="AO49" s="626">
        <f t="shared" ref="AO49:AO50" si="304">INT((((ABS(AL49)-AM49)*60)-AN49)*60)</f>
        <v>13</v>
      </c>
      <c r="AP49" s="626">
        <f t="shared" ref="AP49:AP50" si="305">INT((((((ABS(AL49)-AM49)*60)-AN49)*60)-AO49)*60)</f>
        <v>4</v>
      </c>
      <c r="AQ49" s="660"/>
      <c r="AR49" s="2557"/>
      <c r="AV49" s="636"/>
      <c r="AW49" s="502"/>
      <c r="AX49" s="163"/>
      <c r="AY49" s="502"/>
      <c r="AZ49" s="502"/>
      <c r="BA49" s="502"/>
      <c r="BB49" s="1654" t="s">
        <v>4122</v>
      </c>
      <c r="BC49" s="502">
        <v>4</v>
      </c>
      <c r="BD49" s="502"/>
      <c r="BE49" s="151">
        <f>BE48/15</f>
        <v>24.065709822092192</v>
      </c>
      <c r="BF49" s="641">
        <f t="shared" ref="BF49" si="306">INT(ABS(BE49))</f>
        <v>24</v>
      </c>
      <c r="BG49" s="641">
        <f t="shared" ref="BG49" si="307">INT((ABS(BE49)-BF49)*60)</f>
        <v>3</v>
      </c>
      <c r="BH49" s="641">
        <f t="shared" ref="BH49" si="308">INT((((ABS(BE49)-BF49)*60)-BG49)*60)</f>
        <v>56</v>
      </c>
      <c r="BI49" s="641">
        <f t="shared" ref="BI49" si="309">((((((ABS(BE49)-BF49)*60)-BG49)*60)-BH49)*60)</f>
        <v>33.321571913401158</v>
      </c>
      <c r="BJ49" s="502"/>
      <c r="BK49" s="655"/>
      <c r="BL49" s="656">
        <v>38</v>
      </c>
      <c r="BM49" s="656"/>
      <c r="BN49" s="656">
        <f>BN48/BN47*60</f>
        <v>0.54659556313904312</v>
      </c>
      <c r="BO49" s="641">
        <f t="shared" si="163"/>
        <v>0</v>
      </c>
      <c r="BP49" s="641">
        <f t="shared" si="164"/>
        <v>32</v>
      </c>
      <c r="BQ49" s="641">
        <f t="shared" si="165"/>
        <v>47</v>
      </c>
      <c r="BR49" s="657">
        <f t="shared" si="47"/>
        <v>44.64163803331644</v>
      </c>
      <c r="BS49" s="502"/>
      <c r="BT49" s="655">
        <v>40</v>
      </c>
      <c r="BU49" s="656" t="s">
        <v>1167</v>
      </c>
      <c r="BV49" s="656">
        <f>IF(BS41=BK30,ABS(ABS(BV41)-ABS(BN36)),ABS(BV41)+ABS(BN36))</f>
        <v>33.133927043092818</v>
      </c>
      <c r="BW49" s="641">
        <f t="shared" ref="BW49:BW50" si="310">INT(ABS(BV49))</f>
        <v>33</v>
      </c>
      <c r="BX49" s="641">
        <f t="shared" ref="BX49:BX50" si="311">INT((ABS(BV49)-BW49)*60)</f>
        <v>8</v>
      </c>
      <c r="BY49" s="641">
        <f t="shared" ref="BY49:BY50" si="312">INT((((ABS(BV49)-BW49)*60)-BX49)*60)</f>
        <v>2</v>
      </c>
      <c r="BZ49" s="641">
        <f t="shared" ref="BZ49:BZ50" si="313">INT((((((ABS(BV49)-BW49)*60)-BX49)*60)-BY49)*60)</f>
        <v>8</v>
      </c>
      <c r="CA49" s="1057"/>
      <c r="CB49" s="1057" t="s">
        <v>3497</v>
      </c>
      <c r="CC49" s="1057">
        <f>[1]!ertmaree(CC4,CC5,BE5,CC43,CC7,CP18)</f>
        <v>-43.790830835272544</v>
      </c>
      <c r="CD49" s="630">
        <f t="shared" si="282"/>
        <v>43</v>
      </c>
      <c r="CE49" s="630">
        <f t="shared" si="283"/>
        <v>47</v>
      </c>
      <c r="CF49" s="630">
        <f t="shared" si="284"/>
        <v>26</v>
      </c>
      <c r="CG49" s="665">
        <f t="shared" si="285"/>
        <v>59</v>
      </c>
      <c r="CH49" s="656"/>
      <c r="CI49" s="656"/>
      <c r="CJ49" s="656"/>
      <c r="CP49" s="656">
        <f>CP48-CJ13</f>
        <v>15.973725132778402</v>
      </c>
      <c r="CQ49" s="622">
        <f t="shared" ref="CQ49" si="314">INT(ABS(CP49))</f>
        <v>15</v>
      </c>
      <c r="CR49" s="622">
        <f t="shared" ref="CR49" si="315">INT((ABS(CP49)-CQ49)*60)</f>
        <v>58</v>
      </c>
      <c r="CS49" s="622">
        <f t="shared" ref="CS49" si="316">INT((((ABS(CP49)-CQ49)*60)-CR49)*60)</f>
        <v>25</v>
      </c>
      <c r="CT49" s="682">
        <f t="shared" ref="CT49" si="317">INT((((((ABS(CP49)-CQ49)*60)-CR49)*60)-CS49)*60)</f>
        <v>24</v>
      </c>
      <c r="FE49" s="587"/>
      <c r="FF49" s="502"/>
      <c r="FG49" s="502"/>
      <c r="FH49" s="502"/>
      <c r="FI49" s="589" t="s">
        <v>1167</v>
      </c>
      <c r="FJ49" s="591">
        <f>IF(FJ16=90,FJ33,FJ45)</f>
        <v>0</v>
      </c>
      <c r="FK49" s="605">
        <f>INT(ABS(FJ49))</f>
        <v>0</v>
      </c>
      <c r="FL49" s="605">
        <f>INT((ABS(FJ49)-FK49)*60)</f>
        <v>0</v>
      </c>
      <c r="FM49" s="605">
        <f>INT((((ABS(FJ49)-FK49)*60)-FL49)*60)</f>
        <v>0</v>
      </c>
      <c r="FN49" s="605">
        <f>INT((((((ABS(FJ49)-FK49)*60)-FL49)*60)-FM49)*60)</f>
        <v>0</v>
      </c>
      <c r="FO49" s="606" t="s">
        <v>2290</v>
      </c>
      <c r="GT49" s="577" t="s">
        <v>3475</v>
      </c>
      <c r="GU49" s="577" t="e">
        <f ca="1">GU42-GU48</f>
        <v>#NAME?</v>
      </c>
      <c r="GV49" s="578" t="e">
        <f t="shared" ca="1" si="174"/>
        <v>#NAME?</v>
      </c>
      <c r="GW49" s="578" t="e">
        <f t="shared" ca="1" si="175"/>
        <v>#NAME?</v>
      </c>
      <c r="GX49" s="578" t="e">
        <f t="shared" ca="1" si="176"/>
        <v>#NAME?</v>
      </c>
      <c r="GY49" s="578" t="e">
        <f t="shared" ca="1" si="177"/>
        <v>#NAME?</v>
      </c>
    </row>
    <row r="50" spans="13:207">
      <c r="M50" s="632"/>
      <c r="N50" s="625"/>
      <c r="O50" s="625"/>
      <c r="P50" s="625"/>
      <c r="Q50" s="153"/>
      <c r="R50" s="153"/>
      <c r="S50" s="625" t="s">
        <v>4095</v>
      </c>
      <c r="T50" s="625"/>
      <c r="U50" s="625"/>
      <c r="V50" s="625"/>
      <c r="W50" s="625"/>
      <c r="X50" s="625"/>
      <c r="Y50" s="625"/>
      <c r="Z50" s="625"/>
      <c r="AA50" s="625"/>
      <c r="AB50" s="625"/>
      <c r="AC50" s="629" t="s">
        <v>2340</v>
      </c>
      <c r="AD50" s="669">
        <v>37</v>
      </c>
      <c r="AE50" s="629" t="s">
        <v>926</v>
      </c>
      <c r="AF50" s="629">
        <f>POWER(AF32,2)</f>
        <v>1.0868380939019409</v>
      </c>
      <c r="AG50" s="630">
        <f t="shared" si="298"/>
        <v>1</v>
      </c>
      <c r="AH50" s="630">
        <f t="shared" si="299"/>
        <v>5</v>
      </c>
      <c r="AI50" s="630">
        <f t="shared" si="300"/>
        <v>12</v>
      </c>
      <c r="AJ50" s="665">
        <f t="shared" si="301"/>
        <v>37</v>
      </c>
      <c r="AK50" s="625"/>
      <c r="AL50" s="625">
        <f>ABS([1]!sn(AF34/2)*4)</f>
        <v>2.0851092395822364</v>
      </c>
      <c r="AM50" s="626">
        <f t="shared" si="302"/>
        <v>2</v>
      </c>
      <c r="AN50" s="626">
        <f t="shared" si="303"/>
        <v>5</v>
      </c>
      <c r="AO50" s="626">
        <f t="shared" si="304"/>
        <v>6</v>
      </c>
      <c r="AP50" s="626">
        <f t="shared" si="305"/>
        <v>23</v>
      </c>
      <c r="AQ50" s="660"/>
      <c r="AR50" s="2557"/>
      <c r="AV50" s="636"/>
      <c r="AW50" s="502"/>
      <c r="AX50" s="163"/>
      <c r="AY50" s="502"/>
      <c r="AZ50" s="502"/>
      <c r="BA50" s="502"/>
      <c r="BB50" s="1655" t="s">
        <v>4138</v>
      </c>
      <c r="BC50" s="502"/>
      <c r="BD50" s="502"/>
      <c r="BE50" s="502">
        <f>[1]!wasat(BE40,BE41,[1]!roz(BE42,BE43,0,0),BE44)</f>
        <v>36.642631917338718</v>
      </c>
      <c r="BF50" s="641">
        <f t="shared" ref="BF50:BF52" si="318">INT(ABS(BE50))</f>
        <v>36</v>
      </c>
      <c r="BG50" s="641">
        <f t="shared" ref="BG50:BG52" si="319">INT((ABS(BE50)-BF50)*60)</f>
        <v>38</v>
      </c>
      <c r="BH50" s="641">
        <f t="shared" ref="BH50:BH52" si="320">INT((((ABS(BE50)-BF50)*60)-BG50)*60)</f>
        <v>33</v>
      </c>
      <c r="BI50" s="641">
        <f t="shared" ref="BI50:BI52" si="321">((((((ABS(BE50)-BF50)*60)-BG50)*60)-BH50)*60)</f>
        <v>28.494145163194844</v>
      </c>
      <c r="BJ50" s="502"/>
      <c r="BK50" s="655"/>
      <c r="BL50" s="656">
        <v>39</v>
      </c>
      <c r="BM50" s="656" t="s">
        <v>1165</v>
      </c>
      <c r="BN50" s="656">
        <f>[1]!asn(ABS(BN49))</f>
        <v>0.52196753439025956</v>
      </c>
      <c r="BO50" s="641">
        <f t="shared" si="163"/>
        <v>0</v>
      </c>
      <c r="BP50" s="641">
        <f t="shared" si="164"/>
        <v>31</v>
      </c>
      <c r="BQ50" s="641">
        <f t="shared" si="165"/>
        <v>19</v>
      </c>
      <c r="BR50" s="657">
        <f t="shared" si="47"/>
        <v>4.987428296069254</v>
      </c>
      <c r="BS50" s="502"/>
      <c r="BT50" s="687"/>
      <c r="BU50" s="658" t="s">
        <v>1167</v>
      </c>
      <c r="BV50" s="658">
        <f>[1]!ekharzq(BN36,BV42)</f>
        <v>0.92964938835873467</v>
      </c>
      <c r="BW50" s="659">
        <f t="shared" si="310"/>
        <v>0</v>
      </c>
      <c r="BX50" s="659">
        <f t="shared" si="311"/>
        <v>55</v>
      </c>
      <c r="BY50" s="659">
        <f t="shared" si="312"/>
        <v>46</v>
      </c>
      <c r="BZ50" s="659">
        <f t="shared" si="313"/>
        <v>44</v>
      </c>
      <c r="CA50" s="1057">
        <f>[1]!ekhtoolq(BN3,BN11,CC44,CC48,CC46,CC49)</f>
        <v>0.49083387453835314</v>
      </c>
      <c r="CB50" s="1057" t="s">
        <v>1102</v>
      </c>
      <c r="CC50" s="1057">
        <f>CA50</f>
        <v>0.49083387453835314</v>
      </c>
      <c r="CD50" s="630">
        <f t="shared" si="282"/>
        <v>0</v>
      </c>
      <c r="CE50" s="630">
        <f t="shared" si="283"/>
        <v>29</v>
      </c>
      <c r="CF50" s="630">
        <f t="shared" si="284"/>
        <v>27</v>
      </c>
      <c r="CG50" s="665">
        <f t="shared" si="285"/>
        <v>0</v>
      </c>
      <c r="CH50" s="656"/>
      <c r="CI50" s="656"/>
      <c r="CJ50" s="656"/>
      <c r="CK50" s="656"/>
      <c r="CL50" s="656"/>
      <c r="CM50" s="656"/>
      <c r="CN50" s="656">
        <v>42</v>
      </c>
      <c r="CO50" s="656"/>
      <c r="CP50" s="656">
        <f>CP17-CP23</f>
        <v>17.292144728301281</v>
      </c>
      <c r="CQ50" s="641">
        <f t="shared" ref="CQ50:CQ58" si="322">INT(ABS(CP50))</f>
        <v>17</v>
      </c>
      <c r="CR50" s="641">
        <f t="shared" ref="CR50:CR58" si="323">INT((ABS(CP50)-CQ50)*60)</f>
        <v>17</v>
      </c>
      <c r="CS50" s="641">
        <f t="shared" ref="CS50:CS58" si="324">INT((((ABS(CP50)-CQ50)*60)-CR50)*60)</f>
        <v>31</v>
      </c>
      <c r="CT50" s="645">
        <f t="shared" ref="CT50:CT58" si="325">INT((((((ABS(CP50)-CQ50)*60)-CR50)*60)-CS50)*60)</f>
        <v>43</v>
      </c>
      <c r="FE50" s="589"/>
      <c r="FF50" s="590"/>
      <c r="FG50" s="590"/>
      <c r="FH50" s="590"/>
      <c r="FI50" s="590"/>
      <c r="FJ50" s="590"/>
      <c r="FK50" s="590"/>
      <c r="FL50" s="590"/>
      <c r="FM50" s="590"/>
      <c r="FN50" s="590"/>
      <c r="FO50" s="615"/>
      <c r="GT50" s="577"/>
      <c r="GU50" s="577" t="e">
        <f ca="1">[2]!arzmarei(GU3,GU4,GU5,GU43,GU7,GU8)</f>
        <v>#NAME?</v>
      </c>
      <c r="GV50" s="577"/>
      <c r="GW50" s="577"/>
      <c r="GX50" s="577"/>
      <c r="GY50" s="577"/>
    </row>
    <row r="51" spans="13:207">
      <c r="M51" s="632">
        <v>9</v>
      </c>
      <c r="N51" s="153">
        <v>1421</v>
      </c>
      <c r="O51" s="153">
        <v>10</v>
      </c>
      <c r="P51" s="153">
        <v>14</v>
      </c>
      <c r="Q51" s="1610" t="s">
        <v>97</v>
      </c>
      <c r="R51" s="1611" t="s">
        <v>97</v>
      </c>
      <c r="S51" s="1610" t="s">
        <v>4056</v>
      </c>
      <c r="T51" s="1611" t="s">
        <v>4056</v>
      </c>
      <c r="U51" s="1610" t="s">
        <v>4056</v>
      </c>
      <c r="V51" s="1616"/>
      <c r="W51" s="1611"/>
      <c r="X51" s="625"/>
      <c r="Y51" s="625"/>
      <c r="Z51" s="625"/>
      <c r="AA51" s="625"/>
      <c r="AB51" s="625"/>
      <c r="AC51" s="629"/>
      <c r="AD51" s="669">
        <v>38</v>
      </c>
      <c r="AE51" s="629" t="s">
        <v>839</v>
      </c>
      <c r="AF51" s="629">
        <f>(AF49-AF50)</f>
        <v>1.4071457992742564E-2</v>
      </c>
      <c r="AG51" s="630">
        <f t="shared" si="298"/>
        <v>0</v>
      </c>
      <c r="AH51" s="630">
        <f t="shared" si="299"/>
        <v>0</v>
      </c>
      <c r="AI51" s="630">
        <f t="shared" si="300"/>
        <v>50</v>
      </c>
      <c r="AJ51" s="665">
        <f t="shared" si="301"/>
        <v>39</v>
      </c>
      <c r="AK51" s="625" t="s">
        <v>4035</v>
      </c>
      <c r="AL51" s="625">
        <f>AL49/AL50</f>
        <v>0.7690871591212517</v>
      </c>
      <c r="AM51" s="626">
        <f t="shared" ref="AM51:AM52" si="326">INT(ABS(AL51))</f>
        <v>0</v>
      </c>
      <c r="AN51" s="626">
        <f t="shared" ref="AN51:AN52" si="327">INT((ABS(AL51)-AM51)*60)</f>
        <v>46</v>
      </c>
      <c r="AO51" s="626">
        <f t="shared" ref="AO51:AO52" si="328">INT((((ABS(AL51)-AM51)*60)-AN51)*60)</f>
        <v>8</v>
      </c>
      <c r="AP51" s="626">
        <f t="shared" ref="AP51:AP52" si="329">INT((((((ABS(AL51)-AM51)*60)-AN51)*60)-AO51)*60)</f>
        <v>42</v>
      </c>
      <c r="AQ51" s="660"/>
      <c r="AR51" s="2557"/>
      <c r="AV51" s="636"/>
      <c r="AW51" s="502"/>
      <c r="AX51" s="163"/>
      <c r="AY51" s="502"/>
      <c r="AZ51" s="502"/>
      <c r="BA51" s="502"/>
      <c r="BB51" s="1655" t="s">
        <v>4139</v>
      </c>
      <c r="BC51" s="502"/>
      <c r="BD51" s="502"/>
      <c r="BE51" s="502">
        <f>[1]!taqsha(BE40,BE41,[1]!roz(BE42,BE43,0,0),BE44)</f>
        <v>38.354238203124346</v>
      </c>
      <c r="BF51" s="641">
        <f t="shared" si="318"/>
        <v>38</v>
      </c>
      <c r="BG51" s="641">
        <f t="shared" si="319"/>
        <v>21</v>
      </c>
      <c r="BH51" s="641">
        <f t="shared" si="320"/>
        <v>15</v>
      </c>
      <c r="BI51" s="641">
        <f t="shared" si="321"/>
        <v>15.45187485879751</v>
      </c>
      <c r="BJ51" s="502"/>
      <c r="BK51" s="655"/>
      <c r="BL51" s="656">
        <v>41</v>
      </c>
      <c r="BM51" s="656" t="s">
        <v>1166</v>
      </c>
      <c r="BN51" s="656">
        <f>IF(OR(AND(BK31=1,BK29=BK30),(AND(BK31=-1,BK29=BK30*-1))),BN50+(90-ABS(BN29)),ABS(BN50-(90-ABS(BN29))))</f>
        <v>62.926975273208122</v>
      </c>
      <c r="BO51" s="641">
        <f t="shared" ref="BO51:BO55" si="330">INT(ABS(BN51))</f>
        <v>62</v>
      </c>
      <c r="BP51" s="641">
        <f t="shared" ref="BP51:BP55" si="331">INT((ABS(BN51)-BO51)*60)</f>
        <v>55</v>
      </c>
      <c r="BQ51" s="641">
        <f t="shared" ref="BQ51:BQ55" si="332">INT((((ABS(BN51)-BO51)*60)-BP51)*60)</f>
        <v>37</v>
      </c>
      <c r="BR51" s="657">
        <f t="shared" si="47"/>
        <v>6.6590129542578325</v>
      </c>
      <c r="BS51" s="502"/>
      <c r="BT51" s="502"/>
      <c r="BU51" s="502"/>
      <c r="BV51" s="502"/>
      <c r="BW51" s="502"/>
      <c r="BX51" s="502"/>
      <c r="BY51" s="502"/>
      <c r="BZ51" s="502"/>
      <c r="CA51" s="628">
        <f>[1]!taqmareeqa(CC$4,CC$5,AX$4,CC43,AX$8,AX$7)</f>
        <v>19.504246359318945</v>
      </c>
      <c r="CB51" s="1057" t="s">
        <v>1107</v>
      </c>
      <c r="CC51" s="1057">
        <f>[1]!taqmaree([1]!taqqa(CC4,CC5,[1]!roz(AX4,CC43,0,0),CC7),CC46,CC50)</f>
        <v>19.504246359318945</v>
      </c>
      <c r="CD51" s="630">
        <f t="shared" si="282"/>
        <v>19</v>
      </c>
      <c r="CE51" s="630">
        <f t="shared" si="283"/>
        <v>30</v>
      </c>
      <c r="CF51" s="630">
        <f t="shared" si="284"/>
        <v>15</v>
      </c>
      <c r="CG51" s="665">
        <f t="shared" si="285"/>
        <v>17</v>
      </c>
      <c r="CH51" s="656"/>
      <c r="CI51" s="656"/>
      <c r="CJ51" s="656"/>
      <c r="CK51" s="656"/>
      <c r="CL51" s="656"/>
      <c r="CM51" s="656"/>
      <c r="CN51" s="656">
        <v>43</v>
      </c>
      <c r="CO51" s="656" t="s">
        <v>443</v>
      </c>
      <c r="CP51" s="656">
        <f>[1]!hesseh(CC4,CC5,[1]!roz(BE5,CP48,0,0),CC7)</f>
        <v>4.375072356075691</v>
      </c>
      <c r="CQ51" s="641">
        <f t="shared" si="322"/>
        <v>4</v>
      </c>
      <c r="CR51" s="641">
        <f t="shared" si="323"/>
        <v>22</v>
      </c>
      <c r="CS51" s="641">
        <f t="shared" si="324"/>
        <v>30</v>
      </c>
      <c r="CT51" s="645">
        <f t="shared" si="325"/>
        <v>15</v>
      </c>
      <c r="FE51" s="587" t="s">
        <v>3418</v>
      </c>
      <c r="FF51" s="502"/>
      <c r="FG51" s="502"/>
      <c r="FH51" s="502"/>
      <c r="FI51" s="502"/>
      <c r="FJ51" s="502"/>
      <c r="FK51" s="502"/>
      <c r="FL51" s="502"/>
      <c r="FM51" s="502"/>
      <c r="FN51" s="502"/>
      <c r="FO51" s="606"/>
      <c r="GT51" s="577"/>
      <c r="GU51" s="577" t="e">
        <f ca="1">[2]!hesseha(GU3,GU4,[2]!roz(GU5,GU43,0,0),GU7)</f>
        <v>#NAME?</v>
      </c>
      <c r="GV51" s="577"/>
      <c r="GW51" s="577"/>
      <c r="GX51" s="577"/>
      <c r="GY51" s="577"/>
    </row>
    <row r="52" spans="13:207">
      <c r="M52" s="632">
        <v>10</v>
      </c>
      <c r="N52" s="625">
        <v>1422</v>
      </c>
      <c r="O52" s="625">
        <v>4</v>
      </c>
      <c r="P52" s="625">
        <v>13</v>
      </c>
      <c r="Q52" s="1612" t="s">
        <v>97</v>
      </c>
      <c r="R52" s="1613" t="s">
        <v>97</v>
      </c>
      <c r="S52" s="1612" t="s">
        <v>4073</v>
      </c>
      <c r="T52" s="1613" t="s">
        <v>4074</v>
      </c>
      <c r="U52" s="1612">
        <v>0.18</v>
      </c>
      <c r="V52" s="625">
        <f>INT(U52*12)</f>
        <v>2</v>
      </c>
      <c r="W52" s="1613">
        <f>((U52*12)-INT(U52*12))*60</f>
        <v>9.6000000000000085</v>
      </c>
      <c r="X52" s="625" t="s">
        <v>4090</v>
      </c>
      <c r="Y52" s="625"/>
      <c r="Z52" s="625"/>
      <c r="AA52" s="625"/>
      <c r="AB52" s="625"/>
      <c r="AC52" s="629"/>
      <c r="AD52" s="669">
        <v>39</v>
      </c>
      <c r="AE52" s="629" t="s">
        <v>927</v>
      </c>
      <c r="AF52" s="638">
        <f>SQRT(ABS(AF51))</f>
        <v>0.11862317645697473</v>
      </c>
      <c r="AG52" s="630">
        <f t="shared" si="298"/>
        <v>0</v>
      </c>
      <c r="AH52" s="630">
        <f t="shared" si="299"/>
        <v>7</v>
      </c>
      <c r="AI52" s="630">
        <f t="shared" si="300"/>
        <v>7</v>
      </c>
      <c r="AJ52" s="665">
        <f t="shared" si="301"/>
        <v>2</v>
      </c>
      <c r="AK52" s="625"/>
      <c r="AL52" s="625">
        <f>POWER(AF45,2)-POWER(AL51,2)</f>
        <v>2.7170119646876545E-3</v>
      </c>
      <c r="AM52" s="626">
        <f t="shared" si="326"/>
        <v>0</v>
      </c>
      <c r="AN52" s="626">
        <f t="shared" si="327"/>
        <v>0</v>
      </c>
      <c r="AO52" s="626">
        <f t="shared" si="328"/>
        <v>9</v>
      </c>
      <c r="AP52" s="626">
        <f t="shared" si="329"/>
        <v>46</v>
      </c>
      <c r="AQ52" s="660"/>
      <c r="AR52" s="2557"/>
      <c r="AV52" s="636"/>
      <c r="AW52" s="502"/>
      <c r="AX52" s="163"/>
      <c r="AY52" s="502"/>
      <c r="AZ52" s="502"/>
      <c r="BA52" s="502"/>
      <c r="BB52" s="1655" t="s">
        <v>4140</v>
      </c>
      <c r="BC52" s="502"/>
      <c r="BD52" s="502" t="s">
        <v>4200</v>
      </c>
      <c r="BE52" s="502">
        <f>BE51-BE50</f>
        <v>1.7116062857856278</v>
      </c>
      <c r="BF52" s="641">
        <f t="shared" si="318"/>
        <v>1</v>
      </c>
      <c r="BG52" s="641">
        <f t="shared" si="319"/>
        <v>42</v>
      </c>
      <c r="BH52" s="641">
        <f t="shared" si="320"/>
        <v>41</v>
      </c>
      <c r="BI52" s="641">
        <f t="shared" si="321"/>
        <v>46.957729695602666</v>
      </c>
      <c r="BJ52" s="502"/>
      <c r="BK52" s="655"/>
      <c r="BL52" s="656">
        <v>42</v>
      </c>
      <c r="BM52" s="656" t="s">
        <v>1073</v>
      </c>
      <c r="BN52" s="656">
        <f>[1]!sn(BN51)</f>
        <v>53.425630789467753</v>
      </c>
      <c r="BO52" s="641">
        <f t="shared" si="330"/>
        <v>53</v>
      </c>
      <c r="BP52" s="641">
        <f t="shared" si="331"/>
        <v>25</v>
      </c>
      <c r="BQ52" s="641">
        <f t="shared" si="332"/>
        <v>32</v>
      </c>
      <c r="BR52" s="657">
        <f t="shared" si="47"/>
        <v>16.250525034722614</v>
      </c>
      <c r="BS52" s="502"/>
      <c r="BT52" s="502"/>
      <c r="BU52" s="502"/>
      <c r="BV52" s="502"/>
      <c r="BW52" s="502"/>
      <c r="BX52" s="502"/>
      <c r="BY52" s="502"/>
      <c r="BZ52" s="502"/>
      <c r="CA52" s="1057"/>
      <c r="CB52" s="1057" t="s">
        <v>3489</v>
      </c>
      <c r="CC52" s="629">
        <f>IF(ABS(CC45-CC51)&lt;180,CC45-CC51,IF(ABS(CC45-CC51)&lt;-180,360-(CC45-CC51),CC45-CC51-360))</f>
        <v>-4.8556083412218953E-2</v>
      </c>
      <c r="CD52" s="630">
        <f t="shared" si="282"/>
        <v>0</v>
      </c>
      <c r="CE52" s="630">
        <f t="shared" si="283"/>
        <v>2</v>
      </c>
      <c r="CF52" s="630">
        <f t="shared" si="284"/>
        <v>54</v>
      </c>
      <c r="CG52" s="665">
        <f t="shared" si="285"/>
        <v>48</v>
      </c>
      <c r="CH52" s="656"/>
      <c r="CI52" s="656"/>
      <c r="CJ52" s="656"/>
      <c r="CK52" s="656"/>
      <c r="CL52" s="656"/>
      <c r="CM52" s="656"/>
      <c r="CN52" s="656">
        <v>44</v>
      </c>
      <c r="CO52" s="656" t="s">
        <v>416</v>
      </c>
      <c r="CP52" s="656">
        <f>[1]!arzqmr(CP51)</f>
        <v>0.3825410533788452</v>
      </c>
      <c r="CQ52" s="641">
        <f t="shared" si="322"/>
        <v>0</v>
      </c>
      <c r="CR52" s="641">
        <f t="shared" si="323"/>
        <v>22</v>
      </c>
      <c r="CS52" s="641">
        <f t="shared" si="324"/>
        <v>57</v>
      </c>
      <c r="CT52" s="645">
        <f t="shared" si="325"/>
        <v>8</v>
      </c>
      <c r="FE52" s="587"/>
      <c r="FF52" s="502"/>
      <c r="FG52" s="502"/>
      <c r="FH52" s="502" t="s">
        <v>3413</v>
      </c>
      <c r="FI52" s="502"/>
      <c r="FJ52" s="502"/>
      <c r="FK52" s="502"/>
      <c r="FL52" s="502"/>
      <c r="FM52" s="502"/>
      <c r="FN52" s="502"/>
      <c r="FO52" s="606"/>
      <c r="GT52" s="577"/>
      <c r="GU52" s="577" t="e">
        <f ca="1">[2]!arzqmr(GU51)</f>
        <v>#NAME?</v>
      </c>
      <c r="GV52" s="578" t="e">
        <f ca="1">INT(ABS(GU52))</f>
        <v>#NAME?</v>
      </c>
      <c r="GW52" s="578" t="e">
        <f ca="1">INT((ABS(GU52)-GV52)*60)</f>
        <v>#NAME?</v>
      </c>
      <c r="GX52" s="578" t="e">
        <f ca="1">INT((((ABS(GU52)-GV52)*60)-GW52)*60)</f>
        <v>#NAME?</v>
      </c>
      <c r="GY52" s="578" t="e">
        <f ca="1">INT((((((ABS(GU52)-GV52)*60)-GW52)*60)-GX52)*60)</f>
        <v>#NAME?</v>
      </c>
    </row>
    <row r="53" spans="13:207">
      <c r="M53" s="632">
        <v>11</v>
      </c>
      <c r="N53" s="625">
        <v>1424</v>
      </c>
      <c r="O53" s="625">
        <v>9</v>
      </c>
      <c r="P53" s="625">
        <v>13</v>
      </c>
      <c r="Q53" s="1612" t="s">
        <v>97</v>
      </c>
      <c r="R53" s="1613" t="s">
        <v>97</v>
      </c>
      <c r="S53" s="1612" t="s">
        <v>4056</v>
      </c>
      <c r="T53" s="1613" t="s">
        <v>4056</v>
      </c>
      <c r="U53" s="1612" t="s">
        <v>4056</v>
      </c>
      <c r="V53" s="625" t="e">
        <f t="shared" ref="V53:V61" si="333">U53*12</f>
        <v>#VALUE!</v>
      </c>
      <c r="W53" s="1613" t="e">
        <f t="shared" ref="W53:W61" si="334">((U53*12)-INT(U53*12))*60</f>
        <v>#VALUE!</v>
      </c>
      <c r="X53" s="626"/>
      <c r="Y53" s="626"/>
      <c r="Z53" s="626"/>
      <c r="AA53" s="626"/>
      <c r="AB53" s="625"/>
      <c r="AC53" s="629"/>
      <c r="AD53" s="669">
        <v>40</v>
      </c>
      <c r="AE53" s="629" t="s">
        <v>928</v>
      </c>
      <c r="AF53" s="629">
        <f>AF52/[1]!sabqq(AF3,AF4,[1]!roz(AF5,AF6,0,0),AF7)</f>
        <v>0.19985556221521203</v>
      </c>
      <c r="AG53" s="630">
        <f t="shared" si="298"/>
        <v>0</v>
      </c>
      <c r="AH53" s="630">
        <f t="shared" si="299"/>
        <v>11</v>
      </c>
      <c r="AI53" s="630">
        <f t="shared" si="300"/>
        <v>59</v>
      </c>
      <c r="AJ53" s="665">
        <f t="shared" si="301"/>
        <v>28</v>
      </c>
      <c r="AK53" s="625" t="s">
        <v>4025</v>
      </c>
      <c r="AL53" s="625">
        <f>SQRT(ABS(AL52))</f>
        <v>5.2124964889078383E-2</v>
      </c>
      <c r="AM53" s="626">
        <f>INT(ABS(AL53))</f>
        <v>0</v>
      </c>
      <c r="AN53" s="626">
        <f t="shared" ref="AN53" si="335">INT((ABS(AL53)-AM53)*60)</f>
        <v>3</v>
      </c>
      <c r="AO53" s="626">
        <f t="shared" ref="AO53" si="336">INT((((ABS(AL53)-AM53)*60)-AN53)*60)</f>
        <v>7</v>
      </c>
      <c r="AP53" s="626">
        <f t="shared" ref="AP53" si="337">INT((((((ABS(AL53)-AM53)*60)-AN53)*60)-AO53)*60)</f>
        <v>38</v>
      </c>
      <c r="AQ53" s="660"/>
      <c r="AR53" s="2557"/>
      <c r="AV53" s="636"/>
      <c r="AW53" s="502"/>
      <c r="AX53" s="163" t="s">
        <v>4155</v>
      </c>
      <c r="AY53" s="502">
        <v>0.14000000000000001</v>
      </c>
      <c r="AZ53" s="502"/>
      <c r="BA53" s="502"/>
      <c r="BB53" s="1655" t="s">
        <v>4141</v>
      </c>
      <c r="BC53" s="502"/>
      <c r="BD53" s="502"/>
      <c r="BE53" s="502">
        <f>BE47-BE52</f>
        <v>-0.72595895440273983</v>
      </c>
      <c r="BF53" s="641">
        <f t="shared" ref="BF53" si="338">INT(ABS(BE53))</f>
        <v>0</v>
      </c>
      <c r="BG53" s="641">
        <f t="shared" ref="BG53" si="339">INT((ABS(BE53)-BF53)*60)</f>
        <v>43</v>
      </c>
      <c r="BH53" s="641">
        <f t="shared" ref="BH53" si="340">INT((((ABS(BE53)-BF53)*60)-BG53)*60)</f>
        <v>33</v>
      </c>
      <c r="BI53" s="641">
        <f t="shared" ref="BI53" si="341">((((((ABS(BE53)-BF53)*60)-BG53)*60)-BH53)*60)</f>
        <v>27.134150991797128</v>
      </c>
      <c r="BJ53" s="502"/>
      <c r="BK53" s="655"/>
      <c r="BL53" s="656">
        <v>43</v>
      </c>
      <c r="BM53" s="656"/>
      <c r="BN53" s="656">
        <f>BN52*BN47/60</f>
        <v>36.966286070113668</v>
      </c>
      <c r="BO53" s="641">
        <f t="shared" si="330"/>
        <v>36</v>
      </c>
      <c r="BP53" s="641">
        <f t="shared" si="331"/>
        <v>57</v>
      </c>
      <c r="BQ53" s="641">
        <f t="shared" si="332"/>
        <v>58</v>
      </c>
      <c r="BR53" s="657">
        <f t="shared" si="47"/>
        <v>37.791144552279547</v>
      </c>
      <c r="BS53" s="502"/>
      <c r="BT53" s="502"/>
      <c r="BU53" s="502"/>
      <c r="BV53" s="502"/>
      <c r="BW53" s="502"/>
      <c r="BX53" s="502"/>
      <c r="BY53" s="502"/>
      <c r="BZ53" s="502"/>
      <c r="CA53" s="152"/>
      <c r="CB53" s="152" t="s">
        <v>1091</v>
      </c>
      <c r="CC53" s="152">
        <f>CC52/CC8</f>
        <v>-8.2708653345315686E-2</v>
      </c>
      <c r="CD53" s="622">
        <f t="shared" si="282"/>
        <v>0</v>
      </c>
      <c r="CE53" s="622">
        <f t="shared" si="283"/>
        <v>4</v>
      </c>
      <c r="CF53" s="622">
        <f t="shared" si="284"/>
        <v>57</v>
      </c>
      <c r="CG53" s="1030">
        <f t="shared" si="285"/>
        <v>45</v>
      </c>
      <c r="CH53" s="656"/>
      <c r="CI53" s="656"/>
      <c r="CJ53" s="656"/>
      <c r="CK53" s="656"/>
      <c r="CL53" s="656"/>
      <c r="CM53" s="656"/>
      <c r="CN53" s="656">
        <v>45</v>
      </c>
      <c r="CO53" s="656" t="s">
        <v>698</v>
      </c>
      <c r="CP53" s="656">
        <f>[1]!taqq(CC4,CC5,[1]!roz(BE5,CP48,0,0),CC7)</f>
        <v>19.657656094343633</v>
      </c>
      <c r="CQ53" s="641">
        <f t="shared" si="322"/>
        <v>19</v>
      </c>
      <c r="CR53" s="641">
        <f t="shared" si="323"/>
        <v>39</v>
      </c>
      <c r="CS53" s="641">
        <f t="shared" si="324"/>
        <v>27</v>
      </c>
      <c r="CT53" s="645">
        <f t="shared" si="325"/>
        <v>33</v>
      </c>
      <c r="FE53" s="587"/>
      <c r="FF53" s="502"/>
      <c r="FG53" s="502"/>
      <c r="FH53" s="502"/>
      <c r="FI53" s="589" t="s">
        <v>1167</v>
      </c>
      <c r="FJ53" s="502">
        <f>FJ26</f>
        <v>0</v>
      </c>
      <c r="FK53" s="605">
        <f>INT(ABS(FJ53))</f>
        <v>0</v>
      </c>
      <c r="FL53" s="605">
        <f>INT((ABS(FJ53)-FK53)*60)</f>
        <v>0</v>
      </c>
      <c r="FM53" s="605">
        <f>INT((((ABS(FJ53)-FK53)*60)-FL53)*60)</f>
        <v>0</v>
      </c>
      <c r="FN53" s="605">
        <f>INT((((((ABS(FJ53)-FK53)*60)-FL53)*60)-FM53)*60)</f>
        <v>0</v>
      </c>
      <c r="FO53" s="606" t="s">
        <v>2291</v>
      </c>
      <c r="GT53" s="577" t="s">
        <v>1116</v>
      </c>
      <c r="GU53" s="577" t="e">
        <f ca="1">GU52-FJ95</f>
        <v>#NAME?</v>
      </c>
      <c r="GV53" s="578" t="e">
        <f ca="1">INT(ABS(GU53))</f>
        <v>#NAME?</v>
      </c>
      <c r="GW53" s="578" t="e">
        <f ca="1">INT((ABS(GU53)-GV53)*60)</f>
        <v>#NAME?</v>
      </c>
      <c r="GX53" s="578" t="e">
        <f ca="1">INT((((ABS(GU53)-GV53)*60)-GW53)*60)</f>
        <v>#NAME?</v>
      </c>
      <c r="GY53" s="578" t="e">
        <f ca="1">INT((((((ABS(GU53)-GV53)*60)-GW53)*60)-GX53)*60)</f>
        <v>#NAME?</v>
      </c>
    </row>
    <row r="54" spans="13:207">
      <c r="M54" s="632">
        <v>12</v>
      </c>
      <c r="N54" s="625">
        <v>1319</v>
      </c>
      <c r="O54" s="625">
        <v>7</v>
      </c>
      <c r="P54" s="625">
        <v>14</v>
      </c>
      <c r="Q54" s="1612" t="s">
        <v>97</v>
      </c>
      <c r="R54" s="1613" t="s">
        <v>97</v>
      </c>
      <c r="S54" s="1612" t="s">
        <v>4075</v>
      </c>
      <c r="T54" s="1613" t="s">
        <v>4076</v>
      </c>
      <c r="U54" s="1612">
        <v>0.22</v>
      </c>
      <c r="V54" s="625">
        <f t="shared" si="333"/>
        <v>2.64</v>
      </c>
      <c r="W54" s="1613">
        <f t="shared" si="334"/>
        <v>38.400000000000006</v>
      </c>
      <c r="X54" s="626"/>
      <c r="Y54" s="626"/>
      <c r="Z54" s="626"/>
      <c r="AA54" s="626"/>
      <c r="AB54" s="153"/>
      <c r="AC54" s="629">
        <f>[1]!bodovkhosoof(AF3,AF4,AF5,AF6,AF7,X5)</f>
        <v>5.5645104822922917</v>
      </c>
      <c r="AD54" s="669">
        <v>41</v>
      </c>
      <c r="AE54" s="1057"/>
      <c r="AF54" s="629">
        <f>IF(AF39-AF53&gt;0,AF39-AF53,AF39-AF53+24)</f>
        <v>6.2621392342520901</v>
      </c>
      <c r="AG54" s="630">
        <f t="shared" si="298"/>
        <v>6</v>
      </c>
      <c r="AH54" s="630">
        <f t="shared" si="299"/>
        <v>15</v>
      </c>
      <c r="AI54" s="630">
        <f t="shared" si="300"/>
        <v>43</v>
      </c>
      <c r="AJ54" s="665">
        <f t="shared" si="301"/>
        <v>42</v>
      </c>
      <c r="AK54" s="625"/>
      <c r="AL54" s="625">
        <f>AL53*60/AF45</f>
        <v>4.0571988257298939</v>
      </c>
      <c r="AM54" s="626">
        <f t="shared" ref="AM54" si="342">INT(ABS(AL54))</f>
        <v>4</v>
      </c>
      <c r="AN54" s="626">
        <f t="shared" ref="AN54" si="343">INT((ABS(AL54)-AM54)*60)</f>
        <v>3</v>
      </c>
      <c r="AO54" s="626">
        <f t="shared" ref="AO54" si="344">INT((((ABS(AL54)-AM54)*60)-AN54)*60)</f>
        <v>25</v>
      </c>
      <c r="AP54" s="626">
        <f t="shared" ref="AP54" si="345">INT((((((ABS(AL54)-AM54)*60)-AN54)*60)-AO54)*60)</f>
        <v>54</v>
      </c>
      <c r="AQ54" s="660"/>
      <c r="AR54" s="2557"/>
      <c r="AV54" s="636"/>
      <c r="AW54" s="502"/>
      <c r="AX54" s="502"/>
      <c r="AY54" s="502"/>
      <c r="AZ54" s="502"/>
      <c r="BA54" s="502"/>
      <c r="BB54" s="1654" t="s">
        <v>4123</v>
      </c>
      <c r="BC54" s="502">
        <v>5</v>
      </c>
      <c r="BD54" s="502"/>
      <c r="BE54" s="502"/>
      <c r="BF54" s="502"/>
      <c r="BG54" s="502"/>
      <c r="BH54" s="502"/>
      <c r="BI54" s="502"/>
      <c r="BJ54" s="502"/>
      <c r="BK54" s="587"/>
      <c r="BL54" s="502">
        <v>44</v>
      </c>
      <c r="BM54" s="502" t="s">
        <v>1074</v>
      </c>
      <c r="BN54" s="502">
        <f>[1]!asn(BN53)</f>
        <v>38.032238614853405</v>
      </c>
      <c r="BO54" s="605">
        <f t="shared" si="330"/>
        <v>38</v>
      </c>
      <c r="BP54" s="605">
        <f t="shared" si="331"/>
        <v>1</v>
      </c>
      <c r="BQ54" s="605">
        <f t="shared" si="332"/>
        <v>56</v>
      </c>
      <c r="BR54" s="654">
        <f t="shared" si="47"/>
        <v>3.5408083354946029</v>
      </c>
      <c r="BS54" s="502"/>
      <c r="BT54" s="502"/>
      <c r="BU54" s="502"/>
      <c r="BV54" s="502"/>
      <c r="BW54" s="502"/>
      <c r="BX54" s="502"/>
      <c r="BY54" s="502"/>
      <c r="BZ54" s="502"/>
      <c r="CA54" s="152"/>
      <c r="CB54" s="152" t="s">
        <v>219</v>
      </c>
      <c r="CC54" s="152">
        <f>CC53+CC43</f>
        <v>22.766653534572995</v>
      </c>
      <c r="CD54" s="622">
        <f t="shared" ref="CD54:CD55" si="346">INT(ABS(CC54))</f>
        <v>22</v>
      </c>
      <c r="CE54" s="622">
        <f t="shared" ref="CE54:CE55" si="347">INT((ABS(CC54)-CD54)*60)</f>
        <v>45</v>
      </c>
      <c r="CF54" s="622">
        <f t="shared" ref="CF54:CF55" si="348">INT((((ABS(CC54)-CD54)*60)-CE54)*60)</f>
        <v>59</v>
      </c>
      <c r="CG54" s="1030">
        <f t="shared" ref="CG54:CG55" si="349">INT((((((ABS(CC54)-CD54)*60)-CE54)*60)-CF54)*60)</f>
        <v>57</v>
      </c>
      <c r="CH54" s="656"/>
      <c r="CI54" s="656"/>
      <c r="CJ54" s="656"/>
      <c r="CK54" s="656"/>
      <c r="CL54" s="656"/>
      <c r="CM54" s="656"/>
      <c r="CN54" s="656">
        <v>46</v>
      </c>
      <c r="CO54" s="656" t="s">
        <v>3835</v>
      </c>
      <c r="CP54" s="656">
        <f>[1]!tale3(CC4,CP18,[1]!taqsh(CC4,CC5,[1]!roz(BE5,CP48,0,0),CC7),CP48)</f>
        <v>248.21252666986484</v>
      </c>
      <c r="CQ54" s="641">
        <f t="shared" si="322"/>
        <v>248</v>
      </c>
      <c r="CR54" s="641">
        <f t="shared" si="323"/>
        <v>12</v>
      </c>
      <c r="CS54" s="641">
        <f t="shared" si="324"/>
        <v>45</v>
      </c>
      <c r="CT54" s="645">
        <f t="shared" si="325"/>
        <v>5</v>
      </c>
      <c r="FE54" s="587"/>
      <c r="FF54" s="502"/>
      <c r="FG54" s="502"/>
      <c r="FH54" s="502"/>
      <c r="FI54" s="585" t="s">
        <v>1102</v>
      </c>
      <c r="FJ54" s="502">
        <v>0</v>
      </c>
      <c r="FK54" s="502"/>
      <c r="FL54" s="502"/>
      <c r="FM54" s="502"/>
      <c r="FN54" s="502"/>
      <c r="FO54" s="606"/>
    </row>
    <row r="55" spans="13:207">
      <c r="M55" s="632">
        <v>13</v>
      </c>
      <c r="N55" s="625">
        <v>1427</v>
      </c>
      <c r="O55" s="625">
        <v>8</v>
      </c>
      <c r="P55" s="625">
        <v>13</v>
      </c>
      <c r="Q55" s="1612" t="s">
        <v>97</v>
      </c>
      <c r="R55" s="1613" t="s">
        <v>97</v>
      </c>
      <c r="S55" s="1612" t="s">
        <v>4079</v>
      </c>
      <c r="T55" s="1613" t="s">
        <v>4080</v>
      </c>
      <c r="U55" s="1612">
        <v>0.18340000000000001</v>
      </c>
      <c r="V55" s="625">
        <f t="shared" si="333"/>
        <v>2.2008000000000001</v>
      </c>
      <c r="W55" s="1613">
        <f t="shared" si="334"/>
        <v>12.048000000000005</v>
      </c>
      <c r="X55" s="626"/>
      <c r="Y55" s="626"/>
      <c r="Z55" s="626"/>
      <c r="AA55" s="626"/>
      <c r="AB55" s="153"/>
      <c r="AC55" s="1057"/>
      <c r="AD55" s="1057"/>
      <c r="AE55" s="607" t="s">
        <v>929</v>
      </c>
      <c r="AF55" s="607">
        <f>[1]!saatrasmi(O3,O4,[1]!roz(O5,AF54,0,0))</f>
        <v>6.2021781183558033</v>
      </c>
      <c r="AG55" s="608">
        <f t="shared" ref="AG55:AG57" si="350">INT(ABS(AF55))</f>
        <v>6</v>
      </c>
      <c r="AH55" s="608">
        <f t="shared" ref="AH55:AH57" si="351">INT((ABS(AF55)-AG55)*60)</f>
        <v>12</v>
      </c>
      <c r="AI55" s="608">
        <f t="shared" ref="AI55:AI57" si="352">INT((((ABS(AF55)-AG55)*60)-AH55)*60)</f>
        <v>7</v>
      </c>
      <c r="AJ55" s="689">
        <f t="shared" ref="AJ55:AJ57" si="353">INT((((((ABS(AF55)-AG55)*60)-AH55)*60)-AI55)*60)</f>
        <v>50</v>
      </c>
      <c r="AK55" s="625"/>
      <c r="AL55" s="625">
        <f>[1]!asn(AL54)</f>
        <v>3.8772981259506722</v>
      </c>
      <c r="AM55" s="626">
        <f t="shared" ref="AM55:AM56" si="354">INT(ABS(AL55))</f>
        <v>3</v>
      </c>
      <c r="AN55" s="626">
        <f t="shared" ref="AN55:AN56" si="355">INT((ABS(AL55)-AM55)*60)</f>
        <v>52</v>
      </c>
      <c r="AO55" s="626">
        <f t="shared" ref="AO55:AO56" si="356">INT((((ABS(AL55)-AM55)*60)-AN55)*60)</f>
        <v>38</v>
      </c>
      <c r="AP55" s="626">
        <f t="shared" ref="AP55:AP56" si="357">INT((((((ABS(AL55)-AM55)*60)-AN55)*60)-AO55)*60)</f>
        <v>16</v>
      </c>
      <c r="AQ55" s="660"/>
      <c r="AR55" s="2557"/>
      <c r="AV55" s="636"/>
      <c r="AW55" s="502"/>
      <c r="AX55" s="502"/>
      <c r="AY55" s="502"/>
      <c r="AZ55" s="502"/>
      <c r="BA55" s="502"/>
      <c r="BB55" s="1655" t="s">
        <v>4161</v>
      </c>
      <c r="BC55" s="502"/>
      <c r="BD55" s="502"/>
      <c r="BE55" s="502"/>
      <c r="BF55" s="502"/>
      <c r="BG55" s="502"/>
      <c r="BH55" s="502"/>
      <c r="BI55" s="502"/>
      <c r="BJ55" s="502"/>
      <c r="BK55" s="587" t="s">
        <v>4117</v>
      </c>
      <c r="BL55" s="502">
        <f>[1]!ertqamar(BN3,BN4,BE5,BN8,BN6,BN11)</f>
        <v>-37.608149133233937</v>
      </c>
      <c r="BM55" s="502" t="s">
        <v>3808</v>
      </c>
      <c r="BN55" s="502">
        <f>[1]!ertaztale(BN3,BN11,BN36,BN40,BN18)</f>
        <v>-37.608675024578915</v>
      </c>
      <c r="BO55" s="605">
        <f t="shared" si="330"/>
        <v>37</v>
      </c>
      <c r="BP55" s="605">
        <f t="shared" si="331"/>
        <v>36</v>
      </c>
      <c r="BQ55" s="605">
        <f t="shared" si="332"/>
        <v>31</v>
      </c>
      <c r="BR55" s="654">
        <f t="shared" si="47"/>
        <v>13.805309045587819</v>
      </c>
      <c r="BS55" s="502" t="s">
        <v>4209</v>
      </c>
      <c r="BT55" s="502"/>
      <c r="BU55" s="502"/>
      <c r="BV55" s="502"/>
      <c r="BW55" s="502"/>
      <c r="BX55" s="502"/>
      <c r="BY55" s="502"/>
      <c r="BZ55" s="502"/>
      <c r="CA55" s="152"/>
      <c r="CB55" s="152" t="s">
        <v>698</v>
      </c>
      <c r="CC55" s="152">
        <f>[1]!taqqa(CC4,CC5,[1]!roz(BE5,CC54,0,0),CC7)</f>
        <v>19.943375265433673</v>
      </c>
      <c r="CD55" s="622">
        <f t="shared" si="346"/>
        <v>19</v>
      </c>
      <c r="CE55" s="622">
        <f t="shared" si="347"/>
        <v>56</v>
      </c>
      <c r="CF55" s="622">
        <f t="shared" si="348"/>
        <v>36</v>
      </c>
      <c r="CG55" s="1030">
        <f t="shared" si="349"/>
        <v>9</v>
      </c>
      <c r="CH55" s="656"/>
      <c r="CI55" s="656"/>
      <c r="CJ55" s="656"/>
      <c r="CK55" s="656"/>
      <c r="CL55" s="656"/>
      <c r="CM55" s="656"/>
      <c r="CN55" s="656">
        <v>47</v>
      </c>
      <c r="CO55" s="656" t="s">
        <v>3497</v>
      </c>
      <c r="CP55" s="609">
        <f>[1]!ertmaree(CC4,CC5,BE5,CP48,CC7,CP18)</f>
        <v>-41.084160350746075</v>
      </c>
      <c r="CQ55" s="641">
        <f t="shared" si="322"/>
        <v>41</v>
      </c>
      <c r="CR55" s="641">
        <f t="shared" si="323"/>
        <v>5</v>
      </c>
      <c r="CS55" s="641">
        <f t="shared" si="324"/>
        <v>2</v>
      </c>
      <c r="CT55" s="645">
        <f t="shared" si="325"/>
        <v>58</v>
      </c>
      <c r="FE55" s="587"/>
      <c r="FF55" s="502"/>
      <c r="FG55" s="502"/>
      <c r="FH55" s="502"/>
      <c r="FI55" s="502" t="s">
        <v>1066</v>
      </c>
      <c r="FJ55" s="502">
        <f>[1]!hesseh(FJ9,FJ10,[1]!roz(FJ11,FJ12,0,0),FJ13)</f>
        <v>4.1095509972052717</v>
      </c>
      <c r="FK55" s="605">
        <f>INT(ABS(FJ55))</f>
        <v>4</v>
      </c>
      <c r="FL55" s="605">
        <f>INT((ABS(FJ55)-FK55)*60)</f>
        <v>6</v>
      </c>
      <c r="FM55" s="605">
        <f>INT((((ABS(FJ55)-FK55)*60)-FL55)*60)</f>
        <v>34</v>
      </c>
      <c r="FN55" s="605">
        <f>INT((((((ABS(FJ55)-FK55)*60)-FL55)*60)-FM55)*60)</f>
        <v>23</v>
      </c>
      <c r="FO55" s="606" t="s">
        <v>594</v>
      </c>
    </row>
    <row r="56" spans="13:207">
      <c r="M56" s="1617">
        <v>14</v>
      </c>
      <c r="N56" s="625">
        <v>1321</v>
      </c>
      <c r="O56" s="625">
        <v>1</v>
      </c>
      <c r="P56" s="625">
        <v>13</v>
      </c>
      <c r="Q56" s="1612" t="s">
        <v>97</v>
      </c>
      <c r="R56" s="1613" t="s">
        <v>97</v>
      </c>
      <c r="S56" s="1612" t="s">
        <v>4081</v>
      </c>
      <c r="T56" s="1613" t="s">
        <v>4082</v>
      </c>
      <c r="U56" s="1612">
        <v>0.97</v>
      </c>
      <c r="V56" s="625">
        <f t="shared" si="333"/>
        <v>11.64</v>
      </c>
      <c r="W56" s="1613">
        <f t="shared" si="334"/>
        <v>38.400000000000034</v>
      </c>
      <c r="X56" s="625"/>
      <c r="Y56" s="625"/>
      <c r="Z56" s="625"/>
      <c r="AA56" s="625"/>
      <c r="AB56" s="153"/>
      <c r="AC56" s="629">
        <f>[1]!enjelakhosoof(AF3,AF4,AF5,AF6,AF7,X5)</f>
        <v>6.6807153971135591</v>
      </c>
      <c r="AD56" s="669">
        <v>42</v>
      </c>
      <c r="AE56" s="1057"/>
      <c r="AF56" s="629">
        <f>IF(AF39+AF53&lt;24,AF39+AF53,AF39+AF53-24)</f>
        <v>6.6618503586825133</v>
      </c>
      <c r="AG56" s="630">
        <f t="shared" si="350"/>
        <v>6</v>
      </c>
      <c r="AH56" s="630">
        <f t="shared" si="351"/>
        <v>39</v>
      </c>
      <c r="AI56" s="630">
        <f t="shared" si="352"/>
        <v>42</v>
      </c>
      <c r="AJ56" s="665">
        <f t="shared" si="353"/>
        <v>39</v>
      </c>
      <c r="AK56" s="625" t="s">
        <v>4032</v>
      </c>
      <c r="AL56" s="625">
        <f>AL55*2</f>
        <v>7.7545962519013445</v>
      </c>
      <c r="AM56" s="626">
        <f t="shared" si="354"/>
        <v>7</v>
      </c>
      <c r="AN56" s="626">
        <f t="shared" si="355"/>
        <v>45</v>
      </c>
      <c r="AO56" s="626">
        <f t="shared" si="356"/>
        <v>16</v>
      </c>
      <c r="AP56" s="626">
        <f t="shared" si="357"/>
        <v>32</v>
      </c>
      <c r="AQ56" s="660"/>
      <c r="AR56" s="2557"/>
      <c r="AV56" s="636"/>
      <c r="AW56" s="502"/>
      <c r="AX56" s="502"/>
      <c r="AY56" s="502"/>
      <c r="AZ56" s="502"/>
      <c r="BA56" s="502"/>
      <c r="BB56" s="1655" t="s">
        <v>4160</v>
      </c>
      <c r="BC56" s="502"/>
      <c r="BD56" s="502"/>
      <c r="BE56" s="502"/>
      <c r="BF56" s="502"/>
      <c r="BG56" s="502"/>
      <c r="BH56" s="502"/>
      <c r="BI56" s="502"/>
      <c r="BJ56" s="502"/>
      <c r="BK56" s="1649"/>
      <c r="BL56" s="607"/>
      <c r="BM56" s="607" t="s">
        <v>1075</v>
      </c>
      <c r="BN56" s="607"/>
      <c r="BO56" s="608"/>
      <c r="BP56" s="608"/>
      <c r="BQ56" s="608"/>
      <c r="BR56" s="689"/>
      <c r="BS56" s="502"/>
      <c r="BT56" s="502"/>
      <c r="BU56" s="502"/>
      <c r="BV56" s="502"/>
      <c r="BW56" s="502"/>
      <c r="BX56" s="502"/>
      <c r="BY56" s="502"/>
      <c r="BZ56" s="502"/>
      <c r="CA56" s="152"/>
      <c r="CB56" s="621" t="s">
        <v>3851</v>
      </c>
      <c r="CC56" s="152">
        <f>[1]!taqmareesha(CC4,CC5,AX4,CC54,CC7,CJ11)</f>
        <v>19.452295895429756</v>
      </c>
      <c r="CD56" s="622">
        <f t="shared" ref="CD56:CD63" si="358">INT(ABS(CC56))</f>
        <v>19</v>
      </c>
      <c r="CE56" s="622">
        <f t="shared" ref="CE56:CE63" si="359">INT((ABS(CC56)-CD56)*60)</f>
        <v>27</v>
      </c>
      <c r="CF56" s="622">
        <f t="shared" ref="CF56:CF63" si="360">INT((((ABS(CC56)-CD56)*60)-CE56)*60)</f>
        <v>8</v>
      </c>
      <c r="CG56" s="1030">
        <f t="shared" ref="CG56:CG63" si="361">INT((((((ABS(CC56)-CD56)*60)-CE56)*60)-CF56)*60)</f>
        <v>15</v>
      </c>
      <c r="CH56" s="656"/>
      <c r="CI56" s="656"/>
      <c r="CJ56" s="656"/>
      <c r="CK56" s="656"/>
      <c r="CL56" s="656"/>
      <c r="CM56" s="656"/>
      <c r="CN56" s="656">
        <v>48</v>
      </c>
      <c r="CO56" s="656" t="s">
        <v>1100</v>
      </c>
      <c r="CP56" s="656">
        <f>[1]!arzmaree(CC4,CP18,CP53,CP52,CP54,CP55)</f>
        <v>0.11050025419455883</v>
      </c>
      <c r="CQ56" s="641">
        <f t="shared" si="322"/>
        <v>0</v>
      </c>
      <c r="CR56" s="641">
        <f t="shared" si="323"/>
        <v>6</v>
      </c>
      <c r="CS56" s="641">
        <f t="shared" si="324"/>
        <v>37</v>
      </c>
      <c r="CT56" s="645">
        <f t="shared" si="325"/>
        <v>48</v>
      </c>
      <c r="FE56" s="587"/>
      <c r="FF56" s="502"/>
      <c r="FG56" s="502"/>
      <c r="FH56" s="502">
        <f>IF(FJ56&gt;0,1,-1)</f>
        <v>1</v>
      </c>
      <c r="FI56" s="502" t="s">
        <v>416</v>
      </c>
      <c r="FJ56" s="502">
        <f>[1]!arzqmr(FJ55)</f>
        <v>0.3593079344776835</v>
      </c>
      <c r="FK56" s="605">
        <f>INT(ABS(FJ56))</f>
        <v>0</v>
      </c>
      <c r="FL56" s="605">
        <f>INT((ABS(FJ56)-FK56)*60)</f>
        <v>21</v>
      </c>
      <c r="FM56" s="605">
        <f>INT((((ABS(FJ56)-FK56)*60)-FL56)*60)</f>
        <v>33</v>
      </c>
      <c r="FN56" s="605">
        <f>INT((((((ABS(FJ56)-FK56)*60)-FL56)*60)-FM56)*60)</f>
        <v>30</v>
      </c>
      <c r="FO56" s="606" t="s">
        <v>701</v>
      </c>
    </row>
    <row r="57" spans="13:207">
      <c r="M57" s="632">
        <v>15</v>
      </c>
      <c r="N57" s="625">
        <v>1321</v>
      </c>
      <c r="O57" s="625">
        <v>7</v>
      </c>
      <c r="P57" s="625">
        <v>15</v>
      </c>
      <c r="Q57" s="1612" t="s">
        <v>97</v>
      </c>
      <c r="R57" s="1613" t="s">
        <v>97</v>
      </c>
      <c r="S57" s="1612" t="s">
        <v>4083</v>
      </c>
      <c r="T57" s="1613" t="s">
        <v>4084</v>
      </c>
      <c r="U57" s="1612">
        <v>0.86499999999999999</v>
      </c>
      <c r="V57" s="625">
        <f t="shared" si="333"/>
        <v>10.379999999999999</v>
      </c>
      <c r="W57" s="1613">
        <f t="shared" si="334"/>
        <v>22.79999999999994</v>
      </c>
      <c r="X57" s="625"/>
      <c r="Y57" s="625"/>
      <c r="Z57" s="625"/>
      <c r="AA57" s="625"/>
      <c r="AB57" s="153"/>
      <c r="AC57" s="1057"/>
      <c r="AD57" s="1057"/>
      <c r="AE57" s="607" t="s">
        <v>930</v>
      </c>
      <c r="AF57" s="77">
        <f>[1]!saatrasmi(O3,O4,[1]!roz(O5,AF56,0,0))</f>
        <v>6.6018892427862568</v>
      </c>
      <c r="AG57" s="608">
        <f t="shared" si="350"/>
        <v>6</v>
      </c>
      <c r="AH57" s="608">
        <f t="shared" si="351"/>
        <v>36</v>
      </c>
      <c r="AI57" s="608">
        <f t="shared" si="352"/>
        <v>6</v>
      </c>
      <c r="AJ57" s="689">
        <f t="shared" si="353"/>
        <v>48</v>
      </c>
      <c r="AK57" s="625" t="s">
        <v>980</v>
      </c>
      <c r="AL57" s="625">
        <f>POWER(AF45,2)*PI()</f>
        <v>1.8667722746970852</v>
      </c>
      <c r="AM57" s="626">
        <f t="shared" ref="AM57" si="362">INT(ABS(AL57))</f>
        <v>1</v>
      </c>
      <c r="AN57" s="626">
        <f t="shared" ref="AN57" si="363">INT((ABS(AL57)-AM57)*60)</f>
        <v>52</v>
      </c>
      <c r="AO57" s="626">
        <f t="shared" ref="AO57" si="364">INT((((ABS(AL57)-AM57)*60)-AN57)*60)</f>
        <v>0</v>
      </c>
      <c r="AP57" s="626">
        <f t="shared" ref="AP57" si="365">INT((((((ABS(AL57)-AM57)*60)-AN57)*60)-AO57)*60)</f>
        <v>22</v>
      </c>
      <c r="AQ57" s="660"/>
      <c r="AR57" s="2557"/>
      <c r="AV57" s="636"/>
      <c r="AW57" s="502"/>
      <c r="AX57" s="502"/>
      <c r="AY57" s="502"/>
      <c r="AZ57" s="502"/>
      <c r="BA57" s="502"/>
      <c r="BB57" s="1655" t="s">
        <v>4152</v>
      </c>
      <c r="BC57" s="502"/>
      <c r="BD57" s="502"/>
      <c r="BE57" s="502"/>
      <c r="BF57" s="502"/>
      <c r="BG57" s="502"/>
      <c r="BH57" s="502"/>
      <c r="BI57" s="502"/>
      <c r="BJ57" s="502"/>
      <c r="BK57" s="655"/>
      <c r="BL57" s="656">
        <v>46</v>
      </c>
      <c r="BM57" s="656" t="s">
        <v>388</v>
      </c>
      <c r="BN57" s="656">
        <f>[1]!wasata(BN3,BN4,BN5,BN6)</f>
        <v>17.510307587806892</v>
      </c>
      <c r="BO57" s="641">
        <f>INT(ABS(BN57))</f>
        <v>17</v>
      </c>
      <c r="BP57" s="641">
        <f>INT((ABS(BN57)-BO57)*60)</f>
        <v>30</v>
      </c>
      <c r="BQ57" s="641">
        <f>INT((((ABS(BN57)-BO57)*60)-BP57)*60)</f>
        <v>37</v>
      </c>
      <c r="BR57" s="657">
        <f t="shared" si="47"/>
        <v>6.4389662886969745</v>
      </c>
      <c r="BS57" s="502"/>
      <c r="BT57" s="502"/>
      <c r="BU57" s="502"/>
      <c r="BV57" s="502"/>
      <c r="BW57" s="502"/>
      <c r="BX57" s="502"/>
      <c r="BY57" s="502"/>
      <c r="BZ57" s="502"/>
      <c r="CA57" s="152"/>
      <c r="CB57" s="152" t="s">
        <v>279</v>
      </c>
      <c r="CC57" s="152">
        <f>[1]!tale3(CC4,AX7,CC56,CC54)</f>
        <v>253.58389200421095</v>
      </c>
      <c r="CD57" s="622">
        <f t="shared" si="358"/>
        <v>253</v>
      </c>
      <c r="CE57" s="622">
        <f t="shared" si="359"/>
        <v>35</v>
      </c>
      <c r="CF57" s="622">
        <f t="shared" si="360"/>
        <v>2</v>
      </c>
      <c r="CG57" s="1030">
        <f t="shared" si="361"/>
        <v>0</v>
      </c>
      <c r="CH57" s="656"/>
      <c r="CI57" s="656"/>
      <c r="CJ57" s="656"/>
      <c r="CK57" s="656"/>
      <c r="CL57" s="656"/>
      <c r="CM57" s="656"/>
      <c r="CN57" s="656">
        <v>49</v>
      </c>
      <c r="CO57" s="656" t="s">
        <v>1139</v>
      </c>
      <c r="CP57" s="656">
        <f>[1]!sn(CP56)</f>
        <v>0.11571552386567135</v>
      </c>
      <c r="CQ57" s="641">
        <f t="shared" si="322"/>
        <v>0</v>
      </c>
      <c r="CR57" s="641">
        <f t="shared" si="323"/>
        <v>6</v>
      </c>
      <c r="CS57" s="641">
        <f t="shared" si="324"/>
        <v>56</v>
      </c>
      <c r="CT57" s="645">
        <f t="shared" si="325"/>
        <v>34</v>
      </c>
      <c r="FE57" s="587"/>
      <c r="FF57" s="502"/>
      <c r="FG57" s="502"/>
      <c r="FH57" s="502"/>
      <c r="FI57" s="502"/>
      <c r="FJ57" s="502">
        <f>IF(FJ53&gt;FJ56,FH56*-1,FH56)</f>
        <v>1</v>
      </c>
      <c r="FK57" s="502"/>
      <c r="FL57" s="502"/>
      <c r="FM57" s="502"/>
      <c r="FN57" s="502"/>
      <c r="FO57" s="606" t="s">
        <v>2344</v>
      </c>
    </row>
    <row r="58" spans="13:207">
      <c r="M58" s="632">
        <v>16</v>
      </c>
      <c r="N58" s="625">
        <v>1322</v>
      </c>
      <c r="O58" s="625">
        <v>12</v>
      </c>
      <c r="P58" s="625">
        <v>15</v>
      </c>
      <c r="Q58" s="1612" t="s">
        <v>97</v>
      </c>
      <c r="R58" s="1613" t="s">
        <v>97</v>
      </c>
      <c r="S58" s="1612" t="s">
        <v>4085</v>
      </c>
      <c r="T58" s="1613" t="s">
        <v>4086</v>
      </c>
      <c r="U58" s="1612">
        <v>0.4047</v>
      </c>
      <c r="V58" s="625">
        <f t="shared" si="333"/>
        <v>4.8563999999999998</v>
      </c>
      <c r="W58" s="1613">
        <f t="shared" si="334"/>
        <v>51.383999999999986</v>
      </c>
      <c r="X58" s="625"/>
      <c r="Y58" s="625"/>
      <c r="Z58" s="625"/>
      <c r="AA58" s="625"/>
      <c r="AB58" s="625"/>
      <c r="AK58" s="625" t="s">
        <v>4029</v>
      </c>
      <c r="AL58" s="625">
        <f>AL57*(AL56/360)</f>
        <v>4.0211292456998234E-2</v>
      </c>
      <c r="AM58" s="626">
        <f t="shared" ref="AM58:AM59" si="366">INT(ABS(AL58))</f>
        <v>0</v>
      </c>
      <c r="AN58" s="626">
        <f t="shared" ref="AN58:AN59" si="367">INT((ABS(AL58)-AM58)*60)</f>
        <v>2</v>
      </c>
      <c r="AO58" s="626">
        <f t="shared" ref="AO58:AO59" si="368">INT((((ABS(AL58)-AM58)*60)-AN58)*60)</f>
        <v>24</v>
      </c>
      <c r="AP58" s="626">
        <f t="shared" ref="AP58:AP59" si="369">INT((((((ABS(AL58)-AM58)*60)-AN58)*60)-AO58)*60)</f>
        <v>45</v>
      </c>
      <c r="AQ58" s="660"/>
      <c r="AR58" s="2557"/>
      <c r="AV58" s="636"/>
      <c r="AW58" s="502"/>
      <c r="AX58" s="163" t="s">
        <v>4156</v>
      </c>
      <c r="AY58" s="502">
        <v>0.25</v>
      </c>
      <c r="AZ58" s="502"/>
      <c r="BA58" s="502"/>
      <c r="BB58" s="1655" t="s">
        <v>4142</v>
      </c>
      <c r="BC58" s="502"/>
      <c r="BD58" s="502"/>
      <c r="BE58" s="502"/>
      <c r="BF58" s="502"/>
      <c r="BG58" s="502"/>
      <c r="BH58" s="502"/>
      <c r="BI58" s="502"/>
      <c r="BJ58" s="502"/>
      <c r="BK58" s="655"/>
      <c r="BL58" s="656">
        <v>47</v>
      </c>
      <c r="BM58" s="656" t="s">
        <v>386</v>
      </c>
      <c r="BN58" s="656">
        <f>[1]!oujsha(BN3,BN4,BN5,BN6)</f>
        <v>103.65059872620635</v>
      </c>
      <c r="BO58" s="641">
        <f>INT(ABS(BN58))</f>
        <v>103</v>
      </c>
      <c r="BP58" s="641">
        <f>INT((ABS(BN58)-BO58)*60)</f>
        <v>39</v>
      </c>
      <c r="BQ58" s="641">
        <f>INT((((ABS(BN58)-BO58)*60)-BP58)*60)</f>
        <v>2</v>
      </c>
      <c r="BR58" s="657">
        <f t="shared" si="47"/>
        <v>9.3248605725011657</v>
      </c>
      <c r="BS58" s="502"/>
      <c r="BT58" s="502"/>
      <c r="BU58" s="502"/>
      <c r="BV58" s="502"/>
      <c r="BW58" s="608"/>
      <c r="BX58" s="608"/>
      <c r="BY58" s="608"/>
      <c r="BZ58" s="608"/>
      <c r="CA58" s="152"/>
      <c r="CB58" s="621" t="s">
        <v>1063</v>
      </c>
      <c r="CC58" s="152">
        <f>IF(ABS(CC57-CC56)&lt;180,ABS(CC57-CC56),ABS(360-CC57-CC56))</f>
        <v>86.963812100359291</v>
      </c>
      <c r="CD58" s="622">
        <f t="shared" si="358"/>
        <v>86</v>
      </c>
      <c r="CE58" s="622">
        <f t="shared" si="359"/>
        <v>57</v>
      </c>
      <c r="CF58" s="622">
        <f t="shared" si="360"/>
        <v>49</v>
      </c>
      <c r="CG58" s="1030">
        <f t="shared" si="361"/>
        <v>43</v>
      </c>
      <c r="CH58" s="609"/>
      <c r="CI58" s="1063"/>
      <c r="CJ58" s="1063"/>
      <c r="CK58" s="609"/>
      <c r="CL58" s="609"/>
      <c r="CM58" s="609"/>
      <c r="CN58" s="609">
        <v>50</v>
      </c>
      <c r="CO58" s="154" t="s">
        <v>3836</v>
      </c>
      <c r="CP58" s="609">
        <f>POWER(CP57,2)</f>
        <v>1.3390082463506757E-2</v>
      </c>
      <c r="CQ58" s="1063">
        <f t="shared" si="322"/>
        <v>0</v>
      </c>
      <c r="CR58" s="1063">
        <f t="shared" si="323"/>
        <v>0</v>
      </c>
      <c r="CS58" s="1063">
        <f t="shared" si="324"/>
        <v>48</v>
      </c>
      <c r="CT58" s="1633">
        <f t="shared" si="325"/>
        <v>12</v>
      </c>
      <c r="FE58" s="589"/>
      <c r="FF58" s="590"/>
      <c r="FG58" s="590"/>
      <c r="FH58" s="590"/>
      <c r="FI58" s="590" t="s">
        <v>1100</v>
      </c>
      <c r="FJ58" s="590">
        <f>IF(AND(ABS(FJ56)&lt;ABS(FJ40),FH56=FH40),ABS(FJ53-FJ56)*FJ57,FJ56+FJ53)</f>
        <v>0.3593079344776835</v>
      </c>
      <c r="FK58" s="619">
        <f>INT(ABS(FJ58))</f>
        <v>0</v>
      </c>
      <c r="FL58" s="619">
        <f>INT((ABS(FJ58)-FK58)*60)</f>
        <v>21</v>
      </c>
      <c r="FM58" s="619">
        <f>INT((((ABS(FJ58)-FK58)*60)-FL58)*60)</f>
        <v>33</v>
      </c>
      <c r="FN58" s="619">
        <f>INT((((((ABS(FJ58)-FK58)*60)-FL58)*60)-FM58)*60)</f>
        <v>30</v>
      </c>
      <c r="FO58" s="615" t="s">
        <v>2341</v>
      </c>
      <c r="GH58" s="578"/>
    </row>
    <row r="59" spans="13:207">
      <c r="M59" s="632">
        <v>17</v>
      </c>
      <c r="N59" s="625">
        <v>1436</v>
      </c>
      <c r="O59" s="625">
        <v>12</v>
      </c>
      <c r="P59" s="625">
        <v>14</v>
      </c>
      <c r="Q59" s="1612" t="s">
        <v>97</v>
      </c>
      <c r="R59" s="1613" t="s">
        <v>97</v>
      </c>
      <c r="S59" s="1612" t="s">
        <v>4056</v>
      </c>
      <c r="T59" s="1613" t="s">
        <v>4056</v>
      </c>
      <c r="U59" s="1612" t="s">
        <v>4056</v>
      </c>
      <c r="V59" s="625" t="e">
        <f t="shared" si="333"/>
        <v>#VALUE!</v>
      </c>
      <c r="W59" s="1613" t="e">
        <f t="shared" si="334"/>
        <v>#VALUE!</v>
      </c>
      <c r="X59" s="625"/>
      <c r="Y59" s="625"/>
      <c r="Z59" s="625"/>
      <c r="AA59" s="625"/>
      <c r="AB59" s="625"/>
      <c r="AC59" s="629">
        <f>[1]!modatkhosoof(AF3,AF4,AF5,AF6,AF7,X5)</f>
        <v>1.1162049148212678</v>
      </c>
      <c r="AD59" s="669">
        <v>43</v>
      </c>
      <c r="AE59" s="629" t="s">
        <v>931</v>
      </c>
      <c r="AF59" s="629">
        <f>AF53*2</f>
        <v>0.39971112443042406</v>
      </c>
      <c r="AG59" s="630">
        <f>INT(ABS(AF59))</f>
        <v>0</v>
      </c>
      <c r="AH59" s="630">
        <f>INT((ABS(AF59)-AG59)*60)</f>
        <v>23</v>
      </c>
      <c r="AI59" s="630">
        <f>INT((((ABS(AF59)-AG59)*60)-AH59)*60)</f>
        <v>58</v>
      </c>
      <c r="AJ59" s="665">
        <f>INT((((((ABS(AF59)-AG59)*60)-AH59)*60)-AI59)*60)</f>
        <v>57</v>
      </c>
      <c r="AK59" s="625" t="s">
        <v>4030</v>
      </c>
      <c r="AL59" s="625">
        <f>AL53*AL51</f>
        <v>4.0088641165836283E-2</v>
      </c>
      <c r="AM59" s="626">
        <f t="shared" si="366"/>
        <v>0</v>
      </c>
      <c r="AN59" s="626">
        <f t="shared" si="367"/>
        <v>2</v>
      </c>
      <c r="AO59" s="626">
        <f t="shared" si="368"/>
        <v>24</v>
      </c>
      <c r="AP59" s="626">
        <f t="shared" si="369"/>
        <v>19</v>
      </c>
      <c r="AQ59" s="660"/>
      <c r="AR59" s="2557"/>
      <c r="AV59" s="636"/>
      <c r="AW59" s="502"/>
      <c r="AX59" s="163"/>
      <c r="AY59" s="502"/>
      <c r="AZ59" s="502"/>
      <c r="BA59" s="502"/>
      <c r="BB59" s="1654" t="s">
        <v>4124</v>
      </c>
      <c r="BC59" s="502">
        <v>6</v>
      </c>
      <c r="BD59" s="502"/>
      <c r="BE59" s="502"/>
      <c r="BF59" s="502"/>
      <c r="BG59" s="502"/>
      <c r="BH59" s="502"/>
      <c r="BI59" s="502"/>
      <c r="BJ59" s="502"/>
      <c r="BK59" s="655"/>
      <c r="BL59" s="656"/>
      <c r="BM59" s="656" t="s">
        <v>1108</v>
      </c>
      <c r="BN59" s="656">
        <f>[1]!mtasha(BN3,BN4,BN5,BN6)</f>
        <v>275.77732442609374</v>
      </c>
      <c r="BO59" s="641">
        <f>INT(ABS(BN59))</f>
        <v>275</v>
      </c>
      <c r="BP59" s="641">
        <f>INT((ABS(BN59)-BO59)*60)</f>
        <v>46</v>
      </c>
      <c r="BQ59" s="641">
        <f>INT((((ABS(BN59)-BO59)*60)-BP59)*60)</f>
        <v>38</v>
      </c>
      <c r="BR59" s="657">
        <f t="shared" si="47"/>
        <v>22.076036248217861</v>
      </c>
      <c r="BS59" s="502"/>
      <c r="BT59" s="502"/>
      <c r="BU59" s="502"/>
      <c r="BV59" s="502"/>
      <c r="BW59" s="502"/>
      <c r="BX59" s="502"/>
      <c r="BY59" s="502"/>
      <c r="BZ59" s="502"/>
      <c r="CA59" s="152"/>
      <c r="CB59" s="152" t="s">
        <v>416</v>
      </c>
      <c r="CC59" s="152">
        <f>[1]!arzq([1]!hesseha(CC4,CC5,[1]!roz(BE5,CC54,0,0),CC7))</f>
        <v>0.40901130130597102</v>
      </c>
      <c r="CD59" s="622">
        <f t="shared" si="358"/>
        <v>0</v>
      </c>
      <c r="CE59" s="622">
        <f t="shared" si="359"/>
        <v>24</v>
      </c>
      <c r="CF59" s="622">
        <f t="shared" si="360"/>
        <v>32</v>
      </c>
      <c r="CG59" s="1030">
        <f t="shared" si="361"/>
        <v>26</v>
      </c>
      <c r="CH59" s="656"/>
      <c r="CI59" s="641"/>
      <c r="CJ59" s="641"/>
      <c r="CK59" s="656"/>
      <c r="CL59" s="656"/>
      <c r="CM59" s="656"/>
      <c r="CN59" s="656">
        <v>51</v>
      </c>
      <c r="CO59" s="145" t="s">
        <v>921</v>
      </c>
      <c r="CP59" s="145">
        <f>[1]!qtrsh([1]!mtash(CC4,CC5,[1]!roz(BE5,CP50,0,0),CC7))/2</f>
        <v>0.26769642288537709</v>
      </c>
      <c r="CQ59" s="641">
        <f t="shared" ref="CQ59:CQ73" si="370">INT(ABS(CP59))</f>
        <v>0</v>
      </c>
      <c r="CR59" s="641">
        <f t="shared" ref="CR59:CR73" si="371">INT((ABS(CP59)-CQ59)*60)</f>
        <v>16</v>
      </c>
      <c r="CS59" s="641">
        <f t="shared" ref="CS59:CS73" si="372">INT((((ABS(CP59)-CQ59)*60)-CR59)*60)</f>
        <v>3</v>
      </c>
      <c r="CT59" s="645">
        <f t="shared" ref="CT59:CT73" si="373">INT((((((ABS(CP59)-CQ59)*60)-CR59)*60)-CS59)*60)</f>
        <v>42</v>
      </c>
      <c r="FE59" s="587"/>
      <c r="FF59" s="502"/>
      <c r="FG59" s="502"/>
      <c r="FH59" s="502" t="s">
        <v>3414</v>
      </c>
      <c r="FI59" s="502"/>
      <c r="FJ59" s="502"/>
      <c r="FK59" s="502"/>
      <c r="FL59" s="502"/>
      <c r="FM59" s="502"/>
      <c r="FN59" s="502"/>
      <c r="FO59" s="606"/>
      <c r="GH59" s="578"/>
    </row>
    <row r="60" spans="13:207">
      <c r="M60" s="632">
        <v>18</v>
      </c>
      <c r="N60" s="625">
        <v>1438</v>
      </c>
      <c r="O60" s="625">
        <v>11</v>
      </c>
      <c r="P60" s="625">
        <v>15</v>
      </c>
      <c r="Q60" s="1612" t="s">
        <v>97</v>
      </c>
      <c r="R60" s="1613" t="s">
        <v>97</v>
      </c>
      <c r="S60" s="1612" t="s">
        <v>4077</v>
      </c>
      <c r="T60" s="1613" t="s">
        <v>4078</v>
      </c>
      <c r="U60" s="1612">
        <v>0.24610000000000001</v>
      </c>
      <c r="V60" s="625">
        <f t="shared" si="333"/>
        <v>2.9532000000000003</v>
      </c>
      <c r="W60" s="1613">
        <f t="shared" si="334"/>
        <v>57.192000000000014</v>
      </c>
      <c r="X60" s="625"/>
      <c r="Y60" s="625"/>
      <c r="Z60" s="625"/>
      <c r="AA60" s="625"/>
      <c r="AB60" s="625"/>
      <c r="AC60" s="629"/>
      <c r="AD60" s="669">
        <v>44</v>
      </c>
      <c r="AE60" s="629" t="s">
        <v>839</v>
      </c>
      <c r="AF60" s="629">
        <f>AF45-AF46</f>
        <v>0.49246067528779658</v>
      </c>
      <c r="AG60" s="630">
        <f>INT(ABS(AF60))</f>
        <v>0</v>
      </c>
      <c r="AH60" s="630">
        <f>INT((ABS(AF60)-AG60)*60)</f>
        <v>29</v>
      </c>
      <c r="AI60" s="630">
        <f>INT((((ABS(AF60)-AG60)*60)-AH60)*60)</f>
        <v>32</v>
      </c>
      <c r="AJ60" s="665">
        <f>INT((((((ABS(AF60)-AG60)*60)-AH60)*60)-AI60)*60)</f>
        <v>51</v>
      </c>
      <c r="AK60" s="625" t="s">
        <v>4031</v>
      </c>
      <c r="AL60" s="625">
        <f>AL58-AL59</f>
        <v>1.2265129116195012E-4</v>
      </c>
      <c r="AM60" s="626">
        <f>INT(ABS(AL60))</f>
        <v>0</v>
      </c>
      <c r="AN60" s="626">
        <f>INT((ABS(AL60)-AM60)*60)</f>
        <v>0</v>
      </c>
      <c r="AO60" s="626">
        <f>INT((((ABS(AL60)-AM60)*60)-AN60)*60)</f>
        <v>0</v>
      </c>
      <c r="AP60" s="626">
        <f>INT((((((ABS(AL60)-AM60)*60)-AN60)*60)-AO60)*60)</f>
        <v>26</v>
      </c>
      <c r="AQ60" s="660"/>
      <c r="AR60" s="2557"/>
      <c r="AV60" s="636"/>
      <c r="AW60" s="502"/>
      <c r="AX60" s="502"/>
      <c r="AY60" s="502"/>
      <c r="AZ60" s="502"/>
      <c r="BA60" s="502"/>
      <c r="BB60" s="1655" t="s">
        <v>4143</v>
      </c>
      <c r="BC60" s="502"/>
      <c r="BD60" s="502"/>
      <c r="BE60" s="502"/>
      <c r="BF60" s="502"/>
      <c r="BG60" s="502"/>
      <c r="BH60" s="502"/>
      <c r="BI60" s="502"/>
      <c r="BJ60" s="502"/>
      <c r="BK60" s="655"/>
      <c r="BL60" s="656">
        <v>48</v>
      </c>
      <c r="BM60" s="656" t="s">
        <v>1076</v>
      </c>
      <c r="BN60" s="641">
        <f>[1]!abaad1(BN59)</f>
        <v>1386.6885262075416</v>
      </c>
      <c r="BO60" s="641">
        <f>INT(ABS(BN60))</f>
        <v>1386</v>
      </c>
      <c r="BP60" s="641">
        <f>INT((ABS(BN60)-BO60)*60)</f>
        <v>41</v>
      </c>
      <c r="BQ60" s="641">
        <f>INT((((ABS(BN60)-BO60)*60)-BP60)*60)</f>
        <v>18</v>
      </c>
      <c r="BR60" s="657">
        <f t="shared" si="47"/>
        <v>41.660828985477565</v>
      </c>
      <c r="BS60" s="502"/>
      <c r="BT60" s="502"/>
      <c r="BU60" s="502"/>
      <c r="BV60" s="502"/>
      <c r="BW60" s="608"/>
      <c r="BX60" s="608"/>
      <c r="BY60" s="608"/>
      <c r="BZ60" s="608"/>
      <c r="CA60" s="152"/>
      <c r="CB60" s="152" t="s">
        <v>3497</v>
      </c>
      <c r="CC60" s="152">
        <f>[1]!ertmaree(CC4,CC5,BE5,CC54,CC7,CP18)</f>
        <v>-43.408135595783826</v>
      </c>
      <c r="CD60" s="622">
        <f t="shared" si="358"/>
        <v>43</v>
      </c>
      <c r="CE60" s="622">
        <f t="shared" si="359"/>
        <v>24</v>
      </c>
      <c r="CF60" s="622">
        <f t="shared" si="360"/>
        <v>29</v>
      </c>
      <c r="CG60" s="1030">
        <f t="shared" si="361"/>
        <v>17</v>
      </c>
      <c r="CH60" s="656"/>
      <c r="CI60" s="641"/>
      <c r="CJ60" s="641"/>
      <c r="CK60" s="656"/>
      <c r="CL60" s="656"/>
      <c r="CM60" s="656"/>
      <c r="CN60" s="656">
        <v>52</v>
      </c>
      <c r="CO60" s="145" t="s">
        <v>850</v>
      </c>
      <c r="CP60" s="145">
        <f>[1]!qtrq([1]!markaz3(CC4,CC5,[1]!roz(BE5,CP50,0,0),CC7))</f>
        <v>0.55500000000000005</v>
      </c>
      <c r="CQ60" s="641">
        <f t="shared" si="370"/>
        <v>0</v>
      </c>
      <c r="CR60" s="641">
        <f t="shared" si="371"/>
        <v>33</v>
      </c>
      <c r="CS60" s="641">
        <f t="shared" si="372"/>
        <v>18</v>
      </c>
      <c r="CT60" s="645">
        <f t="shared" si="373"/>
        <v>0</v>
      </c>
      <c r="FE60" s="587"/>
      <c r="FF60" s="502"/>
      <c r="FG60" s="502"/>
      <c r="FH60" s="502" t="s">
        <v>3419</v>
      </c>
      <c r="FI60" s="502"/>
      <c r="FJ60" s="502"/>
      <c r="FK60" s="502"/>
      <c r="FL60" s="502"/>
      <c r="FM60" s="502"/>
      <c r="FN60" s="502"/>
      <c r="FO60" s="606"/>
      <c r="GH60" s="578"/>
    </row>
    <row r="61" spans="13:207">
      <c r="M61" s="632">
        <v>19</v>
      </c>
      <c r="N61" s="625">
        <v>1440</v>
      </c>
      <c r="O61" s="625">
        <v>11</v>
      </c>
      <c r="P61" s="625">
        <v>14</v>
      </c>
      <c r="Q61" s="1614" t="s">
        <v>97</v>
      </c>
      <c r="R61" s="1615" t="s">
        <v>97</v>
      </c>
      <c r="S61" s="1614" t="s">
        <v>4087</v>
      </c>
      <c r="T61" s="1615" t="s">
        <v>4088</v>
      </c>
      <c r="U61" s="1614">
        <v>0.65280000000000005</v>
      </c>
      <c r="V61" s="640">
        <f t="shared" si="333"/>
        <v>7.8336000000000006</v>
      </c>
      <c r="W61" s="1615">
        <f t="shared" si="334"/>
        <v>50.016000000000034</v>
      </c>
      <c r="X61" s="625"/>
      <c r="Y61" s="625"/>
      <c r="Z61" s="625"/>
      <c r="AA61" s="625"/>
      <c r="AB61" s="625"/>
      <c r="AC61" s="629" t="str">
        <f>[1]!jozeikolli(AF3,AF4,AF5,AF6,AF7,X5)</f>
        <v>jozei</v>
      </c>
      <c r="AD61" s="669">
        <v>45</v>
      </c>
      <c r="AE61" s="629"/>
      <c r="AF61" s="629" t="str">
        <f>IF(AF60&lt;ABS(AF11),"خسوف جزئی","خسوف  کلی")</f>
        <v>خسوف جزئی</v>
      </c>
      <c r="AG61" s="630"/>
      <c r="AH61" s="630"/>
      <c r="AI61" s="630"/>
      <c r="AJ61" s="665"/>
      <c r="AK61" s="625"/>
      <c r="AL61" s="625">
        <f>AL53*60/AF46</f>
        <v>11.234197965416449</v>
      </c>
      <c r="AM61" s="626">
        <f t="shared" ref="AM61:AM63" si="374">INT(ABS(AL61))</f>
        <v>11</v>
      </c>
      <c r="AN61" s="626">
        <f t="shared" ref="AN61:AN63" si="375">INT((ABS(AL61)-AM61)*60)</f>
        <v>14</v>
      </c>
      <c r="AO61" s="626">
        <f t="shared" ref="AO61:AO63" si="376">INT((((ABS(AL61)-AM61)*60)-AN61)*60)</f>
        <v>3</v>
      </c>
      <c r="AP61" s="626">
        <f t="shared" ref="AP61:AP63" si="377">INT((((((ABS(AL61)-AM61)*60)-AN61)*60)-AO61)*60)</f>
        <v>6</v>
      </c>
      <c r="AQ61" s="660"/>
      <c r="AR61" s="2557"/>
      <c r="AV61" s="636"/>
      <c r="AW61" s="502"/>
      <c r="AX61" s="502"/>
      <c r="AY61" s="502"/>
      <c r="AZ61" s="502"/>
      <c r="BA61" s="502"/>
      <c r="BB61" s="1655" t="s">
        <v>4144</v>
      </c>
      <c r="BC61" s="502"/>
      <c r="BD61" s="502"/>
      <c r="BE61" s="502"/>
      <c r="BF61" s="502"/>
      <c r="BG61" s="502"/>
      <c r="BH61" s="502"/>
      <c r="BI61" s="502"/>
      <c r="BJ61" s="502"/>
      <c r="BK61" s="655"/>
      <c r="BL61" s="656">
        <v>49</v>
      </c>
      <c r="BM61" s="656" t="s">
        <v>1025</v>
      </c>
      <c r="BN61" s="656">
        <f>[1]!markaz3a(BN3,BN4,BN5,BN6)</f>
        <v>208.2671600021379</v>
      </c>
      <c r="BO61" s="641">
        <f>INT(ABS(BN61))</f>
        <v>208</v>
      </c>
      <c r="BP61" s="641">
        <f>INT((ABS(BN61)-BO61)*60)</f>
        <v>16</v>
      </c>
      <c r="BQ61" s="641">
        <f>INT((((ABS(BN61)-BO61)*60)-BP61)*60)</f>
        <v>1</v>
      </c>
      <c r="BR61" s="657">
        <f t="shared" si="47"/>
        <v>46.560461786239102</v>
      </c>
      <c r="BS61" s="502"/>
      <c r="BT61" s="502"/>
      <c r="BU61" s="502"/>
      <c r="BV61" s="502"/>
      <c r="BW61" s="502"/>
      <c r="BX61" s="502"/>
      <c r="BY61" s="502"/>
      <c r="BZ61" s="502"/>
      <c r="CA61" s="152">
        <f>[1]!ekhtoolq(BN3,BN11,CC55,CC59,CC57,CC60)</f>
        <v>0.50569946134314137</v>
      </c>
      <c r="CB61" s="152" t="s">
        <v>1102</v>
      </c>
      <c r="CC61" s="152">
        <f>CA61</f>
        <v>0.50569946134314137</v>
      </c>
      <c r="CD61" s="622">
        <f t="shared" si="358"/>
        <v>0</v>
      </c>
      <c r="CE61" s="622">
        <f t="shared" si="359"/>
        <v>30</v>
      </c>
      <c r="CF61" s="622">
        <f t="shared" si="360"/>
        <v>20</v>
      </c>
      <c r="CG61" s="1030">
        <f t="shared" si="361"/>
        <v>31</v>
      </c>
      <c r="CH61" s="656"/>
      <c r="CI61" s="641"/>
      <c r="CJ61" s="641"/>
      <c r="CK61" s="656"/>
      <c r="CL61" s="656"/>
      <c r="CM61" s="656"/>
      <c r="CN61" s="656">
        <v>53</v>
      </c>
      <c r="CO61" s="145" t="s">
        <v>402</v>
      </c>
      <c r="CP61" s="145">
        <f>[1]!oujq(CC4,CC5,[1]!roz(BE5,CP50,0,0),CC7)</f>
        <v>171.15376847405491</v>
      </c>
      <c r="CQ61" s="641">
        <f t="shared" si="370"/>
        <v>171</v>
      </c>
      <c r="CR61" s="641">
        <f t="shared" si="371"/>
        <v>9</v>
      </c>
      <c r="CS61" s="641">
        <f t="shared" si="372"/>
        <v>13</v>
      </c>
      <c r="CT61" s="645">
        <f t="shared" si="373"/>
        <v>33</v>
      </c>
      <c r="FE61" s="587"/>
      <c r="FF61" s="502"/>
      <c r="FG61" s="502"/>
      <c r="FH61" s="502"/>
      <c r="FI61" s="502"/>
      <c r="FJ61" s="502"/>
      <c r="FK61" s="605">
        <f>INT(ABS(FJ61))</f>
        <v>0</v>
      </c>
      <c r="FL61" s="605">
        <f>INT((ABS(FJ61)-FK61)*60)</f>
        <v>0</v>
      </c>
      <c r="FM61" s="605">
        <f>INT((((ABS(FJ61)-FK61)*60)-FL61)*60)</f>
        <v>0</v>
      </c>
      <c r="FN61" s="605">
        <f>INT((((((ABS(FJ61)-FK61)*60)-FL61)*60)-FM61)*60)</f>
        <v>0</v>
      </c>
      <c r="FO61" s="606" t="s">
        <v>3433</v>
      </c>
      <c r="GH61" s="578"/>
    </row>
    <row r="62" spans="13:207">
      <c r="M62" s="632"/>
      <c r="N62" s="625"/>
      <c r="O62" s="625"/>
      <c r="P62" s="625"/>
      <c r="Q62" s="625"/>
      <c r="R62" s="625"/>
      <c r="S62" s="625"/>
      <c r="T62" s="625"/>
      <c r="U62" s="625"/>
      <c r="V62" s="625"/>
      <c r="W62" s="625"/>
      <c r="X62" s="625"/>
      <c r="Y62" s="625"/>
      <c r="Z62" s="625"/>
      <c r="AA62" s="625"/>
      <c r="AB62" s="625"/>
      <c r="AC62" s="629"/>
      <c r="AD62" s="669">
        <v>46</v>
      </c>
      <c r="AE62" s="629" t="s">
        <v>923</v>
      </c>
      <c r="AF62" s="629">
        <f>AF47</f>
        <v>1.0492423704248144</v>
      </c>
      <c r="AG62" s="630">
        <f t="shared" ref="AG62:AG65" si="378">INT(ABS(AF62))</f>
        <v>1</v>
      </c>
      <c r="AH62" s="630">
        <f t="shared" ref="AH62:AH65" si="379">INT((ABS(AF62)-AG62)*60)</f>
        <v>2</v>
      </c>
      <c r="AI62" s="630">
        <f t="shared" ref="AI62:AI65" si="380">INT((((ABS(AF62)-AG62)*60)-AH62)*60)</f>
        <v>57</v>
      </c>
      <c r="AJ62" s="665">
        <f t="shared" ref="AJ62:AJ65" si="381">INT((((((ABS(AF62)-AG62)*60)-AH62)*60)-AI62)*60)</f>
        <v>16</v>
      </c>
      <c r="AK62" s="625"/>
      <c r="AL62" s="625">
        <f>[1]!asn(AL61)</f>
        <v>10.791560980018328</v>
      </c>
      <c r="AM62" s="626">
        <f t="shared" si="374"/>
        <v>10</v>
      </c>
      <c r="AN62" s="626">
        <f t="shared" si="375"/>
        <v>47</v>
      </c>
      <c r="AO62" s="626">
        <f t="shared" si="376"/>
        <v>29</v>
      </c>
      <c r="AP62" s="626">
        <f t="shared" si="377"/>
        <v>37</v>
      </c>
      <c r="AQ62" s="660"/>
      <c r="AR62" s="2557"/>
      <c r="AV62" s="636"/>
      <c r="AW62" s="502"/>
      <c r="AX62" s="502"/>
      <c r="AY62" s="502"/>
      <c r="AZ62" s="502"/>
      <c r="BA62" s="502"/>
      <c r="BB62" s="1655" t="s">
        <v>4145</v>
      </c>
      <c r="BC62" s="502"/>
      <c r="BD62" s="502"/>
      <c r="BE62" s="502"/>
      <c r="BF62" s="502"/>
      <c r="BG62" s="502"/>
      <c r="BH62" s="502"/>
      <c r="BI62" s="502"/>
      <c r="BJ62" s="502"/>
      <c r="BK62" s="655"/>
      <c r="BL62" s="656">
        <v>50</v>
      </c>
      <c r="BM62" s="656"/>
      <c r="BN62" s="656"/>
      <c r="BO62" s="641"/>
      <c r="BP62" s="641"/>
      <c r="BQ62" s="641"/>
      <c r="BR62" s="657"/>
      <c r="BS62" s="502"/>
      <c r="BT62" s="502"/>
      <c r="BU62" s="502"/>
      <c r="BV62" s="502"/>
      <c r="BW62" s="502"/>
      <c r="BX62" s="502"/>
      <c r="BY62" s="502"/>
      <c r="BZ62" s="502"/>
      <c r="CA62" s="1657">
        <f>[1]!taqmareeqa(CC$4,CC$5,AX$4,CC54,AX$8,AX$7)</f>
        <v>19.437675804090532</v>
      </c>
      <c r="CB62" s="152" t="s">
        <v>1107</v>
      </c>
      <c r="CC62" s="152">
        <f>[1]!taqmaree([1]!taqqa(CC4,CC5,[1]!roz(AX4,CC54,0,0),CC7),CC57,CC61)</f>
        <v>19.437675804090532</v>
      </c>
      <c r="CD62" s="622">
        <f t="shared" si="358"/>
        <v>19</v>
      </c>
      <c r="CE62" s="622">
        <f t="shared" si="359"/>
        <v>26</v>
      </c>
      <c r="CF62" s="622">
        <f t="shared" si="360"/>
        <v>15</v>
      </c>
      <c r="CG62" s="1030">
        <f t="shared" si="361"/>
        <v>37</v>
      </c>
      <c r="CH62" s="656"/>
      <c r="CI62" s="641"/>
      <c r="CJ62" s="641"/>
      <c r="CK62" s="656"/>
      <c r="CL62" s="656"/>
      <c r="CM62" s="656"/>
      <c r="CN62" s="656">
        <v>54</v>
      </c>
      <c r="CO62" s="145" t="s">
        <v>378</v>
      </c>
      <c r="CP62" s="145">
        <f>[1]!taqsh(CC4,CC5,[1]!roz(BE5,CP50,0,0),CC7)</f>
        <v>19.236344889667862</v>
      </c>
      <c r="CQ62" s="641">
        <f t="shared" si="370"/>
        <v>19</v>
      </c>
      <c r="CR62" s="641">
        <f t="shared" si="371"/>
        <v>14</v>
      </c>
      <c r="CS62" s="641">
        <f t="shared" si="372"/>
        <v>10</v>
      </c>
      <c r="CT62" s="645">
        <f t="shared" si="373"/>
        <v>50</v>
      </c>
      <c r="FE62" s="587"/>
      <c r="FF62" s="502"/>
      <c r="FG62" s="502"/>
      <c r="FH62" s="502"/>
      <c r="FI62" s="502"/>
      <c r="FJ62" s="502"/>
      <c r="FK62" s="502"/>
      <c r="FL62" s="502"/>
      <c r="FM62" s="502"/>
      <c r="FN62" s="502"/>
      <c r="FO62" s="588"/>
      <c r="GH62" s="578"/>
    </row>
    <row r="63" spans="13:207">
      <c r="M63" s="632"/>
      <c r="N63" s="625"/>
      <c r="O63" s="625"/>
      <c r="P63" s="625"/>
      <c r="Q63" s="625"/>
      <c r="R63" s="625"/>
      <c r="S63" s="625"/>
      <c r="T63" s="625"/>
      <c r="U63" s="625"/>
      <c r="V63" s="625"/>
      <c r="W63" s="625"/>
      <c r="X63" s="625"/>
      <c r="Y63" s="625"/>
      <c r="Z63" s="625"/>
      <c r="AA63" s="625"/>
      <c r="AB63" s="625">
        <f>AF63</f>
        <v>5.3663518582967695E-2</v>
      </c>
      <c r="AC63" s="629"/>
      <c r="AD63" s="669">
        <v>47</v>
      </c>
      <c r="AE63" s="629" t="s">
        <v>932</v>
      </c>
      <c r="AF63" s="629">
        <f>ABS(AF62-ABS(AF33))</f>
        <v>5.3663518582967695E-2</v>
      </c>
      <c r="AG63" s="630">
        <f t="shared" si="378"/>
        <v>0</v>
      </c>
      <c r="AH63" s="630">
        <f t="shared" si="379"/>
        <v>3</v>
      </c>
      <c r="AI63" s="630">
        <f t="shared" si="380"/>
        <v>13</v>
      </c>
      <c r="AJ63" s="665">
        <f t="shared" si="381"/>
        <v>11</v>
      </c>
      <c r="AK63" s="625" t="s">
        <v>4033</v>
      </c>
      <c r="AL63" s="625">
        <f>AL62*2</f>
        <v>21.583121960036657</v>
      </c>
      <c r="AM63" s="626">
        <f t="shared" si="374"/>
        <v>21</v>
      </c>
      <c r="AN63" s="626">
        <f t="shared" si="375"/>
        <v>34</v>
      </c>
      <c r="AO63" s="626">
        <f t="shared" si="376"/>
        <v>59</v>
      </c>
      <c r="AP63" s="626">
        <f t="shared" si="377"/>
        <v>14</v>
      </c>
      <c r="AQ63" s="660"/>
      <c r="AR63" s="2557"/>
      <c r="AV63" s="636"/>
      <c r="AW63" s="502"/>
      <c r="AX63" s="502" t="s">
        <v>4158</v>
      </c>
      <c r="AY63" s="502">
        <v>0</v>
      </c>
      <c r="AZ63" s="502"/>
      <c r="BA63" s="502"/>
      <c r="BB63" s="1655" t="s">
        <v>4146</v>
      </c>
      <c r="BC63" s="502"/>
      <c r="BD63" s="502"/>
      <c r="BE63" s="502"/>
      <c r="BF63" s="502"/>
      <c r="BG63" s="502"/>
      <c r="BH63" s="502"/>
      <c r="BI63" s="502"/>
      <c r="BJ63" s="502"/>
      <c r="BK63" s="655"/>
      <c r="BL63" s="656">
        <v>51</v>
      </c>
      <c r="BM63" s="656" t="s">
        <v>914</v>
      </c>
      <c r="BN63" s="656">
        <f>[1]!bodq(BN61)</f>
        <v>56.392238666737931</v>
      </c>
      <c r="BO63" s="641">
        <f t="shared" ref="BO63:BO80" si="382">INT(ABS(BN63))</f>
        <v>56</v>
      </c>
      <c r="BP63" s="641">
        <f t="shared" ref="BP63:BP80" si="383">INT((ABS(BN63)-BO63)*60)</f>
        <v>23</v>
      </c>
      <c r="BQ63" s="641">
        <f t="shared" ref="BQ63:BQ80" si="384">INT((((ABS(BN63)-BO63)*60)-BP63)*60)</f>
        <v>32</v>
      </c>
      <c r="BR63" s="657">
        <f t="shared" si="47"/>
        <v>3.5520153931815912</v>
      </c>
      <c r="BS63" s="502"/>
      <c r="BT63" s="502"/>
      <c r="BU63" s="502"/>
      <c r="BV63" s="502"/>
      <c r="BW63" s="502"/>
      <c r="BX63" s="502"/>
      <c r="BY63" s="502"/>
      <c r="BZ63" s="502"/>
      <c r="CA63" s="152"/>
      <c r="CB63" s="152" t="s">
        <v>3489</v>
      </c>
      <c r="CC63" s="621">
        <f>IF(ABS(CC56-CC62)&lt;180,CC56-CC62,IF(ABS(CC56-CC62)&lt;-180,360-(CC56-CC62),CC56-CC62-360))</f>
        <v>1.4620091339224928E-2</v>
      </c>
      <c r="CD63" s="622">
        <f t="shared" si="358"/>
        <v>0</v>
      </c>
      <c r="CE63" s="622">
        <f t="shared" si="359"/>
        <v>0</v>
      </c>
      <c r="CF63" s="622">
        <f t="shared" si="360"/>
        <v>52</v>
      </c>
      <c r="CG63" s="1030">
        <f t="shared" si="361"/>
        <v>37</v>
      </c>
      <c r="CH63" s="656"/>
      <c r="CI63" s="641"/>
      <c r="CJ63" s="641"/>
      <c r="CK63" s="656"/>
      <c r="CL63" s="656"/>
      <c r="CM63" s="656"/>
      <c r="CN63" s="656">
        <v>55</v>
      </c>
      <c r="CO63" s="145" t="s">
        <v>3822</v>
      </c>
      <c r="CP63" s="145">
        <f>IF(CP61-CP62&gt;0,CP61-CP62,CP61-CP62+360)</f>
        <v>151.91742358438705</v>
      </c>
      <c r="CQ63" s="641">
        <f t="shared" si="370"/>
        <v>151</v>
      </c>
      <c r="CR63" s="641">
        <f t="shared" si="371"/>
        <v>55</v>
      </c>
      <c r="CS63" s="641">
        <f t="shared" si="372"/>
        <v>2</v>
      </c>
      <c r="CT63" s="645">
        <f t="shared" si="373"/>
        <v>43</v>
      </c>
      <c r="FE63" s="587"/>
      <c r="FF63" s="502"/>
      <c r="FG63" s="502"/>
      <c r="FH63" s="502"/>
      <c r="FI63" s="502" t="s">
        <v>1100</v>
      </c>
      <c r="FJ63" s="502">
        <f>[1]!sn(FJ28)*[1]!sn(FJ56)/[1]!csn(FJ20)</f>
        <v>0.37626392289135263</v>
      </c>
      <c r="FK63" s="605">
        <f>INT(ABS(FJ63))</f>
        <v>0</v>
      </c>
      <c r="FL63" s="605">
        <f>INT((ABS(FJ63)-FK63)*60)</f>
        <v>22</v>
      </c>
      <c r="FM63" s="605">
        <f>INT((((ABS(FJ63)-FK63)*60)-FL63)*60)</f>
        <v>34</v>
      </c>
      <c r="FN63" s="605">
        <f>INT((((((ABS(FJ63)-FK63)*60)-FL63)*60)-FM63)*60)</f>
        <v>33</v>
      </c>
      <c r="FO63" s="606" t="s">
        <v>3434</v>
      </c>
      <c r="FQ63" s="278" t="s">
        <v>177</v>
      </c>
      <c r="FR63" s="281">
        <f>FJ14</f>
        <v>35.721899999999998</v>
      </c>
      <c r="FS63" s="281"/>
      <c r="FT63" s="281"/>
      <c r="FU63" s="279"/>
      <c r="GH63" s="578"/>
    </row>
    <row r="64" spans="13:207">
      <c r="M64" s="632"/>
      <c r="N64" s="625"/>
      <c r="O64" s="625"/>
      <c r="P64" s="625"/>
      <c r="Q64" s="625"/>
      <c r="R64" s="625"/>
      <c r="S64" s="625"/>
      <c r="T64" s="625"/>
      <c r="U64" s="625"/>
      <c r="V64" s="625"/>
      <c r="W64" s="625"/>
      <c r="X64" s="625"/>
      <c r="Y64" s="625"/>
      <c r="Z64" s="625"/>
      <c r="AA64" s="625"/>
      <c r="AB64" s="625"/>
      <c r="AC64" s="629"/>
      <c r="AD64" s="669">
        <v>48</v>
      </c>
      <c r="AE64" s="629" t="s">
        <v>933</v>
      </c>
      <c r="AF64" s="629">
        <f>AF63*12</f>
        <v>0.64396222299561234</v>
      </c>
      <c r="AG64" s="630">
        <f t="shared" si="378"/>
        <v>0</v>
      </c>
      <c r="AH64" s="630">
        <f t="shared" si="379"/>
        <v>38</v>
      </c>
      <c r="AI64" s="630">
        <f t="shared" si="380"/>
        <v>38</v>
      </c>
      <c r="AJ64" s="665">
        <f t="shared" si="381"/>
        <v>15</v>
      </c>
      <c r="AK64" s="625" t="s">
        <v>935</v>
      </c>
      <c r="AL64" s="625">
        <f>POWER(AF46,2)*PI()</f>
        <v>0.24347802997599557</v>
      </c>
      <c r="AM64" s="626">
        <f t="shared" ref="AM64" si="385">INT(ABS(AL64))</f>
        <v>0</v>
      </c>
      <c r="AN64" s="626">
        <f t="shared" ref="AN64" si="386">INT((ABS(AL64)-AM64)*60)</f>
        <v>14</v>
      </c>
      <c r="AO64" s="626">
        <f t="shared" ref="AO64" si="387">INT((((ABS(AL64)-AM64)*60)-AN64)*60)</f>
        <v>36</v>
      </c>
      <c r="AP64" s="626">
        <f t="shared" ref="AP64" si="388">INT((((((ABS(AL64)-AM64)*60)-AN64)*60)-AO64)*60)</f>
        <v>31</v>
      </c>
      <c r="AQ64" s="660"/>
      <c r="AR64" s="2557"/>
      <c r="AV64" s="636"/>
      <c r="AW64" s="502"/>
      <c r="AX64" s="502"/>
      <c r="AY64" s="502"/>
      <c r="AZ64" s="502"/>
      <c r="BA64" s="502"/>
      <c r="BB64" s="1655"/>
      <c r="BC64" s="502"/>
      <c r="BD64" s="502"/>
      <c r="BE64" s="502"/>
      <c r="BF64" s="502"/>
      <c r="BG64" s="502"/>
      <c r="BH64" s="502"/>
      <c r="BI64" s="502"/>
      <c r="BJ64" s="502"/>
      <c r="BK64" s="655"/>
      <c r="BL64" s="656">
        <v>52</v>
      </c>
      <c r="BM64" s="656" t="s">
        <v>402</v>
      </c>
      <c r="BN64" s="656">
        <f>[1]!oujqa(BN3,BN4,BN5,BN6)</f>
        <v>171.175482887714</v>
      </c>
      <c r="BO64" s="641">
        <f t="shared" si="382"/>
        <v>171</v>
      </c>
      <c r="BP64" s="641">
        <f t="shared" si="383"/>
        <v>10</v>
      </c>
      <c r="BQ64" s="641">
        <f t="shared" si="384"/>
        <v>31</v>
      </c>
      <c r="BR64" s="657">
        <f t="shared" si="47"/>
        <v>44.303746223376947</v>
      </c>
      <c r="BS64" s="502"/>
      <c r="BT64" s="502"/>
      <c r="BU64" s="502"/>
      <c r="BV64" s="502">
        <f>5+(54/60)</f>
        <v>5.9</v>
      </c>
      <c r="BW64" s="502"/>
      <c r="BX64" s="502"/>
      <c r="BY64" s="502"/>
      <c r="BZ64" s="502"/>
      <c r="CA64" s="153"/>
      <c r="CB64" s="153" t="s">
        <v>1091</v>
      </c>
      <c r="CC64" s="153">
        <f>CC63/CC8</f>
        <v>2.4903327893792068E-2</v>
      </c>
      <c r="CD64" s="626">
        <f t="shared" ref="CD64:CD66" si="389">INT(ABS(CC64))</f>
        <v>0</v>
      </c>
      <c r="CE64" s="626">
        <f t="shared" ref="CE64:CE66" si="390">INT((ABS(CC64)-CD64)*60)</f>
        <v>1</v>
      </c>
      <c r="CF64" s="626">
        <f t="shared" ref="CF64:CF66" si="391">INT((((ABS(CC64)-CD64)*60)-CE64)*60)</f>
        <v>29</v>
      </c>
      <c r="CG64" s="1056">
        <f t="shared" ref="CG64:CG66" si="392">INT((((((ABS(CC64)-CD64)*60)-CE64)*60)-CF64)*60)</f>
        <v>39</v>
      </c>
      <c r="CH64" s="656"/>
      <c r="CI64" s="656"/>
      <c r="CJ64" s="656"/>
      <c r="CK64" s="656"/>
      <c r="CL64" s="656"/>
      <c r="CM64" s="656"/>
      <c r="CN64" s="656">
        <v>56</v>
      </c>
      <c r="CO64" s="145" t="s">
        <v>1025</v>
      </c>
      <c r="CP64" s="145">
        <f>[1]!markaz3(CC4,CC5,[1]!roz(BE5,CP50,0,0),CC7)</f>
        <v>205.37347473522988</v>
      </c>
      <c r="CQ64" s="641">
        <f t="shared" si="370"/>
        <v>205</v>
      </c>
      <c r="CR64" s="641">
        <f t="shared" si="371"/>
        <v>22</v>
      </c>
      <c r="CS64" s="641">
        <f t="shared" si="372"/>
        <v>24</v>
      </c>
      <c r="CT64" s="645">
        <f t="shared" si="373"/>
        <v>30</v>
      </c>
      <c r="FE64" s="587"/>
      <c r="FF64" s="502"/>
      <c r="FG64" s="502"/>
      <c r="FH64" s="502"/>
      <c r="FI64" s="502" t="s">
        <v>3422</v>
      </c>
      <c r="FJ64" s="502">
        <f>[1]!asn([1]!csn(FJ28)*60/[1]!csn(FJ63))</f>
        <v>-37.610717244161918</v>
      </c>
      <c r="FK64" s="605">
        <f>INT(ABS(FJ64))</f>
        <v>37</v>
      </c>
      <c r="FL64" s="605">
        <f>INT((ABS(FJ64)-FK64)*60)</f>
        <v>36</v>
      </c>
      <c r="FM64" s="605">
        <f>INT((((ABS(FJ64)-FK64)*60)-FL64)*60)</f>
        <v>38</v>
      </c>
      <c r="FN64" s="605">
        <f>INT((((((ABS(FJ64)-FK64)*60)-FL64)*60)-FM64)*60)</f>
        <v>34</v>
      </c>
      <c r="FO64" s="606" t="s">
        <v>3435</v>
      </c>
      <c r="FQ64" s="280" t="s">
        <v>175</v>
      </c>
      <c r="FR64" s="226">
        <f>FJ56</f>
        <v>0.3593079344776835</v>
      </c>
      <c r="FS64" s="226">
        <f>IF(FR64&gt;0,1,-1)</f>
        <v>1</v>
      </c>
      <c r="FT64" s="226"/>
      <c r="FU64" s="227"/>
      <c r="GH64" s="577"/>
    </row>
    <row r="65" spans="13:190">
      <c r="M65" s="632"/>
      <c r="N65" s="625"/>
      <c r="O65" s="625"/>
      <c r="P65" s="625"/>
      <c r="Q65" s="625"/>
      <c r="R65" s="625"/>
      <c r="S65" s="625"/>
      <c r="T65" s="625"/>
      <c r="U65" s="625"/>
      <c r="V65" s="625"/>
      <c r="W65" s="625"/>
      <c r="X65" s="625"/>
      <c r="Y65" s="625"/>
      <c r="Z65" s="625"/>
      <c r="AA65" s="625"/>
      <c r="AB65" s="625">
        <f>[1]!asabeqotrj(ABS(AF33),O17)</f>
        <v>3.5333333333333332</v>
      </c>
      <c r="AC65" s="502">
        <f>[1]!asabeqotrkh(AF3,AF4,AF5,AF6,AF7,X5)</f>
        <v>1.1565793714485182</v>
      </c>
      <c r="AD65" s="587">
        <v>49</v>
      </c>
      <c r="AE65" s="502" t="s">
        <v>934</v>
      </c>
      <c r="AF65" s="502">
        <f>AF64/AF27</f>
        <v>1.1565793714485182</v>
      </c>
      <c r="AG65" s="605">
        <f t="shared" si="378"/>
        <v>1</v>
      </c>
      <c r="AH65" s="605">
        <f t="shared" si="379"/>
        <v>9</v>
      </c>
      <c r="AI65" s="605">
        <f t="shared" si="380"/>
        <v>23</v>
      </c>
      <c r="AJ65" s="654">
        <f t="shared" si="381"/>
        <v>41</v>
      </c>
      <c r="AK65" s="625" t="s">
        <v>948</v>
      </c>
      <c r="AL65" s="625">
        <f>AL64*(AL63/360)</f>
        <v>1.4597266709892705E-2</v>
      </c>
      <c r="AM65" s="626">
        <f>INT(ABS(AL65))</f>
        <v>0</v>
      </c>
      <c r="AN65" s="626">
        <f>INT((ABS(AL65)-AM65)*60)</f>
        <v>0</v>
      </c>
      <c r="AO65" s="626">
        <f>INT((((ABS(AL65)-AM65)*60)-AN65)*60)</f>
        <v>52</v>
      </c>
      <c r="AP65" s="626">
        <f>INT((((((ABS(AL65)-AM65)*60)-AN65)*60)-AO65)*60)</f>
        <v>33</v>
      </c>
      <c r="AQ65" s="660"/>
      <c r="AR65" s="2557"/>
      <c r="AV65" s="636"/>
      <c r="AW65" s="502"/>
      <c r="AX65" s="502"/>
      <c r="AY65" s="502"/>
      <c r="AZ65" s="502"/>
      <c r="BA65" s="502"/>
      <c r="BB65" s="1698" t="s">
        <v>4189</v>
      </c>
      <c r="BC65" s="502">
        <v>7</v>
      </c>
      <c r="BD65" s="502"/>
      <c r="BE65" s="502"/>
      <c r="BF65" s="502"/>
      <c r="BG65" s="502"/>
      <c r="BH65" s="502"/>
      <c r="BI65" s="502"/>
      <c r="BJ65" s="502"/>
      <c r="BK65" s="655"/>
      <c r="BL65" s="656">
        <v>53</v>
      </c>
      <c r="BM65" s="656" t="s">
        <v>1079</v>
      </c>
      <c r="BN65" s="656">
        <f>IF(BN64&gt;BN9,BN64-BN9,BN64+360-BN9)</f>
        <v>151.74755973541389</v>
      </c>
      <c r="BO65" s="641">
        <f t="shared" si="382"/>
        <v>151</v>
      </c>
      <c r="BP65" s="641">
        <f t="shared" si="383"/>
        <v>44</v>
      </c>
      <c r="BQ65" s="641">
        <f t="shared" si="384"/>
        <v>51</v>
      </c>
      <c r="BR65" s="657">
        <f t="shared" si="47"/>
        <v>12.902849399588376</v>
      </c>
      <c r="BS65" s="502"/>
      <c r="BT65" s="502"/>
      <c r="BU65" s="502"/>
      <c r="BV65" s="502">
        <f>BV64*15</f>
        <v>88.5</v>
      </c>
      <c r="BW65" s="502"/>
      <c r="BX65" s="502"/>
      <c r="BY65" s="502"/>
      <c r="BZ65" s="502"/>
      <c r="CA65" s="150"/>
      <c r="CB65" s="150" t="s">
        <v>4113</v>
      </c>
      <c r="CC65" s="150">
        <f>CC64+CC54</f>
        <v>22.791556862466788</v>
      </c>
      <c r="CD65" s="648">
        <f t="shared" si="389"/>
        <v>22</v>
      </c>
      <c r="CE65" s="648">
        <f t="shared" si="390"/>
        <v>47</v>
      </c>
      <c r="CF65" s="648">
        <f t="shared" si="391"/>
        <v>29</v>
      </c>
      <c r="CG65" s="1632">
        <f t="shared" si="392"/>
        <v>36</v>
      </c>
      <c r="CH65" s="656"/>
      <c r="CI65" s="641"/>
      <c r="CJ65" s="641"/>
      <c r="CK65" s="656"/>
      <c r="CL65" s="656"/>
      <c r="CM65" s="656"/>
      <c r="CN65" s="656">
        <v>57</v>
      </c>
      <c r="CO65" s="145" t="s">
        <v>1109</v>
      </c>
      <c r="CP65" s="145">
        <f>[1]!tadq1(CP63,CP64)</f>
        <v>1.6107542679434914E-3</v>
      </c>
      <c r="CQ65" s="641">
        <f t="shared" si="370"/>
        <v>0</v>
      </c>
      <c r="CR65" s="641">
        <f t="shared" si="371"/>
        <v>0</v>
      </c>
      <c r="CS65" s="641">
        <f t="shared" si="372"/>
        <v>5</v>
      </c>
      <c r="CT65" s="645">
        <f t="shared" si="373"/>
        <v>47</v>
      </c>
      <c r="FE65" s="587"/>
      <c r="FF65" s="502"/>
      <c r="FG65" s="502"/>
      <c r="FH65" s="502"/>
      <c r="FI65" s="502"/>
      <c r="FJ65" s="502"/>
      <c r="FK65" s="605"/>
      <c r="FL65" s="605"/>
      <c r="FM65" s="605"/>
      <c r="FN65" s="605"/>
      <c r="FO65" s="606"/>
      <c r="FQ65" s="280" t="s">
        <v>1481</v>
      </c>
      <c r="FR65" s="226">
        <f>FJ17</f>
        <v>19.426839013482223</v>
      </c>
      <c r="FS65" s="226"/>
      <c r="FT65" s="226"/>
      <c r="FU65" s="227"/>
      <c r="GH65" s="578"/>
    </row>
    <row r="66" spans="13:190">
      <c r="M66" s="632"/>
      <c r="N66" s="625"/>
      <c r="O66" s="625"/>
      <c r="P66" s="625"/>
      <c r="Q66" s="625"/>
      <c r="R66" s="625"/>
      <c r="S66" s="625"/>
      <c r="T66" s="625"/>
      <c r="U66" s="625"/>
      <c r="V66" s="625"/>
      <c r="W66" s="625"/>
      <c r="X66" s="625"/>
      <c r="Y66" s="625"/>
      <c r="Z66" s="625"/>
      <c r="AA66" s="625"/>
      <c r="AB66" s="625"/>
      <c r="AC66" s="629"/>
      <c r="AD66" s="669"/>
      <c r="AE66" s="629" t="s">
        <v>4041</v>
      </c>
      <c r="AF66" s="629">
        <f>AF65/12</f>
        <v>9.6381614287376516E-2</v>
      </c>
      <c r="AG66" s="629"/>
      <c r="AH66" s="629"/>
      <c r="AI66" s="629"/>
      <c r="AJ66" s="664"/>
      <c r="AK66" s="625"/>
      <c r="AL66" s="625">
        <f>ABS(AL46-AL51)</f>
        <v>0.27346746066986649</v>
      </c>
      <c r="AM66" s="626">
        <f>INT(ABS(AL66))</f>
        <v>0</v>
      </c>
      <c r="AN66" s="626">
        <f>INT((ABS(AL66)-AM66)*60)</f>
        <v>16</v>
      </c>
      <c r="AO66" s="626">
        <f>INT((((ABS(AL66)-AM66)*60)-AN66)*60)</f>
        <v>24</v>
      </c>
      <c r="AP66" s="626">
        <f>INT((((((ABS(AL66)-AM66)*60)-AN66)*60)-AO66)*60)</f>
        <v>28</v>
      </c>
      <c r="AQ66" s="660"/>
      <c r="AR66" s="2557"/>
      <c r="AV66" s="636"/>
      <c r="AW66" s="502"/>
      <c r="AX66" s="502"/>
      <c r="AY66" s="502"/>
      <c r="AZ66" s="502"/>
      <c r="BA66" s="502"/>
      <c r="BB66" s="1698" t="s">
        <v>4173</v>
      </c>
      <c r="BC66" s="502"/>
      <c r="BD66" s="502"/>
      <c r="BE66" s="502"/>
      <c r="BF66" s="502"/>
      <c r="BG66" s="502"/>
      <c r="BH66" s="502"/>
      <c r="BI66" s="502"/>
      <c r="BJ66" s="502"/>
      <c r="BK66" s="655"/>
      <c r="BL66" s="656">
        <v>54</v>
      </c>
      <c r="BM66" s="982"/>
      <c r="BN66" s="982"/>
      <c r="BO66" s="982"/>
      <c r="BP66" s="982"/>
      <c r="BQ66" s="982"/>
      <c r="BR66" s="657"/>
      <c r="BS66" s="502"/>
      <c r="BT66" s="502"/>
      <c r="BU66" s="502"/>
      <c r="BV66" s="502">
        <f>12+(45/60)</f>
        <v>12.75</v>
      </c>
      <c r="BW66" s="502"/>
      <c r="BX66" s="502"/>
      <c r="BY66" s="502"/>
      <c r="BZ66" s="502"/>
      <c r="CA66" s="153"/>
      <c r="CB66" s="153" t="s">
        <v>698</v>
      </c>
      <c r="CC66" s="153">
        <f>[1]!taqqa(CC4,CC5,[1]!roz(BE5,CC65,0,0),CC7)</f>
        <v>19.958943903830697</v>
      </c>
      <c r="CD66" s="626">
        <f t="shared" si="389"/>
        <v>19</v>
      </c>
      <c r="CE66" s="626">
        <f t="shared" si="390"/>
        <v>57</v>
      </c>
      <c r="CF66" s="626">
        <f t="shared" si="391"/>
        <v>32</v>
      </c>
      <c r="CG66" s="1056">
        <f t="shared" si="392"/>
        <v>11</v>
      </c>
      <c r="CH66" s="656"/>
      <c r="CI66" s="641"/>
      <c r="CJ66" s="641"/>
      <c r="CK66" s="656"/>
      <c r="CL66" s="656"/>
      <c r="CM66" s="656"/>
      <c r="CN66" s="656">
        <v>58</v>
      </c>
      <c r="CO66" s="145" t="s">
        <v>907</v>
      </c>
      <c r="CP66" s="145">
        <f>CP60+CP65</f>
        <v>0.55661075426794349</v>
      </c>
      <c r="CQ66" s="641">
        <f t="shared" si="370"/>
        <v>0</v>
      </c>
      <c r="CR66" s="641">
        <f t="shared" si="371"/>
        <v>33</v>
      </c>
      <c r="CS66" s="641">
        <f t="shared" si="372"/>
        <v>23</v>
      </c>
      <c r="CT66" s="645">
        <f t="shared" si="373"/>
        <v>47</v>
      </c>
      <c r="FE66" s="587"/>
      <c r="FF66" s="502"/>
      <c r="FG66" s="502"/>
      <c r="FH66" s="502"/>
      <c r="FI66" s="502" t="s">
        <v>279</v>
      </c>
      <c r="FJ66" s="502">
        <f>[1]!tale3(FJ9,FJ14,FG17,FJ12)</f>
        <v>243.2079726865957</v>
      </c>
      <c r="FK66" s="605">
        <f t="shared" ref="FK66:FK76" si="393">INT(ABS(FJ66))</f>
        <v>243</v>
      </c>
      <c r="FL66" s="605">
        <f t="shared" ref="FL66:FL76" si="394">INT((ABS(FJ66)-FK66)*60)</f>
        <v>12</v>
      </c>
      <c r="FM66" s="605">
        <f t="shared" ref="FM66:FM76" si="395">INT((((ABS(FJ66)-FK66)*60)-FL66)*60)</f>
        <v>28</v>
      </c>
      <c r="FN66" s="605">
        <f t="shared" ref="FN66:FN76" si="396">INT((((((ABS(FJ66)-FK66)*60)-FL66)*60)-FM66)*60)</f>
        <v>42</v>
      </c>
      <c r="FO66" s="606" t="s">
        <v>3436</v>
      </c>
      <c r="FQ66" s="280" t="s">
        <v>279</v>
      </c>
      <c r="FR66" s="226">
        <f>FJ66</f>
        <v>243.2079726865957</v>
      </c>
      <c r="FS66" s="226">
        <f>IF(FR65-FR67&gt;0,FR65-FR67,FR65-FR67+360)</f>
        <v>316.21886632688654</v>
      </c>
      <c r="FT66" s="226"/>
      <c r="FU66" s="227"/>
      <c r="GH66" s="578"/>
    </row>
    <row r="67" spans="13:190">
      <c r="M67" s="632"/>
      <c r="N67" s="625"/>
      <c r="O67" s="625"/>
      <c r="P67" s="625"/>
      <c r="Q67" s="625"/>
      <c r="R67" s="625"/>
      <c r="S67" s="625"/>
      <c r="T67" s="625"/>
      <c r="U67" s="625"/>
      <c r="V67" s="625"/>
      <c r="W67" s="625"/>
      <c r="X67" s="625"/>
      <c r="Y67" s="625"/>
      <c r="Z67" s="625"/>
      <c r="AA67" s="625"/>
      <c r="AB67" s="625"/>
      <c r="AC67" s="629"/>
      <c r="AD67" s="669">
        <v>50</v>
      </c>
      <c r="AE67" s="629" t="s">
        <v>907</v>
      </c>
      <c r="AF67" s="629">
        <f>AF27</f>
        <v>0.5567816951370177</v>
      </c>
      <c r="AG67" s="630">
        <f t="shared" ref="AG67:AG77" si="397">INT(ABS(AF67))</f>
        <v>0</v>
      </c>
      <c r="AH67" s="630">
        <f t="shared" ref="AH67:AH77" si="398">INT((ABS(AF67)-AG67)*60)</f>
        <v>33</v>
      </c>
      <c r="AI67" s="630">
        <f t="shared" ref="AI67:AI77" si="399">INT((((ABS(AF67)-AG67)*60)-AH67)*60)</f>
        <v>24</v>
      </c>
      <c r="AJ67" s="665">
        <f t="shared" ref="AJ67:AJ77" si="400">INT((((((ABS(AF67)-AG67)*60)-AH67)*60)-AI67)*60)</f>
        <v>24</v>
      </c>
      <c r="AK67" s="625" t="s">
        <v>1043</v>
      </c>
      <c r="AL67" s="625">
        <f>AL66*AL53</f>
        <v>1.4254481785722214E-2</v>
      </c>
      <c r="AM67" s="626">
        <f>INT(ABS(AL67))</f>
        <v>0</v>
      </c>
      <c r="AN67" s="626">
        <f>INT((ABS(AL67)-AM67)*60)</f>
        <v>0</v>
      </c>
      <c r="AO67" s="626">
        <f>INT((((ABS(AL67)-AM67)*60)-AN67)*60)</f>
        <v>51</v>
      </c>
      <c r="AP67" s="626">
        <f>INT((((((ABS(AL67)-AM67)*60)-AN67)*60)-AO67)*60)</f>
        <v>18</v>
      </c>
      <c r="AQ67" s="660"/>
      <c r="AR67" s="2557"/>
      <c r="AV67" s="636"/>
      <c r="AW67" s="502"/>
      <c r="AX67" s="163" t="s">
        <v>4192</v>
      </c>
      <c r="AY67" s="502">
        <v>0.36</v>
      </c>
      <c r="AZ67" s="502"/>
      <c r="BA67" s="502"/>
      <c r="BB67" s="1698" t="s">
        <v>4174</v>
      </c>
      <c r="BC67" s="502"/>
      <c r="BD67" s="502"/>
      <c r="BE67" s="502"/>
      <c r="BF67" s="502"/>
      <c r="BG67" s="502"/>
      <c r="BH67" s="502"/>
      <c r="BI67" s="502"/>
      <c r="BJ67" s="502"/>
      <c r="BK67" s="655" t="s">
        <v>3810</v>
      </c>
      <c r="BL67" s="656">
        <v>55</v>
      </c>
      <c r="BM67" s="656" t="s">
        <v>3809</v>
      </c>
      <c r="BN67" s="656">
        <f>[1]!tadb1(BN65,BN61)</f>
        <v>4.1439549436554238E-3</v>
      </c>
      <c r="BO67" s="641">
        <f t="shared" si="382"/>
        <v>0</v>
      </c>
      <c r="BP67" s="641">
        <f t="shared" si="383"/>
        <v>0</v>
      </c>
      <c r="BQ67" s="641">
        <f t="shared" si="384"/>
        <v>14</v>
      </c>
      <c r="BR67" s="657">
        <f t="shared" si="47"/>
        <v>55.094267829571528</v>
      </c>
      <c r="BS67" s="502"/>
      <c r="BT67" s="502"/>
      <c r="BU67" s="502"/>
      <c r="BV67" s="502">
        <f>BV65/BV66</f>
        <v>6.9411764705882355</v>
      </c>
      <c r="BW67" s="608">
        <f t="shared" ref="BW67" si="401">INT(ABS(BV67))</f>
        <v>6</v>
      </c>
      <c r="BX67" s="608">
        <f t="shared" ref="BX67" si="402">INT((ABS(BV67)-BW67)*60)</f>
        <v>56</v>
      </c>
      <c r="BY67" s="608">
        <f t="shared" ref="BY67" si="403">INT((((ABS(BV67)-BW67)*60)-BX67)*60)</f>
        <v>28</v>
      </c>
      <c r="BZ67" s="608">
        <f t="shared" ref="BZ67" si="404">INT((((((ABS(BV67)-BW67)*60)-BX67)*60)-BY67)*60)</f>
        <v>14</v>
      </c>
      <c r="CA67" s="153"/>
      <c r="CB67" s="625" t="s">
        <v>3851</v>
      </c>
      <c r="CC67" s="153">
        <f>[1]!taqmareesha(CC4,CC5,AX4,CC65,CC7,CJ11)</f>
        <v>19.453317929363603</v>
      </c>
      <c r="CD67" s="626">
        <f t="shared" ref="CD67:CD79" si="405">INT(ABS(CC67))</f>
        <v>19</v>
      </c>
      <c r="CE67" s="626">
        <f t="shared" ref="CE67:CE79" si="406">INT((ABS(CC67)-CD67)*60)</f>
        <v>27</v>
      </c>
      <c r="CF67" s="626">
        <f t="shared" ref="CF67:CF79" si="407">INT((((ABS(CC67)-CD67)*60)-CE67)*60)</f>
        <v>11</v>
      </c>
      <c r="CG67" s="1056">
        <f t="shared" ref="CG67:CG79" si="408">INT((((((ABS(CC67)-CD67)*60)-CE67)*60)-CF67)*60)</f>
        <v>56</v>
      </c>
      <c r="CH67" s="656"/>
      <c r="CI67" s="641"/>
      <c r="CJ67" s="641"/>
      <c r="CK67" s="656"/>
      <c r="CL67" s="656"/>
      <c r="CM67" s="656"/>
      <c r="CN67" s="656">
        <v>59</v>
      </c>
      <c r="CO67" s="656" t="s">
        <v>869</v>
      </c>
      <c r="CP67" s="145">
        <f>[1]!ertaztale(CC4,CP18,CP52,CP53,CP54)</f>
        <v>-40.334091153854068</v>
      </c>
      <c r="CQ67" s="641">
        <f t="shared" si="370"/>
        <v>40</v>
      </c>
      <c r="CR67" s="641">
        <f t="shared" si="371"/>
        <v>20</v>
      </c>
      <c r="CS67" s="641">
        <f t="shared" si="372"/>
        <v>2</v>
      </c>
      <c r="CT67" s="645">
        <f t="shared" si="373"/>
        <v>43</v>
      </c>
      <c r="FE67" s="587"/>
      <c r="FF67" s="502"/>
      <c r="FG67" s="502"/>
      <c r="FH67" s="502"/>
      <c r="FI67" s="502" t="s">
        <v>1067</v>
      </c>
      <c r="FJ67" s="502">
        <f>IF(FJ66&gt;180,FJ66-180,FJ66+180)</f>
        <v>63.207972686595696</v>
      </c>
      <c r="FK67" s="605">
        <f t="shared" si="393"/>
        <v>63</v>
      </c>
      <c r="FL67" s="605">
        <f t="shared" si="394"/>
        <v>12</v>
      </c>
      <c r="FM67" s="605">
        <f t="shared" si="395"/>
        <v>28</v>
      </c>
      <c r="FN67" s="605">
        <f t="shared" si="396"/>
        <v>42</v>
      </c>
      <c r="FO67" s="606" t="s">
        <v>3437</v>
      </c>
      <c r="FQ67" s="280" t="s">
        <v>1067</v>
      </c>
      <c r="FR67" s="226">
        <f>IF(FR66&lt;180,FR66+180,FR66-180)</f>
        <v>63.207972686595696</v>
      </c>
      <c r="FS67" s="226">
        <f>IF(FS66&lt;180,1,-1)</f>
        <v>-1</v>
      </c>
      <c r="FT67" s="226" t="s">
        <v>2191</v>
      </c>
      <c r="FU67" s="227"/>
      <c r="GH67" s="578"/>
    </row>
    <row r="68" spans="13:190">
      <c r="M68" s="632"/>
      <c r="N68" s="625"/>
      <c r="O68" s="625"/>
      <c r="P68" s="625"/>
      <c r="Q68" s="625"/>
      <c r="R68" s="625"/>
      <c r="S68" s="625"/>
      <c r="T68" s="625"/>
      <c r="U68" s="625"/>
      <c r="V68" s="625"/>
      <c r="W68" s="625"/>
      <c r="X68" s="625"/>
      <c r="Y68" s="625"/>
      <c r="Z68" s="625"/>
      <c r="AA68" s="625"/>
      <c r="AB68" s="625"/>
      <c r="AC68" s="629"/>
      <c r="AD68" s="669">
        <v>51</v>
      </c>
      <c r="AE68" s="629" t="s">
        <v>924</v>
      </c>
      <c r="AF68" s="629">
        <f>POWER(AF67,2)</f>
        <v>0.31000585603965092</v>
      </c>
      <c r="AG68" s="630">
        <f t="shared" si="397"/>
        <v>0</v>
      </c>
      <c r="AH68" s="630">
        <f t="shared" si="398"/>
        <v>18</v>
      </c>
      <c r="AI68" s="630">
        <f t="shared" si="399"/>
        <v>36</v>
      </c>
      <c r="AJ68" s="665">
        <f t="shared" si="400"/>
        <v>1</v>
      </c>
      <c r="AK68" s="625" t="s">
        <v>1126</v>
      </c>
      <c r="AL68" s="625">
        <f>AL65-AL67</f>
        <v>3.4278492417049063E-4</v>
      </c>
      <c r="AM68" s="626">
        <f>INT(ABS(AL68))</f>
        <v>0</v>
      </c>
      <c r="AN68" s="626">
        <f>INT((ABS(AL68)-AM68)*60)</f>
        <v>0</v>
      </c>
      <c r="AO68" s="626">
        <f>INT((((ABS(AL68)-AM68)*60)-AN68)*60)</f>
        <v>1</v>
      </c>
      <c r="AP68" s="626">
        <f>INT((((((ABS(AL68)-AM68)*60)-AN68)*60)-AO68)*60)</f>
        <v>14</v>
      </c>
      <c r="AQ68" s="660"/>
      <c r="AR68" s="2557"/>
      <c r="AV68" s="636"/>
      <c r="AW68" s="502"/>
      <c r="AX68" s="163"/>
      <c r="AY68" s="502"/>
      <c r="AZ68" s="502"/>
      <c r="BA68" s="502"/>
      <c r="BB68" s="1698" t="s">
        <v>4175</v>
      </c>
      <c r="BC68" s="502"/>
      <c r="BD68" s="502"/>
      <c r="BE68" s="502"/>
      <c r="BF68" s="502"/>
      <c r="BG68" s="502"/>
      <c r="BH68" s="502"/>
      <c r="BI68" s="502"/>
      <c r="BJ68" s="502"/>
      <c r="BK68" s="655"/>
      <c r="BL68" s="656">
        <v>56</v>
      </c>
      <c r="BM68" s="656" t="s">
        <v>1080</v>
      </c>
      <c r="BN68" s="656">
        <f>BN63+BN67</f>
        <v>56.396382621681589</v>
      </c>
      <c r="BO68" s="641">
        <f t="shared" si="382"/>
        <v>56</v>
      </c>
      <c r="BP68" s="641">
        <f t="shared" si="383"/>
        <v>23</v>
      </c>
      <c r="BQ68" s="641">
        <f t="shared" si="384"/>
        <v>46</v>
      </c>
      <c r="BR68" s="657">
        <f t="shared" si="47"/>
        <v>58.646283223199589</v>
      </c>
      <c r="BS68" s="502"/>
      <c r="BT68" s="502"/>
      <c r="BU68" s="502"/>
      <c r="BV68" s="502">
        <f>3+(2/60)</f>
        <v>3.0333333333333332</v>
      </c>
      <c r="BW68" s="502"/>
      <c r="BX68" s="502"/>
      <c r="BY68" s="502"/>
      <c r="BZ68" s="502"/>
      <c r="CA68" s="153"/>
      <c r="CB68" s="153" t="s">
        <v>279</v>
      </c>
      <c r="CC68" s="153">
        <f>[1]!tale3(CC4,AX7,CC67,CC65)</f>
        <v>253.90122538764868</v>
      </c>
      <c r="CD68" s="626">
        <f t="shared" si="405"/>
        <v>253</v>
      </c>
      <c r="CE68" s="626">
        <f t="shared" si="406"/>
        <v>54</v>
      </c>
      <c r="CF68" s="626">
        <f t="shared" si="407"/>
        <v>4</v>
      </c>
      <c r="CG68" s="1056">
        <f t="shared" si="408"/>
        <v>24</v>
      </c>
      <c r="CH68" s="656"/>
      <c r="CI68" s="641"/>
      <c r="CJ68" s="641"/>
      <c r="CK68" s="656"/>
      <c r="CL68" s="656"/>
      <c r="CM68" s="656"/>
      <c r="CN68" s="656">
        <v>60</v>
      </c>
      <c r="CO68" s="145" t="s">
        <v>3833</v>
      </c>
      <c r="CP68" s="145">
        <f>[1]!qotrer(CP67,CP66)/2</f>
        <v>0</v>
      </c>
      <c r="CQ68" s="641">
        <f t="shared" si="370"/>
        <v>0</v>
      </c>
      <c r="CR68" s="641">
        <f t="shared" si="371"/>
        <v>0</v>
      </c>
      <c r="CS68" s="641">
        <f t="shared" si="372"/>
        <v>0</v>
      </c>
      <c r="CT68" s="645">
        <f t="shared" si="373"/>
        <v>0</v>
      </c>
      <c r="FE68" s="587"/>
      <c r="FF68" s="502"/>
      <c r="FG68" s="502"/>
      <c r="FH68" s="502"/>
      <c r="FI68" s="502" t="s">
        <v>3425</v>
      </c>
      <c r="FJ68" s="502">
        <f>FR69</f>
        <v>136.21886632688654</v>
      </c>
      <c r="FK68" s="605">
        <f t="shared" si="393"/>
        <v>136</v>
      </c>
      <c r="FL68" s="605">
        <f t="shared" si="394"/>
        <v>13</v>
      </c>
      <c r="FM68" s="605">
        <f t="shared" si="395"/>
        <v>7</v>
      </c>
      <c r="FN68" s="605">
        <f t="shared" si="396"/>
        <v>55</v>
      </c>
      <c r="FO68" s="606" t="s">
        <v>3438</v>
      </c>
      <c r="FQ68" s="280" t="s">
        <v>2184</v>
      </c>
      <c r="FR68" s="226"/>
      <c r="FS68" s="226"/>
      <c r="FT68" s="226" t="s">
        <v>3492</v>
      </c>
      <c r="FU68" s="227"/>
      <c r="GH68" s="578"/>
    </row>
    <row r="69" spans="13:190">
      <c r="M69" s="632"/>
      <c r="N69" s="625"/>
      <c r="O69" s="625"/>
      <c r="P69" s="625"/>
      <c r="Q69" s="625"/>
      <c r="R69" s="625"/>
      <c r="S69" s="625"/>
      <c r="T69" s="625"/>
      <c r="U69" s="625"/>
      <c r="V69" s="625"/>
      <c r="W69" s="625"/>
      <c r="X69" s="625"/>
      <c r="Y69" s="625"/>
      <c r="Z69" s="625"/>
      <c r="AA69" s="625"/>
      <c r="AB69" s="625"/>
      <c r="AC69" s="629"/>
      <c r="AD69" s="669">
        <v>52</v>
      </c>
      <c r="AE69" s="629" t="s">
        <v>787</v>
      </c>
      <c r="AF69" s="629">
        <f>AF68*11</f>
        <v>3.41006441643616</v>
      </c>
      <c r="AG69" s="630">
        <f t="shared" si="397"/>
        <v>3</v>
      </c>
      <c r="AH69" s="630">
        <f t="shared" si="398"/>
        <v>24</v>
      </c>
      <c r="AI69" s="630">
        <f t="shared" si="399"/>
        <v>36</v>
      </c>
      <c r="AJ69" s="665">
        <f t="shared" si="400"/>
        <v>13</v>
      </c>
      <c r="AK69" s="625"/>
      <c r="AL69" s="625">
        <f>AL68+AL60</f>
        <v>4.6543621533244074E-4</v>
      </c>
      <c r="AM69" s="626">
        <f t="shared" ref="AM69:AM70" si="409">INT(ABS(AL69))</f>
        <v>0</v>
      </c>
      <c r="AN69" s="626">
        <f t="shared" ref="AN69:AN70" si="410">INT((ABS(AL69)-AM69)*60)</f>
        <v>0</v>
      </c>
      <c r="AO69" s="626">
        <f t="shared" ref="AO69:AO70" si="411">INT((((ABS(AL69)-AM69)*60)-AN69)*60)</f>
        <v>1</v>
      </c>
      <c r="AP69" s="626">
        <f t="shared" ref="AP69:AP70" si="412">INT((((((ABS(AL69)-AM69)*60)-AN69)*60)-AO69)*60)</f>
        <v>40</v>
      </c>
      <c r="AQ69" s="660"/>
      <c r="AR69" s="2557"/>
      <c r="AV69" s="636"/>
      <c r="AW69" s="502"/>
      <c r="AX69" s="163"/>
      <c r="AY69" s="502"/>
      <c r="AZ69" s="502"/>
      <c r="BA69" s="502"/>
      <c r="BB69" s="1698" t="s">
        <v>4176</v>
      </c>
      <c r="BC69" s="502"/>
      <c r="BD69" s="502"/>
      <c r="BE69" s="502"/>
      <c r="BF69" s="502"/>
      <c r="BG69" s="502"/>
      <c r="BH69" s="502"/>
      <c r="BI69" s="502"/>
      <c r="BJ69" s="502"/>
      <c r="BK69" s="655"/>
      <c r="BL69" s="656">
        <v>57</v>
      </c>
      <c r="BM69" s="656" t="s">
        <v>1081</v>
      </c>
      <c r="BN69" s="656">
        <f>BN53</f>
        <v>36.966286070113668</v>
      </c>
      <c r="BO69" s="641">
        <f t="shared" si="382"/>
        <v>36</v>
      </c>
      <c r="BP69" s="641">
        <f t="shared" si="383"/>
        <v>57</v>
      </c>
      <c r="BQ69" s="641">
        <f t="shared" si="384"/>
        <v>58</v>
      </c>
      <c r="BR69" s="657">
        <f t="shared" si="47"/>
        <v>37.791144552279547</v>
      </c>
      <c r="BS69" s="502"/>
      <c r="BT69" s="502"/>
      <c r="BU69" s="502"/>
      <c r="BV69" s="502">
        <f>BV67*BV68/12</f>
        <v>1.7545751633986928</v>
      </c>
      <c r="BW69" s="608">
        <f t="shared" ref="BW69" si="413">INT(ABS(BV69))</f>
        <v>1</v>
      </c>
      <c r="BX69" s="608">
        <f t="shared" ref="BX69" si="414">INT((ABS(BV69)-BW69)*60)</f>
        <v>45</v>
      </c>
      <c r="BY69" s="608">
        <f t="shared" ref="BY69" si="415">INT((((ABS(BV69)-BW69)*60)-BX69)*60)</f>
        <v>16</v>
      </c>
      <c r="BZ69" s="608">
        <f t="shared" ref="BZ69" si="416">INT((((((ABS(BV69)-BW69)*60)-BX69)*60)-BY69)*60)</f>
        <v>28</v>
      </c>
      <c r="CA69" s="153"/>
      <c r="CB69" s="625" t="s">
        <v>1063</v>
      </c>
      <c r="CC69" s="153">
        <f>IF(ABS(CC68-CC67)&lt;180,ABS(CC68-CC67),ABS(360-CC68-CC67))</f>
        <v>86.645456682987714</v>
      </c>
      <c r="CD69" s="626">
        <f t="shared" si="405"/>
        <v>86</v>
      </c>
      <c r="CE69" s="626">
        <f t="shared" si="406"/>
        <v>38</v>
      </c>
      <c r="CF69" s="626">
        <f t="shared" si="407"/>
        <v>43</v>
      </c>
      <c r="CG69" s="1056">
        <f t="shared" si="408"/>
        <v>38</v>
      </c>
      <c r="CH69" s="656"/>
      <c r="CI69" s="641"/>
      <c r="CJ69" s="641"/>
      <c r="CK69" s="656"/>
      <c r="CL69" s="656"/>
      <c r="CM69" s="656"/>
      <c r="CN69" s="656">
        <v>61</v>
      </c>
      <c r="CO69" s="656" t="s">
        <v>1129</v>
      </c>
      <c r="CP69" s="656">
        <f>CP59+CP68</f>
        <v>0.26769642288537709</v>
      </c>
      <c r="CQ69" s="641">
        <f t="shared" si="370"/>
        <v>0</v>
      </c>
      <c r="CR69" s="641">
        <f t="shared" si="371"/>
        <v>16</v>
      </c>
      <c r="CS69" s="641">
        <f t="shared" si="372"/>
        <v>3</v>
      </c>
      <c r="CT69" s="645">
        <f t="shared" si="373"/>
        <v>42</v>
      </c>
      <c r="FE69" s="587"/>
      <c r="FF69" s="502"/>
      <c r="FG69" s="502"/>
      <c r="FH69" s="502"/>
      <c r="FI69" s="502" t="s">
        <v>3426</v>
      </c>
      <c r="FJ69" s="502">
        <f>180-FJ68</f>
        <v>43.781133673113459</v>
      </c>
      <c r="FK69" s="605">
        <f t="shared" si="393"/>
        <v>43</v>
      </c>
      <c r="FL69" s="605">
        <f t="shared" si="394"/>
        <v>46</v>
      </c>
      <c r="FM69" s="605">
        <f t="shared" si="395"/>
        <v>52</v>
      </c>
      <c r="FN69" s="605">
        <f t="shared" si="396"/>
        <v>4</v>
      </c>
      <c r="FO69" s="606" t="s">
        <v>3439</v>
      </c>
      <c r="FQ69" s="280" t="s">
        <v>2189</v>
      </c>
      <c r="FR69" s="388">
        <f>IF(IF(FR66-FR65&gt;180,360-(FR66-FR65),ABS(FR66-FR65))&lt;=180,IF(FR66-FR65&gt;180,360-(FR66-FR65),ABS(FR66-FR65)),360-IF(FR66-FR65&gt;180,360-(FR66-FR65),ABS(FR66-FR65)))</f>
        <v>136.21886632688654</v>
      </c>
      <c r="FS69" s="226"/>
      <c r="FT69" s="226"/>
      <c r="FU69" s="227"/>
      <c r="GH69" s="578"/>
    </row>
    <row r="70" spans="13:190">
      <c r="M70" s="632"/>
      <c r="N70" s="625"/>
      <c r="O70" s="625"/>
      <c r="P70" s="625"/>
      <c r="Q70" s="625"/>
      <c r="R70" s="625"/>
      <c r="S70" s="625"/>
      <c r="T70" s="625"/>
      <c r="U70" s="625"/>
      <c r="V70" s="625"/>
      <c r="W70" s="625"/>
      <c r="X70" s="625"/>
      <c r="Y70" s="625"/>
      <c r="Z70" s="625"/>
      <c r="AA70" s="625"/>
      <c r="AB70" s="625"/>
      <c r="AC70" s="629"/>
      <c r="AD70" s="669">
        <v>53</v>
      </c>
      <c r="AE70" s="629" t="s">
        <v>935</v>
      </c>
      <c r="AF70" s="629">
        <f>AF69/14</f>
        <v>0.24357602974543999</v>
      </c>
      <c r="AG70" s="630">
        <f t="shared" si="397"/>
        <v>0</v>
      </c>
      <c r="AH70" s="630">
        <f t="shared" si="398"/>
        <v>14</v>
      </c>
      <c r="AI70" s="630">
        <f t="shared" si="399"/>
        <v>36</v>
      </c>
      <c r="AJ70" s="665">
        <f t="shared" si="400"/>
        <v>52</v>
      </c>
      <c r="AK70" s="625" t="s">
        <v>4040</v>
      </c>
      <c r="AL70" s="625">
        <f>12*AL69/AL64</f>
        <v>2.2939378080806452E-2</v>
      </c>
      <c r="AM70" s="626">
        <f t="shared" si="409"/>
        <v>0</v>
      </c>
      <c r="AN70" s="626">
        <f t="shared" si="410"/>
        <v>1</v>
      </c>
      <c r="AO70" s="626">
        <f t="shared" si="411"/>
        <v>22</v>
      </c>
      <c r="AP70" s="626">
        <f t="shared" si="412"/>
        <v>34</v>
      </c>
      <c r="AQ70" s="660"/>
      <c r="AR70" s="2557"/>
      <c r="AV70" s="636"/>
      <c r="AW70" s="502"/>
      <c r="AX70" s="163"/>
      <c r="AY70" s="502"/>
      <c r="AZ70" s="502"/>
      <c r="BA70" s="502"/>
      <c r="BB70" s="1698" t="s">
        <v>4177</v>
      </c>
      <c r="BC70" s="502"/>
      <c r="BD70" s="502"/>
      <c r="BE70" s="502"/>
      <c r="BF70" s="502"/>
      <c r="BG70" s="502"/>
      <c r="BH70" s="502"/>
      <c r="BI70" s="502"/>
      <c r="BJ70" s="502"/>
      <c r="BK70" s="655"/>
      <c r="BL70" s="656">
        <v>58</v>
      </c>
      <c r="BM70" s="656" t="s">
        <v>1169</v>
      </c>
      <c r="BN70" s="656">
        <f>BN69/60</f>
        <v>0.61610476783522783</v>
      </c>
      <c r="BO70" s="641">
        <f t="shared" si="382"/>
        <v>0</v>
      </c>
      <c r="BP70" s="641">
        <f t="shared" si="383"/>
        <v>36</v>
      </c>
      <c r="BQ70" s="641">
        <f t="shared" si="384"/>
        <v>57</v>
      </c>
      <c r="BR70" s="657">
        <f t="shared" si="47"/>
        <v>58.629852409204659</v>
      </c>
      <c r="BS70" s="502"/>
      <c r="BT70" s="502"/>
      <c r="BU70" s="502"/>
      <c r="BV70" s="502">
        <f>BV69/(10/3600)</f>
        <v>631.64705882352939</v>
      </c>
      <c r="BW70" s="502"/>
      <c r="BX70" s="502"/>
      <c r="BY70" s="502"/>
      <c r="BZ70" s="502"/>
      <c r="CA70" s="153"/>
      <c r="CB70" s="153" t="s">
        <v>416</v>
      </c>
      <c r="CC70" s="153">
        <f>[1]!arzq([1]!hesseha(CC4,CC5,[1]!roz(BE5,CC65,0,0),CC7))</f>
        <v>0.41045365809420575</v>
      </c>
      <c r="CD70" s="626">
        <f t="shared" si="405"/>
        <v>0</v>
      </c>
      <c r="CE70" s="626">
        <f t="shared" si="406"/>
        <v>24</v>
      </c>
      <c r="CF70" s="626">
        <f t="shared" si="407"/>
        <v>37</v>
      </c>
      <c r="CG70" s="1056">
        <f t="shared" si="408"/>
        <v>37</v>
      </c>
      <c r="CH70" s="656"/>
      <c r="CI70" s="641"/>
      <c r="CJ70" s="641"/>
      <c r="CK70" s="656"/>
      <c r="CL70" s="656"/>
      <c r="CM70" s="656"/>
      <c r="CN70" s="656">
        <v>62</v>
      </c>
      <c r="CO70" s="656" t="s">
        <v>924</v>
      </c>
      <c r="CP70" s="656">
        <f>POWER(CP69,2)</f>
        <v>7.166137482562665E-2</v>
      </c>
      <c r="CQ70" s="641">
        <f t="shared" si="370"/>
        <v>0</v>
      </c>
      <c r="CR70" s="641">
        <f t="shared" si="371"/>
        <v>4</v>
      </c>
      <c r="CS70" s="641">
        <f t="shared" si="372"/>
        <v>17</v>
      </c>
      <c r="CT70" s="645">
        <f t="shared" si="373"/>
        <v>58</v>
      </c>
      <c r="FE70" s="587"/>
      <c r="FF70" s="502"/>
      <c r="FG70" s="502"/>
      <c r="FH70" s="502" t="s">
        <v>3424</v>
      </c>
      <c r="FI70" s="502" t="s">
        <v>3429</v>
      </c>
      <c r="FJ70" s="502">
        <f>IF(FJ69&lt;FJ68,FJ69,FJ68)</f>
        <v>43.781133673113459</v>
      </c>
      <c r="FK70" s="605">
        <f t="shared" si="393"/>
        <v>43</v>
      </c>
      <c r="FL70" s="605">
        <f t="shared" si="394"/>
        <v>46</v>
      </c>
      <c r="FM70" s="605">
        <f t="shared" si="395"/>
        <v>52</v>
      </c>
      <c r="FN70" s="605">
        <f t="shared" si="396"/>
        <v>4</v>
      </c>
      <c r="FO70" s="606" t="s">
        <v>3440</v>
      </c>
      <c r="FQ70" s="280" t="s">
        <v>2188</v>
      </c>
      <c r="FR70" s="226">
        <f>180-FR69</f>
        <v>43.781133673113459</v>
      </c>
      <c r="FS70" s="226"/>
      <c r="FT70" s="226"/>
      <c r="FU70" s="227"/>
      <c r="GH70" s="578"/>
    </row>
    <row r="71" spans="13:190">
      <c r="M71" s="632"/>
      <c r="N71" s="625"/>
      <c r="O71" s="625"/>
      <c r="P71" s="625"/>
      <c r="Q71" s="625"/>
      <c r="R71" s="625"/>
      <c r="S71" s="625"/>
      <c r="T71" s="625"/>
      <c r="U71" s="625"/>
      <c r="V71" s="625"/>
      <c r="W71" s="625"/>
      <c r="X71" s="625"/>
      <c r="Y71" s="625"/>
      <c r="Z71" s="625"/>
      <c r="AA71" s="625"/>
      <c r="AB71" s="625"/>
      <c r="AC71" s="629"/>
      <c r="AD71" s="669">
        <v>54</v>
      </c>
      <c r="AE71" s="629" t="s">
        <v>936</v>
      </c>
      <c r="AF71" s="629">
        <f>AF45*2</f>
        <v>1.5417030457126109</v>
      </c>
      <c r="AG71" s="630">
        <f t="shared" si="397"/>
        <v>1</v>
      </c>
      <c r="AH71" s="630">
        <f t="shared" si="398"/>
        <v>32</v>
      </c>
      <c r="AI71" s="630">
        <f t="shared" si="399"/>
        <v>30</v>
      </c>
      <c r="AJ71" s="665">
        <f t="shared" si="400"/>
        <v>7</v>
      </c>
      <c r="AK71" s="625" t="s">
        <v>4037</v>
      </c>
      <c r="AL71" s="625">
        <f>(AF47+AF33)*12/(2*AF46)</f>
        <v>1.1565793714485182</v>
      </c>
      <c r="AM71" s="626">
        <f t="shared" ref="AM71" si="417">INT(ABS(AL71))</f>
        <v>1</v>
      </c>
      <c r="AN71" s="626">
        <f t="shared" ref="AN71" si="418">INT((ABS(AL71)-AM71)*60)</f>
        <v>9</v>
      </c>
      <c r="AO71" s="626">
        <f t="shared" ref="AO71" si="419">INT((((ABS(AL71)-AM71)*60)-AN71)*60)</f>
        <v>23</v>
      </c>
      <c r="AP71" s="626">
        <f t="shared" ref="AP71" si="420">INT((((((ABS(AL71)-AM71)*60)-AN71)*60)-AO71)*60)</f>
        <v>41</v>
      </c>
      <c r="AQ71" s="660"/>
      <c r="AR71" s="2557"/>
      <c r="AV71" s="636"/>
      <c r="AW71" s="502"/>
      <c r="AX71" s="502"/>
      <c r="AY71" s="502"/>
      <c r="AZ71" s="502"/>
      <c r="BA71" s="502"/>
      <c r="BB71" s="1698" t="s">
        <v>4178</v>
      </c>
      <c r="BC71" s="502"/>
      <c r="BD71" s="502"/>
      <c r="BE71" s="502"/>
      <c r="BF71" s="502"/>
      <c r="BG71" s="502"/>
      <c r="BH71" s="502"/>
      <c r="BI71" s="502"/>
      <c r="BJ71" s="502"/>
      <c r="BK71" s="655"/>
      <c r="BL71" s="656">
        <v>59</v>
      </c>
      <c r="BM71" s="656"/>
      <c r="BN71" s="656">
        <f>BN68-BN70</f>
        <v>55.780277853846364</v>
      </c>
      <c r="BO71" s="641">
        <f t="shared" si="382"/>
        <v>55</v>
      </c>
      <c r="BP71" s="641">
        <f t="shared" si="383"/>
        <v>46</v>
      </c>
      <c r="BQ71" s="641">
        <f t="shared" si="384"/>
        <v>49</v>
      </c>
      <c r="BR71" s="657">
        <f t="shared" si="47"/>
        <v>1.643081465999785E-2</v>
      </c>
      <c r="BS71" s="502"/>
      <c r="BT71" s="502"/>
      <c r="BU71" s="502"/>
      <c r="BV71" s="502">
        <v>355</v>
      </c>
      <c r="BW71" s="502"/>
      <c r="BX71" s="502"/>
      <c r="BY71" s="502"/>
      <c r="BZ71" s="502"/>
      <c r="CA71" s="153"/>
      <c r="CB71" s="153" t="s">
        <v>3497</v>
      </c>
      <c r="CC71" s="153">
        <f>[1]!ertmaree(CC4,CC5,BE5,CC65,CC7,CP18)</f>
        <v>-43.5258245918901</v>
      </c>
      <c r="CD71" s="626">
        <f t="shared" si="405"/>
        <v>43</v>
      </c>
      <c r="CE71" s="626">
        <f t="shared" si="406"/>
        <v>31</v>
      </c>
      <c r="CF71" s="626">
        <f t="shared" si="407"/>
        <v>32</v>
      </c>
      <c r="CG71" s="1056">
        <f t="shared" si="408"/>
        <v>58</v>
      </c>
      <c r="CH71" s="656"/>
      <c r="CI71" s="641"/>
      <c r="CJ71" s="641"/>
      <c r="CK71" s="656"/>
      <c r="CL71" s="656"/>
      <c r="CM71" s="656"/>
      <c r="CN71" s="656">
        <v>63</v>
      </c>
      <c r="CO71" s="656" t="s">
        <v>1137</v>
      </c>
      <c r="CP71" s="656">
        <f>CP70-CP58</f>
        <v>5.8271292362119892E-2</v>
      </c>
      <c r="CQ71" s="641">
        <f t="shared" si="370"/>
        <v>0</v>
      </c>
      <c r="CR71" s="641">
        <f t="shared" si="371"/>
        <v>3</v>
      </c>
      <c r="CS71" s="641">
        <f t="shared" si="372"/>
        <v>29</v>
      </c>
      <c r="CT71" s="645">
        <f t="shared" si="373"/>
        <v>46</v>
      </c>
      <c r="FE71" s="587"/>
      <c r="FF71" s="502"/>
      <c r="FG71" s="502"/>
      <c r="FH71" s="502"/>
      <c r="FI71" s="502" t="s">
        <v>1102</v>
      </c>
      <c r="FJ71" s="502">
        <f>ABS(FJ70-FJ64)</f>
        <v>81.391850917275377</v>
      </c>
      <c r="FK71" s="605">
        <f t="shared" si="393"/>
        <v>81</v>
      </c>
      <c r="FL71" s="605">
        <f t="shared" si="394"/>
        <v>23</v>
      </c>
      <c r="FM71" s="605">
        <f t="shared" si="395"/>
        <v>30</v>
      </c>
      <c r="FN71" s="605">
        <f t="shared" si="396"/>
        <v>39</v>
      </c>
      <c r="FO71" s="606" t="s">
        <v>334</v>
      </c>
      <c r="FQ71" s="280" t="s">
        <v>3480</v>
      </c>
      <c r="FR71" s="429">
        <f>IF(FR70&lt;FR69,FR70,FR69)</f>
        <v>43.781133673113459</v>
      </c>
      <c r="FS71" s="226"/>
      <c r="FT71" s="226"/>
      <c r="FU71" s="227"/>
      <c r="GH71" s="578"/>
    </row>
    <row r="72" spans="13:190">
      <c r="M72" s="632"/>
      <c r="N72" s="625"/>
      <c r="O72" s="625"/>
      <c r="P72" s="625"/>
      <c r="Q72" s="625"/>
      <c r="R72" s="625"/>
      <c r="S72" s="625"/>
      <c r="T72" s="625"/>
      <c r="U72" s="625"/>
      <c r="V72" s="625"/>
      <c r="W72" s="626"/>
      <c r="X72" s="626"/>
      <c r="Y72" s="626"/>
      <c r="Z72" s="626"/>
      <c r="AA72" s="625"/>
      <c r="AB72" s="625"/>
      <c r="AC72" s="629"/>
      <c r="AD72" s="669">
        <v>55</v>
      </c>
      <c r="AE72" s="629" t="s">
        <v>250</v>
      </c>
      <c r="AF72" s="629">
        <f>AF71-AF63</f>
        <v>1.4880395271296432</v>
      </c>
      <c r="AG72" s="630">
        <f t="shared" si="397"/>
        <v>1</v>
      </c>
      <c r="AH72" s="630">
        <f t="shared" si="398"/>
        <v>29</v>
      </c>
      <c r="AI72" s="630">
        <f t="shared" si="399"/>
        <v>16</v>
      </c>
      <c r="AJ72" s="665">
        <f t="shared" si="400"/>
        <v>56</v>
      </c>
      <c r="AK72" s="625"/>
      <c r="AL72" s="625">
        <f>AL64-AL65</f>
        <v>0.22888076326610288</v>
      </c>
      <c r="AM72" s="626">
        <f t="shared" ref="AM72:AM75" si="421">INT(ABS(AL72))</f>
        <v>0</v>
      </c>
      <c r="AN72" s="626">
        <f t="shared" ref="AN72:AN75" si="422">INT((ABS(AL72)-AM72)*60)</f>
        <v>13</v>
      </c>
      <c r="AO72" s="626">
        <f t="shared" ref="AO72:AO75" si="423">INT((((ABS(AL72)-AM72)*60)-AN72)*60)</f>
        <v>43</v>
      </c>
      <c r="AP72" s="626">
        <f t="shared" ref="AP72:AP75" si="424">INT((((((ABS(AL72)-AM72)*60)-AN72)*60)-AO72)*60)</f>
        <v>58</v>
      </c>
      <c r="AQ72" s="660"/>
      <c r="AR72" s="2557"/>
      <c r="AV72" s="636"/>
      <c r="AW72" s="502"/>
      <c r="AX72" s="502"/>
      <c r="AY72" s="502"/>
      <c r="AZ72" s="502"/>
      <c r="BA72" s="502"/>
      <c r="BB72" s="1698" t="s">
        <v>4191</v>
      </c>
      <c r="BC72" s="502">
        <v>8</v>
      </c>
      <c r="BD72" s="502"/>
      <c r="BE72" s="502"/>
      <c r="BF72" s="502"/>
      <c r="BG72" s="502"/>
      <c r="BH72" s="502"/>
      <c r="BI72" s="502"/>
      <c r="BJ72" s="502"/>
      <c r="BK72" s="655"/>
      <c r="BL72" s="656">
        <v>60</v>
      </c>
      <c r="BM72" s="656" t="s">
        <v>924</v>
      </c>
      <c r="BN72" s="656">
        <f>POWER(BN71,2)</f>
        <v>3111.4393974523032</v>
      </c>
      <c r="BO72" s="641">
        <f t="shared" si="382"/>
        <v>3111</v>
      </c>
      <c r="BP72" s="641">
        <f t="shared" si="383"/>
        <v>26</v>
      </c>
      <c r="BQ72" s="641">
        <f t="shared" si="384"/>
        <v>21</v>
      </c>
      <c r="BR72" s="657">
        <f t="shared" si="47"/>
        <v>49.849697487516096</v>
      </c>
      <c r="BS72" s="502"/>
      <c r="BT72" s="502"/>
      <c r="BU72" s="502"/>
      <c r="BV72" s="502">
        <v>273</v>
      </c>
      <c r="BW72" s="502"/>
      <c r="BX72" s="502"/>
      <c r="BY72" s="502"/>
      <c r="BZ72" s="502"/>
      <c r="CA72" s="153">
        <f>[1]!ekhtoolq(BN3,BN11,CC66,CC70,CC68,CC71)</f>
        <v>0.50123551694741764</v>
      </c>
      <c r="CB72" s="153" t="s">
        <v>1102</v>
      </c>
      <c r="CC72" s="153">
        <f>CA72</f>
        <v>0.50123551694741764</v>
      </c>
      <c r="CD72" s="626">
        <f t="shared" si="405"/>
        <v>0</v>
      </c>
      <c r="CE72" s="626">
        <f t="shared" si="406"/>
        <v>30</v>
      </c>
      <c r="CF72" s="626">
        <f t="shared" si="407"/>
        <v>4</v>
      </c>
      <c r="CG72" s="1056">
        <f t="shared" si="408"/>
        <v>26</v>
      </c>
      <c r="CH72" s="656"/>
      <c r="CI72" s="641"/>
      <c r="CJ72" s="641"/>
      <c r="CK72" s="656"/>
      <c r="CL72" s="656"/>
      <c r="CM72" s="656"/>
      <c r="CN72" s="656">
        <v>64</v>
      </c>
      <c r="CO72" s="656" t="s">
        <v>927</v>
      </c>
      <c r="CP72" s="656">
        <f>SQRT(CP71)</f>
        <v>0.24139447458904251</v>
      </c>
      <c r="CQ72" s="641">
        <f t="shared" si="370"/>
        <v>0</v>
      </c>
      <c r="CR72" s="641">
        <f t="shared" si="371"/>
        <v>14</v>
      </c>
      <c r="CS72" s="641">
        <f t="shared" si="372"/>
        <v>29</v>
      </c>
      <c r="CT72" s="645">
        <f t="shared" si="373"/>
        <v>1</v>
      </c>
      <c r="FE72" s="587"/>
      <c r="FF72" s="502"/>
      <c r="FG72" s="502"/>
      <c r="FH72" s="502"/>
      <c r="FI72" s="502" t="s">
        <v>1167</v>
      </c>
      <c r="FJ72" s="502">
        <f>ABS(FJ63-FJ56)</f>
        <v>1.6955988413669132E-2</v>
      </c>
      <c r="FK72" s="605">
        <f t="shared" si="393"/>
        <v>0</v>
      </c>
      <c r="FL72" s="605">
        <f t="shared" si="394"/>
        <v>1</v>
      </c>
      <c r="FM72" s="605">
        <f t="shared" si="395"/>
        <v>1</v>
      </c>
      <c r="FN72" s="605">
        <f t="shared" si="396"/>
        <v>2</v>
      </c>
      <c r="FO72" s="606" t="s">
        <v>3441</v>
      </c>
      <c r="FQ72" s="430" t="s">
        <v>206</v>
      </c>
      <c r="FR72" s="429">
        <f>[1]!mtb(FJ9,FR66,FR63)</f>
        <v>257.01632074364778</v>
      </c>
      <c r="FS72" s="226"/>
      <c r="FT72" s="226"/>
      <c r="FU72" s="227"/>
      <c r="GH72" s="578"/>
    </row>
    <row r="73" spans="13:190">
      <c r="M73" s="632"/>
      <c r="N73" s="625"/>
      <c r="O73" s="625"/>
      <c r="P73" s="625"/>
      <c r="Q73" s="625"/>
      <c r="R73" s="625"/>
      <c r="S73" s="625"/>
      <c r="T73" s="625"/>
      <c r="U73" s="625"/>
      <c r="V73" s="625"/>
      <c r="W73" s="626"/>
      <c r="X73" s="626"/>
      <c r="Y73" s="626"/>
      <c r="Z73" s="626"/>
      <c r="AA73" s="625"/>
      <c r="AB73" s="625"/>
      <c r="AC73" s="629"/>
      <c r="AD73" s="669">
        <v>56</v>
      </c>
      <c r="AE73" s="629" t="s">
        <v>937</v>
      </c>
      <c r="AF73" s="629">
        <f>AF72*AF63</f>
        <v>7.9853436816312073E-2</v>
      </c>
      <c r="AG73" s="630">
        <f t="shared" si="397"/>
        <v>0</v>
      </c>
      <c r="AH73" s="630">
        <f t="shared" si="398"/>
        <v>4</v>
      </c>
      <c r="AI73" s="630">
        <f t="shared" si="399"/>
        <v>47</v>
      </c>
      <c r="AJ73" s="665">
        <f t="shared" si="400"/>
        <v>28</v>
      </c>
      <c r="AK73" s="625"/>
      <c r="AL73" s="625">
        <f>AL58-AL59</f>
        <v>1.2265129116195012E-4</v>
      </c>
      <c r="AM73" s="626">
        <f t="shared" si="421"/>
        <v>0</v>
      </c>
      <c r="AN73" s="626">
        <f t="shared" si="422"/>
        <v>0</v>
      </c>
      <c r="AO73" s="626">
        <f t="shared" si="423"/>
        <v>0</v>
      </c>
      <c r="AP73" s="626">
        <f t="shared" si="424"/>
        <v>26</v>
      </c>
      <c r="AQ73" s="660"/>
      <c r="AR73" s="2557"/>
      <c r="AV73" s="636"/>
      <c r="AW73" s="502"/>
      <c r="AX73" s="502"/>
      <c r="AY73" s="502"/>
      <c r="AZ73" s="502"/>
      <c r="BA73" s="502"/>
      <c r="BB73" s="1698" t="s">
        <v>4173</v>
      </c>
      <c r="BC73" s="502"/>
      <c r="BD73" s="502"/>
      <c r="BE73" s="502"/>
      <c r="BF73" s="502"/>
      <c r="BG73" s="502"/>
      <c r="BH73" s="502"/>
      <c r="BI73" s="502"/>
      <c r="BJ73" s="502"/>
      <c r="BK73" s="655"/>
      <c r="BL73" s="656">
        <v>61</v>
      </c>
      <c r="BM73" s="656" t="s">
        <v>1082</v>
      </c>
      <c r="BN73" s="656">
        <f>90-BN54</f>
        <v>51.967761385146595</v>
      </c>
      <c r="BO73" s="641">
        <f t="shared" si="382"/>
        <v>51</v>
      </c>
      <c r="BP73" s="641">
        <f t="shared" si="383"/>
        <v>58</v>
      </c>
      <c r="BQ73" s="641">
        <f t="shared" si="384"/>
        <v>3</v>
      </c>
      <c r="BR73" s="657">
        <f t="shared" ref="BR73:BR92" si="425">((((((ABS(BN73)-BO73)*60)-BP73)*60)-BQ73)*60)</f>
        <v>56.459191664505397</v>
      </c>
      <c r="BS73" s="502"/>
      <c r="BT73" s="502"/>
      <c r="BU73" s="502" t="s">
        <v>3533</v>
      </c>
      <c r="BV73" s="502">
        <f>BV71+BV72</f>
        <v>628</v>
      </c>
      <c r="BW73" s="502"/>
      <c r="BX73" s="502"/>
      <c r="BY73" s="502"/>
      <c r="BZ73" s="502"/>
      <c r="CA73" s="632">
        <f>[1]!taqmareeqa(CC$4,CC$5,AX$4,CC65,AX$8,AX$7)</f>
        <v>19.457708386883279</v>
      </c>
      <c r="CB73" s="153" t="s">
        <v>1107</v>
      </c>
      <c r="CC73" s="153">
        <f>[1]!taqmaree([1]!taqqa(CC4,CC5,[1]!roz(AX4,CC65,0,0),CC7),CC68,CC72)</f>
        <v>19.457708386883279</v>
      </c>
      <c r="CD73" s="626">
        <f t="shared" si="405"/>
        <v>19</v>
      </c>
      <c r="CE73" s="626">
        <f t="shared" si="406"/>
        <v>27</v>
      </c>
      <c r="CF73" s="626">
        <f t="shared" si="407"/>
        <v>27</v>
      </c>
      <c r="CG73" s="1056">
        <f t="shared" si="408"/>
        <v>45</v>
      </c>
      <c r="CH73" s="656"/>
      <c r="CI73" s="641"/>
      <c r="CJ73" s="641"/>
      <c r="CK73" s="656"/>
      <c r="CL73" s="656"/>
      <c r="CM73" s="656"/>
      <c r="CN73" s="656">
        <v>65</v>
      </c>
      <c r="CO73" s="656" t="s">
        <v>3837</v>
      </c>
      <c r="CP73" s="656">
        <f>CP72/CP13</f>
        <v>0.40917514569370511</v>
      </c>
      <c r="CQ73" s="641">
        <f t="shared" si="370"/>
        <v>0</v>
      </c>
      <c r="CR73" s="641">
        <f t="shared" si="371"/>
        <v>24</v>
      </c>
      <c r="CS73" s="641">
        <f t="shared" si="372"/>
        <v>33</v>
      </c>
      <c r="CT73" s="645">
        <f t="shared" si="373"/>
        <v>1</v>
      </c>
      <c r="FE73" s="587"/>
      <c r="FF73" s="502"/>
      <c r="FG73" s="502"/>
      <c r="FH73" s="502"/>
      <c r="FI73" s="502"/>
      <c r="FJ73" s="502">
        <f>[1]!tq(FJ66-90)</f>
        <v>153.2079726865957</v>
      </c>
      <c r="FK73" s="605">
        <f t="shared" si="393"/>
        <v>153</v>
      </c>
      <c r="FL73" s="605">
        <f t="shared" si="394"/>
        <v>12</v>
      </c>
      <c r="FM73" s="605">
        <f t="shared" si="395"/>
        <v>28</v>
      </c>
      <c r="FN73" s="605">
        <f t="shared" si="396"/>
        <v>42</v>
      </c>
      <c r="FO73" s="606" t="s">
        <v>3442</v>
      </c>
      <c r="FQ73" s="430" t="s">
        <v>1193</v>
      </c>
      <c r="FR73" s="429">
        <f>[1]!ml(FJ9,FR72)</f>
        <v>-22.791647019369634</v>
      </c>
      <c r="FS73" s="226"/>
      <c r="FT73" s="226"/>
      <c r="FU73" s="227"/>
      <c r="GH73" s="578"/>
    </row>
    <row r="74" spans="13:190">
      <c r="M74" s="632"/>
      <c r="N74" s="625"/>
      <c r="O74" s="625"/>
      <c r="P74" s="625"/>
      <c r="Q74" s="625"/>
      <c r="R74" s="625"/>
      <c r="S74" s="625"/>
      <c r="T74" s="625"/>
      <c r="U74" s="625"/>
      <c r="V74" s="625"/>
      <c r="W74" s="626"/>
      <c r="X74" s="626"/>
      <c r="Y74" s="626"/>
      <c r="Z74" s="626"/>
      <c r="AA74" s="625"/>
      <c r="AB74" s="625"/>
      <c r="AC74" s="629"/>
      <c r="AD74" s="669">
        <v>57</v>
      </c>
      <c r="AE74" s="629" t="s">
        <v>938</v>
      </c>
      <c r="AF74" s="629">
        <f>AF67-AF63</f>
        <v>0.50311817655405</v>
      </c>
      <c r="AG74" s="630">
        <f t="shared" si="397"/>
        <v>0</v>
      </c>
      <c r="AH74" s="630">
        <f t="shared" si="398"/>
        <v>30</v>
      </c>
      <c r="AI74" s="630">
        <f t="shared" si="399"/>
        <v>11</v>
      </c>
      <c r="AJ74" s="665">
        <f t="shared" si="400"/>
        <v>13</v>
      </c>
      <c r="AK74" s="625"/>
      <c r="AL74" s="625">
        <f>AL67+AL72+AL73</f>
        <v>0.24325789634298706</v>
      </c>
      <c r="AM74" s="626">
        <f t="shared" si="421"/>
        <v>0</v>
      </c>
      <c r="AN74" s="626">
        <f t="shared" si="422"/>
        <v>14</v>
      </c>
      <c r="AO74" s="626">
        <f t="shared" si="423"/>
        <v>35</v>
      </c>
      <c r="AP74" s="626">
        <f t="shared" si="424"/>
        <v>43</v>
      </c>
      <c r="AQ74" s="660"/>
      <c r="AR74" s="2557"/>
      <c r="AV74" s="636"/>
      <c r="AW74" s="502"/>
      <c r="AX74" s="502"/>
      <c r="AY74" s="502">
        <v>0.93</v>
      </c>
      <c r="AZ74" s="502"/>
      <c r="BA74" s="502"/>
      <c r="BB74" s="1698" t="s">
        <v>4179</v>
      </c>
      <c r="BC74" s="502"/>
      <c r="BD74" s="502"/>
      <c r="BE74" s="502"/>
      <c r="BF74" s="502"/>
      <c r="BG74" s="502"/>
      <c r="BH74" s="502"/>
      <c r="BI74" s="502"/>
      <c r="BJ74" s="502"/>
      <c r="BK74" s="655"/>
      <c r="BL74" s="656">
        <v>62</v>
      </c>
      <c r="BM74" s="656"/>
      <c r="BN74" s="656">
        <f>[1]!sn(BN73)</f>
        <v>47.259852879399865</v>
      </c>
      <c r="BO74" s="641">
        <f t="shared" si="382"/>
        <v>47</v>
      </c>
      <c r="BP74" s="641">
        <f t="shared" si="383"/>
        <v>15</v>
      </c>
      <c r="BQ74" s="641">
        <f t="shared" si="384"/>
        <v>35</v>
      </c>
      <c r="BR74" s="657">
        <f t="shared" si="425"/>
        <v>28.221950370914328</v>
      </c>
      <c r="BS74" s="502"/>
      <c r="BT74" s="502"/>
      <c r="BU74" s="502"/>
      <c r="BV74" s="502"/>
      <c r="BW74" s="605"/>
      <c r="BX74" s="502"/>
      <c r="BY74" s="502"/>
      <c r="BZ74" s="502"/>
      <c r="CA74" s="153"/>
      <c r="CB74" s="153" t="s">
        <v>3489</v>
      </c>
      <c r="CC74" s="625">
        <f>IF(ABS(CC67-CC73)&lt;180,CC67-CC73,IF(ABS(CC67-CC73)&lt;-180,360-(CC67-CC73),CC67-CC73-360))</f>
        <v>-4.3904575196762607E-3</v>
      </c>
      <c r="CD74" s="626">
        <f t="shared" si="405"/>
        <v>0</v>
      </c>
      <c r="CE74" s="626">
        <f t="shared" si="406"/>
        <v>0</v>
      </c>
      <c r="CF74" s="626">
        <f t="shared" si="407"/>
        <v>15</v>
      </c>
      <c r="CG74" s="1056">
        <f t="shared" si="408"/>
        <v>48</v>
      </c>
      <c r="CH74" s="656"/>
      <c r="CI74" s="641"/>
      <c r="CJ74" s="641"/>
      <c r="CK74" s="656"/>
      <c r="CL74" s="656"/>
      <c r="CM74" s="656"/>
      <c r="CN74" s="621">
        <v>66</v>
      </c>
      <c r="CO74" s="152" t="s">
        <v>3838</v>
      </c>
      <c r="CP74" s="152">
        <f>CP73+CP47</f>
        <v>0.82773057100235403</v>
      </c>
      <c r="CQ74" s="622">
        <f t="shared" ref="CQ74" si="426">INT(ABS(CP74))</f>
        <v>0</v>
      </c>
      <c r="CR74" s="622">
        <f t="shared" ref="CR74" si="427">INT((ABS(CP74)-CQ74)*60)</f>
        <v>49</v>
      </c>
      <c r="CS74" s="622">
        <f t="shared" ref="CS74" si="428">INT((((ABS(CP74)-CQ74)*60)-CR74)*60)</f>
        <v>39</v>
      </c>
      <c r="CT74" s="682">
        <f t="shared" ref="CT74" si="429">INT((((((ABS(CP74)-CQ74)*60)-CR74)*60)-CS74)*60)</f>
        <v>49</v>
      </c>
      <c r="FE74" s="587"/>
      <c r="FF74" s="502"/>
      <c r="FG74" s="502"/>
      <c r="FH74" s="502"/>
      <c r="FI74" s="502" t="s">
        <v>1102</v>
      </c>
      <c r="FJ74" s="502">
        <f>IF(FJ17=FJ73,FJ54,FJ71)</f>
        <v>81.391850917275377</v>
      </c>
      <c r="FK74" s="605">
        <f t="shared" si="393"/>
        <v>81</v>
      </c>
      <c r="FL74" s="605">
        <f t="shared" si="394"/>
        <v>23</v>
      </c>
      <c r="FM74" s="605">
        <f t="shared" si="395"/>
        <v>30</v>
      </c>
      <c r="FN74" s="605">
        <f t="shared" si="396"/>
        <v>39</v>
      </c>
      <c r="FO74" s="606" t="s">
        <v>3443</v>
      </c>
      <c r="FQ74" s="430" t="s">
        <v>281</v>
      </c>
      <c r="FR74" s="429">
        <f>[1]!asher(FJ9,FR66,FR63)</f>
        <v>165.89487157271435</v>
      </c>
      <c r="FS74" s="226"/>
      <c r="FT74" s="226"/>
      <c r="FU74" s="227"/>
    </row>
    <row r="75" spans="13:190">
      <c r="M75" s="632"/>
      <c r="N75" s="625"/>
      <c r="O75" s="625"/>
      <c r="P75" s="625"/>
      <c r="Q75" s="625"/>
      <c r="R75" s="625"/>
      <c r="S75" s="625"/>
      <c r="T75" s="625"/>
      <c r="U75" s="625"/>
      <c r="V75" s="625"/>
      <c r="W75" s="626"/>
      <c r="X75" s="626"/>
      <c r="Y75" s="626"/>
      <c r="Z75" s="626"/>
      <c r="AA75" s="625"/>
      <c r="AB75" s="625"/>
      <c r="AC75" s="629"/>
      <c r="AD75" s="669">
        <v>58</v>
      </c>
      <c r="AE75" s="629" t="s">
        <v>939</v>
      </c>
      <c r="AF75" s="629">
        <f>AF71-AF63</f>
        <v>1.4880395271296432</v>
      </c>
      <c r="AG75" s="630">
        <f t="shared" si="397"/>
        <v>1</v>
      </c>
      <c r="AH75" s="630">
        <f t="shared" si="398"/>
        <v>29</v>
      </c>
      <c r="AI75" s="630">
        <f t="shared" si="399"/>
        <v>16</v>
      </c>
      <c r="AJ75" s="665">
        <f t="shared" si="400"/>
        <v>56</v>
      </c>
      <c r="AK75" s="625" t="s">
        <v>4036</v>
      </c>
      <c r="AL75" s="625">
        <f>AL74*12/AL64</f>
        <v>11.98915054637019</v>
      </c>
      <c r="AM75" s="626">
        <f t="shared" si="421"/>
        <v>11</v>
      </c>
      <c r="AN75" s="626">
        <f t="shared" si="422"/>
        <v>59</v>
      </c>
      <c r="AO75" s="626">
        <f t="shared" si="423"/>
        <v>20</v>
      </c>
      <c r="AP75" s="626">
        <f t="shared" si="424"/>
        <v>56</v>
      </c>
      <c r="AQ75" s="660"/>
      <c r="AR75" s="2557"/>
      <c r="AV75" s="636"/>
      <c r="AW75" s="502"/>
      <c r="AX75" s="502"/>
      <c r="AY75" s="502"/>
      <c r="AZ75" s="502"/>
      <c r="BA75" s="502"/>
      <c r="BB75" s="1698" t="s">
        <v>4180</v>
      </c>
      <c r="BC75" s="502"/>
      <c r="BD75" s="502"/>
      <c r="BE75" s="502"/>
      <c r="BF75" s="502"/>
      <c r="BG75" s="502"/>
      <c r="BH75" s="502"/>
      <c r="BI75" s="502"/>
      <c r="BJ75" s="502"/>
      <c r="BK75" s="655"/>
      <c r="BL75" s="656">
        <v>63</v>
      </c>
      <c r="BM75" s="656" t="s">
        <v>1174</v>
      </c>
      <c r="BN75" s="656">
        <f>BN74/60</f>
        <v>0.78766421465666447</v>
      </c>
      <c r="BO75" s="641">
        <f t="shared" si="382"/>
        <v>0</v>
      </c>
      <c r="BP75" s="641">
        <f t="shared" si="383"/>
        <v>47</v>
      </c>
      <c r="BQ75" s="641">
        <f t="shared" si="384"/>
        <v>15</v>
      </c>
      <c r="BR75" s="657">
        <f t="shared" si="425"/>
        <v>35.470365839515239</v>
      </c>
      <c r="BS75" s="502"/>
      <c r="BT75" s="502"/>
      <c r="BU75" s="502"/>
      <c r="BV75" s="502"/>
      <c r="BW75" s="502"/>
      <c r="BX75" s="605"/>
      <c r="BY75" s="605"/>
      <c r="BZ75" s="605"/>
      <c r="CA75" s="986">
        <v>24</v>
      </c>
      <c r="CB75" s="656" t="s">
        <v>388</v>
      </c>
      <c r="CC75" s="656">
        <f>[1]!wasata(CC4,CC5,[1]!roz(AX4,CC21,0,0),CC7)</f>
        <v>17.57390784726249</v>
      </c>
      <c r="CD75" s="641">
        <f t="shared" si="405"/>
        <v>17</v>
      </c>
      <c r="CE75" s="641">
        <f t="shared" si="406"/>
        <v>34</v>
      </c>
      <c r="CF75" s="641">
        <f t="shared" si="407"/>
        <v>26</v>
      </c>
      <c r="CG75" s="657">
        <f t="shared" si="408"/>
        <v>4</v>
      </c>
      <c r="CH75" s="656"/>
      <c r="CI75" s="656"/>
      <c r="CJ75" s="656"/>
      <c r="CK75" s="656"/>
      <c r="CL75" s="656"/>
      <c r="CM75" s="656"/>
      <c r="CN75" s="621"/>
      <c r="CO75" s="621" t="s">
        <v>3842</v>
      </c>
      <c r="CP75" s="621">
        <f>[1]!sasoqootk(CC89,AX16)*2</f>
        <v>1.1105288429097586</v>
      </c>
      <c r="CQ75" s="622">
        <f t="shared" ref="CQ75" si="430">INT(ABS(CP75))</f>
        <v>1</v>
      </c>
      <c r="CR75" s="622">
        <f t="shared" ref="CR75" si="431">INT((ABS(CP75)-CQ75)*60)</f>
        <v>6</v>
      </c>
      <c r="CS75" s="622">
        <f t="shared" ref="CS75" si="432">INT((((ABS(CP75)-CQ75)*60)-CR75)*60)</f>
        <v>37</v>
      </c>
      <c r="CT75" s="682">
        <f t="shared" ref="CT75" si="433">INT((((((ABS(CP75)-CQ75)*60)-CR75)*60)-CS75)*60)</f>
        <v>54</v>
      </c>
      <c r="FE75" s="587"/>
      <c r="FF75" s="502"/>
      <c r="FG75" s="502"/>
      <c r="FH75" s="502"/>
      <c r="FI75" s="502" t="s">
        <v>1167</v>
      </c>
      <c r="FJ75" s="502">
        <f>IF(FJ17=FJ73,FJ53,FJ72)</f>
        <v>1.6955988413669132E-2</v>
      </c>
      <c r="FK75" s="605">
        <f t="shared" si="393"/>
        <v>0</v>
      </c>
      <c r="FL75" s="605">
        <f t="shared" si="394"/>
        <v>1</v>
      </c>
      <c r="FM75" s="605">
        <f t="shared" si="395"/>
        <v>1</v>
      </c>
      <c r="FN75" s="605">
        <f t="shared" si="396"/>
        <v>2</v>
      </c>
      <c r="FO75" s="606" t="s">
        <v>3444</v>
      </c>
      <c r="FQ75" s="430" t="s">
        <v>278</v>
      </c>
      <c r="FR75" s="429">
        <f>[1]!qrk([1]!ml(FJ9,FR74),FR63)</f>
        <v>59.837772441105301</v>
      </c>
      <c r="FS75" s="226"/>
      <c r="FT75" s="226"/>
      <c r="FU75" s="227"/>
    </row>
    <row r="76" spans="13:190">
      <c r="M76" s="632"/>
      <c r="N76" s="625"/>
      <c r="O76" s="625"/>
      <c r="P76" s="625"/>
      <c r="Q76" s="625"/>
      <c r="R76" s="625"/>
      <c r="S76" s="625"/>
      <c r="T76" s="625"/>
      <c r="U76" s="625"/>
      <c r="V76" s="625"/>
      <c r="W76" s="626"/>
      <c r="X76" s="626"/>
      <c r="Y76" s="626"/>
      <c r="Z76" s="626"/>
      <c r="AA76" s="625"/>
      <c r="AB76" s="625"/>
      <c r="AC76" s="629"/>
      <c r="AD76" s="669">
        <v>59</v>
      </c>
      <c r="AE76" s="629" t="s">
        <v>940</v>
      </c>
      <c r="AF76" s="629">
        <f>AF75+AF74</f>
        <v>1.9911577036836932</v>
      </c>
      <c r="AG76" s="630">
        <f t="shared" si="397"/>
        <v>1</v>
      </c>
      <c r="AH76" s="630">
        <f t="shared" si="398"/>
        <v>59</v>
      </c>
      <c r="AI76" s="630">
        <f t="shared" si="399"/>
        <v>28</v>
      </c>
      <c r="AJ76" s="665">
        <f t="shared" si="400"/>
        <v>10</v>
      </c>
      <c r="AK76" s="625" t="s">
        <v>4039</v>
      </c>
      <c r="AL76" s="625">
        <f>(AF47-AF33)*12/(2*AF46)</f>
        <v>44.070871728571177</v>
      </c>
      <c r="AM76" s="626">
        <f t="shared" ref="AM76" si="434">INT(ABS(AL76))</f>
        <v>44</v>
      </c>
      <c r="AN76" s="626">
        <f t="shared" ref="AN76" si="435">INT((ABS(AL76)-AM76)*60)</f>
        <v>4</v>
      </c>
      <c r="AO76" s="626">
        <f t="shared" ref="AO76" si="436">INT((((ABS(AL76)-AM76)*60)-AN76)*60)</f>
        <v>15</v>
      </c>
      <c r="AP76" s="626">
        <f t="shared" ref="AP76" si="437">INT((((((ABS(AL76)-AM76)*60)-AN76)*60)-AO76)*60)</f>
        <v>8</v>
      </c>
      <c r="AQ76" s="660"/>
      <c r="AR76" s="2557"/>
      <c r="AV76" s="636"/>
      <c r="AW76" s="502"/>
      <c r="AX76" s="502"/>
      <c r="AY76" s="502"/>
      <c r="AZ76" s="502"/>
      <c r="BA76" s="502"/>
      <c r="BB76" s="1698" t="s">
        <v>4181</v>
      </c>
      <c r="BC76" s="502"/>
      <c r="BD76" s="502"/>
      <c r="BE76" s="502"/>
      <c r="BF76" s="502"/>
      <c r="BG76" s="502"/>
      <c r="BH76" s="502"/>
      <c r="BI76" s="502"/>
      <c r="BJ76" s="502"/>
      <c r="BK76" s="655"/>
      <c r="BL76" s="656">
        <v>64</v>
      </c>
      <c r="BM76" s="656" t="s">
        <v>924</v>
      </c>
      <c r="BN76" s="656">
        <f>POWER(BN75,2)</f>
        <v>0.62041491505070001</v>
      </c>
      <c r="BO76" s="641">
        <f t="shared" si="382"/>
        <v>0</v>
      </c>
      <c r="BP76" s="641">
        <f t="shared" si="383"/>
        <v>37</v>
      </c>
      <c r="BQ76" s="641">
        <f t="shared" si="384"/>
        <v>13</v>
      </c>
      <c r="BR76" s="657">
        <f t="shared" si="425"/>
        <v>29.62165095119758</v>
      </c>
      <c r="BS76" s="502"/>
      <c r="BT76" s="502"/>
      <c r="BU76" s="502"/>
      <c r="BV76" s="502"/>
      <c r="BW76" s="502"/>
      <c r="BX76" s="502"/>
      <c r="BY76" s="502"/>
      <c r="BZ76" s="502"/>
      <c r="CA76" s="986">
        <v>25</v>
      </c>
      <c r="CB76" s="656" t="s">
        <v>387</v>
      </c>
      <c r="CC76" s="656">
        <f>[1]!taam(CC75)</f>
        <v>-3.2258791069512335E-2</v>
      </c>
      <c r="CD76" s="641">
        <f t="shared" si="405"/>
        <v>0</v>
      </c>
      <c r="CE76" s="641">
        <f t="shared" si="406"/>
        <v>1</v>
      </c>
      <c r="CF76" s="641">
        <f t="shared" si="407"/>
        <v>56</v>
      </c>
      <c r="CG76" s="657">
        <f t="shared" si="408"/>
        <v>7</v>
      </c>
      <c r="CH76" s="656"/>
      <c r="CI76" s="656"/>
      <c r="CJ76" s="656"/>
      <c r="CK76" s="656"/>
      <c r="CL76" s="656"/>
      <c r="CM76" s="656"/>
      <c r="CN76" s="621">
        <v>67</v>
      </c>
      <c r="CO76" s="621" t="s">
        <v>1161</v>
      </c>
      <c r="CP76" s="621">
        <f>CP73+CC77</f>
        <v>23.16847321709098</v>
      </c>
      <c r="CQ76" s="622">
        <f>INT(ABS(CP76))</f>
        <v>23</v>
      </c>
      <c r="CR76" s="622">
        <f>INT((ABS(CP76)-CQ76)*60)</f>
        <v>10</v>
      </c>
      <c r="CS76" s="622">
        <f>INT((((ABS(CP76)-CQ76)*60)-CR76)*60)</f>
        <v>6</v>
      </c>
      <c r="CT76" s="682">
        <f>INT((((((ABS(CP76)-CQ76)*60)-CR76)*60)-CS76)*60)</f>
        <v>30</v>
      </c>
      <c r="FE76" s="589"/>
      <c r="FF76" s="590"/>
      <c r="FG76" s="590"/>
      <c r="FH76" s="590"/>
      <c r="FI76" s="590" t="s">
        <v>1100</v>
      </c>
      <c r="FJ76" s="590">
        <f>IF(FJ17=FJ73,FJ58,FJ63)</f>
        <v>0.37626392289135263</v>
      </c>
      <c r="FK76" s="619">
        <f t="shared" si="393"/>
        <v>0</v>
      </c>
      <c r="FL76" s="619">
        <f t="shared" si="394"/>
        <v>22</v>
      </c>
      <c r="FM76" s="619">
        <f t="shared" si="395"/>
        <v>34</v>
      </c>
      <c r="FN76" s="619">
        <f t="shared" si="396"/>
        <v>33</v>
      </c>
      <c r="FO76" s="615" t="s">
        <v>3445</v>
      </c>
      <c r="FQ76" s="430" t="s">
        <v>380</v>
      </c>
      <c r="FR76" s="226">
        <f>[1]!ml(FJ9,FR65)</f>
        <v>7.5981599011635605</v>
      </c>
      <c r="FS76" s="226"/>
      <c r="FT76" s="226"/>
      <c r="FU76" s="227"/>
    </row>
    <row r="77" spans="13:190">
      <c r="M77" s="632"/>
      <c r="N77" s="625"/>
      <c r="O77" s="625"/>
      <c r="P77" s="625"/>
      <c r="Q77" s="625"/>
      <c r="R77" s="625"/>
      <c r="S77" s="625"/>
      <c r="T77" s="625"/>
      <c r="U77" s="625"/>
      <c r="V77" s="625"/>
      <c r="W77" s="626"/>
      <c r="X77" s="626"/>
      <c r="Y77" s="626"/>
      <c r="Z77" s="626"/>
      <c r="AA77" s="625"/>
      <c r="AB77" s="625">
        <f>AF77</f>
        <v>4.0104024241063956E-2</v>
      </c>
      <c r="AC77" s="629"/>
      <c r="AD77" s="669">
        <v>60</v>
      </c>
      <c r="AE77" s="629" t="s">
        <v>941</v>
      </c>
      <c r="AF77" s="629">
        <f>AF73/AF76</f>
        <v>4.0104024241063956E-2</v>
      </c>
      <c r="AG77" s="630">
        <f t="shared" si="397"/>
        <v>0</v>
      </c>
      <c r="AH77" s="630">
        <f t="shared" si="398"/>
        <v>2</v>
      </c>
      <c r="AI77" s="630">
        <f t="shared" si="399"/>
        <v>24</v>
      </c>
      <c r="AJ77" s="665">
        <f t="shared" si="400"/>
        <v>22</v>
      </c>
      <c r="AK77" s="607" t="s">
        <v>3401</v>
      </c>
      <c r="AL77" s="608">
        <f>IF(AF65&lt;=6,AL70,AL75)</f>
        <v>2.2939378080806452E-2</v>
      </c>
      <c r="AM77" s="608">
        <f t="shared" ref="AM77" si="438">INT(ABS(AL77))</f>
        <v>0</v>
      </c>
      <c r="AN77" s="608">
        <f t="shared" ref="AN77" si="439">INT((ABS(AL77)-AM77)*60)</f>
        <v>1</v>
      </c>
      <c r="AO77" s="608">
        <f t="shared" ref="AO77" si="440">INT((((ABS(AL77)-AM77)*60)-AN77)*60)</f>
        <v>22</v>
      </c>
      <c r="AP77" s="608">
        <f t="shared" ref="AP77" si="441">INT((((((ABS(AL77)-AM77)*60)-AN77)*60)-AO77)*60)</f>
        <v>34</v>
      </c>
      <c r="AQ77" s="660"/>
      <c r="AR77" s="2557"/>
      <c r="AV77" s="636"/>
      <c r="AW77" s="502"/>
      <c r="AX77" s="502"/>
      <c r="AY77" s="502"/>
      <c r="AZ77" s="502"/>
      <c r="BA77" s="502"/>
      <c r="BB77" s="1698" t="s">
        <v>4182</v>
      </c>
      <c r="BC77" s="502"/>
      <c r="BD77" s="502"/>
      <c r="BE77" s="502"/>
      <c r="BF77" s="605"/>
      <c r="BG77" s="605"/>
      <c r="BH77" s="605"/>
      <c r="BI77" s="605"/>
      <c r="BJ77" s="502"/>
      <c r="BK77" s="655"/>
      <c r="BL77" s="656">
        <v>65</v>
      </c>
      <c r="BM77" s="656"/>
      <c r="BN77" s="656">
        <f>BN72+BN76</f>
        <v>3112.059812367354</v>
      </c>
      <c r="BO77" s="641">
        <f t="shared" si="382"/>
        <v>3112</v>
      </c>
      <c r="BP77" s="641">
        <f t="shared" si="383"/>
        <v>3</v>
      </c>
      <c r="BQ77" s="641">
        <f t="shared" si="384"/>
        <v>35</v>
      </c>
      <c r="BR77" s="657">
        <f t="shared" si="425"/>
        <v>19.471348457591375</v>
      </c>
      <c r="BS77" s="502"/>
      <c r="BT77" s="502"/>
      <c r="BU77" s="502"/>
      <c r="BV77" s="502"/>
      <c r="BW77" s="502"/>
      <c r="BX77" s="502"/>
      <c r="BY77" s="502"/>
      <c r="BZ77" s="502"/>
      <c r="CA77" s="636">
        <v>26</v>
      </c>
      <c r="CB77" s="502" t="s">
        <v>1179</v>
      </c>
      <c r="CC77" s="502">
        <f>CC65+CC76</f>
        <v>22.759298071397275</v>
      </c>
      <c r="CD77" s="605">
        <f t="shared" si="405"/>
        <v>22</v>
      </c>
      <c r="CE77" s="605">
        <f t="shared" si="406"/>
        <v>45</v>
      </c>
      <c r="CF77" s="605">
        <f t="shared" si="407"/>
        <v>33</v>
      </c>
      <c r="CG77" s="654">
        <f t="shared" si="408"/>
        <v>28</v>
      </c>
      <c r="CH77" s="656"/>
      <c r="CI77" s="656"/>
      <c r="CJ77" s="656"/>
      <c r="CK77" s="656"/>
      <c r="CL77" s="656"/>
      <c r="CM77" s="656"/>
      <c r="CN77" s="656"/>
      <c r="CO77" s="656"/>
      <c r="CP77" s="656"/>
      <c r="CQ77" s="656"/>
      <c r="CR77" s="656"/>
      <c r="CS77" s="656"/>
      <c r="CT77" s="987"/>
      <c r="FE77" s="587"/>
      <c r="FF77" s="502"/>
      <c r="FG77" s="502"/>
      <c r="FH77" s="502" t="s">
        <v>3421</v>
      </c>
      <c r="FI77" s="502"/>
      <c r="FJ77" s="502"/>
      <c r="FK77" s="502"/>
      <c r="FL77" s="502"/>
      <c r="FM77" s="502"/>
      <c r="FN77" s="502"/>
      <c r="FO77" s="606"/>
      <c r="FQ77" s="430" t="s">
        <v>231</v>
      </c>
      <c r="FR77" s="429">
        <f>[1]!Arzr2(FJ9,FR74,FR73,FR63)</f>
        <v>27.594992261182139</v>
      </c>
      <c r="FS77" s="226">
        <f>IF(OR(AND(FR63&gt;0,[1]!ml(FJ9,FR74)&gt;FR63),AND(FR63&lt;0,[1]!ml(FJ9,FR74)&lt;FR63)),-1,1)</f>
        <v>1</v>
      </c>
      <c r="FT77" s="226" t="s">
        <v>2190</v>
      </c>
      <c r="FU77" s="227"/>
    </row>
    <row r="78" spans="13:190">
      <c r="M78" s="632"/>
      <c r="N78" s="625"/>
      <c r="O78" s="625"/>
      <c r="P78" s="625"/>
      <c r="Q78" s="625"/>
      <c r="R78" s="625"/>
      <c r="S78" s="625"/>
      <c r="T78" s="625"/>
      <c r="U78" s="625"/>
      <c r="V78" s="625"/>
      <c r="W78" s="626"/>
      <c r="X78" s="626"/>
      <c r="Y78" s="626"/>
      <c r="Z78" s="626"/>
      <c r="AA78" s="625"/>
      <c r="AB78" s="625">
        <f>AB63-AB77</f>
        <v>1.355949434190374E-2</v>
      </c>
      <c r="AC78" s="629"/>
      <c r="AD78" s="669">
        <v>61</v>
      </c>
      <c r="AE78" s="629" t="s">
        <v>942</v>
      </c>
      <c r="AF78" s="629">
        <f>(AF67-AF77)</f>
        <v>0.51667767089595373</v>
      </c>
      <c r="AG78" s="630">
        <f t="shared" ref="AG78:AG97" si="442">INT(ABS(AF78))</f>
        <v>0</v>
      </c>
      <c r="AH78" s="630">
        <f t="shared" ref="AH78:AH97" si="443">INT((ABS(AF78)-AG78)*60)</f>
        <v>31</v>
      </c>
      <c r="AI78" s="630">
        <f t="shared" ref="AI78:AI97" si="444">INT((((ABS(AF78)-AG78)*60)-AH78)*60)</f>
        <v>0</v>
      </c>
      <c r="AJ78" s="665">
        <f t="shared" ref="AJ78:AJ97" si="445">INT((((((ABS(AF78)-AG78)*60)-AH78)*60)-AI78)*60)</f>
        <v>2</v>
      </c>
      <c r="AK78" s="625" t="s">
        <v>4042</v>
      </c>
      <c r="AL78" s="626">
        <f>AL77/12</f>
        <v>1.9116148400672042E-3</v>
      </c>
      <c r="AM78" s="625"/>
      <c r="AN78" s="625"/>
      <c r="AO78" s="625"/>
      <c r="AP78" s="625"/>
      <c r="AQ78" s="660"/>
      <c r="AR78" s="2557"/>
      <c r="AV78" s="636"/>
      <c r="AW78" s="502"/>
      <c r="AX78" s="502"/>
      <c r="AY78" s="502"/>
      <c r="AZ78" s="502"/>
      <c r="BA78" s="502"/>
      <c r="BB78" s="1698" t="s">
        <v>4183</v>
      </c>
      <c r="BC78" s="502"/>
      <c r="BD78" s="502"/>
      <c r="BE78" s="502"/>
      <c r="BF78" s="605"/>
      <c r="BG78" s="605"/>
      <c r="BH78" s="605"/>
      <c r="BI78" s="605"/>
      <c r="BJ78" s="502"/>
      <c r="BK78" s="655"/>
      <c r="BL78" s="656">
        <v>66</v>
      </c>
      <c r="BM78" s="656" t="s">
        <v>1083</v>
      </c>
      <c r="BN78" s="656">
        <f>SQRT(BN77)</f>
        <v>55.785838815664981</v>
      </c>
      <c r="BO78" s="641">
        <f t="shared" si="382"/>
        <v>55</v>
      </c>
      <c r="BP78" s="641">
        <f t="shared" si="383"/>
        <v>47</v>
      </c>
      <c r="BQ78" s="641">
        <f t="shared" si="384"/>
        <v>9</v>
      </c>
      <c r="BR78" s="657">
        <f t="shared" si="425"/>
        <v>1.1841836358803448</v>
      </c>
      <c r="BS78" s="502"/>
      <c r="BT78" s="502"/>
      <c r="BU78" s="502"/>
      <c r="BV78" s="502"/>
      <c r="BW78" s="502"/>
      <c r="BX78" s="502"/>
      <c r="BY78" s="502"/>
      <c r="BZ78" s="502"/>
      <c r="CA78" s="636">
        <v>27</v>
      </c>
      <c r="CB78" s="502" t="s">
        <v>3841</v>
      </c>
      <c r="CC78" s="162">
        <f>[1]!etahqiq(CC4,CC5,AX4,AX27,AX8,AX7)+CJ13</f>
        <v>29.411270482231338</v>
      </c>
      <c r="CD78" s="605">
        <f t="shared" si="405"/>
        <v>29</v>
      </c>
      <c r="CE78" s="605">
        <f t="shared" si="406"/>
        <v>24</v>
      </c>
      <c r="CF78" s="605">
        <f t="shared" si="407"/>
        <v>40</v>
      </c>
      <c r="CG78" s="654">
        <f t="shared" si="408"/>
        <v>34</v>
      </c>
      <c r="CH78" s="656"/>
      <c r="CI78" s="656"/>
      <c r="CJ78" s="656"/>
      <c r="CK78" s="656"/>
      <c r="CL78" s="656"/>
      <c r="CM78" s="656"/>
      <c r="CN78" s="656"/>
      <c r="CO78" s="656"/>
      <c r="CP78" s="656"/>
      <c r="CQ78" s="656"/>
      <c r="CR78" s="656"/>
      <c r="CS78" s="656"/>
      <c r="CT78" s="987"/>
      <c r="FE78" s="587"/>
      <c r="FF78" s="502"/>
      <c r="FG78" s="502"/>
      <c r="FH78" s="502"/>
      <c r="FI78" s="502" t="s">
        <v>1095</v>
      </c>
      <c r="FJ78" s="502">
        <f>FR81</f>
        <v>43.782309269345589</v>
      </c>
      <c r="FK78" s="605">
        <f t="shared" ref="FK78:FK97" si="446">INT(ABS(FJ78))</f>
        <v>43</v>
      </c>
      <c r="FL78" s="605">
        <f t="shared" ref="FL78:FL97" si="447">INT((ABS(FJ78)-FK78)*60)</f>
        <v>46</v>
      </c>
      <c r="FM78" s="605">
        <f t="shared" ref="FM78:FM97" si="448">INT((((ABS(FJ78)-FK78)*60)-FL78)*60)</f>
        <v>56</v>
      </c>
      <c r="FN78" s="605">
        <f t="shared" ref="FN78:FN97" si="449">INT((((((ABS(FJ78)-FK78)*60)-FL78)*60)-FM78)*60)</f>
        <v>18</v>
      </c>
      <c r="FO78" s="606" t="s">
        <v>3462</v>
      </c>
      <c r="FQ78" s="280"/>
      <c r="FR78" s="226"/>
      <c r="FS78" s="226"/>
      <c r="FT78" s="226"/>
      <c r="FU78" s="227"/>
    </row>
    <row r="79" spans="13:190">
      <c r="M79" s="632"/>
      <c r="N79" s="625"/>
      <c r="O79" s="625"/>
      <c r="P79" s="625"/>
      <c r="Q79" s="625"/>
      <c r="R79" s="625"/>
      <c r="S79" s="625"/>
      <c r="T79" s="625"/>
      <c r="U79" s="625"/>
      <c r="V79" s="625"/>
      <c r="W79" s="626"/>
      <c r="X79" s="626"/>
      <c r="Y79" s="626"/>
      <c r="Z79" s="626"/>
      <c r="AA79" s="625"/>
      <c r="AB79" s="625"/>
      <c r="AC79" s="629"/>
      <c r="AD79" s="669">
        <v>62</v>
      </c>
      <c r="AE79" s="629" t="s">
        <v>787</v>
      </c>
      <c r="AF79" s="629">
        <f>AF78*AF77</f>
        <v>2.0720853838427793E-2</v>
      </c>
      <c r="AG79" s="630">
        <f t="shared" si="442"/>
        <v>0</v>
      </c>
      <c r="AH79" s="630">
        <f t="shared" si="443"/>
        <v>1</v>
      </c>
      <c r="AI79" s="630">
        <f t="shared" si="444"/>
        <v>14</v>
      </c>
      <c r="AJ79" s="665">
        <f t="shared" si="445"/>
        <v>35</v>
      </c>
      <c r="AK79" s="625"/>
      <c r="AL79" s="626"/>
      <c r="AM79" s="626"/>
      <c r="AN79" s="626"/>
      <c r="AO79" s="626"/>
      <c r="AP79" s="625"/>
      <c r="AQ79" s="660"/>
      <c r="AR79" s="2557"/>
      <c r="AV79" s="636"/>
      <c r="AW79" s="502"/>
      <c r="AX79" s="502"/>
      <c r="AY79" s="502"/>
      <c r="AZ79" s="502"/>
      <c r="BA79" s="502"/>
      <c r="BB79" s="1698" t="s">
        <v>4190</v>
      </c>
      <c r="BC79" s="502">
        <v>9</v>
      </c>
      <c r="BD79" s="502"/>
      <c r="BE79" s="502"/>
      <c r="BF79" s="605"/>
      <c r="BG79" s="605"/>
      <c r="BH79" s="605"/>
      <c r="BI79" s="605"/>
      <c r="BJ79" s="502"/>
      <c r="BK79" s="655"/>
      <c r="BL79" s="656">
        <v>67</v>
      </c>
      <c r="BM79" s="656"/>
      <c r="BN79" s="656">
        <f>BN74/BN78</f>
        <v>0.84716576612860806</v>
      </c>
      <c r="BO79" s="641">
        <f t="shared" si="382"/>
        <v>0</v>
      </c>
      <c r="BP79" s="641">
        <f t="shared" si="383"/>
        <v>50</v>
      </c>
      <c r="BQ79" s="641">
        <f t="shared" si="384"/>
        <v>49</v>
      </c>
      <c r="BR79" s="657">
        <f t="shared" si="425"/>
        <v>47.805483779339966</v>
      </c>
      <c r="BS79" s="502"/>
      <c r="BT79" s="502"/>
      <c r="BU79" s="502"/>
      <c r="BV79" s="502"/>
      <c r="BW79" s="502"/>
      <c r="BX79" s="502"/>
      <c r="BY79" s="502"/>
      <c r="BZ79" s="502"/>
      <c r="CA79" s="163"/>
      <c r="CB79" s="502" t="s">
        <v>3852</v>
      </c>
      <c r="CC79" s="162">
        <f>[1]!saejtmaree11(CC4,CC5,AX4,AX27,AX8,AX7)+CJ13</f>
        <v>35.528446352980801</v>
      </c>
      <c r="CD79" s="605">
        <f t="shared" si="405"/>
        <v>35</v>
      </c>
      <c r="CE79" s="605">
        <f t="shared" si="406"/>
        <v>31</v>
      </c>
      <c r="CF79" s="605">
        <f t="shared" si="407"/>
        <v>42</v>
      </c>
      <c r="CG79" s="654">
        <f t="shared" si="408"/>
        <v>24</v>
      </c>
      <c r="CH79" s="656"/>
      <c r="CI79" s="656"/>
      <c r="CJ79" s="656"/>
      <c r="CK79" s="656"/>
      <c r="CL79" s="656"/>
      <c r="CM79" s="656"/>
      <c r="CN79" s="656"/>
      <c r="CO79" s="656"/>
      <c r="CP79" s="656"/>
      <c r="CQ79" s="656"/>
      <c r="CR79" s="656"/>
      <c r="CS79" s="656"/>
      <c r="CT79" s="987"/>
      <c r="FE79" s="587"/>
      <c r="FF79" s="502"/>
      <c r="FG79" s="502"/>
      <c r="FH79" s="502"/>
      <c r="FI79" s="502" t="s">
        <v>1071</v>
      </c>
      <c r="FJ79" s="502">
        <f>FR82</f>
        <v>0.51929464176698337</v>
      </c>
      <c r="FK79" s="605">
        <f t="shared" si="446"/>
        <v>0</v>
      </c>
      <c r="FL79" s="605">
        <f t="shared" si="447"/>
        <v>31</v>
      </c>
      <c r="FM79" s="605">
        <f t="shared" si="448"/>
        <v>9</v>
      </c>
      <c r="FN79" s="605">
        <f t="shared" si="449"/>
        <v>27</v>
      </c>
      <c r="FO79" s="606" t="s">
        <v>3463</v>
      </c>
      <c r="FQ79" s="280"/>
      <c r="FR79" s="388"/>
      <c r="FS79" s="226"/>
      <c r="FT79" s="226"/>
      <c r="FU79" s="227"/>
    </row>
    <row r="80" spans="13:190">
      <c r="M80" s="632"/>
      <c r="N80" s="625"/>
      <c r="O80" s="625"/>
      <c r="P80" s="625"/>
      <c r="Q80" s="625"/>
      <c r="R80" s="625"/>
      <c r="S80" s="625"/>
      <c r="T80" s="625"/>
      <c r="U80" s="625"/>
      <c r="V80" s="625"/>
      <c r="W80" s="626"/>
      <c r="X80" s="626"/>
      <c r="Y80" s="626"/>
      <c r="Z80" s="626"/>
      <c r="AA80" s="625"/>
      <c r="AB80" s="625"/>
      <c r="AC80" s="629"/>
      <c r="AD80" s="669">
        <v>63</v>
      </c>
      <c r="AE80" s="629" t="s">
        <v>927</v>
      </c>
      <c r="AF80" s="629">
        <f>SQRT(AF79)</f>
        <v>0.14394739955423924</v>
      </c>
      <c r="AG80" s="630">
        <f t="shared" si="442"/>
        <v>0</v>
      </c>
      <c r="AH80" s="630">
        <f t="shared" si="443"/>
        <v>8</v>
      </c>
      <c r="AI80" s="630">
        <f t="shared" si="444"/>
        <v>38</v>
      </c>
      <c r="AJ80" s="665">
        <f t="shared" si="445"/>
        <v>12</v>
      </c>
      <c r="AK80" s="625" t="s">
        <v>4043</v>
      </c>
      <c r="AL80" s="625">
        <v>1215.2660000000001</v>
      </c>
      <c r="AM80" s="625"/>
      <c r="AN80" s="625"/>
      <c r="AO80" s="625"/>
      <c r="AP80" s="625"/>
      <c r="AQ80" s="660"/>
      <c r="AR80" s="2557"/>
      <c r="AV80" s="636"/>
      <c r="AW80" s="502"/>
      <c r="AX80" s="502"/>
      <c r="AY80" s="502"/>
      <c r="AZ80" s="502"/>
      <c r="BA80" s="502"/>
      <c r="BB80" s="1698" t="s">
        <v>4173</v>
      </c>
      <c r="BC80" s="502"/>
      <c r="BD80" s="502"/>
      <c r="BE80" s="502"/>
      <c r="BF80" s="605"/>
      <c r="BG80" s="605"/>
      <c r="BH80" s="605"/>
      <c r="BI80" s="605"/>
      <c r="BJ80" s="502"/>
      <c r="BK80" s="655"/>
      <c r="BL80" s="656">
        <v>68</v>
      </c>
      <c r="BM80" s="656" t="s">
        <v>2354</v>
      </c>
      <c r="BN80" s="656">
        <f>[1]!asn(BN79)</f>
        <v>0.80901059779866846</v>
      </c>
      <c r="BO80" s="641">
        <f t="shared" si="382"/>
        <v>0</v>
      </c>
      <c r="BP80" s="641">
        <f t="shared" si="383"/>
        <v>48</v>
      </c>
      <c r="BQ80" s="641">
        <f t="shared" si="384"/>
        <v>32</v>
      </c>
      <c r="BR80" s="657">
        <f t="shared" si="425"/>
        <v>26.289124512392732</v>
      </c>
      <c r="BS80" s="502"/>
      <c r="BT80" s="502"/>
      <c r="BU80" s="502"/>
      <c r="BV80" s="502"/>
      <c r="BW80" s="502"/>
      <c r="BX80" s="502"/>
      <c r="BY80" s="502"/>
      <c r="BZ80" s="502"/>
      <c r="CA80" s="986">
        <v>28</v>
      </c>
      <c r="CB80" s="656" t="s">
        <v>3851</v>
      </c>
      <c r="CC80" s="656">
        <f>[1]!taqmareesha(CC4,CC5,AX4,CC77,CC7,CJ11)</f>
        <v>19.451994027387009</v>
      </c>
      <c r="CD80" s="641">
        <f t="shared" ref="CD80:CD89" si="450">INT(ABS(CC80))</f>
        <v>19</v>
      </c>
      <c r="CE80" s="641">
        <f t="shared" ref="CE80" si="451">INT((ABS(CC80)-CD80)*60)</f>
        <v>27</v>
      </c>
      <c r="CF80" s="641">
        <f t="shared" ref="CF80" si="452">INT((((ABS(CC80)-CD80)*60)-CE80)*60)</f>
        <v>7</v>
      </c>
      <c r="CG80" s="657">
        <f t="shared" ref="CG80" si="453">INT((((((ABS(CC80)-CD80)*60)-CE80)*60)-CF80)*60)</f>
        <v>10</v>
      </c>
      <c r="CH80" s="656"/>
      <c r="CI80" s="656"/>
      <c r="CJ80" s="656"/>
      <c r="CK80" s="656"/>
      <c r="CL80" s="656"/>
      <c r="CM80" s="656"/>
      <c r="CN80" s="656"/>
      <c r="CO80" s="656"/>
      <c r="CP80" s="656"/>
      <c r="CQ80" s="656"/>
      <c r="CR80" s="656"/>
      <c r="CS80" s="656"/>
      <c r="CT80" s="987"/>
      <c r="FE80" s="587"/>
      <c r="FF80" s="502"/>
      <c r="FG80" s="502"/>
      <c r="FH80" s="502"/>
      <c r="FI80" s="609" t="s">
        <v>251</v>
      </c>
      <c r="FJ80" s="609">
        <f>[1]!asn([1]!sn(FJ28)*[1]!csn(FJ78)/[1]!csn(FJ20))</f>
        <v>46.217690730654411</v>
      </c>
      <c r="FK80" s="605">
        <f t="shared" si="446"/>
        <v>46</v>
      </c>
      <c r="FL80" s="605">
        <f t="shared" si="447"/>
        <v>13</v>
      </c>
      <c r="FM80" s="605">
        <f t="shared" si="448"/>
        <v>3</v>
      </c>
      <c r="FN80" s="605">
        <f t="shared" si="449"/>
        <v>41</v>
      </c>
      <c r="FO80" s="606" t="s">
        <v>3464</v>
      </c>
      <c r="FQ80" s="430"/>
      <c r="FR80" s="226"/>
      <c r="FT80" s="226"/>
      <c r="FU80" s="227"/>
    </row>
    <row r="81" spans="13:177">
      <c r="M81" s="632"/>
      <c r="N81" s="625"/>
      <c r="O81" s="625"/>
      <c r="P81" s="625"/>
      <c r="Q81" s="625"/>
      <c r="R81" s="625"/>
      <c r="S81" s="625"/>
      <c r="T81" s="625"/>
      <c r="U81" s="625"/>
      <c r="V81" s="625"/>
      <c r="W81" s="625"/>
      <c r="X81" s="625"/>
      <c r="Y81" s="625"/>
      <c r="Z81" s="625"/>
      <c r="AA81" s="625"/>
      <c r="AB81" s="625"/>
      <c r="AC81" s="629"/>
      <c r="AD81" s="669">
        <v>64</v>
      </c>
      <c r="AE81" s="629" t="s">
        <v>944</v>
      </c>
      <c r="AF81" s="629">
        <f>AF80*60/(AF20/2)</f>
        <v>30.984193626024588</v>
      </c>
      <c r="AG81" s="630">
        <f t="shared" si="442"/>
        <v>30</v>
      </c>
      <c r="AH81" s="630">
        <f t="shared" si="443"/>
        <v>59</v>
      </c>
      <c r="AI81" s="630">
        <f t="shared" si="444"/>
        <v>3</v>
      </c>
      <c r="AJ81" s="665">
        <f t="shared" si="445"/>
        <v>5</v>
      </c>
      <c r="AK81" s="625" t="s">
        <v>4044</v>
      </c>
      <c r="AL81" s="625">
        <v>462.084</v>
      </c>
      <c r="AM81" s="625"/>
      <c r="AN81" s="625"/>
      <c r="AO81" s="625"/>
      <c r="AP81" s="625"/>
      <c r="AQ81" s="660"/>
      <c r="AR81" s="2557"/>
      <c r="AV81" s="636"/>
      <c r="AW81" s="502"/>
      <c r="AX81" s="502"/>
      <c r="AY81" s="502">
        <v>0.94</v>
      </c>
      <c r="AZ81" s="502"/>
      <c r="BA81" s="502"/>
      <c r="BB81" s="1698" t="s">
        <v>4184</v>
      </c>
      <c r="BC81" s="502"/>
      <c r="BD81" s="502"/>
      <c r="BE81" s="502"/>
      <c r="BF81" s="502"/>
      <c r="BG81" s="502"/>
      <c r="BH81" s="502"/>
      <c r="BI81" s="502"/>
      <c r="BJ81" s="502"/>
      <c r="BK81" s="655"/>
      <c r="BL81" s="656"/>
      <c r="BM81" s="656"/>
      <c r="BN81" s="655">
        <f>[1]!ekhtmanzkoly(BN3,BN4,BN5,BN6,BN54)</f>
        <v>0.80914041694493322</v>
      </c>
      <c r="BO81" s="641">
        <f t="shared" ref="BO81" si="454">INT(ABS(BN81))</f>
        <v>0</v>
      </c>
      <c r="BP81" s="641">
        <f t="shared" ref="BP81" si="455">INT((ABS(BN81)-BO81)*60)</f>
        <v>48</v>
      </c>
      <c r="BQ81" s="641">
        <f t="shared" ref="BQ81" si="456">INT((((ABS(BN81)-BO81)*60)-BP81)*60)</f>
        <v>32</v>
      </c>
      <c r="BR81" s="657">
        <f t="shared" si="425"/>
        <v>54.3300601055779</v>
      </c>
      <c r="BS81" s="502"/>
      <c r="BT81" s="502"/>
      <c r="BU81" s="502"/>
      <c r="BV81" s="502"/>
      <c r="BW81" s="502"/>
      <c r="BX81" s="502"/>
      <c r="BY81" s="502"/>
      <c r="BZ81" s="502"/>
      <c r="CA81" s="986">
        <v>29</v>
      </c>
      <c r="CB81" s="145" t="s">
        <v>279</v>
      </c>
      <c r="CC81" s="145">
        <f>[1]!tale3(CC4,AX7,CC80,CC77)</f>
        <v>253.49023165861436</v>
      </c>
      <c r="CD81" s="641">
        <f t="shared" si="450"/>
        <v>253</v>
      </c>
      <c r="CE81" s="641">
        <f t="shared" ref="CE81:CE87" si="457">INT((ABS(CC81)-CD81)*60)</f>
        <v>29</v>
      </c>
      <c r="CF81" s="641">
        <f t="shared" ref="CF81:CF87" si="458">INT((((ABS(CC81)-CD81)*60)-CE81)*60)</f>
        <v>24</v>
      </c>
      <c r="CG81" s="657">
        <f t="shared" ref="CG81:CG87" si="459">INT((((((ABS(CC81)-CD81)*60)-CE81)*60)-CF81)*60)</f>
        <v>50</v>
      </c>
      <c r="CH81" s="656"/>
      <c r="CI81" s="656"/>
      <c r="CJ81" s="656"/>
      <c r="CK81" s="656"/>
      <c r="CL81" s="656"/>
      <c r="CM81" s="656"/>
      <c r="CN81" s="656"/>
      <c r="CO81" s="656"/>
      <c r="CP81" s="656"/>
      <c r="CQ81" s="656"/>
      <c r="CR81" s="656"/>
      <c r="CS81" s="656"/>
      <c r="CT81" s="987"/>
      <c r="FE81" s="587"/>
      <c r="FF81" s="502"/>
      <c r="FG81" s="502"/>
      <c r="FH81" s="502"/>
      <c r="FI81" s="502"/>
      <c r="FJ81" s="502">
        <f>[1]!asn([1]!sn(FJ29)*60/[1]!csn(FJ80))</f>
        <v>-61.885713097050861</v>
      </c>
      <c r="FK81" s="605">
        <f>INT(ABS(FJ81))</f>
        <v>61</v>
      </c>
      <c r="FL81" s="605">
        <f t="shared" si="447"/>
        <v>53</v>
      </c>
      <c r="FM81" s="605">
        <f t="shared" si="448"/>
        <v>8</v>
      </c>
      <c r="FN81" s="605">
        <f t="shared" si="449"/>
        <v>34</v>
      </c>
      <c r="FO81" s="606" t="s">
        <v>3446</v>
      </c>
      <c r="FQ81" s="430" t="s">
        <v>1095</v>
      </c>
      <c r="FR81" s="226">
        <f>90-[1]!asn([1]!csn(ABS(FR64))*[1]!csn(FR71)/60)</f>
        <v>43.782309269345589</v>
      </c>
      <c r="FS81" s="226"/>
      <c r="FT81" s="226"/>
      <c r="FU81" s="227"/>
    </row>
    <row r="82" spans="13:177">
      <c r="M82" s="632"/>
      <c r="N82" s="625"/>
      <c r="O82" s="625"/>
      <c r="P82" s="625"/>
      <c r="Q82" s="625"/>
      <c r="R82" s="625"/>
      <c r="S82" s="625"/>
      <c r="T82" s="625"/>
      <c r="U82" s="625"/>
      <c r="V82" s="625"/>
      <c r="W82" s="625"/>
      <c r="X82" s="625"/>
      <c r="Y82" s="625"/>
      <c r="Z82" s="625"/>
      <c r="AA82" s="625"/>
      <c r="AB82" s="625"/>
      <c r="AC82" s="629"/>
      <c r="AD82" s="669">
        <v>65</v>
      </c>
      <c r="AE82" s="629" t="s">
        <v>943</v>
      </c>
      <c r="AF82" s="629">
        <f>[1]!asn(AF81)</f>
        <v>31.091294841656524</v>
      </c>
      <c r="AG82" s="630">
        <f t="shared" si="442"/>
        <v>31</v>
      </c>
      <c r="AH82" s="630">
        <f t="shared" si="443"/>
        <v>5</v>
      </c>
      <c r="AI82" s="630">
        <f t="shared" si="444"/>
        <v>28</v>
      </c>
      <c r="AJ82" s="665">
        <f t="shared" si="445"/>
        <v>39</v>
      </c>
      <c r="AK82" s="625" t="s">
        <v>956</v>
      </c>
      <c r="AL82" s="625">
        <v>33.066000000000003</v>
      </c>
      <c r="AM82" s="625"/>
      <c r="AN82" s="625"/>
      <c r="AO82" s="625"/>
      <c r="AP82" s="625"/>
      <c r="AQ82" s="660"/>
      <c r="AR82" s="2557"/>
      <c r="AV82" s="636"/>
      <c r="AW82" s="502"/>
      <c r="AX82" s="502"/>
      <c r="AY82" s="502"/>
      <c r="AZ82" s="502"/>
      <c r="BA82" s="502"/>
      <c r="BB82" s="1698" t="s">
        <v>4185</v>
      </c>
      <c r="BC82" s="502"/>
      <c r="BD82" s="502"/>
      <c r="BE82" s="502"/>
      <c r="BF82" s="605"/>
      <c r="BG82" s="605"/>
      <c r="BH82" s="605"/>
      <c r="BI82" s="605"/>
      <c r="BJ82" s="502"/>
      <c r="BK82" s="655"/>
      <c r="BL82" s="656">
        <v>69</v>
      </c>
      <c r="BM82" s="656" t="s">
        <v>1085</v>
      </c>
      <c r="BN82" s="656">
        <f>BN73+BN80</f>
        <v>52.776771982945263</v>
      </c>
      <c r="BO82" s="641">
        <f t="shared" ref="BO82:BO86" si="460">INT(ABS(BN82))</f>
        <v>52</v>
      </c>
      <c r="BP82" s="641">
        <f t="shared" ref="BP82:BP85" si="461">INT((ABS(BN82)-BO82)*60)</f>
        <v>46</v>
      </c>
      <c r="BQ82" s="641">
        <f t="shared" ref="BQ82:BQ85" si="462">INT((((ABS(BN82)-BO82)*60)-BP82)*60)</f>
        <v>36</v>
      </c>
      <c r="BR82" s="657">
        <f t="shared" si="425"/>
        <v>22.74831617682139</v>
      </c>
      <c r="BS82" s="502"/>
      <c r="BT82" s="502"/>
      <c r="BU82" s="502"/>
      <c r="BV82" s="502"/>
      <c r="BW82" s="502"/>
      <c r="BX82" s="502"/>
      <c r="BY82" s="502"/>
      <c r="BZ82" s="502"/>
      <c r="CA82" s="986">
        <v>30</v>
      </c>
      <c r="CB82" s="656" t="s">
        <v>1063</v>
      </c>
      <c r="CC82" s="145">
        <f>IF(ABS(CC81-CC80)&lt;180,ABS(CC81-CC80),ABS(360-CC81-CC80))</f>
        <v>87.057774313998635</v>
      </c>
      <c r="CD82" s="641">
        <f t="shared" si="450"/>
        <v>87</v>
      </c>
      <c r="CE82" s="641">
        <f t="shared" si="457"/>
        <v>3</v>
      </c>
      <c r="CF82" s="641">
        <f t="shared" si="458"/>
        <v>27</v>
      </c>
      <c r="CG82" s="657">
        <f t="shared" si="459"/>
        <v>59</v>
      </c>
      <c r="CH82" s="656"/>
      <c r="CI82" s="656"/>
      <c r="CJ82" s="656"/>
      <c r="CK82" s="656"/>
      <c r="CL82" s="656"/>
      <c r="CM82" s="656"/>
      <c r="CN82" s="656"/>
      <c r="CO82" s="656"/>
      <c r="CP82" s="656"/>
      <c r="CQ82" s="656"/>
      <c r="CR82" s="656"/>
      <c r="CS82" s="656"/>
      <c r="CT82" s="987"/>
      <c r="FE82" s="587"/>
      <c r="FF82" s="502"/>
      <c r="FG82" s="502"/>
      <c r="FH82" s="502"/>
      <c r="FI82" s="502" t="s">
        <v>252</v>
      </c>
      <c r="FJ82" s="502">
        <f>IF(AND(FH56=FH40,FJ79&gt;ABS(FJ40)),180-FJ81,FJ81)</f>
        <v>-61.885713097050861</v>
      </c>
      <c r="FK82" s="605">
        <f t="shared" si="446"/>
        <v>61</v>
      </c>
      <c r="FL82" s="605">
        <f t="shared" si="447"/>
        <v>53</v>
      </c>
      <c r="FM82" s="605">
        <f t="shared" si="448"/>
        <v>8</v>
      </c>
      <c r="FN82" s="605">
        <f t="shared" si="449"/>
        <v>34</v>
      </c>
      <c r="FO82" s="606" t="s">
        <v>3447</v>
      </c>
      <c r="FQ82" s="430" t="s">
        <v>1071</v>
      </c>
      <c r="FR82" s="226">
        <f>IF(FR63&gt;0,[1]!asn([1]!sn(ABS(FR64))*60/[1]!sn(FR81)),[1]!asn([1]!sn((FR64))*60/[1]!sn(FR81)))</f>
        <v>0.51929464176698337</v>
      </c>
      <c r="FS82" s="226"/>
      <c r="FT82" s="226"/>
      <c r="FU82" s="227"/>
    </row>
    <row r="83" spans="13:177">
      <c r="M83" s="632"/>
      <c r="N83" s="625"/>
      <c r="O83" s="625"/>
      <c r="P83" s="625"/>
      <c r="Q83" s="625"/>
      <c r="R83" s="625"/>
      <c r="S83" s="625"/>
      <c r="T83" s="625"/>
      <c r="U83" s="625"/>
      <c r="V83" s="625"/>
      <c r="W83" s="625"/>
      <c r="X83" s="625"/>
      <c r="Y83" s="625"/>
      <c r="Z83" s="625"/>
      <c r="AA83" s="625"/>
      <c r="AB83" s="625"/>
      <c r="AC83" s="629"/>
      <c r="AD83" s="669">
        <v>66</v>
      </c>
      <c r="AE83" s="629" t="s">
        <v>945</v>
      </c>
      <c r="AF83" s="629">
        <f>IF(AF77&lt;=(AF20/2),AF82,180-AF82)</f>
        <v>31.091294841656524</v>
      </c>
      <c r="AG83" s="630">
        <f t="shared" si="442"/>
        <v>31</v>
      </c>
      <c r="AH83" s="630">
        <f t="shared" si="443"/>
        <v>5</v>
      </c>
      <c r="AI83" s="630">
        <f t="shared" si="444"/>
        <v>28</v>
      </c>
      <c r="AJ83" s="665">
        <f t="shared" si="445"/>
        <v>39</v>
      </c>
      <c r="AK83" s="625"/>
      <c r="AL83" s="625">
        <v>101.68438</v>
      </c>
      <c r="AM83" s="625"/>
      <c r="AN83" s="625"/>
      <c r="AO83" s="625"/>
      <c r="AP83" s="625"/>
      <c r="AQ83" s="660"/>
      <c r="AR83" s="2557"/>
      <c r="AV83" s="636"/>
      <c r="AW83" s="502"/>
      <c r="AX83" s="502"/>
      <c r="AY83" s="502"/>
      <c r="AZ83" s="502"/>
      <c r="BA83" s="502"/>
      <c r="BB83" s="1698" t="s">
        <v>4186</v>
      </c>
      <c r="BC83" s="502"/>
      <c r="BD83" s="502"/>
      <c r="BE83" s="502"/>
      <c r="BF83" s="605"/>
      <c r="BG83" s="605"/>
      <c r="BH83" s="605"/>
      <c r="BI83" s="605"/>
      <c r="BJ83" s="502"/>
      <c r="BK83" s="655"/>
      <c r="BL83" s="656">
        <v>70</v>
      </c>
      <c r="BM83" s="656" t="s">
        <v>1171</v>
      </c>
      <c r="BN83" s="656">
        <f>[1]!sn(BN82)</f>
        <v>47.777084690579002</v>
      </c>
      <c r="BO83" s="641">
        <f t="shared" si="460"/>
        <v>47</v>
      </c>
      <c r="BP83" s="641">
        <f t="shared" si="461"/>
        <v>46</v>
      </c>
      <c r="BQ83" s="641">
        <f t="shared" si="462"/>
        <v>37</v>
      </c>
      <c r="BR83" s="657">
        <f t="shared" si="425"/>
        <v>30.29316506449959</v>
      </c>
      <c r="BS83" s="502"/>
      <c r="BT83" s="502"/>
      <c r="BU83" s="502"/>
      <c r="BV83" s="502"/>
      <c r="BW83" s="502"/>
      <c r="BX83" s="502"/>
      <c r="BY83" s="502"/>
      <c r="BZ83" s="502"/>
      <c r="CA83" s="986">
        <v>31</v>
      </c>
      <c r="CB83" s="145" t="s">
        <v>416</v>
      </c>
      <c r="CC83" s="145">
        <f>[1]!arzq([1]!hesseha(CC4,CC5,[1]!roz(AX4,CC77,0,0),CC7))</f>
        <v>0.4085852795390677</v>
      </c>
      <c r="CD83" s="641">
        <f t="shared" si="450"/>
        <v>0</v>
      </c>
      <c r="CE83" s="641">
        <f t="shared" si="457"/>
        <v>24</v>
      </c>
      <c r="CF83" s="641">
        <f t="shared" si="458"/>
        <v>30</v>
      </c>
      <c r="CG83" s="657">
        <f t="shared" si="459"/>
        <v>54</v>
      </c>
      <c r="CH83" s="656"/>
      <c r="CI83" s="656"/>
      <c r="CJ83" s="656"/>
      <c r="CK83" s="656"/>
      <c r="CL83" s="656"/>
      <c r="CM83" s="656"/>
      <c r="CN83" s="656"/>
      <c r="CO83" s="656"/>
      <c r="CP83" s="656"/>
      <c r="CQ83" s="656"/>
      <c r="CR83" s="656"/>
      <c r="CS83" s="656"/>
      <c r="CT83" s="987"/>
      <c r="FE83" s="587"/>
      <c r="FF83" s="502"/>
      <c r="FG83" s="502"/>
      <c r="FH83" s="502"/>
      <c r="FI83" s="502" t="s">
        <v>839</v>
      </c>
      <c r="FJ83" s="502">
        <f>IF(ABS(FJ82-(90-FJ40))&lt;180,ABS(FJ82-(90-FJ40)),360-ABS(FJ82-(90-FJ40)))</f>
        <v>124.29072083586871</v>
      </c>
      <c r="FK83" s="605">
        <f t="shared" si="446"/>
        <v>124</v>
      </c>
      <c r="FL83" s="605">
        <f t="shared" si="447"/>
        <v>17</v>
      </c>
      <c r="FM83" s="605">
        <f t="shared" si="448"/>
        <v>26</v>
      </c>
      <c r="FN83" s="605">
        <f t="shared" si="449"/>
        <v>35</v>
      </c>
      <c r="FO83" s="606" t="s">
        <v>3448</v>
      </c>
      <c r="FP83" s="151">
        <f>FR82+(90-FR77)</f>
        <v>62.924302380584841</v>
      </c>
      <c r="FQ83" s="280" t="s">
        <v>244</v>
      </c>
      <c r="FR83" s="226">
        <f>IF(OR(AND(FS67=1,FS64=FS77),AND(FS67=-1,FS77=FS64*-1)),FR82+(90-ABS(FR77)),ABS(FR82-(90-ABS(FR77))))</f>
        <v>61.885713097050875</v>
      </c>
      <c r="FS83" s="226"/>
      <c r="FT83" s="226"/>
      <c r="FU83" s="227"/>
    </row>
    <row r="84" spans="13:177">
      <c r="M84" s="632"/>
      <c r="N84" s="625"/>
      <c r="O84" s="625"/>
      <c r="P84" s="625"/>
      <c r="Q84" s="625"/>
      <c r="R84" s="625"/>
      <c r="S84" s="625"/>
      <c r="T84" s="625"/>
      <c r="U84" s="625"/>
      <c r="V84" s="625"/>
      <c r="W84" s="625"/>
      <c r="X84" s="625"/>
      <c r="Y84" s="625"/>
      <c r="Z84" s="625"/>
      <c r="AA84" s="625"/>
      <c r="AB84" s="625"/>
      <c r="AC84" s="629"/>
      <c r="AD84" s="669">
        <v>67</v>
      </c>
      <c r="AE84" s="629" t="s">
        <v>788</v>
      </c>
      <c r="AF84" s="629">
        <f>AF80/AF45*60</f>
        <v>11.204289953597653</v>
      </c>
      <c r="AG84" s="630">
        <f t="shared" si="442"/>
        <v>11</v>
      </c>
      <c r="AH84" s="630">
        <f t="shared" si="443"/>
        <v>12</v>
      </c>
      <c r="AI84" s="630">
        <f t="shared" si="444"/>
        <v>15</v>
      </c>
      <c r="AJ84" s="665">
        <f t="shared" si="445"/>
        <v>26</v>
      </c>
      <c r="AK84" s="625"/>
      <c r="AL84" s="625">
        <f>AL83+AL82</f>
        <v>134.75038000000001</v>
      </c>
      <c r="AM84" s="625"/>
      <c r="AN84" s="625"/>
      <c r="AO84" s="625"/>
      <c r="AP84" s="625"/>
      <c r="AQ84" s="660"/>
      <c r="AR84" s="2557"/>
      <c r="AV84" s="636"/>
      <c r="AW84" s="502"/>
      <c r="AX84" s="502"/>
      <c r="AY84" s="502"/>
      <c r="AZ84" s="502"/>
      <c r="BA84" s="502"/>
      <c r="BB84" s="1698" t="s">
        <v>4187</v>
      </c>
      <c r="BC84" s="502"/>
      <c r="BD84" s="502"/>
      <c r="BE84" s="502"/>
      <c r="BF84" s="502"/>
      <c r="BG84" s="502"/>
      <c r="BH84" s="502"/>
      <c r="BI84" s="502"/>
      <c r="BJ84" s="502"/>
      <c r="BK84" s="655"/>
      <c r="BL84" s="656">
        <v>71</v>
      </c>
      <c r="BM84" s="656" t="s">
        <v>788</v>
      </c>
      <c r="BN84" s="656">
        <f>BN83/BN60</f>
        <v>3.4454085245260294E-2</v>
      </c>
      <c r="BO84" s="641">
        <f t="shared" si="460"/>
        <v>0</v>
      </c>
      <c r="BP84" s="641">
        <f t="shared" si="461"/>
        <v>2</v>
      </c>
      <c r="BQ84" s="641">
        <f t="shared" si="462"/>
        <v>4</v>
      </c>
      <c r="BR84" s="657">
        <f t="shared" si="425"/>
        <v>2.0824129762236154</v>
      </c>
      <c r="BS84" s="502"/>
      <c r="BT84" s="502"/>
      <c r="BU84" s="502"/>
      <c r="BV84" s="502"/>
      <c r="BW84" s="502"/>
      <c r="BX84" s="502"/>
      <c r="BY84" s="502"/>
      <c r="BZ84" s="502"/>
      <c r="CA84" s="986">
        <v>32</v>
      </c>
      <c r="CB84" s="145" t="s">
        <v>3497</v>
      </c>
      <c r="CC84" s="145">
        <f>[1]!ertmaree(CC4,CC5,BE5,CC77,CC7,BN11)</f>
        <v>-43.372973046474904</v>
      </c>
      <c r="CD84" s="641">
        <f t="shared" si="450"/>
        <v>43</v>
      </c>
      <c r="CE84" s="641">
        <f t="shared" si="457"/>
        <v>22</v>
      </c>
      <c r="CF84" s="641">
        <f t="shared" si="458"/>
        <v>22</v>
      </c>
      <c r="CG84" s="657">
        <f t="shared" si="459"/>
        <v>42</v>
      </c>
      <c r="CH84" s="656"/>
      <c r="CI84" s="656"/>
      <c r="CJ84" s="656"/>
      <c r="CK84" s="656"/>
      <c r="CL84" s="656"/>
      <c r="CM84" s="656"/>
      <c r="CN84" s="656"/>
      <c r="CO84" s="656"/>
      <c r="CP84" s="656"/>
      <c r="CQ84" s="656"/>
      <c r="CR84" s="656"/>
      <c r="CS84" s="656"/>
      <c r="CT84" s="987"/>
      <c r="DO84" s="150"/>
      <c r="DP84" s="150"/>
      <c r="DQ84" s="150"/>
      <c r="DR84" s="150"/>
      <c r="DS84" s="150"/>
      <c r="DT84" s="150"/>
      <c r="DU84" s="150"/>
      <c r="DV84" s="150"/>
      <c r="DY84" s="150"/>
      <c r="DZ84" s="150"/>
      <c r="EA84" s="150"/>
      <c r="EB84" s="150"/>
      <c r="EC84" s="150"/>
      <c r="ED84" s="150"/>
      <c r="EE84" s="150"/>
      <c r="EF84" s="150"/>
      <c r="EG84" s="150"/>
      <c r="EH84" s="150"/>
      <c r="FE84" s="587"/>
      <c r="FF84" s="502"/>
      <c r="FG84" s="502"/>
      <c r="FH84" s="502"/>
      <c r="FI84" s="502" t="s">
        <v>1100</v>
      </c>
      <c r="FJ84" s="502">
        <f>[1]!asn([1]!sn(FJ83)*([1]!csn(FJ80)/60))*FJ85</f>
        <v>-34.865876117587646</v>
      </c>
      <c r="FK84" s="605">
        <f t="shared" si="446"/>
        <v>34</v>
      </c>
      <c r="FL84" s="605">
        <f t="shared" si="447"/>
        <v>51</v>
      </c>
      <c r="FM84" s="605">
        <f t="shared" si="448"/>
        <v>57</v>
      </c>
      <c r="FN84" s="605">
        <f t="shared" si="449"/>
        <v>9</v>
      </c>
      <c r="FO84" s="606" t="s">
        <v>3449</v>
      </c>
      <c r="FQ84" s="280" t="s">
        <v>2192</v>
      </c>
      <c r="FR84" s="226">
        <f>[1]!sn(FR83)</f>
        <v>52.920563408123662</v>
      </c>
      <c r="FS84" s="226"/>
      <c r="FT84" s="226"/>
      <c r="FU84" s="227"/>
    </row>
    <row r="85" spans="13:177">
      <c r="M85" s="632"/>
      <c r="N85" s="625"/>
      <c r="O85" s="625"/>
      <c r="P85" s="625"/>
      <c r="Q85" s="625"/>
      <c r="R85" s="625"/>
      <c r="S85" s="625"/>
      <c r="T85" s="625"/>
      <c r="U85" s="625"/>
      <c r="V85" s="625"/>
      <c r="W85" s="625"/>
      <c r="X85" s="625"/>
      <c r="Y85" s="625"/>
      <c r="Z85" s="625"/>
      <c r="AA85" s="625"/>
      <c r="AB85" s="625"/>
      <c r="AC85" s="629"/>
      <c r="AD85" s="669">
        <v>68</v>
      </c>
      <c r="AE85" s="629" t="s">
        <v>946</v>
      </c>
      <c r="AF85" s="629">
        <f>[1]!asn(AF84)</f>
        <v>10.76248815474994</v>
      </c>
      <c r="AG85" s="630">
        <f t="shared" si="442"/>
        <v>10</v>
      </c>
      <c r="AH85" s="630">
        <f t="shared" si="443"/>
        <v>45</v>
      </c>
      <c r="AI85" s="630">
        <f t="shared" si="444"/>
        <v>44</v>
      </c>
      <c r="AJ85" s="665">
        <f t="shared" si="445"/>
        <v>57</v>
      </c>
      <c r="AK85" s="625"/>
      <c r="AL85" s="625"/>
      <c r="AM85" s="625"/>
      <c r="AN85" s="625"/>
      <c r="AO85" s="625"/>
      <c r="AP85" s="625"/>
      <c r="AQ85" s="660"/>
      <c r="AR85" s="2557"/>
      <c r="AV85" s="636"/>
      <c r="AW85" s="502"/>
      <c r="AX85" s="502"/>
      <c r="AY85" s="502"/>
      <c r="AZ85" s="502"/>
      <c r="BA85" s="502"/>
      <c r="BB85" s="1698" t="s">
        <v>4188</v>
      </c>
      <c r="BC85" s="502"/>
      <c r="BD85" s="502"/>
      <c r="BE85" s="502"/>
      <c r="BF85" s="502"/>
      <c r="BG85" s="502"/>
      <c r="BH85" s="502"/>
      <c r="BI85" s="502"/>
      <c r="BJ85" s="502"/>
      <c r="BK85" s="655"/>
      <c r="BL85" s="656">
        <v>72</v>
      </c>
      <c r="BM85" s="656" t="s">
        <v>1172</v>
      </c>
      <c r="BN85" s="656">
        <f>[1]!asn(BN84)</f>
        <v>3.2901229667128815E-2</v>
      </c>
      <c r="BO85" s="641">
        <f t="shared" si="460"/>
        <v>0</v>
      </c>
      <c r="BP85" s="641">
        <f t="shared" si="461"/>
        <v>1</v>
      </c>
      <c r="BQ85" s="641">
        <f t="shared" si="462"/>
        <v>58</v>
      </c>
      <c r="BR85" s="657">
        <f t="shared" si="425"/>
        <v>26.665608099823856</v>
      </c>
      <c r="BS85" s="502"/>
      <c r="BT85" s="502"/>
      <c r="BU85" s="502"/>
      <c r="BV85" s="502"/>
      <c r="BW85" s="502"/>
      <c r="BX85" s="502"/>
      <c r="BY85" s="502"/>
      <c r="BZ85" s="502"/>
      <c r="CA85" s="145">
        <f>[1]!ekhtoolq(BN3,BN11,CC87,CC83,CC81,CC84)</f>
        <v>0.50701590870632884</v>
      </c>
      <c r="CB85" s="145" t="s">
        <v>1102</v>
      </c>
      <c r="CC85" s="145">
        <f>CA85</f>
        <v>0.50701590870632884</v>
      </c>
      <c r="CD85" s="641">
        <f t="shared" si="450"/>
        <v>0</v>
      </c>
      <c r="CE85" s="641">
        <f t="shared" si="457"/>
        <v>30</v>
      </c>
      <c r="CF85" s="641">
        <f t="shared" si="458"/>
        <v>25</v>
      </c>
      <c r="CG85" s="657">
        <f t="shared" si="459"/>
        <v>15</v>
      </c>
      <c r="CH85" s="656"/>
      <c r="CI85" s="656"/>
      <c r="CJ85" s="656"/>
      <c r="CK85" s="656"/>
      <c r="CL85" s="656"/>
      <c r="CM85" s="656"/>
      <c r="CN85" s="656"/>
      <c r="CO85" s="656"/>
      <c r="CP85" s="656"/>
      <c r="CQ85" s="656"/>
      <c r="CR85" s="656"/>
      <c r="CS85" s="656"/>
      <c r="CT85" s="987"/>
      <c r="DS85" s="150"/>
      <c r="DT85" s="150"/>
      <c r="DU85" s="150"/>
      <c r="DV85" s="150"/>
      <c r="DW85" s="150"/>
      <c r="DX85" s="150"/>
      <c r="DY85" s="150"/>
      <c r="DZ85" s="150"/>
      <c r="EA85" s="150"/>
      <c r="EB85" s="150"/>
      <c r="EC85" s="150"/>
      <c r="ED85" s="150"/>
      <c r="EE85" s="150"/>
      <c r="EF85" s="150"/>
      <c r="EG85" s="150"/>
      <c r="EH85" s="150"/>
      <c r="FE85" s="587"/>
      <c r="FF85" s="502"/>
      <c r="FG85" s="502"/>
      <c r="FH85" s="502"/>
      <c r="FI85" s="502"/>
      <c r="FJ85" s="502">
        <f>IF(AND(FH56=FH40,FJ79&lt;FJ40,FJ82&lt;(90-FJ40)),FH40*FH56*-1,FH56)</f>
        <v>-1</v>
      </c>
      <c r="FK85" s="605"/>
      <c r="FL85" s="605"/>
      <c r="FM85" s="605"/>
      <c r="FN85" s="605"/>
      <c r="FO85" s="606" t="s">
        <v>3450</v>
      </c>
      <c r="FQ85" s="280"/>
      <c r="FR85" s="226">
        <f>[1]!asn(FR84*[1]!sn(FR81)/60)</f>
        <v>37.609765444771753</v>
      </c>
      <c r="FS85" s="226"/>
      <c r="FT85" s="226"/>
      <c r="FU85" s="227"/>
    </row>
    <row r="86" spans="13:177" ht="24" thickBot="1">
      <c r="M86" s="632"/>
      <c r="N86" s="625"/>
      <c r="O86" s="625"/>
      <c r="P86" s="625"/>
      <c r="Q86" s="625"/>
      <c r="R86" s="625"/>
      <c r="S86" s="625"/>
      <c r="T86" s="625"/>
      <c r="U86" s="625"/>
      <c r="V86" s="625"/>
      <c r="W86" s="625"/>
      <c r="X86" s="625"/>
      <c r="Y86" s="625"/>
      <c r="Z86" s="625"/>
      <c r="AA86" s="625"/>
      <c r="AB86" s="625"/>
      <c r="AC86" s="629"/>
      <c r="AD86" s="669">
        <v>69</v>
      </c>
      <c r="AE86" s="629" t="s">
        <v>947</v>
      </c>
      <c r="AF86" s="629">
        <f>POWER((AF20/2),2)</f>
        <v>7.7701562500000002E-2</v>
      </c>
      <c r="AG86" s="630">
        <f t="shared" si="442"/>
        <v>0</v>
      </c>
      <c r="AH86" s="630">
        <f t="shared" si="443"/>
        <v>4</v>
      </c>
      <c r="AI86" s="630">
        <f t="shared" si="444"/>
        <v>39</v>
      </c>
      <c r="AJ86" s="665">
        <f t="shared" si="445"/>
        <v>43</v>
      </c>
      <c r="AK86" s="625"/>
      <c r="AL86" s="625"/>
      <c r="AM86" s="625"/>
      <c r="AN86" s="625"/>
      <c r="AO86" s="625"/>
      <c r="AP86" s="625"/>
      <c r="AQ86" s="660"/>
      <c r="AR86" s="2557"/>
      <c r="AV86" s="685"/>
      <c r="AW86" s="684"/>
      <c r="AX86" s="684"/>
      <c r="AY86" s="684"/>
      <c r="AZ86" s="684"/>
      <c r="BA86" s="684"/>
      <c r="BB86" s="684" t="s">
        <v>4195</v>
      </c>
      <c r="BC86" s="684"/>
      <c r="BD86" s="684"/>
      <c r="BE86" s="684"/>
      <c r="BF86" s="684"/>
      <c r="BG86" s="684"/>
      <c r="BH86" s="684"/>
      <c r="BI86" s="684"/>
      <c r="BJ86" s="684"/>
      <c r="BK86" s="655" t="s">
        <v>3431</v>
      </c>
      <c r="BL86" s="656"/>
      <c r="BM86" s="656" t="s">
        <v>3811</v>
      </c>
      <c r="BN86" s="655">
        <f>[1]!manzarsh(BN54)</f>
        <v>3.3781371011641942E-2</v>
      </c>
      <c r="BO86" s="641">
        <f t="shared" si="460"/>
        <v>0</v>
      </c>
      <c r="BP86" s="641">
        <f t="shared" ref="BP86" si="463">INT((ABS(BN86)-BO86)*60)</f>
        <v>2</v>
      </c>
      <c r="BQ86" s="641">
        <f t="shared" ref="BQ86" si="464">INT((((ABS(BN86)-BO86)*60)-BP86)*60)</f>
        <v>1</v>
      </c>
      <c r="BR86" s="657">
        <f t="shared" si="425"/>
        <v>36.776138514659849</v>
      </c>
      <c r="BS86" s="684"/>
      <c r="BT86" s="684"/>
      <c r="BU86" s="684"/>
      <c r="BV86" s="684"/>
      <c r="BW86" s="684"/>
      <c r="BX86" s="684"/>
      <c r="BY86" s="684"/>
      <c r="BZ86" s="684"/>
      <c r="CA86" s="986">
        <f>[1]!taqmareeqa(CC$4,CC$5,AX$4,CC77,AX$8,AX$7)</f>
        <v>19.431760923105031</v>
      </c>
      <c r="CB86" s="656" t="s">
        <v>1107</v>
      </c>
      <c r="CC86" s="145">
        <f>[1]!taqmaree([1]!taqqa(CC4,CC5,[1]!roz(AX4,CC77,0,0),CC7),CC81,CC85)</f>
        <v>19.431760923105031</v>
      </c>
      <c r="CD86" s="641">
        <f t="shared" si="450"/>
        <v>19</v>
      </c>
      <c r="CE86" s="641">
        <f t="shared" si="457"/>
        <v>25</v>
      </c>
      <c r="CF86" s="641">
        <f t="shared" si="458"/>
        <v>54</v>
      </c>
      <c r="CG86" s="657">
        <f t="shared" si="459"/>
        <v>20</v>
      </c>
      <c r="CH86" s="989"/>
      <c r="CI86" s="989"/>
      <c r="CJ86" s="989"/>
      <c r="CK86" s="989"/>
      <c r="CL86" s="989"/>
      <c r="CM86" s="989"/>
      <c r="CN86" s="989"/>
      <c r="CO86" s="989"/>
      <c r="CP86" s="989"/>
      <c r="CQ86" s="989"/>
      <c r="CR86" s="989"/>
      <c r="CS86" s="989"/>
      <c r="CT86" s="990"/>
      <c r="DS86" s="164" t="s">
        <v>1034</v>
      </c>
      <c r="DT86" s="164" t="s">
        <v>1035</v>
      </c>
      <c r="DU86" s="164" t="s">
        <v>1015</v>
      </c>
      <c r="DV86" s="164" t="s">
        <v>1036</v>
      </c>
      <c r="DW86" s="164" t="s">
        <v>864</v>
      </c>
      <c r="DX86" s="164" t="s">
        <v>1037</v>
      </c>
      <c r="DY86" s="164" t="s">
        <v>1038</v>
      </c>
      <c r="DZ86" s="164" t="s">
        <v>1039</v>
      </c>
      <c r="EA86" s="164" t="s">
        <v>1011</v>
      </c>
      <c r="EB86" s="164" t="s">
        <v>1040</v>
      </c>
      <c r="EC86" s="164" t="s">
        <v>1041</v>
      </c>
      <c r="ED86" s="164" t="s">
        <v>950</v>
      </c>
      <c r="EE86" s="164" t="s">
        <v>948</v>
      </c>
      <c r="EF86" s="164" t="s">
        <v>1001</v>
      </c>
      <c r="EG86" s="164" t="s">
        <v>1042</v>
      </c>
      <c r="EH86" s="164" t="s">
        <v>1003</v>
      </c>
      <c r="EI86" s="164" t="s">
        <v>1043</v>
      </c>
      <c r="EJ86" s="164" t="s">
        <v>1044</v>
      </c>
      <c r="EK86" s="164" t="s">
        <v>964</v>
      </c>
      <c r="EL86" s="164"/>
      <c r="EM86" s="164"/>
      <c r="EN86" s="164"/>
      <c r="EO86" s="164"/>
      <c r="FE86" s="587"/>
      <c r="FF86" s="502"/>
      <c r="FG86" s="502"/>
      <c r="FH86" s="502"/>
      <c r="FI86" s="502" t="s">
        <v>3479</v>
      </c>
      <c r="FJ86" s="502">
        <f>IF(ABS(FJ17-FJ39)&lt;180,ABS(FJ17-FJ39),360-ABS(FJ17-FJ39))</f>
        <v>133.78113367311346</v>
      </c>
      <c r="FK86" s="605">
        <f t="shared" si="446"/>
        <v>133</v>
      </c>
      <c r="FL86" s="605">
        <f t="shared" si="447"/>
        <v>46</v>
      </c>
      <c r="FM86" s="605">
        <f t="shared" si="448"/>
        <v>52</v>
      </c>
      <c r="FN86" s="605">
        <f t="shared" si="449"/>
        <v>4</v>
      </c>
      <c r="FO86" s="606" t="s">
        <v>3451</v>
      </c>
      <c r="FQ86" s="280" t="s">
        <v>2186</v>
      </c>
      <c r="FR86" s="388">
        <f>IF(AND(FS67=1,FS64=FS77),FR85,IF(AND(FS67=1,FS64=-1*FS77,(90-ABS(FR77))&gt;FR82),FR85,IF(AND(FS67=-1,FS64=FS77,FR82&gt;(90-ABS(FR77))),FR85,FR85*-1)))</f>
        <v>-37.609765444771753</v>
      </c>
      <c r="FS86" s="149"/>
      <c r="FT86" s="149"/>
      <c r="FU86" s="149"/>
    </row>
    <row r="87" spans="13:177">
      <c r="M87" s="632"/>
      <c r="N87" s="625"/>
      <c r="O87" s="625"/>
      <c r="P87" s="625"/>
      <c r="Q87" s="625"/>
      <c r="R87" s="625"/>
      <c r="S87" s="625"/>
      <c r="T87" s="625"/>
      <c r="U87" s="625"/>
      <c r="V87" s="625"/>
      <c r="W87" s="625"/>
      <c r="X87" s="625"/>
      <c r="Y87" s="625"/>
      <c r="Z87" s="625"/>
      <c r="AA87" s="625"/>
      <c r="AB87" s="625"/>
      <c r="AC87" s="629"/>
      <c r="AD87" s="669">
        <v>70</v>
      </c>
      <c r="AE87" s="629" t="s">
        <v>948</v>
      </c>
      <c r="AF87" s="629">
        <f>((AF83*2)/360)*AF70</f>
        <v>4.2072745317642081E-2</v>
      </c>
      <c r="AG87" s="630">
        <f t="shared" si="442"/>
        <v>0</v>
      </c>
      <c r="AH87" s="630">
        <f t="shared" si="443"/>
        <v>2</v>
      </c>
      <c r="AI87" s="630">
        <f t="shared" si="444"/>
        <v>31</v>
      </c>
      <c r="AJ87" s="665">
        <f t="shared" si="445"/>
        <v>27</v>
      </c>
      <c r="AK87" s="625">
        <f>((AF83*2)/360)*AF70</f>
        <v>4.2072745317642081E-2</v>
      </c>
      <c r="AL87" s="625" t="s">
        <v>4045</v>
      </c>
      <c r="AM87" s="625"/>
      <c r="AN87" s="625"/>
      <c r="AO87" s="625"/>
      <c r="AP87" s="625"/>
      <c r="AQ87" s="660"/>
      <c r="AR87" s="2557"/>
      <c r="AV87" s="986"/>
      <c r="AW87" s="656"/>
      <c r="AX87" s="656"/>
      <c r="AY87" s="656"/>
      <c r="AZ87" s="656"/>
      <c r="BA87" s="656" t="s">
        <v>4199</v>
      </c>
      <c r="BB87" s="656" t="s">
        <v>4198</v>
      </c>
      <c r="BC87" s="656"/>
      <c r="BD87" s="656"/>
      <c r="BE87" s="656"/>
      <c r="BF87" s="656"/>
      <c r="BG87" s="656"/>
      <c r="BH87" s="656"/>
      <c r="BI87" s="656"/>
      <c r="BJ87" s="656"/>
      <c r="BK87" s="655"/>
      <c r="BL87" s="656"/>
      <c r="BM87" s="656" t="s">
        <v>3812</v>
      </c>
      <c r="BN87" s="656">
        <f>[1]!ekhtmanzofoq(BN61)</f>
        <v>1.0164440333315516</v>
      </c>
      <c r="BO87" s="641">
        <f t="shared" ref="BO87:BO91" si="465">INT(ABS(BN87))</f>
        <v>1</v>
      </c>
      <c r="BP87" s="641">
        <f t="shared" ref="BP87:BP92" si="466">INT((ABS(BN87)-BO87)*60)</f>
        <v>0</v>
      </c>
      <c r="BQ87" s="641">
        <f t="shared" ref="BQ87:BQ92" si="467">INT((((ABS(BN87)-BO87)*60)-BP87)*60)</f>
        <v>59</v>
      </c>
      <c r="BR87" s="657">
        <f t="shared" si="425"/>
        <v>11.911199615155112</v>
      </c>
      <c r="BS87" s="656"/>
      <c r="BT87" s="656"/>
      <c r="BU87" s="656"/>
      <c r="BV87" s="656"/>
      <c r="BW87" s="656"/>
      <c r="BX87" s="656"/>
      <c r="BY87" s="656"/>
      <c r="BZ87" s="656"/>
      <c r="CA87" s="986">
        <v>35</v>
      </c>
      <c r="CB87" s="145" t="s">
        <v>698</v>
      </c>
      <c r="CC87" s="145">
        <f>[1]!taqqa(CC4,CC5,[1]!roz(AX4,CC77,0,0),CC7)</f>
        <v>19.93877683181136</v>
      </c>
      <c r="CD87" s="641">
        <f t="shared" si="450"/>
        <v>19</v>
      </c>
      <c r="CE87" s="641">
        <f t="shared" si="457"/>
        <v>56</v>
      </c>
      <c r="CF87" s="641">
        <f t="shared" si="458"/>
        <v>19</v>
      </c>
      <c r="CG87" s="657">
        <f t="shared" si="459"/>
        <v>35</v>
      </c>
      <c r="CH87" s="656"/>
      <c r="CI87" s="656"/>
      <c r="CJ87" s="656"/>
      <c r="CK87" s="656"/>
      <c r="CL87" s="656"/>
      <c r="CM87" s="656"/>
      <c r="CN87" s="656"/>
      <c r="CO87" s="656"/>
      <c r="CP87" s="656"/>
      <c r="CQ87" s="656"/>
      <c r="CR87" s="656"/>
      <c r="CS87" s="656"/>
      <c r="CT87" s="987"/>
      <c r="DK87" s="164"/>
      <c r="DL87" s="164"/>
      <c r="DM87" s="164">
        <f>DL88</f>
        <v>0.7730555555555555</v>
      </c>
      <c r="DN87" s="164">
        <f>DL89</f>
        <v>0.27916666666666667</v>
      </c>
      <c r="DO87" s="164">
        <f>DL90</f>
        <v>0.5344444444444445</v>
      </c>
      <c r="DP87" s="164">
        <f>(2*DN87)-DO87</f>
        <v>2.3888888888888848E-2</v>
      </c>
      <c r="DQ87" s="164">
        <f>(2*DM87)-DO87</f>
        <v>1.0116666666666665</v>
      </c>
      <c r="DR87" s="164">
        <f>DP87*DO87/(DP87+DQ87)</f>
        <v>1.2328922269909377E-2</v>
      </c>
      <c r="DS87" s="164">
        <f>DO87-DR87</f>
        <v>0.52211552217453516</v>
      </c>
      <c r="DT87" s="164">
        <f>(2*DN87)-DS87</f>
        <v>3.6217811158798185E-2</v>
      </c>
      <c r="DU87" s="164">
        <f>(2*DM87)-DR87</f>
        <v>1.5337821888412015</v>
      </c>
      <c r="DV87" s="164">
        <f>SQRT(DT87*DS87)</f>
        <v>0.13751320440304859</v>
      </c>
      <c r="DW87" s="164" t="e">
        <f ca="1">[2]!asn(DV87/DM87*60)</f>
        <v>#NAME?</v>
      </c>
      <c r="DX87" s="164" t="e">
        <f ca="1">[2]!asn(DV87/DN87*60)</f>
        <v>#NAME?</v>
      </c>
      <c r="DY87" s="164" t="e">
        <f ca="1">DN87-([2]!csn(DX87)*DN87/60)</f>
        <v>#NAME?</v>
      </c>
      <c r="DZ87" s="164" t="e">
        <f ca="1">IF(DV87=DN87,90,IF(DY87&lt;DS87,180-[2]!asn(DV87/DN87*60),[2]!asn(DV87/DN87*60)))</f>
        <v>#NAME?</v>
      </c>
      <c r="EA87" s="164" t="e">
        <f ca="1">2*DW87</f>
        <v>#NAME?</v>
      </c>
      <c r="EB87" s="164" t="e">
        <f ca="1">2*DZ87</f>
        <v>#NAME?</v>
      </c>
      <c r="EC87" s="164">
        <f>DN87*DN87*PI()</f>
        <v>0.24483696913132952</v>
      </c>
      <c r="ED87" s="164" t="e">
        <f ca="1">EA87/360*(DM87*DM87*PI())</f>
        <v>#NAME?</v>
      </c>
      <c r="EE87" s="164" t="e">
        <f ca="1">EB87/360*(EC87)</f>
        <v>#NAME?</v>
      </c>
      <c r="EF87" s="164">
        <f>IF(DV87=DN87,[2]!csn(EA87/2)/60*DM87,DU87-DM87)</f>
        <v>0.76072663328564605</v>
      </c>
      <c r="EG87" s="164">
        <f>EF87*DV87</f>
        <v>0.10460995701785203</v>
      </c>
      <c r="EH87" s="164">
        <f>ABS(DN87-DS87)</f>
        <v>0.24294885550786849</v>
      </c>
      <c r="EI87" s="164">
        <f>EH87*DV87</f>
        <v>3.3408675626940235E-2</v>
      </c>
      <c r="EJ87" s="164" t="e">
        <f ca="1">IF(DY87&lt;DS87,(ED87-EG87)+(EE87+EI87),(ED87-EG87)+(EE87-EI87))</f>
        <v>#NAME?</v>
      </c>
      <c r="EK87" s="164" t="e">
        <f ca="1">EJ87/EC87*12</f>
        <v>#NAME?</v>
      </c>
      <c r="EL87" s="165" t="e">
        <f ca="1">INT(ABS(EK87))</f>
        <v>#NAME?</v>
      </c>
      <c r="EM87" s="165" t="e">
        <f ca="1">INT((ABS(EK87)-EL87)*60)</f>
        <v>#NAME?</v>
      </c>
      <c r="EN87" s="165" t="e">
        <f ca="1">INT((((ABS(EK87)-EL87)*60)-EM87)*60)</f>
        <v>#NAME?</v>
      </c>
      <c r="EO87" s="165" t="e">
        <f ca="1">INT((((((ABS(EK87)-EL87)*60)-EM87)*60)-EN87)*60)</f>
        <v>#NAME?</v>
      </c>
      <c r="FE87" s="587"/>
      <c r="FF87" s="502"/>
      <c r="FG87" s="502"/>
      <c r="FH87" s="502"/>
      <c r="FI87" s="502" t="s">
        <v>3423</v>
      </c>
      <c r="FJ87" s="502">
        <f>[1]!asn([1]!sn(FJ80)*60/[1]!csn(FJ84))</f>
        <v>61.633618909155551</v>
      </c>
      <c r="FK87" s="605">
        <f t="shared" si="446"/>
        <v>61</v>
      </c>
      <c r="FL87" s="605">
        <f t="shared" si="447"/>
        <v>38</v>
      </c>
      <c r="FM87" s="605">
        <f t="shared" si="448"/>
        <v>1</v>
      </c>
      <c r="FN87" s="605">
        <f t="shared" si="449"/>
        <v>1</v>
      </c>
      <c r="FO87" s="606" t="s">
        <v>3452</v>
      </c>
      <c r="FQ87" s="280" t="s">
        <v>2193</v>
      </c>
      <c r="FR87" s="226"/>
      <c r="FS87" s="226"/>
      <c r="FT87" s="226"/>
      <c r="FU87" s="227"/>
    </row>
    <row r="88" spans="13:177">
      <c r="M88" s="632"/>
      <c r="N88" s="625"/>
      <c r="O88" s="625"/>
      <c r="P88" s="625"/>
      <c r="Q88" s="625"/>
      <c r="R88" s="625"/>
      <c r="S88" s="625"/>
      <c r="T88" s="625"/>
      <c r="U88" s="625"/>
      <c r="V88" s="625"/>
      <c r="W88" s="625"/>
      <c r="X88" s="625"/>
      <c r="Y88" s="625"/>
      <c r="Z88" s="625"/>
      <c r="AA88" s="625"/>
      <c r="AB88" s="625"/>
      <c r="AC88" s="629"/>
      <c r="AD88" s="669">
        <v>71</v>
      </c>
      <c r="AE88" s="629" t="s">
        <v>949</v>
      </c>
      <c r="AF88" s="629">
        <f>POWER((AF71/2),2)</f>
        <v>0.59421207028988521</v>
      </c>
      <c r="AG88" s="630">
        <f t="shared" si="442"/>
        <v>0</v>
      </c>
      <c r="AH88" s="630">
        <f>INT((ABS(AF88)-AG88)*60)</f>
        <v>35</v>
      </c>
      <c r="AI88" s="630">
        <f t="shared" si="444"/>
        <v>39</v>
      </c>
      <c r="AJ88" s="665">
        <f t="shared" si="445"/>
        <v>9</v>
      </c>
      <c r="AK88" s="625"/>
      <c r="AL88" s="625"/>
      <c r="AM88" s="625"/>
      <c r="AN88" s="625"/>
      <c r="AO88" s="625"/>
      <c r="AP88" s="625"/>
      <c r="AQ88" s="660"/>
      <c r="AR88" s="2557"/>
      <c r="AV88" s="986"/>
      <c r="AW88" s="656"/>
      <c r="AX88" s="656"/>
      <c r="AY88" s="656">
        <v>0.53</v>
      </c>
      <c r="AZ88" s="656"/>
      <c r="BA88" s="656" t="s">
        <v>4197</v>
      </c>
      <c r="BB88" s="656" t="s">
        <v>4196</v>
      </c>
      <c r="BC88" s="656"/>
      <c r="BD88" s="656"/>
      <c r="BE88" s="656"/>
      <c r="BF88" s="656"/>
      <c r="BG88" s="656"/>
      <c r="BH88" s="656"/>
      <c r="BI88" s="656"/>
      <c r="BJ88" s="656"/>
      <c r="BK88" s="655"/>
      <c r="BL88" s="656">
        <v>73</v>
      </c>
      <c r="BM88" s="656" t="s">
        <v>1173</v>
      </c>
      <c r="BN88" s="656">
        <f>BN80-BN86</f>
        <v>0.77522922678702655</v>
      </c>
      <c r="BO88" s="641">
        <f t="shared" si="465"/>
        <v>0</v>
      </c>
      <c r="BP88" s="641">
        <f t="shared" si="466"/>
        <v>46</v>
      </c>
      <c r="BQ88" s="641">
        <f t="shared" si="467"/>
        <v>30</v>
      </c>
      <c r="BR88" s="657">
        <f t="shared" si="425"/>
        <v>49.512985997742476</v>
      </c>
      <c r="BS88" s="656"/>
      <c r="BT88" s="656"/>
      <c r="BU88" s="656"/>
      <c r="BV88" s="656"/>
      <c r="BW88" s="656"/>
      <c r="BX88" s="656"/>
      <c r="BY88" s="656"/>
      <c r="BZ88" s="656"/>
      <c r="CA88" s="986">
        <v>36</v>
      </c>
      <c r="CB88" s="145"/>
      <c r="CC88" s="145">
        <f>CC86-CC80</f>
        <v>-2.0233104281977887E-2</v>
      </c>
      <c r="CD88" s="641">
        <f t="shared" si="450"/>
        <v>0</v>
      </c>
      <c r="CE88" s="641">
        <f t="shared" ref="CE88" si="468">INT((ABS(CC88)-CD88)*60)</f>
        <v>1</v>
      </c>
      <c r="CF88" s="641">
        <f t="shared" ref="CF88" si="469">INT((((ABS(CC88)-CD88)*60)-CE88)*60)</f>
        <v>12</v>
      </c>
      <c r="CG88" s="657">
        <f t="shared" ref="CG88" si="470">INT((((((ABS(CC88)-CD88)*60)-CE88)*60)-CF88)*60)</f>
        <v>50</v>
      </c>
      <c r="CH88" s="656"/>
      <c r="CI88" s="656"/>
      <c r="CJ88" s="656"/>
      <c r="CK88" s="656"/>
      <c r="CL88" s="656"/>
      <c r="CM88" s="656"/>
      <c r="CN88" s="656"/>
      <c r="CO88" s="656"/>
      <c r="CP88" s="656"/>
      <c r="CQ88" s="656"/>
      <c r="CR88" s="656"/>
      <c r="CS88" s="656"/>
      <c r="CT88" s="987"/>
      <c r="DK88" s="164" t="s">
        <v>1031</v>
      </c>
      <c r="DL88" s="165">
        <f>((((DO88)/60)+DN88)/60)+DM88</f>
        <v>0.7730555555555555</v>
      </c>
      <c r="DM88" s="164">
        <v>0</v>
      </c>
      <c r="DN88" s="164">
        <v>46</v>
      </c>
      <c r="DO88" s="164">
        <v>23</v>
      </c>
      <c r="DP88" s="164"/>
      <c r="DQ88" s="164"/>
      <c r="DR88" s="164"/>
      <c r="DS88" s="164"/>
      <c r="DT88" s="164"/>
      <c r="DU88" s="164"/>
      <c r="DV88" s="164"/>
      <c r="DW88" s="164"/>
      <c r="DX88" s="164"/>
      <c r="DY88" s="164"/>
      <c r="DZ88" s="164"/>
      <c r="EA88" s="164"/>
      <c r="EB88" s="164"/>
      <c r="EC88" s="164"/>
      <c r="ED88" s="164"/>
      <c r="EE88" s="164"/>
      <c r="EF88" s="164"/>
      <c r="EG88" s="164"/>
      <c r="EH88" s="164"/>
      <c r="EI88" s="164"/>
      <c r="EJ88" s="164"/>
      <c r="EK88" s="164"/>
      <c r="EL88" s="164"/>
      <c r="EM88" s="164"/>
      <c r="EN88" s="164"/>
      <c r="EO88" s="164"/>
      <c r="FE88" s="587"/>
      <c r="FF88" s="502"/>
      <c r="FG88" s="502"/>
      <c r="FH88" s="502"/>
      <c r="FI88" s="502" t="s">
        <v>1102</v>
      </c>
      <c r="FJ88" s="502">
        <f>ABS(FJ87-FJ86)</f>
        <v>72.147514763957901</v>
      </c>
      <c r="FK88" s="605">
        <f t="shared" si="446"/>
        <v>72</v>
      </c>
      <c r="FL88" s="605">
        <f t="shared" si="447"/>
        <v>8</v>
      </c>
      <c r="FM88" s="605">
        <f t="shared" si="448"/>
        <v>51</v>
      </c>
      <c r="FN88" s="605">
        <f t="shared" si="449"/>
        <v>3</v>
      </c>
      <c r="FO88" s="606" t="s">
        <v>3453</v>
      </c>
      <c r="FQ88" s="280"/>
      <c r="FR88" s="226">
        <f>[1]!asn([1]!sn(FR64)*[1]!sn(FR77)/60)</f>
        <v>0.16643725356615804</v>
      </c>
      <c r="FS88" s="226"/>
      <c r="FT88" s="226"/>
      <c r="FU88" s="227"/>
    </row>
    <row r="89" spans="13:177">
      <c r="M89" s="632"/>
      <c r="N89" s="625"/>
      <c r="O89" s="625"/>
      <c r="P89" s="625"/>
      <c r="Q89" s="625"/>
      <c r="R89" s="625"/>
      <c r="S89" s="625"/>
      <c r="T89" s="625"/>
      <c r="U89" s="625"/>
      <c r="V89" s="625"/>
      <c r="W89" s="625"/>
      <c r="X89" s="625"/>
      <c r="Y89" s="625"/>
      <c r="Z89" s="625"/>
      <c r="AA89" s="625"/>
      <c r="AB89" s="625"/>
      <c r="AC89" s="629"/>
      <c r="AD89" s="669">
        <v>72</v>
      </c>
      <c r="AE89" s="629" t="s">
        <v>950</v>
      </c>
      <c r="AF89" s="629">
        <f>((AF85*2)/360)*(AF45*AF45*(22/7))</f>
        <v>0.11166222864594859</v>
      </c>
      <c r="AG89" s="630">
        <f t="shared" si="442"/>
        <v>0</v>
      </c>
      <c r="AH89" s="630">
        <f t="shared" si="443"/>
        <v>6</v>
      </c>
      <c r="AI89" s="630">
        <f t="shared" si="444"/>
        <v>41</v>
      </c>
      <c r="AJ89" s="665">
        <f t="shared" si="445"/>
        <v>59</v>
      </c>
      <c r="AK89" s="625"/>
      <c r="AL89" s="625"/>
      <c r="AM89" s="625"/>
      <c r="AN89" s="625"/>
      <c r="AO89" s="625"/>
      <c r="AP89" s="625"/>
      <c r="AQ89" s="660"/>
      <c r="AR89" s="2557"/>
      <c r="AV89" s="986"/>
      <c r="AW89" s="656"/>
      <c r="AX89" s="656"/>
      <c r="AY89" s="656"/>
      <c r="AZ89" s="656"/>
      <c r="BA89" s="656"/>
      <c r="BB89" s="656"/>
      <c r="BC89" s="656"/>
      <c r="BD89" s="656"/>
      <c r="BE89" s="656"/>
      <c r="BF89" s="656"/>
      <c r="BG89" s="656"/>
      <c r="BH89" s="656"/>
      <c r="BI89" s="656"/>
      <c r="BJ89" s="656"/>
      <c r="BK89" s="655" t="s">
        <v>2254</v>
      </c>
      <c r="BL89" s="656"/>
      <c r="BM89" s="656"/>
      <c r="BN89" s="656"/>
      <c r="BO89" s="641">
        <f t="shared" si="465"/>
        <v>0</v>
      </c>
      <c r="BP89" s="641">
        <f t="shared" si="466"/>
        <v>0</v>
      </c>
      <c r="BQ89" s="641">
        <f t="shared" si="467"/>
        <v>0</v>
      </c>
      <c r="BR89" s="657">
        <f t="shared" si="425"/>
        <v>0</v>
      </c>
      <c r="BS89" s="656"/>
      <c r="BT89" s="656"/>
      <c r="BU89" s="656"/>
      <c r="BV89" s="656"/>
      <c r="BW89" s="656"/>
      <c r="BX89" s="656"/>
      <c r="BY89" s="656"/>
      <c r="BZ89" s="656"/>
      <c r="CA89" s="986">
        <v>37</v>
      </c>
      <c r="CB89" s="502" t="s">
        <v>1116</v>
      </c>
      <c r="CC89" s="502">
        <f>[1]!arzmaree(AX2,BN11,CC87,CC83,CC81,CC84)</f>
        <v>0.13256711642204569</v>
      </c>
      <c r="CD89" s="605">
        <f t="shared" si="450"/>
        <v>0</v>
      </c>
      <c r="CE89" s="605">
        <f>INT((ABS(CC89)-CD89)*60)</f>
        <v>7</v>
      </c>
      <c r="CF89" s="605">
        <f>INT((((ABS(CC89)-CD89)*60)-CE89)*60)</f>
        <v>57</v>
      </c>
      <c r="CG89" s="654">
        <f>INT((((((ABS(CC89)-CD89)*60)-CE89)*60)-CF89)*60)</f>
        <v>14</v>
      </c>
      <c r="CH89" s="656"/>
      <c r="CI89" s="656"/>
      <c r="CJ89" s="656"/>
      <c r="CK89" s="656"/>
      <c r="CL89" s="656"/>
      <c r="CM89" s="656"/>
      <c r="CN89" s="656"/>
      <c r="CO89" s="656"/>
      <c r="CP89" s="656"/>
      <c r="CQ89" s="656"/>
      <c r="CR89" s="656"/>
      <c r="CS89" s="656"/>
      <c r="CT89" s="987"/>
      <c r="DK89" s="164" t="s">
        <v>1032</v>
      </c>
      <c r="DL89" s="165">
        <f>((((DO89)/60)+DN89)/60)+DM89</f>
        <v>0.27916666666666667</v>
      </c>
      <c r="DM89" s="164">
        <v>0</v>
      </c>
      <c r="DN89" s="164">
        <v>16</v>
      </c>
      <c r="DO89" s="164">
        <v>45</v>
      </c>
      <c r="DP89" s="164"/>
      <c r="DQ89" s="164"/>
      <c r="DR89" s="164"/>
      <c r="DS89" s="164"/>
      <c r="DT89" s="164"/>
      <c r="DU89" s="164"/>
      <c r="DV89" s="164"/>
      <c r="DW89" s="164"/>
      <c r="DX89" s="164"/>
      <c r="DY89" s="164"/>
      <c r="DZ89" s="164"/>
      <c r="EA89" s="164"/>
      <c r="EB89" s="164"/>
      <c r="EC89" s="164"/>
      <c r="ED89" s="164"/>
      <c r="EE89" s="164"/>
      <c r="EF89" s="164"/>
      <c r="EG89" s="164"/>
      <c r="EH89" s="164"/>
      <c r="EI89" s="164"/>
      <c r="EJ89" s="164"/>
      <c r="EK89" s="164"/>
      <c r="EL89" s="164"/>
      <c r="EM89" s="164"/>
      <c r="EN89" s="164"/>
      <c r="EO89" s="164"/>
      <c r="FE89" s="587"/>
      <c r="FF89" s="502"/>
      <c r="FG89" s="502"/>
      <c r="FH89" s="502"/>
      <c r="FI89" s="502" t="s">
        <v>1167</v>
      </c>
      <c r="FJ89" s="502">
        <f>IF(FH56=FJ85,ABS(FJ56-FJ84),FJ56+FJ84)</f>
        <v>-34.506568183109962</v>
      </c>
      <c r="FK89" s="605">
        <f t="shared" si="446"/>
        <v>34</v>
      </c>
      <c r="FL89" s="605">
        <f t="shared" si="447"/>
        <v>30</v>
      </c>
      <c r="FM89" s="605">
        <f t="shared" si="448"/>
        <v>23</v>
      </c>
      <c r="FN89" s="605">
        <f t="shared" si="449"/>
        <v>38</v>
      </c>
      <c r="FO89" s="606" t="s">
        <v>2345</v>
      </c>
      <c r="FQ89" s="280"/>
      <c r="FR89" s="226">
        <f>IF(FS64=FS77,FR88,FR88*-1)</f>
        <v>0.16643725356615804</v>
      </c>
      <c r="FS89" s="226"/>
      <c r="FT89" s="226"/>
      <c r="FU89" s="227"/>
    </row>
    <row r="90" spans="13:177">
      <c r="M90" s="632"/>
      <c r="N90" s="625"/>
      <c r="O90" s="625"/>
      <c r="P90" s="625"/>
      <c r="Q90" s="625"/>
      <c r="R90" s="625"/>
      <c r="S90" s="625"/>
      <c r="T90" s="625"/>
      <c r="U90" s="625"/>
      <c r="V90" s="625"/>
      <c r="W90" s="625"/>
      <c r="X90" s="625"/>
      <c r="Y90" s="625"/>
      <c r="Z90" s="625"/>
      <c r="AA90" s="625"/>
      <c r="AB90" s="625"/>
      <c r="AC90" s="629" t="s">
        <v>4046</v>
      </c>
      <c r="AD90" s="669">
        <v>73</v>
      </c>
      <c r="AE90" s="629" t="s">
        <v>951</v>
      </c>
      <c r="AF90" s="609">
        <f>ABS((AF20/2)-AF77)</f>
        <v>0.23864597575893604</v>
      </c>
      <c r="AG90" s="630">
        <f t="shared" si="442"/>
        <v>0</v>
      </c>
      <c r="AH90" s="630">
        <f t="shared" si="443"/>
        <v>14</v>
      </c>
      <c r="AI90" s="630">
        <f t="shared" si="444"/>
        <v>19</v>
      </c>
      <c r="AJ90" s="665">
        <f t="shared" si="445"/>
        <v>7</v>
      </c>
      <c r="AK90" s="625"/>
      <c r="AL90" s="625"/>
      <c r="AM90" s="625"/>
      <c r="AN90" s="625"/>
      <c r="AO90" s="625"/>
      <c r="AP90" s="625"/>
      <c r="AQ90" s="660"/>
      <c r="AR90" s="2557"/>
      <c r="AV90" s="986"/>
      <c r="AW90" s="656"/>
      <c r="AX90" s="656"/>
      <c r="AY90" s="656"/>
      <c r="AZ90" s="656"/>
      <c r="BA90" s="656"/>
      <c r="BB90" s="656"/>
      <c r="BC90" s="656"/>
      <c r="BD90" s="656"/>
      <c r="BE90" s="656"/>
      <c r="BF90" s="656"/>
      <c r="BG90" s="656"/>
      <c r="BH90" s="656"/>
      <c r="BI90" s="656"/>
      <c r="BJ90" s="656"/>
      <c r="BK90" s="655"/>
      <c r="BL90" s="656">
        <v>74</v>
      </c>
      <c r="BM90" s="656" t="s">
        <v>1086</v>
      </c>
      <c r="BN90" s="656">
        <f>BN73+BN88</f>
        <v>52.742990611933621</v>
      </c>
      <c r="BO90" s="641">
        <f t="shared" si="465"/>
        <v>52</v>
      </c>
      <c r="BP90" s="641">
        <f t="shared" si="466"/>
        <v>44</v>
      </c>
      <c r="BQ90" s="641">
        <f t="shared" si="467"/>
        <v>34</v>
      </c>
      <c r="BR90" s="657">
        <f t="shared" si="425"/>
        <v>45.972177662119975</v>
      </c>
      <c r="BS90" s="656"/>
      <c r="BT90" s="656"/>
      <c r="BU90" s="656"/>
      <c r="BV90" s="656"/>
      <c r="BW90" s="656"/>
      <c r="BX90" s="656"/>
      <c r="BY90" s="656"/>
      <c r="BZ90" s="656"/>
      <c r="CA90" s="986">
        <v>38</v>
      </c>
      <c r="CB90" s="656" t="s">
        <v>1108</v>
      </c>
      <c r="CC90" s="656">
        <f>[1]!mtasha(CC4,CC5,[1]!roz(AX4,CC65,0,0),CC7)</f>
        <v>275.81224449220878</v>
      </c>
      <c r="CD90" s="641">
        <f t="shared" ref="CD90:CD101" si="471">INT(ABS(CC90))</f>
        <v>275</v>
      </c>
      <c r="CE90" s="641">
        <f t="shared" ref="CE90:CE101" si="472">INT((ABS(CC90)-CD90)*60)</f>
        <v>48</v>
      </c>
      <c r="CF90" s="641">
        <f t="shared" ref="CF90:CF101" si="473">INT((((ABS(CC90)-CD90)*60)-CE90)*60)</f>
        <v>44</v>
      </c>
      <c r="CG90" s="657">
        <f t="shared" ref="CG90:CG101" si="474">INT((((((ABS(CC90)-CD90)*60)-CE90)*60)-CF90)*60)</f>
        <v>4</v>
      </c>
      <c r="CH90" s="656"/>
      <c r="CI90" s="656"/>
      <c r="CJ90" s="656"/>
      <c r="CK90" s="656"/>
      <c r="CL90" s="656"/>
      <c r="CM90" s="656"/>
      <c r="CN90" s="656"/>
      <c r="CO90" s="656"/>
      <c r="CP90" s="656"/>
      <c r="CQ90" s="656"/>
      <c r="CR90" s="656"/>
      <c r="CS90" s="656"/>
      <c r="CT90" s="987"/>
      <c r="DK90" s="164" t="s">
        <v>416</v>
      </c>
      <c r="DL90" s="165">
        <f>((((DO90)/60)+DN90)/60)+DM90</f>
        <v>0.5344444444444445</v>
      </c>
      <c r="DM90" s="164">
        <v>0</v>
      </c>
      <c r="DN90" s="164">
        <v>32</v>
      </c>
      <c r="DO90" s="164">
        <v>4</v>
      </c>
      <c r="DP90" s="164"/>
      <c r="DQ90" s="164"/>
      <c r="DR90" s="164"/>
      <c r="DS90" s="164"/>
      <c r="DT90" s="164"/>
      <c r="DU90" s="164"/>
      <c r="DV90" s="164"/>
      <c r="DW90" s="164"/>
      <c r="DX90" s="164"/>
      <c r="DY90" s="164"/>
      <c r="DZ90" s="164"/>
      <c r="EA90" s="164"/>
      <c r="EB90" s="164"/>
      <c r="EC90" s="164"/>
      <c r="ED90" s="164"/>
      <c r="EE90" s="164"/>
      <c r="EF90" s="164"/>
      <c r="EG90" s="164"/>
      <c r="EH90" s="164"/>
      <c r="EI90" s="164"/>
      <c r="EJ90" s="164"/>
      <c r="EK90" s="164"/>
      <c r="EL90" s="164"/>
      <c r="EM90" s="164"/>
      <c r="EN90" s="164"/>
      <c r="EO90" s="164"/>
      <c r="FE90" s="587"/>
      <c r="FF90" s="502"/>
      <c r="FG90" s="502"/>
      <c r="FH90" s="502"/>
      <c r="FI90" s="502" t="s">
        <v>1102</v>
      </c>
      <c r="FJ90" s="502">
        <f>IF(FJ40=0,FJ74,FJ88)</f>
        <v>72.147514763957901</v>
      </c>
      <c r="FK90" s="605">
        <f t="shared" si="446"/>
        <v>72</v>
      </c>
      <c r="FL90" s="605">
        <f t="shared" si="447"/>
        <v>8</v>
      </c>
      <c r="FM90" s="605">
        <f t="shared" si="448"/>
        <v>51</v>
      </c>
      <c r="FN90" s="605">
        <f t="shared" si="449"/>
        <v>3</v>
      </c>
      <c r="FO90" s="606" t="s">
        <v>3454</v>
      </c>
      <c r="FQ90" s="311" t="s">
        <v>2186</v>
      </c>
      <c r="FR90" s="312">
        <f>IF(OR(FR65=FR66,FR65=FR67),FR89,IF(FR64=0,FR86,FR86))</f>
        <v>-37.609765444771753</v>
      </c>
      <c r="FS90" s="149">
        <f>INT(ABS(FR90))</f>
        <v>37</v>
      </c>
      <c r="FT90" s="149">
        <f>INT((ABS(FR90)-FS90)*60)</f>
        <v>36</v>
      </c>
      <c r="FU90" s="149">
        <f>INT((((ABS(FR90)-FS90)*60)-FT90)*60)</f>
        <v>35</v>
      </c>
    </row>
    <row r="91" spans="13:177">
      <c r="M91" s="632"/>
      <c r="N91" s="625"/>
      <c r="O91" s="625"/>
      <c r="P91" s="625"/>
      <c r="Q91" s="625"/>
      <c r="R91" s="625"/>
      <c r="S91" s="625"/>
      <c r="T91" s="625"/>
      <c r="U91" s="625"/>
      <c r="V91" s="625"/>
      <c r="W91" s="625"/>
      <c r="X91" s="625"/>
      <c r="Y91" s="625"/>
      <c r="Z91" s="625"/>
      <c r="AA91" s="625"/>
      <c r="AB91" s="625"/>
      <c r="AC91" s="629"/>
      <c r="AD91" s="669">
        <v>74</v>
      </c>
      <c r="AE91" s="629" t="s">
        <v>952</v>
      </c>
      <c r="AF91" s="629">
        <f>AF90*AF80</f>
        <v>3.4352467624582855E-2</v>
      </c>
      <c r="AG91" s="630">
        <f t="shared" si="442"/>
        <v>0</v>
      </c>
      <c r="AH91" s="630">
        <f t="shared" si="443"/>
        <v>2</v>
      </c>
      <c r="AI91" s="630">
        <f t="shared" si="444"/>
        <v>3</v>
      </c>
      <c r="AJ91" s="665">
        <f t="shared" si="445"/>
        <v>40</v>
      </c>
      <c r="AK91" s="625"/>
      <c r="AL91" s="625"/>
      <c r="AM91" s="625"/>
      <c r="AN91" s="625"/>
      <c r="AO91" s="625"/>
      <c r="AP91" s="625"/>
      <c r="AQ91" s="660"/>
      <c r="AR91" s="2557"/>
      <c r="AV91" s="986"/>
      <c r="AW91" s="656"/>
      <c r="AX91" s="656"/>
      <c r="AY91" s="656"/>
      <c r="AZ91" s="656"/>
      <c r="BA91" s="656"/>
      <c r="BB91" s="656"/>
      <c r="BC91" s="656"/>
      <c r="BD91" s="656"/>
      <c r="BE91" s="656"/>
      <c r="BF91" s="656"/>
      <c r="BG91" s="656"/>
      <c r="BH91" s="656"/>
      <c r="BI91" s="656"/>
      <c r="BJ91" s="656"/>
      <c r="BK91" s="655"/>
      <c r="BL91" s="656"/>
      <c r="BM91" s="659" t="s">
        <v>3814</v>
      </c>
      <c r="BN91" s="656">
        <f>90-BN90</f>
        <v>37.257009388066379</v>
      </c>
      <c r="BO91" s="641">
        <f t="shared" si="465"/>
        <v>37</v>
      </c>
      <c r="BP91" s="641">
        <f t="shared" si="466"/>
        <v>15</v>
      </c>
      <c r="BQ91" s="641">
        <f t="shared" si="467"/>
        <v>25</v>
      </c>
      <c r="BR91" s="657">
        <f t="shared" si="425"/>
        <v>14.027822337880025</v>
      </c>
      <c r="BS91" s="656"/>
      <c r="BT91" s="656"/>
      <c r="BU91" s="656"/>
      <c r="BV91" s="656"/>
      <c r="BW91" s="656"/>
      <c r="BX91" s="656"/>
      <c r="BY91" s="656"/>
      <c r="BZ91" s="656"/>
      <c r="CA91" s="986">
        <v>39</v>
      </c>
      <c r="CB91" s="656" t="s">
        <v>402</v>
      </c>
      <c r="CC91" s="656">
        <f>[1]!oujqa(CC4,CC5,[1]!roz(AX4,CC65,0,0),CC7)</f>
        <v>171.17944115970909</v>
      </c>
      <c r="CD91" s="641">
        <f t="shared" si="471"/>
        <v>171</v>
      </c>
      <c r="CE91" s="641">
        <f t="shared" si="472"/>
        <v>10</v>
      </c>
      <c r="CF91" s="641">
        <f t="shared" si="473"/>
        <v>45</v>
      </c>
      <c r="CG91" s="657">
        <f t="shared" si="474"/>
        <v>59</v>
      </c>
      <c r="CH91" s="656"/>
      <c r="CI91" s="656"/>
      <c r="CJ91" s="656"/>
      <c r="CK91" s="656"/>
      <c r="CL91" s="656"/>
      <c r="CM91" s="656"/>
      <c r="CN91" s="656"/>
      <c r="CO91" s="656"/>
      <c r="CP91" s="656"/>
      <c r="CQ91" s="656"/>
      <c r="CR91" s="656"/>
      <c r="CS91" s="656"/>
      <c r="CT91" s="987"/>
      <c r="FE91" s="587"/>
      <c r="FF91" s="502"/>
      <c r="FG91" s="502"/>
      <c r="FH91" s="502"/>
      <c r="FI91" s="502" t="s">
        <v>1167</v>
      </c>
      <c r="FJ91" s="502">
        <f>IF(FJ40=0,FJ75,FJ89)</f>
        <v>-34.506568183109962</v>
      </c>
      <c r="FK91" s="605">
        <f t="shared" si="446"/>
        <v>34</v>
      </c>
      <c r="FL91" s="605">
        <f t="shared" si="447"/>
        <v>30</v>
      </c>
      <c r="FM91" s="605">
        <f t="shared" si="448"/>
        <v>23</v>
      </c>
      <c r="FN91" s="605">
        <f t="shared" si="449"/>
        <v>38</v>
      </c>
      <c r="FO91" s="606" t="s">
        <v>332</v>
      </c>
      <c r="FR91" s="151">
        <f>[1]!ertaztale(FJ9,FR63,FR64,FR65,FR66)</f>
        <v>-37.609765444771767</v>
      </c>
    </row>
    <row r="92" spans="13:177" ht="24" thickBot="1">
      <c r="M92" s="632"/>
      <c r="N92" s="625"/>
      <c r="O92" s="625"/>
      <c r="P92" s="625"/>
      <c r="Q92" s="625"/>
      <c r="R92" s="625"/>
      <c r="S92" s="625"/>
      <c r="T92" s="625"/>
      <c r="U92" s="625"/>
      <c r="V92" s="625"/>
      <c r="W92" s="625"/>
      <c r="X92" s="625"/>
      <c r="Y92" s="625"/>
      <c r="Z92" s="625"/>
      <c r="AA92" s="625"/>
      <c r="AB92" s="625"/>
      <c r="AC92" s="629"/>
      <c r="AD92" s="669">
        <v>75</v>
      </c>
      <c r="AE92" s="629" t="s">
        <v>953</v>
      </c>
      <c r="AF92" s="629">
        <f>IF(AF83&lt;90,AF87-AF91,AF91+AF87)</f>
        <v>7.7202776930592257E-3</v>
      </c>
      <c r="AG92" s="630">
        <f t="shared" si="442"/>
        <v>0</v>
      </c>
      <c r="AH92" s="630">
        <f t="shared" si="443"/>
        <v>0</v>
      </c>
      <c r="AI92" s="630">
        <f t="shared" si="444"/>
        <v>27</v>
      </c>
      <c r="AJ92" s="665">
        <f t="shared" si="445"/>
        <v>47</v>
      </c>
      <c r="AK92" s="625"/>
      <c r="AL92" s="625"/>
      <c r="AM92" s="625"/>
      <c r="AN92" s="625"/>
      <c r="AO92" s="625"/>
      <c r="AP92" s="625"/>
      <c r="AQ92" s="660"/>
      <c r="AR92" s="2557"/>
      <c r="AV92" s="988"/>
      <c r="AW92" s="989"/>
      <c r="AX92" s="989"/>
      <c r="AY92" s="989"/>
      <c r="AZ92" s="989"/>
      <c r="BA92" s="989"/>
      <c r="BB92" s="989"/>
      <c r="BC92" s="989"/>
      <c r="BD92" s="989"/>
      <c r="BE92" s="989"/>
      <c r="BF92" s="989"/>
      <c r="BG92" s="989"/>
      <c r="BH92" s="989"/>
      <c r="BI92" s="989"/>
      <c r="BJ92" s="989"/>
      <c r="BK92" s="997"/>
      <c r="BL92" s="989"/>
      <c r="BM92" s="998" t="s">
        <v>3813</v>
      </c>
      <c r="BN92" s="998">
        <f>[1]!ertmaree(AX2,AX3,AX4,BN8,AX8,AX7)</f>
        <v>-38.404963981695026</v>
      </c>
      <c r="BO92" s="998">
        <f>INT(ABS(BN92))</f>
        <v>38</v>
      </c>
      <c r="BP92" s="998">
        <f t="shared" si="466"/>
        <v>24</v>
      </c>
      <c r="BQ92" s="998">
        <f t="shared" si="467"/>
        <v>17</v>
      </c>
      <c r="BR92" s="999">
        <f t="shared" si="425"/>
        <v>52.220046125642057</v>
      </c>
      <c r="BS92" s="989"/>
      <c r="BT92" s="989"/>
      <c r="BU92" s="989"/>
      <c r="BV92" s="989"/>
      <c r="BW92" s="989"/>
      <c r="BX92" s="989"/>
      <c r="BY92" s="989"/>
      <c r="BZ92" s="989"/>
      <c r="CA92" s="986">
        <v>40</v>
      </c>
      <c r="CB92" s="656" t="s">
        <v>1106</v>
      </c>
      <c r="CC92" s="656">
        <f>[1]!bohtqa(CC4,CC5,[1]!roz(AX4,CC65,0,0),CC7)/24</f>
        <v>0.62272208452993449</v>
      </c>
      <c r="CD92" s="641">
        <f t="shared" si="471"/>
        <v>0</v>
      </c>
      <c r="CE92" s="641">
        <f t="shared" si="472"/>
        <v>37</v>
      </c>
      <c r="CF92" s="641">
        <f t="shared" si="473"/>
        <v>21</v>
      </c>
      <c r="CG92" s="657">
        <f t="shared" si="474"/>
        <v>47</v>
      </c>
      <c r="CH92" s="989"/>
      <c r="CI92" s="989"/>
      <c r="CJ92" s="989"/>
      <c r="CK92" s="989"/>
      <c r="CL92" s="989"/>
      <c r="CM92" s="989"/>
      <c r="CN92" s="989"/>
      <c r="CO92" s="989"/>
      <c r="CP92" s="989"/>
      <c r="CQ92" s="989"/>
      <c r="CR92" s="989"/>
      <c r="CS92" s="989"/>
      <c r="CT92" s="990"/>
      <c r="FE92" s="587"/>
      <c r="FF92" s="502"/>
      <c r="FG92" s="502"/>
      <c r="FH92" s="502"/>
      <c r="FI92" s="502" t="s">
        <v>1100</v>
      </c>
      <c r="FJ92" s="502">
        <f>IF(FJ40=0,FJ63,FJ84)</f>
        <v>-34.865876117587646</v>
      </c>
      <c r="FK92" s="605">
        <f t="shared" si="446"/>
        <v>34</v>
      </c>
      <c r="FL92" s="605">
        <f t="shared" si="447"/>
        <v>51</v>
      </c>
      <c r="FM92" s="605">
        <f t="shared" si="448"/>
        <v>57</v>
      </c>
      <c r="FN92" s="605">
        <f t="shared" si="449"/>
        <v>9</v>
      </c>
      <c r="FO92" s="606" t="s">
        <v>3455</v>
      </c>
    </row>
    <row r="93" spans="13:177" ht="24" thickBot="1">
      <c r="M93" s="632"/>
      <c r="N93" s="625"/>
      <c r="O93" s="625"/>
      <c r="P93" s="625"/>
      <c r="Q93" s="625"/>
      <c r="R93" s="625"/>
      <c r="S93" s="625"/>
      <c r="T93" s="625"/>
      <c r="U93" s="625"/>
      <c r="V93" s="625"/>
      <c r="W93" s="625"/>
      <c r="X93" s="625"/>
      <c r="Y93" s="625"/>
      <c r="Z93" s="625"/>
      <c r="AA93" s="625"/>
      <c r="AB93" s="625"/>
      <c r="AC93" s="629" t="s">
        <v>4046</v>
      </c>
      <c r="AD93" s="669">
        <v>76</v>
      </c>
      <c r="AE93" s="629" t="s">
        <v>954</v>
      </c>
      <c r="AF93" s="609">
        <f>(AF71/2)-AB78</f>
        <v>0.75729202851440169</v>
      </c>
      <c r="AG93" s="630">
        <f t="shared" si="442"/>
        <v>0</v>
      </c>
      <c r="AH93" s="630">
        <f t="shared" si="443"/>
        <v>45</v>
      </c>
      <c r="AI93" s="630">
        <f t="shared" si="444"/>
        <v>26</v>
      </c>
      <c r="AJ93" s="665">
        <f t="shared" si="445"/>
        <v>15</v>
      </c>
      <c r="AK93" s="625"/>
      <c r="AL93" s="625"/>
      <c r="AM93" s="625"/>
      <c r="AN93" s="625"/>
      <c r="AO93" s="625"/>
      <c r="AP93" s="625"/>
      <c r="AQ93" s="660"/>
      <c r="AR93" s="2557"/>
      <c r="AV93" s="160"/>
      <c r="AW93" s="160"/>
      <c r="AX93" s="160"/>
      <c r="AY93" s="160"/>
      <c r="AZ93" s="160"/>
      <c r="BA93" s="160"/>
      <c r="BB93" s="160"/>
      <c r="BO93" s="998"/>
      <c r="BP93" s="998"/>
      <c r="BQ93" s="998"/>
      <c r="BR93" s="999"/>
      <c r="CA93" s="986">
        <v>41</v>
      </c>
      <c r="CB93" s="656" t="s">
        <v>386</v>
      </c>
      <c r="CC93" s="656">
        <f>[1]!oujsha(CC4,CC5,[1]!roz(AX4,CC65,0,0),CC7)</f>
        <v>103.65060038909222</v>
      </c>
      <c r="CD93" s="641">
        <f t="shared" si="471"/>
        <v>103</v>
      </c>
      <c r="CE93" s="641">
        <f t="shared" si="472"/>
        <v>39</v>
      </c>
      <c r="CF93" s="641">
        <f t="shared" si="473"/>
        <v>2</v>
      </c>
      <c r="CG93" s="657">
        <f t="shared" si="474"/>
        <v>9</v>
      </c>
      <c r="FE93" s="587"/>
      <c r="FF93" s="502"/>
      <c r="FG93" s="502"/>
      <c r="FH93" s="502"/>
      <c r="FI93" s="502"/>
      <c r="FJ93" s="502"/>
      <c r="FK93" s="605"/>
      <c r="FL93" s="605"/>
      <c r="FM93" s="605"/>
      <c r="FN93" s="605"/>
      <c r="FO93" s="606"/>
      <c r="FR93" s="154"/>
      <c r="FS93" s="154"/>
      <c r="FT93" s="154"/>
      <c r="FU93" s="154"/>
    </row>
    <row r="94" spans="13:177" ht="24" thickBot="1">
      <c r="M94" s="632"/>
      <c r="N94" s="625"/>
      <c r="O94" s="625"/>
      <c r="P94" s="625"/>
      <c r="Q94" s="625"/>
      <c r="R94" s="625"/>
      <c r="S94" s="625"/>
      <c r="T94" s="625"/>
      <c r="U94" s="625"/>
      <c r="V94" s="625"/>
      <c r="W94" s="625"/>
      <c r="X94" s="625"/>
      <c r="Y94" s="625"/>
      <c r="Z94" s="625"/>
      <c r="AA94" s="625"/>
      <c r="AB94" s="625"/>
      <c r="AC94" s="629"/>
      <c r="AD94" s="669">
        <v>77</v>
      </c>
      <c r="AE94" s="629" t="s">
        <v>955</v>
      </c>
      <c r="AF94" s="629">
        <f>AF93*AF80</f>
        <v>0.10901021820780292</v>
      </c>
      <c r="AG94" s="630">
        <f t="shared" si="442"/>
        <v>0</v>
      </c>
      <c r="AH94" s="630">
        <f t="shared" si="443"/>
        <v>6</v>
      </c>
      <c r="AI94" s="630">
        <f t="shared" si="444"/>
        <v>32</v>
      </c>
      <c r="AJ94" s="665">
        <f t="shared" si="445"/>
        <v>26</v>
      </c>
      <c r="AK94" s="625">
        <f>[1]!asabejerm(ABS(AF33),O17)</f>
        <v>0.21840015512307417</v>
      </c>
      <c r="AL94" s="625"/>
      <c r="AM94" s="625"/>
      <c r="AN94" s="625"/>
      <c r="AO94" s="625"/>
      <c r="AP94" s="625"/>
      <c r="AQ94" s="660"/>
      <c r="AR94" s="2557"/>
      <c r="BO94" s="998"/>
      <c r="BP94" s="998"/>
      <c r="BQ94" s="998"/>
      <c r="BR94" s="999"/>
      <c r="CA94" s="986">
        <v>42</v>
      </c>
      <c r="CB94" s="656" t="s">
        <v>1113</v>
      </c>
      <c r="CC94" s="656">
        <f>[1]!bshams(CC90)</f>
        <v>60.118155321810264</v>
      </c>
      <c r="CD94" s="641">
        <f t="shared" si="471"/>
        <v>60</v>
      </c>
      <c r="CE94" s="641">
        <f t="shared" si="472"/>
        <v>7</v>
      </c>
      <c r="CF94" s="641">
        <f t="shared" si="473"/>
        <v>5</v>
      </c>
      <c r="CG94" s="657">
        <f t="shared" si="474"/>
        <v>21</v>
      </c>
      <c r="FE94" s="610"/>
      <c r="FF94" s="571"/>
      <c r="FG94" s="571"/>
      <c r="FH94" s="571"/>
      <c r="FI94" s="571" t="s">
        <v>3430</v>
      </c>
      <c r="FJ94" s="571">
        <f>IF(FJ56=0,FJ48,FJ90)</f>
        <v>72.147514763957901</v>
      </c>
      <c r="FK94" s="572">
        <f t="shared" si="446"/>
        <v>72</v>
      </c>
      <c r="FL94" s="572">
        <f t="shared" si="447"/>
        <v>8</v>
      </c>
      <c r="FM94" s="572">
        <f t="shared" si="448"/>
        <v>51</v>
      </c>
      <c r="FN94" s="573">
        <f t="shared" si="449"/>
        <v>3</v>
      </c>
      <c r="FO94" s="606" t="s">
        <v>3456</v>
      </c>
      <c r="FR94" s="154"/>
      <c r="FS94" s="154"/>
      <c r="FT94" s="154"/>
      <c r="FU94" s="154"/>
    </row>
    <row r="95" spans="13:177">
      <c r="M95" s="632"/>
      <c r="N95" s="625"/>
      <c r="O95" s="625"/>
      <c r="P95" s="625"/>
      <c r="Q95" s="625"/>
      <c r="R95" s="625"/>
      <c r="S95" s="625"/>
      <c r="T95" s="625"/>
      <c r="U95" s="625"/>
      <c r="V95" s="625"/>
      <c r="W95" s="625"/>
      <c r="X95" s="625"/>
      <c r="Y95" s="625"/>
      <c r="Z95" s="625"/>
      <c r="AA95" s="625"/>
      <c r="AB95" s="625"/>
      <c r="AC95" s="629"/>
      <c r="AD95" s="669">
        <v>78</v>
      </c>
      <c r="AE95" s="629" t="s">
        <v>956</v>
      </c>
      <c r="AF95" s="629">
        <f>AF89-AF94</f>
        <v>2.6520104381456688E-3</v>
      </c>
      <c r="AG95" s="630">
        <f t="shared" si="442"/>
        <v>0</v>
      </c>
      <c r="AH95" s="630">
        <f t="shared" si="443"/>
        <v>0</v>
      </c>
      <c r="AI95" s="630">
        <f t="shared" si="444"/>
        <v>9</v>
      </c>
      <c r="AJ95" s="665">
        <f t="shared" si="445"/>
        <v>32</v>
      </c>
      <c r="AK95" s="625"/>
      <c r="AL95" s="625"/>
      <c r="AM95" s="625"/>
      <c r="AN95" s="625"/>
      <c r="AO95" s="625"/>
      <c r="AP95" s="625"/>
      <c r="AQ95" s="660"/>
      <c r="AR95" s="2557"/>
      <c r="CA95" s="986">
        <v>43</v>
      </c>
      <c r="CB95" s="656" t="s">
        <v>1111</v>
      </c>
      <c r="CC95" s="656">
        <f>[1]!qtrsh(CC90)</f>
        <v>0.53532993208549751</v>
      </c>
      <c r="CD95" s="641">
        <f t="shared" si="471"/>
        <v>0</v>
      </c>
      <c r="CE95" s="641">
        <f t="shared" si="472"/>
        <v>32</v>
      </c>
      <c r="CF95" s="641">
        <f t="shared" si="473"/>
        <v>7</v>
      </c>
      <c r="CG95" s="657">
        <f t="shared" si="474"/>
        <v>11</v>
      </c>
      <c r="FE95" s="430"/>
      <c r="FF95" s="429"/>
      <c r="FG95" s="576" t="s">
        <v>1372</v>
      </c>
      <c r="FH95" s="429"/>
      <c r="FI95" s="429" t="s">
        <v>1167</v>
      </c>
      <c r="FJ95" s="429">
        <f>IF(FJ56=0,FJ49,FJ91)</f>
        <v>-34.506568183109962</v>
      </c>
      <c r="FK95" s="574">
        <f t="shared" si="446"/>
        <v>34</v>
      </c>
      <c r="FL95" s="574">
        <f t="shared" si="447"/>
        <v>30</v>
      </c>
      <c r="FM95" s="574">
        <f t="shared" si="448"/>
        <v>23</v>
      </c>
      <c r="FN95" s="575">
        <f t="shared" si="449"/>
        <v>38</v>
      </c>
      <c r="FO95" s="606" t="s">
        <v>3457</v>
      </c>
      <c r="FR95" s="154"/>
      <c r="FS95" s="154"/>
      <c r="FT95" s="154"/>
      <c r="FU95" s="154"/>
    </row>
    <row r="96" spans="13:177">
      <c r="M96" s="632"/>
      <c r="N96" s="625"/>
      <c r="O96" s="625"/>
      <c r="P96" s="625"/>
      <c r="Q96" s="625"/>
      <c r="R96" s="625"/>
      <c r="S96" s="625"/>
      <c r="T96" s="625"/>
      <c r="U96" s="625"/>
      <c r="V96" s="625"/>
      <c r="W96" s="625"/>
      <c r="X96" s="625"/>
      <c r="Y96" s="625"/>
      <c r="Z96" s="625"/>
      <c r="AA96" s="625"/>
      <c r="AB96" s="625"/>
      <c r="AC96" s="629"/>
      <c r="AD96" s="669">
        <v>79</v>
      </c>
      <c r="AE96" s="629" t="s">
        <v>957</v>
      </c>
      <c r="AF96" s="629">
        <f>AF92+AF95</f>
        <v>1.0372288131204895E-2</v>
      </c>
      <c r="AG96" s="630">
        <f t="shared" si="442"/>
        <v>0</v>
      </c>
      <c r="AH96" s="630">
        <f t="shared" si="443"/>
        <v>0</v>
      </c>
      <c r="AI96" s="630">
        <f t="shared" si="444"/>
        <v>37</v>
      </c>
      <c r="AJ96" s="665">
        <f t="shared" si="445"/>
        <v>20</v>
      </c>
      <c r="AK96" s="625"/>
      <c r="AL96" s="625"/>
      <c r="AM96" s="625"/>
      <c r="AN96" s="625"/>
      <c r="AO96" s="625"/>
      <c r="AP96" s="625"/>
      <c r="AQ96" s="660"/>
      <c r="AR96" s="2557"/>
      <c r="CA96" s="986">
        <v>44</v>
      </c>
      <c r="CB96" s="656" t="s">
        <v>1112</v>
      </c>
      <c r="CC96" s="656">
        <f>[1]!markaz3a(CC4,CC5,[1]!roz(AX4,CC65,0,0),CC7)</f>
        <v>208.79744406738118</v>
      </c>
      <c r="CD96" s="641">
        <f t="shared" si="471"/>
        <v>208</v>
      </c>
      <c r="CE96" s="641">
        <f t="shared" si="472"/>
        <v>47</v>
      </c>
      <c r="CF96" s="641">
        <f t="shared" si="473"/>
        <v>50</v>
      </c>
      <c r="CG96" s="657">
        <f t="shared" si="474"/>
        <v>47</v>
      </c>
      <c r="FE96" s="430"/>
      <c r="FF96" s="429"/>
      <c r="FG96" s="429"/>
      <c r="FH96" s="429"/>
      <c r="FI96" s="429" t="s">
        <v>1100</v>
      </c>
      <c r="FJ96" s="429">
        <f>IF(FJ56=0,FJ46,FJ92)</f>
        <v>-34.865876117587646</v>
      </c>
      <c r="FK96" s="574">
        <f t="shared" si="446"/>
        <v>34</v>
      </c>
      <c r="FL96" s="574">
        <f t="shared" si="447"/>
        <v>51</v>
      </c>
      <c r="FM96" s="574">
        <f t="shared" si="448"/>
        <v>57</v>
      </c>
      <c r="FN96" s="575">
        <f t="shared" si="449"/>
        <v>9</v>
      </c>
      <c r="FO96" s="606" t="s">
        <v>3465</v>
      </c>
      <c r="FR96" s="154"/>
      <c r="FS96" s="154"/>
      <c r="FT96" s="154"/>
      <c r="FU96" s="154"/>
    </row>
    <row r="97" spans="13:177">
      <c r="M97" s="632"/>
      <c r="N97" s="625"/>
      <c r="O97" s="625"/>
      <c r="P97" s="625"/>
      <c r="Q97" s="625"/>
      <c r="R97" s="625"/>
      <c r="S97" s="625"/>
      <c r="T97" s="625"/>
      <c r="U97" s="625"/>
      <c r="V97" s="625"/>
      <c r="W97" s="625"/>
      <c r="X97" s="625"/>
      <c r="Y97" s="625"/>
      <c r="Z97" s="625"/>
      <c r="AA97" s="625"/>
      <c r="AB97" s="625"/>
      <c r="AC97" s="629"/>
      <c r="AD97" s="669">
        <v>80</v>
      </c>
      <c r="AE97" s="629" t="s">
        <v>958</v>
      </c>
      <c r="AF97" s="629">
        <f>AF96*12</f>
        <v>0.12446745757445873</v>
      </c>
      <c r="AG97" s="630">
        <f t="shared" si="442"/>
        <v>0</v>
      </c>
      <c r="AH97" s="630">
        <f t="shared" si="443"/>
        <v>7</v>
      </c>
      <c r="AI97" s="630">
        <f t="shared" si="444"/>
        <v>28</v>
      </c>
      <c r="AJ97" s="665">
        <f t="shared" si="445"/>
        <v>4</v>
      </c>
      <c r="AK97" s="625"/>
      <c r="AL97" s="625"/>
      <c r="AM97" s="625"/>
      <c r="AN97" s="625"/>
      <c r="AO97" s="625"/>
      <c r="AP97" s="625"/>
      <c r="AQ97" s="660"/>
      <c r="AR97" s="2557"/>
      <c r="CA97" s="986">
        <v>45</v>
      </c>
      <c r="CB97" s="656" t="s">
        <v>850</v>
      </c>
      <c r="CC97" s="656">
        <f>[1]!qotrqmr(CC96)</f>
        <v>0.55422293220350527</v>
      </c>
      <c r="CD97" s="641">
        <f t="shared" si="471"/>
        <v>0</v>
      </c>
      <c r="CE97" s="641">
        <f t="shared" si="472"/>
        <v>33</v>
      </c>
      <c r="CF97" s="641">
        <f t="shared" si="473"/>
        <v>15</v>
      </c>
      <c r="CG97" s="657">
        <f t="shared" si="474"/>
        <v>12</v>
      </c>
      <c r="FE97" s="611"/>
      <c r="FF97" s="612"/>
      <c r="FG97" s="612"/>
      <c r="FH97" s="612"/>
      <c r="FI97" s="612" t="s">
        <v>3427</v>
      </c>
      <c r="FJ97" s="612">
        <f>IF(FJ68&lt;FJ69,FJ88+FJ17,FJ17-FJ88)</f>
        <v>-52.720675750475678</v>
      </c>
      <c r="FK97" s="613">
        <f t="shared" si="446"/>
        <v>52</v>
      </c>
      <c r="FL97" s="613">
        <f t="shared" si="447"/>
        <v>43</v>
      </c>
      <c r="FM97" s="613">
        <f t="shared" si="448"/>
        <v>14</v>
      </c>
      <c r="FN97" s="614">
        <f t="shared" si="449"/>
        <v>25</v>
      </c>
      <c r="FO97" s="615" t="s">
        <v>3466</v>
      </c>
      <c r="FR97" s="154"/>
      <c r="FS97" s="154"/>
      <c r="FT97" s="154"/>
      <c r="FU97" s="154"/>
    </row>
    <row r="98" spans="13:177">
      <c r="M98" s="632"/>
      <c r="N98" s="625"/>
      <c r="O98" s="625"/>
      <c r="P98" s="625"/>
      <c r="Q98" s="625"/>
      <c r="R98" s="625"/>
      <c r="S98" s="625"/>
      <c r="T98" s="625"/>
      <c r="U98" s="625"/>
      <c r="V98" s="625"/>
      <c r="W98" s="625"/>
      <c r="X98" s="625"/>
      <c r="Y98" s="625"/>
      <c r="Z98" s="625"/>
      <c r="AA98" s="625"/>
      <c r="AB98" s="625"/>
      <c r="AC98" s="502"/>
      <c r="AD98" s="587">
        <v>81</v>
      </c>
      <c r="AE98" s="502" t="s">
        <v>959</v>
      </c>
      <c r="AF98" s="502">
        <f>AF97/AF70</f>
        <v>0.51100043672006235</v>
      </c>
      <c r="AG98" s="605">
        <f>INT(ABS(AF98))</f>
        <v>0</v>
      </c>
      <c r="AH98" s="605">
        <f>INT((ABS(AF98)-AG98)*60)</f>
        <v>30</v>
      </c>
      <c r="AI98" s="605">
        <f>INT((((ABS(AF98)-AG98)*60)-AH98)*60)</f>
        <v>39</v>
      </c>
      <c r="AJ98" s="654">
        <f>INT((((((ABS(AF98)-AG98)*60)-AH98)*60)-AI98)*60)</f>
        <v>36</v>
      </c>
      <c r="AK98" s="625">
        <f>AF98/12</f>
        <v>4.2583369726671864E-2</v>
      </c>
      <c r="AL98" s="625"/>
      <c r="AM98" s="625"/>
      <c r="AN98" s="625"/>
      <c r="AO98" s="625"/>
      <c r="AP98" s="625"/>
      <c r="AQ98" s="660"/>
      <c r="AR98" s="2557"/>
      <c r="CA98" s="986">
        <v>46</v>
      </c>
      <c r="CB98" s="656" t="s">
        <v>3822</v>
      </c>
      <c r="CC98" s="656">
        <f>IF(CC91-CC80&gt;0,CC91-CC80,CC91-CC80+360)</f>
        <v>151.72744713232208</v>
      </c>
      <c r="CD98" s="641">
        <f t="shared" si="471"/>
        <v>151</v>
      </c>
      <c r="CE98" s="641">
        <f t="shared" si="472"/>
        <v>43</v>
      </c>
      <c r="CF98" s="641">
        <f t="shared" si="473"/>
        <v>38</v>
      </c>
      <c r="CG98" s="657">
        <f t="shared" si="474"/>
        <v>48</v>
      </c>
    </row>
    <row r="99" spans="13:177">
      <c r="M99" s="632"/>
      <c r="N99" s="625"/>
      <c r="O99" s="625"/>
      <c r="P99" s="625"/>
      <c r="Q99" s="625"/>
      <c r="R99" s="625"/>
      <c r="S99" s="625"/>
      <c r="T99" s="625"/>
      <c r="U99" s="625"/>
      <c r="V99" s="625"/>
      <c r="W99" s="625"/>
      <c r="X99" s="625"/>
      <c r="Y99" s="625"/>
      <c r="Z99" s="625"/>
      <c r="AA99" s="625"/>
      <c r="AB99" s="625"/>
      <c r="AC99" s="502"/>
      <c r="AE99" s="151" t="s">
        <v>4042</v>
      </c>
      <c r="AF99" s="151">
        <f>AF98/12</f>
        <v>4.2583369726671864E-2</v>
      </c>
      <c r="AK99" s="625"/>
      <c r="AL99" s="625"/>
      <c r="AM99" s="625"/>
      <c r="AN99" s="625"/>
      <c r="AO99" s="625"/>
      <c r="AP99" s="625"/>
      <c r="AQ99" s="660"/>
      <c r="AR99" s="2557"/>
      <c r="CA99" s="986">
        <v>47</v>
      </c>
      <c r="CB99" s="656" t="s">
        <v>1109</v>
      </c>
      <c r="CC99" s="656">
        <f>[1]!tadq1(CC98,CC96)</f>
        <v>1.5503466487757401E-3</v>
      </c>
      <c r="CD99" s="641">
        <f t="shared" si="471"/>
        <v>0</v>
      </c>
      <c r="CE99" s="641">
        <f t="shared" si="472"/>
        <v>0</v>
      </c>
      <c r="CF99" s="641">
        <f t="shared" si="473"/>
        <v>5</v>
      </c>
      <c r="CG99" s="657">
        <f t="shared" si="474"/>
        <v>34</v>
      </c>
    </row>
    <row r="100" spans="13:177" ht="24" thickBot="1">
      <c r="M100" s="1604"/>
      <c r="N100" s="1605"/>
      <c r="O100" s="1605"/>
      <c r="P100" s="1605"/>
      <c r="Q100" s="1605"/>
      <c r="R100" s="1605"/>
      <c r="S100" s="1605"/>
      <c r="T100" s="1605"/>
      <c r="U100" s="1605"/>
      <c r="V100" s="1605"/>
      <c r="W100" s="1605"/>
      <c r="X100" s="1605"/>
      <c r="Y100" s="1605"/>
      <c r="Z100" s="1605"/>
      <c r="AA100" s="1605"/>
      <c r="AB100" s="625"/>
      <c r="AC100" s="629"/>
      <c r="AD100" s="587"/>
      <c r="AE100" s="502"/>
      <c r="AF100" s="502">
        <f>[1]!asabejermkh(AF3,AF4,AF5,AF6,AF7,X5)</f>
        <v>14.63635294176864</v>
      </c>
      <c r="AG100" s="605">
        <f>INT(ABS(AF100))</f>
        <v>14</v>
      </c>
      <c r="AH100" s="605">
        <f>INT((ABS(AF100)-AG100)*60)</f>
        <v>38</v>
      </c>
      <c r="AI100" s="605">
        <f>INT((((ABS(AF100)-AG100)*60)-AH100)*60)</f>
        <v>10</v>
      </c>
      <c r="AJ100" s="654">
        <f>INT((((((ABS(AF100)-AG100)*60)-AH100)*60)-AI100)*60)</f>
        <v>52</v>
      </c>
      <c r="AK100" s="1605"/>
      <c r="AL100" s="1606"/>
      <c r="AM100" s="1606"/>
      <c r="AN100" s="1606"/>
      <c r="AO100" s="1606"/>
      <c r="AP100" s="1606"/>
      <c r="AQ100" s="1607"/>
      <c r="AR100" s="2557"/>
      <c r="CA100" s="986">
        <v>48</v>
      </c>
      <c r="CB100" s="656" t="s">
        <v>907</v>
      </c>
      <c r="CC100" s="656">
        <f>CC97+CC99</f>
        <v>0.55577327885228101</v>
      </c>
      <c r="CD100" s="641">
        <f t="shared" si="471"/>
        <v>0</v>
      </c>
      <c r="CE100" s="641">
        <f t="shared" si="472"/>
        <v>33</v>
      </c>
      <c r="CF100" s="641">
        <f t="shared" si="473"/>
        <v>20</v>
      </c>
      <c r="CG100" s="657">
        <f t="shared" si="474"/>
        <v>47</v>
      </c>
    </row>
    <row r="101" spans="13:177">
      <c r="M101" s="625"/>
      <c r="N101" s="625" t="s">
        <v>1008</v>
      </c>
      <c r="O101" s="625"/>
      <c r="P101" s="625"/>
      <c r="Q101" s="625"/>
      <c r="R101" s="625"/>
      <c r="S101" s="160"/>
      <c r="T101" s="160"/>
      <c r="U101" s="160"/>
      <c r="V101" s="160"/>
      <c r="W101" s="160"/>
      <c r="X101" s="160"/>
      <c r="Y101" s="160"/>
      <c r="Z101" s="160"/>
      <c r="AA101" s="160"/>
      <c r="AB101" s="625"/>
      <c r="AC101" s="629"/>
      <c r="AD101" s="669"/>
      <c r="AE101" s="629"/>
      <c r="AF101" s="629">
        <f>[1]!saatmakskh(AF3,AF4,AF5,AF6,AF7,X5)</f>
        <v>-0.88139637659587566</v>
      </c>
      <c r="AG101" s="630">
        <f>INT(ABS(AF101))</f>
        <v>0</v>
      </c>
      <c r="AH101" s="630">
        <f>INT((ABS(AF101)-AG101)*60)</f>
        <v>52</v>
      </c>
      <c r="AI101" s="630">
        <f>INT((((ABS(AF101)-AG101)*60)-AH101)*60)</f>
        <v>53</v>
      </c>
      <c r="AJ101" s="665">
        <f>INT((((((ABS(AF101)-AG101)*60)-AH101)*60)-AI101)*60)</f>
        <v>1</v>
      </c>
      <c r="AK101" s="160"/>
      <c r="AR101" s="2567"/>
      <c r="CA101" s="986">
        <v>49</v>
      </c>
      <c r="CB101" s="656" t="s">
        <v>1074</v>
      </c>
      <c r="CC101" s="656">
        <f>BN54</f>
        <v>38.032238614853405</v>
      </c>
      <c r="CD101" s="641">
        <f t="shared" si="471"/>
        <v>38</v>
      </c>
      <c r="CE101" s="641">
        <f t="shared" si="472"/>
        <v>1</v>
      </c>
      <c r="CF101" s="641">
        <f t="shared" si="473"/>
        <v>56</v>
      </c>
      <c r="CG101" s="657">
        <f t="shared" si="474"/>
        <v>3</v>
      </c>
    </row>
    <row r="102" spans="13:177">
      <c r="M102" s="625" t="s">
        <v>992</v>
      </c>
      <c r="N102" s="625">
        <f>AF11</f>
        <v>-0.9997941762626571</v>
      </c>
      <c r="O102" s="626">
        <f>INT(ABS(N102))</f>
        <v>0</v>
      </c>
      <c r="P102" s="626">
        <f>INT((ABS(N102)-O102)*60)</f>
        <v>59</v>
      </c>
      <c r="Q102" s="626">
        <f>INT((((ABS(N102)-O102)*60)-P102)*60)</f>
        <v>59</v>
      </c>
      <c r="R102" s="626">
        <f>INT((((((ABS(N102)-O102)*60)-P102)*60)-Q102)*60)</f>
        <v>15</v>
      </c>
      <c r="S102" s="161"/>
      <c r="T102" s="160"/>
      <c r="U102" s="160"/>
      <c r="V102" s="160"/>
      <c r="W102" s="161"/>
      <c r="X102" s="160"/>
      <c r="Y102" s="160"/>
      <c r="Z102" s="160"/>
      <c r="AA102" s="160"/>
      <c r="AB102" s="625"/>
      <c r="AC102" s="629"/>
      <c r="AD102" s="669"/>
      <c r="AE102" s="629" t="s">
        <v>931</v>
      </c>
      <c r="AF102" s="629">
        <f>AF59</f>
        <v>0.39971112443042406</v>
      </c>
      <c r="AG102" s="629"/>
      <c r="AH102" s="629"/>
      <c r="AI102" s="629"/>
      <c r="AJ102" s="664"/>
      <c r="AK102" s="160"/>
      <c r="AR102" s="2567"/>
      <c r="CA102" s="986">
        <v>51</v>
      </c>
      <c r="CB102" s="656" t="s">
        <v>1114</v>
      </c>
      <c r="CC102" s="656">
        <f>[1]!qotrer(CC101,CC100)</f>
        <v>0.5620322530203038</v>
      </c>
      <c r="CD102" s="641">
        <f t="shared" ref="CD102:CD110" si="475">INT(ABS(CC102))</f>
        <v>0</v>
      </c>
      <c r="CE102" s="641">
        <f t="shared" ref="CE102:CE110" si="476">INT((ABS(CC102)-CD102)*60)</f>
        <v>33</v>
      </c>
      <c r="CF102" s="641">
        <f t="shared" ref="CF102:CF110" si="477">INT((((ABS(CC102)-CD102)*60)-CE102)*60)</f>
        <v>43</v>
      </c>
      <c r="CG102" s="657">
        <f t="shared" ref="CG102:CG110" si="478">INT((((((ABS(CC102)-CD102)*60)-CE102)*60)-CF102)*60)</f>
        <v>18</v>
      </c>
    </row>
    <row r="103" spans="13:177" ht="24" thickBot="1">
      <c r="M103" s="625" t="s">
        <v>993</v>
      </c>
      <c r="N103" s="625">
        <f>AF20</f>
        <v>0.5575</v>
      </c>
      <c r="O103" s="626">
        <f t="shared" ref="O103:O111" si="479">INT(ABS(N103))</f>
        <v>0</v>
      </c>
      <c r="P103" s="626">
        <f t="shared" ref="P103:P111" si="480">INT((ABS(N103)-O103)*60)</f>
        <v>33</v>
      </c>
      <c r="Q103" s="626">
        <f t="shared" ref="Q103:Q111" si="481">INT((((ABS(N103)-O103)*60)-P103)*60)</f>
        <v>27</v>
      </c>
      <c r="R103" s="626">
        <f t="shared" ref="R103:R111" si="482">INT((((((ABS(N103)-O103)*60)-P103)*60)-Q103)*60)</f>
        <v>0</v>
      </c>
      <c r="S103" s="161"/>
      <c r="T103" s="160"/>
      <c r="U103" s="160"/>
      <c r="V103" s="160"/>
      <c r="W103" s="160"/>
      <c r="X103" s="161"/>
      <c r="Y103" s="161"/>
      <c r="Z103" s="161"/>
      <c r="AA103" s="161"/>
      <c r="AB103" s="1605"/>
      <c r="AC103" s="631"/>
      <c r="AD103" s="669"/>
      <c r="AE103" s="629"/>
      <c r="AF103" s="629">
        <f>2/60</f>
        <v>3.3333333333333333E-2</v>
      </c>
      <c r="AG103" s="629"/>
      <c r="AH103" s="629"/>
      <c r="AI103" s="629"/>
      <c r="AJ103" s="664"/>
      <c r="AK103" s="160"/>
      <c r="AR103" s="2567"/>
      <c r="CA103" s="986">
        <v>52</v>
      </c>
      <c r="CB103" s="656" t="s">
        <v>1110</v>
      </c>
      <c r="CC103" s="656">
        <f>CC102/2</f>
        <v>0.2810161265101519</v>
      </c>
      <c r="CD103" s="641">
        <f t="shared" si="475"/>
        <v>0</v>
      </c>
      <c r="CE103" s="641">
        <f t="shared" si="476"/>
        <v>16</v>
      </c>
      <c r="CF103" s="641">
        <f t="shared" si="477"/>
        <v>51</v>
      </c>
      <c r="CG103" s="657">
        <f t="shared" si="478"/>
        <v>39</v>
      </c>
    </row>
    <row r="104" spans="13:177">
      <c r="M104" s="625" t="s">
        <v>994</v>
      </c>
      <c r="N104" s="625">
        <f>N103/2</f>
        <v>0.27875</v>
      </c>
      <c r="O104" s="626">
        <f t="shared" si="479"/>
        <v>0</v>
      </c>
      <c r="P104" s="626">
        <f t="shared" si="480"/>
        <v>16</v>
      </c>
      <c r="Q104" s="626">
        <f t="shared" si="481"/>
        <v>43</v>
      </c>
      <c r="R104" s="626">
        <f t="shared" si="482"/>
        <v>30</v>
      </c>
      <c r="S104" s="161"/>
      <c r="T104" s="160"/>
      <c r="U104" s="160"/>
      <c r="V104" s="160"/>
      <c r="W104" s="160"/>
      <c r="X104" s="161"/>
      <c r="Y104" s="161"/>
      <c r="Z104" s="161"/>
      <c r="AA104" s="161"/>
      <c r="AB104" s="160"/>
      <c r="AC104" s="160"/>
      <c r="AD104" s="670"/>
      <c r="AE104" s="666" t="s">
        <v>3517</v>
      </c>
      <c r="AF104" s="666">
        <f>(AF102/AF103)</f>
        <v>11.991333732912722</v>
      </c>
      <c r="AG104" s="666"/>
      <c r="AH104" s="666"/>
      <c r="AI104" s="666"/>
      <c r="AJ104" s="1609"/>
      <c r="AK104" s="160"/>
      <c r="AR104" s="2567"/>
      <c r="CA104" s="986">
        <v>53</v>
      </c>
      <c r="CB104" s="656" t="s">
        <v>921</v>
      </c>
      <c r="CC104" s="656">
        <f>CC95/2</f>
        <v>0.26766496604274875</v>
      </c>
      <c r="CD104" s="641">
        <f t="shared" si="475"/>
        <v>0</v>
      </c>
      <c r="CE104" s="641">
        <f t="shared" si="476"/>
        <v>16</v>
      </c>
      <c r="CF104" s="641">
        <f t="shared" si="477"/>
        <v>3</v>
      </c>
      <c r="CG104" s="657">
        <f t="shared" si="478"/>
        <v>35</v>
      </c>
    </row>
    <row r="105" spans="13:177">
      <c r="M105" s="625" t="s">
        <v>995</v>
      </c>
      <c r="N105" s="625">
        <f>AF45</f>
        <v>0.77085152285630543</v>
      </c>
      <c r="O105" s="626">
        <f t="shared" si="479"/>
        <v>0</v>
      </c>
      <c r="P105" s="626">
        <f t="shared" si="480"/>
        <v>46</v>
      </c>
      <c r="Q105" s="626">
        <f t="shared" si="481"/>
        <v>15</v>
      </c>
      <c r="R105" s="626">
        <f t="shared" si="482"/>
        <v>3</v>
      </c>
      <c r="S105" s="161"/>
      <c r="T105" s="160"/>
      <c r="U105" s="160"/>
      <c r="V105" s="160"/>
      <c r="W105" s="161"/>
      <c r="X105" s="160"/>
      <c r="Y105" s="160"/>
      <c r="Z105" s="160"/>
      <c r="AA105" s="160"/>
      <c r="AB105" s="160"/>
      <c r="AC105" s="160"/>
      <c r="AD105" s="160"/>
      <c r="AE105" s="160"/>
      <c r="AF105" s="160"/>
      <c r="AG105" s="161"/>
      <c r="AH105" s="161"/>
      <c r="AI105" s="161"/>
      <c r="AJ105" s="161"/>
      <c r="AK105" s="160"/>
      <c r="AR105" s="2567"/>
      <c r="CA105" s="986">
        <v>54</v>
      </c>
      <c r="CB105" s="656" t="s">
        <v>1115</v>
      </c>
      <c r="CC105" s="656">
        <f>CC103+CC104</f>
        <v>0.54868109255290065</v>
      </c>
      <c r="CD105" s="641">
        <f t="shared" si="475"/>
        <v>0</v>
      </c>
      <c r="CE105" s="641">
        <f t="shared" si="476"/>
        <v>32</v>
      </c>
      <c r="CF105" s="641">
        <f t="shared" si="477"/>
        <v>55</v>
      </c>
      <c r="CG105" s="657">
        <f t="shared" si="478"/>
        <v>15</v>
      </c>
    </row>
    <row r="106" spans="13:177">
      <c r="M106" s="625" t="s">
        <v>996</v>
      </c>
      <c r="N106" s="625">
        <f>N104+N105-N102</f>
        <v>2.0493956991189624</v>
      </c>
      <c r="O106" s="626">
        <f t="shared" si="479"/>
        <v>2</v>
      </c>
      <c r="P106" s="626">
        <f t="shared" si="480"/>
        <v>2</v>
      </c>
      <c r="Q106" s="626">
        <f t="shared" si="481"/>
        <v>57</v>
      </c>
      <c r="R106" s="626">
        <f t="shared" si="482"/>
        <v>49</v>
      </c>
      <c r="S106" s="161"/>
      <c r="T106" s="160"/>
      <c r="U106" s="160"/>
      <c r="V106" s="160"/>
      <c r="W106" s="160"/>
      <c r="X106" s="160"/>
      <c r="Y106" s="160"/>
      <c r="Z106" s="160"/>
      <c r="AA106" s="160"/>
      <c r="AB106" s="160"/>
      <c r="AC106" s="160"/>
      <c r="AD106" s="160"/>
      <c r="AE106" s="160"/>
      <c r="AF106" s="160"/>
      <c r="AG106" s="161"/>
      <c r="AH106" s="161"/>
      <c r="AI106" s="161"/>
      <c r="AJ106" s="161"/>
      <c r="AK106" s="160"/>
      <c r="AR106" s="2567"/>
      <c r="CA106" s="986">
        <v>55</v>
      </c>
      <c r="CB106" s="656" t="s">
        <v>1117</v>
      </c>
      <c r="CC106" s="656">
        <f>ABS([1]!sn(CC89))</f>
        <v>0.13882383582398194</v>
      </c>
      <c r="CD106" s="641">
        <f t="shared" si="475"/>
        <v>0</v>
      </c>
      <c r="CE106" s="641">
        <f t="shared" si="476"/>
        <v>8</v>
      </c>
      <c r="CF106" s="641">
        <f t="shared" si="477"/>
        <v>19</v>
      </c>
      <c r="CG106" s="657">
        <f t="shared" si="478"/>
        <v>45</v>
      </c>
    </row>
    <row r="107" spans="13:177">
      <c r="M107" s="625" t="s">
        <v>996</v>
      </c>
      <c r="N107" s="625">
        <f>N106/N103*12</f>
        <v>44.112553164892461</v>
      </c>
      <c r="O107" s="626">
        <f t="shared" si="479"/>
        <v>44</v>
      </c>
      <c r="P107" s="626">
        <f t="shared" si="480"/>
        <v>6</v>
      </c>
      <c r="Q107" s="626">
        <f t="shared" si="481"/>
        <v>45</v>
      </c>
      <c r="R107" s="626">
        <f t="shared" si="482"/>
        <v>11</v>
      </c>
      <c r="S107" s="161"/>
      <c r="T107" s="160"/>
      <c r="U107" s="160"/>
      <c r="V107" s="160"/>
      <c r="W107" s="160"/>
      <c r="X107" s="161"/>
      <c r="Y107" s="161"/>
      <c r="Z107" s="161"/>
      <c r="AA107" s="161"/>
      <c r="AB107" s="160"/>
      <c r="AC107" s="160"/>
      <c r="AD107" s="160"/>
      <c r="AE107" s="160"/>
      <c r="AF107" s="160"/>
      <c r="AG107" s="161"/>
      <c r="AH107" s="161"/>
      <c r="AI107" s="161"/>
      <c r="AJ107" s="161"/>
      <c r="AK107" s="160"/>
      <c r="AR107" s="2567"/>
      <c r="CA107" s="986">
        <v>56</v>
      </c>
      <c r="CB107" s="656" t="s">
        <v>1118</v>
      </c>
      <c r="CC107" s="656">
        <f>CC105-ABS(CC106)</f>
        <v>0.40985725672891871</v>
      </c>
      <c r="CD107" s="641">
        <f t="shared" si="475"/>
        <v>0</v>
      </c>
      <c r="CE107" s="641">
        <f t="shared" si="476"/>
        <v>24</v>
      </c>
      <c r="CF107" s="641">
        <f t="shared" si="477"/>
        <v>35</v>
      </c>
      <c r="CG107" s="657">
        <f t="shared" si="478"/>
        <v>29</v>
      </c>
    </row>
    <row r="108" spans="13:177">
      <c r="M108" s="625" t="s">
        <v>510</v>
      </c>
      <c r="N108" s="625">
        <f>N105*2</f>
        <v>1.5417030457126109</v>
      </c>
      <c r="O108" s="626">
        <f t="shared" si="479"/>
        <v>1</v>
      </c>
      <c r="P108" s="626">
        <f t="shared" si="480"/>
        <v>32</v>
      </c>
      <c r="Q108" s="626">
        <f t="shared" si="481"/>
        <v>30</v>
      </c>
      <c r="R108" s="626">
        <f t="shared" si="482"/>
        <v>7</v>
      </c>
      <c r="S108" s="161"/>
      <c r="T108" s="160"/>
      <c r="U108" s="160"/>
      <c r="V108" s="160"/>
      <c r="W108" s="160"/>
      <c r="X108" s="161"/>
      <c r="Y108" s="161"/>
      <c r="Z108" s="161"/>
      <c r="AA108" s="161"/>
      <c r="AB108" s="160"/>
      <c r="AC108" s="160"/>
      <c r="AD108" s="160"/>
      <c r="AE108" s="160"/>
      <c r="AF108" s="160"/>
      <c r="AG108" s="161"/>
      <c r="AH108" s="161"/>
      <c r="AI108" s="161"/>
      <c r="AJ108" s="161"/>
      <c r="AK108" s="160"/>
      <c r="AR108" s="2567"/>
      <c r="CA108" s="986">
        <v>57</v>
      </c>
      <c r="CB108" s="656"/>
      <c r="CC108" s="656">
        <f>IF(CC107*6&gt;0,CC107*6,0)</f>
        <v>2.4591435403735122</v>
      </c>
      <c r="CD108" s="641">
        <f t="shared" si="475"/>
        <v>2</v>
      </c>
      <c r="CE108" s="641">
        <f t="shared" si="476"/>
        <v>27</v>
      </c>
      <c r="CF108" s="641">
        <f t="shared" si="477"/>
        <v>32</v>
      </c>
      <c r="CG108" s="657">
        <f t="shared" si="478"/>
        <v>55</v>
      </c>
    </row>
    <row r="109" spans="13:177">
      <c r="M109" s="625" t="s">
        <v>997</v>
      </c>
      <c r="N109" s="625">
        <f>N104*2</f>
        <v>0.5575</v>
      </c>
      <c r="O109" s="626">
        <f t="shared" si="479"/>
        <v>0</v>
      </c>
      <c r="P109" s="626">
        <f t="shared" si="480"/>
        <v>33</v>
      </c>
      <c r="Q109" s="626">
        <f t="shared" si="481"/>
        <v>27</v>
      </c>
      <c r="R109" s="626">
        <f t="shared" si="482"/>
        <v>0</v>
      </c>
      <c r="S109" s="161"/>
      <c r="T109" s="160"/>
      <c r="U109" s="160"/>
      <c r="V109" s="160"/>
      <c r="W109" s="160"/>
      <c r="X109" s="161"/>
      <c r="Y109" s="161"/>
      <c r="Z109" s="161"/>
      <c r="AA109" s="161"/>
      <c r="AB109" s="160"/>
      <c r="AC109" s="160"/>
      <c r="AD109" s="160"/>
      <c r="AE109" s="160"/>
      <c r="AF109" s="161"/>
      <c r="AG109" s="161"/>
      <c r="AH109" s="161"/>
      <c r="AI109" s="161"/>
      <c r="AJ109" s="161"/>
      <c r="AK109" s="160"/>
      <c r="AR109" s="2567"/>
      <c r="CA109" s="986">
        <v>58</v>
      </c>
      <c r="CB109" s="621" t="s">
        <v>934</v>
      </c>
      <c r="CC109" s="621">
        <f>CC108/CC104</f>
        <v>9.1873941395108183</v>
      </c>
      <c r="CD109" s="622">
        <f t="shared" si="475"/>
        <v>9</v>
      </c>
      <c r="CE109" s="622">
        <f t="shared" si="476"/>
        <v>11</v>
      </c>
      <c r="CF109" s="622">
        <f t="shared" si="477"/>
        <v>14</v>
      </c>
      <c r="CG109" s="1030">
        <f t="shared" si="478"/>
        <v>37</v>
      </c>
    </row>
    <row r="110" spans="13:177">
      <c r="M110" s="625" t="s">
        <v>307</v>
      </c>
      <c r="N110" s="625">
        <f>N108-N106</f>
        <v>-0.5076926534063515</v>
      </c>
      <c r="O110" s="626">
        <f t="shared" si="479"/>
        <v>0</v>
      </c>
      <c r="P110" s="626">
        <f t="shared" si="480"/>
        <v>30</v>
      </c>
      <c r="Q110" s="626">
        <f t="shared" si="481"/>
        <v>27</v>
      </c>
      <c r="R110" s="626">
        <f t="shared" si="482"/>
        <v>41</v>
      </c>
      <c r="S110" s="161"/>
      <c r="T110" s="160"/>
      <c r="U110" s="160"/>
      <c r="V110" s="160"/>
      <c r="W110" s="160"/>
      <c r="X110" s="161"/>
      <c r="Y110" s="161"/>
      <c r="Z110" s="161"/>
      <c r="AA110" s="161"/>
      <c r="AB110" s="160"/>
      <c r="AC110" s="160"/>
      <c r="AD110" s="160"/>
      <c r="AE110" s="160"/>
      <c r="AF110" s="160"/>
      <c r="AG110" s="161"/>
      <c r="AH110" s="161"/>
      <c r="AI110" s="161"/>
      <c r="AJ110" s="161"/>
      <c r="AK110" s="160"/>
      <c r="AR110" s="2567"/>
      <c r="CA110" s="986">
        <v>59</v>
      </c>
      <c r="CB110" s="621" t="s">
        <v>934</v>
      </c>
      <c r="CC110" s="621">
        <f>[1]!asaqotrqmr(CC4,CC5,BE5,CC65,CC7,BN11)</f>
        <v>-64.651566790288797</v>
      </c>
      <c r="CD110" s="622">
        <f t="shared" si="475"/>
        <v>64</v>
      </c>
      <c r="CE110" s="622">
        <f t="shared" si="476"/>
        <v>39</v>
      </c>
      <c r="CF110" s="622">
        <f t="shared" si="477"/>
        <v>5</v>
      </c>
      <c r="CG110" s="1030">
        <f t="shared" si="478"/>
        <v>38</v>
      </c>
      <c r="CH110" s="151">
        <f>[1]!asaqotrqmr1(CC4,CC5,AX4,CJ8,CC7,CJ11)</f>
        <v>3.2136981073302873</v>
      </c>
    </row>
    <row r="111" spans="13:177">
      <c r="M111" s="625" t="s">
        <v>429</v>
      </c>
      <c r="N111" s="625">
        <f>N109-N106</f>
        <v>-1.4918956991189622</v>
      </c>
      <c r="O111" s="626">
        <f t="shared" si="479"/>
        <v>1</v>
      </c>
      <c r="P111" s="626">
        <f t="shared" si="480"/>
        <v>29</v>
      </c>
      <c r="Q111" s="626">
        <f t="shared" si="481"/>
        <v>30</v>
      </c>
      <c r="R111" s="626">
        <f t="shared" si="482"/>
        <v>49</v>
      </c>
      <c r="S111" s="161"/>
      <c r="T111" s="160"/>
      <c r="U111" s="160"/>
      <c r="V111" s="160"/>
      <c r="W111" s="160"/>
      <c r="X111" s="161"/>
      <c r="Y111" s="161"/>
      <c r="Z111" s="161"/>
      <c r="AA111" s="161"/>
      <c r="AB111" s="160"/>
      <c r="AC111" s="160"/>
      <c r="AD111" s="160"/>
      <c r="AE111" s="160"/>
      <c r="AF111" s="160"/>
      <c r="AG111" s="161"/>
      <c r="AH111" s="161"/>
      <c r="AI111" s="161"/>
      <c r="AJ111" s="161"/>
      <c r="AK111" s="160"/>
      <c r="AR111" s="2567"/>
      <c r="CA111" s="986">
        <v>60</v>
      </c>
      <c r="CB111" s="152" t="s">
        <v>3839</v>
      </c>
      <c r="CC111" s="152">
        <f>[1]!asabeqotrk(CC89,AX16)</f>
        <v>5.8333536969928268</v>
      </c>
      <c r="CD111" s="622">
        <f t="shared" ref="CD111" si="483">INT(ABS(CC111))</f>
        <v>5</v>
      </c>
      <c r="CE111" s="622">
        <f t="shared" ref="CE111" si="484">INT((ABS(CC111)-CD111)*60)</f>
        <v>50</v>
      </c>
      <c r="CF111" s="622">
        <f t="shared" ref="CF111" si="485">INT((((ABS(CC111)-CD111)*60)-CE111)*60)</f>
        <v>0</v>
      </c>
      <c r="CG111" s="1030">
        <f t="shared" ref="CG111" si="486">INT((((((ABS(CC111)-CD111)*60)-CE111)*60)-CF111)*60)</f>
        <v>4</v>
      </c>
    </row>
    <row r="112" spans="13:177">
      <c r="M112" s="625" t="s">
        <v>998</v>
      </c>
      <c r="N112" s="625">
        <f>N110+N111</f>
        <v>-1.9995883525253138</v>
      </c>
      <c r="O112" s="626">
        <f t="shared" ref="O112:O119" si="487">INT(ABS(N112))</f>
        <v>1</v>
      </c>
      <c r="P112" s="626">
        <f t="shared" ref="P112:P119" si="488">INT((ABS(N112)-O112)*60)</f>
        <v>59</v>
      </c>
      <c r="Q112" s="626">
        <f t="shared" ref="Q112:Q119" si="489">INT((((ABS(N112)-O112)*60)-P112)*60)</f>
        <v>58</v>
      </c>
      <c r="R112" s="626">
        <f t="shared" ref="R112:R119" si="490">INT((((((ABS(N112)-O112)*60)-P112)*60)-Q112)*60)</f>
        <v>31</v>
      </c>
      <c r="S112" s="161"/>
      <c r="T112" s="160"/>
      <c r="U112" s="160"/>
      <c r="V112" s="160"/>
      <c r="W112" s="161"/>
      <c r="X112" s="160"/>
      <c r="Y112" s="160"/>
      <c r="Z112" s="160"/>
      <c r="AA112" s="160"/>
      <c r="AB112" s="160"/>
      <c r="AC112" s="160"/>
      <c r="AD112" s="160"/>
      <c r="AE112" s="160"/>
      <c r="AF112" s="160"/>
      <c r="AG112" s="161"/>
      <c r="AH112" s="161"/>
      <c r="AI112" s="161"/>
      <c r="AJ112" s="161"/>
      <c r="AK112" s="160"/>
      <c r="AR112" s="2567"/>
      <c r="CA112" s="986">
        <v>61</v>
      </c>
      <c r="CB112" s="656" t="s">
        <v>3823</v>
      </c>
      <c r="CC112" s="656">
        <f>IF(CC103&gt;CC104,CC103,CC104)</f>
        <v>0.2810161265101519</v>
      </c>
      <c r="CD112" s="641">
        <f t="shared" ref="CD112:CD144" si="491">INT(ABS(CC112))</f>
        <v>0</v>
      </c>
      <c r="CE112" s="641">
        <f t="shared" ref="CE112:CE143" si="492">INT((ABS(CC112)-CD112)*60)</f>
        <v>16</v>
      </c>
      <c r="CF112" s="641">
        <f t="shared" ref="CF112:CF143" si="493">INT((((ABS(CC112)-CD112)*60)-CE112)*60)</f>
        <v>51</v>
      </c>
      <c r="CG112" s="657">
        <f t="shared" ref="CG112:CG143" si="494">INT((((((ABS(CC112)-CD112)*60)-CE112)*60)-CF112)*60)</f>
        <v>39</v>
      </c>
    </row>
    <row r="113" spans="13:85">
      <c r="M113" s="625" t="s">
        <v>999</v>
      </c>
      <c r="N113" s="625">
        <f>N111*N106/N112</f>
        <v>1.5290570308869473</v>
      </c>
      <c r="O113" s="626">
        <f t="shared" si="487"/>
        <v>1</v>
      </c>
      <c r="P113" s="626">
        <f t="shared" si="488"/>
        <v>31</v>
      </c>
      <c r="Q113" s="626">
        <f t="shared" si="489"/>
        <v>44</v>
      </c>
      <c r="R113" s="626">
        <f t="shared" si="490"/>
        <v>36</v>
      </c>
      <c r="S113" s="161"/>
      <c r="T113" s="160"/>
      <c r="U113" s="160"/>
      <c r="V113" s="160"/>
      <c r="W113" s="160"/>
      <c r="X113" s="160"/>
      <c r="Y113" s="160"/>
      <c r="Z113" s="160"/>
      <c r="AA113" s="160"/>
      <c r="AB113" s="160"/>
      <c r="AC113" s="160"/>
      <c r="AD113" s="160"/>
      <c r="AE113" s="160"/>
      <c r="AF113" s="160"/>
      <c r="AG113" s="161"/>
      <c r="AH113" s="161"/>
      <c r="AI113" s="161"/>
      <c r="AJ113" s="161"/>
      <c r="AK113" s="160"/>
      <c r="AR113" s="2567"/>
      <c r="CA113" s="986">
        <v>62</v>
      </c>
      <c r="CB113" s="656" t="s">
        <v>3824</v>
      </c>
      <c r="CC113" s="656">
        <f>IF(CC103&lt;CC104,CC103,CC104)</f>
        <v>0.26766496604274875</v>
      </c>
      <c r="CD113" s="641">
        <f t="shared" si="491"/>
        <v>0</v>
      </c>
      <c r="CE113" s="641">
        <f t="shared" si="492"/>
        <v>16</v>
      </c>
      <c r="CF113" s="641">
        <f t="shared" si="493"/>
        <v>3</v>
      </c>
      <c r="CG113" s="657">
        <f t="shared" si="494"/>
        <v>35</v>
      </c>
    </row>
    <row r="114" spans="13:85">
      <c r="M114" s="625" t="s">
        <v>1000</v>
      </c>
      <c r="N114" s="625">
        <f>N106-N113</f>
        <v>0.52033866823201502</v>
      </c>
      <c r="O114" s="626">
        <f t="shared" si="487"/>
        <v>0</v>
      </c>
      <c r="P114" s="626">
        <f t="shared" si="488"/>
        <v>31</v>
      </c>
      <c r="Q114" s="626">
        <f t="shared" si="489"/>
        <v>13</v>
      </c>
      <c r="R114" s="626">
        <f t="shared" si="490"/>
        <v>13</v>
      </c>
      <c r="S114" s="161"/>
      <c r="T114" s="160"/>
      <c r="U114" s="160"/>
      <c r="V114" s="160"/>
      <c r="W114" s="160"/>
      <c r="X114" s="160"/>
      <c r="Y114" s="160"/>
      <c r="Z114" s="160"/>
      <c r="AA114" s="160"/>
      <c r="AB114" s="160"/>
      <c r="AC114" s="160"/>
      <c r="AD114" s="160"/>
      <c r="AE114" s="160"/>
      <c r="AF114" s="160"/>
      <c r="AG114" s="161"/>
      <c r="AH114" s="161"/>
      <c r="AI114" s="161"/>
      <c r="AJ114" s="161"/>
      <c r="AK114" s="160"/>
      <c r="CA114" s="986">
        <v>63</v>
      </c>
      <c r="CB114" s="656" t="s">
        <v>3825</v>
      </c>
      <c r="CC114" s="656">
        <f>POWER(CC113*2,2)</f>
        <v>0.28657813618666339</v>
      </c>
      <c r="CD114" s="641">
        <f t="shared" si="491"/>
        <v>0</v>
      </c>
      <c r="CE114" s="641">
        <f t="shared" si="492"/>
        <v>17</v>
      </c>
      <c r="CF114" s="641">
        <f t="shared" si="493"/>
        <v>11</v>
      </c>
      <c r="CG114" s="657">
        <f t="shared" si="494"/>
        <v>40</v>
      </c>
    </row>
    <row r="115" spans="13:85">
      <c r="M115" s="625" t="s">
        <v>1001</v>
      </c>
      <c r="N115" s="625">
        <f>N105-N113</f>
        <v>-0.75820550803064191</v>
      </c>
      <c r="O115" s="626">
        <f t="shared" si="487"/>
        <v>0</v>
      </c>
      <c r="P115" s="626">
        <f t="shared" si="488"/>
        <v>45</v>
      </c>
      <c r="Q115" s="626">
        <f t="shared" si="489"/>
        <v>29</v>
      </c>
      <c r="R115" s="626">
        <f t="shared" si="490"/>
        <v>32</v>
      </c>
      <c r="S115" s="161"/>
      <c r="T115" s="160"/>
      <c r="U115" s="160"/>
      <c r="V115" s="160"/>
      <c r="W115" s="160"/>
      <c r="X115" s="160"/>
      <c r="Y115" s="160"/>
      <c r="Z115" s="160"/>
      <c r="AA115" s="160"/>
      <c r="AB115" s="160"/>
      <c r="AC115" s="160"/>
      <c r="AD115" s="160"/>
      <c r="AE115" s="160"/>
      <c r="AF115" s="160"/>
      <c r="AG115" s="161"/>
      <c r="AH115" s="161"/>
      <c r="AI115" s="161"/>
      <c r="AJ115" s="161"/>
      <c r="AK115" s="160"/>
      <c r="CA115" s="986">
        <v>64</v>
      </c>
      <c r="CB115" s="656"/>
      <c r="CC115" s="656">
        <f>CC114*11</f>
        <v>3.1523594980532974</v>
      </c>
      <c r="CD115" s="641">
        <f t="shared" si="491"/>
        <v>3</v>
      </c>
      <c r="CE115" s="641">
        <f t="shared" si="492"/>
        <v>9</v>
      </c>
      <c r="CF115" s="641">
        <f t="shared" si="493"/>
        <v>8</v>
      </c>
      <c r="CG115" s="657">
        <f t="shared" si="494"/>
        <v>29</v>
      </c>
    </row>
    <row r="116" spans="13:85">
      <c r="M116" s="625" t="s">
        <v>935</v>
      </c>
      <c r="N116" s="625">
        <f>(22/7)*POWER(N104,2)</f>
        <v>0.24420491071428571</v>
      </c>
      <c r="O116" s="626">
        <f t="shared" si="487"/>
        <v>0</v>
      </c>
      <c r="P116" s="626">
        <f t="shared" si="488"/>
        <v>14</v>
      </c>
      <c r="Q116" s="626">
        <f t="shared" si="489"/>
        <v>39</v>
      </c>
      <c r="R116" s="626">
        <f t="shared" si="490"/>
        <v>8</v>
      </c>
      <c r="S116" s="161"/>
      <c r="T116" s="160"/>
      <c r="U116" s="160"/>
      <c r="V116" s="160"/>
      <c r="W116" s="160"/>
      <c r="X116" s="160"/>
      <c r="Y116" s="160"/>
      <c r="Z116" s="160"/>
      <c r="AA116" s="160"/>
      <c r="AB116" s="160"/>
      <c r="AC116" s="160"/>
      <c r="AD116" s="160"/>
      <c r="AE116" s="160"/>
      <c r="AF116" s="160"/>
      <c r="AG116" s="161"/>
      <c r="AH116" s="161"/>
      <c r="AI116" s="161"/>
      <c r="AJ116" s="161"/>
      <c r="AK116" s="160"/>
      <c r="CA116" s="986">
        <v>65</v>
      </c>
      <c r="CB116" s="656" t="s">
        <v>1119</v>
      </c>
      <c r="CC116" s="656">
        <f>CC115/14</f>
        <v>0.22516853557523553</v>
      </c>
      <c r="CD116" s="641">
        <f t="shared" si="491"/>
        <v>0</v>
      </c>
      <c r="CE116" s="641">
        <f t="shared" si="492"/>
        <v>13</v>
      </c>
      <c r="CF116" s="641">
        <f t="shared" si="493"/>
        <v>30</v>
      </c>
      <c r="CG116" s="657">
        <f t="shared" si="494"/>
        <v>36</v>
      </c>
    </row>
    <row r="117" spans="13:85">
      <c r="M117" s="625" t="s">
        <v>1003</v>
      </c>
      <c r="N117" s="625">
        <f>ABS(N104-N114)</f>
        <v>0.24158866823201502</v>
      </c>
      <c r="O117" s="626">
        <f t="shared" si="487"/>
        <v>0</v>
      </c>
      <c r="P117" s="626">
        <f t="shared" si="488"/>
        <v>14</v>
      </c>
      <c r="Q117" s="626">
        <f t="shared" si="489"/>
        <v>29</v>
      </c>
      <c r="R117" s="626">
        <f t="shared" si="490"/>
        <v>43</v>
      </c>
      <c r="S117" s="161"/>
      <c r="T117" s="160"/>
      <c r="U117" s="160"/>
      <c r="V117" s="160"/>
      <c r="W117" s="160"/>
      <c r="X117" s="160"/>
      <c r="Y117" s="160"/>
      <c r="Z117" s="160"/>
      <c r="AA117" s="160"/>
      <c r="AB117" s="160"/>
      <c r="AC117" s="160"/>
      <c r="AD117" s="160"/>
      <c r="AE117" s="160"/>
      <c r="AF117" s="160"/>
      <c r="AG117" s="161"/>
      <c r="AH117" s="161"/>
      <c r="AI117" s="161"/>
      <c r="AJ117" s="161"/>
      <c r="AK117" s="160"/>
      <c r="CA117" s="986">
        <v>66</v>
      </c>
      <c r="CB117" s="656"/>
      <c r="CC117" s="656">
        <f>(CC112*2)-CC107</f>
        <v>0.15217499629138509</v>
      </c>
      <c r="CD117" s="641">
        <f t="shared" si="491"/>
        <v>0</v>
      </c>
      <c r="CE117" s="641">
        <f t="shared" si="492"/>
        <v>9</v>
      </c>
      <c r="CF117" s="641">
        <f t="shared" si="493"/>
        <v>7</v>
      </c>
      <c r="CG117" s="657">
        <f t="shared" si="494"/>
        <v>49</v>
      </c>
    </row>
    <row r="118" spans="13:85">
      <c r="M118" s="625" t="s">
        <v>1002</v>
      </c>
      <c r="N118" s="625">
        <f>N104-N117</f>
        <v>3.7161331767984973E-2</v>
      </c>
      <c r="O118" s="626">
        <f t="shared" si="487"/>
        <v>0</v>
      </c>
      <c r="P118" s="626">
        <f t="shared" si="488"/>
        <v>2</v>
      </c>
      <c r="Q118" s="626">
        <f t="shared" si="489"/>
        <v>13</v>
      </c>
      <c r="R118" s="626">
        <f t="shared" si="490"/>
        <v>46</v>
      </c>
      <c r="S118" s="161"/>
      <c r="T118" s="160"/>
      <c r="U118" s="160"/>
      <c r="V118" s="160"/>
      <c r="W118" s="160"/>
      <c r="X118" s="160"/>
      <c r="Y118" s="160"/>
      <c r="Z118" s="160"/>
      <c r="AA118" s="160"/>
      <c r="AB118" s="160"/>
      <c r="AC118" s="160"/>
      <c r="AD118" s="160"/>
      <c r="AE118" s="160"/>
      <c r="AF118" s="161"/>
      <c r="AG118" s="161"/>
      <c r="AH118" s="161"/>
      <c r="AI118" s="161"/>
      <c r="AJ118" s="161"/>
      <c r="AK118" s="160"/>
      <c r="CA118" s="986">
        <v>67</v>
      </c>
      <c r="CB118" s="656" t="s">
        <v>937</v>
      </c>
      <c r="CC118" s="656">
        <f>CC117*CC107</f>
        <v>6.2370026522720473E-2</v>
      </c>
      <c r="CD118" s="641">
        <f t="shared" si="491"/>
        <v>0</v>
      </c>
      <c r="CE118" s="641">
        <f t="shared" si="492"/>
        <v>3</v>
      </c>
      <c r="CF118" s="641">
        <f t="shared" si="493"/>
        <v>44</v>
      </c>
      <c r="CG118" s="657">
        <f t="shared" si="494"/>
        <v>31</v>
      </c>
    </row>
    <row r="119" spans="13:85">
      <c r="M119" s="625" t="s">
        <v>1010</v>
      </c>
      <c r="N119" s="625">
        <f>SQRT(N118*N114)</f>
        <v>0.13905566468821531</v>
      </c>
      <c r="O119" s="626">
        <f t="shared" si="487"/>
        <v>0</v>
      </c>
      <c r="P119" s="626">
        <f t="shared" si="488"/>
        <v>8</v>
      </c>
      <c r="Q119" s="626">
        <f t="shared" si="489"/>
        <v>20</v>
      </c>
      <c r="R119" s="626">
        <f t="shared" si="490"/>
        <v>36</v>
      </c>
      <c r="S119" s="161"/>
      <c r="T119" s="160"/>
      <c r="U119" s="160"/>
      <c r="V119" s="160"/>
      <c r="W119" s="160"/>
      <c r="X119" s="160"/>
      <c r="Y119" s="160"/>
      <c r="Z119" s="160"/>
      <c r="AA119" s="160"/>
      <c r="AB119" s="160"/>
      <c r="AC119" s="160"/>
      <c r="AD119" s="160"/>
      <c r="AE119" s="160"/>
      <c r="AF119" s="161"/>
      <c r="AG119" s="161"/>
      <c r="AH119" s="161"/>
      <c r="AI119" s="161"/>
      <c r="AJ119" s="161"/>
      <c r="AK119" s="160"/>
      <c r="CA119" s="986">
        <v>68</v>
      </c>
      <c r="CB119" s="656"/>
      <c r="CC119" s="656">
        <f>(CC113*2)-CC107</f>
        <v>0.1254726753565788</v>
      </c>
      <c r="CD119" s="641">
        <f t="shared" si="491"/>
        <v>0</v>
      </c>
      <c r="CE119" s="641">
        <f t="shared" si="492"/>
        <v>7</v>
      </c>
      <c r="CF119" s="641">
        <f t="shared" si="493"/>
        <v>31</v>
      </c>
      <c r="CG119" s="657">
        <f t="shared" si="494"/>
        <v>42</v>
      </c>
    </row>
    <row r="120" spans="13:85">
      <c r="M120" s="625" t="s">
        <v>1004</v>
      </c>
      <c r="N120" s="625" t="e">
        <f ca="1">[2]!asn(N119*60)</f>
        <v>#NAME?</v>
      </c>
      <c r="O120" s="626" t="e">
        <f ca="1">INT(ABS(N120))</f>
        <v>#NAME?</v>
      </c>
      <c r="P120" s="626" t="e">
        <f ca="1">INT((ABS(N120)-O120)*60)</f>
        <v>#NAME?</v>
      </c>
      <c r="Q120" s="626" t="e">
        <f ca="1">INT((((ABS(N120)-O120)*60)-P120)*60)</f>
        <v>#NAME?</v>
      </c>
      <c r="R120" s="626" t="e">
        <f ca="1">INT((((((ABS(N120)-O120)*60)-P120)*60)-Q120)*60)</f>
        <v>#NAME?</v>
      </c>
      <c r="S120" s="161"/>
      <c r="T120" s="160"/>
      <c r="U120" s="160"/>
      <c r="V120" s="160"/>
      <c r="W120" s="160"/>
      <c r="X120" s="160"/>
      <c r="Y120" s="160"/>
      <c r="Z120" s="160"/>
      <c r="AA120" s="160"/>
      <c r="AB120" s="160"/>
      <c r="AC120" s="160"/>
      <c r="AD120" s="160"/>
      <c r="AE120" s="160"/>
      <c r="AF120" s="160"/>
      <c r="AG120" s="161"/>
      <c r="AH120" s="161"/>
      <c r="AI120" s="161"/>
      <c r="AJ120" s="161"/>
      <c r="AK120" s="160"/>
      <c r="CA120" s="986">
        <v>69</v>
      </c>
      <c r="CB120" s="656" t="s">
        <v>3826</v>
      </c>
      <c r="CC120" s="656">
        <f>CC119+CC117</f>
        <v>0.27764767164796389</v>
      </c>
      <c r="CD120" s="641">
        <f t="shared" si="491"/>
        <v>0</v>
      </c>
      <c r="CE120" s="641">
        <f t="shared" si="492"/>
        <v>16</v>
      </c>
      <c r="CF120" s="641">
        <f t="shared" si="493"/>
        <v>39</v>
      </c>
      <c r="CG120" s="657">
        <f t="shared" si="494"/>
        <v>31</v>
      </c>
    </row>
    <row r="121" spans="13:85">
      <c r="M121" s="625" t="s">
        <v>1006</v>
      </c>
      <c r="N121" s="625" t="e">
        <f ca="1">N120*2</f>
        <v>#NAME?</v>
      </c>
      <c r="O121" s="626" t="e">
        <f ca="1">INT(ABS(N121))</f>
        <v>#NAME?</v>
      </c>
      <c r="P121" s="626" t="e">
        <f ca="1">INT((ABS(N121)-O121)*60)</f>
        <v>#NAME?</v>
      </c>
      <c r="Q121" s="626" t="e">
        <f ca="1">INT((((ABS(N121)-O121)*60)-P121)*60)</f>
        <v>#NAME?</v>
      </c>
      <c r="R121" s="626" t="e">
        <f ca="1">INT((((((ABS(N121)-O121)*60)-P121)*60)-Q121)*60)</f>
        <v>#NAME?</v>
      </c>
      <c r="S121" s="161"/>
      <c r="T121" s="160"/>
      <c r="U121" s="160"/>
      <c r="V121" s="160"/>
      <c r="W121" s="160"/>
      <c r="X121" s="160"/>
      <c r="Y121" s="160"/>
      <c r="Z121" s="160"/>
      <c r="AA121" s="160"/>
      <c r="AB121" s="160"/>
      <c r="AC121" s="160"/>
      <c r="AD121" s="160"/>
      <c r="AE121" s="160"/>
      <c r="AF121" s="160"/>
      <c r="AG121" s="161"/>
      <c r="AH121" s="161"/>
      <c r="AI121" s="161"/>
      <c r="AJ121" s="161"/>
      <c r="AK121" s="160"/>
      <c r="CA121" s="986">
        <v>70</v>
      </c>
      <c r="CB121" s="656" t="s">
        <v>1120</v>
      </c>
      <c r="CC121" s="656">
        <f>CC118/CC120</f>
        <v>0.2246373115701864</v>
      </c>
      <c r="CD121" s="641">
        <f t="shared" si="491"/>
        <v>0</v>
      </c>
      <c r="CE121" s="641">
        <f t="shared" si="492"/>
        <v>13</v>
      </c>
      <c r="CF121" s="641">
        <f t="shared" si="493"/>
        <v>28</v>
      </c>
      <c r="CG121" s="657">
        <f t="shared" si="494"/>
        <v>41</v>
      </c>
    </row>
    <row r="122" spans="13:85">
      <c r="M122" s="625" t="s">
        <v>1012</v>
      </c>
      <c r="N122" s="625" t="e">
        <f ca="1">1-[2]!csn(N121)/60</f>
        <v>#NAME?</v>
      </c>
      <c r="O122" s="625"/>
      <c r="P122" s="625"/>
      <c r="Q122" s="625"/>
      <c r="R122" s="625"/>
      <c r="S122" s="161"/>
      <c r="T122" s="160"/>
      <c r="U122" s="160"/>
      <c r="V122" s="160"/>
      <c r="W122" s="160"/>
      <c r="X122" s="160"/>
      <c r="Y122" s="160"/>
      <c r="Z122" s="160"/>
      <c r="AA122" s="160"/>
      <c r="AB122" s="160"/>
      <c r="AC122" s="160"/>
      <c r="AD122" s="160"/>
      <c r="AE122" s="160"/>
      <c r="AF122" s="160"/>
      <c r="AG122" s="161"/>
      <c r="AH122" s="161"/>
      <c r="AI122" s="161"/>
      <c r="AJ122" s="161"/>
      <c r="AK122" s="160"/>
      <c r="CA122" s="986">
        <v>71</v>
      </c>
      <c r="CB122" s="656" t="s">
        <v>942</v>
      </c>
      <c r="CC122" s="656">
        <f>(CC113*2)-CC121</f>
        <v>0.3106926205153111</v>
      </c>
      <c r="CD122" s="641">
        <f t="shared" si="491"/>
        <v>0</v>
      </c>
      <c r="CE122" s="641">
        <f t="shared" si="492"/>
        <v>18</v>
      </c>
      <c r="CF122" s="641">
        <f t="shared" si="493"/>
        <v>38</v>
      </c>
      <c r="CG122" s="657">
        <f t="shared" si="494"/>
        <v>29</v>
      </c>
    </row>
    <row r="123" spans="13:85">
      <c r="M123" s="625"/>
      <c r="N123" s="625" t="e">
        <f ca="1">IF(N122=N114,N121,180-N121)</f>
        <v>#NAME?</v>
      </c>
      <c r="O123" s="625"/>
      <c r="P123" s="625"/>
      <c r="Q123" s="625"/>
      <c r="R123" s="625"/>
      <c r="S123" s="161"/>
      <c r="T123" s="160"/>
      <c r="U123" s="160"/>
      <c r="V123" s="160"/>
      <c r="W123" s="160"/>
      <c r="X123" s="160"/>
      <c r="Y123" s="160"/>
      <c r="Z123" s="160"/>
      <c r="AA123" s="160"/>
      <c r="AB123" s="160"/>
      <c r="AC123" s="160"/>
      <c r="AD123" s="160"/>
      <c r="AE123" s="160"/>
      <c r="AF123" s="160"/>
      <c r="AG123" s="161"/>
      <c r="AH123" s="161"/>
      <c r="AI123" s="161"/>
      <c r="AJ123" s="161"/>
      <c r="AK123" s="160"/>
      <c r="CA123" s="986">
        <v>72</v>
      </c>
      <c r="CB123" s="656"/>
      <c r="CC123" s="656">
        <f>(CC121*CC122)</f>
        <v>6.9793154997255635E-2</v>
      </c>
      <c r="CD123" s="641">
        <f t="shared" si="491"/>
        <v>0</v>
      </c>
      <c r="CE123" s="641">
        <f t="shared" si="492"/>
        <v>4</v>
      </c>
      <c r="CF123" s="641">
        <f t="shared" si="493"/>
        <v>11</v>
      </c>
      <c r="CG123" s="657">
        <f t="shared" si="494"/>
        <v>15</v>
      </c>
    </row>
    <row r="124" spans="13:85">
      <c r="M124" s="625" t="s">
        <v>1005</v>
      </c>
      <c r="N124" s="625" t="e">
        <f ca="1">(22/7)*POWER(N104,2)*(N123/360)</f>
        <v>#NAME?</v>
      </c>
      <c r="O124" s="626" t="e">
        <f ca="1">INT(ABS(N124))</f>
        <v>#NAME?</v>
      </c>
      <c r="P124" s="626" t="e">
        <f ca="1">INT((ABS(N124)-O124)*60)</f>
        <v>#NAME?</v>
      </c>
      <c r="Q124" s="626" t="e">
        <f ca="1">INT((((ABS(N124)-O124)*60)-P124)*60)</f>
        <v>#NAME?</v>
      </c>
      <c r="R124" s="626" t="e">
        <f ca="1">INT((((((ABS(N124)-O124)*60)-P124)*60)-Q124)*60)</f>
        <v>#NAME?</v>
      </c>
      <c r="S124" s="161"/>
      <c r="T124" s="160"/>
      <c r="U124" s="160"/>
      <c r="V124" s="160"/>
      <c r="W124" s="160"/>
      <c r="X124" s="160"/>
      <c r="Y124" s="160"/>
      <c r="Z124" s="160"/>
      <c r="AA124" s="160"/>
      <c r="AB124" s="160"/>
      <c r="AC124" s="160"/>
      <c r="AD124" s="160"/>
      <c r="AE124" s="160"/>
      <c r="AF124" s="160"/>
      <c r="AG124" s="161"/>
      <c r="AH124" s="161"/>
      <c r="AI124" s="161"/>
      <c r="AJ124" s="161"/>
      <c r="AK124" s="160"/>
      <c r="CA124" s="986">
        <v>73</v>
      </c>
      <c r="CB124" s="656" t="s">
        <v>927</v>
      </c>
      <c r="CC124" s="656">
        <f>SQRT(CC123)</f>
        <v>0.2641839415961077</v>
      </c>
      <c r="CD124" s="641">
        <f t="shared" si="491"/>
        <v>0</v>
      </c>
      <c r="CE124" s="641">
        <f t="shared" si="492"/>
        <v>15</v>
      </c>
      <c r="CF124" s="641">
        <f t="shared" si="493"/>
        <v>51</v>
      </c>
      <c r="CG124" s="657">
        <f t="shared" si="494"/>
        <v>3</v>
      </c>
    </row>
    <row r="125" spans="13:85">
      <c r="M125" s="625"/>
      <c r="N125" s="625"/>
      <c r="O125" s="626">
        <f>INT(ABS(N125))</f>
        <v>0</v>
      </c>
      <c r="P125" s="626">
        <f t="shared" ref="P125:P134" si="495">INT((ABS(N125)-O125)*60)</f>
        <v>0</v>
      </c>
      <c r="Q125" s="626">
        <f t="shared" ref="Q125:Q134" si="496">INT((((ABS(N125)-O125)*60)-P125)*60)</f>
        <v>0</v>
      </c>
      <c r="R125" s="626">
        <f t="shared" ref="R125:R134" si="497">INT((((((ABS(N125)-O125)*60)-P125)*60)-Q125)*60)</f>
        <v>0</v>
      </c>
      <c r="S125" s="160"/>
      <c r="T125" s="160"/>
      <c r="U125" s="160"/>
      <c r="V125" s="160"/>
      <c r="W125" s="160"/>
      <c r="X125" s="160"/>
      <c r="Y125" s="160"/>
      <c r="Z125" s="160"/>
      <c r="AA125" s="160"/>
      <c r="AB125" s="160"/>
      <c r="AC125" s="160"/>
      <c r="AD125" s="160"/>
      <c r="AE125" s="160"/>
      <c r="AF125" s="160"/>
      <c r="AG125" s="161"/>
      <c r="AH125" s="161"/>
      <c r="AI125" s="161"/>
      <c r="AJ125" s="161"/>
      <c r="AK125" s="160"/>
      <c r="CA125" s="986">
        <v>74</v>
      </c>
      <c r="CB125" s="656"/>
      <c r="CC125" s="656">
        <f>CC124*60/CC113</f>
        <v>59.219690683146382</v>
      </c>
      <c r="CD125" s="641">
        <f t="shared" si="491"/>
        <v>59</v>
      </c>
      <c r="CE125" s="641">
        <f t="shared" si="492"/>
        <v>13</v>
      </c>
      <c r="CF125" s="641">
        <f t="shared" si="493"/>
        <v>10</v>
      </c>
      <c r="CG125" s="657">
        <f t="shared" si="494"/>
        <v>53</v>
      </c>
    </row>
    <row r="126" spans="13:85">
      <c r="M126" s="625" t="s">
        <v>1007</v>
      </c>
      <c r="N126" s="625">
        <f>N117*N119</f>
        <v>3.3594272842143579E-2</v>
      </c>
      <c r="O126" s="626">
        <f>INT(ABS(N126))</f>
        <v>0</v>
      </c>
      <c r="P126" s="626">
        <f t="shared" si="495"/>
        <v>2</v>
      </c>
      <c r="Q126" s="626">
        <f t="shared" si="496"/>
        <v>0</v>
      </c>
      <c r="R126" s="626">
        <f t="shared" si="497"/>
        <v>56</v>
      </c>
      <c r="S126" s="160"/>
      <c r="T126" s="160"/>
      <c r="U126" s="160"/>
      <c r="V126" s="160"/>
      <c r="W126" s="160"/>
      <c r="X126" s="160"/>
      <c r="Y126" s="160"/>
      <c r="Z126" s="160"/>
      <c r="AA126" s="160"/>
      <c r="AB126" s="160"/>
      <c r="AC126" s="160"/>
      <c r="AD126" s="160"/>
      <c r="AE126" s="160"/>
      <c r="AF126" s="160"/>
      <c r="AG126" s="161"/>
      <c r="AH126" s="161"/>
      <c r="AI126" s="161"/>
      <c r="AJ126" s="161"/>
      <c r="AK126" s="160"/>
      <c r="CA126" s="986">
        <v>75</v>
      </c>
      <c r="CB126" s="656" t="s">
        <v>3829</v>
      </c>
      <c r="CC126" s="656">
        <f>[1]!asn(CC125)</f>
        <v>80.749457564093589</v>
      </c>
      <c r="CD126" s="641">
        <f t="shared" si="491"/>
        <v>80</v>
      </c>
      <c r="CE126" s="641">
        <f t="shared" si="492"/>
        <v>44</v>
      </c>
      <c r="CF126" s="641">
        <f t="shared" si="493"/>
        <v>58</v>
      </c>
      <c r="CG126" s="657">
        <f t="shared" si="494"/>
        <v>2</v>
      </c>
    </row>
    <row r="127" spans="13:85">
      <c r="M127" s="625" t="s">
        <v>1009</v>
      </c>
      <c r="N127" s="625" t="e">
        <f ca="1">IF(N122=N114,N124-N126,N124+N126)</f>
        <v>#NAME?</v>
      </c>
      <c r="O127" s="626" t="e">
        <f ca="1">INT(ABS(N127))</f>
        <v>#NAME?</v>
      </c>
      <c r="P127" s="626" t="e">
        <f ca="1">INT((ABS(N127)-O127)*60)</f>
        <v>#NAME?</v>
      </c>
      <c r="Q127" s="626" t="e">
        <f ca="1">INT((((ABS(N127)-O127)*60)-P127)*60)</f>
        <v>#NAME?</v>
      </c>
      <c r="R127" s="626" t="e">
        <f ca="1">INT((((((ABS(N127)-O127)*60)-P127)*60)-Q127)*60)</f>
        <v>#NAME?</v>
      </c>
      <c r="S127" s="160"/>
      <c r="T127" s="160"/>
      <c r="U127" s="160"/>
      <c r="V127" s="160"/>
      <c r="W127" s="160"/>
      <c r="X127" s="160"/>
      <c r="Y127" s="160"/>
      <c r="Z127" s="160"/>
      <c r="AA127" s="160"/>
      <c r="AB127" s="160"/>
      <c r="AC127" s="160"/>
      <c r="AD127" s="160"/>
      <c r="AE127" s="160"/>
      <c r="AF127" s="160"/>
      <c r="AG127" s="161"/>
      <c r="AH127" s="161"/>
      <c r="AI127" s="161"/>
      <c r="AJ127" s="161"/>
      <c r="AK127" s="160"/>
      <c r="CA127" s="986">
        <v>76</v>
      </c>
      <c r="CB127" s="656"/>
      <c r="CC127" s="656">
        <f>CC124*60/CC112</f>
        <v>56.406145414554466</v>
      </c>
      <c r="CD127" s="641">
        <f t="shared" si="491"/>
        <v>56</v>
      </c>
      <c r="CE127" s="641">
        <f t="shared" si="492"/>
        <v>24</v>
      </c>
      <c r="CF127" s="641">
        <f t="shared" si="493"/>
        <v>22</v>
      </c>
      <c r="CG127" s="657">
        <f t="shared" si="494"/>
        <v>7</v>
      </c>
    </row>
    <row r="128" spans="13:85">
      <c r="M128" s="625"/>
      <c r="N128" s="625">
        <f>N119*N104/60</f>
        <v>6.4602944219733366E-4</v>
      </c>
      <c r="O128" s="626">
        <f>INT(ABS(N128))</f>
        <v>0</v>
      </c>
      <c r="P128" s="626">
        <f t="shared" si="495"/>
        <v>0</v>
      </c>
      <c r="Q128" s="626">
        <f t="shared" si="496"/>
        <v>2</v>
      </c>
      <c r="R128" s="626">
        <f t="shared" si="497"/>
        <v>19</v>
      </c>
      <c r="S128" s="160"/>
      <c r="T128" s="160"/>
      <c r="U128" s="160"/>
      <c r="V128" s="160"/>
      <c r="W128" s="160"/>
      <c r="X128" s="160"/>
      <c r="Y128" s="160"/>
      <c r="Z128" s="160"/>
      <c r="AA128" s="160"/>
      <c r="AB128" s="160"/>
      <c r="AC128" s="160"/>
      <c r="AD128" s="160"/>
      <c r="AE128" s="160"/>
      <c r="AF128" s="160"/>
      <c r="AG128" s="161"/>
      <c r="AH128" s="161"/>
      <c r="AI128" s="161"/>
      <c r="AJ128" s="161"/>
      <c r="AK128" s="160"/>
      <c r="CA128" s="986">
        <v>77</v>
      </c>
      <c r="CB128" s="656" t="s">
        <v>3827</v>
      </c>
      <c r="CC128" s="656">
        <f>[1]!asn(CC127)</f>
        <v>70.068764229195025</v>
      </c>
      <c r="CD128" s="641">
        <f t="shared" si="491"/>
        <v>70</v>
      </c>
      <c r="CE128" s="641">
        <f t="shared" si="492"/>
        <v>4</v>
      </c>
      <c r="CF128" s="641">
        <f t="shared" si="493"/>
        <v>7</v>
      </c>
      <c r="CG128" s="657">
        <f t="shared" si="494"/>
        <v>33</v>
      </c>
    </row>
    <row r="129" spans="13:85">
      <c r="M129" s="625"/>
      <c r="N129" s="625"/>
      <c r="O129" s="626">
        <f t="shared" ref="O129:O134" si="498">INT(ABS(N129))</f>
        <v>0</v>
      </c>
      <c r="P129" s="626">
        <f t="shared" si="495"/>
        <v>0</v>
      </c>
      <c r="Q129" s="626">
        <f t="shared" si="496"/>
        <v>0</v>
      </c>
      <c r="R129" s="626">
        <f t="shared" si="497"/>
        <v>0</v>
      </c>
      <c r="S129" s="160"/>
      <c r="T129" s="160"/>
      <c r="U129" s="160"/>
      <c r="V129" s="160"/>
      <c r="W129" s="160"/>
      <c r="X129" s="160"/>
      <c r="Y129" s="160"/>
      <c r="Z129" s="160"/>
      <c r="AA129" s="160"/>
      <c r="AB129" s="160"/>
      <c r="AC129" s="160"/>
      <c r="AD129" s="160"/>
      <c r="AE129" s="160"/>
      <c r="AF129" s="160"/>
      <c r="AG129" s="161"/>
      <c r="AH129" s="161"/>
      <c r="AI129" s="161"/>
      <c r="AJ129" s="161"/>
      <c r="AK129" s="160"/>
      <c r="CA129" s="986">
        <v>78</v>
      </c>
      <c r="CB129" s="656" t="s">
        <v>1121</v>
      </c>
      <c r="CC129" s="656">
        <f>POWER(CC113,2)</f>
        <v>7.1644534046665848E-2</v>
      </c>
      <c r="CD129" s="641">
        <f t="shared" si="491"/>
        <v>0</v>
      </c>
      <c r="CE129" s="641">
        <f t="shared" si="492"/>
        <v>4</v>
      </c>
      <c r="CF129" s="641">
        <f t="shared" si="493"/>
        <v>17</v>
      </c>
      <c r="CG129" s="657">
        <f t="shared" si="494"/>
        <v>55</v>
      </c>
    </row>
    <row r="130" spans="13:85">
      <c r="M130" s="625" t="s">
        <v>1011</v>
      </c>
      <c r="N130" s="625" t="e">
        <f ca="1">N135</f>
        <v>#NAME?</v>
      </c>
      <c r="O130" s="626" t="e">
        <f ca="1">INT(ABS(N130))</f>
        <v>#NAME?</v>
      </c>
      <c r="P130" s="626" t="e">
        <f ca="1">INT((ABS(N130)-O130)*60)</f>
        <v>#NAME?</v>
      </c>
      <c r="Q130" s="626" t="e">
        <f ca="1">INT((((ABS(N130)-O130)*60)-P130)*60)</f>
        <v>#NAME?</v>
      </c>
      <c r="R130" s="626" t="e">
        <f ca="1">INT((((((ABS(N130)-O130)*60)-P130)*60)-Q130)*60)</f>
        <v>#NAME?</v>
      </c>
      <c r="S130" s="160"/>
      <c r="T130" s="160"/>
      <c r="U130" s="160"/>
      <c r="V130" s="160"/>
      <c r="W130" s="160"/>
      <c r="X130" s="160"/>
      <c r="Y130" s="160"/>
      <c r="Z130" s="160"/>
      <c r="AA130" s="160"/>
      <c r="AB130" s="160"/>
      <c r="AC130" s="160"/>
      <c r="AD130" s="160"/>
      <c r="AE130" s="160"/>
      <c r="AF130" s="160"/>
      <c r="AG130" s="161"/>
      <c r="AH130" s="161"/>
      <c r="AI130" s="161"/>
      <c r="AJ130" s="161"/>
      <c r="AK130" s="160"/>
      <c r="CA130" s="986">
        <v>79</v>
      </c>
      <c r="CB130" s="656" t="s">
        <v>3828</v>
      </c>
      <c r="CC130" s="656">
        <f>CC126*CC129/60</f>
        <v>9.6420954361675026E-2</v>
      </c>
      <c r="CD130" s="641">
        <f t="shared" si="491"/>
        <v>0</v>
      </c>
      <c r="CE130" s="641">
        <f t="shared" si="492"/>
        <v>5</v>
      </c>
      <c r="CF130" s="641">
        <f t="shared" si="493"/>
        <v>47</v>
      </c>
      <c r="CG130" s="657">
        <f t="shared" si="494"/>
        <v>6</v>
      </c>
    </row>
    <row r="131" spans="13:85">
      <c r="M131" s="625" t="s">
        <v>1014</v>
      </c>
      <c r="N131" s="625" t="e">
        <f ca="1">(22/7)*POWER(N105,2)*(N130/360)</f>
        <v>#NAME?</v>
      </c>
      <c r="O131" s="626" t="e">
        <f ca="1">INT(ABS(N131))</f>
        <v>#NAME?</v>
      </c>
      <c r="P131" s="626" t="e">
        <f ca="1">INT((ABS(N131)-O131)*60)</f>
        <v>#NAME?</v>
      </c>
      <c r="Q131" s="626" t="e">
        <f ca="1">INT((((ABS(N131)-O131)*60)-P131)*60)</f>
        <v>#NAME?</v>
      </c>
      <c r="R131" s="626" t="e">
        <f ca="1">INT((((((ABS(N131)-O131)*60)-P131)*60)-Q131)*60)</f>
        <v>#NAME?</v>
      </c>
      <c r="S131" s="160"/>
      <c r="T131" s="160"/>
      <c r="U131" s="160"/>
      <c r="V131" s="160"/>
      <c r="W131" s="160"/>
      <c r="X131" s="160"/>
      <c r="Y131" s="160"/>
      <c r="Z131" s="160"/>
      <c r="AA131" s="160"/>
      <c r="AB131" s="160"/>
      <c r="AC131" s="160"/>
      <c r="AD131" s="160"/>
      <c r="AE131" s="160"/>
      <c r="AF131" s="160"/>
      <c r="AG131" s="161"/>
      <c r="AH131" s="161"/>
      <c r="AI131" s="161"/>
      <c r="AJ131" s="161"/>
      <c r="AK131" s="160"/>
      <c r="CA131" s="986">
        <v>80</v>
      </c>
      <c r="CB131" s="656" t="s">
        <v>1123</v>
      </c>
      <c r="CC131" s="656">
        <f>POWER((CC112),2)</f>
        <v>7.8970063358769702E-2</v>
      </c>
      <c r="CD131" s="641">
        <f t="shared" si="491"/>
        <v>0</v>
      </c>
      <c r="CE131" s="641">
        <f t="shared" si="492"/>
        <v>4</v>
      </c>
      <c r="CF131" s="641">
        <f t="shared" si="493"/>
        <v>44</v>
      </c>
      <c r="CG131" s="657">
        <f t="shared" si="494"/>
        <v>17</v>
      </c>
    </row>
    <row r="132" spans="13:85">
      <c r="M132" s="625" t="s">
        <v>1013</v>
      </c>
      <c r="N132" s="625">
        <f>N115*N134</f>
        <v>-1.4394977298469729</v>
      </c>
      <c r="O132" s="626">
        <f t="shared" si="498"/>
        <v>1</v>
      </c>
      <c r="P132" s="626">
        <f t="shared" si="495"/>
        <v>26</v>
      </c>
      <c r="Q132" s="626">
        <f t="shared" si="496"/>
        <v>22</v>
      </c>
      <c r="R132" s="626">
        <f t="shared" si="497"/>
        <v>11</v>
      </c>
      <c r="S132" s="160"/>
      <c r="T132" s="160"/>
      <c r="U132" s="160"/>
      <c r="V132" s="160"/>
      <c r="W132" s="160"/>
      <c r="X132" s="160"/>
      <c r="Y132" s="160"/>
      <c r="Z132" s="160"/>
      <c r="AA132" s="160"/>
      <c r="AB132" s="160"/>
      <c r="AC132" s="160"/>
      <c r="AD132" s="160"/>
      <c r="AE132" s="160"/>
      <c r="AF132" s="160"/>
      <c r="AG132" s="161"/>
      <c r="AH132" s="161"/>
      <c r="AI132" s="161"/>
      <c r="AJ132" s="161"/>
      <c r="AK132" s="160"/>
      <c r="CA132" s="986">
        <v>81</v>
      </c>
      <c r="CB132" s="656" t="s">
        <v>948</v>
      </c>
      <c r="CC132" s="656">
        <f>CC128*CC131/60</f>
        <v>9.222224584417045E-2</v>
      </c>
      <c r="CD132" s="641">
        <f t="shared" si="491"/>
        <v>0</v>
      </c>
      <c r="CE132" s="641">
        <f t="shared" si="492"/>
        <v>5</v>
      </c>
      <c r="CF132" s="641">
        <f t="shared" si="493"/>
        <v>32</v>
      </c>
      <c r="CG132" s="657">
        <f t="shared" si="494"/>
        <v>0</v>
      </c>
    </row>
    <row r="133" spans="13:85">
      <c r="M133" s="625" t="s">
        <v>1015</v>
      </c>
      <c r="N133" s="625">
        <f>(N105*2)*N113</f>
        <v>2.3573518815866885</v>
      </c>
      <c r="O133" s="626">
        <f t="shared" si="498"/>
        <v>2</v>
      </c>
      <c r="P133" s="626">
        <f t="shared" si="495"/>
        <v>21</v>
      </c>
      <c r="Q133" s="626">
        <f t="shared" si="496"/>
        <v>26</v>
      </c>
      <c r="R133" s="626">
        <f t="shared" si="497"/>
        <v>28</v>
      </c>
      <c r="S133" s="160"/>
      <c r="T133" s="160"/>
      <c r="U133" s="160"/>
      <c r="V133" s="160"/>
      <c r="W133" s="160"/>
      <c r="X133" s="160"/>
      <c r="Y133" s="160"/>
      <c r="Z133" s="160"/>
      <c r="AA133" s="160"/>
      <c r="AB133" s="160"/>
      <c r="AC133" s="160"/>
      <c r="AD133" s="160"/>
      <c r="AE133" s="160"/>
      <c r="AF133" s="160"/>
      <c r="AG133" s="161"/>
      <c r="AH133" s="161"/>
      <c r="AI133" s="161"/>
      <c r="AJ133" s="161"/>
      <c r="AK133" s="160"/>
      <c r="CA133" s="986">
        <v>82</v>
      </c>
      <c r="CB133" s="656" t="s">
        <v>250</v>
      </c>
      <c r="CC133" s="656">
        <f>CC113-CC121</f>
        <v>4.3027654472562349E-2</v>
      </c>
      <c r="CD133" s="641">
        <f t="shared" si="491"/>
        <v>0</v>
      </c>
      <c r="CE133" s="641">
        <f t="shared" si="492"/>
        <v>2</v>
      </c>
      <c r="CF133" s="641">
        <f t="shared" si="493"/>
        <v>34</v>
      </c>
      <c r="CG133" s="657">
        <f t="shared" si="494"/>
        <v>53</v>
      </c>
    </row>
    <row r="134" spans="13:85">
      <c r="M134" s="625" t="s">
        <v>1016</v>
      </c>
      <c r="N134" s="625">
        <f>SQRT(N133*N113)</f>
        <v>1.898558787294905</v>
      </c>
      <c r="O134" s="626">
        <f t="shared" si="498"/>
        <v>1</v>
      </c>
      <c r="P134" s="626">
        <f t="shared" si="495"/>
        <v>53</v>
      </c>
      <c r="Q134" s="626">
        <f t="shared" si="496"/>
        <v>54</v>
      </c>
      <c r="R134" s="626">
        <f t="shared" si="497"/>
        <v>48</v>
      </c>
      <c r="S134" s="160"/>
      <c r="T134" s="160"/>
      <c r="U134" s="160"/>
      <c r="V134" s="160"/>
      <c r="W134" s="160"/>
      <c r="X134" s="160"/>
      <c r="Y134" s="160"/>
      <c r="Z134" s="160"/>
      <c r="AA134" s="160"/>
      <c r="AB134" s="160"/>
      <c r="AC134" s="160"/>
      <c r="AD134" s="160"/>
      <c r="AE134" s="160"/>
      <c r="AF134" s="160"/>
      <c r="AG134" s="161"/>
      <c r="AH134" s="161"/>
      <c r="AI134" s="161"/>
      <c r="AJ134" s="161"/>
      <c r="AK134" s="160"/>
      <c r="CA134" s="986">
        <v>83</v>
      </c>
      <c r="CB134" s="656" t="s">
        <v>1122</v>
      </c>
      <c r="CC134" s="656">
        <f>CC133*CC124</f>
        <v>1.1367215356196914E-2</v>
      </c>
      <c r="CD134" s="641">
        <f t="shared" si="491"/>
        <v>0</v>
      </c>
      <c r="CE134" s="641">
        <f t="shared" si="492"/>
        <v>0</v>
      </c>
      <c r="CF134" s="641">
        <f t="shared" si="493"/>
        <v>40</v>
      </c>
      <c r="CG134" s="657">
        <f t="shared" si="494"/>
        <v>55</v>
      </c>
    </row>
    <row r="135" spans="13:85">
      <c r="M135" s="625"/>
      <c r="N135" s="625" t="e">
        <f ca="1">2*[2]!asn((N134/N105)*60)</f>
        <v>#NAME?</v>
      </c>
      <c r="O135" s="626" t="e">
        <f ca="1">INT(ABS(N135))</f>
        <v>#NAME?</v>
      </c>
      <c r="P135" s="626" t="e">
        <f ca="1">INT((ABS(N135)-O135)*60)</f>
        <v>#NAME?</v>
      </c>
      <c r="Q135" s="626" t="e">
        <f ca="1">INT((((ABS(N135)-O135)*60)-P135)*60)</f>
        <v>#NAME?</v>
      </c>
      <c r="R135" s="626" t="e">
        <f ca="1">INT((((((ABS(N135)-O135)*60)-P135)*60)-Q135)*60)</f>
        <v>#NAME?</v>
      </c>
      <c r="S135" s="160"/>
      <c r="T135" s="160"/>
      <c r="U135" s="160"/>
      <c r="V135" s="160"/>
      <c r="W135" s="160"/>
      <c r="X135" s="160"/>
      <c r="Y135" s="160"/>
      <c r="Z135" s="160"/>
      <c r="AA135" s="160"/>
      <c r="AB135" s="160"/>
      <c r="AC135" s="160"/>
      <c r="AD135" s="160"/>
      <c r="AE135" s="160"/>
      <c r="AF135" s="161"/>
      <c r="AG135" s="161"/>
      <c r="AH135" s="161"/>
      <c r="AI135" s="161"/>
      <c r="AJ135" s="161"/>
      <c r="AK135" s="160"/>
      <c r="CA135" s="986">
        <v>84</v>
      </c>
      <c r="CB135" s="656" t="s">
        <v>1124</v>
      </c>
      <c r="CC135" s="656">
        <f>CC130-CC134</f>
        <v>8.5053739005478107E-2</v>
      </c>
      <c r="CD135" s="641">
        <f t="shared" si="491"/>
        <v>0</v>
      </c>
      <c r="CE135" s="641">
        <f t="shared" si="492"/>
        <v>5</v>
      </c>
      <c r="CF135" s="641">
        <f t="shared" si="493"/>
        <v>6</v>
      </c>
      <c r="CG135" s="657">
        <f t="shared" si="494"/>
        <v>11</v>
      </c>
    </row>
    <row r="136" spans="13:85">
      <c r="M136" s="625" t="s">
        <v>1017</v>
      </c>
      <c r="N136" s="625" t="e">
        <f ca="1">N131-N132</f>
        <v>#NAME?</v>
      </c>
      <c r="O136" s="626" t="e">
        <f ca="1">INT(ABS(N136))</f>
        <v>#NAME?</v>
      </c>
      <c r="P136" s="626" t="e">
        <f ca="1">INT((ABS(N136)-O136)*60)</f>
        <v>#NAME?</v>
      </c>
      <c r="Q136" s="626" t="e">
        <f ca="1">INT((((ABS(N136)-O136)*60)-P136)*60)</f>
        <v>#NAME?</v>
      </c>
      <c r="R136" s="626" t="e">
        <f ca="1">INT((((((ABS(N136)-O136)*60)-P136)*60)-Q136)*60)</f>
        <v>#NAME?</v>
      </c>
      <c r="S136" s="160"/>
      <c r="T136" s="160"/>
      <c r="U136" s="160"/>
      <c r="V136" s="160"/>
      <c r="W136" s="160"/>
      <c r="X136" s="160"/>
      <c r="Y136" s="160"/>
      <c r="Z136" s="160"/>
      <c r="AA136" s="160"/>
      <c r="AB136" s="160"/>
      <c r="AC136" s="160"/>
      <c r="AD136" s="160"/>
      <c r="AE136" s="160"/>
      <c r="AF136" s="160"/>
      <c r="AG136" s="161"/>
      <c r="AH136" s="161"/>
      <c r="AI136" s="161"/>
      <c r="AJ136" s="161"/>
      <c r="AK136" s="160"/>
      <c r="CA136" s="986">
        <v>85</v>
      </c>
      <c r="CB136" s="656" t="s">
        <v>250</v>
      </c>
      <c r="CC136" s="656">
        <f>CC112-CC121</f>
        <v>5.6378814939965494E-2</v>
      </c>
      <c r="CD136" s="641">
        <f t="shared" si="491"/>
        <v>0</v>
      </c>
      <c r="CE136" s="641">
        <f t="shared" si="492"/>
        <v>3</v>
      </c>
      <c r="CF136" s="641">
        <f t="shared" si="493"/>
        <v>22</v>
      </c>
      <c r="CG136" s="657">
        <f t="shared" si="494"/>
        <v>57</v>
      </c>
    </row>
    <row r="137" spans="13:85">
      <c r="M137" s="625" t="s">
        <v>1018</v>
      </c>
      <c r="N137" s="625" t="e">
        <f ca="1">N127+N136</f>
        <v>#NAME?</v>
      </c>
      <c r="O137" s="626" t="e">
        <f ca="1">INT(ABS(N137))</f>
        <v>#NAME?</v>
      </c>
      <c r="P137" s="626" t="e">
        <f ca="1">INT((ABS(N137)-O137)*60)</f>
        <v>#NAME?</v>
      </c>
      <c r="Q137" s="626" t="e">
        <f ca="1">INT((((ABS(N137)-O137)*60)-P137)*60)</f>
        <v>#NAME?</v>
      </c>
      <c r="R137" s="626" t="e">
        <f ca="1">INT((((((ABS(N137)-O137)*60)-P137)*60)-Q137)*60)</f>
        <v>#NAME?</v>
      </c>
      <c r="S137" s="160"/>
      <c r="T137" s="160"/>
      <c r="U137" s="160"/>
      <c r="V137" s="160"/>
      <c r="W137" s="160"/>
      <c r="X137" s="160"/>
      <c r="Y137" s="160"/>
      <c r="Z137" s="160"/>
      <c r="AA137" s="160"/>
      <c r="AB137" s="160"/>
      <c r="AC137" s="160"/>
      <c r="AD137" s="160"/>
      <c r="AE137" s="160"/>
      <c r="AF137" s="160"/>
      <c r="AG137" s="161"/>
      <c r="AH137" s="161"/>
      <c r="AI137" s="161"/>
      <c r="AJ137" s="161"/>
      <c r="AK137" s="160"/>
      <c r="CA137" s="986">
        <v>86</v>
      </c>
      <c r="CB137" s="656" t="s">
        <v>1125</v>
      </c>
      <c r="CC137" s="656">
        <f>CC136*CC124</f>
        <v>1.4894377553357608E-2</v>
      </c>
      <c r="CD137" s="641">
        <f t="shared" si="491"/>
        <v>0</v>
      </c>
      <c r="CE137" s="641">
        <f t="shared" si="492"/>
        <v>0</v>
      </c>
      <c r="CF137" s="641">
        <f t="shared" si="493"/>
        <v>53</v>
      </c>
      <c r="CG137" s="657">
        <f t="shared" si="494"/>
        <v>37</v>
      </c>
    </row>
    <row r="138" spans="13:85">
      <c r="M138" s="625" t="s">
        <v>964</v>
      </c>
      <c r="N138" s="625" t="e">
        <f ca="1">N137*12/N116</f>
        <v>#NAME?</v>
      </c>
      <c r="O138" s="626" t="e">
        <f ca="1">INT(ABS(N138))</f>
        <v>#NAME?</v>
      </c>
      <c r="P138" s="626" t="e">
        <f ca="1">INT((ABS(N138)-O138)*60)</f>
        <v>#NAME?</v>
      </c>
      <c r="Q138" s="626" t="e">
        <f ca="1">INT((((ABS(N138)-O138)*60)-P138)*60)</f>
        <v>#NAME?</v>
      </c>
      <c r="R138" s="626" t="e">
        <f ca="1">INT((((((ABS(N138)-O138)*60)-P138)*60)-Q138)*60)</f>
        <v>#NAME?</v>
      </c>
      <c r="S138" s="160"/>
      <c r="T138" s="160"/>
      <c r="U138" s="160"/>
      <c r="V138" s="160"/>
      <c r="W138" s="160"/>
      <c r="X138" s="160"/>
      <c r="Y138" s="160"/>
      <c r="Z138" s="160"/>
      <c r="AA138" s="160"/>
      <c r="AB138" s="160"/>
      <c r="AC138" s="160"/>
      <c r="AD138" s="160"/>
      <c r="AE138" s="160"/>
      <c r="AF138" s="160"/>
      <c r="AG138" s="161"/>
      <c r="AH138" s="161"/>
      <c r="AI138" s="161"/>
      <c r="AJ138" s="161"/>
      <c r="AK138" s="160"/>
      <c r="CA138" s="986">
        <v>87</v>
      </c>
      <c r="CB138" s="656" t="s">
        <v>1126</v>
      </c>
      <c r="CC138" s="656">
        <f>CC132-CC137</f>
        <v>7.732786829081284E-2</v>
      </c>
      <c r="CD138" s="641">
        <f t="shared" si="491"/>
        <v>0</v>
      </c>
      <c r="CE138" s="641">
        <f t="shared" si="492"/>
        <v>4</v>
      </c>
      <c r="CF138" s="641">
        <f t="shared" si="493"/>
        <v>38</v>
      </c>
      <c r="CG138" s="657">
        <f t="shared" si="494"/>
        <v>22</v>
      </c>
    </row>
    <row r="139" spans="13:85">
      <c r="M139" s="625" t="e">
        <f ca="1">[2]!qotrqmr(#REF!)</f>
        <v>#NAME?</v>
      </c>
      <c r="N139" s="626" t="e">
        <f ca="1">INT(ABS(M139))</f>
        <v>#NAME?</v>
      </c>
      <c r="O139" s="626" t="e">
        <f ca="1">INT((ABS(M139)-N139)*60)</f>
        <v>#NAME?</v>
      </c>
      <c r="P139" s="626" t="e">
        <f ca="1">INT((((ABS(M139)-N139)*60)-O139)*60)</f>
        <v>#NAME?</v>
      </c>
      <c r="Q139" s="626" t="e">
        <f ca="1">INT((((((ABS(M139)-N139)*60)-O139)*60)-P139)*60)</f>
        <v>#NAME?</v>
      </c>
      <c r="R139" s="625"/>
      <c r="S139" s="160"/>
      <c r="T139" s="160"/>
      <c r="U139" s="160"/>
      <c r="V139" s="160"/>
      <c r="W139" s="160"/>
      <c r="X139" s="160"/>
      <c r="Y139" s="160"/>
      <c r="Z139" s="160"/>
      <c r="AA139" s="160"/>
      <c r="AB139" s="160"/>
      <c r="AC139" s="160"/>
      <c r="AD139" s="160"/>
      <c r="AE139" s="160"/>
      <c r="AF139" s="160"/>
      <c r="AG139" s="161"/>
      <c r="AH139" s="161"/>
      <c r="AI139" s="161"/>
      <c r="AJ139" s="161"/>
      <c r="AK139" s="160"/>
      <c r="CA139" s="986">
        <v>88</v>
      </c>
      <c r="CB139" s="656" t="s">
        <v>1127</v>
      </c>
      <c r="CC139" s="656">
        <f>CC138+CC135</f>
        <v>0.16238160729629095</v>
      </c>
      <c r="CD139" s="641">
        <f t="shared" si="491"/>
        <v>0</v>
      </c>
      <c r="CE139" s="641">
        <f t="shared" si="492"/>
        <v>9</v>
      </c>
      <c r="CF139" s="641">
        <f t="shared" si="493"/>
        <v>44</v>
      </c>
      <c r="CG139" s="657">
        <f t="shared" si="494"/>
        <v>34</v>
      </c>
    </row>
    <row r="140" spans="13:85">
      <c r="M140" s="625" t="e">
        <f ca="1">[2]!boadq(M139)</f>
        <v>#NAME?</v>
      </c>
      <c r="N140" s="626" t="e">
        <f ca="1">INT(ABS(M140))</f>
        <v>#NAME?</v>
      </c>
      <c r="O140" s="626" t="e">
        <f ca="1">INT((ABS(M140)-N140)*60)</f>
        <v>#NAME?</v>
      </c>
      <c r="P140" s="626" t="e">
        <f ca="1">INT((((ABS(M140)-N140)*60)-O140)*60)</f>
        <v>#NAME?</v>
      </c>
      <c r="Q140" s="626" t="e">
        <f ca="1">INT((((((ABS(M140)-N140)*60)-O140)*60)-P140)*60)</f>
        <v>#NAME?</v>
      </c>
      <c r="R140" s="625"/>
      <c r="S140" s="160"/>
      <c r="T140" s="160"/>
      <c r="U140" s="160"/>
      <c r="V140" s="160"/>
      <c r="W140" s="160"/>
      <c r="X140" s="160"/>
      <c r="Y140" s="160"/>
      <c r="Z140" s="160"/>
      <c r="AA140" s="160"/>
      <c r="AB140" s="160"/>
      <c r="AC140" s="160"/>
      <c r="AD140" s="160"/>
      <c r="AE140" s="160"/>
      <c r="AF140" s="160"/>
      <c r="AG140" s="161"/>
      <c r="AH140" s="161"/>
      <c r="AI140" s="161"/>
      <c r="AJ140" s="161"/>
      <c r="AK140" s="160"/>
      <c r="CA140" s="986">
        <v>89</v>
      </c>
      <c r="CB140" s="656"/>
      <c r="CC140" s="656">
        <f>CC139*12</f>
        <v>1.9485792875554915</v>
      </c>
      <c r="CD140" s="641">
        <f t="shared" si="491"/>
        <v>1</v>
      </c>
      <c r="CE140" s="641">
        <f t="shared" si="492"/>
        <v>56</v>
      </c>
      <c r="CF140" s="641">
        <f t="shared" si="493"/>
        <v>54</v>
      </c>
      <c r="CG140" s="657">
        <f t="shared" si="494"/>
        <v>53</v>
      </c>
    </row>
    <row r="141" spans="13:85">
      <c r="M141" s="625" t="e">
        <f ca="1">[2]!khmanzar(M140)</f>
        <v>#NAME?</v>
      </c>
      <c r="N141" s="626" t="e">
        <f ca="1">INT(ABS(M141))</f>
        <v>#NAME?</v>
      </c>
      <c r="O141" s="626" t="e">
        <f ca="1">INT((ABS(M141)-N141)*60)</f>
        <v>#NAME?</v>
      </c>
      <c r="P141" s="626" t="e">
        <f ca="1">INT((((ABS(M141)-N141)*60)-O141)*60)</f>
        <v>#NAME?</v>
      </c>
      <c r="Q141" s="626" t="e">
        <f ca="1">INT((((((ABS(M141)-N141)*60)-O141)*60)-P141)*60)</f>
        <v>#NAME?</v>
      </c>
      <c r="R141" s="625"/>
      <c r="S141" s="160"/>
      <c r="T141" s="160"/>
      <c r="U141" s="160"/>
      <c r="V141" s="160"/>
      <c r="W141" s="160"/>
      <c r="X141" s="160"/>
      <c r="Y141" s="160"/>
      <c r="Z141" s="160"/>
      <c r="AA141" s="160"/>
      <c r="AB141" s="160"/>
      <c r="AC141" s="160"/>
      <c r="AD141" s="160"/>
      <c r="AE141" s="160"/>
      <c r="AF141" s="160"/>
      <c r="AG141" s="161"/>
      <c r="AH141" s="161"/>
      <c r="AI141" s="161"/>
      <c r="AJ141" s="161"/>
      <c r="AK141" s="160"/>
      <c r="BY141" s="151" t="s">
        <v>4164</v>
      </c>
      <c r="BZ141" s="151">
        <f>CC141/12</f>
        <v>0.72115585279913319</v>
      </c>
      <c r="CA141" s="986">
        <v>90</v>
      </c>
      <c r="CB141" s="621" t="s">
        <v>959</v>
      </c>
      <c r="CC141" s="621">
        <f>CC140/CC116</f>
        <v>8.6538702335895987</v>
      </c>
      <c r="CD141" s="622">
        <f t="shared" si="491"/>
        <v>8</v>
      </c>
      <c r="CE141" s="622">
        <f t="shared" si="492"/>
        <v>39</v>
      </c>
      <c r="CF141" s="622">
        <f t="shared" si="493"/>
        <v>13</v>
      </c>
      <c r="CG141" s="1030">
        <f t="shared" si="494"/>
        <v>55</v>
      </c>
    </row>
    <row r="142" spans="13:85">
      <c r="M142" s="625" t="e">
        <f ca="1">[2]!khmanzarertq(M141,#REF!)</f>
        <v>#NAME?</v>
      </c>
      <c r="N142" s="626" t="e">
        <f ca="1">INT(ABS(M142))</f>
        <v>#NAME?</v>
      </c>
      <c r="O142" s="626" t="e">
        <f ca="1">INT((ABS(M142)-N142)*60)</f>
        <v>#NAME?</v>
      </c>
      <c r="P142" s="626" t="e">
        <f ca="1">INT((((ABS(M142)-N142)*60)-O142)*60)</f>
        <v>#NAME?</v>
      </c>
      <c r="Q142" s="626" t="e">
        <f ca="1">INT((((((ABS(M142)-N142)*60)-O142)*60)-P142)*60)</f>
        <v>#NAME?</v>
      </c>
      <c r="R142" s="625"/>
      <c r="S142" s="160"/>
      <c r="T142" s="160"/>
      <c r="U142" s="160"/>
      <c r="V142" s="160"/>
      <c r="W142" s="160"/>
      <c r="X142" s="160"/>
      <c r="Y142" s="160"/>
      <c r="Z142" s="160"/>
      <c r="AA142" s="160"/>
      <c r="AB142" s="160"/>
      <c r="AC142" s="160"/>
      <c r="AD142" s="160"/>
      <c r="AE142" s="160"/>
      <c r="AF142" s="160"/>
      <c r="AG142" s="161"/>
      <c r="AH142" s="161"/>
      <c r="AI142" s="161"/>
      <c r="AJ142" s="161"/>
      <c r="AK142" s="160"/>
      <c r="CA142" s="986">
        <v>91</v>
      </c>
      <c r="CB142" s="621" t="s">
        <v>3831</v>
      </c>
      <c r="CC142" s="152" t="e">
        <f>[1]!asajermqmr(CC4,CC5,BE5,AX27,CC7,BN11)</f>
        <v>#VALUE!</v>
      </c>
      <c r="CD142" s="622" t="e">
        <f t="shared" si="491"/>
        <v>#VALUE!</v>
      </c>
      <c r="CE142" s="622" t="e">
        <f t="shared" si="492"/>
        <v>#VALUE!</v>
      </c>
      <c r="CF142" s="622" t="e">
        <f t="shared" si="493"/>
        <v>#VALUE!</v>
      </c>
      <c r="CG142" s="1030" t="e">
        <f t="shared" si="494"/>
        <v>#VALUE!</v>
      </c>
    </row>
    <row r="143" spans="13:85">
      <c r="M143" s="625" t="e">
        <f ca="1">[2]!sn(M142)*[2]!sn(#REF!)/60</f>
        <v>#NAME?</v>
      </c>
      <c r="N143" s="626" t="e">
        <f ca="1">INT(ABS(M143))</f>
        <v>#NAME?</v>
      </c>
      <c r="O143" s="626" t="e">
        <f ca="1">INT((ABS(M143)-N143)*60)</f>
        <v>#NAME?</v>
      </c>
      <c r="P143" s="626" t="e">
        <f ca="1">INT((((ABS(M143)-N143)*60)-O143)*60)</f>
        <v>#NAME?</v>
      </c>
      <c r="Q143" s="626" t="e">
        <f ca="1">INT((((((ABS(M143)-N143)*60)-O143)*60)-P143)*60)</f>
        <v>#NAME?</v>
      </c>
      <c r="R143" s="625"/>
      <c r="S143" s="160"/>
      <c r="T143" s="160"/>
      <c r="U143" s="160"/>
      <c r="V143" s="160"/>
      <c r="W143" s="160"/>
      <c r="X143" s="160"/>
      <c r="Y143" s="160"/>
      <c r="Z143" s="160"/>
      <c r="AA143" s="160"/>
      <c r="AB143" s="160"/>
      <c r="AC143" s="160"/>
      <c r="AD143" s="160"/>
      <c r="AE143" s="160"/>
      <c r="AF143" s="160"/>
      <c r="AG143" s="161"/>
      <c r="AH143" s="161"/>
      <c r="AI143" s="161"/>
      <c r="AJ143" s="161"/>
      <c r="AK143" s="160"/>
      <c r="CA143" s="986">
        <v>92</v>
      </c>
      <c r="CB143" s="152" t="s">
        <v>3840</v>
      </c>
      <c r="CC143" s="152">
        <f>[1]!asabejermk(CC89,AX16)</f>
        <v>5.5923769980975777</v>
      </c>
      <c r="CD143" s="622">
        <f t="shared" si="491"/>
        <v>5</v>
      </c>
      <c r="CE143" s="622">
        <f t="shared" si="492"/>
        <v>35</v>
      </c>
      <c r="CF143" s="622">
        <f t="shared" si="493"/>
        <v>32</v>
      </c>
      <c r="CG143" s="1030">
        <f t="shared" si="494"/>
        <v>33</v>
      </c>
    </row>
    <row r="144" spans="13:85" ht="24" thickBot="1">
      <c r="M144" s="160"/>
      <c r="N144" s="160"/>
      <c r="O144" s="160"/>
      <c r="P144" s="160"/>
      <c r="Q144" s="160"/>
      <c r="R144" s="160"/>
      <c r="S144" s="160"/>
      <c r="T144" s="160"/>
      <c r="U144" s="160"/>
      <c r="V144" s="160"/>
      <c r="W144" s="160"/>
      <c r="X144" s="160"/>
      <c r="Y144" s="160"/>
      <c r="Z144" s="160"/>
      <c r="AA144" s="160"/>
      <c r="AB144" s="160"/>
      <c r="AC144" s="160"/>
      <c r="AD144" s="160"/>
      <c r="AE144" s="160"/>
      <c r="AF144" s="160"/>
      <c r="AG144" s="161"/>
      <c r="AH144" s="161"/>
      <c r="AI144" s="161"/>
      <c r="AJ144" s="161"/>
      <c r="AK144" s="160"/>
      <c r="CA144" s="986"/>
      <c r="CB144" s="656" t="str">
        <f>CB89</f>
        <v>عرض مرئی قمر</v>
      </c>
      <c r="CC144" s="656">
        <f>ABS(CC89)</f>
        <v>0.13256711642204569</v>
      </c>
      <c r="CD144" s="641">
        <f t="shared" si="491"/>
        <v>0</v>
      </c>
      <c r="CE144" s="641">
        <f t="shared" ref="CE144" si="499">INT((ABS(CC144)-CD144)*60)</f>
        <v>7</v>
      </c>
      <c r="CF144" s="641">
        <f t="shared" ref="CF144" si="500">INT((((ABS(CC144)-CD144)*60)-CE144)*60)</f>
        <v>57</v>
      </c>
      <c r="CG144" s="657">
        <f t="shared" ref="CG144" si="501">INT((((((ABS(CC144)-CD144)*60)-CE144)*60)-CF144)*60)</f>
        <v>14</v>
      </c>
    </row>
    <row r="145" spans="13:85">
      <c r="M145" s="671"/>
      <c r="N145" s="646" t="s">
        <v>3</v>
      </c>
      <c r="O145" s="646">
        <v>1254</v>
      </c>
      <c r="P145" s="646" t="s">
        <v>144</v>
      </c>
      <c r="Q145" s="646"/>
      <c r="R145" s="646"/>
      <c r="S145" s="646" t="s">
        <v>963</v>
      </c>
      <c r="T145" s="646"/>
      <c r="U145" s="646"/>
      <c r="V145" s="646"/>
      <c r="W145" s="646"/>
      <c r="X145" s="646"/>
      <c r="Y145" s="646"/>
      <c r="Z145" s="646"/>
      <c r="AA145" s="646"/>
      <c r="AB145" s="646"/>
      <c r="AC145" s="646"/>
      <c r="AD145" s="646"/>
      <c r="AE145" s="646"/>
      <c r="AF145" s="646" t="s">
        <v>3</v>
      </c>
      <c r="AG145" s="646">
        <f>O145</f>
        <v>1254</v>
      </c>
      <c r="AH145" s="646"/>
      <c r="AI145" s="646"/>
      <c r="AJ145" s="646"/>
      <c r="AK145" s="646" t="s">
        <v>963</v>
      </c>
      <c r="AL145" s="646"/>
      <c r="AM145" s="646"/>
      <c r="AN145" s="646"/>
      <c r="AO145" s="672"/>
      <c r="CA145" s="986"/>
      <c r="CB145" s="656" t="s">
        <v>1110</v>
      </c>
      <c r="CC145" s="656">
        <f>CC112</f>
        <v>0.2810161265101519</v>
      </c>
      <c r="CD145" s="656"/>
      <c r="CE145" s="656"/>
      <c r="CF145" s="656"/>
      <c r="CG145" s="661"/>
    </row>
    <row r="146" spans="13:85">
      <c r="M146" s="673"/>
      <c r="N146" s="275" t="s">
        <v>4</v>
      </c>
      <c r="O146" s="275">
        <v>7</v>
      </c>
      <c r="P146" s="275"/>
      <c r="Q146" s="275"/>
      <c r="R146" s="275"/>
      <c r="S146" s="275"/>
      <c r="T146" s="275"/>
      <c r="U146" s="275"/>
      <c r="V146" s="275"/>
      <c r="W146" s="275"/>
      <c r="X146" s="275"/>
      <c r="Y146" s="275"/>
      <c r="Z146" s="275"/>
      <c r="AA146" s="275"/>
      <c r="AB146" s="275"/>
      <c r="AC146" s="275"/>
      <c r="AD146" s="275"/>
      <c r="AE146" s="275" t="e">
        <f ca="1">[2]!wasatq(AG145,AG146,AG147,AG148)</f>
        <v>#NAME?</v>
      </c>
      <c r="AF146" s="275" t="s">
        <v>4</v>
      </c>
      <c r="AG146" s="275">
        <f>O146</f>
        <v>7</v>
      </c>
      <c r="AH146" s="275"/>
      <c r="AI146" s="275"/>
      <c r="AJ146" s="275"/>
      <c r="AK146" s="275"/>
      <c r="AL146" s="275"/>
      <c r="AM146" s="275"/>
      <c r="AN146" s="275"/>
      <c r="AO146" s="674"/>
      <c r="CA146" s="986"/>
      <c r="CB146" s="656" t="s">
        <v>921</v>
      </c>
      <c r="CC146" s="656">
        <f>CC113</f>
        <v>0.26766496604274875</v>
      </c>
      <c r="CD146" s="656"/>
      <c r="CE146" s="656"/>
      <c r="CF146" s="656"/>
      <c r="CG146" s="661"/>
    </row>
    <row r="147" spans="13:85">
      <c r="M147" s="673"/>
      <c r="N147" s="275" t="s">
        <v>5</v>
      </c>
      <c r="O147" s="275">
        <v>15</v>
      </c>
      <c r="P147" s="275"/>
      <c r="Q147" s="275"/>
      <c r="R147" s="275"/>
      <c r="S147" s="275"/>
      <c r="T147" s="275"/>
      <c r="U147" s="275"/>
      <c r="V147" s="275"/>
      <c r="W147" s="275"/>
      <c r="X147" s="275"/>
      <c r="Y147" s="275"/>
      <c r="Z147" s="275"/>
      <c r="AA147" s="275"/>
      <c r="AB147" s="275"/>
      <c r="AC147" s="275"/>
      <c r="AD147" s="275"/>
      <c r="AE147" s="275" t="e">
        <f ca="1">[2]!oujq(AG145,AG146,AG147,AG148)</f>
        <v>#NAME?</v>
      </c>
      <c r="AF147" s="275" t="s">
        <v>5</v>
      </c>
      <c r="AG147" s="275" t="e">
        <f ca="1">O147+(O172/24)</f>
        <v>#NAME?</v>
      </c>
      <c r="AH147" s="275"/>
      <c r="AI147" s="275"/>
      <c r="AJ147" s="275"/>
      <c r="AK147" s="275"/>
      <c r="AL147" s="275"/>
      <c r="AM147" s="275"/>
      <c r="AN147" s="275"/>
      <c r="AO147" s="674"/>
      <c r="CA147" s="986"/>
      <c r="CB147" s="656" t="s">
        <v>938</v>
      </c>
      <c r="CC147" s="656">
        <f>ABS(CC145-CC146)</f>
        <v>1.3351160467403145E-2</v>
      </c>
      <c r="CD147" s="656"/>
      <c r="CE147" s="656"/>
      <c r="CF147" s="656"/>
      <c r="CG147" s="661"/>
    </row>
    <row r="148" spans="13:85">
      <c r="M148" s="673"/>
      <c r="N148" s="275" t="s">
        <v>377</v>
      </c>
      <c r="O148" s="275">
        <v>0</v>
      </c>
      <c r="P148" s="275"/>
      <c r="Q148" s="275"/>
      <c r="R148" s="275"/>
      <c r="S148" s="275">
        <v>1</v>
      </c>
      <c r="T148" s="275"/>
      <c r="U148" s="275"/>
      <c r="V148" s="275"/>
      <c r="W148" s="275"/>
      <c r="X148" s="275"/>
      <c r="Y148" s="275"/>
      <c r="Z148" s="275"/>
      <c r="AA148" s="275">
        <v>2</v>
      </c>
      <c r="AB148" s="275"/>
      <c r="AC148" s="275"/>
      <c r="AD148" s="275"/>
      <c r="AE148" s="275" t="e">
        <f ca="1">[2]!taqm2(AE146,AE147)</f>
        <v>#NAME?</v>
      </c>
      <c r="AF148" s="275" t="s">
        <v>377</v>
      </c>
      <c r="AG148" s="275">
        <f>O148</f>
        <v>0</v>
      </c>
      <c r="AH148" s="275"/>
      <c r="AI148" s="275"/>
      <c r="AJ148" s="275"/>
      <c r="AK148" s="275">
        <v>3</v>
      </c>
      <c r="AL148" s="275"/>
      <c r="AM148" s="275"/>
      <c r="AN148" s="275"/>
      <c r="AO148" s="674"/>
      <c r="CA148" s="986"/>
      <c r="CB148" s="656"/>
      <c r="CC148" s="656" t="str">
        <f>IF(AND(CC145=CC146,CC144=0),"کسوف کلی  بی مکث",IF(AND(CC145&gt;CC146,CC144=0),"کسوف کلی  با مکث",IF(AND(CC145&gt;CC146,CC144=CC147),"کسوف کلی  بی مکث",IF(AND(CC145=CC146,CC144&gt;0),"کسوف جزئی",IF(AND(CC145&gt;CC146,CC144&gt;CC147),"کسوف جزئی",IF(AND(CC145&lt;CC146,CC144=0),"کسوف حلقوی متشابه الثخن",IF(AND(CC145&lt;CC146,CC144&lt;CC147),"کسوف حلقوی غیر متشابه الثخن",IF(AND(CC145&lt;CC146,CC144=CC147),"کسوف جزئی و از جرم شمس متمم نورانی باقی ماند",IF(AND(CC145&lt;CC146,CC144&gt;CC147),"کسوف  جزئی و قطعه منکسف یک طرفی است",1)))))))))</f>
        <v>کسوف جزئی</v>
      </c>
      <c r="CD148" s="656"/>
      <c r="CE148" s="656"/>
      <c r="CF148" s="656"/>
      <c r="CG148" s="661"/>
    </row>
    <row r="149" spans="13:85">
      <c r="M149" s="673"/>
      <c r="N149" s="275"/>
      <c r="O149" s="275"/>
      <c r="P149" s="275"/>
      <c r="Q149" s="275" t="s">
        <v>1045</v>
      </c>
      <c r="R149" s="275"/>
      <c r="S149" s="275" t="s">
        <v>1021</v>
      </c>
      <c r="T149" s="275"/>
      <c r="U149" s="275"/>
      <c r="V149" s="275"/>
      <c r="W149" s="275"/>
      <c r="X149" s="275"/>
      <c r="Y149" s="275"/>
      <c r="Z149" s="275"/>
      <c r="AA149" s="275" t="s">
        <v>973</v>
      </c>
      <c r="AB149" s="275"/>
      <c r="AC149" s="275"/>
      <c r="AD149" s="275"/>
      <c r="AE149" s="275"/>
      <c r="AF149" s="275"/>
      <c r="AG149" s="275" t="e">
        <f ca="1">AE148</f>
        <v>#NAME?</v>
      </c>
      <c r="AH149" s="648" t="e">
        <f ca="1">INT(ABS(AG149))</f>
        <v>#NAME?</v>
      </c>
      <c r="AI149" s="648" t="e">
        <f t="shared" ref="AI149:AI182" ca="1" si="502">INT((ABS(AG149)-AH149)*60)</f>
        <v>#NAME?</v>
      </c>
      <c r="AJ149" s="648" t="e">
        <f t="shared" ref="AJ149:AJ182" ca="1" si="503">INT((((ABS(AG149)-AH149)*60)-AI149)*60)</f>
        <v>#NAME?</v>
      </c>
      <c r="AK149" s="648" t="e">
        <f t="shared" ref="AK149:AK182" ca="1" si="504">INT((((((ABS(AG149)-AH149)*60)-AI149)*60)-AJ149)*60)</f>
        <v>#NAME?</v>
      </c>
      <c r="AL149" s="275"/>
      <c r="AM149" s="275"/>
      <c r="AN149" s="275"/>
      <c r="AO149" s="674"/>
    </row>
    <row r="150" spans="13:85">
      <c r="M150" s="673">
        <v>1</v>
      </c>
      <c r="N150" s="275" t="s">
        <v>884</v>
      </c>
      <c r="O150" s="275" t="e">
        <f ca="1">[2]!taqsh(O145,O146,O147,O148)</f>
        <v>#NAME?</v>
      </c>
      <c r="P150" s="648" t="e">
        <f t="shared" ref="P150:P162" ca="1" si="505">INT(ABS(O150))</f>
        <v>#NAME?</v>
      </c>
      <c r="Q150" s="648" t="e">
        <f t="shared" ref="Q150:Q162" ca="1" si="506">INT((ABS(O150)-P150)*60)</f>
        <v>#NAME?</v>
      </c>
      <c r="R150" s="648" t="e">
        <f t="shared" ref="R150:R162" ca="1" si="507">INT((((ABS(O150)-P150)*60)-Q150)*60)</f>
        <v>#NAME?</v>
      </c>
      <c r="S150" s="648" t="e">
        <f t="shared" ref="S150:S162" ca="1" si="508">INT((((((ABS(O150)-P150)*60)-Q150)*60)-R150)*60)</f>
        <v>#NAME?</v>
      </c>
      <c r="T150" s="275"/>
      <c r="U150" s="275"/>
      <c r="V150" s="275"/>
      <c r="W150" s="275" t="s">
        <v>175</v>
      </c>
      <c r="X150" s="275">
        <v>0</v>
      </c>
      <c r="Y150" s="648">
        <f>INT(ABS(X150))</f>
        <v>0</v>
      </c>
      <c r="Z150" s="648">
        <f>INT((ABS(X150)-Y150)*60)</f>
        <v>0</v>
      </c>
      <c r="AA150" s="648">
        <f>INT((((ABS(X150)-Y150)*60)-Z150)*60)</f>
        <v>0</v>
      </c>
      <c r="AB150" s="275"/>
      <c r="AC150" s="275"/>
      <c r="AD150" s="275"/>
      <c r="AE150" s="275">
        <v>1</v>
      </c>
      <c r="AF150" s="275" t="s">
        <v>896</v>
      </c>
      <c r="AG150" s="275" t="e">
        <f ca="1">[2]!taqsh(AG145,AG146,AG147,AG148)</f>
        <v>#NAME?</v>
      </c>
      <c r="AH150" s="648" t="e">
        <f ca="1">INT(ABS(AG150))</f>
        <v>#NAME?</v>
      </c>
      <c r="AI150" s="648" t="e">
        <f t="shared" ca="1" si="502"/>
        <v>#NAME?</v>
      </c>
      <c r="AJ150" s="648" t="e">
        <f t="shared" ca="1" si="503"/>
        <v>#NAME?</v>
      </c>
      <c r="AK150" s="648" t="e">
        <f t="shared" ca="1" si="504"/>
        <v>#NAME?</v>
      </c>
      <c r="AL150" s="275"/>
      <c r="AM150" s="275"/>
      <c r="AN150" s="275"/>
      <c r="AO150" s="674"/>
    </row>
    <row r="151" spans="13:85">
      <c r="M151" s="673">
        <v>2</v>
      </c>
      <c r="N151" s="275" t="s">
        <v>808</v>
      </c>
      <c r="O151" s="275" t="e">
        <f ca="1">[2]!taqsh(O145,O146,O147+1,O148)</f>
        <v>#NAME?</v>
      </c>
      <c r="P151" s="648" t="e">
        <f t="shared" ca="1" si="505"/>
        <v>#NAME?</v>
      </c>
      <c r="Q151" s="648" t="e">
        <f t="shared" ca="1" si="506"/>
        <v>#NAME?</v>
      </c>
      <c r="R151" s="648" t="e">
        <f t="shared" ca="1" si="507"/>
        <v>#NAME?</v>
      </c>
      <c r="S151" s="648" t="e">
        <f t="shared" ca="1" si="508"/>
        <v>#NAME?</v>
      </c>
      <c r="T151" s="275"/>
      <c r="U151" s="275"/>
      <c r="V151" s="275"/>
      <c r="W151" s="275" t="s">
        <v>966</v>
      </c>
      <c r="X151" s="275" t="e">
        <f ca="1">O168</f>
        <v>#NAME?</v>
      </c>
      <c r="Y151" s="648" t="e">
        <f ca="1">INT(ABS(X151))</f>
        <v>#NAME?</v>
      </c>
      <c r="Z151" s="648" t="e">
        <f ca="1">INT((ABS(X151)-Y151)*60)</f>
        <v>#NAME?</v>
      </c>
      <c r="AA151" s="648" t="e">
        <f ca="1">INT((((ABS(X151)-Y151)*60)-Z151)*60)</f>
        <v>#NAME?</v>
      </c>
      <c r="AB151" s="275"/>
      <c r="AC151" s="275"/>
      <c r="AD151" s="275"/>
      <c r="AE151" s="275">
        <v>2</v>
      </c>
      <c r="AF151" s="275" t="s">
        <v>698</v>
      </c>
      <c r="AG151" s="275" t="e">
        <f ca="1">[2]!taqq(AG145,AG146,AG147,AG148)</f>
        <v>#NAME?</v>
      </c>
      <c r="AH151" s="648" t="e">
        <f ca="1">INT(ABS(AG151))</f>
        <v>#NAME?</v>
      </c>
      <c r="AI151" s="648" t="e">
        <f t="shared" ca="1" si="502"/>
        <v>#NAME?</v>
      </c>
      <c r="AJ151" s="648" t="e">
        <f t="shared" ca="1" si="503"/>
        <v>#NAME?</v>
      </c>
      <c r="AK151" s="648" t="e">
        <f t="shared" ca="1" si="504"/>
        <v>#NAME?</v>
      </c>
      <c r="AL151" s="275"/>
      <c r="AM151" s="275"/>
      <c r="AN151" s="275"/>
      <c r="AO151" s="674"/>
    </row>
    <row r="152" spans="13:85">
      <c r="M152" s="673">
        <v>3</v>
      </c>
      <c r="N152" s="275" t="s">
        <v>885</v>
      </c>
      <c r="O152" s="275" t="e">
        <f ca="1">O151-O150</f>
        <v>#NAME?</v>
      </c>
      <c r="P152" s="648" t="e">
        <f t="shared" ca="1" si="505"/>
        <v>#NAME?</v>
      </c>
      <c r="Q152" s="648" t="e">
        <f t="shared" ca="1" si="506"/>
        <v>#NAME?</v>
      </c>
      <c r="R152" s="648" t="e">
        <f t="shared" ca="1" si="507"/>
        <v>#NAME?</v>
      </c>
      <c r="S152" s="648" t="e">
        <f t="shared" ca="1" si="508"/>
        <v>#NAME?</v>
      </c>
      <c r="T152" s="275"/>
      <c r="U152" s="275"/>
      <c r="V152" s="275"/>
      <c r="W152" s="275" t="s">
        <v>177</v>
      </c>
      <c r="X152" s="648">
        <f>((((AA152)/60)+Z152)/60)+Y152</f>
        <v>35.799999999999997</v>
      </c>
      <c r="Y152" s="275">
        <v>35</v>
      </c>
      <c r="Z152" s="275">
        <v>48</v>
      </c>
      <c r="AA152" s="275"/>
      <c r="AB152" s="275"/>
      <c r="AC152" s="275"/>
      <c r="AD152" s="275"/>
      <c r="AE152" s="275">
        <v>3</v>
      </c>
      <c r="AF152" s="275" t="s">
        <v>443</v>
      </c>
      <c r="AG152" s="275" t="e">
        <f ca="1">[2]!hesseh(AG145,AG146,AG147,AG148)</f>
        <v>#NAME?</v>
      </c>
      <c r="AH152" s="648" t="e">
        <f ca="1">INT(ABS(AG152))</f>
        <v>#NAME?</v>
      </c>
      <c r="AI152" s="648" t="e">
        <f t="shared" ca="1" si="502"/>
        <v>#NAME?</v>
      </c>
      <c r="AJ152" s="648" t="e">
        <f t="shared" ca="1" si="503"/>
        <v>#NAME?</v>
      </c>
      <c r="AK152" s="648" t="e">
        <f t="shared" ca="1" si="504"/>
        <v>#NAME?</v>
      </c>
      <c r="AL152" s="275"/>
      <c r="AM152" s="275"/>
      <c r="AN152" s="275"/>
      <c r="AO152" s="674"/>
    </row>
    <row r="153" spans="13:85">
      <c r="M153" s="673">
        <v>4</v>
      </c>
      <c r="N153" s="275" t="s">
        <v>886</v>
      </c>
      <c r="O153" s="275" t="e">
        <f ca="1">[2]!taqq(O145,O146,O147,O148)</f>
        <v>#NAME?</v>
      </c>
      <c r="P153" s="648" t="e">
        <f t="shared" ca="1" si="505"/>
        <v>#NAME?</v>
      </c>
      <c r="Q153" s="648" t="e">
        <f t="shared" ca="1" si="506"/>
        <v>#NAME?</v>
      </c>
      <c r="R153" s="648" t="e">
        <f t="shared" ca="1" si="507"/>
        <v>#NAME?</v>
      </c>
      <c r="S153" s="648" t="e">
        <f t="shared" ca="1" si="508"/>
        <v>#NAME?</v>
      </c>
      <c r="T153" s="275"/>
      <c r="U153" s="275"/>
      <c r="V153" s="275"/>
      <c r="W153" s="275" t="s">
        <v>426</v>
      </c>
      <c r="X153" s="275" t="e">
        <f ca="1">[2]!dtl(X150,X151,X152)</f>
        <v>#NAME?</v>
      </c>
      <c r="Y153" s="648" t="e">
        <f t="shared" ref="Y153:Y158" ca="1" si="509">INT(ABS(X153))</f>
        <v>#NAME?</v>
      </c>
      <c r="Z153" s="648" t="e">
        <f t="shared" ref="Z153:Z158" ca="1" si="510">INT((ABS(X153)-Y153)*60)</f>
        <v>#NAME?</v>
      </c>
      <c r="AA153" s="648" t="e">
        <f t="shared" ref="AA153:AA158" ca="1" si="511">INT((((ABS(X153)-Y153)*60)-Z153)*60)</f>
        <v>#NAME?</v>
      </c>
      <c r="AB153" s="275"/>
      <c r="AC153" s="275"/>
      <c r="AD153" s="275"/>
      <c r="AE153" s="275">
        <v>4</v>
      </c>
      <c r="AF153" s="275" t="s">
        <v>962</v>
      </c>
      <c r="AG153" s="275" t="e">
        <f ca="1">[2]!arzqmr(AG152)</f>
        <v>#NAME?</v>
      </c>
      <c r="AH153" s="648">
        <v>0</v>
      </c>
      <c r="AI153" s="648" t="e">
        <f t="shared" ca="1" si="502"/>
        <v>#NAME?</v>
      </c>
      <c r="AJ153" s="648" t="e">
        <f t="shared" ca="1" si="503"/>
        <v>#NAME?</v>
      </c>
      <c r="AK153" s="648" t="e">
        <f t="shared" ca="1" si="504"/>
        <v>#NAME?</v>
      </c>
      <c r="AL153" s="275"/>
      <c r="AM153" s="275"/>
      <c r="AN153" s="648"/>
      <c r="AO153" s="649"/>
    </row>
    <row r="154" spans="13:85">
      <c r="M154" s="673">
        <v>5</v>
      </c>
      <c r="N154" s="275" t="s">
        <v>811</v>
      </c>
      <c r="O154" s="275" t="e">
        <f ca="1">[2]!taqq(O145,O146,O147+1,O148)</f>
        <v>#NAME?</v>
      </c>
      <c r="P154" s="648" t="e">
        <f t="shared" ca="1" si="505"/>
        <v>#NAME?</v>
      </c>
      <c r="Q154" s="648" t="e">
        <f t="shared" ca="1" si="506"/>
        <v>#NAME?</v>
      </c>
      <c r="R154" s="648" t="e">
        <f t="shared" ca="1" si="507"/>
        <v>#NAME?</v>
      </c>
      <c r="S154" s="648" t="e">
        <f t="shared" ca="1" si="508"/>
        <v>#NAME?</v>
      </c>
      <c r="T154" s="275"/>
      <c r="U154" s="275"/>
      <c r="V154" s="275"/>
      <c r="W154" s="275" t="s">
        <v>394</v>
      </c>
      <c r="X154" s="275" t="e">
        <f ca="1">[2]!tadna(X152,X153)</f>
        <v>#NAME?</v>
      </c>
      <c r="Y154" s="648" t="e">
        <f t="shared" ca="1" si="509"/>
        <v>#NAME?</v>
      </c>
      <c r="Z154" s="648" t="e">
        <f t="shared" ca="1" si="510"/>
        <v>#NAME?</v>
      </c>
      <c r="AA154" s="648" t="e">
        <f t="shared" ca="1" si="511"/>
        <v>#NAME?</v>
      </c>
      <c r="AB154" s="275"/>
      <c r="AC154" s="275"/>
      <c r="AD154" s="275"/>
      <c r="AE154" s="275">
        <v>5</v>
      </c>
      <c r="AF154" s="275" t="s">
        <v>897</v>
      </c>
      <c r="AG154" s="275" t="e">
        <f ca="1">[2]!aazam(AG152)</f>
        <v>#NAME?</v>
      </c>
      <c r="AH154" s="648" t="e">
        <f t="shared" ref="AH154:AH182" ca="1" si="512">INT(ABS(AG154))</f>
        <v>#NAME?</v>
      </c>
      <c r="AI154" s="648" t="e">
        <f t="shared" ca="1" si="502"/>
        <v>#NAME?</v>
      </c>
      <c r="AJ154" s="648" t="e">
        <f t="shared" ca="1" si="503"/>
        <v>#NAME?</v>
      </c>
      <c r="AK154" s="648" t="e">
        <f t="shared" ca="1" si="504"/>
        <v>#NAME?</v>
      </c>
      <c r="AL154" s="275"/>
      <c r="AM154" s="275"/>
      <c r="AN154" s="275"/>
      <c r="AO154" s="674"/>
    </row>
    <row r="155" spans="13:85">
      <c r="M155" s="673">
        <v>6</v>
      </c>
      <c r="N155" s="275" t="s">
        <v>812</v>
      </c>
      <c r="O155" s="275" t="e">
        <f ca="1">[2]!bohtq(O145,O146,O147,O148)</f>
        <v>#NAME?</v>
      </c>
      <c r="P155" s="648" t="e">
        <f t="shared" ca="1" si="505"/>
        <v>#NAME?</v>
      </c>
      <c r="Q155" s="648" t="e">
        <f t="shared" ca="1" si="506"/>
        <v>#NAME?</v>
      </c>
      <c r="R155" s="648" t="e">
        <f t="shared" ca="1" si="507"/>
        <v>#NAME?</v>
      </c>
      <c r="S155" s="648" t="e">
        <f t="shared" ca="1" si="508"/>
        <v>#NAME?</v>
      </c>
      <c r="T155" s="275"/>
      <c r="U155" s="275"/>
      <c r="V155" s="275"/>
      <c r="W155" s="275" t="s">
        <v>967</v>
      </c>
      <c r="X155" s="275" t="e">
        <f ca="1">X154/15</f>
        <v>#NAME?</v>
      </c>
      <c r="Y155" s="648" t="e">
        <f t="shared" ca="1" si="509"/>
        <v>#NAME?</v>
      </c>
      <c r="Z155" s="648" t="e">
        <f t="shared" ca="1" si="510"/>
        <v>#NAME?</v>
      </c>
      <c r="AA155" s="648" t="e">
        <f t="shared" ca="1" si="511"/>
        <v>#NAME?</v>
      </c>
      <c r="AB155" s="275"/>
      <c r="AC155" s="275"/>
      <c r="AD155" s="275"/>
      <c r="AE155" s="275">
        <v>6</v>
      </c>
      <c r="AF155" s="275" t="s">
        <v>898</v>
      </c>
      <c r="AG155" s="275" t="e">
        <f ca="1">[2]!bohtsh(AG145,AG146,AG147,AG148)/24</f>
        <v>#NAME?</v>
      </c>
      <c r="AH155" s="648" t="e">
        <f t="shared" ca="1" si="512"/>
        <v>#NAME?</v>
      </c>
      <c r="AI155" s="648" t="e">
        <f t="shared" ca="1" si="502"/>
        <v>#NAME?</v>
      </c>
      <c r="AJ155" s="648" t="e">
        <f t="shared" ca="1" si="503"/>
        <v>#NAME?</v>
      </c>
      <c r="AK155" s="648" t="e">
        <f t="shared" ca="1" si="504"/>
        <v>#NAME?</v>
      </c>
      <c r="AL155" s="275"/>
      <c r="AM155" s="275"/>
      <c r="AN155" s="275"/>
      <c r="AO155" s="674"/>
    </row>
    <row r="156" spans="13:85">
      <c r="M156" s="673">
        <v>7</v>
      </c>
      <c r="N156" s="275" t="s">
        <v>814</v>
      </c>
      <c r="O156" s="275" t="e">
        <f ca="1">O155-O152</f>
        <v>#NAME?</v>
      </c>
      <c r="P156" s="648" t="e">
        <f t="shared" ca="1" si="505"/>
        <v>#NAME?</v>
      </c>
      <c r="Q156" s="648" t="e">
        <f t="shared" ca="1" si="506"/>
        <v>#NAME?</v>
      </c>
      <c r="R156" s="648" t="e">
        <f t="shared" ca="1" si="507"/>
        <v>#NAME?</v>
      </c>
      <c r="S156" s="648" t="e">
        <f t="shared" ca="1" si="508"/>
        <v>#NAME?</v>
      </c>
      <c r="T156" s="275"/>
      <c r="U156" s="275"/>
      <c r="V156" s="275"/>
      <c r="W156" s="275" t="s">
        <v>971</v>
      </c>
      <c r="X156" s="275" t="e">
        <f ca="1">6+X155</f>
        <v>#NAME?</v>
      </c>
      <c r="Y156" s="648" t="e">
        <f t="shared" ca="1" si="509"/>
        <v>#NAME?</v>
      </c>
      <c r="Z156" s="648" t="e">
        <f t="shared" ca="1" si="510"/>
        <v>#NAME?</v>
      </c>
      <c r="AA156" s="648" t="e">
        <f t="shared" ca="1" si="511"/>
        <v>#NAME?</v>
      </c>
      <c r="AB156" s="275"/>
      <c r="AC156" s="275"/>
      <c r="AD156" s="275"/>
      <c r="AE156" s="275">
        <v>7</v>
      </c>
      <c r="AF156" s="275" t="s">
        <v>899</v>
      </c>
      <c r="AG156" s="275" t="e">
        <f ca="1">[2]!bohtq(AG145,AG146,AG147,AG148)/24</f>
        <v>#NAME?</v>
      </c>
      <c r="AH156" s="648" t="e">
        <f t="shared" ca="1" si="512"/>
        <v>#NAME?</v>
      </c>
      <c r="AI156" s="648" t="e">
        <f t="shared" ca="1" si="502"/>
        <v>#NAME?</v>
      </c>
      <c r="AJ156" s="648" t="e">
        <f t="shared" ca="1" si="503"/>
        <v>#NAME?</v>
      </c>
      <c r="AK156" s="648" t="e">
        <f t="shared" ca="1" si="504"/>
        <v>#NAME?</v>
      </c>
      <c r="AL156" s="275"/>
      <c r="AM156" s="275"/>
      <c r="AN156" s="275"/>
      <c r="AO156" s="674"/>
    </row>
    <row r="157" spans="13:85">
      <c r="M157" s="673">
        <v>8</v>
      </c>
      <c r="N157" s="275" t="s">
        <v>250</v>
      </c>
      <c r="O157" s="275" t="e">
        <f ca="1">ABS(O153-O150)</f>
        <v>#NAME?</v>
      </c>
      <c r="P157" s="648" t="e">
        <f t="shared" ca="1" si="505"/>
        <v>#NAME?</v>
      </c>
      <c r="Q157" s="648" t="e">
        <f t="shared" ca="1" si="506"/>
        <v>#NAME?</v>
      </c>
      <c r="R157" s="648" t="e">
        <f t="shared" ca="1" si="507"/>
        <v>#NAME?</v>
      </c>
      <c r="S157" s="648" t="e">
        <f t="shared" ca="1" si="508"/>
        <v>#NAME?</v>
      </c>
      <c r="T157" s="275"/>
      <c r="U157" s="275"/>
      <c r="V157" s="275"/>
      <c r="W157" s="275" t="s">
        <v>972</v>
      </c>
      <c r="X157" s="275" t="e">
        <f ca="1">18-X155</f>
        <v>#NAME?</v>
      </c>
      <c r="Y157" s="648" t="e">
        <f t="shared" ca="1" si="509"/>
        <v>#NAME?</v>
      </c>
      <c r="Z157" s="648" t="e">
        <f t="shared" ca="1" si="510"/>
        <v>#NAME?</v>
      </c>
      <c r="AA157" s="648" t="e">
        <f t="shared" ca="1" si="511"/>
        <v>#NAME?</v>
      </c>
      <c r="AB157" s="275"/>
      <c r="AC157" s="275"/>
      <c r="AD157" s="275"/>
      <c r="AE157" s="275">
        <v>8</v>
      </c>
      <c r="AF157" s="275" t="s">
        <v>900</v>
      </c>
      <c r="AG157" s="648" t="e">
        <f ca="1">[2]!zav2(AG156,AG155)</f>
        <v>#NAME?</v>
      </c>
      <c r="AH157" s="648" t="e">
        <f t="shared" ca="1" si="512"/>
        <v>#NAME?</v>
      </c>
      <c r="AI157" s="648" t="e">
        <f t="shared" ca="1" si="502"/>
        <v>#NAME?</v>
      </c>
      <c r="AJ157" s="648" t="e">
        <f t="shared" ca="1" si="503"/>
        <v>#NAME?</v>
      </c>
      <c r="AK157" s="648" t="e">
        <f t="shared" ca="1" si="504"/>
        <v>#NAME?</v>
      </c>
      <c r="AL157" s="275"/>
      <c r="AM157" s="275"/>
      <c r="AN157" s="648"/>
      <c r="AO157" s="649"/>
    </row>
    <row r="158" spans="13:85">
      <c r="M158" s="673">
        <v>9</v>
      </c>
      <c r="N158" s="275"/>
      <c r="O158" s="275" t="e">
        <f ca="1">O157-180</f>
        <v>#NAME?</v>
      </c>
      <c r="P158" s="648" t="e">
        <f t="shared" ca="1" si="505"/>
        <v>#NAME?</v>
      </c>
      <c r="Q158" s="648" t="e">
        <f t="shared" ca="1" si="506"/>
        <v>#NAME?</v>
      </c>
      <c r="R158" s="648" t="e">
        <f t="shared" ca="1" si="507"/>
        <v>#NAME?</v>
      </c>
      <c r="S158" s="648" t="e">
        <f t="shared" ca="1" si="508"/>
        <v>#NAME?</v>
      </c>
      <c r="T158" s="275"/>
      <c r="U158" s="275"/>
      <c r="V158" s="275"/>
      <c r="W158" s="275" t="s">
        <v>970</v>
      </c>
      <c r="X158" s="275" t="e">
        <f ca="1">IF((O172+12)&lt;24,O172+12,O172+12-24)</f>
        <v>#NAME?</v>
      </c>
      <c r="Y158" s="648" t="e">
        <f t="shared" ca="1" si="509"/>
        <v>#NAME?</v>
      </c>
      <c r="Z158" s="648" t="e">
        <f t="shared" ca="1" si="510"/>
        <v>#NAME?</v>
      </c>
      <c r="AA158" s="648" t="e">
        <f t="shared" ca="1" si="511"/>
        <v>#NAME?</v>
      </c>
      <c r="AB158" s="275"/>
      <c r="AC158" s="275"/>
      <c r="AD158" s="275"/>
      <c r="AE158" s="275">
        <v>9</v>
      </c>
      <c r="AF158" s="275" t="s">
        <v>901</v>
      </c>
      <c r="AG158" s="275" t="e">
        <f ca="1">[2]!mtash(AG145,AG146,AG147,AG148)</f>
        <v>#NAME?</v>
      </c>
      <c r="AH158" s="648" t="e">
        <f t="shared" ca="1" si="512"/>
        <v>#NAME?</v>
      </c>
      <c r="AI158" s="648" t="e">
        <f t="shared" ca="1" si="502"/>
        <v>#NAME?</v>
      </c>
      <c r="AJ158" s="648" t="e">
        <f t="shared" ca="1" si="503"/>
        <v>#NAME?</v>
      </c>
      <c r="AK158" s="648" t="e">
        <f t="shared" ca="1" si="504"/>
        <v>#NAME?</v>
      </c>
      <c r="AL158" s="275"/>
      <c r="AM158" s="275"/>
      <c r="AN158" s="275"/>
      <c r="AO158" s="674"/>
    </row>
    <row r="159" spans="13:85">
      <c r="M159" s="673">
        <v>10</v>
      </c>
      <c r="N159" s="275" t="s">
        <v>893</v>
      </c>
      <c r="O159" s="275" t="e">
        <f ca="1">ABS(O158)*24/O156</f>
        <v>#NAME?</v>
      </c>
      <c r="P159" s="648" t="e">
        <f t="shared" ca="1" si="505"/>
        <v>#NAME?</v>
      </c>
      <c r="Q159" s="648" t="e">
        <f t="shared" ca="1" si="506"/>
        <v>#NAME?</v>
      </c>
      <c r="R159" s="648" t="e">
        <f t="shared" ca="1" si="507"/>
        <v>#NAME?</v>
      </c>
      <c r="S159" s="648" t="e">
        <f t="shared" ca="1" si="508"/>
        <v>#NAME?</v>
      </c>
      <c r="T159" s="275"/>
      <c r="U159" s="275"/>
      <c r="V159" s="275"/>
      <c r="W159" s="275"/>
      <c r="X159" s="275">
        <v>2.0666666669999998</v>
      </c>
      <c r="Y159" s="648">
        <f t="shared" ref="Y159" si="513">INT(ABS(X159))</f>
        <v>2</v>
      </c>
      <c r="Z159" s="648">
        <f t="shared" ref="Z159" si="514">INT((ABS(X159)-Y159)*60)</f>
        <v>4</v>
      </c>
      <c r="AA159" s="648">
        <f t="shared" ref="AA159" si="515">INT((((ABS(X159)-Y159)*60)-Z159)*60)</f>
        <v>0</v>
      </c>
      <c r="AB159" s="275"/>
      <c r="AC159" s="275"/>
      <c r="AD159" s="275"/>
      <c r="AE159" s="275">
        <v>10</v>
      </c>
      <c r="AF159" s="275" t="s">
        <v>902</v>
      </c>
      <c r="AG159" s="275" t="e">
        <f ca="1">[2]!qtr(AG158)</f>
        <v>#NAME?</v>
      </c>
      <c r="AH159" s="648" t="e">
        <f t="shared" ca="1" si="512"/>
        <v>#NAME?</v>
      </c>
      <c r="AI159" s="648" t="e">
        <f t="shared" ca="1" si="502"/>
        <v>#NAME?</v>
      </c>
      <c r="AJ159" s="648" t="e">
        <f t="shared" ca="1" si="503"/>
        <v>#NAME?</v>
      </c>
      <c r="AK159" s="648" t="e">
        <f t="shared" ca="1" si="504"/>
        <v>#NAME?</v>
      </c>
      <c r="AL159" s="275"/>
      <c r="AM159" s="275"/>
      <c r="AN159" s="275"/>
      <c r="AO159" s="674"/>
    </row>
    <row r="160" spans="13:85">
      <c r="M160" s="673">
        <v>11</v>
      </c>
      <c r="N160" s="275" t="s">
        <v>894</v>
      </c>
      <c r="O160" s="275" t="e">
        <f ca="1">[2]!taqsh(O145,O146,O147+(O159/24),O148)</f>
        <v>#NAME?</v>
      </c>
      <c r="P160" s="648" t="e">
        <f t="shared" ca="1" si="505"/>
        <v>#NAME?</v>
      </c>
      <c r="Q160" s="648" t="e">
        <f t="shared" ca="1" si="506"/>
        <v>#NAME?</v>
      </c>
      <c r="R160" s="648" t="e">
        <f t="shared" ca="1" si="507"/>
        <v>#NAME?</v>
      </c>
      <c r="S160" s="648" t="e">
        <f t="shared" ca="1" si="508"/>
        <v>#NAME?</v>
      </c>
      <c r="T160" s="275"/>
      <c r="U160" s="275"/>
      <c r="V160" s="275"/>
      <c r="W160" s="275"/>
      <c r="X160" s="275" t="e">
        <f ca="1">X156+X159</f>
        <v>#NAME?</v>
      </c>
      <c r="Y160" s="648" t="e">
        <f ca="1">INT(ABS(X160))</f>
        <v>#NAME?</v>
      </c>
      <c r="Z160" s="648" t="e">
        <f ca="1">INT((ABS(X160)-Y160)*60)</f>
        <v>#NAME?</v>
      </c>
      <c r="AA160" s="648" t="e">
        <f ca="1">INT((((ABS(X160)-Y160)*60)-Z160)*60)</f>
        <v>#NAME?</v>
      </c>
      <c r="AB160" s="275"/>
      <c r="AC160" s="275"/>
      <c r="AD160" s="275"/>
      <c r="AE160" s="275">
        <v>11</v>
      </c>
      <c r="AF160" s="275" t="s">
        <v>903</v>
      </c>
      <c r="AG160" s="275" t="e">
        <f ca="1">[2]!markaz3(AG145,AG146,AG147,AG148)</f>
        <v>#NAME?</v>
      </c>
      <c r="AH160" s="648" t="e">
        <f t="shared" ca="1" si="512"/>
        <v>#NAME?</v>
      </c>
      <c r="AI160" s="648" t="e">
        <f t="shared" ca="1" si="502"/>
        <v>#NAME?</v>
      </c>
      <c r="AJ160" s="648" t="e">
        <f t="shared" ca="1" si="503"/>
        <v>#NAME?</v>
      </c>
      <c r="AK160" s="648" t="e">
        <f t="shared" ca="1" si="504"/>
        <v>#NAME?</v>
      </c>
      <c r="AL160" s="275"/>
      <c r="AM160" s="275"/>
      <c r="AN160" s="275"/>
      <c r="AO160" s="674"/>
    </row>
    <row r="161" spans="13:41">
      <c r="M161" s="673">
        <v>12</v>
      </c>
      <c r="N161" s="275" t="s">
        <v>895</v>
      </c>
      <c r="O161" s="275" t="e">
        <f ca="1">[2]!taqq(O145,O146,O147+(O159/24),O148)</f>
        <v>#NAME?</v>
      </c>
      <c r="P161" s="648" t="e">
        <f t="shared" ca="1" si="505"/>
        <v>#NAME?</v>
      </c>
      <c r="Q161" s="648" t="e">
        <f t="shared" ca="1" si="506"/>
        <v>#NAME?</v>
      </c>
      <c r="R161" s="648" t="e">
        <f t="shared" ca="1" si="507"/>
        <v>#NAME?</v>
      </c>
      <c r="S161" s="648" t="e">
        <f t="shared" ca="1" si="508"/>
        <v>#NAME?</v>
      </c>
      <c r="T161" s="275"/>
      <c r="U161" s="275"/>
      <c r="V161" s="275"/>
      <c r="W161" s="275"/>
      <c r="X161" s="275" t="e">
        <f ca="1">X157-X159</f>
        <v>#NAME?</v>
      </c>
      <c r="Y161" s="648" t="e">
        <f ca="1">INT(ABS(X161))</f>
        <v>#NAME?</v>
      </c>
      <c r="Z161" s="648" t="e">
        <f ca="1">INT((ABS(X161)-Y161)*60)</f>
        <v>#NAME?</v>
      </c>
      <c r="AA161" s="648" t="e">
        <f ca="1">INT((((ABS(X161)-Y161)*60)-Z161)*60)</f>
        <v>#NAME?</v>
      </c>
      <c r="AB161" s="275"/>
      <c r="AC161" s="275"/>
      <c r="AD161" s="275"/>
      <c r="AE161" s="275">
        <v>12</v>
      </c>
      <c r="AF161" s="275" t="s">
        <v>850</v>
      </c>
      <c r="AG161" s="275" t="e">
        <f ca="1">[2]!qotrqmr([2]!bohtq(AG145,AG146,AG147,AG148)/24)</f>
        <v>#NAME?</v>
      </c>
      <c r="AH161" s="648" t="e">
        <f t="shared" ca="1" si="512"/>
        <v>#NAME?</v>
      </c>
      <c r="AI161" s="648" t="e">
        <f t="shared" ca="1" si="502"/>
        <v>#NAME?</v>
      </c>
      <c r="AJ161" s="648" t="e">
        <f t="shared" ca="1" si="503"/>
        <v>#NAME?</v>
      </c>
      <c r="AK161" s="648" t="e">
        <f t="shared" ca="1" si="504"/>
        <v>#NAME?</v>
      </c>
      <c r="AL161" s="275"/>
      <c r="AM161" s="275" t="s">
        <v>974</v>
      </c>
      <c r="AN161" s="275" t="e">
        <f ca="1">AG161/2</f>
        <v>#NAME?</v>
      </c>
      <c r="AO161" s="674"/>
    </row>
    <row r="162" spans="13:41">
      <c r="M162" s="673">
        <v>13</v>
      </c>
      <c r="N162" s="275" t="s">
        <v>839</v>
      </c>
      <c r="O162" s="275" t="e">
        <f ca="1">ABS(IF(O160&gt;O161,180-(O160-O161),(O160+360-O161)-180))</f>
        <v>#NAME?</v>
      </c>
      <c r="P162" s="648" t="e">
        <f t="shared" ca="1" si="505"/>
        <v>#NAME?</v>
      </c>
      <c r="Q162" s="648" t="e">
        <f t="shared" ca="1" si="506"/>
        <v>#NAME?</v>
      </c>
      <c r="R162" s="648" t="e">
        <f t="shared" ca="1" si="507"/>
        <v>#NAME?</v>
      </c>
      <c r="S162" s="648" t="e">
        <f t="shared" ca="1" si="508"/>
        <v>#NAME?</v>
      </c>
      <c r="T162" s="275"/>
      <c r="U162" s="275"/>
      <c r="V162" s="275"/>
      <c r="W162" s="275"/>
      <c r="X162" s="275" t="e">
        <f ca="1">IF((O172+12)&lt;24,O172+12,O172+12-24)</f>
        <v>#NAME?</v>
      </c>
      <c r="Y162" s="648" t="e">
        <f ca="1">INT(ABS(X162))</f>
        <v>#NAME?</v>
      </c>
      <c r="Z162" s="648" t="e">
        <f ca="1">INT((ABS(X162)-Y162)*60)</f>
        <v>#NAME?</v>
      </c>
      <c r="AA162" s="648" t="e">
        <f ca="1">INT((((ABS(X162)-Y162)*60)-Z162)*60)</f>
        <v>#NAME?</v>
      </c>
      <c r="AB162" s="275"/>
      <c r="AC162" s="275"/>
      <c r="AD162" s="275"/>
      <c r="AE162" s="275"/>
      <c r="AF162" s="275" t="s">
        <v>914</v>
      </c>
      <c r="AG162" s="275" t="e">
        <f ca="1">[2]!boadq(AG161)</f>
        <v>#NAME?</v>
      </c>
      <c r="AH162" s="648" t="e">
        <f t="shared" ca="1" si="512"/>
        <v>#NAME?</v>
      </c>
      <c r="AI162" s="648" t="e">
        <f t="shared" ca="1" si="502"/>
        <v>#NAME?</v>
      </c>
      <c r="AJ162" s="648" t="e">
        <f t="shared" ca="1" si="503"/>
        <v>#NAME?</v>
      </c>
      <c r="AK162" s="648" t="e">
        <f t="shared" ca="1" si="504"/>
        <v>#NAME?</v>
      </c>
      <c r="AL162" s="275">
        <v>1</v>
      </c>
      <c r="AM162" s="275" t="s">
        <v>975</v>
      </c>
      <c r="AN162" s="275" t="e">
        <f ca="1">POWER((2*AN161),2)*11/14</f>
        <v>#NAME?</v>
      </c>
      <c r="AO162" s="674"/>
    </row>
    <row r="163" spans="13:41">
      <c r="M163" s="673">
        <v>14</v>
      </c>
      <c r="N163" s="275" t="s">
        <v>820</v>
      </c>
      <c r="O163" s="275" t="e">
        <f>#REF!</f>
        <v>#REF!</v>
      </c>
      <c r="P163" s="648" t="e">
        <f t="shared" ref="P163:P165" si="516">INT(ABS(O163))</f>
        <v>#REF!</v>
      </c>
      <c r="Q163" s="648" t="e">
        <f t="shared" ref="Q163:Q165" si="517">INT((ABS(O163)-P163)*60)</f>
        <v>#REF!</v>
      </c>
      <c r="R163" s="648" t="e">
        <f t="shared" ref="R163:R165" si="518">INT((((ABS(O163)-P163)*60)-Q163)*60)</f>
        <v>#REF!</v>
      </c>
      <c r="S163" s="648" t="e">
        <f t="shared" ref="S163:S165" si="519">INT((((((ABS(O163)-P163)*60)-Q163)*60)-R163)*60)</f>
        <v>#REF!</v>
      </c>
      <c r="T163" s="275"/>
      <c r="U163" s="275"/>
      <c r="V163" s="275"/>
      <c r="W163" s="275"/>
      <c r="X163" s="275" t="e">
        <f ca="1">IF(X162&gt;0,IF(X162&lt;24,X162,12))</f>
        <v>#NAME?</v>
      </c>
      <c r="Y163" s="275"/>
      <c r="Z163" s="275"/>
      <c r="AA163" s="275"/>
      <c r="AB163" s="275"/>
      <c r="AC163" s="275"/>
      <c r="AD163" s="275"/>
      <c r="AE163" s="275">
        <v>13</v>
      </c>
      <c r="AF163" s="275" t="s">
        <v>904</v>
      </c>
      <c r="AG163" s="275" t="e">
        <f ca="1">[2]!khmanzar(AG162)</f>
        <v>#NAME?</v>
      </c>
      <c r="AH163" s="648" t="e">
        <f t="shared" ca="1" si="512"/>
        <v>#NAME?</v>
      </c>
      <c r="AI163" s="648" t="e">
        <f t="shared" ca="1" si="502"/>
        <v>#NAME?</v>
      </c>
      <c r="AJ163" s="648" t="e">
        <f t="shared" ca="1" si="503"/>
        <v>#NAME?</v>
      </c>
      <c r="AK163" s="648" t="e">
        <f t="shared" ca="1" si="504"/>
        <v>#NAME?</v>
      </c>
      <c r="AL163" s="275"/>
      <c r="AM163" s="275" t="s">
        <v>976</v>
      </c>
      <c r="AN163" s="275" t="e">
        <f ca="1">AG184</f>
        <v>#NAME?</v>
      </c>
      <c r="AO163" s="674"/>
    </row>
    <row r="164" spans="13:41">
      <c r="M164" s="673">
        <v>15</v>
      </c>
      <c r="N164" s="275" t="s">
        <v>819</v>
      </c>
      <c r="O164" s="275" t="e">
        <f>#REF!</f>
        <v>#REF!</v>
      </c>
      <c r="P164" s="648" t="e">
        <f t="shared" si="516"/>
        <v>#REF!</v>
      </c>
      <c r="Q164" s="648" t="e">
        <f t="shared" si="517"/>
        <v>#REF!</v>
      </c>
      <c r="R164" s="648" t="e">
        <f t="shared" si="518"/>
        <v>#REF!</v>
      </c>
      <c r="S164" s="648" t="e">
        <f t="shared" si="519"/>
        <v>#REF!</v>
      </c>
      <c r="T164" s="275" t="s">
        <v>799</v>
      </c>
      <c r="U164" s="275"/>
      <c r="V164" s="275"/>
      <c r="W164" s="275"/>
      <c r="X164" s="275" t="e">
        <f ca="1">IF(X163&gt;X160,IF(X163&lt;X161,"رویت خسوف ممکن نیست","رویت خسوف ممکن است"),"رویت خسوف ممکن است")</f>
        <v>#NAME?</v>
      </c>
      <c r="Y164" s="275"/>
      <c r="Z164" s="275"/>
      <c r="AA164" s="275"/>
      <c r="AB164" s="275"/>
      <c r="AC164" s="275"/>
      <c r="AD164" s="275"/>
      <c r="AE164" s="275">
        <v>14</v>
      </c>
      <c r="AF164" s="275" t="s">
        <v>402</v>
      </c>
      <c r="AG164" s="275" t="e">
        <f ca="1">[2]!oujq(AG145,AG146,AG147,AG148)</f>
        <v>#NAME?</v>
      </c>
      <c r="AH164" s="648" t="e">
        <f t="shared" ca="1" si="512"/>
        <v>#NAME?</v>
      </c>
      <c r="AI164" s="648" t="e">
        <f t="shared" ca="1" si="502"/>
        <v>#NAME?</v>
      </c>
      <c r="AJ164" s="648" t="e">
        <f t="shared" ca="1" si="503"/>
        <v>#NAME?</v>
      </c>
      <c r="AK164" s="648" t="e">
        <f t="shared" ca="1" si="504"/>
        <v>#NAME?</v>
      </c>
      <c r="AL164" s="275">
        <v>2</v>
      </c>
      <c r="AM164" s="275" t="s">
        <v>977</v>
      </c>
      <c r="AN164" s="275" t="e">
        <f ca="1">POWER((2*AN163),2)*11/14</f>
        <v>#NAME?</v>
      </c>
      <c r="AO164" s="674"/>
    </row>
    <row r="165" spans="13:41">
      <c r="M165" s="673">
        <v>16</v>
      </c>
      <c r="N165" s="275" t="s">
        <v>892</v>
      </c>
      <c r="O165" s="275" t="e">
        <f>O163-O164</f>
        <v>#REF!</v>
      </c>
      <c r="P165" s="648" t="e">
        <f t="shared" si="516"/>
        <v>#REF!</v>
      </c>
      <c r="Q165" s="648" t="e">
        <f t="shared" si="517"/>
        <v>#REF!</v>
      </c>
      <c r="R165" s="648" t="e">
        <f t="shared" si="518"/>
        <v>#REF!</v>
      </c>
      <c r="S165" s="648" t="e">
        <f t="shared" si="519"/>
        <v>#REF!</v>
      </c>
      <c r="T165" s="275" t="e">
        <f ca="1">[2]!rasq(O145,O146,O147+(O159/24),0)</f>
        <v>#NAME?</v>
      </c>
      <c r="U165" s="275"/>
      <c r="V165" s="275"/>
      <c r="W165" s="275" t="s">
        <v>968</v>
      </c>
      <c r="X165" s="275" t="e">
        <f ca="1">[2]!taqrasq(O145,O146,O147+(O159/24),0)</f>
        <v>#NAME?</v>
      </c>
      <c r="Y165" s="648" t="e">
        <f t="shared" ref="Y165:Y170" ca="1" si="520">INT(ABS(X165))</f>
        <v>#NAME?</v>
      </c>
      <c r="Z165" s="648" t="e">
        <f t="shared" ref="Z165:Z170" ca="1" si="521">INT((ABS(X165)-Y165)*60)</f>
        <v>#NAME?</v>
      </c>
      <c r="AA165" s="648" t="e">
        <f t="shared" ref="AA165:AA170" ca="1" si="522">INT((((ABS(X165)-Y165)*60)-Z165)*60)</f>
        <v>#NAME?</v>
      </c>
      <c r="AB165" s="275"/>
      <c r="AC165" s="275"/>
      <c r="AD165" s="275"/>
      <c r="AE165" s="275">
        <v>15</v>
      </c>
      <c r="AF165" s="275" t="s">
        <v>839</v>
      </c>
      <c r="AG165" s="275" t="e">
        <f ca="1">IF(AG164&gt;AG150,AG164-AG150,AG164+360-AG150)</f>
        <v>#NAME?</v>
      </c>
      <c r="AH165" s="648" t="e">
        <f t="shared" ca="1" si="512"/>
        <v>#NAME?</v>
      </c>
      <c r="AI165" s="648" t="e">
        <f t="shared" ca="1" si="502"/>
        <v>#NAME?</v>
      </c>
      <c r="AJ165" s="648" t="e">
        <f t="shared" ca="1" si="503"/>
        <v>#NAME?</v>
      </c>
      <c r="AK165" s="648" t="e">
        <f t="shared" ca="1" si="504"/>
        <v>#NAME?</v>
      </c>
      <c r="AL165" s="275"/>
      <c r="AM165" s="275"/>
      <c r="AN165" s="275"/>
      <c r="AO165" s="674"/>
    </row>
    <row r="166" spans="13:41">
      <c r="M166" s="673">
        <v>17</v>
      </c>
      <c r="N166" s="275"/>
      <c r="O166" s="275" t="e">
        <f ca="1">O162/O165</f>
        <v>#NAME?</v>
      </c>
      <c r="P166" s="648" t="e">
        <f t="shared" ref="P166:P172" ca="1" si="523">INT(ABS(O166))</f>
        <v>#NAME?</v>
      </c>
      <c r="Q166" s="648" t="e">
        <f t="shared" ref="Q166:Q172" ca="1" si="524">INT((ABS(O166)-P166)*60)</f>
        <v>#NAME?</v>
      </c>
      <c r="R166" s="648" t="e">
        <f t="shared" ref="R166:R172" ca="1" si="525">INT((((ABS(O166)-P166)*60)-Q166)*60)</f>
        <v>#NAME?</v>
      </c>
      <c r="S166" s="648" t="e">
        <f t="shared" ref="S166:S172" ca="1" si="526">INT((((((ABS(O166)-P166)*60)-Q166)*60)-R166)*60)</f>
        <v>#NAME?</v>
      </c>
      <c r="T166" s="275"/>
      <c r="U166" s="275"/>
      <c r="V166" s="275"/>
      <c r="W166" s="275" t="s">
        <v>969</v>
      </c>
      <c r="X166" s="275" t="e">
        <f ca="1">[2]!tq(X165+180)</f>
        <v>#NAME?</v>
      </c>
      <c r="Y166" s="648" t="e">
        <f t="shared" ca="1" si="520"/>
        <v>#NAME?</v>
      </c>
      <c r="Z166" s="648" t="e">
        <f t="shared" ca="1" si="521"/>
        <v>#NAME?</v>
      </c>
      <c r="AA166" s="648" t="e">
        <f t="shared" ca="1" si="522"/>
        <v>#NAME?</v>
      </c>
      <c r="AB166" s="275"/>
      <c r="AC166" s="275"/>
      <c r="AD166" s="275"/>
      <c r="AE166" s="275">
        <v>16</v>
      </c>
      <c r="AF166" s="275" t="s">
        <v>905</v>
      </c>
      <c r="AG166" s="648" t="e">
        <f ca="1">[2]!tadq1(AG165,AG160)</f>
        <v>#NAME?</v>
      </c>
      <c r="AH166" s="648" t="e">
        <f t="shared" ca="1" si="512"/>
        <v>#NAME?</v>
      </c>
      <c r="AI166" s="648" t="e">
        <f t="shared" ca="1" si="502"/>
        <v>#NAME?</v>
      </c>
      <c r="AJ166" s="648" t="e">
        <f t="shared" ca="1" si="503"/>
        <v>#NAME?</v>
      </c>
      <c r="AK166" s="648" t="e">
        <f t="shared" ca="1" si="504"/>
        <v>#NAME?</v>
      </c>
      <c r="AL166" s="275"/>
      <c r="AM166" s="275"/>
      <c r="AN166" s="275"/>
      <c r="AO166" s="674"/>
    </row>
    <row r="167" spans="13:41">
      <c r="M167" s="673">
        <v>18</v>
      </c>
      <c r="N167" s="275" t="s">
        <v>891</v>
      </c>
      <c r="O167" s="275" t="e">
        <f ca="1">O159+O166</f>
        <v>#NAME?</v>
      </c>
      <c r="P167" s="648" t="e">
        <f t="shared" ca="1" si="523"/>
        <v>#NAME?</v>
      </c>
      <c r="Q167" s="648" t="e">
        <f t="shared" ca="1" si="524"/>
        <v>#NAME?</v>
      </c>
      <c r="R167" s="648" t="e">
        <f t="shared" ca="1" si="525"/>
        <v>#NAME?</v>
      </c>
      <c r="S167" s="648" t="e">
        <f t="shared" ca="1" si="526"/>
        <v>#NAME?</v>
      </c>
      <c r="T167" s="275"/>
      <c r="U167" s="275"/>
      <c r="V167" s="275"/>
      <c r="W167" s="275" t="s">
        <v>895</v>
      </c>
      <c r="X167" s="275" t="e">
        <f ca="1">O161</f>
        <v>#NAME?</v>
      </c>
      <c r="Y167" s="648" t="e">
        <f t="shared" ca="1" si="520"/>
        <v>#NAME?</v>
      </c>
      <c r="Z167" s="648" t="e">
        <f t="shared" ca="1" si="521"/>
        <v>#NAME?</v>
      </c>
      <c r="AA167" s="648" t="e">
        <f t="shared" ca="1" si="522"/>
        <v>#NAME?</v>
      </c>
      <c r="AB167" s="275"/>
      <c r="AC167" s="275"/>
      <c r="AD167" s="275"/>
      <c r="AE167" s="275">
        <v>17</v>
      </c>
      <c r="AF167" s="275" t="s">
        <v>906</v>
      </c>
      <c r="AG167" s="648" t="e">
        <f ca="1">[2]!tadm1(AG165,AG160)</f>
        <v>#NAME?</v>
      </c>
      <c r="AH167" s="648" t="e">
        <f t="shared" ca="1" si="512"/>
        <v>#NAME?</v>
      </c>
      <c r="AI167" s="648" t="e">
        <f t="shared" ca="1" si="502"/>
        <v>#NAME?</v>
      </c>
      <c r="AJ167" s="648" t="e">
        <f t="shared" ca="1" si="503"/>
        <v>#NAME?</v>
      </c>
      <c r="AK167" s="648" t="e">
        <f t="shared" ca="1" si="504"/>
        <v>#NAME?</v>
      </c>
      <c r="AL167" s="275"/>
      <c r="AM167" s="275"/>
      <c r="AN167" s="275"/>
      <c r="AO167" s="674"/>
    </row>
    <row r="168" spans="13:41">
      <c r="M168" s="673">
        <v>19</v>
      </c>
      <c r="N168" s="275" t="s">
        <v>889</v>
      </c>
      <c r="O168" s="275" t="e">
        <f ca="1">[2]!taqsh(O145,O146,[2]!roz(O147,O159,0,0),O148)</f>
        <v>#NAME?</v>
      </c>
      <c r="P168" s="648" t="e">
        <f t="shared" ca="1" si="523"/>
        <v>#NAME?</v>
      </c>
      <c r="Q168" s="648" t="e">
        <f t="shared" ca="1" si="524"/>
        <v>#NAME?</v>
      </c>
      <c r="R168" s="648" t="e">
        <f t="shared" ca="1" si="525"/>
        <v>#NAME?</v>
      </c>
      <c r="S168" s="648" t="e">
        <f t="shared" ca="1" si="526"/>
        <v>#NAME?</v>
      </c>
      <c r="T168" s="275"/>
      <c r="U168" s="275"/>
      <c r="V168" s="275"/>
      <c r="W168" s="275"/>
      <c r="X168" s="275" t="e">
        <f ca="1">ABS(X167-X166)</f>
        <v>#NAME?</v>
      </c>
      <c r="Y168" s="648" t="e">
        <f t="shared" ca="1" si="520"/>
        <v>#NAME?</v>
      </c>
      <c r="Z168" s="648" t="e">
        <f t="shared" ca="1" si="521"/>
        <v>#NAME?</v>
      </c>
      <c r="AA168" s="648" t="e">
        <f t="shared" ca="1" si="522"/>
        <v>#NAME?</v>
      </c>
      <c r="AB168" s="275"/>
      <c r="AC168" s="275"/>
      <c r="AD168" s="275"/>
      <c r="AE168" s="275">
        <v>18</v>
      </c>
      <c r="AF168" s="275" t="s">
        <v>907</v>
      </c>
      <c r="AG168" s="275" t="e">
        <f ca="1">AG161+AG166</f>
        <v>#NAME?</v>
      </c>
      <c r="AH168" s="648" t="e">
        <f t="shared" ca="1" si="512"/>
        <v>#NAME?</v>
      </c>
      <c r="AI168" s="648" t="e">
        <f t="shared" ca="1" si="502"/>
        <v>#NAME?</v>
      </c>
      <c r="AJ168" s="648" t="e">
        <f t="shared" ca="1" si="503"/>
        <v>#NAME?</v>
      </c>
      <c r="AK168" s="648" t="e">
        <f t="shared" ca="1" si="504"/>
        <v>#NAME?</v>
      </c>
      <c r="AL168" s="275"/>
      <c r="AM168" s="275"/>
      <c r="AN168" s="275"/>
      <c r="AO168" s="674"/>
    </row>
    <row r="169" spans="13:41">
      <c r="M169" s="673">
        <v>20</v>
      </c>
      <c r="N169" s="275" t="s">
        <v>890</v>
      </c>
      <c r="O169" s="275" t="e">
        <f ca="1">[2]!taqq(O145,O146,[2]!roz(O147,O159,0,0),O148)</f>
        <v>#NAME?</v>
      </c>
      <c r="P169" s="648" t="e">
        <f t="shared" ca="1" si="523"/>
        <v>#NAME?</v>
      </c>
      <c r="Q169" s="648" t="e">
        <f t="shared" ca="1" si="524"/>
        <v>#NAME?</v>
      </c>
      <c r="R169" s="648" t="e">
        <f t="shared" ca="1" si="525"/>
        <v>#NAME?</v>
      </c>
      <c r="S169" s="648" t="e">
        <f t="shared" ca="1" si="526"/>
        <v>#NAME?</v>
      </c>
      <c r="T169" s="275"/>
      <c r="U169" s="275"/>
      <c r="V169" s="275"/>
      <c r="W169" s="275" t="s">
        <v>839</v>
      </c>
      <c r="X169" s="275" t="e">
        <f ca="1">ABS(X167-X165)</f>
        <v>#NAME?</v>
      </c>
      <c r="Y169" s="648" t="e">
        <f t="shared" ca="1" si="520"/>
        <v>#NAME?</v>
      </c>
      <c r="Z169" s="648" t="e">
        <f t="shared" ca="1" si="521"/>
        <v>#NAME?</v>
      </c>
      <c r="AA169" s="648" t="e">
        <f t="shared" ca="1" si="522"/>
        <v>#NAME?</v>
      </c>
      <c r="AB169" s="275"/>
      <c r="AC169" s="275"/>
      <c r="AD169" s="275"/>
      <c r="AE169" s="275">
        <v>19</v>
      </c>
      <c r="AF169" s="275" t="s">
        <v>908</v>
      </c>
      <c r="AG169" s="275" t="e">
        <f ca="1">AG163+AG167</f>
        <v>#NAME?</v>
      </c>
      <c r="AH169" s="648" t="e">
        <f t="shared" ca="1" si="512"/>
        <v>#NAME?</v>
      </c>
      <c r="AI169" s="648" t="e">
        <f t="shared" ca="1" si="502"/>
        <v>#NAME?</v>
      </c>
      <c r="AJ169" s="648" t="e">
        <f t="shared" ca="1" si="503"/>
        <v>#NAME?</v>
      </c>
      <c r="AK169" s="648" t="e">
        <f t="shared" ca="1" si="504"/>
        <v>#NAME?</v>
      </c>
      <c r="AL169" s="275"/>
      <c r="AM169" s="275"/>
      <c r="AN169" s="275"/>
      <c r="AO169" s="674"/>
    </row>
    <row r="170" spans="13:41">
      <c r="M170" s="673">
        <v>21</v>
      </c>
      <c r="N170" s="275" t="s">
        <v>888</v>
      </c>
      <c r="O170" s="275" t="e">
        <f ca="1">[2]!wasat(O145,O146,O147,O148)</f>
        <v>#NAME?</v>
      </c>
      <c r="P170" s="648" t="e">
        <f t="shared" ca="1" si="523"/>
        <v>#NAME?</v>
      </c>
      <c r="Q170" s="648" t="e">
        <f t="shared" ca="1" si="524"/>
        <v>#NAME?</v>
      </c>
      <c r="R170" s="648" t="e">
        <f t="shared" ca="1" si="525"/>
        <v>#NAME?</v>
      </c>
      <c r="S170" s="648" t="e">
        <f t="shared" ca="1" si="526"/>
        <v>#NAME?</v>
      </c>
      <c r="T170" s="275"/>
      <c r="U170" s="275"/>
      <c r="V170" s="275"/>
      <c r="W170" s="275"/>
      <c r="X170" s="275" t="e">
        <f ca="1">IF(X169&lt;X168,X169,X168)</f>
        <v>#NAME?</v>
      </c>
      <c r="Y170" s="648" t="e">
        <f t="shared" ca="1" si="520"/>
        <v>#NAME?</v>
      </c>
      <c r="Z170" s="648" t="e">
        <f t="shared" ca="1" si="521"/>
        <v>#NAME?</v>
      </c>
      <c r="AA170" s="648" t="e">
        <f t="shared" ca="1" si="522"/>
        <v>#NAME?</v>
      </c>
      <c r="AB170" s="275"/>
      <c r="AC170" s="275"/>
      <c r="AD170" s="275"/>
      <c r="AE170" s="275">
        <v>20</v>
      </c>
      <c r="AF170" s="275" t="s">
        <v>909</v>
      </c>
      <c r="AG170" s="275" t="e">
        <f ca="1">AG154-AG157</f>
        <v>#NAME?</v>
      </c>
      <c r="AH170" s="648" t="e">
        <f t="shared" ca="1" si="512"/>
        <v>#NAME?</v>
      </c>
      <c r="AI170" s="648" t="e">
        <f t="shared" ca="1" si="502"/>
        <v>#NAME?</v>
      </c>
      <c r="AJ170" s="648" t="e">
        <f t="shared" ca="1" si="503"/>
        <v>#NAME?</v>
      </c>
      <c r="AK170" s="648" t="e">
        <f t="shared" ca="1" si="504"/>
        <v>#NAME?</v>
      </c>
      <c r="AL170" s="275"/>
      <c r="AM170" s="275"/>
      <c r="AN170" s="275"/>
      <c r="AO170" s="674"/>
    </row>
    <row r="171" spans="13:41">
      <c r="M171" s="673">
        <v>22</v>
      </c>
      <c r="N171" s="275" t="s">
        <v>387</v>
      </c>
      <c r="O171" s="275" t="e">
        <f ca="1">[2]!taam(O170)</f>
        <v>#NAME?</v>
      </c>
      <c r="P171" s="648" t="e">
        <f t="shared" ca="1" si="523"/>
        <v>#NAME?</v>
      </c>
      <c r="Q171" s="648" t="e">
        <f t="shared" ca="1" si="524"/>
        <v>#NAME?</v>
      </c>
      <c r="R171" s="648" t="e">
        <f t="shared" ca="1" si="525"/>
        <v>#NAME?</v>
      </c>
      <c r="S171" s="648" t="e">
        <f t="shared" ca="1" si="526"/>
        <v>#NAME?</v>
      </c>
      <c r="T171" s="275"/>
      <c r="U171" s="275"/>
      <c r="V171" s="275"/>
      <c r="W171" s="275"/>
      <c r="X171" s="275" t="e">
        <f ca="1">IF(X170&lt;12.466666666,"امکان خسوف وجود دارد","امکان خسوف وجود ندارد")</f>
        <v>#NAME?</v>
      </c>
      <c r="Y171" s="275"/>
      <c r="Z171" s="275"/>
      <c r="AA171" s="275"/>
      <c r="AB171" s="275"/>
      <c r="AC171" s="275"/>
      <c r="AD171" s="275"/>
      <c r="AE171" s="275">
        <v>21</v>
      </c>
      <c r="AF171" s="275" t="s">
        <v>910</v>
      </c>
      <c r="AG171" s="275" t="e">
        <f ca="1">[2]!sn(AG170)</f>
        <v>#NAME?</v>
      </c>
      <c r="AH171" s="648" t="e">
        <f t="shared" ca="1" si="512"/>
        <v>#NAME?</v>
      </c>
      <c r="AI171" s="648" t="e">
        <f t="shared" ca="1" si="502"/>
        <v>#NAME?</v>
      </c>
      <c r="AJ171" s="648" t="e">
        <f t="shared" ca="1" si="503"/>
        <v>#NAME?</v>
      </c>
      <c r="AK171" s="648" t="e">
        <f t="shared" ca="1" si="504"/>
        <v>#NAME?</v>
      </c>
      <c r="AL171" s="275"/>
      <c r="AM171" s="275"/>
      <c r="AN171" s="275"/>
      <c r="AO171" s="674"/>
    </row>
    <row r="172" spans="13:41">
      <c r="M172" s="673">
        <v>23</v>
      </c>
      <c r="N172" s="275" t="s">
        <v>887</v>
      </c>
      <c r="O172" s="275" t="e">
        <f ca="1">O167-O171</f>
        <v>#NAME?</v>
      </c>
      <c r="P172" s="648" t="e">
        <f t="shared" ca="1" si="523"/>
        <v>#NAME?</v>
      </c>
      <c r="Q172" s="648" t="e">
        <f t="shared" ca="1" si="524"/>
        <v>#NAME?</v>
      </c>
      <c r="R172" s="648" t="e">
        <f t="shared" ca="1" si="525"/>
        <v>#NAME?</v>
      </c>
      <c r="S172" s="648" t="e">
        <f t="shared" ca="1" si="526"/>
        <v>#NAME?</v>
      </c>
      <c r="T172" s="275"/>
      <c r="U172" s="275"/>
      <c r="V172" s="275"/>
      <c r="W172" s="275"/>
      <c r="X172" s="275" t="e">
        <f ca="1">IF(AND(X164="رویت خسوف ممکن است",X171="امکان خسوف وجود دارد"),"خسوف ممکن و مرئی است","خسوف ممکن و مرئی  نیست")</f>
        <v>#NAME?</v>
      </c>
      <c r="Y172" s="275"/>
      <c r="Z172" s="275"/>
      <c r="AA172" s="275"/>
      <c r="AB172" s="275"/>
      <c r="AC172" s="275"/>
      <c r="AD172" s="275"/>
      <c r="AE172" s="275">
        <v>22</v>
      </c>
      <c r="AF172" s="275" t="s">
        <v>911</v>
      </c>
      <c r="AG172" s="275" t="e">
        <f ca="1">ABS([2]!sn(AG153))</f>
        <v>#NAME?</v>
      </c>
      <c r="AH172" s="648" t="e">
        <f t="shared" ca="1" si="512"/>
        <v>#NAME?</v>
      </c>
      <c r="AI172" s="648" t="e">
        <f t="shared" ca="1" si="502"/>
        <v>#NAME?</v>
      </c>
      <c r="AJ172" s="648" t="e">
        <f t="shared" ca="1" si="503"/>
        <v>#NAME?</v>
      </c>
      <c r="AK172" s="648" t="e">
        <f t="shared" ca="1" si="504"/>
        <v>#NAME?</v>
      </c>
      <c r="AL172" s="275"/>
      <c r="AM172" s="275"/>
      <c r="AN172" s="275"/>
      <c r="AO172" s="674"/>
    </row>
    <row r="173" spans="13:41">
      <c r="M173" s="673"/>
      <c r="N173" s="275"/>
      <c r="O173" s="275"/>
      <c r="P173" s="275"/>
      <c r="Q173" s="275"/>
      <c r="R173" s="275"/>
      <c r="S173" s="275"/>
      <c r="T173" s="275"/>
      <c r="U173" s="275"/>
      <c r="V173" s="275"/>
      <c r="W173" s="275"/>
      <c r="X173" s="275"/>
      <c r="Y173" s="275"/>
      <c r="Z173" s="275"/>
      <c r="AA173" s="275"/>
      <c r="AB173" s="275"/>
      <c r="AC173" s="275"/>
      <c r="AD173" s="275"/>
      <c r="AE173" s="275">
        <v>23</v>
      </c>
      <c r="AF173" s="275" t="s">
        <v>787</v>
      </c>
      <c r="AG173" s="275" t="e">
        <f ca="1">AG171*AG172/60</f>
        <v>#NAME?</v>
      </c>
      <c r="AH173" s="648" t="e">
        <f t="shared" ca="1" si="512"/>
        <v>#NAME?</v>
      </c>
      <c r="AI173" s="648" t="e">
        <f t="shared" ca="1" si="502"/>
        <v>#NAME?</v>
      </c>
      <c r="AJ173" s="648" t="e">
        <f t="shared" ca="1" si="503"/>
        <v>#NAME?</v>
      </c>
      <c r="AK173" s="648" t="e">
        <f t="shared" ca="1" si="504"/>
        <v>#NAME?</v>
      </c>
      <c r="AL173" s="275"/>
      <c r="AM173" s="275"/>
      <c r="AN173" s="275"/>
      <c r="AO173" s="674"/>
    </row>
    <row r="174" spans="13:41">
      <c r="M174" s="673"/>
      <c r="N174" s="275"/>
      <c r="O174" s="275" t="e">
        <f ca="1">IF(O172&lt;0," امکان خسوف در روزهای سابق بوده است",IF(O172&lt;24,"امروز امکان خسوف وجود  دارد","امکان خسوف در روزهای  آینده وجود خواهد داشت"))</f>
        <v>#NAME?</v>
      </c>
      <c r="P174" s="275"/>
      <c r="Q174" s="275"/>
      <c r="R174" s="275"/>
      <c r="S174" s="275"/>
      <c r="T174" s="275"/>
      <c r="U174" s="275"/>
      <c r="V174" s="275"/>
      <c r="W174" s="275"/>
      <c r="X174" s="275"/>
      <c r="Y174" s="275"/>
      <c r="Z174" s="275"/>
      <c r="AA174" s="275"/>
      <c r="AB174" s="275"/>
      <c r="AC174" s="275"/>
      <c r="AD174" s="275"/>
      <c r="AE174" s="275">
        <v>24</v>
      </c>
      <c r="AF174" s="275" t="s">
        <v>912</v>
      </c>
      <c r="AG174" s="275" t="e">
        <f ca="1">[2]!asn(AG173)</f>
        <v>#NAME?</v>
      </c>
      <c r="AH174" s="648" t="e">
        <f t="shared" ca="1" si="512"/>
        <v>#NAME?</v>
      </c>
      <c r="AI174" s="648" t="e">
        <f t="shared" ca="1" si="502"/>
        <v>#NAME?</v>
      </c>
      <c r="AJ174" s="648" t="e">
        <f t="shared" ca="1" si="503"/>
        <v>#NAME?</v>
      </c>
      <c r="AK174" s="648" t="e">
        <f t="shared" ca="1" si="504"/>
        <v>#NAME?</v>
      </c>
      <c r="AL174" s="275"/>
      <c r="AM174" s="275"/>
      <c r="AN174" s="275"/>
      <c r="AO174" s="674"/>
    </row>
    <row r="175" spans="13:41">
      <c r="M175" s="673"/>
      <c r="N175" s="275"/>
      <c r="O175" s="275"/>
      <c r="P175" s="275"/>
      <c r="Q175" s="275"/>
      <c r="R175" s="275"/>
      <c r="S175" s="275"/>
      <c r="T175" s="275" t="s">
        <v>991</v>
      </c>
      <c r="U175" s="275"/>
      <c r="V175" s="275"/>
      <c r="W175" s="275"/>
      <c r="X175" s="275"/>
      <c r="Y175" s="275"/>
      <c r="Z175" s="275"/>
      <c r="AA175" s="275"/>
      <c r="AB175" s="275"/>
      <c r="AC175" s="275"/>
      <c r="AD175" s="275"/>
      <c r="AE175" s="275">
        <v>25</v>
      </c>
      <c r="AF175" s="275" t="s">
        <v>913</v>
      </c>
      <c r="AG175" s="275" t="e">
        <f ca="1">90-AG170</f>
        <v>#NAME?</v>
      </c>
      <c r="AH175" s="648" t="e">
        <f t="shared" ca="1" si="512"/>
        <v>#NAME?</v>
      </c>
      <c r="AI175" s="648" t="e">
        <f t="shared" ca="1" si="502"/>
        <v>#NAME?</v>
      </c>
      <c r="AJ175" s="648" t="e">
        <f t="shared" ca="1" si="503"/>
        <v>#NAME?</v>
      </c>
      <c r="AK175" s="648" t="e">
        <f t="shared" ca="1" si="504"/>
        <v>#NAME?</v>
      </c>
      <c r="AL175" s="275"/>
      <c r="AM175" s="275"/>
      <c r="AN175" s="275"/>
      <c r="AO175" s="674"/>
    </row>
    <row r="176" spans="13:41">
      <c r="M176" s="673"/>
      <c r="N176" s="275"/>
      <c r="O176" s="275"/>
      <c r="P176" s="275"/>
      <c r="Q176" s="275" t="s">
        <v>978</v>
      </c>
      <c r="R176" s="275" t="s">
        <v>979</v>
      </c>
      <c r="S176" s="275"/>
      <c r="T176" s="275"/>
      <c r="U176" s="275"/>
      <c r="V176" s="275"/>
      <c r="W176" s="275"/>
      <c r="X176" s="275"/>
      <c r="Y176" s="275"/>
      <c r="Z176" s="275"/>
      <c r="AA176" s="275"/>
      <c r="AB176" s="275"/>
      <c r="AC176" s="275"/>
      <c r="AD176" s="275"/>
      <c r="AE176" s="275">
        <v>26</v>
      </c>
      <c r="AF176" s="275" t="s">
        <v>918</v>
      </c>
      <c r="AG176" s="275" t="e">
        <f ca="1">[2]!sn(AG175)</f>
        <v>#NAME?</v>
      </c>
      <c r="AH176" s="648" t="e">
        <f t="shared" ca="1" si="512"/>
        <v>#NAME?</v>
      </c>
      <c r="AI176" s="648" t="e">
        <f t="shared" ca="1" si="502"/>
        <v>#NAME?</v>
      </c>
      <c r="AJ176" s="648" t="e">
        <f t="shared" ca="1" si="503"/>
        <v>#NAME?</v>
      </c>
      <c r="AK176" s="648" t="e">
        <f t="shared" ca="1" si="504"/>
        <v>#NAME?</v>
      </c>
      <c r="AL176" s="275"/>
      <c r="AM176" s="275"/>
      <c r="AN176" s="275"/>
      <c r="AO176" s="674"/>
    </row>
    <row r="177" spans="13:41">
      <c r="M177" s="673"/>
      <c r="N177" s="275"/>
      <c r="O177" s="275" t="s">
        <v>932</v>
      </c>
      <c r="P177" s="275" t="e">
        <f ca="1">AG200</f>
        <v>#NAME?</v>
      </c>
      <c r="Q177" s="275" t="e">
        <f ca="1">2*AG185</f>
        <v>#NAME?</v>
      </c>
      <c r="R177" s="275" t="e">
        <f ca="1">2*AG184</f>
        <v>#NAME?</v>
      </c>
      <c r="S177" s="275"/>
      <c r="T177" s="275"/>
      <c r="U177" s="275"/>
      <c r="V177" s="275"/>
      <c r="W177" s="275"/>
      <c r="X177" s="275"/>
      <c r="Y177" s="275"/>
      <c r="Z177" s="275"/>
      <c r="AA177" s="275"/>
      <c r="AB177" s="275"/>
      <c r="AC177" s="275"/>
      <c r="AD177" s="275"/>
      <c r="AE177" s="275">
        <v>27</v>
      </c>
      <c r="AF177" s="275" t="s">
        <v>787</v>
      </c>
      <c r="AG177" s="275" t="e">
        <f ca="1">AG176*[2]!sn(AG174)/60</f>
        <v>#NAME?</v>
      </c>
      <c r="AH177" s="648" t="e">
        <f t="shared" ca="1" si="512"/>
        <v>#NAME?</v>
      </c>
      <c r="AI177" s="648" t="e">
        <f t="shared" ca="1" si="502"/>
        <v>#NAME?</v>
      </c>
      <c r="AJ177" s="648" t="e">
        <f t="shared" ca="1" si="503"/>
        <v>#NAME?</v>
      </c>
      <c r="AK177" s="648" t="e">
        <f t="shared" ca="1" si="504"/>
        <v>#NAME?</v>
      </c>
      <c r="AL177" s="275"/>
      <c r="AM177" s="275"/>
      <c r="AN177" s="275"/>
      <c r="AO177" s="674"/>
    </row>
    <row r="178" spans="13:41">
      <c r="M178" s="673"/>
      <c r="N178" s="275">
        <v>1</v>
      </c>
      <c r="O178" s="275" t="s">
        <v>935</v>
      </c>
      <c r="P178" s="275" t="e">
        <f ca="1">(Q177*Q177)*(11/14)</f>
        <v>#NAME?</v>
      </c>
      <c r="Q178" s="648" t="e">
        <f t="shared" ref="Q178:Q192" ca="1" si="527">INT(ABS(P178))</f>
        <v>#NAME?</v>
      </c>
      <c r="R178" s="648" t="e">
        <f t="shared" ref="R178:R192" ca="1" si="528">INT((ABS(P178)-Q178)*60)</f>
        <v>#NAME?</v>
      </c>
      <c r="S178" s="648" t="e">
        <f t="shared" ref="S178:S192" ca="1" si="529">INT((((ABS(P178)-Q178)*60)-R178)*60)</f>
        <v>#NAME?</v>
      </c>
      <c r="T178" s="648" t="e">
        <f t="shared" ref="T178:T192" ca="1" si="530">INT((((((ABS(P178)-Q178)*60)-R178)*60)-S178)*60)</f>
        <v>#NAME?</v>
      </c>
      <c r="U178" s="275"/>
      <c r="V178" s="275"/>
      <c r="W178" s="275"/>
      <c r="X178" s="275"/>
      <c r="Y178" s="275"/>
      <c r="Z178" s="275"/>
      <c r="AA178" s="275"/>
      <c r="AB178" s="275"/>
      <c r="AC178" s="275"/>
      <c r="AD178" s="275"/>
      <c r="AE178" s="275">
        <v>28</v>
      </c>
      <c r="AF178" s="275" t="s">
        <v>944</v>
      </c>
      <c r="AG178" s="275" t="e">
        <f ca="1">AG177/O165</f>
        <v>#NAME?</v>
      </c>
      <c r="AH178" s="648" t="e">
        <f t="shared" ca="1" si="512"/>
        <v>#NAME?</v>
      </c>
      <c r="AI178" s="648" t="e">
        <f t="shared" ca="1" si="502"/>
        <v>#NAME?</v>
      </c>
      <c r="AJ178" s="648" t="e">
        <f t="shared" ca="1" si="503"/>
        <v>#NAME?</v>
      </c>
      <c r="AK178" s="648" t="e">
        <f t="shared" ca="1" si="504"/>
        <v>#NAME?</v>
      </c>
      <c r="AL178" s="275"/>
      <c r="AM178" s="275"/>
      <c r="AN178" s="275"/>
      <c r="AO178" s="674"/>
    </row>
    <row r="179" spans="13:41">
      <c r="M179" s="673"/>
      <c r="N179" s="648">
        <v>2</v>
      </c>
      <c r="O179" s="275" t="s">
        <v>980</v>
      </c>
      <c r="P179" s="275" t="e">
        <f ca="1">(R177*R177)*(11/14)</f>
        <v>#NAME?</v>
      </c>
      <c r="Q179" s="648" t="e">
        <f t="shared" ca="1" si="527"/>
        <v>#NAME?</v>
      </c>
      <c r="R179" s="648" t="e">
        <f t="shared" ca="1" si="528"/>
        <v>#NAME?</v>
      </c>
      <c r="S179" s="648" t="e">
        <f t="shared" ca="1" si="529"/>
        <v>#NAME?</v>
      </c>
      <c r="T179" s="648" t="e">
        <f t="shared" ca="1" si="530"/>
        <v>#NAME?</v>
      </c>
      <c r="U179" s="275"/>
      <c r="V179" s="275"/>
      <c r="W179" s="275"/>
      <c r="X179" s="275"/>
      <c r="Y179" s="275"/>
      <c r="Z179" s="275"/>
      <c r="AA179" s="275"/>
      <c r="AB179" s="275"/>
      <c r="AC179" s="275"/>
      <c r="AD179" s="275"/>
      <c r="AE179" s="275">
        <v>29</v>
      </c>
      <c r="AF179" s="275" t="s">
        <v>919</v>
      </c>
      <c r="AG179" s="275" t="e">
        <f ca="1">IF(AG152&lt;180,O172-AG178,O172+AG178)</f>
        <v>#NAME?</v>
      </c>
      <c r="AH179" s="648" t="e">
        <f t="shared" ca="1" si="512"/>
        <v>#NAME?</v>
      </c>
      <c r="AI179" s="648" t="e">
        <f t="shared" ca="1" si="502"/>
        <v>#NAME?</v>
      </c>
      <c r="AJ179" s="648" t="e">
        <f t="shared" ca="1" si="503"/>
        <v>#NAME?</v>
      </c>
      <c r="AK179" s="648" t="e">
        <f t="shared" ca="1" si="504"/>
        <v>#NAME?</v>
      </c>
      <c r="AL179" s="275"/>
      <c r="AM179" s="275"/>
      <c r="AN179" s="275"/>
      <c r="AO179" s="674"/>
    </row>
    <row r="180" spans="13:41">
      <c r="M180" s="673"/>
      <c r="N180" s="275">
        <v>3</v>
      </c>
      <c r="O180" s="275" t="s">
        <v>981</v>
      </c>
      <c r="P180" s="275" t="e">
        <f ca="1">ABS((Q177)-(P177))</f>
        <v>#NAME?</v>
      </c>
      <c r="Q180" s="648" t="e">
        <f t="shared" ca="1" si="527"/>
        <v>#NAME?</v>
      </c>
      <c r="R180" s="648" t="e">
        <f t="shared" ca="1" si="528"/>
        <v>#NAME?</v>
      </c>
      <c r="S180" s="648" t="e">
        <f t="shared" ca="1" si="529"/>
        <v>#NAME?</v>
      </c>
      <c r="T180" s="648" t="e">
        <f t="shared" ca="1" si="530"/>
        <v>#NAME?</v>
      </c>
      <c r="U180" s="275"/>
      <c r="V180" s="275"/>
      <c r="W180" s="275"/>
      <c r="X180" s="275"/>
      <c r="Y180" s="275"/>
      <c r="Z180" s="275"/>
      <c r="AA180" s="275"/>
      <c r="AB180" s="275"/>
      <c r="AC180" s="275"/>
      <c r="AD180" s="275"/>
      <c r="AE180" s="275">
        <v>30</v>
      </c>
      <c r="AF180" s="275" t="s">
        <v>920</v>
      </c>
      <c r="AG180" s="275" t="e">
        <f ca="1">AG169</f>
        <v>#NAME?</v>
      </c>
      <c r="AH180" s="648" t="e">
        <f t="shared" ca="1" si="512"/>
        <v>#NAME?</v>
      </c>
      <c r="AI180" s="648" t="e">
        <f t="shared" ca="1" si="502"/>
        <v>#NAME?</v>
      </c>
      <c r="AJ180" s="648" t="e">
        <f t="shared" ca="1" si="503"/>
        <v>#NAME?</v>
      </c>
      <c r="AK180" s="648" t="e">
        <f t="shared" ca="1" si="504"/>
        <v>#NAME?</v>
      </c>
      <c r="AL180" s="275"/>
      <c r="AM180" s="275"/>
      <c r="AN180" s="275"/>
      <c r="AO180" s="674"/>
    </row>
    <row r="181" spans="13:41">
      <c r="M181" s="673"/>
      <c r="N181" s="275">
        <v>4</v>
      </c>
      <c r="O181" s="275" t="s">
        <v>982</v>
      </c>
      <c r="P181" s="275" t="e">
        <f ca="1">(R177)-(P177)</f>
        <v>#NAME?</v>
      </c>
      <c r="Q181" s="648" t="e">
        <f t="shared" ca="1" si="527"/>
        <v>#NAME?</v>
      </c>
      <c r="R181" s="648" t="e">
        <f t="shared" ca="1" si="528"/>
        <v>#NAME?</v>
      </c>
      <c r="S181" s="648" t="e">
        <f t="shared" ca="1" si="529"/>
        <v>#NAME?</v>
      </c>
      <c r="T181" s="648" t="e">
        <f t="shared" ca="1" si="530"/>
        <v>#NAME?</v>
      </c>
      <c r="U181" s="275"/>
      <c r="V181" s="275"/>
      <c r="W181" s="275"/>
      <c r="X181" s="275"/>
      <c r="Y181" s="275"/>
      <c r="Z181" s="275"/>
      <c r="AA181" s="275"/>
      <c r="AB181" s="275"/>
      <c r="AC181" s="275"/>
      <c r="AD181" s="275"/>
      <c r="AE181" s="275">
        <v>31</v>
      </c>
      <c r="AF181" s="275" t="s">
        <v>921</v>
      </c>
      <c r="AG181" s="275" t="e">
        <f ca="1">AG159/2</f>
        <v>#NAME?</v>
      </c>
      <c r="AH181" s="648" t="e">
        <f t="shared" ca="1" si="512"/>
        <v>#NAME?</v>
      </c>
      <c r="AI181" s="648" t="e">
        <f t="shared" ca="1" si="502"/>
        <v>#NAME?</v>
      </c>
      <c r="AJ181" s="648" t="e">
        <f t="shared" ca="1" si="503"/>
        <v>#NAME?</v>
      </c>
      <c r="AK181" s="648" t="e">
        <f t="shared" ca="1" si="504"/>
        <v>#NAME?</v>
      </c>
      <c r="AL181" s="275"/>
      <c r="AM181" s="275"/>
      <c r="AN181" s="275"/>
      <c r="AO181" s="674"/>
    </row>
    <row r="182" spans="13:41">
      <c r="M182" s="673"/>
      <c r="N182" s="648">
        <v>5</v>
      </c>
      <c r="O182" s="275" t="s">
        <v>983</v>
      </c>
      <c r="P182" s="275" t="e">
        <f ca="1">(P177)*((R177)-P177)</f>
        <v>#NAME?</v>
      </c>
      <c r="Q182" s="648" t="e">
        <f t="shared" ca="1" si="527"/>
        <v>#NAME?</v>
      </c>
      <c r="R182" s="648" t="e">
        <f t="shared" ca="1" si="528"/>
        <v>#NAME?</v>
      </c>
      <c r="S182" s="648" t="e">
        <f t="shared" ca="1" si="529"/>
        <v>#NAME?</v>
      </c>
      <c r="T182" s="648" t="e">
        <f t="shared" ca="1" si="530"/>
        <v>#NAME?</v>
      </c>
      <c r="U182" s="275"/>
      <c r="V182" s="275"/>
      <c r="W182" s="275"/>
      <c r="X182" s="275"/>
      <c r="Y182" s="275"/>
      <c r="Z182" s="275"/>
      <c r="AA182" s="275"/>
      <c r="AB182" s="275"/>
      <c r="AC182" s="275"/>
      <c r="AD182" s="275"/>
      <c r="AE182" s="275">
        <v>32</v>
      </c>
      <c r="AF182" s="275" t="s">
        <v>922</v>
      </c>
      <c r="AG182" s="275" t="e">
        <f ca="1">AG180-AG181</f>
        <v>#NAME?</v>
      </c>
      <c r="AH182" s="648" t="e">
        <f t="shared" ca="1" si="512"/>
        <v>#NAME?</v>
      </c>
      <c r="AI182" s="648" t="e">
        <f t="shared" ca="1" si="502"/>
        <v>#NAME?</v>
      </c>
      <c r="AJ182" s="648" t="e">
        <f t="shared" ca="1" si="503"/>
        <v>#NAME?</v>
      </c>
      <c r="AK182" s="648" t="e">
        <f t="shared" ca="1" si="504"/>
        <v>#NAME?</v>
      </c>
      <c r="AL182" s="275"/>
      <c r="AM182" s="275"/>
      <c r="AN182" s="275"/>
      <c r="AO182" s="674"/>
    </row>
    <row r="183" spans="13:41">
      <c r="M183" s="673"/>
      <c r="N183" s="275">
        <v>6</v>
      </c>
      <c r="O183" s="275" t="s">
        <v>984</v>
      </c>
      <c r="P183" s="275" t="e">
        <f ca="1">(P182/(P180+P181))</f>
        <v>#NAME?</v>
      </c>
      <c r="Q183" s="648" t="e">
        <f t="shared" ca="1" si="527"/>
        <v>#NAME?</v>
      </c>
      <c r="R183" s="648" t="e">
        <f t="shared" ca="1" si="528"/>
        <v>#NAME?</v>
      </c>
      <c r="S183" s="648" t="e">
        <f t="shared" ca="1" si="529"/>
        <v>#NAME?</v>
      </c>
      <c r="T183" s="648" t="e">
        <f t="shared" ca="1" si="530"/>
        <v>#NAME?</v>
      </c>
      <c r="U183" s="275"/>
      <c r="V183" s="275"/>
      <c r="W183" s="275"/>
      <c r="X183" s="275"/>
      <c r="Y183" s="275"/>
      <c r="Z183" s="275"/>
      <c r="AA183" s="275"/>
      <c r="AB183" s="275"/>
      <c r="AC183" s="275"/>
      <c r="AD183" s="275"/>
      <c r="AE183" s="275"/>
      <c r="AF183" s="275" t="s">
        <v>915</v>
      </c>
      <c r="AG183" s="648">
        <f>((((((AK183)/60)+AJ183)/60)+AI183)/60)+AH183</f>
        <v>1.6666666666666666E-2</v>
      </c>
      <c r="AH183" s="648">
        <v>0</v>
      </c>
      <c r="AI183" s="648">
        <v>1</v>
      </c>
      <c r="AJ183" s="648">
        <v>0</v>
      </c>
      <c r="AK183" s="648">
        <v>0</v>
      </c>
      <c r="AL183" s="275"/>
      <c r="AM183" s="275"/>
      <c r="AN183" s="275"/>
      <c r="AO183" s="674"/>
    </row>
    <row r="184" spans="13:41">
      <c r="M184" s="673"/>
      <c r="N184" s="275">
        <v>7</v>
      </c>
      <c r="O184" s="275" t="s">
        <v>985</v>
      </c>
      <c r="P184" s="275" t="e">
        <f ca="1">P183*((Q177)-(P183))</f>
        <v>#NAME?</v>
      </c>
      <c r="Q184" s="648" t="e">
        <f t="shared" ca="1" si="527"/>
        <v>#NAME?</v>
      </c>
      <c r="R184" s="648" t="e">
        <f t="shared" ca="1" si="528"/>
        <v>#NAME?</v>
      </c>
      <c r="S184" s="648" t="e">
        <f t="shared" ca="1" si="529"/>
        <v>#NAME?</v>
      </c>
      <c r="T184" s="648" t="e">
        <f t="shared" ca="1" si="530"/>
        <v>#NAME?</v>
      </c>
      <c r="U184" s="275"/>
      <c r="V184" s="275"/>
      <c r="W184" s="275"/>
      <c r="X184" s="275"/>
      <c r="Y184" s="275"/>
      <c r="Z184" s="275"/>
      <c r="AA184" s="275"/>
      <c r="AB184" s="275"/>
      <c r="AC184" s="275"/>
      <c r="AD184" s="275"/>
      <c r="AE184" s="275">
        <v>33</v>
      </c>
      <c r="AF184" s="275" t="s">
        <v>916</v>
      </c>
      <c r="AG184" s="275" t="e">
        <f ca="1">AG182+AG183</f>
        <v>#NAME?</v>
      </c>
      <c r="AH184" s="648" t="e">
        <f t="shared" ref="AH184:AH195" ca="1" si="531">INT(ABS(AG184))</f>
        <v>#NAME?</v>
      </c>
      <c r="AI184" s="648" t="e">
        <f t="shared" ref="AI184:AI195" ca="1" si="532">INT((ABS(AG184)-AH184)*60)</f>
        <v>#NAME?</v>
      </c>
      <c r="AJ184" s="648" t="e">
        <f t="shared" ref="AJ184:AJ195" ca="1" si="533">INT((((ABS(AG184)-AH184)*60)-AI184)*60)</f>
        <v>#NAME?</v>
      </c>
      <c r="AK184" s="648" t="e">
        <f t="shared" ref="AK184:AK195" ca="1" si="534">INT((((((ABS(AG184)-AH184)*60)-AI184)*60)-AJ184)*60)</f>
        <v>#NAME?</v>
      </c>
      <c r="AL184" s="275"/>
      <c r="AM184" s="275"/>
      <c r="AN184" s="275"/>
      <c r="AO184" s="674"/>
    </row>
    <row r="185" spans="13:41">
      <c r="M185" s="673"/>
      <c r="N185" s="648">
        <v>8</v>
      </c>
      <c r="O185" s="275" t="s">
        <v>986</v>
      </c>
      <c r="P185" s="275" t="e">
        <f ca="1">(SQRT(P184))/((Q177/2))*60</f>
        <v>#NAME?</v>
      </c>
      <c r="Q185" s="648" t="e">
        <f t="shared" ca="1" si="527"/>
        <v>#NAME?</v>
      </c>
      <c r="R185" s="648" t="e">
        <f t="shared" ca="1" si="528"/>
        <v>#NAME?</v>
      </c>
      <c r="S185" s="648" t="e">
        <f t="shared" ca="1" si="529"/>
        <v>#NAME?</v>
      </c>
      <c r="T185" s="648" t="e">
        <f t="shared" ca="1" si="530"/>
        <v>#NAME?</v>
      </c>
      <c r="U185" s="275"/>
      <c r="V185" s="275"/>
      <c r="W185" s="275"/>
      <c r="X185" s="275"/>
      <c r="Y185" s="275"/>
      <c r="Z185" s="275"/>
      <c r="AA185" s="275"/>
      <c r="AB185" s="275"/>
      <c r="AC185" s="275"/>
      <c r="AD185" s="275"/>
      <c r="AE185" s="275">
        <v>34</v>
      </c>
      <c r="AF185" s="275" t="s">
        <v>917</v>
      </c>
      <c r="AG185" s="275" t="e">
        <f ca="1">AG168/2</f>
        <v>#NAME?</v>
      </c>
      <c r="AH185" s="648" t="e">
        <f t="shared" ca="1" si="531"/>
        <v>#NAME?</v>
      </c>
      <c r="AI185" s="648" t="e">
        <f t="shared" ca="1" si="532"/>
        <v>#NAME?</v>
      </c>
      <c r="AJ185" s="648" t="e">
        <f t="shared" ca="1" si="533"/>
        <v>#NAME?</v>
      </c>
      <c r="AK185" s="648" t="e">
        <f t="shared" ca="1" si="534"/>
        <v>#NAME?</v>
      </c>
      <c r="AL185" s="275"/>
      <c r="AM185" s="275"/>
      <c r="AN185" s="275"/>
      <c r="AO185" s="674"/>
    </row>
    <row r="186" spans="13:41">
      <c r="M186" s="673"/>
      <c r="N186" s="275">
        <v>9</v>
      </c>
      <c r="O186" s="275" t="s">
        <v>987</v>
      </c>
      <c r="P186" s="275" t="e">
        <f ca="1">SQRT(P184)/(R177/2)*60</f>
        <v>#NAME?</v>
      </c>
      <c r="Q186" s="648" t="e">
        <f t="shared" ca="1" si="527"/>
        <v>#NAME?</v>
      </c>
      <c r="R186" s="648" t="e">
        <f t="shared" ca="1" si="528"/>
        <v>#NAME?</v>
      </c>
      <c r="S186" s="648" t="e">
        <f t="shared" ca="1" si="529"/>
        <v>#NAME?</v>
      </c>
      <c r="T186" s="648" t="e">
        <f t="shared" ca="1" si="530"/>
        <v>#NAME?</v>
      </c>
      <c r="U186" s="275"/>
      <c r="V186" s="275"/>
      <c r="W186" s="275"/>
      <c r="X186" s="275"/>
      <c r="Y186" s="275"/>
      <c r="Z186" s="275"/>
      <c r="AA186" s="275"/>
      <c r="AB186" s="275"/>
      <c r="AC186" s="275"/>
      <c r="AD186" s="275"/>
      <c r="AE186" s="275">
        <v>35</v>
      </c>
      <c r="AF186" s="275" t="s">
        <v>923</v>
      </c>
      <c r="AG186" s="275" t="e">
        <f ca="1">AG185+AG184</f>
        <v>#NAME?</v>
      </c>
      <c r="AH186" s="648" t="e">
        <f t="shared" ca="1" si="531"/>
        <v>#NAME?</v>
      </c>
      <c r="AI186" s="648" t="e">
        <f t="shared" ca="1" si="532"/>
        <v>#NAME?</v>
      </c>
      <c r="AJ186" s="648" t="e">
        <f t="shared" ca="1" si="533"/>
        <v>#NAME?</v>
      </c>
      <c r="AK186" s="648" t="e">
        <f t="shared" ca="1" si="534"/>
        <v>#NAME?</v>
      </c>
      <c r="AL186" s="275"/>
      <c r="AM186" s="275"/>
      <c r="AN186" s="275"/>
      <c r="AO186" s="674"/>
    </row>
    <row r="187" spans="13:41">
      <c r="M187" s="673"/>
      <c r="N187" s="275">
        <v>10</v>
      </c>
      <c r="O187" s="275" t="s">
        <v>988</v>
      </c>
      <c r="P187" s="275" t="e">
        <f ca="1">[2]!asn(P185)</f>
        <v>#NAME?</v>
      </c>
      <c r="Q187" s="648" t="e">
        <f t="shared" ca="1" si="527"/>
        <v>#NAME?</v>
      </c>
      <c r="R187" s="648" t="e">
        <f t="shared" ca="1" si="528"/>
        <v>#NAME?</v>
      </c>
      <c r="S187" s="648" t="e">
        <f t="shared" ca="1" si="529"/>
        <v>#NAME?</v>
      </c>
      <c r="T187" s="648" t="e">
        <f t="shared" ca="1" si="530"/>
        <v>#NAME?</v>
      </c>
      <c r="U187" s="275"/>
      <c r="V187" s="275"/>
      <c r="W187" s="275"/>
      <c r="X187" s="275"/>
      <c r="Y187" s="275"/>
      <c r="Z187" s="275"/>
      <c r="AA187" s="275"/>
      <c r="AB187" s="275"/>
      <c r="AC187" s="275"/>
      <c r="AD187" s="275"/>
      <c r="AE187" s="275">
        <v>36</v>
      </c>
      <c r="AF187" s="275" t="s">
        <v>925</v>
      </c>
      <c r="AG187" s="275" t="e">
        <f ca="1">POWER(AG186,2)</f>
        <v>#NAME?</v>
      </c>
      <c r="AH187" s="648" t="e">
        <f t="shared" ca="1" si="531"/>
        <v>#NAME?</v>
      </c>
      <c r="AI187" s="648" t="e">
        <f t="shared" ca="1" si="532"/>
        <v>#NAME?</v>
      </c>
      <c r="AJ187" s="648" t="e">
        <f t="shared" ca="1" si="533"/>
        <v>#NAME?</v>
      </c>
      <c r="AK187" s="648" t="e">
        <f t="shared" ca="1" si="534"/>
        <v>#NAME?</v>
      </c>
      <c r="AL187" s="275"/>
      <c r="AM187" s="275"/>
      <c r="AN187" s="275"/>
      <c r="AO187" s="674"/>
    </row>
    <row r="188" spans="13:41">
      <c r="M188" s="673"/>
      <c r="N188" s="648">
        <v>11</v>
      </c>
      <c r="O188" s="275" t="s">
        <v>989</v>
      </c>
      <c r="P188" s="275" t="e">
        <f ca="1">[2]!asn(P186)</f>
        <v>#NAME?</v>
      </c>
      <c r="Q188" s="648" t="e">
        <f t="shared" ca="1" si="527"/>
        <v>#NAME?</v>
      </c>
      <c r="R188" s="648" t="e">
        <f t="shared" ca="1" si="528"/>
        <v>#NAME?</v>
      </c>
      <c r="S188" s="648" t="e">
        <f t="shared" ca="1" si="529"/>
        <v>#NAME?</v>
      </c>
      <c r="T188" s="648" t="e">
        <f t="shared" ca="1" si="530"/>
        <v>#NAME?</v>
      </c>
      <c r="U188" s="275"/>
      <c r="V188" s="275"/>
      <c r="W188" s="275"/>
      <c r="X188" s="275"/>
      <c r="Y188" s="275"/>
      <c r="Z188" s="275"/>
      <c r="AA188" s="275"/>
      <c r="AB188" s="275"/>
      <c r="AC188" s="275"/>
      <c r="AD188" s="275"/>
      <c r="AE188" s="275">
        <v>37</v>
      </c>
      <c r="AF188" s="275" t="s">
        <v>926</v>
      </c>
      <c r="AG188" s="275" t="e">
        <f ca="1">POWER(AG173,2)</f>
        <v>#NAME?</v>
      </c>
      <c r="AH188" s="648" t="e">
        <f t="shared" ca="1" si="531"/>
        <v>#NAME?</v>
      </c>
      <c r="AI188" s="648" t="e">
        <f t="shared" ca="1" si="532"/>
        <v>#NAME?</v>
      </c>
      <c r="AJ188" s="648" t="e">
        <f t="shared" ca="1" si="533"/>
        <v>#NAME?</v>
      </c>
      <c r="AK188" s="648" t="e">
        <f t="shared" ca="1" si="534"/>
        <v>#NAME?</v>
      </c>
      <c r="AL188" s="275"/>
      <c r="AM188" s="275"/>
      <c r="AN188" s="275"/>
      <c r="AO188" s="674"/>
    </row>
    <row r="189" spans="13:41">
      <c r="M189" s="673"/>
      <c r="N189" s="275">
        <v>12</v>
      </c>
      <c r="O189" s="275" t="s">
        <v>948</v>
      </c>
      <c r="P189" s="275" t="e">
        <f ca="1">((P187/3)*(P178))/60</f>
        <v>#NAME?</v>
      </c>
      <c r="Q189" s="648" t="e">
        <f t="shared" ca="1" si="527"/>
        <v>#NAME?</v>
      </c>
      <c r="R189" s="648" t="e">
        <f t="shared" ca="1" si="528"/>
        <v>#NAME?</v>
      </c>
      <c r="S189" s="648" t="e">
        <f t="shared" ca="1" si="529"/>
        <v>#NAME?</v>
      </c>
      <c r="T189" s="648" t="e">
        <f t="shared" ca="1" si="530"/>
        <v>#NAME?</v>
      </c>
      <c r="U189" s="275"/>
      <c r="V189" s="275"/>
      <c r="W189" s="275"/>
      <c r="X189" s="275"/>
      <c r="Y189" s="275"/>
      <c r="Z189" s="275"/>
      <c r="AA189" s="275"/>
      <c r="AB189" s="275"/>
      <c r="AC189" s="275"/>
      <c r="AD189" s="275"/>
      <c r="AE189" s="275">
        <v>38</v>
      </c>
      <c r="AF189" s="275" t="s">
        <v>839</v>
      </c>
      <c r="AG189" s="275" t="e">
        <f ca="1">ABS(AG187-AG188)</f>
        <v>#NAME?</v>
      </c>
      <c r="AH189" s="648" t="e">
        <f t="shared" ca="1" si="531"/>
        <v>#NAME?</v>
      </c>
      <c r="AI189" s="648" t="e">
        <f t="shared" ca="1" si="532"/>
        <v>#NAME?</v>
      </c>
      <c r="AJ189" s="648" t="e">
        <f t="shared" ca="1" si="533"/>
        <v>#NAME?</v>
      </c>
      <c r="AK189" s="648" t="e">
        <f t="shared" ca="1" si="534"/>
        <v>#NAME?</v>
      </c>
      <c r="AL189" s="275"/>
      <c r="AM189" s="275"/>
      <c r="AN189" s="275"/>
      <c r="AO189" s="674"/>
    </row>
    <row r="190" spans="13:41">
      <c r="M190" s="673"/>
      <c r="N190" s="275">
        <v>13</v>
      </c>
      <c r="O190" s="275" t="s">
        <v>950</v>
      </c>
      <c r="P190" s="275" t="e">
        <f ca="1">((P188/3)*P179)/60</f>
        <v>#NAME?</v>
      </c>
      <c r="Q190" s="648" t="e">
        <f t="shared" ca="1" si="527"/>
        <v>#NAME?</v>
      </c>
      <c r="R190" s="648" t="e">
        <f t="shared" ca="1" si="528"/>
        <v>#NAME?</v>
      </c>
      <c r="S190" s="648" t="e">
        <f t="shared" ca="1" si="529"/>
        <v>#NAME?</v>
      </c>
      <c r="T190" s="648" t="e">
        <f t="shared" ca="1" si="530"/>
        <v>#NAME?</v>
      </c>
      <c r="U190" s="275"/>
      <c r="V190" s="275"/>
      <c r="W190" s="275"/>
      <c r="X190" s="275"/>
      <c r="Y190" s="275"/>
      <c r="Z190" s="275"/>
      <c r="AA190" s="275"/>
      <c r="AB190" s="275"/>
      <c r="AC190" s="275"/>
      <c r="AD190" s="275"/>
      <c r="AE190" s="275">
        <v>39</v>
      </c>
      <c r="AF190" s="275" t="s">
        <v>927</v>
      </c>
      <c r="AG190" s="275" t="e">
        <f ca="1">SQRT(AG189)</f>
        <v>#NAME?</v>
      </c>
      <c r="AH190" s="648" t="e">
        <f t="shared" ca="1" si="531"/>
        <v>#NAME?</v>
      </c>
      <c r="AI190" s="648" t="e">
        <f t="shared" ca="1" si="532"/>
        <v>#NAME?</v>
      </c>
      <c r="AJ190" s="648" t="e">
        <f t="shared" ca="1" si="533"/>
        <v>#NAME?</v>
      </c>
      <c r="AK190" s="648" t="e">
        <f t="shared" ca="1" si="534"/>
        <v>#NAME?</v>
      </c>
      <c r="AL190" s="275"/>
      <c r="AM190" s="275"/>
      <c r="AN190" s="275"/>
      <c r="AO190" s="674"/>
    </row>
    <row r="191" spans="13:41">
      <c r="M191" s="673"/>
      <c r="N191" s="648">
        <v>14</v>
      </c>
      <c r="O191" s="275" t="s">
        <v>990</v>
      </c>
      <c r="P191" s="275" t="e">
        <f ca="1">IF(P183&gt;Q177/2,(P178-P189)+P190,P189+P190)</f>
        <v>#NAME?</v>
      </c>
      <c r="Q191" s="648" t="e">
        <f t="shared" ca="1" si="527"/>
        <v>#NAME?</v>
      </c>
      <c r="R191" s="648" t="e">
        <f t="shared" ca="1" si="528"/>
        <v>#NAME?</v>
      </c>
      <c r="S191" s="648" t="e">
        <f t="shared" ca="1" si="529"/>
        <v>#NAME?</v>
      </c>
      <c r="T191" s="648" t="e">
        <f t="shared" ca="1" si="530"/>
        <v>#NAME?</v>
      </c>
      <c r="U191" s="275"/>
      <c r="V191" s="275"/>
      <c r="W191" s="275"/>
      <c r="X191" s="275"/>
      <c r="Y191" s="275"/>
      <c r="Z191" s="275"/>
      <c r="AA191" s="275"/>
      <c r="AB191" s="275"/>
      <c r="AC191" s="275"/>
      <c r="AD191" s="275"/>
      <c r="AE191" s="275">
        <v>40</v>
      </c>
      <c r="AF191" s="275" t="s">
        <v>928</v>
      </c>
      <c r="AG191" s="275" t="e">
        <f ca="1">AG190/O165</f>
        <v>#NAME?</v>
      </c>
      <c r="AH191" s="648" t="e">
        <f t="shared" ca="1" si="531"/>
        <v>#NAME?</v>
      </c>
      <c r="AI191" s="648" t="e">
        <f t="shared" ca="1" si="532"/>
        <v>#NAME?</v>
      </c>
      <c r="AJ191" s="648" t="e">
        <f t="shared" ca="1" si="533"/>
        <v>#NAME?</v>
      </c>
      <c r="AK191" s="648" t="e">
        <f t="shared" ca="1" si="534"/>
        <v>#NAME?</v>
      </c>
      <c r="AL191" s="275"/>
      <c r="AM191" s="275"/>
      <c r="AN191" s="275"/>
      <c r="AO191" s="674"/>
    </row>
    <row r="192" spans="13:41">
      <c r="M192" s="673"/>
      <c r="N192" s="275">
        <v>15</v>
      </c>
      <c r="O192" s="275" t="s">
        <v>959</v>
      </c>
      <c r="P192" s="275" t="e">
        <f ca="1">((P191-(SQRT(P184)*(AG174)))*12)/P178</f>
        <v>#NAME?</v>
      </c>
      <c r="Q192" s="648" t="e">
        <f t="shared" ca="1" si="527"/>
        <v>#NAME?</v>
      </c>
      <c r="R192" s="648" t="e">
        <f t="shared" ca="1" si="528"/>
        <v>#NAME?</v>
      </c>
      <c r="S192" s="648" t="e">
        <f t="shared" ca="1" si="529"/>
        <v>#NAME?</v>
      </c>
      <c r="T192" s="648" t="e">
        <f t="shared" ca="1" si="530"/>
        <v>#NAME?</v>
      </c>
      <c r="U192" s="275"/>
      <c r="V192" s="275"/>
      <c r="W192" s="275"/>
      <c r="X192" s="275"/>
      <c r="Y192" s="275"/>
      <c r="Z192" s="275"/>
      <c r="AA192" s="275"/>
      <c r="AB192" s="275"/>
      <c r="AC192" s="275"/>
      <c r="AD192" s="275"/>
      <c r="AE192" s="275">
        <v>41</v>
      </c>
      <c r="AF192" s="275" t="s">
        <v>929</v>
      </c>
      <c r="AG192" s="275" t="e">
        <f ca="1">AG179-AG191</f>
        <v>#NAME?</v>
      </c>
      <c r="AH192" s="648" t="e">
        <f t="shared" ca="1" si="531"/>
        <v>#NAME?</v>
      </c>
      <c r="AI192" s="648" t="e">
        <f t="shared" ca="1" si="532"/>
        <v>#NAME?</v>
      </c>
      <c r="AJ192" s="648" t="e">
        <f t="shared" ca="1" si="533"/>
        <v>#NAME?</v>
      </c>
      <c r="AK192" s="648" t="e">
        <f t="shared" ca="1" si="534"/>
        <v>#NAME?</v>
      </c>
      <c r="AL192" s="275"/>
      <c r="AM192" s="275"/>
      <c r="AN192" s="275"/>
      <c r="AO192" s="674"/>
    </row>
    <row r="193" spans="13:41">
      <c r="M193" s="673"/>
      <c r="N193" s="275"/>
      <c r="O193" s="275"/>
      <c r="P193" s="275"/>
      <c r="Q193" s="275"/>
      <c r="R193" s="275"/>
      <c r="S193" s="275"/>
      <c r="T193" s="275"/>
      <c r="U193" s="275"/>
      <c r="V193" s="275"/>
      <c r="W193" s="275"/>
      <c r="X193" s="275"/>
      <c r="Y193" s="275"/>
      <c r="Z193" s="275"/>
      <c r="AA193" s="275"/>
      <c r="AB193" s="275"/>
      <c r="AC193" s="275"/>
      <c r="AD193" s="275"/>
      <c r="AE193" s="275">
        <v>42</v>
      </c>
      <c r="AF193" s="275" t="s">
        <v>930</v>
      </c>
      <c r="AG193" s="275" t="e">
        <f ca="1">AG179+AG191</f>
        <v>#NAME?</v>
      </c>
      <c r="AH193" s="648" t="e">
        <f t="shared" ca="1" si="531"/>
        <v>#NAME?</v>
      </c>
      <c r="AI193" s="648" t="e">
        <f t="shared" ca="1" si="532"/>
        <v>#NAME?</v>
      </c>
      <c r="AJ193" s="648" t="e">
        <f t="shared" ca="1" si="533"/>
        <v>#NAME?</v>
      </c>
      <c r="AK193" s="648" t="e">
        <f t="shared" ca="1" si="534"/>
        <v>#NAME?</v>
      </c>
      <c r="AL193" s="275"/>
      <c r="AM193" s="275"/>
      <c r="AN193" s="275"/>
      <c r="AO193" s="674"/>
    </row>
    <row r="194" spans="13:41">
      <c r="M194" s="673"/>
      <c r="N194" s="275"/>
      <c r="O194" s="275"/>
      <c r="P194" s="275"/>
      <c r="Q194" s="275"/>
      <c r="R194" s="275"/>
      <c r="S194" s="275"/>
      <c r="T194" s="275"/>
      <c r="U194" s="275"/>
      <c r="V194" s="275"/>
      <c r="W194" s="275"/>
      <c r="X194" s="275"/>
      <c r="Y194" s="275"/>
      <c r="Z194" s="275"/>
      <c r="AA194" s="275"/>
      <c r="AB194" s="275"/>
      <c r="AC194" s="275"/>
      <c r="AD194" s="275"/>
      <c r="AE194" s="275">
        <v>43</v>
      </c>
      <c r="AF194" s="275" t="s">
        <v>931</v>
      </c>
      <c r="AG194" s="275" t="e">
        <f ca="1">AG191*2</f>
        <v>#NAME?</v>
      </c>
      <c r="AH194" s="648" t="e">
        <f t="shared" ca="1" si="531"/>
        <v>#NAME?</v>
      </c>
      <c r="AI194" s="648" t="e">
        <f t="shared" ca="1" si="532"/>
        <v>#NAME?</v>
      </c>
      <c r="AJ194" s="648" t="e">
        <f t="shared" ca="1" si="533"/>
        <v>#NAME?</v>
      </c>
      <c r="AK194" s="648" t="e">
        <f t="shared" ca="1" si="534"/>
        <v>#NAME?</v>
      </c>
      <c r="AL194" s="275"/>
      <c r="AM194" s="275"/>
      <c r="AN194" s="275"/>
      <c r="AO194" s="674"/>
    </row>
    <row r="195" spans="13:41">
      <c r="M195" s="673"/>
      <c r="N195" s="275"/>
      <c r="O195" s="275"/>
      <c r="P195" s="275"/>
      <c r="Q195" s="275"/>
      <c r="R195" s="275"/>
      <c r="S195" s="275"/>
      <c r="T195" s="275"/>
      <c r="U195" s="275"/>
      <c r="V195" s="275"/>
      <c r="W195" s="275"/>
      <c r="X195" s="275"/>
      <c r="Y195" s="275"/>
      <c r="Z195" s="275"/>
      <c r="AA195" s="275"/>
      <c r="AB195" s="275"/>
      <c r="AC195" s="275"/>
      <c r="AD195" s="275"/>
      <c r="AE195" s="275">
        <v>44</v>
      </c>
      <c r="AF195" s="275" t="s">
        <v>839</v>
      </c>
      <c r="AG195" s="275" t="e">
        <f ca="1">AG184-AG185</f>
        <v>#NAME?</v>
      </c>
      <c r="AH195" s="648" t="e">
        <f t="shared" ca="1" si="531"/>
        <v>#NAME?</v>
      </c>
      <c r="AI195" s="648" t="e">
        <f t="shared" ca="1" si="532"/>
        <v>#NAME?</v>
      </c>
      <c r="AJ195" s="648" t="e">
        <f t="shared" ca="1" si="533"/>
        <v>#NAME?</v>
      </c>
      <c r="AK195" s="648" t="e">
        <f t="shared" ca="1" si="534"/>
        <v>#NAME?</v>
      </c>
      <c r="AL195" s="275"/>
      <c r="AM195" s="275"/>
      <c r="AN195" s="275"/>
      <c r="AO195" s="674"/>
    </row>
    <row r="196" spans="13:41">
      <c r="M196" s="673"/>
      <c r="N196" s="275"/>
      <c r="O196" s="275"/>
      <c r="P196" s="275"/>
      <c r="Q196" s="275"/>
      <c r="R196" s="275"/>
      <c r="S196" s="275"/>
      <c r="T196" s="275"/>
      <c r="U196" s="275"/>
      <c r="V196" s="275"/>
      <c r="W196" s="275"/>
      <c r="X196" s="275"/>
      <c r="Y196" s="275"/>
      <c r="Z196" s="275"/>
      <c r="AA196" s="275"/>
      <c r="AB196" s="275"/>
      <c r="AC196" s="275"/>
      <c r="AD196" s="275"/>
      <c r="AE196" s="275">
        <v>45</v>
      </c>
      <c r="AF196" s="275"/>
      <c r="AG196" s="275" t="e">
        <f ca="1">IF(AG195&gt;ABS(AG153),"خسوف کلی با مکث",IF(AG195=ABS(AG153),"خسوف کلی بدون مکث","خسوف جزئی"))</f>
        <v>#NAME?</v>
      </c>
      <c r="AH196" s="648"/>
      <c r="AI196" s="648"/>
      <c r="AJ196" s="648"/>
      <c r="AK196" s="648"/>
      <c r="AL196" s="275"/>
      <c r="AM196" s="275"/>
      <c r="AN196" s="275"/>
      <c r="AO196" s="674"/>
    </row>
    <row r="197" spans="13:41">
      <c r="M197" s="673"/>
      <c r="N197" s="275"/>
      <c r="O197" s="275"/>
      <c r="P197" s="275"/>
      <c r="Q197" s="275"/>
      <c r="R197" s="275"/>
      <c r="S197" s="275"/>
      <c r="T197" s="275"/>
      <c r="U197" s="275"/>
      <c r="V197" s="275"/>
      <c r="W197" s="275"/>
      <c r="X197" s="275"/>
      <c r="Y197" s="275"/>
      <c r="Z197" s="275"/>
      <c r="AA197" s="275"/>
      <c r="AB197" s="275"/>
      <c r="AC197" s="275"/>
      <c r="AD197" s="275"/>
      <c r="AE197" s="275"/>
      <c r="AF197" s="275" t="s">
        <v>1019</v>
      </c>
      <c r="AG197" s="275" t="e">
        <f ca="1">SQRT(POWER(AG195,2)-POWER(AG174,2))/O165</f>
        <v>#NAME?</v>
      </c>
      <c r="AH197" s="648" t="e">
        <f t="shared" ref="AH197:AH234" ca="1" si="535">INT(ABS(AG197))</f>
        <v>#NAME?</v>
      </c>
      <c r="AI197" s="648" t="e">
        <f t="shared" ref="AI197:AI234" ca="1" si="536">INT((ABS(AG197)-AH197)*60)</f>
        <v>#NAME?</v>
      </c>
      <c r="AJ197" s="648" t="e">
        <f t="shared" ref="AJ197:AJ234" ca="1" si="537">INT((((ABS(AG197)-AH197)*60)-AI197)*60)</f>
        <v>#NAME?</v>
      </c>
      <c r="AK197" s="648" t="e">
        <f t="shared" ref="AK197:AK234" ca="1" si="538">INT((((((ABS(AG197)-AH197)*60)-AI197)*60)-AJ197)*60)</f>
        <v>#NAME?</v>
      </c>
      <c r="AL197" s="275"/>
      <c r="AM197" s="275"/>
      <c r="AN197" s="275"/>
      <c r="AO197" s="674"/>
    </row>
    <row r="198" spans="13:41">
      <c r="M198" s="673"/>
      <c r="N198" s="275"/>
      <c r="O198" s="275"/>
      <c r="P198" s="275"/>
      <c r="Q198" s="275"/>
      <c r="R198" s="275"/>
      <c r="S198" s="275"/>
      <c r="T198" s="275"/>
      <c r="U198" s="275"/>
      <c r="V198" s="275"/>
      <c r="W198" s="275"/>
      <c r="X198" s="275"/>
      <c r="Y198" s="275"/>
      <c r="Z198" s="275"/>
      <c r="AA198" s="275"/>
      <c r="AB198" s="275"/>
      <c r="AC198" s="275"/>
      <c r="AD198" s="275"/>
      <c r="AE198" s="275"/>
      <c r="AF198" s="275" t="s">
        <v>1020</v>
      </c>
      <c r="AG198" s="275" t="e">
        <f ca="1">AG179-AG197</f>
        <v>#NAME?</v>
      </c>
      <c r="AH198" s="648" t="e">
        <f t="shared" ca="1" si="535"/>
        <v>#NAME?</v>
      </c>
      <c r="AI198" s="648" t="e">
        <f t="shared" ca="1" si="536"/>
        <v>#NAME?</v>
      </c>
      <c r="AJ198" s="648" t="e">
        <f t="shared" ca="1" si="537"/>
        <v>#NAME?</v>
      </c>
      <c r="AK198" s="648" t="e">
        <f t="shared" ca="1" si="538"/>
        <v>#NAME?</v>
      </c>
      <c r="AL198" s="275"/>
      <c r="AM198" s="275"/>
      <c r="AN198" s="275"/>
      <c r="AO198" s="674"/>
    </row>
    <row r="199" spans="13:41">
      <c r="M199" s="673"/>
      <c r="N199" s="275"/>
      <c r="O199" s="275"/>
      <c r="P199" s="275"/>
      <c r="Q199" s="275"/>
      <c r="R199" s="275"/>
      <c r="S199" s="275"/>
      <c r="T199" s="275"/>
      <c r="U199" s="275"/>
      <c r="V199" s="275"/>
      <c r="W199" s="275"/>
      <c r="X199" s="275"/>
      <c r="Y199" s="275"/>
      <c r="Z199" s="275"/>
      <c r="AA199" s="275"/>
      <c r="AB199" s="275"/>
      <c r="AC199" s="275"/>
      <c r="AD199" s="275"/>
      <c r="AE199" s="275">
        <v>46</v>
      </c>
      <c r="AF199" s="275" t="s">
        <v>923</v>
      </c>
      <c r="AG199" s="275" t="e">
        <f ca="1">AG186</f>
        <v>#NAME?</v>
      </c>
      <c r="AH199" s="648" t="e">
        <f t="shared" ca="1" si="535"/>
        <v>#NAME?</v>
      </c>
      <c r="AI199" s="648" t="e">
        <f t="shared" ca="1" si="536"/>
        <v>#NAME?</v>
      </c>
      <c r="AJ199" s="648" t="e">
        <f t="shared" ca="1" si="537"/>
        <v>#NAME?</v>
      </c>
      <c r="AK199" s="648" t="e">
        <f t="shared" ca="1" si="538"/>
        <v>#NAME?</v>
      </c>
      <c r="AL199" s="275"/>
      <c r="AM199" s="275"/>
      <c r="AN199" s="275"/>
      <c r="AO199" s="674"/>
    </row>
    <row r="200" spans="13:41">
      <c r="M200" s="673"/>
      <c r="N200" s="275"/>
      <c r="O200" s="275"/>
      <c r="P200" s="275"/>
      <c r="Q200" s="275"/>
      <c r="R200" s="275"/>
      <c r="S200" s="275"/>
      <c r="T200" s="275"/>
      <c r="U200" s="275"/>
      <c r="V200" s="275"/>
      <c r="W200" s="275"/>
      <c r="X200" s="275"/>
      <c r="Y200" s="275"/>
      <c r="Z200" s="275"/>
      <c r="AA200" s="275"/>
      <c r="AB200" s="275"/>
      <c r="AC200" s="275"/>
      <c r="AD200" s="275"/>
      <c r="AE200" s="275">
        <v>47</v>
      </c>
      <c r="AF200" s="275" t="s">
        <v>932</v>
      </c>
      <c r="AG200" s="275" t="e">
        <f ca="1">ABS(AG199-ABS(AG174))</f>
        <v>#NAME?</v>
      </c>
      <c r="AH200" s="648" t="e">
        <f t="shared" ca="1" si="535"/>
        <v>#NAME?</v>
      </c>
      <c r="AI200" s="648" t="e">
        <f t="shared" ca="1" si="536"/>
        <v>#NAME?</v>
      </c>
      <c r="AJ200" s="648" t="e">
        <f t="shared" ca="1" si="537"/>
        <v>#NAME?</v>
      </c>
      <c r="AK200" s="648" t="e">
        <f t="shared" ca="1" si="538"/>
        <v>#NAME?</v>
      </c>
      <c r="AL200" s="275"/>
      <c r="AM200" s="275"/>
      <c r="AN200" s="275"/>
      <c r="AO200" s="674"/>
    </row>
    <row r="201" spans="13:41">
      <c r="M201" s="673"/>
      <c r="N201" s="275"/>
      <c r="O201" s="275"/>
      <c r="P201" s="275"/>
      <c r="Q201" s="275"/>
      <c r="R201" s="275"/>
      <c r="S201" s="275"/>
      <c r="T201" s="275"/>
      <c r="U201" s="275"/>
      <c r="V201" s="275"/>
      <c r="W201" s="275"/>
      <c r="X201" s="275"/>
      <c r="Y201" s="275"/>
      <c r="Z201" s="275"/>
      <c r="AA201" s="275"/>
      <c r="AB201" s="275"/>
      <c r="AC201" s="275"/>
      <c r="AD201" s="275"/>
      <c r="AE201" s="275">
        <v>48</v>
      </c>
      <c r="AF201" s="275" t="s">
        <v>933</v>
      </c>
      <c r="AG201" s="275" t="e">
        <f ca="1">AG200*12</f>
        <v>#NAME?</v>
      </c>
      <c r="AH201" s="648" t="e">
        <f t="shared" ca="1" si="535"/>
        <v>#NAME?</v>
      </c>
      <c r="AI201" s="648" t="e">
        <f t="shared" ca="1" si="536"/>
        <v>#NAME?</v>
      </c>
      <c r="AJ201" s="648" t="e">
        <f t="shared" ca="1" si="537"/>
        <v>#NAME?</v>
      </c>
      <c r="AK201" s="648" t="e">
        <f t="shared" ca="1" si="538"/>
        <v>#NAME?</v>
      </c>
      <c r="AL201" s="275"/>
      <c r="AM201" s="275"/>
      <c r="AN201" s="275"/>
      <c r="AO201" s="674"/>
    </row>
    <row r="202" spans="13:41">
      <c r="M202" s="673"/>
      <c r="N202" s="275"/>
      <c r="O202" s="275"/>
      <c r="P202" s="275"/>
      <c r="Q202" s="275"/>
      <c r="R202" s="275"/>
      <c r="S202" s="275"/>
      <c r="T202" s="275"/>
      <c r="U202" s="275"/>
      <c r="V202" s="275"/>
      <c r="W202" s="275"/>
      <c r="X202" s="275"/>
      <c r="Y202" s="275"/>
      <c r="Z202" s="275"/>
      <c r="AA202" s="275"/>
      <c r="AB202" s="275"/>
      <c r="AC202" s="275"/>
      <c r="AD202" s="275"/>
      <c r="AE202" s="275">
        <v>49</v>
      </c>
      <c r="AF202" s="275" t="s">
        <v>934</v>
      </c>
      <c r="AG202" s="275" t="e">
        <f ca="1">AG201/AG168</f>
        <v>#NAME?</v>
      </c>
      <c r="AH202" s="648" t="e">
        <f t="shared" ca="1" si="535"/>
        <v>#NAME?</v>
      </c>
      <c r="AI202" s="648" t="e">
        <f t="shared" ca="1" si="536"/>
        <v>#NAME?</v>
      </c>
      <c r="AJ202" s="648" t="e">
        <f t="shared" ca="1" si="537"/>
        <v>#NAME?</v>
      </c>
      <c r="AK202" s="648" t="e">
        <f t="shared" ca="1" si="538"/>
        <v>#NAME?</v>
      </c>
      <c r="AL202" s="275"/>
      <c r="AM202" s="275"/>
      <c r="AN202" s="275"/>
      <c r="AO202" s="674"/>
    </row>
    <row r="203" spans="13:41">
      <c r="M203" s="673"/>
      <c r="N203" s="275"/>
      <c r="O203" s="275"/>
      <c r="P203" s="275"/>
      <c r="Q203" s="275"/>
      <c r="R203" s="275"/>
      <c r="S203" s="275"/>
      <c r="T203" s="275"/>
      <c r="U203" s="275"/>
      <c r="V203" s="275"/>
      <c r="W203" s="275"/>
      <c r="X203" s="275"/>
      <c r="Y203" s="275"/>
      <c r="Z203" s="275"/>
      <c r="AA203" s="275"/>
      <c r="AB203" s="275"/>
      <c r="AC203" s="275"/>
      <c r="AD203" s="275"/>
      <c r="AE203" s="275">
        <v>50</v>
      </c>
      <c r="AF203" s="275" t="s">
        <v>907</v>
      </c>
      <c r="AG203" s="275" t="e">
        <f ca="1">AG168</f>
        <v>#NAME?</v>
      </c>
      <c r="AH203" s="648" t="e">
        <f t="shared" ca="1" si="535"/>
        <v>#NAME?</v>
      </c>
      <c r="AI203" s="648" t="e">
        <f t="shared" ca="1" si="536"/>
        <v>#NAME?</v>
      </c>
      <c r="AJ203" s="648" t="e">
        <f t="shared" ca="1" si="537"/>
        <v>#NAME?</v>
      </c>
      <c r="AK203" s="648" t="e">
        <f t="shared" ca="1" si="538"/>
        <v>#NAME?</v>
      </c>
      <c r="AL203" s="275"/>
      <c r="AM203" s="275"/>
      <c r="AN203" s="275"/>
      <c r="AO203" s="674"/>
    </row>
    <row r="204" spans="13:41">
      <c r="M204" s="673"/>
      <c r="N204" s="275"/>
      <c r="O204" s="275"/>
      <c r="P204" s="275"/>
      <c r="Q204" s="275"/>
      <c r="R204" s="275"/>
      <c r="S204" s="275"/>
      <c r="T204" s="275"/>
      <c r="U204" s="275"/>
      <c r="V204" s="275"/>
      <c r="W204" s="275"/>
      <c r="X204" s="275"/>
      <c r="Y204" s="275"/>
      <c r="Z204" s="275"/>
      <c r="AA204" s="275"/>
      <c r="AB204" s="275"/>
      <c r="AC204" s="275"/>
      <c r="AD204" s="275"/>
      <c r="AE204" s="275">
        <v>51</v>
      </c>
      <c r="AF204" s="275" t="s">
        <v>924</v>
      </c>
      <c r="AG204" s="275" t="e">
        <f ca="1">POWER(AG203,2)</f>
        <v>#NAME?</v>
      </c>
      <c r="AH204" s="648" t="e">
        <f t="shared" ca="1" si="535"/>
        <v>#NAME?</v>
      </c>
      <c r="AI204" s="648" t="e">
        <f t="shared" ca="1" si="536"/>
        <v>#NAME?</v>
      </c>
      <c r="AJ204" s="648" t="e">
        <f t="shared" ca="1" si="537"/>
        <v>#NAME?</v>
      </c>
      <c r="AK204" s="648" t="e">
        <f t="shared" ca="1" si="538"/>
        <v>#NAME?</v>
      </c>
      <c r="AL204" s="275"/>
      <c r="AM204" s="275"/>
      <c r="AN204" s="275"/>
      <c r="AO204" s="674"/>
    </row>
    <row r="205" spans="13:41">
      <c r="M205" s="673"/>
      <c r="N205" s="275"/>
      <c r="O205" s="275"/>
      <c r="P205" s="275"/>
      <c r="Q205" s="275"/>
      <c r="R205" s="275"/>
      <c r="S205" s="275"/>
      <c r="T205" s="275"/>
      <c r="U205" s="275"/>
      <c r="V205" s="275"/>
      <c r="W205" s="275"/>
      <c r="X205" s="275"/>
      <c r="Y205" s="275"/>
      <c r="Z205" s="275"/>
      <c r="AA205" s="275"/>
      <c r="AB205" s="275"/>
      <c r="AC205" s="275"/>
      <c r="AD205" s="275"/>
      <c r="AE205" s="275">
        <v>52</v>
      </c>
      <c r="AF205" s="275" t="s">
        <v>787</v>
      </c>
      <c r="AG205" s="275" t="e">
        <f ca="1">AG204*11</f>
        <v>#NAME?</v>
      </c>
      <c r="AH205" s="648" t="e">
        <f t="shared" ca="1" si="535"/>
        <v>#NAME?</v>
      </c>
      <c r="AI205" s="648" t="e">
        <f t="shared" ca="1" si="536"/>
        <v>#NAME?</v>
      </c>
      <c r="AJ205" s="648" t="e">
        <f t="shared" ca="1" si="537"/>
        <v>#NAME?</v>
      </c>
      <c r="AK205" s="648" t="e">
        <f t="shared" ca="1" si="538"/>
        <v>#NAME?</v>
      </c>
      <c r="AL205" s="275"/>
      <c r="AM205" s="275"/>
      <c r="AN205" s="275"/>
      <c r="AO205" s="674"/>
    </row>
    <row r="206" spans="13:41">
      <c r="M206" s="673"/>
      <c r="N206" s="275"/>
      <c r="O206" s="275"/>
      <c r="P206" s="275"/>
      <c r="Q206" s="275"/>
      <c r="R206" s="275"/>
      <c r="S206" s="275"/>
      <c r="T206" s="275"/>
      <c r="U206" s="275"/>
      <c r="V206" s="275"/>
      <c r="W206" s="275"/>
      <c r="X206" s="275"/>
      <c r="Y206" s="275"/>
      <c r="Z206" s="275"/>
      <c r="AA206" s="275"/>
      <c r="AB206" s="275"/>
      <c r="AC206" s="275"/>
      <c r="AD206" s="275"/>
      <c r="AE206" s="275">
        <v>53</v>
      </c>
      <c r="AF206" s="275" t="s">
        <v>935</v>
      </c>
      <c r="AG206" s="275" t="e">
        <f ca="1">AG205/14</f>
        <v>#NAME?</v>
      </c>
      <c r="AH206" s="648" t="e">
        <f t="shared" ca="1" si="535"/>
        <v>#NAME?</v>
      </c>
      <c r="AI206" s="648" t="e">
        <f t="shared" ca="1" si="536"/>
        <v>#NAME?</v>
      </c>
      <c r="AJ206" s="648" t="e">
        <f t="shared" ca="1" si="537"/>
        <v>#NAME?</v>
      </c>
      <c r="AK206" s="648" t="e">
        <f t="shared" ca="1" si="538"/>
        <v>#NAME?</v>
      </c>
      <c r="AL206" s="275"/>
      <c r="AM206" s="275"/>
      <c r="AN206" s="275"/>
      <c r="AO206" s="674"/>
    </row>
    <row r="207" spans="13:41">
      <c r="M207" s="673"/>
      <c r="N207" s="275"/>
      <c r="O207" s="275"/>
      <c r="P207" s="275"/>
      <c r="Q207" s="275"/>
      <c r="R207" s="275"/>
      <c r="S207" s="275"/>
      <c r="T207" s="275"/>
      <c r="U207" s="275"/>
      <c r="V207" s="275"/>
      <c r="W207" s="275"/>
      <c r="X207" s="275"/>
      <c r="Y207" s="275"/>
      <c r="Z207" s="275"/>
      <c r="AA207" s="275"/>
      <c r="AB207" s="275"/>
      <c r="AC207" s="275"/>
      <c r="AD207" s="275"/>
      <c r="AE207" s="275">
        <v>54</v>
      </c>
      <c r="AF207" s="275" t="s">
        <v>936</v>
      </c>
      <c r="AG207" s="275" t="e">
        <f ca="1">AG184*2</f>
        <v>#NAME?</v>
      </c>
      <c r="AH207" s="648" t="e">
        <f t="shared" ca="1" si="535"/>
        <v>#NAME?</v>
      </c>
      <c r="AI207" s="648" t="e">
        <f t="shared" ca="1" si="536"/>
        <v>#NAME?</v>
      </c>
      <c r="AJ207" s="648" t="e">
        <f t="shared" ca="1" si="537"/>
        <v>#NAME?</v>
      </c>
      <c r="AK207" s="648" t="e">
        <f t="shared" ca="1" si="538"/>
        <v>#NAME?</v>
      </c>
      <c r="AL207" s="275"/>
      <c r="AM207" s="275"/>
      <c r="AN207" s="275"/>
      <c r="AO207" s="674"/>
    </row>
    <row r="208" spans="13:41">
      <c r="M208" s="673"/>
      <c r="N208" s="275"/>
      <c r="O208" s="275"/>
      <c r="P208" s="275"/>
      <c r="Q208" s="275"/>
      <c r="R208" s="275"/>
      <c r="S208" s="275"/>
      <c r="T208" s="275"/>
      <c r="U208" s="275"/>
      <c r="V208" s="275"/>
      <c r="W208" s="275"/>
      <c r="X208" s="275"/>
      <c r="Y208" s="275"/>
      <c r="Z208" s="275"/>
      <c r="AA208" s="275"/>
      <c r="AB208" s="275"/>
      <c r="AC208" s="275"/>
      <c r="AD208" s="275"/>
      <c r="AE208" s="275">
        <v>55</v>
      </c>
      <c r="AF208" s="275" t="s">
        <v>250</v>
      </c>
      <c r="AG208" s="275" t="e">
        <f ca="1">AG207-AG200</f>
        <v>#NAME?</v>
      </c>
      <c r="AH208" s="648" t="e">
        <f t="shared" ca="1" si="535"/>
        <v>#NAME?</v>
      </c>
      <c r="AI208" s="648" t="e">
        <f t="shared" ca="1" si="536"/>
        <v>#NAME?</v>
      </c>
      <c r="AJ208" s="648" t="e">
        <f t="shared" ca="1" si="537"/>
        <v>#NAME?</v>
      </c>
      <c r="AK208" s="648" t="e">
        <f t="shared" ca="1" si="538"/>
        <v>#NAME?</v>
      </c>
      <c r="AL208" s="275"/>
      <c r="AM208" s="275"/>
      <c r="AN208" s="275"/>
      <c r="AO208" s="674"/>
    </row>
    <row r="209" spans="13:41">
      <c r="M209" s="673"/>
      <c r="N209" s="275"/>
      <c r="O209" s="275"/>
      <c r="P209" s="275"/>
      <c r="Q209" s="275"/>
      <c r="R209" s="275"/>
      <c r="S209" s="275"/>
      <c r="T209" s="275"/>
      <c r="U209" s="275"/>
      <c r="V209" s="275"/>
      <c r="W209" s="275"/>
      <c r="X209" s="275"/>
      <c r="Y209" s="275"/>
      <c r="Z209" s="275"/>
      <c r="AA209" s="275"/>
      <c r="AB209" s="275"/>
      <c r="AC209" s="275"/>
      <c r="AD209" s="275"/>
      <c r="AE209" s="275">
        <v>56</v>
      </c>
      <c r="AF209" s="275" t="s">
        <v>937</v>
      </c>
      <c r="AG209" s="275" t="e">
        <f ca="1">AG208*AG200</f>
        <v>#NAME?</v>
      </c>
      <c r="AH209" s="648" t="e">
        <f t="shared" ca="1" si="535"/>
        <v>#NAME?</v>
      </c>
      <c r="AI209" s="648" t="e">
        <f t="shared" ca="1" si="536"/>
        <v>#NAME?</v>
      </c>
      <c r="AJ209" s="648" t="e">
        <f t="shared" ca="1" si="537"/>
        <v>#NAME?</v>
      </c>
      <c r="AK209" s="648" t="e">
        <f t="shared" ca="1" si="538"/>
        <v>#NAME?</v>
      </c>
      <c r="AL209" s="275"/>
      <c r="AM209" s="275"/>
      <c r="AN209" s="275"/>
      <c r="AO209" s="674"/>
    </row>
    <row r="210" spans="13:41">
      <c r="M210" s="673"/>
      <c r="N210" s="275"/>
      <c r="O210" s="275"/>
      <c r="P210" s="275"/>
      <c r="Q210" s="275"/>
      <c r="R210" s="275"/>
      <c r="S210" s="275"/>
      <c r="T210" s="275"/>
      <c r="U210" s="275"/>
      <c r="V210" s="275"/>
      <c r="W210" s="275"/>
      <c r="X210" s="275"/>
      <c r="Y210" s="275"/>
      <c r="Z210" s="275"/>
      <c r="AA210" s="275"/>
      <c r="AB210" s="275"/>
      <c r="AC210" s="275"/>
      <c r="AD210" s="275"/>
      <c r="AE210" s="275">
        <v>57</v>
      </c>
      <c r="AF210" s="275" t="s">
        <v>938</v>
      </c>
      <c r="AG210" s="275" t="e">
        <f ca="1">ABS(AG203-AG200)</f>
        <v>#NAME?</v>
      </c>
      <c r="AH210" s="648" t="e">
        <f t="shared" ca="1" si="535"/>
        <v>#NAME?</v>
      </c>
      <c r="AI210" s="648" t="e">
        <f t="shared" ca="1" si="536"/>
        <v>#NAME?</v>
      </c>
      <c r="AJ210" s="648" t="e">
        <f t="shared" ca="1" si="537"/>
        <v>#NAME?</v>
      </c>
      <c r="AK210" s="648" t="e">
        <f t="shared" ca="1" si="538"/>
        <v>#NAME?</v>
      </c>
      <c r="AL210" s="275"/>
      <c r="AM210" s="275"/>
      <c r="AN210" s="275"/>
      <c r="AO210" s="674"/>
    </row>
    <row r="211" spans="13:41">
      <c r="M211" s="673"/>
      <c r="N211" s="275"/>
      <c r="O211" s="275"/>
      <c r="P211" s="275"/>
      <c r="Q211" s="275"/>
      <c r="R211" s="275"/>
      <c r="S211" s="275"/>
      <c r="T211" s="275"/>
      <c r="U211" s="275"/>
      <c r="V211" s="275"/>
      <c r="W211" s="275"/>
      <c r="X211" s="275"/>
      <c r="Y211" s="275"/>
      <c r="Z211" s="275"/>
      <c r="AA211" s="275"/>
      <c r="AB211" s="275"/>
      <c r="AC211" s="275"/>
      <c r="AD211" s="275"/>
      <c r="AE211" s="275">
        <v>58</v>
      </c>
      <c r="AF211" s="275" t="s">
        <v>939</v>
      </c>
      <c r="AG211" s="275" t="e">
        <f ca="1">AG207-AG200</f>
        <v>#NAME?</v>
      </c>
      <c r="AH211" s="648" t="e">
        <f t="shared" ca="1" si="535"/>
        <v>#NAME?</v>
      </c>
      <c r="AI211" s="648" t="e">
        <f t="shared" ca="1" si="536"/>
        <v>#NAME?</v>
      </c>
      <c r="AJ211" s="648" t="e">
        <f t="shared" ca="1" si="537"/>
        <v>#NAME?</v>
      </c>
      <c r="AK211" s="648" t="e">
        <f t="shared" ca="1" si="538"/>
        <v>#NAME?</v>
      </c>
      <c r="AL211" s="275"/>
      <c r="AM211" s="275"/>
      <c r="AN211" s="275"/>
      <c r="AO211" s="674"/>
    </row>
    <row r="212" spans="13:41">
      <c r="M212" s="673"/>
      <c r="N212" s="275"/>
      <c r="O212" s="275"/>
      <c r="P212" s="275"/>
      <c r="Q212" s="275"/>
      <c r="R212" s="275"/>
      <c r="S212" s="275"/>
      <c r="T212" s="275"/>
      <c r="U212" s="275"/>
      <c r="V212" s="275"/>
      <c r="W212" s="275"/>
      <c r="X212" s="275"/>
      <c r="Y212" s="275"/>
      <c r="Z212" s="275"/>
      <c r="AA212" s="275"/>
      <c r="AB212" s="275"/>
      <c r="AC212" s="275"/>
      <c r="AD212" s="275"/>
      <c r="AE212" s="275">
        <v>59</v>
      </c>
      <c r="AF212" s="275" t="s">
        <v>940</v>
      </c>
      <c r="AG212" s="275" t="e">
        <f ca="1">AG211+AG210</f>
        <v>#NAME?</v>
      </c>
      <c r="AH212" s="648" t="e">
        <f t="shared" ca="1" si="535"/>
        <v>#NAME?</v>
      </c>
      <c r="AI212" s="648" t="e">
        <f t="shared" ca="1" si="536"/>
        <v>#NAME?</v>
      </c>
      <c r="AJ212" s="648" t="e">
        <f t="shared" ca="1" si="537"/>
        <v>#NAME?</v>
      </c>
      <c r="AK212" s="648" t="e">
        <f t="shared" ca="1" si="538"/>
        <v>#NAME?</v>
      </c>
      <c r="AL212" s="275"/>
      <c r="AM212" s="275"/>
      <c r="AN212" s="275"/>
      <c r="AO212" s="674"/>
    </row>
    <row r="213" spans="13:41">
      <c r="M213" s="673"/>
      <c r="N213" s="275"/>
      <c r="O213" s="275"/>
      <c r="P213" s="275"/>
      <c r="Q213" s="275"/>
      <c r="R213" s="275"/>
      <c r="S213" s="275"/>
      <c r="T213" s="275"/>
      <c r="U213" s="275"/>
      <c r="V213" s="275"/>
      <c r="W213" s="275"/>
      <c r="X213" s="275"/>
      <c r="Y213" s="275"/>
      <c r="Z213" s="275"/>
      <c r="AA213" s="275"/>
      <c r="AB213" s="275"/>
      <c r="AC213" s="275"/>
      <c r="AD213" s="275"/>
      <c r="AE213" s="275">
        <v>60</v>
      </c>
      <c r="AF213" s="275" t="s">
        <v>941</v>
      </c>
      <c r="AG213" s="275" t="e">
        <f ca="1">AG209/AG212</f>
        <v>#NAME?</v>
      </c>
      <c r="AH213" s="648" t="e">
        <f t="shared" ca="1" si="535"/>
        <v>#NAME?</v>
      </c>
      <c r="AI213" s="648" t="e">
        <f t="shared" ca="1" si="536"/>
        <v>#NAME?</v>
      </c>
      <c r="AJ213" s="648" t="e">
        <f t="shared" ca="1" si="537"/>
        <v>#NAME?</v>
      </c>
      <c r="AK213" s="648" t="e">
        <f t="shared" ca="1" si="538"/>
        <v>#NAME?</v>
      </c>
      <c r="AL213" s="275"/>
      <c r="AM213" s="275"/>
      <c r="AN213" s="275"/>
      <c r="AO213" s="674"/>
    </row>
    <row r="214" spans="13:41">
      <c r="M214" s="673"/>
      <c r="N214" s="275"/>
      <c r="O214" s="275"/>
      <c r="P214" s="275"/>
      <c r="Q214" s="275"/>
      <c r="R214" s="275"/>
      <c r="S214" s="275"/>
      <c r="T214" s="275"/>
      <c r="U214" s="275"/>
      <c r="V214" s="275"/>
      <c r="W214" s="275"/>
      <c r="X214" s="275"/>
      <c r="Y214" s="275"/>
      <c r="Z214" s="275"/>
      <c r="AA214" s="275"/>
      <c r="AB214" s="275"/>
      <c r="AC214" s="275"/>
      <c r="AD214" s="275"/>
      <c r="AE214" s="275">
        <v>61</v>
      </c>
      <c r="AF214" s="275" t="s">
        <v>942</v>
      </c>
      <c r="AG214" s="275" t="e">
        <f ca="1">AG203-AG213</f>
        <v>#NAME?</v>
      </c>
      <c r="AH214" s="648" t="e">
        <f t="shared" ca="1" si="535"/>
        <v>#NAME?</v>
      </c>
      <c r="AI214" s="648" t="e">
        <f t="shared" ca="1" si="536"/>
        <v>#NAME?</v>
      </c>
      <c r="AJ214" s="648" t="e">
        <f t="shared" ca="1" si="537"/>
        <v>#NAME?</v>
      </c>
      <c r="AK214" s="648" t="e">
        <f t="shared" ca="1" si="538"/>
        <v>#NAME?</v>
      </c>
      <c r="AL214" s="275"/>
      <c r="AM214" s="275"/>
      <c r="AN214" s="275"/>
      <c r="AO214" s="674"/>
    </row>
    <row r="215" spans="13:41">
      <c r="M215" s="673"/>
      <c r="N215" s="275"/>
      <c r="O215" s="275"/>
      <c r="P215" s="275"/>
      <c r="Q215" s="275"/>
      <c r="R215" s="275"/>
      <c r="S215" s="275"/>
      <c r="T215" s="275"/>
      <c r="U215" s="275"/>
      <c r="V215" s="275"/>
      <c r="W215" s="275"/>
      <c r="X215" s="275"/>
      <c r="Y215" s="275"/>
      <c r="Z215" s="275"/>
      <c r="AA215" s="275"/>
      <c r="AB215" s="275"/>
      <c r="AC215" s="275"/>
      <c r="AD215" s="275"/>
      <c r="AE215" s="275">
        <v>62</v>
      </c>
      <c r="AF215" s="275" t="s">
        <v>787</v>
      </c>
      <c r="AG215" s="275" t="e">
        <f ca="1">AG214*AG213</f>
        <v>#NAME?</v>
      </c>
      <c r="AH215" s="648" t="e">
        <f t="shared" ca="1" si="535"/>
        <v>#NAME?</v>
      </c>
      <c r="AI215" s="648" t="e">
        <f t="shared" ca="1" si="536"/>
        <v>#NAME?</v>
      </c>
      <c r="AJ215" s="648" t="e">
        <f t="shared" ca="1" si="537"/>
        <v>#NAME?</v>
      </c>
      <c r="AK215" s="648" t="e">
        <f t="shared" ca="1" si="538"/>
        <v>#NAME?</v>
      </c>
      <c r="AL215" s="275"/>
      <c r="AM215" s="275"/>
      <c r="AN215" s="275"/>
      <c r="AO215" s="674"/>
    </row>
    <row r="216" spans="13:41">
      <c r="M216" s="673"/>
      <c r="N216" s="275"/>
      <c r="O216" s="275"/>
      <c r="P216" s="275"/>
      <c r="Q216" s="275"/>
      <c r="R216" s="275"/>
      <c r="S216" s="275"/>
      <c r="T216" s="275"/>
      <c r="U216" s="275"/>
      <c r="V216" s="275"/>
      <c r="W216" s="275"/>
      <c r="X216" s="275"/>
      <c r="Y216" s="275"/>
      <c r="Z216" s="275"/>
      <c r="AA216" s="275"/>
      <c r="AB216" s="275"/>
      <c r="AC216" s="275"/>
      <c r="AD216" s="275"/>
      <c r="AE216" s="275">
        <v>63</v>
      </c>
      <c r="AF216" s="275" t="s">
        <v>927</v>
      </c>
      <c r="AG216" s="275" t="e">
        <f ca="1">SQRT(ABS(AG215))</f>
        <v>#NAME?</v>
      </c>
      <c r="AH216" s="648" t="e">
        <f t="shared" ca="1" si="535"/>
        <v>#NAME?</v>
      </c>
      <c r="AI216" s="648" t="e">
        <f t="shared" ca="1" si="536"/>
        <v>#NAME?</v>
      </c>
      <c r="AJ216" s="648" t="e">
        <f t="shared" ca="1" si="537"/>
        <v>#NAME?</v>
      </c>
      <c r="AK216" s="648" t="e">
        <f t="shared" ca="1" si="538"/>
        <v>#NAME?</v>
      </c>
      <c r="AL216" s="275"/>
      <c r="AM216" s="275"/>
      <c r="AN216" s="275"/>
      <c r="AO216" s="674"/>
    </row>
    <row r="217" spans="13:41">
      <c r="M217" s="673"/>
      <c r="N217" s="275"/>
      <c r="O217" s="275"/>
      <c r="P217" s="275"/>
      <c r="Q217" s="275"/>
      <c r="R217" s="275"/>
      <c r="S217" s="275"/>
      <c r="T217" s="275"/>
      <c r="U217" s="275"/>
      <c r="V217" s="275"/>
      <c r="W217" s="275"/>
      <c r="X217" s="275"/>
      <c r="Y217" s="275"/>
      <c r="Z217" s="275"/>
      <c r="AA217" s="275"/>
      <c r="AB217" s="275"/>
      <c r="AC217" s="275"/>
      <c r="AD217" s="275"/>
      <c r="AE217" s="275">
        <v>64</v>
      </c>
      <c r="AF217" s="275" t="s">
        <v>944</v>
      </c>
      <c r="AG217" s="275" t="e">
        <f ca="1">AG216*60/(AG161/2)</f>
        <v>#NAME?</v>
      </c>
      <c r="AH217" s="648" t="e">
        <f t="shared" ca="1" si="535"/>
        <v>#NAME?</v>
      </c>
      <c r="AI217" s="648" t="e">
        <f t="shared" ca="1" si="536"/>
        <v>#NAME?</v>
      </c>
      <c r="AJ217" s="648" t="e">
        <f t="shared" ca="1" si="537"/>
        <v>#NAME?</v>
      </c>
      <c r="AK217" s="648" t="e">
        <f t="shared" ca="1" si="538"/>
        <v>#NAME?</v>
      </c>
      <c r="AL217" s="275"/>
      <c r="AM217" s="275"/>
      <c r="AN217" s="275"/>
      <c r="AO217" s="674"/>
    </row>
    <row r="218" spans="13:41">
      <c r="M218" s="673"/>
      <c r="N218" s="275"/>
      <c r="O218" s="275"/>
      <c r="P218" s="275"/>
      <c r="Q218" s="275"/>
      <c r="R218" s="275"/>
      <c r="S218" s="275"/>
      <c r="T218" s="275"/>
      <c r="U218" s="275"/>
      <c r="V218" s="275"/>
      <c r="W218" s="275"/>
      <c r="X218" s="275"/>
      <c r="Y218" s="275"/>
      <c r="Z218" s="275"/>
      <c r="AA218" s="275"/>
      <c r="AB218" s="275"/>
      <c r="AC218" s="275"/>
      <c r="AD218" s="275"/>
      <c r="AE218" s="275">
        <v>65</v>
      </c>
      <c r="AF218" s="275" t="s">
        <v>943</v>
      </c>
      <c r="AG218" s="275" t="e">
        <f ca="1">[2]!asn(AG217)</f>
        <v>#NAME?</v>
      </c>
      <c r="AH218" s="648" t="e">
        <f t="shared" ca="1" si="535"/>
        <v>#NAME?</v>
      </c>
      <c r="AI218" s="648" t="e">
        <f t="shared" ca="1" si="536"/>
        <v>#NAME?</v>
      </c>
      <c r="AJ218" s="648" t="e">
        <f t="shared" ca="1" si="537"/>
        <v>#NAME?</v>
      </c>
      <c r="AK218" s="648" t="e">
        <f t="shared" ca="1" si="538"/>
        <v>#NAME?</v>
      </c>
      <c r="AL218" s="275"/>
      <c r="AM218" s="275"/>
      <c r="AN218" s="275"/>
      <c r="AO218" s="674"/>
    </row>
    <row r="219" spans="13:41">
      <c r="M219" s="673"/>
      <c r="N219" s="275"/>
      <c r="O219" s="275"/>
      <c r="P219" s="275"/>
      <c r="Q219" s="275"/>
      <c r="R219" s="275"/>
      <c r="S219" s="275"/>
      <c r="T219" s="275"/>
      <c r="U219" s="275"/>
      <c r="V219" s="275"/>
      <c r="W219" s="275"/>
      <c r="X219" s="275"/>
      <c r="Y219" s="275"/>
      <c r="Z219" s="275"/>
      <c r="AA219" s="275"/>
      <c r="AB219" s="275"/>
      <c r="AC219" s="275"/>
      <c r="AD219" s="275"/>
      <c r="AE219" s="275">
        <v>66</v>
      </c>
      <c r="AF219" s="275" t="s">
        <v>945</v>
      </c>
      <c r="AG219" s="275" t="e">
        <f ca="1">IF(AG213&lt;=(AG161/2),AG218,180-AG218)</f>
        <v>#NAME?</v>
      </c>
      <c r="AH219" s="648" t="e">
        <f t="shared" ca="1" si="535"/>
        <v>#NAME?</v>
      </c>
      <c r="AI219" s="648" t="e">
        <f t="shared" ca="1" si="536"/>
        <v>#NAME?</v>
      </c>
      <c r="AJ219" s="648" t="e">
        <f t="shared" ca="1" si="537"/>
        <v>#NAME?</v>
      </c>
      <c r="AK219" s="648" t="e">
        <f t="shared" ca="1" si="538"/>
        <v>#NAME?</v>
      </c>
      <c r="AL219" s="275"/>
      <c r="AM219" s="275"/>
      <c r="AN219" s="275"/>
      <c r="AO219" s="674"/>
    </row>
    <row r="220" spans="13:41">
      <c r="M220" s="673"/>
      <c r="N220" s="275"/>
      <c r="O220" s="275"/>
      <c r="P220" s="275"/>
      <c r="Q220" s="275"/>
      <c r="R220" s="275"/>
      <c r="S220" s="275"/>
      <c r="T220" s="275"/>
      <c r="U220" s="275"/>
      <c r="V220" s="275"/>
      <c r="W220" s="275"/>
      <c r="X220" s="275"/>
      <c r="Y220" s="275"/>
      <c r="Z220" s="275"/>
      <c r="AA220" s="275"/>
      <c r="AB220" s="275"/>
      <c r="AC220" s="275"/>
      <c r="AD220" s="275"/>
      <c r="AE220" s="275">
        <v>67</v>
      </c>
      <c r="AF220" s="275" t="s">
        <v>788</v>
      </c>
      <c r="AG220" s="275" t="e">
        <f ca="1">AG216/AG184</f>
        <v>#NAME?</v>
      </c>
      <c r="AH220" s="648" t="e">
        <f t="shared" ca="1" si="535"/>
        <v>#NAME?</v>
      </c>
      <c r="AI220" s="648" t="e">
        <f t="shared" ca="1" si="536"/>
        <v>#NAME?</v>
      </c>
      <c r="AJ220" s="648" t="e">
        <f t="shared" ca="1" si="537"/>
        <v>#NAME?</v>
      </c>
      <c r="AK220" s="648" t="e">
        <f t="shared" ca="1" si="538"/>
        <v>#NAME?</v>
      </c>
      <c r="AL220" s="275"/>
      <c r="AM220" s="275"/>
      <c r="AN220" s="275"/>
      <c r="AO220" s="674"/>
    </row>
    <row r="221" spans="13:41">
      <c r="M221" s="673"/>
      <c r="N221" s="275"/>
      <c r="O221" s="275"/>
      <c r="P221" s="275"/>
      <c r="Q221" s="275"/>
      <c r="R221" s="275"/>
      <c r="S221" s="275"/>
      <c r="T221" s="275"/>
      <c r="U221" s="275"/>
      <c r="V221" s="275"/>
      <c r="W221" s="275"/>
      <c r="X221" s="275"/>
      <c r="Y221" s="275"/>
      <c r="Z221" s="275"/>
      <c r="AA221" s="275"/>
      <c r="AB221" s="275"/>
      <c r="AC221" s="275"/>
      <c r="AD221" s="275"/>
      <c r="AE221" s="275">
        <v>68</v>
      </c>
      <c r="AF221" s="275" t="s">
        <v>946</v>
      </c>
      <c r="AG221" s="275" t="e">
        <f ca="1">[2]!asn(AG220)</f>
        <v>#NAME?</v>
      </c>
      <c r="AH221" s="648" t="e">
        <f t="shared" ca="1" si="535"/>
        <v>#NAME?</v>
      </c>
      <c r="AI221" s="648" t="e">
        <f t="shared" ca="1" si="536"/>
        <v>#NAME?</v>
      </c>
      <c r="AJ221" s="648" t="e">
        <f t="shared" ca="1" si="537"/>
        <v>#NAME?</v>
      </c>
      <c r="AK221" s="648" t="e">
        <f t="shared" ca="1" si="538"/>
        <v>#NAME?</v>
      </c>
      <c r="AL221" s="275"/>
      <c r="AM221" s="275"/>
      <c r="AN221" s="275"/>
      <c r="AO221" s="674"/>
    </row>
    <row r="222" spans="13:41">
      <c r="M222" s="673"/>
      <c r="N222" s="275"/>
      <c r="O222" s="275"/>
      <c r="P222" s="275"/>
      <c r="Q222" s="275"/>
      <c r="R222" s="275"/>
      <c r="S222" s="275"/>
      <c r="T222" s="275"/>
      <c r="U222" s="275"/>
      <c r="V222" s="275"/>
      <c r="W222" s="275"/>
      <c r="X222" s="275"/>
      <c r="Y222" s="275"/>
      <c r="Z222" s="275"/>
      <c r="AA222" s="275"/>
      <c r="AB222" s="275"/>
      <c r="AC222" s="275"/>
      <c r="AD222" s="275"/>
      <c r="AE222" s="275">
        <v>69</v>
      </c>
      <c r="AF222" s="275" t="s">
        <v>947</v>
      </c>
      <c r="AG222" s="275" t="e">
        <f ca="1">POWER((AG161/2),2)</f>
        <v>#NAME?</v>
      </c>
      <c r="AH222" s="648" t="e">
        <f t="shared" ca="1" si="535"/>
        <v>#NAME?</v>
      </c>
      <c r="AI222" s="648" t="e">
        <f t="shared" ca="1" si="536"/>
        <v>#NAME?</v>
      </c>
      <c r="AJ222" s="648" t="e">
        <f t="shared" ca="1" si="537"/>
        <v>#NAME?</v>
      </c>
      <c r="AK222" s="648" t="e">
        <f t="shared" ca="1" si="538"/>
        <v>#NAME?</v>
      </c>
      <c r="AL222" s="275"/>
      <c r="AM222" s="275"/>
      <c r="AN222" s="275"/>
      <c r="AO222" s="674"/>
    </row>
    <row r="223" spans="13:41">
      <c r="M223" s="673"/>
      <c r="N223" s="275"/>
      <c r="O223" s="275"/>
      <c r="P223" s="275"/>
      <c r="Q223" s="275"/>
      <c r="R223" s="275"/>
      <c r="S223" s="275"/>
      <c r="T223" s="275"/>
      <c r="U223" s="275"/>
      <c r="V223" s="275"/>
      <c r="W223" s="275"/>
      <c r="X223" s="275"/>
      <c r="Y223" s="275"/>
      <c r="Z223" s="275"/>
      <c r="AA223" s="275"/>
      <c r="AB223" s="275"/>
      <c r="AC223" s="275"/>
      <c r="AD223" s="275"/>
      <c r="AE223" s="275">
        <v>70</v>
      </c>
      <c r="AF223" s="275" t="s">
        <v>948</v>
      </c>
      <c r="AG223" s="275" t="e">
        <f ca="1">AG219*AG222/60</f>
        <v>#NAME?</v>
      </c>
      <c r="AH223" s="648" t="e">
        <f t="shared" ca="1" si="535"/>
        <v>#NAME?</v>
      </c>
      <c r="AI223" s="648" t="e">
        <f t="shared" ca="1" si="536"/>
        <v>#NAME?</v>
      </c>
      <c r="AJ223" s="648" t="e">
        <f t="shared" ca="1" si="537"/>
        <v>#NAME?</v>
      </c>
      <c r="AK223" s="648" t="e">
        <f t="shared" ca="1" si="538"/>
        <v>#NAME?</v>
      </c>
      <c r="AL223" s="275"/>
      <c r="AM223" s="275"/>
      <c r="AN223" s="275"/>
      <c r="AO223" s="674"/>
    </row>
    <row r="224" spans="13:41">
      <c r="M224" s="673"/>
      <c r="N224" s="275"/>
      <c r="O224" s="275"/>
      <c r="P224" s="275"/>
      <c r="Q224" s="275"/>
      <c r="R224" s="275"/>
      <c r="S224" s="275"/>
      <c r="T224" s="275"/>
      <c r="U224" s="275"/>
      <c r="V224" s="275"/>
      <c r="W224" s="275"/>
      <c r="X224" s="275"/>
      <c r="Y224" s="275"/>
      <c r="Z224" s="275"/>
      <c r="AA224" s="275"/>
      <c r="AB224" s="275"/>
      <c r="AC224" s="275"/>
      <c r="AD224" s="275"/>
      <c r="AE224" s="275">
        <v>71</v>
      </c>
      <c r="AF224" s="275" t="s">
        <v>949</v>
      </c>
      <c r="AG224" s="275" t="e">
        <f ca="1">POWER((AG207/2),2)</f>
        <v>#NAME?</v>
      </c>
      <c r="AH224" s="648" t="e">
        <f t="shared" ca="1" si="535"/>
        <v>#NAME?</v>
      </c>
      <c r="AI224" s="648" t="e">
        <f t="shared" ca="1" si="536"/>
        <v>#NAME?</v>
      </c>
      <c r="AJ224" s="648" t="e">
        <f t="shared" ca="1" si="537"/>
        <v>#NAME?</v>
      </c>
      <c r="AK224" s="648" t="e">
        <f t="shared" ca="1" si="538"/>
        <v>#NAME?</v>
      </c>
      <c r="AL224" s="275"/>
      <c r="AM224" s="275"/>
      <c r="AN224" s="275"/>
      <c r="AO224" s="674"/>
    </row>
    <row r="225" spans="13:41">
      <c r="M225" s="673"/>
      <c r="N225" s="275"/>
      <c r="O225" s="275"/>
      <c r="P225" s="275"/>
      <c r="Q225" s="275"/>
      <c r="R225" s="275"/>
      <c r="S225" s="275"/>
      <c r="T225" s="275"/>
      <c r="U225" s="275"/>
      <c r="V225" s="275"/>
      <c r="W225" s="275"/>
      <c r="X225" s="275"/>
      <c r="Y225" s="275"/>
      <c r="Z225" s="275"/>
      <c r="AA225" s="275"/>
      <c r="AB225" s="275"/>
      <c r="AC225" s="275"/>
      <c r="AD225" s="275"/>
      <c r="AE225" s="275">
        <v>72</v>
      </c>
      <c r="AF225" s="275" t="s">
        <v>950</v>
      </c>
      <c r="AG225" s="275" t="e">
        <f ca="1">AG221*AG224</f>
        <v>#NAME?</v>
      </c>
      <c r="AH225" s="648" t="e">
        <f t="shared" ca="1" si="535"/>
        <v>#NAME?</v>
      </c>
      <c r="AI225" s="648" t="e">
        <f t="shared" ca="1" si="536"/>
        <v>#NAME?</v>
      </c>
      <c r="AJ225" s="648" t="e">
        <f t="shared" ca="1" si="537"/>
        <v>#NAME?</v>
      </c>
      <c r="AK225" s="648" t="e">
        <f t="shared" ca="1" si="538"/>
        <v>#NAME?</v>
      </c>
      <c r="AL225" s="275"/>
      <c r="AM225" s="275"/>
      <c r="AN225" s="275"/>
      <c r="AO225" s="674"/>
    </row>
    <row r="226" spans="13:41">
      <c r="M226" s="673"/>
      <c r="N226" s="275"/>
      <c r="O226" s="275"/>
      <c r="P226" s="275"/>
      <c r="Q226" s="275"/>
      <c r="R226" s="275"/>
      <c r="S226" s="275"/>
      <c r="T226" s="275"/>
      <c r="U226" s="275"/>
      <c r="V226" s="275"/>
      <c r="W226" s="275"/>
      <c r="X226" s="275"/>
      <c r="Y226" s="275"/>
      <c r="Z226" s="275"/>
      <c r="AA226" s="275"/>
      <c r="AB226" s="275"/>
      <c r="AC226" s="275"/>
      <c r="AD226" s="275"/>
      <c r="AE226" s="275">
        <v>73</v>
      </c>
      <c r="AF226" s="275" t="s">
        <v>951</v>
      </c>
      <c r="AG226" s="275" t="e">
        <f ca="1">ABS((AG161/2)-AG214)</f>
        <v>#NAME?</v>
      </c>
      <c r="AH226" s="648" t="e">
        <f t="shared" ca="1" si="535"/>
        <v>#NAME?</v>
      </c>
      <c r="AI226" s="648" t="e">
        <f t="shared" ca="1" si="536"/>
        <v>#NAME?</v>
      </c>
      <c r="AJ226" s="648" t="e">
        <f t="shared" ca="1" si="537"/>
        <v>#NAME?</v>
      </c>
      <c r="AK226" s="648" t="e">
        <f t="shared" ca="1" si="538"/>
        <v>#NAME?</v>
      </c>
      <c r="AL226" s="275"/>
      <c r="AM226" s="275"/>
      <c r="AN226" s="275"/>
      <c r="AO226" s="674"/>
    </row>
    <row r="227" spans="13:41">
      <c r="M227" s="673"/>
      <c r="N227" s="275"/>
      <c r="O227" s="275"/>
      <c r="P227" s="275"/>
      <c r="Q227" s="275"/>
      <c r="R227" s="275"/>
      <c r="S227" s="275"/>
      <c r="T227" s="275"/>
      <c r="U227" s="275"/>
      <c r="V227" s="275"/>
      <c r="W227" s="275"/>
      <c r="X227" s="275"/>
      <c r="Y227" s="275"/>
      <c r="Z227" s="275"/>
      <c r="AA227" s="275"/>
      <c r="AB227" s="275"/>
      <c r="AC227" s="275"/>
      <c r="AD227" s="275"/>
      <c r="AE227" s="275">
        <v>74</v>
      </c>
      <c r="AF227" s="275" t="s">
        <v>952</v>
      </c>
      <c r="AG227" s="275" t="e">
        <f ca="1">AG226*AG216</f>
        <v>#NAME?</v>
      </c>
      <c r="AH227" s="648" t="e">
        <f t="shared" ca="1" si="535"/>
        <v>#NAME?</v>
      </c>
      <c r="AI227" s="648" t="e">
        <f t="shared" ca="1" si="536"/>
        <v>#NAME?</v>
      </c>
      <c r="AJ227" s="648" t="e">
        <f t="shared" ca="1" si="537"/>
        <v>#NAME?</v>
      </c>
      <c r="AK227" s="648" t="e">
        <f t="shared" ca="1" si="538"/>
        <v>#NAME?</v>
      </c>
      <c r="AL227" s="275"/>
      <c r="AM227" s="275"/>
      <c r="AN227" s="275"/>
      <c r="AO227" s="674"/>
    </row>
    <row r="228" spans="13:41">
      <c r="M228" s="673"/>
      <c r="N228" s="275"/>
      <c r="O228" s="275"/>
      <c r="P228" s="275"/>
      <c r="Q228" s="275"/>
      <c r="R228" s="275"/>
      <c r="S228" s="275"/>
      <c r="T228" s="275"/>
      <c r="U228" s="275"/>
      <c r="V228" s="275"/>
      <c r="W228" s="275"/>
      <c r="X228" s="275"/>
      <c r="Y228" s="275"/>
      <c r="Z228" s="275"/>
      <c r="AA228" s="275"/>
      <c r="AB228" s="275"/>
      <c r="AC228" s="275"/>
      <c r="AD228" s="275"/>
      <c r="AE228" s="275">
        <v>75</v>
      </c>
      <c r="AF228" s="275" t="s">
        <v>953</v>
      </c>
      <c r="AG228" s="275" t="e">
        <f ca="1">IF(AG219&lt;90,AG223-AG227,AG227+AG223)</f>
        <v>#NAME?</v>
      </c>
      <c r="AH228" s="648" t="e">
        <f t="shared" ca="1" si="535"/>
        <v>#NAME?</v>
      </c>
      <c r="AI228" s="648" t="e">
        <f t="shared" ca="1" si="536"/>
        <v>#NAME?</v>
      </c>
      <c r="AJ228" s="648" t="e">
        <f t="shared" ca="1" si="537"/>
        <v>#NAME?</v>
      </c>
      <c r="AK228" s="648" t="e">
        <f t="shared" ca="1" si="538"/>
        <v>#NAME?</v>
      </c>
      <c r="AL228" s="275"/>
      <c r="AM228" s="275"/>
      <c r="AN228" s="275"/>
      <c r="AO228" s="674"/>
    </row>
    <row r="229" spans="13:41">
      <c r="M229" s="673"/>
      <c r="N229" s="275"/>
      <c r="O229" s="275"/>
      <c r="P229" s="275"/>
      <c r="Q229" s="275"/>
      <c r="R229" s="275"/>
      <c r="S229" s="275"/>
      <c r="T229" s="275"/>
      <c r="U229" s="275"/>
      <c r="V229" s="275"/>
      <c r="W229" s="275"/>
      <c r="X229" s="275"/>
      <c r="Y229" s="275"/>
      <c r="Z229" s="275"/>
      <c r="AA229" s="275"/>
      <c r="AB229" s="275"/>
      <c r="AC229" s="275"/>
      <c r="AD229" s="275"/>
      <c r="AE229" s="275">
        <v>76</v>
      </c>
      <c r="AF229" s="275" t="s">
        <v>954</v>
      </c>
      <c r="AG229" s="275" t="e">
        <f ca="1">(AG207/2)-AG214</f>
        <v>#NAME?</v>
      </c>
      <c r="AH229" s="648" t="e">
        <f t="shared" ca="1" si="535"/>
        <v>#NAME?</v>
      </c>
      <c r="AI229" s="648" t="e">
        <f t="shared" ca="1" si="536"/>
        <v>#NAME?</v>
      </c>
      <c r="AJ229" s="648" t="e">
        <f t="shared" ca="1" si="537"/>
        <v>#NAME?</v>
      </c>
      <c r="AK229" s="648" t="e">
        <f t="shared" ca="1" si="538"/>
        <v>#NAME?</v>
      </c>
      <c r="AL229" s="275"/>
      <c r="AM229" s="275"/>
      <c r="AN229" s="275"/>
      <c r="AO229" s="674"/>
    </row>
    <row r="230" spans="13:41">
      <c r="M230" s="673"/>
      <c r="N230" s="275"/>
      <c r="O230" s="275"/>
      <c r="P230" s="275"/>
      <c r="Q230" s="275"/>
      <c r="R230" s="275"/>
      <c r="S230" s="275"/>
      <c r="T230" s="275"/>
      <c r="U230" s="275"/>
      <c r="V230" s="275"/>
      <c r="W230" s="275"/>
      <c r="X230" s="275"/>
      <c r="Y230" s="275"/>
      <c r="Z230" s="275"/>
      <c r="AA230" s="275"/>
      <c r="AB230" s="275"/>
      <c r="AC230" s="275"/>
      <c r="AD230" s="275"/>
      <c r="AE230" s="275">
        <v>77</v>
      </c>
      <c r="AF230" s="275" t="s">
        <v>955</v>
      </c>
      <c r="AG230" s="275" t="e">
        <f ca="1">AG229*AG216</f>
        <v>#NAME?</v>
      </c>
      <c r="AH230" s="648" t="e">
        <f t="shared" ca="1" si="535"/>
        <v>#NAME?</v>
      </c>
      <c r="AI230" s="648" t="e">
        <f t="shared" ca="1" si="536"/>
        <v>#NAME?</v>
      </c>
      <c r="AJ230" s="648" t="e">
        <f t="shared" ca="1" si="537"/>
        <v>#NAME?</v>
      </c>
      <c r="AK230" s="648" t="e">
        <f t="shared" ca="1" si="538"/>
        <v>#NAME?</v>
      </c>
      <c r="AL230" s="275"/>
      <c r="AM230" s="275"/>
      <c r="AN230" s="275"/>
      <c r="AO230" s="674"/>
    </row>
    <row r="231" spans="13:41">
      <c r="M231" s="673"/>
      <c r="N231" s="275"/>
      <c r="O231" s="275"/>
      <c r="P231" s="275"/>
      <c r="Q231" s="275"/>
      <c r="R231" s="275"/>
      <c r="S231" s="275"/>
      <c r="T231" s="275"/>
      <c r="U231" s="275"/>
      <c r="V231" s="275"/>
      <c r="W231" s="275"/>
      <c r="X231" s="275"/>
      <c r="Y231" s="275"/>
      <c r="Z231" s="275"/>
      <c r="AA231" s="275"/>
      <c r="AB231" s="275"/>
      <c r="AC231" s="275"/>
      <c r="AD231" s="275"/>
      <c r="AE231" s="275">
        <v>78</v>
      </c>
      <c r="AF231" s="275" t="s">
        <v>956</v>
      </c>
      <c r="AG231" s="275" t="e">
        <f ca="1">AG225-AG230</f>
        <v>#NAME?</v>
      </c>
      <c r="AH231" s="648" t="e">
        <f t="shared" ca="1" si="535"/>
        <v>#NAME?</v>
      </c>
      <c r="AI231" s="648" t="e">
        <f t="shared" ca="1" si="536"/>
        <v>#NAME?</v>
      </c>
      <c r="AJ231" s="648" t="e">
        <f t="shared" ca="1" si="537"/>
        <v>#NAME?</v>
      </c>
      <c r="AK231" s="648" t="e">
        <f t="shared" ca="1" si="538"/>
        <v>#NAME?</v>
      </c>
      <c r="AL231" s="275"/>
      <c r="AM231" s="275"/>
      <c r="AN231" s="275"/>
      <c r="AO231" s="674"/>
    </row>
    <row r="232" spans="13:41">
      <c r="M232" s="673"/>
      <c r="N232" s="275"/>
      <c r="O232" s="275"/>
      <c r="P232" s="275"/>
      <c r="Q232" s="275"/>
      <c r="R232" s="275"/>
      <c r="S232" s="275"/>
      <c r="T232" s="275"/>
      <c r="U232" s="275"/>
      <c r="V232" s="275"/>
      <c r="W232" s="275"/>
      <c r="X232" s="275"/>
      <c r="Y232" s="275"/>
      <c r="Z232" s="275"/>
      <c r="AA232" s="275"/>
      <c r="AB232" s="275"/>
      <c r="AC232" s="275"/>
      <c r="AD232" s="275"/>
      <c r="AE232" s="275">
        <v>79</v>
      </c>
      <c r="AF232" s="275" t="s">
        <v>957</v>
      </c>
      <c r="AG232" s="275" t="e">
        <f ca="1">AG228+AG231</f>
        <v>#NAME?</v>
      </c>
      <c r="AH232" s="648" t="e">
        <f t="shared" ca="1" si="535"/>
        <v>#NAME?</v>
      </c>
      <c r="AI232" s="648" t="e">
        <f t="shared" ca="1" si="536"/>
        <v>#NAME?</v>
      </c>
      <c r="AJ232" s="648" t="e">
        <f t="shared" ca="1" si="537"/>
        <v>#NAME?</v>
      </c>
      <c r="AK232" s="648" t="e">
        <f t="shared" ca="1" si="538"/>
        <v>#NAME?</v>
      </c>
      <c r="AL232" s="275"/>
      <c r="AM232" s="275"/>
      <c r="AN232" s="275"/>
      <c r="AO232" s="674"/>
    </row>
    <row r="233" spans="13:41">
      <c r="M233" s="673"/>
      <c r="N233" s="275"/>
      <c r="O233" s="275"/>
      <c r="P233" s="275"/>
      <c r="Q233" s="275"/>
      <c r="R233" s="275"/>
      <c r="S233" s="275"/>
      <c r="T233" s="275"/>
      <c r="U233" s="275"/>
      <c r="V233" s="275"/>
      <c r="W233" s="275"/>
      <c r="X233" s="275"/>
      <c r="Y233" s="275"/>
      <c r="Z233" s="275"/>
      <c r="AA233" s="275"/>
      <c r="AB233" s="275"/>
      <c r="AC233" s="275"/>
      <c r="AD233" s="275"/>
      <c r="AE233" s="275">
        <v>80</v>
      </c>
      <c r="AF233" s="275" t="s">
        <v>958</v>
      </c>
      <c r="AG233" s="275" t="e">
        <f ca="1">AG232*12</f>
        <v>#NAME?</v>
      </c>
      <c r="AH233" s="648" t="e">
        <f t="shared" ca="1" si="535"/>
        <v>#NAME?</v>
      </c>
      <c r="AI233" s="648" t="e">
        <f t="shared" ca="1" si="536"/>
        <v>#NAME?</v>
      </c>
      <c r="AJ233" s="648" t="e">
        <f t="shared" ca="1" si="537"/>
        <v>#NAME?</v>
      </c>
      <c r="AK233" s="648" t="e">
        <f t="shared" ca="1" si="538"/>
        <v>#NAME?</v>
      </c>
      <c r="AL233" s="275"/>
      <c r="AM233" s="275"/>
      <c r="AN233" s="275"/>
      <c r="AO233" s="674"/>
    </row>
    <row r="234" spans="13:41">
      <c r="M234" s="673"/>
      <c r="N234" s="275"/>
      <c r="O234" s="275"/>
      <c r="P234" s="275"/>
      <c r="Q234" s="275"/>
      <c r="R234" s="275"/>
      <c r="S234" s="275"/>
      <c r="T234" s="275"/>
      <c r="U234" s="275"/>
      <c r="V234" s="275"/>
      <c r="W234" s="275"/>
      <c r="X234" s="275"/>
      <c r="Y234" s="275"/>
      <c r="Z234" s="275"/>
      <c r="AA234" s="275"/>
      <c r="AB234" s="275"/>
      <c r="AC234" s="275"/>
      <c r="AD234" s="275"/>
      <c r="AE234" s="275">
        <v>81</v>
      </c>
      <c r="AF234" s="275" t="s">
        <v>959</v>
      </c>
      <c r="AG234" s="275" t="e">
        <f ca="1">AG233/AG206</f>
        <v>#NAME?</v>
      </c>
      <c r="AH234" s="648" t="e">
        <f t="shared" ca="1" si="535"/>
        <v>#NAME?</v>
      </c>
      <c r="AI234" s="648" t="e">
        <f t="shared" ca="1" si="536"/>
        <v>#NAME?</v>
      </c>
      <c r="AJ234" s="648" t="e">
        <f t="shared" ca="1" si="537"/>
        <v>#NAME?</v>
      </c>
      <c r="AK234" s="648" t="e">
        <f t="shared" ca="1" si="538"/>
        <v>#NAME?</v>
      </c>
      <c r="AL234" s="275"/>
      <c r="AM234" s="275"/>
      <c r="AN234" s="275"/>
      <c r="AO234" s="674"/>
    </row>
    <row r="235" spans="13:41" ht="24" thickBot="1">
      <c r="M235" s="675"/>
      <c r="N235" s="676"/>
      <c r="O235" s="676"/>
      <c r="P235" s="676"/>
      <c r="Q235" s="676"/>
      <c r="R235" s="676"/>
      <c r="S235" s="676"/>
      <c r="T235" s="676"/>
      <c r="U235" s="676"/>
      <c r="V235" s="676"/>
      <c r="W235" s="676"/>
      <c r="X235" s="676"/>
      <c r="Y235" s="676"/>
      <c r="Z235" s="676"/>
      <c r="AA235" s="676"/>
      <c r="AB235" s="676"/>
      <c r="AC235" s="676"/>
      <c r="AD235" s="676"/>
      <c r="AE235" s="676"/>
      <c r="AF235" s="676"/>
      <c r="AG235" s="676"/>
      <c r="AH235" s="676"/>
      <c r="AI235" s="676"/>
      <c r="AJ235" s="676"/>
      <c r="AK235" s="676"/>
      <c r="AL235" s="676"/>
      <c r="AM235" s="676"/>
      <c r="AN235" s="676"/>
      <c r="AO235" s="677"/>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X744"/>
  <sheetViews>
    <sheetView rightToLeft="1" topLeftCell="U45" zoomScale="87" zoomScaleNormal="87" workbookViewId="0">
      <selection activeCell="AD49" sqref="AD49"/>
    </sheetView>
  </sheetViews>
  <sheetFormatPr defaultRowHeight="15"/>
  <cols>
    <col min="1" max="1" width="6.5703125" customWidth="1"/>
    <col min="2" max="2" width="19.140625" customWidth="1"/>
    <col min="3" max="3" width="12.5703125" customWidth="1"/>
    <col min="4" max="4" width="7.7109375" customWidth="1"/>
    <col min="5" max="5" width="8.140625" customWidth="1"/>
    <col min="6" max="6" width="18.85546875" customWidth="1"/>
    <col min="7" max="7" width="9.7109375" bestFit="1" customWidth="1"/>
    <col min="12" max="12" width="11.28515625" customWidth="1"/>
    <col min="13" max="13" width="8.28515625" customWidth="1"/>
    <col min="14" max="14" width="18.7109375" customWidth="1"/>
    <col min="20" max="20" width="13.5703125" customWidth="1"/>
    <col min="21" max="21" width="12.28515625" customWidth="1"/>
    <col min="22" max="22" width="9" customWidth="1"/>
    <col min="23" max="23" width="9.140625" customWidth="1"/>
    <col min="24" max="24" width="7.7109375" customWidth="1"/>
    <col min="25" max="25" width="8.85546875" customWidth="1"/>
    <col min="26" max="26" width="9.28515625" customWidth="1"/>
    <col min="28" max="28" width="8.7109375" customWidth="1"/>
    <col min="29" max="29" width="8.28515625" customWidth="1"/>
    <col min="30" max="30" width="9.42578125" customWidth="1"/>
    <col min="31" max="31" width="8.85546875" customWidth="1"/>
    <col min="32" max="32" width="10.85546875" customWidth="1"/>
    <col min="33" max="33" width="8.42578125" customWidth="1"/>
    <col min="34" max="34" width="9.42578125" customWidth="1"/>
    <col min="36" max="36" width="10" bestFit="1" customWidth="1"/>
    <col min="37" max="37" width="17.85546875" customWidth="1"/>
    <col min="38" max="38" width="9.85546875" customWidth="1"/>
    <col min="39" max="39" width="7.5703125" customWidth="1"/>
    <col min="42" max="42" width="6.42578125" customWidth="1"/>
    <col min="43" max="43" width="8.5703125" customWidth="1"/>
    <col min="44" max="44" width="9.140625" customWidth="1"/>
    <col min="46" max="46" width="11.7109375" customWidth="1"/>
    <col min="47" max="47" width="7" customWidth="1"/>
    <col min="48" max="48" width="6.85546875" customWidth="1"/>
    <col min="49" max="49" width="10.5703125" customWidth="1"/>
    <col min="50" max="50" width="11.28515625" customWidth="1"/>
    <col min="52" max="52" width="12.5703125" customWidth="1"/>
    <col min="53" max="53" width="7" customWidth="1"/>
    <col min="54" max="54" width="13.5703125" customWidth="1"/>
    <col min="58" max="58" width="8.85546875" customWidth="1"/>
    <col min="63" max="63" width="8.7109375" customWidth="1"/>
    <col min="64" max="64" width="12.140625" customWidth="1"/>
    <col min="67" max="67" width="10.140625" customWidth="1"/>
    <col min="69" max="69" width="14.7109375" customWidth="1"/>
    <col min="70" max="70" width="13.28515625" customWidth="1"/>
    <col min="72" max="72" width="13.7109375" customWidth="1"/>
    <col min="73" max="73" width="12.5703125" bestFit="1" customWidth="1"/>
    <col min="76" max="77" width="11" customWidth="1"/>
    <col min="79" max="79" width="7" customWidth="1"/>
    <col min="80" max="80" width="15.5703125" customWidth="1"/>
    <col min="108" max="108" width="10" customWidth="1"/>
    <col min="109" max="109" width="10.140625" customWidth="1"/>
    <col min="114" max="114" width="17.85546875" customWidth="1"/>
    <col min="115" max="115" width="9.140625" customWidth="1"/>
    <col min="126" max="126" width="17.28515625" customWidth="1"/>
    <col min="127" max="127" width="10" customWidth="1"/>
    <col min="129" max="129" width="13.28515625" customWidth="1"/>
  </cols>
  <sheetData>
    <row r="1" spans="1:154" ht="24" customHeight="1" thickBot="1">
      <c r="C1">
        <f>X3</f>
        <v>1445</v>
      </c>
      <c r="AS1" s="274"/>
      <c r="AT1" s="274"/>
      <c r="AU1" s="274"/>
      <c r="AV1" s="274"/>
      <c r="AW1" s="274"/>
      <c r="AX1" s="274"/>
      <c r="AY1" s="274"/>
      <c r="AZ1" s="274"/>
      <c r="BA1" s="274"/>
      <c r="BB1" s="274"/>
      <c r="BC1" s="274"/>
      <c r="BD1" s="274"/>
      <c r="BE1" s="274"/>
      <c r="BF1" s="274"/>
      <c r="BG1" s="274"/>
      <c r="BH1" s="274"/>
      <c r="BI1" s="274"/>
      <c r="BJ1" s="274"/>
      <c r="BK1" s="274"/>
      <c r="BL1" s="274"/>
      <c r="BM1" s="274"/>
      <c r="BN1" s="274"/>
      <c r="BO1" s="274"/>
      <c r="BP1" s="274"/>
      <c r="BQ1" s="346"/>
      <c r="BR1" s="274"/>
      <c r="BS1" s="274"/>
      <c r="BT1" s="274"/>
      <c r="BU1" s="274"/>
      <c r="BV1" s="274"/>
      <c r="BW1" s="274"/>
      <c r="BX1" s="274"/>
      <c r="BY1" s="274"/>
      <c r="BZ1" s="274"/>
      <c r="CA1" s="274"/>
      <c r="CB1" s="274"/>
      <c r="CC1" s="274"/>
      <c r="CD1" s="274"/>
      <c r="CE1" s="274"/>
      <c r="CF1" s="274"/>
      <c r="CG1" s="274"/>
      <c r="CH1" s="274"/>
      <c r="CI1" s="274"/>
      <c r="CJ1" s="274"/>
      <c r="CK1" s="274"/>
      <c r="CL1" s="274"/>
      <c r="CM1" s="274"/>
      <c r="CN1" s="274"/>
      <c r="CO1" s="274"/>
      <c r="CP1" s="274"/>
      <c r="CQ1" s="274"/>
      <c r="CR1" s="274"/>
      <c r="CS1" s="274"/>
      <c r="CT1" s="274"/>
      <c r="CU1" s="274"/>
      <c r="CV1" s="274"/>
      <c r="CW1" s="274"/>
      <c r="CX1" s="274"/>
      <c r="CY1" s="274"/>
      <c r="CZ1" s="274"/>
      <c r="DA1" s="274"/>
      <c r="DB1" s="274"/>
      <c r="DC1" s="274"/>
      <c r="DG1" s="708" t="s">
        <v>5</v>
      </c>
      <c r="DH1" s="761">
        <v>1</v>
      </c>
    </row>
    <row r="2" spans="1:154" ht="24" thickBot="1">
      <c r="A2" s="716">
        <v>1</v>
      </c>
      <c r="B2" s="717" t="s">
        <v>395</v>
      </c>
      <c r="C2" s="719">
        <f>AL10</f>
        <v>20.265455145437393</v>
      </c>
      <c r="D2" s="716">
        <v>15</v>
      </c>
      <c r="E2" s="717" t="s">
        <v>1061</v>
      </c>
      <c r="F2" s="719">
        <f>[1]!sn(C15)</f>
        <v>58.1762554061674</v>
      </c>
      <c r="G2" s="716">
        <v>29</v>
      </c>
      <c r="H2" s="717" t="s">
        <v>1069</v>
      </c>
      <c r="I2" s="719">
        <f>[1]!sn(F15)</f>
        <v>59.978939351109624</v>
      </c>
      <c r="J2" s="718">
        <v>43</v>
      </c>
      <c r="K2" s="717" t="s">
        <v>1073</v>
      </c>
      <c r="L2" s="717">
        <f>[1]!sn(I15)</f>
        <v>59.569913851304932</v>
      </c>
      <c r="S2" s="769">
        <v>354.36666666666599</v>
      </c>
      <c r="U2">
        <f>[1]!tafavot(X3,X4,X5,X6)</f>
        <v>1</v>
      </c>
      <c r="W2" s="1025" t="s">
        <v>144</v>
      </c>
      <c r="X2" s="1026"/>
      <c r="Y2" s="1038" t="s">
        <v>1372</v>
      </c>
      <c r="Z2" s="1039" t="s">
        <v>3743</v>
      </c>
      <c r="AA2" s="1040" t="s">
        <v>172</v>
      </c>
      <c r="AB2" s="1040" t="s">
        <v>166</v>
      </c>
      <c r="AC2" s="1031" t="s">
        <v>3744</v>
      </c>
      <c r="AD2" s="1040" t="s">
        <v>172</v>
      </c>
      <c r="AE2" s="1040" t="s">
        <v>166</v>
      </c>
      <c r="AF2" s="1039" t="s">
        <v>266</v>
      </c>
      <c r="AG2" s="1040" t="s">
        <v>172</v>
      </c>
      <c r="AH2" s="1715" t="s">
        <v>166</v>
      </c>
      <c r="AI2" s="1000">
        <f>AL61</f>
        <v>29</v>
      </c>
      <c r="AJ2" s="1000" t="str">
        <f>AK60</f>
        <v>هلال معتدل رؤیت می شود و ماه موجود 29 روز است ان شاء الله</v>
      </c>
      <c r="AK2" s="1000"/>
      <c r="AL2" s="1000"/>
      <c r="AM2" s="1000"/>
      <c r="AN2" s="1000"/>
      <c r="AO2" s="1000"/>
      <c r="AP2" s="1000"/>
      <c r="AQ2" s="1000"/>
      <c r="AR2" s="1000"/>
      <c r="AS2" s="1000"/>
      <c r="AT2" s="1000"/>
      <c r="AU2" s="1000" t="s">
        <v>1392</v>
      </c>
      <c r="AV2" s="1000"/>
      <c r="AW2" s="1000"/>
      <c r="AX2" s="1001"/>
      <c r="AY2" s="274"/>
      <c r="BA2" s="705" t="s">
        <v>3541</v>
      </c>
      <c r="BB2" s="706"/>
      <c r="BC2" s="706" t="e">
        <f>BM62</f>
        <v>#VALUE!</v>
      </c>
      <c r="BD2" s="706"/>
      <c r="BE2" s="706"/>
      <c r="BF2" s="706"/>
      <c r="BG2" s="706"/>
      <c r="BH2" s="706"/>
      <c r="BI2" s="706"/>
      <c r="BJ2" s="706"/>
      <c r="BK2" s="706"/>
      <c r="BL2" s="706"/>
      <c r="BM2" s="707"/>
      <c r="BV2" s="274"/>
      <c r="BW2" s="274"/>
      <c r="CI2" s="274"/>
      <c r="CJ2" s="274"/>
      <c r="CK2" s="274"/>
      <c r="CL2" s="274"/>
      <c r="CM2" s="274"/>
      <c r="CN2" s="274"/>
      <c r="CO2" s="274"/>
      <c r="CP2" s="274"/>
      <c r="CQ2" s="274"/>
      <c r="CR2" s="274"/>
      <c r="CS2" s="274"/>
      <c r="CT2" s="274"/>
      <c r="CU2" s="274"/>
      <c r="CV2" s="274"/>
      <c r="CW2" s="274"/>
      <c r="CX2" s="274"/>
      <c r="CY2" s="274"/>
      <c r="CZ2" s="274"/>
      <c r="DA2" s="274"/>
      <c r="DB2" s="274"/>
      <c r="DC2" s="274"/>
      <c r="DG2" s="708" t="s">
        <v>326</v>
      </c>
      <c r="DH2" s="761">
        <f>[1]!mbtool(2,17,0,1)</f>
        <v>9.5138888888888884E-2</v>
      </c>
    </row>
    <row r="3" spans="1:154" ht="24" thickBot="1">
      <c r="A3" s="720">
        <v>2</v>
      </c>
      <c r="B3" s="721" t="s">
        <v>227</v>
      </c>
      <c r="C3" s="722">
        <f>[1]!ml(X3,AL10)</f>
        <v>7.9146398228646495</v>
      </c>
      <c r="D3" s="720">
        <v>16</v>
      </c>
      <c r="E3" s="721" t="s">
        <v>277</v>
      </c>
      <c r="F3" s="722">
        <f>IF(ABS(C11-C12)&lt;180,ABS(C11-C12),ABS(360+C11-C12))</f>
        <v>87.65964365130084</v>
      </c>
      <c r="G3" s="720">
        <v>30</v>
      </c>
      <c r="H3" s="721" t="s">
        <v>1067</v>
      </c>
      <c r="I3" s="722">
        <f>IF(C11&gt;180,C11-180,C11+180)</f>
        <v>19.920132038473412</v>
      </c>
      <c r="J3" s="272">
        <v>44</v>
      </c>
      <c r="K3" s="721"/>
      <c r="L3" s="721">
        <f>L2*I11/60</f>
        <v>12.754788005070647</v>
      </c>
      <c r="S3" s="770">
        <v>354.36709259258998</v>
      </c>
      <c r="W3" s="1009" t="s">
        <v>3</v>
      </c>
      <c r="X3" s="1010">
        <v>1445</v>
      </c>
      <c r="Y3" s="1027" t="s">
        <v>1080</v>
      </c>
      <c r="Z3" s="1031">
        <f>AL58</f>
        <v>13.795709328834192</v>
      </c>
      <c r="AA3" s="1041">
        <f>INT(ABS(Z3))</f>
        <v>13</v>
      </c>
      <c r="AB3" s="1041">
        <f>INT((ABS(Z3)-AA3)*60)</f>
        <v>47</v>
      </c>
      <c r="AC3" s="1031">
        <f>AJ58</f>
        <v>13.802134840148511</v>
      </c>
      <c r="AD3" s="1041">
        <f>INT(ABS(AC3))</f>
        <v>13</v>
      </c>
      <c r="AE3" s="1041">
        <f>INT((ABS(AC3)-AD3)*60)</f>
        <v>48</v>
      </c>
      <c r="AF3" s="1031">
        <f>AT15</f>
        <v>15.64258936310523</v>
      </c>
      <c r="AG3" s="1041">
        <f>INT(ABS(AF3))</f>
        <v>15</v>
      </c>
      <c r="AH3" s="1042">
        <f>INT((ABS(AF3)-AG3)*60)</f>
        <v>38</v>
      </c>
      <c r="AI3" s="1006"/>
      <c r="AJ3" s="1006"/>
      <c r="AK3" s="1007" t="s">
        <v>1196</v>
      </c>
      <c r="AL3" s="1007"/>
      <c r="AM3" s="1007"/>
      <c r="AN3" s="1007"/>
      <c r="AO3" s="1007"/>
      <c r="AP3" s="1007"/>
      <c r="AQ3" s="1007"/>
      <c r="AR3" s="1007"/>
      <c r="AS3" s="1007"/>
      <c r="AT3" s="1007"/>
      <c r="AU3" s="1007"/>
      <c r="AV3" s="1007"/>
      <c r="AW3" s="1007"/>
      <c r="AX3" s="1008"/>
      <c r="AZ3" t="s">
        <v>144</v>
      </c>
      <c r="BA3" s="704">
        <v>1</v>
      </c>
      <c r="BB3" s="301">
        <f t="shared" ref="BB3:BL3" si="0">BA3</f>
        <v>1</v>
      </c>
      <c r="BC3" s="301">
        <f t="shared" si="0"/>
        <v>1</v>
      </c>
      <c r="BD3" s="301">
        <f t="shared" si="0"/>
        <v>1</v>
      </c>
      <c r="BE3" s="301">
        <f t="shared" si="0"/>
        <v>1</v>
      </c>
      <c r="BF3" s="301">
        <f t="shared" si="0"/>
        <v>1</v>
      </c>
      <c r="BG3" s="301">
        <f t="shared" si="0"/>
        <v>1</v>
      </c>
      <c r="BH3" s="301">
        <f t="shared" si="0"/>
        <v>1</v>
      </c>
      <c r="BI3" s="301">
        <f t="shared" si="0"/>
        <v>1</v>
      </c>
      <c r="BJ3" s="301">
        <f t="shared" si="0"/>
        <v>1</v>
      </c>
      <c r="BK3" s="301">
        <f t="shared" si="0"/>
        <v>1</v>
      </c>
      <c r="BL3" s="301">
        <f t="shared" si="0"/>
        <v>1</v>
      </c>
      <c r="BM3" s="301"/>
      <c r="BN3" s="742" t="s">
        <v>3541</v>
      </c>
      <c r="BO3" s="743"/>
      <c r="BP3" s="743"/>
      <c r="BQ3" s="706"/>
      <c r="BR3" s="743"/>
      <c r="BS3" s="744"/>
      <c r="BT3" s="108" t="s">
        <v>60</v>
      </c>
      <c r="BU3" s="316">
        <f>BN4</f>
        <v>1380</v>
      </c>
      <c r="BV3" s="108" t="s">
        <v>60</v>
      </c>
      <c r="BW3" s="316">
        <f>BU3</f>
        <v>1380</v>
      </c>
      <c r="BX3" s="274" t="s">
        <v>3</v>
      </c>
      <c r="BY3" s="274">
        <f>BN4</f>
        <v>1380</v>
      </c>
      <c r="BZ3" s="274"/>
      <c r="CA3" s="274"/>
      <c r="CB3" s="274"/>
      <c r="CC3" s="274"/>
      <c r="CD3" s="274"/>
      <c r="CE3" s="274"/>
      <c r="CF3" s="274"/>
      <c r="CG3" s="274" t="s">
        <v>144</v>
      </c>
      <c r="CH3" s="705" t="s">
        <v>3</v>
      </c>
      <c r="CI3" s="707">
        <v>7</v>
      </c>
      <c r="CJ3" s="109">
        <f>CI3</f>
        <v>7</v>
      </c>
      <c r="CK3" s="109">
        <f>CJ3</f>
        <v>7</v>
      </c>
      <c r="CL3" s="109">
        <f t="shared" ref="CL3:CU3" si="1">CK3</f>
        <v>7</v>
      </c>
      <c r="CM3" s="109">
        <f t="shared" si="1"/>
        <v>7</v>
      </c>
      <c r="CN3" s="109">
        <f t="shared" si="1"/>
        <v>7</v>
      </c>
      <c r="CO3" s="109">
        <f t="shared" si="1"/>
        <v>7</v>
      </c>
      <c r="CP3" s="109">
        <f t="shared" si="1"/>
        <v>7</v>
      </c>
      <c r="CQ3" s="109">
        <f t="shared" si="1"/>
        <v>7</v>
      </c>
      <c r="CR3" s="109">
        <f t="shared" si="1"/>
        <v>7</v>
      </c>
      <c r="CS3" s="109">
        <f t="shared" si="1"/>
        <v>7</v>
      </c>
      <c r="CT3" s="109">
        <f t="shared" si="1"/>
        <v>7</v>
      </c>
      <c r="CU3" s="109">
        <f t="shared" si="1"/>
        <v>7</v>
      </c>
      <c r="CV3" s="316"/>
      <c r="CW3" s="797"/>
      <c r="CX3" s="274"/>
      <c r="CY3" s="274"/>
      <c r="CZ3" s="274"/>
      <c r="DA3" s="274"/>
      <c r="DB3" s="274"/>
      <c r="DC3" s="274"/>
      <c r="DD3" s="274">
        <v>935</v>
      </c>
      <c r="DE3" s="274"/>
      <c r="DF3" s="274"/>
      <c r="DG3" s="708" t="s">
        <v>177</v>
      </c>
      <c r="DH3" s="761">
        <f>35+(41/60)</f>
        <v>35.68333333333333</v>
      </c>
      <c r="EU3" s="327"/>
    </row>
    <row r="4" spans="1:154" ht="23.25">
      <c r="A4" s="720">
        <v>3</v>
      </c>
      <c r="B4" s="721" t="s">
        <v>177</v>
      </c>
      <c r="C4" s="745">
        <f>AS7</f>
        <v>35.75</v>
      </c>
      <c r="D4" s="720">
        <v>17</v>
      </c>
      <c r="E4" s="721" t="s">
        <v>1062</v>
      </c>
      <c r="F4" s="722">
        <f>[1]!sn(F3)</f>
        <v>59.949952823206324</v>
      </c>
      <c r="G4" s="720">
        <v>31</v>
      </c>
      <c r="H4" s="721" t="s">
        <v>698</v>
      </c>
      <c r="I4" s="722">
        <f>AL11</f>
        <v>32.191599645368157</v>
      </c>
      <c r="J4" s="272">
        <v>45</v>
      </c>
      <c r="K4" s="272"/>
      <c r="L4" s="721">
        <f>[1]!asn(L3)</f>
        <v>12.273578110597452</v>
      </c>
      <c r="N4" t="s">
        <v>2127</v>
      </c>
      <c r="O4">
        <f>IF(C4&gt;=0,1,-1)</f>
        <v>1</v>
      </c>
      <c r="S4" s="770">
        <f>S3-S2</f>
        <v>4.2592592399159912E-4</v>
      </c>
      <c r="W4" s="1009" t="s">
        <v>4</v>
      </c>
      <c r="X4" s="1010">
        <v>9</v>
      </c>
      <c r="Y4" s="1027" t="s">
        <v>3552</v>
      </c>
      <c r="Z4" s="1034">
        <f>AL59</f>
        <v>11.002698911422279</v>
      </c>
      <c r="AA4" s="1032">
        <f>INT(ABS(Z4))</f>
        <v>11</v>
      </c>
      <c r="AB4" s="1032">
        <f>INT((ABS(Z4)-AA4)*60)</f>
        <v>0</v>
      </c>
      <c r="AC4" s="1034">
        <f>AJ59</f>
        <v>11.008420307738781</v>
      </c>
      <c r="AD4" s="1032">
        <f>INT(ABS(AC4))</f>
        <v>11</v>
      </c>
      <c r="AE4" s="1032">
        <f>INT((ABS(AC4)-AD4)*60)</f>
        <v>0</v>
      </c>
      <c r="AF4" s="1034">
        <f>AT16</f>
        <v>11.926144499930764</v>
      </c>
      <c r="AG4" s="1032">
        <f>INT(ABS(AF4))</f>
        <v>11</v>
      </c>
      <c r="AH4" s="1033">
        <f>INT((ABS(AF4)-AG4)*60)</f>
        <v>55</v>
      </c>
      <c r="AI4" s="1006"/>
      <c r="AJ4" s="1006"/>
      <c r="AK4" s="502" t="s">
        <v>3</v>
      </c>
      <c r="AL4" s="502">
        <f>X3</f>
        <v>1445</v>
      </c>
      <c r="AM4" s="502"/>
      <c r="AN4" s="502"/>
      <c r="AO4" s="502" t="s">
        <v>1197</v>
      </c>
      <c r="AP4" s="502">
        <f>AH11+1</f>
        <v>30</v>
      </c>
      <c r="AQ4" s="502"/>
      <c r="AR4" s="502"/>
      <c r="AS4" s="502">
        <f>[1]!ml(AL4,AS6)</f>
        <v>7.6304466911112527</v>
      </c>
      <c r="AT4" s="502" t="s">
        <v>227</v>
      </c>
      <c r="AU4" s="502"/>
      <c r="AV4" s="1007"/>
      <c r="AW4" s="1007"/>
      <c r="AX4" s="1008"/>
      <c r="AZ4" t="e">
        <f>BM62</f>
        <v>#VALUE!</v>
      </c>
      <c r="BA4" s="701">
        <v>1</v>
      </c>
      <c r="BB4" s="304">
        <f t="shared" ref="BB4:BL4" si="2">BA4+1</f>
        <v>2</v>
      </c>
      <c r="BC4" s="304">
        <f t="shared" si="2"/>
        <v>3</v>
      </c>
      <c r="BD4" s="304">
        <f t="shared" si="2"/>
        <v>4</v>
      </c>
      <c r="BE4" s="304">
        <f t="shared" si="2"/>
        <v>5</v>
      </c>
      <c r="BF4" s="304">
        <f t="shared" si="2"/>
        <v>6</v>
      </c>
      <c r="BG4" s="304">
        <f t="shared" si="2"/>
        <v>7</v>
      </c>
      <c r="BH4" s="304">
        <f t="shared" si="2"/>
        <v>8</v>
      </c>
      <c r="BI4" s="304">
        <f t="shared" si="2"/>
        <v>9</v>
      </c>
      <c r="BJ4" s="304">
        <f t="shared" si="2"/>
        <v>10</v>
      </c>
      <c r="BK4" s="304">
        <f t="shared" si="2"/>
        <v>11</v>
      </c>
      <c r="BL4" s="304">
        <f t="shared" si="2"/>
        <v>12</v>
      </c>
      <c r="BM4" s="304"/>
      <c r="BN4" s="410">
        <v>1380</v>
      </c>
      <c r="BO4" s="728">
        <f t="shared" ref="BO4:BQ4" si="3">BN4</f>
        <v>1380</v>
      </c>
      <c r="BP4" s="752">
        <f t="shared" si="3"/>
        <v>1380</v>
      </c>
      <c r="BQ4" s="752">
        <f t="shared" si="3"/>
        <v>1380</v>
      </c>
      <c r="BR4" s="729" t="s">
        <v>3</v>
      </c>
      <c r="BS4" s="730">
        <f>BP4</f>
        <v>1380</v>
      </c>
      <c r="BT4" s="112" t="s">
        <v>4</v>
      </c>
      <c r="BU4" s="317">
        <f>BN5</f>
        <v>9</v>
      </c>
      <c r="BV4" s="112" t="s">
        <v>4</v>
      </c>
      <c r="BW4" s="317">
        <f>BU4</f>
        <v>9</v>
      </c>
      <c r="BX4" t="s">
        <v>4</v>
      </c>
      <c r="BY4">
        <f>BN5</f>
        <v>9</v>
      </c>
      <c r="BZ4" s="274"/>
      <c r="CA4" s="274"/>
      <c r="CB4" s="274"/>
      <c r="CC4" s="274"/>
      <c r="CD4" s="274"/>
      <c r="CE4" s="274"/>
      <c r="CF4" s="274"/>
      <c r="CG4" s="274">
        <f>30*354</f>
        <v>10620</v>
      </c>
      <c r="CH4" s="708" t="s">
        <v>4</v>
      </c>
      <c r="CI4" s="761">
        <v>1</v>
      </c>
      <c r="CJ4" s="113">
        <v>1</v>
      </c>
      <c r="CK4" s="113">
        <v>2</v>
      </c>
      <c r="CL4" s="113">
        <v>3</v>
      </c>
      <c r="CM4" s="113">
        <v>4</v>
      </c>
      <c r="CN4" s="113">
        <v>5</v>
      </c>
      <c r="CO4" s="113">
        <v>6</v>
      </c>
      <c r="CP4" s="113">
        <v>7</v>
      </c>
      <c r="CQ4" s="113">
        <v>8</v>
      </c>
      <c r="CR4" s="113">
        <v>9</v>
      </c>
      <c r="CS4" s="113">
        <v>10</v>
      </c>
      <c r="CT4" s="113">
        <v>11</v>
      </c>
      <c r="CU4" s="113">
        <v>12</v>
      </c>
      <c r="CV4" s="317"/>
      <c r="CW4" s="797"/>
      <c r="CX4" s="274"/>
      <c r="CY4" s="274"/>
      <c r="CZ4" s="274"/>
      <c r="DA4" s="274"/>
      <c r="DB4" s="274"/>
      <c r="DC4" s="274"/>
      <c r="DD4" s="274">
        <v>12</v>
      </c>
      <c r="DE4" s="274"/>
      <c r="DF4" s="274"/>
      <c r="DG4" s="732" t="s">
        <v>3499</v>
      </c>
      <c r="DH4" s="731" t="e">
        <f>[1]!qsn([1]!ml([1]!taqsha(1,1,[1]!roz(DH1+1,0,0,0),DH2)),DH3)/30</f>
        <v>#VALUE!</v>
      </c>
      <c r="ES4" s="327"/>
      <c r="ET4" s="327"/>
      <c r="EU4" s="327"/>
      <c r="EV4" s="327"/>
      <c r="EW4" s="327"/>
      <c r="EX4" s="327"/>
    </row>
    <row r="5" spans="1:154" ht="24" thickBot="1">
      <c r="A5" s="720">
        <v>4</v>
      </c>
      <c r="B5" s="721" t="s">
        <v>1055</v>
      </c>
      <c r="C5" s="722">
        <f>[1]!qsn(C3,C4)</f>
        <v>191.48772191737692</v>
      </c>
      <c r="D5" s="720">
        <v>18</v>
      </c>
      <c r="E5" s="721"/>
      <c r="F5" s="722">
        <f>F2/F4*60</f>
        <v>58.224821872067594</v>
      </c>
      <c r="G5" s="720">
        <v>32</v>
      </c>
      <c r="H5" s="721" t="s">
        <v>839</v>
      </c>
      <c r="I5" s="722">
        <f>IF((IF(ABS(I4-I3)&lt;180,ABS(I4-I3),ABS(360-I4-I3)))&lt;90,IF(ABS(I4-I3)&lt;180,ABS(I4-I3),ABS(360-I4-I3)),180-IF(ABS(I4-I3)&lt;180,ABS(I4-I3),ABS(360-I4-I3)))</f>
        <v>12.271467606894745</v>
      </c>
      <c r="J5" s="272">
        <v>46</v>
      </c>
      <c r="K5" s="721" t="s">
        <v>1074</v>
      </c>
      <c r="L5" s="272">
        <f>IF(O9=1,L4,L4*-1)</f>
        <v>12.273578110597452</v>
      </c>
      <c r="N5" t="s">
        <v>1145</v>
      </c>
      <c r="O5">
        <f>IF(C4&gt;=0,IF((C4)&gt;C13,O4,O4*-1),IF((C4)&lt;C13,O4,O4*-1))</f>
        <v>1</v>
      </c>
      <c r="S5" s="770">
        <f>1/S4</f>
        <v>2347.8260976190868</v>
      </c>
      <c r="W5" s="1009" t="s">
        <v>326</v>
      </c>
      <c r="X5" s="1010">
        <f>[1]!mbtool(2,20,0,1)</f>
        <v>9.7222222222222224E-2</v>
      </c>
      <c r="Y5" s="1028" t="s">
        <v>3742</v>
      </c>
      <c r="Z5" s="1035">
        <f>AL61</f>
        <v>29</v>
      </c>
      <c r="AA5" s="1036"/>
      <c r="AB5" s="1036"/>
      <c r="AC5" s="1035">
        <f>AJ61</f>
        <v>29</v>
      </c>
      <c r="AD5" s="1036"/>
      <c r="AE5" s="1036"/>
      <c r="AF5" s="1035">
        <f>AT19</f>
        <v>29</v>
      </c>
      <c r="AG5" s="1036"/>
      <c r="AH5" s="1037"/>
      <c r="AI5" s="1006"/>
      <c r="AJ5" s="1006"/>
      <c r="AK5" s="502" t="s">
        <v>4</v>
      </c>
      <c r="AL5" s="502">
        <f>X4</f>
        <v>9</v>
      </c>
      <c r="AM5" s="502"/>
      <c r="AN5" s="502"/>
      <c r="AO5" s="502" t="s">
        <v>1393</v>
      </c>
      <c r="AP5" s="502">
        <f>([1]!qsn(AS4,AS7)/(2*15))+12</f>
        <v>18.368963031017483</v>
      </c>
      <c r="AQ5" s="502"/>
      <c r="AR5" s="502"/>
      <c r="AS5" s="502">
        <f>[1]!qsn(AS4,AS7)/(2*15)</f>
        <v>6.3689630310174827</v>
      </c>
      <c r="AT5" s="1012" t="s">
        <v>3547</v>
      </c>
      <c r="AU5" s="1012"/>
      <c r="AV5" s="1012"/>
      <c r="AW5" s="1007">
        <f>[1]!vqoroob(AL4,AL5,AP4,AL7,AS7)</f>
        <v>18.555389316893152</v>
      </c>
      <c r="AX5" s="1008" t="s">
        <v>4203</v>
      </c>
      <c r="BA5" s="701">
        <v>0</v>
      </c>
      <c r="BB5" s="304">
        <f t="shared" ref="BB5:BL5" si="4">BA5</f>
        <v>0</v>
      </c>
      <c r="BC5" s="304">
        <f t="shared" si="4"/>
        <v>0</v>
      </c>
      <c r="BD5" s="304">
        <f t="shared" si="4"/>
        <v>0</v>
      </c>
      <c r="BE5" s="304">
        <f t="shared" si="4"/>
        <v>0</v>
      </c>
      <c r="BF5" s="304">
        <f t="shared" si="4"/>
        <v>0</v>
      </c>
      <c r="BG5" s="304">
        <f t="shared" si="4"/>
        <v>0</v>
      </c>
      <c r="BH5" s="304">
        <f t="shared" si="4"/>
        <v>0</v>
      </c>
      <c r="BI5" s="304">
        <f t="shared" si="4"/>
        <v>0</v>
      </c>
      <c r="BJ5" s="304">
        <f t="shared" si="4"/>
        <v>0</v>
      </c>
      <c r="BK5" s="304">
        <f t="shared" si="4"/>
        <v>0</v>
      </c>
      <c r="BL5" s="304">
        <f t="shared" si="4"/>
        <v>0</v>
      </c>
      <c r="BM5" s="304"/>
      <c r="BN5" s="396">
        <v>9</v>
      </c>
      <c r="BO5" s="732">
        <f t="shared" ref="BO5:BQ5" si="5">BN5</f>
        <v>9</v>
      </c>
      <c r="BP5" s="753">
        <f t="shared" si="5"/>
        <v>9</v>
      </c>
      <c r="BQ5" s="753">
        <f t="shared" si="5"/>
        <v>9</v>
      </c>
      <c r="BR5" s="238" t="s">
        <v>4</v>
      </c>
      <c r="BS5" s="731">
        <f>BN5</f>
        <v>9</v>
      </c>
      <c r="BT5" s="112" t="s">
        <v>3553</v>
      </c>
      <c r="BU5" s="317">
        <f>BN6</f>
        <v>29</v>
      </c>
      <c r="BV5" s="747" t="s">
        <v>5</v>
      </c>
      <c r="BW5" s="320">
        <f>BU5</f>
        <v>29</v>
      </c>
      <c r="BX5" t="s">
        <v>3543</v>
      </c>
      <c r="BY5" t="e">
        <f>BS8</f>
        <v>#VALUE!</v>
      </c>
      <c r="BZ5" s="274"/>
      <c r="CA5" s="274"/>
      <c r="CB5" s="274"/>
      <c r="CC5" s="274"/>
      <c r="CD5" s="274"/>
      <c r="CE5" s="274"/>
      <c r="CF5" s="274"/>
      <c r="CG5" s="274">
        <v>11</v>
      </c>
      <c r="CH5" s="708" t="s">
        <v>3553</v>
      </c>
      <c r="CI5" s="761">
        <v>1</v>
      </c>
      <c r="CJ5" s="113">
        <v>29</v>
      </c>
      <c r="CK5" s="113">
        <v>29</v>
      </c>
      <c r="CL5" s="113">
        <v>29</v>
      </c>
      <c r="CM5" s="113">
        <v>29</v>
      </c>
      <c r="CN5" s="113">
        <v>29</v>
      </c>
      <c r="CO5" s="113">
        <v>29</v>
      </c>
      <c r="CP5" s="113">
        <v>29</v>
      </c>
      <c r="CQ5" s="113">
        <v>29</v>
      </c>
      <c r="CR5" s="113">
        <v>29</v>
      </c>
      <c r="CS5" s="113">
        <v>29</v>
      </c>
      <c r="CT5" s="113">
        <v>29</v>
      </c>
      <c r="CU5" s="113">
        <v>29</v>
      </c>
      <c r="CV5" s="317"/>
      <c r="CW5" s="797"/>
      <c r="CX5" s="274"/>
      <c r="CY5" s="274"/>
      <c r="CZ5" s="274"/>
      <c r="DA5" s="274"/>
      <c r="DB5" s="274"/>
      <c r="DC5" s="274"/>
      <c r="DD5" s="274"/>
      <c r="DE5" s="274"/>
      <c r="DF5" s="274"/>
      <c r="DG5" s="732" t="s">
        <v>1080</v>
      </c>
      <c r="DH5" s="731" t="e">
        <f>[1]!bodmoadal(1,1,(DH1+1),[1]!qsn([1]!ml([1]!taqsha(1,1,1+DH1,DH2)),DH3)/30,DH2,DH3)</f>
        <v>#VALUE!</v>
      </c>
      <c r="DI5">
        <f>[1]!taqsh(1,1,2,DH2)</f>
        <v>115.58252842578379</v>
      </c>
      <c r="ES5" s="274"/>
      <c r="ET5" s="639"/>
      <c r="EU5" s="274"/>
      <c r="EV5" s="274"/>
      <c r="EW5" s="274"/>
      <c r="EX5" s="274"/>
    </row>
    <row r="6" spans="1:154" ht="24" thickBot="1">
      <c r="A6" s="720">
        <v>5</v>
      </c>
      <c r="B6" s="721" t="s">
        <v>1056</v>
      </c>
      <c r="C6" s="722">
        <f>C5/15</f>
        <v>12.765848127825128</v>
      </c>
      <c r="D6" s="720">
        <v>19</v>
      </c>
      <c r="E6" s="721"/>
      <c r="F6" s="722">
        <f>IF(F5&lt;60,[1]!asn(F5),[1]!asn(120-F5))</f>
        <v>76.027967280603917</v>
      </c>
      <c r="G6" s="720">
        <v>33</v>
      </c>
      <c r="H6" s="721" t="s">
        <v>1170</v>
      </c>
      <c r="I6" s="722">
        <f>90-I5</f>
        <v>77.728532393105255</v>
      </c>
      <c r="J6" s="272">
        <v>47</v>
      </c>
      <c r="K6" s="721" t="s">
        <v>388</v>
      </c>
      <c r="L6" s="721">
        <f>[1]!wasata(AL4,AL5,AL6,AL7)</f>
        <v>18.350561082291279</v>
      </c>
      <c r="N6" t="s">
        <v>1144</v>
      </c>
      <c r="O6">
        <f>IF(F14&gt;0,1,-1)</f>
        <v>1</v>
      </c>
      <c r="S6" s="771" t="s">
        <v>3747</v>
      </c>
      <c r="W6" s="1009" t="s">
        <v>177</v>
      </c>
      <c r="X6" s="1010">
        <v>35.75</v>
      </c>
      <c r="AE6" s="1029"/>
      <c r="AF6" s="1012"/>
      <c r="AG6" s="1012"/>
      <c r="AH6" s="1012"/>
      <c r="AI6" s="1006"/>
      <c r="AJ6" s="1006"/>
      <c r="AK6" s="502" t="s">
        <v>1386</v>
      </c>
      <c r="AL6" s="502">
        <f>[1]!roz(AP4,AP5,AP6,AP7)</f>
        <v>30.765373459625728</v>
      </c>
      <c r="AM6" s="502"/>
      <c r="AN6" s="502"/>
      <c r="AO6" s="502" t="s">
        <v>1755</v>
      </c>
      <c r="AP6" s="502">
        <v>0</v>
      </c>
      <c r="AQ6" s="502"/>
      <c r="AR6" s="502"/>
      <c r="AS6" s="502">
        <f>[1]!taqsh(AL4,AL5,AP4,AL7)</f>
        <v>19.512220596985951</v>
      </c>
      <c r="AT6" s="502" t="s">
        <v>378</v>
      </c>
      <c r="AU6" s="502"/>
      <c r="AV6" s="1007"/>
      <c r="AW6" s="1007">
        <f>[1]!vtoloo(AL4,AL5,AP4,AL7,AS7)</f>
        <v>5.7174632548581874</v>
      </c>
      <c r="AX6" s="1008" t="s">
        <v>3539</v>
      </c>
      <c r="BA6" s="701">
        <f>[1]!mbtool(2,17,0,1)</f>
        <v>9.5138888888888884E-2</v>
      </c>
      <c r="BB6" s="304">
        <f>[1]!mbtool(2,17,0,1)</f>
        <v>9.5138888888888884E-2</v>
      </c>
      <c r="BC6" s="304">
        <f>[1]!mbtool(2,17,0,1)</f>
        <v>9.5138888888888884E-2</v>
      </c>
      <c r="BD6" s="304">
        <f>[1]!mbtool(2,17,0,1)</f>
        <v>9.5138888888888884E-2</v>
      </c>
      <c r="BE6" s="304">
        <f>[1]!mbtool(2,17,0,1)</f>
        <v>9.5138888888888884E-2</v>
      </c>
      <c r="BF6" s="304">
        <f>[1]!mbtool(2,17,0,1)</f>
        <v>9.5138888888888884E-2</v>
      </c>
      <c r="BG6" s="304">
        <f>[1]!mbtool(2,17,0,1)</f>
        <v>9.5138888888888884E-2</v>
      </c>
      <c r="BH6" s="304">
        <f>[1]!mbtool(2,17,0,1)</f>
        <v>9.5138888888888884E-2</v>
      </c>
      <c r="BI6" s="304">
        <f>[1]!mbtool(2,17,0,1)</f>
        <v>9.5138888888888884E-2</v>
      </c>
      <c r="BJ6" s="304">
        <f>[1]!mbtool(2,17,0,1)</f>
        <v>9.5138888888888884E-2</v>
      </c>
      <c r="BK6" s="304">
        <f>[1]!mbtool(2,17,0,1)</f>
        <v>9.5138888888888884E-2</v>
      </c>
      <c r="BL6" s="304">
        <f>[1]!mbtool(2,17,0,1)</f>
        <v>9.5138888888888884E-2</v>
      </c>
      <c r="BM6" s="314"/>
      <c r="BN6" s="397">
        <v>29</v>
      </c>
      <c r="BO6" s="4"/>
      <c r="BP6" s="753"/>
      <c r="BQ6" s="755" t="s">
        <v>3555</v>
      </c>
      <c r="BR6" s="4"/>
      <c r="BS6" s="4"/>
      <c r="BT6" s="757" t="s">
        <v>3543</v>
      </c>
      <c r="BU6" s="758" t="e">
        <f>BS8</f>
        <v>#VALUE!</v>
      </c>
      <c r="BV6" s="112"/>
      <c r="BW6" s="317"/>
      <c r="BX6" t="s">
        <v>219</v>
      </c>
      <c r="BY6">
        <v>4</v>
      </c>
      <c r="BZ6" s="274"/>
      <c r="CA6" s="274"/>
      <c r="CB6" s="274"/>
      <c r="CC6" s="274"/>
      <c r="CD6" s="274"/>
      <c r="CE6" s="274"/>
      <c r="CF6" s="274"/>
      <c r="CG6" s="274">
        <f>CG4+CG5</f>
        <v>10631</v>
      </c>
      <c r="CH6" s="732"/>
      <c r="CI6" s="731">
        <v>0</v>
      </c>
      <c r="CJ6" s="113">
        <v>0</v>
      </c>
      <c r="CK6" s="113">
        <v>0</v>
      </c>
      <c r="CL6" s="113">
        <v>0</v>
      </c>
      <c r="CM6" s="113">
        <v>0</v>
      </c>
      <c r="CN6" s="113">
        <v>0</v>
      </c>
      <c r="CO6" s="113">
        <v>0</v>
      </c>
      <c r="CP6" s="113">
        <v>0</v>
      </c>
      <c r="CQ6" s="113">
        <v>0</v>
      </c>
      <c r="CR6" s="113">
        <v>0</v>
      </c>
      <c r="CS6" s="113">
        <v>0</v>
      </c>
      <c r="CT6" s="113">
        <v>0</v>
      </c>
      <c r="CU6" s="113">
        <v>0</v>
      </c>
      <c r="CV6" s="317"/>
      <c r="CW6" s="797"/>
      <c r="CX6" s="274"/>
      <c r="CY6" s="274"/>
      <c r="CZ6" s="274"/>
      <c r="DA6" s="274"/>
      <c r="DB6" s="274"/>
      <c r="DC6" s="274"/>
      <c r="DD6" s="274">
        <f>[1]!mbtool(2,17,0,1)</f>
        <v>9.5138888888888884E-2</v>
      </c>
      <c r="DE6" s="274"/>
      <c r="DF6" s="274"/>
      <c r="DG6" s="734" t="s">
        <v>3594</v>
      </c>
      <c r="DH6" s="736" t="e">
        <f>[1]!bodsava(1,1,(DH1+1),[1]!qsn([1]!ml([1]!taqsha(1,1,1+DH1,DH2)),DH3)/30,DH2,DH3)</f>
        <v>#VALUE!</v>
      </c>
      <c r="DI6">
        <f>[1]!taqq(1,1,2,DH2)</f>
        <v>150.41032186847659</v>
      </c>
      <c r="ES6" s="274"/>
      <c r="ET6" s="639"/>
      <c r="EU6" s="274"/>
      <c r="EV6" s="274"/>
      <c r="EW6" s="274"/>
      <c r="EX6" s="274"/>
    </row>
    <row r="7" spans="1:154" ht="25.5" thickBot="1">
      <c r="A7" s="720">
        <v>6</v>
      </c>
      <c r="B7" s="721" t="s">
        <v>1057</v>
      </c>
      <c r="C7" s="722">
        <f>(AP5-12)*2</f>
        <v>12.737926062034965</v>
      </c>
      <c r="D7" s="720">
        <v>20</v>
      </c>
      <c r="E7" s="721" t="s">
        <v>231</v>
      </c>
      <c r="F7" s="722">
        <f>90-F6</f>
        <v>13.972032719396083</v>
      </c>
      <c r="G7" s="720">
        <v>34</v>
      </c>
      <c r="H7" s="721" t="s">
        <v>918</v>
      </c>
      <c r="I7" s="722">
        <f>[1]!sn(I6)</f>
        <v>58.629092343007216</v>
      </c>
      <c r="J7" s="272">
        <v>48</v>
      </c>
      <c r="K7" s="721" t="s">
        <v>386</v>
      </c>
      <c r="L7" s="721">
        <f>[1]!oujsha(AL4,AL5,AL6,AL7)</f>
        <v>103.65063862587408</v>
      </c>
      <c r="O7">
        <f>IF(I3+180&lt;360,1,-1)</f>
        <v>1</v>
      </c>
      <c r="R7" s="1703"/>
      <c r="S7" s="1704"/>
      <c r="T7" s="1704" t="s">
        <v>3787</v>
      </c>
      <c r="U7" s="1704">
        <f>[1]!vzohr(X3,X4,AP4,X5)</f>
        <v>12.13642628587567</v>
      </c>
      <c r="V7" s="1707">
        <f>INT(ABS(U7))</f>
        <v>12</v>
      </c>
      <c r="W7" s="1707">
        <f>INT((ABS(U7)-V7)*60)</f>
        <v>8</v>
      </c>
      <c r="X7" s="1707">
        <f>INT((((ABS(U7)-V7)*60)-W7)*60)</f>
        <v>11</v>
      </c>
      <c r="Y7" s="1708">
        <f>INT((((((ABS(U7)-V7)*60)-W7)*60)-X7)*60)</f>
        <v>8</v>
      </c>
      <c r="Z7" s="1463"/>
      <c r="AA7" s="1464"/>
      <c r="AB7" s="1464"/>
      <c r="AC7" s="1724"/>
      <c r="AD7" s="1464"/>
      <c r="AE7" s="1724"/>
      <c r="AF7" s="1724"/>
      <c r="AG7" s="1724"/>
      <c r="AH7" s="1727"/>
      <c r="AI7" s="1006"/>
      <c r="AJ7" s="1006"/>
      <c r="AK7" s="684" t="s">
        <v>393</v>
      </c>
      <c r="AL7" s="684">
        <f>X5</f>
        <v>9.7222222222222224E-2</v>
      </c>
      <c r="AM7" s="684"/>
      <c r="AN7" s="684"/>
      <c r="AO7" s="684" t="s">
        <v>167</v>
      </c>
      <c r="AP7" s="684">
        <v>0</v>
      </c>
      <c r="AQ7" s="684"/>
      <c r="AR7" s="684"/>
      <c r="AS7" s="684">
        <f>AL9</f>
        <v>35.75</v>
      </c>
      <c r="AT7" s="684" t="s">
        <v>177</v>
      </c>
      <c r="AU7" s="684"/>
      <c r="AV7" s="1013"/>
      <c r="AW7" s="1013"/>
      <c r="AX7" s="1014"/>
      <c r="BA7" s="701">
        <v>35</v>
      </c>
      <c r="BB7" s="304">
        <v>35</v>
      </c>
      <c r="BC7" s="304">
        <v>35</v>
      </c>
      <c r="BD7" s="304">
        <v>35</v>
      </c>
      <c r="BE7" s="304">
        <v>35</v>
      </c>
      <c r="BF7" s="304">
        <v>35</v>
      </c>
      <c r="BG7" s="304">
        <v>35</v>
      </c>
      <c r="BH7" s="304">
        <v>35</v>
      </c>
      <c r="BI7" s="304">
        <v>35</v>
      </c>
      <c r="BJ7" s="304">
        <v>35</v>
      </c>
      <c r="BK7" s="304">
        <v>35</v>
      </c>
      <c r="BL7" s="304">
        <v>35</v>
      </c>
      <c r="BM7" s="314"/>
      <c r="BN7" s="732">
        <v>0</v>
      </c>
      <c r="BO7" s="732">
        <v>1</v>
      </c>
      <c r="BP7" s="753">
        <v>2</v>
      </c>
      <c r="BQ7" s="755" t="e">
        <f>IF(AND(BN14&gt;=10,BN14&lt;30),BN7,IF(AND(BO14&gt;=10,BO14&lt;30),BO7,IF(AND(BP14&gt;=10,BP14&lt;30),BP7,3)))</f>
        <v>#VALUE!</v>
      </c>
      <c r="BR7" s="238"/>
      <c r="BS7" s="4"/>
      <c r="BT7" s="756" t="s">
        <v>87</v>
      </c>
      <c r="BU7" s="317">
        <v>354</v>
      </c>
      <c r="BV7" s="748" t="s">
        <v>87</v>
      </c>
      <c r="BW7" s="317">
        <v>354</v>
      </c>
      <c r="BX7" t="s">
        <v>166</v>
      </c>
      <c r="BY7">
        <v>42.5</v>
      </c>
      <c r="BZ7" s="243">
        <f>INT(ABS(BY7))</f>
        <v>42</v>
      </c>
      <c r="CA7" s="243">
        <f>INT((ABS(BY7)-BZ7)*60)</f>
        <v>30</v>
      </c>
      <c r="CB7" s="243">
        <f>INT((((ABS(BY7)-BZ7)*60)-CA7)*60)</f>
        <v>0</v>
      </c>
      <c r="CC7" s="243">
        <f>INT((((((ABS(BY7)-BZ7)*60)-CA7)*60)-CB7)*60)</f>
        <v>0</v>
      </c>
      <c r="CD7" s="274"/>
      <c r="CE7" s="274"/>
      <c r="CF7" s="274"/>
      <c r="CG7" s="274"/>
      <c r="CH7" s="732" t="s">
        <v>326</v>
      </c>
      <c r="CI7" s="731">
        <f>[1]!mbtool(2,17,0,1)</f>
        <v>9.5138888888888884E-2</v>
      </c>
      <c r="CJ7" s="113">
        <f>[1]!mbtool(2,17,0,1)</f>
        <v>9.5138888888888884E-2</v>
      </c>
      <c r="CK7" s="113">
        <f>[1]!mbtool(2,17,0,1)</f>
        <v>9.5138888888888884E-2</v>
      </c>
      <c r="CL7" s="113">
        <f>[1]!mbtool(2,17,0,1)</f>
        <v>9.5138888888888884E-2</v>
      </c>
      <c r="CM7" s="113">
        <f>[1]!mbtool(2,17,0,1)</f>
        <v>9.5138888888888884E-2</v>
      </c>
      <c r="CN7" s="113">
        <f>[1]!mbtool(2,17,0,1)</f>
        <v>9.5138888888888884E-2</v>
      </c>
      <c r="CO7" s="113">
        <f>[1]!mbtool(2,17,0,1)</f>
        <v>9.5138888888888884E-2</v>
      </c>
      <c r="CP7" s="113">
        <f>[1]!mbtool(2,17,0,1)</f>
        <v>9.5138888888888884E-2</v>
      </c>
      <c r="CQ7" s="113">
        <f>[1]!mbtool(2,17,0,1)</f>
        <v>9.5138888888888884E-2</v>
      </c>
      <c r="CR7" s="113">
        <f>[1]!mbtool(2,17,0,1)</f>
        <v>9.5138888888888884E-2</v>
      </c>
      <c r="CS7" s="113">
        <f>[1]!mbtool(2,17,0,1)</f>
        <v>9.5138888888888884E-2</v>
      </c>
      <c r="CT7" s="113">
        <f>[1]!mbtool(2,17,0,1)</f>
        <v>9.5138888888888884E-2</v>
      </c>
      <c r="CU7" s="113">
        <f>[1]!mbtool(2,17,0,1)</f>
        <v>9.5138888888888884E-2</v>
      </c>
      <c r="CV7" s="317"/>
      <c r="CW7" s="797"/>
      <c r="CX7" s="274"/>
      <c r="CY7" s="274"/>
      <c r="CZ7" s="274"/>
      <c r="DA7" s="274"/>
      <c r="DB7" s="274"/>
      <c r="DC7" s="274"/>
      <c r="DD7">
        <v>35</v>
      </c>
      <c r="ES7" s="274"/>
      <c r="ET7" s="639"/>
      <c r="EU7" s="274"/>
      <c r="EV7" s="274"/>
      <c r="EW7" s="274"/>
      <c r="EX7" s="274"/>
    </row>
    <row r="8" spans="1:154" ht="23.25">
      <c r="A8" s="720">
        <v>7</v>
      </c>
      <c r="B8" s="721" t="s">
        <v>1058</v>
      </c>
      <c r="C8" s="722">
        <f>C7*15</f>
        <v>191.06889093052447</v>
      </c>
      <c r="D8" s="720">
        <v>21</v>
      </c>
      <c r="E8" s="721" t="s">
        <v>1063</v>
      </c>
      <c r="F8" s="722">
        <f>IF(IF(C11-C2&gt;180,360-(C11-C2),ABS(C11-C2))&lt;=180,IF(C11-C2&gt;180,360-(C11-C2),ABS(C11-C2)),360-IF(C11-C2&gt;180,360-(C11-C2),ABS(C11-C2)))</f>
        <v>179.65467689303603</v>
      </c>
      <c r="G8" s="720">
        <v>35</v>
      </c>
      <c r="H8" s="721"/>
      <c r="I8" s="722">
        <f>I7*I2/60</f>
        <v>58.608512897530588</v>
      </c>
      <c r="J8" s="272">
        <v>49</v>
      </c>
      <c r="K8" s="721" t="s">
        <v>1108</v>
      </c>
      <c r="L8" s="721">
        <f>[1]!mtasha(AL4,AL5,AL6,AL7)</f>
        <v>276.61481651956331</v>
      </c>
      <c r="O8">
        <f>IF(AND(O7=-1,OR(I4&gt;I3,I4&lt;I3-180)),1,-1)</f>
        <v>-1</v>
      </c>
      <c r="R8" s="1002"/>
      <c r="S8" s="1557"/>
      <c r="T8" s="1557" t="s">
        <v>4202</v>
      </c>
      <c r="U8" s="1557">
        <f>[1]!eqlim(AL4,AL5,AP4,AP5,AL7,AL9)</f>
        <v>14.000327038857693</v>
      </c>
      <c r="V8" s="1705">
        <f>INT(ABS(U8))</f>
        <v>14</v>
      </c>
      <c r="W8" s="1705">
        <f>INT((ABS(U8)-V8)*60)</f>
        <v>0</v>
      </c>
      <c r="X8" s="1705">
        <f>INT((((ABS(U8)-V8)*60)-W8)*60)</f>
        <v>1</v>
      </c>
      <c r="Y8" s="1709">
        <f>INT((((((ABS(U8)-V8)*60)-W8)*60)-X8)*60)</f>
        <v>10</v>
      </c>
      <c r="Z8" s="1728">
        <f>X3</f>
        <v>1445</v>
      </c>
      <c r="AA8" s="1729">
        <f>X3</f>
        <v>1445</v>
      </c>
      <c r="AB8" s="1730">
        <f t="shared" ref="AB8:AD11" si="6">AA8</f>
        <v>1445</v>
      </c>
      <c r="AC8" s="1007">
        <f t="shared" si="6"/>
        <v>1445</v>
      </c>
      <c r="AD8" s="1007">
        <f t="shared" si="6"/>
        <v>1445</v>
      </c>
      <c r="AE8" s="238"/>
      <c r="AF8" s="1731">
        <f>AB8</f>
        <v>1445</v>
      </c>
      <c r="AG8" s="1732" t="s">
        <v>3</v>
      </c>
      <c r="AH8" s="1729">
        <f>AB8</f>
        <v>1445</v>
      </c>
      <c r="AI8" s="1005"/>
      <c r="AJ8" s="1004"/>
      <c r="AK8" s="634" t="s">
        <v>265</v>
      </c>
      <c r="AL8" s="634"/>
      <c r="AM8" s="634"/>
      <c r="AN8" s="634"/>
      <c r="AO8" s="634"/>
      <c r="AP8" s="634"/>
      <c r="AQ8" s="737"/>
      <c r="AR8" s="502"/>
      <c r="AS8" s="502" t="s">
        <v>1195</v>
      </c>
      <c r="AT8" s="502"/>
      <c r="AU8" s="502"/>
      <c r="AV8" s="1007"/>
      <c r="AW8" s="1007"/>
      <c r="AX8" s="1008"/>
      <c r="BA8" s="701">
        <f>[1]!taqsha(BA3,BA4,BA5,BA6)</f>
        <v>113.66210764217526</v>
      </c>
      <c r="BB8" s="304">
        <f>[1]!taqsha(BB3,BB4,BB5,BB6)</f>
        <v>142.59346017240287</v>
      </c>
      <c r="BC8" s="304">
        <f>[1]!taqsha(BC3,BC4,BC5,BC6)</f>
        <v>170.97302892256627</v>
      </c>
      <c r="BD8" s="304">
        <f>[1]!taqsha(BD3,BD4,BD5,BD6)</f>
        <v>200.82385430920576</v>
      </c>
      <c r="BE8" s="304">
        <f>[1]!taqsha(BE3,BE4,BE5,BE6)</f>
        <v>230.10563378473381</v>
      </c>
      <c r="BF8" s="304">
        <f>[1]!taqsha(BF3,BF4,BF5,BF6)</f>
        <v>260.65136894417788</v>
      </c>
      <c r="BG8" s="304">
        <f>[1]!taqsha(BG3,BG4,BG5,BG6)</f>
        <v>290.18553898382351</v>
      </c>
      <c r="BH8" s="304">
        <f>[1]!taqsha(BH3,BH4,BH5,BH6)</f>
        <v>320.4479303506381</v>
      </c>
      <c r="BI8" s="304">
        <f>[1]!taqsha(BI3,BI4,BI5,BI6)</f>
        <v>349.2821744873919</v>
      </c>
      <c r="BJ8" s="304">
        <f>[1]!taqsha(BJ3,BJ4,BJ5,BJ6)</f>
        <v>18.618355562623066</v>
      </c>
      <c r="BK8" s="304">
        <f>[1]!taqsha(BK3,BK4,BK5,BK6)</f>
        <v>46.568881850975394</v>
      </c>
      <c r="BL8" s="304">
        <f>[1]!taqsha(BL3,BL4,BL5,BL6)</f>
        <v>75.23100945599397</v>
      </c>
      <c r="BM8" s="314"/>
      <c r="BN8" s="732">
        <f>[1]!mbtool(2,17,0,1)</f>
        <v>9.5138888888888884E-2</v>
      </c>
      <c r="BO8" s="732">
        <f>[1]!mbtool(2,17,0,1)</f>
        <v>9.5138888888888884E-2</v>
      </c>
      <c r="BP8" s="753">
        <f>BO8</f>
        <v>9.5138888888888884E-2</v>
      </c>
      <c r="BQ8" s="753">
        <f>BP8</f>
        <v>9.5138888888888884E-2</v>
      </c>
      <c r="BR8" s="388" t="s">
        <v>3543</v>
      </c>
      <c r="BS8" s="694" t="e">
        <f>BN6+BQ7</f>
        <v>#VALUE!</v>
      </c>
      <c r="BT8" s="112" t="s">
        <v>3550</v>
      </c>
      <c r="BU8" s="317">
        <f>INT(BU3/30)*11</f>
        <v>506</v>
      </c>
      <c r="BV8" s="112" t="s">
        <v>3550</v>
      </c>
      <c r="BW8" s="317">
        <f>INT(BW3/30)*11</f>
        <v>506</v>
      </c>
      <c r="BY8" t="e">
        <f>[1]!roz(BY5,BY6,BY7,0)</f>
        <v>#VALUE!</v>
      </c>
      <c r="BZ8" s="274"/>
      <c r="CA8" s="274"/>
      <c r="CB8" s="274"/>
      <c r="CC8" s="274"/>
      <c r="CD8" s="274"/>
      <c r="CE8" s="274"/>
      <c r="CF8" s="274"/>
      <c r="CG8" s="274"/>
      <c r="CH8" s="732" t="s">
        <v>177</v>
      </c>
      <c r="CI8" s="731">
        <f>35+(41/60)</f>
        <v>35.68333333333333</v>
      </c>
      <c r="CJ8" s="113">
        <v>35</v>
      </c>
      <c r="CK8" s="113">
        <v>35</v>
      </c>
      <c r="CL8" s="113">
        <v>35</v>
      </c>
      <c r="CM8" s="113">
        <v>35</v>
      </c>
      <c r="CN8" s="113">
        <v>35</v>
      </c>
      <c r="CO8" s="113">
        <v>35</v>
      </c>
      <c r="CP8" s="113">
        <v>35</v>
      </c>
      <c r="CQ8" s="113">
        <v>35</v>
      </c>
      <c r="CR8" s="113">
        <v>35</v>
      </c>
      <c r="CS8" s="113">
        <v>35</v>
      </c>
      <c r="CT8" s="113">
        <v>35</v>
      </c>
      <c r="CU8" s="113">
        <v>35</v>
      </c>
      <c r="CV8" s="317"/>
      <c r="CW8" s="113"/>
      <c r="CX8" s="274"/>
      <c r="CY8" s="274"/>
      <c r="CZ8" s="274"/>
      <c r="DA8" s="274"/>
      <c r="DB8" s="274"/>
      <c r="DC8" s="274" t="s">
        <v>3557</v>
      </c>
      <c r="DD8">
        <f>[1]!tafavot(DD3,DD4,DD6,DD7)</f>
        <v>0</v>
      </c>
      <c r="ER8" s="274"/>
      <c r="ES8" s="274"/>
      <c r="ET8" s="639"/>
      <c r="EU8" s="274"/>
      <c r="EV8" s="274"/>
      <c r="EW8" s="274"/>
      <c r="EX8" s="274"/>
    </row>
    <row r="9" spans="1:154" ht="23.25">
      <c r="A9" s="720">
        <v>8</v>
      </c>
      <c r="B9" s="721" t="s">
        <v>1059</v>
      </c>
      <c r="C9" s="722">
        <f>[1]!mtb(C1,C2,C4)</f>
        <v>12.972282063453271</v>
      </c>
      <c r="D9" s="720">
        <v>22</v>
      </c>
      <c r="E9" s="721" t="s">
        <v>780</v>
      </c>
      <c r="F9" s="722">
        <f>IF(F8&lt;90,F8,180-F8)</f>
        <v>0.34532310696397417</v>
      </c>
      <c r="G9" s="720">
        <v>36</v>
      </c>
      <c r="H9" s="721" t="s">
        <v>694</v>
      </c>
      <c r="I9" s="722">
        <f>[1]!asn(I8)</f>
        <v>77.636412240244553</v>
      </c>
      <c r="J9" s="272">
        <v>50</v>
      </c>
      <c r="K9" s="721" t="s">
        <v>1076</v>
      </c>
      <c r="L9" s="723">
        <f>[1]!abaad1(L8)</f>
        <v>1387.3585198823173</v>
      </c>
      <c r="N9" t="s">
        <v>4115</v>
      </c>
      <c r="O9">
        <f>IF(OR(O7=1,O8=1),1,-1)</f>
        <v>1</v>
      </c>
      <c r="R9" s="1002"/>
      <c r="S9" s="1557"/>
      <c r="T9" s="1557" t="s">
        <v>416</v>
      </c>
      <c r="U9" s="1557">
        <f>AL13</f>
        <v>1.5181356657735283</v>
      </c>
      <c r="V9" s="1705">
        <f>INT(ABS(U9))</f>
        <v>1</v>
      </c>
      <c r="W9" s="1705">
        <f>INT((ABS(U9)-V9)*60)</f>
        <v>31</v>
      </c>
      <c r="X9" s="1705">
        <f>INT((((ABS(U9)-V9)*60)-W9)*60)</f>
        <v>5</v>
      </c>
      <c r="Y9" s="1709">
        <f>INT((((((ABS(U9)-V9)*60)-W9)*60)-X9)*60)</f>
        <v>17</v>
      </c>
      <c r="Z9" s="1728">
        <f>X4</f>
        <v>9</v>
      </c>
      <c r="AA9" s="1729">
        <f>X4</f>
        <v>9</v>
      </c>
      <c r="AB9" s="1730">
        <f t="shared" si="6"/>
        <v>9</v>
      </c>
      <c r="AC9" s="1007">
        <f t="shared" si="6"/>
        <v>9</v>
      </c>
      <c r="AD9" s="1007">
        <f t="shared" si="6"/>
        <v>9</v>
      </c>
      <c r="AE9" s="238"/>
      <c r="AF9" s="1731">
        <f>AB9</f>
        <v>9</v>
      </c>
      <c r="AG9" s="1732" t="s">
        <v>4</v>
      </c>
      <c r="AH9" s="1729">
        <f>X4</f>
        <v>9</v>
      </c>
      <c r="AI9" s="1011"/>
      <c r="AJ9" s="1007"/>
      <c r="AK9" s="502" t="s">
        <v>177</v>
      </c>
      <c r="AL9" s="502">
        <f>X6</f>
        <v>35.75</v>
      </c>
      <c r="AM9" s="1012">
        <f>INT(ABS(AL9))</f>
        <v>35</v>
      </c>
      <c r="AN9" s="1012">
        <f>INT((ABS(AL9)-AM9)*60)</f>
        <v>45</v>
      </c>
      <c r="AO9" s="1012">
        <f>INT((((ABS(AL9)-AM9)*60)-AN9)*60)</f>
        <v>0</v>
      </c>
      <c r="AP9" s="1012">
        <f>INT((((((ABS(AL9)-AM9)*60)-AN9)*60)-AO9)*60)</f>
        <v>0</v>
      </c>
      <c r="AQ9" s="637"/>
      <c r="AR9" s="765"/>
      <c r="AS9" s="765" t="s">
        <v>1186</v>
      </c>
      <c r="AT9" s="765">
        <f>(AL13)*(36/60)</f>
        <v>0.91088139946411695</v>
      </c>
      <c r="AU9" s="1015">
        <f>INT(ABS(AT9))</f>
        <v>0</v>
      </c>
      <c r="AV9" s="1015">
        <f>INT((ABS(AT9)-AU9)*60)</f>
        <v>54</v>
      </c>
      <c r="AW9" s="1015">
        <f>INT((((ABS(AT9)-AU9)*60)-AV9)*60)</f>
        <v>39</v>
      </c>
      <c r="AX9" s="1016">
        <f>INT((((((ABS(AT9)-AU9)*60)-AV9)*60)-AW9)*60)</f>
        <v>10</v>
      </c>
      <c r="BA9" s="701" t="e">
        <f>[1]!qsn([1]!ml(BA8),BA7)/30</f>
        <v>#VALUE!</v>
      </c>
      <c r="BB9" s="304" t="e">
        <f>[1]!qsn([1]!ml(BB8),BB7)/30</f>
        <v>#VALUE!</v>
      </c>
      <c r="BC9" s="304" t="e">
        <f>[1]!qsn([1]!ml(BC8),BC7)/30</f>
        <v>#VALUE!</v>
      </c>
      <c r="BD9" s="304" t="e">
        <f>[1]!qsn([1]!ml(BD8),BD7)/30</f>
        <v>#VALUE!</v>
      </c>
      <c r="BE9" s="304" t="e">
        <f>[1]!qsn([1]!ml(BE8),BE7)/30</f>
        <v>#VALUE!</v>
      </c>
      <c r="BF9" s="304" t="e">
        <f>[1]!qsn([1]!ml(BF8),BF7)/30</f>
        <v>#VALUE!</v>
      </c>
      <c r="BG9" s="304" t="e">
        <f>[1]!qsn([1]!ml(BG8),BG7)/30</f>
        <v>#VALUE!</v>
      </c>
      <c r="BH9" s="304" t="e">
        <f>[1]!qsn([1]!ml(BH8),BH7)/30</f>
        <v>#VALUE!</v>
      </c>
      <c r="BI9" s="304" t="e">
        <f>[1]!qsn([1]!ml(BI8),BI7)/30</f>
        <v>#VALUE!</v>
      </c>
      <c r="BJ9" s="304" t="e">
        <f>[1]!qsn([1]!ml(BJ8),BJ7)/30</f>
        <v>#VALUE!</v>
      </c>
      <c r="BK9" s="304" t="e">
        <f>[1]!qsn([1]!ml(BK8),BK7)/30</f>
        <v>#VALUE!</v>
      </c>
      <c r="BL9" s="304" t="e">
        <f>[1]!qsn([1]!ml(BL8),BL7)/30</f>
        <v>#VALUE!</v>
      </c>
      <c r="BM9" s="314"/>
      <c r="BN9" s="732">
        <v>35</v>
      </c>
      <c r="BO9" s="732">
        <v>35</v>
      </c>
      <c r="BP9" s="753">
        <f>BO9</f>
        <v>35</v>
      </c>
      <c r="BQ9" s="753">
        <f>BP9</f>
        <v>35</v>
      </c>
      <c r="BR9" s="238" t="s">
        <v>326</v>
      </c>
      <c r="BS9" s="731">
        <f>BP8</f>
        <v>9.5138888888888884E-2</v>
      </c>
      <c r="BT9" s="112" t="s">
        <v>3551</v>
      </c>
      <c r="BU9" s="317">
        <f>MOD(BU3,30)</f>
        <v>0</v>
      </c>
      <c r="BV9" s="112" t="s">
        <v>3551</v>
      </c>
      <c r="BW9" s="317">
        <f>MOD(BW3,30)</f>
        <v>0</v>
      </c>
      <c r="BX9" t="s">
        <v>326</v>
      </c>
      <c r="BY9">
        <f>[1]!mbtool(2,17,0,1)</f>
        <v>9.5138888888888884E-2</v>
      </c>
      <c r="BZ9" s="274"/>
      <c r="CA9" s="274"/>
      <c r="CB9" s="274"/>
      <c r="CC9" s="274"/>
      <c r="CD9" s="274"/>
      <c r="CE9" s="274"/>
      <c r="CF9" s="274"/>
      <c r="CG9" s="274"/>
      <c r="CH9" s="732"/>
      <c r="CI9" s="731" t="e">
        <f>[1]!taqsha(CI3,CI4,CI12,CI7)</f>
        <v>#VALUE!</v>
      </c>
      <c r="CJ9" s="113">
        <f>[1]!taqsha(CJ3,CJ4,CJ5,CJ7)</f>
        <v>78.846004751409424</v>
      </c>
      <c r="CK9" s="113">
        <f>[1]!taqsha(CK3,CK4,CK5,CK7)</f>
        <v>107.48342817298783</v>
      </c>
      <c r="CL9" s="113">
        <f>[1]!taqsha(CL3,CL4,CL5,CL7)</f>
        <v>135.37246088482161</v>
      </c>
      <c r="CM9" s="113">
        <f>[1]!taqsha(CM3,CM4,CM5,CM7)</f>
        <v>164.61755919607924</v>
      </c>
      <c r="CN9" s="113">
        <f>[1]!taqsha(CN3,CN4,CN5,CN7)</f>
        <v>193.36081943617393</v>
      </c>
      <c r="CO9" s="113">
        <f>[1]!taqsha(CO3,CO4,CO5,CO7)</f>
        <v>223.55697884111339</v>
      </c>
      <c r="CP9" s="113">
        <f>[1]!taqsha(CP3,CP4,CP5,CP7)</f>
        <v>253.04933839187174</v>
      </c>
      <c r="CQ9" s="113">
        <f>[1]!taqsha(CQ3,CQ4,CQ5,CQ7)</f>
        <v>283.61520177903333</v>
      </c>
      <c r="CR9" s="113">
        <f>[1]!taqsha(CR3,CR4,CR5,CR7)</f>
        <v>312.96307414330266</v>
      </c>
      <c r="CS9" s="113">
        <f>[1]!taqsha(CS3,CS4,CS5,CS7)</f>
        <v>342.90524859707153</v>
      </c>
      <c r="CT9" s="113">
        <f>[1]!taqsha(CT3,CT4,CT5,CT7)</f>
        <v>11.37639435464696</v>
      </c>
      <c r="CU9" s="113">
        <f>[1]!taqsha(CU3,CU4,CU5,CU7)</f>
        <v>40.378034800426697</v>
      </c>
      <c r="CV9" s="317"/>
      <c r="CW9" s="797"/>
      <c r="CX9" s="274"/>
      <c r="CY9" s="274"/>
      <c r="CZ9" s="274"/>
      <c r="DA9" s="274"/>
      <c r="DB9" s="274"/>
      <c r="DC9" s="274" t="s">
        <v>3558</v>
      </c>
      <c r="DD9" t="e">
        <f>[1]!rozhaq(DD3,DD4,29,DD8,DD6,DD7)</f>
        <v>#VALUE!</v>
      </c>
      <c r="ER9" s="274"/>
      <c r="ES9" s="274"/>
      <c r="ET9" s="274"/>
      <c r="EU9" s="274"/>
      <c r="EV9" s="274"/>
      <c r="EW9" s="274"/>
      <c r="EX9" s="274"/>
    </row>
    <row r="10" spans="1:154" ht="23.25">
      <c r="A10" s="720">
        <v>9</v>
      </c>
      <c r="B10" s="721" t="s">
        <v>357</v>
      </c>
      <c r="C10" s="746">
        <f>IF(C9+C8&lt;360,C9+C8,C9+C8-360)</f>
        <v>204.04117299397774</v>
      </c>
      <c r="D10" s="720">
        <v>23</v>
      </c>
      <c r="E10" s="721"/>
      <c r="F10" s="722">
        <f>[1]!sn(F9)</f>
        <v>0.36161932266937269</v>
      </c>
      <c r="G10" s="720">
        <v>37</v>
      </c>
      <c r="H10" s="721" t="s">
        <v>1164</v>
      </c>
      <c r="I10" s="722">
        <f>90-I9</f>
        <v>12.363587759755447</v>
      </c>
      <c r="J10" s="272">
        <v>51</v>
      </c>
      <c r="K10" s="721" t="s">
        <v>812</v>
      </c>
      <c r="L10" s="721">
        <f>AL30/24</f>
        <v>0.612211324847174</v>
      </c>
      <c r="R10" s="1002"/>
      <c r="S10" s="1003"/>
      <c r="T10" s="1003" t="s">
        <v>698</v>
      </c>
      <c r="U10" s="1003">
        <f>AL11</f>
        <v>32.191599645368157</v>
      </c>
      <c r="V10" s="1705">
        <f t="shared" ref="V10:V12" si="7">INT(ABS(U10))</f>
        <v>32</v>
      </c>
      <c r="W10" s="1705">
        <f t="shared" ref="W10:W12" si="8">INT((ABS(U10)-V10)*60)</f>
        <v>11</v>
      </c>
      <c r="X10" s="1705">
        <f t="shared" ref="X10:X12" si="9">INT((((ABS(U10)-V10)*60)-W10)*60)</f>
        <v>29</v>
      </c>
      <c r="Y10" s="1709">
        <f t="shared" ref="Y10:Y12" si="10">INT((((((ABS(U10)-V10)*60)-W10)*60)-X10)*60)</f>
        <v>45</v>
      </c>
      <c r="Z10" s="1728">
        <f>X5</f>
        <v>9.7222222222222224E-2</v>
      </c>
      <c r="AA10" s="1729">
        <f>X5</f>
        <v>9.7222222222222224E-2</v>
      </c>
      <c r="AB10" s="1730">
        <f t="shared" si="6"/>
        <v>9.7222222222222224E-2</v>
      </c>
      <c r="AC10" s="1007">
        <f t="shared" si="6"/>
        <v>9.7222222222222224E-2</v>
      </c>
      <c r="AD10" s="1007">
        <f t="shared" si="6"/>
        <v>9.7222222222222224E-2</v>
      </c>
      <c r="AE10" s="238"/>
      <c r="AF10" s="1731">
        <f>AB10</f>
        <v>9.7222222222222224E-2</v>
      </c>
      <c r="AG10" s="1732" t="s">
        <v>3548</v>
      </c>
      <c r="AH10" s="1729">
        <v>29</v>
      </c>
      <c r="AI10" s="1017"/>
      <c r="AJ10" s="1012"/>
      <c r="AK10" s="502" t="s">
        <v>378</v>
      </c>
      <c r="AL10" s="502">
        <f>[1]!taqsha(AL4,AL5,AL6,AL7)</f>
        <v>20.265455145437393</v>
      </c>
      <c r="AM10" s="1012">
        <f>INT(ABS(AL10))</f>
        <v>20</v>
      </c>
      <c r="AN10" s="1012">
        <f>INT((ABS(AL10)-AM10)*60)</f>
        <v>15</v>
      </c>
      <c r="AO10" s="1012">
        <f>INT((((ABS(AL10)-AM10)*60)-AN10)*60)</f>
        <v>55</v>
      </c>
      <c r="AP10" s="1012">
        <f>INT((((((ABS(AL10)-AM10)*60)-AN10)*60)-AO10)*60)</f>
        <v>38</v>
      </c>
      <c r="AQ10" s="637"/>
      <c r="AR10" s="765">
        <f>[1]!qamarmoadal2(AL4,AL5,AP4,AP5,AL7,AL9)</f>
        <v>32.184756852640291</v>
      </c>
      <c r="AS10" s="765" t="s">
        <v>1187</v>
      </c>
      <c r="AT10" s="765">
        <f>AL11+AT9</f>
        <v>33.102481044832274</v>
      </c>
      <c r="AU10" s="1015">
        <f t="shared" ref="AU10:AU16" si="11">INT(ABS(AT10))</f>
        <v>33</v>
      </c>
      <c r="AV10" s="1015">
        <f t="shared" ref="AV10:AV16" si="12">INT((ABS(AT10)-AU10)*60)</f>
        <v>6</v>
      </c>
      <c r="AW10" s="1015">
        <f t="shared" ref="AW10:AW16" si="13">INT((((ABS(AT10)-AU10)*60)-AV10)*60)</f>
        <v>8</v>
      </c>
      <c r="AX10" s="1016">
        <f t="shared" ref="AX10:AX16" si="14">INT((((((ABS(AT10)-AU10)*60)-AV10)*60)-AW10)*60)</f>
        <v>55</v>
      </c>
      <c r="AZ10" t="s">
        <v>698</v>
      </c>
      <c r="BA10" s="701" t="e">
        <f>[1]!taqqa(BA3,BA4,[1]!roz(BA5,BA9,0,0),BA6)</f>
        <v>#VALUE!</v>
      </c>
      <c r="BB10" s="304" t="e">
        <f>[1]!taqqa(BB3,BB4,[1]!roz(BB5,BB9,0,0),BB6)</f>
        <v>#VALUE!</v>
      </c>
      <c r="BC10" s="304" t="e">
        <f>[1]!taqqa(BC3,BC4,[1]!roz(BC5,BC9,0,0),BC6)</f>
        <v>#VALUE!</v>
      </c>
      <c r="BD10" s="304" t="e">
        <f>[1]!taqqa(BD3,BD4,[1]!roz(BD5,BD9,0,0),BD6)</f>
        <v>#VALUE!</v>
      </c>
      <c r="BE10" s="304" t="e">
        <f>[1]!taqqa(BE3,BE4,[1]!roz(BE5,BE9,0,0),BE6)</f>
        <v>#VALUE!</v>
      </c>
      <c r="BF10" s="304" t="e">
        <f>[1]!taqqa(BF3,BF4,[1]!roz(BF5,BF9,0,0),BF6)</f>
        <v>#VALUE!</v>
      </c>
      <c r="BG10" s="304" t="e">
        <f>[1]!taqqa(BG3,BG4,[1]!roz(BG5,BG9,0,0),BG6)</f>
        <v>#VALUE!</v>
      </c>
      <c r="BH10" s="304" t="e">
        <f>[1]!taqqa(BH3,BH4,[1]!roz(BH5,BH9,0,0),BH6)</f>
        <v>#VALUE!</v>
      </c>
      <c r="BI10" s="304" t="e">
        <f>[1]!taqqa(BI3,BI4,[1]!roz(BI5,BI9,0,0),BI6)</f>
        <v>#VALUE!</v>
      </c>
      <c r="BJ10" s="304" t="e">
        <f>[1]!taqqa(BJ3,BJ4,[1]!roz(BJ5,BJ9,0,0),BJ6)</f>
        <v>#VALUE!</v>
      </c>
      <c r="BK10" s="304" t="e">
        <f>[1]!taqqa(BK3,BK4,[1]!roz(BK5,BK9,0,0),BK6)</f>
        <v>#VALUE!</v>
      </c>
      <c r="BL10" s="304" t="e">
        <f>[1]!taqqa(BL3,BL4,[1]!roz(BL5,BL9,0,0),BL6)</f>
        <v>#VALUE!</v>
      </c>
      <c r="BM10" s="314"/>
      <c r="BN10" s="732">
        <f>[1]!taqsha(BN4,BN5,BN7,BN8)</f>
        <v>326.95139396356944</v>
      </c>
      <c r="BO10" s="732">
        <f>[1]!taqsha(BO4,BO5,BO7,BO8)</f>
        <v>327.9621823586707</v>
      </c>
      <c r="BP10" s="753">
        <f>[1]!taqsha(BP4,BP5,BP7,BP8)</f>
        <v>328.97030629218727</v>
      </c>
      <c r="BQ10" s="753" t="e">
        <f>[1]!taqsha(BQ4,BQ5,BQ7,BQ8)</f>
        <v>#VALUE!</v>
      </c>
      <c r="BR10" s="238" t="s">
        <v>177</v>
      </c>
      <c r="BS10" s="731">
        <f>BP9</f>
        <v>35</v>
      </c>
      <c r="BT10" s="112"/>
      <c r="BU10" s="317">
        <f>[1]!kab(BU9)</f>
        <v>0</v>
      </c>
      <c r="BV10" s="112"/>
      <c r="BW10" s="317">
        <f>[1]!kab(BW9)</f>
        <v>0</v>
      </c>
      <c r="BX10" t="s">
        <v>378</v>
      </c>
      <c r="BY10" t="e">
        <f>[1]!taqsha(BY3,BY4,BY8,BY9)</f>
        <v>#VALUE!</v>
      </c>
      <c r="BZ10" s="274"/>
      <c r="CA10" s="274"/>
      <c r="CB10" s="274"/>
      <c r="CC10" s="274"/>
      <c r="CD10" s="274"/>
      <c r="CE10" s="274"/>
      <c r="CF10" s="274"/>
      <c r="CG10" s="274"/>
      <c r="CH10" s="732" t="s">
        <v>3499</v>
      </c>
      <c r="CI10" s="731" t="e">
        <f>[1]!qsn([1]!ml(CI9),CI8)/30</f>
        <v>#VALUE!</v>
      </c>
      <c r="CJ10" s="113" t="e">
        <f>[1]!qsn([1]!ml(CJ9),CJ8)/30</f>
        <v>#VALUE!</v>
      </c>
      <c r="CK10" s="113" t="e">
        <f>[1]!qsn([1]!ml(CK9),CK8)/30</f>
        <v>#VALUE!</v>
      </c>
      <c r="CL10" s="113" t="e">
        <f>[1]!qsn([1]!ml(CL9),CL8)/30</f>
        <v>#VALUE!</v>
      </c>
      <c r="CM10" s="113" t="e">
        <f>[1]!qsn([1]!ml(CM9),CM8)/30</f>
        <v>#VALUE!</v>
      </c>
      <c r="CN10" s="113" t="e">
        <f>[1]!qsn([1]!ml(CN9),CN8)/30</f>
        <v>#VALUE!</v>
      </c>
      <c r="CO10" s="113" t="e">
        <f>[1]!qsn([1]!ml(CO9),CO8)/30</f>
        <v>#VALUE!</v>
      </c>
      <c r="CP10" s="113" t="e">
        <f>[1]!qsn([1]!ml(CP9),CP8)/30</f>
        <v>#VALUE!</v>
      </c>
      <c r="CQ10" s="113" t="e">
        <f>[1]!qsn([1]!ml(CQ9),CQ8)/30</f>
        <v>#VALUE!</v>
      </c>
      <c r="CR10" s="113" t="e">
        <f>[1]!qsn([1]!ml(CR9),CR8)/30</f>
        <v>#VALUE!</v>
      </c>
      <c r="CS10" s="113" t="e">
        <f>[1]!qsn([1]!ml(CS9),CS8)/30</f>
        <v>#VALUE!</v>
      </c>
      <c r="CT10" s="113" t="e">
        <f>[1]!qsn([1]!ml(CT9),CT8)/30</f>
        <v>#VALUE!</v>
      </c>
      <c r="CU10" s="113" t="e">
        <f>[1]!qsn([1]!ml(CU9),CU8)/30</f>
        <v>#VALUE!</v>
      </c>
      <c r="CV10" s="317"/>
      <c r="CW10" s="797"/>
      <c r="CX10" s="327"/>
      <c r="CY10" s="327"/>
      <c r="CZ10" s="327"/>
      <c r="DA10" s="274"/>
      <c r="DB10" s="274"/>
      <c r="DC10" s="274" t="s">
        <v>219</v>
      </c>
      <c r="DD10" t="e">
        <f>[1]!sat(DD3,DD4,DD9,DD6,DD7)</f>
        <v>#VALUE!</v>
      </c>
      <c r="ER10" s="274"/>
      <c r="ES10" s="274"/>
      <c r="ET10" s="274"/>
      <c r="EU10" s="274"/>
      <c r="EV10" s="274"/>
      <c r="EW10" s="274"/>
      <c r="EX10" s="274"/>
    </row>
    <row r="11" spans="1:154" ht="24.75">
      <c r="A11" s="720">
        <v>10</v>
      </c>
      <c r="B11" s="721" t="s">
        <v>1065</v>
      </c>
      <c r="C11" s="722">
        <f>[1]!tazmb(C1,C10,C4)</f>
        <v>199.92013203847341</v>
      </c>
      <c r="D11" s="720">
        <v>24</v>
      </c>
      <c r="E11" s="721"/>
      <c r="F11" s="722">
        <f>F10*[1]!csn(F7)/60</f>
        <v>0.35092034413203266</v>
      </c>
      <c r="G11" s="720">
        <v>38</v>
      </c>
      <c r="H11" s="721" t="s">
        <v>1070</v>
      </c>
      <c r="I11" s="722">
        <f>[1]!sn(I10)</f>
        <v>12.846875726805749</v>
      </c>
      <c r="J11" s="272">
        <v>52</v>
      </c>
      <c r="K11" s="721" t="s">
        <v>1077</v>
      </c>
      <c r="L11" s="721">
        <f>[1]!qotrqmr(L10)</f>
        <v>0.49138888888888888</v>
      </c>
      <c r="R11" s="1002"/>
      <c r="S11" s="1003"/>
      <c r="T11" s="1003" t="s">
        <v>378</v>
      </c>
      <c r="U11" s="1003">
        <f>AL10</f>
        <v>20.265455145437393</v>
      </c>
      <c r="V11" s="1705">
        <f t="shared" si="7"/>
        <v>20</v>
      </c>
      <c r="W11" s="1705">
        <f t="shared" si="8"/>
        <v>15</v>
      </c>
      <c r="X11" s="1705">
        <f t="shared" si="9"/>
        <v>55</v>
      </c>
      <c r="Y11" s="1709">
        <f t="shared" si="10"/>
        <v>38</v>
      </c>
      <c r="Z11" s="1728">
        <f>X6</f>
        <v>35.75</v>
      </c>
      <c r="AA11" s="1729">
        <f>X6</f>
        <v>35.75</v>
      </c>
      <c r="AB11" s="1730">
        <f t="shared" si="6"/>
        <v>35.75</v>
      </c>
      <c r="AC11" s="1007">
        <f t="shared" si="6"/>
        <v>35.75</v>
      </c>
      <c r="AD11" s="1007">
        <f t="shared" si="6"/>
        <v>35.75</v>
      </c>
      <c r="AE11" s="238"/>
      <c r="AF11" s="1731">
        <f>AB11</f>
        <v>35.75</v>
      </c>
      <c r="AG11" s="1732" t="s">
        <v>3543</v>
      </c>
      <c r="AH11" s="1729">
        <f>AH10+AF12</f>
        <v>29</v>
      </c>
      <c r="AI11" s="1017"/>
      <c r="AJ11" s="1012"/>
      <c r="AK11" s="502" t="s">
        <v>698</v>
      </c>
      <c r="AL11" s="502">
        <f>[1]!taqqa(AL4,AL5,AL6,AL7)</f>
        <v>32.191599645368157</v>
      </c>
      <c r="AM11" s="1012">
        <f>INT(ABS(AL11))</f>
        <v>32</v>
      </c>
      <c r="AN11" s="1012">
        <f>INT((ABS(AL11)-AM11)*60)</f>
        <v>11</v>
      </c>
      <c r="AO11" s="1012">
        <f>INT((((ABS(AL11)-AM11)*60)-AN11)*60)</f>
        <v>29</v>
      </c>
      <c r="AP11" s="1012">
        <f>INT((((((ABS(AL11)-AM11)*60)-AN11)*60)-AO11)*60)</f>
        <v>45</v>
      </c>
      <c r="AQ11" s="637"/>
      <c r="AR11" s="502"/>
      <c r="AS11" s="502" t="s">
        <v>1189</v>
      </c>
      <c r="AT11" s="502">
        <f>IF(AL10&lt;180,AL10+180,AL10-180)</f>
        <v>200.26545514543739</v>
      </c>
      <c r="AU11" s="1012">
        <f t="shared" si="11"/>
        <v>200</v>
      </c>
      <c r="AV11" s="1012">
        <f t="shared" si="12"/>
        <v>15</v>
      </c>
      <c r="AW11" s="1012">
        <f t="shared" si="13"/>
        <v>55</v>
      </c>
      <c r="AX11" s="1018">
        <f t="shared" si="14"/>
        <v>38</v>
      </c>
      <c r="AZ11" t="s">
        <v>378</v>
      </c>
      <c r="BA11" s="701" t="e">
        <f>[1]!taqsha(BA3,BA4,[1]!roz(BA5,BA9,0,0),BA6)</f>
        <v>#VALUE!</v>
      </c>
      <c r="BB11" s="304" t="e">
        <f>[1]!taqsha(BB3,BB4,[1]!roz(BB5,BB9,0,0),BB6)</f>
        <v>#VALUE!</v>
      </c>
      <c r="BC11" s="304" t="e">
        <f>[1]!taqsha(BC3,BC4,[1]!roz(BC5,BC9,0,0),BC6)</f>
        <v>#VALUE!</v>
      </c>
      <c r="BD11" s="304" t="e">
        <f>[1]!taqsha(BD3,BD4,[1]!roz(BD5,BD9,0,0),BD6)</f>
        <v>#VALUE!</v>
      </c>
      <c r="BE11" s="304" t="e">
        <f>[1]!taqsha(BE3,BE4,[1]!roz(BE5,BE9,0,0),BE6)</f>
        <v>#VALUE!</v>
      </c>
      <c r="BF11" s="304" t="e">
        <f>[1]!taqsha(BF3,BF4,[1]!roz(BF5,BF9,0,0),BF6)</f>
        <v>#VALUE!</v>
      </c>
      <c r="BG11" s="304" t="e">
        <f>[1]!taqsha(BG3,BG4,[1]!roz(BG5,BG9,0,0),BG6)</f>
        <v>#VALUE!</v>
      </c>
      <c r="BH11" s="304" t="e">
        <f>[1]!taqsha(BH3,BH4,[1]!roz(BH5,BH9,0,0),BH6)</f>
        <v>#VALUE!</v>
      </c>
      <c r="BI11" s="304" t="e">
        <f>[1]!taqsha(BI3,BI4,[1]!roz(BI5,BI9,0,0),BI6)</f>
        <v>#VALUE!</v>
      </c>
      <c r="BJ11" s="304" t="e">
        <f>[1]!taqsha(BJ3,BJ4,[1]!roz(BJ5,BJ9,0,0),BJ6)</f>
        <v>#VALUE!</v>
      </c>
      <c r="BK11" s="304" t="e">
        <f>[1]!taqsha(BK3,BK4,[1]!roz(BK5,BK9,0,0),BK6)</f>
        <v>#VALUE!</v>
      </c>
      <c r="BL11" s="304" t="e">
        <f>[1]!taqsha(BL3,BL4,[1]!roz(BL5,BL9,0,0),BL6)</f>
        <v>#VALUE!</v>
      </c>
      <c r="BM11" s="314"/>
      <c r="BN11" s="732" t="e">
        <f>[1]!qsn([1]!ml(BN10),BN9)/30</f>
        <v>#VALUE!</v>
      </c>
      <c r="BO11" s="732" t="e">
        <f>[1]!qsn([1]!ml(BO10),BO9)/30</f>
        <v>#VALUE!</v>
      </c>
      <c r="BP11" s="753" t="e">
        <f>[1]!qsn([1]!ml(BP10),BP9)/30</f>
        <v>#VALUE!</v>
      </c>
      <c r="BQ11" s="753" t="e">
        <f>[1]!qsn([1]!ml(BQ10),BQ9)/30</f>
        <v>#VALUE!</v>
      </c>
      <c r="BR11" s="238"/>
      <c r="BS11" s="731" t="e">
        <f>[1]!taqsha(BS4,BS5,BS8,BS9)</f>
        <v>#VALUE!</v>
      </c>
      <c r="BT11" s="749"/>
      <c r="BU11" s="317">
        <f>((BU3-1)*BU7)+BU10+BU8</f>
        <v>488672</v>
      </c>
      <c r="BV11" s="749"/>
      <c r="BW11" s="317">
        <f>((BW3-1)*BW7)+BW10+BW8</f>
        <v>488672</v>
      </c>
      <c r="BY11" t="e">
        <f>[1]!tzaman(INT(BY10))</f>
        <v>#VALUE!</v>
      </c>
      <c r="BZ11" s="243" t="e">
        <f>INT(ABS(BY11))</f>
        <v>#VALUE!</v>
      </c>
      <c r="CA11" s="243" t="e">
        <f>INT((ABS(BY11)-BZ11)*60)</f>
        <v>#VALUE!</v>
      </c>
      <c r="CB11" s="243" t="e">
        <f>INT((((ABS(BY11)-BZ11)*60)-CA11)*60)</f>
        <v>#VALUE!</v>
      </c>
      <c r="CC11" s="243" t="e">
        <f>INT((((((ABS(BY11)-BZ11)*60)-CA11)*60)-CB11)*60)</f>
        <v>#VALUE!</v>
      </c>
      <c r="CD11" s="274"/>
      <c r="CE11" s="274"/>
      <c r="CF11" s="274"/>
      <c r="CG11" s="274"/>
      <c r="CH11" s="732" t="s">
        <v>3748</v>
      </c>
      <c r="CI11" s="731">
        <f>[1]!tafavot(CI3,CI4,CI7,CI8)</f>
        <v>0</v>
      </c>
      <c r="CJ11" s="113">
        <f>[1]!tafavot(CJ3,CJ4,CJ7,CJ8)</f>
        <v>0</v>
      </c>
      <c r="CK11" s="113">
        <f>[1]!tafavot(CK3,CK4,CK7,CK8)</f>
        <v>0</v>
      </c>
      <c r="CL11" s="113">
        <f>[1]!tafavot(CL3,CL4,CL7,CL8)</f>
        <v>0</v>
      </c>
      <c r="CM11" s="113">
        <f>[1]!tafavot(CM3,CM4,CM7,CM8)</f>
        <v>0</v>
      </c>
      <c r="CN11" s="113">
        <f>[1]!tafavot(CN3,CN4,CN7,CN8)</f>
        <v>0</v>
      </c>
      <c r="CO11" s="113">
        <f>[1]!tafavot(CO3,CO4,CO7,CO8)</f>
        <v>0</v>
      </c>
      <c r="CP11" s="113">
        <f>[1]!tafavot(CP3,CP4,CP7,CP8)</f>
        <v>0</v>
      </c>
      <c r="CQ11" s="113">
        <f>[1]!tafavot(CQ3,CQ4,CQ7,CQ8)</f>
        <v>0</v>
      </c>
      <c r="CR11" s="113">
        <f>[1]!tafavot(CR3,CR4,CR7,CR8)</f>
        <v>1</v>
      </c>
      <c r="CS11" s="113">
        <f>[1]!tafavot(CS3,CS4,CS7,CS8)</f>
        <v>1</v>
      </c>
      <c r="CT11" s="113">
        <f>[1]!tafavot(CT3,CT4,CT7,CT8)</f>
        <v>1</v>
      </c>
      <c r="CU11" s="113">
        <f>[1]!tafavot(CU3,CU4,CU7,CU8)</f>
        <v>1</v>
      </c>
      <c r="CV11" s="317"/>
      <c r="CW11" s="797"/>
      <c r="CX11" s="327"/>
      <c r="CY11" s="327"/>
      <c r="CZ11" s="327"/>
      <c r="DA11" s="274"/>
      <c r="DB11" s="274"/>
      <c r="DC11" s="274" t="s">
        <v>1194</v>
      </c>
      <c r="DD11" t="e">
        <f>[1]!tadqroob(DD3,DD4,DD9,DD10,DD6,DD7)</f>
        <v>#VALUE!</v>
      </c>
      <c r="ER11" s="274"/>
      <c r="ES11" s="274"/>
      <c r="ET11" s="274"/>
      <c r="EU11" s="274"/>
      <c r="EV11" s="274"/>
      <c r="EW11" s="274"/>
      <c r="EX11" s="274"/>
    </row>
    <row r="12" spans="1:154" ht="24.75">
      <c r="A12" s="720">
        <v>11</v>
      </c>
      <c r="B12" s="721" t="s">
        <v>281</v>
      </c>
      <c r="C12" s="722">
        <f>[1]!asher(C1,C11,C4)</f>
        <v>112.26048838717257</v>
      </c>
      <c r="D12" s="720">
        <v>25</v>
      </c>
      <c r="E12" s="721" t="s">
        <v>1064</v>
      </c>
      <c r="F12" s="722">
        <f>[1]!asn(F11)</f>
        <v>0.33510615491355022</v>
      </c>
      <c r="G12" s="720">
        <v>39</v>
      </c>
      <c r="H12" s="721" t="s">
        <v>1163</v>
      </c>
      <c r="I12" s="722">
        <f>[1]!sn(F14)</f>
        <v>1.5896019363076661</v>
      </c>
      <c r="J12" s="272">
        <v>53</v>
      </c>
      <c r="K12" s="721" t="s">
        <v>914</v>
      </c>
      <c r="L12">
        <f>[1]!bodq(L15)</f>
        <v>56.866153479370595</v>
      </c>
      <c r="M12" s="721"/>
      <c r="R12" s="1002"/>
      <c r="S12" s="1003"/>
      <c r="T12" s="1003" t="s">
        <v>839</v>
      </c>
      <c r="U12" s="1003">
        <f>U10-U11</f>
        <v>11.926144499930764</v>
      </c>
      <c r="V12" s="1705">
        <f t="shared" si="7"/>
        <v>11</v>
      </c>
      <c r="W12" s="1705">
        <f t="shared" si="8"/>
        <v>55</v>
      </c>
      <c r="X12" s="1705">
        <f t="shared" si="9"/>
        <v>34</v>
      </c>
      <c r="Y12" s="1709">
        <f t="shared" si="10"/>
        <v>7</v>
      </c>
      <c r="Z12" s="1731">
        <v>-1</v>
      </c>
      <c r="AA12" s="1729">
        <v>0</v>
      </c>
      <c r="AB12" s="1730">
        <v>1</v>
      </c>
      <c r="AC12" s="1007">
        <v>2</v>
      </c>
      <c r="AD12" s="1007">
        <v>3</v>
      </c>
      <c r="AE12" s="238" t="s">
        <v>3553</v>
      </c>
      <c r="AF12" s="1731">
        <f>IF(AND(Z17&gt;=10,Z17&lt;30),Z12,IF(AND(AA17&gt;=10,AA17&lt;30),AA12,IF(AND(AB17&gt;=10,AB17&lt;30),AB12,2)))</f>
        <v>0</v>
      </c>
      <c r="AG12" s="1732" t="s">
        <v>326</v>
      </c>
      <c r="AH12" s="1729">
        <f>AB10</f>
        <v>9.7222222222222224E-2</v>
      </c>
      <c r="AI12" s="1011"/>
      <c r="AJ12" s="1012"/>
      <c r="AK12" s="502" t="s">
        <v>408</v>
      </c>
      <c r="AL12" s="605">
        <f>[1]!hesseha(AL4,AL5,AL6,AL7)</f>
        <v>17.61353773769769</v>
      </c>
      <c r="AM12" s="1012">
        <f>INT(ABS(AL12))</f>
        <v>17</v>
      </c>
      <c r="AN12" s="1012">
        <f>INT((ABS(AL12)-AM12)*60)</f>
        <v>36</v>
      </c>
      <c r="AO12" s="1012">
        <f>INT((((ABS(AL12)-AM12)*60)-AN12)*60)</f>
        <v>48</v>
      </c>
      <c r="AP12" s="1012">
        <f>INT((((((ABS(AL12)-AM12)*60)-AN12)*60)-AO12)*60)</f>
        <v>44</v>
      </c>
      <c r="AQ12" s="637"/>
      <c r="AR12" s="502"/>
      <c r="AS12" s="502" t="s">
        <v>1192</v>
      </c>
      <c r="AT12" s="502">
        <f>[1]!mtb(AL4,AT11,AL9)</f>
        <v>204.46000398083021</v>
      </c>
      <c r="AU12" s="1012">
        <f t="shared" si="11"/>
        <v>204</v>
      </c>
      <c r="AV12" s="1012">
        <f t="shared" si="12"/>
        <v>27</v>
      </c>
      <c r="AW12" s="1012">
        <f t="shared" si="13"/>
        <v>36</v>
      </c>
      <c r="AX12" s="1018">
        <f t="shared" si="14"/>
        <v>0</v>
      </c>
      <c r="BA12" s="701"/>
      <c r="BB12" s="304"/>
      <c r="BC12" s="304"/>
      <c r="BD12" s="304"/>
      <c r="BE12" s="304"/>
      <c r="BF12" s="304"/>
      <c r="BG12" s="304"/>
      <c r="BH12" s="304"/>
      <c r="BI12" s="304"/>
      <c r="BJ12" s="304"/>
      <c r="BK12" s="304"/>
      <c r="BL12" s="304"/>
      <c r="BM12" s="314"/>
      <c r="BN12" s="732" t="e">
        <f>[1]!taqqa(BN4,BN5,[1]!roz(BN7,BN11,0,0),BN8)</f>
        <v>#VALUE!</v>
      </c>
      <c r="BO12" s="732" t="e">
        <f>[1]!taqqa(BO4,BO5,[1]!roz(BO7,BO11,0,0),BO8)</f>
        <v>#VALUE!</v>
      </c>
      <c r="BP12" s="753" t="e">
        <f>[1]!taqqa(BP4,BP5,[1]!roz(BP7,BP11,0,0),BP8)</f>
        <v>#VALUE!</v>
      </c>
      <c r="BQ12" s="753" t="e">
        <f>[1]!taqqa(BQ4,BQ5,[1]!roz(BQ7,BQ11,0,0),BQ8)</f>
        <v>#VALUE!</v>
      </c>
      <c r="BR12" s="238" t="s">
        <v>1484</v>
      </c>
      <c r="BS12" s="731" t="e">
        <f>[1]!qsn([1]!ml(BS11),BS10)/30</f>
        <v>#VALUE!</v>
      </c>
      <c r="BT12" s="749"/>
      <c r="BU12" s="317">
        <f>INT(BU4/2)*30+(BU4-1-INT(BU4/2))*29</f>
        <v>236</v>
      </c>
      <c r="BV12" s="749"/>
      <c r="BW12" s="317">
        <f>INT(BW4/2)*30+(BW4-1-INT(BW4/2))*29</f>
        <v>236</v>
      </c>
      <c r="BY12" t="e">
        <f>BY11+BY6+(BY7/60)</f>
        <v>#VALUE!</v>
      </c>
      <c r="BZ12" s="274"/>
      <c r="CA12" s="274"/>
      <c r="CB12" s="274"/>
      <c r="CC12" s="274"/>
      <c r="CD12" s="274"/>
      <c r="CE12" s="274"/>
      <c r="CF12" s="274"/>
      <c r="CG12" s="274"/>
      <c r="CH12" s="732" t="s">
        <v>3543</v>
      </c>
      <c r="CI12" s="731" t="e">
        <f>[1]!rozhaq(CI3,CI4,29,CI11,CI7,CI8)</f>
        <v>#VALUE!</v>
      </c>
      <c r="CJ12" s="113" t="e">
        <f>[1]!rozhaq(CJ3,CJ4,CJ5,CJ11,CJ7,CJ8)</f>
        <v>#VALUE!</v>
      </c>
      <c r="CK12" s="113" t="e">
        <f>[1]!rozhaq(CK3,CK4,CK5,CK11,CK7,CK8)</f>
        <v>#VALUE!</v>
      </c>
      <c r="CL12" s="113" t="e">
        <f>[1]!rozhaq(CL3,CL4,CL5,CL11,CL7,CL8)</f>
        <v>#VALUE!</v>
      </c>
      <c r="CM12" s="113" t="e">
        <f>[1]!rozhaq(CM3,CM4,CM5,CM11,CM7,CM8)</f>
        <v>#VALUE!</v>
      </c>
      <c r="CN12" s="113" t="e">
        <f>[1]!rozhaq(CN3,CN4,CN5,CN11,CN7,CN8)</f>
        <v>#VALUE!</v>
      </c>
      <c r="CO12" s="113" t="e">
        <f>[1]!rozhaq(CO3,CO4,CO5,CO11,CO7,CO8)</f>
        <v>#VALUE!</v>
      </c>
      <c r="CP12" s="113" t="e">
        <f>[1]!rozhaq(CP3,CP4,CP5,CP11,CP7,CP8)</f>
        <v>#VALUE!</v>
      </c>
      <c r="CQ12" s="113" t="e">
        <f>[1]!rozhaq(CQ3,CQ4,CQ5,CQ11,CQ7,CQ8)</f>
        <v>#VALUE!</v>
      </c>
      <c r="CR12" s="113" t="e">
        <f>[1]!rozhaq(CR3,CR4,CR5,CR11,CR7,CR8)</f>
        <v>#VALUE!</v>
      </c>
      <c r="CS12" s="113" t="e">
        <f>[1]!rozhaq(CS3,CS4,CS5,CS11,CS7,CS8)</f>
        <v>#VALUE!</v>
      </c>
      <c r="CT12" s="113" t="e">
        <f>[1]!rozhaq(CT3,CT4,CT5,CT11,CT7,CT8)</f>
        <v>#VALUE!</v>
      </c>
      <c r="CU12" s="113" t="e">
        <f>[1]!rozhaq(CU3,CU4,CU5,CU11,CU7,CU8)</f>
        <v>#VALUE!</v>
      </c>
      <c r="CV12" s="317"/>
      <c r="CW12" s="797"/>
      <c r="CX12" s="327"/>
      <c r="CY12" s="327"/>
      <c r="CZ12" s="327"/>
      <c r="DA12" s="274"/>
      <c r="DB12" s="274"/>
      <c r="DC12" s="274" t="s">
        <v>3560</v>
      </c>
      <c r="DD12" t="e">
        <f>[1]!qamarmoadal1(DD3,DD4,DD9,DD10,DD6,DD7)</f>
        <v>#VALUE!</v>
      </c>
      <c r="ER12" s="274"/>
      <c r="ES12" s="274"/>
      <c r="ET12" s="274"/>
      <c r="EU12" s="715"/>
      <c r="EV12" s="715"/>
      <c r="EW12" s="715"/>
      <c r="EX12" s="715"/>
    </row>
    <row r="13" spans="1:154" ht="25.5" thickBot="1">
      <c r="A13" s="720">
        <v>12</v>
      </c>
      <c r="B13" s="721" t="s">
        <v>1060</v>
      </c>
      <c r="C13" s="722">
        <f>[1]!ml(C1,C12)</f>
        <v>21.587163079736779</v>
      </c>
      <c r="D13" s="720">
        <v>26</v>
      </c>
      <c r="E13" s="721" t="s">
        <v>1066</v>
      </c>
      <c r="F13" s="722">
        <f>AL12</f>
        <v>17.61353773769769</v>
      </c>
      <c r="G13" s="720">
        <v>40</v>
      </c>
      <c r="H13" s="721"/>
      <c r="I13" s="722">
        <f>I12/I11*60</f>
        <v>7.4240708952646122</v>
      </c>
      <c r="J13" s="272">
        <v>54</v>
      </c>
      <c r="K13" s="721" t="s">
        <v>402</v>
      </c>
      <c r="L13" s="721">
        <f>[1]!oujqa(AL4,AL5,AL6,AL7)</f>
        <v>171.27045858066299</v>
      </c>
      <c r="R13" s="1002"/>
      <c r="S13" s="1003"/>
      <c r="T13" s="1003" t="s">
        <v>1080</v>
      </c>
      <c r="U13" s="1003">
        <f>Z3</f>
        <v>13.795709328834192</v>
      </c>
      <c r="V13" s="1705">
        <f>INT(ABS(U13))</f>
        <v>13</v>
      </c>
      <c r="W13" s="1705">
        <f t="shared" ref="W13" si="15">INT((ABS(U13)-V13)*60)</f>
        <v>47</v>
      </c>
      <c r="X13" s="1705">
        <f t="shared" ref="X13" si="16">INT((((ABS(U13)-V13)*60)-W13)*60)</f>
        <v>44</v>
      </c>
      <c r="Y13" s="1709">
        <f t="shared" ref="Y13" si="17">INT((((((ABS(U13)-V13)*60)-W13)*60)-X13)*60)</f>
        <v>33</v>
      </c>
      <c r="Z13" s="1731">
        <f>[1]!taqsha(X3,X4+1,Z12,X5)</f>
        <v>18.530616919018236</v>
      </c>
      <c r="AA13" s="1729">
        <f>[1]!taqsha(AA8,AA9+1,AA12,AA10)</f>
        <v>19.513549883510155</v>
      </c>
      <c r="AB13" s="1730">
        <f>[1]!taqsha(AB8,AB9+1,AB12,AB10)</f>
        <v>20.495943483898316</v>
      </c>
      <c r="AC13" s="1007">
        <f>[1]!taqsha(AC8,AC9+1,AC12,AC10)</f>
        <v>21.477336522053669</v>
      </c>
      <c r="AD13" s="1007">
        <f>[1]!taqsha(AD8,AD9+1,AD12,AD10)</f>
        <v>22.458557029274388</v>
      </c>
      <c r="AE13" s="238"/>
      <c r="AF13" s="1731">
        <f>[1]!taqsha(AF8,AF9+1,AF12,AF10)</f>
        <v>19.513549883510155</v>
      </c>
      <c r="AG13" s="1732" t="s">
        <v>177</v>
      </c>
      <c r="AH13" s="1729">
        <f>AB11</f>
        <v>35.75</v>
      </c>
      <c r="AI13" s="1017" t="s">
        <v>3745</v>
      </c>
      <c r="AJ13" s="1012"/>
      <c r="AK13" s="502" t="s">
        <v>416</v>
      </c>
      <c r="AL13" s="609">
        <f>[1]!arzqmr(AL12)</f>
        <v>1.5181356657735283</v>
      </c>
      <c r="AM13" s="1012">
        <f>INT(ABS(AL13))</f>
        <v>1</v>
      </c>
      <c r="AN13" s="1012">
        <f>INT((ABS(AL13)-AM13)*60)</f>
        <v>31</v>
      </c>
      <c r="AO13" s="1012">
        <f>INT((((ABS(AL13)-AM13)*60)-AN13)*60)</f>
        <v>5</v>
      </c>
      <c r="AP13" s="1012">
        <f>INT((((((ABS(AL13)-AM13)*60)-AN13)*60)-AO13)*60)</f>
        <v>17</v>
      </c>
      <c r="AQ13" s="637"/>
      <c r="AR13" s="502"/>
      <c r="AS13" s="502" t="s">
        <v>1190</v>
      </c>
      <c r="AT13" s="502">
        <f>IF(AT10&lt;180,AT10+180,AT10-180)</f>
        <v>213.10248104483227</v>
      </c>
      <c r="AU13" s="1012">
        <f t="shared" si="11"/>
        <v>213</v>
      </c>
      <c r="AV13" s="1012">
        <f t="shared" si="12"/>
        <v>6</v>
      </c>
      <c r="AW13" s="1012">
        <f t="shared" si="13"/>
        <v>8</v>
      </c>
      <c r="AX13" s="1018">
        <f t="shared" si="14"/>
        <v>55</v>
      </c>
      <c r="AZ13" t="s">
        <v>839</v>
      </c>
      <c r="BA13" s="315" t="e">
        <f t="shared" ref="BA13:BG13" si="18">IF(BA10-BA11&gt;0,BA10-BA11,BA10-BA11+360)</f>
        <v>#VALUE!</v>
      </c>
      <c r="BB13" s="315" t="e">
        <f t="shared" si="18"/>
        <v>#VALUE!</v>
      </c>
      <c r="BC13" s="315" t="e">
        <f t="shared" si="18"/>
        <v>#VALUE!</v>
      </c>
      <c r="BD13" s="315" t="e">
        <f t="shared" si="18"/>
        <v>#VALUE!</v>
      </c>
      <c r="BE13" s="315" t="e">
        <f t="shared" si="18"/>
        <v>#VALUE!</v>
      </c>
      <c r="BF13" s="315" t="e">
        <f t="shared" si="18"/>
        <v>#VALUE!</v>
      </c>
      <c r="BG13" s="315" t="e">
        <f t="shared" si="18"/>
        <v>#VALUE!</v>
      </c>
      <c r="BH13" s="315" t="e">
        <f t="shared" ref="BH13:BK13" si="19">IF(BH10-BH11&gt;0,BH10-BH11,BH10-BH11+360)</f>
        <v>#VALUE!</v>
      </c>
      <c r="BI13" s="315" t="e">
        <f t="shared" si="19"/>
        <v>#VALUE!</v>
      </c>
      <c r="BJ13" s="315" t="e">
        <f t="shared" si="19"/>
        <v>#VALUE!</v>
      </c>
      <c r="BK13" s="315" t="e">
        <f t="shared" si="19"/>
        <v>#VALUE!</v>
      </c>
      <c r="BL13" s="315" t="e">
        <f>IF(BL10-BL11&gt;0,BL10-BL11,BL10-BL11+360)</f>
        <v>#VALUE!</v>
      </c>
      <c r="BM13" s="703"/>
      <c r="BN13" s="732" t="e">
        <f>[1]!taqsha(BN4,BN5,[1]!roz(BN7,BN11,0,0),BN8)</f>
        <v>#VALUE!</v>
      </c>
      <c r="BO13" s="732" t="e">
        <f>[1]!taqsha(BO4,BO5,[1]!roz(BO7,BO11,0,0),BO8)</f>
        <v>#VALUE!</v>
      </c>
      <c r="BP13" s="753" t="e">
        <f>[1]!taqsha(BP4,BP5,[1]!roz(BP7,BP11,0,0),BP8)</f>
        <v>#VALUE!</v>
      </c>
      <c r="BQ13" s="753" t="e">
        <f>[1]!taqsha(BQ4,BQ5,[1]!roz(BQ7,BQ11,0,0),BQ8)</f>
        <v>#VALUE!</v>
      </c>
      <c r="BR13" s="238" t="s">
        <v>698</v>
      </c>
      <c r="BS13" s="731" t="e">
        <f>[1]!taqqa(BS4,BS5,[1]!roz(BS8,BS12,0,0),BS9)</f>
        <v>#VALUE!</v>
      </c>
      <c r="BT13" s="112"/>
      <c r="BU13" s="317" t="e">
        <f>INT(BU11+BU12+BU6)</f>
        <v>#VALUE!</v>
      </c>
      <c r="BV13" s="112"/>
      <c r="BW13" s="317">
        <f>INT(BW11+BW12+BW5)</f>
        <v>488937</v>
      </c>
      <c r="BX13" t="s">
        <v>3750</v>
      </c>
      <c r="BY13" t="e">
        <f>IF(BY12&lt;24,BY12,BY12-24)</f>
        <v>#VALUE!</v>
      </c>
      <c r="BZ13" s="243" t="e">
        <f>INT(ABS(BY13))</f>
        <v>#VALUE!</v>
      </c>
      <c r="CA13" s="243" t="e">
        <f>INT((ABS(BY13)-BZ13)*60)</f>
        <v>#VALUE!</v>
      </c>
      <c r="CB13" s="243" t="e">
        <f>INT((((ABS(BY13)-BZ13)*60)-CA13)*60)</f>
        <v>#VALUE!</v>
      </c>
      <c r="CC13" s="243" t="e">
        <f>INT((((((ABS(BY13)-BZ13)*60)-CA13)*60)-CB13)*60)</f>
        <v>#VALUE!</v>
      </c>
      <c r="CD13" s="274"/>
      <c r="CE13" s="274"/>
      <c r="CF13" s="274"/>
      <c r="CG13" s="274"/>
      <c r="CH13" s="732" t="s">
        <v>1080</v>
      </c>
      <c r="CI13" s="731" t="e">
        <f>[1]!bodmoadal(CI3,CI4,CI12,CI10,CI7,CI8)</f>
        <v>#VALUE!</v>
      </c>
      <c r="CJ13" s="304" t="e">
        <f>[1]!bodmoadal(CJ3,CJ4,CJ12,CJ10,CJ7,CJ8)</f>
        <v>#VALUE!</v>
      </c>
      <c r="CK13" s="304" t="e">
        <f>[1]!bodmoadal(CK3,CK4,CK12,CK10,CK7,CK8)</f>
        <v>#VALUE!</v>
      </c>
      <c r="CL13" s="304" t="e">
        <f>[1]!bodmoadal(CL3,CL4,CL12,CL10,CL7,CL8)</f>
        <v>#VALUE!</v>
      </c>
      <c r="CM13" s="304" t="e">
        <f>[1]!bodmoadal(CM3,CM4,CM12,CM10,CM7,CM8)</f>
        <v>#VALUE!</v>
      </c>
      <c r="CN13" s="304" t="e">
        <f>[1]!bodmoadal(CN3,CN4,CN12,CN10,CN7,CN8)</f>
        <v>#VALUE!</v>
      </c>
      <c r="CO13" s="304" t="e">
        <f>[1]!bodmoadal(CO3,CO4,CO12,CO10,CO7,CO8)</f>
        <v>#VALUE!</v>
      </c>
      <c r="CP13" s="304" t="e">
        <f>[1]!bodmoadal(CP3,CP4,CP12,CP10,CP7,CP8)</f>
        <v>#VALUE!</v>
      </c>
      <c r="CQ13" s="304" t="e">
        <f>[1]!bodmoadal(CQ3,CQ4,CQ12,CQ10,CQ7,CQ8)</f>
        <v>#VALUE!</v>
      </c>
      <c r="CR13" s="304" t="e">
        <f>[1]!bodmoadal(CR3,CR4,CR12,CR10,CR7,CR8)</f>
        <v>#VALUE!</v>
      </c>
      <c r="CS13" s="304" t="e">
        <f>[1]!bodmoadal(CS3,CS4,CS12,CS10,CS7,CS8)</f>
        <v>#VALUE!</v>
      </c>
      <c r="CT13" s="304" t="e">
        <f>[1]!bodmoadal(CT3,CT4,CT12,CT10,CT7,CT8)</f>
        <v>#VALUE!</v>
      </c>
      <c r="CU13" s="304" t="e">
        <f>[1]!bodmoadal(CU3,CU4,CU12,CU10,CU7,CU8)</f>
        <v>#VALUE!</v>
      </c>
      <c r="CV13" s="314"/>
      <c r="CW13" s="797"/>
      <c r="CX13" s="327"/>
      <c r="CY13" s="327"/>
      <c r="CZ13" s="327"/>
      <c r="DA13" s="274"/>
      <c r="DB13" s="274"/>
      <c r="DC13" s="274" t="s">
        <v>3561</v>
      </c>
      <c r="DD13" t="e">
        <f>[1]!qamarmoadal2(DD3,DD4,DD9,DD10,DD6,DD7)</f>
        <v>#VALUE!</v>
      </c>
      <c r="DI13" s="274"/>
      <c r="ER13" s="274"/>
      <c r="ES13" s="274"/>
      <c r="ET13" s="274"/>
      <c r="EU13" s="715"/>
      <c r="EV13" s="715"/>
      <c r="EW13" s="715"/>
      <c r="EX13" s="715"/>
    </row>
    <row r="14" spans="1:154" ht="23.25">
      <c r="A14" s="720">
        <v>13</v>
      </c>
      <c r="B14" s="721" t="s">
        <v>879</v>
      </c>
      <c r="C14" s="722">
        <f>90-ABS(C4)</f>
        <v>54.25</v>
      </c>
      <c r="D14" s="720">
        <v>27</v>
      </c>
      <c r="E14" s="721" t="s">
        <v>416</v>
      </c>
      <c r="F14" s="722">
        <f>[1]!arzqmr(F13)</f>
        <v>1.5181356657735283</v>
      </c>
      <c r="G14" s="720">
        <v>41</v>
      </c>
      <c r="H14" s="721" t="s">
        <v>1165</v>
      </c>
      <c r="I14" s="722">
        <f>[1]!asn(ABS(I13))</f>
        <v>7.1076814920875613</v>
      </c>
      <c r="J14" s="272">
        <v>55</v>
      </c>
      <c r="K14" s="721" t="s">
        <v>1079</v>
      </c>
      <c r="L14" s="721">
        <f>IF(L13&gt;C2,L13-C2,L13+360-C2)</f>
        <v>151.0050034352256</v>
      </c>
      <c r="R14" s="1002"/>
      <c r="S14" s="1003"/>
      <c r="T14" s="1003" t="s">
        <v>1074</v>
      </c>
      <c r="U14" s="1003">
        <f>AL27</f>
        <v>12.105344865439378</v>
      </c>
      <c r="V14" s="1705">
        <f>INT(ABS(U14))</f>
        <v>12</v>
      </c>
      <c r="W14" s="1705">
        <f t="shared" ref="W14:W15" si="20">INT((ABS(U14)-V14)*60)</f>
        <v>6</v>
      </c>
      <c r="X14" s="1705">
        <f t="shared" ref="X14:X15" si="21">INT((((ABS(U14)-V14)*60)-W14)*60)</f>
        <v>19</v>
      </c>
      <c r="Y14" s="1709">
        <f t="shared" ref="Y14:Y15" si="22">INT((((((ABS(U14)-V14)*60)-W14)*60)-X14)*60)</f>
        <v>14</v>
      </c>
      <c r="Z14" s="1731">
        <f>([1]!qsn([1]!ml(X3,Z13),X6)/30)+12</f>
        <v>18.350721072646067</v>
      </c>
      <c r="AA14" s="1729">
        <f>([1]!qsn([1]!ml(AA8,AA13),AA11)/30)+12</f>
        <v>18.368987697890923</v>
      </c>
      <c r="AB14" s="1730">
        <f>([1]!qsn([1]!ml(AB8,AB13),AB11)/30)+12</f>
        <v>18.38718943548254</v>
      </c>
      <c r="AC14" s="1007">
        <f>([1]!qsn([1]!ml(AC8,AC13),AC11)/30)+12</f>
        <v>18.40531444646723</v>
      </c>
      <c r="AD14" s="1007">
        <f>([1]!qsn([1]!ml(AD8,AD13),AD11)/30)+12</f>
        <v>18.423374614041418</v>
      </c>
      <c r="AE14" s="238" t="s">
        <v>3986</v>
      </c>
      <c r="AF14" s="1731">
        <f>([1]!qsn([1]!ml(AF8,AF13),AF11)/30)+12</f>
        <v>18.368987697890923</v>
      </c>
      <c r="AG14" s="1732"/>
      <c r="AH14" s="1729">
        <f>[1]!taqsha(AH8,AH9,AH11,AH12)</f>
        <v>18.530616919018236</v>
      </c>
      <c r="AI14" s="1017"/>
      <c r="AJ14" s="1012"/>
      <c r="AK14" s="502" t="s">
        <v>1067</v>
      </c>
      <c r="AL14" s="1007">
        <f>I3</f>
        <v>19.920132038473412</v>
      </c>
      <c r="AM14" s="1012">
        <f t="shared" ref="AM14:AM33" si="23">INT(ABS(AL14))</f>
        <v>19</v>
      </c>
      <c r="AN14" s="1012">
        <f t="shared" ref="AN14:AN33" si="24">INT((ABS(AL14)-AM14)*60)</f>
        <v>55</v>
      </c>
      <c r="AO14" s="1012">
        <f t="shared" ref="AO14:AO33" si="25">INT((((ABS(AL14)-AM14)*60)-AN14)*60)</f>
        <v>12</v>
      </c>
      <c r="AP14" s="1012">
        <f t="shared" ref="AP14:AP33" si="26">INT((((((ABS(AL14)-AM14)*60)-AN14)*60)-AO14)*60)</f>
        <v>28</v>
      </c>
      <c r="AQ14" s="637"/>
      <c r="AR14" s="502"/>
      <c r="AS14" s="502" t="s">
        <v>1191</v>
      </c>
      <c r="AT14" s="502">
        <f>[1]!mtb(AL4,AT13,AL9)</f>
        <v>220.10259334393544</v>
      </c>
      <c r="AU14" s="1012">
        <f t="shared" si="11"/>
        <v>220</v>
      </c>
      <c r="AV14" s="1012">
        <f t="shared" si="12"/>
        <v>6</v>
      </c>
      <c r="AW14" s="1012">
        <f t="shared" si="13"/>
        <v>9</v>
      </c>
      <c r="AX14" s="1018">
        <f t="shared" si="14"/>
        <v>20</v>
      </c>
      <c r="BA14" s="701"/>
      <c r="BB14" s="304"/>
      <c r="BC14" s="304"/>
      <c r="BD14" s="304"/>
      <c r="BE14" s="304"/>
      <c r="BF14" s="304"/>
      <c r="BG14" s="304"/>
      <c r="BH14" s="304"/>
      <c r="BI14" s="304"/>
      <c r="BJ14" s="304"/>
      <c r="BK14" s="304"/>
      <c r="BL14" s="304"/>
      <c r="BM14" s="314"/>
      <c r="BN14" s="732" t="e">
        <f>IF(BN12-BN13&gt;0,BN12-BN13,BN12-BN13+360)</f>
        <v>#VALUE!</v>
      </c>
      <c r="BO14" s="732" t="e">
        <f>IF(BO12-BO13&gt;0,BO12-BO13,BO12-BO13+360)</f>
        <v>#VALUE!</v>
      </c>
      <c r="BP14" s="753" t="e">
        <f>IF(BP12-BP13&gt;0,BP12-BP13,BP12-BP13+360)</f>
        <v>#VALUE!</v>
      </c>
      <c r="BQ14" s="753" t="e">
        <f>IF(BQ12-BQ13&gt;0,BQ12-BQ13,BQ12-BQ13+360)</f>
        <v>#VALUE!</v>
      </c>
      <c r="BR14" s="238" t="s">
        <v>378</v>
      </c>
      <c r="BS14" s="731" t="e">
        <f>[1]!taqsha(BS4,BS5,[1]!roz(BS8,BS12,0,0),BS9)</f>
        <v>#VALUE!</v>
      </c>
      <c r="BT14" s="112"/>
      <c r="BU14" s="317" t="e">
        <f>MOD(BU13,7)</f>
        <v>#VALUE!</v>
      </c>
      <c r="BV14" s="112"/>
      <c r="BW14" s="317">
        <f>MOD(BW13,7)</f>
        <v>1</v>
      </c>
      <c r="BY14" t="s">
        <v>3749</v>
      </c>
      <c r="BZ14" s="274"/>
      <c r="CA14" s="274"/>
      <c r="CB14" s="274"/>
      <c r="CC14" s="274"/>
      <c r="CD14" s="274"/>
      <c r="CE14" s="274"/>
      <c r="CF14" s="274"/>
      <c r="CG14" s="274"/>
      <c r="CH14" s="732" t="s">
        <v>3594</v>
      </c>
      <c r="CI14" s="731" t="e">
        <f>[1]!bodsava(CI3,CI4,CI12,CI10,CI7,CI8)</f>
        <v>#VALUE!</v>
      </c>
      <c r="CJ14" s="304" t="e">
        <f>[1]!bodsava(CJ3,CJ4,CJ12,CJ10,CJ7,CJ8)</f>
        <v>#VALUE!</v>
      </c>
      <c r="CK14" s="304" t="e">
        <f>[1]!bodsava(CK3,CK4,CK12,CK10,CK7,CK8)</f>
        <v>#VALUE!</v>
      </c>
      <c r="CL14" s="304" t="e">
        <f>[1]!bodsava(CL3,CL4,CL12,CL10,CL7,CL8)</f>
        <v>#VALUE!</v>
      </c>
      <c r="CM14" s="304" t="e">
        <f>[1]!bodsava(CM3,CM4,CM12,CM10,CM7,CM8)</f>
        <v>#VALUE!</v>
      </c>
      <c r="CN14" s="304" t="e">
        <f>[1]!bodsava(CN3,CN4,CN12,CN10,CN7,CN8)</f>
        <v>#VALUE!</v>
      </c>
      <c r="CO14" s="304" t="e">
        <f>[1]!bodsava(CO3,CO4,CO12,CO10,CO7,CO8)</f>
        <v>#VALUE!</v>
      </c>
      <c r="CP14" s="304" t="e">
        <f>[1]!bodsava(CP3,CP4,CP12,CP10,CP7,CP8)</f>
        <v>#VALUE!</v>
      </c>
      <c r="CQ14" s="304" t="e">
        <f>[1]!bodsava(CQ3,CQ4,CQ12,CQ10,CQ7,CQ8)</f>
        <v>#VALUE!</v>
      </c>
      <c r="CR14" s="304" t="e">
        <f>[1]!bodsava(CR3,CR4,CR12,CR10,CR7,CR8)</f>
        <v>#VALUE!</v>
      </c>
      <c r="CS14" s="304" t="e">
        <f>[1]!bodsava(CS3,CS4,CS12,CS10,CS7,CS8)</f>
        <v>#VALUE!</v>
      </c>
      <c r="CT14" s="304" t="e">
        <f>[1]!bodsava(CT3,CT4,CT12,CT10,CT7,CT8)</f>
        <v>#VALUE!</v>
      </c>
      <c r="CU14" s="304" t="e">
        <f>[1]!bodsava(CU3,CU4,CU12,CU10,CU7,CU8)</f>
        <v>#VALUE!</v>
      </c>
      <c r="CV14" s="314"/>
      <c r="CW14" s="797"/>
      <c r="CX14" s="327"/>
      <c r="CY14" s="327"/>
      <c r="CZ14" s="327"/>
      <c r="DA14" s="274"/>
      <c r="DB14" s="274"/>
      <c r="DC14" s="274" t="s">
        <v>1080</v>
      </c>
      <c r="DD14" t="e">
        <f>[1]!bodmoadal(DD3,DD4,DD9,DD10,DD6,DD7)</f>
        <v>#VALUE!</v>
      </c>
      <c r="DI14" s="274"/>
      <c r="DZ14" s="288"/>
      <c r="EA14" s="288"/>
      <c r="EB14" s="288"/>
      <c r="EC14" s="288"/>
      <c r="ED14" s="288"/>
      <c r="EE14" s="288"/>
      <c r="EF14" s="288"/>
      <c r="EG14" s="288"/>
      <c r="EH14" s="288"/>
      <c r="EQ14" s="288"/>
      <c r="ER14" s="274"/>
      <c r="ES14" s="274"/>
      <c r="ET14" s="274"/>
      <c r="EU14" s="715"/>
      <c r="EV14" s="715"/>
      <c r="EW14" s="715"/>
      <c r="EX14" s="715"/>
    </row>
    <row r="15" spans="1:154" ht="24" thickBot="1">
      <c r="A15" s="724">
        <v>14</v>
      </c>
      <c r="B15" s="725" t="s">
        <v>278</v>
      </c>
      <c r="C15" s="727">
        <f>IF(OR(AND(C13&gt;0,C4&gt;0),(AND(C13&lt;0,C4&lt;0))),C14+ABS(C13),C14-ABS(C13))</f>
        <v>75.837163079736783</v>
      </c>
      <c r="D15" s="724">
        <v>28</v>
      </c>
      <c r="E15" s="725" t="s">
        <v>1068</v>
      </c>
      <c r="F15" s="727">
        <f>90-ABS(F14)</f>
        <v>88.481864334226472</v>
      </c>
      <c r="G15" s="724">
        <v>42</v>
      </c>
      <c r="H15" s="725" t="s">
        <v>1166</v>
      </c>
      <c r="I15" s="727">
        <f>IF(OR(AND(O9=1,O5=O6),(AND(O9=-1,O5=O6*-1))),I14+(90-ABS(F7)),ABS(I14-(90-ABS(F7))))</f>
        <v>83.135648772691482</v>
      </c>
      <c r="J15" s="726">
        <v>56</v>
      </c>
      <c r="K15" s="725" t="s">
        <v>1025</v>
      </c>
      <c r="L15" s="725">
        <f>[1]!markaz3a(AL4,AL5,AL6,AL7)</f>
        <v>220.98460438111789</v>
      </c>
      <c r="R15" s="1002"/>
      <c r="S15" s="1003"/>
      <c r="T15" s="1003" t="s">
        <v>1064</v>
      </c>
      <c r="U15" s="1003">
        <f>AL19</f>
        <v>0.16742262980421538</v>
      </c>
      <c r="V15" s="1705">
        <f>INT(ABS(U15))</f>
        <v>0</v>
      </c>
      <c r="W15" s="1705">
        <f t="shared" si="20"/>
        <v>10</v>
      </c>
      <c r="X15" s="1705">
        <f t="shared" si="21"/>
        <v>2</v>
      </c>
      <c r="Y15" s="1709">
        <f t="shared" si="22"/>
        <v>43</v>
      </c>
      <c r="Z15" s="1731">
        <f>[1]!taqqa(X3,X4+1,[1]!roz(Z12,Z14,0,0),X5)</f>
        <v>17.219055412657774</v>
      </c>
      <c r="AA15" s="1729">
        <f>[1]!taqqa(AA8,AA9+1,[1]!roz(AA12,AA14,0,0),AA10)</f>
        <v>32.191614954514733</v>
      </c>
      <c r="AB15" s="1730">
        <f>[1]!taqqa(AB8,AB9+1,[1]!roz(AB12,AB14,0,0),AB10)</f>
        <v>46.895785439539708</v>
      </c>
      <c r="AC15" s="1007">
        <f>[1]!taqqa(AC8,AC9+1,[1]!roz(AC12,AC14,0,0),AC10)</f>
        <v>61.271083908961714</v>
      </c>
      <c r="AD15" s="1007">
        <f>[1]!taqqa(AD8,AD9+1,[1]!roz(AD12,AD14,0,0),AD10)</f>
        <v>75.229068560241018</v>
      </c>
      <c r="AE15" s="238" t="s">
        <v>698</v>
      </c>
      <c r="AF15" s="1731">
        <f>[1]!taqqa(AF8,AF9+1,[1]!roz(AF12,AF14,0,0),AF10)</f>
        <v>32.191614954514733</v>
      </c>
      <c r="AG15" s="1732" t="s">
        <v>1484</v>
      </c>
      <c r="AH15" s="1729">
        <f>([1]!qsn([1]!ml(AH8,AH14),AH13)/30)+12</f>
        <v>18.350721072646067</v>
      </c>
      <c r="AI15" s="1017"/>
      <c r="AJ15" s="1012"/>
      <c r="AK15" s="502" t="s">
        <v>1058</v>
      </c>
      <c r="AL15" s="1007">
        <f>(AP5-12)*15*2</f>
        <v>191.06889093052447</v>
      </c>
      <c r="AM15" s="1012">
        <f t="shared" si="23"/>
        <v>191</v>
      </c>
      <c r="AN15" s="1012">
        <f t="shared" si="24"/>
        <v>4</v>
      </c>
      <c r="AO15" s="1012">
        <f t="shared" si="25"/>
        <v>8</v>
      </c>
      <c r="AP15" s="1012">
        <f t="shared" si="26"/>
        <v>0</v>
      </c>
      <c r="AQ15" s="637"/>
      <c r="AR15" s="502"/>
      <c r="AS15" s="502" t="s">
        <v>1080</v>
      </c>
      <c r="AT15" s="502">
        <f>IF(AT14-AT12&gt;-180,AT14-AT12,AT14+360-AT12)</f>
        <v>15.64258936310523</v>
      </c>
      <c r="AU15" s="1012">
        <f>INT(ABS(AT15))</f>
        <v>15</v>
      </c>
      <c r="AV15" s="1012">
        <f t="shared" si="12"/>
        <v>38</v>
      </c>
      <c r="AW15" s="1012">
        <f t="shared" si="13"/>
        <v>33</v>
      </c>
      <c r="AX15" s="1018">
        <f t="shared" si="14"/>
        <v>19</v>
      </c>
      <c r="BA15" s="702">
        <f>BA3</f>
        <v>1</v>
      </c>
      <c r="BB15" s="301">
        <f t="shared" ref="BB15:BL15" si="27">BA15</f>
        <v>1</v>
      </c>
      <c r="BC15" s="301">
        <f t="shared" si="27"/>
        <v>1</v>
      </c>
      <c r="BD15" s="301">
        <f t="shared" si="27"/>
        <v>1</v>
      </c>
      <c r="BE15" s="301">
        <f t="shared" si="27"/>
        <v>1</v>
      </c>
      <c r="BF15" s="301">
        <f t="shared" si="27"/>
        <v>1</v>
      </c>
      <c r="BG15" s="301">
        <f t="shared" si="27"/>
        <v>1</v>
      </c>
      <c r="BH15" s="301">
        <f t="shared" si="27"/>
        <v>1</v>
      </c>
      <c r="BI15" s="301">
        <f t="shared" si="27"/>
        <v>1</v>
      </c>
      <c r="BJ15" s="301">
        <f t="shared" si="27"/>
        <v>1</v>
      </c>
      <c r="BK15" s="301">
        <f t="shared" si="27"/>
        <v>1</v>
      </c>
      <c r="BL15" s="301">
        <f t="shared" si="27"/>
        <v>1</v>
      </c>
      <c r="BM15" s="321"/>
      <c r="BN15" s="734"/>
      <c r="BO15" s="734"/>
      <c r="BP15" s="754"/>
      <c r="BQ15" s="754"/>
      <c r="BR15" s="735" t="s">
        <v>3489</v>
      </c>
      <c r="BS15" s="736" t="e">
        <f>IF(BS13-BS14&gt;0,BS13-BS14,BS13-BS14+360)</f>
        <v>#VALUE!</v>
      </c>
      <c r="BT15" s="747"/>
      <c r="BU15" s="320"/>
      <c r="BV15" s="747"/>
      <c r="BW15" s="320"/>
      <c r="BZ15" s="274"/>
      <c r="CA15" s="274"/>
      <c r="CB15" s="274"/>
      <c r="CC15" s="274"/>
      <c r="CD15" s="274"/>
      <c r="CE15" s="274"/>
      <c r="CF15" s="274"/>
      <c r="CG15" s="274"/>
      <c r="CH15" s="732" t="s">
        <v>3754</v>
      </c>
      <c r="CI15" s="731">
        <f>IF(OR(CI4=1,CI4=3,CI4=5,CI4=7,CI4=9,CI4=11),30,IF(CI4=12,CU15,29))</f>
        <v>30</v>
      </c>
      <c r="CJ15" s="797">
        <v>30</v>
      </c>
      <c r="CK15" s="797">
        <v>29</v>
      </c>
      <c r="CL15" s="797">
        <v>30</v>
      </c>
      <c r="CM15" s="797">
        <v>29</v>
      </c>
      <c r="CN15" s="797">
        <v>30</v>
      </c>
      <c r="CO15" s="797">
        <v>29</v>
      </c>
      <c r="CP15" s="797">
        <v>30</v>
      </c>
      <c r="CQ15" s="797">
        <v>29</v>
      </c>
      <c r="CR15" s="797">
        <v>30</v>
      </c>
      <c r="CS15" s="797">
        <v>29</v>
      </c>
      <c r="CT15" s="797">
        <v>30</v>
      </c>
      <c r="CU15" s="797">
        <f>IF(OR(CW15=2,CW15=5,CW15=7,CW15=10,CW15=13,CW15=16,CW15=18,CW15=21,CW15=24,CW15=26,CW15=29),30,29)</f>
        <v>29</v>
      </c>
      <c r="CV15" s="317">
        <f>SUM(CJ15:CU15)</f>
        <v>354</v>
      </c>
      <c r="CW15" s="113">
        <f>[1]!kab(MOD(CI3,30))</f>
        <v>3</v>
      </c>
      <c r="CX15" s="327"/>
      <c r="CY15" s="327"/>
      <c r="CZ15" s="327"/>
      <c r="DA15" s="274"/>
      <c r="DB15" s="274"/>
      <c r="DC15" s="274" t="s">
        <v>3552</v>
      </c>
      <c r="DD15" t="e">
        <f>[1]!bodsava(DD3,DD4,DD9,DD10,DD6,DD7)</f>
        <v>#VALUE!</v>
      </c>
      <c r="DI15" s="274"/>
      <c r="EA15" s="288"/>
      <c r="EB15" s="288"/>
      <c r="EC15" s="288"/>
      <c r="ED15" s="288"/>
      <c r="EE15" s="288"/>
      <c r="EF15" s="288"/>
      <c r="EG15" s="288"/>
      <c r="EH15" s="288"/>
      <c r="EI15" s="288"/>
      <c r="EQ15" s="288"/>
      <c r="ER15" s="274"/>
      <c r="ES15" s="274"/>
      <c r="ET15" s="274"/>
      <c r="EU15" s="715"/>
      <c r="EV15" s="715"/>
      <c r="EW15" s="715"/>
      <c r="EX15" s="715"/>
    </row>
    <row r="16" spans="1:154" ht="24" thickBot="1">
      <c r="R16" s="1002"/>
      <c r="S16" s="1003"/>
      <c r="T16" s="1557" t="s">
        <v>4216</v>
      </c>
      <c r="U16" s="1557">
        <f>[1]!vqoroob(X3,X4,AP4,X5,X6)</f>
        <v>18.555389316893152</v>
      </c>
      <c r="V16" s="1705">
        <f>INT(ABS(U16))</f>
        <v>18</v>
      </c>
      <c r="W16" s="1705">
        <f t="shared" ref="W16" si="28">INT((ABS(U16)-V16)*60)</f>
        <v>33</v>
      </c>
      <c r="X16" s="1705">
        <f t="shared" ref="X16" si="29">INT((((ABS(U16)-V16)*60)-W16)*60)</f>
        <v>19</v>
      </c>
      <c r="Y16" s="1709">
        <f t="shared" ref="Y16" si="30">INT((((((ABS(U16)-V16)*60)-W16)*60)-X16)*60)</f>
        <v>24</v>
      </c>
      <c r="Z16" s="1731">
        <f>[1]!taqsha(X3,X4+1,[1]!roz(Z12,Z14,0,0),X5)</f>
        <v>19.282185995176405</v>
      </c>
      <c r="AA16" s="1729">
        <f>[1]!taqsha(AA8,AA9+1,[1]!roz(AA12,AA14,0,0),AA10)</f>
        <v>20.265456155096608</v>
      </c>
      <c r="AB16" s="1730">
        <f>[1]!taqsha(AB8,AB9+1,[1]!roz(AB12,AB14,0,0),AB10)</f>
        <v>21.247978317001738</v>
      </c>
      <c r="AC16" s="1007">
        <f>[1]!taqsha(AC8,AC9+1,[1]!roz(AC12,AC14,0,0),AC10)</f>
        <v>22.229811856517706</v>
      </c>
      <c r="AD16" s="1007">
        <f>[1]!taqsha(AD8,AD9+1,[1]!roz(AD12,AD14,0,0),AD10)</f>
        <v>23.211175201100037</v>
      </c>
      <c r="AE16" s="238" t="s">
        <v>378</v>
      </c>
      <c r="AF16" s="1731">
        <f>[1]!taqsha(AF8,AF9+1,[1]!roz(AF12,AF14,0,0),AF10)</f>
        <v>20.265456155096608</v>
      </c>
      <c r="AG16" s="1732" t="s">
        <v>698</v>
      </c>
      <c r="AH16" s="1729">
        <f>[1]!taqqa(AH8,AH9,[1]!roz(AH11+1,AH15,0,0),AH12)</f>
        <v>32.180278013505493</v>
      </c>
      <c r="AI16" s="1011"/>
      <c r="AJ16" s="1007">
        <f>[1]!mtdt(AL4,0,AL10,AL9)</f>
        <v>12.97228206345326</v>
      </c>
      <c r="AK16" s="502" t="s">
        <v>1059</v>
      </c>
      <c r="AL16" s="502">
        <f>[1]!mtb(AL4,AL10,AL9)</f>
        <v>12.972282063453271</v>
      </c>
      <c r="AM16" s="1012">
        <f t="shared" si="23"/>
        <v>12</v>
      </c>
      <c r="AN16" s="1012">
        <f t="shared" si="24"/>
        <v>58</v>
      </c>
      <c r="AO16" s="1012">
        <f t="shared" si="25"/>
        <v>20</v>
      </c>
      <c r="AP16" s="1012">
        <f t="shared" si="26"/>
        <v>12</v>
      </c>
      <c r="AQ16" s="637"/>
      <c r="AR16" s="502"/>
      <c r="AS16" s="502" t="s">
        <v>1188</v>
      </c>
      <c r="AT16" s="502">
        <f>IF(AL11-AL10&gt;-180,AL11-AL10,AL11+360-AL10)</f>
        <v>11.926144499930764</v>
      </c>
      <c r="AU16" s="1012">
        <f t="shared" si="11"/>
        <v>11</v>
      </c>
      <c r="AV16" s="1012">
        <f t="shared" si="12"/>
        <v>55</v>
      </c>
      <c r="AW16" s="1012">
        <f t="shared" si="13"/>
        <v>34</v>
      </c>
      <c r="AX16" s="1018">
        <f t="shared" si="14"/>
        <v>7</v>
      </c>
      <c r="BA16" s="701">
        <v>1</v>
      </c>
      <c r="BB16" s="304">
        <f t="shared" ref="BB16:BL16" si="31">BA16+1</f>
        <v>2</v>
      </c>
      <c r="BC16" s="304">
        <f t="shared" si="31"/>
        <v>3</v>
      </c>
      <c r="BD16" s="304">
        <f t="shared" si="31"/>
        <v>4</v>
      </c>
      <c r="BE16" s="304">
        <f t="shared" si="31"/>
        <v>5</v>
      </c>
      <c r="BF16" s="304">
        <f t="shared" si="31"/>
        <v>6</v>
      </c>
      <c r="BG16" s="304">
        <f t="shared" si="31"/>
        <v>7</v>
      </c>
      <c r="BH16" s="304">
        <f t="shared" si="31"/>
        <v>8</v>
      </c>
      <c r="BI16" s="304">
        <f t="shared" si="31"/>
        <v>9</v>
      </c>
      <c r="BJ16" s="304">
        <f t="shared" si="31"/>
        <v>10</v>
      </c>
      <c r="BK16" s="304">
        <f t="shared" si="31"/>
        <v>11</v>
      </c>
      <c r="BL16" s="304">
        <f t="shared" si="31"/>
        <v>12</v>
      </c>
      <c r="BM16" s="314"/>
      <c r="BN16" s="734"/>
      <c r="BO16" s="735"/>
      <c r="BP16" s="735"/>
      <c r="BQ16" s="735"/>
      <c r="BR16" s="735" t="s">
        <v>3542</v>
      </c>
      <c r="BS16" s="736" t="e">
        <f t="shared" ref="BS16" si="32">IF(BS15&gt;=10,29,30)</f>
        <v>#VALUE!</v>
      </c>
      <c r="BT16" s="750" t="s">
        <v>3554</v>
      </c>
      <c r="BU16" s="751" t="e">
        <f>IF(BU14=1,"پنج شنبه",IF(BU14=2,"جمعه",IF(BU14=3,"شنبه",IF(BU14=4,"یک شنبه",IF(BU14=5,"دو شنبه",IF(BU14=6,"سه شنبه","چهار شنبه"))))))</f>
        <v>#VALUE!</v>
      </c>
      <c r="BV16" s="750" t="s">
        <v>3549</v>
      </c>
      <c r="BW16" s="751" t="str">
        <f>IF(BW14=1,"پنج شنبه",IF(BW14=2,"جمعه",IF(BW14=3,"شنبه",IF(BW14=4,"یک شنبه",IF(BW14=5,"دو شنبه",IF(BW14=6,"سه شنبه","چهار شنبه"))))))</f>
        <v>پنج شنبه</v>
      </c>
      <c r="BZ16" s="274"/>
      <c r="CA16" s="274"/>
      <c r="CB16" s="274"/>
      <c r="CC16" s="274"/>
      <c r="CD16" s="274"/>
      <c r="CE16" s="274"/>
      <c r="CF16" s="274"/>
      <c r="CG16" s="274"/>
      <c r="CH16" s="732" t="s">
        <v>3751</v>
      </c>
      <c r="CI16" s="731">
        <f>IF(CI4=1,CJ16,IF(CI4=2,CK16,IF(CI4=3,CL16,IF(CI4=4,CM16,IF(CI4=5,CN16,IF(CI4=6,CO16,IF(CI4=7,CP16,IF(CI4=8,CQ16,IF(CI4=9,CR16,IF(CI4=10,CS16,IF(CI4=11,CT16,CU16)))))))))))</f>
        <v>0</v>
      </c>
      <c r="CJ16" s="118">
        <v>0</v>
      </c>
      <c r="CK16" s="118">
        <f>CJ15</f>
        <v>30</v>
      </c>
      <c r="CL16" s="118">
        <f>CK15+CJ15</f>
        <v>59</v>
      </c>
      <c r="CM16" s="118">
        <f>CL15+CK15+CJ15</f>
        <v>89</v>
      </c>
      <c r="CN16" s="118">
        <f>SUM(CJ15:CM15)</f>
        <v>118</v>
      </c>
      <c r="CO16" s="118">
        <f>SUM(CJ15:CN15)</f>
        <v>148</v>
      </c>
      <c r="CP16" s="118">
        <f>SUM(CJ15:CO15)</f>
        <v>177</v>
      </c>
      <c r="CQ16" s="118">
        <f>SUM(CJ15:CP15)</f>
        <v>207</v>
      </c>
      <c r="CR16" s="118">
        <f>SUM(CJ15:CQ15)</f>
        <v>236</v>
      </c>
      <c r="CS16" s="118">
        <f>SUM(CJ15:CR15)</f>
        <v>266</v>
      </c>
      <c r="CT16" s="118">
        <f>SUM(CJ15:CS15)</f>
        <v>295</v>
      </c>
      <c r="CU16" s="118">
        <f>SUM(CJ15:CT15)</f>
        <v>325</v>
      </c>
      <c r="CV16" s="772"/>
      <c r="CW16" s="797"/>
      <c r="CX16" s="327"/>
      <c r="CY16" s="327"/>
      <c r="CZ16" s="327"/>
      <c r="DA16" s="274"/>
      <c r="DB16" s="274"/>
      <c r="DC16" s="274" t="s">
        <v>3559</v>
      </c>
      <c r="DD16" t="e">
        <f>[1]!tedadrooz(DD3,DD4,DD9,DD10,DD6,DD7)</f>
        <v>#VALUE!</v>
      </c>
      <c r="DI16" s="274"/>
      <c r="DU16" s="845"/>
      <c r="DZ16" s="288"/>
      <c r="EA16" s="288"/>
      <c r="EB16" s="288"/>
      <c r="EC16" s="288"/>
      <c r="ED16" s="288"/>
      <c r="EE16" s="288"/>
      <c r="EF16" s="288"/>
      <c r="EG16" s="288"/>
      <c r="EH16" s="288"/>
      <c r="EI16" s="288"/>
      <c r="EQ16" s="288"/>
      <c r="ER16" s="274"/>
      <c r="ES16" s="274"/>
      <c r="ET16" s="274"/>
      <c r="EU16" s="715"/>
      <c r="EV16" s="715"/>
      <c r="EW16" s="715"/>
      <c r="EX16" s="715"/>
    </row>
    <row r="17" spans="1:154" ht="25.5" thickBot="1">
      <c r="R17" s="1002"/>
      <c r="S17" s="1557"/>
      <c r="T17" s="1557" t="s">
        <v>1080</v>
      </c>
      <c r="U17" s="888">
        <f>Z3</f>
        <v>13.795709328834192</v>
      </c>
      <c r="V17" s="1557"/>
      <c r="W17" s="1557"/>
      <c r="X17" s="1557"/>
      <c r="Y17" s="314"/>
      <c r="Z17" s="1731">
        <f>IF(Z15-Z16&gt;0,Z15-Z16,Z15-Z16+360)</f>
        <v>357.93686941748138</v>
      </c>
      <c r="AA17" s="1729">
        <f>IF(AA15-AA16&gt;0,AA15-AA16,AA15-AA16+360)</f>
        <v>11.926158799418126</v>
      </c>
      <c r="AB17" s="1730">
        <f>IF(AB15-AB16&gt;0,AB15-AB16,AB15-AB16+360)</f>
        <v>25.647807122537969</v>
      </c>
      <c r="AC17" s="1007">
        <f t="shared" ref="AC17:AD17" si="33">IF(AC15-AC16&gt;0,AC15-AC16,AC15-AC16+360)</f>
        <v>39.041272052444008</v>
      </c>
      <c r="AD17" s="1007">
        <f t="shared" si="33"/>
        <v>52.017893359140984</v>
      </c>
      <c r="AE17" s="238" t="s">
        <v>839</v>
      </c>
      <c r="AF17" s="1731">
        <f>IF(AF15-AF16&gt;0,AF15-AF16,AF15-AF16+360)</f>
        <v>11.926158799418126</v>
      </c>
      <c r="AG17" s="1732" t="s">
        <v>378</v>
      </c>
      <c r="AH17" s="1729">
        <f>[1]!taqsha(AH8,AH9,[1]!roz(AH11+1,AH15,0,0),AH12)</f>
        <v>20.264708469701446</v>
      </c>
      <c r="AI17" s="1011"/>
      <c r="AJ17" s="1007">
        <f>AJ16+AL15</f>
        <v>204.04117299397774</v>
      </c>
      <c r="AK17" s="502" t="s">
        <v>357</v>
      </c>
      <c r="AL17" s="605">
        <f>IF(AL16+AL15&lt;360,AL16+AL15,AL16+AL15-360)</f>
        <v>204.04117299397774</v>
      </c>
      <c r="AM17" s="1012">
        <f t="shared" si="23"/>
        <v>204</v>
      </c>
      <c r="AN17" s="1012">
        <f t="shared" si="24"/>
        <v>2</v>
      </c>
      <c r="AO17" s="1012">
        <f t="shared" si="25"/>
        <v>28</v>
      </c>
      <c r="AP17" s="1012">
        <f t="shared" si="26"/>
        <v>13</v>
      </c>
      <c r="AQ17" s="637"/>
      <c r="AR17" s="502"/>
      <c r="AS17" s="502"/>
      <c r="AT17" s="502" t="str">
        <f>IF(OR(AT15&lt;=10,AT16&lt;=10),"هلال رؤیت نمی شود و ماه موجود 30 روز است ان شاء الله",IF(AND(10&lt;AT15&lt;12,AT16&gt;10)," هلال باریک دیده می شود و ماه موجود 29 روز است ان شاء الله ",IF(AND(12&lt;AT15,14,AT16&gt;10),"هلال معتدل رؤیت می شود و ماه موجود 29 روز است ان شاء الله","هلال بزرگ و ظاهر است و ماه موجود 29 روز است ان شاء الله")))</f>
        <v>هلال معتدل رؤیت می شود و ماه موجود 29 روز است ان شاء الله</v>
      </c>
      <c r="AU17" s="502"/>
      <c r="AV17" s="1007"/>
      <c r="AW17" s="1007"/>
      <c r="AX17" s="1008"/>
      <c r="BA17" s="701">
        <v>1</v>
      </c>
      <c r="BB17" s="304">
        <v>1</v>
      </c>
      <c r="BC17" s="304">
        <v>1</v>
      </c>
      <c r="BD17" s="304">
        <v>1</v>
      </c>
      <c r="BE17" s="304">
        <v>1</v>
      </c>
      <c r="BF17" s="304">
        <v>1</v>
      </c>
      <c r="BG17" s="304">
        <v>1</v>
      </c>
      <c r="BH17" s="304">
        <v>1</v>
      </c>
      <c r="BI17" s="304">
        <v>1</v>
      </c>
      <c r="BJ17" s="304">
        <v>1</v>
      </c>
      <c r="BK17" s="304">
        <v>1</v>
      </c>
      <c r="BL17" s="304">
        <v>1</v>
      </c>
      <c r="BM17" s="314"/>
      <c r="BN17">
        <f>[1]!tafavot(BN4,BN5,BN8,BN9)</f>
        <v>0</v>
      </c>
      <c r="BV17" s="276"/>
      <c r="BW17" s="276"/>
      <c r="BY17" t="e">
        <f>IF(BY13&lt;12,BY5,BY5-1)</f>
        <v>#VALUE!</v>
      </c>
      <c r="BZ17" s="274"/>
      <c r="CA17" s="274"/>
      <c r="CB17" s="274"/>
      <c r="CC17" s="274"/>
      <c r="CD17" s="274"/>
      <c r="CE17" s="274"/>
      <c r="CF17" s="274"/>
      <c r="CG17" s="274"/>
      <c r="CH17" s="732" t="s">
        <v>3753</v>
      </c>
      <c r="CI17" s="731" t="e">
        <f>[1]!tedadrooz(CI3,CI4,CI12,CI10,CI7,CI8)</f>
        <v>#VALUE!</v>
      </c>
      <c r="CJ17" s="113" t="e">
        <f>[1]!tedadrooz(CJ3,CJ4,CJ12,CJ10,CJ7,CJ8)</f>
        <v>#VALUE!</v>
      </c>
      <c r="CK17" s="113" t="e">
        <f>[1]!tedadrooz(CK3,CK4,CK12,CK10,CK7,CK8)</f>
        <v>#VALUE!</v>
      </c>
      <c r="CL17" s="113" t="e">
        <f>[1]!tedadrooz(CL3,CL4,CL12,CL10,CL7,CL8)</f>
        <v>#VALUE!</v>
      </c>
      <c r="CM17" s="113" t="e">
        <f>[1]!tedadrooz(CM3,CM4,CM12,CM10,CM7,CM8)</f>
        <v>#VALUE!</v>
      </c>
      <c r="CN17" s="113" t="e">
        <f>[1]!tedadrooz(CN3,CN4,CN12,CN10,CN7,CN8)</f>
        <v>#VALUE!</v>
      </c>
      <c r="CO17" s="113" t="e">
        <f>[1]!tedadrooz(CO3,CO4,CO12,CO10,CO7,CO8)</f>
        <v>#VALUE!</v>
      </c>
      <c r="CP17" s="113" t="e">
        <f>[1]!tedadrooz(CP3,CP4,CP12,CP10,CP7,CP8)</f>
        <v>#VALUE!</v>
      </c>
      <c r="CQ17" s="113" t="e">
        <f>[1]!tedadrooz(CQ3,CQ4,CQ12,CQ10,CQ7,CQ8)</f>
        <v>#VALUE!</v>
      </c>
      <c r="CR17" s="113" t="e">
        <f>[1]!tedadrooz(CR3,CR4,CR12,CR10,CR7,CR8)</f>
        <v>#VALUE!</v>
      </c>
      <c r="CS17" s="113" t="e">
        <f>[1]!tedadrooz(CS3,CS4,CS12,CS10,CS7,CS8)</f>
        <v>#VALUE!</v>
      </c>
      <c r="CT17" s="113" t="e">
        <f>[1]!tedadrooz(CT3,CT4,CT12,CT10,CT7,CT8)</f>
        <v>#VALUE!</v>
      </c>
      <c r="CU17" s="113" t="e">
        <f>[1]!tedadrooz(CU3,CU4,CU12,CU10,CU7,CU8)</f>
        <v>#VALUE!</v>
      </c>
      <c r="CV17" s="317" t="e">
        <f>SUM(CJ17:CU17)</f>
        <v>#VALUE!</v>
      </c>
      <c r="CW17" s="797"/>
      <c r="CX17" s="327"/>
      <c r="CY17" s="327"/>
      <c r="CZ17" s="327"/>
      <c r="DA17" s="274"/>
      <c r="DB17" s="274"/>
      <c r="DC17" s="274"/>
      <c r="DU17" s="845"/>
      <c r="DZ17" s="288"/>
      <c r="EA17" s="288"/>
      <c r="EB17" s="288"/>
      <c r="EC17" s="288"/>
      <c r="ED17" s="288"/>
      <c r="EE17" s="288"/>
      <c r="EF17" s="288"/>
      <c r="EG17" s="288"/>
      <c r="EH17" s="288"/>
      <c r="EI17" s="288"/>
      <c r="EQ17" s="288"/>
      <c r="ER17" s="274"/>
      <c r="ES17" s="274"/>
      <c r="ET17" s="274"/>
      <c r="EU17" s="715"/>
      <c r="EV17" s="715"/>
      <c r="EW17" s="715"/>
      <c r="EX17" s="715"/>
    </row>
    <row r="18" spans="1:154" ht="24" thickBot="1">
      <c r="A18" s="716">
        <v>57</v>
      </c>
      <c r="B18" s="717" t="s">
        <v>3809</v>
      </c>
      <c r="C18" s="719">
        <f>[1]!tadb1(L14,L15)</f>
        <v>3.9187311448781511E-3</v>
      </c>
      <c r="D18" s="718">
        <v>71</v>
      </c>
      <c r="E18" s="717" t="s">
        <v>1085</v>
      </c>
      <c r="F18" s="717">
        <f>C24+C31</f>
        <v>78.714475865082335</v>
      </c>
      <c r="G18" s="716">
        <v>85</v>
      </c>
      <c r="H18" s="717" t="s">
        <v>251</v>
      </c>
      <c r="I18" s="719">
        <f>[1]!asn(F31)</f>
        <v>78.57627263830976</v>
      </c>
      <c r="J18" s="273">
        <v>99</v>
      </c>
      <c r="K18" s="717" t="s">
        <v>1388</v>
      </c>
      <c r="L18" s="738">
        <f>IF(ABS(I30-I31)&lt;180,ABS(I30-I31),ABS(360-I30-I31))</f>
        <v>0.92344558850848557</v>
      </c>
      <c r="R18" s="1002"/>
      <c r="S18" s="1557"/>
      <c r="T18" s="1003"/>
      <c r="U18" s="1003">
        <f>U17*4/60</f>
        <v>0.91971395525561284</v>
      </c>
      <c r="V18" s="1705">
        <f>INT(ABS(U18))</f>
        <v>0</v>
      </c>
      <c r="W18" s="1705">
        <f>INT((ABS(U18)-V18)*60)</f>
        <v>55</v>
      </c>
      <c r="X18" s="1705">
        <f>INT((((ABS(U18)-V18)*60)-W18)*60)</f>
        <v>10</v>
      </c>
      <c r="Y18" s="1709">
        <f>INT((((((ABS(U18)-V18)*60)-W18)*60)-X18)*60)</f>
        <v>58</v>
      </c>
      <c r="Z18" s="1733"/>
      <c r="AA18" s="1734"/>
      <c r="AB18" s="1735"/>
      <c r="AC18" s="735"/>
      <c r="AD18" s="735"/>
      <c r="AE18" s="735"/>
      <c r="AF18" s="1733"/>
      <c r="AG18" s="1736" t="s">
        <v>3489</v>
      </c>
      <c r="AH18" s="1734">
        <f>IF(AH16-AH17&gt;0,AH16-AH17,AH16-AH17+360)</f>
        <v>11.915569543804047</v>
      </c>
      <c r="AI18" s="1712">
        <f>[1]!tazmb(AL4,AL17,AL9)</f>
        <v>199.92013203847341</v>
      </c>
      <c r="AJ18" s="1012">
        <f>[1]!tazmb(AL4,AJ17,AL9)</f>
        <v>199.92013203847341</v>
      </c>
      <c r="AK18" s="502" t="s">
        <v>1065</v>
      </c>
      <c r="AL18" s="721">
        <f>[1]!tale3(AL4,AL9,AL10,AP5)</f>
        <v>200.09280357404154</v>
      </c>
      <c r="AM18" s="1012">
        <f t="shared" si="23"/>
        <v>200</v>
      </c>
      <c r="AN18" s="1012">
        <f t="shared" si="24"/>
        <v>5</v>
      </c>
      <c r="AO18" s="1012">
        <f t="shared" si="25"/>
        <v>34</v>
      </c>
      <c r="AP18" s="1012">
        <f t="shared" si="26"/>
        <v>5</v>
      </c>
      <c r="AQ18" s="637">
        <f>[1]!talee(AL4,AL9,AL10,AP5)</f>
        <v>200.09280357404154</v>
      </c>
      <c r="AR18" s="502"/>
      <c r="AS18" s="502"/>
      <c r="AT18" s="502">
        <f>IF(AND(AND(10&lt;AT15,AT15&lt;11),ABS(AT9)&lt;11.5),"هلال گاهی مرئی و گاهی غیرمرئی است",0)</f>
        <v>0</v>
      </c>
      <c r="AU18" s="502"/>
      <c r="AV18" s="1007"/>
      <c r="AW18" s="1007"/>
      <c r="AX18" s="1008"/>
      <c r="BA18" s="701">
        <f>[1]!mbtool(2,17,0,1)</f>
        <v>9.5138888888888884E-2</v>
      </c>
      <c r="BB18" s="304">
        <f>[1]!mbtool(2,17,0,1)</f>
        <v>9.5138888888888884E-2</v>
      </c>
      <c r="BC18" s="304">
        <f>[1]!mbtool(2,17,0,1)</f>
        <v>9.5138888888888884E-2</v>
      </c>
      <c r="BD18" s="304">
        <f>[1]!mbtool(2,17,0,1)</f>
        <v>9.5138888888888884E-2</v>
      </c>
      <c r="BE18" s="304">
        <f>[1]!mbtool(2,17,0,1)</f>
        <v>9.5138888888888884E-2</v>
      </c>
      <c r="BF18" s="304">
        <f>[1]!mbtool(2,17,0,1)</f>
        <v>9.5138888888888884E-2</v>
      </c>
      <c r="BG18" s="304">
        <f>[1]!mbtool(2,17,0,1)</f>
        <v>9.5138888888888884E-2</v>
      </c>
      <c r="BH18" s="304">
        <f>[1]!mbtool(2,17,0,1)</f>
        <v>9.5138888888888884E-2</v>
      </c>
      <c r="BI18" s="304">
        <f>[1]!mbtool(2,17,0,1)</f>
        <v>9.5138888888888884E-2</v>
      </c>
      <c r="BJ18" s="304">
        <f>[1]!mbtool(2,17,0,1)</f>
        <v>9.5138888888888884E-2</v>
      </c>
      <c r="BK18" s="304">
        <f>[1]!mbtool(2,17,0,1)</f>
        <v>9.5138888888888884E-2</v>
      </c>
      <c r="BL18" s="304">
        <f>[1]!mbtool(2,17,0,1)</f>
        <v>9.5138888888888884E-2</v>
      </c>
      <c r="BM18" s="314"/>
      <c r="BN18" t="e">
        <f>[1]!rozhaq(BN4,BN5,BN6,BN17,BN8,BN9)</f>
        <v>#VALUE!</v>
      </c>
      <c r="BV18" s="274"/>
      <c r="BW18" s="274"/>
      <c r="BZ18" s="274"/>
      <c r="CA18" s="274"/>
      <c r="CB18" s="274"/>
      <c r="CC18" s="274"/>
      <c r="CD18" s="274"/>
      <c r="CE18" s="274"/>
      <c r="CF18" s="274"/>
      <c r="CG18" s="274"/>
      <c r="CH18" s="732" t="s">
        <v>3752</v>
      </c>
      <c r="CI18" s="731">
        <f>IF(CI4=1,CJ19,IF(CI4=2,CK19,IF(CI4=3,CL19,IF(CI4=4,CM19,IF(CI4=5,CN19,IF(CI4=6,CO19,IF(CI4=7,CP19,IF(CI4=8,CQ19,IF(CI4=9,CR19,IF(CI4=10,CS19,IF(CI4=11,CT19,CU19)))))))))))</f>
        <v>0</v>
      </c>
      <c r="CJ18" s="345" t="e">
        <f>IF(AND(CV17&gt;355,OR(AND(CJ13&gt;6,CJ14&gt;10),AND(CJ14&gt;9,CJ13&gt;10))),29,CJ17)</f>
        <v>#VALUE!</v>
      </c>
      <c r="CK18" s="345" t="e">
        <f>IF(AND(CV17&gt;355,OR(AND(CK13&gt;6,CK14&gt;10),AND(CK14&gt;9,CK13&gt;10))),29,CK17)</f>
        <v>#VALUE!</v>
      </c>
      <c r="CL18" s="345" t="e">
        <f>IF(AND(CV17&gt;355,OR(AND(CL13&gt;6,CL14&gt;10),AND(CL14&gt;9,CL13&gt;10))),29,CL17)</f>
        <v>#VALUE!</v>
      </c>
      <c r="CM18" s="345" t="e">
        <f>IF(AND(CV17&gt;355,OR(AND(CM13&gt;6,CM14&gt;10),AND(CM14&gt;9,CM13&gt;10))),29,CM17)</f>
        <v>#VALUE!</v>
      </c>
      <c r="CN18" s="345" t="e">
        <f>IF(AND(CV17&gt;355,OR(AND(CN13&gt;6,CN14&gt;10),AND(CN14&gt;9,CN13&gt;10))),29,CN17)</f>
        <v>#VALUE!</v>
      </c>
      <c r="CO18" s="345" t="e">
        <f>IF(AND(CV17&gt;355,OR(AND(CO13&gt;6,CO14&gt;10),AND(CO14&gt;9,CO13&gt;10))),29,CO17)</f>
        <v>#VALUE!</v>
      </c>
      <c r="CP18" s="345" t="e">
        <f>IF(AND(CV17&gt;355,OR(AND(CP13&gt;6,CP14&gt;10),AND(CP14&gt;9,CP13&gt;10))),29,CP17)</f>
        <v>#VALUE!</v>
      </c>
      <c r="CQ18" s="345" t="e">
        <f>IF(AND(CV17&gt;355,OR(AND(CQ13&gt;6,CQ14&gt;10),AND(CQ14&gt;9,CQ13&gt;10))),29,CQ17)</f>
        <v>#VALUE!</v>
      </c>
      <c r="CR18" s="345" t="e">
        <f>IF(AND(CV17&gt;355,OR(AND(CR13&gt;6,CR14&gt;10),AND(CR14&gt;9,CR13&gt;10))),29,CR17)</f>
        <v>#VALUE!</v>
      </c>
      <c r="CS18" s="345" t="e">
        <f>IF(AND(CV17&gt;355,OR(AND(CS13&gt;6,CS14&gt;10),AND(CS14&gt;9,CS13&gt;10))),29,CS17)</f>
        <v>#VALUE!</v>
      </c>
      <c r="CT18" s="345" t="e">
        <f>IF(AND(CV17&gt;355,OR(AND(CT13&gt;6,CT14&gt;10),AND(CT14&gt;9,CT13&gt;10))),29,CT17)</f>
        <v>#VALUE!</v>
      </c>
      <c r="CU18" s="345" t="e">
        <f>IF(AND(CV17&gt;355,OR(AND(CU13&gt;6,CU14&gt;10),AND(CU14&gt;9,CU13&gt;10))),29,CU17)</f>
        <v>#VALUE!</v>
      </c>
      <c r="CV18" s="397" t="e">
        <f>SUM(CJ18:CU18)</f>
        <v>#VALUE!</v>
      </c>
      <c r="CW18" s="797"/>
      <c r="CX18" s="327"/>
      <c r="CY18" s="327"/>
      <c r="CZ18" s="327"/>
      <c r="DA18" s="274"/>
      <c r="DB18" s="274"/>
      <c r="DC18" s="274"/>
      <c r="DU18" s="845"/>
      <c r="DZ18" s="288"/>
      <c r="EA18" s="288"/>
      <c r="EB18" s="288"/>
      <c r="EC18" s="288"/>
      <c r="ED18" s="288"/>
      <c r="EE18" s="288"/>
      <c r="EF18" s="288"/>
      <c r="EG18" s="288"/>
      <c r="EH18" s="288"/>
      <c r="EI18" s="288"/>
      <c r="EQ18" s="288"/>
      <c r="ER18" s="274"/>
      <c r="ES18" s="274"/>
      <c r="ET18" s="274"/>
      <c r="EU18" s="715"/>
      <c r="EV18" s="715"/>
      <c r="EW18" s="715"/>
      <c r="EX18" s="715"/>
    </row>
    <row r="19" spans="1:154" ht="24" thickBot="1">
      <c r="A19" s="720">
        <v>58</v>
      </c>
      <c r="B19" s="721" t="s">
        <v>1080</v>
      </c>
      <c r="C19" s="722">
        <f>L12+C18</f>
        <v>56.870072210515474</v>
      </c>
      <c r="D19" s="272">
        <v>72</v>
      </c>
      <c r="E19" s="721" t="s">
        <v>1171</v>
      </c>
      <c r="F19" s="721">
        <f>[1]!sn(F18)</f>
        <v>58.839848000231243</v>
      </c>
      <c r="G19" s="720">
        <v>86</v>
      </c>
      <c r="H19" s="721" t="s">
        <v>1168</v>
      </c>
      <c r="I19" s="722">
        <f>90-F23</f>
        <v>11.326024063259098</v>
      </c>
      <c r="J19" s="272">
        <v>100</v>
      </c>
      <c r="K19" s="721" t="s">
        <v>1389</v>
      </c>
      <c r="L19" s="1713">
        <f>IF(O6=M27,ABS(ABS(I27)-ABS(F14)),ABS(I27)+ABS(F14))</f>
        <v>0.19645281299346484</v>
      </c>
      <c r="N19">
        <f>[1]!arzmaree(AL4,AL9,AL11,AL13,AL18,AL38)</f>
        <v>1.2892807955524448</v>
      </c>
      <c r="R19" s="1002"/>
      <c r="S19" s="1557"/>
      <c r="T19" s="1557" t="s">
        <v>4219</v>
      </c>
      <c r="U19" s="1003">
        <f>U18+U16</f>
        <v>19.475103272148765</v>
      </c>
      <c r="V19" s="1705">
        <f t="shared" ref="V19:V27" si="34">INT(ABS(U19))</f>
        <v>19</v>
      </c>
      <c r="W19" s="1705">
        <f t="shared" ref="W19:W27" si="35">INT((ABS(U19)-V19)*60)</f>
        <v>28</v>
      </c>
      <c r="X19" s="1705">
        <f t="shared" ref="X19:X27" si="36">INT((((ABS(U19)-V19)*60)-W19)*60)</f>
        <v>30</v>
      </c>
      <c r="Y19" s="1709">
        <f t="shared" ref="Y19:Y27" si="37">INT((((((ABS(U19)-V19)*60)-W19)*60)-X19)*60)</f>
        <v>22</v>
      </c>
      <c r="Z19" s="1737"/>
      <c r="AA19" s="1724"/>
      <c r="AB19" s="1724"/>
      <c r="AC19" s="1464"/>
      <c r="AD19" s="1464"/>
      <c r="AE19" s="1464"/>
      <c r="AF19" s="1724"/>
      <c r="AG19" s="1724" t="s">
        <v>3562</v>
      </c>
      <c r="AH19" s="1727">
        <f>IF(AH18&gt;=10,29,30)</f>
        <v>29</v>
      </c>
      <c r="AI19" s="1011"/>
      <c r="AJ19" s="1007">
        <f>[1]!ertaztale(AL4,AL9,0,AL10,AL18)</f>
        <v>0.16752269128048744</v>
      </c>
      <c r="AK19" s="1007" t="s">
        <v>1064</v>
      </c>
      <c r="AL19" s="607">
        <f>[1]!asn([1]!sn(IF((ABS(AL10-AL18))&gt;90,180-ABS(AL10-AL18),AL10-AL18))*[1]!csn(AL46)/60)</f>
        <v>0.16742262980421538</v>
      </c>
      <c r="AM19" s="1012">
        <f t="shared" si="23"/>
        <v>0</v>
      </c>
      <c r="AN19" s="1012">
        <f t="shared" si="24"/>
        <v>10</v>
      </c>
      <c r="AO19" s="1012">
        <f t="shared" si="25"/>
        <v>2</v>
      </c>
      <c r="AP19" s="1012">
        <f t="shared" si="26"/>
        <v>43</v>
      </c>
      <c r="AQ19" s="637"/>
      <c r="AR19" s="502"/>
      <c r="AS19" s="502"/>
      <c r="AT19" s="502">
        <f>IF(OR(AT15&lt;=10,AT16&lt;=10),30,29)</f>
        <v>29</v>
      </c>
      <c r="AU19" s="502"/>
      <c r="AV19" s="1007"/>
      <c r="AW19" s="1007"/>
      <c r="AX19" s="1008"/>
      <c r="BA19" s="701">
        <v>35</v>
      </c>
      <c r="BB19" s="304">
        <v>35</v>
      </c>
      <c r="BC19" s="304">
        <v>35</v>
      </c>
      <c r="BD19" s="304">
        <v>35</v>
      </c>
      <c r="BE19" s="304">
        <v>35</v>
      </c>
      <c r="BF19" s="304">
        <v>35</v>
      </c>
      <c r="BG19" s="304">
        <v>35</v>
      </c>
      <c r="BH19" s="304">
        <v>35</v>
      </c>
      <c r="BI19" s="304">
        <v>35</v>
      </c>
      <c r="BJ19" s="304">
        <v>35</v>
      </c>
      <c r="BK19" s="304">
        <v>35</v>
      </c>
      <c r="BL19" s="304">
        <v>35</v>
      </c>
      <c r="BM19" s="314"/>
      <c r="BN19" t="e">
        <f>[1]!tedadrooz(BN4,BN5,BN18,BN11,BN8,BN9)</f>
        <v>#VALUE!</v>
      </c>
      <c r="BU19" s="274"/>
      <c r="BV19" s="274"/>
      <c r="BZ19" s="274"/>
      <c r="CA19" s="274"/>
      <c r="CB19" s="274"/>
      <c r="CC19" s="274"/>
      <c r="CD19" s="274"/>
      <c r="CE19" s="274"/>
      <c r="CF19" s="274"/>
      <c r="CG19" s="274"/>
      <c r="CH19" s="732"/>
      <c r="CI19" s="731">
        <f>(CI3-1)*354.367092592592</f>
        <v>2126.202555555552</v>
      </c>
      <c r="CJ19" s="118">
        <v>0</v>
      </c>
      <c r="CK19" s="118" t="e">
        <f>CJ17</f>
        <v>#VALUE!</v>
      </c>
      <c r="CL19" s="118" t="e">
        <f>CK17+CJ17</f>
        <v>#VALUE!</v>
      </c>
      <c r="CM19" s="118" t="e">
        <f>CL17+CK17+CJ17</f>
        <v>#VALUE!</v>
      </c>
      <c r="CN19" s="118" t="e">
        <f>SUM(CJ17:CM17)</f>
        <v>#VALUE!</v>
      </c>
      <c r="CO19" s="118" t="e">
        <f>SUM(CJ17:CN17)</f>
        <v>#VALUE!</v>
      </c>
      <c r="CP19" s="118" t="e">
        <f>SUM(CJ17:CO17)</f>
        <v>#VALUE!</v>
      </c>
      <c r="CQ19" s="118" t="e">
        <f>SUM(CJ17:CP17)</f>
        <v>#VALUE!</v>
      </c>
      <c r="CR19" s="118" t="e">
        <f>SUM(CJ17:CQ17)</f>
        <v>#VALUE!</v>
      </c>
      <c r="CS19" s="118" t="e">
        <f>SUM(CJ17:CR17)</f>
        <v>#VALUE!</v>
      </c>
      <c r="CT19" s="118" t="e">
        <f>SUM(CJ17:CS17)</f>
        <v>#VALUE!</v>
      </c>
      <c r="CU19" s="118" t="e">
        <f>SUM(CJ17:CT17)</f>
        <v>#VALUE!</v>
      </c>
      <c r="CV19" s="772"/>
      <c r="CW19" s="797"/>
      <c r="CX19" s="327"/>
      <c r="CY19" s="327"/>
      <c r="CZ19" s="327"/>
      <c r="DA19" s="274"/>
      <c r="DB19" s="274"/>
      <c r="DC19" s="274"/>
      <c r="DS19" s="274"/>
      <c r="DT19" s="274"/>
      <c r="DU19" s="845"/>
      <c r="DV19" s="845"/>
      <c r="DW19" s="845"/>
      <c r="DX19" s="845"/>
      <c r="DZ19" s="274"/>
      <c r="EA19" s="274"/>
      <c r="EB19" s="274"/>
      <c r="EC19" s="274"/>
      <c r="ED19" s="274"/>
      <c r="EE19" s="274"/>
      <c r="EF19" s="274"/>
      <c r="EG19" s="274"/>
      <c r="EH19" s="274"/>
      <c r="EI19" s="274"/>
      <c r="EQ19" s="274"/>
      <c r="ER19" s="274"/>
      <c r="ES19" s="274"/>
      <c r="ET19" s="274"/>
      <c r="EU19" s="715"/>
      <c r="EV19" s="715"/>
      <c r="EW19" s="715"/>
      <c r="EX19" s="715"/>
    </row>
    <row r="20" spans="1:154" ht="23.25">
      <c r="A20" s="720">
        <v>59</v>
      </c>
      <c r="B20" s="721" t="s">
        <v>1081</v>
      </c>
      <c r="C20" s="722">
        <f>L3</f>
        <v>12.754788005070647</v>
      </c>
      <c r="D20" s="272">
        <v>73</v>
      </c>
      <c r="F20" s="721">
        <f>F19/L9</f>
        <v>4.2411422250985514E-2</v>
      </c>
      <c r="G20" s="720">
        <v>87</v>
      </c>
      <c r="H20" s="721" t="s">
        <v>1175</v>
      </c>
      <c r="I20" s="722">
        <f>[1]!sn(I19)</f>
        <v>11.78349148039714</v>
      </c>
      <c r="J20" s="272">
        <v>101</v>
      </c>
      <c r="K20" s="721" t="s">
        <v>1182</v>
      </c>
      <c r="L20" s="739">
        <f>[1]!sn(C31)</f>
        <v>1.0346364214630195</v>
      </c>
      <c r="R20" s="1002"/>
      <c r="S20" s="1557"/>
      <c r="T20" s="1003"/>
      <c r="U20" s="1003">
        <f>[1]!roz(AP4,U19,AP6,AP7)</f>
        <v>30.811462636339531</v>
      </c>
      <c r="V20" s="1705">
        <f t="shared" si="34"/>
        <v>30</v>
      </c>
      <c r="W20" s="1705">
        <f t="shared" si="35"/>
        <v>48</v>
      </c>
      <c r="X20" s="1705">
        <f t="shared" si="36"/>
        <v>41</v>
      </c>
      <c r="Y20" s="1709">
        <f t="shared" si="37"/>
        <v>15</v>
      </c>
      <c r="Z20" t="s">
        <v>4223</v>
      </c>
      <c r="AH20" s="55"/>
      <c r="AI20" s="1011"/>
      <c r="AJ20" s="1007"/>
      <c r="AK20" s="1007" t="s">
        <v>3546</v>
      </c>
      <c r="AL20" s="1007">
        <f>[1]!bkm(AL4,AL13,AL11)</f>
        <v>13.652249458596993</v>
      </c>
      <c r="AM20" s="1012">
        <f t="shared" si="23"/>
        <v>13</v>
      </c>
      <c r="AN20" s="1012">
        <f t="shared" si="24"/>
        <v>39</v>
      </c>
      <c r="AO20" s="1012">
        <f t="shared" si="25"/>
        <v>8</v>
      </c>
      <c r="AP20" s="1012">
        <f t="shared" si="26"/>
        <v>5</v>
      </c>
      <c r="AQ20" s="637"/>
      <c r="AR20" s="502"/>
      <c r="AS20" s="1006"/>
      <c r="AT20" s="1006"/>
      <c r="AU20" s="502"/>
      <c r="AV20" s="1007"/>
      <c r="AW20" s="1007"/>
      <c r="AX20" s="1008"/>
      <c r="BA20" s="701">
        <f>[1]!taqsha(BA15,BA16,BA17,BA18)</f>
        <v>114.62124882716148</v>
      </c>
      <c r="BB20" s="304">
        <f>[1]!taqsha(BB15,BB16,BB17,BB18)</f>
        <v>143.56465977888095</v>
      </c>
      <c r="BC20" s="304">
        <f>[1]!taqsha(BC15,BC16,BC17,BC18)</f>
        <v>171.96014417037969</v>
      </c>
      <c r="BD20" s="304">
        <f>[1]!taqsha(BD15,BD16,BD17,BD18)</f>
        <v>201.82716640789377</v>
      </c>
      <c r="BE20" s="304">
        <f>[1]!taqsha(BE15,BE16,BE17,BE18)</f>
        <v>231.12131238569128</v>
      </c>
      <c r="BF20" s="304">
        <f>[1]!taqsha(BF15,BF16,BF17,BF18)</f>
        <v>261.67097600025602</v>
      </c>
      <c r="BG20" s="304">
        <f>[1]!taqsha(BG15,BG16,BG17,BG18)</f>
        <v>291.18959703155099</v>
      </c>
      <c r="BH20" s="304">
        <f>[1]!taqsha(BH15,BH16,BH17,BH18)</f>
        <v>321.44965109937715</v>
      </c>
      <c r="BI20" s="304">
        <f>[1]!taqsha(BI15,BI16,BI17,BI18)</f>
        <v>350.26819700735359</v>
      </c>
      <c r="BJ20" s="304">
        <f>[1]!taqsha(BJ15,BJ16,BJ17,BJ18)</f>
        <v>19.588010437515432</v>
      </c>
      <c r="BK20" s="304">
        <f>[1]!taqsha(BK15,BK16,BK17,BK18)</f>
        <v>47.527539811119354</v>
      </c>
      <c r="BL20" s="304">
        <f>[1]!taqsha(BL15,BL16,BL17,BL18)</f>
        <v>76.184346809141175</v>
      </c>
      <c r="BM20" s="314"/>
      <c r="BU20" s="274"/>
      <c r="BV20" s="274"/>
      <c r="BW20" s="274"/>
      <c r="BZ20" s="274"/>
      <c r="CA20" s="274"/>
      <c r="CB20" s="274"/>
      <c r="CC20" s="274"/>
      <c r="CD20" s="274"/>
      <c r="CE20" s="274"/>
      <c r="CF20" s="274"/>
      <c r="CG20" s="274"/>
      <c r="CH20" s="778" t="s">
        <v>3748</v>
      </c>
      <c r="CI20" s="692">
        <f>CI18-CI16</f>
        <v>0</v>
      </c>
      <c r="CJ20" s="797"/>
      <c r="CK20" s="797"/>
      <c r="CL20" s="797"/>
      <c r="CM20" s="797"/>
      <c r="CN20" s="797"/>
      <c r="CO20" s="797"/>
      <c r="CP20" s="797"/>
      <c r="CQ20" s="797"/>
      <c r="CR20" s="797"/>
      <c r="CS20" s="797"/>
      <c r="CT20" s="797"/>
      <c r="CU20" s="797"/>
      <c r="CV20" s="797"/>
      <c r="CW20" s="797"/>
      <c r="CX20" s="274"/>
      <c r="CY20" s="274"/>
      <c r="CZ20" s="274"/>
      <c r="DA20" s="274"/>
      <c r="DB20" s="274"/>
      <c r="DC20" s="274"/>
      <c r="DS20" s="288"/>
      <c r="DT20" s="288"/>
      <c r="DU20" s="288"/>
      <c r="DV20" s="288"/>
      <c r="DW20" s="288"/>
      <c r="DX20" s="288"/>
      <c r="DZ20" s="288"/>
      <c r="EA20" s="288"/>
      <c r="EB20" s="288"/>
      <c r="EC20" s="288"/>
      <c r="ED20" s="288"/>
      <c r="EE20" s="288"/>
      <c r="EF20" s="288"/>
      <c r="EG20" s="288"/>
      <c r="EH20" s="288"/>
      <c r="EI20" s="288"/>
      <c r="EQ20" s="288"/>
      <c r="ER20" s="274"/>
      <c r="ES20" s="274"/>
      <c r="ET20" s="274"/>
      <c r="EU20" s="715"/>
      <c r="EV20" s="715"/>
      <c r="EW20" s="715"/>
      <c r="EX20" s="715"/>
    </row>
    <row r="21" spans="1:154" ht="23.25">
      <c r="A21" s="720">
        <v>60</v>
      </c>
      <c r="B21" s="721" t="s">
        <v>1169</v>
      </c>
      <c r="C21" s="722">
        <f>C20/60</f>
        <v>0.2125798000845108</v>
      </c>
      <c r="D21" s="272">
        <v>74</v>
      </c>
      <c r="E21" s="721" t="s">
        <v>1172</v>
      </c>
      <c r="F21" s="721">
        <f>[1]!asn(F20)</f>
        <v>4.0499928341422554E-2</v>
      </c>
      <c r="G21" s="720">
        <v>88</v>
      </c>
      <c r="H21" s="721" t="s">
        <v>1098</v>
      </c>
      <c r="I21" s="722">
        <f>[1]!csn(I18)</f>
        <v>11.883796433425719</v>
      </c>
      <c r="J21" s="272">
        <v>102</v>
      </c>
      <c r="K21" s="721" t="s">
        <v>1088</v>
      </c>
      <c r="L21" s="739">
        <f>[1]!sn(AL46)</f>
        <v>14.654595503963025</v>
      </c>
      <c r="R21" s="1556"/>
      <c r="S21" s="1557"/>
      <c r="T21" s="1003" t="s">
        <v>378</v>
      </c>
      <c r="U21" s="1003">
        <f>[1]!taqsha(AL4,AL5,U20,AL7)</f>
        <v>20.310731428951211</v>
      </c>
      <c r="V21" s="1705">
        <f t="shared" si="34"/>
        <v>20</v>
      </c>
      <c r="W21" s="1705">
        <f t="shared" si="35"/>
        <v>18</v>
      </c>
      <c r="X21" s="1705">
        <f t="shared" si="36"/>
        <v>38</v>
      </c>
      <c r="Y21" s="1709">
        <f t="shared" si="37"/>
        <v>37</v>
      </c>
      <c r="Z21" s="14">
        <v>28</v>
      </c>
      <c r="AA21" s="10">
        <f>Z21+1</f>
        <v>29</v>
      </c>
      <c r="AB21" s="346">
        <f>AA21+1</f>
        <v>30</v>
      </c>
      <c r="AC21" s="811">
        <v>31</v>
      </c>
      <c r="AD21" s="1725">
        <v>32</v>
      </c>
      <c r="AH21" s="55"/>
      <c r="AI21" s="1011"/>
      <c r="AJ21" s="1007"/>
      <c r="AK21" s="1007" t="s">
        <v>419</v>
      </c>
      <c r="AL21" s="1007">
        <f>[1]!qrk(AL20,AL9)</f>
        <v>67.902249458596998</v>
      </c>
      <c r="AM21" s="1012">
        <f t="shared" si="23"/>
        <v>67</v>
      </c>
      <c r="AN21" s="1012">
        <f t="shared" si="24"/>
        <v>54</v>
      </c>
      <c r="AO21" s="1012">
        <f t="shared" si="25"/>
        <v>8</v>
      </c>
      <c r="AP21" s="1012">
        <f t="shared" si="26"/>
        <v>5</v>
      </c>
      <c r="AQ21" s="637"/>
      <c r="AR21" s="502"/>
      <c r="AS21" s="1006"/>
      <c r="AT21" s="1006"/>
      <c r="AU21" s="502"/>
      <c r="AV21" s="1007"/>
      <c r="AW21" s="1007"/>
      <c r="AX21" s="1008"/>
      <c r="AZ21" s="327" t="s">
        <v>3556</v>
      </c>
      <c r="BA21" s="701" t="e">
        <f>[1]!qsn([1]!ml(BA20),BA19)/30</f>
        <v>#VALUE!</v>
      </c>
      <c r="BB21" s="304" t="e">
        <f>[1]!qsn([1]!ml(BB20),BB19)/30</f>
        <v>#VALUE!</v>
      </c>
      <c r="BC21" s="304" t="e">
        <f>[1]!qsn([1]!ml(BC20),BC19)/30</f>
        <v>#VALUE!</v>
      </c>
      <c r="BD21" s="304" t="e">
        <f>[1]!qsn([1]!ml(BD20),BD19)/30</f>
        <v>#VALUE!</v>
      </c>
      <c r="BE21" s="304" t="e">
        <f>[1]!qsn([1]!ml(BE20),BE19)/30</f>
        <v>#VALUE!</v>
      </c>
      <c r="BF21" s="304" t="e">
        <f>[1]!qsn([1]!ml(BF20),BF19)/30</f>
        <v>#VALUE!</v>
      </c>
      <c r="BG21" s="304" t="e">
        <f>[1]!qsn([1]!ml(BG20),BG19)/30</f>
        <v>#VALUE!</v>
      </c>
      <c r="BH21" s="304" t="e">
        <f>[1]!qsn([1]!ml(BH20),BH19)/30</f>
        <v>#VALUE!</v>
      </c>
      <c r="BI21" s="304" t="e">
        <f>[1]!qsn([1]!ml(BI20),BI19)/30</f>
        <v>#VALUE!</v>
      </c>
      <c r="BJ21" s="304" t="e">
        <f>[1]!qsn([1]!ml(BJ20),BJ19)/30</f>
        <v>#VALUE!</v>
      </c>
      <c r="BK21" s="304" t="e">
        <f>[1]!qsn([1]!ml(BK20),BK19)/30</f>
        <v>#VALUE!</v>
      </c>
      <c r="BL21" s="304" t="e">
        <f>[1]!qsn([1]!ml(BL20),BL19)/30</f>
        <v>#VALUE!</v>
      </c>
      <c r="BM21" s="314"/>
      <c r="BU21" s="274"/>
      <c r="BV21" s="274"/>
      <c r="BW21" s="274"/>
      <c r="BZ21" s="274"/>
      <c r="CA21" s="274"/>
      <c r="CB21" s="274"/>
      <c r="CC21" s="274"/>
      <c r="CD21" s="274"/>
      <c r="CE21" s="274"/>
      <c r="CF21" s="274"/>
      <c r="CG21" s="274"/>
      <c r="CH21" s="732"/>
      <c r="CI21" s="731">
        <f>CI5+CI20</f>
        <v>1</v>
      </c>
      <c r="CJ21" s="797"/>
      <c r="CK21" s="797"/>
      <c r="CL21" s="797"/>
      <c r="CM21" s="797"/>
      <c r="CN21" s="797"/>
      <c r="CO21" s="797"/>
      <c r="CP21" s="797"/>
      <c r="CQ21" s="797"/>
      <c r="CR21" s="797"/>
      <c r="CS21" s="797"/>
      <c r="CT21" s="797"/>
      <c r="CU21" s="797"/>
      <c r="CV21" s="797"/>
      <c r="CW21" s="797"/>
      <c r="CX21" s="274"/>
      <c r="CY21" s="274"/>
      <c r="CZ21" s="274"/>
      <c r="DA21" s="274"/>
      <c r="DB21" s="274"/>
      <c r="DC21" s="274"/>
      <c r="DR21" s="288"/>
      <c r="DS21" s="288"/>
      <c r="DT21" s="288"/>
      <c r="DU21" s="288"/>
      <c r="DV21" s="288"/>
      <c r="DW21" s="288"/>
      <c r="DX21" s="288"/>
      <c r="DZ21" s="288"/>
      <c r="EA21" s="288"/>
      <c r="EB21" s="288"/>
      <c r="EC21" s="288"/>
      <c r="ED21" s="288"/>
      <c r="EE21" s="288"/>
      <c r="EF21" s="288"/>
      <c r="EG21" s="288"/>
      <c r="EH21" s="288"/>
      <c r="EI21" s="288"/>
      <c r="EQ21" s="288"/>
      <c r="ER21" s="274"/>
      <c r="ES21" s="274"/>
      <c r="ET21" s="274"/>
      <c r="EU21" s="274"/>
      <c r="EV21" s="274"/>
      <c r="EW21" s="274"/>
      <c r="EX21" s="274"/>
    </row>
    <row r="22" spans="1:154" ht="24.75">
      <c r="A22" s="720">
        <v>61</v>
      </c>
      <c r="B22" s="721"/>
      <c r="C22" s="722">
        <f>C19-C21</f>
        <v>56.657492410430962</v>
      </c>
      <c r="D22" s="272">
        <v>75</v>
      </c>
      <c r="E22" s="721" t="s">
        <v>4221</v>
      </c>
      <c r="F22" s="721">
        <f>C31-F21</f>
        <v>0.94755404733836457</v>
      </c>
      <c r="G22" s="720">
        <v>89</v>
      </c>
      <c r="H22" s="721" t="s">
        <v>1091</v>
      </c>
      <c r="I22" s="1714">
        <f>ABS(I20)/(I21)*60</f>
        <v>59.493571165121359</v>
      </c>
      <c r="J22" s="272">
        <v>103</v>
      </c>
      <c r="K22" s="721" t="s">
        <v>787</v>
      </c>
      <c r="L22" s="739">
        <f>L20*L21</f>
        <v>15.162178250208358</v>
      </c>
      <c r="R22" s="1556"/>
      <c r="S22" s="1557"/>
      <c r="T22" s="1003" t="s">
        <v>698</v>
      </c>
      <c r="U22" s="1003">
        <f>[1]!taqqa(AL4,AL5,U20,AL7)</f>
        <v>32.877667062933753</v>
      </c>
      <c r="V22" s="1705">
        <f t="shared" si="34"/>
        <v>32</v>
      </c>
      <c r="W22" s="1705">
        <f t="shared" si="35"/>
        <v>52</v>
      </c>
      <c r="X22" s="1705">
        <f t="shared" si="36"/>
        <v>39</v>
      </c>
      <c r="Y22" s="1709">
        <f t="shared" si="37"/>
        <v>36</v>
      </c>
      <c r="Z22" s="14">
        <f>[1]!taqqa(X3,X4,[1]!roz(Z21,Z14,0,0),X5)</f>
        <v>2.1419872923450427</v>
      </c>
      <c r="AA22" s="10">
        <f>[1]!taqqa(AA8,AA9,[1]!roz(AA21,AA14,0,0),AA10)</f>
        <v>17.230416416119443</v>
      </c>
      <c r="AB22" s="346">
        <f>[1]!taqqa(AB8,AB9,[1]!roz(AB21,AB14,0,0),AB10)</f>
        <v>32.202911580086166</v>
      </c>
      <c r="AC22" s="811">
        <f>[1]!taqqa(AC8,AC9,[1]!roz(AC21,AC14,0,0),AC10)</f>
        <v>46.906837446080594</v>
      </c>
      <c r="AD22" s="1725">
        <f>[1]!taqqa(AD8,AD9,[1]!roz(AD21,AD14,0,0),AD10)</f>
        <v>61.281799821881116</v>
      </c>
      <c r="AE22" t="s">
        <v>698</v>
      </c>
      <c r="AF22" s="845"/>
      <c r="AG22" s="845"/>
      <c r="AI22" s="1017"/>
      <c r="AJ22" s="1007"/>
      <c r="AK22" s="1007" t="s">
        <v>375</v>
      </c>
      <c r="AL22" s="1007">
        <f>[1]!mtm(AL4,AL13,AL11)</f>
        <v>33.910473092603652</v>
      </c>
      <c r="AM22" s="1012">
        <f t="shared" si="23"/>
        <v>33</v>
      </c>
      <c r="AN22" s="1012">
        <f t="shared" si="24"/>
        <v>54</v>
      </c>
      <c r="AO22" s="1012">
        <f t="shared" si="25"/>
        <v>37</v>
      </c>
      <c r="AP22" s="1012">
        <f t="shared" si="26"/>
        <v>42</v>
      </c>
      <c r="AQ22" s="637"/>
      <c r="AR22" s="502"/>
      <c r="AS22" s="1006"/>
      <c r="AT22" s="1006"/>
      <c r="AU22" s="502"/>
      <c r="AV22" s="1007"/>
      <c r="AW22" s="1007"/>
      <c r="AX22" s="1008"/>
      <c r="AZ22" s="327" t="s">
        <v>698</v>
      </c>
      <c r="BA22" s="701" t="e">
        <f>[1]!taqqa(BA15,BA16,[1]!roz(BA17,BA21,0,0),BA18)</f>
        <v>#VALUE!</v>
      </c>
      <c r="BB22" s="304" t="e">
        <f>[1]!taqqa(BB15,BB16,[1]!roz(BB17,BB21,0,0),BB18)</f>
        <v>#VALUE!</v>
      </c>
      <c r="BC22" s="304" t="e">
        <f>[1]!taqqa(BC15,BC16,[1]!roz(BC17,BC21,0,0),BC18)</f>
        <v>#VALUE!</v>
      </c>
      <c r="BD22" s="304" t="e">
        <f>[1]!taqqa(BD15,BD16,[1]!roz(BD17,BD21,0,0),BD18)</f>
        <v>#VALUE!</v>
      </c>
      <c r="BE22" s="304" t="e">
        <f>[1]!taqqa(BE15,BE16,[1]!roz(BE17,BE21,0,0),BE18)</f>
        <v>#VALUE!</v>
      </c>
      <c r="BF22" s="304" t="e">
        <f>[1]!taqqa(BF15,BF16,[1]!roz(BF17,BF21,0,0),BF18)</f>
        <v>#VALUE!</v>
      </c>
      <c r="BG22" s="304" t="e">
        <f>[1]!taqqa(BG15,BG16,[1]!roz(BG17,BG21,0,0),BG18)</f>
        <v>#VALUE!</v>
      </c>
      <c r="BH22" s="304" t="e">
        <f>[1]!taqqa(BH15,BH16,[1]!roz(BH17,BH21,0,0),BH18)</f>
        <v>#VALUE!</v>
      </c>
      <c r="BI22" s="304" t="e">
        <f>[1]!taqqa(BI15,BI16,[1]!roz(BI17,BI21,0,0),BI18)</f>
        <v>#VALUE!</v>
      </c>
      <c r="BJ22" s="304" t="e">
        <f>[1]!taqqa(BJ15,BJ16,[1]!roz(BJ17,BJ21,0,0),BJ18)</f>
        <v>#VALUE!</v>
      </c>
      <c r="BK22" s="304" t="e">
        <f>[1]!taqqa(BK15,BK16,[1]!roz(BK17,BK21,0,0),BK18)</f>
        <v>#VALUE!</v>
      </c>
      <c r="BL22" s="304" t="e">
        <f>[1]!taqqa(BL15,BL16,[1]!roz(BL17,BL21,0,0),BL18)</f>
        <v>#VALUE!</v>
      </c>
      <c r="BM22" s="314"/>
      <c r="BU22" s="274"/>
      <c r="BV22" s="274"/>
      <c r="BW22" s="274"/>
      <c r="BZ22" s="276"/>
      <c r="CA22" s="274"/>
      <c r="CB22" s="274"/>
      <c r="CC22" s="274"/>
      <c r="CD22" s="274"/>
      <c r="CE22" s="274"/>
      <c r="CF22" s="274"/>
      <c r="CG22" s="274"/>
      <c r="CH22" s="732" t="s">
        <v>3490</v>
      </c>
      <c r="CI22" s="694">
        <v>119</v>
      </c>
      <c r="CJ22" s="797"/>
      <c r="CK22" s="797"/>
      <c r="CL22" s="797"/>
      <c r="CM22" s="797"/>
      <c r="CN22" s="797"/>
      <c r="CO22" s="797"/>
      <c r="CP22" s="797"/>
      <c r="CQ22" s="797"/>
      <c r="CR22" s="797"/>
      <c r="CS22" s="797"/>
      <c r="CT22" s="797"/>
      <c r="CU22" s="797"/>
      <c r="CV22" s="797"/>
      <c r="CW22" s="797"/>
      <c r="CX22" s="274"/>
      <c r="CY22" s="274"/>
      <c r="CZ22" s="274"/>
      <c r="DA22" s="274"/>
      <c r="DB22" s="274"/>
      <c r="DC22" s="274"/>
      <c r="DR22" s="288"/>
      <c r="DS22" s="288"/>
      <c r="DT22" s="288"/>
      <c r="DU22" s="288"/>
      <c r="DV22" s="288"/>
      <c r="DW22" s="288"/>
      <c r="DX22" s="288"/>
      <c r="DZ22" s="288"/>
      <c r="EA22" s="288"/>
      <c r="EB22" s="288"/>
      <c r="EC22" s="288"/>
      <c r="ED22" s="288"/>
      <c r="EE22" s="288"/>
      <c r="EF22" s="288"/>
      <c r="EG22" s="288"/>
      <c r="EH22" s="288"/>
      <c r="EI22" s="288"/>
      <c r="ER22" s="274"/>
      <c r="ES22" s="274"/>
      <c r="ET22" s="274"/>
      <c r="EU22" s="274"/>
      <c r="EV22" s="274"/>
      <c r="EW22" s="274"/>
      <c r="EX22" s="274"/>
    </row>
    <row r="23" spans="1:154" ht="23.25">
      <c r="A23" s="720">
        <v>62</v>
      </c>
      <c r="B23" s="721" t="s">
        <v>924</v>
      </c>
      <c r="C23" s="722">
        <f>POWER(C22,2)</f>
        <v>3210.071446238042</v>
      </c>
      <c r="D23" s="272">
        <v>76</v>
      </c>
      <c r="E23" s="721" t="s">
        <v>1086</v>
      </c>
      <c r="F23" s="721">
        <f>C24+F22</f>
        <v>78.673975936740902</v>
      </c>
      <c r="G23" s="720">
        <v>90</v>
      </c>
      <c r="H23" s="721" t="s">
        <v>252</v>
      </c>
      <c r="I23" s="722">
        <f>IF(AND(I14&gt;F7,O5=O6),180-[1]!asn(I22),[1]!asn(I22))</f>
        <v>82.550499343919014</v>
      </c>
      <c r="J23" s="272">
        <v>104</v>
      </c>
      <c r="K23" s="721" t="s">
        <v>1089</v>
      </c>
      <c r="L23" s="739">
        <f>[1]!csn(L5)</f>
        <v>58.628622557123968</v>
      </c>
      <c r="R23" s="1556"/>
      <c r="S23" s="1557"/>
      <c r="T23" s="1003" t="s">
        <v>408</v>
      </c>
      <c r="U23" s="1003">
        <f>[1]!hesseha(AL4,AL5,U20,AL7)</f>
        <v>18.337971277240044</v>
      </c>
      <c r="V23" s="1705">
        <f t="shared" si="34"/>
        <v>18</v>
      </c>
      <c r="W23" s="1705">
        <f t="shared" si="35"/>
        <v>20</v>
      </c>
      <c r="X23" s="1705">
        <f t="shared" si="36"/>
        <v>16</v>
      </c>
      <c r="Y23" s="1709">
        <f t="shared" si="37"/>
        <v>41</v>
      </c>
      <c r="Z23" s="14">
        <f>[1]!taqsha(X3,X4,[1]!roz(Z21,Z14,0,0),X5)</f>
        <v>18.299124171740935</v>
      </c>
      <c r="AA23" s="10">
        <f>[1]!taqsha(AA8,AA9,[1]!roz(AA21,AA14,0,0),AA10)</f>
        <v>19.282934097278829</v>
      </c>
      <c r="AB23" s="346">
        <f>[1]!taqsha(AB8,AB9,[1]!roz(AB21,AB14,0,0),AB10)</f>
        <v>20.266201184524867</v>
      </c>
      <c r="AC23" s="811">
        <f>[1]!taqsha(AC8,AC9,[1]!roz(AC21,AC14,0,0),AC10)</f>
        <v>21.248718965548115</v>
      </c>
      <c r="AD23" s="1725">
        <f>[1]!taqsha(AD8,AD9,[1]!roz(AD21,AD14,0,0),AD10)</f>
        <v>22.230550267302817</v>
      </c>
      <c r="AE23" t="s">
        <v>378</v>
      </c>
      <c r="AF23" s="845"/>
      <c r="AG23" s="845"/>
      <c r="AI23" s="1011">
        <f>IF(IF(C11-C2&gt;180,360-(C11-C2),ABS(C11-C2))&lt;=180,IF(C11-C2&gt;180,360-(C11-C2),ABS(C11-C2)),360-IF(C11-C2&gt;180,360-(C11-C2),ABS(C11-C2)))</f>
        <v>179.65467689303603</v>
      </c>
      <c r="AJ23" s="1007">
        <f>[1]!asher2(AL4,AL5,AL6,AL7,AL9)</f>
        <v>112.45656380213028</v>
      </c>
      <c r="AK23" s="1007" t="s">
        <v>281</v>
      </c>
      <c r="AL23" s="1007">
        <f>[1]!asher(AL4,AL18,AL9)</f>
        <v>112.45786412867298</v>
      </c>
      <c r="AM23" s="1012">
        <f t="shared" si="23"/>
        <v>112</v>
      </c>
      <c r="AN23" s="1012">
        <f t="shared" si="24"/>
        <v>27</v>
      </c>
      <c r="AO23" s="1012">
        <f t="shared" si="25"/>
        <v>28</v>
      </c>
      <c r="AP23" s="1012">
        <f t="shared" si="26"/>
        <v>18</v>
      </c>
      <c r="AQ23" s="637"/>
      <c r="AR23" s="502"/>
      <c r="AS23" s="1006"/>
      <c r="AT23" s="1006"/>
      <c r="AU23" s="502"/>
      <c r="AV23" s="1007"/>
      <c r="AW23" s="1007"/>
      <c r="AX23" s="1008"/>
      <c r="AZ23" s="327" t="s">
        <v>378</v>
      </c>
      <c r="BA23" s="701" t="e">
        <f>[1]!taqsha(BA15,BA16,[1]!roz(BA17,BA21,0,0),BA18)</f>
        <v>#VALUE!</v>
      </c>
      <c r="BB23" s="304" t="e">
        <f>[1]!taqsha(BB15,BB16,[1]!roz(BB17,BB21,0,0),BB18)</f>
        <v>#VALUE!</v>
      </c>
      <c r="BC23" s="304" t="e">
        <f>[1]!taqsha(BC15,BC16,[1]!roz(BC17,BC21,0,0),BC18)</f>
        <v>#VALUE!</v>
      </c>
      <c r="BD23" s="304" t="e">
        <f>[1]!taqsha(BD15,BD16,[1]!roz(BD17,BD21,0,0),BD18)</f>
        <v>#VALUE!</v>
      </c>
      <c r="BE23" s="304" t="e">
        <f>[1]!taqsha(BE15,BE16,[1]!roz(BE17,BE21,0,0),BE18)</f>
        <v>#VALUE!</v>
      </c>
      <c r="BF23" s="304" t="e">
        <f>[1]!taqsha(BF15,BF16,[1]!roz(BF17,BF21,0,0),BF18)</f>
        <v>#VALUE!</v>
      </c>
      <c r="BG23" s="304" t="e">
        <f>[1]!taqsha(BG15,BG16,[1]!roz(BG17,BG21,0,0),BG18)</f>
        <v>#VALUE!</v>
      </c>
      <c r="BH23" s="304" t="e">
        <f>[1]!taqsha(BH15,BH16,[1]!roz(BH17,BH21,0,0),BH18)</f>
        <v>#VALUE!</v>
      </c>
      <c r="BI23" s="304" t="e">
        <f>[1]!taqsha(BI15,BI16,[1]!roz(BI17,BI21,0,0),BI18)</f>
        <v>#VALUE!</v>
      </c>
      <c r="BJ23" s="304" t="e">
        <f>[1]!taqsha(BJ15,BJ16,[1]!roz(BJ17,BJ21,0,0),BJ18)</f>
        <v>#VALUE!</v>
      </c>
      <c r="BK23" s="304" t="e">
        <f>[1]!taqsha(BK15,BK16,[1]!roz(BK17,BK21,0,0),BK18)</f>
        <v>#VALUE!</v>
      </c>
      <c r="BL23" s="304" t="e">
        <f>[1]!taqsha(BL15,BL16,[1]!roz(BL17,BL21,0,0),BL18)</f>
        <v>#VALUE!</v>
      </c>
      <c r="BM23" s="314"/>
      <c r="BU23" s="274"/>
      <c r="BV23" s="274"/>
      <c r="BW23" s="274"/>
      <c r="BZ23" s="274"/>
      <c r="CA23" s="274"/>
      <c r="CB23" s="274"/>
      <c r="CC23" s="274"/>
      <c r="CD23" s="274"/>
      <c r="CE23" s="274"/>
      <c r="CF23" s="274"/>
      <c r="CG23" s="274"/>
      <c r="CH23" s="732"/>
      <c r="CI23" s="731">
        <f>CI19+CI18+CI21+CI22</f>
        <v>2246.202555555552</v>
      </c>
      <c r="CJ23" s="797"/>
      <c r="CK23" s="797"/>
      <c r="CL23" s="797"/>
      <c r="CM23" s="797"/>
      <c r="CN23" s="797"/>
      <c r="CO23" s="797"/>
      <c r="CP23" s="797"/>
      <c r="CQ23" s="797"/>
      <c r="CR23" s="797"/>
      <c r="CS23" s="797"/>
      <c r="CT23" s="797"/>
      <c r="CU23" s="797"/>
      <c r="CV23" s="797"/>
      <c r="CW23" s="797"/>
      <c r="CX23" s="274"/>
      <c r="CY23" s="274"/>
      <c r="CZ23" s="274"/>
      <c r="DA23" s="274"/>
      <c r="DB23" s="274"/>
      <c r="DC23" s="274"/>
      <c r="DR23" s="288"/>
      <c r="DS23" s="288"/>
      <c r="DT23" s="288"/>
      <c r="DU23" s="288"/>
      <c r="DV23" s="288"/>
      <c r="DX23" s="288"/>
      <c r="DZ23" s="288"/>
      <c r="EA23" s="288"/>
      <c r="EB23" s="288"/>
      <c r="EC23" s="288"/>
      <c r="ED23" s="288"/>
      <c r="EE23" s="288"/>
      <c r="EF23" s="288"/>
      <c r="EG23" s="288"/>
      <c r="EH23" s="288"/>
      <c r="EI23" s="288"/>
      <c r="EQ23" s="288"/>
      <c r="ER23" s="274"/>
      <c r="ES23" s="274"/>
      <c r="ET23" s="274"/>
      <c r="EU23" s="715"/>
      <c r="EV23" s="715"/>
      <c r="EW23" s="715"/>
      <c r="EX23" s="715"/>
    </row>
    <row r="24" spans="1:154" ht="23.25">
      <c r="A24" s="720">
        <v>63</v>
      </c>
      <c r="B24" s="721" t="s">
        <v>1082</v>
      </c>
      <c r="C24" s="722">
        <f>90-L5</f>
        <v>77.726421889402545</v>
      </c>
      <c r="D24" s="272">
        <v>77</v>
      </c>
      <c r="E24" s="721" t="s">
        <v>1095</v>
      </c>
      <c r="F24" s="721">
        <f>I10</f>
        <v>12.363587759755447</v>
      </c>
      <c r="G24" s="720">
        <v>91</v>
      </c>
      <c r="H24" s="721" t="s">
        <v>1099</v>
      </c>
      <c r="I24" s="722">
        <f>IF(ABS(I23-(90-AL46))&lt;180,ABS(I23-(90-AL46)),360-ABS(I23-(90-AL46)))</f>
        <v>6.6876164173588108</v>
      </c>
      <c r="J24" s="272">
        <v>105</v>
      </c>
      <c r="K24" s="721" t="s">
        <v>1091</v>
      </c>
      <c r="L24" s="739">
        <f>L22/L23</f>
        <v>0.25861392591025489</v>
      </c>
      <c r="R24" s="1556"/>
      <c r="S24" s="1557"/>
      <c r="T24" s="1003" t="s">
        <v>416</v>
      </c>
      <c r="U24" s="621">
        <f>[1]!arzqmr(U23)</f>
        <v>1.5785320668382035</v>
      </c>
      <c r="V24" s="1705">
        <f t="shared" si="34"/>
        <v>1</v>
      </c>
      <c r="W24" s="1705">
        <f t="shared" si="35"/>
        <v>34</v>
      </c>
      <c r="X24" s="1705">
        <f t="shared" si="36"/>
        <v>42</v>
      </c>
      <c r="Y24" s="1709">
        <f t="shared" si="37"/>
        <v>42</v>
      </c>
      <c r="Z24" s="1721">
        <f>IF(IF(Z22-Z23&gt;-180,Z22-Z23,Z22-Z23+360)&lt;180,IF(Z22-Z23&gt;-180,Z22-Z23,Z22-Z23+360),360-IF(Z22-Z23&gt;-180,Z22-Z23,Z22-Z23+360))</f>
        <v>-16.157136879395892</v>
      </c>
      <c r="AA24" s="1721">
        <f>IF(IF(AA22-AA23&gt;-180,AA22-AA23,AA22-AA23+360)&lt;180,IF(AA22-AA23&gt;-180,AA22-AA23,AA22-AA23+360),360-IF(AA22-AA23&gt;-180,AA22-AA23,AA22-AA23+360))</f>
        <v>-2.0525176811593866</v>
      </c>
      <c r="AB24" s="1721">
        <f t="shared" ref="AB24:AD24" si="38">IF(IF(AB22-AB23&gt;-180,AB22-AB23,AB22-AB23+360)&lt;180,IF(AB22-AB23&gt;-180,AB22-AB23,AB22-AB23+360),360-IF(AB22-AB23&gt;-180,AB22-AB23,AB22-AB23+360))</f>
        <v>11.936710395561299</v>
      </c>
      <c r="AC24" s="1721">
        <f t="shared" si="38"/>
        <v>25.65811848053248</v>
      </c>
      <c r="AD24" s="1721">
        <f t="shared" si="38"/>
        <v>39.051249554578298</v>
      </c>
      <c r="AE24" s="55" t="s">
        <v>4165</v>
      </c>
      <c r="AF24" s="1717"/>
      <c r="AG24" s="1717"/>
      <c r="AI24" s="1011"/>
      <c r="AJ24" s="1007"/>
      <c r="AK24" s="1007" t="s">
        <v>3545</v>
      </c>
      <c r="AL24" s="1007">
        <f>[1]!ml(AL4,AL10)</f>
        <v>7.9146398228646495</v>
      </c>
      <c r="AM24" s="1012">
        <f t="shared" si="23"/>
        <v>7</v>
      </c>
      <c r="AN24" s="1012">
        <f t="shared" si="24"/>
        <v>54</v>
      </c>
      <c r="AO24" s="1012">
        <f t="shared" si="25"/>
        <v>52</v>
      </c>
      <c r="AP24" s="1012">
        <f t="shared" si="26"/>
        <v>42</v>
      </c>
      <c r="AQ24" s="637"/>
      <c r="AR24" s="502"/>
      <c r="AS24" s="1006"/>
      <c r="AT24" s="1006"/>
      <c r="AU24" s="502"/>
      <c r="AV24" s="1007"/>
      <c r="AW24" s="1007"/>
      <c r="AX24" s="1008"/>
      <c r="AZ24" s="327"/>
      <c r="BA24" s="701"/>
      <c r="BB24" s="304"/>
      <c r="BC24" s="304"/>
      <c r="BD24" s="304"/>
      <c r="BE24" s="304"/>
      <c r="BF24" s="304"/>
      <c r="BG24" s="304"/>
      <c r="BH24" s="304"/>
      <c r="BI24" s="304"/>
      <c r="BJ24" s="304"/>
      <c r="BK24" s="304"/>
      <c r="BL24" s="304"/>
      <c r="BM24" s="314"/>
      <c r="BU24" s="274"/>
      <c r="BV24" s="274"/>
      <c r="BW24" s="274"/>
      <c r="BZ24" s="274"/>
      <c r="CA24" s="274"/>
      <c r="CB24" s="274"/>
      <c r="CC24" s="274"/>
      <c r="CD24" s="274"/>
      <c r="CE24" s="274"/>
      <c r="CF24" s="274"/>
      <c r="CG24" s="274"/>
      <c r="CH24" s="732"/>
      <c r="CI24" s="731">
        <v>365.24220026363002</v>
      </c>
      <c r="CJ24" s="797"/>
      <c r="CK24" s="797"/>
      <c r="CL24" s="797"/>
      <c r="CM24" s="797"/>
      <c r="CN24" s="797"/>
      <c r="CO24" s="797"/>
      <c r="CP24" s="797"/>
      <c r="CQ24" s="797"/>
      <c r="CR24" s="797"/>
      <c r="CS24" s="797"/>
      <c r="CT24" s="797"/>
      <c r="CU24" s="797"/>
      <c r="CV24" s="797"/>
      <c r="CW24" s="797"/>
      <c r="CX24" s="274"/>
      <c r="CY24" s="274"/>
      <c r="CZ24" s="274"/>
      <c r="DA24" s="274"/>
      <c r="DB24" s="274"/>
      <c r="DC24" s="274"/>
      <c r="DR24" s="288"/>
      <c r="DS24" s="288"/>
      <c r="DT24" s="288"/>
      <c r="DU24" s="288"/>
      <c r="DV24" s="288"/>
      <c r="DW24" s="288"/>
      <c r="DX24" s="288"/>
      <c r="DZ24" s="288"/>
      <c r="EA24" s="288"/>
      <c r="EB24" s="288"/>
      <c r="EC24" s="288"/>
      <c r="ED24" s="288"/>
      <c r="EE24" s="288"/>
      <c r="EF24" s="288"/>
      <c r="EG24" s="288"/>
      <c r="EH24" s="288"/>
      <c r="EI24" s="288"/>
      <c r="EQ24" s="288"/>
      <c r="ER24" s="274"/>
      <c r="ES24" s="274"/>
      <c r="ET24" s="274"/>
      <c r="EU24" s="715"/>
      <c r="EV24" s="715"/>
      <c r="EW24" s="715"/>
      <c r="EX24" s="715"/>
    </row>
    <row r="25" spans="1:154" ht="24" thickBot="1">
      <c r="A25" s="720">
        <v>64</v>
      </c>
      <c r="B25" s="721"/>
      <c r="C25" s="722">
        <f>[1]!sn(C24)</f>
        <v>58.628622557123968</v>
      </c>
      <c r="D25" s="272">
        <v>78</v>
      </c>
      <c r="E25" s="721" t="s">
        <v>1071</v>
      </c>
      <c r="F25" s="721">
        <f>I14</f>
        <v>7.1076814920875613</v>
      </c>
      <c r="G25" s="720">
        <v>92</v>
      </c>
      <c r="H25" s="721" t="s">
        <v>918</v>
      </c>
      <c r="I25" s="722">
        <f>[1]!sn(I24)</f>
        <v>6.9873645685474619</v>
      </c>
      <c r="J25" s="272">
        <v>106</v>
      </c>
      <c r="K25" s="721" t="s">
        <v>1390</v>
      </c>
      <c r="L25" s="739">
        <f>[1]!asn(L24)</f>
        <v>0.24695887264127056</v>
      </c>
      <c r="R25" s="1556"/>
      <c r="S25" s="1557"/>
      <c r="T25" s="1003" t="s">
        <v>279</v>
      </c>
      <c r="U25" s="1003">
        <f>[1]!tale3(AL4,AL9,U21,U19)</f>
        <v>213.74155246851907</v>
      </c>
      <c r="V25" s="1705">
        <f t="shared" si="34"/>
        <v>213</v>
      </c>
      <c r="W25" s="1705">
        <f t="shared" si="35"/>
        <v>44</v>
      </c>
      <c r="X25" s="1705">
        <f t="shared" si="36"/>
        <v>29</v>
      </c>
      <c r="Y25" s="1709">
        <f t="shared" si="37"/>
        <v>35</v>
      </c>
      <c r="Z25" s="1722">
        <f>IF(Z24&gt;0,Z21,IF(AA24&gt;0,AA21,AB21))</f>
        <v>30</v>
      </c>
      <c r="AA25" s="1719"/>
      <c r="AB25" s="66"/>
      <c r="AC25" s="811"/>
      <c r="AD25" s="1725"/>
      <c r="AE25" s="55"/>
      <c r="AF25" s="845"/>
      <c r="AG25" s="845"/>
      <c r="AI25" s="1017"/>
      <c r="AJ25" s="1012"/>
      <c r="AK25" s="1007" t="s">
        <v>1387</v>
      </c>
      <c r="AL25" s="1007">
        <f>[1]!mtb(AL4,AL23,AL9)</f>
        <v>97.729125282233397</v>
      </c>
      <c r="AM25" s="1012">
        <f t="shared" si="23"/>
        <v>97</v>
      </c>
      <c r="AN25" s="1012">
        <f t="shared" si="24"/>
        <v>43</v>
      </c>
      <c r="AO25" s="1012">
        <f t="shared" si="25"/>
        <v>44</v>
      </c>
      <c r="AP25" s="1012">
        <f t="shared" si="26"/>
        <v>51</v>
      </c>
      <c r="AQ25" s="637"/>
      <c r="AR25" s="502"/>
      <c r="AS25" s="1006"/>
      <c r="AT25" s="1006"/>
      <c r="AU25" s="502"/>
      <c r="AV25" s="1007"/>
      <c r="AW25" s="1007"/>
      <c r="AX25" s="1008"/>
      <c r="AZ25" s="327" t="s">
        <v>839</v>
      </c>
      <c r="BA25" s="315" t="e">
        <f t="shared" ref="BA25:BK25" si="39">IF(BA22-BA23&gt;0,BA22-BA23,BA22-BA23+360)</f>
        <v>#VALUE!</v>
      </c>
      <c r="BB25" s="315" t="e">
        <f t="shared" si="39"/>
        <v>#VALUE!</v>
      </c>
      <c r="BC25" s="315" t="e">
        <f t="shared" si="39"/>
        <v>#VALUE!</v>
      </c>
      <c r="BD25" s="315" t="e">
        <f t="shared" si="39"/>
        <v>#VALUE!</v>
      </c>
      <c r="BE25" s="315" t="e">
        <f t="shared" si="39"/>
        <v>#VALUE!</v>
      </c>
      <c r="BF25" s="315" t="e">
        <f t="shared" si="39"/>
        <v>#VALUE!</v>
      </c>
      <c r="BG25" s="315" t="e">
        <f t="shared" si="39"/>
        <v>#VALUE!</v>
      </c>
      <c r="BH25" s="315" t="e">
        <f t="shared" si="39"/>
        <v>#VALUE!</v>
      </c>
      <c r="BI25" s="315" t="e">
        <f t="shared" si="39"/>
        <v>#VALUE!</v>
      </c>
      <c r="BJ25" s="315" t="e">
        <f t="shared" si="39"/>
        <v>#VALUE!</v>
      </c>
      <c r="BK25" s="315" t="e">
        <f t="shared" si="39"/>
        <v>#VALUE!</v>
      </c>
      <c r="BL25" s="315" t="e">
        <f>IF(BL22-BL23&gt;0,BL22-BL23,BL22-BL23+360)</f>
        <v>#VALUE!</v>
      </c>
      <c r="BM25" s="703"/>
      <c r="BU25" s="274"/>
      <c r="BV25" s="274"/>
      <c r="BW25" s="274"/>
      <c r="BZ25" s="274"/>
      <c r="CA25" s="274"/>
      <c r="CB25" s="274"/>
      <c r="CC25" s="274"/>
      <c r="CD25" s="274"/>
      <c r="CE25" s="274"/>
      <c r="CF25" s="274"/>
      <c r="CG25" s="274"/>
      <c r="CH25" s="732"/>
      <c r="CI25" s="731">
        <f>(CI23/CI24)+1</f>
        <v>7.14989876288735</v>
      </c>
      <c r="CJ25" s="797"/>
      <c r="CK25" s="797"/>
      <c r="CL25" s="797"/>
      <c r="CM25" s="797"/>
      <c r="CN25" s="797"/>
      <c r="CO25" s="797"/>
      <c r="CP25" s="797"/>
      <c r="CQ25" s="797"/>
      <c r="CR25" s="797"/>
      <c r="CS25" s="797"/>
      <c r="CT25" s="797"/>
      <c r="CU25" s="797"/>
      <c r="CV25" s="797"/>
      <c r="CW25" s="797"/>
      <c r="CX25" s="274"/>
      <c r="CY25" s="274"/>
      <c r="CZ25" s="274"/>
      <c r="DA25" s="274"/>
      <c r="DB25" s="274"/>
      <c r="DC25" s="274"/>
      <c r="DR25" s="288"/>
      <c r="DS25" s="288"/>
      <c r="DT25" s="288"/>
      <c r="DU25" s="288"/>
      <c r="DV25" s="288"/>
      <c r="DW25" s="288"/>
      <c r="DX25" s="288"/>
      <c r="DY25" s="288"/>
      <c r="DZ25" s="288"/>
      <c r="EA25" s="288"/>
      <c r="EB25" s="288"/>
      <c r="EC25" s="288"/>
      <c r="ED25" s="288"/>
      <c r="EE25" s="288"/>
      <c r="EF25" s="288"/>
      <c r="EG25" s="288"/>
      <c r="EH25" s="288"/>
      <c r="EI25" s="288"/>
      <c r="EQ25" s="288"/>
      <c r="ER25" s="274"/>
      <c r="ES25" s="274"/>
      <c r="ET25" s="274"/>
      <c r="EU25" s="715"/>
      <c r="EV25" s="715"/>
      <c r="EW25" s="715"/>
      <c r="EX25" s="715"/>
    </row>
    <row r="26" spans="1:154" ht="24" thickBot="1">
      <c r="A26" s="720">
        <v>65</v>
      </c>
      <c r="B26" s="721" t="s">
        <v>1174</v>
      </c>
      <c r="C26" s="722">
        <f>C25/60</f>
        <v>0.97714370928539951</v>
      </c>
      <c r="D26" s="272">
        <v>79</v>
      </c>
      <c r="E26" s="721" t="s">
        <v>1096</v>
      </c>
      <c r="F26" s="721">
        <f>[1]!csn(F24)</f>
        <v>58.608512897530588</v>
      </c>
      <c r="G26" s="720">
        <v>93</v>
      </c>
      <c r="H26" s="721" t="s">
        <v>1176</v>
      </c>
      <c r="I26" s="722">
        <f>I25*I21/60</f>
        <v>1.3839403023124928</v>
      </c>
      <c r="J26" s="272">
        <v>107</v>
      </c>
      <c r="K26" s="721" t="s">
        <v>1092</v>
      </c>
      <c r="L26" s="739"/>
      <c r="M26" t="s">
        <v>4222</v>
      </c>
      <c r="R26" s="1556"/>
      <c r="S26" s="1557"/>
      <c r="T26" s="1003" t="s">
        <v>1074</v>
      </c>
      <c r="U26" s="1003">
        <f>[1]!ertaztale(AL4,AL9,U24,U22,U25)</f>
        <v>-0.36469619683784077</v>
      </c>
      <c r="V26" s="1705">
        <f t="shared" si="34"/>
        <v>0</v>
      </c>
      <c r="W26" s="1705">
        <f t="shared" si="35"/>
        <v>21</v>
      </c>
      <c r="X26" s="1705">
        <f t="shared" si="36"/>
        <v>52</v>
      </c>
      <c r="Y26" s="1705">
        <f t="shared" si="37"/>
        <v>54</v>
      </c>
      <c r="Z26" s="1723">
        <f>IF(Z24&gt;0,29,0)</f>
        <v>0</v>
      </c>
      <c r="AA26" s="1720">
        <f>IF(AND(AA24&gt;0,Z26=0),29,0)</f>
        <v>0</v>
      </c>
      <c r="AB26" s="1724">
        <f>IF(AND(AB24&gt;0,AA26=0,Z26=0),29,0)</f>
        <v>29</v>
      </c>
      <c r="AC26" s="1718">
        <f>IF(AND(AC24&gt;0,AB26=0,AA26=0,Z26=0),29,0)</f>
        <v>0</v>
      </c>
      <c r="AD26" s="1726">
        <f>IF(AND(AD24&gt;0,AC26=0,AB26=0,AA26=0,Z26=0),29,0)</f>
        <v>0</v>
      </c>
      <c r="AE26" s="55" t="s">
        <v>4227</v>
      </c>
      <c r="AF26" s="1717"/>
      <c r="AG26" s="1717"/>
      <c r="AI26" s="1017"/>
      <c r="AJ26" s="1012"/>
      <c r="AK26" s="1007"/>
      <c r="AL26" s="1007">
        <f>[1]!jowsat(AL9,AL20)</f>
        <v>47.318634249580214</v>
      </c>
      <c r="AM26" s="1012">
        <f t="shared" si="23"/>
        <v>47</v>
      </c>
      <c r="AN26" s="1012">
        <f t="shared" si="24"/>
        <v>19</v>
      </c>
      <c r="AO26" s="1012">
        <f t="shared" si="25"/>
        <v>7</v>
      </c>
      <c r="AP26" s="1012">
        <f t="shared" si="26"/>
        <v>4</v>
      </c>
      <c r="AQ26" s="637"/>
      <c r="AR26" s="502"/>
      <c r="AS26" s="1006"/>
      <c r="AT26" s="1006"/>
      <c r="AU26" s="502"/>
      <c r="AV26" s="1007"/>
      <c r="AW26" s="1007"/>
      <c r="AX26" s="1008"/>
      <c r="BA26" s="701"/>
      <c r="BB26" s="304"/>
      <c r="BC26" s="304"/>
      <c r="BD26" s="304"/>
      <c r="BE26" s="304"/>
      <c r="BF26" s="304"/>
      <c r="BG26" s="304"/>
      <c r="BH26" s="304"/>
      <c r="BI26" s="304"/>
      <c r="BJ26" s="304"/>
      <c r="BK26" s="304"/>
      <c r="BL26" s="304"/>
      <c r="BM26" s="314"/>
      <c r="BU26" s="274"/>
      <c r="BV26" s="274"/>
      <c r="BW26" s="274"/>
      <c r="BZ26" s="274"/>
      <c r="CA26" s="274"/>
      <c r="CB26" s="274"/>
      <c r="CC26" s="274"/>
      <c r="CD26" s="274"/>
      <c r="CE26" s="274"/>
      <c r="CF26" s="274"/>
      <c r="CG26" s="274"/>
      <c r="CH26" s="732"/>
      <c r="CI26" s="731">
        <f>INT((CI25-INT(CI25))*CI24)+1</f>
        <v>55</v>
      </c>
      <c r="CJ26" s="797"/>
      <c r="CK26" s="4"/>
      <c r="CL26" s="797"/>
      <c r="CM26" s="797"/>
      <c r="CN26" s="797"/>
      <c r="CO26" s="797"/>
      <c r="CP26" s="797"/>
      <c r="CQ26" s="797"/>
      <c r="CR26" s="797"/>
      <c r="CS26" s="797"/>
      <c r="CT26" s="797"/>
      <c r="CU26" s="797"/>
      <c r="CV26" s="797"/>
      <c r="CW26" s="797"/>
      <c r="CX26" s="274"/>
      <c r="CY26" s="274"/>
      <c r="CZ26" s="274"/>
      <c r="DA26" s="274"/>
      <c r="DB26" s="274"/>
      <c r="DC26" s="274"/>
      <c r="DR26" s="288"/>
      <c r="DS26" s="288"/>
      <c r="DT26" s="288"/>
      <c r="DU26" s="288"/>
      <c r="DV26" s="288"/>
      <c r="DW26" s="288"/>
      <c r="DX26" s="288"/>
      <c r="DY26" s="288"/>
      <c r="DZ26" s="288"/>
      <c r="EA26" s="288"/>
      <c r="EB26" s="288"/>
      <c r="EC26" s="288"/>
      <c r="ED26" s="288"/>
      <c r="EE26" s="288"/>
      <c r="EF26" s="288"/>
      <c r="EG26" s="288"/>
      <c r="EH26" s="288"/>
      <c r="EI26" s="288"/>
      <c r="EJ26" s="288"/>
      <c r="EK26" s="288"/>
      <c r="EL26" s="288"/>
      <c r="EM26" s="288"/>
      <c r="EN26" s="288"/>
      <c r="EO26" s="288"/>
      <c r="EP26" s="288"/>
      <c r="EQ26" s="288"/>
      <c r="ER26" s="288"/>
      <c r="ES26" s="288"/>
      <c r="ET26" s="288"/>
      <c r="EU26" s="288"/>
      <c r="EV26" s="288"/>
      <c r="EW26" s="288"/>
    </row>
    <row r="27" spans="1:154" ht="24" thickBot="1">
      <c r="A27" s="720">
        <v>66</v>
      </c>
      <c r="B27" s="721"/>
      <c r="C27" s="722">
        <f>POWER(C26,2)</f>
        <v>0.95480982859602936</v>
      </c>
      <c r="D27" s="272">
        <v>80</v>
      </c>
      <c r="E27" s="721" t="s">
        <v>1086</v>
      </c>
      <c r="F27" s="721">
        <f>F23</f>
        <v>78.673975936740902</v>
      </c>
      <c r="G27" s="720">
        <v>94</v>
      </c>
      <c r="H27" s="721" t="s">
        <v>1100</v>
      </c>
      <c r="I27" s="1714">
        <f>[1]!asn(I26)*M27</f>
        <v>1.3216828527800635</v>
      </c>
      <c r="J27" s="272">
        <v>108</v>
      </c>
      <c r="K27" s="721" t="s">
        <v>1181</v>
      </c>
      <c r="L27" s="739">
        <f>C31</f>
        <v>0.98805397567978714</v>
      </c>
      <c r="M27">
        <f>IF(AND(O5 = O6, F25 &lt; F7, I23 &lt; (90 - F7)),O6*-1,O6)</f>
        <v>1</v>
      </c>
      <c r="R27" s="1587"/>
      <c r="S27" s="1588"/>
      <c r="T27" s="1706" t="s">
        <v>4220</v>
      </c>
      <c r="U27" s="1706">
        <f>[1]!ertaztale(AL4,AL9,0,U21,U25)</f>
        <v>-12.834515831779143</v>
      </c>
      <c r="V27" s="1710">
        <f t="shared" si="34"/>
        <v>12</v>
      </c>
      <c r="W27" s="1710">
        <f t="shared" si="35"/>
        <v>50</v>
      </c>
      <c r="X27" s="1710">
        <f t="shared" si="36"/>
        <v>4</v>
      </c>
      <c r="Y27" s="1711">
        <f t="shared" si="37"/>
        <v>15</v>
      </c>
      <c r="Z27" s="14">
        <f>Z26-Z21</f>
        <v>-28</v>
      </c>
      <c r="AA27" s="10">
        <f>AA26-AA21</f>
        <v>-29</v>
      </c>
      <c r="AB27" s="346">
        <f>AB26-AB21</f>
        <v>-1</v>
      </c>
      <c r="AC27" s="811"/>
      <c r="AD27" s="1725"/>
      <c r="AF27" s="845"/>
      <c r="AG27" s="845"/>
      <c r="AI27" s="1011"/>
      <c r="AJ27" s="1007"/>
      <c r="AK27" s="502" t="s">
        <v>1074</v>
      </c>
      <c r="AL27" s="1007">
        <f>[1]!ertaztale(AL4,AL9,AL13,AL11,AL18)</f>
        <v>12.105344865439378</v>
      </c>
      <c r="AM27" s="1012">
        <f t="shared" si="23"/>
        <v>12</v>
      </c>
      <c r="AN27" s="1012">
        <f t="shared" si="24"/>
        <v>6</v>
      </c>
      <c r="AO27" s="1012">
        <f t="shared" si="25"/>
        <v>19</v>
      </c>
      <c r="AP27" s="1012">
        <f t="shared" si="26"/>
        <v>14</v>
      </c>
      <c r="AQ27" s="637"/>
      <c r="AR27" s="502"/>
      <c r="AS27" s="1006"/>
      <c r="AT27" s="1006"/>
      <c r="AU27" s="502"/>
      <c r="AV27" s="1007"/>
      <c r="AW27" s="1007"/>
      <c r="AX27" s="1008"/>
      <c r="BA27" s="702">
        <f>BA15</f>
        <v>1</v>
      </c>
      <c r="BB27" s="301">
        <f t="shared" ref="BB27" si="40">BA27</f>
        <v>1</v>
      </c>
      <c r="BC27" s="301">
        <f t="shared" ref="BC27" si="41">BB27</f>
        <v>1</v>
      </c>
      <c r="BD27" s="301">
        <f t="shared" ref="BD27" si="42">BC27</f>
        <v>1</v>
      </c>
      <c r="BE27" s="301">
        <f t="shared" ref="BE27" si="43">BD27</f>
        <v>1</v>
      </c>
      <c r="BF27" s="301">
        <f t="shared" ref="BF27" si="44">BE27</f>
        <v>1</v>
      </c>
      <c r="BG27" s="301">
        <f t="shared" ref="BG27" si="45">BF27</f>
        <v>1</v>
      </c>
      <c r="BH27" s="301">
        <f t="shared" ref="BH27" si="46">BG27</f>
        <v>1</v>
      </c>
      <c r="BI27" s="301">
        <f t="shared" ref="BI27" si="47">BH27</f>
        <v>1</v>
      </c>
      <c r="BJ27" s="301">
        <f t="shared" ref="BJ27" si="48">BI27</f>
        <v>1</v>
      </c>
      <c r="BK27" s="301">
        <f t="shared" ref="BK27" si="49">BJ27</f>
        <v>1</v>
      </c>
      <c r="BL27" s="301">
        <f t="shared" ref="BL27" si="50">BK27</f>
        <v>1</v>
      </c>
      <c r="BM27" s="321"/>
      <c r="BU27" s="274"/>
      <c r="BV27" s="274"/>
      <c r="BW27" s="274"/>
      <c r="BZ27" s="274"/>
      <c r="CA27" s="274"/>
      <c r="CB27" s="274"/>
      <c r="CC27" s="274"/>
      <c r="CD27" s="274"/>
      <c r="CE27" s="274"/>
      <c r="CF27" s="274"/>
      <c r="CG27" s="274"/>
      <c r="CH27" s="779" t="s">
        <v>60</v>
      </c>
      <c r="CI27" s="644">
        <f>CI3</f>
        <v>7</v>
      </c>
      <c r="CJ27" s="797"/>
      <c r="CK27" s="797"/>
      <c r="CL27" s="797"/>
      <c r="CM27" s="797"/>
      <c r="CN27" s="797"/>
      <c r="CO27" s="797"/>
      <c r="CP27" s="797"/>
      <c r="CQ27" s="797"/>
      <c r="CR27" s="797"/>
      <c r="CS27" s="797"/>
      <c r="CT27" s="797"/>
      <c r="CU27" s="797"/>
      <c r="CV27" s="797"/>
      <c r="CW27" s="797"/>
      <c r="CX27" s="274"/>
      <c r="CY27" s="274"/>
      <c r="CZ27" s="274"/>
      <c r="DA27" s="274"/>
      <c r="DB27" s="274"/>
      <c r="DC27" s="274"/>
      <c r="DR27" s="288"/>
      <c r="DS27" s="288"/>
      <c r="DT27" s="288"/>
      <c r="DU27" s="288"/>
      <c r="DV27" s="288"/>
      <c r="DW27" s="288"/>
      <c r="DX27" s="288"/>
      <c r="DY27" s="288"/>
      <c r="DZ27" s="288"/>
      <c r="EA27" s="288"/>
      <c r="EB27" s="288"/>
      <c r="EC27" s="288"/>
      <c r="ED27" s="288"/>
      <c r="EE27" s="288"/>
      <c r="EF27" s="288"/>
      <c r="EG27" s="288"/>
      <c r="EH27" s="288"/>
      <c r="EI27" s="288"/>
      <c r="EJ27" s="288"/>
      <c r="EK27" s="288"/>
      <c r="EL27" s="288"/>
      <c r="EM27" s="288"/>
      <c r="EN27" s="288"/>
      <c r="EO27" s="288"/>
      <c r="EP27" s="288"/>
      <c r="EQ27" s="288"/>
      <c r="ER27" s="288"/>
      <c r="ES27" s="288"/>
      <c r="ET27" s="288"/>
      <c r="EU27" s="288"/>
      <c r="EV27" s="288"/>
      <c r="EW27" s="288"/>
    </row>
    <row r="28" spans="1:154" ht="24" thickBot="1">
      <c r="A28" s="720">
        <v>67</v>
      </c>
      <c r="B28" s="721"/>
      <c r="C28" s="722">
        <f>C23+C27</f>
        <v>3211.0262560666379</v>
      </c>
      <c r="D28" s="272">
        <v>81</v>
      </c>
      <c r="E28" s="721" t="s">
        <v>1097</v>
      </c>
      <c r="F28" s="721">
        <f>[1]!sn(F27)</f>
        <v>58.83153345384946</v>
      </c>
      <c r="G28" s="720">
        <v>95</v>
      </c>
      <c r="H28" s="721" t="s">
        <v>1180</v>
      </c>
      <c r="I28" s="722">
        <f>[1]!csn(I27)</f>
        <v>59.984037120217536</v>
      </c>
      <c r="J28" s="272">
        <v>109</v>
      </c>
      <c r="K28" s="721"/>
      <c r="L28" s="739">
        <f>90-L27</f>
        <v>89.01194602432021</v>
      </c>
      <c r="T28" s="55" t="s">
        <v>4344</v>
      </c>
      <c r="U28">
        <f>U27-U26</f>
        <v>-12.469819634941302</v>
      </c>
      <c r="V28" s="1710">
        <f t="shared" ref="V28" si="51">INT(ABS(U28))</f>
        <v>12</v>
      </c>
      <c r="W28" s="1710">
        <f t="shared" ref="W28" si="52">INT((ABS(U28)-V28)*60)</f>
        <v>28</v>
      </c>
      <c r="X28" s="1710">
        <f t="shared" ref="X28" si="53">INT((((ABS(U28)-V28)*60)-W28)*60)</f>
        <v>11</v>
      </c>
      <c r="Y28" s="1711">
        <f t="shared" ref="Y28" si="54">INT((((((ABS(U28)-V28)*60)-W28)*60)-X28)*60)</f>
        <v>21</v>
      </c>
      <c r="Z28" s="14">
        <f>IF(Z24&lt;10,0,999)</f>
        <v>0</v>
      </c>
      <c r="AA28" s="10">
        <f t="shared" ref="AA28:AB28" si="55">IF(AA24&lt;10,0,999)</f>
        <v>0</v>
      </c>
      <c r="AB28" s="346">
        <f t="shared" si="55"/>
        <v>999</v>
      </c>
      <c r="AC28" s="811"/>
      <c r="AD28" s="1725"/>
      <c r="AF28" s="845"/>
      <c r="AG28" s="845"/>
      <c r="AI28" s="1011"/>
      <c r="AJ28" s="1007"/>
      <c r="AK28" s="1007" t="s">
        <v>402</v>
      </c>
      <c r="AL28" s="1007">
        <f>[1]!oujqa(AL4,AL5,AL6,AL7)</f>
        <v>171.27045858066299</v>
      </c>
      <c r="AM28" s="1012">
        <f t="shared" si="23"/>
        <v>171</v>
      </c>
      <c r="AN28" s="1012">
        <f t="shared" si="24"/>
        <v>16</v>
      </c>
      <c r="AO28" s="1012">
        <f t="shared" si="25"/>
        <v>13</v>
      </c>
      <c r="AP28" s="1012">
        <f t="shared" si="26"/>
        <v>39</v>
      </c>
      <c r="AQ28" s="637"/>
      <c r="AR28" s="502"/>
      <c r="AS28" s="1006"/>
      <c r="AT28" s="1006"/>
      <c r="AU28" s="502"/>
      <c r="AV28" s="1007"/>
      <c r="AW28" s="1007"/>
      <c r="AX28" s="1008"/>
      <c r="BA28" s="701">
        <v>1</v>
      </c>
      <c r="BB28" s="304">
        <f t="shared" ref="BB28" si="56">BA28+1</f>
        <v>2</v>
      </c>
      <c r="BC28" s="304">
        <f t="shared" ref="BC28" si="57">BB28+1</f>
        <v>3</v>
      </c>
      <c r="BD28" s="304">
        <f t="shared" ref="BD28" si="58">BC28+1</f>
        <v>4</v>
      </c>
      <c r="BE28" s="304">
        <f t="shared" ref="BE28" si="59">BD28+1</f>
        <v>5</v>
      </c>
      <c r="BF28" s="304">
        <f t="shared" ref="BF28" si="60">BE28+1</f>
        <v>6</v>
      </c>
      <c r="BG28" s="304">
        <f t="shared" ref="BG28" si="61">BF28+1</f>
        <v>7</v>
      </c>
      <c r="BH28" s="304">
        <f t="shared" ref="BH28" si="62">BG28+1</f>
        <v>8</v>
      </c>
      <c r="BI28" s="304">
        <f t="shared" ref="BI28" si="63">BH28+1</f>
        <v>9</v>
      </c>
      <c r="BJ28" s="304">
        <f t="shared" ref="BJ28" si="64">BI28+1</f>
        <v>10</v>
      </c>
      <c r="BK28" s="304">
        <f t="shared" ref="BK28" si="65">BJ28+1</f>
        <v>11</v>
      </c>
      <c r="BL28" s="304">
        <f t="shared" ref="BL28" si="66">BK28+1</f>
        <v>12</v>
      </c>
      <c r="BM28" s="314"/>
      <c r="BU28" s="274"/>
      <c r="BV28" s="274"/>
      <c r="BW28" s="274"/>
      <c r="BX28" s="274"/>
      <c r="BY28" s="274"/>
      <c r="BZ28" s="274"/>
      <c r="CA28" s="274"/>
      <c r="CB28" s="274"/>
      <c r="CC28" s="274"/>
      <c r="CD28" s="274"/>
      <c r="CE28" s="274"/>
      <c r="CF28" s="274"/>
      <c r="CG28" s="274"/>
      <c r="CH28" s="779" t="s">
        <v>3575</v>
      </c>
      <c r="CI28" s="644">
        <f>CI4</f>
        <v>1</v>
      </c>
      <c r="CJ28" s="797"/>
      <c r="CK28" s="797"/>
      <c r="CL28" s="797"/>
      <c r="CM28" s="797"/>
      <c r="CN28" s="797"/>
      <c r="CO28" s="797"/>
      <c r="CP28" s="797"/>
      <c r="CQ28" s="797"/>
      <c r="CR28" s="797"/>
      <c r="CS28" s="797"/>
      <c r="CT28" s="797"/>
      <c r="CU28" s="797"/>
      <c r="CV28" s="797"/>
      <c r="CW28" s="797"/>
      <c r="CX28" s="274"/>
      <c r="CY28" s="274"/>
      <c r="CZ28" s="274"/>
      <c r="DA28" s="274"/>
      <c r="DB28" s="274"/>
      <c r="DC28" s="274"/>
      <c r="DR28" s="288"/>
      <c r="DS28" s="288"/>
      <c r="DT28" s="288"/>
      <c r="DU28" s="288"/>
      <c r="DV28" s="288"/>
      <c r="DW28" s="288"/>
      <c r="DX28" s="288"/>
      <c r="DY28" s="288"/>
      <c r="DZ28" s="288"/>
      <c r="EA28" s="288"/>
      <c r="EB28" s="288"/>
      <c r="EC28" s="288"/>
      <c r="ED28" s="288"/>
      <c r="EE28" s="288"/>
      <c r="EF28" s="288"/>
      <c r="EG28" s="288"/>
      <c r="EH28" s="288"/>
      <c r="EI28" s="288"/>
      <c r="EJ28" s="288"/>
      <c r="EK28" s="288"/>
      <c r="EL28" s="288"/>
      <c r="EM28" s="288"/>
      <c r="EN28" s="288"/>
      <c r="EO28" s="288"/>
      <c r="EP28" s="288"/>
      <c r="EQ28" s="288"/>
      <c r="ER28" s="288"/>
      <c r="ES28" s="288"/>
      <c r="ET28" s="288"/>
      <c r="EU28" s="288"/>
      <c r="EV28" s="288"/>
      <c r="EW28" s="288"/>
    </row>
    <row r="29" spans="1:154" ht="23.25">
      <c r="A29" s="720">
        <v>68</v>
      </c>
      <c r="B29" s="721" t="s">
        <v>1083</v>
      </c>
      <c r="C29" s="722">
        <f>SQRT(C28)</f>
        <v>56.665917940739632</v>
      </c>
      <c r="D29" s="272">
        <v>82</v>
      </c>
      <c r="E29" s="721" t="s">
        <v>983</v>
      </c>
      <c r="F29" s="721">
        <f>F28*F26</f>
        <v>3448.0286872114384</v>
      </c>
      <c r="G29" s="720">
        <v>96</v>
      </c>
      <c r="H29" s="721" t="s">
        <v>1091</v>
      </c>
      <c r="I29" s="722">
        <f>[1]!sn(I18)/I28*60</f>
        <v>58.827005002486565</v>
      </c>
      <c r="J29" s="272">
        <v>110</v>
      </c>
      <c r="K29" s="721"/>
      <c r="L29" s="739">
        <f>90-L25</f>
        <v>89.753041127358728</v>
      </c>
      <c r="T29" s="55"/>
      <c r="U29" s="55"/>
      <c r="V29" s="55"/>
      <c r="W29" s="55"/>
      <c r="X29" s="55"/>
      <c r="Y29" s="55" t="s">
        <v>4224</v>
      </c>
      <c r="Z29" s="14">
        <f>Z26+Z28</f>
        <v>0</v>
      </c>
      <c r="AA29" s="10">
        <f>Z29+1</f>
        <v>1</v>
      </c>
      <c r="AB29" s="346">
        <f>AA29+1</f>
        <v>2</v>
      </c>
      <c r="AC29" s="811"/>
      <c r="AD29" s="1725"/>
      <c r="AF29" s="845"/>
      <c r="AG29" s="845"/>
      <c r="AI29" s="1011"/>
      <c r="AJ29" s="1007"/>
      <c r="AK29" s="1007" t="s">
        <v>1025</v>
      </c>
      <c r="AL29" s="1019">
        <f>[1]!markaz3a(AL4,AL5,AL6,AL7)</f>
        <v>220.98460438111789</v>
      </c>
      <c r="AM29" s="1012">
        <f t="shared" si="23"/>
        <v>220</v>
      </c>
      <c r="AN29" s="1012">
        <f t="shared" si="24"/>
        <v>59</v>
      </c>
      <c r="AO29" s="1012">
        <f t="shared" si="25"/>
        <v>4</v>
      </c>
      <c r="AP29" s="1012">
        <f t="shared" si="26"/>
        <v>34</v>
      </c>
      <c r="AQ29" s="637"/>
      <c r="AR29" s="502"/>
      <c r="AS29" s="1006"/>
      <c r="AT29" s="1006"/>
      <c r="AU29" s="502"/>
      <c r="AV29" s="1007"/>
      <c r="AW29" s="1007"/>
      <c r="AX29" s="1008"/>
      <c r="BA29" s="701">
        <v>2</v>
      </c>
      <c r="BB29" s="304">
        <v>2</v>
      </c>
      <c r="BC29" s="304">
        <v>2</v>
      </c>
      <c r="BD29" s="701">
        <v>2</v>
      </c>
      <c r="BE29" s="304">
        <v>2</v>
      </c>
      <c r="BF29" s="304">
        <v>2</v>
      </c>
      <c r="BG29" s="701">
        <v>2</v>
      </c>
      <c r="BH29" s="304">
        <v>2</v>
      </c>
      <c r="BI29" s="304">
        <v>2</v>
      </c>
      <c r="BJ29" s="701">
        <v>2</v>
      </c>
      <c r="BK29" s="701">
        <v>2</v>
      </c>
      <c r="BL29" s="304">
        <v>2</v>
      </c>
      <c r="BM29" s="314"/>
      <c r="BU29" s="274"/>
      <c r="BV29" s="274"/>
      <c r="BW29" s="274"/>
      <c r="BX29" s="274"/>
      <c r="BY29" s="274"/>
      <c r="BZ29" s="274"/>
      <c r="CA29" s="274"/>
      <c r="CB29" s="274"/>
      <c r="CC29" s="274"/>
      <c r="CD29" s="274"/>
      <c r="CE29" s="274"/>
      <c r="CF29" s="274"/>
      <c r="CG29" s="274"/>
      <c r="CH29" s="779" t="s">
        <v>3543</v>
      </c>
      <c r="CI29" s="644">
        <f>CI21</f>
        <v>1</v>
      </c>
      <c r="CJ29" s="797"/>
      <c r="CK29" s="797"/>
      <c r="CL29" s="797"/>
      <c r="CM29" s="797"/>
      <c r="CN29" s="797"/>
      <c r="CO29" s="797"/>
      <c r="CP29" s="797"/>
      <c r="CQ29" s="797"/>
      <c r="CR29" s="797"/>
      <c r="CS29" s="797"/>
      <c r="CT29" s="797"/>
      <c r="CU29" s="797"/>
      <c r="CV29" s="797"/>
      <c r="CW29" s="797"/>
      <c r="CX29" s="274"/>
      <c r="CY29" s="274"/>
      <c r="CZ29" s="274"/>
      <c r="DA29" s="274"/>
      <c r="DB29" s="274"/>
      <c r="DC29" s="274"/>
      <c r="DR29" s="288"/>
      <c r="DS29" s="288"/>
      <c r="DT29" s="288"/>
      <c r="DU29" s="288"/>
      <c r="DV29" s="288"/>
      <c r="DW29" s="288"/>
      <c r="DX29" s="288"/>
      <c r="DY29" s="288"/>
      <c r="DZ29" s="288"/>
      <c r="EA29" s="288"/>
      <c r="EB29" s="288"/>
      <c r="EC29" s="288"/>
      <c r="ED29" s="288"/>
      <c r="EE29" s="288"/>
      <c r="EF29" s="288"/>
      <c r="EG29" s="288"/>
      <c r="EH29" s="288"/>
      <c r="EI29" s="288"/>
      <c r="EJ29" s="288"/>
      <c r="EK29" s="288"/>
      <c r="EL29" s="288"/>
      <c r="EM29" s="288"/>
      <c r="EN29" s="288"/>
      <c r="EO29" s="288"/>
      <c r="EP29" s="288"/>
      <c r="EQ29" s="288"/>
      <c r="ER29" s="288"/>
      <c r="ES29" s="288"/>
      <c r="ET29" s="288"/>
      <c r="EU29" s="288"/>
      <c r="EV29" s="288"/>
      <c r="EW29" s="288"/>
    </row>
    <row r="30" spans="1:154" ht="23.25">
      <c r="A30" s="720">
        <v>69</v>
      </c>
      <c r="B30" s="721"/>
      <c r="C30" s="722">
        <f>C25/C29</f>
        <v>1.0346364214630195</v>
      </c>
      <c r="D30" s="272">
        <v>83</v>
      </c>
      <c r="E30" s="721" t="s">
        <v>1089</v>
      </c>
      <c r="F30" s="721">
        <f>[1]!csn(L5)</f>
        <v>58.628622557123968</v>
      </c>
      <c r="G30" s="720">
        <v>97</v>
      </c>
      <c r="H30" s="721" t="s">
        <v>1101</v>
      </c>
      <c r="I30" s="1714">
        <f>[1]!asn(I29)</f>
        <v>78.65197798161374</v>
      </c>
      <c r="J30" s="272">
        <v>111</v>
      </c>
      <c r="K30" s="721"/>
      <c r="L30" s="739">
        <f>[1]!sn(L28)</f>
        <v>59.991078732386384</v>
      </c>
      <c r="T30" s="55"/>
      <c r="U30" s="55"/>
      <c r="V30" s="55"/>
      <c r="W30" s="55"/>
      <c r="X30" s="55"/>
      <c r="Y30" s="55"/>
      <c r="Z30" s="14">
        <f t="shared" ref="Z30:AA30" si="67">Z29-1</f>
        <v>-1</v>
      </c>
      <c r="AA30" s="10">
        <f t="shared" si="67"/>
        <v>0</v>
      </c>
      <c r="AB30" s="346">
        <f>AB29-1</f>
        <v>1</v>
      </c>
      <c r="AC30" s="811"/>
      <c r="AD30" s="1725"/>
      <c r="AF30" s="845"/>
      <c r="AG30" s="845"/>
      <c r="AI30" s="1011"/>
      <c r="AJ30" s="1007"/>
      <c r="AK30" s="502" t="s">
        <v>812</v>
      </c>
      <c r="AL30" s="1007">
        <f>[1]!bohtqa(AL4,AL5,AL6,AL7)</f>
        <v>14.693071796332177</v>
      </c>
      <c r="AM30" s="1012">
        <f t="shared" si="23"/>
        <v>14</v>
      </c>
      <c r="AN30" s="1012">
        <f t="shared" si="24"/>
        <v>41</v>
      </c>
      <c r="AO30" s="1012">
        <f t="shared" si="25"/>
        <v>35</v>
      </c>
      <c r="AP30" s="1012">
        <f t="shared" si="26"/>
        <v>3</v>
      </c>
      <c r="AQ30" s="637"/>
      <c r="AR30" s="502"/>
      <c r="AS30" s="502"/>
      <c r="AT30" s="502"/>
      <c r="AU30" s="502"/>
      <c r="AV30" s="1007"/>
      <c r="AW30" s="1007"/>
      <c r="AX30" s="1008"/>
      <c r="BA30" s="701">
        <f>[1]!mbtool(2,17,0,1)</f>
        <v>9.5138888888888884E-2</v>
      </c>
      <c r="BB30" s="304">
        <f>[1]!mbtool(2,17,0,1)</f>
        <v>9.5138888888888884E-2</v>
      </c>
      <c r="BC30" s="304">
        <f>[1]!mbtool(2,17,0,1)</f>
        <v>9.5138888888888884E-2</v>
      </c>
      <c r="BD30" s="304">
        <f>[1]!mbtool(2,17,0,1)</f>
        <v>9.5138888888888884E-2</v>
      </c>
      <c r="BE30" s="304">
        <f>[1]!mbtool(2,17,0,1)</f>
        <v>9.5138888888888884E-2</v>
      </c>
      <c r="BF30" s="304">
        <f>[1]!mbtool(2,17,0,1)</f>
        <v>9.5138888888888884E-2</v>
      </c>
      <c r="BG30" s="304">
        <f>[1]!mbtool(2,17,0,1)</f>
        <v>9.5138888888888884E-2</v>
      </c>
      <c r="BH30" s="304">
        <f>[1]!mbtool(2,17,0,1)</f>
        <v>9.5138888888888884E-2</v>
      </c>
      <c r="BI30" s="304">
        <f>[1]!mbtool(2,17,0,1)</f>
        <v>9.5138888888888884E-2</v>
      </c>
      <c r="BJ30" s="304">
        <f>[1]!mbtool(2,17,0,1)</f>
        <v>9.5138888888888884E-2</v>
      </c>
      <c r="BK30" s="304">
        <f>[1]!mbtool(2,17,0,1)</f>
        <v>9.5138888888888884E-2</v>
      </c>
      <c r="BL30" s="304">
        <f>[1]!mbtool(2,17,0,1)</f>
        <v>9.5138888888888884E-2</v>
      </c>
      <c r="BM30" s="314"/>
      <c r="BU30" s="274"/>
      <c r="BV30" s="274"/>
      <c r="BW30" s="274"/>
      <c r="BX30" s="274"/>
      <c r="BY30" s="274"/>
      <c r="BZ30" s="274"/>
      <c r="CA30" s="274"/>
      <c r="CB30" s="274"/>
      <c r="CC30" s="274"/>
      <c r="CD30" s="274"/>
      <c r="CE30" s="274"/>
      <c r="CF30" s="274"/>
      <c r="CG30" s="274"/>
      <c r="CH30" s="780" t="s">
        <v>1383</v>
      </c>
      <c r="CI30" s="781">
        <f>INT(CI25)</f>
        <v>7</v>
      </c>
      <c r="CJ30" s="797"/>
      <c r="CK30" s="797"/>
      <c r="CL30" s="797"/>
      <c r="CM30" s="797"/>
      <c r="CN30" s="797"/>
      <c r="CO30" s="797"/>
      <c r="CP30" s="797"/>
      <c r="CQ30" s="797"/>
      <c r="CR30" s="797"/>
      <c r="CS30" s="797"/>
      <c r="CT30" s="797"/>
      <c r="CU30" s="797"/>
      <c r="CV30" s="797"/>
      <c r="CW30" s="797"/>
      <c r="CX30" s="274"/>
      <c r="CY30" s="274"/>
      <c r="CZ30" s="274"/>
      <c r="DA30" s="274"/>
      <c r="DB30" s="274"/>
      <c r="DC30" s="274"/>
      <c r="DR30" s="288"/>
      <c r="DS30" s="288"/>
      <c r="DT30" s="288"/>
      <c r="DU30" s="288"/>
      <c r="DV30" s="288"/>
      <c r="DW30" s="288"/>
      <c r="DX30" s="288"/>
      <c r="DY30" s="288"/>
      <c r="DZ30" s="288"/>
      <c r="EA30" s="288"/>
      <c r="EB30" s="288"/>
      <c r="EC30" s="288"/>
      <c r="ED30" s="288"/>
      <c r="EE30" s="288"/>
      <c r="EF30" s="288"/>
      <c r="EG30" s="288"/>
      <c r="EH30" s="288"/>
      <c r="EI30" s="288"/>
      <c r="EJ30" s="288"/>
      <c r="EK30" s="288"/>
      <c r="EL30" s="288"/>
      <c r="EM30" s="288"/>
      <c r="EN30" s="288"/>
      <c r="EO30" s="288"/>
      <c r="EP30" s="288"/>
      <c r="EQ30" s="288"/>
      <c r="ER30" s="288"/>
      <c r="ES30" s="288"/>
      <c r="ET30" s="288"/>
      <c r="EU30" s="288"/>
      <c r="EV30" s="288"/>
      <c r="EW30" s="288"/>
    </row>
    <row r="31" spans="1:154" ht="24" thickBot="1">
      <c r="A31" s="724">
        <v>70</v>
      </c>
      <c r="B31" s="725" t="s">
        <v>1084</v>
      </c>
      <c r="C31" s="727">
        <f>[1]!asn(C30)</f>
        <v>0.98805397567978714</v>
      </c>
      <c r="D31" s="726">
        <v>84</v>
      </c>
      <c r="E31" s="725" t="s">
        <v>1091</v>
      </c>
      <c r="F31" s="725">
        <f>F29/F30</f>
        <v>58.811354195672948</v>
      </c>
      <c r="G31" s="724">
        <v>98</v>
      </c>
      <c r="H31" s="725" t="s">
        <v>1103</v>
      </c>
      <c r="I31" s="727">
        <f>I6</f>
        <v>77.728532393105255</v>
      </c>
      <c r="J31" s="272">
        <v>112</v>
      </c>
      <c r="K31" s="721"/>
      <c r="L31" s="739">
        <f>[1]!sn(L29)</f>
        <v>59.999442654389092</v>
      </c>
      <c r="T31" s="55"/>
      <c r="U31" s="55"/>
      <c r="V31" s="55"/>
      <c r="W31" s="55"/>
      <c r="X31" s="55"/>
      <c r="Y31" s="55"/>
      <c r="Z31" s="14">
        <f t="shared" ref="Z31:AA31" si="68">IF(Z30&gt;0,Z30,Z26)</f>
        <v>0</v>
      </c>
      <c r="AA31" s="10">
        <f t="shared" si="68"/>
        <v>0</v>
      </c>
      <c r="AB31" s="346">
        <f>IF(AB30&gt;0,AB30,AB26)</f>
        <v>1</v>
      </c>
      <c r="AC31" s="811"/>
      <c r="AD31" s="1725"/>
      <c r="AF31" s="845"/>
      <c r="AG31" s="845"/>
      <c r="AI31" s="1011"/>
      <c r="AJ31" s="1007"/>
      <c r="AK31" s="502" t="s">
        <v>1077</v>
      </c>
      <c r="AL31" s="1007">
        <f>[1]!qtrq(AL29)</f>
        <v>0.55055983211635617</v>
      </c>
      <c r="AM31" s="1012">
        <f t="shared" si="23"/>
        <v>0</v>
      </c>
      <c r="AN31" s="1012">
        <f t="shared" si="24"/>
        <v>33</v>
      </c>
      <c r="AO31" s="1012">
        <f t="shared" si="25"/>
        <v>2</v>
      </c>
      <c r="AP31" s="1012">
        <f t="shared" si="26"/>
        <v>0</v>
      </c>
      <c r="AQ31" s="637" t="s">
        <v>3745</v>
      </c>
      <c r="AR31" s="502"/>
      <c r="AS31" s="502"/>
      <c r="AT31" s="502"/>
      <c r="AU31" s="502"/>
      <c r="AV31" s="1007"/>
      <c r="AW31" s="1007"/>
      <c r="AX31" s="1008"/>
      <c r="BA31" s="701">
        <v>35</v>
      </c>
      <c r="BB31" s="304">
        <v>35</v>
      </c>
      <c r="BC31" s="304">
        <v>35</v>
      </c>
      <c r="BD31" s="304">
        <v>35</v>
      </c>
      <c r="BE31" s="304">
        <v>35</v>
      </c>
      <c r="BF31" s="304">
        <v>35</v>
      </c>
      <c r="BG31" s="304">
        <v>35</v>
      </c>
      <c r="BH31" s="304">
        <v>35</v>
      </c>
      <c r="BI31" s="304">
        <v>35</v>
      </c>
      <c r="BJ31" s="304">
        <v>35</v>
      </c>
      <c r="BK31" s="304">
        <v>35</v>
      </c>
      <c r="BL31" s="304">
        <v>35</v>
      </c>
      <c r="BM31" s="314"/>
      <c r="BU31" s="274"/>
      <c r="BV31" s="274"/>
      <c r="BW31" s="274"/>
      <c r="BX31" s="274"/>
      <c r="BY31" s="274"/>
      <c r="BZ31" s="274"/>
      <c r="CA31" s="274"/>
      <c r="CB31" s="274"/>
      <c r="CC31" s="274"/>
      <c r="CD31" s="274"/>
      <c r="CE31" s="274"/>
      <c r="CF31" s="274"/>
      <c r="CG31" s="274"/>
      <c r="CH31" s="780" t="s">
        <v>3576</v>
      </c>
      <c r="CI31" s="781">
        <f>IF(CI26&lt;=31,1,IF(CI26&lt;=62,2,IF(CI26&lt;=93,3,IF(CI26&lt;=124,4,IF(CI26&lt;=155,5,IF(CI26&lt;=186,6,IF(CI26&lt;=216,7,IF(CI26&lt;=246,8,IF(CI26&lt;=276,9,IF(CI26&lt;=306,10,IF(CI26&lt;=336,11,12)))))))))))</f>
        <v>2</v>
      </c>
      <c r="CJ31" s="797"/>
      <c r="CK31" s="797"/>
      <c r="CL31" s="797"/>
      <c r="CM31" s="797"/>
      <c r="CN31" s="797"/>
      <c r="CO31" s="797"/>
      <c r="CP31" s="797"/>
      <c r="CQ31" s="797"/>
      <c r="CR31" s="797"/>
      <c r="CS31" s="797"/>
      <c r="CT31" s="797"/>
      <c r="CU31" s="797"/>
      <c r="CV31" s="797"/>
      <c r="CW31" s="797"/>
      <c r="CX31" s="274"/>
      <c r="CY31" s="274"/>
      <c r="CZ31" s="274"/>
      <c r="DA31" s="274"/>
      <c r="DB31" s="274"/>
      <c r="DC31" s="274"/>
      <c r="DR31" s="288"/>
      <c r="DS31" s="288"/>
      <c r="DT31" s="288"/>
      <c r="DU31" s="288"/>
      <c r="DV31" s="288"/>
      <c r="DW31" s="288"/>
      <c r="DX31" s="288"/>
      <c r="DY31" s="288"/>
      <c r="DZ31" s="288"/>
      <c r="EA31" s="288"/>
      <c r="EB31" s="288"/>
      <c r="EC31" s="288"/>
      <c r="ED31" s="288"/>
      <c r="EE31" s="288"/>
      <c r="EF31" s="288"/>
      <c r="EG31" s="288"/>
      <c r="EH31" s="288"/>
      <c r="EI31" s="288"/>
      <c r="EJ31" s="288"/>
      <c r="EK31" s="288"/>
      <c r="EL31" s="288"/>
      <c r="EM31" s="288"/>
      <c r="EN31" s="288"/>
      <c r="EO31" s="288"/>
      <c r="EP31" s="288"/>
      <c r="EQ31" s="288"/>
      <c r="ER31" s="288"/>
      <c r="ES31" s="288"/>
      <c r="ET31" s="288"/>
      <c r="EU31" s="288"/>
      <c r="EV31" s="288"/>
      <c r="EW31" s="288"/>
    </row>
    <row r="32" spans="1:154" ht="24" thickBot="1">
      <c r="H32" s="721"/>
      <c r="J32" s="720">
        <v>113</v>
      </c>
      <c r="K32" s="721"/>
      <c r="L32" s="739">
        <f>L30/L31*60</f>
        <v>59.991636000303316</v>
      </c>
      <c r="T32" s="55"/>
      <c r="U32" s="55"/>
      <c r="V32" s="55"/>
      <c r="W32" s="55"/>
      <c r="X32" s="55"/>
      <c r="Y32" s="55"/>
      <c r="Z32" s="1716">
        <f>IF(IF(Y24&gt;10,X24&lt;10),1,0)</f>
        <v>0</v>
      </c>
      <c r="AA32" s="1716">
        <f t="shared" ref="AA32:AD32" si="69">IF(IF(Z24&gt;10,Y24&lt;10),1,0)</f>
        <v>0</v>
      </c>
      <c r="AB32" s="1716">
        <f t="shared" si="69"/>
        <v>0</v>
      </c>
      <c r="AC32" s="1716">
        <f t="shared" si="69"/>
        <v>1</v>
      </c>
      <c r="AD32" s="1716">
        <f t="shared" si="69"/>
        <v>0</v>
      </c>
      <c r="AE32" t="s">
        <v>4226</v>
      </c>
      <c r="AI32" s="1011"/>
      <c r="AJ32" s="1007"/>
      <c r="AK32" s="502" t="s">
        <v>914</v>
      </c>
      <c r="AL32" s="1007">
        <f>[1]!bodq(AL29)</f>
        <v>56.866153479370595</v>
      </c>
      <c r="AM32" s="1012">
        <f t="shared" si="23"/>
        <v>56</v>
      </c>
      <c r="AN32" s="1012">
        <f t="shared" si="24"/>
        <v>51</v>
      </c>
      <c r="AO32" s="1012">
        <f t="shared" si="25"/>
        <v>58</v>
      </c>
      <c r="AP32" s="1012">
        <f t="shared" si="26"/>
        <v>9</v>
      </c>
      <c r="AQ32" s="637" t="s">
        <v>3745</v>
      </c>
      <c r="AR32" s="502"/>
      <c r="AS32" s="502"/>
      <c r="AT32" s="502"/>
      <c r="AU32" s="1012"/>
      <c r="AV32" s="1012"/>
      <c r="AW32" s="1012"/>
      <c r="AX32" s="1018"/>
      <c r="BA32" s="701">
        <f>[1]!taqsha(BA27,BA28,BA29,BA30)</f>
        <v>115.58086597521105</v>
      </c>
      <c r="BB32" s="304">
        <f>[1]!taqsha(BB27,BB28,BB29,BB30)</f>
        <v>144.53634636177921</v>
      </c>
      <c r="BC32" s="304">
        <f>[1]!taqsha(BC27,BC28,BC29,BC30)</f>
        <v>172.94779870382862</v>
      </c>
      <c r="BD32" s="304">
        <f>[1]!taqsha(BD27,BD28,BD29,BD30)</f>
        <v>202.83116621520875</v>
      </c>
      <c r="BE32" s="304">
        <f>[1]!taqsha(BE27,BE28,BE29,BE30)</f>
        <v>232.13680070900688</v>
      </c>
      <c r="BF32" s="304">
        <f>[1]!taqsha(BF27,BF28,BF29,BF30)</f>
        <v>262.69058321447494</v>
      </c>
      <c r="BG32" s="304">
        <f>[1]!taqsha(BG27,BG28,BG29,BG30)</f>
        <v>292.20427496356416</v>
      </c>
      <c r="BH32" s="304">
        <f>[1]!taqsha(BH27,BH28,BH29,BH30)</f>
        <v>322.45090788633127</v>
      </c>
      <c r="BI32" s="304">
        <f>[1]!taqsha(BI27,BI28,BI29,BI30)</f>
        <v>351.25349257640323</v>
      </c>
      <c r="BJ32" s="304">
        <f>[1]!taqsha(BJ27,BJ28,BJ29,BJ30)</f>
        <v>20.557234140848486</v>
      </c>
      <c r="BK32" s="304">
        <f>[1]!taqsha(BK27,BK28,BK29,BK30)</f>
        <v>48.485658120824176</v>
      </c>
      <c r="BL32" s="304">
        <f>[1]!taqsha(BL27,BL28,BL29,BL30)</f>
        <v>77.137684154675483</v>
      </c>
      <c r="BM32" s="314"/>
      <c r="BU32" s="274"/>
      <c r="BV32" s="274"/>
      <c r="BW32" s="274"/>
      <c r="BX32" s="274"/>
      <c r="BY32" s="274"/>
      <c r="BZ32" s="274"/>
      <c r="CA32" s="274"/>
      <c r="CB32" s="274"/>
      <c r="CC32" s="274"/>
      <c r="CD32" s="274"/>
      <c r="CE32" s="274"/>
      <c r="CF32" s="274"/>
      <c r="CG32" s="274"/>
      <c r="CH32" s="782" t="s">
        <v>5</v>
      </c>
      <c r="CI32" s="783">
        <f>IF(CI26&lt;=31,CI26,IF(CI26&lt;=62,CI26-31,IF(CI26&lt;=93,CI26-62,IF(CI26&lt;=124,CI26-93,IF(CI26&lt;=155,CI26-124,IF(CI26&lt;=186,CI26-155,IF(CI26&lt;=216,CI26-186,IF(CI26&lt;=246,CI26-216,IF(CI26&lt;=276,CI26-246,IF(CI26&lt;=306,CI26-276,IF(CI26&lt;=336,CI26-306,CI26-336)))))))))))</f>
        <v>24</v>
      </c>
      <c r="CJ32" s="797"/>
      <c r="CK32" s="797"/>
      <c r="CL32" s="797"/>
      <c r="CM32" s="797"/>
      <c r="CN32" s="797"/>
      <c r="CO32" s="797"/>
      <c r="CP32" s="797"/>
      <c r="CQ32" s="797"/>
      <c r="CR32" s="797"/>
      <c r="CS32" s="797"/>
      <c r="CT32" s="797"/>
      <c r="CU32" s="797"/>
      <c r="CV32" s="797"/>
      <c r="CW32" s="797"/>
      <c r="CX32" s="274"/>
      <c r="CY32" s="274"/>
      <c r="CZ32" s="274"/>
      <c r="DA32" s="274"/>
      <c r="DB32" s="274"/>
      <c r="DC32" s="274"/>
      <c r="DR32" s="274"/>
      <c r="DS32" s="274"/>
      <c r="DT32" s="274"/>
      <c r="DU32" s="274"/>
      <c r="DV32" s="274"/>
      <c r="DW32" s="274"/>
      <c r="DX32" s="274"/>
      <c r="DY32" s="274"/>
      <c r="DZ32" s="274"/>
      <c r="EA32" s="274"/>
      <c r="EB32" s="274"/>
      <c r="EC32" s="274"/>
      <c r="ED32" s="274"/>
      <c r="EE32" s="274"/>
      <c r="EF32" s="274"/>
      <c r="EG32" s="274"/>
      <c r="EH32" s="274"/>
      <c r="EI32" s="274"/>
      <c r="EJ32" s="274"/>
      <c r="EK32" s="274"/>
      <c r="EL32" s="274"/>
      <c r="EM32" s="274"/>
      <c r="EN32" s="274"/>
      <c r="EO32" s="274"/>
      <c r="EP32" s="274"/>
      <c r="EQ32" s="274"/>
      <c r="ER32" s="288"/>
      <c r="ES32" s="274"/>
      <c r="ET32" s="274"/>
      <c r="EU32" s="274"/>
      <c r="EV32" s="274"/>
      <c r="EW32" s="288"/>
    </row>
    <row r="33" spans="1:153" ht="23.25">
      <c r="J33" s="720">
        <v>114</v>
      </c>
      <c r="K33" s="721" t="s">
        <v>1093</v>
      </c>
      <c r="L33" s="739">
        <f>[1]!asn(L32)</f>
        <v>89.043303787921118</v>
      </c>
      <c r="T33" s="55"/>
      <c r="U33" s="55"/>
      <c r="V33" s="55"/>
      <c r="W33" s="55"/>
      <c r="X33" s="55"/>
      <c r="Y33" s="55"/>
      <c r="Z33" s="14">
        <f>IF(Z26&gt;0,Z26,Z32)</f>
        <v>0</v>
      </c>
      <c r="AA33" s="10">
        <f>IF(AA26&gt;0,AA26,AA32)</f>
        <v>0</v>
      </c>
      <c r="AB33" s="346">
        <f>IF(AB26&gt;0,AB26,AB32)</f>
        <v>29</v>
      </c>
      <c r="AC33" s="811">
        <f>IF(AF26&gt;0,AF26,AC32)</f>
        <v>1</v>
      </c>
      <c r="AD33" s="1725">
        <f>IF(AG26&gt;0,AG26,AD32)</f>
        <v>0</v>
      </c>
      <c r="AI33" s="1011">
        <f>[1]!ekhtmanzofoq(AL29)</f>
        <v>1.007235051904624</v>
      </c>
      <c r="AJ33" s="1007"/>
      <c r="AK33" s="502" t="s">
        <v>1084</v>
      </c>
      <c r="AL33" s="1007">
        <f>[1]!manzarer(ABS(AL27),AI33)</f>
        <v>0.9799043655164642</v>
      </c>
      <c r="AM33" s="1012">
        <f t="shared" si="23"/>
        <v>0</v>
      </c>
      <c r="AN33" s="1012">
        <f t="shared" si="24"/>
        <v>58</v>
      </c>
      <c r="AO33" s="1012">
        <f t="shared" si="25"/>
        <v>47</v>
      </c>
      <c r="AP33" s="1012">
        <f t="shared" si="26"/>
        <v>39</v>
      </c>
      <c r="AQ33" s="637" t="s">
        <v>3745</v>
      </c>
      <c r="AR33" s="502"/>
      <c r="AS33" s="502"/>
      <c r="AT33" s="502"/>
      <c r="AU33" s="502"/>
      <c r="AV33" s="1007"/>
      <c r="AW33" s="1007"/>
      <c r="AX33" s="1008"/>
      <c r="AZ33" s="327" t="s">
        <v>3556</v>
      </c>
      <c r="BA33" s="701" t="e">
        <f>[1]!qsn([1]!ml(BA32),BA31)/30</f>
        <v>#VALUE!</v>
      </c>
      <c r="BB33" s="304" t="e">
        <f>[1]!qsn([1]!ml(BB32),BB31)/30</f>
        <v>#VALUE!</v>
      </c>
      <c r="BC33" s="304" t="e">
        <f>[1]!qsn([1]!ml(BC32),BC31)/30</f>
        <v>#VALUE!</v>
      </c>
      <c r="BD33" s="304" t="e">
        <f>[1]!qsn([1]!ml(BD32),BD31)/30</f>
        <v>#VALUE!</v>
      </c>
      <c r="BE33" s="304" t="e">
        <f>[1]!qsn([1]!ml(BE32),BE31)/30</f>
        <v>#VALUE!</v>
      </c>
      <c r="BF33" s="304" t="e">
        <f>[1]!qsn([1]!ml(BF32),BF31)/30</f>
        <v>#VALUE!</v>
      </c>
      <c r="BG33" s="304" t="e">
        <f>[1]!qsn([1]!ml(BG32),BG31)/30</f>
        <v>#VALUE!</v>
      </c>
      <c r="BH33" s="304" t="e">
        <f>[1]!qsn([1]!ml(BH32),BH31)/30</f>
        <v>#VALUE!</v>
      </c>
      <c r="BI33" s="304" t="e">
        <f>[1]!qsn([1]!ml(BI32),BI31)/30</f>
        <v>#VALUE!</v>
      </c>
      <c r="BJ33" s="304" t="e">
        <f>[1]!qsn([1]!ml(BJ32),BJ31)/30</f>
        <v>#VALUE!</v>
      </c>
      <c r="BK33" s="304" t="e">
        <f>[1]!qsn([1]!ml(BK32),BK31)/30</f>
        <v>#VALUE!</v>
      </c>
      <c r="BL33" s="304" t="e">
        <f>[1]!qsn([1]!ml(BL32),BL31)/30</f>
        <v>#VALUE!</v>
      </c>
      <c r="BM33" s="314"/>
      <c r="BU33" s="274"/>
      <c r="BV33" s="274"/>
      <c r="BW33" s="274"/>
      <c r="BX33" s="274"/>
      <c r="BY33" s="274"/>
      <c r="BZ33" s="274"/>
      <c r="CA33" s="274"/>
      <c r="CB33" s="274"/>
      <c r="CC33" s="274"/>
      <c r="CD33" s="274"/>
      <c r="CE33" s="274"/>
      <c r="CF33" s="274"/>
      <c r="CG33" s="274"/>
      <c r="CH33" s="274"/>
      <c r="CI33" s="274"/>
      <c r="CJ33" s="274"/>
      <c r="CK33" s="274"/>
      <c r="CL33" s="274"/>
      <c r="CM33" s="274"/>
      <c r="CN33" s="274"/>
      <c r="CO33" s="274"/>
      <c r="CP33" s="274"/>
      <c r="CQ33" s="274"/>
      <c r="CR33" s="274"/>
      <c r="CS33" s="274"/>
      <c r="CT33" s="274"/>
      <c r="CU33" s="274"/>
      <c r="CV33" s="274"/>
      <c r="CW33" s="274"/>
      <c r="CX33" s="274"/>
      <c r="CY33" s="274"/>
      <c r="CZ33" s="274"/>
      <c r="DA33" s="274"/>
      <c r="DB33" s="274"/>
      <c r="DC33" s="274"/>
      <c r="DR33" s="288"/>
      <c r="DS33" s="288"/>
      <c r="DT33" s="288"/>
      <c r="DU33" s="288"/>
      <c r="DV33" s="288"/>
      <c r="DW33" s="288"/>
      <c r="DX33" s="288"/>
      <c r="DY33" s="288"/>
      <c r="DZ33" s="288"/>
      <c r="EA33" s="288"/>
      <c r="EB33" s="288"/>
      <c r="EC33" s="288"/>
      <c r="ED33" s="288"/>
      <c r="EE33" s="288"/>
      <c r="EF33" s="288"/>
      <c r="EG33" s="288"/>
      <c r="EH33" s="288"/>
      <c r="EI33" s="288"/>
      <c r="EJ33" s="288"/>
      <c r="EK33" s="288"/>
      <c r="EL33" s="288"/>
      <c r="EM33" s="288"/>
      <c r="EN33" s="288"/>
      <c r="EO33" s="288"/>
      <c r="EP33" s="288"/>
      <c r="EQ33" s="288"/>
      <c r="ER33" s="288"/>
      <c r="ES33" s="288"/>
      <c r="ET33" s="288"/>
      <c r="EU33" s="288"/>
      <c r="EV33" s="288"/>
      <c r="EW33" s="288"/>
    </row>
    <row r="34" spans="1:153" ht="24" thickBot="1">
      <c r="J34" s="724">
        <v>115</v>
      </c>
      <c r="K34" s="721" t="s">
        <v>1391</v>
      </c>
      <c r="L34" s="739">
        <f>90-L33</f>
        <v>0.95669621207888156</v>
      </c>
      <c r="T34" s="55"/>
      <c r="U34" s="55"/>
      <c r="V34" s="55"/>
      <c r="W34" s="55"/>
      <c r="X34" s="55" t="s">
        <v>4225</v>
      </c>
      <c r="Y34" s="55"/>
      <c r="Z34" s="811">
        <f>IF(OR(Z33=29,Z33=1),Z33,Y34+1)</f>
        <v>1</v>
      </c>
      <c r="AA34" s="811">
        <f>IF(OR(AA33=29,AA33=1),AA33,Z34+1)</f>
        <v>2</v>
      </c>
      <c r="AB34" s="811">
        <f t="shared" ref="AB34" si="70">IF(OR(AB33=29,AB33=1),AB33,AA34+1)</f>
        <v>29</v>
      </c>
      <c r="AC34" s="811">
        <f t="shared" ref="AC34:AD34" si="71">IF(OR(AC33=29,AC33=1),AC33,AB34+1)</f>
        <v>1</v>
      </c>
      <c r="AD34" s="1725">
        <f t="shared" si="71"/>
        <v>2</v>
      </c>
      <c r="AI34" s="636"/>
      <c r="AJ34" s="1007"/>
      <c r="AK34" s="502" t="s">
        <v>1183</v>
      </c>
      <c r="AL34" s="605">
        <f>L18</f>
        <v>0.92344558850848557</v>
      </c>
      <c r="AM34" s="1012">
        <f>INT(ABS(AL34))</f>
        <v>0</v>
      </c>
      <c r="AN34" s="1012">
        <f>INT((ABS(AL34)-AM34)*60)</f>
        <v>55</v>
      </c>
      <c r="AO34" s="1012">
        <f>INT((((ABS(AL34)-AM34)*60)-AN34)*60)</f>
        <v>24</v>
      </c>
      <c r="AP34" s="1012">
        <f>INT((((((ABS(AL34)-AM34)*60)-AN34)*60)-AO34)*60)</f>
        <v>24</v>
      </c>
      <c r="AQ34" s="637"/>
      <c r="AR34" s="502"/>
      <c r="AS34" s="502"/>
      <c r="AT34" s="1007"/>
      <c r="AU34" s="1007"/>
      <c r="AV34" s="1007"/>
      <c r="AW34" s="1007"/>
      <c r="AX34" s="1008"/>
      <c r="AZ34" s="327" t="s">
        <v>698</v>
      </c>
      <c r="BA34" s="701" t="e">
        <f>[1]!taqqa(BA27,BA28,[1]!roz(BA29,BA33,0,0),BA30)</f>
        <v>#VALUE!</v>
      </c>
      <c r="BB34" s="304" t="e">
        <f>[1]!taqqa(BB27,BB28,[1]!roz(BB29,BB33,0,0),BB30)</f>
        <v>#VALUE!</v>
      </c>
      <c r="BC34" s="304" t="e">
        <f>[1]!taqqa(BC27,BC28,[1]!roz(BC29,BC33,0,0),BC30)</f>
        <v>#VALUE!</v>
      </c>
      <c r="BD34" s="304" t="e">
        <f>[1]!taqqa(BD27,BD28,[1]!roz(BD29,BD33,0,0),BD30)</f>
        <v>#VALUE!</v>
      </c>
      <c r="BE34" s="304" t="e">
        <f>[1]!taqqa(BE27,BE28,[1]!roz(BE29,BE33,0,0),BE30)</f>
        <v>#VALUE!</v>
      </c>
      <c r="BF34" s="304" t="e">
        <f>[1]!taqqa(BF27,BF28,[1]!roz(BF29,BF33,0,0),BF30)</f>
        <v>#VALUE!</v>
      </c>
      <c r="BG34" s="304" t="e">
        <f>[1]!taqqa(BG27,BG28,[1]!roz(BG29,BG33,0,0),BG30)</f>
        <v>#VALUE!</v>
      </c>
      <c r="BH34" s="304" t="e">
        <f>[1]!taqqa(BH27,BH28,[1]!roz(BH29,BH33,0,0),BH30)</f>
        <v>#VALUE!</v>
      </c>
      <c r="BI34" s="304" t="e">
        <f>[1]!taqqa(BI27,BI28,[1]!roz(BI29,BI33,0,0),BI30)</f>
        <v>#VALUE!</v>
      </c>
      <c r="BJ34" s="304" t="e">
        <f>[1]!taqqa(BJ27,BJ28,[1]!roz(BJ29,BJ33,0,0),BJ30)</f>
        <v>#VALUE!</v>
      </c>
      <c r="BK34" s="304" t="e">
        <f>[1]!taqqa(BK27,BK28,[1]!roz(BK29,BK33,0,0),BK30)</f>
        <v>#VALUE!</v>
      </c>
      <c r="BL34" s="304" t="e">
        <f>[1]!taqqa(BL27,BL28,[1]!roz(BL29,BL33,0,0),BL30)</f>
        <v>#VALUE!</v>
      </c>
      <c r="BM34" s="314"/>
      <c r="BU34" s="274"/>
      <c r="BV34" s="274"/>
      <c r="BW34" s="274"/>
      <c r="BX34" s="274"/>
      <c r="BY34" s="274"/>
      <c r="BZ34" s="274"/>
      <c r="CA34" s="274"/>
      <c r="CB34" s="274"/>
      <c r="CC34" s="274"/>
      <c r="CD34" s="274"/>
      <c r="CE34" s="274"/>
      <c r="CF34" s="274"/>
      <c r="CG34" s="274"/>
      <c r="CH34" s="274"/>
      <c r="CI34" s="274"/>
      <c r="CJ34" s="274"/>
      <c r="CK34" s="274"/>
      <c r="CL34" s="274"/>
      <c r="CM34" s="274"/>
      <c r="CN34" s="274"/>
      <c r="CO34" s="274"/>
      <c r="CP34" s="274"/>
      <c r="CQ34" s="274"/>
      <c r="CR34" s="274"/>
      <c r="CS34" s="274"/>
      <c r="CT34" s="274"/>
      <c r="CU34" s="274"/>
      <c r="CV34" s="274"/>
      <c r="CW34" s="274"/>
      <c r="CX34" s="274"/>
      <c r="CY34" s="274"/>
      <c r="CZ34" s="274"/>
      <c r="DA34" s="274"/>
      <c r="DB34" s="274"/>
      <c r="DC34" s="274"/>
      <c r="DR34" s="288"/>
      <c r="DS34" s="288"/>
      <c r="DT34" s="288"/>
      <c r="DU34" s="288"/>
      <c r="DV34" s="288"/>
      <c r="DW34" s="288"/>
      <c r="DX34" s="288"/>
      <c r="DY34" s="288"/>
      <c r="DZ34" s="288"/>
      <c r="EA34" s="288"/>
      <c r="EB34" s="288"/>
      <c r="EC34" s="288"/>
      <c r="ED34" s="288"/>
      <c r="EE34" s="288"/>
      <c r="EF34" s="288"/>
      <c r="EG34" s="288"/>
      <c r="EH34" s="288"/>
      <c r="EI34" s="288"/>
      <c r="EJ34" s="288"/>
      <c r="EK34" s="288"/>
      <c r="EL34" s="288"/>
      <c r="EM34" s="288"/>
      <c r="EN34" s="288"/>
      <c r="EO34" s="288"/>
      <c r="EP34" s="288"/>
      <c r="EQ34" s="288"/>
      <c r="ER34" s="288"/>
      <c r="ES34" s="288"/>
      <c r="ET34" s="288"/>
      <c r="EU34" s="288"/>
      <c r="EV34" s="288"/>
      <c r="EW34" s="288"/>
    </row>
    <row r="35" spans="1:153" ht="24" thickBot="1">
      <c r="T35" s="55"/>
      <c r="U35" s="55"/>
      <c r="V35" s="55"/>
      <c r="W35" s="55"/>
      <c r="X35" s="55"/>
      <c r="Y35" s="55"/>
      <c r="Z35" s="55"/>
      <c r="AA35" s="55"/>
      <c r="AI35" s="1020"/>
      <c r="AJ35" s="1019"/>
      <c r="AK35" s="765" t="s">
        <v>1183</v>
      </c>
      <c r="AL35" s="1019">
        <f>[1]!ekhtoolq(AL4,AL9,AL11,AL13,AL18,AL38)</f>
        <v>0.91772419219198298</v>
      </c>
      <c r="AM35" s="1015">
        <f t="shared" ref="AM35:AM41" si="72">INT(ABS(AL35))</f>
        <v>0</v>
      </c>
      <c r="AN35" s="1015">
        <f t="shared" ref="AN35:AN41" si="73">INT((ABS(AL35)-AM35)*60)</f>
        <v>55</v>
      </c>
      <c r="AO35" s="1015">
        <f t="shared" ref="AO35:AO41" si="74">INT((((ABS(AL35)-AM35)*60)-AN35)*60)</f>
        <v>3</v>
      </c>
      <c r="AP35" s="1015">
        <f t="shared" ref="AP35:AP41" si="75">INT((((((ABS(AL35)-AM35)*60)-AN35)*60)-AO35)*60)</f>
        <v>48</v>
      </c>
      <c r="AQ35" s="1021"/>
      <c r="AR35" s="502"/>
      <c r="AS35" s="502"/>
      <c r="AT35" s="1007"/>
      <c r="AU35" s="1007"/>
      <c r="AV35" s="1007"/>
      <c r="AW35" s="1007"/>
      <c r="AX35" s="1008"/>
      <c r="AZ35" s="327" t="s">
        <v>378</v>
      </c>
      <c r="BA35" s="701" t="e">
        <f>[1]!taqsha(BA27,BA28,[1]!roz(BA29,BA33,0,0),BA30)</f>
        <v>#VALUE!</v>
      </c>
      <c r="BB35" s="304" t="e">
        <f>[1]!taqsha(BB27,BB28,[1]!roz(BB29,BB33,0,0),BB30)</f>
        <v>#VALUE!</v>
      </c>
      <c r="BC35" s="304" t="e">
        <f>[1]!taqsha(BC27,BC28,[1]!roz(BC29,BC33,0,0),BC30)</f>
        <v>#VALUE!</v>
      </c>
      <c r="BD35" s="304" t="e">
        <f>[1]!taqsha(BD27,BD28,[1]!roz(BD29,BD33,0,0),BD30)</f>
        <v>#VALUE!</v>
      </c>
      <c r="BE35" s="304" t="e">
        <f>[1]!taqsha(BE27,BE28,[1]!roz(BE29,BE33,0,0),BE30)</f>
        <v>#VALUE!</v>
      </c>
      <c r="BF35" s="304" t="e">
        <f>[1]!taqsha(BF27,BF28,[1]!roz(BF29,BF33,0,0),BF30)</f>
        <v>#VALUE!</v>
      </c>
      <c r="BG35" s="304" t="e">
        <f>[1]!taqsha(BG27,BG28,[1]!roz(BG29,BG33,0,0),BG30)</f>
        <v>#VALUE!</v>
      </c>
      <c r="BH35" s="304" t="e">
        <f>[1]!taqsha(BH27,BH28,[1]!roz(BH29,BH33,0,0),BH30)</f>
        <v>#VALUE!</v>
      </c>
      <c r="BI35" s="304" t="e">
        <f>[1]!taqsha(BI27,BI28,[1]!roz(BI29,BI33,0,0),BI30)</f>
        <v>#VALUE!</v>
      </c>
      <c r="BJ35" s="304" t="e">
        <f>[1]!taqsha(BJ27,BJ28,[1]!roz(BJ29,BJ33,0,0),BJ30)</f>
        <v>#VALUE!</v>
      </c>
      <c r="BK35" s="304" t="e">
        <f>[1]!taqsha(BK27,BK28,[1]!roz(BK29,BK33,0,0),BK30)</f>
        <v>#VALUE!</v>
      </c>
      <c r="BL35" s="304" t="e">
        <f>[1]!taqsha(BL27,BL28,[1]!roz(BL29,BL33,0,0),BL30)</f>
        <v>#VALUE!</v>
      </c>
      <c r="BM35" s="314"/>
      <c r="BU35" s="274"/>
      <c r="BV35" s="274"/>
      <c r="BW35" s="274"/>
      <c r="BX35" s="274"/>
      <c r="BY35" s="274"/>
      <c r="BZ35" s="274"/>
      <c r="CA35" s="274"/>
      <c r="CB35" s="274"/>
      <c r="CC35" s="274"/>
      <c r="CD35" s="274"/>
      <c r="CE35" s="274"/>
      <c r="CF35" s="274"/>
      <c r="CG35" s="274"/>
      <c r="CH35" s="274"/>
      <c r="CI35" s="274"/>
      <c r="CJ35" s="274"/>
      <c r="CK35" s="274"/>
      <c r="CL35" s="274"/>
      <c r="CM35" s="274"/>
      <c r="CN35" s="274"/>
      <c r="CO35" s="274"/>
      <c r="CP35" s="274"/>
      <c r="CQ35" s="274"/>
      <c r="CR35" s="274"/>
      <c r="CS35" s="274"/>
      <c r="CT35" s="274"/>
      <c r="CU35" s="274"/>
      <c r="CV35" s="274"/>
      <c r="CW35" s="274"/>
      <c r="CX35" s="274"/>
      <c r="CY35" s="274"/>
      <c r="CZ35" s="274"/>
      <c r="DA35" s="274"/>
      <c r="DB35" s="274"/>
      <c r="DC35" s="274"/>
      <c r="DR35" s="288"/>
      <c r="DS35" s="288"/>
      <c r="DT35" s="288"/>
      <c r="DU35" s="288"/>
      <c r="DV35" s="288"/>
      <c r="DW35" s="288"/>
      <c r="DX35" s="288"/>
      <c r="DY35" s="288"/>
      <c r="DZ35" s="288"/>
      <c r="EA35" s="288"/>
      <c r="EB35" s="288"/>
      <c r="EC35" s="288"/>
      <c r="ED35" s="288"/>
      <c r="EE35" s="288"/>
      <c r="EF35" s="288"/>
      <c r="EG35" s="288"/>
      <c r="EH35" s="288"/>
      <c r="EI35" s="288"/>
      <c r="EJ35" s="288"/>
      <c r="EK35" s="288"/>
      <c r="EL35" s="288"/>
      <c r="EM35" s="288"/>
      <c r="EN35" s="288"/>
      <c r="EO35" s="288"/>
      <c r="EP35" s="288"/>
      <c r="EQ35" s="288"/>
      <c r="ER35" s="288"/>
      <c r="ES35" s="288"/>
      <c r="ET35" s="288"/>
      <c r="EU35" s="288"/>
      <c r="EV35" s="288"/>
      <c r="EW35" s="288"/>
    </row>
    <row r="36" spans="1:153" ht="24" thickBot="1">
      <c r="Q36" s="742" t="s">
        <v>4230</v>
      </c>
      <c r="R36" s="743"/>
      <c r="S36" s="743"/>
      <c r="T36" s="1748"/>
      <c r="U36" s="1748"/>
      <c r="V36" s="1748"/>
      <c r="W36" s="1748"/>
      <c r="X36" s="1748"/>
      <c r="Y36" s="1748"/>
      <c r="Z36" s="1749"/>
      <c r="AA36" s="1754"/>
      <c r="AI36" s="636"/>
      <c r="AJ36" s="1007"/>
      <c r="AK36" s="502" t="s">
        <v>1184</v>
      </c>
      <c r="AL36" s="605">
        <f>L19</f>
        <v>0.19645281299346484</v>
      </c>
      <c r="AM36" s="1012">
        <f t="shared" si="72"/>
        <v>0</v>
      </c>
      <c r="AN36" s="1012">
        <f t="shared" si="73"/>
        <v>11</v>
      </c>
      <c r="AO36" s="1012">
        <f t="shared" si="74"/>
        <v>47</v>
      </c>
      <c r="AP36" s="1012">
        <f t="shared" si="75"/>
        <v>13</v>
      </c>
      <c r="AQ36" s="637"/>
      <c r="AR36" s="1007"/>
      <c r="AS36" s="1007"/>
      <c r="AT36" s="1007"/>
      <c r="AU36" s="1007"/>
      <c r="AV36" s="1007"/>
      <c r="AW36" s="1007"/>
      <c r="AX36" s="1008"/>
      <c r="AZ36" s="327"/>
      <c r="BA36" s="701"/>
      <c r="BB36" s="304"/>
      <c r="BC36" s="304"/>
      <c r="BD36" s="304"/>
      <c r="BE36" s="304"/>
      <c r="BF36" s="304"/>
      <c r="BG36" s="304"/>
      <c r="BH36" s="304"/>
      <c r="BI36" s="304"/>
      <c r="BJ36" s="304"/>
      <c r="BK36" s="304"/>
      <c r="BL36" s="304"/>
      <c r="BM36" s="314"/>
      <c r="BU36" s="274"/>
      <c r="BV36" s="274"/>
      <c r="BW36" s="274"/>
      <c r="BX36" s="274"/>
      <c r="BY36" s="274"/>
      <c r="BZ36" s="274"/>
      <c r="CA36" s="274"/>
      <c r="CB36" s="274"/>
      <c r="CC36" s="274"/>
      <c r="CD36" s="274"/>
      <c r="CE36" s="274"/>
      <c r="CF36" s="274"/>
      <c r="CG36" s="274"/>
      <c r="CH36" s="274"/>
      <c r="CI36" s="274"/>
      <c r="CJ36" s="274"/>
      <c r="CK36" s="274"/>
      <c r="CL36" s="274"/>
      <c r="CM36" s="274"/>
      <c r="CN36" s="274"/>
      <c r="CO36" s="274"/>
      <c r="CP36" s="274"/>
      <c r="CQ36" s="274"/>
      <c r="CR36" s="274"/>
      <c r="CS36" s="274"/>
      <c r="CT36" s="274"/>
      <c r="CU36" s="274"/>
      <c r="CV36" s="274"/>
      <c r="CW36" s="274"/>
      <c r="CX36" s="274"/>
      <c r="CY36" s="274"/>
      <c r="CZ36" s="274"/>
      <c r="DA36" s="274"/>
      <c r="DB36" s="274"/>
      <c r="DC36" s="274"/>
      <c r="DR36" s="288"/>
      <c r="DS36" s="288"/>
      <c r="DT36" s="288"/>
      <c r="DU36" s="288"/>
      <c r="DV36" s="288"/>
      <c r="DW36" s="288"/>
      <c r="DX36" s="288"/>
      <c r="DY36" s="288"/>
      <c r="DZ36" s="288"/>
      <c r="EA36" s="288"/>
      <c r="EB36" s="288"/>
      <c r="EC36" s="288"/>
      <c r="ED36" s="288"/>
      <c r="EE36" s="288"/>
      <c r="EF36" s="288"/>
      <c r="EG36" s="288"/>
      <c r="EH36" s="288"/>
      <c r="EI36" s="288"/>
      <c r="EJ36" s="288"/>
      <c r="EK36" s="288"/>
      <c r="EL36" s="288"/>
      <c r="EM36" s="288"/>
      <c r="EN36" s="288"/>
      <c r="EO36" s="288"/>
      <c r="EP36" s="288"/>
      <c r="EQ36" s="288"/>
      <c r="ER36" s="288"/>
      <c r="ES36" s="288"/>
      <c r="ET36" s="288"/>
      <c r="EU36" s="288"/>
      <c r="EV36" s="288"/>
      <c r="EW36" s="288"/>
    </row>
    <row r="37" spans="1:153" ht="24" thickBot="1">
      <c r="F37" t="s">
        <v>344</v>
      </c>
      <c r="H37" t="s">
        <v>346</v>
      </c>
      <c r="Q37" s="1463" t="s">
        <v>144</v>
      </c>
      <c r="R37" s="1465"/>
      <c r="S37" s="1738" t="s">
        <v>3</v>
      </c>
      <c r="T37" s="571">
        <f>IF(R39-1&gt;0,R38,R38-1)</f>
        <v>1445</v>
      </c>
      <c r="U37" s="571">
        <f t="shared" ref="U37:Y38" si="76">T37</f>
        <v>1445</v>
      </c>
      <c r="V37" s="571">
        <f t="shared" si="76"/>
        <v>1445</v>
      </c>
      <c r="W37" s="571">
        <f t="shared" si="76"/>
        <v>1445</v>
      </c>
      <c r="X37" s="1744">
        <f t="shared" si="76"/>
        <v>1445</v>
      </c>
      <c r="Y37" s="1740">
        <f t="shared" si="76"/>
        <v>1445</v>
      </c>
      <c r="Z37" s="1740">
        <f>X46</f>
        <v>1445</v>
      </c>
      <c r="AA37" s="1547"/>
      <c r="AE37" s="55"/>
      <c r="AF37" s="55"/>
      <c r="AG37" s="55"/>
      <c r="AH37" s="55"/>
      <c r="AI37" s="1011">
        <f>[1]!ekhtmanzofoq(AL29)</f>
        <v>1.007235051904624</v>
      </c>
      <c r="AJ37" s="1007"/>
      <c r="AK37" s="502" t="s">
        <v>1184</v>
      </c>
      <c r="AL37" s="1007">
        <f>[1]!ekharzq(AL13,AL39)</f>
        <v>0.22885487022108353</v>
      </c>
      <c r="AM37" s="1012">
        <f t="shared" si="72"/>
        <v>0</v>
      </c>
      <c r="AN37" s="1012">
        <f t="shared" si="73"/>
        <v>13</v>
      </c>
      <c r="AO37" s="1012">
        <f t="shared" si="74"/>
        <v>43</v>
      </c>
      <c r="AP37" s="1012">
        <f t="shared" si="75"/>
        <v>52</v>
      </c>
      <c r="AQ37" s="1008"/>
      <c r="AR37" s="1007"/>
      <c r="AS37" s="1007"/>
      <c r="AT37" s="1007"/>
      <c r="AU37" s="1007"/>
      <c r="AV37" s="1007"/>
      <c r="AW37" s="1007"/>
      <c r="AX37" s="1008"/>
      <c r="AZ37" s="327" t="s">
        <v>839</v>
      </c>
      <c r="BA37" s="315" t="e">
        <f t="shared" ref="BA37:BK37" si="77">IF(BA34-BA35&gt;0,BA34-BA35,BA34-BA35+360)</f>
        <v>#VALUE!</v>
      </c>
      <c r="BB37" s="315" t="e">
        <f t="shared" si="77"/>
        <v>#VALUE!</v>
      </c>
      <c r="BC37" s="315" t="e">
        <f t="shared" si="77"/>
        <v>#VALUE!</v>
      </c>
      <c r="BD37" s="315" t="e">
        <f t="shared" si="77"/>
        <v>#VALUE!</v>
      </c>
      <c r="BE37" s="315" t="e">
        <f t="shared" si="77"/>
        <v>#VALUE!</v>
      </c>
      <c r="BF37" s="315" t="e">
        <f t="shared" si="77"/>
        <v>#VALUE!</v>
      </c>
      <c r="BG37" s="315" t="e">
        <f t="shared" si="77"/>
        <v>#VALUE!</v>
      </c>
      <c r="BH37" s="315" t="e">
        <f t="shared" si="77"/>
        <v>#VALUE!</v>
      </c>
      <c r="BI37" s="315" t="e">
        <f t="shared" si="77"/>
        <v>#VALUE!</v>
      </c>
      <c r="BJ37" s="315" t="e">
        <f t="shared" si="77"/>
        <v>#VALUE!</v>
      </c>
      <c r="BK37" s="315" t="e">
        <f t="shared" si="77"/>
        <v>#VALUE!</v>
      </c>
      <c r="BL37" s="315" t="e">
        <f>IF(BL34-BL35&gt;0,BL34-BL35,BL34-BL35+360)</f>
        <v>#VALUE!</v>
      </c>
      <c r="BM37" s="703"/>
      <c r="BU37" s="274"/>
      <c r="BV37" s="274"/>
      <c r="BW37" s="274"/>
      <c r="BX37" s="274"/>
      <c r="BY37" s="274"/>
      <c r="BZ37" s="274"/>
      <c r="CA37" s="274"/>
      <c r="CB37" s="274"/>
      <c r="CC37" s="274"/>
      <c r="CD37" s="274"/>
      <c r="CE37" s="274"/>
      <c r="CF37" s="274"/>
      <c r="CG37" s="274"/>
      <c r="CH37" s="274"/>
      <c r="CI37" s="274"/>
      <c r="CJ37" s="274"/>
      <c r="CK37" s="274"/>
      <c r="CL37" s="274"/>
      <c r="CM37" s="274"/>
      <c r="CN37" s="274"/>
      <c r="CO37" s="274"/>
      <c r="CP37" s="274"/>
      <c r="CQ37" s="274"/>
      <c r="CR37" s="274"/>
      <c r="CS37" s="274"/>
      <c r="CT37" s="274"/>
      <c r="CU37" s="274"/>
      <c r="CV37" s="274"/>
      <c r="CW37" s="274"/>
      <c r="CX37" s="274"/>
      <c r="CY37" s="274"/>
      <c r="CZ37" s="274"/>
      <c r="DA37" s="274"/>
      <c r="DB37" s="274"/>
      <c r="DC37" s="274"/>
      <c r="DR37" s="288"/>
      <c r="DS37" s="288"/>
      <c r="DT37" s="288"/>
      <c r="DU37" s="288"/>
      <c r="DV37" s="288"/>
      <c r="DW37" s="288"/>
      <c r="DX37" s="288"/>
      <c r="DY37" s="288"/>
      <c r="DZ37" s="288"/>
      <c r="EA37" s="288"/>
      <c r="EB37" s="288"/>
      <c r="EC37" s="288"/>
      <c r="ED37" s="288"/>
      <c r="EE37" s="288"/>
      <c r="EF37" s="288"/>
      <c r="EG37" s="288"/>
      <c r="EH37" s="288"/>
      <c r="EI37" s="288"/>
      <c r="EJ37" s="288"/>
      <c r="EK37" s="288"/>
      <c r="EL37" s="288"/>
      <c r="EM37" s="288"/>
      <c r="EN37" s="288"/>
      <c r="EO37" s="288"/>
      <c r="EP37" s="288"/>
      <c r="EQ37" s="288"/>
      <c r="ER37" s="288"/>
      <c r="ES37" s="288"/>
      <c r="ET37" s="288"/>
      <c r="EU37" s="288"/>
      <c r="EV37" s="288"/>
      <c r="EW37" s="288"/>
    </row>
    <row r="38" spans="1:153" ht="24" thickBot="1">
      <c r="E38" s="760"/>
      <c r="F38" s="760">
        <f>57/60</f>
        <v>0.95</v>
      </c>
      <c r="G38" s="760">
        <v>2.52</v>
      </c>
      <c r="H38" s="760">
        <f>57.5/60</f>
        <v>0.95833333333333337</v>
      </c>
      <c r="Q38" s="780" t="s">
        <v>3</v>
      </c>
      <c r="R38" s="781">
        <v>1445</v>
      </c>
      <c r="S38" s="1603" t="s">
        <v>4</v>
      </c>
      <c r="T38" s="429">
        <f>IF(R39-1&gt;0,R39-1,R39-1+12)</f>
        <v>5</v>
      </c>
      <c r="U38" s="429">
        <f t="shared" si="76"/>
        <v>5</v>
      </c>
      <c r="V38" s="429">
        <f t="shared" si="76"/>
        <v>5</v>
      </c>
      <c r="W38" s="429">
        <f t="shared" si="76"/>
        <v>5</v>
      </c>
      <c r="X38" s="1745">
        <f t="shared" si="76"/>
        <v>5</v>
      </c>
      <c r="Y38" s="1741">
        <f t="shared" si="76"/>
        <v>5</v>
      </c>
      <c r="Z38" s="1741">
        <f>X47</f>
        <v>6</v>
      </c>
      <c r="AA38" s="1547"/>
      <c r="AB38" s="55"/>
      <c r="AC38" s="55"/>
      <c r="AD38" s="55"/>
      <c r="AE38" s="55"/>
      <c r="AF38" s="55"/>
      <c r="AG38" s="55"/>
      <c r="AH38" s="55"/>
      <c r="AI38" s="1011">
        <f>[1]!manzarer(AL27,AI37)</f>
        <v>0.9799043655164642</v>
      </c>
      <c r="AJ38" s="1007">
        <f>AL27-AI38</f>
        <v>11.125440499922913</v>
      </c>
      <c r="AK38" s="502" t="s">
        <v>3497</v>
      </c>
      <c r="AL38" s="1007">
        <f>[1]!ertmaree(AL4,AL5,AP4,AP5,AL7,AL9)</f>
        <v>11.159783814917962</v>
      </c>
      <c r="AM38" s="1012">
        <f t="shared" si="72"/>
        <v>11</v>
      </c>
      <c r="AN38" s="1012">
        <f t="shared" si="73"/>
        <v>9</v>
      </c>
      <c r="AO38" s="1012">
        <f t="shared" si="74"/>
        <v>35</v>
      </c>
      <c r="AP38" s="1012">
        <f t="shared" si="75"/>
        <v>13</v>
      </c>
      <c r="AQ38" s="1008"/>
      <c r="AR38" s="1007"/>
      <c r="AS38" s="1007"/>
      <c r="AT38" s="1007"/>
      <c r="AU38" s="1007"/>
      <c r="AV38" s="1007"/>
      <c r="AW38" s="1007"/>
      <c r="AX38" s="1008"/>
      <c r="AZ38" s="327"/>
      <c r="BA38" s="701"/>
      <c r="BB38" s="304"/>
      <c r="BC38" s="304"/>
      <c r="BD38" s="304"/>
      <c r="BE38" s="304"/>
      <c r="BF38" s="304"/>
      <c r="BG38" s="304"/>
      <c r="BH38" s="304"/>
      <c r="BI38" s="304"/>
      <c r="BJ38" s="304"/>
      <c r="BK38" s="304"/>
      <c r="BL38" s="304"/>
      <c r="BM38" s="314"/>
      <c r="BU38" s="274"/>
      <c r="BV38" s="274"/>
      <c r="BW38" s="274"/>
      <c r="BX38" s="274"/>
      <c r="BY38" s="274"/>
      <c r="BZ38" s="274"/>
      <c r="CA38" s="274"/>
      <c r="CB38" s="274"/>
      <c r="CC38" s="274"/>
      <c r="CD38" s="274"/>
      <c r="CE38" s="274"/>
      <c r="CF38" s="274"/>
      <c r="CG38" s="274"/>
      <c r="CH38" s="274"/>
      <c r="CI38" s="274"/>
      <c r="CJ38" s="274"/>
      <c r="CK38" s="274"/>
      <c r="CL38" s="274"/>
      <c r="CM38" s="274"/>
      <c r="CN38" s="274"/>
      <c r="CO38" s="274"/>
      <c r="CP38" s="274"/>
      <c r="CQ38" s="274"/>
      <c r="CR38" s="274"/>
      <c r="CS38" s="274"/>
      <c r="CT38" s="274"/>
      <c r="CU38" s="274"/>
      <c r="CV38" s="274"/>
      <c r="CW38" s="274"/>
      <c r="CX38" s="274"/>
      <c r="CY38" s="274"/>
      <c r="CZ38" s="274"/>
      <c r="DA38" s="274"/>
      <c r="DB38" s="274"/>
      <c r="DC38" s="274"/>
      <c r="DR38" s="288"/>
      <c r="DS38" s="288"/>
      <c r="DT38" s="288"/>
      <c r="DU38" s="288"/>
      <c r="DV38" s="288"/>
      <c r="DW38" s="288"/>
      <c r="DX38" s="288"/>
      <c r="DY38" s="288"/>
      <c r="DZ38" s="288"/>
      <c r="EA38" s="288"/>
      <c r="EB38" s="288"/>
      <c r="EC38" s="288"/>
      <c r="ED38" s="288"/>
      <c r="EE38" s="288"/>
      <c r="EF38" s="288"/>
      <c r="EG38" s="288"/>
      <c r="EH38" s="288"/>
      <c r="EI38" s="288"/>
      <c r="EJ38" s="288"/>
      <c r="EK38" s="288"/>
      <c r="EL38" s="288"/>
      <c r="EM38" s="288"/>
      <c r="EN38" s="288"/>
      <c r="EO38" s="288"/>
      <c r="EP38" s="288"/>
      <c r="EQ38" s="288"/>
      <c r="ER38" s="288"/>
      <c r="ES38" s="288"/>
      <c r="ET38" s="288"/>
      <c r="EU38" s="288"/>
      <c r="EV38" s="288"/>
      <c r="EW38" s="288"/>
    </row>
    <row r="39" spans="1:153" ht="24" thickBot="1">
      <c r="A39" t="s">
        <v>3746</v>
      </c>
      <c r="E39" s="760">
        <v>0</v>
      </c>
      <c r="F39" s="760">
        <f>[1]!manzert(E39,F38)</f>
        <v>0.95</v>
      </c>
      <c r="G39" s="760"/>
      <c r="H39" s="760">
        <f>[1]!manzert(E39,H38)</f>
        <v>0.95833333333333337</v>
      </c>
      <c r="Q39" s="780" t="s">
        <v>4</v>
      </c>
      <c r="R39" s="781">
        <v>6</v>
      </c>
      <c r="S39" s="1603" t="s">
        <v>1197</v>
      </c>
      <c r="T39" s="429">
        <v>28</v>
      </c>
      <c r="U39" s="429">
        <f>T39+1</f>
        <v>29</v>
      </c>
      <c r="V39" s="429">
        <f>U39+1</f>
        <v>30</v>
      </c>
      <c r="W39" s="429">
        <f>V39+1</f>
        <v>31</v>
      </c>
      <c r="X39" s="1745">
        <f>IF(AND(T45&gt;=10,T44&gt;=10),T39,IF(AND(U45&gt;=10,U44&gt;=10),U39,IF(AND(V45&gt;=10,V44&gt;=10),V39,W39)))</f>
        <v>31</v>
      </c>
      <c r="Y39" s="1742">
        <f>X39</f>
        <v>31</v>
      </c>
      <c r="Z39" s="1742">
        <f>X48</f>
        <v>30</v>
      </c>
      <c r="AA39" s="1547"/>
      <c r="AB39" s="55"/>
      <c r="AC39" s="55"/>
      <c r="AD39" s="55"/>
      <c r="AE39" s="55"/>
      <c r="AF39" s="55"/>
      <c r="AG39" s="55"/>
      <c r="AH39" s="55"/>
      <c r="AI39" s="1020"/>
      <c r="AJ39" s="1019"/>
      <c r="AK39" s="765" t="s">
        <v>1116</v>
      </c>
      <c r="AL39" s="1019">
        <f>[1]!arzmaree(AL4,AL9,AL11,AL13,AL18,AL38)</f>
        <v>1.2892807955524448</v>
      </c>
      <c r="AM39" s="1015">
        <f t="shared" si="72"/>
        <v>1</v>
      </c>
      <c r="AN39" s="1015">
        <f t="shared" si="73"/>
        <v>17</v>
      </c>
      <c r="AO39" s="1015">
        <f t="shared" si="74"/>
        <v>21</v>
      </c>
      <c r="AP39" s="1015">
        <f t="shared" si="75"/>
        <v>24</v>
      </c>
      <c r="AQ39" s="1021"/>
      <c r="AR39" s="1007"/>
      <c r="AS39" s="1007"/>
      <c r="AT39" s="1007"/>
      <c r="AU39" s="1007"/>
      <c r="AV39" s="1007"/>
      <c r="AW39" s="1007"/>
      <c r="AX39" s="1008"/>
      <c r="BA39" s="696">
        <f t="shared" ref="BA39:BL39" si="78">BA15</f>
        <v>1</v>
      </c>
      <c r="BB39" s="697">
        <f t="shared" si="78"/>
        <v>1</v>
      </c>
      <c r="BC39" s="697">
        <f t="shared" si="78"/>
        <v>1</v>
      </c>
      <c r="BD39" s="697">
        <f t="shared" si="78"/>
        <v>1</v>
      </c>
      <c r="BE39" s="697">
        <f t="shared" si="78"/>
        <v>1</v>
      </c>
      <c r="BF39" s="697">
        <f t="shared" si="78"/>
        <v>1</v>
      </c>
      <c r="BG39" s="697">
        <f t="shared" si="78"/>
        <v>1</v>
      </c>
      <c r="BH39" s="697">
        <f t="shared" si="78"/>
        <v>1</v>
      </c>
      <c r="BI39" s="697">
        <f t="shared" si="78"/>
        <v>1</v>
      </c>
      <c r="BJ39" s="697">
        <f t="shared" si="78"/>
        <v>1</v>
      </c>
      <c r="BK39" s="697">
        <f t="shared" si="78"/>
        <v>1</v>
      </c>
      <c r="BL39" s="698">
        <f t="shared" si="78"/>
        <v>1</v>
      </c>
      <c r="BM39" s="314"/>
      <c r="BU39" s="274"/>
      <c r="BV39" s="274"/>
      <c r="BW39" s="274"/>
      <c r="BX39" s="274"/>
      <c r="BY39" s="274"/>
      <c r="BZ39" s="274"/>
      <c r="CA39" s="274"/>
      <c r="CB39" s="274"/>
      <c r="CC39" s="274"/>
      <c r="CD39" s="274"/>
      <c r="CE39" s="274"/>
      <c r="CF39" s="274"/>
      <c r="CG39" s="274"/>
      <c r="CH39" s="274"/>
      <c r="CI39" s="274"/>
      <c r="CJ39" s="274"/>
      <c r="CK39" s="274"/>
      <c r="CL39" s="274"/>
      <c r="CM39" s="274"/>
      <c r="CN39" s="274"/>
      <c r="CO39" s="274"/>
      <c r="CP39" s="274"/>
      <c r="CQ39" s="274"/>
      <c r="CR39" s="274"/>
      <c r="CS39" s="274"/>
      <c r="CT39" s="274"/>
      <c r="CU39" s="274"/>
      <c r="CV39" s="274"/>
      <c r="CW39" s="274"/>
      <c r="CX39" s="274"/>
      <c r="CY39" s="274"/>
      <c r="CZ39" s="274"/>
      <c r="DA39" s="274"/>
      <c r="DB39" s="274"/>
      <c r="DC39" s="274"/>
      <c r="DR39" s="288"/>
      <c r="DS39" s="288"/>
      <c r="DT39" s="288"/>
      <c r="DU39" s="288"/>
      <c r="DV39" s="288"/>
      <c r="DW39" s="288"/>
      <c r="DX39" s="288"/>
      <c r="DY39" s="288"/>
      <c r="DZ39" s="288"/>
      <c r="EA39" s="288"/>
      <c r="EB39" s="288"/>
      <c r="EC39" s="288"/>
      <c r="ED39" s="288"/>
      <c r="EE39" s="288"/>
      <c r="EF39" s="288"/>
      <c r="EG39" s="288"/>
      <c r="EH39" s="288"/>
      <c r="EI39" s="288"/>
      <c r="EJ39" s="288"/>
      <c r="EK39" s="288"/>
      <c r="EL39" s="288"/>
      <c r="EM39" s="288"/>
      <c r="EN39" s="288"/>
      <c r="EO39" s="288"/>
      <c r="EP39" s="288"/>
      <c r="EQ39" s="288"/>
      <c r="ER39" s="288"/>
      <c r="ES39" s="288"/>
      <c r="ET39" s="288"/>
      <c r="EU39" s="288"/>
      <c r="EV39" s="288"/>
      <c r="EW39" s="288"/>
    </row>
    <row r="40" spans="1:153" ht="23.25">
      <c r="E40" s="760">
        <v>0.91300000000000003</v>
      </c>
      <c r="F40" s="760"/>
      <c r="G40" s="760"/>
      <c r="H40" s="760"/>
      <c r="Q40" s="780" t="s">
        <v>326</v>
      </c>
      <c r="R40" s="781">
        <v>51</v>
      </c>
      <c r="S40" s="1603" t="s">
        <v>3499</v>
      </c>
      <c r="T40" s="429">
        <f>[1]!vqoroob(T37,T38,T39,T42,T43)</f>
        <v>16.929660102880892</v>
      </c>
      <c r="U40" s="429">
        <f>[1]!vqoroob(U37,U38,U39,U42,U43)</f>
        <v>16.932470892831915</v>
      </c>
      <c r="V40" s="429">
        <f>[1]!vqoroob(V37,V38,V39,V42,V43)</f>
        <v>16.935763579615458</v>
      </c>
      <c r="W40" s="429">
        <f>[1]!vqoroob(W37,W38,W39,W42,W43)</f>
        <v>16.9395369945101</v>
      </c>
      <c r="X40" s="1745"/>
      <c r="Y40" s="1741">
        <f>Y37/30</f>
        <v>48.166666666666664</v>
      </c>
      <c r="Z40" s="1741">
        <f>Z37/30</f>
        <v>48.166666666666664</v>
      </c>
      <c r="AA40" s="1547"/>
      <c r="AB40" s="55"/>
      <c r="AC40" s="55"/>
      <c r="AD40" s="55"/>
      <c r="AE40" s="55"/>
      <c r="AF40" s="55"/>
      <c r="AG40" s="55"/>
      <c r="AH40" s="55"/>
      <c r="AI40" s="1011"/>
      <c r="AJ40" s="1007"/>
      <c r="AK40" s="502" t="s">
        <v>1116</v>
      </c>
      <c r="AL40" s="502">
        <f>AL13-AL36</f>
        <v>1.3216828527800635</v>
      </c>
      <c r="AM40" s="1012">
        <f t="shared" si="72"/>
        <v>1</v>
      </c>
      <c r="AN40" s="1012">
        <f t="shared" si="73"/>
        <v>19</v>
      </c>
      <c r="AO40" s="1012">
        <f t="shared" si="74"/>
        <v>18</v>
      </c>
      <c r="AP40" s="1012">
        <f t="shared" si="75"/>
        <v>3</v>
      </c>
      <c r="AQ40" s="637"/>
      <c r="AR40" s="1007"/>
      <c r="AS40" s="1007"/>
      <c r="AT40" s="1007"/>
      <c r="AU40" s="1007"/>
      <c r="AV40" s="1007"/>
      <c r="AW40" s="1007"/>
      <c r="AX40" s="1008"/>
      <c r="BA40" s="701">
        <f t="shared" ref="BA40:BL40" si="79">BA16</f>
        <v>1</v>
      </c>
      <c r="BB40" s="304">
        <f t="shared" si="79"/>
        <v>2</v>
      </c>
      <c r="BC40" s="304">
        <f t="shared" si="79"/>
        <v>3</v>
      </c>
      <c r="BD40" s="304">
        <f t="shared" si="79"/>
        <v>4</v>
      </c>
      <c r="BE40" s="304">
        <f t="shared" si="79"/>
        <v>5</v>
      </c>
      <c r="BF40" s="304">
        <f t="shared" si="79"/>
        <v>6</v>
      </c>
      <c r="BG40" s="304">
        <f t="shared" si="79"/>
        <v>7</v>
      </c>
      <c r="BH40" s="304">
        <f t="shared" si="79"/>
        <v>8</v>
      </c>
      <c r="BI40" s="304">
        <f t="shared" si="79"/>
        <v>9</v>
      </c>
      <c r="BJ40" s="304">
        <f t="shared" si="79"/>
        <v>10</v>
      </c>
      <c r="BK40" s="304">
        <f t="shared" si="79"/>
        <v>11</v>
      </c>
      <c r="BL40" s="314">
        <f t="shared" si="79"/>
        <v>12</v>
      </c>
      <c r="BM40" s="314"/>
      <c r="BU40" s="274"/>
      <c r="BV40" s="274"/>
      <c r="BW40" s="274"/>
      <c r="BX40" s="274"/>
      <c r="BY40" s="274"/>
      <c r="BZ40" s="274"/>
      <c r="CA40" s="274"/>
      <c r="CB40" s="274"/>
      <c r="CC40" s="274"/>
      <c r="CD40" s="274"/>
      <c r="CE40" s="274"/>
      <c r="CF40" s="274"/>
      <c r="CG40" s="274"/>
      <c r="CH40" s="274"/>
      <c r="CI40" s="274"/>
      <c r="CJ40" s="274"/>
      <c r="CK40" s="274"/>
      <c r="CL40" s="274"/>
      <c r="CM40" s="274"/>
      <c r="CN40" s="274"/>
      <c r="CO40" s="274"/>
      <c r="CP40" s="274"/>
      <c r="CQ40" s="274"/>
      <c r="CR40" s="274"/>
      <c r="CS40" s="274"/>
      <c r="CT40" s="274"/>
      <c r="CU40" s="274"/>
      <c r="CV40" s="274"/>
      <c r="CW40" s="274"/>
      <c r="CX40" s="274"/>
      <c r="CY40" s="274"/>
      <c r="CZ40" s="274"/>
      <c r="DA40" s="274"/>
      <c r="DB40" s="274"/>
      <c r="DC40" s="274"/>
      <c r="DS40" s="288"/>
      <c r="DT40" s="288"/>
      <c r="DU40" s="288"/>
      <c r="DV40" s="288"/>
      <c r="DW40" s="288"/>
      <c r="DX40" s="288"/>
      <c r="DY40" s="288"/>
      <c r="DZ40" s="288"/>
      <c r="EA40" s="288"/>
      <c r="EB40" s="288"/>
      <c r="EC40" s="288"/>
      <c r="ED40" s="288"/>
      <c r="EE40" s="288"/>
      <c r="EF40" s="288"/>
      <c r="EG40" s="288"/>
      <c r="EH40" s="288"/>
      <c r="EI40" s="288"/>
      <c r="EJ40" s="288"/>
      <c r="EK40" s="288"/>
      <c r="EL40" s="288"/>
      <c r="EM40" s="288"/>
      <c r="EN40" s="288"/>
      <c r="EO40" s="288"/>
      <c r="EP40" s="288"/>
      <c r="EQ40" s="288"/>
      <c r="ER40" s="288"/>
      <c r="ES40" s="288"/>
      <c r="ET40" s="288"/>
      <c r="EU40" s="288"/>
      <c r="EV40" s="288"/>
      <c r="EW40" s="288"/>
    </row>
    <row r="41" spans="1:153" ht="24" thickBot="1">
      <c r="E41" s="760">
        <v>3</v>
      </c>
      <c r="F41" s="760">
        <f>[1]!manzert(E41,F38)</f>
        <v>0.94861111111111107</v>
      </c>
      <c r="G41" s="760"/>
      <c r="H41" s="760">
        <f>[1]!manzert(E41,H38)</f>
        <v>0.95694444444444449</v>
      </c>
      <c r="Q41" s="780" t="s">
        <v>177</v>
      </c>
      <c r="R41" s="781">
        <v>35</v>
      </c>
      <c r="S41" s="1603" t="s">
        <v>1386</v>
      </c>
      <c r="T41" s="429">
        <f>[1]!roz(T39,T40,0,0)</f>
        <v>28.705402504286702</v>
      </c>
      <c r="U41" s="429">
        <f>[1]!roz(U39,U40,0,0)</f>
        <v>29.705519620534663</v>
      </c>
      <c r="V41" s="429">
        <f>[1]!roz(V39,V40,0,0)</f>
        <v>30.70565681581731</v>
      </c>
      <c r="W41" s="429">
        <f>[1]!roz(W39,W40,0,0)</f>
        <v>31.705814041437922</v>
      </c>
      <c r="X41" s="1745"/>
      <c r="Y41" s="1741">
        <f>INT(Y40)*30</f>
        <v>1440</v>
      </c>
      <c r="Z41" s="1741">
        <f>INT(Z40)*30</f>
        <v>1440</v>
      </c>
      <c r="AA41" s="1547"/>
      <c r="AB41" s="55"/>
      <c r="AC41" s="55"/>
      <c r="AD41" s="55"/>
      <c r="AE41" s="55"/>
      <c r="AF41" s="55"/>
      <c r="AG41" s="55"/>
      <c r="AH41" s="55"/>
      <c r="AI41" s="1011"/>
      <c r="AJ41" s="1007"/>
      <c r="AK41" s="502" t="s">
        <v>3498</v>
      </c>
      <c r="AL41" s="1007">
        <f>[1]!taqtasa(AL11,AL18)</f>
        <v>12.098796071326603</v>
      </c>
      <c r="AM41" s="1012">
        <f t="shared" si="72"/>
        <v>12</v>
      </c>
      <c r="AN41" s="1012">
        <f t="shared" si="73"/>
        <v>5</v>
      </c>
      <c r="AO41" s="1012">
        <f t="shared" si="74"/>
        <v>55</v>
      </c>
      <c r="AP41" s="1012">
        <f t="shared" si="75"/>
        <v>39</v>
      </c>
      <c r="AQ41" s="1008"/>
      <c r="AR41" s="1007"/>
      <c r="AS41" s="1007"/>
      <c r="AT41" s="1007"/>
      <c r="AU41" s="1007"/>
      <c r="AV41" s="1007"/>
      <c r="AW41" s="1007"/>
      <c r="AX41" s="1008"/>
      <c r="BA41" s="303" t="e">
        <f t="shared" ref="BA41:BL41" si="80">IF(AND(BA13&gt;=10,BA13&lt;30),0,IF(AND(BA25&gt;=10,BA25&lt;30),BA17,IF(AND(BA37&gt;=10,BA37&lt;30),BA29,3)))</f>
        <v>#VALUE!</v>
      </c>
      <c r="BB41" s="303" t="e">
        <f t="shared" si="80"/>
        <v>#VALUE!</v>
      </c>
      <c r="BC41" s="303" t="e">
        <f t="shared" si="80"/>
        <v>#VALUE!</v>
      </c>
      <c r="BD41" s="303" t="e">
        <f t="shared" si="80"/>
        <v>#VALUE!</v>
      </c>
      <c r="BE41" s="303" t="e">
        <f t="shared" si="80"/>
        <v>#VALUE!</v>
      </c>
      <c r="BF41" s="303" t="e">
        <f t="shared" si="80"/>
        <v>#VALUE!</v>
      </c>
      <c r="BG41" s="303" t="e">
        <f t="shared" si="80"/>
        <v>#VALUE!</v>
      </c>
      <c r="BH41" s="303" t="e">
        <f t="shared" si="80"/>
        <v>#VALUE!</v>
      </c>
      <c r="BI41" s="303" t="e">
        <f t="shared" si="80"/>
        <v>#VALUE!</v>
      </c>
      <c r="BJ41" s="303" t="e">
        <f t="shared" si="80"/>
        <v>#VALUE!</v>
      </c>
      <c r="BK41" s="303" t="e">
        <f t="shared" si="80"/>
        <v>#VALUE!</v>
      </c>
      <c r="BL41" s="303" t="e">
        <f t="shared" si="80"/>
        <v>#VALUE!</v>
      </c>
      <c r="BM41" s="314"/>
      <c r="BU41" s="274"/>
      <c r="BV41" s="274"/>
      <c r="BW41" s="274"/>
      <c r="BX41" s="274"/>
      <c r="BY41" s="274"/>
      <c r="BZ41" s="274"/>
      <c r="CA41" s="274"/>
      <c r="CB41" s="274"/>
      <c r="CC41" s="274"/>
      <c r="CD41" s="274"/>
      <c r="CE41" s="274"/>
      <c r="CF41" s="274"/>
      <c r="CG41" s="274"/>
      <c r="CH41" s="274"/>
      <c r="CI41" s="274"/>
      <c r="CJ41" s="274"/>
      <c r="CK41" s="274"/>
      <c r="CL41" s="274"/>
      <c r="CM41" s="274"/>
      <c r="CN41" s="274"/>
      <c r="CO41" s="274"/>
      <c r="CP41" s="274"/>
      <c r="CQ41" s="274"/>
      <c r="CR41" s="274"/>
      <c r="CS41" s="274"/>
      <c r="CT41" s="274"/>
      <c r="CU41" s="274"/>
      <c r="CV41" s="274"/>
      <c r="CW41" s="274"/>
      <c r="CX41" s="274"/>
      <c r="CY41" s="274"/>
      <c r="CZ41" s="274"/>
      <c r="DA41" s="274"/>
      <c r="DB41" s="274"/>
      <c r="DC41" s="274"/>
      <c r="DR41" s="288"/>
      <c r="DS41" s="288"/>
      <c r="DT41" s="288"/>
      <c r="DU41" s="288"/>
      <c r="DV41" s="288"/>
      <c r="DW41" s="288"/>
      <c r="DX41" s="288"/>
      <c r="DY41" s="288"/>
      <c r="DZ41" s="288"/>
      <c r="EA41" s="288"/>
      <c r="EB41" s="288"/>
      <c r="EC41" s="288"/>
      <c r="ED41" s="288"/>
      <c r="EE41" s="288"/>
      <c r="EF41" s="288"/>
      <c r="EG41" s="288"/>
      <c r="EH41" s="288"/>
      <c r="EI41" s="288"/>
      <c r="EJ41" s="288"/>
      <c r="EK41" s="288"/>
      <c r="EL41" s="288"/>
      <c r="EM41" s="288"/>
      <c r="EN41" s="288"/>
      <c r="EO41" s="288"/>
      <c r="EP41" s="288"/>
      <c r="EQ41" s="288"/>
      <c r="ER41" s="288"/>
      <c r="ES41" s="288"/>
      <c r="ET41" s="288"/>
      <c r="EU41" s="288"/>
      <c r="EV41" s="288"/>
      <c r="EW41" s="288"/>
    </row>
    <row r="42" spans="1:153" ht="23.25">
      <c r="F42" t="s">
        <v>345</v>
      </c>
      <c r="H42" t="s">
        <v>347</v>
      </c>
      <c r="Q42" s="486" t="s">
        <v>1372</v>
      </c>
      <c r="R42" s="773"/>
      <c r="S42" s="429" t="s">
        <v>393</v>
      </c>
      <c r="T42" s="429">
        <f>[1]!tabdilsaheb(R40)</f>
        <v>9.6917129630555557E-2</v>
      </c>
      <c r="U42" s="429">
        <f>T42</f>
        <v>9.6917129630555557E-2</v>
      </c>
      <c r="V42" s="429">
        <f>U42</f>
        <v>9.6917129630555557E-2</v>
      </c>
      <c r="W42" s="429">
        <f>U42</f>
        <v>9.6917129630555557E-2</v>
      </c>
      <c r="X42" s="1745"/>
      <c r="Y42" s="1741">
        <f>Y41*354</f>
        <v>509760</v>
      </c>
      <c r="Z42" s="1741">
        <f>Z41*354</f>
        <v>509760</v>
      </c>
      <c r="AA42" s="1547"/>
      <c r="AB42" s="55"/>
      <c r="AC42" s="55"/>
      <c r="AD42" s="55"/>
      <c r="AE42" s="55"/>
      <c r="AF42" s="55"/>
      <c r="AG42" s="55"/>
      <c r="AH42" s="55"/>
      <c r="AI42" s="1011"/>
      <c r="AJ42" s="1007"/>
      <c r="AK42" s="502" t="s">
        <v>206</v>
      </c>
      <c r="AL42" s="502">
        <f>[1]!mtb(AL4,AL10,AL9)</f>
        <v>12.972282063453271</v>
      </c>
      <c r="AM42" s="1012">
        <f t="shared" ref="AM42:AM49" si="81">INT(ABS(AL42))</f>
        <v>12</v>
      </c>
      <c r="AN42" s="1012">
        <f t="shared" ref="AN42:AN49" si="82">INT((ABS(AL42)-AM42)*60)</f>
        <v>58</v>
      </c>
      <c r="AO42" s="1012">
        <f t="shared" ref="AO42:AO49" si="83">INT((((ABS(AL42)-AM42)*60)-AN42)*60)</f>
        <v>20</v>
      </c>
      <c r="AP42" s="1012">
        <f t="shared" ref="AP42:AP49" si="84">INT((((((ABS(AL42)-AM42)*60)-AN42)*60)-AO42)*60)</f>
        <v>12</v>
      </c>
      <c r="AQ42" s="637"/>
      <c r="AR42" s="1007"/>
      <c r="AS42" s="1007"/>
      <c r="AT42" s="1007"/>
      <c r="AU42" s="1007"/>
      <c r="AV42" s="1007"/>
      <c r="AW42" s="1007"/>
      <c r="AX42" s="1008"/>
      <c r="BA42" s="701">
        <f t="shared" ref="BA42:BL42" si="85">BA18</f>
        <v>9.5138888888888884E-2</v>
      </c>
      <c r="BB42" s="304">
        <f t="shared" si="85"/>
        <v>9.5138888888888884E-2</v>
      </c>
      <c r="BC42" s="304">
        <f t="shared" si="85"/>
        <v>9.5138888888888884E-2</v>
      </c>
      <c r="BD42" s="304">
        <f t="shared" si="85"/>
        <v>9.5138888888888884E-2</v>
      </c>
      <c r="BE42" s="304">
        <f t="shared" si="85"/>
        <v>9.5138888888888884E-2</v>
      </c>
      <c r="BF42" s="304">
        <f t="shared" si="85"/>
        <v>9.5138888888888884E-2</v>
      </c>
      <c r="BG42" s="304">
        <f t="shared" si="85"/>
        <v>9.5138888888888884E-2</v>
      </c>
      <c r="BH42" s="304">
        <f t="shared" si="85"/>
        <v>9.5138888888888884E-2</v>
      </c>
      <c r="BI42" s="304">
        <f t="shared" si="85"/>
        <v>9.5138888888888884E-2</v>
      </c>
      <c r="BJ42" s="304">
        <f t="shared" si="85"/>
        <v>9.5138888888888884E-2</v>
      </c>
      <c r="BK42" s="304">
        <f t="shared" si="85"/>
        <v>9.5138888888888884E-2</v>
      </c>
      <c r="BL42" s="314">
        <f t="shared" si="85"/>
        <v>9.5138888888888884E-2</v>
      </c>
      <c r="BM42" s="314"/>
      <c r="BU42" s="274"/>
      <c r="BV42" s="274"/>
      <c r="BW42" s="274"/>
      <c r="BX42" s="274"/>
      <c r="BY42" s="274"/>
      <c r="BZ42" s="274"/>
      <c r="CA42" s="274"/>
      <c r="CB42" s="274"/>
      <c r="CC42" s="274"/>
      <c r="CD42" s="274"/>
      <c r="CE42" s="274"/>
      <c r="CF42" s="274"/>
      <c r="CG42" s="274"/>
      <c r="CH42" s="274"/>
      <c r="CI42" s="274"/>
      <c r="CJ42" s="274"/>
      <c r="CK42" s="274"/>
      <c r="CL42" s="274"/>
      <c r="CM42" s="274"/>
      <c r="CN42" s="274"/>
      <c r="CO42" s="274"/>
      <c r="CP42" s="274"/>
      <c r="CQ42" s="274"/>
      <c r="CR42" s="274"/>
      <c r="CS42" s="274"/>
      <c r="CT42" s="274"/>
      <c r="CU42" s="274"/>
      <c r="CV42" s="274"/>
      <c r="CW42" s="274"/>
      <c r="CX42" s="274"/>
      <c r="CY42" s="274"/>
      <c r="CZ42" s="274"/>
      <c r="DA42" s="274"/>
      <c r="DB42" s="274"/>
      <c r="DC42" s="274"/>
      <c r="DR42" s="288"/>
      <c r="DS42" s="288"/>
      <c r="DT42" s="288"/>
      <c r="DU42" s="288"/>
      <c r="DV42" s="288"/>
      <c r="DW42" s="288"/>
      <c r="DX42" s="288"/>
      <c r="DY42" s="288"/>
      <c r="DZ42" s="288"/>
      <c r="EA42" s="288"/>
      <c r="EB42" s="288"/>
      <c r="EC42" s="288"/>
      <c r="ED42" s="288"/>
      <c r="EE42" s="288"/>
      <c r="EF42" s="288"/>
      <c r="EG42" s="288"/>
      <c r="EH42" s="288"/>
      <c r="EI42" s="288"/>
      <c r="EJ42" s="288"/>
      <c r="EK42" s="288"/>
      <c r="EL42" s="288"/>
      <c r="EM42" s="288"/>
      <c r="EN42" s="288"/>
      <c r="EO42" s="288"/>
      <c r="EP42" s="288"/>
      <c r="EQ42" s="288"/>
      <c r="ER42" s="288"/>
      <c r="ES42" s="288"/>
      <c r="ET42" s="288"/>
      <c r="EU42" s="288"/>
      <c r="EV42" s="288"/>
      <c r="EW42" s="288"/>
    </row>
    <row r="43" spans="1:153" ht="23.25">
      <c r="C43" t="s">
        <v>341</v>
      </c>
      <c r="D43">
        <f>INT(E40/3)</f>
        <v>0</v>
      </c>
      <c r="E43" t="s">
        <v>2254</v>
      </c>
      <c r="F43">
        <f>F41-F39</f>
        <v>-1.388888888888884E-3</v>
      </c>
      <c r="Q43" s="490" t="s">
        <v>4</v>
      </c>
      <c r="R43" s="1073">
        <f>Z38</f>
        <v>6</v>
      </c>
      <c r="S43" s="429" t="s">
        <v>177</v>
      </c>
      <c r="T43" s="226">
        <f>R41</f>
        <v>35</v>
      </c>
      <c r="U43" s="226">
        <f>T43</f>
        <v>35</v>
      </c>
      <c r="V43" s="226">
        <f>U43</f>
        <v>35</v>
      </c>
      <c r="W43" s="226">
        <f>U43</f>
        <v>35</v>
      </c>
      <c r="X43" s="1745"/>
      <c r="Y43" s="1741">
        <f>Y41/30</f>
        <v>48</v>
      </c>
      <c r="Z43" s="1741">
        <f>Z41/30</f>
        <v>48</v>
      </c>
      <c r="AA43" s="1547"/>
      <c r="AB43" s="55"/>
      <c r="AC43" s="55"/>
      <c r="AD43" s="55"/>
      <c r="AE43" s="55"/>
      <c r="AF43" s="55"/>
      <c r="AG43" s="55"/>
      <c r="AH43" s="55"/>
      <c r="AI43" s="1011"/>
      <c r="AJ43" s="1007"/>
      <c r="AK43" s="502" t="s">
        <v>1193</v>
      </c>
      <c r="AL43" s="502">
        <f>[1]!ml(AL4,AL42)</f>
        <v>5.1199275063243155</v>
      </c>
      <c r="AM43" s="1012">
        <f t="shared" si="81"/>
        <v>5</v>
      </c>
      <c r="AN43" s="1012">
        <f t="shared" si="82"/>
        <v>7</v>
      </c>
      <c r="AO43" s="1012">
        <f t="shared" si="83"/>
        <v>11</v>
      </c>
      <c r="AP43" s="1012">
        <f t="shared" si="84"/>
        <v>44</v>
      </c>
      <c r="AQ43" s="637"/>
      <c r="AR43" s="1007"/>
      <c r="AS43" s="1007"/>
      <c r="AT43" s="1007"/>
      <c r="AU43" s="1007"/>
      <c r="AV43" s="1007"/>
      <c r="AW43" s="1007"/>
      <c r="AX43" s="1008"/>
      <c r="BA43" s="701">
        <f t="shared" ref="BA43:BL43" si="86">BA19</f>
        <v>35</v>
      </c>
      <c r="BB43" s="304">
        <f t="shared" si="86"/>
        <v>35</v>
      </c>
      <c r="BC43" s="304">
        <f t="shared" si="86"/>
        <v>35</v>
      </c>
      <c r="BD43" s="304">
        <f t="shared" si="86"/>
        <v>35</v>
      </c>
      <c r="BE43" s="304">
        <f t="shared" si="86"/>
        <v>35</v>
      </c>
      <c r="BF43" s="304">
        <f t="shared" si="86"/>
        <v>35</v>
      </c>
      <c r="BG43" s="304">
        <f t="shared" si="86"/>
        <v>35</v>
      </c>
      <c r="BH43" s="304">
        <f t="shared" si="86"/>
        <v>35</v>
      </c>
      <c r="BI43" s="304">
        <f t="shared" si="86"/>
        <v>35</v>
      </c>
      <c r="BJ43" s="304">
        <f t="shared" si="86"/>
        <v>35</v>
      </c>
      <c r="BK43" s="304">
        <f t="shared" si="86"/>
        <v>35</v>
      </c>
      <c r="BL43" s="314">
        <f t="shared" si="86"/>
        <v>35</v>
      </c>
      <c r="BM43" s="314"/>
      <c r="BU43" s="274"/>
      <c r="BV43" s="274"/>
      <c r="BW43" s="274"/>
      <c r="BX43" s="274"/>
      <c r="BY43" s="274"/>
      <c r="BZ43" s="274"/>
      <c r="CA43" s="274"/>
      <c r="CB43" s="274"/>
      <c r="CC43" s="274"/>
      <c r="CD43" s="274"/>
      <c r="CE43" s="274"/>
      <c r="CF43" s="274"/>
      <c r="CG43" s="274"/>
      <c r="CH43" s="274"/>
      <c r="CI43" s="274"/>
      <c r="CJ43" s="274"/>
      <c r="CK43" s="274"/>
      <c r="CL43" s="274"/>
      <c r="CM43" s="274"/>
      <c r="CN43" s="274"/>
      <c r="CO43" s="274"/>
      <c r="CP43" s="274"/>
      <c r="CQ43" s="274"/>
      <c r="CR43" s="274"/>
      <c r="CS43" s="274"/>
      <c r="CT43" s="274"/>
      <c r="CU43" s="274"/>
      <c r="CV43" s="274"/>
      <c r="CW43" s="274"/>
      <c r="CX43" s="274"/>
      <c r="CY43" s="274"/>
      <c r="CZ43" s="274"/>
      <c r="DA43" s="274"/>
      <c r="DB43" s="274"/>
      <c r="DC43" s="274"/>
      <c r="DS43" s="288"/>
      <c r="DT43" s="288"/>
      <c r="DU43" s="288"/>
      <c r="DV43" s="288"/>
      <c r="DW43" s="288"/>
      <c r="DX43" s="288"/>
      <c r="DY43" s="288"/>
      <c r="DZ43" s="288"/>
      <c r="EA43" s="288"/>
      <c r="EB43" s="288"/>
      <c r="EC43" s="288"/>
      <c r="ED43" s="288"/>
      <c r="EE43" s="288"/>
      <c r="EF43" s="288"/>
      <c r="EG43" s="288"/>
      <c r="EH43" s="288"/>
      <c r="EI43" s="288"/>
      <c r="EJ43" s="288"/>
      <c r="EK43" s="288"/>
      <c r="EL43" s="288"/>
      <c r="EM43" s="288"/>
      <c r="EN43" s="288"/>
      <c r="EO43" s="288"/>
      <c r="EP43" s="288"/>
      <c r="EQ43" s="288"/>
      <c r="ER43" s="288"/>
      <c r="ES43" s="288"/>
      <c r="ET43" s="288"/>
      <c r="EU43" s="288"/>
      <c r="EV43" s="288"/>
      <c r="EW43" s="288"/>
    </row>
    <row r="44" spans="1:153" ht="24" thickBot="1">
      <c r="C44" t="s">
        <v>333</v>
      </c>
      <c r="D44">
        <f>INT(G38*120)</f>
        <v>302</v>
      </c>
      <c r="E44" t="s">
        <v>2255</v>
      </c>
      <c r="F44">
        <f>H39-F39</f>
        <v>8.3333333333334147E-3</v>
      </c>
      <c r="Q44" s="492" t="s">
        <v>3753</v>
      </c>
      <c r="R44" s="777">
        <f>Z49-Y49</f>
        <v>29</v>
      </c>
      <c r="S44" s="429" t="s">
        <v>4228</v>
      </c>
      <c r="T44" s="226">
        <f>[1]!bodmoadal(T37,T38,T39,T40,T42,T43)</f>
        <v>-19.272853409394827</v>
      </c>
      <c r="U44" s="226">
        <f>[1]!bodmoadal(U37,U38,U39,U40,U42,U43)</f>
        <v>-8.6661488864753835</v>
      </c>
      <c r="V44" s="226">
        <f>[1]!bodmoadal(V37,V38,V39,V40,V42,V43)</f>
        <v>2.2734069505050414</v>
      </c>
      <c r="W44" s="226">
        <f>[1]!bodmoadal(W37,W38,W39,W40,W42,W43)</f>
        <v>16.446779803569029</v>
      </c>
      <c r="X44" s="1745"/>
      <c r="Y44" s="1741">
        <f>Y43*11</f>
        <v>528</v>
      </c>
      <c r="Z44" s="1741">
        <f>Z43*11</f>
        <v>528</v>
      </c>
      <c r="AA44" s="1547"/>
      <c r="AB44" s="55"/>
      <c r="AC44" s="55"/>
      <c r="AD44" s="55"/>
      <c r="AE44" s="55"/>
      <c r="AF44" s="55"/>
      <c r="AG44" s="55"/>
      <c r="AH44" s="55"/>
      <c r="AI44" s="1011"/>
      <c r="AJ44" s="1007"/>
      <c r="AK44" s="502" t="s">
        <v>281</v>
      </c>
      <c r="AL44" s="502">
        <f>[1]!asher(AL4,AL18,AL9)</f>
        <v>112.45786412867298</v>
      </c>
      <c r="AM44" s="1012">
        <f t="shared" si="81"/>
        <v>112</v>
      </c>
      <c r="AN44" s="1012">
        <f t="shared" si="82"/>
        <v>27</v>
      </c>
      <c r="AO44" s="1012">
        <f t="shared" si="83"/>
        <v>28</v>
      </c>
      <c r="AP44" s="1012">
        <f t="shared" si="84"/>
        <v>18</v>
      </c>
      <c r="AQ44" s="637"/>
      <c r="AR44" s="1007"/>
      <c r="AS44" s="1007"/>
      <c r="AT44" s="1007"/>
      <c r="AU44" s="1007"/>
      <c r="AV44" s="1007"/>
      <c r="AW44" s="1007"/>
      <c r="AX44" s="1008"/>
      <c r="BA44" s="701" t="e">
        <f>[1]!taqsha(BA39,BA40,BA41,BA42)</f>
        <v>#VALUE!</v>
      </c>
      <c r="BB44" s="304" t="e">
        <f>[1]!taqsha(BB39,BB40,BB41,BB42)</f>
        <v>#VALUE!</v>
      </c>
      <c r="BC44" s="304" t="e">
        <f>[1]!taqsha(BC39,BC40,BC41,BC42)</f>
        <v>#VALUE!</v>
      </c>
      <c r="BD44" s="304" t="e">
        <f>[1]!taqsha(BD39,BD40,BD41,BD42)</f>
        <v>#VALUE!</v>
      </c>
      <c r="BE44" s="304" t="e">
        <f>[1]!taqsha(BE39,BE40,BE41,BE42)</f>
        <v>#VALUE!</v>
      </c>
      <c r="BF44" s="304" t="e">
        <f>[1]!taqsha(BF39,BF40,BF41,BF42)</f>
        <v>#VALUE!</v>
      </c>
      <c r="BG44" s="304" t="e">
        <f>[1]!taqsha(BG39,BG40,BG41,BG42)</f>
        <v>#VALUE!</v>
      </c>
      <c r="BH44" s="304" t="e">
        <f>[1]!taqsha(BH39,BH40,BH41,BH42)</f>
        <v>#VALUE!</v>
      </c>
      <c r="BI44" s="304" t="e">
        <f>[1]!taqsha(BI39,BI40,BI41,BI42)</f>
        <v>#VALUE!</v>
      </c>
      <c r="BJ44" s="304" t="e">
        <f>[1]!taqsha(BJ39,BJ40,BJ41,BJ42)</f>
        <v>#VALUE!</v>
      </c>
      <c r="BK44" s="304" t="e">
        <f>[1]!taqsha(BK39,BK40,BK41,BK42)</f>
        <v>#VALUE!</v>
      </c>
      <c r="BL44" s="314" t="e">
        <f>[1]!taqsha(BL39,BL40,BL41,BL42)</f>
        <v>#VALUE!</v>
      </c>
      <c r="BM44" s="314"/>
      <c r="BU44" s="274"/>
      <c r="BV44" s="274"/>
      <c r="BW44" s="274"/>
      <c r="BX44" s="274"/>
      <c r="BY44" s="274"/>
      <c r="BZ44" s="274"/>
      <c r="CA44" s="274"/>
      <c r="CB44" s="274"/>
      <c r="CC44" s="274"/>
      <c r="CD44" s="274"/>
      <c r="CE44" s="274"/>
      <c r="CF44" s="274"/>
      <c r="CG44" s="274"/>
      <c r="CH44" s="274"/>
      <c r="CI44" s="274"/>
      <c r="CJ44" s="274"/>
      <c r="CK44" s="274"/>
      <c r="CL44" s="274"/>
      <c r="CM44" s="274"/>
      <c r="CN44" s="274"/>
      <c r="CO44" s="274"/>
      <c r="CP44" s="274"/>
      <c r="CQ44" s="274"/>
      <c r="CR44" s="274"/>
      <c r="CS44" s="274"/>
      <c r="CT44" s="274"/>
      <c r="CU44" s="274"/>
      <c r="CV44" s="274"/>
      <c r="CW44" s="274"/>
      <c r="CX44" s="274"/>
      <c r="CY44" s="274"/>
      <c r="CZ44" s="274"/>
      <c r="DA44" s="274"/>
      <c r="DB44" s="274"/>
      <c r="DC44" s="274"/>
      <c r="DR44" s="288"/>
      <c r="DS44" s="288"/>
      <c r="DT44" s="288"/>
      <c r="DU44" s="288"/>
      <c r="DV44" s="288"/>
      <c r="DW44" s="288"/>
      <c r="DX44" s="288"/>
      <c r="DY44" s="288"/>
      <c r="DZ44" s="288"/>
      <c r="EA44" s="288"/>
      <c r="EB44" s="288"/>
      <c r="EC44" s="288"/>
      <c r="ED44" s="288"/>
      <c r="EE44" s="288"/>
      <c r="EF44" s="288"/>
      <c r="EG44" s="288"/>
      <c r="EH44" s="288"/>
      <c r="EI44" s="288"/>
      <c r="EJ44" s="288"/>
      <c r="EK44" s="288"/>
      <c r="EL44" s="288"/>
      <c r="EM44" s="288"/>
      <c r="EN44" s="288"/>
      <c r="EO44" s="288"/>
      <c r="EP44" s="288"/>
      <c r="EQ44" s="288"/>
      <c r="ER44" s="288"/>
      <c r="ES44" s="288"/>
      <c r="ET44" s="288"/>
      <c r="EU44" s="288"/>
      <c r="EV44" s="288"/>
      <c r="EW44" s="288"/>
    </row>
    <row r="45" spans="1:153" ht="24" thickBot="1">
      <c r="E45" t="s">
        <v>349</v>
      </c>
      <c r="F45">
        <f>((E40-(D43*3))*F43)/3</f>
        <v>-4.2268518518518371E-4</v>
      </c>
      <c r="Q45" s="1532"/>
      <c r="R45" s="1519">
        <f>[1]!troozhaq(R38,R39,R40,R41)</f>
        <v>29</v>
      </c>
      <c r="S45" s="1739" t="s">
        <v>3552</v>
      </c>
      <c r="T45" s="763">
        <f>[1]!bodsava(T37,T38,T39,T40,T42,T43)</f>
        <v>-17.304536467944104</v>
      </c>
      <c r="U45" s="763">
        <f>[1]!bodsava(U37,U38,U39,U40,U42,U43)</f>
        <v>-4.7030219336711809</v>
      </c>
      <c r="V45" s="763">
        <f>[1]!bodsava(V37,V38,V39,V40,V42,V43)</f>
        <v>6.802074363743202</v>
      </c>
      <c r="W45" s="763">
        <f>[1]!bodsava(W37,W38,W39,W40,W42,W43)</f>
        <v>19.990826097127467</v>
      </c>
      <c r="X45" s="1747"/>
      <c r="Y45" s="1741">
        <f>INT(Y38/2)*30+(Y38-1-INT(Y38/2))*29</f>
        <v>118</v>
      </c>
      <c r="Z45" s="1741">
        <f>INT(Z38/2)*30+(Z38-1-INT(Z38/2))*29</f>
        <v>148</v>
      </c>
      <c r="AA45" s="1547"/>
      <c r="AB45" s="55"/>
      <c r="AC45" s="55"/>
      <c r="AD45" s="55"/>
      <c r="AE45" s="55"/>
      <c r="AF45" s="55"/>
      <c r="AG45" s="55"/>
      <c r="AH45" s="55"/>
      <c r="AI45" s="1011"/>
      <c r="AJ45" s="1007"/>
      <c r="AK45" s="502" t="s">
        <v>278</v>
      </c>
      <c r="AL45" s="502">
        <f>[1]!qrk([1]!ml(AL4,AL44),AL9)</f>
        <v>75.805065808831856</v>
      </c>
      <c r="AM45" s="1012">
        <f t="shared" si="81"/>
        <v>75</v>
      </c>
      <c r="AN45" s="1012">
        <f t="shared" si="82"/>
        <v>48</v>
      </c>
      <c r="AO45" s="1012">
        <f t="shared" si="83"/>
        <v>18</v>
      </c>
      <c r="AP45" s="1012">
        <f t="shared" si="84"/>
        <v>14</v>
      </c>
      <c r="AQ45" s="637"/>
      <c r="AR45" s="1007"/>
      <c r="AS45" s="1007"/>
      <c r="AT45" s="1007"/>
      <c r="AU45" s="1007"/>
      <c r="AV45" s="1007"/>
      <c r="AW45" s="1007"/>
      <c r="AX45" s="1008"/>
      <c r="AZ45" s="327" t="s">
        <v>3556</v>
      </c>
      <c r="BA45" s="701" t="e">
        <f>[1]!qsn([1]!ml(BA44),BA43)/30</f>
        <v>#VALUE!</v>
      </c>
      <c r="BB45" s="304" t="e">
        <f>[1]!qsn([1]!ml(BB44),BB43)/30</f>
        <v>#VALUE!</v>
      </c>
      <c r="BC45" s="304" t="e">
        <f>[1]!qsn([1]!ml(BC44),BC43)/30</f>
        <v>#VALUE!</v>
      </c>
      <c r="BD45" s="304" t="e">
        <f>[1]!qsn([1]!ml(BD44),BD43)/30</f>
        <v>#VALUE!</v>
      </c>
      <c r="BE45" s="304" t="e">
        <f>[1]!qsn([1]!ml(BE44),BE43)/30</f>
        <v>#VALUE!</v>
      </c>
      <c r="BF45" s="304" t="e">
        <f>[1]!qsn([1]!ml(BF44),BF43)/30</f>
        <v>#VALUE!</v>
      </c>
      <c r="BG45" s="304" t="e">
        <f>[1]!qsn([1]!ml(BG44),BG43)/30</f>
        <v>#VALUE!</v>
      </c>
      <c r="BH45" s="304" t="e">
        <f>[1]!qsn([1]!ml(BH44),BH43)/30</f>
        <v>#VALUE!</v>
      </c>
      <c r="BI45" s="304" t="e">
        <f>[1]!qsn([1]!ml(BI44),BI43)/30</f>
        <v>#VALUE!</v>
      </c>
      <c r="BJ45" s="304" t="e">
        <f>[1]!qsn([1]!ml(BJ44),BJ43)/30</f>
        <v>#VALUE!</v>
      </c>
      <c r="BK45" s="304" t="e">
        <f>[1]!qsn([1]!ml(BK44),BK43)/30</f>
        <v>#VALUE!</v>
      </c>
      <c r="BL45" s="314" t="e">
        <f>[1]!qsn([1]!ml(BL44),BL43)/30</f>
        <v>#VALUE!</v>
      </c>
      <c r="BM45" s="314"/>
      <c r="BU45" s="274"/>
      <c r="BV45" s="274"/>
      <c r="BW45" s="274"/>
      <c r="BX45" s="274"/>
      <c r="BY45" s="274"/>
      <c r="BZ45" s="274"/>
      <c r="CA45" s="274"/>
      <c r="CB45" s="274"/>
      <c r="CC45" s="274"/>
      <c r="CD45" s="274"/>
      <c r="CE45" s="274"/>
      <c r="CF45" s="274"/>
      <c r="CG45" s="274"/>
      <c r="CH45" s="274"/>
      <c r="CI45" s="274"/>
      <c r="CJ45" s="274"/>
      <c r="CK45" s="274"/>
      <c r="CL45" s="274"/>
      <c r="CM45" s="274"/>
      <c r="CN45" s="274"/>
      <c r="CO45" s="274"/>
      <c r="CP45" s="274"/>
      <c r="CQ45" s="274"/>
      <c r="CR45" s="274"/>
      <c r="CS45" s="274"/>
      <c r="CT45" s="274"/>
      <c r="CU45" s="274"/>
      <c r="CV45" s="274"/>
      <c r="CW45" s="274"/>
      <c r="CX45" s="274"/>
      <c r="CY45" s="274"/>
      <c r="CZ45" s="274"/>
      <c r="DA45" s="274"/>
      <c r="DB45" s="274"/>
      <c r="DC45" s="274"/>
      <c r="DR45" s="274"/>
      <c r="DS45" s="274"/>
      <c r="DT45" s="274"/>
      <c r="DU45" s="274"/>
      <c r="DV45" s="274"/>
      <c r="DW45" s="274"/>
      <c r="DX45" s="274"/>
      <c r="DY45" s="274"/>
      <c r="DZ45" s="274"/>
      <c r="EA45" s="274"/>
      <c r="EB45" s="274"/>
      <c r="EC45" s="274"/>
      <c r="ED45" s="274"/>
      <c r="EE45" s="274"/>
      <c r="EF45" s="274"/>
      <c r="EG45" s="274"/>
      <c r="EH45" s="274"/>
      <c r="EI45" s="274"/>
      <c r="EJ45" s="274"/>
      <c r="EK45" s="274"/>
      <c r="EL45" s="274"/>
      <c r="EM45" s="274"/>
      <c r="EN45" s="274"/>
      <c r="EO45" s="274"/>
      <c r="EP45" s="274"/>
      <c r="EQ45" s="274"/>
      <c r="ER45" s="274"/>
      <c r="ES45" s="274"/>
      <c r="ET45" s="274"/>
      <c r="EU45" s="274"/>
      <c r="EV45" s="274"/>
      <c r="EW45" s="288"/>
    </row>
    <row r="46" spans="1:153" ht="23.25">
      <c r="D46">
        <f>[1]!manzarer(E40,G38)</f>
        <v>0</v>
      </c>
      <c r="E46" t="s">
        <v>2256</v>
      </c>
      <c r="F46">
        <f xml:space="preserve"> (((G38 - (D44 / 120)) * F44)) * 120</f>
        <v>3.3333333333334428E-3</v>
      </c>
      <c r="Q46" s="1532"/>
      <c r="R46" s="1519"/>
      <c r="S46" s="1738" t="s">
        <v>3</v>
      </c>
      <c r="T46" s="571">
        <f>R38</f>
        <v>1445</v>
      </c>
      <c r="U46" s="571">
        <f>IF(U38+1&lt;13,U37,U37+1)</f>
        <v>1445</v>
      </c>
      <c r="V46" s="571">
        <f>U46</f>
        <v>1445</v>
      </c>
      <c r="W46" s="571">
        <f>U46</f>
        <v>1445</v>
      </c>
      <c r="X46" s="1746">
        <f>W46</f>
        <v>1445</v>
      </c>
      <c r="Y46" s="1741">
        <f>Y37-Y41-1</f>
        <v>4</v>
      </c>
      <c r="Z46" s="1741">
        <f>Z37-Z41-1</f>
        <v>4</v>
      </c>
      <c r="AA46" s="1547"/>
      <c r="AB46" s="55"/>
      <c r="AC46" s="55"/>
      <c r="AD46" s="55"/>
      <c r="AE46" s="55"/>
      <c r="AF46" s="55"/>
      <c r="AG46" s="55"/>
      <c r="AH46" s="55"/>
      <c r="AI46" s="1011"/>
      <c r="AJ46" s="1007"/>
      <c r="AK46" s="502" t="s">
        <v>231</v>
      </c>
      <c r="AL46" s="502">
        <f>[1]!arzr(AL4,AL44,AL43,AL9)</f>
        <v>14.137117073439795</v>
      </c>
      <c r="AM46" s="1012">
        <f t="shared" si="81"/>
        <v>14</v>
      </c>
      <c r="AN46" s="1012">
        <f t="shared" si="82"/>
        <v>8</v>
      </c>
      <c r="AO46" s="1012">
        <f t="shared" si="83"/>
        <v>13</v>
      </c>
      <c r="AP46" s="1012">
        <f t="shared" si="84"/>
        <v>37</v>
      </c>
      <c r="AQ46" s="637"/>
      <c r="AR46" s="1007"/>
      <c r="AS46" s="1007"/>
      <c r="AT46" s="1007"/>
      <c r="AU46" s="1007"/>
      <c r="AV46" s="1007"/>
      <c r="AW46" s="1007"/>
      <c r="AX46" s="1008"/>
      <c r="AZ46" s="327" t="s">
        <v>698</v>
      </c>
      <c r="BA46" s="701" t="e">
        <f>[1]!taqqa(BA39,BA40,[1]!roz(BA41,BA45,0,0),BA42)</f>
        <v>#VALUE!</v>
      </c>
      <c r="BB46" s="304" t="e">
        <f>[1]!taqqa(BB39,BB40,[1]!roz(BB41,BB45,0,0),BB42)</f>
        <v>#VALUE!</v>
      </c>
      <c r="BC46" s="304" t="e">
        <f>[1]!taqqa(BC39,BC40,[1]!roz(BC41,BC45,0,0),BC42)</f>
        <v>#VALUE!</v>
      </c>
      <c r="BD46" s="304" t="e">
        <f>[1]!taqqa(BD39,BD40,[1]!roz(BD41,BD45,0,0),BD42)</f>
        <v>#VALUE!</v>
      </c>
      <c r="BE46" s="304" t="e">
        <f>[1]!taqqa(BE39,BE40,[1]!roz(BE41,BE45,0,0),BE42)</f>
        <v>#VALUE!</v>
      </c>
      <c r="BF46" s="304" t="e">
        <f>[1]!taqqa(BF39,BF40,[1]!roz(BF41,BF45,0,0),BF42)</f>
        <v>#VALUE!</v>
      </c>
      <c r="BG46" s="304" t="e">
        <f>[1]!taqqa(BG39,BG40,[1]!roz(BG41,BG45,0,0),BG42)</f>
        <v>#VALUE!</v>
      </c>
      <c r="BH46" s="304" t="e">
        <f>[1]!taqqa(BH39,BH40,[1]!roz(BH41,BH45,0,0),BH42)</f>
        <v>#VALUE!</v>
      </c>
      <c r="BI46" s="304" t="e">
        <f>[1]!taqqa(BI39,BI40,[1]!roz(BI41,BI45,0,0),BI42)</f>
        <v>#VALUE!</v>
      </c>
      <c r="BJ46" s="304" t="e">
        <f>[1]!taqqa(BJ39,BJ40,[1]!roz(BJ41,BJ45,0,0),BJ42)</f>
        <v>#VALUE!</v>
      </c>
      <c r="BK46" s="304" t="e">
        <f>[1]!taqqa(BK39,BK40,[1]!roz(BK41,BK45,0,0),BK42)</f>
        <v>#VALUE!</v>
      </c>
      <c r="BL46" s="314" t="e">
        <f>[1]!taqqa(BL39,BL40,[1]!roz(BL41,BL45,0,0),BL42)</f>
        <v>#VALUE!</v>
      </c>
      <c r="BM46" s="314"/>
      <c r="BU46" s="274"/>
      <c r="BV46" s="274"/>
      <c r="BW46" s="274"/>
      <c r="BX46" s="274"/>
      <c r="BY46" s="274"/>
      <c r="BZ46" s="274"/>
      <c r="CA46" s="274"/>
      <c r="CB46" s="274"/>
      <c r="CC46" s="274"/>
      <c r="CD46" s="274"/>
      <c r="CE46" s="274"/>
      <c r="CF46" s="274"/>
      <c r="CG46" s="274"/>
      <c r="CH46" s="274"/>
      <c r="CI46" s="274"/>
      <c r="CJ46" s="274"/>
      <c r="CK46" s="274"/>
      <c r="CL46" s="274"/>
      <c r="CM46" s="274"/>
      <c r="CN46" s="274"/>
      <c r="CO46" s="274"/>
      <c r="CP46" s="274"/>
      <c r="CQ46" s="274"/>
      <c r="CR46" s="274"/>
      <c r="CS46" s="274"/>
      <c r="CT46" s="274"/>
      <c r="CU46" s="274"/>
      <c r="CV46" s="274"/>
      <c r="CW46" s="274"/>
      <c r="CX46" s="274"/>
      <c r="CY46" s="274"/>
      <c r="CZ46" s="274"/>
      <c r="DA46" s="274"/>
      <c r="DB46" s="274"/>
      <c r="DC46" s="274"/>
      <c r="DR46" s="288"/>
      <c r="DS46" s="288"/>
      <c r="DT46" s="288"/>
      <c r="DU46" s="288"/>
      <c r="DV46" s="288"/>
      <c r="DW46" s="288"/>
      <c r="DX46" s="288"/>
      <c r="DY46" s="288"/>
      <c r="DZ46" s="288"/>
      <c r="EA46" s="288"/>
      <c r="EB46" s="288"/>
      <c r="EC46" s="288"/>
      <c r="ED46" s="288"/>
      <c r="EE46" s="288"/>
      <c r="EF46" s="288"/>
      <c r="EG46" s="288"/>
      <c r="EH46" s="288"/>
      <c r="EI46" s="288"/>
      <c r="EJ46" s="288"/>
      <c r="EK46" s="288"/>
      <c r="EL46" s="288"/>
      <c r="EM46" s="288"/>
      <c r="EN46" s="288"/>
      <c r="EO46" s="288"/>
      <c r="EP46" s="288"/>
      <c r="EQ46" s="288"/>
      <c r="ER46" s="288"/>
      <c r="ES46" s="288"/>
      <c r="ET46" s="288"/>
      <c r="EU46" s="288"/>
      <c r="EV46" s="288"/>
      <c r="EW46" s="288"/>
    </row>
    <row r="47" spans="1:153" ht="23.25">
      <c r="E47" t="s">
        <v>2284</v>
      </c>
      <c r="F47">
        <f>F39+F45</f>
        <v>0.94957731481481478</v>
      </c>
      <c r="Q47" s="1532"/>
      <c r="R47" s="1519"/>
      <c r="S47" s="1603" t="s">
        <v>4</v>
      </c>
      <c r="T47" s="429">
        <f>R39</f>
        <v>6</v>
      </c>
      <c r="U47" s="429">
        <f>T47</f>
        <v>6</v>
      </c>
      <c r="V47" s="429">
        <f>U47</f>
        <v>6</v>
      </c>
      <c r="W47" s="429">
        <f>V47</f>
        <v>6</v>
      </c>
      <c r="X47" s="1746">
        <f>W47</f>
        <v>6</v>
      </c>
      <c r="Y47" s="1741">
        <f>Y46*354</f>
        <v>1416</v>
      </c>
      <c r="Z47" s="1741">
        <f>Z46*354</f>
        <v>1416</v>
      </c>
      <c r="AA47" s="1547"/>
      <c r="AB47" s="55"/>
      <c r="AC47" s="55"/>
      <c r="AD47" s="55"/>
      <c r="AE47" s="55"/>
      <c r="AF47" s="55"/>
      <c r="AG47" s="55"/>
      <c r="AH47" s="55"/>
      <c r="AI47" s="1011"/>
      <c r="AJ47" s="1007"/>
      <c r="AK47" s="502" t="s">
        <v>1185</v>
      </c>
      <c r="AL47" s="502">
        <f>[1]!tn(AL39)*60/[1]!ctn(AL46)</f>
        <v>0.34011701890307816</v>
      </c>
      <c r="AM47" s="1012">
        <f t="shared" si="81"/>
        <v>0</v>
      </c>
      <c r="AN47" s="1012">
        <f t="shared" si="82"/>
        <v>20</v>
      </c>
      <c r="AO47" s="1012">
        <f t="shared" si="83"/>
        <v>24</v>
      </c>
      <c r="AP47" s="1012">
        <f t="shared" si="84"/>
        <v>25</v>
      </c>
      <c r="AQ47" s="637"/>
      <c r="AR47" s="1007"/>
      <c r="AS47" s="1007"/>
      <c r="AT47" s="1007"/>
      <c r="AU47" s="1007"/>
      <c r="AV47" s="1007"/>
      <c r="AW47" s="1007"/>
      <c r="AX47" s="1008"/>
      <c r="AZ47" s="327" t="s">
        <v>378</v>
      </c>
      <c r="BA47" s="701" t="e">
        <f>[1]!taqsha(BA39,BA40,[1]!roz(BA41,BA45,0,0),BA42)</f>
        <v>#VALUE!</v>
      </c>
      <c r="BB47" s="304" t="e">
        <f>[1]!taqsha(BB39,BB40,[1]!roz(BB41,BB45,0,0),BB42)</f>
        <v>#VALUE!</v>
      </c>
      <c r="BC47" s="304" t="e">
        <f>[1]!taqsha(BC39,BC40,[1]!roz(BC41,BC45,0,0),BC42)</f>
        <v>#VALUE!</v>
      </c>
      <c r="BD47" s="304" t="e">
        <f>[1]!taqsha(BD39,BD40,[1]!roz(BD41,BD45,0,0),BD42)</f>
        <v>#VALUE!</v>
      </c>
      <c r="BE47" s="304" t="e">
        <f>[1]!taqsha(BE39,BE40,[1]!roz(BE41,BE45,0,0),BE42)</f>
        <v>#VALUE!</v>
      </c>
      <c r="BF47" s="304" t="e">
        <f>[1]!taqsha(BF39,BF40,[1]!roz(BF41,BF45,0,0),BF42)</f>
        <v>#VALUE!</v>
      </c>
      <c r="BG47" s="304" t="e">
        <f>[1]!taqsha(BG39,BG40,[1]!roz(BG41,BG45,0,0),BG42)</f>
        <v>#VALUE!</v>
      </c>
      <c r="BH47" s="304" t="e">
        <f>[1]!taqsha(BH39,BH40,[1]!roz(BH41,BH45,0,0),BH42)</f>
        <v>#VALUE!</v>
      </c>
      <c r="BI47" s="304" t="e">
        <f>[1]!taqsha(BI39,BI40,[1]!roz(BI41,BI45,0,0),BI42)</f>
        <v>#VALUE!</v>
      </c>
      <c r="BJ47" s="304" t="e">
        <f>[1]!taqsha(BJ39,BJ40,[1]!roz(BJ41,BJ45,0,0),BJ42)</f>
        <v>#VALUE!</v>
      </c>
      <c r="BK47" s="304" t="e">
        <f>[1]!taqsha(BK39,BK40,[1]!roz(BK41,BK45,0,0),BK42)</f>
        <v>#VALUE!</v>
      </c>
      <c r="BL47" s="314" t="e">
        <f>[1]!taqsha(BL39,BL40,[1]!roz(BL41,BL45,0,0),BL42)</f>
        <v>#VALUE!</v>
      </c>
      <c r="BM47" s="314"/>
      <c r="BU47" s="274"/>
      <c r="BV47" s="274"/>
      <c r="BW47" s="274"/>
      <c r="BX47" s="274"/>
      <c r="BY47" s="274"/>
      <c r="BZ47" s="274"/>
      <c r="CA47" s="274"/>
      <c r="CB47" s="274"/>
      <c r="CC47" s="274"/>
      <c r="CD47" s="274"/>
      <c r="CE47" s="274"/>
      <c r="CF47" s="274"/>
      <c r="CG47" s="274"/>
      <c r="CH47" s="274"/>
      <c r="CI47" s="274"/>
      <c r="CJ47" s="274"/>
      <c r="CK47" s="274"/>
      <c r="CL47" s="274"/>
      <c r="CM47" s="274"/>
      <c r="CN47" s="274"/>
      <c r="CO47" s="274"/>
      <c r="CP47" s="274"/>
      <c r="CQ47" s="274"/>
      <c r="CR47" s="274"/>
      <c r="CS47" s="274"/>
      <c r="CT47" s="274"/>
      <c r="CU47" s="274"/>
      <c r="CV47" s="274"/>
      <c r="CW47" s="274"/>
      <c r="CX47" s="274"/>
      <c r="CY47" s="274"/>
      <c r="CZ47" s="274"/>
      <c r="DA47" s="274"/>
      <c r="DB47" s="274"/>
      <c r="DC47" s="274"/>
      <c r="DR47" s="288"/>
      <c r="DS47" s="288"/>
      <c r="DT47" s="288"/>
      <c r="DU47" s="288"/>
      <c r="DV47" s="288"/>
      <c r="DW47" s="288"/>
      <c r="DX47" s="288"/>
      <c r="DY47" s="288"/>
      <c r="DZ47" s="288"/>
      <c r="EA47" s="288"/>
      <c r="EB47" s="288"/>
      <c r="EC47" s="288"/>
      <c r="ED47" s="288"/>
      <c r="EE47" s="288"/>
      <c r="EF47" s="288"/>
      <c r="EG47" s="288"/>
      <c r="EH47" s="288"/>
      <c r="EI47" s="288"/>
      <c r="EJ47" s="288"/>
      <c r="EK47" s="288"/>
      <c r="EL47" s="288"/>
      <c r="EM47" s="288"/>
      <c r="EN47" s="288"/>
      <c r="EO47" s="288"/>
      <c r="EP47" s="288"/>
      <c r="EQ47" s="288"/>
      <c r="ER47" s="288"/>
      <c r="ES47" s="288"/>
      <c r="ET47" s="288"/>
      <c r="EU47" s="288"/>
      <c r="EV47" s="288"/>
      <c r="EW47" s="288"/>
    </row>
    <row r="48" spans="1:153" ht="24" thickBot="1">
      <c r="E48" t="s">
        <v>2285</v>
      </c>
      <c r="F48">
        <f>F39+F46</f>
        <v>0.95333333333333337</v>
      </c>
      <c r="Q48" s="1532"/>
      <c r="R48" s="1519"/>
      <c r="S48" s="1603" t="s">
        <v>1197</v>
      </c>
      <c r="T48" s="429">
        <v>28</v>
      </c>
      <c r="U48" s="429">
        <f>T48+1</f>
        <v>29</v>
      </c>
      <c r="V48" s="429">
        <f>U48+1</f>
        <v>30</v>
      </c>
      <c r="W48" s="429">
        <f>V48+1</f>
        <v>31</v>
      </c>
      <c r="X48" s="1745">
        <f>IF(AND(T52&gt;=10,T51&gt;10),T48,IF(AND(U52&gt;=10,U51&gt;=10),U48,IF(AND(V52&gt;=10,V51&gt;=10),V48,W48)))</f>
        <v>30</v>
      </c>
      <c r="Y48" s="1741">
        <f>IF(Y46&lt;2,0,IF(Y46&lt;5,1,IF(Y46&lt;7,2,IF(Y46&lt;10,3,IF(Y46&lt;13,4,IF(Y46&lt;15,5,IF(Y46&lt;18,6,IF(Y46&lt;21,7,IF(Y46&lt;24,8,IF(Y46&lt;26,9,IF(Y46&lt;29,10,11)))))))))))</f>
        <v>1</v>
      </c>
      <c r="Z48" s="1741">
        <f>IF(Z46&lt;2,0,IF(Z46&lt;5,1,IF(Z46&lt;7,2,IF(Z46&lt;10,3,IF(Z46&lt;13,4,IF(Z46&lt;15,5,IF(Z46&lt;18,6,IF(Z46&lt;21,7,IF(Z46&lt;24,8,IF(Z46&lt;26,9,IF(Z46&lt;29,10,11)))))))))))</f>
        <v>1</v>
      </c>
      <c r="AA48" s="1547"/>
      <c r="AB48" s="55"/>
      <c r="AC48" s="55"/>
      <c r="AD48" s="55"/>
      <c r="AE48" s="55"/>
      <c r="AF48" s="55"/>
      <c r="AG48" s="55"/>
      <c r="AH48" s="55"/>
      <c r="AI48" s="1011"/>
      <c r="AJ48" s="1007">
        <f>[1]!tadqroob(AL4,AL5,AP4,AP5,AL7,AL9)</f>
        <v>0.32432272131037604</v>
      </c>
      <c r="AK48" s="502" t="s">
        <v>1194</v>
      </c>
      <c r="AL48" s="502">
        <f>[1]!asn(AL47)</f>
        <v>0.32478956816682303</v>
      </c>
      <c r="AM48" s="1012">
        <f t="shared" si="81"/>
        <v>0</v>
      </c>
      <c r="AN48" s="1012">
        <f t="shared" si="82"/>
        <v>19</v>
      </c>
      <c r="AO48" s="1012">
        <f t="shared" si="83"/>
        <v>29</v>
      </c>
      <c r="AP48" s="1012">
        <f t="shared" si="84"/>
        <v>14</v>
      </c>
      <c r="AQ48" s="637"/>
      <c r="AR48" s="1007"/>
      <c r="AS48" s="1007"/>
      <c r="AT48" s="1007"/>
      <c r="AU48" s="1007"/>
      <c r="AV48" s="1007"/>
      <c r="AW48" s="1007"/>
      <c r="AX48" s="1008"/>
      <c r="AZ48" s="327"/>
      <c r="BA48" s="701"/>
      <c r="BB48" s="304"/>
      <c r="BC48" s="304"/>
      <c r="BD48" s="304"/>
      <c r="BE48" s="304"/>
      <c r="BF48" s="304"/>
      <c r="BG48" s="304"/>
      <c r="BH48" s="304"/>
      <c r="BI48" s="304"/>
      <c r="BJ48" s="304"/>
      <c r="BK48" s="304"/>
      <c r="BL48" s="314"/>
      <c r="BM48" s="314"/>
      <c r="BU48" s="274"/>
      <c r="BV48" s="274"/>
      <c r="BW48" s="274"/>
      <c r="BX48" s="274"/>
      <c r="BY48" s="274"/>
      <c r="BZ48" s="274"/>
      <c r="CA48" s="274"/>
      <c r="CB48" s="274"/>
      <c r="CC48" s="274"/>
      <c r="CD48" s="274"/>
      <c r="CE48" s="274"/>
      <c r="CF48" s="274"/>
      <c r="CG48" s="274"/>
      <c r="CH48" s="274"/>
      <c r="CI48" s="274"/>
      <c r="CJ48" s="274"/>
      <c r="CK48" s="274"/>
      <c r="CL48" s="274"/>
      <c r="CM48" s="274"/>
      <c r="CN48" s="274"/>
      <c r="CO48" s="274"/>
      <c r="CP48" s="274"/>
      <c r="CQ48" s="274"/>
      <c r="CR48" s="274"/>
      <c r="CS48" s="274"/>
      <c r="CT48" s="274"/>
      <c r="CU48" s="274"/>
      <c r="CV48" s="274"/>
      <c r="CW48" s="274"/>
      <c r="CX48" s="274"/>
      <c r="CY48" s="274"/>
      <c r="CZ48" s="274"/>
      <c r="DA48" s="274"/>
      <c r="DB48" s="274"/>
      <c r="DC48" s="274"/>
      <c r="DR48" s="288"/>
      <c r="DS48" s="288"/>
      <c r="DT48" s="288"/>
      <c r="DU48" s="288"/>
      <c r="DV48" s="288"/>
      <c r="DW48" s="288"/>
      <c r="DX48" s="288"/>
      <c r="DY48" s="288"/>
      <c r="DZ48" s="288"/>
      <c r="EA48" s="288"/>
      <c r="EB48" s="288"/>
      <c r="EC48" s="288"/>
      <c r="ED48" s="288"/>
      <c r="EE48" s="288"/>
      <c r="EF48" s="288"/>
      <c r="EG48" s="288"/>
      <c r="EH48" s="288"/>
      <c r="EI48" s="288"/>
      <c r="EJ48" s="288"/>
      <c r="EK48" s="288"/>
      <c r="EL48" s="288"/>
      <c r="EM48" s="288"/>
      <c r="EN48" s="288"/>
      <c r="EO48" s="288"/>
      <c r="EP48" s="288"/>
      <c r="EQ48" s="288"/>
      <c r="ER48" s="288"/>
      <c r="ES48" s="288"/>
      <c r="ET48" s="288"/>
      <c r="EU48" s="288"/>
      <c r="EV48" s="288"/>
      <c r="EW48" s="288"/>
    </row>
    <row r="49" spans="4:153" ht="24" thickBot="1">
      <c r="E49" t="s">
        <v>610</v>
      </c>
      <c r="F49">
        <f>H41-F41</f>
        <v>8.3333333333334147E-3</v>
      </c>
      <c r="Q49" s="1532"/>
      <c r="R49" s="1519"/>
      <c r="S49" s="1603" t="s">
        <v>3499</v>
      </c>
      <c r="T49" s="429">
        <f>[1]!vqoroob(T46,T47,T48,T42,T43)</f>
        <v>17.200712745566928</v>
      </c>
      <c r="U49" s="429">
        <f>[1]!vqoroob(U46,U47,U48,U42,U43)</f>
        <v>17.215075783626936</v>
      </c>
      <c r="V49" s="429">
        <f>[1]!vqoroob(V46,V47,V48,U42,U43)</f>
        <v>17.229665265812045</v>
      </c>
      <c r="W49" s="429">
        <f>[1]!vqoroob(W46,W47,W48,W42,W43)</f>
        <v>17.244470245962738</v>
      </c>
      <c r="X49" s="1745"/>
      <c r="Y49" s="1743">
        <f>Y47+Y44+Y42+Y45+Y39+Y48</f>
        <v>511854</v>
      </c>
      <c r="Z49" s="1743">
        <f>Z47+Z44+Z42+Z45+Z39+Z48</f>
        <v>511883</v>
      </c>
      <c r="AA49" s="1547" t="s">
        <v>4229</v>
      </c>
      <c r="AB49" s="55"/>
      <c r="AC49" s="55"/>
      <c r="AD49" s="55"/>
      <c r="AE49" s="55"/>
      <c r="AF49" s="55"/>
      <c r="AG49" s="55"/>
      <c r="AH49" s="55"/>
      <c r="AI49" s="1011"/>
      <c r="AJ49" s="1007"/>
      <c r="AK49" s="502" t="s">
        <v>1107</v>
      </c>
      <c r="AL49" s="502">
        <f>AL11-AL34</f>
        <v>31.268154056859672</v>
      </c>
      <c r="AM49" s="1012">
        <f t="shared" si="81"/>
        <v>31</v>
      </c>
      <c r="AN49" s="1012">
        <f t="shared" si="82"/>
        <v>16</v>
      </c>
      <c r="AO49" s="1012">
        <f t="shared" si="83"/>
        <v>5</v>
      </c>
      <c r="AP49" s="1012">
        <f t="shared" si="84"/>
        <v>21</v>
      </c>
      <c r="AQ49" s="637"/>
      <c r="AR49" s="1007"/>
      <c r="AS49" s="1007"/>
      <c r="AT49" s="1007"/>
      <c r="AU49" s="1007"/>
      <c r="AV49" s="1007"/>
      <c r="AW49" s="1007"/>
      <c r="AX49" s="1008"/>
      <c r="AZ49" s="327" t="s">
        <v>839</v>
      </c>
      <c r="BA49" s="699" t="e">
        <f>IF(BA46-BA47&gt;0,BA46-BA47,BA46-BA47+360)</f>
        <v>#VALUE!</v>
      </c>
      <c r="BB49" s="700" t="e">
        <f t="shared" ref="BB49:BK49" si="87">IF(BB46-BB47&gt;0,BB46-BB47,BB46-BB47+360)</f>
        <v>#VALUE!</v>
      </c>
      <c r="BC49" s="700" t="e">
        <f t="shared" si="87"/>
        <v>#VALUE!</v>
      </c>
      <c r="BD49" s="700" t="e">
        <f t="shared" si="87"/>
        <v>#VALUE!</v>
      </c>
      <c r="BE49" s="700" t="e">
        <f t="shared" si="87"/>
        <v>#VALUE!</v>
      </c>
      <c r="BF49" s="700" t="e">
        <f t="shared" si="87"/>
        <v>#VALUE!</v>
      </c>
      <c r="BG49" s="700" t="e">
        <f t="shared" si="87"/>
        <v>#VALUE!</v>
      </c>
      <c r="BH49" s="700" t="e">
        <f t="shared" si="87"/>
        <v>#VALUE!</v>
      </c>
      <c r="BI49" s="700" t="e">
        <f t="shared" si="87"/>
        <v>#VALUE!</v>
      </c>
      <c r="BJ49" s="700" t="e">
        <f t="shared" si="87"/>
        <v>#VALUE!</v>
      </c>
      <c r="BK49" s="700" t="e">
        <f t="shared" si="87"/>
        <v>#VALUE!</v>
      </c>
      <c r="BL49" s="315" t="e">
        <f>IF(BL46-BL47&gt;0,BL46-BL47,BL46-BL47+360)</f>
        <v>#VALUE!</v>
      </c>
      <c r="BM49" s="314"/>
      <c r="BU49" s="274"/>
      <c r="BV49" s="274"/>
      <c r="BW49" s="274"/>
      <c r="BX49" s="274"/>
      <c r="BY49" s="274"/>
      <c r="BZ49" s="274"/>
      <c r="CA49" s="274"/>
      <c r="CB49" s="274"/>
      <c r="CC49" s="274"/>
      <c r="CD49" s="274"/>
      <c r="CE49" s="274"/>
      <c r="CF49" s="274"/>
      <c r="CG49" s="274"/>
      <c r="CH49" s="274"/>
      <c r="CI49" s="274"/>
      <c r="CJ49" s="274"/>
      <c r="CK49" s="274"/>
      <c r="CL49" s="274"/>
      <c r="CM49" s="274"/>
      <c r="CN49" s="274"/>
      <c r="CO49" s="274"/>
      <c r="CP49" s="274"/>
      <c r="CQ49" s="274"/>
      <c r="CR49" s="274"/>
      <c r="CS49" s="274"/>
      <c r="CT49" s="274"/>
      <c r="CU49" s="274"/>
      <c r="CV49" s="274"/>
      <c r="CW49" s="274"/>
      <c r="CX49" s="274"/>
      <c r="CY49" s="274"/>
      <c r="CZ49" s="274"/>
      <c r="DA49" s="274"/>
      <c r="DB49" s="274"/>
      <c r="DC49" s="274"/>
      <c r="DR49" s="288"/>
      <c r="DS49" s="288"/>
      <c r="DT49" s="288"/>
      <c r="DU49" s="288"/>
      <c r="DV49" s="288"/>
      <c r="DW49" s="288"/>
      <c r="DX49" s="288"/>
      <c r="DY49" s="288"/>
      <c r="DZ49" s="288"/>
      <c r="EA49" s="288"/>
      <c r="EB49" s="288"/>
      <c r="EC49" s="288"/>
      <c r="ED49" s="288"/>
      <c r="EE49" s="288"/>
      <c r="EF49" s="288"/>
      <c r="EG49" s="288"/>
      <c r="EH49" s="288"/>
      <c r="EI49" s="288"/>
      <c r="EJ49" s="288"/>
      <c r="EK49" s="288"/>
      <c r="EL49" s="288"/>
      <c r="EM49" s="288"/>
      <c r="EN49" s="288"/>
      <c r="EO49" s="288"/>
      <c r="EP49" s="288"/>
      <c r="EQ49" s="288"/>
      <c r="ER49" s="288"/>
      <c r="ES49" s="288"/>
      <c r="ET49" s="288"/>
      <c r="EU49" s="288"/>
      <c r="EV49" s="288"/>
      <c r="EW49" s="288"/>
    </row>
    <row r="50" spans="4:153" ht="24" thickBot="1">
      <c r="E50" t="s">
        <v>2287</v>
      </c>
      <c r="F50">
        <f>((E40 - (D43 * 3)) * F49) / 3</f>
        <v>2.5361111111111361E-3</v>
      </c>
      <c r="Q50" s="1532"/>
      <c r="R50" s="1519"/>
      <c r="S50" s="1603" t="s">
        <v>1386</v>
      </c>
      <c r="T50" s="429">
        <f>[1]!roz(T48,T49,0,0)</f>
        <v>28.716696364398622</v>
      </c>
      <c r="U50" s="429">
        <f>[1]!roz(U48,U49,0,0)</f>
        <v>29.71729482431779</v>
      </c>
      <c r="V50" s="429">
        <f>[1]!roz(V48,V49,0,0)</f>
        <v>30.717902719408833</v>
      </c>
      <c r="W50" s="429">
        <f>[1]!roz(W48,W49,0,0)</f>
        <v>31.718519593581782</v>
      </c>
      <c r="X50" s="1745"/>
      <c r="Y50" s="1519">
        <f>[1]!troozv(Y37,Y38,Y39)</f>
        <v>511854</v>
      </c>
      <c r="Z50" s="1740">
        <f>MOD(Z49,7)</f>
        <v>1</v>
      </c>
      <c r="AA50" s="1547"/>
      <c r="AB50" s="55"/>
      <c r="AC50" s="55"/>
      <c r="AD50" s="55"/>
      <c r="AE50" s="55"/>
      <c r="AF50" s="55"/>
      <c r="AG50" s="55"/>
      <c r="AH50" s="55"/>
      <c r="AI50" s="1020"/>
      <c r="AJ50" s="1019">
        <f>[1]!taqmareeq(AL4,AL5,AP4,AP5,AL7,AL9)</f>
        <v>31.264815338166876</v>
      </c>
      <c r="AK50" s="765" t="s">
        <v>1107</v>
      </c>
      <c r="AL50" s="1019">
        <f>[1]!taqmaree(AL11,AL18,AL35)</f>
        <v>31.273875453176174</v>
      </c>
      <c r="AM50" s="1015">
        <f t="shared" ref="AM50" si="88">INT(ABS(AL50))</f>
        <v>31</v>
      </c>
      <c r="AN50" s="1015">
        <f t="shared" ref="AN50" si="89">INT((ABS(AL50)-AM50)*60)</f>
        <v>16</v>
      </c>
      <c r="AO50" s="1015">
        <f t="shared" ref="AO50" si="90">INT((((ABS(AL50)-AM50)*60)-AN50)*60)</f>
        <v>25</v>
      </c>
      <c r="AP50" s="1015">
        <f t="shared" ref="AP50" si="91">INT((((((ABS(AL50)-AM50)*60)-AN50)*60)-AO50)*60)</f>
        <v>57</v>
      </c>
      <c r="AQ50" s="1021"/>
      <c r="AR50" s="1007"/>
      <c r="AS50" s="1007"/>
      <c r="AT50" s="1007"/>
      <c r="AU50" s="1007"/>
      <c r="AV50" s="1007"/>
      <c r="AW50" s="1007"/>
      <c r="AX50" s="1008"/>
      <c r="AZ50" s="327"/>
      <c r="BA50" s="701"/>
      <c r="BB50" s="304"/>
      <c r="BC50" s="304"/>
      <c r="BD50" s="304"/>
      <c r="BE50" s="304"/>
      <c r="BF50" s="304"/>
      <c r="BG50" s="304"/>
      <c r="BH50" s="304"/>
      <c r="BI50" s="304"/>
      <c r="BJ50" s="304"/>
      <c r="BK50" s="304"/>
      <c r="BL50" s="304"/>
      <c r="BM50" s="314"/>
      <c r="BU50" s="274"/>
      <c r="BV50" s="274"/>
      <c r="BW50" s="274"/>
      <c r="BX50" s="274"/>
      <c r="BY50" s="274"/>
      <c r="BZ50" s="274"/>
      <c r="CA50" s="274"/>
      <c r="CB50" s="274"/>
      <c r="CC50" s="274"/>
      <c r="CD50" s="274"/>
      <c r="CE50" s="274"/>
      <c r="CF50" s="274"/>
      <c r="CG50" s="274"/>
      <c r="CH50" s="274"/>
      <c r="CI50" s="274"/>
      <c r="CJ50" s="274"/>
      <c r="CK50" s="274"/>
      <c r="CL50" s="274"/>
      <c r="CM50" s="274"/>
      <c r="CN50" s="274"/>
      <c r="CO50" s="274"/>
      <c r="CP50" s="274"/>
      <c r="CQ50" s="274"/>
      <c r="CR50" s="274"/>
      <c r="CS50" s="274"/>
      <c r="CT50" s="274"/>
      <c r="CU50" s="274"/>
      <c r="CV50" s="274"/>
      <c r="CW50" s="274"/>
      <c r="CX50" s="274"/>
      <c r="CY50" s="274"/>
      <c r="CZ50" s="274"/>
      <c r="DA50" s="274"/>
      <c r="DB50" s="274"/>
      <c r="DC50" s="274"/>
      <c r="DR50" s="288"/>
      <c r="DS50" s="288"/>
      <c r="DT50" s="288"/>
      <c r="DU50" s="288"/>
      <c r="DV50" s="288"/>
      <c r="DW50" s="288"/>
      <c r="DX50" s="288"/>
      <c r="DY50" s="288"/>
      <c r="DZ50" s="288"/>
      <c r="EA50" s="288"/>
      <c r="EB50" s="288"/>
      <c r="EC50" s="288"/>
      <c r="ED50" s="288"/>
      <c r="EE50" s="288"/>
      <c r="EF50" s="288"/>
      <c r="EG50" s="288"/>
      <c r="EH50" s="288"/>
      <c r="EI50" s="288"/>
      <c r="EJ50" s="288"/>
      <c r="EK50" s="288"/>
      <c r="EL50" s="288"/>
      <c r="EM50" s="288"/>
      <c r="EN50" s="288"/>
      <c r="EO50" s="288"/>
      <c r="EP50" s="288"/>
      <c r="EQ50" s="288"/>
      <c r="ER50" s="288"/>
      <c r="ES50" s="288"/>
      <c r="ET50" s="288"/>
      <c r="EU50" s="288"/>
      <c r="EV50" s="288"/>
      <c r="EW50" s="288"/>
    </row>
    <row r="51" spans="4:153" ht="24" thickBot="1">
      <c r="E51" t="s">
        <v>2288</v>
      </c>
      <c r="F51">
        <f>F41+F50</f>
        <v>0.95114722222222226</v>
      </c>
      <c r="Q51" s="1532"/>
      <c r="R51" s="1519"/>
      <c r="S51" s="1603" t="s">
        <v>4228</v>
      </c>
      <c r="T51" s="226">
        <f>[1]!bodmoadal(T46,T47,T48,T49,T42,T43)</f>
        <v>-18.882403416720649</v>
      </c>
      <c r="U51" s="226">
        <f>[1]!bodmoadal(U46,U47,U48,U49,U42,U43)</f>
        <v>-3.4282560874159174</v>
      </c>
      <c r="V51" s="226">
        <f>[1]!bodmoadal(V46,V47,V48,V49,U42,U43)</f>
        <v>13.266160650713957</v>
      </c>
      <c r="W51" s="226">
        <f>[1]!bodmoadal(W46,W47,W48,W49,W42,W43)</f>
        <v>30.77534810806155</v>
      </c>
      <c r="X51" s="1745"/>
      <c r="Y51" s="1750"/>
      <c r="Z51" s="1757" t="str">
        <f>IF(Z50=0,"جمعه",IF(Z50=1,"شنبه",IF(Z50=2,"یک شنبه",IF(Z50=3,"دو شنبه",IF(Z50=4,"سه شنبه",IF(Z50=5,"چهار شنبه","پنج شنبه"))))))</f>
        <v>شنبه</v>
      </c>
      <c r="AA51" s="1751"/>
      <c r="AB51" s="55"/>
      <c r="AC51" s="55"/>
      <c r="AD51" s="55"/>
      <c r="AE51" s="55"/>
      <c r="AF51" s="55"/>
      <c r="AG51" s="55"/>
      <c r="AH51" s="55"/>
      <c r="AI51" s="1020"/>
      <c r="AJ51" s="1019">
        <f>[1]!qamarmoadal1(AL4,AL5,AP4,AP5,AL7,AL9)</f>
        <v>31.598198174486551</v>
      </c>
      <c r="AK51" s="765" t="s">
        <v>1187</v>
      </c>
      <c r="AL51" s="765">
        <f>IF(AL39&gt;0,AL49+ABS(AL48),AL49-ABS(AL48))</f>
        <v>31.592943625026496</v>
      </c>
      <c r="AM51" s="1015">
        <f t="shared" ref="AM51:AM59" si="92">INT(ABS(AL51))</f>
        <v>31</v>
      </c>
      <c r="AN51" s="1015">
        <f t="shared" ref="AN51:AN59" si="93">INT((ABS(AL51)-AM51)*60)</f>
        <v>35</v>
      </c>
      <c r="AO51" s="1015">
        <f t="shared" ref="AO51:AO59" si="94">INT((((ABS(AL51)-AM51)*60)-AN51)*60)</f>
        <v>34</v>
      </c>
      <c r="AP51" s="1015">
        <f t="shared" ref="AP51:AP59" si="95">INT((((((ABS(AL51)-AM51)*60)-AN51)*60)-AO51)*60)</f>
        <v>35</v>
      </c>
      <c r="AQ51" s="766"/>
      <c r="AR51" s="1007"/>
      <c r="AS51" s="1007"/>
      <c r="AT51" s="1007"/>
      <c r="AU51" s="1007"/>
      <c r="AV51" s="1007"/>
      <c r="AW51" s="1007"/>
      <c r="AX51" s="1008"/>
      <c r="AZ51" s="108" t="s">
        <v>3</v>
      </c>
      <c r="BA51" s="696">
        <f t="shared" ref="BA51:BL51" si="96">BA39</f>
        <v>1</v>
      </c>
      <c r="BB51" s="697">
        <f t="shared" si="96"/>
        <v>1</v>
      </c>
      <c r="BC51" s="697">
        <f t="shared" si="96"/>
        <v>1</v>
      </c>
      <c r="BD51" s="697">
        <f t="shared" si="96"/>
        <v>1</v>
      </c>
      <c r="BE51" s="697">
        <f t="shared" si="96"/>
        <v>1</v>
      </c>
      <c r="BF51" s="697">
        <f t="shared" si="96"/>
        <v>1</v>
      </c>
      <c r="BG51" s="697">
        <f t="shared" si="96"/>
        <v>1</v>
      </c>
      <c r="BH51" s="697">
        <f t="shared" si="96"/>
        <v>1</v>
      </c>
      <c r="BI51" s="697">
        <f t="shared" si="96"/>
        <v>1</v>
      </c>
      <c r="BJ51" s="697">
        <f t="shared" si="96"/>
        <v>1</v>
      </c>
      <c r="BK51" s="697">
        <f t="shared" si="96"/>
        <v>1</v>
      </c>
      <c r="BL51" s="698">
        <f t="shared" si="96"/>
        <v>1</v>
      </c>
      <c r="BM51" s="314"/>
      <c r="BU51" s="274"/>
      <c r="BV51" s="274"/>
      <c r="BW51" s="274"/>
      <c r="BX51" s="274"/>
      <c r="BY51" s="274"/>
      <c r="BZ51" s="274"/>
      <c r="CA51" s="274"/>
      <c r="CB51" s="274"/>
      <c r="CC51" s="274"/>
      <c r="CD51" s="274"/>
      <c r="CE51" s="274"/>
      <c r="CF51" s="274"/>
      <c r="CG51" s="274"/>
      <c r="CH51" s="274"/>
      <c r="CI51" s="274"/>
      <c r="CJ51" s="274"/>
      <c r="CK51" s="274"/>
      <c r="CL51" s="274"/>
      <c r="CM51" s="274"/>
      <c r="CN51" s="274"/>
      <c r="CO51" s="274"/>
      <c r="CP51" s="274"/>
      <c r="CQ51" s="274"/>
      <c r="CR51" s="274"/>
      <c r="CS51" s="274"/>
      <c r="CT51" s="274"/>
      <c r="CU51" s="274"/>
      <c r="CV51" s="274"/>
      <c r="CW51" s="274"/>
      <c r="CX51" s="274"/>
      <c r="CY51" s="274"/>
      <c r="CZ51" s="274"/>
      <c r="DA51" s="274"/>
      <c r="DB51" s="274"/>
      <c r="DC51" s="274"/>
      <c r="DR51" s="288"/>
      <c r="DS51" s="288"/>
      <c r="DT51" s="288"/>
      <c r="DU51" s="288"/>
      <c r="DV51" s="288"/>
      <c r="DW51" s="288"/>
      <c r="DX51" s="288"/>
      <c r="DY51" s="288"/>
      <c r="DZ51" s="288"/>
      <c r="EA51" s="288"/>
      <c r="EB51" s="288"/>
      <c r="EC51" s="288"/>
      <c r="ED51" s="288"/>
      <c r="EE51" s="288"/>
      <c r="EF51" s="288"/>
      <c r="EG51" s="288"/>
      <c r="EH51" s="288"/>
      <c r="EI51" s="288"/>
      <c r="EJ51" s="288"/>
      <c r="EK51" s="288"/>
      <c r="EL51" s="288"/>
      <c r="EM51" s="288"/>
      <c r="EN51" s="288"/>
      <c r="EO51" s="288"/>
      <c r="EP51" s="288"/>
      <c r="EQ51" s="288"/>
      <c r="ER51" s="288"/>
      <c r="ES51" s="288"/>
      <c r="ET51" s="288"/>
      <c r="EU51" s="288"/>
      <c r="EV51" s="288"/>
      <c r="EW51" s="288"/>
    </row>
    <row r="52" spans="4:153" ht="24" thickBot="1">
      <c r="E52" t="s">
        <v>2289</v>
      </c>
      <c r="F52">
        <f>F51-F48</f>
        <v>-2.1861111111111109E-3</v>
      </c>
      <c r="Q52" s="1591"/>
      <c r="R52" s="1592"/>
      <c r="S52" s="1739" t="s">
        <v>3552</v>
      </c>
      <c r="T52" s="763">
        <f>[1]!bodsava(T46,T47,T48,T49,T42,T43)</f>
        <v>-13.364234210568213</v>
      </c>
      <c r="U52" s="763">
        <f>[1]!bodsava(U46,U47,U48,U49,U42,U43)</f>
        <v>-2.8322550255620627</v>
      </c>
      <c r="V52" s="763">
        <f>[1]!bodsava(V46,V47,V48,V49,U42,U43)</f>
        <v>13.815152975114472</v>
      </c>
      <c r="W52" s="763">
        <f>[1]!bodsava(W46,W47,W48,W49,W42,W43)</f>
        <v>27.758717288592663</v>
      </c>
      <c r="X52" s="1747"/>
      <c r="Y52" s="1752"/>
      <c r="Z52" s="1752"/>
      <c r="AA52" s="1753"/>
      <c r="AB52" s="55"/>
      <c r="AC52" s="55"/>
      <c r="AD52" s="55"/>
      <c r="AE52" s="55"/>
      <c r="AF52" s="55"/>
      <c r="AG52" s="55"/>
      <c r="AH52" s="55"/>
      <c r="AI52" s="1011"/>
      <c r="AJ52" s="1007"/>
      <c r="AK52" s="502" t="s">
        <v>1189</v>
      </c>
      <c r="AL52" s="502">
        <f>IF(AL10&lt;180,AL10+180,AL10-180)</f>
        <v>200.26545514543739</v>
      </c>
      <c r="AM52" s="1012">
        <f t="shared" si="92"/>
        <v>200</v>
      </c>
      <c r="AN52" s="1012">
        <f t="shared" si="93"/>
        <v>15</v>
      </c>
      <c r="AO52" s="1012">
        <f t="shared" si="94"/>
        <v>55</v>
      </c>
      <c r="AP52" s="1012">
        <f t="shared" si="95"/>
        <v>38</v>
      </c>
      <c r="AQ52" s="637"/>
      <c r="AR52" s="1007"/>
      <c r="AS52" s="1007"/>
      <c r="AT52" s="1007"/>
      <c r="AU52" s="1007"/>
      <c r="AV52" s="1007"/>
      <c r="AW52" s="1007"/>
      <c r="AX52" s="1008"/>
      <c r="AZ52" s="112" t="s">
        <v>4</v>
      </c>
      <c r="BA52" s="701">
        <f t="shared" ref="BA52:BL52" si="97">BA40</f>
        <v>1</v>
      </c>
      <c r="BB52" s="304">
        <f t="shared" si="97"/>
        <v>2</v>
      </c>
      <c r="BC52" s="304">
        <f t="shared" si="97"/>
        <v>3</v>
      </c>
      <c r="BD52" s="304">
        <f t="shared" si="97"/>
        <v>4</v>
      </c>
      <c r="BE52" s="304">
        <f t="shared" si="97"/>
        <v>5</v>
      </c>
      <c r="BF52" s="304">
        <f t="shared" si="97"/>
        <v>6</v>
      </c>
      <c r="BG52" s="304">
        <f t="shared" si="97"/>
        <v>7</v>
      </c>
      <c r="BH52" s="304">
        <f t="shared" si="97"/>
        <v>8</v>
      </c>
      <c r="BI52" s="304">
        <f t="shared" si="97"/>
        <v>9</v>
      </c>
      <c r="BJ52" s="304">
        <f t="shared" si="97"/>
        <v>10</v>
      </c>
      <c r="BK52" s="304">
        <f t="shared" si="97"/>
        <v>11</v>
      </c>
      <c r="BL52" s="314">
        <f t="shared" si="97"/>
        <v>12</v>
      </c>
      <c r="BM52" s="314"/>
      <c r="BU52" s="274"/>
      <c r="BV52" s="274"/>
      <c r="BW52" s="274"/>
      <c r="BX52" s="274"/>
      <c r="BY52" s="274"/>
      <c r="BZ52" s="274"/>
      <c r="CA52" s="274"/>
      <c r="CB52" s="274"/>
      <c r="CC52" s="274"/>
      <c r="CD52" s="274"/>
      <c r="CE52" s="274"/>
      <c r="CF52" s="274"/>
      <c r="CG52" s="274"/>
      <c r="CH52" s="274"/>
      <c r="CI52" s="274"/>
      <c r="CJ52" s="274"/>
      <c r="CK52" s="274"/>
      <c r="CL52" s="274"/>
      <c r="CM52" s="274"/>
      <c r="CN52" s="274"/>
      <c r="CO52" s="274"/>
      <c r="CP52" s="274"/>
      <c r="CQ52" s="274"/>
      <c r="CR52" s="274"/>
      <c r="CS52" s="274"/>
      <c r="CT52" s="274"/>
      <c r="CU52" s="274"/>
      <c r="CV52" s="274"/>
      <c r="CW52" s="274"/>
      <c r="CX52" s="274"/>
      <c r="CY52" s="274"/>
      <c r="CZ52" s="274"/>
      <c r="DA52" s="274"/>
      <c r="DB52" s="274"/>
      <c r="DC52" s="274"/>
      <c r="DR52" s="288"/>
      <c r="DS52" s="288"/>
      <c r="DT52" s="288"/>
      <c r="DU52" s="288"/>
      <c r="DV52" s="288"/>
      <c r="DW52" s="288"/>
      <c r="DX52" s="288"/>
      <c r="DY52" s="288"/>
      <c r="DZ52" s="288"/>
      <c r="EA52" s="288"/>
      <c r="EB52" s="288"/>
      <c r="EC52" s="288"/>
      <c r="ED52" s="288"/>
      <c r="EE52" s="288"/>
      <c r="EF52" s="288"/>
      <c r="EG52" s="288"/>
      <c r="EH52" s="288"/>
      <c r="EI52" s="288"/>
      <c r="EJ52" s="288"/>
      <c r="EK52" s="288"/>
      <c r="EL52" s="288"/>
      <c r="EM52" s="288"/>
      <c r="EN52" s="288"/>
      <c r="EO52" s="288"/>
      <c r="EP52" s="288"/>
      <c r="EQ52" s="288"/>
      <c r="ER52" s="288"/>
      <c r="ES52" s="288"/>
      <c r="ET52" s="288"/>
      <c r="EU52" s="288"/>
      <c r="EV52" s="288"/>
      <c r="EW52" s="288"/>
    </row>
    <row r="53" spans="4:153" ht="23.25">
      <c r="E53" t="s">
        <v>2290</v>
      </c>
      <c r="F53">
        <f xml:space="preserve"> (((G38 - (D44 / 120)) * F52)) * 120</f>
        <v>-8.7444444444446457E-4</v>
      </c>
      <c r="T53" s="55"/>
      <c r="U53" s="55"/>
      <c r="V53" s="55"/>
      <c r="W53" s="55"/>
      <c r="X53" s="55"/>
      <c r="Y53" s="55"/>
      <c r="Z53" s="1022"/>
      <c r="AA53" s="55"/>
      <c r="AB53" s="55"/>
      <c r="AC53" s="55"/>
      <c r="AD53" s="55"/>
      <c r="AE53" s="55"/>
      <c r="AF53" s="55"/>
      <c r="AG53" s="55"/>
      <c r="AH53" s="55"/>
      <c r="AI53" s="1011"/>
      <c r="AJ53" s="502"/>
      <c r="AK53" s="502" t="s">
        <v>1190</v>
      </c>
      <c r="AL53" s="502">
        <f>IF(AL51&lt;180,AL51+180,AL51-180)</f>
        <v>211.59294362502649</v>
      </c>
      <c r="AM53" s="1012">
        <f t="shared" si="92"/>
        <v>211</v>
      </c>
      <c r="AN53" s="1012">
        <f t="shared" si="93"/>
        <v>35</v>
      </c>
      <c r="AO53" s="1012">
        <f t="shared" si="94"/>
        <v>34</v>
      </c>
      <c r="AP53" s="1012">
        <f t="shared" si="95"/>
        <v>35</v>
      </c>
      <c r="AQ53" s="637"/>
      <c r="AR53" s="1007"/>
      <c r="AS53" s="1007"/>
      <c r="AT53" s="1007"/>
      <c r="AU53" s="1007"/>
      <c r="AV53" s="1007"/>
      <c r="AW53" s="1007"/>
      <c r="AX53" s="1008"/>
      <c r="AZ53" s="112" t="s">
        <v>3543</v>
      </c>
      <c r="BA53" s="708" t="e">
        <f>BA41+29</f>
        <v>#VALUE!</v>
      </c>
      <c r="BB53" s="708" t="e">
        <f t="shared" ref="BB53:BL53" si="98">BB41+29</f>
        <v>#VALUE!</v>
      </c>
      <c r="BC53" s="708" t="e">
        <f t="shared" si="98"/>
        <v>#VALUE!</v>
      </c>
      <c r="BD53" s="708" t="e">
        <f t="shared" si="98"/>
        <v>#VALUE!</v>
      </c>
      <c r="BE53" s="708" t="e">
        <f t="shared" si="98"/>
        <v>#VALUE!</v>
      </c>
      <c r="BF53" s="708" t="e">
        <f t="shared" si="98"/>
        <v>#VALUE!</v>
      </c>
      <c r="BG53" s="708" t="e">
        <f t="shared" si="98"/>
        <v>#VALUE!</v>
      </c>
      <c r="BH53" s="708" t="e">
        <f t="shared" si="98"/>
        <v>#VALUE!</v>
      </c>
      <c r="BI53" s="708" t="e">
        <f t="shared" si="98"/>
        <v>#VALUE!</v>
      </c>
      <c r="BJ53" s="708" t="e">
        <f t="shared" si="98"/>
        <v>#VALUE!</v>
      </c>
      <c r="BK53" s="708" t="e">
        <f t="shared" si="98"/>
        <v>#VALUE!</v>
      </c>
      <c r="BL53" s="708" t="e">
        <f t="shared" si="98"/>
        <v>#VALUE!</v>
      </c>
      <c r="BM53" s="314"/>
      <c r="BU53" s="274"/>
      <c r="BV53" s="274"/>
      <c r="BW53" s="274"/>
      <c r="BX53" s="274"/>
      <c r="BY53" s="274"/>
      <c r="BZ53" s="274"/>
      <c r="CA53" s="274"/>
      <c r="CB53" s="274"/>
      <c r="CC53" s="274"/>
      <c r="CD53" s="274"/>
      <c r="CE53" s="274"/>
      <c r="CF53" s="274"/>
      <c r="CG53" s="274"/>
      <c r="CH53" s="274"/>
      <c r="CI53" s="274"/>
      <c r="CJ53" s="274"/>
      <c r="CK53" s="274"/>
      <c r="CL53" s="274"/>
      <c r="CM53" s="274"/>
      <c r="CN53" s="274"/>
      <c r="CO53" s="274"/>
      <c r="CP53" s="274"/>
      <c r="CQ53" s="274"/>
      <c r="CR53" s="274"/>
      <c r="CS53" s="274"/>
      <c r="CT53" s="274"/>
      <c r="CU53" s="274"/>
      <c r="CV53" s="274"/>
      <c r="CW53" s="274"/>
      <c r="CX53" s="274"/>
      <c r="CY53" s="274"/>
      <c r="CZ53" s="274"/>
      <c r="DA53" s="274"/>
      <c r="DB53" s="274"/>
      <c r="DC53" s="274"/>
      <c r="DR53" s="288"/>
      <c r="DS53" s="288"/>
      <c r="DT53" s="288"/>
      <c r="DU53" s="288"/>
      <c r="DV53" s="288"/>
      <c r="DW53" s="288"/>
      <c r="DX53" s="288"/>
      <c r="DY53" s="288"/>
      <c r="DZ53" s="288"/>
      <c r="EA53" s="288"/>
      <c r="EB53" s="288"/>
      <c r="EC53" s="288"/>
      <c r="ED53" s="288"/>
      <c r="EE53" s="288"/>
      <c r="EF53" s="288"/>
      <c r="EG53" s="288"/>
      <c r="EH53" s="288"/>
      <c r="EI53" s="288"/>
      <c r="EJ53" s="288"/>
      <c r="EK53" s="288"/>
      <c r="EL53" s="288"/>
      <c r="EM53" s="288"/>
      <c r="EN53" s="288"/>
      <c r="EO53" s="288"/>
      <c r="EP53" s="288"/>
      <c r="EQ53" s="288"/>
      <c r="ER53" s="288"/>
      <c r="ES53" s="288"/>
      <c r="ET53" s="288"/>
      <c r="EU53" s="288"/>
      <c r="EV53" s="288"/>
      <c r="EW53" s="288"/>
    </row>
    <row r="54" spans="4:153" ht="23.25">
      <c r="E54" t="s">
        <v>2291</v>
      </c>
      <c r="F54">
        <f>F48+F53</f>
        <v>0.95245888888888885</v>
      </c>
      <c r="T54" s="55"/>
      <c r="U54" s="55"/>
      <c r="V54" s="55"/>
      <c r="W54" s="55"/>
      <c r="X54" s="55"/>
      <c r="Y54" s="55"/>
      <c r="Z54" s="55"/>
      <c r="AA54" s="55"/>
      <c r="AB54" s="55"/>
      <c r="AC54" s="55"/>
      <c r="AD54" s="55"/>
      <c r="AE54" s="55"/>
      <c r="AF54" s="55"/>
      <c r="AG54" s="55"/>
      <c r="AH54" s="55"/>
      <c r="AI54" s="1011"/>
      <c r="AJ54" s="1007"/>
      <c r="AK54" s="502" t="s">
        <v>1192</v>
      </c>
      <c r="AL54" s="502">
        <f>[1]!mtb(AL4,AL52,AL9)</f>
        <v>204.46000398083021</v>
      </c>
      <c r="AM54" s="1012">
        <f t="shared" si="92"/>
        <v>204</v>
      </c>
      <c r="AN54" s="1012">
        <f t="shared" si="93"/>
        <v>27</v>
      </c>
      <c r="AO54" s="1012">
        <f t="shared" si="94"/>
        <v>36</v>
      </c>
      <c r="AP54" s="1012">
        <f t="shared" si="95"/>
        <v>0</v>
      </c>
      <c r="AQ54" s="637"/>
      <c r="AR54" s="1007"/>
      <c r="AS54" s="1007"/>
      <c r="AT54" s="1007"/>
      <c r="AU54" s="1007"/>
      <c r="AV54" s="1007"/>
      <c r="AW54" s="1007"/>
      <c r="AX54" s="1008"/>
      <c r="AZ54" s="112" t="s">
        <v>326</v>
      </c>
      <c r="BA54" s="701">
        <f t="shared" ref="BA54:BL54" si="99">BA42</f>
        <v>9.5138888888888884E-2</v>
      </c>
      <c r="BB54" s="304">
        <f t="shared" si="99"/>
        <v>9.5138888888888884E-2</v>
      </c>
      <c r="BC54" s="304">
        <f t="shared" si="99"/>
        <v>9.5138888888888884E-2</v>
      </c>
      <c r="BD54" s="304">
        <f t="shared" si="99"/>
        <v>9.5138888888888884E-2</v>
      </c>
      <c r="BE54" s="304">
        <f t="shared" si="99"/>
        <v>9.5138888888888884E-2</v>
      </c>
      <c r="BF54" s="304">
        <f t="shared" si="99"/>
        <v>9.5138888888888884E-2</v>
      </c>
      <c r="BG54" s="304">
        <f t="shared" si="99"/>
        <v>9.5138888888888884E-2</v>
      </c>
      <c r="BH54" s="304">
        <f t="shared" si="99"/>
        <v>9.5138888888888884E-2</v>
      </c>
      <c r="BI54" s="304">
        <f t="shared" si="99"/>
        <v>9.5138888888888884E-2</v>
      </c>
      <c r="BJ54" s="304">
        <f t="shared" si="99"/>
        <v>9.5138888888888884E-2</v>
      </c>
      <c r="BK54" s="304">
        <f t="shared" si="99"/>
        <v>9.5138888888888884E-2</v>
      </c>
      <c r="BL54" s="314">
        <f t="shared" si="99"/>
        <v>9.5138888888888884E-2</v>
      </c>
      <c r="BM54" s="314"/>
      <c r="BP54" s="274"/>
      <c r="BU54" s="274"/>
      <c r="BV54" s="274"/>
      <c r="BW54" s="274"/>
      <c r="BX54" s="274"/>
      <c r="BY54" s="274"/>
      <c r="BZ54" s="274"/>
      <c r="CA54" s="274"/>
      <c r="CB54" s="274"/>
      <c r="CC54" s="274"/>
      <c r="CD54" s="274"/>
      <c r="CE54" s="274"/>
      <c r="CF54" s="274"/>
      <c r="CG54" s="274"/>
      <c r="CH54" s="274"/>
      <c r="CI54" s="274"/>
      <c r="CJ54" s="274"/>
      <c r="CK54" s="274"/>
      <c r="CL54" s="274"/>
      <c r="CM54" s="274"/>
      <c r="CN54" s="274"/>
      <c r="CO54" s="274"/>
      <c r="CP54" s="274"/>
      <c r="CQ54" s="274"/>
      <c r="CR54" s="274"/>
      <c r="CS54" s="274"/>
      <c r="CT54" s="274"/>
      <c r="CU54" s="274"/>
      <c r="CV54" s="274"/>
      <c r="CW54" s="274"/>
      <c r="CX54" s="274"/>
      <c r="CY54" s="274"/>
      <c r="CZ54" s="274"/>
      <c r="DA54" s="274"/>
      <c r="DB54" s="274"/>
      <c r="DC54" s="274"/>
      <c r="DR54" s="288"/>
      <c r="DS54" s="288"/>
      <c r="DT54" s="288"/>
      <c r="DU54" s="288"/>
      <c r="DV54" s="288"/>
      <c r="DW54" s="288"/>
      <c r="DX54" s="288"/>
      <c r="DY54" s="288"/>
      <c r="DZ54" s="288"/>
      <c r="EA54" s="288"/>
      <c r="EB54" s="288"/>
      <c r="EC54" s="288"/>
      <c r="ED54" s="288"/>
      <c r="EE54" s="288"/>
      <c r="EF54" s="288"/>
      <c r="EG54" s="288"/>
      <c r="EH54" s="288"/>
      <c r="EI54" s="288"/>
      <c r="EJ54" s="288"/>
      <c r="EK54" s="288"/>
      <c r="EL54" s="288"/>
      <c r="EM54" s="288"/>
      <c r="EN54" s="288"/>
      <c r="EO54" s="288"/>
      <c r="EP54" s="288"/>
      <c r="EQ54" s="288"/>
      <c r="ER54" s="288"/>
      <c r="ES54" s="288"/>
      <c r="ET54" s="288"/>
      <c r="EU54" s="288"/>
      <c r="EV54" s="288"/>
      <c r="EW54" s="288"/>
    </row>
    <row r="55" spans="4:153" ht="24" thickBot="1">
      <c r="T55" s="55"/>
      <c r="U55" s="55"/>
      <c r="V55" s="55"/>
      <c r="W55" s="55"/>
      <c r="X55" s="55"/>
      <c r="Y55" s="55"/>
      <c r="Z55" s="55"/>
      <c r="AA55" s="55"/>
      <c r="AB55" s="55"/>
      <c r="AC55" s="55"/>
      <c r="AD55" s="55"/>
      <c r="AE55" s="55"/>
      <c r="AF55" s="55"/>
      <c r="AG55" s="55"/>
      <c r="AH55" s="55"/>
      <c r="AI55" s="1011"/>
      <c r="AJ55" s="1007"/>
      <c r="AK55" s="502" t="s">
        <v>1191</v>
      </c>
      <c r="AL55" s="502">
        <f>[1]!mtb(AL4,AL53,AL9)</f>
        <v>218.2557133096644</v>
      </c>
      <c r="AM55" s="1012">
        <f t="shared" si="92"/>
        <v>218</v>
      </c>
      <c r="AN55" s="1012">
        <f t="shared" si="93"/>
        <v>15</v>
      </c>
      <c r="AO55" s="1012">
        <f t="shared" si="94"/>
        <v>20</v>
      </c>
      <c r="AP55" s="1012">
        <f t="shared" si="95"/>
        <v>34</v>
      </c>
      <c r="AQ55" s="637"/>
      <c r="AR55" s="1013"/>
      <c r="AS55" s="1013"/>
      <c r="AT55" s="1013"/>
      <c r="AU55" s="1013"/>
      <c r="AV55" s="1013"/>
      <c r="AW55" s="1013"/>
      <c r="AX55" s="1014"/>
      <c r="AZ55" s="112" t="s">
        <v>177</v>
      </c>
      <c r="BA55" s="701">
        <f t="shared" ref="BA55:BL55" si="100">BA43</f>
        <v>35</v>
      </c>
      <c r="BB55" s="304">
        <f t="shared" si="100"/>
        <v>35</v>
      </c>
      <c r="BC55" s="304">
        <f t="shared" si="100"/>
        <v>35</v>
      </c>
      <c r="BD55" s="304">
        <f t="shared" si="100"/>
        <v>35</v>
      </c>
      <c r="BE55" s="304">
        <f t="shared" si="100"/>
        <v>35</v>
      </c>
      <c r="BF55" s="304">
        <f t="shared" si="100"/>
        <v>35</v>
      </c>
      <c r="BG55" s="304">
        <f t="shared" si="100"/>
        <v>35</v>
      </c>
      <c r="BH55" s="304">
        <f t="shared" si="100"/>
        <v>35</v>
      </c>
      <c r="BI55" s="304">
        <f t="shared" si="100"/>
        <v>35</v>
      </c>
      <c r="BJ55" s="304">
        <f t="shared" si="100"/>
        <v>35</v>
      </c>
      <c r="BK55" s="304">
        <f t="shared" si="100"/>
        <v>35</v>
      </c>
      <c r="BL55" s="314">
        <f t="shared" si="100"/>
        <v>35</v>
      </c>
      <c r="BM55" s="314"/>
      <c r="BP55" s="274"/>
      <c r="BU55" s="274"/>
      <c r="BV55" s="274"/>
      <c r="BW55" s="274"/>
      <c r="BX55" s="274"/>
      <c r="BY55" s="274"/>
      <c r="BZ55" s="274"/>
      <c r="CA55" s="274"/>
      <c r="CB55" s="274"/>
      <c r="CC55" s="274"/>
      <c r="CD55" s="274"/>
      <c r="CE55" s="274"/>
      <c r="CF55" s="274"/>
      <c r="CG55" s="274"/>
      <c r="CH55" s="274"/>
      <c r="CI55" s="274"/>
      <c r="CJ55" s="274"/>
      <c r="CK55" s="274"/>
      <c r="CL55" s="274"/>
      <c r="CM55" s="274"/>
      <c r="CN55" s="274"/>
      <c r="CO55" s="274"/>
      <c r="CP55" s="274"/>
      <c r="CQ55" s="274"/>
      <c r="CR55" s="274"/>
      <c r="CS55" s="274"/>
      <c r="CT55" s="274"/>
      <c r="CU55" s="274"/>
      <c r="CV55" s="274"/>
      <c r="CW55" s="274"/>
      <c r="CX55" s="274"/>
      <c r="CY55" s="274"/>
      <c r="CZ55" s="274"/>
      <c r="DA55" s="274"/>
      <c r="DB55" s="274"/>
      <c r="DC55" s="274"/>
      <c r="DL55" s="288"/>
      <c r="DM55" s="288"/>
      <c r="DN55" s="288"/>
      <c r="DO55" s="288"/>
      <c r="DP55" s="288"/>
      <c r="DQ55" s="288"/>
      <c r="DR55" s="288"/>
      <c r="DS55" s="288"/>
      <c r="DT55" s="288"/>
      <c r="DU55" s="288"/>
      <c r="DV55" s="288"/>
      <c r="DW55" s="288"/>
      <c r="DX55" s="288"/>
      <c r="DY55" s="288"/>
      <c r="DZ55" s="288"/>
      <c r="EA55" s="288"/>
      <c r="EB55" s="288"/>
      <c r="EC55" s="288"/>
      <c r="ED55" s="288"/>
      <c r="EE55" s="288"/>
      <c r="EF55" s="288"/>
      <c r="EG55" s="288"/>
      <c r="EH55" s="288"/>
      <c r="EI55" s="288"/>
      <c r="EJ55" s="288"/>
      <c r="EK55" s="288"/>
      <c r="EL55" s="288"/>
      <c r="EM55" s="288"/>
      <c r="EN55" s="288"/>
      <c r="EO55" s="288"/>
      <c r="EP55" s="288"/>
      <c r="EQ55" s="288"/>
      <c r="ER55" s="288"/>
      <c r="ES55" s="288"/>
      <c r="ET55" s="288"/>
      <c r="EU55" s="288"/>
      <c r="EV55" s="288"/>
      <c r="EW55" s="288"/>
    </row>
    <row r="56" spans="4:153" ht="23.25">
      <c r="T56" s="55"/>
      <c r="U56" s="55"/>
      <c r="V56" s="55"/>
      <c r="W56" s="55"/>
      <c r="X56" s="55"/>
      <c r="Y56" s="55"/>
      <c r="Z56" s="55"/>
      <c r="AA56" s="55"/>
      <c r="AB56" s="1022"/>
      <c r="AC56" s="1022"/>
      <c r="AD56" s="1022"/>
      <c r="AE56" s="1022"/>
      <c r="AF56" s="1022"/>
      <c r="AG56" s="1022"/>
      <c r="AH56" s="1022"/>
      <c r="AI56" s="1011"/>
      <c r="AJ56" s="1007"/>
      <c r="AK56" s="1007"/>
      <c r="AL56" s="502">
        <f>IF(AL55&gt;AL54,AL55-AL54,AL55+360-AL54)</f>
        <v>13.795709328834192</v>
      </c>
      <c r="AM56" s="1012">
        <f t="shared" si="92"/>
        <v>13</v>
      </c>
      <c r="AN56" s="1012">
        <f t="shared" si="93"/>
        <v>47</v>
      </c>
      <c r="AO56" s="1012">
        <f t="shared" si="94"/>
        <v>44</v>
      </c>
      <c r="AP56" s="1012">
        <f t="shared" si="95"/>
        <v>33</v>
      </c>
      <c r="AQ56" s="637"/>
      <c r="AR56" s="1022"/>
      <c r="AS56" s="1022"/>
      <c r="AT56" s="1022"/>
      <c r="AU56" s="1022"/>
      <c r="AV56" s="1022"/>
      <c r="AW56" s="1022"/>
      <c r="AX56" s="1022"/>
      <c r="AY56" s="274"/>
      <c r="AZ56" s="112"/>
      <c r="BA56" s="701" t="e">
        <f>[1]!taqsha(BA51,BA52,BA53,BA54)</f>
        <v>#VALUE!</v>
      </c>
      <c r="BB56" s="304" t="e">
        <f>[1]!taqsha(BB51,BB52,BB53,BB54)</f>
        <v>#VALUE!</v>
      </c>
      <c r="BC56" s="304" t="e">
        <f>[1]!taqsha(BC51,BC52,BC53,BC54)</f>
        <v>#VALUE!</v>
      </c>
      <c r="BD56" s="304" t="e">
        <f>[1]!taqsha(BD51,BD52,BD53,BD54)</f>
        <v>#VALUE!</v>
      </c>
      <c r="BE56" s="304" t="e">
        <f>[1]!taqsha(BE51,BE52,BE53,BE54)</f>
        <v>#VALUE!</v>
      </c>
      <c r="BF56" s="304" t="e">
        <f>[1]!taqsha(BF51,BF52,BF53,BF54)</f>
        <v>#VALUE!</v>
      </c>
      <c r="BG56" s="304" t="e">
        <f>[1]!taqsha(BG51,BG52,BG53,BG54)</f>
        <v>#VALUE!</v>
      </c>
      <c r="BH56" s="304" t="e">
        <f>[1]!taqsha(BH51,BH52,BH53,BH54)</f>
        <v>#VALUE!</v>
      </c>
      <c r="BI56" s="304" t="e">
        <f>[1]!taqsha(BI51,BI52,BI53,BI54)</f>
        <v>#VALUE!</v>
      </c>
      <c r="BJ56" s="304" t="e">
        <f>[1]!taqsha(BJ51,BJ52,BJ53,BJ54)</f>
        <v>#VALUE!</v>
      </c>
      <c r="BK56" s="304" t="e">
        <f>[1]!taqsha(BK51,BK52,BK53,BK54)</f>
        <v>#VALUE!</v>
      </c>
      <c r="BL56" s="314" t="e">
        <f>[1]!taqsha(BL51,BL52,BL53,BL54)</f>
        <v>#VALUE!</v>
      </c>
      <c r="BM56" s="314"/>
      <c r="BN56" s="274"/>
      <c r="BO56" s="274"/>
      <c r="BP56" s="274"/>
      <c r="BQ56" s="274"/>
      <c r="BR56" s="274"/>
      <c r="BS56" s="274"/>
      <c r="BT56" s="274"/>
      <c r="BU56" s="274"/>
      <c r="BV56" s="274"/>
      <c r="BW56" s="274"/>
      <c r="BX56" s="274"/>
      <c r="BY56" s="274"/>
      <c r="BZ56" s="274"/>
      <c r="CA56" s="274"/>
      <c r="CB56" s="274"/>
      <c r="CC56" s="274"/>
      <c r="CD56" s="274"/>
      <c r="CE56" s="274"/>
      <c r="CF56" s="274"/>
      <c r="CG56" s="274"/>
      <c r="CH56" s="274"/>
      <c r="CI56" s="274"/>
      <c r="CJ56" s="274"/>
      <c r="CK56" s="274"/>
      <c r="CL56" s="274"/>
      <c r="CM56" s="274"/>
      <c r="CN56" s="274"/>
      <c r="CO56" s="274"/>
      <c r="CP56" s="274"/>
      <c r="CQ56" s="274"/>
      <c r="CR56" s="274"/>
      <c r="CS56" s="274"/>
      <c r="CT56" s="274"/>
      <c r="CU56" s="274"/>
      <c r="CV56" s="274"/>
      <c r="CW56" s="274"/>
      <c r="CX56" s="274"/>
      <c r="CY56" s="274"/>
      <c r="CZ56" s="274"/>
      <c r="DA56" s="274"/>
      <c r="DB56" s="274"/>
      <c r="DC56" s="274"/>
      <c r="DL56" s="288"/>
      <c r="DM56" s="288"/>
      <c r="DN56" s="288"/>
      <c r="DO56" s="288"/>
      <c r="DP56" s="288"/>
      <c r="DQ56" s="288"/>
      <c r="DR56" s="288"/>
      <c r="DS56" s="288"/>
      <c r="DT56" s="288"/>
      <c r="DU56" s="288"/>
      <c r="DV56" s="288"/>
      <c r="DW56" s="288"/>
      <c r="DX56" s="288"/>
      <c r="DY56" s="288"/>
      <c r="DZ56" s="288"/>
      <c r="EA56" s="288"/>
      <c r="EB56" s="288"/>
      <c r="EC56" s="288"/>
      <c r="ED56" s="288"/>
      <c r="EE56" s="288"/>
      <c r="EF56" s="288"/>
      <c r="EG56" s="288"/>
      <c r="EH56" s="288"/>
      <c r="EI56" s="288"/>
      <c r="EJ56" s="288"/>
      <c r="EK56" s="288"/>
      <c r="EL56" s="288"/>
      <c r="EM56" s="288"/>
      <c r="EN56" s="288"/>
      <c r="EO56" s="288"/>
      <c r="EP56" s="288"/>
      <c r="EQ56" s="288"/>
      <c r="ER56" s="288"/>
      <c r="ES56" s="288"/>
      <c r="ET56" s="288"/>
      <c r="EU56" s="288"/>
      <c r="EV56" s="288"/>
      <c r="EW56" s="288"/>
    </row>
    <row r="57" spans="4:153" ht="23.25">
      <c r="D57" s="274"/>
      <c r="E57" s="274"/>
      <c r="F57" s="274"/>
      <c r="G57" s="274"/>
      <c r="H57" s="274"/>
      <c r="I57" s="274"/>
      <c r="J57" s="274"/>
      <c r="K57" s="274"/>
      <c r="L57" s="274"/>
      <c r="M57" s="274"/>
      <c r="N57" s="274"/>
      <c r="T57" s="55"/>
      <c r="U57" s="55"/>
      <c r="V57" s="55"/>
      <c r="W57" s="55"/>
      <c r="X57" s="55"/>
      <c r="Y57" s="1022"/>
      <c r="Z57" s="1022"/>
      <c r="AA57" s="1022"/>
      <c r="AB57" s="1022"/>
      <c r="AC57" s="1022"/>
      <c r="AD57" s="1022"/>
      <c r="AE57" s="1022"/>
      <c r="AF57" s="1022"/>
      <c r="AG57" s="1022"/>
      <c r="AH57" s="1022"/>
      <c r="AI57" s="1011"/>
      <c r="AJ57" s="1007"/>
      <c r="AK57" s="1007"/>
      <c r="AL57" s="502">
        <f>IF(AL50-AL10&lt;180,AL50-AL10,AL50-360-AL10)</f>
        <v>11.008420307738781</v>
      </c>
      <c r="AM57" s="1012">
        <f t="shared" si="92"/>
        <v>11</v>
      </c>
      <c r="AN57" s="1012">
        <f t="shared" si="93"/>
        <v>0</v>
      </c>
      <c r="AO57" s="1012">
        <f t="shared" si="94"/>
        <v>30</v>
      </c>
      <c r="AP57" s="1012">
        <f t="shared" si="95"/>
        <v>18</v>
      </c>
      <c r="AQ57" s="637"/>
      <c r="AR57" s="1022"/>
      <c r="AS57" s="1022"/>
      <c r="AT57" s="1022"/>
      <c r="AU57" s="1022"/>
      <c r="AV57" s="1022"/>
      <c r="AW57" s="1022"/>
      <c r="AX57" s="1022"/>
      <c r="AY57" s="274"/>
      <c r="AZ57" s="112" t="s">
        <v>1484</v>
      </c>
      <c r="BA57" s="701" t="e">
        <f>[1]!qsn([1]!ml(BA56),BA55)/30</f>
        <v>#VALUE!</v>
      </c>
      <c r="BB57" s="304" t="e">
        <f>[1]!qsn([1]!ml(BB56),BB55)/30</f>
        <v>#VALUE!</v>
      </c>
      <c r="BC57" s="304" t="e">
        <f>[1]!qsn([1]!ml(BC56),BC55)/30</f>
        <v>#VALUE!</v>
      </c>
      <c r="BD57" s="304" t="e">
        <f>[1]!qsn([1]!ml(BD56),BD55)/30</f>
        <v>#VALUE!</v>
      </c>
      <c r="BE57" s="304" t="e">
        <f>[1]!qsn([1]!ml(BE56),BE55)/30</f>
        <v>#VALUE!</v>
      </c>
      <c r="BF57" s="304" t="e">
        <f>[1]!qsn([1]!ml(BF56),BF55)/30</f>
        <v>#VALUE!</v>
      </c>
      <c r="BG57" s="304" t="e">
        <f>[1]!qsn([1]!ml(BG56),BG55)/30</f>
        <v>#VALUE!</v>
      </c>
      <c r="BH57" s="304" t="e">
        <f>[1]!qsn([1]!ml(BH56),BH55)/30</f>
        <v>#VALUE!</v>
      </c>
      <c r="BI57" s="304" t="e">
        <f>[1]!qsn([1]!ml(BI56),BI55)/30</f>
        <v>#VALUE!</v>
      </c>
      <c r="BJ57" s="304" t="e">
        <f>[1]!qsn([1]!ml(BJ56),BJ55)/30</f>
        <v>#VALUE!</v>
      </c>
      <c r="BK57" s="304" t="e">
        <f>[1]!qsn([1]!ml(BK56),BK55)/30</f>
        <v>#VALUE!</v>
      </c>
      <c r="BL57" s="314" t="e">
        <f>[1]!qsn([1]!ml(BL56),BL55)/30</f>
        <v>#VALUE!</v>
      </c>
      <c r="BM57" s="314"/>
      <c r="BN57" s="274"/>
      <c r="BO57" s="274"/>
      <c r="BP57" s="274"/>
      <c r="BQ57" s="274"/>
      <c r="BR57" s="274"/>
      <c r="BS57" s="274"/>
      <c r="BT57" s="274"/>
      <c r="BU57" s="274"/>
      <c r="BV57" s="274"/>
      <c r="BW57" s="274"/>
      <c r="BX57" s="274"/>
      <c r="BY57" s="274"/>
      <c r="BZ57" s="274"/>
      <c r="CA57" s="274"/>
      <c r="CB57" s="274"/>
      <c r="CC57" s="274"/>
      <c r="CD57" s="274"/>
      <c r="CE57" s="274"/>
      <c r="CF57" s="274"/>
      <c r="CG57" s="274"/>
      <c r="CH57" s="274"/>
      <c r="CI57" s="274"/>
      <c r="CJ57" s="274"/>
      <c r="CK57" s="274"/>
      <c r="CL57" s="274"/>
      <c r="CM57" s="274"/>
      <c r="CN57" s="274"/>
      <c r="CO57" s="274"/>
      <c r="CP57" s="274"/>
      <c r="CQ57" s="274"/>
      <c r="CR57" s="274"/>
      <c r="CS57" s="274"/>
      <c r="CT57" s="274"/>
      <c r="CU57" s="274"/>
      <c r="CV57" s="274"/>
      <c r="CW57" s="274"/>
      <c r="CX57" s="274"/>
      <c r="CY57" s="274"/>
      <c r="CZ57" s="274"/>
      <c r="DA57" s="274"/>
      <c r="DB57" s="274"/>
      <c r="DC57" s="274"/>
      <c r="DL57" s="288"/>
      <c r="DM57" s="288"/>
      <c r="DN57" s="288"/>
      <c r="DO57" s="288"/>
      <c r="DP57" s="288"/>
      <c r="DQ57" s="288"/>
      <c r="DR57" s="288"/>
      <c r="DS57" s="288"/>
      <c r="DT57" s="288"/>
      <c r="DU57" s="288"/>
      <c r="DV57" s="288"/>
      <c r="DW57" s="288"/>
      <c r="DX57" s="288"/>
      <c r="DY57" s="288"/>
      <c r="DZ57" s="288"/>
      <c r="EA57" s="288"/>
      <c r="EB57" s="288"/>
      <c r="EC57" s="288"/>
      <c r="ED57" s="288"/>
      <c r="EE57" s="288"/>
      <c r="EF57" s="288"/>
      <c r="EG57" s="288"/>
      <c r="EH57" s="288"/>
      <c r="EI57" s="288"/>
      <c r="EJ57" s="288"/>
      <c r="EK57" s="288"/>
      <c r="EL57" s="288"/>
      <c r="EM57" s="288"/>
      <c r="EN57" s="288"/>
      <c r="EO57" s="288"/>
      <c r="EP57" s="288"/>
      <c r="EQ57" s="288"/>
      <c r="ER57" s="288"/>
      <c r="ES57" s="288"/>
      <c r="ET57" s="288"/>
      <c r="EU57" s="288"/>
      <c r="EV57" s="288"/>
      <c r="EW57" s="288"/>
    </row>
    <row r="58" spans="4:153" ht="23.25">
      <c r="D58" s="639"/>
      <c r="E58" s="274"/>
      <c r="F58" s="274"/>
      <c r="G58" s="274"/>
      <c r="H58" s="274"/>
      <c r="I58" s="274"/>
      <c r="J58" s="274"/>
      <c r="K58" s="274"/>
      <c r="L58" s="274"/>
      <c r="M58" s="274"/>
      <c r="N58" s="274"/>
      <c r="O58" s="274"/>
      <c r="P58" s="274"/>
      <c r="Q58" s="274"/>
      <c r="R58" s="274"/>
      <c r="S58" s="274"/>
      <c r="T58" s="1022"/>
      <c r="U58" s="1022"/>
      <c r="V58" s="55"/>
      <c r="W58" s="55"/>
      <c r="X58" s="55"/>
      <c r="Y58" s="1022"/>
      <c r="Z58" s="1022"/>
      <c r="AA58" s="1022"/>
      <c r="AB58" s="1022"/>
      <c r="AC58" s="1022"/>
      <c r="AD58" s="1022"/>
      <c r="AE58" s="1022"/>
      <c r="AF58" s="1022"/>
      <c r="AG58" s="1022"/>
      <c r="AH58" s="1022"/>
      <c r="AI58" s="1020"/>
      <c r="AJ58" s="1019">
        <f>[1]!bodmoadal(AL4,AL5,AP4,AP5,AL7,AL9)</f>
        <v>13.802134840148511</v>
      </c>
      <c r="AK58" s="765" t="s">
        <v>1080</v>
      </c>
      <c r="AL58" s="1019">
        <f>IF(AL55-AL54&gt;-180,AL55-AL54,AL55+360-AL54)</f>
        <v>13.795709328834192</v>
      </c>
      <c r="AM58" s="1015">
        <f t="shared" si="92"/>
        <v>13</v>
      </c>
      <c r="AN58" s="1015">
        <f t="shared" si="93"/>
        <v>47</v>
      </c>
      <c r="AO58" s="1015">
        <f t="shared" si="94"/>
        <v>44</v>
      </c>
      <c r="AP58" s="1015">
        <f t="shared" si="95"/>
        <v>33</v>
      </c>
      <c r="AQ58" s="766"/>
      <c r="AR58" s="1022"/>
      <c r="AS58" s="1022"/>
      <c r="AT58" s="1022"/>
      <c r="AU58" s="1022"/>
      <c r="AV58" s="1022"/>
      <c r="AW58" s="1022"/>
      <c r="AX58" s="1022"/>
      <c r="AY58" s="274"/>
      <c r="AZ58" s="112" t="s">
        <v>698</v>
      </c>
      <c r="BA58" s="701" t="e">
        <f>[1]!taqqa(BA51,BA52,[1]!roz(BA53,BA57,0,0),BA54)</f>
        <v>#VALUE!</v>
      </c>
      <c r="BB58" s="304" t="e">
        <f>[1]!taqqa(BB51,BB52,[1]!roz(BB53,BB57,0,0),BB54)</f>
        <v>#VALUE!</v>
      </c>
      <c r="BC58" s="304" t="e">
        <f>[1]!taqqa(BC51,BC52,[1]!roz(BC53,BC57,0,0),BC54)</f>
        <v>#VALUE!</v>
      </c>
      <c r="BD58" s="304" t="e">
        <f>[1]!taqqa(BD51,BD52,[1]!roz(BD53,BD57,0,0),BD54)</f>
        <v>#VALUE!</v>
      </c>
      <c r="BE58" s="304" t="e">
        <f>[1]!taqqa(BE51,BE52,[1]!roz(BE53,BE57,0,0),BE54)</f>
        <v>#VALUE!</v>
      </c>
      <c r="BF58" s="304" t="e">
        <f>[1]!taqqa(BF51,BF52,[1]!roz(BF53,BF57,0,0),BF54)</f>
        <v>#VALUE!</v>
      </c>
      <c r="BG58" s="304" t="e">
        <f>[1]!taqqa(BG51,BG52,[1]!roz(BG53,BG57,0,0),BG54)</f>
        <v>#VALUE!</v>
      </c>
      <c r="BH58" s="304" t="e">
        <f>[1]!taqqa(BH51,BH52,[1]!roz(BH53,BH57,0,0),BH54)</f>
        <v>#VALUE!</v>
      </c>
      <c r="BI58" s="304" t="e">
        <f>[1]!taqqa(BI51,BI52,[1]!roz(BI53,BI57,0,0),BI54)</f>
        <v>#VALUE!</v>
      </c>
      <c r="BJ58" s="304" t="e">
        <f>[1]!taqqa(BJ51,BJ52,[1]!roz(BJ53,BJ57,0,0),BJ54)</f>
        <v>#VALUE!</v>
      </c>
      <c r="BK58" s="304" t="e">
        <f>[1]!taqqa(BK51,BK52,[1]!roz(BK53,BK57,0,0),BK54)</f>
        <v>#VALUE!</v>
      </c>
      <c r="BL58" s="314" t="e">
        <f>[1]!taqqa(BL51,BL52,[1]!roz(BL53,BL57,0,0),BL54)</f>
        <v>#VALUE!</v>
      </c>
      <c r="BM58" s="314"/>
      <c r="BN58" s="274"/>
      <c r="BO58" s="274"/>
      <c r="BP58" s="274"/>
      <c r="BQ58" s="274"/>
      <c r="BR58" s="274"/>
      <c r="BS58" s="274"/>
      <c r="BT58" s="274"/>
      <c r="BU58" s="274"/>
      <c r="BV58" s="274"/>
      <c r="BW58" s="274"/>
      <c r="BX58" s="274"/>
      <c r="BY58" s="274"/>
      <c r="BZ58" s="274"/>
      <c r="CA58" s="274"/>
      <c r="CB58" s="274"/>
      <c r="CC58" s="274"/>
      <c r="CD58" s="274"/>
      <c r="CE58" s="274"/>
      <c r="CF58" s="274"/>
      <c r="CG58" s="274"/>
      <c r="CH58" s="274"/>
      <c r="CI58" s="274"/>
      <c r="CJ58" s="274"/>
      <c r="CK58" s="274"/>
      <c r="CL58" s="274"/>
      <c r="CM58" s="274"/>
      <c r="CN58" s="274"/>
      <c r="CO58" s="274"/>
      <c r="CP58" s="274"/>
      <c r="CQ58" s="274"/>
      <c r="CR58" s="274"/>
      <c r="CS58" s="274"/>
      <c r="CT58" s="274"/>
      <c r="CU58" s="274"/>
      <c r="CV58" s="274"/>
      <c r="CW58" s="274"/>
      <c r="CX58" s="274"/>
      <c r="CY58" s="274"/>
      <c r="CZ58" s="274"/>
      <c r="DA58" s="274"/>
      <c r="DB58" s="274"/>
      <c r="DC58" s="274"/>
      <c r="DL58" s="288"/>
      <c r="DM58" s="288"/>
      <c r="DN58" s="274"/>
      <c r="DO58" s="274"/>
      <c r="DP58" s="274"/>
      <c r="DQ58" s="274"/>
      <c r="DR58" s="274"/>
      <c r="DS58" s="274"/>
      <c r="DT58" s="274"/>
      <c r="DU58" s="274"/>
      <c r="DV58" s="274"/>
      <c r="DW58" s="274"/>
      <c r="DX58" s="274"/>
      <c r="DY58" s="274"/>
      <c r="DZ58" s="274"/>
      <c r="EA58" s="274"/>
      <c r="EB58" s="274"/>
      <c r="EC58" s="274"/>
      <c r="ED58" s="274"/>
      <c r="EE58" s="274"/>
      <c r="EF58" s="274"/>
      <c r="EG58" s="274"/>
      <c r="EH58" s="274"/>
      <c r="EI58" s="274"/>
      <c r="EJ58" s="274"/>
      <c r="EK58" s="274"/>
      <c r="EL58" s="274"/>
      <c r="EM58" s="274"/>
      <c r="EN58" s="274"/>
      <c r="EO58" s="274"/>
      <c r="EP58" s="274"/>
      <c r="EQ58" s="274"/>
      <c r="ER58" s="288"/>
      <c r="ES58" s="288"/>
      <c r="ET58" s="288"/>
      <c r="EU58" s="288"/>
      <c r="EV58" s="288"/>
      <c r="EW58" s="288"/>
    </row>
    <row r="59" spans="4:153" ht="23.25">
      <c r="D59" s="639"/>
      <c r="E59" s="274"/>
      <c r="F59" s="639"/>
      <c r="G59" s="639"/>
      <c r="H59" s="639"/>
      <c r="I59" s="639"/>
      <c r="J59" s="639"/>
      <c r="K59" s="639"/>
      <c r="L59" s="639"/>
      <c r="M59" s="639"/>
      <c r="N59" s="274"/>
      <c r="O59" s="274"/>
      <c r="P59" s="639"/>
      <c r="Q59" s="274"/>
      <c r="R59" s="639"/>
      <c r="S59" s="639"/>
      <c r="T59" s="1022"/>
      <c r="U59" s="1022"/>
      <c r="V59" s="55"/>
      <c r="W59" s="55"/>
      <c r="X59" s="55"/>
      <c r="Y59" s="1022"/>
      <c r="Z59" s="1022"/>
      <c r="AA59" s="1022"/>
      <c r="AB59" s="1022"/>
      <c r="AC59" s="1022"/>
      <c r="AD59" s="1022"/>
      <c r="AE59" s="1022"/>
      <c r="AF59" s="1022"/>
      <c r="AG59" s="1022"/>
      <c r="AH59" s="1022"/>
      <c r="AI59" s="1020"/>
      <c r="AJ59" s="1019">
        <f>[1]!bodsava(AL4,AL5,AP4,AP5,AL7,AL9)</f>
        <v>11.008420307738781</v>
      </c>
      <c r="AK59" s="765" t="s">
        <v>1188</v>
      </c>
      <c r="AL59" s="1019">
        <f>IF(AL49-AL10&gt;-180,AL49-AL10,AL49+360-AL10)</f>
        <v>11.002698911422279</v>
      </c>
      <c r="AM59" s="1015">
        <f t="shared" si="92"/>
        <v>11</v>
      </c>
      <c r="AN59" s="1015">
        <f t="shared" si="93"/>
        <v>0</v>
      </c>
      <c r="AO59" s="1015">
        <f t="shared" si="94"/>
        <v>9</v>
      </c>
      <c r="AP59" s="1015">
        <f t="shared" si="95"/>
        <v>42</v>
      </c>
      <c r="AQ59" s="766"/>
      <c r="AR59" s="1022"/>
      <c r="AS59" s="1022"/>
      <c r="AT59" s="1022"/>
      <c r="AU59" s="1022"/>
      <c r="AV59" s="1022"/>
      <c r="AW59" s="1022"/>
      <c r="AX59" s="1022"/>
      <c r="AY59" s="274"/>
      <c r="AZ59" s="112" t="s">
        <v>378</v>
      </c>
      <c r="BA59" s="701" t="e">
        <f>[1]!taqsha(BA51,BA52,[1]!roz(BA53,BA57,0,0),BA54)</f>
        <v>#VALUE!</v>
      </c>
      <c r="BB59" s="304" t="e">
        <f>[1]!taqsha(BB51,BB52,[1]!roz(BB53,BB57,0,0),BB54)</f>
        <v>#VALUE!</v>
      </c>
      <c r="BC59" s="304" t="e">
        <f>[1]!taqsha(BC51,BC52,[1]!roz(BC53,BC57,0,0),BC54)</f>
        <v>#VALUE!</v>
      </c>
      <c r="BD59" s="304" t="e">
        <f>[1]!taqsha(BD51,BD52,[1]!roz(BD53,BD57,0,0),BD54)</f>
        <v>#VALUE!</v>
      </c>
      <c r="BE59" s="304" t="e">
        <f>[1]!taqsha(BE51,BE52,[1]!roz(BE53,BE57,0,0),BE54)</f>
        <v>#VALUE!</v>
      </c>
      <c r="BF59" s="304" t="e">
        <f>[1]!taqsha(BF51,BF52,[1]!roz(BF53,BF57,0,0),BF54)</f>
        <v>#VALUE!</v>
      </c>
      <c r="BG59" s="304" t="e">
        <f>[1]!taqsha(BG51,BG52,[1]!roz(BG53,BG57,0,0),BG54)</f>
        <v>#VALUE!</v>
      </c>
      <c r="BH59" s="304" t="e">
        <f>[1]!taqsha(BH51,BH52,[1]!roz(BH53,BH57,0,0),BH54)</f>
        <v>#VALUE!</v>
      </c>
      <c r="BI59" s="304" t="e">
        <f>[1]!taqsha(BI51,BI52,[1]!roz(BI53,BI57,0,0),BI54)</f>
        <v>#VALUE!</v>
      </c>
      <c r="BJ59" s="304" t="e">
        <f>[1]!taqsha(BJ51,BJ52,[1]!roz(BJ53,BJ57,0,0),BJ54)</f>
        <v>#VALUE!</v>
      </c>
      <c r="BK59" s="304" t="e">
        <f>[1]!taqsha(BK51,BK52,[1]!roz(BK53,BK57,0,0),BK54)</f>
        <v>#VALUE!</v>
      </c>
      <c r="BL59" s="314" t="e">
        <f>[1]!taqsha(BL51,BL52,[1]!roz(BL53,BL57,0,0),BL54)</f>
        <v>#VALUE!</v>
      </c>
      <c r="BM59" s="314"/>
      <c r="BN59" s="274"/>
      <c r="BO59" s="274"/>
      <c r="BP59" s="274"/>
      <c r="BQ59" s="274"/>
      <c r="BR59" s="274"/>
      <c r="BS59" s="274"/>
      <c r="BT59" s="274"/>
      <c r="BU59" s="274"/>
      <c r="BV59" s="274"/>
      <c r="BW59" s="274"/>
      <c r="BX59" s="274"/>
      <c r="BY59" s="274"/>
      <c r="BZ59" s="274"/>
      <c r="CA59" s="274"/>
      <c r="CB59" s="274"/>
      <c r="CC59" s="274"/>
      <c r="CD59" s="274"/>
      <c r="CE59" s="274"/>
      <c r="CF59" s="274"/>
      <c r="CG59" s="274"/>
      <c r="CH59" s="274"/>
      <c r="CI59" s="274"/>
      <c r="CJ59" s="274"/>
      <c r="CK59" s="274"/>
      <c r="CL59" s="274"/>
      <c r="CM59" s="274"/>
      <c r="CN59" s="274"/>
      <c r="CO59" s="274"/>
      <c r="CP59" s="274"/>
      <c r="CQ59" s="274"/>
      <c r="CR59" s="274"/>
      <c r="CS59" s="274"/>
      <c r="CT59" s="274"/>
      <c r="CU59" s="274"/>
      <c r="CV59" s="274"/>
      <c r="CW59" s="274"/>
      <c r="CX59" s="274"/>
      <c r="CY59" s="274"/>
      <c r="CZ59" s="274"/>
      <c r="DA59" s="274"/>
      <c r="DB59" s="274"/>
      <c r="DC59" s="274"/>
      <c r="DL59" s="288"/>
      <c r="DM59" s="288"/>
      <c r="DN59" s="288"/>
      <c r="DO59" s="288"/>
      <c r="DP59" s="288"/>
      <c r="DQ59" s="288"/>
      <c r="DR59" s="288"/>
      <c r="DS59" s="288"/>
      <c r="DT59" s="288"/>
      <c r="DU59" s="288"/>
      <c r="DV59" s="288"/>
      <c r="DW59" s="288"/>
      <c r="DX59" s="288"/>
      <c r="DY59" s="288"/>
      <c r="DZ59" s="288"/>
      <c r="EA59" s="288"/>
      <c r="EB59" s="288"/>
      <c r="EC59" s="288"/>
      <c r="ED59" s="288"/>
      <c r="EE59" s="288"/>
      <c r="EF59" s="288"/>
      <c r="EG59" s="288"/>
      <c r="EH59" s="288"/>
      <c r="EI59" s="288"/>
      <c r="EJ59" s="288"/>
      <c r="EK59" s="288"/>
      <c r="EL59" s="288"/>
      <c r="EM59" s="288"/>
      <c r="EN59" s="288"/>
      <c r="EO59" s="288"/>
      <c r="EP59" s="288"/>
      <c r="EQ59" s="288"/>
      <c r="ER59" s="288"/>
      <c r="ES59" s="288"/>
      <c r="ET59" s="288"/>
      <c r="EU59" s="288"/>
      <c r="EV59" s="288"/>
      <c r="EW59" s="288"/>
    </row>
    <row r="60" spans="4:153" ht="24.75">
      <c r="D60" s="274"/>
      <c r="E60" s="274"/>
      <c r="F60" s="639"/>
      <c r="G60" s="639"/>
      <c r="H60" s="639"/>
      <c r="I60" s="639"/>
      <c r="J60" s="639"/>
      <c r="K60" s="639"/>
      <c r="L60" s="276"/>
      <c r="M60" s="276"/>
      <c r="N60" s="276"/>
      <c r="O60" s="276"/>
      <c r="P60" s="639"/>
      <c r="Q60" s="274"/>
      <c r="R60" s="639"/>
      <c r="S60" s="639"/>
      <c r="T60" s="1022"/>
      <c r="U60" s="1022"/>
      <c r="V60" s="55"/>
      <c r="W60" s="55"/>
      <c r="X60" s="55"/>
      <c r="Y60" s="1022"/>
      <c r="Z60" s="1022"/>
      <c r="AA60" s="1022"/>
      <c r="AB60" s="1022"/>
      <c r="AC60" s="1022"/>
      <c r="AD60" s="1022"/>
      <c r="AE60" s="1022"/>
      <c r="AF60" s="1022"/>
      <c r="AG60" s="1022"/>
      <c r="AH60" s="1022" t="e">
        <f ca="1">andazehame(AL4,AL5,AP4,AP5,AL7,AL9)</f>
        <v>#NAME?</v>
      </c>
      <c r="AI60" s="1011"/>
      <c r="AJ60" s="502"/>
      <c r="AK60" s="502" t="str">
        <f>IF(OR(AL58&lt;=10,AL59&lt;=10),"هلال رؤیت نمی شود و ماه موجود 30 روز است ان شاء الله",IF(AND(AND(10&lt;AL58,AL58&lt;12),AL59&gt;10)," هلال باریک دیده می شود و ماه موجود 29 روز است ان شاء الله ",IF(AND(AND(12&lt;AL58,AL58&lt;14),AL59&gt;10),"هلال معتدل رؤیت می شود و ماه موجود 29 روز است ان شاء الله","هلال بزرگ و ظاهر است و ماه موجود 29 روز است ان شاء الله")))</f>
        <v>هلال معتدل رؤیت می شود و ماه موجود 29 روز است ان شاء الله</v>
      </c>
      <c r="AL60" s="1007"/>
      <c r="AM60" s="502"/>
      <c r="AN60" s="502"/>
      <c r="AO60" s="502"/>
      <c r="AP60" s="502"/>
      <c r="AQ60" s="637"/>
      <c r="AR60" s="1022"/>
      <c r="AS60" s="1022"/>
      <c r="AT60" s="1022"/>
      <c r="AU60" s="1022"/>
      <c r="AV60" s="1022"/>
      <c r="AW60" s="1022"/>
      <c r="AX60" s="1022"/>
      <c r="AY60" s="274"/>
      <c r="AZ60" s="112"/>
      <c r="BA60" s="701"/>
      <c r="BB60" s="304"/>
      <c r="BC60" s="304"/>
      <c r="BD60" s="304"/>
      <c r="BE60" s="304"/>
      <c r="BF60" s="304"/>
      <c r="BG60" s="304"/>
      <c r="BH60" s="304"/>
      <c r="BI60" s="304"/>
      <c r="BJ60" s="304"/>
      <c r="BK60" s="304"/>
      <c r="BL60" s="314"/>
      <c r="BM60" s="314"/>
      <c r="BN60" s="274"/>
      <c r="BO60" s="274"/>
      <c r="BP60" s="274"/>
      <c r="BQ60" s="274"/>
      <c r="BR60" s="274"/>
      <c r="BS60" s="274"/>
      <c r="BT60" s="274"/>
      <c r="BU60" s="274"/>
      <c r="BV60" s="274"/>
      <c r="BW60" s="274"/>
      <c r="BX60" s="274"/>
      <c r="BY60" s="274"/>
      <c r="BZ60" s="274"/>
      <c r="CA60" s="274"/>
      <c r="CB60" s="274"/>
      <c r="CC60" s="274"/>
      <c r="CD60" s="274"/>
      <c r="CE60" s="274"/>
      <c r="CF60" s="274"/>
      <c r="CG60" s="274"/>
      <c r="CH60" s="274"/>
      <c r="CI60" s="274"/>
      <c r="CJ60" s="274"/>
      <c r="CK60" s="274"/>
      <c r="CL60" s="274"/>
      <c r="CM60" s="274"/>
      <c r="CN60" s="274"/>
      <c r="CO60" s="274"/>
      <c r="CP60" s="274"/>
      <c r="CQ60" s="274"/>
      <c r="CR60" s="274"/>
      <c r="CS60" s="274"/>
      <c r="CT60" s="274"/>
      <c r="CU60" s="274"/>
      <c r="CV60" s="274"/>
      <c r="CW60" s="274"/>
      <c r="CX60" s="274"/>
      <c r="CY60" s="274"/>
      <c r="CZ60" s="274"/>
      <c r="DA60" s="274"/>
      <c r="DB60" s="274"/>
      <c r="DC60" s="274"/>
      <c r="DL60" s="288"/>
      <c r="DM60" s="288"/>
      <c r="DN60" s="288"/>
      <c r="DO60" s="288"/>
      <c r="DP60" s="288"/>
      <c r="DQ60" s="288"/>
      <c r="DR60" s="288"/>
      <c r="DS60" s="288"/>
      <c r="DT60" s="288"/>
      <c r="DU60" s="288"/>
      <c r="DV60" s="288"/>
      <c r="DW60" s="288"/>
      <c r="DX60" s="288"/>
      <c r="DY60" s="288"/>
      <c r="DZ60" s="288"/>
      <c r="EA60" s="288"/>
      <c r="EB60" s="288"/>
      <c r="EC60" s="288"/>
      <c r="ED60" s="288"/>
      <c r="EE60" s="288"/>
      <c r="EF60" s="288"/>
      <c r="EG60" s="288"/>
      <c r="EH60" s="288"/>
      <c r="EI60" s="288"/>
      <c r="EJ60" s="288"/>
      <c r="EK60" s="288"/>
      <c r="EL60" s="288"/>
      <c r="EM60" s="288"/>
      <c r="EN60" s="288"/>
      <c r="EO60" s="288"/>
      <c r="EP60" s="288"/>
      <c r="EQ60" s="288"/>
      <c r="ER60" s="288"/>
      <c r="ES60" s="288"/>
      <c r="ET60" s="288"/>
      <c r="EU60" s="288"/>
      <c r="EV60" s="288"/>
      <c r="EW60" s="288"/>
    </row>
    <row r="61" spans="4:153" ht="24" thickBot="1">
      <c r="D61" s="274"/>
      <c r="E61" s="274"/>
      <c r="F61" s="639"/>
      <c r="G61" s="639"/>
      <c r="H61" s="639"/>
      <c r="I61" s="639"/>
      <c r="J61" s="639"/>
      <c r="K61" s="639"/>
      <c r="L61" s="639"/>
      <c r="M61" s="639"/>
      <c r="N61" s="274"/>
      <c r="O61" s="274"/>
      <c r="P61" s="639"/>
      <c r="Q61" s="274"/>
      <c r="R61" s="639"/>
      <c r="S61" s="639"/>
      <c r="T61" s="1022"/>
      <c r="U61" s="1022"/>
      <c r="V61" s="55"/>
      <c r="W61" s="55"/>
      <c r="X61" s="55"/>
      <c r="Y61" s="1022"/>
      <c r="Z61" s="1022"/>
      <c r="AA61" s="1022"/>
      <c r="AB61" s="1022"/>
      <c r="AC61" s="1022"/>
      <c r="AD61" s="1022"/>
      <c r="AE61" s="1022"/>
      <c r="AF61" s="1022"/>
      <c r="AG61" s="1022"/>
      <c r="AH61" s="1022"/>
      <c r="AI61" s="1023"/>
      <c r="AJ61" s="1024">
        <f>[1]!tedadrooz(AL4,AL5,AP4,AP5,AL7,AL9)</f>
        <v>29</v>
      </c>
      <c r="AK61" s="1024" t="s">
        <v>1198</v>
      </c>
      <c r="AL61" s="1024">
        <f>IF(AK60="هلال رؤیت نمی شود و ماه موجود 30 روز است ان شاء الله",30,29)</f>
        <v>29</v>
      </c>
      <c r="AM61" s="767"/>
      <c r="AN61" s="767"/>
      <c r="AO61" s="767"/>
      <c r="AP61" s="767"/>
      <c r="AQ61" s="768"/>
      <c r="AR61" s="1022"/>
      <c r="AS61" s="1022"/>
      <c r="AT61" s="1022"/>
      <c r="AU61" s="1022"/>
      <c r="AV61" s="1022"/>
      <c r="AW61" s="1022"/>
      <c r="AX61" s="1022"/>
      <c r="AY61" s="274"/>
      <c r="AZ61" s="112" t="s">
        <v>3489</v>
      </c>
      <c r="BA61" s="699" t="e">
        <f t="shared" ref="BA61:BK61" si="101">IF(BA58-BA59&gt;0,BA58-BA59,BA58-BA59+360)</f>
        <v>#VALUE!</v>
      </c>
      <c r="BB61" s="700" t="e">
        <f t="shared" si="101"/>
        <v>#VALUE!</v>
      </c>
      <c r="BC61" s="700" t="e">
        <f t="shared" si="101"/>
        <v>#VALUE!</v>
      </c>
      <c r="BD61" s="700" t="e">
        <f t="shared" si="101"/>
        <v>#VALUE!</v>
      </c>
      <c r="BE61" s="700" t="e">
        <f t="shared" si="101"/>
        <v>#VALUE!</v>
      </c>
      <c r="BF61" s="700" t="e">
        <f t="shared" si="101"/>
        <v>#VALUE!</v>
      </c>
      <c r="BG61" s="700" t="e">
        <f>IF(BG58-BG59&gt;0,BG58-BG59,BG58-BG59+360)</f>
        <v>#VALUE!</v>
      </c>
      <c r="BH61" s="700" t="e">
        <f t="shared" si="101"/>
        <v>#VALUE!</v>
      </c>
      <c r="BI61" s="700" t="e">
        <f t="shared" si="101"/>
        <v>#VALUE!</v>
      </c>
      <c r="BJ61" s="700" t="e">
        <f t="shared" si="101"/>
        <v>#VALUE!</v>
      </c>
      <c r="BK61" s="700" t="e">
        <f t="shared" si="101"/>
        <v>#VALUE!</v>
      </c>
      <c r="BL61" s="315" t="e">
        <f>IF(BL58-BL59&gt;0,BL58-BL59,BL58-BL59+360)</f>
        <v>#VALUE!</v>
      </c>
      <c r="BM61" s="314"/>
      <c r="BN61" s="274"/>
      <c r="BO61" s="274"/>
      <c r="BP61" s="274"/>
      <c r="BQ61" s="274"/>
      <c r="BR61" s="274"/>
      <c r="BS61" s="274"/>
      <c r="BT61" s="274"/>
      <c r="BU61" s="274"/>
      <c r="BV61" s="274"/>
      <c r="BW61" s="274"/>
      <c r="BX61" s="274"/>
      <c r="BY61" s="274"/>
      <c r="BZ61" s="274"/>
      <c r="CA61" s="274"/>
      <c r="CB61" s="274"/>
      <c r="CC61" s="274"/>
      <c r="CD61" s="274"/>
      <c r="CE61" s="274"/>
      <c r="CF61" s="274"/>
      <c r="CG61" s="274"/>
      <c r="CH61" s="274"/>
      <c r="CI61" s="274"/>
      <c r="CJ61" s="274"/>
      <c r="CK61" s="274"/>
      <c r="CL61" s="274"/>
      <c r="CM61" s="274"/>
      <c r="CN61" s="274"/>
      <c r="CO61" s="274"/>
      <c r="CP61" s="274"/>
      <c r="CQ61" s="274"/>
      <c r="CR61" s="274"/>
      <c r="CS61" s="274"/>
      <c r="CT61" s="274"/>
      <c r="CU61" s="274"/>
      <c r="CV61" s="274"/>
      <c r="CW61" s="274"/>
      <c r="CX61" s="274"/>
      <c r="CY61" s="274"/>
      <c r="CZ61" s="274"/>
      <c r="DA61" s="274"/>
      <c r="DB61" s="274"/>
      <c r="DC61" s="274"/>
      <c r="DL61" s="288"/>
      <c r="DM61" s="288"/>
      <c r="DN61" s="288"/>
      <c r="DO61" s="288"/>
      <c r="DP61" s="288"/>
      <c r="DQ61" s="288"/>
      <c r="DR61" s="288"/>
      <c r="DS61" s="288"/>
      <c r="DT61" s="288"/>
      <c r="DU61" s="288"/>
      <c r="DV61" s="288"/>
      <c r="DW61" s="288"/>
      <c r="DX61" s="288"/>
      <c r="DY61" s="288"/>
      <c r="DZ61" s="288"/>
      <c r="EA61" s="288"/>
      <c r="EB61" s="288"/>
      <c r="EC61" s="288"/>
      <c r="ED61" s="288"/>
      <c r="EE61" s="288"/>
      <c r="EF61" s="288"/>
      <c r="EG61" s="288"/>
      <c r="EH61" s="288"/>
      <c r="EI61" s="288"/>
      <c r="EJ61" s="288"/>
      <c r="EK61" s="288"/>
      <c r="EL61" s="288"/>
      <c r="EM61" s="288"/>
      <c r="EN61" s="288"/>
      <c r="EO61" s="288"/>
      <c r="EP61" s="288"/>
      <c r="EQ61" s="288"/>
      <c r="ER61" s="288"/>
      <c r="ES61" s="288"/>
      <c r="ET61" s="288"/>
      <c r="EU61" s="288"/>
      <c r="EV61" s="288"/>
      <c r="EW61" s="288"/>
    </row>
    <row r="62" spans="4:153" ht="23.25">
      <c r="D62" s="274"/>
      <c r="E62" s="274"/>
      <c r="F62" s="639"/>
      <c r="G62" s="639"/>
      <c r="H62" s="639"/>
      <c r="I62" s="639"/>
      <c r="J62" s="639"/>
      <c r="K62" s="639"/>
      <c r="L62" s="639"/>
      <c r="M62" s="639"/>
      <c r="N62" s="274"/>
      <c r="O62" s="274"/>
      <c r="P62" s="639"/>
      <c r="Q62" s="274"/>
      <c r="R62" s="639"/>
      <c r="S62" s="639"/>
      <c r="T62" s="1022"/>
      <c r="U62" s="1022"/>
      <c r="V62" s="55"/>
      <c r="W62" s="55"/>
      <c r="X62" s="55"/>
      <c r="Y62" s="1022"/>
      <c r="Z62" s="1022"/>
      <c r="AA62" s="1022"/>
      <c r="AB62" s="1022"/>
      <c r="AC62" s="1022"/>
      <c r="AD62" s="1022"/>
      <c r="AE62" s="1022"/>
      <c r="AF62" s="1022"/>
      <c r="AG62" s="1022"/>
      <c r="AH62" s="1022"/>
      <c r="AI62" s="1022"/>
      <c r="AJ62" s="1022"/>
      <c r="AK62" s="1022"/>
      <c r="AL62" s="1022" t="e">
        <f>[1]!royathelalame(AL4,AL5,AP4,AL7,AL9)</f>
        <v>#VALUE!</v>
      </c>
      <c r="AM62" s="1022"/>
      <c r="AN62" s="1022"/>
      <c r="AO62" s="1022"/>
      <c r="AP62" s="1022"/>
      <c r="AQ62" s="1022"/>
      <c r="AR62" s="1022"/>
      <c r="AS62" s="1022"/>
      <c r="AT62" s="1022"/>
      <c r="AU62" s="1022"/>
      <c r="AV62" s="1022"/>
      <c r="AW62" s="1022"/>
      <c r="AX62" s="1022"/>
      <c r="AY62" s="274"/>
      <c r="AZ62" s="713" t="s">
        <v>3542</v>
      </c>
      <c r="BA62" s="740" t="e">
        <f>IF(BA61&gt;=10,29,30)</f>
        <v>#VALUE!</v>
      </c>
      <c r="BB62" s="233" t="e">
        <f t="shared" ref="BB62:BL62" si="102">IF(BB61&gt;=10,29,30)</f>
        <v>#VALUE!</v>
      </c>
      <c r="BC62" s="233" t="e">
        <f t="shared" si="102"/>
        <v>#VALUE!</v>
      </c>
      <c r="BD62" s="233" t="e">
        <f t="shared" si="102"/>
        <v>#VALUE!</v>
      </c>
      <c r="BE62" s="233" t="e">
        <f t="shared" si="102"/>
        <v>#VALUE!</v>
      </c>
      <c r="BF62" s="233" t="e">
        <f t="shared" si="102"/>
        <v>#VALUE!</v>
      </c>
      <c r="BG62" s="233" t="e">
        <f>IF(BG61&gt;=10,29,30)</f>
        <v>#VALUE!</v>
      </c>
      <c r="BH62" s="233" t="e">
        <f t="shared" si="102"/>
        <v>#VALUE!</v>
      </c>
      <c r="BI62" s="233" t="e">
        <f t="shared" si="102"/>
        <v>#VALUE!</v>
      </c>
      <c r="BJ62" s="233" t="e">
        <f t="shared" si="102"/>
        <v>#VALUE!</v>
      </c>
      <c r="BK62" s="233" t="e">
        <f t="shared" si="102"/>
        <v>#VALUE!</v>
      </c>
      <c r="BL62" s="741" t="e">
        <f t="shared" si="102"/>
        <v>#VALUE!</v>
      </c>
      <c r="BM62" s="709" t="e">
        <f>SUM(BA62:BL62)</f>
        <v>#VALUE!</v>
      </c>
      <c r="BN62" s="274"/>
      <c r="BO62" s="274"/>
      <c r="BP62" s="274"/>
      <c r="BQ62" s="274"/>
      <c r="BR62" s="274"/>
      <c r="BS62" s="274"/>
      <c r="BT62" s="274"/>
      <c r="BU62" s="274"/>
      <c r="BV62" s="274"/>
      <c r="BW62" s="274"/>
      <c r="BX62" s="274"/>
      <c r="BY62" s="274"/>
      <c r="BZ62" s="274"/>
      <c r="CA62" s="274"/>
      <c r="CB62" s="274"/>
      <c r="CC62" s="274"/>
      <c r="CD62" s="274"/>
      <c r="CE62" s="274"/>
      <c r="CF62" s="274"/>
      <c r="CG62" s="274"/>
      <c r="CH62" s="274"/>
      <c r="CI62" s="274"/>
      <c r="CJ62" s="274"/>
      <c r="CK62" s="274"/>
      <c r="CL62" s="274"/>
      <c r="CM62" s="274"/>
      <c r="CN62" s="274"/>
      <c r="CO62" s="274"/>
      <c r="CP62" s="274"/>
      <c r="CQ62" s="274"/>
      <c r="CR62" s="274"/>
      <c r="CS62" s="274"/>
      <c r="CT62" s="274"/>
      <c r="CU62" s="274"/>
      <c r="CV62" s="274"/>
      <c r="CW62" s="274"/>
      <c r="CX62" s="274"/>
      <c r="CY62" s="274"/>
      <c r="CZ62" s="274"/>
      <c r="DA62" s="274"/>
      <c r="DB62" s="274"/>
      <c r="DC62" s="274"/>
      <c r="DL62" s="288"/>
      <c r="DM62" s="288"/>
      <c r="DN62" s="288"/>
      <c r="DO62" s="288"/>
      <c r="DP62" s="288"/>
      <c r="DQ62" s="288"/>
      <c r="DR62" s="288"/>
      <c r="DS62" s="288"/>
      <c r="DT62" s="288"/>
      <c r="DU62" s="288"/>
      <c r="DV62" s="288"/>
      <c r="DW62" s="288"/>
      <c r="DX62" s="288"/>
      <c r="DY62" s="288"/>
      <c r="DZ62" s="288"/>
      <c r="EA62" s="288"/>
      <c r="EB62" s="288"/>
      <c r="EC62" s="288"/>
      <c r="ED62" s="288"/>
      <c r="EE62" s="288"/>
      <c r="EF62" s="288"/>
      <c r="EG62" s="288"/>
      <c r="EH62" s="288"/>
      <c r="EI62" s="288"/>
      <c r="EJ62" s="288"/>
      <c r="EK62" s="288"/>
      <c r="EL62" s="288"/>
      <c r="EM62" s="288"/>
      <c r="EN62" s="288"/>
      <c r="EO62" s="288"/>
      <c r="EP62" s="288"/>
      <c r="EQ62" s="288"/>
      <c r="ER62" s="288"/>
      <c r="ES62" s="288"/>
      <c r="ET62" s="288"/>
      <c r="EU62" s="288"/>
      <c r="EV62" s="288"/>
      <c r="EW62" s="288"/>
    </row>
    <row r="63" spans="4:153" ht="24" thickBot="1">
      <c r="D63" s="274"/>
      <c r="E63" s="274"/>
      <c r="F63" s="639"/>
      <c r="G63" s="639"/>
      <c r="H63" s="639"/>
      <c r="I63" s="639"/>
      <c r="J63" s="639"/>
      <c r="K63" s="639"/>
      <c r="L63" s="639"/>
      <c r="M63" s="639"/>
      <c r="N63" s="639"/>
      <c r="O63" s="639"/>
      <c r="P63" s="639"/>
      <c r="Q63" s="274"/>
      <c r="R63" s="274"/>
      <c r="S63" s="274"/>
      <c r="T63" s="274"/>
      <c r="U63" s="274"/>
      <c r="Y63" s="274"/>
      <c r="Z63" s="274"/>
      <c r="AA63" s="274"/>
      <c r="AB63" s="274"/>
      <c r="AC63" s="274"/>
      <c r="AD63" s="274"/>
      <c r="AE63" s="274"/>
      <c r="AF63" s="274"/>
      <c r="AG63" s="274"/>
      <c r="AH63" s="274"/>
      <c r="AI63" s="274"/>
      <c r="AJ63" s="274"/>
      <c r="AK63" s="274"/>
      <c r="AL63" s="274"/>
      <c r="AM63" s="274"/>
      <c r="AN63" s="274"/>
      <c r="AO63" s="274"/>
      <c r="AP63" s="274"/>
      <c r="AQ63" s="274"/>
      <c r="AR63" s="274"/>
      <c r="AS63" s="274"/>
      <c r="AT63" s="274"/>
      <c r="AU63" s="274"/>
      <c r="AV63" s="274"/>
      <c r="AW63" s="274"/>
      <c r="AX63" s="274"/>
      <c r="AY63" s="274"/>
      <c r="AZ63" s="714" t="s">
        <v>3544</v>
      </c>
      <c r="BA63" s="710" t="s">
        <v>65</v>
      </c>
      <c r="BB63" s="711" t="s">
        <v>66</v>
      </c>
      <c r="BC63" s="711" t="s">
        <v>67</v>
      </c>
      <c r="BD63" s="711" t="s">
        <v>68</v>
      </c>
      <c r="BE63" s="711" t="s">
        <v>69</v>
      </c>
      <c r="BF63" s="711" t="s">
        <v>3540</v>
      </c>
      <c r="BG63" s="711" t="s">
        <v>71</v>
      </c>
      <c r="BH63" s="711" t="s">
        <v>72</v>
      </c>
      <c r="BI63" s="711" t="s">
        <v>73</v>
      </c>
      <c r="BJ63" s="711" t="s">
        <v>74</v>
      </c>
      <c r="BK63" s="711" t="s">
        <v>75</v>
      </c>
      <c r="BL63" s="712" t="s">
        <v>76</v>
      </c>
      <c r="BM63" s="712" t="s">
        <v>1485</v>
      </c>
      <c r="BN63" s="274"/>
      <c r="BO63" s="274"/>
      <c r="BP63" s="274"/>
      <c r="BQ63" s="274"/>
      <c r="BR63" s="274"/>
      <c r="BS63" s="274"/>
      <c r="BT63" s="274"/>
      <c r="BU63" s="274"/>
      <c r="BV63" s="274"/>
      <c r="BW63" s="274"/>
      <c r="BX63" s="274"/>
      <c r="BY63" s="274"/>
      <c r="BZ63" s="274"/>
      <c r="CA63" s="274"/>
      <c r="CB63" s="274"/>
      <c r="CC63" s="274"/>
      <c r="CD63" s="274"/>
      <c r="CE63" s="274"/>
      <c r="CF63" s="274"/>
      <c r="CG63" s="274"/>
      <c r="CH63" s="274"/>
      <c r="CI63" s="274"/>
      <c r="CJ63" s="274"/>
      <c r="CK63" s="274"/>
      <c r="CL63" s="274"/>
      <c r="CM63" s="274"/>
      <c r="CN63" s="274"/>
      <c r="CO63" s="274"/>
      <c r="CP63" s="274"/>
      <c r="CQ63" s="274"/>
      <c r="CR63" s="274"/>
      <c r="CS63" s="274"/>
      <c r="CT63" s="274"/>
      <c r="CU63" s="274"/>
      <c r="CV63" s="274"/>
      <c r="CW63" s="274"/>
      <c r="CX63" s="274"/>
      <c r="CY63" s="274"/>
      <c r="CZ63" s="274"/>
      <c r="DA63" s="274"/>
      <c r="DB63" s="274"/>
      <c r="DC63" s="274"/>
      <c r="DL63" s="288"/>
      <c r="DM63" s="288"/>
      <c r="DN63" s="288"/>
      <c r="DO63" s="288"/>
      <c r="DP63" s="288"/>
      <c r="DQ63" s="288"/>
      <c r="DR63" s="288"/>
      <c r="DS63" s="288"/>
      <c r="DT63" s="288"/>
      <c r="DU63" s="288"/>
      <c r="DV63" s="288"/>
      <c r="DW63" s="288"/>
      <c r="DX63" s="288"/>
      <c r="DY63" s="288"/>
      <c r="DZ63" s="288"/>
      <c r="EA63" s="288"/>
      <c r="EB63" s="288"/>
      <c r="EC63" s="288"/>
      <c r="ED63" s="288"/>
      <c r="EE63" s="288"/>
      <c r="EF63" s="288"/>
      <c r="EG63" s="288"/>
      <c r="EH63" s="288"/>
      <c r="EI63" s="288"/>
      <c r="EJ63" s="288"/>
      <c r="EK63" s="288"/>
      <c r="EL63" s="288"/>
      <c r="EM63" s="288"/>
      <c r="EN63" s="288"/>
      <c r="EO63" s="288"/>
      <c r="EP63" s="288"/>
      <c r="EQ63" s="288"/>
      <c r="ER63" s="288"/>
      <c r="ES63" s="288"/>
      <c r="ET63" s="288"/>
      <c r="EU63" s="288"/>
      <c r="EV63" s="288"/>
      <c r="EW63" s="288"/>
    </row>
    <row r="64" spans="4:153" ht="24.75">
      <c r="D64" s="274"/>
      <c r="E64" s="274"/>
      <c r="F64" s="639"/>
      <c r="G64" s="639"/>
      <c r="H64" s="276"/>
      <c r="I64" s="276"/>
      <c r="J64" s="276"/>
      <c r="K64" s="276"/>
      <c r="L64" s="639"/>
      <c r="M64" s="639"/>
      <c r="N64" s="639"/>
      <c r="O64" s="639"/>
      <c r="P64" s="276"/>
      <c r="Q64" s="276"/>
      <c r="R64" s="276"/>
      <c r="S64" s="276"/>
      <c r="T64" s="274"/>
      <c r="U64" s="274"/>
      <c r="Y64" s="274"/>
      <c r="Z64" s="274"/>
      <c r="AA64" s="274"/>
      <c r="AB64" s="274"/>
      <c r="AC64" s="274"/>
      <c r="AD64" s="274"/>
      <c r="AE64" s="274"/>
      <c r="AF64" s="274"/>
      <c r="AG64" s="274"/>
      <c r="AH64" s="274"/>
      <c r="AI64" s="274"/>
      <c r="AJ64" s="274"/>
      <c r="AK64" s="274"/>
      <c r="AL64" s="274"/>
      <c r="AM64" s="274"/>
      <c r="AN64" s="274"/>
      <c r="AO64" s="274"/>
      <c r="AP64" s="274"/>
      <c r="AQ64" s="274"/>
      <c r="AR64" s="274"/>
      <c r="AS64" s="274"/>
      <c r="AT64" s="274"/>
      <c r="AU64" s="274"/>
      <c r="AV64" s="274"/>
      <c r="AW64" s="274"/>
      <c r="AX64" s="274"/>
      <c r="AY64" s="274"/>
      <c r="BN64" s="274"/>
      <c r="BO64" s="274"/>
      <c r="BP64" s="274"/>
      <c r="BQ64" s="274"/>
      <c r="BR64" s="274"/>
      <c r="BS64" s="274"/>
      <c r="BT64" s="274"/>
      <c r="BU64" s="274"/>
      <c r="BV64" s="274"/>
      <c r="BW64" s="274"/>
      <c r="BX64" s="274"/>
      <c r="BY64" s="274"/>
      <c r="BZ64" s="274"/>
      <c r="CA64" s="274"/>
      <c r="CB64" s="274"/>
      <c r="CC64" s="274"/>
      <c r="CD64" s="274"/>
      <c r="CE64" s="274"/>
      <c r="CF64" s="274"/>
      <c r="CG64" s="274"/>
      <c r="CH64" s="274"/>
      <c r="CI64" s="274"/>
      <c r="CJ64" s="274"/>
      <c r="CK64" s="274"/>
      <c r="CL64" s="274"/>
      <c r="CM64" s="274"/>
      <c r="CN64" s="274"/>
      <c r="CO64" s="274"/>
      <c r="CP64" s="274"/>
      <c r="CQ64" s="274"/>
      <c r="CR64" s="274"/>
      <c r="CS64" s="274"/>
      <c r="CT64" s="274"/>
      <c r="CU64" s="274"/>
      <c r="CV64" s="274"/>
      <c r="CW64" s="274"/>
      <c r="CX64" s="274"/>
      <c r="CY64" s="274"/>
      <c r="CZ64" s="274"/>
      <c r="DA64" s="274"/>
      <c r="DB64" s="274"/>
      <c r="DC64" s="274"/>
      <c r="DL64" s="288"/>
      <c r="DM64" s="288"/>
      <c r="DN64" s="288"/>
      <c r="DO64" s="288"/>
      <c r="DP64" s="288"/>
      <c r="DQ64" s="288"/>
      <c r="DR64" s="288"/>
      <c r="DS64" s="288"/>
      <c r="DT64" s="288"/>
      <c r="DU64" s="288"/>
      <c r="DV64" s="288"/>
      <c r="DW64" s="288"/>
      <c r="DX64" s="288"/>
      <c r="DY64" s="288"/>
      <c r="DZ64" s="288"/>
      <c r="EA64" s="288"/>
      <c r="EB64" s="288"/>
      <c r="EC64" s="288"/>
      <c r="ED64" s="288"/>
      <c r="EE64" s="288"/>
      <c r="EF64" s="288"/>
      <c r="EG64" s="288"/>
      <c r="EH64" s="288"/>
      <c r="EI64" s="288"/>
      <c r="EJ64" s="288"/>
      <c r="EK64" s="288"/>
      <c r="EL64" s="288"/>
      <c r="EM64" s="288"/>
      <c r="EN64" s="288"/>
      <c r="EO64" s="288"/>
      <c r="EP64" s="288"/>
      <c r="EQ64" s="288"/>
      <c r="ER64" s="288"/>
      <c r="ES64" s="288"/>
      <c r="ET64" s="288"/>
      <c r="EU64" s="288"/>
      <c r="EV64" s="288"/>
      <c r="EW64" s="288"/>
    </row>
    <row r="65" spans="4:153" ht="24.75">
      <c r="D65" s="274"/>
      <c r="E65" s="274"/>
      <c r="F65" s="639"/>
      <c r="G65" s="639"/>
      <c r="H65" s="276"/>
      <c r="I65" s="276"/>
      <c r="J65" s="276"/>
      <c r="K65" s="276"/>
      <c r="L65" s="639"/>
      <c r="M65" s="639"/>
      <c r="N65" s="639"/>
      <c r="O65" s="639"/>
      <c r="P65" s="276"/>
      <c r="Q65" s="276"/>
      <c r="R65" s="276"/>
      <c r="S65" s="276"/>
      <c r="T65" s="274"/>
      <c r="U65" s="274"/>
      <c r="V65" s="274"/>
      <c r="W65" s="274"/>
      <c r="X65" s="274"/>
      <c r="Y65" s="274"/>
      <c r="Z65" s="274"/>
      <c r="AA65" s="274"/>
      <c r="AB65" s="274"/>
      <c r="AC65" s="274"/>
      <c r="AD65" s="274"/>
      <c r="AE65" s="274"/>
      <c r="AF65" s="274"/>
      <c r="AG65" s="274"/>
      <c r="AH65" s="274"/>
      <c r="AI65" s="274"/>
      <c r="AJ65" s="274"/>
      <c r="AK65" s="274"/>
      <c r="AL65" s="274"/>
      <c r="AM65" s="274"/>
      <c r="AN65" s="274"/>
      <c r="AO65" s="274"/>
      <c r="AP65" s="274"/>
      <c r="AQ65" s="274"/>
      <c r="AR65" s="274"/>
      <c r="AS65" s="274"/>
      <c r="AT65" s="274"/>
      <c r="AU65" s="274"/>
      <c r="AV65" s="274"/>
      <c r="AW65" s="274"/>
      <c r="AX65" s="274"/>
      <c r="AY65" s="274"/>
      <c r="BN65" s="274"/>
      <c r="BO65" s="274"/>
      <c r="BP65" s="274"/>
      <c r="BQ65" s="274"/>
      <c r="BR65" s="274"/>
      <c r="BS65" s="274"/>
      <c r="BT65" s="274"/>
      <c r="BU65" s="274"/>
      <c r="BV65" s="274"/>
      <c r="BW65" s="274"/>
      <c r="BX65" s="274"/>
      <c r="BY65" s="274"/>
      <c r="BZ65" s="274"/>
      <c r="CA65" s="274"/>
      <c r="CB65" s="274"/>
      <c r="CC65" s="274"/>
      <c r="CD65" s="274"/>
      <c r="CE65" s="274"/>
      <c r="CF65" s="274"/>
      <c r="CG65" s="274"/>
      <c r="CH65" s="274"/>
      <c r="CI65" s="274"/>
      <c r="CJ65" s="274"/>
      <c r="CK65" s="274"/>
      <c r="CL65" s="274"/>
      <c r="CM65" s="274"/>
      <c r="CN65" s="274"/>
      <c r="CO65" s="274"/>
      <c r="CP65" s="274"/>
      <c r="CQ65" s="274"/>
      <c r="CR65" s="274"/>
      <c r="CS65" s="274"/>
      <c r="CT65" s="274"/>
      <c r="CU65" s="274"/>
      <c r="CV65" s="274"/>
      <c r="CW65" s="274"/>
      <c r="CX65" s="274"/>
      <c r="CY65" s="274"/>
      <c r="CZ65" s="274"/>
      <c r="DA65" s="274"/>
      <c r="DB65" s="274"/>
      <c r="DC65" s="274"/>
      <c r="DL65" s="288"/>
      <c r="DM65" s="288"/>
      <c r="DN65" s="288"/>
      <c r="DO65" s="288"/>
      <c r="DP65" s="288"/>
      <c r="DQ65" s="288"/>
      <c r="DR65" s="288"/>
      <c r="DS65" s="288"/>
      <c r="DT65" s="288"/>
      <c r="DU65" s="288"/>
      <c r="DV65" s="288"/>
      <c r="DW65" s="288"/>
      <c r="DX65" s="288"/>
      <c r="DY65" s="288"/>
      <c r="DZ65" s="288"/>
      <c r="EA65" s="288"/>
      <c r="EB65" s="288"/>
      <c r="EC65" s="288"/>
      <c r="ED65" s="288"/>
      <c r="EE65" s="288"/>
      <c r="EF65" s="288"/>
      <c r="EG65" s="288"/>
      <c r="EH65" s="288"/>
      <c r="EI65" s="288"/>
      <c r="EJ65" s="288"/>
      <c r="EK65" s="288"/>
      <c r="EL65" s="288"/>
      <c r="EM65" s="288"/>
      <c r="EN65" s="288"/>
      <c r="EO65" s="288"/>
      <c r="EP65" s="288"/>
      <c r="EQ65" s="288"/>
      <c r="ER65" s="288"/>
      <c r="ES65" s="288"/>
      <c r="ET65" s="288"/>
      <c r="EU65" s="288"/>
      <c r="EV65" s="288"/>
      <c r="EW65" s="288"/>
    </row>
    <row r="66" spans="4:153" ht="24.75">
      <c r="D66" s="274"/>
      <c r="E66" s="274"/>
      <c r="F66" s="639"/>
      <c r="G66" s="639"/>
      <c r="H66" s="276"/>
      <c r="I66" s="276"/>
      <c r="J66" s="276"/>
      <c r="K66" s="276"/>
      <c r="L66" s="639"/>
      <c r="M66" s="639"/>
      <c r="N66" s="639"/>
      <c r="O66" s="639"/>
      <c r="P66" s="276"/>
      <c r="Q66" s="276"/>
      <c r="R66" s="276"/>
      <c r="S66" s="276"/>
      <c r="T66" s="274"/>
      <c r="U66" s="274"/>
      <c r="V66" s="274"/>
      <c r="W66" s="274"/>
      <c r="X66" s="274"/>
      <c r="Y66" s="274"/>
      <c r="Z66" s="274"/>
      <c r="AA66" s="274"/>
      <c r="AB66" s="274"/>
      <c r="AC66" s="274"/>
      <c r="AD66" s="274"/>
      <c r="AE66" s="274"/>
      <c r="AF66" s="274"/>
      <c r="AG66" s="274"/>
      <c r="AH66" s="274"/>
      <c r="AI66" s="274"/>
      <c r="AJ66" s="274"/>
      <c r="AK66" s="274"/>
      <c r="AL66" s="274"/>
      <c r="AM66" s="274"/>
      <c r="AN66" s="274"/>
      <c r="AO66" s="274"/>
      <c r="AP66" s="274"/>
      <c r="AQ66" s="274"/>
      <c r="AR66" s="274"/>
      <c r="AS66" s="274"/>
      <c r="AT66" s="274"/>
      <c r="AU66" s="274"/>
      <c r="AV66" s="274"/>
      <c r="AW66" s="274"/>
      <c r="AX66" s="274"/>
      <c r="AY66" s="274"/>
      <c r="BN66" s="274"/>
      <c r="BO66" s="274"/>
      <c r="BP66" s="274"/>
      <c r="BQ66" s="274"/>
      <c r="BR66" s="274"/>
      <c r="BS66" s="274"/>
      <c r="BT66" s="274"/>
      <c r="BU66" s="274"/>
      <c r="BV66" s="274"/>
      <c r="BW66" s="274"/>
      <c r="BX66" s="274"/>
      <c r="BY66" s="274"/>
      <c r="BZ66" s="274"/>
      <c r="CA66" s="274"/>
      <c r="CB66" s="274"/>
      <c r="CC66" s="274"/>
      <c r="CD66" s="274"/>
      <c r="CE66" s="274"/>
      <c r="CF66" s="274"/>
      <c r="CG66" s="274"/>
      <c r="CH66" s="274"/>
      <c r="CI66" s="274"/>
      <c r="CJ66" s="274"/>
      <c r="CK66" s="274"/>
      <c r="CL66" s="274"/>
      <c r="CM66" s="274"/>
      <c r="CN66" s="274"/>
      <c r="CO66" s="274"/>
      <c r="CP66" s="274"/>
      <c r="CQ66" s="274"/>
      <c r="CR66" s="274"/>
      <c r="CS66" s="274"/>
      <c r="CT66" s="274"/>
      <c r="CU66" s="274"/>
      <c r="CV66" s="274"/>
      <c r="CW66" s="274"/>
      <c r="CX66" s="274"/>
      <c r="CY66" s="274"/>
      <c r="CZ66" s="274"/>
      <c r="DA66" s="274"/>
      <c r="DB66" s="274"/>
      <c r="DC66" s="274"/>
      <c r="DL66" s="288"/>
      <c r="DM66" s="288"/>
      <c r="DN66" s="288"/>
      <c r="DO66" s="288"/>
      <c r="DP66" s="288"/>
      <c r="DQ66" s="288"/>
      <c r="DR66" s="288"/>
      <c r="DS66" s="288"/>
      <c r="DT66" s="288"/>
      <c r="DU66" s="288"/>
      <c r="DV66" s="288"/>
      <c r="DW66" s="288"/>
      <c r="DX66" s="288"/>
      <c r="DY66" s="288"/>
      <c r="DZ66" s="288"/>
      <c r="EA66" s="288"/>
      <c r="EB66" s="288"/>
      <c r="EC66" s="288"/>
      <c r="ED66" s="288"/>
      <c r="EE66" s="288"/>
      <c r="EF66" s="288"/>
      <c r="EG66" s="288"/>
      <c r="EH66" s="288"/>
      <c r="EI66" s="288"/>
      <c r="EJ66" s="288"/>
      <c r="EK66" s="288"/>
      <c r="EL66" s="288"/>
      <c r="EM66" s="288"/>
      <c r="EN66" s="288"/>
      <c r="EO66" s="288"/>
      <c r="EP66" s="288"/>
      <c r="EQ66" s="288"/>
      <c r="ER66" s="288"/>
      <c r="ES66" s="288"/>
      <c r="ET66" s="288"/>
      <c r="EU66" s="288"/>
      <c r="EV66" s="288"/>
      <c r="EW66" s="288"/>
    </row>
    <row r="67" spans="4:153" ht="24.75">
      <c r="D67" s="274"/>
      <c r="E67" s="274"/>
      <c r="F67" s="639"/>
      <c r="G67" s="715"/>
      <c r="H67" s="276"/>
      <c r="I67" s="276"/>
      <c r="J67" s="276"/>
      <c r="K67" s="276"/>
      <c r="L67" s="639"/>
      <c r="M67" s="639"/>
      <c r="N67" s="639"/>
      <c r="O67" s="639"/>
      <c r="P67" s="276"/>
      <c r="Q67" s="276"/>
      <c r="R67" s="276"/>
      <c r="S67" s="276"/>
      <c r="T67" s="274"/>
      <c r="U67" s="274"/>
      <c r="V67" s="274"/>
      <c r="W67" s="274"/>
      <c r="X67" s="274"/>
      <c r="Y67" s="274"/>
      <c r="Z67" s="274"/>
      <c r="AA67" s="274"/>
      <c r="AB67" s="274"/>
      <c r="AC67" s="274"/>
      <c r="AD67" s="274"/>
      <c r="AE67" s="274"/>
      <c r="AF67" s="274"/>
      <c r="AG67" s="274"/>
      <c r="AH67" s="274"/>
      <c r="AI67" s="274"/>
      <c r="AJ67" s="274"/>
      <c r="AK67" s="274"/>
      <c r="AL67" s="274"/>
      <c r="AM67" s="274"/>
      <c r="AN67" s="274"/>
      <c r="AO67" s="274"/>
      <c r="AP67" s="274"/>
      <c r="AQ67" s="274"/>
      <c r="AR67" s="274"/>
      <c r="AS67" s="274"/>
      <c r="AT67" s="274"/>
      <c r="AU67" s="274"/>
      <c r="AV67" s="274"/>
      <c r="AW67" s="274"/>
      <c r="AX67" s="274"/>
      <c r="AY67" s="274"/>
      <c r="BN67" s="274"/>
      <c r="BO67" s="274"/>
      <c r="BP67" s="274"/>
      <c r="BQ67" s="274"/>
      <c r="BR67" s="274"/>
      <c r="BS67" s="274"/>
      <c r="BT67" s="274"/>
      <c r="BU67" s="274"/>
      <c r="BV67" s="274"/>
      <c r="BW67" s="274"/>
      <c r="BX67" s="274"/>
      <c r="BY67" s="274"/>
      <c r="BZ67" s="274"/>
      <c r="CA67" s="274"/>
      <c r="CB67" s="274"/>
      <c r="CC67" s="274"/>
      <c r="CD67" s="274"/>
      <c r="CE67" s="274"/>
      <c r="CF67" s="274"/>
      <c r="CG67" s="274"/>
      <c r="CH67" s="274"/>
      <c r="CI67" s="274"/>
      <c r="CJ67" s="274"/>
      <c r="CK67" s="274"/>
      <c r="CL67" s="274"/>
      <c r="CM67" s="274"/>
      <c r="CN67" s="274"/>
      <c r="CO67" s="274"/>
      <c r="CP67" s="274"/>
      <c r="CQ67" s="274"/>
      <c r="CR67" s="274"/>
      <c r="CS67" s="274"/>
      <c r="CT67" s="274"/>
      <c r="CU67" s="274"/>
      <c r="CV67" s="274"/>
      <c r="CW67" s="274"/>
      <c r="CX67" s="274"/>
      <c r="CY67" s="274"/>
      <c r="CZ67" s="274"/>
      <c r="DA67" s="274"/>
      <c r="DB67" s="274"/>
      <c r="DC67" s="274"/>
      <c r="DL67" s="288"/>
      <c r="DM67" s="288"/>
      <c r="DN67" s="288"/>
      <c r="DO67" s="288"/>
      <c r="DP67" s="288"/>
      <c r="DQ67" s="288"/>
      <c r="DR67" s="288"/>
      <c r="DS67" s="288"/>
      <c r="DT67" s="288"/>
      <c r="DU67" s="288"/>
      <c r="DV67" s="288"/>
      <c r="DW67" s="288"/>
      <c r="DX67" s="288"/>
      <c r="DY67" s="288"/>
      <c r="DZ67" s="288"/>
      <c r="EA67" s="288"/>
      <c r="EB67" s="288"/>
      <c r="EC67" s="288"/>
      <c r="ED67" s="288"/>
      <c r="EE67" s="288"/>
      <c r="EF67" s="288"/>
      <c r="EG67" s="288"/>
      <c r="EH67" s="288"/>
      <c r="EI67" s="288"/>
      <c r="EJ67" s="288"/>
      <c r="EK67" s="288"/>
      <c r="EL67" s="288"/>
      <c r="EM67" s="288"/>
      <c r="EN67" s="288"/>
      <c r="EO67" s="288"/>
      <c r="EP67" s="288"/>
      <c r="EQ67" s="288"/>
      <c r="ER67" s="288"/>
      <c r="ES67" s="288"/>
      <c r="ET67" s="288"/>
      <c r="EU67" s="288"/>
      <c r="EV67" s="288"/>
      <c r="EW67" s="288"/>
    </row>
    <row r="68" spans="4:153" ht="24.75">
      <c r="D68" s="274"/>
      <c r="E68" s="274"/>
      <c r="F68" s="639"/>
      <c r="G68" s="639"/>
      <c r="H68" s="276"/>
      <c r="I68" s="276"/>
      <c r="J68" s="276"/>
      <c r="K68" s="276"/>
      <c r="L68" s="639"/>
      <c r="M68" s="639"/>
      <c r="N68" s="639"/>
      <c r="O68" s="639"/>
      <c r="P68" s="276"/>
      <c r="Q68" s="276"/>
      <c r="R68" s="276"/>
      <c r="S68" s="276"/>
      <c r="T68" s="274"/>
      <c r="U68" s="274"/>
      <c r="V68" s="274"/>
      <c r="W68" s="274"/>
      <c r="X68" s="274"/>
      <c r="Y68" s="274"/>
      <c r="Z68" s="274"/>
      <c r="AA68" s="274"/>
      <c r="AB68" s="274"/>
      <c r="AC68" s="274"/>
      <c r="AD68" s="274"/>
      <c r="AE68" s="274"/>
      <c r="AF68" s="274"/>
      <c r="AG68" s="274"/>
      <c r="AH68" s="274"/>
      <c r="AI68" s="274"/>
      <c r="AJ68" s="274"/>
      <c r="AK68" s="274"/>
      <c r="AL68" s="274"/>
      <c r="AM68" s="274"/>
      <c r="AN68" s="274"/>
      <c r="AO68" s="274"/>
      <c r="AP68" s="274"/>
      <c r="AQ68" s="274"/>
      <c r="AR68" s="274"/>
      <c r="AS68" s="274"/>
      <c r="AT68" s="274"/>
      <c r="AU68" s="274"/>
      <c r="AV68" s="274"/>
      <c r="AW68" s="274"/>
      <c r="AX68" s="274"/>
      <c r="AY68" s="274"/>
      <c r="BN68" s="274"/>
      <c r="BO68" s="274"/>
      <c r="BP68" s="274"/>
      <c r="BQ68" s="274"/>
      <c r="BR68" s="274"/>
      <c r="BS68" s="274"/>
      <c r="BT68" s="274"/>
      <c r="BU68" s="274"/>
      <c r="BV68" s="274"/>
      <c r="BW68" s="274"/>
      <c r="BX68" s="274"/>
      <c r="BY68" s="274"/>
      <c r="BZ68" s="274"/>
      <c r="CA68" s="274"/>
      <c r="CB68" s="274"/>
      <c r="CC68" s="274"/>
      <c r="CD68" s="274"/>
      <c r="CE68" s="274"/>
      <c r="CF68" s="274"/>
      <c r="CG68" s="274"/>
      <c r="CH68" s="274"/>
      <c r="CI68" s="274"/>
      <c r="CJ68" s="274"/>
      <c r="CK68" s="274"/>
      <c r="CL68" s="274"/>
      <c r="CM68" s="274"/>
      <c r="CN68" s="274"/>
      <c r="CO68" s="274"/>
      <c r="CP68" s="274"/>
      <c r="CQ68" s="274"/>
      <c r="CR68" s="274"/>
      <c r="CS68" s="274"/>
      <c r="CT68" s="274"/>
      <c r="CU68" s="274"/>
      <c r="CV68" s="274"/>
      <c r="CW68" s="274"/>
      <c r="CX68" s="274"/>
      <c r="CY68" s="274"/>
      <c r="CZ68" s="274"/>
      <c r="DA68" s="274"/>
      <c r="DB68" s="274"/>
      <c r="DC68" s="274"/>
      <c r="DL68" s="288"/>
      <c r="DM68" s="288"/>
      <c r="DN68" s="288"/>
      <c r="DO68" s="288"/>
      <c r="DP68" s="288"/>
      <c r="DQ68" s="288"/>
      <c r="DR68" s="288"/>
      <c r="DS68" s="288"/>
      <c r="DT68" s="288"/>
      <c r="DU68" s="288"/>
      <c r="DV68" s="288"/>
      <c r="DW68" s="288"/>
      <c r="DX68" s="288"/>
      <c r="DY68" s="288"/>
      <c r="DZ68" s="288"/>
      <c r="EA68" s="288"/>
      <c r="EB68" s="288"/>
      <c r="EC68" s="288"/>
      <c r="ED68" s="288"/>
      <c r="EE68" s="288"/>
      <c r="EF68" s="288"/>
      <c r="EG68" s="288"/>
      <c r="EH68" s="288"/>
      <c r="EI68" s="288"/>
      <c r="EJ68" s="288"/>
      <c r="EK68" s="288"/>
      <c r="EL68" s="288"/>
      <c r="EM68" s="288"/>
      <c r="EN68" s="288"/>
      <c r="EO68" s="288"/>
      <c r="EP68" s="288"/>
      <c r="EQ68" s="288"/>
      <c r="ER68" s="288"/>
      <c r="ES68" s="288"/>
      <c r="ET68" s="288"/>
      <c r="EU68" s="288"/>
      <c r="EV68" s="288"/>
      <c r="EW68" s="288"/>
    </row>
    <row r="69" spans="4:153" ht="24.75">
      <c r="D69" s="274"/>
      <c r="E69" s="274"/>
      <c r="F69" s="639"/>
      <c r="G69" s="715"/>
      <c r="H69" s="639"/>
      <c r="I69" s="639"/>
      <c r="J69" s="639"/>
      <c r="K69" s="639"/>
      <c r="L69" s="639"/>
      <c r="M69" s="639"/>
      <c r="N69" s="639"/>
      <c r="O69" s="639"/>
      <c r="P69" s="276"/>
      <c r="Q69" s="276"/>
      <c r="R69" s="276"/>
      <c r="S69" s="276"/>
      <c r="T69" s="274"/>
      <c r="U69" s="274"/>
      <c r="V69" s="274"/>
      <c r="W69" s="274"/>
      <c r="X69" s="274"/>
      <c r="Y69" s="274"/>
      <c r="Z69" s="274"/>
      <c r="AA69" s="274"/>
      <c r="AB69" s="274"/>
      <c r="AC69" s="274"/>
      <c r="AD69" s="274"/>
      <c r="AE69" s="274"/>
      <c r="AF69" s="274"/>
      <c r="AG69" s="274"/>
      <c r="AH69" s="274"/>
      <c r="AI69" s="274"/>
      <c r="AJ69" s="274"/>
      <c r="AK69" s="274"/>
      <c r="AL69" s="274"/>
      <c r="AM69" s="274"/>
      <c r="AN69" s="274"/>
      <c r="AO69" s="274"/>
      <c r="AP69" s="274"/>
      <c r="AQ69" s="274"/>
      <c r="AR69" s="274"/>
      <c r="AS69" s="274"/>
      <c r="AT69" s="274"/>
      <c r="AU69" s="274"/>
      <c r="AV69" s="274"/>
      <c r="AW69" s="274"/>
      <c r="AX69" s="274"/>
      <c r="AY69" s="274"/>
      <c r="BN69" s="274"/>
      <c r="BO69" s="274"/>
      <c r="BP69" s="274"/>
      <c r="BQ69" s="274"/>
      <c r="BR69" s="274"/>
      <c r="BS69" s="274"/>
      <c r="BT69" s="274"/>
      <c r="BU69" s="274"/>
      <c r="BV69" s="274"/>
      <c r="BW69" s="274"/>
      <c r="BX69" s="274"/>
      <c r="BY69" s="274"/>
      <c r="BZ69" s="274"/>
      <c r="CA69" s="274"/>
      <c r="CB69" s="274"/>
      <c r="CC69" s="274"/>
      <c r="CD69" s="274"/>
      <c r="CE69" s="274"/>
      <c r="CF69" s="274"/>
      <c r="CG69" s="274"/>
      <c r="CH69" s="274"/>
      <c r="CI69" s="274"/>
      <c r="CJ69" s="274"/>
      <c r="CK69" s="274"/>
      <c r="CL69" s="274"/>
      <c r="CM69" s="274"/>
      <c r="CN69" s="274"/>
      <c r="CO69" s="274"/>
      <c r="CP69" s="274"/>
      <c r="CQ69" s="274"/>
      <c r="CR69" s="274"/>
      <c r="CS69" s="274"/>
      <c r="CT69" s="274"/>
      <c r="CU69" s="274"/>
      <c r="CV69" s="274"/>
      <c r="CW69" s="274"/>
      <c r="CX69" s="274"/>
      <c r="CY69" s="274"/>
      <c r="CZ69" s="274"/>
      <c r="DA69" s="274"/>
      <c r="DB69" s="274"/>
      <c r="DC69" s="274"/>
      <c r="DL69" s="288"/>
      <c r="DM69" s="288"/>
      <c r="DN69" s="288"/>
      <c r="DO69" s="288"/>
      <c r="DP69" s="288"/>
      <c r="DQ69" s="288"/>
      <c r="DR69" s="288"/>
      <c r="DS69" s="288"/>
      <c r="DT69" s="288"/>
      <c r="DU69" s="288"/>
      <c r="DV69" s="288"/>
      <c r="DW69" s="288"/>
      <c r="DX69" s="288"/>
      <c r="DY69" s="288"/>
      <c r="DZ69" s="288"/>
      <c r="EA69" s="288"/>
      <c r="EB69" s="288"/>
      <c r="EC69" s="288"/>
      <c r="ED69" s="288"/>
      <c r="EE69" s="288"/>
      <c r="EF69" s="288"/>
      <c r="EG69" s="288"/>
      <c r="EH69" s="288"/>
      <c r="EI69" s="288"/>
      <c r="EJ69" s="288"/>
      <c r="EK69" s="288"/>
      <c r="EL69" s="288"/>
      <c r="EM69" s="288"/>
      <c r="EN69" s="288"/>
      <c r="EO69" s="288"/>
      <c r="EP69" s="288"/>
      <c r="EQ69" s="288"/>
      <c r="ER69" s="288"/>
      <c r="ES69" s="288"/>
      <c r="ET69" s="288"/>
      <c r="EU69" s="288"/>
      <c r="EV69" s="288"/>
      <c r="EW69" s="288"/>
    </row>
    <row r="70" spans="4:153" ht="24.75">
      <c r="D70" s="274"/>
      <c r="E70" s="274"/>
      <c r="F70" s="639"/>
      <c r="G70" s="715"/>
      <c r="H70" s="639"/>
      <c r="I70" s="639"/>
      <c r="J70" s="639"/>
      <c r="K70" s="639"/>
      <c r="L70" s="639"/>
      <c r="M70" s="639"/>
      <c r="N70" s="639"/>
      <c r="O70" s="639"/>
      <c r="P70" s="276"/>
      <c r="Q70" s="276"/>
      <c r="R70" s="276"/>
      <c r="S70" s="276"/>
      <c r="T70" s="274"/>
      <c r="U70" s="274"/>
      <c r="V70" s="274"/>
      <c r="W70" s="274"/>
      <c r="X70" s="274"/>
      <c r="Y70" s="274"/>
      <c r="Z70" s="274"/>
      <c r="AA70" s="274"/>
      <c r="AB70" s="274"/>
      <c r="AC70" s="274"/>
      <c r="AD70" s="274"/>
      <c r="AE70" s="274"/>
      <c r="AF70" s="274"/>
      <c r="AG70" s="274"/>
      <c r="AH70" s="274"/>
      <c r="AI70" s="274"/>
      <c r="AJ70" s="274"/>
      <c r="AK70" s="274"/>
      <c r="AL70" s="274"/>
      <c r="AM70" s="274"/>
      <c r="AN70" s="274"/>
      <c r="AO70" s="274"/>
      <c r="AP70" s="274"/>
      <c r="AQ70" s="274"/>
      <c r="AR70" s="274"/>
      <c r="AS70" s="274"/>
      <c r="AT70" s="274"/>
      <c r="AU70" s="274"/>
      <c r="AV70" s="274"/>
      <c r="AW70" s="274"/>
      <c r="AX70" s="274"/>
      <c r="AY70" s="274"/>
      <c r="BN70" s="274"/>
      <c r="BO70" s="274"/>
      <c r="BP70" s="274"/>
      <c r="BQ70" s="274"/>
      <c r="BR70" s="274"/>
      <c r="BS70" s="274"/>
      <c r="BT70" s="274"/>
      <c r="BU70" s="274"/>
      <c r="BV70" s="274"/>
      <c r="BW70" s="274"/>
      <c r="BX70" s="274"/>
      <c r="BY70" s="274"/>
      <c r="BZ70" s="274"/>
      <c r="CA70" s="274"/>
      <c r="CB70" s="274"/>
      <c r="CC70" s="274"/>
      <c r="CD70" s="274"/>
      <c r="CE70" s="274"/>
      <c r="CF70" s="274"/>
      <c r="CG70" s="274"/>
      <c r="CH70" s="274"/>
      <c r="CI70" s="274"/>
      <c r="CJ70" s="274"/>
      <c r="CK70" s="274"/>
      <c r="CL70" s="274"/>
      <c r="CM70" s="274"/>
      <c r="CN70" s="274"/>
      <c r="CO70" s="274"/>
      <c r="CP70" s="274"/>
      <c r="CQ70" s="274"/>
      <c r="CR70" s="274"/>
      <c r="CS70" s="274"/>
      <c r="CT70" s="274"/>
      <c r="CU70" s="274"/>
      <c r="CV70" s="274"/>
      <c r="CW70" s="274"/>
      <c r="CX70" s="274"/>
      <c r="CY70" s="274"/>
      <c r="CZ70" s="274"/>
      <c r="DA70" s="274"/>
      <c r="DB70" s="274"/>
      <c r="DC70" s="274"/>
      <c r="DL70" s="288"/>
      <c r="DM70" s="288"/>
      <c r="DN70" s="288"/>
      <c r="DO70" s="288"/>
      <c r="DP70" s="288"/>
      <c r="DQ70" s="288"/>
      <c r="DR70" s="288"/>
      <c r="DS70" s="288"/>
      <c r="DT70" s="288"/>
      <c r="DU70" s="288"/>
      <c r="DV70" s="288"/>
      <c r="DW70" s="288"/>
      <c r="DX70" s="288"/>
      <c r="DY70" s="288"/>
      <c r="DZ70" s="288"/>
      <c r="EA70" s="288"/>
      <c r="EB70" s="288"/>
      <c r="EC70" s="288"/>
      <c r="ED70" s="288"/>
      <c r="EE70" s="288"/>
      <c r="EF70" s="288"/>
      <c r="EG70" s="288"/>
      <c r="EH70" s="288"/>
      <c r="EI70" s="288"/>
      <c r="EJ70" s="288"/>
      <c r="EK70" s="288"/>
      <c r="EL70" s="288"/>
      <c r="EM70" s="288"/>
      <c r="EN70" s="288"/>
      <c r="EO70" s="288"/>
      <c r="EP70" s="288"/>
      <c r="EQ70" s="288"/>
      <c r="ER70" s="288"/>
      <c r="ES70" s="288"/>
      <c r="ET70" s="288"/>
      <c r="EU70" s="288"/>
      <c r="EV70" s="288"/>
      <c r="EW70" s="288"/>
    </row>
    <row r="71" spans="4:153" ht="24.75">
      <c r="D71" s="274"/>
      <c r="E71" s="274"/>
      <c r="F71" s="639"/>
      <c r="G71" s="639"/>
      <c r="H71" s="276"/>
      <c r="I71" s="276"/>
      <c r="J71" s="276"/>
      <c r="K71" s="276"/>
      <c r="L71" s="639"/>
      <c r="M71" s="639"/>
      <c r="N71" s="639"/>
      <c r="O71" s="639"/>
      <c r="P71" s="276"/>
      <c r="Q71" s="276"/>
      <c r="R71" s="276"/>
      <c r="S71" s="276"/>
      <c r="T71" s="274"/>
      <c r="U71" s="274"/>
      <c r="V71" s="274"/>
      <c r="W71" s="274"/>
      <c r="X71" s="274"/>
      <c r="Y71" s="274"/>
      <c r="Z71" s="274"/>
      <c r="AA71" s="274"/>
      <c r="AB71" s="274"/>
      <c r="AC71" s="274"/>
      <c r="AD71" s="274"/>
      <c r="AE71" s="274"/>
      <c r="AF71" s="274"/>
      <c r="AG71" s="274"/>
      <c r="AH71" s="274"/>
      <c r="AI71" s="274"/>
      <c r="AJ71" s="274"/>
      <c r="AK71" s="274"/>
      <c r="AL71" s="274"/>
      <c r="AM71" s="274"/>
      <c r="AN71" s="274"/>
      <c r="AO71" s="274"/>
      <c r="AP71" s="274"/>
      <c r="AQ71" s="274"/>
      <c r="AR71" s="274"/>
      <c r="AS71" s="274"/>
      <c r="AT71" s="274"/>
      <c r="AU71" s="274"/>
      <c r="AV71" s="274"/>
      <c r="AW71" s="274"/>
      <c r="AX71" s="274"/>
      <c r="AY71" s="274"/>
      <c r="BN71" s="274"/>
      <c r="BO71" s="274"/>
      <c r="BP71" s="274"/>
      <c r="BQ71" s="274"/>
      <c r="BR71" s="274"/>
      <c r="BS71" s="274"/>
      <c r="BT71" s="274"/>
      <c r="BU71" s="274"/>
      <c r="BV71" s="274"/>
      <c r="BW71" s="274"/>
      <c r="BX71" s="274"/>
      <c r="BY71" s="274"/>
      <c r="BZ71" s="274"/>
      <c r="CA71" s="274"/>
      <c r="CB71" s="274"/>
      <c r="CC71" s="274"/>
      <c r="CD71" s="274"/>
      <c r="CE71" s="274"/>
      <c r="CF71" s="274"/>
      <c r="CG71" s="274"/>
      <c r="CH71" s="274"/>
      <c r="CI71" s="274"/>
      <c r="CJ71" s="274"/>
      <c r="CK71" s="274"/>
      <c r="CL71" s="274"/>
      <c r="CM71" s="274"/>
      <c r="CN71" s="274"/>
      <c r="CO71" s="274"/>
      <c r="CP71" s="274"/>
      <c r="CQ71" s="274"/>
      <c r="CR71" s="274"/>
      <c r="CS71" s="274"/>
      <c r="CT71" s="274"/>
      <c r="CU71" s="274"/>
      <c r="CV71" s="274"/>
      <c r="CW71" s="274"/>
      <c r="CX71" s="274"/>
      <c r="CY71" s="274"/>
      <c r="CZ71" s="274"/>
      <c r="DA71" s="274"/>
      <c r="DB71" s="274"/>
      <c r="DC71" s="274"/>
      <c r="DL71" s="288"/>
      <c r="DM71" s="288"/>
      <c r="DN71" s="274"/>
      <c r="DO71" s="274"/>
      <c r="DP71" s="274"/>
      <c r="DQ71" s="274"/>
      <c r="DR71" s="274"/>
      <c r="DS71" s="274"/>
      <c r="DT71" s="274"/>
      <c r="DU71" s="274"/>
      <c r="DV71" s="274"/>
      <c r="DW71" s="274"/>
      <c r="DX71" s="274"/>
      <c r="DY71" s="274"/>
      <c r="DZ71" s="274"/>
      <c r="EA71" s="274"/>
      <c r="EB71" s="274"/>
      <c r="EC71" s="274"/>
      <c r="ED71" s="274"/>
      <c r="EE71" s="274"/>
      <c r="EF71" s="274"/>
      <c r="EG71" s="274"/>
      <c r="EH71" s="274"/>
      <c r="EI71" s="274"/>
      <c r="EJ71" s="274"/>
      <c r="EK71" s="274"/>
      <c r="EL71" s="274"/>
      <c r="EM71" s="274"/>
      <c r="EN71" s="274"/>
      <c r="EO71" s="274"/>
      <c r="EP71" s="274"/>
      <c r="EQ71" s="274"/>
      <c r="ER71" s="288"/>
      <c r="ES71" s="288"/>
      <c r="ET71" s="288"/>
      <c r="EU71" s="288"/>
      <c r="EV71" s="288"/>
      <c r="EW71" s="288"/>
    </row>
    <row r="72" spans="4:153" ht="24.75">
      <c r="D72" s="274"/>
      <c r="E72" s="274"/>
      <c r="F72" s="639"/>
      <c r="G72" s="639"/>
      <c r="H72" s="276"/>
      <c r="I72" s="276"/>
      <c r="J72" s="276"/>
      <c r="K72" s="276"/>
      <c r="L72" s="639"/>
      <c r="M72" s="639"/>
      <c r="N72" s="639"/>
      <c r="O72" s="639"/>
      <c r="P72" s="639"/>
      <c r="Q72" s="274"/>
      <c r="R72" s="274"/>
      <c r="S72" s="274"/>
      <c r="T72" s="274"/>
      <c r="U72" s="274"/>
      <c r="V72" s="274"/>
      <c r="W72" s="274"/>
      <c r="X72" s="274"/>
      <c r="Y72" s="274"/>
      <c r="Z72" s="274"/>
      <c r="AA72" s="274"/>
      <c r="AB72" s="274"/>
      <c r="AC72" s="274"/>
      <c r="AD72" s="274"/>
      <c r="AE72" s="274"/>
      <c r="AF72" s="274"/>
      <c r="AG72" s="274"/>
      <c r="AH72" s="274"/>
      <c r="AI72" s="274"/>
      <c r="AJ72" s="274"/>
      <c r="AK72" s="274"/>
      <c r="AL72" s="274"/>
      <c r="AM72" s="274"/>
      <c r="AN72" s="274"/>
      <c r="AO72" s="274"/>
      <c r="AP72" s="274"/>
      <c r="AQ72" s="274"/>
      <c r="AR72" s="274"/>
      <c r="AS72" s="274"/>
      <c r="AT72" s="274"/>
      <c r="AU72" s="274"/>
      <c r="AV72" s="274"/>
      <c r="AW72" s="274"/>
      <c r="AX72" s="274"/>
      <c r="AY72" s="274"/>
      <c r="BN72" s="274"/>
      <c r="BO72" s="274"/>
      <c r="BP72" s="274"/>
      <c r="BQ72" s="274"/>
      <c r="BR72" s="274"/>
      <c r="BS72" s="274"/>
      <c r="BT72" s="274"/>
      <c r="BU72" s="274"/>
      <c r="BV72" s="274"/>
      <c r="BW72" s="274"/>
      <c r="BX72" s="274"/>
      <c r="BY72" s="274"/>
      <c r="BZ72" s="274"/>
      <c r="CA72" s="274"/>
      <c r="CB72" s="274"/>
      <c r="CC72" s="274"/>
      <c r="CD72" s="274"/>
      <c r="CE72" s="274"/>
      <c r="CF72" s="274"/>
      <c r="CG72" s="274"/>
      <c r="CH72" s="274"/>
      <c r="CI72" s="274"/>
      <c r="CJ72" s="274"/>
      <c r="CK72" s="274"/>
      <c r="CL72" s="274"/>
      <c r="CM72" s="274"/>
      <c r="CN72" s="274"/>
      <c r="CO72" s="274"/>
      <c r="CP72" s="274"/>
      <c r="CQ72" s="274"/>
      <c r="CR72" s="274"/>
      <c r="CS72" s="274"/>
      <c r="CT72" s="274"/>
      <c r="CU72" s="274"/>
      <c r="CV72" s="274"/>
      <c r="CW72" s="274"/>
      <c r="CX72" s="274"/>
      <c r="CY72" s="274"/>
      <c r="CZ72" s="274"/>
      <c r="DA72" s="274"/>
      <c r="DB72" s="274"/>
      <c r="DC72" s="274"/>
      <c r="DL72" s="288"/>
      <c r="DM72" s="288"/>
      <c r="DN72" s="288"/>
      <c r="DO72" s="288"/>
      <c r="DP72" s="288"/>
      <c r="DQ72" s="288"/>
      <c r="DR72" s="288"/>
      <c r="DS72" s="288"/>
      <c r="DT72" s="288"/>
      <c r="DU72" s="288"/>
      <c r="DV72" s="288"/>
      <c r="DW72" s="288"/>
      <c r="DX72" s="288"/>
      <c r="DY72" s="288"/>
      <c r="DZ72" s="288"/>
      <c r="EA72" s="288"/>
      <c r="EB72" s="288"/>
      <c r="EC72" s="288"/>
      <c r="ED72" s="288"/>
      <c r="EE72" s="288"/>
      <c r="EF72" s="288"/>
      <c r="EG72" s="288"/>
      <c r="EH72" s="288"/>
      <c r="EI72" s="288"/>
      <c r="EJ72" s="288"/>
      <c r="EK72" s="288"/>
      <c r="EL72" s="288"/>
      <c r="EM72" s="288"/>
      <c r="EN72" s="288"/>
      <c r="EO72" s="288"/>
      <c r="EP72" s="288"/>
      <c r="EQ72" s="288"/>
      <c r="ER72" s="288"/>
      <c r="ES72" s="288"/>
      <c r="ET72" s="288"/>
      <c r="EU72" s="288"/>
      <c r="EV72" s="288"/>
      <c r="EW72" s="288"/>
    </row>
    <row r="73" spans="4:153" ht="24.75">
      <c r="D73" s="274"/>
      <c r="E73" s="274"/>
      <c r="F73" s="639"/>
      <c r="G73" s="639"/>
      <c r="H73" s="276"/>
      <c r="I73" s="276"/>
      <c r="J73" s="276"/>
      <c r="K73" s="276"/>
      <c r="L73" s="639"/>
      <c r="M73" s="639"/>
      <c r="N73" s="639"/>
      <c r="O73" s="639"/>
      <c r="P73" s="639"/>
      <c r="Q73" s="274"/>
      <c r="R73" s="274"/>
      <c r="S73" s="274"/>
      <c r="T73" s="274"/>
      <c r="U73" s="274"/>
      <c r="V73" s="274"/>
      <c r="W73" s="274"/>
      <c r="X73" s="274"/>
      <c r="Y73" s="274"/>
      <c r="Z73" s="274"/>
      <c r="AA73" s="274"/>
      <c r="AB73" s="274"/>
      <c r="AC73" s="274"/>
      <c r="AD73" s="274"/>
      <c r="AE73" s="274"/>
      <c r="AF73" s="274"/>
      <c r="AG73" s="274"/>
      <c r="AH73" s="274"/>
      <c r="AI73" s="274"/>
      <c r="AJ73" s="274"/>
      <c r="AK73" s="274"/>
      <c r="AL73" s="274"/>
      <c r="AM73" s="274"/>
      <c r="AN73" s="274"/>
      <c r="AO73" s="274"/>
      <c r="AP73" s="274"/>
      <c r="AQ73" s="274"/>
      <c r="AR73" s="274"/>
      <c r="AS73" s="274"/>
      <c r="AT73" s="274"/>
      <c r="AU73" s="274"/>
      <c r="AV73" s="274"/>
      <c r="AW73" s="274"/>
      <c r="AX73" s="274"/>
      <c r="AY73" s="274"/>
      <c r="BN73" s="274"/>
      <c r="BO73" s="274"/>
      <c r="BP73" s="274"/>
      <c r="BQ73" s="274"/>
      <c r="BR73" s="274"/>
      <c r="BS73" s="274"/>
      <c r="BT73" s="274"/>
      <c r="BU73" s="274"/>
      <c r="BV73" s="274"/>
      <c r="BW73" s="274"/>
      <c r="BX73" s="274"/>
      <c r="BY73" s="274"/>
      <c r="BZ73" s="274"/>
      <c r="CA73" s="274"/>
      <c r="CB73" s="274"/>
      <c r="CC73" s="274"/>
      <c r="CD73" s="274"/>
      <c r="CE73" s="274"/>
      <c r="CF73" s="274"/>
      <c r="CG73" s="274"/>
      <c r="CH73" s="274"/>
      <c r="CI73" s="274"/>
      <c r="CJ73" s="274"/>
      <c r="CK73" s="274"/>
      <c r="CL73" s="274"/>
      <c r="CM73" s="274"/>
      <c r="CN73" s="274"/>
      <c r="CO73" s="274"/>
      <c r="CP73" s="274"/>
      <c r="CQ73" s="274"/>
      <c r="CR73" s="274"/>
      <c r="CS73" s="274"/>
      <c r="CT73" s="274"/>
      <c r="CU73" s="274"/>
      <c r="CV73" s="274"/>
      <c r="CW73" s="274"/>
      <c r="CX73" s="274"/>
      <c r="CY73" s="274"/>
      <c r="CZ73" s="274"/>
      <c r="DA73" s="274"/>
      <c r="DB73" s="274"/>
      <c r="DC73" s="274"/>
      <c r="DL73" s="288"/>
      <c r="DM73" s="288"/>
      <c r="DN73" s="288"/>
      <c r="DO73" s="288"/>
      <c r="DP73" s="288"/>
      <c r="DQ73" s="288"/>
      <c r="DR73" s="288"/>
      <c r="DS73" s="288"/>
      <c r="DT73" s="288"/>
      <c r="DU73" s="288"/>
      <c r="DV73" s="288"/>
      <c r="DW73" s="288"/>
      <c r="DX73" s="288"/>
      <c r="DY73" s="288"/>
      <c r="DZ73" s="288"/>
      <c r="EA73" s="288"/>
      <c r="EB73" s="288"/>
      <c r="EC73" s="288"/>
      <c r="ED73" s="288"/>
      <c r="EE73" s="288"/>
      <c r="EF73" s="288"/>
      <c r="EG73" s="288"/>
      <c r="EH73" s="288"/>
      <c r="EI73" s="288"/>
      <c r="EJ73" s="288"/>
      <c r="EK73" s="288"/>
      <c r="EL73" s="288"/>
      <c r="EM73" s="288"/>
      <c r="EN73" s="288"/>
      <c r="EO73" s="288"/>
      <c r="EP73" s="288"/>
      <c r="EQ73" s="288"/>
      <c r="ER73" s="288"/>
      <c r="ES73" s="288"/>
      <c r="ET73" s="288"/>
      <c r="EU73" s="288"/>
      <c r="EV73" s="288"/>
      <c r="EW73" s="288"/>
    </row>
    <row r="74" spans="4:153" ht="24.75">
      <c r="D74" s="274"/>
      <c r="E74" s="274"/>
      <c r="F74" s="639"/>
      <c r="G74" s="639"/>
      <c r="H74" s="276"/>
      <c r="I74" s="276"/>
      <c r="J74" s="276"/>
      <c r="K74" s="276"/>
      <c r="L74" s="639"/>
      <c r="M74" s="639"/>
      <c r="N74" s="639"/>
      <c r="O74" s="639"/>
      <c r="P74" s="639"/>
      <c r="Q74" s="274"/>
      <c r="R74" s="274"/>
      <c r="S74" s="274"/>
      <c r="T74" s="274"/>
      <c r="U74" s="274"/>
      <c r="V74" s="274"/>
      <c r="W74" s="274"/>
      <c r="X74" s="274"/>
      <c r="Y74" s="274"/>
      <c r="Z74" s="274"/>
      <c r="AA74" s="274"/>
      <c r="AB74" s="274"/>
      <c r="AC74" s="274"/>
      <c r="AD74" s="274"/>
      <c r="AE74" s="274"/>
      <c r="AF74" s="274"/>
      <c r="AG74" s="274"/>
      <c r="AH74" s="274"/>
      <c r="AI74" s="274"/>
      <c r="AJ74" s="274"/>
      <c r="AK74" s="274"/>
      <c r="AL74" s="274"/>
      <c r="AM74" s="274"/>
      <c r="AN74" s="274"/>
      <c r="AO74" s="274"/>
      <c r="AP74" s="274"/>
      <c r="AQ74" s="274"/>
      <c r="AR74" s="274"/>
      <c r="AS74" s="274"/>
      <c r="AT74" s="274"/>
      <c r="AU74" s="274"/>
      <c r="AV74" s="274"/>
      <c r="AW74" s="274"/>
      <c r="AX74" s="274"/>
      <c r="AY74" s="274"/>
      <c r="BN74" s="274"/>
      <c r="BO74" s="274"/>
      <c r="BP74" s="274"/>
      <c r="BQ74" s="274"/>
      <c r="BR74" s="274"/>
      <c r="BS74" s="274"/>
      <c r="BT74" s="274"/>
      <c r="BU74" s="274"/>
      <c r="BV74" s="274"/>
      <c r="BW74" s="274"/>
      <c r="BX74" s="274"/>
      <c r="BY74" s="274"/>
      <c r="BZ74" s="274"/>
      <c r="CA74" s="274"/>
      <c r="CB74" s="274"/>
      <c r="CC74" s="274"/>
      <c r="CD74" s="274"/>
      <c r="CE74" s="274"/>
      <c r="CF74" s="274"/>
      <c r="CG74" s="274"/>
      <c r="CH74" s="274"/>
      <c r="CI74" s="274"/>
      <c r="CJ74" s="274"/>
      <c r="CK74" s="274"/>
      <c r="CL74" s="274"/>
      <c r="CM74" s="274"/>
      <c r="CN74" s="274"/>
      <c r="CO74" s="274"/>
      <c r="CP74" s="274"/>
      <c r="CQ74" s="274"/>
      <c r="CR74" s="274"/>
      <c r="CS74" s="274"/>
      <c r="CT74" s="274"/>
      <c r="CU74" s="274"/>
      <c r="CV74" s="274"/>
      <c r="CW74" s="274"/>
      <c r="CX74" s="274"/>
      <c r="CY74" s="274"/>
      <c r="CZ74" s="274"/>
      <c r="DA74" s="274"/>
      <c r="DB74" s="274"/>
      <c r="DC74" s="274"/>
      <c r="DL74" s="288"/>
      <c r="DM74" s="288"/>
      <c r="DN74" s="288"/>
      <c r="DO74" s="288"/>
      <c r="DP74" s="288"/>
      <c r="DQ74" s="288"/>
      <c r="DR74" s="288"/>
      <c r="DS74" s="288"/>
      <c r="DT74" s="288"/>
      <c r="DU74" s="288"/>
      <c r="DV74" s="288"/>
      <c r="DW74" s="288"/>
      <c r="DX74" s="288"/>
      <c r="DY74" s="288"/>
      <c r="DZ74" s="288"/>
      <c r="EA74" s="288"/>
      <c r="EB74" s="288"/>
      <c r="EC74" s="288"/>
      <c r="ED74" s="288"/>
      <c r="EE74" s="288"/>
      <c r="EF74" s="288"/>
      <c r="EG74" s="288"/>
      <c r="EH74" s="288"/>
      <c r="EI74" s="288"/>
      <c r="EJ74" s="288"/>
      <c r="EK74" s="288"/>
      <c r="EL74" s="288"/>
      <c r="EM74" s="288"/>
      <c r="EN74" s="288"/>
      <c r="EO74" s="288"/>
      <c r="EP74" s="288"/>
      <c r="EQ74" s="288"/>
      <c r="ER74" s="288"/>
      <c r="ES74" s="288"/>
      <c r="ET74" s="288"/>
      <c r="EU74" s="288"/>
      <c r="EV74" s="288"/>
      <c r="EW74" s="288"/>
    </row>
    <row r="75" spans="4:153" ht="24.75">
      <c r="D75" s="274"/>
      <c r="E75" s="274"/>
      <c r="F75" s="639"/>
      <c r="G75" s="639"/>
      <c r="H75" s="276"/>
      <c r="I75" s="276"/>
      <c r="J75" s="276"/>
      <c r="K75" s="276"/>
      <c r="L75" s="639"/>
      <c r="M75" s="639"/>
      <c r="N75" s="639"/>
      <c r="O75" s="639"/>
      <c r="P75" s="639"/>
      <c r="Q75" s="274"/>
      <c r="R75" s="274"/>
      <c r="S75" s="274"/>
      <c r="T75" s="274"/>
      <c r="U75" s="274"/>
      <c r="V75" s="274"/>
      <c r="W75" s="274"/>
      <c r="X75" s="274"/>
      <c r="Y75" s="274"/>
      <c r="Z75" s="274"/>
      <c r="AA75" s="274"/>
      <c r="AB75" s="274"/>
      <c r="AC75" s="274"/>
      <c r="AD75" s="274"/>
      <c r="AE75" s="274"/>
      <c r="AF75" s="274"/>
      <c r="AG75" s="274"/>
      <c r="AH75" s="274"/>
      <c r="AI75" s="274"/>
      <c r="AJ75" s="274"/>
      <c r="AK75" s="274"/>
      <c r="AL75" s="274"/>
      <c r="AM75" s="274"/>
      <c r="AN75" s="274"/>
      <c r="AO75" s="274"/>
      <c r="AP75" s="274"/>
      <c r="AQ75" s="274"/>
      <c r="AR75" s="274"/>
      <c r="AS75" s="274"/>
      <c r="AT75" s="274"/>
      <c r="AU75" s="274"/>
      <c r="AV75" s="274"/>
      <c r="AW75" s="274"/>
      <c r="AX75" s="274"/>
      <c r="AY75" s="274"/>
      <c r="BN75" s="274"/>
      <c r="BO75" s="274"/>
      <c r="BP75" s="274"/>
      <c r="BQ75" s="274"/>
      <c r="BR75" s="274"/>
      <c r="BS75" s="274"/>
      <c r="BT75" s="274"/>
      <c r="BU75" s="274"/>
      <c r="BV75" s="274"/>
      <c r="BW75" s="274"/>
      <c r="BX75" s="274"/>
      <c r="BY75" s="274"/>
      <c r="BZ75" s="274"/>
      <c r="CA75" s="274"/>
      <c r="CB75" s="274"/>
      <c r="CC75" s="274"/>
      <c r="CD75" s="274"/>
      <c r="CE75" s="274"/>
      <c r="CF75" s="274"/>
      <c r="CG75" s="274"/>
      <c r="CH75" s="274"/>
      <c r="CI75" s="274"/>
      <c r="CJ75" s="274"/>
      <c r="CK75" s="274"/>
      <c r="CL75" s="274"/>
      <c r="CM75" s="274"/>
      <c r="CN75" s="274"/>
      <c r="CO75" s="274"/>
      <c r="CP75" s="274"/>
      <c r="CQ75" s="274"/>
      <c r="CR75" s="274"/>
      <c r="CS75" s="274"/>
      <c r="CT75" s="274"/>
      <c r="CU75" s="274"/>
      <c r="CV75" s="274"/>
      <c r="CW75" s="274"/>
      <c r="CX75" s="274"/>
      <c r="CY75" s="274"/>
      <c r="CZ75" s="274"/>
      <c r="DA75" s="274"/>
      <c r="DB75" s="274"/>
      <c r="DC75" s="274"/>
      <c r="DL75" s="288"/>
      <c r="DM75" s="288"/>
      <c r="DN75" s="288"/>
      <c r="DO75" s="288"/>
      <c r="DP75" s="288"/>
      <c r="DQ75" s="288"/>
      <c r="DR75" s="288"/>
      <c r="DS75" s="288"/>
      <c r="DT75" s="288"/>
      <c r="DU75" s="288"/>
      <c r="DV75" s="288"/>
      <c r="DW75" s="288"/>
      <c r="DX75" s="288"/>
      <c r="DY75" s="288"/>
      <c r="DZ75" s="288"/>
      <c r="EA75" s="288"/>
      <c r="EB75" s="288"/>
      <c r="EC75" s="288"/>
      <c r="ED75" s="288"/>
      <c r="EE75" s="288"/>
      <c r="EF75" s="288"/>
      <c r="EG75" s="288"/>
      <c r="EH75" s="288"/>
      <c r="EI75" s="288"/>
      <c r="EJ75" s="288"/>
      <c r="EK75" s="288"/>
      <c r="EL75" s="288"/>
      <c r="EM75" s="288"/>
      <c r="EN75" s="288"/>
      <c r="EO75" s="288"/>
      <c r="EP75" s="288"/>
      <c r="EQ75" s="288"/>
      <c r="ER75" s="288"/>
      <c r="ES75" s="288"/>
      <c r="ET75" s="288"/>
      <c r="EU75" s="288"/>
      <c r="EV75" s="288"/>
      <c r="EW75" s="288"/>
    </row>
    <row r="76" spans="4:153" ht="24.75">
      <c r="D76" s="274"/>
      <c r="E76" s="274"/>
      <c r="F76" s="639"/>
      <c r="G76" s="639"/>
      <c r="H76" s="276"/>
      <c r="I76" s="276"/>
      <c r="J76" s="276"/>
      <c r="K76" s="276"/>
      <c r="L76" s="639"/>
      <c r="M76" s="639"/>
      <c r="N76" s="639"/>
      <c r="O76" s="639"/>
      <c r="P76" s="639"/>
      <c r="Q76" s="274"/>
      <c r="R76" s="274"/>
      <c r="S76" s="274"/>
      <c r="T76" s="274"/>
      <c r="U76" s="274"/>
      <c r="V76" s="274"/>
      <c r="W76" s="274"/>
      <c r="X76" s="274"/>
      <c r="Y76" s="274"/>
      <c r="Z76" s="274"/>
      <c r="AA76" s="274"/>
      <c r="AB76" s="274"/>
      <c r="AC76" s="274"/>
      <c r="AD76" s="274"/>
      <c r="AE76" s="274"/>
      <c r="AF76" s="274"/>
      <c r="AG76" s="274"/>
      <c r="AH76" s="274"/>
      <c r="AI76" s="274"/>
      <c r="AJ76" s="274"/>
      <c r="AK76" s="274"/>
      <c r="AL76" s="274"/>
      <c r="AM76" s="274"/>
      <c r="AN76" s="274"/>
      <c r="AO76" s="274"/>
      <c r="AP76" s="274"/>
      <c r="AQ76" s="274"/>
      <c r="AR76" s="274"/>
      <c r="AS76" s="274"/>
      <c r="AT76" s="274"/>
      <c r="AU76" s="274"/>
      <c r="AV76" s="274"/>
      <c r="AW76" s="274"/>
      <c r="AX76" s="274"/>
      <c r="AY76" s="274"/>
      <c r="AZ76" s="276"/>
      <c r="BA76" s="276"/>
      <c r="BB76" s="276"/>
      <c r="BC76" s="276"/>
      <c r="BD76" s="274"/>
      <c r="BE76" s="274"/>
      <c r="BF76" s="274"/>
      <c r="BG76" s="274"/>
      <c r="BH76" s="274"/>
      <c r="BI76" s="274"/>
      <c r="BJ76" s="274"/>
      <c r="BK76" s="274"/>
      <c r="BL76" s="274"/>
      <c r="BM76" s="274"/>
      <c r="BN76" s="274"/>
      <c r="BO76" s="274"/>
      <c r="BP76" s="274"/>
      <c r="BQ76" s="274"/>
      <c r="BR76" s="274"/>
      <c r="BS76" s="274"/>
      <c r="BT76" s="274"/>
      <c r="BU76" s="274"/>
      <c r="BV76" s="274"/>
      <c r="BW76" s="274"/>
      <c r="BX76" s="274"/>
      <c r="BY76" s="274"/>
      <c r="BZ76" s="274"/>
      <c r="CA76" s="274"/>
      <c r="CB76" s="274"/>
      <c r="CC76" s="274"/>
      <c r="CD76" s="274"/>
      <c r="CE76" s="274"/>
      <c r="CF76" s="274"/>
      <c r="CG76" s="274"/>
      <c r="CH76" s="274"/>
      <c r="CI76" s="274"/>
      <c r="CJ76" s="274"/>
      <c r="CK76" s="274"/>
      <c r="CL76" s="274"/>
      <c r="CM76" s="274"/>
      <c r="CN76" s="274"/>
      <c r="CO76" s="274"/>
      <c r="CP76" s="274"/>
      <c r="CQ76" s="274"/>
      <c r="CR76" s="274"/>
      <c r="CS76" s="274"/>
      <c r="CT76" s="274"/>
      <c r="CU76" s="274"/>
      <c r="CV76" s="274"/>
      <c r="CW76" s="274"/>
      <c r="CX76" s="274"/>
      <c r="CY76" s="274"/>
      <c r="CZ76" s="274"/>
      <c r="DA76" s="274"/>
      <c r="DB76" s="274"/>
      <c r="DC76" s="274"/>
      <c r="DL76" s="288"/>
      <c r="DM76" s="288"/>
      <c r="DN76" s="288"/>
      <c r="DO76" s="288"/>
      <c r="DP76" s="288"/>
      <c r="DQ76" s="288"/>
      <c r="DR76" s="288"/>
      <c r="DS76" s="288"/>
      <c r="DT76" s="288"/>
      <c r="DU76" s="288"/>
      <c r="DV76" s="288"/>
      <c r="DW76" s="288"/>
      <c r="DX76" s="288"/>
      <c r="DY76" s="288"/>
      <c r="DZ76" s="288"/>
      <c r="EA76" s="288"/>
      <c r="EB76" s="288"/>
      <c r="EC76" s="288"/>
      <c r="ED76" s="288"/>
      <c r="EE76" s="288"/>
      <c r="EF76" s="288"/>
      <c r="EG76" s="288"/>
      <c r="EH76" s="288"/>
      <c r="EI76" s="288"/>
      <c r="EJ76" s="288"/>
      <c r="EK76" s="288"/>
      <c r="EL76" s="288"/>
      <c r="EM76" s="288"/>
      <c r="EN76" s="288"/>
      <c r="EO76" s="288"/>
      <c r="EP76" s="288"/>
      <c r="EQ76" s="288"/>
      <c r="ER76" s="288"/>
      <c r="ES76" s="288"/>
      <c r="ET76" s="288"/>
      <c r="EU76" s="288"/>
      <c r="EV76" s="288"/>
      <c r="EW76" s="288"/>
    </row>
    <row r="77" spans="4:153" ht="24.75">
      <c r="D77" s="274"/>
      <c r="E77" s="274"/>
      <c r="F77" s="639"/>
      <c r="G77" s="639"/>
      <c r="H77" s="276"/>
      <c r="I77" s="276"/>
      <c r="J77" s="276"/>
      <c r="K77" s="276"/>
      <c r="L77" s="639"/>
      <c r="M77" s="639"/>
      <c r="N77" s="639"/>
      <c r="O77" s="639"/>
      <c r="P77" s="639"/>
      <c r="Q77" s="274"/>
      <c r="R77" s="274"/>
      <c r="S77" s="274"/>
      <c r="T77" s="274"/>
      <c r="U77" s="274"/>
      <c r="V77" s="274"/>
      <c r="W77" s="274"/>
      <c r="X77" s="274"/>
      <c r="Y77" s="274"/>
      <c r="Z77" s="274"/>
      <c r="AA77" s="274"/>
      <c r="AB77" s="274"/>
      <c r="AC77" s="274"/>
      <c r="AD77" s="274"/>
      <c r="AE77" s="274"/>
      <c r="AF77" s="274"/>
      <c r="AG77" s="274"/>
      <c r="AH77" s="274"/>
      <c r="AI77" s="274"/>
      <c r="AJ77" s="274"/>
      <c r="AK77" s="274"/>
      <c r="AL77" s="274"/>
      <c r="AM77" s="274"/>
      <c r="AN77" s="274"/>
      <c r="AO77" s="274"/>
      <c r="AP77" s="274"/>
      <c r="AQ77" s="274"/>
      <c r="AR77" s="274"/>
      <c r="AS77" s="274"/>
      <c r="AT77" s="274"/>
      <c r="AU77" s="274"/>
      <c r="AV77" s="274"/>
      <c r="AW77" s="274"/>
      <c r="AX77" s="274"/>
      <c r="AY77" s="274"/>
      <c r="AZ77" s="276"/>
      <c r="BA77" s="276"/>
      <c r="BB77" s="276"/>
      <c r="BC77" s="276"/>
      <c r="BD77" s="274"/>
      <c r="BE77" s="274"/>
      <c r="BF77" s="274"/>
      <c r="BG77" s="274"/>
      <c r="BH77" s="274"/>
      <c r="BI77" s="274"/>
      <c r="BJ77" s="274"/>
      <c r="BK77" s="274"/>
      <c r="BL77" s="274"/>
      <c r="BM77" s="274"/>
      <c r="BN77" s="274"/>
      <c r="BO77" s="274"/>
      <c r="BP77" s="274"/>
      <c r="BQ77" s="274"/>
      <c r="BR77" s="274"/>
      <c r="BS77" s="274"/>
      <c r="BT77" s="274"/>
      <c r="BU77" s="274"/>
      <c r="BV77" s="274"/>
      <c r="BW77" s="274"/>
      <c r="BX77" s="274"/>
      <c r="BY77" s="274"/>
      <c r="BZ77" s="274"/>
      <c r="CA77" s="274"/>
      <c r="CB77" s="274"/>
      <c r="CC77" s="274"/>
      <c r="CD77" s="274"/>
      <c r="CE77" s="274"/>
      <c r="CF77" s="274"/>
      <c r="CG77" s="274"/>
      <c r="CH77" s="274"/>
      <c r="CI77" s="274"/>
      <c r="CJ77" s="274"/>
      <c r="CK77" s="274"/>
      <c r="CL77" s="274"/>
      <c r="CM77" s="274"/>
      <c r="CN77" s="274"/>
      <c r="CO77" s="274"/>
      <c r="CP77" s="274"/>
      <c r="CQ77" s="274"/>
      <c r="CR77" s="274"/>
      <c r="CS77" s="274"/>
      <c r="CT77" s="274"/>
      <c r="CU77" s="274"/>
      <c r="CV77" s="274"/>
      <c r="CW77" s="274"/>
      <c r="CX77" s="274"/>
      <c r="CY77" s="274"/>
      <c r="CZ77" s="274"/>
      <c r="DA77" s="274"/>
      <c r="DB77" s="274"/>
      <c r="DC77" s="274"/>
      <c r="DL77" s="288"/>
      <c r="DM77" s="288"/>
      <c r="DN77" s="288"/>
      <c r="DO77" s="288"/>
      <c r="DP77" s="288"/>
      <c r="DQ77" s="288"/>
      <c r="DR77" s="288"/>
      <c r="DS77" s="288"/>
      <c r="DT77" s="288"/>
      <c r="DU77" s="288"/>
      <c r="DV77" s="288"/>
      <c r="DW77" s="288"/>
      <c r="DX77" s="288"/>
      <c r="DY77" s="288"/>
      <c r="DZ77" s="288"/>
      <c r="EA77" s="288"/>
      <c r="EB77" s="288"/>
      <c r="EC77" s="288"/>
      <c r="ED77" s="288"/>
      <c r="EE77" s="288"/>
      <c r="EF77" s="288"/>
      <c r="EG77" s="288"/>
      <c r="EH77" s="288"/>
      <c r="EI77" s="288"/>
      <c r="EJ77" s="288"/>
      <c r="EK77" s="288"/>
      <c r="EL77" s="288"/>
      <c r="EM77" s="288"/>
      <c r="EN77" s="288"/>
      <c r="EO77" s="288"/>
      <c r="EP77" s="288"/>
      <c r="EQ77" s="288"/>
      <c r="ER77" s="288"/>
      <c r="ES77" s="288"/>
      <c r="ET77" s="288"/>
      <c r="EU77" s="288"/>
      <c r="EV77" s="288"/>
      <c r="EW77" s="288"/>
    </row>
    <row r="78" spans="4:153" ht="24.75">
      <c r="D78" s="274"/>
      <c r="E78" s="274"/>
      <c r="F78" s="639"/>
      <c r="G78" s="639"/>
      <c r="H78" s="276"/>
      <c r="I78" s="276"/>
      <c r="J78" s="276"/>
      <c r="K78" s="276"/>
      <c r="L78" s="639"/>
      <c r="M78" s="639"/>
      <c r="N78" s="639"/>
      <c r="O78" s="639"/>
      <c r="P78" s="639"/>
      <c r="Q78" s="274"/>
      <c r="R78" s="274"/>
      <c r="S78" s="274"/>
      <c r="T78" s="274"/>
      <c r="U78" s="274"/>
      <c r="V78" s="274"/>
      <c r="W78" s="274"/>
      <c r="X78" s="274"/>
      <c r="Y78" s="274"/>
      <c r="Z78" s="274"/>
      <c r="AA78" s="274"/>
      <c r="AB78" s="274"/>
      <c r="AC78" s="274"/>
      <c r="AD78" s="274"/>
      <c r="AE78" s="274"/>
      <c r="AF78" s="274"/>
      <c r="AG78" s="274"/>
      <c r="AH78" s="274"/>
      <c r="AI78" s="274"/>
      <c r="AJ78" s="274"/>
      <c r="AK78" s="274"/>
      <c r="AL78" s="274"/>
      <c r="AM78" s="274"/>
      <c r="AN78" s="274"/>
      <c r="AO78" s="274"/>
      <c r="AP78" s="274"/>
      <c r="AQ78" s="274"/>
      <c r="AR78" s="274"/>
      <c r="AS78" s="274"/>
      <c r="AT78" s="274"/>
      <c r="AU78" s="274"/>
      <c r="AV78" s="274"/>
      <c r="AW78" s="274"/>
      <c r="AX78" s="274"/>
      <c r="AY78" s="274"/>
      <c r="AZ78" s="276"/>
      <c r="BA78" s="276"/>
      <c r="BB78" s="276"/>
      <c r="BC78" s="276"/>
      <c r="BD78" s="274"/>
      <c r="BE78" s="274"/>
      <c r="BF78" s="274"/>
      <c r="BG78" s="274"/>
      <c r="BH78" s="274"/>
      <c r="BI78" s="274"/>
      <c r="BJ78" s="274"/>
      <c r="BK78" s="274"/>
      <c r="BL78" s="274"/>
      <c r="BM78" s="274"/>
      <c r="BN78" s="274"/>
      <c r="BO78" s="274"/>
      <c r="BP78" s="274"/>
      <c r="BQ78" s="274"/>
      <c r="BR78" s="274"/>
      <c r="BS78" s="274"/>
      <c r="BT78" s="274"/>
      <c r="BU78" s="274"/>
      <c r="BV78" s="274"/>
      <c r="BW78" s="274"/>
      <c r="BX78" s="274"/>
      <c r="BY78" s="274"/>
      <c r="BZ78" s="274"/>
      <c r="CA78" s="274"/>
      <c r="CB78" s="274"/>
      <c r="CC78" s="274"/>
      <c r="CD78" s="274"/>
      <c r="CE78" s="274"/>
      <c r="CF78" s="274"/>
      <c r="CG78" s="274"/>
      <c r="CH78" s="274"/>
      <c r="CI78" s="274"/>
      <c r="CJ78" s="274"/>
      <c r="CK78" s="274"/>
      <c r="CL78" s="274"/>
      <c r="CM78" s="274"/>
      <c r="CN78" s="274"/>
      <c r="CO78" s="274"/>
      <c r="CP78" s="274"/>
      <c r="CQ78" s="274"/>
      <c r="CR78" s="274"/>
      <c r="CS78" s="274"/>
      <c r="CT78" s="274"/>
      <c r="CU78" s="274"/>
      <c r="CV78" s="274"/>
      <c r="CW78" s="274"/>
      <c r="CX78" s="274"/>
      <c r="CY78" s="274"/>
      <c r="CZ78" s="274"/>
      <c r="DA78" s="274"/>
      <c r="DB78" s="274"/>
      <c r="DC78" s="274"/>
      <c r="DL78" s="288"/>
      <c r="DM78" s="288"/>
      <c r="DN78" s="288"/>
      <c r="DO78" s="288"/>
      <c r="DP78" s="288"/>
      <c r="DQ78" s="288"/>
      <c r="DR78" s="288"/>
      <c r="DS78" s="288"/>
      <c r="DT78" s="288"/>
      <c r="DU78" s="288"/>
      <c r="DV78" s="288"/>
      <c r="DW78" s="288"/>
      <c r="DX78" s="288"/>
      <c r="DY78" s="288"/>
      <c r="DZ78" s="288"/>
      <c r="EA78" s="288"/>
      <c r="EB78" s="288"/>
      <c r="EC78" s="288"/>
      <c r="ED78" s="288"/>
      <c r="EE78" s="288"/>
      <c r="EF78" s="288"/>
      <c r="EG78" s="288"/>
      <c r="EH78" s="288"/>
      <c r="EI78" s="288"/>
      <c r="EJ78" s="288"/>
      <c r="EK78" s="288"/>
      <c r="EL78" s="288"/>
      <c r="EM78" s="288"/>
      <c r="EN78" s="288"/>
      <c r="EO78" s="288"/>
      <c r="EP78" s="288"/>
      <c r="EQ78" s="288"/>
      <c r="ER78" s="288"/>
      <c r="ES78" s="288"/>
      <c r="ET78" s="288"/>
      <c r="EU78" s="288"/>
      <c r="EV78" s="288"/>
      <c r="EW78" s="288"/>
    </row>
    <row r="79" spans="4:153" ht="24.75">
      <c r="D79" s="274"/>
      <c r="E79" s="274"/>
      <c r="F79" s="639"/>
      <c r="G79" s="639"/>
      <c r="H79" s="276"/>
      <c r="I79" s="276"/>
      <c r="J79" s="276"/>
      <c r="K79" s="276"/>
      <c r="L79" s="639"/>
      <c r="M79" s="639"/>
      <c r="N79" s="639"/>
      <c r="O79" s="639"/>
      <c r="P79" s="639"/>
      <c r="Q79" s="274"/>
      <c r="R79" s="274"/>
      <c r="S79" s="274"/>
      <c r="T79" s="274"/>
      <c r="U79" s="274"/>
      <c r="V79" s="274"/>
      <c r="W79" s="274"/>
      <c r="X79" s="274"/>
      <c r="Y79" s="274"/>
      <c r="Z79" s="274"/>
      <c r="AA79" s="274"/>
      <c r="AB79" s="274"/>
      <c r="AC79" s="274"/>
      <c r="AD79" s="274"/>
      <c r="AE79" s="274"/>
      <c r="AF79" s="274"/>
      <c r="AG79" s="274"/>
      <c r="AH79" s="274"/>
      <c r="AI79" s="274"/>
      <c r="AJ79" s="274"/>
      <c r="AK79" s="274"/>
      <c r="AL79" s="274"/>
      <c r="AM79" s="274"/>
      <c r="AN79" s="274"/>
      <c r="AO79" s="274"/>
      <c r="AP79" s="274"/>
      <c r="AQ79" s="274"/>
      <c r="AR79" s="274"/>
      <c r="AS79" s="274"/>
      <c r="AT79" s="274"/>
      <c r="AU79" s="274"/>
      <c r="AV79" s="274"/>
      <c r="AW79" s="274"/>
      <c r="AX79" s="274"/>
      <c r="AY79" s="274"/>
      <c r="AZ79" s="276"/>
      <c r="BA79" s="276"/>
      <c r="BB79" s="276"/>
      <c r="BC79" s="276"/>
      <c r="BD79" s="274"/>
      <c r="BE79" s="274"/>
      <c r="BF79" s="274"/>
      <c r="BG79" s="274"/>
      <c r="BH79" s="274"/>
      <c r="BI79" s="274"/>
      <c r="BJ79" s="274"/>
      <c r="BK79" s="274"/>
      <c r="BL79" s="274"/>
      <c r="BM79" s="274"/>
      <c r="BN79" s="274"/>
      <c r="BO79" s="274"/>
      <c r="BP79" s="274"/>
      <c r="BQ79" s="274"/>
      <c r="BR79" s="274"/>
      <c r="BS79" s="274"/>
      <c r="BT79" s="274"/>
      <c r="BU79" s="274"/>
      <c r="BV79" s="274"/>
      <c r="BW79" s="274"/>
      <c r="BX79" s="274"/>
      <c r="BY79" s="274"/>
      <c r="BZ79" s="274"/>
      <c r="CA79" s="274"/>
      <c r="CB79" s="274"/>
      <c r="CC79" s="274"/>
      <c r="CD79" s="274"/>
      <c r="CE79" s="274"/>
      <c r="CF79" s="274"/>
      <c r="CG79" s="274"/>
      <c r="CH79" s="274"/>
      <c r="CI79" s="274"/>
      <c r="CJ79" s="274"/>
      <c r="CK79" s="274"/>
      <c r="CL79" s="274"/>
      <c r="CM79" s="274"/>
      <c r="CN79" s="274"/>
      <c r="CO79" s="274"/>
      <c r="CP79" s="274"/>
      <c r="CQ79" s="274"/>
      <c r="CR79" s="274"/>
      <c r="CS79" s="274"/>
      <c r="CT79" s="274"/>
      <c r="CU79" s="274"/>
      <c r="CV79" s="274"/>
      <c r="CW79" s="274"/>
      <c r="CX79" s="274"/>
      <c r="CY79" s="274"/>
      <c r="CZ79" s="274"/>
      <c r="DA79" s="274"/>
      <c r="DB79" s="274"/>
      <c r="DC79" s="274"/>
      <c r="DL79" s="288"/>
      <c r="DM79" s="288"/>
      <c r="DN79" s="288"/>
      <c r="DO79" s="288"/>
      <c r="DP79" s="288"/>
      <c r="DQ79" s="288"/>
      <c r="DR79" s="288"/>
      <c r="DS79" s="288"/>
      <c r="DT79" s="288"/>
      <c r="DU79" s="288"/>
      <c r="DV79" s="288"/>
      <c r="DW79" s="288"/>
      <c r="DX79" s="288"/>
      <c r="DY79" s="288"/>
      <c r="DZ79" s="288"/>
      <c r="EA79" s="288"/>
      <c r="EB79" s="288"/>
      <c r="EC79" s="288"/>
      <c r="ED79" s="288"/>
      <c r="EE79" s="288"/>
      <c r="EF79" s="288"/>
      <c r="EG79" s="288"/>
      <c r="EH79" s="288"/>
      <c r="EI79" s="288"/>
      <c r="EJ79" s="288"/>
      <c r="EK79" s="288"/>
      <c r="EL79" s="288"/>
      <c r="EM79" s="288"/>
      <c r="EN79" s="288"/>
      <c r="EO79" s="288"/>
      <c r="EP79" s="288"/>
      <c r="EQ79" s="288"/>
      <c r="ER79" s="288"/>
      <c r="ES79" s="288"/>
      <c r="ET79" s="288"/>
      <c r="EU79" s="288"/>
      <c r="EV79" s="288"/>
      <c r="EW79" s="288"/>
    </row>
    <row r="80" spans="4:153" ht="24.75">
      <c r="D80" s="274"/>
      <c r="E80" s="274"/>
      <c r="F80" s="639"/>
      <c r="G80" s="639"/>
      <c r="H80" s="276"/>
      <c r="I80" s="276"/>
      <c r="J80" s="276"/>
      <c r="K80" s="276"/>
      <c r="L80" s="639"/>
      <c r="M80" s="639"/>
      <c r="N80" s="639"/>
      <c r="O80" s="639"/>
      <c r="P80" s="639"/>
      <c r="Q80" s="274"/>
      <c r="R80" s="274"/>
      <c r="S80" s="274"/>
      <c r="T80" s="274"/>
      <c r="U80" s="274"/>
      <c r="V80" s="274"/>
      <c r="W80" s="274"/>
      <c r="X80" s="274"/>
      <c r="Y80" s="274"/>
      <c r="Z80" s="274"/>
      <c r="AA80" s="274"/>
      <c r="AB80" s="274"/>
      <c r="AC80" s="274"/>
      <c r="AD80" s="274"/>
      <c r="AE80" s="274"/>
      <c r="AF80" s="274"/>
      <c r="AG80" s="274"/>
      <c r="AH80" s="274"/>
      <c r="AI80" s="274"/>
      <c r="AJ80" s="274"/>
      <c r="AK80" s="274"/>
      <c r="AL80" s="274"/>
      <c r="AM80" s="274"/>
      <c r="AN80" s="274"/>
      <c r="AO80" s="274"/>
      <c r="AP80" s="274"/>
      <c r="AQ80" s="274"/>
      <c r="AR80" s="274"/>
      <c r="AS80" s="274"/>
      <c r="AT80" s="274"/>
      <c r="AU80" s="274"/>
      <c r="AV80" s="274"/>
      <c r="AW80" s="274"/>
      <c r="AX80" s="274"/>
      <c r="AY80" s="274"/>
      <c r="AZ80" s="276"/>
      <c r="BA80" s="276"/>
      <c r="BB80" s="276"/>
      <c r="BC80" s="276"/>
      <c r="BD80" s="274"/>
      <c r="BE80" s="274"/>
      <c r="BF80" s="274"/>
      <c r="BG80" s="274"/>
      <c r="BH80" s="274"/>
      <c r="BI80" s="274"/>
      <c r="BJ80" s="274"/>
      <c r="BK80" s="274"/>
      <c r="BL80" s="274"/>
      <c r="BM80" s="274"/>
      <c r="BN80" s="274"/>
      <c r="BO80" s="274"/>
      <c r="BP80" s="274"/>
      <c r="BQ80" s="274"/>
      <c r="BR80" s="274"/>
      <c r="BS80" s="274"/>
      <c r="BT80" s="274"/>
      <c r="BU80" s="274"/>
      <c r="BV80" s="274"/>
      <c r="BW80" s="274"/>
      <c r="BX80" s="274"/>
      <c r="BY80" s="274"/>
      <c r="BZ80" s="274"/>
      <c r="CA80" s="274"/>
      <c r="CB80" s="274"/>
      <c r="CC80" s="274"/>
      <c r="CD80" s="274"/>
      <c r="CE80" s="274"/>
      <c r="CF80" s="274"/>
      <c r="CG80" s="274"/>
      <c r="CH80" s="274"/>
      <c r="CI80" s="274"/>
      <c r="CJ80" s="274"/>
      <c r="CK80" s="274"/>
      <c r="CL80" s="274"/>
      <c r="CM80" s="274"/>
      <c r="CN80" s="274"/>
      <c r="CO80" s="274"/>
      <c r="CP80" s="274"/>
      <c r="CQ80" s="274"/>
      <c r="CR80" s="274"/>
      <c r="CS80" s="274"/>
      <c r="CT80" s="274"/>
      <c r="CU80" s="274"/>
      <c r="CV80" s="274"/>
      <c r="CW80" s="274"/>
      <c r="CX80" s="274"/>
      <c r="CY80" s="274"/>
      <c r="CZ80" s="274"/>
      <c r="DA80" s="274"/>
      <c r="DB80" s="274"/>
      <c r="DC80" s="274"/>
      <c r="DL80" s="288"/>
      <c r="DM80" s="288"/>
      <c r="DN80" s="288"/>
      <c r="DO80" s="288"/>
      <c r="DP80" s="288"/>
      <c r="DQ80" s="288"/>
      <c r="DR80" s="288"/>
      <c r="DS80" s="288"/>
      <c r="DT80" s="288"/>
      <c r="DU80" s="288"/>
      <c r="DV80" s="288"/>
      <c r="DW80" s="288"/>
      <c r="DX80" s="288"/>
      <c r="DY80" s="288"/>
      <c r="DZ80" s="288"/>
      <c r="EA80" s="288"/>
      <c r="EB80" s="288"/>
      <c r="EC80" s="288"/>
      <c r="ED80" s="288"/>
      <c r="EE80" s="288"/>
      <c r="EF80" s="288"/>
      <c r="EG80" s="288"/>
      <c r="EH80" s="288"/>
      <c r="EI80" s="288"/>
      <c r="EJ80" s="288"/>
      <c r="EK80" s="288"/>
      <c r="EL80" s="288"/>
      <c r="EM80" s="288"/>
      <c r="EN80" s="288"/>
      <c r="EO80" s="288"/>
      <c r="EP80" s="288"/>
      <c r="EQ80" s="288"/>
      <c r="ER80" s="288"/>
      <c r="ES80" s="288"/>
      <c r="ET80" s="288"/>
      <c r="EU80" s="288"/>
      <c r="EV80" s="288"/>
      <c r="EW80" s="288"/>
    </row>
    <row r="81" spans="4:153" ht="24.75">
      <c r="D81" s="274"/>
      <c r="E81" s="274"/>
      <c r="F81" s="639"/>
      <c r="G81" s="639"/>
      <c r="H81" s="276"/>
      <c r="I81" s="276"/>
      <c r="J81" s="276"/>
      <c r="K81" s="276"/>
      <c r="L81" s="639"/>
      <c r="M81" s="639"/>
      <c r="N81" s="639"/>
      <c r="O81" s="639"/>
      <c r="P81" s="639"/>
      <c r="Q81" s="274"/>
      <c r="R81" s="274"/>
      <c r="S81" s="274"/>
      <c r="T81" s="274"/>
      <c r="U81" s="274"/>
      <c r="V81" s="274"/>
      <c r="W81" s="274"/>
      <c r="X81" s="274"/>
      <c r="Y81" s="274"/>
      <c r="Z81" s="274"/>
      <c r="AA81" s="274"/>
      <c r="AB81" s="274"/>
      <c r="AC81" s="274"/>
      <c r="AD81" s="274"/>
      <c r="AE81" s="274"/>
      <c r="AF81" s="274"/>
      <c r="AG81" s="274"/>
      <c r="AH81" s="274"/>
      <c r="AI81" s="274"/>
      <c r="AJ81" s="274"/>
      <c r="AK81" s="274"/>
      <c r="AL81" s="274"/>
      <c r="AM81" s="274"/>
      <c r="AN81" s="274"/>
      <c r="AO81" s="274"/>
      <c r="AP81" s="274"/>
      <c r="AQ81" s="274"/>
      <c r="AR81" s="274"/>
      <c r="AS81" s="274"/>
      <c r="AT81" s="274"/>
      <c r="AU81" s="274"/>
      <c r="AV81" s="274"/>
      <c r="AW81" s="274"/>
      <c r="AX81" s="274"/>
      <c r="AY81" s="274"/>
      <c r="AZ81" s="276"/>
      <c r="BA81" s="276"/>
      <c r="BB81" s="276"/>
      <c r="BC81" s="276"/>
      <c r="BD81" s="274"/>
      <c r="BE81" s="274"/>
      <c r="BF81" s="274"/>
      <c r="BG81" s="274"/>
      <c r="BH81" s="274"/>
      <c r="BI81" s="274"/>
      <c r="BJ81" s="274"/>
      <c r="BK81" s="274"/>
      <c r="BL81" s="274"/>
      <c r="BM81" s="274"/>
      <c r="BN81" s="274"/>
      <c r="BO81" s="274"/>
      <c r="BP81" s="274"/>
      <c r="BQ81" s="274"/>
      <c r="BR81" s="274"/>
      <c r="BS81" s="274"/>
      <c r="BT81" s="274"/>
      <c r="BU81" s="274"/>
      <c r="BV81" s="274"/>
      <c r="BW81" s="274"/>
      <c r="BX81" s="274"/>
      <c r="BY81" s="274"/>
      <c r="BZ81" s="274"/>
      <c r="CA81" s="274"/>
      <c r="CB81" s="274"/>
      <c r="CC81" s="274"/>
      <c r="CD81" s="274"/>
      <c r="CE81" s="274"/>
      <c r="CF81" s="274"/>
      <c r="CG81" s="274"/>
      <c r="CH81" s="274"/>
      <c r="CI81" s="274"/>
      <c r="CJ81" s="274"/>
      <c r="CK81" s="274"/>
      <c r="CL81" s="274"/>
      <c r="CM81" s="274"/>
      <c r="CN81" s="274"/>
      <c r="CO81" s="274"/>
      <c r="CP81" s="274"/>
      <c r="CQ81" s="274"/>
      <c r="CR81" s="274"/>
      <c r="CS81" s="274"/>
      <c r="CT81" s="274"/>
      <c r="CU81" s="274"/>
      <c r="CV81" s="274"/>
      <c r="CW81" s="274"/>
      <c r="CX81" s="274"/>
      <c r="CY81" s="274"/>
      <c r="CZ81" s="274"/>
      <c r="DA81" s="274"/>
      <c r="DB81" s="274"/>
      <c r="DC81" s="274"/>
      <c r="DL81" s="288"/>
      <c r="DM81" s="288"/>
      <c r="DN81" s="288"/>
      <c r="DO81" s="288"/>
      <c r="DP81" s="288"/>
      <c r="DQ81" s="288"/>
      <c r="DR81" s="288"/>
      <c r="DS81" s="288"/>
      <c r="DT81" s="288"/>
      <c r="DU81" s="288"/>
      <c r="DV81" s="288"/>
      <c r="DW81" s="288"/>
      <c r="DX81" s="288"/>
      <c r="DY81" s="288"/>
      <c r="DZ81" s="288"/>
      <c r="EA81" s="288"/>
      <c r="EB81" s="288"/>
      <c r="EC81" s="288"/>
      <c r="ED81" s="288"/>
      <c r="EE81" s="288"/>
      <c r="EF81" s="288"/>
      <c r="EG81" s="288"/>
      <c r="EH81" s="288"/>
      <c r="EI81" s="288"/>
      <c r="EJ81" s="288"/>
      <c r="EK81" s="288"/>
      <c r="EL81" s="288"/>
      <c r="EM81" s="288"/>
      <c r="EN81" s="288"/>
      <c r="EO81" s="288"/>
      <c r="EP81" s="288"/>
      <c r="EQ81" s="288"/>
      <c r="ER81" s="288"/>
      <c r="ES81" s="288"/>
      <c r="ET81" s="288"/>
      <c r="EU81" s="288"/>
      <c r="EV81" s="288"/>
      <c r="EW81" s="288"/>
    </row>
    <row r="82" spans="4:153" ht="24.75">
      <c r="D82" s="274"/>
      <c r="E82" s="274"/>
      <c r="F82" s="639"/>
      <c r="G82" s="639"/>
      <c r="H82" s="276"/>
      <c r="I82" s="276"/>
      <c r="J82" s="276"/>
      <c r="K82" s="276"/>
      <c r="L82" s="639"/>
      <c r="M82" s="639"/>
      <c r="N82" s="639"/>
      <c r="O82" s="639"/>
      <c r="P82" s="639"/>
      <c r="Q82" s="274"/>
      <c r="R82" s="274"/>
      <c r="S82" s="274"/>
      <c r="T82" s="274"/>
      <c r="U82" s="274"/>
      <c r="V82" s="274"/>
      <c r="W82" s="274"/>
      <c r="X82" s="274"/>
      <c r="Y82" s="274"/>
      <c r="Z82" s="274"/>
      <c r="AA82" s="274"/>
      <c r="AB82" s="274"/>
      <c r="AC82" s="274"/>
      <c r="AD82" s="274"/>
      <c r="AE82" s="274"/>
      <c r="AF82" s="274"/>
      <c r="AG82" s="274"/>
      <c r="AH82" s="274"/>
      <c r="AI82" s="274"/>
      <c r="AJ82" s="274"/>
      <c r="AK82" s="274"/>
      <c r="AL82" s="274"/>
      <c r="AM82" s="274"/>
      <c r="AN82" s="274"/>
      <c r="AO82" s="274"/>
      <c r="AP82" s="274"/>
      <c r="AQ82" s="274"/>
      <c r="AR82" s="274"/>
      <c r="AS82" s="274"/>
      <c r="AT82" s="274"/>
      <c r="AU82" s="274"/>
      <c r="AV82" s="274"/>
      <c r="AW82" s="274"/>
      <c r="AX82" s="274"/>
      <c r="AY82" s="274"/>
      <c r="AZ82" s="276"/>
      <c r="BA82" s="276"/>
      <c r="BB82" s="276"/>
      <c r="BC82" s="276"/>
      <c r="BD82" s="274"/>
      <c r="BE82" s="274"/>
      <c r="BF82" s="274"/>
      <c r="BG82" s="274"/>
      <c r="BH82" s="274"/>
      <c r="BI82" s="274"/>
      <c r="BJ82" s="274"/>
      <c r="BK82" s="274"/>
      <c r="BL82" s="274"/>
      <c r="BM82" s="274"/>
      <c r="BN82" s="274"/>
      <c r="BO82" s="274"/>
      <c r="BP82" s="274"/>
      <c r="BQ82" s="274"/>
      <c r="BR82" s="274"/>
      <c r="BS82" s="274"/>
      <c r="BT82" s="274"/>
      <c r="BU82" s="274"/>
      <c r="BV82" s="274"/>
      <c r="BW82" s="274"/>
      <c r="BX82" s="274"/>
      <c r="BY82" s="274"/>
      <c r="BZ82" s="274"/>
      <c r="CA82" s="274"/>
      <c r="CB82" s="274"/>
      <c r="CC82" s="274"/>
      <c r="CD82" s="274"/>
      <c r="CE82" s="274"/>
      <c r="CF82" s="274"/>
      <c r="CG82" s="274"/>
      <c r="CH82" s="274"/>
      <c r="CI82" s="274"/>
      <c r="CJ82" s="274"/>
      <c r="CK82" s="274"/>
      <c r="CL82" s="274"/>
      <c r="CM82" s="274"/>
      <c r="CN82" s="274"/>
      <c r="CO82" s="274"/>
      <c r="CP82" s="274"/>
      <c r="CQ82" s="274"/>
      <c r="CR82" s="274"/>
      <c r="CS82" s="274"/>
      <c r="CT82" s="274"/>
      <c r="CU82" s="274"/>
      <c r="CV82" s="274"/>
      <c r="CW82" s="274"/>
      <c r="CX82" s="274"/>
      <c r="CY82" s="274"/>
      <c r="CZ82" s="274"/>
      <c r="DA82" s="274"/>
      <c r="DB82" s="274"/>
      <c r="DC82" s="274"/>
      <c r="DL82" s="288"/>
      <c r="DM82" s="288"/>
      <c r="DN82" s="288"/>
      <c r="DO82" s="288"/>
      <c r="DP82" s="288"/>
      <c r="DQ82" s="288"/>
      <c r="DR82" s="288"/>
      <c r="DS82" s="288"/>
      <c r="DT82" s="288"/>
      <c r="DU82" s="288"/>
      <c r="DV82" s="288"/>
      <c r="DW82" s="288"/>
      <c r="DX82" s="288"/>
      <c r="DY82" s="288"/>
      <c r="DZ82" s="288"/>
      <c r="EA82" s="288"/>
      <c r="EB82" s="288"/>
      <c r="EC82" s="288"/>
      <c r="ED82" s="288"/>
      <c r="EE82" s="288"/>
      <c r="EF82" s="288"/>
      <c r="EG82" s="288"/>
      <c r="EH82" s="288"/>
      <c r="EI82" s="288"/>
      <c r="EJ82" s="288"/>
      <c r="EK82" s="288"/>
      <c r="EL82" s="288"/>
      <c r="EM82" s="288"/>
      <c r="EN82" s="288"/>
      <c r="EO82" s="288"/>
      <c r="EP82" s="288"/>
      <c r="EQ82" s="288"/>
      <c r="ER82" s="288"/>
      <c r="ES82" s="288"/>
      <c r="ET82" s="288"/>
      <c r="EU82" s="288"/>
      <c r="EV82" s="288"/>
      <c r="EW82" s="288"/>
    </row>
    <row r="83" spans="4:153" ht="24.75">
      <c r="D83" s="274"/>
      <c r="E83" s="274"/>
      <c r="F83" s="639"/>
      <c r="G83" s="639"/>
      <c r="H83" s="276"/>
      <c r="I83" s="276"/>
      <c r="J83" s="276"/>
      <c r="K83" s="276"/>
      <c r="L83" s="639"/>
      <c r="M83" s="639"/>
      <c r="N83" s="639"/>
      <c r="O83" s="639"/>
      <c r="P83" s="639"/>
      <c r="Q83" s="274"/>
      <c r="R83" s="274"/>
      <c r="S83" s="274"/>
      <c r="T83" s="274"/>
      <c r="U83" s="274"/>
      <c r="V83" s="274"/>
      <c r="W83" s="274"/>
      <c r="X83" s="274"/>
      <c r="Y83" s="274"/>
      <c r="Z83" s="274"/>
      <c r="AA83" s="274"/>
      <c r="AB83" s="274"/>
      <c r="AC83" s="274"/>
      <c r="AD83" s="274"/>
      <c r="AE83" s="274"/>
      <c r="AF83" s="274"/>
      <c r="AG83" s="274"/>
      <c r="AH83" s="274"/>
      <c r="AI83" s="274"/>
      <c r="AJ83" s="274"/>
      <c r="AK83" s="274"/>
      <c r="AL83" s="274"/>
      <c r="AM83" s="274"/>
      <c r="AN83" s="274"/>
      <c r="AO83" s="274"/>
      <c r="AP83" s="274"/>
      <c r="AQ83" s="274"/>
      <c r="AR83" s="274"/>
      <c r="AS83" s="274"/>
      <c r="AT83" s="274"/>
      <c r="AU83" s="274"/>
      <c r="AV83" s="274"/>
      <c r="AW83" s="274"/>
      <c r="AX83" s="274"/>
      <c r="AY83" s="274"/>
      <c r="AZ83" s="276"/>
      <c r="BA83" s="276"/>
      <c r="BB83" s="276"/>
      <c r="BC83" s="276"/>
      <c r="BD83" s="274"/>
      <c r="BE83" s="274"/>
      <c r="BF83" s="274"/>
      <c r="BG83" s="274"/>
      <c r="BH83" s="274"/>
      <c r="BI83" s="274"/>
      <c r="BJ83" s="274"/>
      <c r="BK83" s="274"/>
      <c r="BL83" s="274"/>
      <c r="BM83" s="274"/>
      <c r="BN83" s="274"/>
      <c r="BO83" s="274"/>
      <c r="BP83" s="274"/>
      <c r="BQ83" s="274"/>
      <c r="BR83" s="274"/>
      <c r="BS83" s="274"/>
      <c r="BT83" s="274"/>
      <c r="BU83" s="274"/>
      <c r="BV83" s="274"/>
      <c r="BW83" s="274"/>
      <c r="BX83" s="274"/>
      <c r="BY83" s="274"/>
      <c r="BZ83" s="274"/>
      <c r="CA83" s="274"/>
      <c r="CB83" s="274"/>
      <c r="CC83" s="274"/>
      <c r="CD83" s="274"/>
      <c r="CE83" s="274"/>
      <c r="CF83" s="274"/>
      <c r="CG83" s="274"/>
      <c r="CH83" s="274"/>
      <c r="CI83" s="274"/>
      <c r="CJ83" s="274"/>
      <c r="CK83" s="274"/>
      <c r="CL83" s="274"/>
      <c r="CM83" s="274"/>
      <c r="CN83" s="274"/>
      <c r="CO83" s="274"/>
      <c r="CP83" s="274"/>
      <c r="CQ83" s="274"/>
      <c r="CR83" s="274"/>
      <c r="CS83" s="274"/>
      <c r="CT83" s="274"/>
      <c r="CU83" s="274"/>
      <c r="CV83" s="274"/>
      <c r="CW83" s="274"/>
      <c r="CX83" s="274"/>
      <c r="CY83" s="274"/>
      <c r="CZ83" s="274"/>
      <c r="DA83" s="274"/>
      <c r="DB83" s="274"/>
      <c r="DC83" s="274"/>
      <c r="DL83" s="288"/>
      <c r="DM83" s="288"/>
      <c r="DN83" s="288"/>
      <c r="DO83" s="288"/>
      <c r="DP83" s="288"/>
      <c r="DQ83" s="288"/>
      <c r="DR83" s="288"/>
      <c r="DS83" s="288"/>
      <c r="DT83" s="288"/>
      <c r="DU83" s="288"/>
      <c r="DV83" s="288"/>
      <c r="DW83" s="288"/>
      <c r="DX83" s="288"/>
      <c r="DY83" s="288"/>
      <c r="DZ83" s="288"/>
      <c r="EA83" s="288"/>
      <c r="EB83" s="288"/>
      <c r="EC83" s="288"/>
      <c r="ED83" s="288"/>
      <c r="EE83" s="288"/>
      <c r="EF83" s="288"/>
      <c r="EG83" s="288"/>
      <c r="EH83" s="288"/>
      <c r="EI83" s="288"/>
      <c r="EJ83" s="288"/>
      <c r="EK83" s="288"/>
      <c r="EL83" s="288"/>
      <c r="EM83" s="288"/>
      <c r="EN83" s="288"/>
      <c r="EO83" s="288"/>
      <c r="EP83" s="288"/>
      <c r="EQ83" s="288"/>
      <c r="ER83" s="288"/>
      <c r="ES83" s="288"/>
      <c r="ET83" s="288"/>
      <c r="EU83" s="288"/>
      <c r="EV83" s="288"/>
      <c r="EW83" s="288"/>
    </row>
    <row r="84" spans="4:153" ht="24.75">
      <c r="D84" s="274"/>
      <c r="E84" s="274"/>
      <c r="F84" s="639"/>
      <c r="G84" s="639"/>
      <c r="H84" s="276"/>
      <c r="I84" s="276"/>
      <c r="J84" s="276"/>
      <c r="K84" s="276"/>
      <c r="L84" s="639"/>
      <c r="M84" s="639"/>
      <c r="N84" s="639"/>
      <c r="O84" s="639"/>
      <c r="P84" s="639"/>
      <c r="Q84" s="274"/>
      <c r="R84" s="274"/>
      <c r="S84" s="274"/>
      <c r="T84" s="274"/>
      <c r="U84" s="274"/>
      <c r="V84" s="274"/>
      <c r="W84" s="274"/>
      <c r="X84" s="274"/>
      <c r="Y84" s="274"/>
      <c r="Z84" s="274"/>
      <c r="AA84" s="274"/>
      <c r="AB84" s="274"/>
      <c r="AC84" s="274"/>
      <c r="AD84" s="274"/>
      <c r="AE84" s="274"/>
      <c r="AF84" s="274"/>
      <c r="AG84" s="274"/>
      <c r="AH84" s="274"/>
      <c r="AI84" s="274"/>
      <c r="AJ84" s="274"/>
      <c r="AK84" s="274"/>
      <c r="AL84" s="274"/>
      <c r="AM84" s="274"/>
      <c r="AN84" s="274"/>
      <c r="AO84" s="274"/>
      <c r="AP84" s="274"/>
      <c r="AQ84" s="274"/>
      <c r="AR84" s="274"/>
      <c r="AS84" s="274"/>
      <c r="AT84" s="274"/>
      <c r="AU84" s="274"/>
      <c r="AV84" s="274"/>
      <c r="AW84" s="274"/>
      <c r="AX84" s="274"/>
      <c r="AY84" s="274"/>
      <c r="AZ84" s="276"/>
      <c r="BA84" s="276"/>
      <c r="BB84" s="276"/>
      <c r="BC84" s="276"/>
      <c r="BD84" s="274"/>
      <c r="BE84" s="274"/>
      <c r="BF84" s="274"/>
      <c r="BG84" s="274"/>
      <c r="BH84" s="274"/>
      <c r="BI84" s="274"/>
      <c r="BJ84" s="274"/>
      <c r="BK84" s="274"/>
      <c r="BL84" s="274"/>
      <c r="BM84" s="274"/>
      <c r="BN84" s="274"/>
      <c r="BO84" s="274"/>
      <c r="BP84" s="274"/>
      <c r="BQ84" s="274"/>
      <c r="BR84" s="274"/>
      <c r="BS84" s="274"/>
      <c r="BT84" s="274"/>
      <c r="BU84" s="274"/>
      <c r="BV84" s="274"/>
      <c r="BW84" s="274"/>
      <c r="BX84" s="274"/>
      <c r="BY84" s="274"/>
      <c r="BZ84" s="274"/>
      <c r="CA84" s="274"/>
      <c r="CB84" s="274"/>
      <c r="CC84" s="274"/>
      <c r="CD84" s="274"/>
      <c r="CE84" s="274"/>
      <c r="CF84" s="274"/>
      <c r="CG84" s="274"/>
      <c r="CH84" s="274"/>
      <c r="CI84" s="274"/>
      <c r="CJ84" s="274"/>
      <c r="CK84" s="274"/>
      <c r="CL84" s="274"/>
      <c r="CM84" s="274"/>
      <c r="CN84" s="274"/>
      <c r="CO84" s="274"/>
      <c r="CP84" s="274"/>
      <c r="CQ84" s="274"/>
      <c r="CR84" s="274"/>
      <c r="CS84" s="274"/>
      <c r="CT84" s="274"/>
      <c r="CU84" s="274"/>
      <c r="CV84" s="274"/>
      <c r="CW84" s="274"/>
      <c r="CX84" s="274"/>
      <c r="CY84" s="274"/>
      <c r="CZ84" s="274"/>
      <c r="DA84" s="274"/>
      <c r="DB84" s="274"/>
      <c r="DC84" s="274"/>
      <c r="DL84" s="288"/>
      <c r="DM84" s="288"/>
      <c r="DN84" s="274"/>
      <c r="DO84" s="274"/>
      <c r="DP84" s="274"/>
      <c r="DQ84" s="274"/>
      <c r="DR84" s="274"/>
      <c r="DS84" s="274"/>
      <c r="DT84" s="274"/>
      <c r="DU84" s="274"/>
      <c r="DV84" s="274"/>
      <c r="DW84" s="274"/>
      <c r="DX84" s="274"/>
      <c r="DY84" s="274"/>
      <c r="DZ84" s="274"/>
      <c r="EA84" s="274"/>
      <c r="EB84" s="274"/>
      <c r="EC84" s="274"/>
      <c r="ED84" s="274"/>
      <c r="EE84" s="274"/>
      <c r="EF84" s="274"/>
      <c r="EG84" s="274"/>
      <c r="EH84" s="274"/>
      <c r="EI84" s="274"/>
      <c r="EJ84" s="274"/>
      <c r="EK84" s="274"/>
      <c r="EL84" s="274"/>
      <c r="EM84" s="274"/>
      <c r="EN84" s="274"/>
      <c r="EO84" s="274"/>
      <c r="EP84" s="274"/>
      <c r="EQ84" s="274"/>
      <c r="ER84" s="288"/>
      <c r="ES84" s="288"/>
      <c r="ET84" s="288"/>
      <c r="EU84" s="288"/>
      <c r="EV84" s="288"/>
      <c r="EW84" s="288"/>
    </row>
    <row r="85" spans="4:153" ht="24.75">
      <c r="D85" s="274"/>
      <c r="E85" s="274"/>
      <c r="F85" s="274"/>
      <c r="G85" s="639"/>
      <c r="H85" s="276"/>
      <c r="I85" s="276"/>
      <c r="J85" s="276"/>
      <c r="K85" s="276"/>
      <c r="L85" s="639"/>
      <c r="M85" s="639"/>
      <c r="N85" s="639"/>
      <c r="O85" s="639"/>
      <c r="P85" s="639"/>
      <c r="Q85" s="274"/>
      <c r="R85" s="274"/>
      <c r="S85" s="274"/>
      <c r="T85" s="274"/>
      <c r="U85" s="274"/>
      <c r="V85" s="274"/>
      <c r="W85" s="274"/>
      <c r="X85" s="274"/>
      <c r="Y85" s="274"/>
      <c r="Z85" s="274"/>
      <c r="AA85" s="274"/>
      <c r="AB85" s="274"/>
      <c r="AC85" s="274"/>
      <c r="AD85" s="274"/>
      <c r="AE85" s="274"/>
      <c r="AF85" s="274"/>
      <c r="AG85" s="274"/>
      <c r="AH85" s="274"/>
      <c r="AI85" s="274"/>
      <c r="AJ85" s="274"/>
      <c r="AK85" s="274"/>
      <c r="AL85" s="274"/>
      <c r="AM85" s="274"/>
      <c r="AN85" s="274"/>
      <c r="AO85" s="274"/>
      <c r="AP85" s="274"/>
      <c r="AQ85" s="274"/>
      <c r="AR85" s="274"/>
      <c r="AS85" s="274"/>
      <c r="AT85" s="274"/>
      <c r="AU85" s="274"/>
      <c r="AV85" s="274"/>
      <c r="AW85" s="274"/>
      <c r="AX85" s="274"/>
      <c r="AY85" s="274"/>
      <c r="AZ85" s="276"/>
      <c r="BA85" s="276"/>
      <c r="BB85" s="276"/>
      <c r="BC85" s="276"/>
      <c r="BD85" s="274"/>
      <c r="BE85" s="274"/>
      <c r="BF85" s="274"/>
      <c r="BG85" s="274"/>
      <c r="BH85" s="274"/>
      <c r="BI85" s="274"/>
      <c r="BJ85" s="274"/>
      <c r="BK85" s="274"/>
      <c r="BL85" s="274"/>
      <c r="BM85" s="274"/>
      <c r="BN85" s="274"/>
      <c r="BO85" s="274"/>
      <c r="BP85" s="274"/>
      <c r="BQ85" s="274"/>
      <c r="BR85" s="274"/>
      <c r="BS85" s="274"/>
      <c r="BT85" s="274"/>
      <c r="BU85" s="274"/>
      <c r="BV85" s="274"/>
      <c r="BW85" s="274"/>
      <c r="BX85" s="274"/>
      <c r="BY85" s="274"/>
      <c r="BZ85" s="274"/>
      <c r="CA85" s="274"/>
      <c r="CB85" s="274"/>
      <c r="CC85" s="274"/>
      <c r="CD85" s="274"/>
      <c r="CE85" s="274"/>
      <c r="CF85" s="274"/>
      <c r="CG85" s="274"/>
      <c r="CH85" s="274"/>
      <c r="CI85" s="274"/>
      <c r="CJ85" s="274"/>
      <c r="CK85" s="274"/>
      <c r="CL85" s="274"/>
      <c r="CM85" s="274"/>
      <c r="CN85" s="274"/>
      <c r="CO85" s="274"/>
      <c r="CP85" s="274"/>
      <c r="CQ85" s="274"/>
      <c r="CR85" s="274"/>
      <c r="CS85" s="274"/>
      <c r="CT85" s="274"/>
      <c r="CU85" s="274"/>
      <c r="CV85" s="274"/>
      <c r="CW85" s="274"/>
      <c r="CX85" s="274"/>
      <c r="CY85" s="274"/>
      <c r="CZ85" s="274"/>
      <c r="DA85" s="274"/>
      <c r="DB85" s="274"/>
      <c r="DC85" s="274"/>
      <c r="DL85" s="288"/>
      <c r="DM85" s="288"/>
      <c r="DN85" s="288"/>
      <c r="DO85" s="288"/>
      <c r="DP85" s="288"/>
      <c r="DQ85" s="288"/>
      <c r="DR85" s="288"/>
      <c r="DS85" s="288"/>
      <c r="DT85" s="288"/>
      <c r="DU85" s="288"/>
      <c r="DV85" s="288"/>
      <c r="DW85" s="288"/>
      <c r="DX85" s="288"/>
      <c r="DY85" s="288"/>
      <c r="DZ85" s="288"/>
      <c r="EA85" s="288"/>
      <c r="EB85" s="288"/>
      <c r="EC85" s="288"/>
      <c r="ED85" s="288"/>
      <c r="EE85" s="288"/>
      <c r="EF85" s="288"/>
      <c r="EG85" s="288"/>
      <c r="EH85" s="288"/>
      <c r="EI85" s="288"/>
      <c r="EJ85" s="288"/>
      <c r="EK85" s="288"/>
      <c r="EL85" s="288"/>
      <c r="EM85" s="288"/>
      <c r="EN85" s="288"/>
      <c r="EO85" s="288"/>
      <c r="EP85" s="288"/>
      <c r="EQ85" s="288"/>
      <c r="ER85" s="288"/>
      <c r="ES85" s="288"/>
      <c r="ET85" s="288"/>
      <c r="EU85" s="288"/>
      <c r="EV85" s="288"/>
      <c r="EW85" s="288"/>
    </row>
    <row r="86" spans="4:153" ht="24.75">
      <c r="D86" s="274"/>
      <c r="E86" s="274"/>
      <c r="F86" s="274"/>
      <c r="G86" s="639"/>
      <c r="H86" s="276"/>
      <c r="I86" s="276"/>
      <c r="J86" s="276"/>
      <c r="K86" s="276"/>
      <c r="L86" s="639"/>
      <c r="M86" s="639"/>
      <c r="N86" s="639"/>
      <c r="O86" s="639"/>
      <c r="P86" s="639"/>
      <c r="Q86" s="274"/>
      <c r="R86" s="274"/>
      <c r="S86" s="274"/>
      <c r="T86" s="274"/>
      <c r="U86" s="274"/>
      <c r="V86" s="274"/>
      <c r="W86" s="274"/>
      <c r="X86" s="274"/>
      <c r="Y86" s="274"/>
      <c r="Z86" s="274"/>
      <c r="AA86" s="274"/>
      <c r="AB86" s="274"/>
      <c r="AC86" s="274"/>
      <c r="AD86" s="274"/>
      <c r="AE86" s="274"/>
      <c r="AF86" s="274"/>
      <c r="AG86" s="274"/>
      <c r="AH86" s="274"/>
      <c r="AI86" s="274"/>
      <c r="AJ86" s="274"/>
      <c r="AK86" s="274"/>
      <c r="AL86" s="274"/>
      <c r="AM86" s="274"/>
      <c r="AN86" s="274"/>
      <c r="AO86" s="274"/>
      <c r="AP86" s="274"/>
      <c r="AQ86" s="274"/>
      <c r="AR86" s="274"/>
      <c r="AS86" s="274"/>
      <c r="AT86" s="274"/>
      <c r="AU86" s="274"/>
      <c r="AV86" s="274"/>
      <c r="AW86" s="274"/>
      <c r="AX86" s="274"/>
      <c r="AY86" s="274"/>
      <c r="AZ86" s="276"/>
      <c r="BA86" s="276"/>
      <c r="BB86" s="276"/>
      <c r="BC86" s="276"/>
      <c r="BD86" s="274"/>
      <c r="BE86" s="274"/>
      <c r="BF86" s="274"/>
      <c r="BG86" s="274"/>
      <c r="BH86" s="274"/>
      <c r="BI86" s="274"/>
      <c r="BJ86" s="274"/>
      <c r="BK86" s="274"/>
      <c r="BL86" s="274"/>
      <c r="BM86" s="274"/>
      <c r="BN86" s="274"/>
      <c r="BO86" s="274"/>
      <c r="BP86" s="274"/>
      <c r="BQ86" s="274"/>
      <c r="BR86" s="274"/>
      <c r="BS86" s="274"/>
      <c r="BT86" s="274"/>
      <c r="BU86" s="274"/>
      <c r="BV86" s="274"/>
      <c r="BW86" s="274"/>
      <c r="BX86" s="274"/>
      <c r="BY86" s="274"/>
      <c r="BZ86" s="274"/>
      <c r="CA86" s="274"/>
      <c r="CB86" s="274"/>
      <c r="CC86" s="274"/>
      <c r="CD86" s="274"/>
      <c r="CE86" s="274"/>
      <c r="CF86" s="274"/>
      <c r="CG86" s="274"/>
      <c r="CH86" s="274"/>
      <c r="CI86" s="274"/>
      <c r="CJ86" s="274"/>
      <c r="CK86" s="274"/>
      <c r="CL86" s="274"/>
      <c r="CM86" s="274"/>
      <c r="CN86" s="274"/>
      <c r="CO86" s="274"/>
      <c r="CP86" s="274"/>
      <c r="CQ86" s="274"/>
      <c r="CR86" s="274"/>
      <c r="CS86" s="274"/>
      <c r="CT86" s="274"/>
      <c r="CU86" s="274"/>
      <c r="CV86" s="274"/>
      <c r="CW86" s="274"/>
      <c r="CX86" s="274"/>
      <c r="CY86" s="274"/>
      <c r="CZ86" s="274"/>
      <c r="DA86" s="274"/>
      <c r="DB86" s="274"/>
      <c r="DC86" s="274"/>
      <c r="DL86" s="288"/>
      <c r="DM86" s="288"/>
      <c r="DN86" s="288"/>
      <c r="DO86" s="288"/>
      <c r="DP86" s="288"/>
      <c r="DQ86" s="288"/>
      <c r="DR86" s="288"/>
      <c r="DS86" s="288"/>
      <c r="DT86" s="288"/>
      <c r="DU86" s="288"/>
      <c r="DV86" s="288"/>
      <c r="DW86" s="288"/>
      <c r="DX86" s="288"/>
      <c r="DY86" s="288"/>
      <c r="DZ86" s="288"/>
      <c r="EA86" s="288"/>
      <c r="EB86" s="288"/>
      <c r="EC86" s="288"/>
      <c r="ED86" s="288"/>
      <c r="EE86" s="288"/>
      <c r="EF86" s="288"/>
      <c r="EG86" s="288"/>
      <c r="EH86" s="288"/>
      <c r="EI86" s="288"/>
      <c r="EJ86" s="288"/>
      <c r="EK86" s="288"/>
      <c r="EL86" s="288"/>
      <c r="EM86" s="288"/>
      <c r="EN86" s="288"/>
      <c r="EO86" s="288"/>
      <c r="EP86" s="288"/>
      <c r="EQ86" s="288"/>
      <c r="ER86" s="288"/>
      <c r="ES86" s="288"/>
      <c r="ET86" s="288"/>
      <c r="EU86" s="288"/>
      <c r="EV86" s="288"/>
      <c r="EW86" s="288"/>
    </row>
    <row r="87" spans="4:153" ht="24.75">
      <c r="D87" s="274"/>
      <c r="E87" s="274"/>
      <c r="F87" s="639"/>
      <c r="G87" s="274"/>
      <c r="H87" s="276"/>
      <c r="I87" s="276"/>
      <c r="J87" s="276"/>
      <c r="K87" s="276"/>
      <c r="L87" s="639"/>
      <c r="M87" s="639"/>
      <c r="N87" s="639"/>
      <c r="O87" s="639"/>
      <c r="P87" s="639"/>
      <c r="Q87" s="274"/>
      <c r="R87" s="274"/>
      <c r="S87" s="274"/>
      <c r="T87" s="274"/>
      <c r="U87" s="274"/>
      <c r="V87" s="274"/>
      <c r="W87" s="274"/>
      <c r="X87" s="274"/>
      <c r="Y87" s="274"/>
      <c r="Z87" s="274"/>
      <c r="AA87" s="274"/>
      <c r="AB87" s="274"/>
      <c r="AC87" s="274"/>
      <c r="AD87" s="274"/>
      <c r="AE87" s="274"/>
      <c r="AF87" s="274"/>
      <c r="AG87" s="274"/>
      <c r="AH87" s="274"/>
      <c r="AI87" s="274"/>
      <c r="AJ87" s="274"/>
      <c r="AK87" s="274"/>
      <c r="AL87" s="274"/>
      <c r="AM87" s="274"/>
      <c r="AN87" s="274"/>
      <c r="AO87" s="274"/>
      <c r="AP87" s="274"/>
      <c r="AQ87" s="274"/>
      <c r="AR87" s="274"/>
      <c r="AS87" s="274"/>
      <c r="AT87" s="274"/>
      <c r="AU87" s="274"/>
      <c r="AV87" s="274"/>
      <c r="AW87" s="274"/>
      <c r="AX87" s="274"/>
      <c r="AY87" s="274"/>
      <c r="AZ87" s="276"/>
      <c r="BA87" s="276"/>
      <c r="BB87" s="276"/>
      <c r="BC87" s="276"/>
      <c r="BD87" s="274"/>
      <c r="BE87" s="274"/>
      <c r="BF87" s="274"/>
      <c r="BG87" s="274"/>
      <c r="BH87" s="274"/>
      <c r="BI87" s="274"/>
      <c r="BJ87" s="274"/>
      <c r="BK87" s="274"/>
      <c r="BL87" s="274"/>
      <c r="BM87" s="274"/>
      <c r="BN87" s="274"/>
      <c r="BO87" s="274"/>
      <c r="BP87" s="274"/>
      <c r="BQ87" s="274"/>
      <c r="BR87" s="274"/>
      <c r="BS87" s="274"/>
      <c r="BT87" s="274"/>
      <c r="BU87" s="274"/>
      <c r="BV87" s="274"/>
      <c r="BW87" s="274"/>
      <c r="BX87" s="274"/>
      <c r="BY87" s="274"/>
      <c r="BZ87" s="274"/>
      <c r="CA87" s="274"/>
      <c r="CB87" s="274"/>
      <c r="CC87" s="274"/>
      <c r="CD87" s="274"/>
      <c r="CE87" s="274"/>
      <c r="CF87" s="274"/>
      <c r="CG87" s="274"/>
      <c r="CH87" s="274"/>
      <c r="CI87" s="274"/>
      <c r="CJ87" s="274"/>
      <c r="CK87" s="274"/>
      <c r="CL87" s="274"/>
      <c r="CM87" s="274"/>
      <c r="CN87" s="274"/>
      <c r="CO87" s="274"/>
      <c r="CP87" s="274"/>
      <c r="CQ87" s="274"/>
      <c r="CR87" s="274"/>
      <c r="CS87" s="274"/>
      <c r="CT87" s="274"/>
      <c r="CU87" s="274"/>
      <c r="CV87" s="274"/>
      <c r="CW87" s="274"/>
      <c r="CX87" s="274"/>
      <c r="CY87" s="274"/>
      <c r="CZ87" s="274"/>
      <c r="DA87" s="274"/>
      <c r="DB87" s="274"/>
      <c r="DC87" s="274"/>
      <c r="DL87" s="288"/>
      <c r="DM87" s="288"/>
      <c r="DN87" s="288"/>
      <c r="DO87" s="288"/>
      <c r="DP87" s="288"/>
      <c r="DQ87" s="288"/>
      <c r="DR87" s="288"/>
      <c r="DS87" s="288"/>
      <c r="DT87" s="288"/>
      <c r="DU87" s="288"/>
      <c r="DV87" s="288"/>
      <c r="DW87" s="288"/>
      <c r="DX87" s="288"/>
      <c r="DY87" s="288"/>
      <c r="DZ87" s="288"/>
      <c r="EA87" s="288"/>
      <c r="EB87" s="288"/>
      <c r="EC87" s="288"/>
      <c r="ED87" s="288"/>
      <c r="EE87" s="288"/>
      <c r="EF87" s="288"/>
      <c r="EG87" s="288"/>
      <c r="EH87" s="288"/>
      <c r="EI87" s="288"/>
      <c r="EJ87" s="288"/>
      <c r="EK87" s="288"/>
      <c r="EL87" s="288"/>
      <c r="EM87" s="288"/>
      <c r="EN87" s="288"/>
      <c r="EO87" s="288"/>
      <c r="EP87" s="288"/>
      <c r="EQ87" s="288"/>
      <c r="ER87" s="288"/>
      <c r="ES87" s="288"/>
      <c r="ET87" s="288"/>
      <c r="EU87" s="288"/>
      <c r="EV87" s="288"/>
      <c r="EW87" s="288"/>
    </row>
    <row r="88" spans="4:153" ht="24.75">
      <c r="D88" s="274"/>
      <c r="E88" s="274"/>
      <c r="F88" s="639"/>
      <c r="G88" s="274"/>
      <c r="H88" s="276"/>
      <c r="I88" s="276"/>
      <c r="J88" s="276"/>
      <c r="K88" s="276"/>
      <c r="L88" s="639"/>
      <c r="M88" s="639"/>
      <c r="N88" s="639"/>
      <c r="O88" s="639"/>
      <c r="P88" s="639"/>
      <c r="Q88" s="274"/>
      <c r="R88" s="274"/>
      <c r="S88" s="274"/>
      <c r="T88" s="274"/>
      <c r="U88" s="274"/>
      <c r="V88" s="274"/>
      <c r="W88" s="274"/>
      <c r="X88" s="274"/>
      <c r="Y88" s="274"/>
      <c r="Z88" s="274"/>
      <c r="AA88" s="274"/>
      <c r="AB88" s="274"/>
      <c r="AC88" s="274"/>
      <c r="AD88" s="274"/>
      <c r="AE88" s="274"/>
      <c r="AF88" s="274"/>
      <c r="AG88" s="274"/>
      <c r="AH88" s="274"/>
      <c r="AI88" s="274"/>
      <c r="AJ88" s="274"/>
      <c r="AK88" s="274"/>
      <c r="AL88" s="274"/>
      <c r="AM88" s="274"/>
      <c r="AN88" s="274"/>
      <c r="AO88" s="274"/>
      <c r="AP88" s="274"/>
      <c r="AQ88" s="274"/>
      <c r="AR88" s="274"/>
      <c r="AS88" s="274"/>
      <c r="AT88" s="274"/>
      <c r="AU88" s="274"/>
      <c r="AV88" s="274"/>
      <c r="AW88" s="274"/>
      <c r="AX88" s="274"/>
      <c r="AY88" s="274"/>
      <c r="AZ88" s="276"/>
      <c r="BA88" s="276"/>
      <c r="BB88" s="276"/>
      <c r="BC88" s="276"/>
      <c r="BD88" s="274"/>
      <c r="BE88" s="274"/>
      <c r="BF88" s="274"/>
      <c r="BG88" s="274"/>
      <c r="BH88" s="274"/>
      <c r="BI88" s="274"/>
      <c r="BJ88" s="274"/>
      <c r="BK88" s="274"/>
      <c r="BL88" s="274"/>
      <c r="BM88" s="274"/>
      <c r="BN88" s="274"/>
      <c r="BO88" s="274"/>
      <c r="BP88" s="274"/>
      <c r="BQ88" s="274"/>
      <c r="BR88" s="274"/>
      <c r="BS88" s="274"/>
      <c r="BT88" s="274"/>
      <c r="BU88" s="274"/>
      <c r="BV88" s="274"/>
      <c r="BW88" s="274"/>
      <c r="BX88" s="274"/>
      <c r="BY88" s="274"/>
      <c r="BZ88" s="274"/>
      <c r="CA88" s="274"/>
      <c r="CB88" s="274"/>
      <c r="CC88" s="274"/>
      <c r="CD88" s="274"/>
      <c r="CE88" s="274"/>
      <c r="CF88" s="274"/>
      <c r="CG88" s="274"/>
      <c r="CH88" s="274"/>
      <c r="CI88" s="274"/>
      <c r="CJ88" s="274"/>
      <c r="CK88" s="274"/>
      <c r="CL88" s="274"/>
      <c r="CM88" s="274"/>
      <c r="CN88" s="274"/>
      <c r="CO88" s="274"/>
      <c r="CP88" s="274"/>
      <c r="CQ88" s="274"/>
      <c r="CR88" s="274"/>
      <c r="CS88" s="274"/>
      <c r="CT88" s="274"/>
      <c r="CU88" s="274"/>
      <c r="CV88" s="274"/>
      <c r="CW88" s="274"/>
      <c r="CX88" s="274"/>
      <c r="CY88" s="274"/>
      <c r="CZ88" s="274"/>
      <c r="DA88" s="274"/>
      <c r="DB88" s="274"/>
      <c r="DC88" s="274"/>
      <c r="DL88" s="288"/>
      <c r="DM88" s="288"/>
      <c r="DN88" s="288"/>
      <c r="DO88" s="288"/>
      <c r="DP88" s="288"/>
      <c r="DQ88" s="288"/>
      <c r="DR88" s="288"/>
      <c r="DS88" s="288"/>
      <c r="DT88" s="288"/>
      <c r="DU88" s="288"/>
      <c r="DV88" s="288"/>
      <c r="DW88" s="288"/>
      <c r="DX88" s="288"/>
      <c r="DY88" s="288"/>
      <c r="DZ88" s="288"/>
      <c r="EA88" s="288"/>
      <c r="EB88" s="288"/>
      <c r="EC88" s="288"/>
      <c r="ED88" s="288"/>
      <c r="EE88" s="288"/>
      <c r="EF88" s="288"/>
      <c r="EG88" s="288"/>
      <c r="EH88" s="288"/>
      <c r="EI88" s="288"/>
      <c r="EJ88" s="288"/>
      <c r="EK88" s="288"/>
      <c r="EL88" s="288"/>
      <c r="EM88" s="288"/>
      <c r="EN88" s="288"/>
      <c r="EO88" s="288"/>
      <c r="EP88" s="288"/>
      <c r="EQ88" s="388"/>
      <c r="ER88" s="288"/>
      <c r="ES88" s="288"/>
      <c r="ET88" s="288"/>
      <c r="EU88" s="288"/>
      <c r="EV88" s="288"/>
      <c r="EW88" s="288"/>
    </row>
    <row r="89" spans="4:153" ht="24.75">
      <c r="D89" s="639"/>
      <c r="E89" s="639"/>
      <c r="F89" s="639"/>
      <c r="G89" s="274"/>
      <c r="H89" s="639"/>
      <c r="I89" s="639"/>
      <c r="J89" s="639"/>
      <c r="K89" s="639"/>
      <c r="L89" s="639"/>
      <c r="M89" s="639"/>
      <c r="N89" s="639"/>
      <c r="O89" s="274"/>
      <c r="P89" s="274"/>
      <c r="Q89" s="274"/>
      <c r="R89" s="274"/>
      <c r="S89" s="274"/>
      <c r="T89" s="274"/>
      <c r="U89" s="274"/>
      <c r="V89" s="274"/>
      <c r="W89" s="274"/>
      <c r="X89" s="274"/>
      <c r="Y89" s="274"/>
      <c r="Z89" s="274"/>
      <c r="AA89" s="274"/>
      <c r="AB89" s="274"/>
      <c r="AC89" s="274"/>
      <c r="AD89" s="274"/>
      <c r="AE89" s="274"/>
      <c r="AF89" s="274"/>
      <c r="AG89" s="274"/>
      <c r="AH89" s="274"/>
      <c r="AI89" s="274"/>
      <c r="AJ89" s="274"/>
      <c r="AK89" s="274"/>
      <c r="AL89" s="274"/>
      <c r="AM89" s="274"/>
      <c r="AN89" s="274"/>
      <c r="AO89" s="274"/>
      <c r="AP89" s="274"/>
      <c r="AQ89" s="274"/>
      <c r="AR89" s="274"/>
      <c r="AS89" s="274"/>
      <c r="AT89" s="274"/>
      <c r="AU89" s="274"/>
      <c r="AV89" s="274"/>
      <c r="AW89" s="274"/>
      <c r="AX89" s="274"/>
      <c r="AY89" s="274"/>
      <c r="AZ89" s="276"/>
      <c r="BA89" s="276"/>
      <c r="BB89" s="276"/>
      <c r="BC89" s="276"/>
      <c r="BD89" s="274"/>
      <c r="BE89" s="274"/>
      <c r="BF89" s="274"/>
      <c r="BG89" s="274"/>
      <c r="BH89" s="274"/>
      <c r="BI89" s="274"/>
      <c r="BJ89" s="274"/>
      <c r="BK89" s="274"/>
      <c r="BL89" s="274"/>
      <c r="BM89" s="274"/>
      <c r="BN89" s="274"/>
      <c r="BO89" s="274"/>
      <c r="BP89" s="274"/>
      <c r="BQ89" s="274"/>
      <c r="BR89" s="274"/>
      <c r="BS89" s="274"/>
      <c r="BT89" s="274"/>
      <c r="BU89" s="274"/>
      <c r="BV89" s="274"/>
      <c r="BW89" s="274"/>
      <c r="BX89" s="274"/>
      <c r="BY89" s="274"/>
      <c r="BZ89" s="274"/>
      <c r="CA89" s="274"/>
      <c r="CB89" s="274"/>
      <c r="CC89" s="274"/>
      <c r="CD89" s="274"/>
      <c r="CE89" s="274"/>
      <c r="CF89" s="274"/>
      <c r="CG89" s="274"/>
      <c r="CH89" s="274"/>
      <c r="CI89" s="274"/>
      <c r="CJ89" s="274"/>
      <c r="CK89" s="274"/>
      <c r="CL89" s="274"/>
      <c r="CM89" s="274"/>
      <c r="CN89" s="274"/>
      <c r="CO89" s="274"/>
      <c r="CP89" s="274"/>
      <c r="CQ89" s="274"/>
      <c r="CR89" s="274"/>
      <c r="CS89" s="274"/>
      <c r="CT89" s="274"/>
      <c r="CU89" s="274"/>
      <c r="CV89" s="274"/>
      <c r="CW89" s="274"/>
      <c r="CX89" s="274"/>
      <c r="CY89" s="274"/>
      <c r="CZ89" s="274"/>
      <c r="DA89" s="274"/>
      <c r="DB89" s="274"/>
      <c r="DC89" s="274"/>
      <c r="DD89" s="327"/>
      <c r="DL89" s="288"/>
      <c r="DM89" s="288"/>
      <c r="DN89" s="288"/>
      <c r="DO89" s="288"/>
      <c r="DP89" s="288"/>
      <c r="DQ89" s="288"/>
      <c r="DR89" s="288"/>
      <c r="DS89" s="288"/>
      <c r="DT89" s="288"/>
      <c r="DU89" s="288"/>
      <c r="DV89" s="288"/>
      <c r="DW89" s="288"/>
      <c r="DX89" s="288"/>
      <c r="DY89" s="288"/>
      <c r="DZ89" s="288"/>
      <c r="EA89" s="288"/>
      <c r="EB89" s="288"/>
      <c r="EC89" s="288"/>
      <c r="ED89" s="288"/>
      <c r="EE89" s="288"/>
      <c r="EF89" s="288"/>
      <c r="EG89" s="288"/>
      <c r="EH89" s="288"/>
      <c r="EI89" s="288"/>
      <c r="EJ89" s="288"/>
      <c r="EK89" s="288"/>
      <c r="EL89" s="288"/>
      <c r="EM89" s="288"/>
      <c r="EN89" s="288"/>
      <c r="EO89" s="288"/>
      <c r="EP89" s="288"/>
      <c r="EQ89" s="288"/>
      <c r="ER89" s="288"/>
      <c r="ES89" s="288"/>
      <c r="ET89" s="288"/>
      <c r="EU89" s="288"/>
      <c r="EV89" s="288"/>
      <c r="EW89" s="288"/>
    </row>
    <row r="90" spans="4:153" ht="24.75">
      <c r="D90" s="639"/>
      <c r="E90" s="639"/>
      <c r="F90" s="274"/>
      <c r="G90" s="274"/>
      <c r="H90" s="639"/>
      <c r="I90" s="639"/>
      <c r="J90" s="639"/>
      <c r="K90" s="639"/>
      <c r="L90" s="639"/>
      <c r="M90" s="639"/>
      <c r="N90" s="639"/>
      <c r="O90" s="274"/>
      <c r="P90" s="274"/>
      <c r="Q90" s="274"/>
      <c r="R90" s="274"/>
      <c r="S90" s="274"/>
      <c r="T90" s="274"/>
      <c r="U90" s="274"/>
      <c r="V90" s="274"/>
      <c r="W90" s="274"/>
      <c r="X90" s="274"/>
      <c r="Y90" s="274"/>
      <c r="Z90" s="274"/>
      <c r="AA90" s="274"/>
      <c r="AB90" s="274"/>
      <c r="AC90" s="274"/>
      <c r="AD90" s="274"/>
      <c r="AE90" s="274"/>
      <c r="AF90" s="274"/>
      <c r="AG90" s="274"/>
      <c r="AH90" s="274"/>
      <c r="AI90" s="274"/>
      <c r="AJ90" s="274"/>
      <c r="AK90" s="274"/>
      <c r="AL90" s="274"/>
      <c r="AM90" s="274"/>
      <c r="AN90" s="274"/>
      <c r="AO90" s="274"/>
      <c r="AP90" s="274"/>
      <c r="AQ90" s="274"/>
      <c r="AR90" s="274"/>
      <c r="AS90" s="274"/>
      <c r="AT90" s="274"/>
      <c r="AU90" s="274"/>
      <c r="AV90" s="274"/>
      <c r="AW90" s="274"/>
      <c r="AX90" s="274"/>
      <c r="AY90" s="274"/>
      <c r="AZ90" s="276"/>
      <c r="BA90" s="276"/>
      <c r="BB90" s="276"/>
      <c r="BC90" s="276"/>
      <c r="BD90" s="274"/>
      <c r="BE90" s="274"/>
      <c r="BF90" s="274"/>
      <c r="BG90" s="274"/>
      <c r="BH90" s="274"/>
      <c r="BI90" s="274"/>
      <c r="BJ90" s="274"/>
      <c r="BK90" s="274"/>
      <c r="BL90" s="274"/>
      <c r="BM90" s="274"/>
      <c r="BN90" s="274"/>
      <c r="BO90" s="274"/>
      <c r="BP90" s="274"/>
      <c r="BQ90" s="274"/>
      <c r="BR90" s="274"/>
      <c r="BS90" s="274"/>
      <c r="BT90" s="274"/>
      <c r="BU90" s="274"/>
      <c r="BV90" s="274"/>
      <c r="BW90" s="274"/>
      <c r="BX90" s="274"/>
      <c r="BY90" s="274"/>
      <c r="BZ90" s="274"/>
      <c r="CA90" s="274"/>
      <c r="CB90" s="274"/>
      <c r="CC90" s="274"/>
      <c r="CD90" s="274"/>
      <c r="CE90" s="274"/>
      <c r="CF90" s="274"/>
      <c r="CG90" s="274"/>
      <c r="CH90" s="274"/>
      <c r="CI90" s="274"/>
      <c r="CJ90" s="274"/>
      <c r="CK90" s="274"/>
      <c r="CL90" s="274"/>
      <c r="CM90" s="274"/>
      <c r="CN90" s="274"/>
      <c r="CO90" s="274"/>
      <c r="CP90" s="274"/>
      <c r="CQ90" s="274"/>
      <c r="CR90" s="274"/>
      <c r="CS90" s="274"/>
      <c r="CT90" s="274"/>
      <c r="CU90" s="274"/>
      <c r="CV90" s="274"/>
      <c r="CW90" s="274"/>
      <c r="CX90" s="274"/>
      <c r="CY90" s="274"/>
      <c r="CZ90" s="274"/>
      <c r="DA90" s="274"/>
      <c r="DB90" s="274"/>
      <c r="DC90" s="274"/>
      <c r="DD90" s="327"/>
      <c r="DL90" s="288"/>
      <c r="DM90" s="288"/>
      <c r="DN90" s="288"/>
      <c r="DO90" s="288"/>
      <c r="DP90" s="288"/>
      <c r="DQ90" s="288"/>
      <c r="DR90" s="288"/>
      <c r="DS90" s="288"/>
      <c r="DT90" s="288"/>
      <c r="DU90" s="288"/>
      <c r="DV90" s="288"/>
      <c r="DW90" s="288"/>
      <c r="DX90" s="288"/>
      <c r="DY90" s="288"/>
      <c r="DZ90" s="288"/>
      <c r="EA90" s="288"/>
      <c r="EB90" s="288"/>
      <c r="EC90" s="288"/>
      <c r="ED90" s="288"/>
      <c r="EE90" s="288"/>
      <c r="EF90" s="288"/>
      <c r="EG90" s="288"/>
      <c r="EH90" s="288"/>
      <c r="EI90" s="288"/>
      <c r="EJ90" s="288"/>
      <c r="EK90" s="288"/>
      <c r="EL90" s="288"/>
      <c r="EM90" s="288"/>
      <c r="EN90" s="288"/>
      <c r="EO90" s="288"/>
      <c r="EP90" s="288"/>
      <c r="EQ90" s="288"/>
      <c r="ER90" s="288"/>
      <c r="ES90" s="288"/>
      <c r="ET90" s="288"/>
      <c r="EU90" s="288"/>
      <c r="EV90" s="288"/>
      <c r="EW90" s="288"/>
    </row>
    <row r="91" spans="4:153" ht="21.75">
      <c r="D91" s="274"/>
      <c r="E91" s="274"/>
      <c r="F91" s="274"/>
      <c r="G91" s="274"/>
      <c r="H91" s="276"/>
      <c r="I91" s="276"/>
      <c r="J91" s="276"/>
      <c r="K91" s="276"/>
      <c r="L91" s="274"/>
      <c r="M91" s="274"/>
      <c r="N91" s="274"/>
      <c r="O91" s="274"/>
      <c r="P91" s="274"/>
      <c r="Q91" s="274"/>
      <c r="R91" s="274"/>
      <c r="S91" s="274"/>
      <c r="T91" s="274"/>
      <c r="U91" s="274"/>
      <c r="V91" s="274"/>
      <c r="W91" s="274"/>
      <c r="X91" s="274"/>
      <c r="Y91" s="274"/>
      <c r="Z91" s="274"/>
      <c r="AA91" s="274"/>
      <c r="AB91" s="274"/>
      <c r="AC91" s="274"/>
      <c r="AD91" s="274"/>
      <c r="AE91" s="274"/>
      <c r="AF91" s="274"/>
      <c r="AG91" s="274"/>
      <c r="AH91" s="274"/>
      <c r="AI91" s="274"/>
      <c r="AJ91" s="274"/>
      <c r="AK91" s="274"/>
      <c r="AL91" s="274"/>
      <c r="AM91" s="274"/>
      <c r="AN91" s="274"/>
      <c r="AO91" s="274"/>
      <c r="AP91" s="274"/>
      <c r="AQ91" s="274"/>
      <c r="AR91" s="274"/>
      <c r="AS91" s="274"/>
      <c r="AT91" s="274"/>
      <c r="AU91" s="274"/>
      <c r="AV91" s="274"/>
      <c r="AW91" s="274"/>
      <c r="AX91" s="274"/>
      <c r="AY91" s="274"/>
      <c r="AZ91" s="276"/>
      <c r="BA91" s="276"/>
      <c r="BB91" s="276"/>
      <c r="BC91" s="276"/>
      <c r="BD91" s="274"/>
      <c r="BE91" s="274"/>
      <c r="BF91" s="274"/>
      <c r="BG91" s="274"/>
      <c r="BH91" s="274"/>
      <c r="BI91" s="274"/>
      <c r="BJ91" s="274"/>
      <c r="BK91" s="274"/>
      <c r="BL91" s="274"/>
      <c r="BM91" s="274"/>
      <c r="BN91" s="274"/>
      <c r="BO91" s="274"/>
      <c r="BP91" s="274"/>
      <c r="BQ91" s="274"/>
      <c r="BR91" s="274"/>
      <c r="BS91" s="274"/>
      <c r="BT91" s="274"/>
      <c r="BU91" s="274"/>
      <c r="BV91" s="274"/>
      <c r="BW91" s="274"/>
      <c r="BX91" s="274"/>
      <c r="BY91" s="274"/>
      <c r="BZ91" s="274"/>
      <c r="CA91" s="274"/>
      <c r="CB91" s="274"/>
      <c r="CC91" s="274"/>
      <c r="CD91" s="274"/>
      <c r="CE91" s="274"/>
      <c r="CF91" s="274"/>
      <c r="CG91" s="274"/>
      <c r="CH91" s="274"/>
      <c r="CI91" s="274"/>
      <c r="CJ91" s="274"/>
      <c r="CK91" s="274"/>
      <c r="CL91" s="274"/>
      <c r="CM91" s="274"/>
      <c r="CN91" s="274"/>
      <c r="CO91" s="274"/>
      <c r="CP91" s="274"/>
      <c r="CQ91" s="274"/>
      <c r="CR91" s="274"/>
      <c r="CS91" s="274"/>
      <c r="CT91" s="274"/>
      <c r="CU91" s="274"/>
      <c r="CV91" s="274"/>
      <c r="CW91" s="274"/>
      <c r="CX91" s="274"/>
      <c r="CY91" s="274"/>
      <c r="CZ91" s="274"/>
      <c r="DA91" s="274"/>
      <c r="DB91" s="274"/>
      <c r="DC91" s="274"/>
      <c r="DD91" s="327"/>
      <c r="DL91" s="288"/>
      <c r="DM91" s="288"/>
      <c r="DN91" s="288"/>
      <c r="DO91" s="288"/>
      <c r="DP91" s="288"/>
      <c r="DQ91" s="288"/>
      <c r="DR91" s="288"/>
      <c r="DS91" s="288"/>
      <c r="DT91" s="288"/>
      <c r="DU91" s="288"/>
      <c r="DV91" s="288"/>
      <c r="DW91" s="288"/>
      <c r="DX91" s="288"/>
      <c r="DY91" s="288"/>
      <c r="DZ91" s="288"/>
      <c r="EA91" s="288"/>
      <c r="EB91" s="288"/>
      <c r="EC91" s="288"/>
      <c r="ED91" s="288"/>
      <c r="EE91" s="288"/>
      <c r="EF91" s="288"/>
      <c r="EG91" s="288"/>
      <c r="EH91" s="288"/>
      <c r="EI91" s="288"/>
      <c r="EJ91" s="288"/>
      <c r="EK91" s="288"/>
      <c r="EL91" s="288"/>
      <c r="EM91" s="288"/>
      <c r="EN91" s="288"/>
      <c r="EO91" s="288"/>
      <c r="EP91" s="288"/>
      <c r="EQ91" s="288"/>
      <c r="ER91" s="288"/>
      <c r="ES91" s="288"/>
      <c r="ET91" s="288"/>
      <c r="EU91" s="288"/>
      <c r="EV91" s="288"/>
      <c r="EW91" s="288"/>
    </row>
    <row r="92" spans="4:153" ht="21.75">
      <c r="U92" s="274"/>
      <c r="V92" s="274"/>
      <c r="W92" s="274"/>
      <c r="X92" s="274"/>
      <c r="Y92" s="274"/>
      <c r="Z92" s="274"/>
      <c r="AA92" s="274"/>
      <c r="AB92" s="274"/>
      <c r="AC92" s="274"/>
      <c r="AD92" s="274"/>
      <c r="AE92" s="274"/>
      <c r="AF92" s="274"/>
      <c r="AG92" s="274"/>
      <c r="AH92" s="274"/>
      <c r="AI92" s="274"/>
      <c r="AJ92" s="274"/>
      <c r="AK92" s="274"/>
      <c r="AL92" s="274"/>
      <c r="AM92" s="274"/>
      <c r="AN92" s="274"/>
      <c r="AO92" s="274"/>
      <c r="AP92" s="274"/>
      <c r="AQ92" s="274"/>
      <c r="AR92" s="274"/>
      <c r="AS92" s="274"/>
      <c r="AT92" s="274"/>
      <c r="AU92" s="274"/>
      <c r="AV92" s="274"/>
      <c r="AW92" s="274"/>
      <c r="AX92" s="274"/>
      <c r="AY92" s="274"/>
      <c r="AZ92" s="276"/>
      <c r="BA92" s="276"/>
      <c r="BB92" s="276"/>
      <c r="BC92" s="276"/>
      <c r="BD92" s="274"/>
      <c r="BE92" s="274"/>
      <c r="BF92" s="274"/>
      <c r="BG92" s="274"/>
      <c r="BH92" s="274"/>
      <c r="BI92" s="274"/>
      <c r="BJ92" s="274"/>
      <c r="BK92" s="274"/>
      <c r="BL92" s="274"/>
      <c r="BM92" s="274"/>
      <c r="BN92" s="274"/>
      <c r="BO92" s="274"/>
      <c r="BP92" s="274"/>
      <c r="BQ92" s="274"/>
      <c r="BR92" s="274"/>
      <c r="BS92" s="274"/>
      <c r="BT92" s="274"/>
      <c r="BU92" s="274"/>
      <c r="BV92" s="274"/>
      <c r="BW92" s="274"/>
      <c r="BX92" s="274"/>
      <c r="BY92" s="274"/>
      <c r="BZ92" s="274"/>
      <c r="CA92" s="274"/>
      <c r="CB92" s="274"/>
      <c r="CC92" s="274"/>
      <c r="CD92" s="274"/>
      <c r="CE92" s="274"/>
      <c r="CF92" s="274"/>
      <c r="CG92" s="274"/>
      <c r="CH92" s="274"/>
      <c r="CI92" s="274"/>
      <c r="CJ92" s="274"/>
      <c r="CK92" s="274"/>
      <c r="CL92" s="274"/>
      <c r="CM92" s="274"/>
      <c r="CN92" s="274"/>
      <c r="CO92" s="274"/>
      <c r="CP92" s="274"/>
      <c r="CQ92" s="274"/>
      <c r="CR92" s="274"/>
      <c r="CS92" s="274"/>
      <c r="CT92" s="274"/>
      <c r="CU92" s="274"/>
      <c r="CV92" s="274"/>
      <c r="CW92" s="274"/>
      <c r="CX92" s="274"/>
      <c r="CY92" s="274"/>
      <c r="CZ92" s="274"/>
      <c r="DA92" s="274"/>
      <c r="DB92" s="274"/>
      <c r="DC92" s="274"/>
      <c r="DD92" s="327"/>
      <c r="DL92" s="288"/>
      <c r="DM92" s="288"/>
      <c r="DN92" s="288"/>
      <c r="DO92" s="288"/>
      <c r="DP92" s="288"/>
      <c r="DQ92" s="288"/>
      <c r="DR92" s="288"/>
      <c r="DS92" s="288"/>
      <c r="DT92" s="288"/>
      <c r="DU92" s="288"/>
      <c r="DV92" s="288"/>
      <c r="DW92" s="288"/>
      <c r="DX92" s="288"/>
      <c r="DY92" s="288"/>
      <c r="DZ92" s="288"/>
      <c r="EA92" s="288"/>
      <c r="EB92" s="288"/>
      <c r="EC92" s="288"/>
      <c r="ED92" s="288"/>
      <c r="EE92" s="288"/>
      <c r="EF92" s="288"/>
      <c r="EG92" s="288"/>
      <c r="EH92" s="288"/>
      <c r="EI92" s="288"/>
      <c r="EJ92" s="288"/>
      <c r="EK92" s="288"/>
      <c r="EL92" s="288"/>
      <c r="EM92" s="288"/>
      <c r="EN92" s="288"/>
      <c r="EO92" s="288"/>
      <c r="EP92" s="288"/>
      <c r="EQ92" s="288"/>
      <c r="ER92" s="288"/>
      <c r="ES92" s="288"/>
      <c r="ET92" s="288"/>
      <c r="EU92" s="288"/>
      <c r="EV92" s="288"/>
      <c r="EW92" s="288"/>
    </row>
    <row r="93" spans="4:153" ht="21.75">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6"/>
      <c r="BA93" s="276"/>
      <c r="BB93" s="276"/>
      <c r="BC93" s="276"/>
      <c r="BD93" s="274"/>
      <c r="BE93" s="274"/>
      <c r="BF93" s="274"/>
      <c r="BG93" s="274"/>
      <c r="BH93" s="274"/>
      <c r="BI93" s="274"/>
      <c r="BJ93" s="274"/>
      <c r="BK93" s="274"/>
      <c r="BL93" s="274"/>
      <c r="BM93" s="274"/>
      <c r="BN93" s="274"/>
      <c r="BO93" s="274"/>
      <c r="BP93" s="274"/>
      <c r="BQ93" s="274"/>
      <c r="BR93" s="274"/>
      <c r="BS93" s="274"/>
      <c r="BT93" s="274"/>
      <c r="BU93" s="274"/>
      <c r="BV93" s="274"/>
      <c r="BW93" s="274"/>
      <c r="BX93" s="274"/>
      <c r="BY93" s="274"/>
      <c r="BZ93" s="274"/>
      <c r="CA93" s="274"/>
      <c r="CB93" s="274"/>
      <c r="CC93" s="274"/>
      <c r="CD93" s="274"/>
      <c r="CE93" s="274"/>
      <c r="CF93" s="274"/>
      <c r="CG93" s="274"/>
      <c r="CH93" s="274"/>
      <c r="CI93" s="274"/>
      <c r="CJ93" s="274"/>
      <c r="CK93" s="274"/>
      <c r="CL93" s="274"/>
      <c r="CM93" s="274"/>
      <c r="CN93" s="274"/>
      <c r="CO93" s="274"/>
      <c r="CP93" s="274"/>
      <c r="CQ93" s="274"/>
      <c r="CR93" s="274"/>
      <c r="CS93" s="274"/>
      <c r="CT93" s="274"/>
      <c r="CU93" s="274"/>
      <c r="CV93" s="274"/>
      <c r="CW93" s="274"/>
      <c r="CX93" s="274"/>
      <c r="CY93" s="274"/>
      <c r="CZ93" s="274"/>
      <c r="DA93" s="274"/>
      <c r="DB93" s="274"/>
      <c r="DC93" s="274"/>
      <c r="DD93" s="327"/>
      <c r="DL93" s="288"/>
      <c r="DM93" s="288"/>
      <c r="DN93" s="288"/>
      <c r="DO93" s="288"/>
      <c r="DP93" s="288"/>
      <c r="DQ93" s="288"/>
      <c r="DR93" s="288"/>
      <c r="DS93" s="288"/>
      <c r="DT93" s="288"/>
      <c r="DU93" s="288"/>
      <c r="DV93" s="288"/>
      <c r="DW93" s="288"/>
      <c r="DX93" s="288"/>
      <c r="DY93" s="288"/>
      <c r="DZ93" s="288"/>
      <c r="EA93" s="288"/>
      <c r="EB93" s="288"/>
      <c r="EC93" s="288"/>
      <c r="ED93" s="288"/>
      <c r="EE93" s="288"/>
      <c r="EF93" s="288"/>
      <c r="EG93" s="288"/>
      <c r="EH93" s="288"/>
      <c r="EI93" s="288"/>
      <c r="EJ93" s="288"/>
      <c r="EK93" s="288"/>
      <c r="EL93" s="288"/>
      <c r="EM93" s="288"/>
      <c r="EN93" s="288"/>
      <c r="EO93" s="288"/>
      <c r="EP93" s="288"/>
      <c r="EQ93" s="288"/>
      <c r="ER93" s="288"/>
      <c r="ES93" s="288"/>
      <c r="ET93" s="288"/>
      <c r="EU93" s="288"/>
      <c r="EV93" s="288"/>
      <c r="EW93" s="288"/>
    </row>
    <row r="94" spans="4:153" ht="21.75">
      <c r="U94" s="274"/>
      <c r="V94" s="274"/>
      <c r="W94" s="274"/>
      <c r="X94" s="274"/>
      <c r="Y94" s="274"/>
      <c r="Z94" s="274"/>
      <c r="AA94" s="274"/>
      <c r="AB94" s="274"/>
      <c r="AC94" s="274"/>
      <c r="AD94" s="274"/>
      <c r="AE94" s="274"/>
      <c r="AF94" s="274"/>
      <c r="AG94" s="274"/>
      <c r="AH94" s="274"/>
      <c r="AI94" s="274"/>
      <c r="AJ94" s="274"/>
      <c r="AK94" s="274"/>
      <c r="AL94" s="274"/>
      <c r="AM94" s="274"/>
      <c r="AN94" s="274"/>
      <c r="AO94" s="274"/>
      <c r="AP94" s="274"/>
      <c r="AQ94" s="274"/>
      <c r="AR94" s="274"/>
      <c r="AS94" s="274"/>
      <c r="AT94" s="274"/>
      <c r="AU94" s="274"/>
      <c r="AV94" s="274"/>
      <c r="AW94" s="274"/>
      <c r="AX94" s="274"/>
      <c r="AY94" s="274"/>
      <c r="AZ94" s="276"/>
      <c r="BA94" s="276"/>
      <c r="BB94" s="276"/>
      <c r="BC94" s="276"/>
      <c r="BD94" s="274"/>
      <c r="BE94" s="274"/>
      <c r="BF94" s="274"/>
      <c r="BG94" s="274"/>
      <c r="BH94" s="274"/>
      <c r="BI94" s="274"/>
      <c r="BJ94" s="274"/>
      <c r="BK94" s="274"/>
      <c r="BL94" s="274"/>
      <c r="BM94" s="274"/>
      <c r="BN94" s="274"/>
      <c r="BO94" s="274"/>
      <c r="BP94" s="274"/>
      <c r="BQ94" s="274"/>
      <c r="BR94" s="274"/>
      <c r="BS94" s="274"/>
      <c r="BT94" s="274"/>
      <c r="BU94" s="274"/>
      <c r="BV94" s="274"/>
      <c r="BW94" s="274"/>
      <c r="BX94" s="274"/>
      <c r="BY94" s="274"/>
      <c r="BZ94" s="274"/>
      <c r="CA94" s="274"/>
      <c r="CB94" s="274"/>
      <c r="CC94" s="274"/>
      <c r="CD94" s="274"/>
      <c r="CE94" s="274"/>
      <c r="CF94" s="274"/>
      <c r="CG94" s="274"/>
      <c r="CH94" s="274"/>
      <c r="CI94" s="274"/>
      <c r="CJ94" s="274"/>
      <c r="CK94" s="274"/>
      <c r="CL94" s="274"/>
      <c r="CM94" s="274"/>
      <c r="CN94" s="274"/>
      <c r="CO94" s="274"/>
      <c r="CP94" s="274"/>
      <c r="CQ94" s="274"/>
      <c r="CR94" s="274"/>
      <c r="CS94" s="274"/>
      <c r="CT94" s="274"/>
      <c r="CU94" s="274"/>
      <c r="CV94" s="274"/>
      <c r="CW94" s="274"/>
      <c r="CX94" s="274"/>
      <c r="CY94" s="274"/>
      <c r="CZ94" s="274"/>
      <c r="DA94" s="274"/>
      <c r="DB94" s="274"/>
      <c r="DC94" s="274"/>
      <c r="DD94" s="327"/>
      <c r="DL94" s="288"/>
      <c r="DM94" s="288"/>
      <c r="DN94" s="288"/>
      <c r="DO94" s="288"/>
      <c r="DP94" s="288"/>
      <c r="DQ94" s="288"/>
      <c r="DR94" s="288"/>
      <c r="DS94" s="288"/>
      <c r="DT94" s="288"/>
      <c r="DU94" s="288"/>
      <c r="DV94" s="288"/>
      <c r="DW94" s="288"/>
      <c r="DX94" s="288"/>
      <c r="DY94" s="288"/>
      <c r="DZ94" s="288"/>
      <c r="EA94" s="288"/>
      <c r="EB94" s="288"/>
      <c r="EC94" s="288"/>
      <c r="ED94" s="288"/>
      <c r="EE94" s="288"/>
      <c r="EF94" s="288"/>
      <c r="EG94" s="288"/>
      <c r="EH94" s="288"/>
      <c r="EI94" s="288"/>
      <c r="EJ94" s="288"/>
      <c r="EK94" s="288"/>
      <c r="EL94" s="288"/>
      <c r="EM94" s="288"/>
      <c r="EN94" s="288"/>
      <c r="EO94" s="288"/>
      <c r="EP94" s="288"/>
      <c r="EQ94" s="288"/>
      <c r="ER94" s="288"/>
      <c r="ES94" s="288"/>
      <c r="ET94" s="288"/>
      <c r="EU94" s="288"/>
      <c r="EV94" s="288"/>
      <c r="EW94" s="288"/>
    </row>
    <row r="95" spans="4:153" ht="21.75">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6"/>
      <c r="BA95" s="276"/>
      <c r="BB95" s="276"/>
      <c r="BC95" s="276"/>
      <c r="BD95" s="274"/>
      <c r="BE95" s="274"/>
      <c r="BF95" s="274"/>
      <c r="BG95" s="274"/>
      <c r="BH95" s="274"/>
      <c r="BI95" s="274"/>
      <c r="BJ95" s="274"/>
      <c r="BK95" s="274"/>
      <c r="BL95" s="274"/>
      <c r="BM95" s="274"/>
      <c r="BN95" s="274"/>
      <c r="BO95" s="274"/>
      <c r="BP95" s="274"/>
      <c r="BQ95" s="274"/>
      <c r="BR95" s="274"/>
      <c r="BS95" s="274"/>
      <c r="BT95" s="274"/>
      <c r="BU95" s="274"/>
      <c r="BV95" s="274"/>
      <c r="BW95" s="274"/>
      <c r="BX95" s="274"/>
      <c r="BY95" s="274"/>
      <c r="BZ95" s="274"/>
      <c r="CA95" s="274"/>
      <c r="CB95" s="274"/>
      <c r="CC95" s="274"/>
      <c r="CD95" s="274"/>
      <c r="CE95" s="274"/>
      <c r="CF95" s="274"/>
      <c r="CG95" s="274"/>
      <c r="CH95" s="274"/>
      <c r="CI95" s="274"/>
      <c r="CJ95" s="274"/>
      <c r="CK95" s="274"/>
      <c r="CL95" s="274"/>
      <c r="CM95" s="274"/>
      <c r="CN95" s="274"/>
      <c r="CO95" s="274"/>
      <c r="CP95" s="274"/>
      <c r="CQ95" s="274"/>
      <c r="CR95" s="274"/>
      <c r="CS95" s="274"/>
      <c r="CT95" s="274"/>
      <c r="CU95" s="274"/>
      <c r="CV95" s="274"/>
      <c r="CW95" s="274"/>
      <c r="CX95" s="274"/>
      <c r="CY95" s="274"/>
      <c r="CZ95" s="274"/>
      <c r="DA95" s="274"/>
      <c r="DB95" s="274"/>
      <c r="DC95" s="274"/>
      <c r="DD95" s="327"/>
      <c r="DL95" s="288"/>
      <c r="DM95" s="288"/>
      <c r="DN95" s="274"/>
      <c r="DO95" s="274"/>
      <c r="DP95" s="274"/>
      <c r="DQ95" s="274"/>
      <c r="DR95" s="274"/>
      <c r="DS95" s="274"/>
      <c r="DT95" s="274"/>
      <c r="DU95" s="274"/>
      <c r="DV95" s="274"/>
      <c r="DW95" s="274"/>
      <c r="DX95" s="274"/>
      <c r="DY95" s="274"/>
      <c r="DZ95" s="274"/>
      <c r="EA95" s="274"/>
      <c r="EB95" s="274"/>
      <c r="EC95" s="274"/>
      <c r="ED95" s="274"/>
      <c r="EE95" s="274"/>
      <c r="EF95" s="274"/>
      <c r="EG95" s="274"/>
      <c r="EH95" s="274"/>
      <c r="EI95" s="274"/>
      <c r="EJ95" s="274"/>
      <c r="EK95" s="274"/>
      <c r="EL95" s="274"/>
      <c r="EM95" s="274"/>
      <c r="EN95" s="274"/>
      <c r="EO95" s="274"/>
      <c r="EP95" s="274"/>
      <c r="EQ95" s="274"/>
      <c r="ER95" s="288"/>
      <c r="ES95" s="288"/>
      <c r="ET95" s="288"/>
      <c r="EU95" s="288"/>
      <c r="EV95" s="288"/>
      <c r="EW95" s="288"/>
    </row>
    <row r="96" spans="4:153" ht="21.75">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6"/>
      <c r="BA96" s="276"/>
      <c r="BB96" s="276"/>
      <c r="BC96" s="276"/>
      <c r="BD96" s="274"/>
      <c r="BE96" s="274"/>
      <c r="BF96" s="274"/>
      <c r="BG96" s="274"/>
      <c r="BH96" s="274"/>
      <c r="BI96" s="274"/>
      <c r="BJ96" s="274"/>
      <c r="BK96" s="274"/>
      <c r="BL96" s="274"/>
      <c r="BM96" s="274"/>
      <c r="BN96" s="274"/>
      <c r="BO96" s="274"/>
      <c r="BP96" s="274"/>
      <c r="BQ96" s="274"/>
      <c r="BR96" s="274"/>
      <c r="BS96" s="274"/>
      <c r="BT96" s="274"/>
      <c r="BU96" s="274"/>
      <c r="BV96" s="274"/>
      <c r="BW96" s="274"/>
      <c r="BX96" s="274"/>
      <c r="BY96" s="274"/>
      <c r="BZ96" s="274"/>
      <c r="CA96" s="274"/>
      <c r="CB96" s="274"/>
      <c r="CC96" s="274"/>
      <c r="CD96" s="274"/>
      <c r="CE96" s="274"/>
      <c r="CF96" s="274"/>
      <c r="CG96" s="274"/>
      <c r="CH96" s="274"/>
      <c r="CI96" s="274"/>
      <c r="CJ96" s="274"/>
      <c r="CK96" s="274"/>
      <c r="CL96" s="274"/>
      <c r="CM96" s="274"/>
      <c r="CN96" s="274"/>
      <c r="CO96" s="274"/>
      <c r="CP96" s="274"/>
      <c r="CQ96" s="274"/>
      <c r="CR96" s="274"/>
      <c r="CS96" s="274"/>
      <c r="CT96" s="274"/>
      <c r="CU96" s="274"/>
      <c r="CV96" s="274"/>
      <c r="CW96" s="274"/>
      <c r="CX96" s="274"/>
      <c r="CY96" s="274"/>
      <c r="CZ96" s="274"/>
      <c r="DA96" s="274"/>
      <c r="DB96" s="274"/>
      <c r="DC96" s="274"/>
      <c r="DD96" s="327"/>
      <c r="DL96" s="288"/>
      <c r="DM96" s="288"/>
      <c r="DN96" s="288"/>
      <c r="DO96" s="288"/>
      <c r="DP96" s="288"/>
      <c r="DQ96" s="288"/>
      <c r="DR96" s="288"/>
      <c r="DS96" s="288"/>
      <c r="DT96" s="288"/>
      <c r="DU96" s="288"/>
      <c r="DV96" s="288"/>
      <c r="DW96" s="288"/>
      <c r="DX96" s="288"/>
      <c r="DY96" s="288"/>
      <c r="DZ96" s="288"/>
      <c r="EA96" s="288"/>
      <c r="EB96" s="288"/>
      <c r="EC96" s="288"/>
      <c r="ED96" s="288"/>
      <c r="EE96" s="288"/>
      <c r="EF96" s="288"/>
      <c r="EG96" s="288"/>
      <c r="EH96" s="288"/>
      <c r="EI96" s="288"/>
      <c r="EJ96" s="288"/>
      <c r="EK96" s="288"/>
      <c r="EL96" s="288"/>
      <c r="EM96" s="288"/>
      <c r="EN96" s="288"/>
      <c r="EO96" s="288"/>
      <c r="EP96" s="288"/>
      <c r="EQ96" s="288"/>
      <c r="ER96" s="288"/>
      <c r="ES96" s="288"/>
      <c r="ET96" s="288"/>
      <c r="EU96" s="288"/>
      <c r="EV96" s="288"/>
      <c r="EW96" s="288"/>
    </row>
    <row r="97" spans="21:153" ht="21.75">
      <c r="U97" s="274"/>
      <c r="V97" s="274"/>
      <c r="W97" s="274"/>
      <c r="X97" s="274"/>
      <c r="Y97" s="274"/>
      <c r="Z97" s="274"/>
      <c r="AA97" s="274"/>
      <c r="AB97" s="274"/>
      <c r="AC97" s="274"/>
      <c r="AD97" s="274"/>
      <c r="AE97" s="274"/>
      <c r="AF97" s="274"/>
      <c r="AG97" s="274"/>
      <c r="AH97" s="274"/>
      <c r="AI97" s="274"/>
      <c r="AJ97" s="274"/>
      <c r="AK97" s="274"/>
      <c r="AL97" s="274"/>
      <c r="AM97" s="274"/>
      <c r="AN97" s="274"/>
      <c r="AO97" s="274"/>
      <c r="AP97" s="274"/>
      <c r="AQ97" s="274"/>
      <c r="AR97" s="274"/>
      <c r="AS97" s="274"/>
      <c r="AT97" s="274"/>
      <c r="AU97" s="274"/>
      <c r="AV97" s="274"/>
      <c r="AW97" s="274"/>
      <c r="AX97" s="274"/>
      <c r="AY97" s="274"/>
      <c r="AZ97" s="276"/>
      <c r="BA97" s="276"/>
      <c r="BB97" s="276"/>
      <c r="BC97" s="276"/>
      <c r="BD97" s="274"/>
      <c r="BE97" s="274"/>
      <c r="BF97" s="274"/>
      <c r="BG97" s="274"/>
      <c r="BH97" s="274"/>
      <c r="BI97" s="274"/>
      <c r="BJ97" s="274"/>
      <c r="BK97" s="274"/>
      <c r="BL97" s="274"/>
      <c r="BM97" s="274"/>
      <c r="BN97" s="274"/>
      <c r="BO97" s="274"/>
      <c r="BP97" s="274"/>
      <c r="BQ97" s="274"/>
      <c r="BR97" s="274"/>
      <c r="BS97" s="274"/>
      <c r="BT97" s="274"/>
      <c r="BU97" s="274"/>
      <c r="BV97" s="274"/>
      <c r="BW97" s="274"/>
      <c r="BX97" s="274"/>
      <c r="BY97" s="274"/>
      <c r="BZ97" s="274"/>
      <c r="CA97" s="274"/>
      <c r="CB97" s="274"/>
      <c r="CC97" s="274"/>
      <c r="CD97" s="274"/>
      <c r="CE97" s="274"/>
      <c r="CF97" s="274"/>
      <c r="CG97" s="274"/>
      <c r="CH97" s="274"/>
      <c r="CI97" s="274"/>
      <c r="CJ97" s="274"/>
      <c r="CK97" s="274"/>
      <c r="CL97" s="274"/>
      <c r="CM97" s="274"/>
      <c r="CN97" s="274"/>
      <c r="CO97" s="274"/>
      <c r="CP97" s="274"/>
      <c r="CQ97" s="274"/>
      <c r="CR97" s="274"/>
      <c r="CS97" s="274"/>
      <c r="CT97" s="274"/>
      <c r="CU97" s="274"/>
      <c r="CV97" s="274"/>
      <c r="CW97" s="274"/>
      <c r="CX97" s="274"/>
      <c r="CY97" s="274"/>
      <c r="CZ97" s="274"/>
      <c r="DA97" s="274"/>
      <c r="DB97" s="274"/>
      <c r="DC97" s="274"/>
      <c r="DD97" s="327"/>
      <c r="DL97" s="288"/>
      <c r="DM97" s="288"/>
      <c r="DN97" s="288"/>
      <c r="DO97" s="288"/>
      <c r="DP97" s="288"/>
      <c r="DQ97" s="288"/>
      <c r="DR97" s="288"/>
      <c r="DS97" s="288"/>
      <c r="DT97" s="288"/>
      <c r="DU97" s="288"/>
      <c r="DV97" s="288"/>
      <c r="DW97" s="288"/>
      <c r="DX97" s="288"/>
      <c r="DY97" s="288"/>
      <c r="DZ97" s="288"/>
      <c r="EA97" s="288"/>
      <c r="EB97" s="288"/>
      <c r="EC97" s="288"/>
      <c r="ED97" s="288"/>
      <c r="EE97" s="288"/>
      <c r="EF97" s="288"/>
      <c r="EG97" s="288"/>
      <c r="EH97" s="288"/>
      <c r="EI97" s="288"/>
      <c r="EJ97" s="288"/>
      <c r="EK97" s="288"/>
      <c r="EL97" s="288"/>
      <c r="EM97" s="288"/>
      <c r="EN97" s="288"/>
      <c r="EO97" s="288"/>
      <c r="EP97" s="288"/>
      <c r="EQ97" s="288"/>
      <c r="ER97" s="288"/>
      <c r="ES97" s="288"/>
      <c r="ET97" s="288"/>
      <c r="EU97" s="288"/>
      <c r="EV97" s="288"/>
      <c r="EW97" s="288"/>
    </row>
    <row r="98" spans="21:153" ht="21.75">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6"/>
      <c r="BA98" s="276"/>
      <c r="BB98" s="276"/>
      <c r="BC98" s="276"/>
      <c r="BD98" s="274"/>
      <c r="BE98" s="274"/>
      <c r="BF98" s="274"/>
      <c r="BG98" s="274"/>
      <c r="BH98" s="274"/>
      <c r="BI98" s="274"/>
      <c r="BJ98" s="274"/>
      <c r="BK98" s="274"/>
      <c r="BL98" s="274"/>
      <c r="BM98" s="274"/>
      <c r="BN98" s="274"/>
      <c r="BO98" s="274"/>
      <c r="BP98" s="274"/>
      <c r="BQ98" s="274"/>
      <c r="BR98" s="274"/>
      <c r="BS98" s="274"/>
      <c r="BT98" s="274"/>
      <c r="BU98" s="274"/>
      <c r="BV98" s="274"/>
      <c r="BW98" s="274"/>
      <c r="BX98" s="274"/>
      <c r="BY98" s="274"/>
      <c r="BZ98" s="274"/>
      <c r="CA98" s="274"/>
      <c r="CB98" s="274"/>
      <c r="CC98" s="274"/>
      <c r="CD98" s="274"/>
      <c r="CE98" s="274"/>
      <c r="CF98" s="274"/>
      <c r="CG98" s="274"/>
      <c r="CH98" s="274"/>
      <c r="CI98" s="274"/>
      <c r="CJ98" s="274"/>
      <c r="CK98" s="274"/>
      <c r="CL98" s="274"/>
      <c r="CM98" s="274"/>
      <c r="CN98" s="274"/>
      <c r="CO98" s="274"/>
      <c r="CP98" s="274"/>
      <c r="CQ98" s="274"/>
      <c r="CR98" s="274"/>
      <c r="CS98" s="274"/>
      <c r="CT98" s="274"/>
      <c r="CU98" s="274"/>
      <c r="CV98" s="274"/>
      <c r="CW98" s="274"/>
      <c r="CX98" s="274"/>
      <c r="CY98" s="274"/>
      <c r="CZ98" s="274"/>
      <c r="DA98" s="274"/>
      <c r="DB98" s="274"/>
      <c r="DC98" s="274"/>
      <c r="DD98" s="327"/>
      <c r="DL98" s="288"/>
      <c r="DM98" s="288"/>
      <c r="DN98" s="288"/>
      <c r="DO98" s="288"/>
      <c r="DP98" s="288"/>
      <c r="DQ98" s="288"/>
      <c r="DR98" s="288"/>
      <c r="DS98" s="288"/>
      <c r="DT98" s="288"/>
      <c r="DU98" s="288"/>
      <c r="DV98" s="288"/>
      <c r="DW98" s="288"/>
      <c r="DX98" s="288"/>
      <c r="DY98" s="288"/>
      <c r="DZ98" s="288"/>
      <c r="EA98" s="288"/>
      <c r="EB98" s="288"/>
      <c r="EC98" s="288"/>
      <c r="ED98" s="288"/>
      <c r="EE98" s="288"/>
      <c r="EF98" s="288"/>
      <c r="EG98" s="288"/>
      <c r="EH98" s="288"/>
      <c r="EI98" s="288"/>
      <c r="EJ98" s="288"/>
      <c r="EK98" s="288"/>
      <c r="EL98" s="288"/>
      <c r="EM98" s="288"/>
      <c r="EN98" s="288"/>
      <c r="EO98" s="288"/>
      <c r="EP98" s="288"/>
      <c r="EQ98" s="288"/>
      <c r="ER98" s="288"/>
      <c r="ES98" s="288"/>
      <c r="ET98" s="288"/>
      <c r="EU98" s="288"/>
      <c r="EV98" s="288"/>
      <c r="EW98" s="288"/>
    </row>
    <row r="99" spans="21:153" ht="21.75">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6"/>
      <c r="BA99" s="276"/>
      <c r="BB99" s="276"/>
      <c r="BC99" s="276"/>
      <c r="BD99" s="274"/>
      <c r="BE99" s="274"/>
      <c r="BF99" s="274"/>
      <c r="BG99" s="274"/>
      <c r="BH99" s="274"/>
      <c r="BI99" s="274"/>
      <c r="BJ99" s="274"/>
      <c r="BK99" s="274"/>
      <c r="BL99" s="274"/>
      <c r="BM99" s="274"/>
      <c r="BN99" s="274"/>
      <c r="BO99" s="274"/>
      <c r="BP99" s="274"/>
      <c r="BQ99" s="274"/>
      <c r="BR99" s="274"/>
      <c r="BS99" s="274"/>
      <c r="BT99" s="274"/>
      <c r="BU99" s="274"/>
      <c r="BV99" s="274"/>
      <c r="BW99" s="274"/>
      <c r="BX99" s="274"/>
      <c r="BY99" s="274"/>
      <c r="BZ99" s="274"/>
      <c r="CA99" s="274"/>
      <c r="CB99" s="274"/>
      <c r="CC99" s="274"/>
      <c r="CD99" s="274"/>
      <c r="CE99" s="274"/>
      <c r="CF99" s="274"/>
      <c r="CG99" s="274"/>
      <c r="CH99" s="274"/>
      <c r="CI99" s="274"/>
      <c r="CJ99" s="274"/>
      <c r="CK99" s="274"/>
      <c r="CL99" s="274"/>
      <c r="CM99" s="274"/>
      <c r="CN99" s="274"/>
      <c r="CO99" s="274"/>
      <c r="CP99" s="274"/>
      <c r="CQ99" s="274"/>
      <c r="CR99" s="274"/>
      <c r="CS99" s="274"/>
      <c r="CT99" s="274"/>
      <c r="CU99" s="274"/>
      <c r="CV99" s="274"/>
      <c r="CW99" s="274"/>
      <c r="CX99" s="274"/>
      <c r="CY99" s="274"/>
      <c r="CZ99" s="274"/>
      <c r="DA99" s="274"/>
      <c r="DB99" s="274"/>
      <c r="DC99" s="274"/>
      <c r="DL99" s="288"/>
      <c r="DM99" s="288"/>
      <c r="DN99" s="288"/>
      <c r="DO99" s="288"/>
      <c r="DP99" s="288"/>
      <c r="DQ99" s="288"/>
      <c r="DR99" s="288"/>
      <c r="DS99" s="288"/>
      <c r="DT99" s="288"/>
      <c r="DU99" s="288"/>
      <c r="DV99" s="288"/>
      <c r="DW99" s="288"/>
      <c r="DX99" s="288"/>
      <c r="DY99" s="288"/>
      <c r="DZ99" s="288"/>
      <c r="EA99" s="288"/>
      <c r="EB99" s="288"/>
      <c r="EC99" s="288"/>
      <c r="ED99" s="288"/>
      <c r="EE99" s="288"/>
      <c r="EF99" s="288"/>
      <c r="EG99" s="288"/>
      <c r="EH99" s="288"/>
      <c r="EI99" s="288"/>
      <c r="EJ99" s="288"/>
      <c r="EK99" s="288"/>
      <c r="EL99" s="288"/>
      <c r="EM99" s="288"/>
      <c r="EN99" s="288"/>
      <c r="EO99" s="288"/>
      <c r="EP99" s="288"/>
      <c r="EQ99" s="388"/>
      <c r="ER99" s="288"/>
      <c r="ES99" s="288"/>
      <c r="ET99" s="288"/>
      <c r="EU99" s="288"/>
      <c r="EV99" s="288"/>
      <c r="EW99" s="288"/>
    </row>
    <row r="100" spans="21:153" ht="21.75">
      <c r="U100" s="274"/>
      <c r="V100" s="274"/>
      <c r="W100" s="274"/>
      <c r="X100" s="274"/>
      <c r="Y100" s="274"/>
      <c r="Z100" s="274"/>
      <c r="AA100" s="274"/>
      <c r="AB100" s="274"/>
      <c r="AC100" s="274"/>
      <c r="AD100" s="274"/>
      <c r="AE100" s="274"/>
      <c r="AF100" s="274"/>
      <c r="AG100" s="274"/>
      <c r="AH100" s="274"/>
      <c r="AI100" s="274"/>
      <c r="AJ100" s="274"/>
      <c r="AK100" s="274"/>
      <c r="AL100" s="274"/>
      <c r="AM100" s="274"/>
      <c r="AN100" s="274"/>
      <c r="AO100" s="274"/>
      <c r="AP100" s="274"/>
      <c r="AQ100" s="274"/>
      <c r="AR100" s="274"/>
      <c r="AS100" s="274"/>
      <c r="AT100" s="274"/>
      <c r="AU100" s="274"/>
      <c r="AV100" s="274"/>
      <c r="AW100" s="274"/>
      <c r="AX100" s="274"/>
      <c r="AY100" s="274"/>
      <c r="AZ100" s="276"/>
      <c r="BA100" s="276"/>
      <c r="BB100" s="276"/>
      <c r="BC100" s="276"/>
      <c r="BD100" s="274"/>
      <c r="BE100" s="274"/>
      <c r="BF100" s="274"/>
      <c r="BG100" s="274"/>
      <c r="BH100" s="274"/>
      <c r="BI100" s="274"/>
      <c r="BJ100" s="274"/>
      <c r="BK100" s="274"/>
      <c r="BL100" s="274"/>
      <c r="BM100" s="274"/>
      <c r="BN100" s="274"/>
      <c r="BO100" s="274"/>
      <c r="BP100" s="274"/>
      <c r="BQ100" s="274"/>
      <c r="BR100" s="274"/>
      <c r="BS100" s="274"/>
      <c r="BT100" s="274"/>
      <c r="BU100" s="274"/>
      <c r="BV100" s="274"/>
      <c r="BW100" s="274"/>
      <c r="BX100" s="274"/>
      <c r="BY100" s="274"/>
      <c r="BZ100" s="274"/>
      <c r="CA100" s="274"/>
      <c r="CB100" s="274"/>
      <c r="CC100" s="274"/>
      <c r="CD100" s="274"/>
      <c r="CE100" s="274"/>
      <c r="CF100" s="274"/>
      <c r="CG100" s="274"/>
      <c r="CH100" s="274"/>
      <c r="CI100" s="274"/>
      <c r="CJ100" s="274"/>
      <c r="CK100" s="274"/>
      <c r="CL100" s="274"/>
      <c r="CM100" s="274"/>
      <c r="CN100" s="274"/>
      <c r="CO100" s="274"/>
      <c r="CP100" s="274"/>
      <c r="CQ100" s="274"/>
      <c r="CR100" s="274"/>
      <c r="CS100" s="274"/>
      <c r="CT100" s="274"/>
      <c r="CU100" s="274"/>
      <c r="CV100" s="274"/>
      <c r="CW100" s="274"/>
      <c r="CX100" s="274"/>
      <c r="CY100" s="274"/>
      <c r="CZ100" s="274"/>
      <c r="DA100" s="274"/>
      <c r="DB100" s="274"/>
      <c r="DC100" s="274"/>
      <c r="DL100" s="288"/>
      <c r="DM100" s="288"/>
      <c r="DN100" s="288"/>
      <c r="DO100" s="288"/>
      <c r="DP100" s="288"/>
      <c r="DQ100" s="288"/>
      <c r="DR100" s="288"/>
      <c r="DS100" s="288"/>
      <c r="DT100" s="288"/>
      <c r="DU100" s="288"/>
      <c r="DV100" s="288"/>
      <c r="DW100" s="288"/>
      <c r="DX100" s="288"/>
      <c r="DY100" s="288"/>
      <c r="DZ100" s="288"/>
      <c r="EA100" s="288"/>
      <c r="EB100" s="288"/>
      <c r="EC100" s="288"/>
      <c r="ED100" s="288"/>
      <c r="EE100" s="288"/>
      <c r="EF100" s="288"/>
      <c r="EG100" s="288"/>
      <c r="EH100" s="288"/>
      <c r="EI100" s="288"/>
      <c r="EJ100" s="288"/>
      <c r="EK100" s="288"/>
      <c r="EL100" s="288"/>
      <c r="EM100" s="288"/>
      <c r="EN100" s="288"/>
      <c r="EO100" s="288"/>
      <c r="EP100" s="288"/>
      <c r="EQ100" s="288"/>
      <c r="ER100" s="288"/>
      <c r="ES100" s="288"/>
      <c r="ET100" s="288"/>
      <c r="EU100" s="288"/>
      <c r="EV100" s="288"/>
      <c r="EW100" s="288"/>
    </row>
    <row r="101" spans="21:153" ht="21.75">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6"/>
      <c r="BA101" s="276"/>
      <c r="BB101" s="276"/>
      <c r="BC101" s="276"/>
      <c r="BD101" s="274"/>
      <c r="BE101" s="274"/>
      <c r="BF101" s="274"/>
      <c r="BG101" s="274"/>
      <c r="BH101" s="274"/>
      <c r="BI101" s="274"/>
      <c r="BJ101" s="274"/>
      <c r="BK101" s="274"/>
      <c r="BL101" s="274"/>
      <c r="BM101" s="274"/>
      <c r="BN101" s="274"/>
      <c r="BO101" s="274"/>
      <c r="BP101" s="274"/>
      <c r="BQ101" s="274"/>
      <c r="BR101" s="274"/>
      <c r="BS101" s="274"/>
      <c r="BT101" s="274"/>
      <c r="BU101" s="274"/>
      <c r="BV101" s="274"/>
      <c r="BW101" s="274"/>
      <c r="BX101" s="274"/>
      <c r="BY101" s="274"/>
      <c r="BZ101" s="274"/>
      <c r="CA101" s="274"/>
      <c r="CB101" s="274"/>
      <c r="CC101" s="274"/>
      <c r="CD101" s="274"/>
      <c r="CE101" s="274"/>
      <c r="CF101" s="274"/>
      <c r="CG101" s="274"/>
      <c r="CH101" s="274"/>
      <c r="CI101" s="274"/>
      <c r="CJ101" s="274"/>
      <c r="CK101" s="274"/>
      <c r="CL101" s="274"/>
      <c r="CM101" s="274"/>
      <c r="CN101" s="274"/>
      <c r="CO101" s="274"/>
      <c r="CP101" s="274"/>
      <c r="CQ101" s="274"/>
      <c r="CR101" s="274"/>
      <c r="CS101" s="274"/>
      <c r="CT101" s="274"/>
      <c r="CU101" s="274"/>
      <c r="CV101" s="274"/>
      <c r="CW101" s="274"/>
      <c r="CX101" s="274"/>
      <c r="CY101" s="274"/>
      <c r="CZ101" s="274"/>
      <c r="DA101" s="274"/>
      <c r="DB101" s="274"/>
      <c r="DC101" s="274"/>
      <c r="DL101" s="288"/>
      <c r="DM101" s="288"/>
      <c r="DN101" s="288"/>
      <c r="DO101" s="288"/>
      <c r="DP101" s="288"/>
      <c r="DQ101" s="288"/>
      <c r="DR101" s="288"/>
      <c r="DS101" s="288"/>
      <c r="DT101" s="288"/>
      <c r="DU101" s="288"/>
      <c r="DV101" s="288"/>
      <c r="DW101" s="288"/>
      <c r="DX101" s="288"/>
      <c r="DY101" s="288"/>
      <c r="DZ101" s="288"/>
      <c r="EA101" s="288"/>
      <c r="EB101" s="288"/>
      <c r="EC101" s="288"/>
      <c r="ED101" s="288"/>
      <c r="EE101" s="288"/>
      <c r="EF101" s="288"/>
      <c r="EG101" s="288"/>
      <c r="EH101" s="288"/>
      <c r="EI101" s="288"/>
      <c r="EJ101" s="288"/>
      <c r="EK101" s="288"/>
      <c r="EL101" s="288"/>
      <c r="EM101" s="288"/>
      <c r="EN101" s="288"/>
      <c r="EO101" s="288"/>
      <c r="EP101" s="288"/>
      <c r="EQ101" s="288"/>
      <c r="ER101" s="288"/>
      <c r="ES101" s="288"/>
      <c r="ET101" s="288"/>
      <c r="EU101" s="288"/>
      <c r="EV101" s="288"/>
      <c r="EW101" s="288"/>
    </row>
    <row r="102" spans="21:153" ht="21.75">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6"/>
      <c r="BA102" s="276"/>
      <c r="BB102" s="276"/>
      <c r="BC102" s="276"/>
      <c r="BD102" s="274"/>
      <c r="BE102" s="274"/>
      <c r="BF102" s="274"/>
      <c r="BG102" s="274"/>
      <c r="BH102" s="274"/>
      <c r="BI102" s="274"/>
      <c r="BJ102" s="274"/>
      <c r="BK102" s="274"/>
      <c r="BL102" s="274"/>
      <c r="BM102" s="274"/>
      <c r="BN102" s="274"/>
      <c r="BO102" s="274"/>
      <c r="BP102" s="274"/>
      <c r="BQ102" s="274"/>
      <c r="BR102" s="274"/>
      <c r="BS102" s="274"/>
      <c r="BT102" s="274"/>
      <c r="BU102" s="274"/>
      <c r="BV102" s="274"/>
      <c r="BW102" s="274"/>
      <c r="BX102" s="274"/>
      <c r="BY102" s="274"/>
      <c r="BZ102" s="274"/>
      <c r="CA102" s="274"/>
      <c r="CB102" s="274"/>
      <c r="CC102" s="274"/>
      <c r="CD102" s="274"/>
      <c r="CE102" s="274"/>
      <c r="CF102" s="274"/>
      <c r="CG102" s="274"/>
      <c r="CH102" s="274"/>
      <c r="CI102" s="274"/>
      <c r="CJ102" s="274"/>
      <c r="CK102" s="274"/>
      <c r="CL102" s="274"/>
      <c r="CM102" s="274"/>
      <c r="CN102" s="274"/>
      <c r="CO102" s="274"/>
      <c r="CP102" s="274"/>
      <c r="CQ102" s="274"/>
      <c r="CR102" s="274"/>
      <c r="CS102" s="274"/>
      <c r="CT102" s="274"/>
      <c r="CU102" s="274"/>
      <c r="CV102" s="274"/>
      <c r="CW102" s="274"/>
      <c r="CX102" s="274"/>
      <c r="CY102" s="274"/>
      <c r="CZ102" s="274"/>
      <c r="DA102" s="274"/>
      <c r="DB102" s="274"/>
      <c r="DC102" s="274"/>
      <c r="DL102" s="288"/>
      <c r="DM102" s="288"/>
      <c r="DN102" s="288"/>
      <c r="DO102" s="288"/>
      <c r="DP102" s="288"/>
      <c r="DQ102" s="288"/>
      <c r="DR102" s="288"/>
      <c r="DS102" s="288"/>
      <c r="DT102" s="288"/>
      <c r="DU102" s="288"/>
      <c r="DV102" s="288"/>
      <c r="DW102" s="288"/>
      <c r="DX102" s="288"/>
      <c r="DY102" s="288"/>
      <c r="DZ102" s="288"/>
      <c r="EA102" s="288"/>
      <c r="EB102" s="288"/>
      <c r="EC102" s="288"/>
      <c r="ED102" s="288"/>
      <c r="EE102" s="288"/>
      <c r="EF102" s="288"/>
      <c r="EG102" s="288"/>
      <c r="EH102" s="288"/>
      <c r="EI102" s="288"/>
      <c r="EJ102" s="288"/>
      <c r="EK102" s="288"/>
      <c r="EL102" s="288"/>
      <c r="EM102" s="288"/>
      <c r="EN102" s="288"/>
      <c r="EO102" s="288"/>
      <c r="EP102" s="288"/>
      <c r="EQ102" s="288"/>
      <c r="ER102" s="288"/>
      <c r="ES102" s="288"/>
      <c r="ET102" s="288"/>
      <c r="EU102" s="288"/>
      <c r="EV102" s="288"/>
      <c r="EW102" s="288"/>
    </row>
    <row r="103" spans="21:153" ht="21.75">
      <c r="U103" s="274"/>
      <c r="V103" s="274"/>
      <c r="W103" s="274"/>
      <c r="X103" s="274"/>
      <c r="Y103" s="274"/>
      <c r="Z103" s="274"/>
      <c r="AA103" s="274"/>
      <c r="AB103" s="274"/>
      <c r="AC103" s="274"/>
      <c r="AD103" s="274"/>
      <c r="AE103" s="274"/>
      <c r="AF103" s="274"/>
      <c r="AG103" s="274"/>
      <c r="AH103" s="274"/>
      <c r="AI103" s="274"/>
      <c r="AJ103" s="274"/>
      <c r="AK103" s="274"/>
      <c r="AL103" s="274"/>
      <c r="AM103" s="274"/>
      <c r="AN103" s="274"/>
      <c r="AO103" s="274"/>
      <c r="AP103" s="274"/>
      <c r="AQ103" s="274"/>
      <c r="AR103" s="274"/>
      <c r="AS103" s="274"/>
      <c r="AT103" s="274"/>
      <c r="AU103" s="274"/>
      <c r="AV103" s="274"/>
      <c r="AW103" s="274"/>
      <c r="AX103" s="274"/>
      <c r="AY103" s="274"/>
      <c r="AZ103" s="276"/>
      <c r="BA103" s="276"/>
      <c r="BB103" s="276"/>
      <c r="BC103" s="276"/>
      <c r="BD103" s="274"/>
      <c r="BE103" s="274"/>
      <c r="BF103" s="274"/>
      <c r="BG103" s="274"/>
      <c r="BH103" s="274"/>
      <c r="BI103" s="274"/>
      <c r="BJ103" s="274"/>
      <c r="BK103" s="274"/>
      <c r="BL103" s="274"/>
      <c r="BM103" s="274"/>
      <c r="BN103" s="274"/>
      <c r="BO103" s="274"/>
      <c r="BP103" s="274"/>
      <c r="BQ103" s="274"/>
      <c r="BR103" s="274"/>
      <c r="BS103" s="274"/>
      <c r="BT103" s="274"/>
      <c r="BU103" s="274"/>
      <c r="BV103" s="274"/>
      <c r="BW103" s="274"/>
      <c r="BX103" s="274"/>
      <c r="BY103" s="274"/>
      <c r="BZ103" s="274"/>
      <c r="CA103" s="274"/>
      <c r="CB103" s="274"/>
      <c r="CC103" s="274"/>
      <c r="CD103" s="274"/>
      <c r="CE103" s="274"/>
      <c r="CF103" s="274"/>
      <c r="CG103" s="274"/>
      <c r="CH103" s="274"/>
      <c r="CI103" s="274"/>
      <c r="CJ103" s="274"/>
      <c r="CK103" s="274"/>
      <c r="CL103" s="274"/>
      <c r="CM103" s="274"/>
      <c r="CN103" s="274"/>
      <c r="CO103" s="274"/>
      <c r="CP103" s="274"/>
      <c r="CQ103" s="274"/>
      <c r="CR103" s="274"/>
      <c r="CS103" s="274"/>
      <c r="CT103" s="274"/>
      <c r="CU103" s="274"/>
      <c r="CV103" s="274"/>
      <c r="CW103" s="274"/>
      <c r="CX103" s="274"/>
      <c r="CY103" s="274"/>
      <c r="CZ103" s="274"/>
      <c r="DA103" s="274"/>
      <c r="DB103" s="274"/>
      <c r="DC103" s="274"/>
      <c r="DL103" s="288"/>
      <c r="DM103" s="288"/>
      <c r="DN103" s="288"/>
      <c r="DO103" s="288"/>
      <c r="DP103" s="288"/>
      <c r="DQ103" s="288"/>
      <c r="DR103" s="288"/>
      <c r="DS103" s="288"/>
      <c r="DT103" s="288"/>
      <c r="DU103" s="288"/>
      <c r="DV103" s="288"/>
      <c r="DW103" s="288"/>
      <c r="DX103" s="288"/>
      <c r="DY103" s="288"/>
      <c r="DZ103" s="288"/>
      <c r="EA103" s="288"/>
      <c r="EB103" s="288"/>
      <c r="EC103" s="288"/>
      <c r="ED103" s="288"/>
      <c r="EE103" s="288"/>
      <c r="EF103" s="288"/>
      <c r="EG103" s="288"/>
      <c r="EH103" s="288"/>
      <c r="EI103" s="288"/>
      <c r="EJ103" s="288"/>
      <c r="EK103" s="288"/>
      <c r="EL103" s="288"/>
      <c r="EM103" s="288"/>
      <c r="EN103" s="288"/>
      <c r="EO103" s="288"/>
      <c r="EP103" s="288"/>
      <c r="EQ103" s="288"/>
      <c r="ER103" s="288"/>
      <c r="ES103" s="288"/>
      <c r="ET103" s="288"/>
      <c r="EU103" s="288"/>
      <c r="EV103" s="288"/>
      <c r="EW103" s="288"/>
    </row>
    <row r="104" spans="21:153" ht="21.75">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6"/>
      <c r="BA104" s="276"/>
      <c r="BB104" s="276"/>
      <c r="BC104" s="276"/>
      <c r="BD104" s="274"/>
      <c r="BE104" s="274"/>
      <c r="BF104" s="274"/>
      <c r="BG104" s="274"/>
      <c r="BH104" s="274"/>
      <c r="BI104" s="274"/>
      <c r="BJ104" s="274"/>
      <c r="BK104" s="274"/>
      <c r="BL104" s="274"/>
      <c r="BM104" s="274"/>
      <c r="BN104" s="274"/>
      <c r="BO104" s="274"/>
      <c r="BP104" s="274"/>
      <c r="BQ104" s="274"/>
      <c r="BR104" s="274"/>
      <c r="BS104" s="274"/>
      <c r="BT104" s="274"/>
      <c r="BU104" s="274"/>
      <c r="BV104" s="274"/>
      <c r="BW104" s="274"/>
      <c r="BX104" s="274"/>
      <c r="BY104" s="274"/>
      <c r="BZ104" s="274"/>
      <c r="CA104" s="274"/>
      <c r="CB104" s="274"/>
      <c r="CC104" s="274"/>
      <c r="CD104" s="274"/>
      <c r="CE104" s="274"/>
      <c r="CF104" s="274"/>
      <c r="CG104" s="274"/>
      <c r="CH104" s="274"/>
      <c r="CI104" s="274"/>
      <c r="CJ104" s="274"/>
      <c r="CK104" s="274"/>
      <c r="CL104" s="274"/>
      <c r="CM104" s="274"/>
      <c r="CN104" s="274"/>
      <c r="CO104" s="274"/>
      <c r="CP104" s="274"/>
      <c r="CQ104" s="274"/>
      <c r="CR104" s="274"/>
      <c r="CS104" s="274"/>
      <c r="CT104" s="274"/>
      <c r="CU104" s="274"/>
      <c r="CV104" s="274"/>
      <c r="CW104" s="274"/>
      <c r="CX104" s="274"/>
      <c r="CY104" s="274"/>
      <c r="CZ104" s="274"/>
      <c r="DA104" s="274"/>
      <c r="DB104" s="274"/>
      <c r="DC104" s="274"/>
      <c r="DL104" s="288"/>
      <c r="DM104" s="288"/>
      <c r="DN104" s="288"/>
      <c r="DO104" s="288"/>
      <c r="DP104" s="288"/>
      <c r="DQ104" s="288"/>
      <c r="DR104" s="288"/>
      <c r="DS104" s="288"/>
      <c r="DT104" s="288"/>
      <c r="DU104" s="288"/>
      <c r="DV104" s="288"/>
      <c r="DW104" s="288"/>
      <c r="DX104" s="288"/>
      <c r="DY104" s="288"/>
      <c r="DZ104" s="288"/>
      <c r="EA104" s="288"/>
      <c r="EB104" s="288"/>
      <c r="EC104" s="288"/>
      <c r="ED104" s="288"/>
      <c r="EE104" s="288"/>
      <c r="EF104" s="288"/>
      <c r="EG104" s="288"/>
      <c r="EH104" s="288"/>
      <c r="EI104" s="288"/>
      <c r="EJ104" s="288"/>
      <c r="EK104" s="288"/>
      <c r="EL104" s="288"/>
      <c r="EM104" s="288"/>
      <c r="EN104" s="288"/>
      <c r="EO104" s="288"/>
      <c r="EP104" s="288"/>
      <c r="EQ104" s="288"/>
      <c r="ER104" s="288"/>
      <c r="ES104" s="288"/>
      <c r="ET104" s="288"/>
      <c r="EU104" s="288"/>
      <c r="EV104" s="288"/>
      <c r="EW104" s="288"/>
    </row>
    <row r="105" spans="21:153" ht="21.75">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6"/>
      <c r="BA105" s="276"/>
      <c r="BB105" s="276"/>
      <c r="BC105" s="276"/>
      <c r="BD105" s="274"/>
      <c r="BE105" s="274"/>
      <c r="BF105" s="274"/>
      <c r="BG105" s="274"/>
      <c r="BH105" s="274"/>
      <c r="BI105" s="274"/>
      <c r="BJ105" s="274"/>
      <c r="BK105" s="274"/>
      <c r="BL105" s="274"/>
      <c r="BM105" s="274"/>
      <c r="BN105" s="274"/>
      <c r="BO105" s="274"/>
      <c r="BP105" s="274"/>
      <c r="BQ105" s="274"/>
      <c r="BR105" s="274"/>
      <c r="BS105" s="274"/>
      <c r="BT105" s="274"/>
      <c r="BU105" s="274"/>
      <c r="BV105" s="274"/>
      <c r="BW105" s="274"/>
      <c r="BX105" s="274"/>
      <c r="BY105" s="274"/>
      <c r="BZ105" s="274"/>
      <c r="CA105" s="274"/>
      <c r="CB105" s="274"/>
      <c r="CC105" s="274"/>
      <c r="CD105" s="274"/>
      <c r="CE105" s="274"/>
      <c r="CF105" s="274"/>
      <c r="CG105" s="274"/>
      <c r="CH105" s="274"/>
      <c r="CI105" s="274"/>
      <c r="CJ105" s="274"/>
      <c r="CK105" s="274"/>
      <c r="CL105" s="274"/>
      <c r="CM105" s="274"/>
      <c r="CN105" s="274"/>
      <c r="CO105" s="274"/>
      <c r="CP105" s="274"/>
      <c r="CQ105" s="274"/>
      <c r="CR105" s="274"/>
      <c r="CS105" s="274"/>
      <c r="CT105" s="274"/>
      <c r="CU105" s="274"/>
      <c r="CV105" s="274"/>
      <c r="CW105" s="274"/>
      <c r="CX105" s="274"/>
      <c r="CY105" s="274"/>
      <c r="CZ105" s="274"/>
      <c r="DA105" s="274"/>
      <c r="DB105" s="274"/>
      <c r="DC105" s="274"/>
      <c r="DL105" s="288"/>
      <c r="DM105" s="288"/>
      <c r="DN105" s="288"/>
      <c r="DO105" s="288"/>
      <c r="DP105" s="288"/>
      <c r="DQ105" s="288"/>
      <c r="DR105" s="288"/>
      <c r="DS105" s="288"/>
      <c r="DT105" s="288"/>
      <c r="DU105" s="288"/>
      <c r="DV105" s="288"/>
      <c r="DW105" s="288"/>
      <c r="DX105" s="288"/>
      <c r="DY105" s="288"/>
      <c r="DZ105" s="288"/>
      <c r="EA105" s="288"/>
      <c r="EB105" s="288"/>
      <c r="EC105" s="288"/>
      <c r="ED105" s="288"/>
      <c r="EE105" s="288"/>
      <c r="EF105" s="288"/>
      <c r="EG105" s="288"/>
      <c r="EH105" s="288"/>
      <c r="EI105" s="288"/>
      <c r="EJ105" s="288"/>
      <c r="EK105" s="288"/>
      <c r="EL105" s="288"/>
      <c r="EM105" s="288"/>
      <c r="EN105" s="288"/>
      <c r="EO105" s="288"/>
      <c r="EP105" s="288"/>
      <c r="EQ105" s="288"/>
      <c r="ER105" s="288"/>
      <c r="ES105" s="288"/>
      <c r="ET105" s="288"/>
      <c r="EU105" s="288"/>
      <c r="EV105" s="288"/>
      <c r="EW105" s="288"/>
    </row>
    <row r="106" spans="21:153" ht="21.75">
      <c r="U106" s="274"/>
      <c r="V106" s="274"/>
      <c r="W106" s="274"/>
      <c r="X106" s="274"/>
      <c r="Y106" s="274"/>
      <c r="Z106" s="274"/>
      <c r="AA106" s="274"/>
      <c r="AB106" s="274"/>
      <c r="AC106" s="274"/>
      <c r="AD106" s="274"/>
      <c r="AE106" s="274"/>
      <c r="AF106" s="274"/>
      <c r="AG106" s="274"/>
      <c r="AH106" s="274"/>
      <c r="AI106" s="274"/>
      <c r="AJ106" s="274"/>
      <c r="AK106" s="274"/>
      <c r="AL106" s="274"/>
      <c r="AM106" s="274"/>
      <c r="AN106" s="274"/>
      <c r="AO106" s="274"/>
      <c r="AP106" s="274"/>
      <c r="AQ106" s="274"/>
      <c r="AR106" s="274"/>
      <c r="AS106" s="274"/>
      <c r="AT106" s="274"/>
      <c r="AU106" s="274"/>
      <c r="AV106" s="274"/>
      <c r="AW106" s="274"/>
      <c r="AX106" s="274"/>
      <c r="AY106" s="274"/>
      <c r="AZ106" s="276"/>
      <c r="BA106" s="276"/>
      <c r="BB106" s="276"/>
      <c r="BC106" s="276"/>
      <c r="BD106" s="274"/>
      <c r="BE106" s="274"/>
      <c r="BF106" s="274"/>
      <c r="BG106" s="274"/>
      <c r="BH106" s="274"/>
      <c r="BI106" s="274"/>
      <c r="BJ106" s="274"/>
      <c r="BK106" s="274"/>
      <c r="BL106" s="274"/>
      <c r="BM106" s="274"/>
      <c r="BN106" s="274"/>
      <c r="BO106" s="274"/>
      <c r="BP106" s="274"/>
      <c r="BQ106" s="274"/>
      <c r="BR106" s="274"/>
      <c r="BS106" s="274"/>
      <c r="BT106" s="274"/>
      <c r="BU106" s="274"/>
      <c r="BV106" s="274"/>
      <c r="BW106" s="274"/>
      <c r="BX106" s="274"/>
      <c r="BY106" s="274"/>
      <c r="BZ106" s="274"/>
      <c r="CA106" s="274"/>
      <c r="CB106" s="274"/>
      <c r="CC106" s="274"/>
      <c r="CD106" s="274"/>
      <c r="CE106" s="274"/>
      <c r="CF106" s="274"/>
      <c r="CG106" s="274"/>
      <c r="CH106" s="274"/>
      <c r="CI106" s="274"/>
      <c r="CJ106" s="274"/>
      <c r="CK106" s="274"/>
      <c r="CL106" s="274"/>
      <c r="CM106" s="274"/>
      <c r="CN106" s="274"/>
      <c r="CO106" s="274"/>
      <c r="CP106" s="274"/>
      <c r="CQ106" s="274"/>
      <c r="CR106" s="274"/>
      <c r="CS106" s="274"/>
      <c r="CT106" s="274"/>
      <c r="CU106" s="274"/>
      <c r="CV106" s="274"/>
      <c r="CW106" s="274"/>
      <c r="CX106" s="274"/>
      <c r="CY106" s="274"/>
      <c r="CZ106" s="274"/>
      <c r="DA106" s="274"/>
      <c r="DB106" s="274"/>
      <c r="DC106" s="274"/>
      <c r="DL106" s="288"/>
      <c r="DM106" s="288"/>
      <c r="DN106" s="274"/>
      <c r="DO106" s="274"/>
      <c r="DP106" s="274"/>
      <c r="DQ106" s="274"/>
      <c r="DR106" s="274"/>
      <c r="DS106" s="274"/>
      <c r="DT106" s="274"/>
      <c r="DU106" s="274"/>
      <c r="DV106" s="274"/>
      <c r="DW106" s="274"/>
      <c r="DX106" s="274"/>
      <c r="DY106" s="274"/>
      <c r="DZ106" s="274"/>
      <c r="EA106" s="274"/>
      <c r="EB106" s="274"/>
      <c r="EC106" s="274"/>
      <c r="ED106" s="274"/>
      <c r="EE106" s="274"/>
      <c r="EF106" s="274"/>
      <c r="EG106" s="274"/>
      <c r="EH106" s="274"/>
      <c r="EI106" s="274"/>
      <c r="EJ106" s="274"/>
      <c r="EK106" s="274"/>
      <c r="EL106" s="274"/>
      <c r="EM106" s="274"/>
      <c r="EN106" s="274"/>
      <c r="EO106" s="274"/>
      <c r="EP106" s="274"/>
      <c r="EQ106" s="274"/>
      <c r="ER106" s="288"/>
      <c r="ES106" s="288"/>
      <c r="ET106" s="288"/>
      <c r="EU106" s="288"/>
      <c r="EV106" s="288"/>
      <c r="EW106" s="288"/>
    </row>
    <row r="107" spans="21:153" ht="21.75">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6"/>
      <c r="BA107" s="276"/>
      <c r="BB107" s="276"/>
      <c r="BC107" s="276"/>
      <c r="BD107" s="274"/>
      <c r="BE107" s="274"/>
      <c r="BF107" s="274"/>
      <c r="BG107" s="274"/>
      <c r="BH107" s="274"/>
      <c r="BI107" s="274"/>
      <c r="BJ107" s="274"/>
      <c r="BK107" s="274"/>
      <c r="BL107" s="274"/>
      <c r="BM107" s="274"/>
      <c r="BN107" s="274"/>
      <c r="BO107" s="274"/>
      <c r="BP107" s="274"/>
      <c r="BQ107" s="274"/>
      <c r="BR107" s="274"/>
      <c r="BS107" s="274"/>
      <c r="BT107" s="274"/>
      <c r="BU107" s="274"/>
      <c r="BV107" s="274"/>
      <c r="BW107" s="274"/>
      <c r="BX107" s="274"/>
      <c r="BY107" s="274"/>
      <c r="BZ107" s="274"/>
      <c r="CA107" s="274"/>
      <c r="CB107" s="274"/>
      <c r="CC107" s="274"/>
      <c r="CD107" s="274"/>
      <c r="CE107" s="274"/>
      <c r="CF107" s="274"/>
      <c r="CG107" s="274"/>
      <c r="CH107" s="274"/>
      <c r="CI107" s="274"/>
      <c r="CJ107" s="274"/>
      <c r="CK107" s="274"/>
      <c r="CL107" s="274"/>
      <c r="CM107" s="274"/>
      <c r="CN107" s="274"/>
      <c r="CO107" s="274"/>
      <c r="CP107" s="274"/>
      <c r="CQ107" s="274"/>
      <c r="CR107" s="274"/>
      <c r="CS107" s="274"/>
      <c r="CT107" s="274"/>
      <c r="CU107" s="274"/>
      <c r="CV107" s="274"/>
      <c r="CW107" s="274"/>
      <c r="CX107" s="274"/>
      <c r="CY107" s="274"/>
      <c r="CZ107" s="274"/>
      <c r="DA107" s="274"/>
      <c r="DB107" s="274"/>
      <c r="DC107" s="274"/>
      <c r="DL107" s="288"/>
      <c r="DM107" s="288"/>
      <c r="DN107" s="288"/>
      <c r="DO107" s="288"/>
      <c r="DP107" s="288"/>
      <c r="DQ107" s="288"/>
      <c r="DR107" s="288"/>
      <c r="DS107" s="288"/>
      <c r="DT107" s="288"/>
      <c r="DU107" s="288"/>
      <c r="DV107" s="288"/>
      <c r="DW107" s="288"/>
      <c r="DX107" s="288"/>
      <c r="DY107" s="288"/>
      <c r="DZ107" s="288"/>
      <c r="EA107" s="288"/>
      <c r="EB107" s="288"/>
      <c r="EC107" s="288"/>
      <c r="ED107" s="288"/>
      <c r="EE107" s="288"/>
      <c r="EF107" s="288"/>
      <c r="EG107" s="288"/>
      <c r="EH107" s="288"/>
      <c r="EI107" s="288"/>
      <c r="EJ107" s="288"/>
      <c r="EK107" s="288"/>
      <c r="EL107" s="288"/>
      <c r="EM107" s="288"/>
      <c r="EN107" s="288"/>
      <c r="EO107" s="288"/>
      <c r="EP107" s="288"/>
      <c r="EQ107" s="288"/>
      <c r="ER107" s="288"/>
      <c r="ES107" s="288"/>
      <c r="ET107" s="288"/>
      <c r="EU107" s="288"/>
      <c r="EV107" s="288"/>
      <c r="EW107" s="288"/>
    </row>
    <row r="108" spans="21:153" ht="21.75">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6"/>
      <c r="BA108" s="276"/>
      <c r="BB108" s="276"/>
      <c r="BC108" s="276"/>
      <c r="BD108" s="274"/>
      <c r="BE108" s="274"/>
      <c r="BF108" s="274"/>
      <c r="BG108" s="274"/>
      <c r="BH108" s="274"/>
      <c r="BI108" s="274"/>
      <c r="BJ108" s="274"/>
      <c r="BK108" s="274"/>
      <c r="BL108" s="274"/>
      <c r="BM108" s="274"/>
      <c r="BN108" s="274"/>
      <c r="BO108" s="274"/>
      <c r="BP108" s="274"/>
      <c r="BQ108" s="274"/>
      <c r="BR108" s="274"/>
      <c r="BS108" s="274"/>
      <c r="BT108" s="274"/>
      <c r="BU108" s="274"/>
      <c r="BV108" s="274"/>
      <c r="BW108" s="274"/>
      <c r="BX108" s="274"/>
      <c r="BY108" s="274"/>
      <c r="BZ108" s="274"/>
      <c r="CA108" s="274"/>
      <c r="CB108" s="274"/>
      <c r="CC108" s="274"/>
      <c r="CD108" s="274"/>
      <c r="CE108" s="274"/>
      <c r="CF108" s="274"/>
      <c r="CG108" s="274"/>
      <c r="CH108" s="274"/>
      <c r="CI108" s="274"/>
      <c r="CJ108" s="274"/>
      <c r="CK108" s="274"/>
      <c r="CL108" s="274"/>
      <c r="CM108" s="274"/>
      <c r="CN108" s="274"/>
      <c r="CO108" s="274"/>
      <c r="CP108" s="274"/>
      <c r="CQ108" s="274"/>
      <c r="CR108" s="274"/>
      <c r="CS108" s="274"/>
      <c r="CT108" s="274"/>
      <c r="CU108" s="274"/>
      <c r="CV108" s="274"/>
      <c r="CW108" s="274"/>
      <c r="CX108" s="274"/>
      <c r="CY108" s="274"/>
      <c r="CZ108" s="274"/>
      <c r="DA108" s="274"/>
      <c r="DB108" s="274"/>
      <c r="DC108" s="274"/>
      <c r="DL108" s="288"/>
      <c r="DM108" s="288"/>
      <c r="DN108" s="288"/>
      <c r="DO108" s="288"/>
      <c r="DP108" s="288"/>
      <c r="DQ108" s="288"/>
      <c r="DR108" s="288"/>
      <c r="DS108" s="288"/>
      <c r="DT108" s="288"/>
      <c r="DU108" s="288"/>
      <c r="DV108" s="288"/>
      <c r="DW108" s="288"/>
      <c r="DX108" s="288"/>
      <c r="DY108" s="288"/>
      <c r="DZ108" s="288"/>
      <c r="EA108" s="288"/>
      <c r="EB108" s="288"/>
      <c r="EC108" s="288"/>
      <c r="ED108" s="288"/>
      <c r="EE108" s="288"/>
      <c r="EF108" s="288"/>
      <c r="EG108" s="288"/>
      <c r="EH108" s="288"/>
      <c r="EI108" s="288"/>
      <c r="EJ108" s="288"/>
      <c r="EK108" s="288"/>
      <c r="EL108" s="288"/>
      <c r="EM108" s="288"/>
      <c r="EN108" s="288"/>
      <c r="EO108" s="288"/>
      <c r="EP108" s="288"/>
      <c r="EQ108" s="288"/>
      <c r="ER108" s="288"/>
      <c r="ES108" s="288"/>
      <c r="ET108" s="288"/>
      <c r="EU108" s="288"/>
      <c r="EV108" s="288"/>
      <c r="EW108" s="288"/>
    </row>
    <row r="109" spans="21:153" ht="21.75">
      <c r="U109" s="274"/>
      <c r="V109" s="274"/>
      <c r="W109" s="274"/>
      <c r="X109" s="274"/>
      <c r="Y109" s="274"/>
      <c r="Z109" s="274"/>
      <c r="AA109" s="274"/>
      <c r="AB109" s="274"/>
      <c r="AC109" s="274"/>
      <c r="AD109" s="274"/>
      <c r="AE109" s="274"/>
      <c r="AF109" s="274"/>
      <c r="AG109" s="274"/>
      <c r="AH109" s="274"/>
      <c r="AI109" s="274"/>
      <c r="AJ109" s="274"/>
      <c r="AK109" s="274"/>
      <c r="AL109" s="274"/>
      <c r="AM109" s="274"/>
      <c r="AN109" s="274"/>
      <c r="AO109" s="274"/>
      <c r="AP109" s="274"/>
      <c r="AQ109" s="274"/>
      <c r="AR109" s="274"/>
      <c r="AS109" s="274"/>
      <c r="AT109" s="274"/>
      <c r="AU109" s="274"/>
      <c r="AV109" s="274"/>
      <c r="AW109" s="274"/>
      <c r="AX109" s="274"/>
      <c r="AY109" s="274"/>
      <c r="AZ109" s="276"/>
      <c r="BA109" s="276"/>
      <c r="BB109" s="276"/>
      <c r="BC109" s="276"/>
      <c r="BD109" s="274"/>
      <c r="BE109" s="274"/>
      <c r="BF109" s="274"/>
      <c r="BG109" s="274"/>
      <c r="BH109" s="274"/>
      <c r="BI109" s="274"/>
      <c r="BJ109" s="274"/>
      <c r="BK109" s="274"/>
      <c r="BL109" s="274"/>
      <c r="BM109" s="274"/>
      <c r="BN109" s="274"/>
      <c r="BO109" s="274"/>
      <c r="BP109" s="274"/>
      <c r="BQ109" s="274"/>
      <c r="BR109" s="274"/>
      <c r="BS109" s="274"/>
      <c r="BT109" s="274"/>
      <c r="BU109" s="274"/>
      <c r="BV109" s="274"/>
      <c r="BW109" s="274"/>
      <c r="BX109" s="274"/>
      <c r="BY109" s="274"/>
      <c r="BZ109" s="274"/>
      <c r="CA109" s="274"/>
      <c r="CB109" s="274"/>
      <c r="CC109" s="274"/>
      <c r="CD109" s="274"/>
      <c r="CE109" s="274"/>
      <c r="CF109" s="274"/>
      <c r="CG109" s="274"/>
      <c r="CH109" s="274"/>
      <c r="CI109" s="274"/>
      <c r="CJ109" s="274"/>
      <c r="CK109" s="274"/>
      <c r="CL109" s="274"/>
      <c r="CM109" s="274"/>
      <c r="CN109" s="274"/>
      <c r="CO109" s="274"/>
      <c r="CP109" s="274"/>
      <c r="CQ109" s="274"/>
      <c r="CR109" s="274"/>
      <c r="CS109" s="274"/>
      <c r="CT109" s="274"/>
      <c r="CU109" s="274"/>
      <c r="CV109" s="274"/>
      <c r="CW109" s="274"/>
      <c r="CX109" s="274"/>
      <c r="CY109" s="274"/>
      <c r="CZ109" s="274"/>
      <c r="DA109" s="274"/>
      <c r="DB109" s="274"/>
      <c r="DC109" s="274"/>
      <c r="DL109" s="288"/>
      <c r="DM109" s="288"/>
      <c r="DN109" s="288"/>
      <c r="DO109" s="288"/>
      <c r="DP109" s="288"/>
      <c r="DQ109" s="288"/>
      <c r="DR109" s="288"/>
      <c r="DS109" s="288"/>
      <c r="DT109" s="288"/>
      <c r="DU109" s="288"/>
      <c r="DV109" s="288"/>
      <c r="DW109" s="288"/>
      <c r="DX109" s="288"/>
      <c r="DY109" s="288"/>
      <c r="DZ109" s="288"/>
      <c r="EA109" s="288"/>
      <c r="EB109" s="288"/>
      <c r="EC109" s="288"/>
      <c r="ED109" s="288"/>
      <c r="EE109" s="288"/>
      <c r="EF109" s="288"/>
      <c r="EG109" s="288"/>
      <c r="EH109" s="288"/>
      <c r="EI109" s="288"/>
      <c r="EJ109" s="288"/>
      <c r="EK109" s="288"/>
      <c r="EL109" s="288"/>
      <c r="EM109" s="288"/>
      <c r="EN109" s="288"/>
      <c r="EO109" s="288"/>
      <c r="EP109" s="288"/>
      <c r="EQ109" s="288"/>
      <c r="ER109" s="288"/>
      <c r="ES109" s="288"/>
      <c r="ET109" s="288"/>
      <c r="EU109" s="288"/>
      <c r="EV109" s="288"/>
      <c r="EW109" s="288"/>
    </row>
    <row r="110" spans="21:153" ht="22.5" thickBot="1">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6"/>
      <c r="BA110" s="276"/>
      <c r="BB110" s="276"/>
      <c r="BC110" s="276"/>
      <c r="BD110" s="274"/>
      <c r="BE110" s="274"/>
      <c r="BF110" s="274"/>
      <c r="BG110" s="274"/>
      <c r="BH110" s="274"/>
      <c r="BI110" s="274"/>
      <c r="BJ110" s="274"/>
      <c r="BK110" s="274"/>
      <c r="BL110" s="274"/>
      <c r="BM110" s="274"/>
      <c r="BN110" s="274"/>
      <c r="BO110" s="274"/>
      <c r="BP110" s="274"/>
      <c r="BQ110" s="274"/>
      <c r="BR110" s="274"/>
      <c r="BS110" s="274"/>
      <c r="BT110" s="274"/>
      <c r="BU110" s="274"/>
      <c r="BV110" s="274"/>
      <c r="BW110" s="274"/>
      <c r="BX110" s="274"/>
      <c r="BY110" s="274"/>
      <c r="BZ110" s="274"/>
      <c r="CA110" s="274"/>
      <c r="CB110" s="274"/>
      <c r="CC110" s="274"/>
      <c r="CD110" s="274"/>
      <c r="CE110" s="274"/>
      <c r="CF110" s="274"/>
      <c r="CG110" s="274"/>
      <c r="CH110" s="274"/>
      <c r="CI110" s="274"/>
      <c r="CJ110" s="274"/>
      <c r="CK110" s="274"/>
      <c r="CL110" s="274"/>
      <c r="CM110" s="274"/>
      <c r="CN110" s="274"/>
      <c r="CO110" s="274"/>
      <c r="CP110" s="274"/>
      <c r="CQ110" s="274"/>
      <c r="CR110" s="274"/>
      <c r="CS110" s="274"/>
      <c r="CT110" s="274"/>
      <c r="CU110" s="274"/>
      <c r="CV110" s="274"/>
      <c r="CW110" s="274"/>
      <c r="CX110" s="274"/>
      <c r="CY110" s="274"/>
      <c r="CZ110" s="274"/>
      <c r="DA110" s="274"/>
      <c r="DB110" s="274"/>
      <c r="DC110" s="274"/>
      <c r="DL110" s="288"/>
      <c r="DM110" s="288"/>
      <c r="DN110" s="288"/>
      <c r="DO110" s="288"/>
      <c r="DP110" s="288"/>
      <c r="DQ110" s="288"/>
      <c r="DR110" s="288"/>
      <c r="DS110" s="288"/>
      <c r="DT110" s="288"/>
      <c r="DU110" s="288"/>
      <c r="DV110" s="288"/>
      <c r="DW110" s="288"/>
      <c r="DX110" s="288"/>
      <c r="DY110" s="288"/>
      <c r="DZ110" s="288"/>
      <c r="EA110" s="288"/>
      <c r="EB110" s="288"/>
      <c r="EC110" s="288"/>
      <c r="ED110" s="288"/>
      <c r="EE110" s="288"/>
      <c r="EF110" s="288"/>
      <c r="EG110" s="288"/>
      <c r="EH110" s="288"/>
      <c r="EI110" s="288"/>
      <c r="EJ110" s="288"/>
      <c r="EK110" s="288"/>
      <c r="EL110" s="288"/>
      <c r="EM110" s="288"/>
      <c r="EN110" s="288"/>
      <c r="EO110" s="288"/>
      <c r="EP110" s="288"/>
      <c r="EQ110" s="388"/>
      <c r="ER110" s="288"/>
      <c r="ES110" s="288"/>
      <c r="ET110" s="288"/>
      <c r="EU110" s="288"/>
      <c r="EV110" s="288"/>
      <c r="EW110" s="288"/>
    </row>
    <row r="111" spans="21:153" ht="21.75">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6"/>
      <c r="BA111" s="276"/>
      <c r="BB111" s="276"/>
      <c r="BC111" s="276"/>
      <c r="BD111" s="274"/>
      <c r="BE111" s="274"/>
      <c r="BF111" s="274"/>
      <c r="BG111" s="274"/>
      <c r="BH111" s="274"/>
      <c r="BI111" s="274"/>
      <c r="BJ111" s="274"/>
      <c r="BK111" s="274"/>
      <c r="BL111" s="274"/>
      <c r="BM111" s="274"/>
      <c r="BN111" s="274"/>
      <c r="BO111" s="274"/>
      <c r="BP111" s="274"/>
      <c r="BQ111" s="274"/>
      <c r="BR111" s="274"/>
      <c r="BS111" s="274"/>
      <c r="BT111" s="274"/>
      <c r="BU111" s="274"/>
      <c r="BV111" s="274"/>
      <c r="BW111" s="274"/>
      <c r="BX111" s="274"/>
      <c r="BY111" s="274"/>
      <c r="BZ111" s="274"/>
      <c r="CA111" s="274"/>
      <c r="CB111" s="274"/>
      <c r="CC111" s="274"/>
      <c r="CD111" s="274"/>
      <c r="CE111" s="274"/>
      <c r="CF111" s="274"/>
      <c r="CG111" s="274"/>
      <c r="CH111" s="274"/>
      <c r="CI111" s="274"/>
      <c r="CJ111" s="274"/>
      <c r="CK111" s="274"/>
      <c r="CL111" s="274"/>
      <c r="CM111" s="274"/>
      <c r="CN111" s="274"/>
      <c r="CO111" s="274"/>
      <c r="CP111" s="274"/>
      <c r="CQ111" s="274"/>
      <c r="CR111" s="274"/>
      <c r="CS111" s="274"/>
      <c r="CT111" s="274"/>
      <c r="CU111" s="274"/>
      <c r="CV111" s="274"/>
      <c r="CW111" s="274"/>
      <c r="CX111" s="274"/>
      <c r="CY111" s="274"/>
      <c r="CZ111" s="274"/>
      <c r="DA111" s="274"/>
      <c r="DB111" s="274"/>
      <c r="DC111" s="274"/>
      <c r="DD111" s="691">
        <v>1</v>
      </c>
      <c r="DL111" s="288"/>
      <c r="DM111" s="288"/>
      <c r="DN111" s="288"/>
      <c r="DO111" s="288"/>
      <c r="DP111" s="288"/>
      <c r="DQ111" s="288"/>
      <c r="DR111" s="288"/>
      <c r="DS111" s="288"/>
      <c r="DT111" s="288"/>
      <c r="DU111" s="288"/>
      <c r="DV111" s="288"/>
      <c r="DW111" s="288"/>
      <c r="DX111" s="288"/>
      <c r="DY111" s="288"/>
      <c r="DZ111" s="288"/>
      <c r="EA111" s="288"/>
      <c r="EB111" s="288"/>
      <c r="EC111" s="288"/>
      <c r="ED111" s="288"/>
      <c r="EE111" s="288"/>
      <c r="EF111" s="288"/>
      <c r="EG111" s="288"/>
      <c r="EH111" s="288"/>
      <c r="EI111" s="288"/>
      <c r="EJ111" s="288"/>
      <c r="EK111" s="288"/>
      <c r="EL111" s="288"/>
      <c r="EM111" s="288"/>
      <c r="EN111" s="288"/>
      <c r="EO111" s="288"/>
      <c r="EP111" s="288"/>
      <c r="EQ111" s="288"/>
      <c r="ER111" s="288"/>
      <c r="ES111" s="288"/>
      <c r="ET111" s="288"/>
      <c r="EU111" s="288"/>
      <c r="EV111" s="288"/>
      <c r="EW111" s="288"/>
    </row>
    <row r="112" spans="21:153" ht="21.75">
      <c r="U112" s="274"/>
      <c r="V112" s="274"/>
      <c r="W112" s="274"/>
      <c r="X112" s="274"/>
      <c r="Y112" s="274"/>
      <c r="Z112" s="274"/>
      <c r="AA112" s="274"/>
      <c r="AB112" s="274"/>
      <c r="AC112" s="274"/>
      <c r="AD112" s="274"/>
      <c r="AE112" s="274"/>
      <c r="AF112" s="274"/>
      <c r="AG112" s="274"/>
      <c r="AH112" s="274"/>
      <c r="AI112" s="274"/>
      <c r="AJ112" s="274"/>
      <c r="AK112" s="274"/>
      <c r="AL112" s="274"/>
      <c r="AM112" s="274"/>
      <c r="AN112" s="274"/>
      <c r="AO112" s="274"/>
      <c r="AP112" s="274"/>
      <c r="AQ112" s="274"/>
      <c r="AR112" s="274"/>
      <c r="AS112" s="274"/>
      <c r="AT112" s="274"/>
      <c r="AU112" s="274"/>
      <c r="AV112" s="274"/>
      <c r="AW112" s="274"/>
      <c r="AX112" s="274"/>
      <c r="AY112" s="274"/>
      <c r="AZ112" s="276"/>
      <c r="BA112" s="276"/>
      <c r="BB112" s="276"/>
      <c r="BC112" s="276"/>
      <c r="BD112" s="274"/>
      <c r="BE112" s="274"/>
      <c r="BF112" s="274"/>
      <c r="BG112" s="274"/>
      <c r="BH112" s="274"/>
      <c r="BI112" s="274"/>
      <c r="BJ112" s="274"/>
      <c r="BK112" s="274"/>
      <c r="BL112" s="274"/>
      <c r="BM112" s="274"/>
      <c r="BN112" s="274"/>
      <c r="BO112" s="274"/>
      <c r="BP112" s="274"/>
      <c r="BQ112" s="274"/>
      <c r="BR112" s="274"/>
      <c r="BS112" s="274"/>
      <c r="BT112" s="274"/>
      <c r="BU112" s="274"/>
      <c r="BV112" s="274"/>
      <c r="BW112" s="274"/>
      <c r="BX112" s="274"/>
      <c r="BY112" s="274"/>
      <c r="BZ112" s="274"/>
      <c r="CA112" s="274"/>
      <c r="CB112" s="274"/>
      <c r="CC112" s="274"/>
      <c r="CD112" s="274"/>
      <c r="CE112" s="274"/>
      <c r="CF112" s="274"/>
      <c r="CG112" s="274"/>
      <c r="CH112" s="274"/>
      <c r="CI112" s="274"/>
      <c r="CJ112" s="274"/>
      <c r="CK112" s="274"/>
      <c r="CL112" s="274"/>
      <c r="CM112" s="274"/>
      <c r="CN112" s="274"/>
      <c r="CO112" s="274"/>
      <c r="CP112" s="274"/>
      <c r="CQ112" s="274"/>
      <c r="CR112" s="274"/>
      <c r="CS112" s="274"/>
      <c r="CT112" s="274"/>
      <c r="CU112" s="274"/>
      <c r="CV112" s="274"/>
      <c r="CW112" s="274"/>
      <c r="CX112" s="274"/>
      <c r="CY112" s="274"/>
      <c r="CZ112" s="274"/>
      <c r="DA112" s="274"/>
      <c r="DB112" s="274"/>
      <c r="DC112" s="274"/>
      <c r="DD112" s="692">
        <v>11</v>
      </c>
      <c r="DL112" s="288"/>
      <c r="DM112" s="288"/>
      <c r="DN112" s="288"/>
      <c r="DO112" s="288"/>
      <c r="DP112" s="288"/>
      <c r="DQ112" s="288"/>
      <c r="DR112" s="288"/>
      <c r="DS112" s="288"/>
      <c r="DT112" s="288"/>
      <c r="DU112" s="288"/>
      <c r="DV112" s="288"/>
      <c r="DW112" s="288"/>
      <c r="DX112" s="288"/>
      <c r="DY112" s="288"/>
      <c r="DZ112" s="288"/>
      <c r="EA112" s="288"/>
      <c r="EB112" s="288"/>
      <c r="EC112" s="288"/>
      <c r="ED112" s="288"/>
      <c r="EE112" s="288"/>
      <c r="EF112" s="288"/>
      <c r="EG112" s="288"/>
      <c r="EH112" s="288"/>
      <c r="EI112" s="288"/>
      <c r="EJ112" s="288"/>
      <c r="EK112" s="288"/>
      <c r="EL112" s="288"/>
      <c r="EM112" s="288"/>
      <c r="EN112" s="288"/>
      <c r="EO112" s="288"/>
      <c r="EP112" s="288"/>
      <c r="EQ112" s="288"/>
      <c r="ER112" s="288"/>
      <c r="ES112" s="288"/>
      <c r="ET112" s="288"/>
      <c r="EU112" s="288"/>
      <c r="EV112" s="288"/>
      <c r="EW112" s="288"/>
    </row>
    <row r="113" spans="21:153" ht="21.75">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6"/>
      <c r="BA113" s="276"/>
      <c r="BB113" s="276"/>
      <c r="BC113" s="276"/>
      <c r="BD113" s="274"/>
      <c r="BE113" s="274"/>
      <c r="BF113" s="274"/>
      <c r="BG113" s="274"/>
      <c r="BH113" s="274"/>
      <c r="BI113" s="274"/>
      <c r="BJ113" s="274"/>
      <c r="BK113" s="274"/>
      <c r="BL113" s="274"/>
      <c r="BM113" s="274"/>
      <c r="BN113" s="274"/>
      <c r="BO113" s="274"/>
      <c r="BP113" s="274"/>
      <c r="BQ113" s="274"/>
      <c r="BR113" s="274"/>
      <c r="BS113" s="274"/>
      <c r="BT113" s="274"/>
      <c r="BU113" s="274"/>
      <c r="BV113" s="274"/>
      <c r="BW113" s="274"/>
      <c r="BX113" s="274"/>
      <c r="BY113" s="274"/>
      <c r="BZ113" s="274"/>
      <c r="CA113" s="274"/>
      <c r="CB113" s="274"/>
      <c r="CC113" s="274"/>
      <c r="CD113" s="274"/>
      <c r="CE113" s="274"/>
      <c r="CF113" s="274"/>
      <c r="CG113" s="274"/>
      <c r="CH113" s="274"/>
      <c r="CI113" s="274"/>
      <c r="CJ113" s="274"/>
      <c r="CK113" s="274"/>
      <c r="CL113" s="274"/>
      <c r="CM113" s="274"/>
      <c r="CN113" s="274"/>
      <c r="CO113" s="274"/>
      <c r="CP113" s="274"/>
      <c r="CQ113" s="274"/>
      <c r="CR113" s="274"/>
      <c r="CS113" s="274"/>
      <c r="CT113" s="274"/>
      <c r="CU113" s="274"/>
      <c r="CV113" s="274"/>
      <c r="CW113" s="274"/>
      <c r="CX113" s="274"/>
      <c r="CY113" s="274"/>
      <c r="CZ113" s="274"/>
      <c r="DA113" s="274"/>
      <c r="DB113" s="274"/>
      <c r="DC113" s="274"/>
      <c r="DD113" s="692">
        <v>31</v>
      </c>
      <c r="DL113" s="288"/>
      <c r="DM113" s="288"/>
      <c r="DN113" s="288"/>
      <c r="DO113" s="288"/>
      <c r="DP113" s="288"/>
      <c r="DQ113" s="288"/>
      <c r="DR113" s="288"/>
      <c r="DS113" s="288"/>
      <c r="DT113" s="288"/>
      <c r="DU113" s="288"/>
      <c r="DV113" s="288"/>
      <c r="DW113" s="288"/>
      <c r="DX113" s="288"/>
      <c r="DY113" s="288"/>
      <c r="DZ113" s="288"/>
      <c r="EA113" s="288"/>
      <c r="EB113" s="288"/>
      <c r="EC113" s="288"/>
      <c r="ED113" s="288"/>
      <c r="EE113" s="288"/>
      <c r="EF113" s="288"/>
      <c r="EG113" s="288"/>
      <c r="EH113" s="288"/>
      <c r="EI113" s="288"/>
      <c r="EJ113" s="288"/>
      <c r="EK113" s="288"/>
      <c r="EL113" s="288"/>
      <c r="EM113" s="288"/>
      <c r="EN113" s="288"/>
      <c r="EO113" s="288"/>
      <c r="EP113" s="288"/>
      <c r="EQ113" s="288"/>
      <c r="ER113" s="288"/>
      <c r="ES113" s="288"/>
      <c r="ET113" s="288"/>
      <c r="EU113" s="288"/>
      <c r="EV113" s="288"/>
      <c r="EW113" s="288"/>
    </row>
    <row r="114" spans="21:153" ht="21.75">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6"/>
      <c r="BA114" s="276"/>
      <c r="BB114" s="276"/>
      <c r="BC114" s="276"/>
      <c r="BD114" s="274"/>
      <c r="BE114" s="274"/>
      <c r="BF114" s="274"/>
      <c r="BG114" s="274"/>
      <c r="BH114" s="274"/>
      <c r="BI114" s="274"/>
      <c r="BJ114" s="274"/>
      <c r="BK114" s="274"/>
      <c r="BL114" s="274"/>
      <c r="BM114" s="274"/>
      <c r="BN114" s="274"/>
      <c r="BO114" s="274"/>
      <c r="BP114" s="274"/>
      <c r="BQ114" s="274"/>
      <c r="BR114" s="274"/>
      <c r="BS114" s="274"/>
      <c r="BT114" s="274"/>
      <c r="BU114" s="274"/>
      <c r="BV114" s="274"/>
      <c r="BW114" s="274"/>
      <c r="BX114" s="274"/>
      <c r="BY114" s="274"/>
      <c r="BZ114" s="274"/>
      <c r="CA114" s="274"/>
      <c r="CB114" s="274"/>
      <c r="CC114" s="274"/>
      <c r="CD114" s="274"/>
      <c r="CE114" s="274"/>
      <c r="CF114" s="274"/>
      <c r="CG114" s="274"/>
      <c r="CH114" s="274"/>
      <c r="CI114" s="274"/>
      <c r="CJ114" s="274"/>
      <c r="CK114" s="274"/>
      <c r="CL114" s="274"/>
      <c r="CM114" s="274"/>
      <c r="CN114" s="274"/>
      <c r="CO114" s="274"/>
      <c r="CP114" s="274"/>
      <c r="CQ114" s="274"/>
      <c r="CR114" s="274"/>
      <c r="CS114" s="274"/>
      <c r="CT114" s="274"/>
      <c r="CU114" s="274"/>
      <c r="CV114" s="274"/>
      <c r="CW114" s="274"/>
      <c r="CX114" s="274"/>
      <c r="CY114" s="274"/>
      <c r="CZ114" s="274"/>
      <c r="DA114" s="274"/>
      <c r="DB114" s="274"/>
      <c r="DC114" s="274"/>
      <c r="DD114" s="692">
        <f>[1]!mbtool(2,17,0,1)</f>
        <v>9.5138888888888884E-2</v>
      </c>
      <c r="DL114" s="288"/>
      <c r="DM114" s="288"/>
      <c r="DN114" s="288"/>
      <c r="DO114" s="288"/>
      <c r="DP114" s="288"/>
      <c r="DQ114" s="288"/>
      <c r="DR114" s="288"/>
      <c r="DS114" s="288"/>
      <c r="DT114" s="288"/>
      <c r="DU114" s="288"/>
      <c r="DV114" s="288"/>
      <c r="DW114" s="288"/>
      <c r="DX114" s="288"/>
      <c r="DY114" s="288"/>
      <c r="DZ114" s="288"/>
      <c r="EA114" s="288"/>
      <c r="EB114" s="288"/>
      <c r="EC114" s="288"/>
      <c r="ED114" s="288"/>
      <c r="EE114" s="288"/>
      <c r="EF114" s="288"/>
      <c r="EG114" s="288"/>
      <c r="EH114" s="288"/>
      <c r="EI114" s="288"/>
      <c r="EJ114" s="288"/>
      <c r="EK114" s="288"/>
      <c r="EL114" s="288"/>
      <c r="EM114" s="288"/>
      <c r="EN114" s="288"/>
      <c r="EO114" s="288"/>
      <c r="EP114" s="288"/>
      <c r="EQ114" s="288"/>
      <c r="ER114" s="288"/>
      <c r="ES114" s="288"/>
      <c r="ET114" s="288"/>
      <c r="EU114" s="288"/>
      <c r="EV114" s="288"/>
      <c r="EW114" s="288"/>
    </row>
    <row r="115" spans="21:153" ht="21.75">
      <c r="U115" s="274"/>
      <c r="V115" s="274"/>
      <c r="W115" s="274"/>
      <c r="X115" s="274"/>
      <c r="Y115" s="274"/>
      <c r="Z115" s="274"/>
      <c r="AA115" s="274"/>
      <c r="AB115" s="274"/>
      <c r="AC115" s="274"/>
      <c r="AD115" s="274"/>
      <c r="AE115" s="274"/>
      <c r="AF115" s="274"/>
      <c r="AG115" s="274"/>
      <c r="AH115" s="274"/>
      <c r="AI115" s="274"/>
      <c r="AJ115" s="274"/>
      <c r="AK115" s="274"/>
      <c r="AL115" s="274"/>
      <c r="AM115" s="274"/>
      <c r="AN115" s="274"/>
      <c r="AO115" s="274"/>
      <c r="AP115" s="274"/>
      <c r="AQ115" s="274"/>
      <c r="AR115" s="274"/>
      <c r="AS115" s="274"/>
      <c r="AT115" s="274"/>
      <c r="AU115" s="274"/>
      <c r="AV115" s="274"/>
      <c r="AW115" s="274"/>
      <c r="AX115" s="274"/>
      <c r="AY115" s="274"/>
      <c r="AZ115" s="276"/>
      <c r="BA115" s="276"/>
      <c r="BB115" s="276"/>
      <c r="BC115" s="276"/>
      <c r="BD115" s="274"/>
      <c r="BE115" s="274"/>
      <c r="BF115" s="274"/>
      <c r="BG115" s="274"/>
      <c r="BH115" s="274"/>
      <c r="BI115" s="274"/>
      <c r="BJ115" s="274"/>
      <c r="BK115" s="274"/>
      <c r="BL115" s="274"/>
      <c r="BM115" s="274"/>
      <c r="BN115" s="274"/>
      <c r="BO115" s="274"/>
      <c r="BP115" s="274"/>
      <c r="BQ115" s="274"/>
      <c r="BR115" s="274"/>
      <c r="BS115" s="274"/>
      <c r="BT115" s="274"/>
      <c r="BU115" s="274"/>
      <c r="BV115" s="274"/>
      <c r="BW115" s="274"/>
      <c r="BX115" s="274"/>
      <c r="BY115" s="274"/>
      <c r="BZ115" s="274"/>
      <c r="CA115" s="274"/>
      <c r="CB115" s="274"/>
      <c r="CC115" s="274"/>
      <c r="CD115" s="274"/>
      <c r="CE115" s="274"/>
      <c r="CF115" s="274"/>
      <c r="CG115" s="274"/>
      <c r="CH115" s="274"/>
      <c r="CI115" s="274"/>
      <c r="CJ115" s="274"/>
      <c r="CK115" s="274"/>
      <c r="CL115" s="274"/>
      <c r="CM115" s="274"/>
      <c r="CN115" s="274"/>
      <c r="CO115" s="274"/>
      <c r="CP115" s="274"/>
      <c r="CQ115" s="274"/>
      <c r="CR115" s="274"/>
      <c r="CS115" s="274"/>
      <c r="CT115" s="274"/>
      <c r="CU115" s="274"/>
      <c r="CV115" s="274"/>
      <c r="CW115" s="274"/>
      <c r="CX115" s="274"/>
      <c r="CY115" s="274"/>
      <c r="CZ115" s="274"/>
      <c r="DA115" s="274"/>
      <c r="DB115" s="274"/>
      <c r="DC115" s="274"/>
      <c r="DD115" s="692">
        <v>35</v>
      </c>
      <c r="DL115" s="288"/>
      <c r="DM115" s="288"/>
      <c r="DN115" s="288"/>
      <c r="DO115" s="288"/>
      <c r="DP115" s="288"/>
      <c r="DQ115" s="288"/>
      <c r="DR115" s="288"/>
      <c r="DS115" s="288"/>
      <c r="DT115" s="288"/>
      <c r="DU115" s="288"/>
      <c r="DV115" s="288"/>
      <c r="DW115" s="288"/>
      <c r="DX115" s="288"/>
      <c r="DY115" s="288"/>
      <c r="DZ115" s="288"/>
      <c r="EA115" s="288"/>
      <c r="EB115" s="288"/>
      <c r="EC115" s="288"/>
      <c r="ED115" s="288"/>
      <c r="EE115" s="288"/>
      <c r="EF115" s="288"/>
      <c r="EG115" s="288"/>
      <c r="EH115" s="288"/>
      <c r="EI115" s="288"/>
      <c r="EJ115" s="288"/>
      <c r="EK115" s="288"/>
      <c r="EL115" s="288"/>
      <c r="EM115" s="288"/>
      <c r="EN115" s="288"/>
      <c r="EO115" s="288"/>
      <c r="EP115" s="288"/>
      <c r="EQ115" s="288"/>
      <c r="ER115" s="288"/>
      <c r="ES115" s="288"/>
      <c r="ET115" s="288"/>
      <c r="EU115" s="288"/>
      <c r="EV115" s="288"/>
      <c r="EW115" s="288"/>
    </row>
    <row r="116" spans="21:153" ht="21.75">
      <c r="U116" s="274"/>
      <c r="V116" s="274"/>
      <c r="W116" s="274"/>
      <c r="X116" s="274"/>
      <c r="Y116" s="274"/>
      <c r="Z116" s="274"/>
      <c r="AA116" s="274"/>
      <c r="AB116" s="274"/>
      <c r="AC116" s="274"/>
      <c r="AD116" s="274"/>
      <c r="AE116" s="274"/>
      <c r="AF116" s="274"/>
      <c r="AG116" s="274"/>
      <c r="AH116" s="274"/>
      <c r="AI116" s="274"/>
      <c r="AJ116" s="274"/>
      <c r="AK116" s="274"/>
      <c r="AL116" s="274"/>
      <c r="AM116" s="274"/>
      <c r="AN116" s="274"/>
      <c r="AO116" s="274"/>
      <c r="AP116" s="274"/>
      <c r="AQ116" s="274"/>
      <c r="AR116" s="274"/>
      <c r="AS116" s="274"/>
      <c r="AT116" s="274"/>
      <c r="AU116" s="274"/>
      <c r="AV116" s="274"/>
      <c r="AW116" s="274"/>
      <c r="AX116" s="274"/>
      <c r="AY116" s="274"/>
      <c r="AZ116" s="276"/>
      <c r="BA116" s="276"/>
      <c r="BB116" s="276"/>
      <c r="BC116" s="276"/>
      <c r="BD116" s="274"/>
      <c r="BE116" s="274"/>
      <c r="BF116" s="274"/>
      <c r="BG116" s="274"/>
      <c r="BH116" s="274"/>
      <c r="BI116" s="274"/>
      <c r="BJ116" s="274"/>
      <c r="BK116" s="274"/>
      <c r="BL116" s="274"/>
      <c r="BM116" s="274"/>
      <c r="BN116" s="274"/>
      <c r="BO116" s="274"/>
      <c r="BP116" s="274"/>
      <c r="BQ116" s="274"/>
      <c r="BR116" s="274"/>
      <c r="BS116" s="274"/>
      <c r="BT116" s="274"/>
      <c r="BU116" s="274"/>
      <c r="BV116" s="274"/>
      <c r="BW116" s="274"/>
      <c r="BX116" s="274"/>
      <c r="BY116" s="274"/>
      <c r="BZ116" s="274"/>
      <c r="CA116" s="274"/>
      <c r="CB116" s="274"/>
      <c r="CC116" s="274"/>
      <c r="CD116" s="274"/>
      <c r="CE116" s="274"/>
      <c r="CF116" s="274"/>
      <c r="CG116" s="274"/>
      <c r="CH116" s="274"/>
      <c r="CI116" s="274"/>
      <c r="CJ116" s="274"/>
      <c r="CK116" s="274"/>
      <c r="CL116" s="274"/>
      <c r="CM116" s="274"/>
      <c r="CN116" s="274"/>
      <c r="CO116" s="274"/>
      <c r="CP116" s="274"/>
      <c r="CQ116" s="274"/>
      <c r="CR116" s="274"/>
      <c r="CS116" s="274"/>
      <c r="CT116" s="274"/>
      <c r="CU116" s="274"/>
      <c r="CV116" s="274"/>
      <c r="CW116" s="274"/>
      <c r="CX116" s="274"/>
      <c r="CY116" s="274"/>
      <c r="CZ116" s="274"/>
      <c r="DA116" s="274"/>
      <c r="DB116" s="274"/>
      <c r="DC116" s="274"/>
      <c r="DD116" s="693">
        <f>[1]!taqsha(DD111,DD112,DD113,DD114)</f>
        <v>76.184346809141175</v>
      </c>
      <c r="DL116" s="288"/>
      <c r="DM116" s="288"/>
      <c r="DN116" s="288"/>
      <c r="DO116" s="288"/>
      <c r="DP116" s="288"/>
      <c r="DQ116" s="288"/>
      <c r="DR116" s="288"/>
      <c r="DS116" s="288"/>
      <c r="DT116" s="288"/>
      <c r="DU116" s="288"/>
      <c r="DV116" s="288"/>
      <c r="DW116" s="288"/>
      <c r="DX116" s="288"/>
      <c r="DY116" s="288"/>
      <c r="DZ116" s="288"/>
      <c r="EA116" s="288"/>
      <c r="EB116" s="288"/>
      <c r="EC116" s="288"/>
      <c r="ED116" s="288"/>
      <c r="EE116" s="288"/>
      <c r="EF116" s="288"/>
      <c r="EG116" s="288"/>
      <c r="EH116" s="288"/>
      <c r="EI116" s="288"/>
      <c r="EJ116" s="288"/>
      <c r="EK116" s="288"/>
      <c r="EL116" s="288"/>
      <c r="EM116" s="288"/>
      <c r="EN116" s="288"/>
      <c r="EO116" s="288"/>
      <c r="EP116" s="288"/>
      <c r="EQ116" s="288"/>
      <c r="ER116" s="288"/>
      <c r="ES116" s="288"/>
      <c r="ET116" s="288"/>
      <c r="EU116" s="288"/>
      <c r="EV116" s="288"/>
      <c r="EW116" s="288"/>
    </row>
    <row r="117" spans="21:153" ht="21.75">
      <c r="U117" s="274"/>
      <c r="V117" s="274"/>
      <c r="W117" s="274"/>
      <c r="X117" s="274"/>
      <c r="Y117" s="274"/>
      <c r="Z117" s="274"/>
      <c r="AA117" s="274"/>
      <c r="AB117" s="274"/>
      <c r="AC117" s="274"/>
      <c r="AD117" s="274"/>
      <c r="AE117" s="274"/>
      <c r="AF117" s="274"/>
      <c r="AG117" s="274"/>
      <c r="AH117" s="274"/>
      <c r="AI117" s="274"/>
      <c r="AJ117" s="274"/>
      <c r="AK117" s="274"/>
      <c r="AL117" s="274"/>
      <c r="AM117" s="274"/>
      <c r="AN117" s="274"/>
      <c r="AO117" s="274"/>
      <c r="AP117" s="274"/>
      <c r="AQ117" s="274"/>
      <c r="AR117" s="274"/>
      <c r="AS117" s="274"/>
      <c r="AT117" s="274"/>
      <c r="AU117" s="274"/>
      <c r="AV117" s="274"/>
      <c r="AW117" s="274"/>
      <c r="AX117" s="274"/>
      <c r="AY117" s="274"/>
      <c r="AZ117" s="276"/>
      <c r="BA117" s="276"/>
      <c r="BB117" s="276"/>
      <c r="BC117" s="276"/>
      <c r="BD117" s="274"/>
      <c r="BE117" s="274"/>
      <c r="BF117" s="274"/>
      <c r="BG117" s="274"/>
      <c r="BH117" s="274"/>
      <c r="BI117" s="274"/>
      <c r="BJ117" s="274"/>
      <c r="BK117" s="274"/>
      <c r="BL117" s="274"/>
      <c r="BM117" s="274"/>
      <c r="BN117" s="274"/>
      <c r="BO117" s="274"/>
      <c r="BP117" s="274"/>
      <c r="BQ117" s="274"/>
      <c r="BR117" s="274"/>
      <c r="BS117" s="274"/>
      <c r="BT117" s="274"/>
      <c r="BU117" s="274"/>
      <c r="BV117" s="274"/>
      <c r="BW117" s="274"/>
      <c r="BX117" s="274"/>
      <c r="BY117" s="274"/>
      <c r="BZ117" s="274"/>
      <c r="CA117" s="274"/>
      <c r="CB117" s="274"/>
      <c r="CC117" s="274"/>
      <c r="CD117" s="274"/>
      <c r="CE117" s="274"/>
      <c r="CF117" s="274"/>
      <c r="CG117" s="274"/>
      <c r="CH117" s="274"/>
      <c r="CI117" s="274"/>
      <c r="CJ117" s="274"/>
      <c r="CK117" s="274"/>
      <c r="CL117" s="274"/>
      <c r="CM117" s="274"/>
      <c r="CN117" s="274"/>
      <c r="CO117" s="274"/>
      <c r="CP117" s="274"/>
      <c r="CQ117" s="274"/>
      <c r="CR117" s="274"/>
      <c r="CS117" s="274"/>
      <c r="CT117" s="274"/>
      <c r="CU117" s="274"/>
      <c r="CV117" s="274"/>
      <c r="CW117" s="274"/>
      <c r="CX117" s="274"/>
      <c r="CY117" s="274"/>
      <c r="CZ117" s="274"/>
      <c r="DA117" s="274"/>
      <c r="DB117" s="274"/>
      <c r="DC117" s="274"/>
      <c r="DD117" s="692" t="e">
        <f>[1]!qsn([1]!ml(DD116),DD115)/30</f>
        <v>#VALUE!</v>
      </c>
      <c r="DL117" s="288"/>
      <c r="DM117" s="288"/>
      <c r="DN117" s="274"/>
      <c r="DO117" s="274"/>
      <c r="DP117" s="274"/>
      <c r="DQ117" s="274"/>
      <c r="DR117" s="274"/>
      <c r="DS117" s="274"/>
      <c r="DT117" s="274"/>
      <c r="DU117" s="274"/>
      <c r="DV117" s="274"/>
      <c r="DW117" s="274"/>
      <c r="DX117" s="274"/>
      <c r="DY117" s="274"/>
      <c r="DZ117" s="274"/>
      <c r="EA117" s="274"/>
      <c r="EB117" s="274"/>
      <c r="EC117" s="274"/>
      <c r="ED117" s="274"/>
      <c r="EE117" s="274"/>
      <c r="EF117" s="274"/>
      <c r="EG117" s="274"/>
      <c r="EH117" s="274"/>
      <c r="EI117" s="274"/>
      <c r="EJ117" s="274"/>
      <c r="EK117" s="274"/>
      <c r="EL117" s="274"/>
      <c r="EM117" s="274"/>
      <c r="EN117" s="274"/>
      <c r="EO117" s="274"/>
      <c r="EP117" s="274"/>
      <c r="EQ117" s="274"/>
      <c r="ER117" s="288"/>
      <c r="ES117" s="288"/>
      <c r="ET117" s="288"/>
      <c r="EU117" s="288"/>
      <c r="EV117" s="288"/>
      <c r="EW117" s="288"/>
    </row>
    <row r="118" spans="21:153" ht="21.75">
      <c r="U118" s="274"/>
      <c r="V118" s="274"/>
      <c r="W118" s="274"/>
      <c r="X118" s="274"/>
      <c r="Y118" s="274"/>
      <c r="Z118" s="274"/>
      <c r="AA118" s="274"/>
      <c r="AB118" s="274"/>
      <c r="AC118" s="274"/>
      <c r="AD118" s="274"/>
      <c r="AE118" s="274"/>
      <c r="AF118" s="274"/>
      <c r="AG118" s="274"/>
      <c r="AH118" s="274"/>
      <c r="AI118" s="274"/>
      <c r="AJ118" s="274"/>
      <c r="AK118" s="274"/>
      <c r="AL118" s="274"/>
      <c r="AM118" s="274"/>
      <c r="AN118" s="274"/>
      <c r="AO118" s="274"/>
      <c r="AP118" s="274"/>
      <c r="AQ118" s="274"/>
      <c r="AR118" s="274"/>
      <c r="AS118" s="274"/>
      <c r="AT118" s="274"/>
      <c r="AU118" s="274"/>
      <c r="AV118" s="274"/>
      <c r="AW118" s="274"/>
      <c r="AX118" s="274"/>
      <c r="AY118" s="274"/>
      <c r="AZ118" s="276"/>
      <c r="BA118" s="276"/>
      <c r="BB118" s="276"/>
      <c r="BC118" s="276"/>
      <c r="BD118" s="274"/>
      <c r="BE118" s="274"/>
      <c r="BF118" s="274"/>
      <c r="BG118" s="274"/>
      <c r="BH118" s="274"/>
      <c r="BI118" s="274"/>
      <c r="BJ118" s="274"/>
      <c r="BK118" s="274"/>
      <c r="BL118" s="274"/>
      <c r="BM118" s="274"/>
      <c r="BN118" s="274"/>
      <c r="BO118" s="274"/>
      <c r="BP118" s="274"/>
      <c r="BQ118" s="274"/>
      <c r="BR118" s="274"/>
      <c r="BS118" s="274"/>
      <c r="BT118" s="274"/>
      <c r="BU118" s="274"/>
      <c r="BV118" s="274"/>
      <c r="BW118" s="274"/>
      <c r="BX118" s="274"/>
      <c r="BY118" s="274"/>
      <c r="BZ118" s="274"/>
      <c r="CA118" s="274"/>
      <c r="CB118" s="274"/>
      <c r="CC118" s="274"/>
      <c r="CD118" s="274"/>
      <c r="CE118" s="274"/>
      <c r="CF118" s="274"/>
      <c r="CG118" s="274"/>
      <c r="CH118" s="274"/>
      <c r="CI118" s="274"/>
      <c r="CJ118" s="274"/>
      <c r="CK118" s="274"/>
      <c r="CL118" s="274"/>
      <c r="CM118" s="274"/>
      <c r="CN118" s="274"/>
      <c r="CO118" s="274"/>
      <c r="CP118" s="274"/>
      <c r="CQ118" s="274"/>
      <c r="CR118" s="274"/>
      <c r="CS118" s="274"/>
      <c r="CT118" s="274"/>
      <c r="CU118" s="274"/>
      <c r="CV118" s="274"/>
      <c r="CW118" s="274"/>
      <c r="CX118" s="274"/>
      <c r="CY118" s="274"/>
      <c r="CZ118" s="274"/>
      <c r="DA118" s="274"/>
      <c r="DB118" s="274"/>
      <c r="DC118" s="274"/>
      <c r="DD118" s="692" t="e">
        <f>[1]!taqqa(DD111,DD112,[1]!roz(DD113,DD117,0,0),DD114)</f>
        <v>#VALUE!</v>
      </c>
      <c r="DL118" s="288"/>
      <c r="DM118" s="288"/>
      <c r="DN118" s="288"/>
      <c r="DO118" s="288"/>
      <c r="DP118" s="288"/>
      <c r="DQ118" s="288"/>
      <c r="DR118" s="288"/>
      <c r="DS118" s="288"/>
      <c r="DT118" s="288"/>
      <c r="DU118" s="288"/>
      <c r="DV118" s="288"/>
      <c r="DW118" s="288"/>
      <c r="DX118" s="288"/>
      <c r="DY118" s="288"/>
      <c r="DZ118" s="288"/>
      <c r="EA118" s="288"/>
      <c r="EB118" s="288"/>
      <c r="EC118" s="288"/>
      <c r="ED118" s="288"/>
      <c r="EE118" s="288"/>
      <c r="EF118" s="288"/>
      <c r="EG118" s="288"/>
      <c r="EH118" s="288"/>
      <c r="EI118" s="288"/>
      <c r="EJ118" s="288"/>
      <c r="EK118" s="288"/>
      <c r="EL118" s="288"/>
      <c r="EM118" s="288"/>
      <c r="EN118" s="288"/>
      <c r="EO118" s="288"/>
      <c r="EP118" s="288"/>
      <c r="EQ118" s="288"/>
      <c r="ER118" s="288"/>
      <c r="ES118" s="288"/>
      <c r="ET118" s="288"/>
      <c r="EU118" s="288"/>
      <c r="EV118" s="288"/>
      <c r="EW118" s="288"/>
    </row>
    <row r="119" spans="21:153">
      <c r="U119" s="274"/>
      <c r="V119" s="274"/>
      <c r="W119" s="274"/>
      <c r="X119" s="274"/>
      <c r="Y119" s="274"/>
      <c r="Z119" s="274"/>
      <c r="AA119" s="274"/>
      <c r="AB119" s="274"/>
      <c r="AC119" s="274"/>
      <c r="AD119" s="274"/>
      <c r="AE119" s="274"/>
      <c r="AF119" s="274"/>
      <c r="AG119" s="274"/>
      <c r="AH119" s="274"/>
      <c r="AI119" s="274"/>
      <c r="AJ119" s="274"/>
      <c r="AK119" s="274"/>
      <c r="AL119" s="274"/>
      <c r="AM119" s="274"/>
      <c r="AN119" s="274"/>
      <c r="AO119" s="274"/>
      <c r="AP119" s="274"/>
      <c r="AQ119" s="274"/>
      <c r="AR119" s="274"/>
      <c r="AS119" s="274"/>
      <c r="AT119" s="274"/>
      <c r="AU119" s="274"/>
      <c r="AV119" s="274"/>
      <c r="AW119" s="274"/>
      <c r="AX119" s="274"/>
      <c r="AY119" s="274"/>
      <c r="AZ119" s="274"/>
      <c r="BA119" s="274"/>
      <c r="BB119" s="274"/>
      <c r="BC119" s="274"/>
      <c r="BD119" s="274"/>
      <c r="BE119" s="274"/>
      <c r="BF119" s="274"/>
      <c r="BG119" s="274"/>
      <c r="BH119" s="274"/>
      <c r="BI119" s="274"/>
      <c r="BJ119" s="274"/>
      <c r="BK119" s="274"/>
      <c r="BL119" s="274"/>
      <c r="BM119" s="274"/>
      <c r="BN119" s="274"/>
      <c r="BO119" s="274"/>
      <c r="BP119" s="274"/>
      <c r="BQ119" s="274"/>
      <c r="BR119" s="274"/>
      <c r="BS119" s="274"/>
      <c r="BT119" s="274"/>
      <c r="BU119" s="274"/>
      <c r="BV119" s="274"/>
      <c r="BW119" s="274"/>
      <c r="BX119" s="274"/>
      <c r="BY119" s="274"/>
      <c r="BZ119" s="274"/>
      <c r="CA119" s="274"/>
      <c r="CB119" s="274"/>
      <c r="CC119" s="274"/>
      <c r="CD119" s="274"/>
      <c r="CE119" s="274"/>
      <c r="CF119" s="274"/>
      <c r="CG119" s="274"/>
      <c r="CH119" s="274"/>
      <c r="CI119" s="274"/>
      <c r="CJ119" s="274"/>
      <c r="CK119" s="274"/>
      <c r="CL119" s="274"/>
      <c r="CM119" s="274"/>
      <c r="CN119" s="274"/>
      <c r="CO119" s="274"/>
      <c r="CP119" s="274"/>
      <c r="CQ119" s="274"/>
      <c r="CR119" s="274"/>
      <c r="CS119" s="274"/>
      <c r="CT119" s="274"/>
      <c r="CU119" s="274"/>
      <c r="CV119" s="274"/>
      <c r="CW119" s="274"/>
      <c r="CX119" s="274"/>
      <c r="CY119" s="274"/>
      <c r="CZ119" s="274"/>
      <c r="DA119" s="274"/>
      <c r="DB119" s="274"/>
      <c r="DC119" s="274"/>
      <c r="DD119" s="692" t="e">
        <f>[1]!taqsha(DD111,DD112,[1]!roz(DD113,DD117,0,0),DD114)</f>
        <v>#VALUE!</v>
      </c>
      <c r="DL119" s="288"/>
      <c r="DM119" s="288"/>
      <c r="DN119" s="288"/>
      <c r="DO119" s="288"/>
      <c r="DP119" s="288"/>
      <c r="DQ119" s="288"/>
      <c r="DR119" s="288"/>
      <c r="DS119" s="288"/>
      <c r="DT119" s="288"/>
      <c r="DU119" s="288"/>
      <c r="DV119" s="288"/>
      <c r="DW119" s="288"/>
      <c r="DX119" s="288"/>
      <c r="DY119" s="288"/>
      <c r="DZ119" s="288"/>
      <c r="EA119" s="288"/>
      <c r="EB119" s="288"/>
      <c r="EC119" s="288"/>
      <c r="ED119" s="288"/>
      <c r="EE119" s="288"/>
      <c r="EF119" s="288"/>
      <c r="EG119" s="288"/>
      <c r="EH119" s="288"/>
      <c r="EI119" s="288"/>
      <c r="EJ119" s="288"/>
      <c r="EK119" s="288"/>
      <c r="EL119" s="288"/>
      <c r="EM119" s="288"/>
      <c r="EN119" s="288"/>
      <c r="EO119" s="288"/>
      <c r="EP119" s="288"/>
      <c r="EQ119" s="288"/>
      <c r="ER119" s="288"/>
      <c r="ES119" s="288"/>
      <c r="ET119" s="288"/>
      <c r="EU119" s="288"/>
      <c r="EV119" s="288"/>
      <c r="EW119" s="288"/>
    </row>
    <row r="120" spans="21:153">
      <c r="U120" s="274"/>
      <c r="V120" s="274"/>
      <c r="W120" s="274"/>
      <c r="X120" s="274"/>
      <c r="Y120" s="274"/>
      <c r="Z120" s="274"/>
      <c r="AA120" s="274"/>
      <c r="AB120" s="274"/>
      <c r="AC120" s="274"/>
      <c r="AD120" s="274"/>
      <c r="AE120" s="274"/>
      <c r="AF120" s="274"/>
      <c r="AG120" s="274"/>
      <c r="AH120" s="274"/>
      <c r="AI120" s="274"/>
      <c r="AJ120" s="274"/>
      <c r="AK120" s="274"/>
      <c r="AL120" s="274"/>
      <c r="AM120" s="274"/>
      <c r="AN120" s="274"/>
      <c r="AO120" s="274"/>
      <c r="AP120" s="274"/>
      <c r="AQ120" s="274"/>
      <c r="AR120" s="274"/>
      <c r="AS120" s="274"/>
      <c r="AT120" s="274"/>
      <c r="AU120" s="274"/>
      <c r="AV120" s="274"/>
      <c r="AW120" s="274"/>
      <c r="AX120" s="274"/>
      <c r="AY120" s="274"/>
      <c r="AZ120" s="274"/>
      <c r="BA120" s="274"/>
      <c r="BB120" s="274"/>
      <c r="BC120" s="274"/>
      <c r="BD120" s="274"/>
      <c r="BE120" s="274"/>
      <c r="BF120" s="274"/>
      <c r="BG120" s="274"/>
      <c r="BH120" s="274"/>
      <c r="BI120" s="274"/>
      <c r="BJ120" s="274"/>
      <c r="BK120" s="274"/>
      <c r="BL120" s="274"/>
      <c r="BM120" s="274"/>
      <c r="BN120" s="274"/>
      <c r="BO120" s="274"/>
      <c r="BP120" s="274"/>
      <c r="BQ120" s="274"/>
      <c r="BR120" s="274"/>
      <c r="BS120" s="274"/>
      <c r="BT120" s="274"/>
      <c r="BU120" s="274"/>
      <c r="BV120" s="274"/>
      <c r="BW120" s="274"/>
      <c r="BX120" s="274"/>
      <c r="BY120" s="274"/>
      <c r="BZ120" s="274"/>
      <c r="CA120" s="274"/>
      <c r="CB120" s="274"/>
      <c r="CC120" s="274"/>
      <c r="CD120" s="274"/>
      <c r="CE120" s="274"/>
      <c r="CF120" s="274"/>
      <c r="CG120" s="274"/>
      <c r="CH120" s="274"/>
      <c r="CI120" s="274"/>
      <c r="CJ120" s="274"/>
      <c r="CK120" s="274"/>
      <c r="CL120" s="274"/>
      <c r="CM120" s="274"/>
      <c r="CN120" s="274"/>
      <c r="CO120" s="274"/>
      <c r="CP120" s="274"/>
      <c r="CQ120" s="274"/>
      <c r="CR120" s="274"/>
      <c r="CS120" s="274"/>
      <c r="CT120" s="274"/>
      <c r="CU120" s="274"/>
      <c r="CV120" s="274"/>
      <c r="CW120" s="274"/>
      <c r="CX120" s="274"/>
      <c r="CY120" s="274"/>
      <c r="CZ120" s="274"/>
      <c r="DA120" s="274"/>
      <c r="DB120" s="274"/>
      <c r="DC120" s="274"/>
      <c r="DD120" s="694">
        <v>30</v>
      </c>
      <c r="DL120" s="288"/>
      <c r="DM120" s="288"/>
      <c r="DN120" s="288"/>
      <c r="DO120" s="288"/>
      <c r="DP120" s="288"/>
      <c r="DQ120" s="288"/>
      <c r="DR120" s="288"/>
      <c r="DS120" s="288"/>
      <c r="DT120" s="288"/>
      <c r="DU120" s="288"/>
      <c r="DV120" s="288"/>
      <c r="DW120" s="288"/>
      <c r="DX120" s="288"/>
      <c r="DY120" s="288"/>
      <c r="DZ120" s="288"/>
      <c r="EA120" s="288"/>
      <c r="EB120" s="288"/>
      <c r="EC120" s="288"/>
      <c r="ED120" s="288"/>
      <c r="EE120" s="288"/>
      <c r="EF120" s="288"/>
      <c r="EG120" s="288"/>
      <c r="EH120" s="288"/>
      <c r="EI120" s="288"/>
      <c r="EJ120" s="288"/>
      <c r="EK120" s="288"/>
      <c r="EL120" s="288"/>
      <c r="EM120" s="288"/>
      <c r="EN120" s="288"/>
      <c r="EO120" s="288"/>
      <c r="EP120" s="288"/>
      <c r="EQ120" s="288"/>
      <c r="ER120" s="288"/>
      <c r="ES120" s="288"/>
      <c r="ET120" s="288"/>
      <c r="EU120" s="288"/>
      <c r="EV120" s="288"/>
      <c r="EW120" s="288"/>
    </row>
    <row r="121" spans="21:153" ht="15.75" thickBot="1">
      <c r="U121" s="274"/>
      <c r="V121" s="274"/>
      <c r="W121" s="274"/>
      <c r="X121" s="274"/>
      <c r="Y121" s="274"/>
      <c r="Z121" s="274"/>
      <c r="AA121" s="274"/>
      <c r="AB121" s="274"/>
      <c r="AC121" s="274"/>
      <c r="AD121" s="274"/>
      <c r="AE121" s="274"/>
      <c r="AF121" s="274"/>
      <c r="AG121" s="274"/>
      <c r="AH121" s="274"/>
      <c r="AI121" s="274"/>
      <c r="AJ121" s="274"/>
      <c r="AK121" s="274"/>
      <c r="AL121" s="274"/>
      <c r="AM121" s="274"/>
      <c r="AN121" s="274"/>
      <c r="AO121" s="274"/>
      <c r="AP121" s="274"/>
      <c r="AQ121" s="274"/>
      <c r="AR121" s="274"/>
      <c r="AS121" s="274"/>
      <c r="AT121" s="274"/>
      <c r="AU121" s="274"/>
      <c r="AV121" s="274"/>
      <c r="AW121" s="274"/>
      <c r="AX121" s="274"/>
      <c r="AY121" s="274"/>
      <c r="AZ121" s="274"/>
      <c r="BA121" s="274"/>
      <c r="BB121" s="274"/>
      <c r="BC121" s="274"/>
      <c r="BD121" s="274"/>
      <c r="BE121" s="274"/>
      <c r="BF121" s="274"/>
      <c r="BG121" s="274"/>
      <c r="BH121" s="274"/>
      <c r="BI121" s="274"/>
      <c r="BJ121" s="274"/>
      <c r="BK121" s="274"/>
      <c r="BL121" s="274"/>
      <c r="BM121" s="274"/>
      <c r="BN121" s="274"/>
      <c r="BO121" s="274"/>
      <c r="BP121" s="274"/>
      <c r="BQ121" s="274"/>
      <c r="BR121" s="274"/>
      <c r="BS121" s="274"/>
      <c r="BT121" s="274"/>
      <c r="BU121" s="274"/>
      <c r="BV121" s="274"/>
      <c r="BW121" s="274"/>
      <c r="BX121" s="274"/>
      <c r="BY121" s="274"/>
      <c r="BZ121" s="274"/>
      <c r="CA121" s="274"/>
      <c r="CB121" s="274"/>
      <c r="CC121" s="274"/>
      <c r="CD121" s="274"/>
      <c r="CE121" s="274"/>
      <c r="CF121" s="274"/>
      <c r="CG121" s="274"/>
      <c r="CH121" s="274"/>
      <c r="CI121" s="274"/>
      <c r="CJ121" s="274"/>
      <c r="CK121" s="274"/>
      <c r="CL121" s="274"/>
      <c r="CM121" s="274"/>
      <c r="CN121" s="274"/>
      <c r="CO121" s="274"/>
      <c r="CP121" s="274"/>
      <c r="CQ121" s="274"/>
      <c r="CR121" s="274"/>
      <c r="CS121" s="274"/>
      <c r="CT121" s="274"/>
      <c r="CU121" s="274"/>
      <c r="CV121" s="274"/>
      <c r="CW121" s="274"/>
      <c r="CX121" s="274"/>
      <c r="CY121" s="274"/>
      <c r="CZ121" s="274"/>
      <c r="DA121" s="274"/>
      <c r="DB121" s="274"/>
      <c r="DC121" s="274"/>
      <c r="DD121" s="695" t="e">
        <f>DD118-DD119</f>
        <v>#VALUE!</v>
      </c>
      <c r="DL121" s="288"/>
      <c r="DM121" s="288"/>
      <c r="DN121" s="288"/>
      <c r="DO121" s="288"/>
      <c r="DP121" s="288"/>
      <c r="DQ121" s="288"/>
      <c r="DR121" s="288"/>
      <c r="DS121" s="288"/>
      <c r="DT121" s="288"/>
      <c r="DU121" s="288"/>
      <c r="DV121" s="288"/>
      <c r="DW121" s="288"/>
      <c r="DX121" s="288"/>
      <c r="DY121" s="288"/>
      <c r="DZ121" s="288"/>
      <c r="EA121" s="288"/>
      <c r="EB121" s="288"/>
      <c r="EC121" s="288"/>
      <c r="ED121" s="288"/>
      <c r="EE121" s="288"/>
      <c r="EF121" s="288"/>
      <c r="EG121" s="288"/>
      <c r="EH121" s="288"/>
      <c r="EI121" s="288"/>
      <c r="EJ121" s="288"/>
      <c r="EK121" s="288"/>
      <c r="EL121" s="288"/>
      <c r="EM121" s="288"/>
      <c r="EN121" s="288"/>
      <c r="EO121" s="288"/>
      <c r="EP121" s="288"/>
      <c r="EQ121" s="388"/>
      <c r="ER121" s="288"/>
      <c r="ES121" s="288"/>
      <c r="ET121" s="288"/>
      <c r="EU121" s="288"/>
      <c r="EV121" s="288"/>
      <c r="EW121" s="288"/>
    </row>
    <row r="122" spans="21:153">
      <c r="U122" s="274"/>
      <c r="V122" s="274"/>
      <c r="W122" s="274"/>
      <c r="X122" s="274"/>
      <c r="Y122" s="274"/>
      <c r="Z122" s="274"/>
      <c r="AA122" s="274"/>
      <c r="AB122" s="274"/>
      <c r="AC122" s="274"/>
      <c r="AD122" s="274"/>
      <c r="AE122" s="274"/>
      <c r="AF122" s="274"/>
      <c r="AG122" s="274"/>
      <c r="AH122" s="274"/>
      <c r="AI122" s="274"/>
      <c r="AJ122" s="274"/>
      <c r="AK122" s="274"/>
      <c r="AL122" s="274"/>
      <c r="AM122" s="274"/>
      <c r="AN122" s="274"/>
      <c r="AO122" s="274"/>
      <c r="AP122" s="274"/>
      <c r="AQ122" s="274"/>
      <c r="AR122" s="274"/>
      <c r="AS122" s="274"/>
      <c r="AT122" s="274"/>
      <c r="AU122" s="274"/>
      <c r="AV122" s="274"/>
      <c r="AW122" s="274"/>
      <c r="AX122" s="274"/>
      <c r="AY122" s="274"/>
      <c r="AZ122" s="274"/>
      <c r="BA122" s="274"/>
      <c r="BB122" s="274"/>
      <c r="BC122" s="274"/>
      <c r="BD122" s="274"/>
      <c r="BE122" s="274"/>
      <c r="BF122" s="274"/>
      <c r="BG122" s="274"/>
      <c r="BH122" s="274"/>
      <c r="BI122" s="274"/>
      <c r="BJ122" s="274"/>
      <c r="BK122" s="274"/>
      <c r="BL122" s="274"/>
      <c r="BM122" s="274"/>
      <c r="BN122" s="274"/>
      <c r="BO122" s="274"/>
      <c r="BP122" s="274"/>
      <c r="BQ122" s="274"/>
      <c r="BR122" s="274"/>
      <c r="BS122" s="274"/>
      <c r="BT122" s="274"/>
      <c r="BU122" s="274"/>
      <c r="BV122" s="274"/>
      <c r="BW122" s="274"/>
      <c r="BX122" s="274"/>
      <c r="BY122" s="274"/>
      <c r="BZ122" s="274"/>
      <c r="CA122" s="274"/>
      <c r="CB122" s="274"/>
      <c r="CC122" s="274"/>
      <c r="CD122" s="274"/>
      <c r="CE122" s="274"/>
      <c r="CF122" s="274"/>
      <c r="CG122" s="274"/>
      <c r="CH122" s="274"/>
      <c r="CI122" s="274"/>
      <c r="CJ122" s="274"/>
      <c r="CK122" s="274"/>
      <c r="CL122" s="274"/>
      <c r="CM122" s="274"/>
      <c r="CN122" s="274"/>
      <c r="CO122" s="274"/>
      <c r="CP122" s="274"/>
      <c r="CQ122" s="274"/>
      <c r="CR122" s="274"/>
      <c r="CS122" s="274"/>
      <c r="CT122" s="274"/>
      <c r="CU122" s="274"/>
      <c r="CV122" s="274"/>
      <c r="CW122" s="274"/>
      <c r="CX122" s="274"/>
      <c r="CY122" s="274"/>
      <c r="CZ122" s="274"/>
      <c r="DA122" s="274"/>
      <c r="DB122" s="274"/>
      <c r="DC122" s="274"/>
      <c r="DL122" s="288"/>
      <c r="DM122" s="288"/>
      <c r="DN122" s="288"/>
      <c r="DO122" s="288"/>
      <c r="DP122" s="288"/>
      <c r="DQ122" s="288"/>
      <c r="DR122" s="288"/>
      <c r="DS122" s="288"/>
      <c r="DT122" s="288"/>
      <c r="DU122" s="288"/>
      <c r="DV122" s="288"/>
      <c r="DW122" s="288"/>
      <c r="DX122" s="288"/>
      <c r="DY122" s="288"/>
      <c r="DZ122" s="288"/>
      <c r="EA122" s="288"/>
      <c r="EB122" s="288"/>
      <c r="EC122" s="288"/>
      <c r="ED122" s="288"/>
      <c r="EE122" s="288"/>
      <c r="EF122" s="288"/>
      <c r="EG122" s="288"/>
      <c r="EH122" s="288"/>
      <c r="EI122" s="288"/>
      <c r="EJ122" s="288"/>
      <c r="EK122" s="288"/>
      <c r="EL122" s="288"/>
      <c r="EM122" s="288"/>
      <c r="EN122" s="288"/>
      <c r="EO122" s="288"/>
      <c r="EP122" s="288"/>
      <c r="EQ122" s="288"/>
      <c r="ER122" s="288"/>
      <c r="ES122" s="288"/>
      <c r="ET122" s="288"/>
      <c r="EU122" s="288"/>
      <c r="EV122" s="288"/>
      <c r="EW122" s="288"/>
    </row>
    <row r="123" spans="21:153">
      <c r="U123" s="274"/>
      <c r="V123" s="274"/>
      <c r="W123" s="274"/>
      <c r="X123" s="274"/>
      <c r="Y123" s="274"/>
      <c r="Z123" s="274"/>
      <c r="AA123" s="274"/>
      <c r="AB123" s="274"/>
      <c r="AC123" s="274"/>
      <c r="AD123" s="274"/>
      <c r="AE123" s="274"/>
      <c r="AF123" s="274"/>
      <c r="AG123" s="274"/>
      <c r="AH123" s="274"/>
      <c r="AI123" s="274"/>
      <c r="AJ123" s="274"/>
      <c r="AK123" s="274"/>
      <c r="AL123" s="274"/>
      <c r="AM123" s="274"/>
      <c r="AN123" s="274"/>
      <c r="AO123" s="274"/>
      <c r="AP123" s="274"/>
      <c r="AQ123" s="274"/>
      <c r="AR123" s="274"/>
      <c r="AS123" s="274"/>
      <c r="AT123" s="274"/>
      <c r="AU123" s="274"/>
      <c r="AV123" s="274"/>
      <c r="AW123" s="274"/>
      <c r="AX123" s="274"/>
      <c r="AY123" s="274"/>
      <c r="AZ123" s="274"/>
      <c r="BA123" s="274"/>
      <c r="BB123" s="274"/>
      <c r="BC123" s="274"/>
      <c r="BD123" s="274"/>
      <c r="BE123" s="274"/>
      <c r="BF123" s="274"/>
      <c r="BG123" s="274"/>
      <c r="BH123" s="274"/>
      <c r="BI123" s="274"/>
      <c r="BJ123" s="274"/>
      <c r="BK123" s="274"/>
      <c r="BL123" s="274"/>
      <c r="BM123" s="274"/>
      <c r="BN123" s="274"/>
      <c r="BO123" s="274"/>
      <c r="BP123" s="274"/>
      <c r="BQ123" s="274"/>
      <c r="BR123" s="274"/>
      <c r="BS123" s="274"/>
      <c r="BT123" s="274"/>
      <c r="BU123" s="274"/>
      <c r="BV123" s="274"/>
      <c r="BW123" s="274"/>
      <c r="BX123" s="274"/>
      <c r="BY123" s="274"/>
      <c r="BZ123" s="274"/>
      <c r="CA123" s="274"/>
      <c r="CB123" s="274"/>
      <c r="CC123" s="274"/>
      <c r="CD123" s="274"/>
      <c r="CE123" s="274"/>
      <c r="CF123" s="274"/>
      <c r="CG123" s="274"/>
      <c r="CH123" s="274"/>
      <c r="CI123" s="274"/>
      <c r="CJ123" s="274"/>
      <c r="CK123" s="274"/>
      <c r="CL123" s="274"/>
      <c r="CM123" s="274"/>
      <c r="CN123" s="274"/>
      <c r="CO123" s="274"/>
      <c r="CP123" s="274"/>
      <c r="CQ123" s="274"/>
      <c r="CR123" s="274"/>
      <c r="CS123" s="274"/>
      <c r="CT123" s="274"/>
      <c r="CU123" s="274"/>
      <c r="CV123" s="274"/>
      <c r="CW123" s="274"/>
      <c r="CX123" s="274"/>
      <c r="CY123" s="274"/>
      <c r="CZ123" s="274"/>
      <c r="DA123" s="274"/>
      <c r="DB123" s="274"/>
      <c r="DC123" s="274"/>
      <c r="DL123" s="288"/>
      <c r="DM123" s="288"/>
      <c r="DN123" s="288"/>
      <c r="DO123" s="288"/>
      <c r="DP123" s="288"/>
      <c r="DQ123" s="288"/>
      <c r="DR123" s="288"/>
      <c r="DS123" s="288"/>
      <c r="DT123" s="288"/>
      <c r="DU123" s="288"/>
      <c r="DV123" s="288"/>
      <c r="DW123" s="288"/>
      <c r="DX123" s="288"/>
      <c r="DY123" s="288"/>
      <c r="DZ123" s="288"/>
      <c r="EA123" s="288"/>
      <c r="EB123" s="288"/>
      <c r="EC123" s="288"/>
      <c r="ED123" s="288"/>
      <c r="EE123" s="288"/>
      <c r="EF123" s="288"/>
      <c r="EG123" s="288"/>
      <c r="EH123" s="288"/>
      <c r="EI123" s="288"/>
      <c r="EJ123" s="288"/>
      <c r="EK123" s="288"/>
      <c r="EL123" s="288"/>
      <c r="EM123" s="288"/>
      <c r="EN123" s="288"/>
      <c r="EO123" s="288"/>
      <c r="EP123" s="288"/>
      <c r="EQ123" s="288"/>
      <c r="ER123" s="288"/>
      <c r="ES123" s="288"/>
      <c r="ET123" s="288"/>
      <c r="EU123" s="288"/>
      <c r="EV123" s="288"/>
      <c r="EW123" s="288"/>
    </row>
    <row r="124" spans="21:153" ht="21.75">
      <c r="U124" s="274"/>
      <c r="V124" s="274"/>
      <c r="W124" s="274"/>
      <c r="X124" s="274"/>
      <c r="Y124" s="274"/>
      <c r="Z124" s="274"/>
      <c r="AA124" s="274"/>
      <c r="AB124" s="274"/>
      <c r="AC124" s="274"/>
      <c r="AD124" s="274"/>
      <c r="AE124" s="274"/>
      <c r="AF124" s="274"/>
      <c r="AG124" s="274"/>
      <c r="AH124" s="274"/>
      <c r="AI124" s="274"/>
      <c r="AJ124" s="274"/>
      <c r="AK124" s="274"/>
      <c r="AL124" s="274"/>
      <c r="AM124" s="274"/>
      <c r="AN124" s="274"/>
      <c r="AO124" s="274"/>
      <c r="AP124" s="274"/>
      <c r="AQ124" s="274"/>
      <c r="AR124" s="274"/>
      <c r="AS124" s="274"/>
      <c r="AT124" s="274"/>
      <c r="AU124" s="274"/>
      <c r="AV124" s="274"/>
      <c r="AW124" s="274"/>
      <c r="AX124" s="274"/>
      <c r="AY124" s="274"/>
      <c r="AZ124" s="276"/>
      <c r="BA124" s="276"/>
      <c r="BB124" s="276"/>
      <c r="BC124" s="276"/>
      <c r="BD124" s="274"/>
      <c r="BE124" s="274"/>
      <c r="BF124" s="274"/>
      <c r="BG124" s="274"/>
      <c r="BH124" s="274"/>
      <c r="BI124" s="274"/>
      <c r="BJ124" s="274"/>
      <c r="BK124" s="274"/>
      <c r="BL124" s="274"/>
      <c r="BM124" s="274"/>
      <c r="BN124" s="274"/>
      <c r="BO124" s="274"/>
      <c r="BP124" s="274"/>
      <c r="BQ124" s="274"/>
      <c r="BR124" s="274"/>
      <c r="BS124" s="274"/>
      <c r="BT124" s="274"/>
      <c r="BU124" s="274"/>
      <c r="BV124" s="274"/>
      <c r="BW124" s="274"/>
      <c r="BX124" s="274"/>
      <c r="BY124" s="274"/>
      <c r="BZ124" s="274"/>
      <c r="CA124" s="274"/>
      <c r="CB124" s="274"/>
      <c r="CC124" s="274"/>
      <c r="CD124" s="274"/>
      <c r="CE124" s="274"/>
      <c r="CF124" s="274"/>
      <c r="CG124" s="274"/>
      <c r="CH124" s="274"/>
      <c r="CI124" s="274"/>
      <c r="CJ124" s="274"/>
      <c r="CK124" s="274"/>
      <c r="CL124" s="274"/>
      <c r="CM124" s="274"/>
      <c r="CN124" s="274"/>
      <c r="CO124" s="274"/>
      <c r="CP124" s="274"/>
      <c r="CQ124" s="274"/>
      <c r="CR124" s="274"/>
      <c r="CS124" s="274"/>
      <c r="CT124" s="274"/>
      <c r="CU124" s="274"/>
      <c r="CV124" s="274"/>
      <c r="CW124" s="274"/>
      <c r="CX124" s="274"/>
      <c r="CY124" s="274"/>
      <c r="CZ124" s="274"/>
      <c r="DA124" s="274"/>
      <c r="DB124" s="274"/>
      <c r="DC124" s="274"/>
      <c r="DL124" s="288"/>
      <c r="DM124" s="288"/>
      <c r="DN124" s="288"/>
      <c r="DO124" s="288"/>
      <c r="DP124" s="288"/>
      <c r="DQ124" s="288"/>
      <c r="DR124" s="288"/>
      <c r="DS124" s="288"/>
      <c r="DT124" s="288"/>
      <c r="DU124" s="288"/>
      <c r="DV124" s="288"/>
      <c r="DW124" s="288"/>
      <c r="DX124" s="288"/>
      <c r="DY124" s="288"/>
      <c r="DZ124" s="288"/>
      <c r="EA124" s="288"/>
      <c r="EB124" s="288"/>
      <c r="EC124" s="288"/>
      <c r="ED124" s="288"/>
      <c r="EE124" s="288"/>
      <c r="EF124" s="288"/>
      <c r="EG124" s="288"/>
      <c r="EH124" s="288"/>
      <c r="EI124" s="288"/>
      <c r="EJ124" s="288"/>
      <c r="EK124" s="288"/>
      <c r="EL124" s="288"/>
      <c r="EM124" s="288"/>
      <c r="EN124" s="288"/>
      <c r="EO124" s="288"/>
      <c r="EP124" s="288"/>
      <c r="EQ124" s="288"/>
      <c r="ER124" s="288"/>
      <c r="ES124" s="288"/>
      <c r="ET124" s="288"/>
      <c r="EU124" s="288"/>
      <c r="EV124" s="288"/>
      <c r="EW124" s="288"/>
    </row>
    <row r="125" spans="21:153" ht="21.75">
      <c r="U125" s="274"/>
      <c r="V125" s="274"/>
      <c r="W125" s="274"/>
      <c r="X125" s="274"/>
      <c r="Y125" s="274"/>
      <c r="Z125" s="274"/>
      <c r="AA125" s="274"/>
      <c r="AB125" s="274"/>
      <c r="AC125" s="274"/>
      <c r="AD125" s="274"/>
      <c r="AE125" s="274"/>
      <c r="AF125" s="274"/>
      <c r="AG125" s="274"/>
      <c r="AH125" s="274"/>
      <c r="AI125" s="274"/>
      <c r="AJ125" s="274"/>
      <c r="AK125" s="274"/>
      <c r="AL125" s="274"/>
      <c r="AM125" s="274"/>
      <c r="AN125" s="274"/>
      <c r="AO125" s="274"/>
      <c r="AP125" s="274"/>
      <c r="AQ125" s="274"/>
      <c r="AR125" s="274"/>
      <c r="AS125" s="274"/>
      <c r="AT125" s="274"/>
      <c r="AU125" s="274"/>
      <c r="AV125" s="274"/>
      <c r="AW125" s="274"/>
      <c r="AX125" s="274"/>
      <c r="AY125" s="274"/>
      <c r="AZ125" s="276"/>
      <c r="BA125" s="276"/>
      <c r="BB125" s="276"/>
      <c r="BC125" s="276"/>
      <c r="BD125" s="274"/>
      <c r="BE125" s="274"/>
      <c r="BF125" s="274"/>
      <c r="BG125" s="274"/>
      <c r="BH125" s="274"/>
      <c r="BI125" s="274"/>
      <c r="BJ125" s="274"/>
      <c r="BK125" s="274"/>
      <c r="BL125" s="274"/>
      <c r="BM125" s="274"/>
      <c r="BN125" s="274"/>
      <c r="BO125" s="274"/>
      <c r="BP125" s="274"/>
      <c r="BQ125" s="274"/>
      <c r="BR125" s="274"/>
      <c r="BS125" s="274"/>
      <c r="BT125" s="274"/>
      <c r="BU125" s="274"/>
      <c r="BV125" s="274"/>
      <c r="BW125" s="274"/>
      <c r="BX125" s="274"/>
      <c r="BY125" s="274"/>
      <c r="BZ125" s="274"/>
      <c r="CA125" s="274"/>
      <c r="CB125" s="274"/>
      <c r="CC125" s="274"/>
      <c r="CD125" s="274"/>
      <c r="CE125" s="274"/>
      <c r="CF125" s="274"/>
      <c r="CG125" s="274"/>
      <c r="CH125" s="274"/>
      <c r="CI125" s="274"/>
      <c r="CJ125" s="274"/>
      <c r="CK125" s="274"/>
      <c r="CL125" s="274"/>
      <c r="CM125" s="274"/>
      <c r="CN125" s="274"/>
      <c r="CO125" s="274"/>
      <c r="CP125" s="274"/>
      <c r="CQ125" s="274"/>
      <c r="CR125" s="274"/>
      <c r="CS125" s="274"/>
      <c r="CT125" s="274"/>
      <c r="CU125" s="274"/>
      <c r="CV125" s="274"/>
      <c r="CW125" s="274"/>
      <c r="CX125" s="274"/>
      <c r="CY125" s="274"/>
      <c r="CZ125" s="274"/>
      <c r="DA125" s="274"/>
      <c r="DB125" s="274"/>
      <c r="DC125" s="274"/>
      <c r="DL125" s="288"/>
      <c r="DM125" s="288"/>
      <c r="DN125" s="288"/>
      <c r="DO125" s="288"/>
      <c r="DP125" s="288"/>
      <c r="DQ125" s="288"/>
      <c r="DR125" s="288"/>
      <c r="DS125" s="288"/>
      <c r="DT125" s="288"/>
      <c r="DU125" s="288"/>
      <c r="DV125" s="288"/>
      <c r="DW125" s="288"/>
      <c r="DX125" s="288"/>
      <c r="DY125" s="288"/>
      <c r="DZ125" s="288"/>
      <c r="EA125" s="288"/>
      <c r="EB125" s="288"/>
      <c r="EC125" s="288"/>
      <c r="ED125" s="288"/>
      <c r="EE125" s="288"/>
      <c r="EF125" s="288"/>
      <c r="EG125" s="288"/>
      <c r="EH125" s="288"/>
      <c r="EI125" s="288"/>
      <c r="EJ125" s="288"/>
      <c r="EK125" s="288"/>
      <c r="EL125" s="288"/>
      <c r="EM125" s="288"/>
      <c r="EN125" s="288"/>
      <c r="EO125" s="288"/>
      <c r="EP125" s="288"/>
      <c r="EQ125" s="288"/>
      <c r="ER125" s="288"/>
      <c r="ES125" s="288"/>
      <c r="ET125" s="288"/>
      <c r="EU125" s="288"/>
      <c r="EV125" s="288"/>
      <c r="EW125" s="288"/>
    </row>
    <row r="126" spans="21:153" ht="21.75">
      <c r="U126" s="274"/>
      <c r="V126" s="274"/>
      <c r="W126" s="274"/>
      <c r="X126" s="274"/>
      <c r="Y126" s="274"/>
      <c r="Z126" s="274"/>
      <c r="AA126" s="274"/>
      <c r="AB126" s="274"/>
      <c r="AC126" s="274"/>
      <c r="AD126" s="274"/>
      <c r="AE126" s="274"/>
      <c r="AF126" s="274"/>
      <c r="AG126" s="274"/>
      <c r="AH126" s="274"/>
      <c r="AI126" s="274"/>
      <c r="AJ126" s="274"/>
      <c r="AK126" s="274"/>
      <c r="AL126" s="274"/>
      <c r="AM126" s="274"/>
      <c r="AN126" s="274"/>
      <c r="AO126" s="274"/>
      <c r="AP126" s="274"/>
      <c r="AQ126" s="274"/>
      <c r="AR126" s="274"/>
      <c r="AS126" s="274"/>
      <c r="AT126" s="274"/>
      <c r="AU126" s="274"/>
      <c r="AV126" s="274"/>
      <c r="AW126" s="274"/>
      <c r="AX126" s="274"/>
      <c r="AY126" s="274"/>
      <c r="AZ126" s="276"/>
      <c r="BA126" s="276"/>
      <c r="BB126" s="276"/>
      <c r="BC126" s="276"/>
      <c r="BD126" s="274"/>
      <c r="BE126" s="274"/>
      <c r="BF126" s="274"/>
      <c r="BG126" s="274"/>
      <c r="BH126" s="274"/>
      <c r="BI126" s="274"/>
      <c r="BJ126" s="274"/>
      <c r="BK126" s="274"/>
      <c r="BL126" s="274"/>
      <c r="BM126" s="274"/>
      <c r="BN126" s="274"/>
      <c r="BO126" s="274"/>
      <c r="BP126" s="274"/>
      <c r="BQ126" s="274"/>
      <c r="BR126" s="274"/>
      <c r="BS126" s="274"/>
      <c r="BT126" s="274"/>
      <c r="BU126" s="274"/>
      <c r="BV126" s="274"/>
      <c r="BW126" s="274"/>
      <c r="BX126" s="274"/>
      <c r="BY126" s="274"/>
      <c r="BZ126" s="274"/>
      <c r="CA126" s="274"/>
      <c r="CB126" s="274"/>
      <c r="CC126" s="274"/>
      <c r="CD126" s="274"/>
      <c r="CE126" s="274"/>
      <c r="CF126" s="274"/>
      <c r="CG126" s="274"/>
      <c r="CH126" s="274"/>
      <c r="CI126" s="274"/>
      <c r="CJ126" s="274"/>
      <c r="CK126" s="274"/>
      <c r="CL126" s="274"/>
      <c r="CM126" s="274"/>
      <c r="CN126" s="274"/>
      <c r="CO126" s="274"/>
      <c r="CP126" s="274"/>
      <c r="CQ126" s="274"/>
      <c r="CR126" s="274"/>
      <c r="CS126" s="274"/>
      <c r="CT126" s="274"/>
      <c r="CU126" s="274"/>
      <c r="CV126" s="274"/>
      <c r="CW126" s="274"/>
      <c r="CX126" s="274"/>
      <c r="CY126" s="274"/>
      <c r="CZ126" s="274"/>
      <c r="DA126" s="274"/>
      <c r="DB126" s="274"/>
      <c r="DC126" s="274"/>
      <c r="DL126" s="288"/>
      <c r="DM126" s="288"/>
      <c r="DN126" s="288"/>
      <c r="DO126" s="288"/>
      <c r="DP126" s="288"/>
      <c r="DQ126" s="288"/>
      <c r="DR126" s="288"/>
      <c r="DS126" s="288"/>
      <c r="DT126" s="288"/>
      <c r="DU126" s="288"/>
      <c r="DV126" s="288"/>
      <c r="DW126" s="288"/>
      <c r="DX126" s="288"/>
      <c r="DY126" s="288"/>
      <c r="DZ126" s="288"/>
      <c r="EA126" s="288"/>
      <c r="EB126" s="288"/>
      <c r="EC126" s="288"/>
      <c r="ED126" s="288"/>
      <c r="EE126" s="288"/>
      <c r="EF126" s="288"/>
      <c r="EG126" s="288"/>
      <c r="EH126" s="288"/>
      <c r="EI126" s="288"/>
      <c r="EJ126" s="288"/>
      <c r="EK126" s="288"/>
      <c r="EL126" s="288"/>
      <c r="EM126" s="288"/>
      <c r="EN126" s="288"/>
      <c r="EO126" s="288"/>
      <c r="EP126" s="288"/>
      <c r="EQ126" s="288"/>
      <c r="ER126" s="288"/>
      <c r="ES126" s="288"/>
      <c r="ET126" s="288"/>
      <c r="EU126" s="288"/>
      <c r="EV126" s="288"/>
      <c r="EW126" s="288"/>
    </row>
    <row r="127" spans="21:153" ht="21.75">
      <c r="U127" s="274"/>
      <c r="V127" s="274"/>
      <c r="W127" s="274"/>
      <c r="X127" s="274"/>
      <c r="Y127" s="274"/>
      <c r="Z127" s="274"/>
      <c r="AA127" s="274"/>
      <c r="AB127" s="274"/>
      <c r="AC127" s="274"/>
      <c r="AD127" s="274"/>
      <c r="AE127" s="274"/>
      <c r="AF127" s="274"/>
      <c r="AG127" s="274"/>
      <c r="AH127" s="274"/>
      <c r="AI127" s="274"/>
      <c r="AJ127" s="274"/>
      <c r="AK127" s="274"/>
      <c r="AL127" s="274"/>
      <c r="AM127" s="274"/>
      <c r="AN127" s="274"/>
      <c r="AO127" s="274"/>
      <c r="AP127" s="274"/>
      <c r="AQ127" s="274"/>
      <c r="AR127" s="274"/>
      <c r="AS127" s="274"/>
      <c r="AT127" s="274"/>
      <c r="AU127" s="274"/>
      <c r="AV127" s="274"/>
      <c r="AW127" s="274"/>
      <c r="AX127" s="274"/>
      <c r="AY127" s="274"/>
      <c r="AZ127" s="276"/>
      <c r="BA127" s="276"/>
      <c r="BB127" s="276"/>
      <c r="BC127" s="276"/>
      <c r="BD127" s="274"/>
      <c r="BE127" s="274"/>
      <c r="BF127" s="274"/>
      <c r="BG127" s="274"/>
      <c r="BH127" s="274"/>
      <c r="BI127" s="274"/>
      <c r="BJ127" s="274"/>
      <c r="BK127" s="274"/>
      <c r="BL127" s="274"/>
      <c r="BM127" s="274"/>
      <c r="BN127" s="274"/>
      <c r="BO127" s="274"/>
      <c r="BP127" s="274"/>
      <c r="BQ127" s="274"/>
      <c r="BR127" s="274"/>
      <c r="BS127" s="274"/>
      <c r="BT127" s="274"/>
      <c r="BU127" s="274"/>
      <c r="BV127" s="274"/>
      <c r="BW127" s="274"/>
      <c r="BX127" s="274"/>
      <c r="BY127" s="274"/>
      <c r="BZ127" s="274"/>
      <c r="CA127" s="274"/>
      <c r="CB127" s="274"/>
      <c r="CC127" s="274"/>
      <c r="CD127" s="274"/>
      <c r="CE127" s="274"/>
      <c r="CF127" s="274"/>
      <c r="CG127" s="274"/>
      <c r="CH127" s="274"/>
      <c r="CI127" s="274"/>
      <c r="CJ127" s="274"/>
      <c r="CK127" s="274"/>
      <c r="CL127" s="274"/>
      <c r="CM127" s="274"/>
      <c r="CN127" s="274"/>
      <c r="CO127" s="274"/>
      <c r="CP127" s="274"/>
      <c r="CQ127" s="274"/>
      <c r="CR127" s="274"/>
      <c r="CS127" s="274"/>
      <c r="CT127" s="274"/>
      <c r="CU127" s="274"/>
      <c r="CV127" s="274"/>
      <c r="CW127" s="274"/>
      <c r="CX127" s="274"/>
      <c r="CY127" s="274"/>
      <c r="CZ127" s="274"/>
      <c r="DA127" s="274"/>
      <c r="DB127" s="274"/>
      <c r="DC127" s="274"/>
      <c r="DL127" s="288"/>
      <c r="DM127" s="288"/>
      <c r="DN127" s="288"/>
      <c r="DO127" s="288"/>
      <c r="DP127" s="288"/>
      <c r="DQ127" s="288"/>
      <c r="DR127" s="288"/>
      <c r="DS127" s="288"/>
      <c r="DT127" s="288"/>
      <c r="DU127" s="288"/>
      <c r="DV127" s="288"/>
      <c r="DW127" s="288"/>
      <c r="DX127" s="288"/>
      <c r="DY127" s="288"/>
      <c r="DZ127" s="288"/>
      <c r="EA127" s="288"/>
      <c r="EB127" s="288"/>
      <c r="EC127" s="288"/>
      <c r="ED127" s="288"/>
      <c r="EE127" s="288"/>
      <c r="EF127" s="288"/>
      <c r="EG127" s="288"/>
      <c r="EH127" s="288"/>
      <c r="EI127" s="288"/>
      <c r="EJ127" s="288"/>
      <c r="EK127" s="288"/>
      <c r="EL127" s="288"/>
      <c r="EM127" s="288"/>
      <c r="EN127" s="288"/>
      <c r="EO127" s="288"/>
      <c r="EP127" s="288"/>
      <c r="EQ127" s="288"/>
      <c r="ER127" s="288"/>
      <c r="ES127" s="288"/>
      <c r="ET127" s="288"/>
      <c r="EU127" s="288"/>
      <c r="EV127" s="288"/>
      <c r="EW127" s="288"/>
    </row>
    <row r="128" spans="21:153" ht="21.75">
      <c r="U128" s="274"/>
      <c r="V128" s="274"/>
      <c r="W128" s="274"/>
      <c r="X128" s="274"/>
      <c r="Y128" s="274"/>
      <c r="Z128" s="274"/>
      <c r="AA128" s="274"/>
      <c r="AB128" s="274"/>
      <c r="AC128" s="274"/>
      <c r="AD128" s="274"/>
      <c r="AE128" s="274"/>
      <c r="AF128" s="274"/>
      <c r="AG128" s="274"/>
      <c r="AH128" s="274"/>
      <c r="AI128" s="274"/>
      <c r="AJ128" s="274"/>
      <c r="AK128" s="274"/>
      <c r="AL128" s="274"/>
      <c r="AM128" s="274"/>
      <c r="AN128" s="274"/>
      <c r="AO128" s="274"/>
      <c r="AP128" s="274"/>
      <c r="AQ128" s="274"/>
      <c r="AR128" s="274"/>
      <c r="AS128" s="274"/>
      <c r="AT128" s="274"/>
      <c r="AU128" s="274"/>
      <c r="AV128" s="274"/>
      <c r="AW128" s="274"/>
      <c r="AX128" s="274"/>
      <c r="AY128" s="274"/>
      <c r="AZ128" s="276"/>
      <c r="BA128" s="276"/>
      <c r="BB128" s="276"/>
      <c r="BC128" s="276"/>
      <c r="BD128" s="274"/>
      <c r="BE128" s="274"/>
      <c r="BF128" s="274"/>
      <c r="BG128" s="274"/>
      <c r="BH128" s="274"/>
      <c r="BI128" s="274"/>
      <c r="BJ128" s="274"/>
      <c r="BK128" s="274"/>
      <c r="BL128" s="274"/>
      <c r="BM128" s="274"/>
      <c r="BN128" s="274"/>
      <c r="BO128" s="274"/>
      <c r="BP128" s="274"/>
      <c r="BQ128" s="274"/>
      <c r="BR128" s="274"/>
      <c r="BS128" s="274"/>
      <c r="BT128" s="274"/>
      <c r="BU128" s="274"/>
      <c r="BV128" s="274"/>
      <c r="BW128" s="274"/>
      <c r="BX128" s="274"/>
      <c r="BY128" s="274"/>
      <c r="BZ128" s="274"/>
      <c r="CA128" s="274"/>
      <c r="CB128" s="274"/>
      <c r="CC128" s="274"/>
      <c r="CD128" s="274"/>
      <c r="CE128" s="274"/>
      <c r="CF128" s="274"/>
      <c r="CG128" s="274"/>
      <c r="CH128" s="274"/>
      <c r="CI128" s="274"/>
      <c r="CJ128" s="274"/>
      <c r="CK128" s="274"/>
      <c r="CL128" s="274"/>
      <c r="CM128" s="274"/>
      <c r="CN128" s="274"/>
      <c r="CO128" s="274"/>
      <c r="CP128" s="274"/>
      <c r="CQ128" s="274"/>
      <c r="CR128" s="274"/>
      <c r="CS128" s="274"/>
      <c r="CT128" s="274"/>
      <c r="CU128" s="274"/>
      <c r="CV128" s="274"/>
      <c r="CW128" s="274"/>
      <c r="CX128" s="274"/>
      <c r="CY128" s="274"/>
      <c r="CZ128" s="274"/>
      <c r="DA128" s="274"/>
      <c r="DB128" s="274"/>
      <c r="DC128" s="274"/>
      <c r="DL128" s="288"/>
      <c r="DM128" s="288"/>
      <c r="DN128" s="274"/>
      <c r="DO128" s="274"/>
      <c r="DP128" s="274"/>
      <c r="DQ128" s="274"/>
      <c r="DR128" s="274"/>
      <c r="DS128" s="274"/>
      <c r="DT128" s="274"/>
      <c r="DU128" s="274"/>
      <c r="DV128" s="274"/>
      <c r="DW128" s="274"/>
      <c r="DX128" s="274"/>
      <c r="DY128" s="274"/>
      <c r="DZ128" s="274"/>
      <c r="EA128" s="274"/>
      <c r="EB128" s="274"/>
      <c r="EC128" s="274"/>
      <c r="ED128" s="274"/>
      <c r="EE128" s="274"/>
      <c r="EF128" s="274"/>
      <c r="EG128" s="274"/>
      <c r="EH128" s="274"/>
      <c r="EI128" s="274"/>
      <c r="EJ128" s="274"/>
      <c r="EK128" s="274"/>
      <c r="EL128" s="274"/>
      <c r="EM128" s="274"/>
      <c r="EN128" s="274"/>
      <c r="EO128" s="274"/>
      <c r="EP128" s="274"/>
      <c r="EQ128" s="274"/>
      <c r="ER128" s="288"/>
      <c r="ES128" s="288"/>
      <c r="ET128" s="288"/>
      <c r="EU128" s="288"/>
      <c r="EV128" s="288"/>
      <c r="EW128" s="288"/>
    </row>
    <row r="129" spans="21:153" ht="21.75">
      <c r="U129" s="274"/>
      <c r="V129" s="274"/>
      <c r="W129" s="274"/>
      <c r="X129" s="274"/>
      <c r="Y129" s="274"/>
      <c r="Z129" s="274"/>
      <c r="AA129" s="274"/>
      <c r="AB129" s="274"/>
      <c r="AC129" s="274"/>
      <c r="AD129" s="274"/>
      <c r="AE129" s="274"/>
      <c r="AF129" s="274"/>
      <c r="AG129" s="274"/>
      <c r="AH129" s="274"/>
      <c r="AI129" s="274"/>
      <c r="AJ129" s="274"/>
      <c r="AK129" s="274"/>
      <c r="AL129" s="274"/>
      <c r="AM129" s="274"/>
      <c r="AN129" s="274"/>
      <c r="AO129" s="274"/>
      <c r="AP129" s="274"/>
      <c r="AQ129" s="274"/>
      <c r="AR129" s="274"/>
      <c r="AS129" s="274"/>
      <c r="AT129" s="274"/>
      <c r="AU129" s="274"/>
      <c r="AV129" s="274"/>
      <c r="AW129" s="274"/>
      <c r="AX129" s="274"/>
      <c r="AY129" s="274"/>
      <c r="AZ129" s="276"/>
      <c r="BA129" s="276"/>
      <c r="BB129" s="276"/>
      <c r="BC129" s="276"/>
      <c r="BD129" s="274"/>
      <c r="BE129" s="274"/>
      <c r="BF129" s="274"/>
      <c r="BG129" s="274"/>
      <c r="BH129" s="274"/>
      <c r="BI129" s="274"/>
      <c r="BJ129" s="274"/>
      <c r="BK129" s="274"/>
      <c r="BL129" s="274"/>
      <c r="BM129" s="274"/>
      <c r="BN129" s="274"/>
      <c r="BO129" s="274"/>
      <c r="BP129" s="274"/>
      <c r="BQ129" s="274"/>
      <c r="BR129" s="274"/>
      <c r="BS129" s="274"/>
      <c r="BT129" s="274"/>
      <c r="BU129" s="274"/>
      <c r="BV129" s="274"/>
      <c r="BW129" s="274"/>
      <c r="BX129" s="274"/>
      <c r="BY129" s="274"/>
      <c r="BZ129" s="274"/>
      <c r="CA129" s="274"/>
      <c r="CB129" s="274"/>
      <c r="CC129" s="274"/>
      <c r="CD129" s="274"/>
      <c r="CE129" s="274"/>
      <c r="CF129" s="274"/>
      <c r="CG129" s="274"/>
      <c r="CH129" s="274"/>
      <c r="CI129" s="274"/>
      <c r="CJ129" s="274"/>
      <c r="CK129" s="274"/>
      <c r="CL129" s="274"/>
      <c r="CM129" s="274"/>
      <c r="CN129" s="274"/>
      <c r="CO129" s="274"/>
      <c r="CP129" s="274"/>
      <c r="CQ129" s="274"/>
      <c r="CR129" s="274"/>
      <c r="CS129" s="274"/>
      <c r="CT129" s="274"/>
      <c r="CU129" s="274"/>
      <c r="CV129" s="274"/>
      <c r="CW129" s="274"/>
      <c r="CX129" s="274"/>
      <c r="CY129" s="274"/>
      <c r="CZ129" s="274"/>
      <c r="DA129" s="274"/>
      <c r="DB129" s="274"/>
      <c r="DC129" s="274"/>
      <c r="DL129" s="288"/>
      <c r="DM129" s="288"/>
      <c r="DN129" s="288"/>
      <c r="DO129" s="288"/>
      <c r="DP129" s="288"/>
      <c r="DQ129" s="288"/>
      <c r="DR129" s="288"/>
      <c r="DS129" s="288"/>
      <c r="DT129" s="288"/>
      <c r="DU129" s="288"/>
      <c r="DV129" s="288"/>
      <c r="DW129" s="288"/>
      <c r="DX129" s="288"/>
      <c r="DY129" s="288"/>
      <c r="DZ129" s="288"/>
      <c r="EA129" s="288"/>
      <c r="EB129" s="288"/>
      <c r="EC129" s="288"/>
      <c r="ED129" s="288"/>
      <c r="EE129" s="288"/>
      <c r="EF129" s="288"/>
      <c r="EG129" s="288"/>
      <c r="EH129" s="288"/>
      <c r="EI129" s="288"/>
      <c r="EJ129" s="288"/>
      <c r="EK129" s="288"/>
      <c r="EL129" s="288"/>
      <c r="EM129" s="288"/>
      <c r="EN129" s="288"/>
      <c r="EO129" s="288"/>
      <c r="EP129" s="288"/>
      <c r="EQ129" s="288"/>
      <c r="ER129" s="288"/>
      <c r="ES129" s="288"/>
      <c r="ET129" s="288"/>
      <c r="EU129" s="288"/>
      <c r="EV129" s="288"/>
      <c r="EW129" s="288"/>
    </row>
    <row r="130" spans="21:153" ht="21.75">
      <c r="U130" s="274"/>
      <c r="V130" s="274"/>
      <c r="W130" s="274"/>
      <c r="X130" s="274"/>
      <c r="Y130" s="274"/>
      <c r="Z130" s="274"/>
      <c r="AA130" s="274"/>
      <c r="AB130" s="274"/>
      <c r="AC130" s="274"/>
      <c r="AD130" s="274"/>
      <c r="AE130" s="274"/>
      <c r="AF130" s="274"/>
      <c r="AG130" s="274"/>
      <c r="AH130" s="274"/>
      <c r="AI130" s="274"/>
      <c r="AJ130" s="274"/>
      <c r="AK130" s="274"/>
      <c r="AL130" s="274"/>
      <c r="AM130" s="274"/>
      <c r="AN130" s="274"/>
      <c r="AO130" s="274"/>
      <c r="AP130" s="274"/>
      <c r="AQ130" s="274"/>
      <c r="AR130" s="274"/>
      <c r="AS130" s="274"/>
      <c r="AT130" s="274"/>
      <c r="AU130" s="274"/>
      <c r="AV130" s="274"/>
      <c r="AW130" s="274"/>
      <c r="AX130" s="274"/>
      <c r="AY130" s="274"/>
      <c r="AZ130" s="276"/>
      <c r="BA130" s="276"/>
      <c r="BB130" s="276"/>
      <c r="BC130" s="276"/>
      <c r="BD130" s="274"/>
      <c r="BE130" s="274"/>
      <c r="BF130" s="274"/>
      <c r="BG130" s="274"/>
      <c r="BH130" s="274"/>
      <c r="BI130" s="274"/>
      <c r="BJ130" s="274"/>
      <c r="BK130" s="274"/>
      <c r="BL130" s="274"/>
      <c r="BM130" s="274"/>
      <c r="BN130" s="274"/>
      <c r="BO130" s="274"/>
      <c r="BP130" s="274"/>
      <c r="BQ130" s="274"/>
      <c r="BR130" s="274"/>
      <c r="BS130" s="274"/>
      <c r="BT130" s="274"/>
      <c r="BU130" s="274"/>
      <c r="BV130" s="274"/>
      <c r="BW130" s="274"/>
      <c r="BX130" s="274"/>
      <c r="BY130" s="274"/>
      <c r="BZ130" s="274"/>
      <c r="CA130" s="274"/>
      <c r="CB130" s="274"/>
      <c r="CC130" s="274"/>
      <c r="CD130" s="274"/>
      <c r="CE130" s="274"/>
      <c r="CF130" s="274"/>
      <c r="CG130" s="274"/>
      <c r="CH130" s="274"/>
      <c r="CI130" s="274"/>
      <c r="CJ130" s="274"/>
      <c r="CK130" s="274"/>
      <c r="CL130" s="274"/>
      <c r="CM130" s="274"/>
      <c r="CN130" s="274"/>
      <c r="CO130" s="274"/>
      <c r="CP130" s="274"/>
      <c r="CQ130" s="274"/>
      <c r="CR130" s="274"/>
      <c r="CS130" s="274"/>
      <c r="CT130" s="274"/>
      <c r="CU130" s="274"/>
      <c r="CV130" s="274"/>
      <c r="CW130" s="274"/>
      <c r="CX130" s="274"/>
      <c r="CY130" s="274"/>
      <c r="CZ130" s="274"/>
      <c r="DA130" s="274"/>
      <c r="DB130" s="274"/>
      <c r="DC130" s="274"/>
      <c r="DL130" s="288"/>
      <c r="DM130" s="288"/>
      <c r="DN130" s="288"/>
      <c r="DO130" s="288"/>
      <c r="DP130" s="288"/>
      <c r="DQ130" s="288"/>
      <c r="DR130" s="288"/>
      <c r="DS130" s="288"/>
      <c r="DT130" s="288"/>
      <c r="DU130" s="288"/>
      <c r="DV130" s="288"/>
      <c r="DW130" s="288"/>
      <c r="DX130" s="288"/>
      <c r="DY130" s="288"/>
      <c r="DZ130" s="288"/>
      <c r="EA130" s="288"/>
      <c r="EB130" s="288"/>
      <c r="EC130" s="288"/>
      <c r="ED130" s="288"/>
      <c r="EE130" s="288"/>
      <c r="EF130" s="288"/>
      <c r="EG130" s="288"/>
      <c r="EH130" s="288"/>
      <c r="EI130" s="288"/>
      <c r="EJ130" s="288"/>
      <c r="EK130" s="288"/>
      <c r="EL130" s="288"/>
      <c r="EM130" s="288"/>
      <c r="EN130" s="288"/>
      <c r="EO130" s="288"/>
      <c r="EP130" s="288"/>
      <c r="EQ130" s="288"/>
      <c r="ER130" s="288"/>
      <c r="ES130" s="288"/>
      <c r="ET130" s="288"/>
      <c r="EU130" s="288"/>
      <c r="EV130" s="288"/>
      <c r="EW130" s="288"/>
    </row>
    <row r="131" spans="21:153" ht="21.75">
      <c r="U131" s="274"/>
      <c r="V131" s="274"/>
      <c r="W131" s="274"/>
      <c r="X131" s="274"/>
      <c r="Y131" s="274"/>
      <c r="Z131" s="274"/>
      <c r="AA131" s="274"/>
      <c r="AB131" s="274"/>
      <c r="AC131" s="274"/>
      <c r="AD131" s="274"/>
      <c r="AE131" s="274"/>
      <c r="AF131" s="274"/>
      <c r="AG131" s="274"/>
      <c r="AH131" s="274"/>
      <c r="AI131" s="274"/>
      <c r="AJ131" s="274"/>
      <c r="AK131" s="274"/>
      <c r="AL131" s="274"/>
      <c r="AM131" s="274"/>
      <c r="AN131" s="274"/>
      <c r="AO131" s="274"/>
      <c r="AP131" s="274"/>
      <c r="AQ131" s="274"/>
      <c r="AR131" s="274"/>
      <c r="AS131" s="274"/>
      <c r="AT131" s="274"/>
      <c r="AU131" s="274"/>
      <c r="AV131" s="274"/>
      <c r="AW131" s="274"/>
      <c r="AX131" s="274"/>
      <c r="AY131" s="274"/>
      <c r="AZ131" s="276"/>
      <c r="BA131" s="276"/>
      <c r="BB131" s="276"/>
      <c r="BC131" s="276"/>
      <c r="BD131" s="274"/>
      <c r="BE131" s="274"/>
      <c r="BF131" s="274"/>
      <c r="BG131" s="274"/>
      <c r="BH131" s="274"/>
      <c r="BI131" s="274"/>
      <c r="BJ131" s="274"/>
      <c r="BK131" s="274"/>
      <c r="BL131" s="274"/>
      <c r="BM131" s="274"/>
      <c r="BN131" s="274"/>
      <c r="BO131" s="274"/>
      <c r="BP131" s="274"/>
      <c r="BQ131" s="274"/>
      <c r="BR131" s="274"/>
      <c r="BS131" s="274"/>
      <c r="BT131" s="274"/>
      <c r="BU131" s="274"/>
      <c r="BV131" s="274"/>
      <c r="BW131" s="274"/>
      <c r="BX131" s="274"/>
      <c r="BY131" s="274"/>
      <c r="BZ131" s="274"/>
      <c r="CA131" s="274"/>
      <c r="CB131" s="274"/>
      <c r="CC131" s="274"/>
      <c r="CD131" s="274"/>
      <c r="CE131" s="274"/>
      <c r="CF131" s="274"/>
      <c r="CG131" s="274"/>
      <c r="CH131" s="274"/>
      <c r="CI131" s="274"/>
      <c r="CJ131" s="274"/>
      <c r="CK131" s="274"/>
      <c r="CL131" s="274"/>
      <c r="CM131" s="274"/>
      <c r="CN131" s="274"/>
      <c r="CO131" s="274"/>
      <c r="CP131" s="274"/>
      <c r="CQ131" s="274"/>
      <c r="CR131" s="274"/>
      <c r="CS131" s="274"/>
      <c r="CT131" s="274"/>
      <c r="CU131" s="274"/>
      <c r="CV131" s="274"/>
      <c r="CW131" s="274"/>
      <c r="CX131" s="274"/>
      <c r="CY131" s="274"/>
      <c r="CZ131" s="274"/>
      <c r="DA131" s="274"/>
      <c r="DB131" s="274"/>
      <c r="DC131" s="274"/>
      <c r="DL131" s="288"/>
      <c r="DM131" s="288"/>
      <c r="DN131" s="288"/>
      <c r="DO131" s="288"/>
      <c r="DP131" s="288"/>
      <c r="DQ131" s="288"/>
      <c r="DR131" s="288"/>
      <c r="DS131" s="288"/>
      <c r="DT131" s="288"/>
      <c r="DU131" s="288"/>
      <c r="DV131" s="288"/>
      <c r="DW131" s="288"/>
      <c r="DX131" s="288"/>
      <c r="DY131" s="288"/>
      <c r="DZ131" s="288"/>
      <c r="EA131" s="288"/>
      <c r="EB131" s="288"/>
      <c r="EC131" s="288"/>
      <c r="ED131" s="288"/>
      <c r="EE131" s="288"/>
      <c r="EF131" s="288"/>
      <c r="EG131" s="288"/>
      <c r="EH131" s="288"/>
      <c r="EI131" s="288"/>
      <c r="EJ131" s="288"/>
      <c r="EK131" s="288"/>
      <c r="EL131" s="288"/>
      <c r="EM131" s="288"/>
      <c r="EN131" s="288"/>
      <c r="EO131" s="288"/>
      <c r="EP131" s="288"/>
      <c r="EQ131" s="288"/>
      <c r="ER131" s="288"/>
      <c r="ES131" s="288"/>
      <c r="ET131" s="288"/>
      <c r="EU131" s="288"/>
      <c r="EV131" s="288"/>
      <c r="EW131" s="288"/>
    </row>
    <row r="132" spans="21:153" ht="21.75">
      <c r="U132" s="274"/>
      <c r="V132" s="274"/>
      <c r="W132" s="274"/>
      <c r="X132" s="274"/>
      <c r="Y132" s="274"/>
      <c r="Z132" s="274"/>
      <c r="AA132" s="274"/>
      <c r="AB132" s="274"/>
      <c r="AC132" s="274"/>
      <c r="AD132" s="274"/>
      <c r="AE132" s="274"/>
      <c r="AF132" s="274"/>
      <c r="AG132" s="274"/>
      <c r="AH132" s="274"/>
      <c r="AI132" s="274"/>
      <c r="AJ132" s="274"/>
      <c r="AK132" s="274"/>
      <c r="AL132" s="274"/>
      <c r="AM132" s="274"/>
      <c r="AN132" s="274"/>
      <c r="AO132" s="274"/>
      <c r="AP132" s="274"/>
      <c r="AQ132" s="274"/>
      <c r="AR132" s="274"/>
      <c r="AS132" s="274"/>
      <c r="AT132" s="274"/>
      <c r="AU132" s="274"/>
      <c r="AV132" s="274"/>
      <c r="AW132" s="274"/>
      <c r="AX132" s="274"/>
      <c r="AY132" s="274"/>
      <c r="AZ132" s="276"/>
      <c r="BA132" s="276"/>
      <c r="BB132" s="276"/>
      <c r="BC132" s="276"/>
      <c r="BD132" s="274"/>
      <c r="BE132" s="274"/>
      <c r="BF132" s="274"/>
      <c r="BG132" s="274"/>
      <c r="BH132" s="274"/>
      <c r="BI132" s="274"/>
      <c r="BJ132" s="274"/>
      <c r="BK132" s="274"/>
      <c r="BL132" s="274"/>
      <c r="BM132" s="274"/>
      <c r="BN132" s="274"/>
      <c r="BO132" s="274"/>
      <c r="BP132" s="274"/>
      <c r="BQ132" s="274"/>
      <c r="BR132" s="274"/>
      <c r="BS132" s="274"/>
      <c r="BT132" s="274"/>
      <c r="BU132" s="274"/>
      <c r="BV132" s="274"/>
      <c r="BW132" s="274"/>
      <c r="BX132" s="274"/>
      <c r="BY132" s="274"/>
      <c r="BZ132" s="274"/>
      <c r="CA132" s="274"/>
      <c r="CB132" s="274"/>
      <c r="CC132" s="274"/>
      <c r="CD132" s="274"/>
      <c r="CE132" s="274"/>
      <c r="CF132" s="274"/>
      <c r="CG132" s="274"/>
      <c r="CH132" s="274"/>
      <c r="CI132" s="274"/>
      <c r="CJ132" s="274"/>
      <c r="CK132" s="274"/>
      <c r="CL132" s="274"/>
      <c r="CM132" s="274"/>
      <c r="CN132" s="274"/>
      <c r="CO132" s="274"/>
      <c r="CP132" s="274"/>
      <c r="CQ132" s="274"/>
      <c r="CR132" s="274"/>
      <c r="CS132" s="274"/>
      <c r="CT132" s="274"/>
      <c r="CU132" s="274"/>
      <c r="CV132" s="274"/>
      <c r="CW132" s="274"/>
      <c r="CX132" s="274"/>
      <c r="CY132" s="274"/>
      <c r="CZ132" s="274"/>
      <c r="DA132" s="274"/>
      <c r="DB132" s="274"/>
      <c r="DC132" s="274"/>
      <c r="DL132" s="288"/>
      <c r="DM132" s="288"/>
      <c r="DN132" s="288"/>
      <c r="DO132" s="288"/>
      <c r="DP132" s="288"/>
      <c r="DQ132" s="288"/>
      <c r="DR132" s="288"/>
      <c r="DS132" s="288"/>
      <c r="DT132" s="288"/>
      <c r="DU132" s="288"/>
      <c r="DV132" s="288"/>
      <c r="DW132" s="288"/>
      <c r="DX132" s="288"/>
      <c r="DY132" s="288"/>
      <c r="DZ132" s="288"/>
      <c r="EA132" s="288"/>
      <c r="EB132" s="288"/>
      <c r="EC132" s="288"/>
      <c r="ED132" s="288"/>
      <c r="EE132" s="288"/>
      <c r="EF132" s="288"/>
      <c r="EG132" s="288"/>
      <c r="EH132" s="288"/>
      <c r="EI132" s="288"/>
      <c r="EJ132" s="288"/>
      <c r="EK132" s="288"/>
      <c r="EL132" s="288"/>
      <c r="EM132" s="288"/>
      <c r="EN132" s="288"/>
      <c r="EO132" s="288"/>
      <c r="EP132" s="288"/>
      <c r="EQ132" s="388"/>
      <c r="ER132" s="288"/>
      <c r="ES132" s="288"/>
      <c r="ET132" s="288"/>
      <c r="EU132" s="288"/>
      <c r="EV132" s="288"/>
      <c r="EW132" s="288"/>
    </row>
    <row r="133" spans="21:153" ht="21.75">
      <c r="AP133" s="33"/>
      <c r="AQ133" s="33"/>
      <c r="AR133" s="33"/>
      <c r="AS133" s="33"/>
      <c r="AT133" s="33"/>
      <c r="AU133" s="33"/>
      <c r="AV133" s="33"/>
      <c r="AW133" s="33"/>
      <c r="AX133" s="33"/>
      <c r="AY133" s="33"/>
      <c r="AZ133" s="192"/>
      <c r="BA133" s="192"/>
      <c r="BB133" s="192"/>
      <c r="BC133" s="192"/>
      <c r="CE133" s="274"/>
      <c r="DL133" s="288"/>
      <c r="DM133" s="288"/>
      <c r="DN133" s="288"/>
      <c r="DO133" s="288"/>
      <c r="DP133" s="288"/>
      <c r="DQ133" s="288"/>
      <c r="DR133" s="288"/>
      <c r="DS133" s="288"/>
      <c r="DT133" s="288"/>
      <c r="DU133" s="288"/>
      <c r="DV133" s="288"/>
      <c r="DW133" s="288"/>
      <c r="DX133" s="288"/>
      <c r="DY133" s="288"/>
      <c r="DZ133" s="288"/>
      <c r="EA133" s="288"/>
      <c r="EB133" s="288"/>
      <c r="EC133" s="288"/>
      <c r="ED133" s="288"/>
      <c r="EE133" s="288"/>
      <c r="EF133" s="288"/>
      <c r="EG133" s="288"/>
      <c r="EH133" s="288"/>
      <c r="EI133" s="288"/>
      <c r="EJ133" s="288"/>
      <c r="EK133" s="288"/>
      <c r="EL133" s="288"/>
      <c r="EM133" s="288"/>
      <c r="EN133" s="288"/>
      <c r="EO133" s="288"/>
      <c r="EP133" s="288"/>
      <c r="EQ133" s="288"/>
      <c r="ER133" s="288"/>
      <c r="ES133" s="288"/>
      <c r="ET133" s="288"/>
      <c r="EU133" s="288"/>
      <c r="EV133" s="288"/>
      <c r="EW133" s="288"/>
    </row>
    <row r="134" spans="21:153" ht="21.75">
      <c r="AP134" s="33"/>
      <c r="AQ134" s="33"/>
      <c r="AR134" s="33"/>
      <c r="AS134" s="33"/>
      <c r="AT134" s="33"/>
      <c r="AU134" s="33"/>
      <c r="AV134" s="33"/>
      <c r="AW134" s="33"/>
      <c r="AX134" s="33"/>
      <c r="AY134" s="33"/>
      <c r="AZ134" s="192"/>
      <c r="BA134" s="192"/>
      <c r="BB134" s="192"/>
      <c r="BC134" s="192"/>
      <c r="CE134" s="327"/>
      <c r="DL134" s="288"/>
      <c r="DM134" s="288"/>
      <c r="DN134" s="288"/>
      <c r="DO134" s="288"/>
      <c r="DP134" s="288"/>
      <c r="DQ134" s="288"/>
      <c r="DR134" s="288"/>
      <c r="DS134" s="288"/>
      <c r="DT134" s="288"/>
      <c r="DU134" s="288"/>
      <c r="DV134" s="288"/>
      <c r="DW134" s="288"/>
      <c r="DX134" s="288"/>
      <c r="DY134" s="288"/>
      <c r="DZ134" s="288"/>
      <c r="EA134" s="288"/>
      <c r="EB134" s="288"/>
      <c r="EC134" s="288"/>
      <c r="ED134" s="288"/>
      <c r="EE134" s="288"/>
      <c r="EF134" s="288"/>
      <c r="EG134" s="288"/>
      <c r="EH134" s="288"/>
      <c r="EI134" s="288"/>
      <c r="EJ134" s="288"/>
      <c r="EK134" s="288"/>
      <c r="EL134" s="288"/>
      <c r="EM134" s="288"/>
      <c r="EN134" s="288"/>
      <c r="EO134" s="288"/>
      <c r="EP134" s="288"/>
      <c r="EQ134" s="288"/>
      <c r="ER134" s="288"/>
      <c r="ES134" s="288"/>
      <c r="ET134" s="288"/>
      <c r="EU134" s="288"/>
      <c r="EV134" s="288"/>
      <c r="EW134" s="288"/>
    </row>
    <row r="135" spans="21:153" ht="21.75">
      <c r="AP135" s="33"/>
      <c r="AQ135" s="33"/>
      <c r="AR135" s="33"/>
      <c r="AS135" s="33"/>
      <c r="AT135" s="33"/>
      <c r="AU135" s="33"/>
      <c r="AV135" s="33"/>
      <c r="AW135" s="33"/>
      <c r="AX135" s="33"/>
      <c r="AY135" s="33"/>
      <c r="AZ135" s="192"/>
      <c r="BA135" s="192"/>
      <c r="BB135" s="192"/>
      <c r="BC135" s="192"/>
      <c r="CE135" s="327"/>
      <c r="DL135" s="288"/>
      <c r="DM135" s="288"/>
      <c r="DN135" s="288"/>
      <c r="DO135" s="288"/>
      <c r="DP135" s="288"/>
      <c r="DQ135" s="288"/>
      <c r="DR135" s="288"/>
      <c r="DS135" s="288"/>
      <c r="DT135" s="288"/>
      <c r="DU135" s="288"/>
      <c r="DV135" s="288"/>
      <c r="DW135" s="288"/>
      <c r="DX135" s="288"/>
      <c r="DY135" s="288"/>
      <c r="DZ135" s="288"/>
      <c r="EA135" s="288"/>
      <c r="EB135" s="288"/>
      <c r="EC135" s="288"/>
      <c r="ED135" s="288"/>
      <c r="EE135" s="288"/>
      <c r="EF135" s="288"/>
      <c r="EG135" s="288"/>
      <c r="EH135" s="288"/>
      <c r="EI135" s="288"/>
      <c r="EJ135" s="288"/>
      <c r="EK135" s="288"/>
      <c r="EL135" s="288"/>
      <c r="EM135" s="288"/>
      <c r="EN135" s="288"/>
      <c r="EO135" s="288"/>
      <c r="EP135" s="288"/>
      <c r="EQ135" s="288"/>
      <c r="ER135" s="288"/>
      <c r="ES135" s="288"/>
      <c r="ET135" s="288"/>
      <c r="EU135" s="288"/>
      <c r="EV135" s="288"/>
      <c r="EW135" s="288"/>
    </row>
    <row r="136" spans="21:153" ht="21.75">
      <c r="AP136" s="33"/>
      <c r="AQ136" s="33"/>
      <c r="AR136" s="33"/>
      <c r="AS136" s="33"/>
      <c r="AT136" s="33"/>
      <c r="AU136" s="33"/>
      <c r="AV136" s="33"/>
      <c r="AW136" s="33"/>
      <c r="AX136" s="33"/>
      <c r="AY136" s="33"/>
      <c r="AZ136" s="192"/>
      <c r="BA136" s="192"/>
      <c r="BB136" s="192"/>
      <c r="BC136" s="192"/>
      <c r="CE136" s="327"/>
      <c r="DL136" s="288"/>
      <c r="DM136" s="288"/>
      <c r="DN136" s="288"/>
      <c r="DO136" s="288"/>
      <c r="DP136" s="288"/>
      <c r="DQ136" s="288"/>
      <c r="DR136" s="288"/>
      <c r="DS136" s="288"/>
      <c r="DT136" s="288"/>
      <c r="DU136" s="288"/>
      <c r="DV136" s="288"/>
      <c r="DW136" s="288"/>
      <c r="DX136" s="288"/>
      <c r="DY136" s="288"/>
      <c r="DZ136" s="288"/>
      <c r="EA136" s="288"/>
      <c r="EB136" s="288"/>
      <c r="EC136" s="288"/>
      <c r="ED136" s="288"/>
      <c r="EE136" s="288"/>
      <c r="EF136" s="288"/>
      <c r="EG136" s="288"/>
      <c r="EH136" s="288"/>
      <c r="EI136" s="288"/>
      <c r="EJ136" s="288"/>
      <c r="EK136" s="288"/>
      <c r="EL136" s="288"/>
      <c r="EM136" s="288"/>
      <c r="EN136" s="288"/>
      <c r="EO136" s="288"/>
      <c r="EP136" s="288"/>
      <c r="EQ136" s="288"/>
      <c r="ER136" s="288"/>
      <c r="ES136" s="288"/>
      <c r="ET136" s="288"/>
      <c r="EU136" s="288"/>
      <c r="EV136" s="288"/>
      <c r="EW136" s="288"/>
    </row>
    <row r="137" spans="21:153" ht="21.75">
      <c r="AP137" s="33"/>
      <c r="AQ137" s="33"/>
      <c r="AR137" s="33"/>
      <c r="AS137" s="33"/>
      <c r="AT137" s="33"/>
      <c r="AU137" s="33"/>
      <c r="AV137" s="33"/>
      <c r="AW137" s="33"/>
      <c r="AX137" s="33"/>
      <c r="AY137" s="33"/>
      <c r="AZ137" s="192"/>
      <c r="BA137" s="192"/>
      <c r="BB137" s="192"/>
      <c r="BC137" s="192"/>
      <c r="CE137" s="327"/>
      <c r="DL137" s="288"/>
      <c r="DM137" s="288"/>
      <c r="DN137" s="288"/>
      <c r="DO137" s="288"/>
      <c r="DP137" s="288"/>
      <c r="DQ137" s="288"/>
      <c r="DR137" s="288"/>
      <c r="DS137" s="288"/>
      <c r="DT137" s="288"/>
      <c r="DU137" s="288"/>
      <c r="DV137" s="288"/>
      <c r="DW137" s="288"/>
      <c r="DX137" s="288"/>
      <c r="DY137" s="288"/>
      <c r="DZ137" s="288"/>
      <c r="EA137" s="288"/>
      <c r="EB137" s="288"/>
      <c r="EC137" s="288"/>
      <c r="ED137" s="288"/>
      <c r="EE137" s="288"/>
      <c r="EF137" s="288"/>
      <c r="EG137" s="288"/>
      <c r="EH137" s="288"/>
      <c r="EI137" s="288"/>
      <c r="EJ137" s="288"/>
      <c r="EK137" s="288"/>
      <c r="EL137" s="288"/>
      <c r="EM137" s="288"/>
      <c r="EN137" s="288"/>
      <c r="EO137" s="288"/>
      <c r="EP137" s="288"/>
      <c r="EQ137" s="288"/>
      <c r="ER137" s="288"/>
      <c r="ES137" s="288"/>
      <c r="ET137" s="288"/>
      <c r="EU137" s="288"/>
      <c r="EV137" s="288"/>
      <c r="EW137" s="288"/>
    </row>
    <row r="138" spans="21:153" ht="21.75">
      <c r="AP138" s="33"/>
      <c r="AQ138" s="33"/>
      <c r="AR138" s="33"/>
      <c r="AS138" s="33"/>
      <c r="AT138" s="33"/>
      <c r="AU138" s="33"/>
      <c r="AV138" s="33"/>
      <c r="AW138" s="33"/>
      <c r="AX138" s="33"/>
      <c r="AY138" s="33"/>
      <c r="AZ138" s="192"/>
      <c r="BA138" s="192"/>
      <c r="BB138" s="192"/>
      <c r="BC138" s="192"/>
      <c r="DL138" s="288"/>
      <c r="DM138" s="288"/>
      <c r="DN138" s="288"/>
      <c r="DO138" s="288"/>
      <c r="DP138" s="288"/>
      <c r="DQ138" s="288"/>
      <c r="DR138" s="288"/>
      <c r="DS138" s="288"/>
      <c r="DT138" s="288"/>
      <c r="DU138" s="288"/>
      <c r="DV138" s="288"/>
      <c r="DW138" s="288"/>
      <c r="DX138" s="288"/>
      <c r="DY138" s="288"/>
      <c r="DZ138" s="288"/>
      <c r="EA138" s="288"/>
      <c r="EB138" s="288"/>
      <c r="EC138" s="288"/>
      <c r="ED138" s="288"/>
      <c r="EE138" s="288"/>
      <c r="EF138" s="288"/>
      <c r="EG138" s="288"/>
      <c r="EH138" s="288"/>
      <c r="EI138" s="288"/>
      <c r="EJ138" s="288"/>
      <c r="EK138" s="288"/>
      <c r="EL138" s="288"/>
      <c r="EM138" s="288"/>
      <c r="EN138" s="288"/>
      <c r="EO138" s="288"/>
      <c r="EP138" s="288"/>
      <c r="EQ138" s="288"/>
      <c r="ER138" s="288"/>
      <c r="ES138" s="288"/>
      <c r="ET138" s="288"/>
      <c r="EU138" s="288"/>
      <c r="EV138" s="288"/>
      <c r="EW138" s="288"/>
    </row>
    <row r="139" spans="21:153" ht="21.75">
      <c r="AP139" s="33"/>
      <c r="AQ139" s="33"/>
      <c r="AR139" s="33"/>
      <c r="AS139" s="33"/>
      <c r="AT139" s="33"/>
      <c r="AU139" s="33"/>
      <c r="AV139" s="33"/>
      <c r="AW139" s="33"/>
      <c r="AX139" s="33"/>
      <c r="AY139" s="33"/>
      <c r="AZ139" s="192"/>
      <c r="BA139" s="192"/>
      <c r="BB139" s="192"/>
      <c r="BC139" s="192"/>
      <c r="CE139" s="327"/>
      <c r="DL139" s="288"/>
      <c r="DM139" s="288"/>
      <c r="DN139" s="274"/>
      <c r="DO139" s="274"/>
      <c r="DP139" s="274"/>
      <c r="DQ139" s="274"/>
      <c r="DR139" s="274"/>
      <c r="DS139" s="274"/>
      <c r="DT139" s="274"/>
      <c r="DU139" s="274"/>
      <c r="DV139" s="274"/>
      <c r="DW139" s="274"/>
      <c r="DX139" s="274"/>
      <c r="DY139" s="274"/>
      <c r="DZ139" s="274"/>
      <c r="EA139" s="274"/>
      <c r="EB139" s="274"/>
      <c r="EC139" s="274"/>
      <c r="ED139" s="274"/>
      <c r="EE139" s="274"/>
      <c r="EF139" s="274"/>
      <c r="EG139" s="274"/>
      <c r="EH139" s="274"/>
      <c r="EI139" s="274"/>
      <c r="EJ139" s="274"/>
      <c r="EK139" s="274"/>
      <c r="EL139" s="274"/>
      <c r="EM139" s="274"/>
      <c r="EN139" s="274"/>
      <c r="EO139" s="274"/>
      <c r="EP139" s="274"/>
      <c r="EQ139" s="274"/>
      <c r="ER139" s="274"/>
      <c r="ES139" s="288"/>
      <c r="ET139" s="288"/>
      <c r="EU139" s="288"/>
      <c r="EV139" s="288"/>
      <c r="EW139" s="288"/>
    </row>
    <row r="140" spans="21:153" ht="21.75">
      <c r="AP140" s="33"/>
      <c r="AQ140" s="33"/>
      <c r="AR140" s="33"/>
      <c r="AS140" s="33"/>
      <c r="AT140" s="33"/>
      <c r="AU140" s="33"/>
      <c r="AV140" s="33"/>
      <c r="AW140" s="33"/>
      <c r="AX140" s="33"/>
      <c r="AY140" s="33"/>
      <c r="AZ140" s="192"/>
      <c r="BA140" s="192"/>
      <c r="BB140" s="192"/>
      <c r="BC140" s="192"/>
      <c r="CE140" s="327"/>
      <c r="DL140" s="288"/>
      <c r="DM140" s="288"/>
      <c r="DN140" s="288"/>
      <c r="DO140" s="288"/>
      <c r="DP140" s="288"/>
      <c r="DQ140" s="288"/>
      <c r="DR140" s="288"/>
      <c r="DS140" s="288"/>
      <c r="DT140" s="288"/>
      <c r="DU140" s="288"/>
      <c r="DV140" s="288"/>
      <c r="DW140" s="288"/>
      <c r="DX140" s="288"/>
      <c r="DY140" s="288"/>
      <c r="DZ140" s="288"/>
      <c r="EA140" s="288"/>
      <c r="EB140" s="288"/>
      <c r="EC140" s="288"/>
      <c r="ED140" s="288"/>
      <c r="EE140" s="288"/>
      <c r="EF140" s="288"/>
      <c r="EG140" s="288"/>
      <c r="EH140" s="288"/>
      <c r="EI140" s="288"/>
      <c r="EJ140" s="288"/>
      <c r="EK140" s="288"/>
      <c r="EL140" s="288"/>
      <c r="EM140" s="288"/>
      <c r="EN140" s="288"/>
      <c r="EO140" s="288"/>
      <c r="EP140" s="288"/>
      <c r="EQ140" s="288"/>
      <c r="ER140" s="288"/>
      <c r="ES140" s="288"/>
      <c r="ET140" s="288"/>
      <c r="EU140" s="288"/>
      <c r="EV140" s="288"/>
      <c r="EW140" s="288"/>
    </row>
    <row r="141" spans="21:153" ht="21.75">
      <c r="AP141" s="33"/>
      <c r="AQ141" s="33"/>
      <c r="AR141" s="33"/>
      <c r="AS141" s="33"/>
      <c r="AT141" s="33"/>
      <c r="AU141" s="33"/>
      <c r="AV141" s="33"/>
      <c r="AW141" s="33"/>
      <c r="AX141" s="33"/>
      <c r="AY141" s="33"/>
      <c r="AZ141" s="192"/>
      <c r="BA141" s="192"/>
      <c r="BB141" s="192"/>
      <c r="BC141" s="192"/>
      <c r="CE141" s="327"/>
      <c r="DL141" s="288"/>
      <c r="DM141" s="288"/>
      <c r="DN141" s="288"/>
      <c r="DO141" s="288"/>
      <c r="DP141" s="288"/>
      <c r="DQ141" s="288"/>
      <c r="DR141" s="288"/>
      <c r="DS141" s="288"/>
      <c r="DT141" s="288"/>
      <c r="DU141" s="288"/>
      <c r="DV141" s="288"/>
      <c r="DW141" s="288"/>
      <c r="DX141" s="288"/>
      <c r="DY141" s="288"/>
      <c r="DZ141" s="288"/>
      <c r="EA141" s="288"/>
      <c r="EB141" s="288"/>
      <c r="EC141" s="288"/>
      <c r="ED141" s="288"/>
      <c r="EE141" s="288"/>
      <c r="EF141" s="288"/>
      <c r="EG141" s="288"/>
      <c r="EH141" s="288"/>
      <c r="EI141" s="288"/>
      <c r="EJ141" s="288"/>
      <c r="EK141" s="288"/>
      <c r="EL141" s="288"/>
      <c r="EM141" s="288"/>
      <c r="EN141" s="288"/>
      <c r="EO141" s="288"/>
      <c r="EP141" s="288"/>
      <c r="EQ141" s="288"/>
      <c r="ER141" s="288"/>
      <c r="ES141" s="288"/>
      <c r="ET141" s="288"/>
      <c r="EU141" s="288"/>
      <c r="EV141" s="288"/>
      <c r="EW141" s="288"/>
    </row>
    <row r="142" spans="21:153" ht="21.75">
      <c r="AP142" s="33"/>
      <c r="AQ142" s="33"/>
      <c r="AR142" s="33"/>
      <c r="AS142" s="33"/>
      <c r="AT142" s="33"/>
      <c r="AU142" s="33"/>
      <c r="AV142" s="33"/>
      <c r="AW142" s="33"/>
      <c r="AX142" s="33"/>
      <c r="AY142" s="33"/>
      <c r="AZ142" s="192"/>
      <c r="BA142" s="192"/>
      <c r="BB142" s="192"/>
      <c r="BC142" s="192"/>
      <c r="CE142" s="327"/>
      <c r="DL142" s="288"/>
      <c r="DM142" s="288"/>
      <c r="DN142" s="288"/>
      <c r="DO142" s="288"/>
      <c r="DP142" s="288"/>
      <c r="DQ142" s="288"/>
      <c r="DR142" s="288"/>
      <c r="DS142" s="288"/>
      <c r="DT142" s="288"/>
      <c r="DU142" s="288"/>
      <c r="DV142" s="288"/>
      <c r="DW142" s="288"/>
      <c r="DX142" s="288"/>
      <c r="DY142" s="288"/>
      <c r="DZ142" s="288"/>
      <c r="EA142" s="288"/>
      <c r="EB142" s="288"/>
      <c r="EC142" s="288"/>
      <c r="ED142" s="288"/>
      <c r="EE142" s="288"/>
      <c r="EF142" s="288"/>
      <c r="EG142" s="288"/>
      <c r="EH142" s="288"/>
      <c r="EI142" s="288"/>
      <c r="EJ142" s="288"/>
      <c r="EK142" s="288"/>
      <c r="EL142" s="288"/>
      <c r="EM142" s="288"/>
      <c r="EN142" s="288"/>
      <c r="EO142" s="288"/>
      <c r="EP142" s="288"/>
      <c r="EQ142" s="288"/>
      <c r="ER142" s="288"/>
      <c r="ES142" s="288"/>
      <c r="ET142" s="288"/>
      <c r="EU142" s="288"/>
      <c r="EV142" s="288"/>
      <c r="EW142" s="288"/>
    </row>
    <row r="143" spans="21:153" ht="21.75">
      <c r="AP143" s="33"/>
      <c r="AQ143" s="33"/>
      <c r="AR143" s="33"/>
      <c r="AS143" s="33"/>
      <c r="AT143" s="33"/>
      <c r="AU143" s="33"/>
      <c r="AV143" s="33"/>
      <c r="AW143" s="33"/>
      <c r="AX143" s="33"/>
      <c r="AY143" s="33"/>
      <c r="AZ143" s="192"/>
      <c r="BA143" s="192"/>
      <c r="BB143" s="192"/>
      <c r="BC143" s="192"/>
      <c r="CE143" s="327"/>
      <c r="DL143" s="288"/>
      <c r="DM143" s="288"/>
      <c r="DN143" s="288"/>
      <c r="DO143" s="288"/>
      <c r="DP143" s="288"/>
      <c r="DQ143" s="288"/>
      <c r="DR143" s="288"/>
      <c r="DS143" s="288"/>
      <c r="DT143" s="288"/>
      <c r="DU143" s="288"/>
      <c r="DV143" s="288"/>
      <c r="DW143" s="288"/>
      <c r="DX143" s="288"/>
      <c r="DY143" s="288"/>
      <c r="DZ143" s="288"/>
      <c r="EA143" s="288"/>
      <c r="EB143" s="288"/>
      <c r="EC143" s="288"/>
      <c r="ED143" s="288"/>
      <c r="EE143" s="288"/>
      <c r="EF143" s="288"/>
      <c r="EG143" s="288"/>
      <c r="EH143" s="288"/>
      <c r="EI143" s="288"/>
      <c r="EJ143" s="288"/>
      <c r="EK143" s="288"/>
      <c r="EL143" s="288"/>
      <c r="EM143" s="288"/>
      <c r="EN143" s="288"/>
      <c r="EO143" s="288"/>
      <c r="EP143" s="288"/>
      <c r="EQ143" s="274"/>
      <c r="ER143" s="388"/>
      <c r="ES143" s="288"/>
      <c r="ET143" s="288"/>
      <c r="EU143" s="288"/>
      <c r="EV143" s="288"/>
      <c r="EW143" s="288"/>
    </row>
    <row r="144" spans="21:153" ht="21.75">
      <c r="AP144" s="33"/>
      <c r="AQ144" s="33"/>
      <c r="AR144" s="33"/>
      <c r="AS144" s="33"/>
      <c r="AT144" s="33"/>
      <c r="AU144" s="33"/>
      <c r="AV144" s="33"/>
      <c r="AW144" s="33"/>
      <c r="AX144" s="33"/>
      <c r="AY144" s="33"/>
      <c r="AZ144" s="192"/>
      <c r="BA144" s="192"/>
      <c r="BB144" s="192"/>
      <c r="BC144" s="192"/>
      <c r="CE144" s="274"/>
      <c r="DL144" s="288"/>
      <c r="DM144" s="288"/>
      <c r="DN144" s="288"/>
      <c r="DO144" s="288"/>
      <c r="DP144" s="288"/>
      <c r="DQ144" s="288"/>
      <c r="DR144" s="288"/>
      <c r="DS144" s="288"/>
      <c r="DT144" s="288"/>
      <c r="DU144" s="288"/>
      <c r="DV144" s="288"/>
      <c r="DW144" s="288"/>
      <c r="DX144" s="288"/>
      <c r="DY144" s="288"/>
      <c r="DZ144" s="288"/>
      <c r="EA144" s="288"/>
      <c r="EB144" s="288"/>
      <c r="EC144" s="288"/>
      <c r="ED144" s="288"/>
      <c r="EE144" s="288"/>
      <c r="EF144" s="288"/>
      <c r="EG144" s="288"/>
      <c r="EH144" s="288"/>
      <c r="EI144" s="288"/>
      <c r="EJ144" s="288"/>
      <c r="EK144" s="288"/>
      <c r="EL144" s="288"/>
      <c r="EM144" s="288"/>
      <c r="EN144" s="288"/>
      <c r="EO144" s="288"/>
      <c r="EP144" s="288"/>
      <c r="EQ144" s="288"/>
      <c r="ER144" s="288"/>
      <c r="ES144" s="288"/>
      <c r="ET144" s="288"/>
      <c r="EU144" s="288"/>
      <c r="EV144" s="288"/>
      <c r="EW144" s="288"/>
    </row>
    <row r="145" spans="42:153" ht="21.75">
      <c r="AP145" s="33"/>
      <c r="AQ145" s="33"/>
      <c r="AR145" s="33"/>
      <c r="AS145" s="33"/>
      <c r="AT145" s="33"/>
      <c r="AU145" s="33"/>
      <c r="AV145" s="33"/>
      <c r="AW145" s="33"/>
      <c r="AX145" s="33"/>
      <c r="AY145" s="33"/>
      <c r="AZ145" s="192"/>
      <c r="BA145" s="192"/>
      <c r="BB145" s="192"/>
      <c r="BC145" s="192"/>
      <c r="CE145" s="327"/>
      <c r="DL145" s="288"/>
      <c r="DM145" s="288"/>
      <c r="DN145" s="288"/>
      <c r="DO145" s="288"/>
      <c r="DP145" s="288"/>
      <c r="DQ145" s="288"/>
      <c r="DR145" s="288"/>
      <c r="DS145" s="288"/>
      <c r="DT145" s="288"/>
      <c r="DU145" s="288"/>
      <c r="DV145" s="288"/>
      <c r="DW145" s="288"/>
      <c r="DX145" s="288"/>
      <c r="DY145" s="288"/>
      <c r="DZ145" s="288"/>
      <c r="EA145" s="288"/>
      <c r="EB145" s="288"/>
      <c r="EC145" s="288"/>
      <c r="ED145" s="288"/>
      <c r="EE145" s="288"/>
      <c r="EF145" s="288"/>
      <c r="EG145" s="288"/>
      <c r="EH145" s="288"/>
      <c r="EI145" s="288"/>
      <c r="EJ145" s="288"/>
      <c r="EK145" s="288"/>
      <c r="EL145" s="288"/>
      <c r="EM145" s="288"/>
      <c r="EN145" s="288"/>
      <c r="EO145" s="288"/>
      <c r="EP145" s="288"/>
      <c r="EQ145" s="288"/>
      <c r="ER145" s="288"/>
      <c r="ES145" s="288"/>
      <c r="ET145" s="288"/>
      <c r="EU145" s="288"/>
      <c r="EV145" s="288"/>
      <c r="EW145" s="288"/>
    </row>
    <row r="146" spans="42:153" ht="21.75">
      <c r="AP146" s="33"/>
      <c r="AQ146" s="33"/>
      <c r="AR146" s="33"/>
      <c r="AS146" s="33"/>
      <c r="AT146" s="33"/>
      <c r="AU146" s="33"/>
      <c r="AV146" s="33"/>
      <c r="AW146" s="33"/>
      <c r="AX146" s="33"/>
      <c r="AY146" s="33"/>
      <c r="AZ146" s="192"/>
      <c r="BA146" s="192"/>
      <c r="BB146" s="192"/>
      <c r="BC146" s="192"/>
      <c r="CE146" s="327"/>
      <c r="DL146" s="288"/>
      <c r="DM146" s="288"/>
      <c r="DN146" s="288"/>
      <c r="DO146" s="288"/>
      <c r="DP146" s="288"/>
      <c r="DQ146" s="288"/>
      <c r="DR146" s="288"/>
      <c r="DS146" s="288"/>
      <c r="DT146" s="288"/>
      <c r="DU146" s="288"/>
      <c r="DV146" s="288"/>
      <c r="DW146" s="288"/>
      <c r="DX146" s="288"/>
      <c r="DY146" s="288"/>
      <c r="DZ146" s="288"/>
      <c r="EA146" s="288"/>
      <c r="EB146" s="288"/>
      <c r="EC146" s="288"/>
      <c r="ED146" s="288"/>
      <c r="EE146" s="288"/>
      <c r="EF146" s="288"/>
      <c r="EG146" s="288"/>
      <c r="EH146" s="288"/>
      <c r="EI146" s="288"/>
      <c r="EJ146" s="288"/>
      <c r="EK146" s="288"/>
      <c r="EL146" s="288"/>
      <c r="EM146" s="288"/>
      <c r="EN146" s="288"/>
      <c r="EO146" s="288"/>
      <c r="EP146" s="288"/>
      <c r="EQ146" s="288"/>
      <c r="ER146" s="288"/>
      <c r="ES146" s="288"/>
      <c r="ET146" s="288"/>
      <c r="EU146" s="288"/>
      <c r="EV146" s="288"/>
      <c r="EW146" s="288"/>
    </row>
    <row r="147" spans="42:153" ht="21.75">
      <c r="AP147" s="33"/>
      <c r="AQ147" s="33"/>
      <c r="AR147" s="33"/>
      <c r="AS147" s="33"/>
      <c r="AT147" s="33"/>
      <c r="AU147" s="33"/>
      <c r="AV147" s="33"/>
      <c r="AW147" s="33"/>
      <c r="AX147" s="33"/>
      <c r="AY147" s="33"/>
      <c r="AZ147" s="192"/>
      <c r="BA147" s="192"/>
      <c r="BB147" s="192"/>
      <c r="BC147" s="192"/>
      <c r="CE147" s="327"/>
      <c r="DL147" s="288"/>
      <c r="DM147" s="288"/>
      <c r="DN147" s="288"/>
      <c r="DO147" s="288"/>
      <c r="DP147" s="288"/>
      <c r="DQ147" s="288"/>
      <c r="DR147" s="288"/>
      <c r="DS147" s="288"/>
      <c r="DT147" s="288"/>
      <c r="DU147" s="288"/>
      <c r="DV147" s="288"/>
      <c r="DW147" s="288"/>
      <c r="DX147" s="288"/>
      <c r="DY147" s="288"/>
      <c r="DZ147" s="288"/>
      <c r="EA147" s="288"/>
      <c r="EB147" s="288"/>
      <c r="EC147" s="288"/>
      <c r="ED147" s="288"/>
      <c r="EE147" s="288"/>
      <c r="EF147" s="288"/>
      <c r="EG147" s="288"/>
      <c r="EH147" s="288"/>
      <c r="EI147" s="288"/>
      <c r="EJ147" s="288"/>
      <c r="EK147" s="288"/>
      <c r="EL147" s="288"/>
      <c r="EM147" s="288"/>
      <c r="EN147" s="288"/>
      <c r="EO147" s="288"/>
      <c r="EP147" s="288"/>
      <c r="EQ147" s="288"/>
      <c r="ER147" s="288"/>
      <c r="ES147" s="288"/>
      <c r="ET147" s="288"/>
      <c r="EU147" s="288"/>
      <c r="EV147" s="288"/>
      <c r="EW147" s="288"/>
    </row>
    <row r="148" spans="42:153" ht="21.75">
      <c r="AP148" s="33"/>
      <c r="AQ148" s="33"/>
      <c r="AR148" s="33"/>
      <c r="AS148" s="33"/>
      <c r="AT148" s="33"/>
      <c r="AU148" s="33"/>
      <c r="AV148" s="33"/>
      <c r="AW148" s="33"/>
      <c r="AX148" s="33"/>
      <c r="AY148" s="33"/>
      <c r="AZ148" s="192"/>
      <c r="BA148" s="192"/>
      <c r="BB148" s="192"/>
      <c r="BC148" s="192"/>
      <c r="CE148" s="327"/>
      <c r="DL148" s="288"/>
      <c r="DM148" s="288"/>
      <c r="DN148" s="288"/>
      <c r="DO148" s="288"/>
      <c r="DP148" s="288"/>
      <c r="DQ148" s="288"/>
      <c r="DR148" s="288"/>
      <c r="DS148" s="288"/>
      <c r="DT148" s="288"/>
      <c r="DU148" s="288"/>
      <c r="DV148" s="288"/>
      <c r="DW148" s="288"/>
      <c r="DX148" s="288"/>
      <c r="DY148" s="288"/>
      <c r="DZ148" s="288"/>
      <c r="EA148" s="288"/>
      <c r="EB148" s="288"/>
      <c r="EC148" s="288"/>
      <c r="ED148" s="288"/>
      <c r="EE148" s="288"/>
      <c r="EF148" s="288"/>
      <c r="EG148" s="288"/>
      <c r="EH148" s="288"/>
      <c r="EI148" s="288"/>
      <c r="EJ148" s="288"/>
      <c r="EK148" s="288"/>
      <c r="EL148" s="288"/>
      <c r="EM148" s="288"/>
      <c r="EN148" s="288"/>
      <c r="EO148" s="288"/>
      <c r="EP148" s="288"/>
      <c r="EQ148" s="288"/>
      <c r="ER148" s="288"/>
      <c r="ES148" s="288"/>
      <c r="ET148" s="288"/>
      <c r="EU148" s="288"/>
      <c r="EV148" s="288"/>
      <c r="EW148" s="288"/>
    </row>
    <row r="149" spans="42:153" ht="21.75">
      <c r="AP149" s="33"/>
      <c r="AQ149" s="33"/>
      <c r="AR149" s="33"/>
      <c r="AS149" s="33"/>
      <c r="AT149" s="33"/>
      <c r="AU149" s="33"/>
      <c r="AV149" s="33"/>
      <c r="AW149" s="33"/>
      <c r="AX149" s="33"/>
      <c r="AY149" s="33"/>
      <c r="AZ149" s="192"/>
      <c r="BA149" s="192"/>
      <c r="BB149" s="192"/>
      <c r="BC149" s="192"/>
      <c r="DL149" s="288"/>
      <c r="DM149" s="288"/>
      <c r="DN149" s="288"/>
      <c r="DO149" s="288"/>
      <c r="DP149" s="288"/>
      <c r="DQ149" s="288"/>
      <c r="DR149" s="288"/>
      <c r="DS149" s="288"/>
      <c r="DT149" s="288"/>
      <c r="DU149" s="288"/>
      <c r="DV149" s="288"/>
      <c r="DW149" s="288"/>
      <c r="DX149" s="288"/>
      <c r="DY149" s="288"/>
      <c r="DZ149" s="288"/>
      <c r="EA149" s="288"/>
      <c r="EB149" s="288"/>
      <c r="EC149" s="288"/>
      <c r="ED149" s="288"/>
      <c r="EE149" s="288"/>
      <c r="EF149" s="288"/>
      <c r="EG149" s="288"/>
      <c r="EH149" s="288"/>
      <c r="EI149" s="288"/>
      <c r="EJ149" s="288"/>
      <c r="EK149" s="288"/>
      <c r="EL149" s="288"/>
      <c r="EM149" s="288"/>
      <c r="EN149" s="288"/>
      <c r="EO149" s="288"/>
      <c r="EP149" s="288"/>
      <c r="EQ149" s="288"/>
      <c r="ER149" s="288"/>
      <c r="ES149" s="288"/>
      <c r="ET149" s="288"/>
      <c r="EU149" s="288"/>
      <c r="EV149" s="288"/>
      <c r="EW149" s="288"/>
    </row>
    <row r="150" spans="42:153" ht="21.75">
      <c r="AP150" s="33"/>
      <c r="AQ150" s="33"/>
      <c r="AR150" s="33"/>
      <c r="AS150" s="33"/>
      <c r="AT150" s="33"/>
      <c r="AU150" s="33"/>
      <c r="AV150" s="33"/>
      <c r="AW150" s="33"/>
      <c r="AX150" s="33"/>
      <c r="AY150" s="33"/>
      <c r="AZ150" s="192"/>
      <c r="BA150" s="192"/>
      <c r="BB150" s="192"/>
      <c r="BC150" s="192"/>
      <c r="DL150" s="288"/>
      <c r="DM150" s="288"/>
      <c r="DN150" s="274"/>
      <c r="DO150" s="274"/>
      <c r="DP150" s="274"/>
      <c r="DQ150" s="274"/>
      <c r="DR150" s="274"/>
      <c r="DS150" s="274"/>
      <c r="DT150" s="274"/>
      <c r="DU150" s="274"/>
      <c r="DV150" s="274"/>
      <c r="DW150" s="274"/>
      <c r="DX150" s="274"/>
      <c r="DY150" s="274"/>
      <c r="DZ150" s="274"/>
      <c r="EA150" s="274"/>
      <c r="EB150" s="274"/>
      <c r="EC150" s="274"/>
      <c r="ED150" s="274"/>
      <c r="EE150" s="274"/>
      <c r="EF150" s="274"/>
      <c r="EG150" s="274"/>
      <c r="EH150" s="274"/>
      <c r="EI150" s="274"/>
      <c r="EJ150" s="274"/>
      <c r="EK150" s="274"/>
      <c r="EL150" s="274"/>
      <c r="EM150" s="274"/>
      <c r="EN150" s="274"/>
      <c r="EO150" s="274"/>
      <c r="EP150" s="274"/>
      <c r="EQ150" s="274"/>
      <c r="ER150" s="288"/>
      <c r="ES150" s="288"/>
      <c r="ET150" s="288"/>
      <c r="EU150" s="288"/>
      <c r="EV150" s="288"/>
      <c r="EW150" s="288"/>
    </row>
    <row r="151" spans="42:153" ht="21.75">
      <c r="AP151" s="33"/>
      <c r="AQ151" s="33"/>
      <c r="AR151" s="33"/>
      <c r="AS151" s="33"/>
      <c r="AT151" s="33"/>
      <c r="AU151" s="33"/>
      <c r="AV151" s="33"/>
      <c r="AW151" s="33"/>
      <c r="AX151" s="33"/>
      <c r="AY151" s="33"/>
      <c r="AZ151" s="192"/>
      <c r="BA151" s="192"/>
      <c r="BB151" s="192"/>
      <c r="BC151" s="192"/>
      <c r="DL151" s="288"/>
      <c r="DM151" s="288"/>
      <c r="DN151" s="288"/>
      <c r="DO151" s="288"/>
      <c r="DP151" s="288"/>
      <c r="DQ151" s="288"/>
      <c r="DR151" s="288"/>
      <c r="DS151" s="288"/>
      <c r="DT151" s="288"/>
      <c r="DU151" s="288"/>
      <c r="DV151" s="288"/>
      <c r="DW151" s="288"/>
      <c r="DX151" s="288"/>
      <c r="DY151" s="288"/>
      <c r="DZ151" s="288"/>
      <c r="EA151" s="288"/>
      <c r="EB151" s="288"/>
      <c r="EC151" s="288"/>
      <c r="ED151" s="288"/>
      <c r="EE151" s="288"/>
      <c r="EF151" s="288"/>
      <c r="EG151" s="288"/>
      <c r="EH151" s="288"/>
      <c r="EI151" s="288"/>
      <c r="EJ151" s="288"/>
      <c r="EK151" s="288"/>
      <c r="EL151" s="288"/>
      <c r="EM151" s="288"/>
      <c r="EN151" s="288"/>
      <c r="EO151" s="288"/>
      <c r="EP151" s="288"/>
      <c r="EQ151" s="288"/>
      <c r="ER151" s="288"/>
      <c r="ES151" s="288"/>
      <c r="ET151" s="288"/>
      <c r="EU151" s="288"/>
      <c r="EV151" s="288"/>
      <c r="EW151" s="288"/>
    </row>
    <row r="152" spans="42:153" ht="21.75">
      <c r="AP152" s="33"/>
      <c r="AQ152" s="33"/>
      <c r="AR152" s="33"/>
      <c r="AS152" s="33"/>
      <c r="AT152" s="33"/>
      <c r="AU152" s="33"/>
      <c r="AV152" s="33"/>
      <c r="AW152" s="33"/>
      <c r="AX152" s="33"/>
      <c r="AY152" s="33"/>
      <c r="AZ152" s="192"/>
      <c r="BA152" s="192"/>
      <c r="BB152" s="192"/>
      <c r="BC152" s="192"/>
      <c r="DL152" s="288"/>
      <c r="DM152" s="288"/>
      <c r="DN152" s="288"/>
      <c r="DO152" s="288"/>
      <c r="DP152" s="288"/>
      <c r="DQ152" s="288"/>
      <c r="DR152" s="288"/>
      <c r="DS152" s="288"/>
      <c r="DT152" s="288"/>
      <c r="DU152" s="288"/>
      <c r="DV152" s="288"/>
      <c r="DW152" s="288"/>
      <c r="DX152" s="288"/>
      <c r="DY152" s="288"/>
      <c r="DZ152" s="288"/>
      <c r="EA152" s="288"/>
      <c r="EB152" s="288"/>
      <c r="EC152" s="288"/>
      <c r="ED152" s="288"/>
      <c r="EE152" s="288"/>
      <c r="EF152" s="288"/>
      <c r="EG152" s="288"/>
      <c r="EH152" s="288"/>
      <c r="EI152" s="288"/>
      <c r="EJ152" s="288"/>
      <c r="EK152" s="288"/>
      <c r="EL152" s="288"/>
      <c r="EM152" s="288"/>
      <c r="EN152" s="288"/>
      <c r="EO152" s="288"/>
      <c r="EP152" s="288"/>
      <c r="EQ152" s="288"/>
      <c r="ER152" s="288"/>
      <c r="ES152" s="288"/>
      <c r="ET152" s="288"/>
      <c r="EU152" s="288"/>
      <c r="EV152" s="288"/>
      <c r="EW152" s="288"/>
    </row>
    <row r="153" spans="42:153" ht="21.75">
      <c r="AP153" s="33"/>
      <c r="AQ153" s="33"/>
      <c r="AR153" s="33"/>
      <c r="AS153" s="33"/>
      <c r="AT153" s="33"/>
      <c r="AU153" s="33"/>
      <c r="AV153" s="33"/>
      <c r="AW153" s="33"/>
      <c r="AX153" s="33"/>
      <c r="AY153" s="33"/>
      <c r="AZ153" s="192"/>
      <c r="BA153" s="192"/>
      <c r="BB153" s="192"/>
      <c r="BC153" s="192"/>
      <c r="DL153" s="288"/>
      <c r="DM153" s="288"/>
      <c r="DN153" s="288"/>
      <c r="DO153" s="288"/>
      <c r="DP153" s="288"/>
      <c r="DQ153" s="288"/>
      <c r="DR153" s="288"/>
      <c r="DS153" s="288"/>
      <c r="DT153" s="288"/>
      <c r="DU153" s="288"/>
      <c r="DV153" s="288"/>
      <c r="DW153" s="288"/>
      <c r="DX153" s="288"/>
      <c r="DY153" s="288"/>
      <c r="DZ153" s="288"/>
      <c r="EA153" s="288"/>
      <c r="EB153" s="288"/>
      <c r="EC153" s="288"/>
      <c r="ED153" s="288"/>
      <c r="EE153" s="288"/>
      <c r="EF153" s="288"/>
      <c r="EG153" s="288"/>
      <c r="EH153" s="288"/>
      <c r="EI153" s="288"/>
      <c r="EJ153" s="288"/>
      <c r="EK153" s="288"/>
      <c r="EL153" s="288"/>
      <c r="EM153" s="288"/>
      <c r="EN153" s="288"/>
      <c r="EO153" s="288"/>
      <c r="EP153" s="288"/>
      <c r="EQ153" s="288"/>
      <c r="ER153" s="288"/>
      <c r="ES153" s="288"/>
      <c r="ET153" s="288"/>
      <c r="EU153" s="288"/>
      <c r="EV153" s="288"/>
      <c r="EW153" s="288"/>
    </row>
    <row r="154" spans="42:153" ht="21.75">
      <c r="AP154" s="33"/>
      <c r="AQ154" s="33"/>
      <c r="AR154" s="33"/>
      <c r="AS154" s="33"/>
      <c r="AT154" s="33"/>
      <c r="AU154" s="33"/>
      <c r="AV154" s="33"/>
      <c r="AW154" s="33"/>
      <c r="AX154" s="33"/>
      <c r="AY154" s="33"/>
      <c r="AZ154" s="192"/>
      <c r="BA154" s="192"/>
      <c r="BB154" s="192"/>
      <c r="BC154" s="192"/>
      <c r="DL154" s="288"/>
      <c r="DM154" s="288"/>
      <c r="DN154" s="288"/>
      <c r="DO154" s="288"/>
      <c r="DP154" s="288"/>
      <c r="DQ154" s="288"/>
      <c r="DR154" s="288"/>
      <c r="DS154" s="288"/>
      <c r="DT154" s="288"/>
      <c r="DU154" s="288"/>
      <c r="DV154" s="288"/>
      <c r="DW154" s="288"/>
      <c r="DX154" s="288"/>
      <c r="DY154" s="288"/>
      <c r="DZ154" s="288"/>
      <c r="EA154" s="288"/>
      <c r="EB154" s="288"/>
      <c r="EC154" s="288"/>
      <c r="ED154" s="288"/>
      <c r="EE154" s="288"/>
      <c r="EF154" s="288"/>
      <c r="EG154" s="288"/>
      <c r="EH154" s="288"/>
      <c r="EI154" s="288"/>
      <c r="EJ154" s="288"/>
      <c r="EK154" s="288"/>
      <c r="EL154" s="288"/>
      <c r="EM154" s="288"/>
      <c r="EN154" s="288"/>
      <c r="EO154" s="288"/>
      <c r="EP154" s="288"/>
      <c r="EQ154" s="388"/>
      <c r="ER154" s="288"/>
      <c r="ES154" s="288"/>
      <c r="ET154" s="288"/>
      <c r="EU154" s="288"/>
      <c r="EV154" s="288"/>
      <c r="EW154" s="288"/>
    </row>
    <row r="155" spans="42:153" ht="21.75">
      <c r="AP155" s="33"/>
      <c r="AQ155" s="33"/>
      <c r="AR155" s="33"/>
      <c r="AS155" s="33"/>
      <c r="AT155" s="33"/>
      <c r="AU155" s="33"/>
      <c r="AV155" s="33"/>
      <c r="AW155" s="33"/>
      <c r="AX155" s="33"/>
      <c r="AY155" s="33"/>
      <c r="AZ155" s="192"/>
      <c r="BA155" s="192"/>
      <c r="BB155" s="192"/>
      <c r="BC155" s="192"/>
      <c r="DL155" s="288"/>
      <c r="DM155" s="288"/>
      <c r="DN155" s="288"/>
      <c r="DO155" s="288"/>
      <c r="DP155" s="288"/>
      <c r="DQ155" s="288"/>
      <c r="DR155" s="288"/>
      <c r="DS155" s="288"/>
      <c r="DT155" s="288"/>
      <c r="DU155" s="288"/>
      <c r="DV155" s="288"/>
      <c r="DW155" s="288"/>
      <c r="DX155" s="288"/>
      <c r="DY155" s="288"/>
      <c r="DZ155" s="288"/>
      <c r="EA155" s="288"/>
      <c r="EB155" s="288"/>
      <c r="EC155" s="288"/>
      <c r="ED155" s="288"/>
      <c r="EE155" s="288"/>
      <c r="EF155" s="288"/>
      <c r="EG155" s="288"/>
      <c r="EH155" s="288"/>
      <c r="EI155" s="288"/>
      <c r="EJ155" s="288"/>
      <c r="EK155" s="288"/>
      <c r="EL155" s="288"/>
      <c r="EM155" s="288"/>
      <c r="EN155" s="288"/>
      <c r="EO155" s="288"/>
      <c r="EP155" s="288"/>
      <c r="EQ155" s="288"/>
      <c r="ER155" s="288"/>
      <c r="ES155" s="288"/>
      <c r="ET155" s="288"/>
      <c r="EU155" s="288"/>
      <c r="EV155" s="288"/>
      <c r="EW155" s="288"/>
    </row>
    <row r="156" spans="42:153" ht="21.75">
      <c r="AP156" s="33"/>
      <c r="AQ156" s="33"/>
      <c r="AR156" s="33"/>
      <c r="AS156" s="33"/>
      <c r="AT156" s="33"/>
      <c r="AU156" s="33"/>
      <c r="AV156" s="33"/>
      <c r="AW156" s="33"/>
      <c r="AX156" s="33"/>
      <c r="AY156" s="33"/>
      <c r="AZ156" s="192"/>
      <c r="BA156" s="192"/>
      <c r="BB156" s="192"/>
      <c r="BC156" s="192"/>
      <c r="DL156" s="288"/>
      <c r="DM156" s="288"/>
      <c r="DN156" s="288"/>
      <c r="DO156" s="288"/>
      <c r="DP156" s="288"/>
      <c r="DQ156" s="288"/>
      <c r="DR156" s="288"/>
      <c r="DS156" s="288"/>
      <c r="DT156" s="288"/>
      <c r="DU156" s="288"/>
      <c r="DV156" s="288"/>
      <c r="DW156" s="288"/>
      <c r="DX156" s="288"/>
      <c r="DY156" s="288"/>
      <c r="DZ156" s="288"/>
      <c r="EA156" s="288"/>
      <c r="EB156" s="288"/>
      <c r="EC156" s="288"/>
      <c r="ED156" s="288"/>
      <c r="EE156" s="288"/>
      <c r="EF156" s="288"/>
      <c r="EG156" s="288"/>
      <c r="EH156" s="288"/>
      <c r="EI156" s="288"/>
      <c r="EJ156" s="288"/>
      <c r="EK156" s="288"/>
      <c r="EL156" s="288"/>
      <c r="EM156" s="288"/>
      <c r="EN156" s="288"/>
      <c r="EO156" s="288"/>
      <c r="EP156" s="288"/>
      <c r="EQ156" s="288"/>
      <c r="ER156" s="288"/>
      <c r="ES156" s="288"/>
      <c r="ET156" s="288"/>
      <c r="EU156" s="288"/>
      <c r="EV156" s="288"/>
      <c r="EW156" s="288"/>
    </row>
    <row r="157" spans="42:153" ht="21.75">
      <c r="AP157" s="33"/>
      <c r="AQ157" s="33"/>
      <c r="AR157" s="33"/>
      <c r="AS157" s="33"/>
      <c r="AT157" s="33"/>
      <c r="AU157" s="33"/>
      <c r="AV157" s="33"/>
      <c r="AW157" s="33"/>
      <c r="AX157" s="33"/>
      <c r="AY157" s="33"/>
      <c r="AZ157" s="192"/>
      <c r="BA157" s="192"/>
      <c r="BB157" s="192"/>
      <c r="BC157" s="192"/>
    </row>
    <row r="158" spans="42:153" ht="21.75">
      <c r="AP158" s="33"/>
      <c r="AQ158" s="33"/>
      <c r="AR158" s="33"/>
      <c r="AS158" s="33"/>
      <c r="AT158" s="33"/>
      <c r="AU158" s="33"/>
      <c r="AV158" s="33"/>
      <c r="AW158" s="33"/>
      <c r="AX158" s="33"/>
      <c r="AY158" s="33"/>
      <c r="AZ158" s="192"/>
      <c r="BA158" s="192"/>
      <c r="BB158" s="192"/>
      <c r="BC158" s="192"/>
    </row>
    <row r="159" spans="42:153" ht="21.75">
      <c r="AP159" s="33"/>
      <c r="AQ159" s="33"/>
      <c r="AR159" s="33"/>
      <c r="AS159" s="33"/>
      <c r="AT159" s="33"/>
      <c r="AU159" s="33"/>
      <c r="AV159" s="33"/>
      <c r="AW159" s="33"/>
      <c r="AX159" s="33"/>
      <c r="AY159" s="33"/>
      <c r="AZ159" s="192"/>
      <c r="BA159" s="192"/>
      <c r="BB159" s="192"/>
      <c r="BC159" s="192"/>
    </row>
    <row r="160" spans="42:153" ht="21.75">
      <c r="AP160" s="33"/>
      <c r="AQ160" s="33"/>
      <c r="AR160" s="33"/>
      <c r="AS160" s="33"/>
      <c r="AT160" s="33"/>
      <c r="AU160" s="33"/>
      <c r="AV160" s="33"/>
      <c r="AW160" s="33"/>
      <c r="AX160" s="33"/>
      <c r="AY160" s="33"/>
      <c r="AZ160" s="192"/>
      <c r="BA160" s="192"/>
      <c r="BB160" s="192"/>
      <c r="BC160" s="192"/>
    </row>
    <row r="161" spans="42:55" ht="21.75">
      <c r="AP161" s="33"/>
      <c r="AQ161" s="33"/>
      <c r="AR161" s="33"/>
      <c r="AS161" s="33"/>
      <c r="AT161" s="33"/>
      <c r="AU161" s="33"/>
      <c r="AV161" s="33"/>
      <c r="AW161" s="33"/>
      <c r="AX161" s="33"/>
      <c r="AY161" s="33"/>
      <c r="AZ161" s="192"/>
      <c r="BA161" s="192"/>
      <c r="BB161" s="192"/>
      <c r="BC161" s="192"/>
    </row>
    <row r="162" spans="42:55" ht="21.75">
      <c r="AP162" s="33"/>
      <c r="AQ162" s="33"/>
      <c r="AR162" s="33"/>
      <c r="AS162" s="33"/>
      <c r="AT162" s="33"/>
      <c r="AU162" s="33"/>
      <c r="AV162" s="33"/>
      <c r="AW162" s="33"/>
      <c r="AX162" s="33"/>
      <c r="AY162" s="33"/>
      <c r="AZ162" s="192"/>
      <c r="BA162" s="192"/>
      <c r="BB162" s="192"/>
      <c r="BC162" s="192"/>
    </row>
    <row r="163" spans="42:55" ht="21.75">
      <c r="AP163" s="33"/>
      <c r="AQ163" s="33"/>
      <c r="AR163" s="33"/>
      <c r="AS163" s="33"/>
      <c r="AT163" s="33"/>
      <c r="AU163" s="33"/>
      <c r="AV163" s="33"/>
      <c r="AW163" s="33"/>
      <c r="AX163" s="33"/>
      <c r="AY163" s="33"/>
      <c r="AZ163" s="192"/>
      <c r="BA163" s="192"/>
      <c r="BB163" s="192"/>
      <c r="BC163" s="192"/>
    </row>
    <row r="164" spans="42:55" ht="21.75">
      <c r="AP164" s="33"/>
      <c r="AQ164" s="33"/>
      <c r="AR164" s="33"/>
      <c r="AS164" s="33"/>
      <c r="AT164" s="33"/>
      <c r="AU164" s="33"/>
      <c r="AV164" s="33"/>
      <c r="AW164" s="33"/>
      <c r="AX164" s="33"/>
      <c r="AY164" s="33"/>
      <c r="AZ164" s="192"/>
      <c r="BA164" s="192"/>
      <c r="BB164" s="192"/>
      <c r="BC164" s="192"/>
    </row>
    <row r="165" spans="42:55" ht="21.75">
      <c r="AP165" s="33"/>
      <c r="AQ165" s="33"/>
      <c r="AR165" s="33"/>
      <c r="AS165" s="33"/>
      <c r="AT165" s="33"/>
      <c r="AU165" s="33"/>
      <c r="AV165" s="33"/>
      <c r="AW165" s="33"/>
      <c r="AX165" s="33"/>
      <c r="AY165" s="33"/>
      <c r="AZ165" s="192"/>
      <c r="BA165" s="192"/>
      <c r="BB165" s="192"/>
      <c r="BC165" s="192"/>
    </row>
    <row r="166" spans="42:55" ht="21.75">
      <c r="AP166" s="33"/>
      <c r="AQ166" s="33"/>
      <c r="AR166" s="33"/>
      <c r="AS166" s="33"/>
      <c r="AT166" s="33"/>
      <c r="AU166" s="33"/>
      <c r="AV166" s="33"/>
      <c r="AW166" s="33"/>
      <c r="AX166" s="33"/>
      <c r="AY166" s="33"/>
      <c r="AZ166" s="192"/>
      <c r="BA166" s="192"/>
      <c r="BB166" s="192"/>
      <c r="BC166" s="192"/>
    </row>
    <row r="167" spans="42:55" ht="21.75">
      <c r="AP167" s="33"/>
      <c r="AQ167" s="33"/>
      <c r="AR167" s="33"/>
      <c r="AS167" s="33"/>
      <c r="AT167" s="33"/>
      <c r="AU167" s="33"/>
      <c r="AV167" s="33"/>
      <c r="AW167" s="33"/>
      <c r="AX167" s="33"/>
      <c r="AY167" s="33"/>
      <c r="AZ167" s="192"/>
      <c r="BA167" s="192"/>
      <c r="BB167" s="192"/>
      <c r="BC167" s="192"/>
    </row>
    <row r="168" spans="42:55" ht="21.75">
      <c r="AP168" s="33"/>
      <c r="AQ168" s="33"/>
      <c r="AR168" s="33"/>
      <c r="AS168" s="33"/>
      <c r="AT168" s="33"/>
      <c r="AU168" s="33"/>
      <c r="AV168" s="33"/>
      <c r="AW168" s="33"/>
      <c r="AX168" s="33"/>
      <c r="AY168" s="33"/>
      <c r="AZ168" s="192"/>
      <c r="BA168" s="192"/>
      <c r="BB168" s="192"/>
      <c r="BC168" s="192"/>
    </row>
    <row r="169" spans="42:55" ht="21.75">
      <c r="AP169" s="33"/>
      <c r="AQ169" s="33"/>
      <c r="AR169" s="33"/>
      <c r="AS169" s="33"/>
      <c r="AT169" s="33"/>
      <c r="AU169" s="33"/>
      <c r="AV169" s="33"/>
      <c r="AW169" s="33"/>
      <c r="AX169" s="33"/>
      <c r="AY169" s="33"/>
      <c r="AZ169" s="192"/>
      <c r="BA169" s="192"/>
      <c r="BB169" s="192"/>
      <c r="BC169" s="192"/>
    </row>
    <row r="170" spans="42:55" ht="21.75">
      <c r="AP170" s="33"/>
      <c r="AQ170" s="33"/>
      <c r="AR170" s="33"/>
      <c r="AS170" s="33"/>
      <c r="AT170" s="33"/>
      <c r="AU170" s="33"/>
      <c r="AV170" s="33"/>
      <c r="AW170" s="33"/>
      <c r="AX170" s="33"/>
      <c r="AY170" s="33"/>
      <c r="AZ170" s="192"/>
      <c r="BA170" s="192"/>
      <c r="BB170" s="192"/>
      <c r="BC170" s="192"/>
    </row>
    <row r="171" spans="42:55" ht="21.75">
      <c r="AP171" s="33"/>
      <c r="AQ171" s="33"/>
      <c r="AR171" s="33"/>
      <c r="AS171" s="33"/>
      <c r="AT171" s="33"/>
      <c r="AU171" s="33"/>
      <c r="AV171" s="33"/>
      <c r="AW171" s="33"/>
      <c r="AX171" s="33"/>
      <c r="AY171" s="33"/>
      <c r="AZ171" s="192"/>
      <c r="BA171" s="192"/>
      <c r="BB171" s="192"/>
      <c r="BC171" s="192"/>
    </row>
    <row r="172" spans="42:55" ht="21.75">
      <c r="AP172" s="33"/>
      <c r="AQ172" s="33"/>
      <c r="AR172" s="33"/>
      <c r="AS172" s="33"/>
      <c r="AT172" s="33"/>
      <c r="AU172" s="33"/>
      <c r="AV172" s="33"/>
      <c r="AW172" s="33"/>
      <c r="AX172" s="33"/>
      <c r="AY172" s="33"/>
      <c r="AZ172" s="192"/>
      <c r="BA172" s="192"/>
      <c r="BB172" s="192"/>
      <c r="BC172" s="192"/>
    </row>
    <row r="173" spans="42:55" ht="21.75">
      <c r="AP173" s="33"/>
      <c r="AQ173" s="33"/>
      <c r="AR173" s="33"/>
      <c r="AS173" s="33"/>
      <c r="AT173" s="33"/>
      <c r="AU173" s="33"/>
      <c r="AV173" s="33"/>
      <c r="AW173" s="33"/>
      <c r="AX173" s="33"/>
      <c r="AY173" s="33"/>
      <c r="AZ173" s="192"/>
      <c r="BA173" s="192"/>
      <c r="BB173" s="192"/>
      <c r="BC173" s="192"/>
    </row>
    <row r="174" spans="42:55" ht="21.75">
      <c r="AP174" s="33"/>
      <c r="AQ174" s="33"/>
      <c r="AR174" s="33"/>
      <c r="AS174" s="33"/>
      <c r="AT174" s="33"/>
      <c r="AU174" s="33"/>
      <c r="AV174" s="33"/>
      <c r="AW174" s="33"/>
      <c r="AX174" s="33"/>
      <c r="AY174" s="33"/>
      <c r="AZ174" s="192"/>
      <c r="BA174" s="192"/>
      <c r="BB174" s="192"/>
      <c r="BC174" s="192"/>
    </row>
    <row r="175" spans="42:55" ht="21.75">
      <c r="AP175" s="33"/>
      <c r="AQ175" s="33"/>
      <c r="AR175" s="33"/>
      <c r="AS175" s="33"/>
      <c r="AT175" s="33"/>
      <c r="AU175" s="33"/>
      <c r="AV175" s="33"/>
      <c r="AW175" s="33"/>
      <c r="AX175" s="33"/>
      <c r="AY175" s="33"/>
      <c r="AZ175" s="192"/>
      <c r="BA175" s="192"/>
      <c r="BB175" s="192"/>
      <c r="BC175" s="192"/>
    </row>
    <row r="176" spans="42:55" ht="21.75">
      <c r="AP176" s="33"/>
      <c r="AQ176" s="33"/>
      <c r="AR176" s="33"/>
      <c r="AS176" s="33"/>
      <c r="AT176" s="33"/>
      <c r="AU176" s="33"/>
      <c r="AV176" s="33"/>
      <c r="AW176" s="33"/>
      <c r="AX176" s="33"/>
      <c r="AY176" s="33"/>
      <c r="AZ176" s="192"/>
      <c r="BA176" s="192"/>
      <c r="BB176" s="192"/>
      <c r="BC176" s="192"/>
    </row>
    <row r="177" spans="42:55" ht="21.75">
      <c r="AP177" s="33"/>
      <c r="AQ177" s="33"/>
      <c r="AR177" s="33"/>
      <c r="AS177" s="33"/>
      <c r="AT177" s="33"/>
      <c r="AU177" s="33"/>
      <c r="AV177" s="33"/>
      <c r="AW177" s="33"/>
      <c r="AX177" s="33"/>
      <c r="AY177" s="33"/>
      <c r="AZ177" s="192"/>
      <c r="BA177" s="192"/>
      <c r="BB177" s="192"/>
      <c r="BC177" s="192"/>
    </row>
    <row r="178" spans="42:55" ht="21.75">
      <c r="AP178" s="33"/>
      <c r="AQ178" s="33"/>
      <c r="AR178" s="33"/>
      <c r="AS178" s="33"/>
      <c r="AT178" s="33"/>
      <c r="AU178" s="33"/>
      <c r="AV178" s="33"/>
      <c r="AW178" s="33"/>
      <c r="AX178" s="33"/>
      <c r="AY178" s="33"/>
      <c r="AZ178" s="192"/>
      <c r="BA178" s="192"/>
      <c r="BB178" s="192"/>
      <c r="BC178" s="192"/>
    </row>
    <row r="179" spans="42:55" ht="21.75">
      <c r="AP179" s="33"/>
      <c r="AQ179" s="33"/>
      <c r="AR179" s="33"/>
      <c r="AS179" s="33"/>
      <c r="AT179" s="33"/>
      <c r="AU179" s="33"/>
      <c r="AV179" s="33"/>
      <c r="AW179" s="33"/>
      <c r="AX179" s="33"/>
      <c r="AY179" s="33"/>
      <c r="AZ179" s="192"/>
      <c r="BA179" s="192"/>
      <c r="BB179" s="192"/>
      <c r="BC179" s="192"/>
    </row>
    <row r="180" spans="42:55" ht="21.75">
      <c r="AP180" s="33"/>
      <c r="AQ180" s="33"/>
      <c r="AR180" s="33"/>
      <c r="AS180" s="33"/>
      <c r="AT180" s="33"/>
      <c r="AU180" s="33"/>
      <c r="AV180" s="33"/>
      <c r="AW180" s="33"/>
      <c r="AX180" s="33"/>
      <c r="AY180" s="33"/>
      <c r="AZ180" s="192"/>
      <c r="BA180" s="192"/>
      <c r="BB180" s="192"/>
      <c r="BC180" s="192"/>
    </row>
    <row r="181" spans="42:55">
      <c r="AP181" s="33"/>
      <c r="AQ181" s="33"/>
      <c r="AR181" s="33"/>
      <c r="AS181" s="33"/>
      <c r="AT181" s="33"/>
      <c r="AU181" s="33"/>
      <c r="AV181" s="33"/>
      <c r="AW181" s="33"/>
      <c r="AX181" s="33"/>
      <c r="AY181" s="33"/>
      <c r="AZ181" s="33"/>
      <c r="BA181" s="33"/>
      <c r="BB181" s="33"/>
      <c r="BC181" s="33"/>
    </row>
    <row r="182" spans="42:55">
      <c r="AP182" s="33"/>
      <c r="AQ182" s="33"/>
      <c r="AR182" s="33"/>
      <c r="AS182" s="33"/>
      <c r="AT182" s="33"/>
      <c r="AU182" s="33"/>
      <c r="AV182" s="33"/>
      <c r="AW182" s="33"/>
      <c r="AX182" s="33"/>
      <c r="AY182" s="33"/>
      <c r="AZ182" s="33"/>
      <c r="BA182" s="33"/>
      <c r="BB182" s="33"/>
      <c r="BC182" s="33"/>
    </row>
    <row r="183" spans="42:55">
      <c r="AP183" s="33"/>
      <c r="AQ183" s="33"/>
      <c r="AR183" s="33"/>
      <c r="AS183" s="33"/>
      <c r="AT183" s="33"/>
      <c r="AU183" s="33"/>
      <c r="AV183" s="33"/>
      <c r="AW183" s="33"/>
      <c r="AX183" s="33"/>
      <c r="AY183" s="33"/>
      <c r="AZ183" s="33"/>
      <c r="BA183" s="33"/>
      <c r="BB183" s="33"/>
      <c r="BC183" s="33"/>
    </row>
    <row r="184" spans="42:55">
      <c r="AP184" s="33"/>
      <c r="AQ184" s="33"/>
      <c r="AR184" s="33"/>
      <c r="AS184" s="33"/>
      <c r="AT184" s="33"/>
      <c r="AU184" s="33"/>
      <c r="AV184" s="33"/>
      <c r="AW184" s="33"/>
      <c r="AX184" s="33"/>
      <c r="AY184" s="33"/>
      <c r="AZ184" s="33"/>
      <c r="BA184" s="33"/>
      <c r="BB184" s="33"/>
      <c r="BC184" s="33"/>
    </row>
    <row r="185" spans="42:55">
      <c r="AP185" s="33"/>
      <c r="AQ185" s="33"/>
      <c r="AR185" s="33"/>
      <c r="AS185" s="33"/>
      <c r="AT185" s="33"/>
      <c r="AU185" s="33"/>
      <c r="AV185" s="33"/>
      <c r="AW185" s="33"/>
      <c r="AX185" s="33"/>
      <c r="AY185" s="33"/>
      <c r="AZ185" s="33"/>
      <c r="BA185" s="33"/>
      <c r="BB185" s="33"/>
      <c r="BC185" s="33"/>
    </row>
    <row r="186" spans="42:55" ht="21.75">
      <c r="AP186" s="33"/>
      <c r="AQ186" s="33"/>
      <c r="AR186" s="33"/>
      <c r="AS186" s="33"/>
      <c r="AT186" s="33"/>
      <c r="AU186" s="33"/>
      <c r="AV186" s="33"/>
      <c r="AW186" s="33"/>
      <c r="AX186" s="33"/>
      <c r="AY186" s="33"/>
      <c r="AZ186" s="192"/>
      <c r="BA186" s="192"/>
      <c r="BB186" s="192"/>
      <c r="BC186" s="192"/>
    </row>
    <row r="187" spans="42:55" ht="21.75">
      <c r="AP187" s="33"/>
      <c r="AQ187" s="33"/>
      <c r="AR187" s="33"/>
      <c r="AS187" s="33"/>
      <c r="AT187" s="33"/>
      <c r="AU187" s="33"/>
      <c r="AV187" s="33"/>
      <c r="AW187" s="33"/>
      <c r="AX187" s="33"/>
      <c r="AY187" s="33"/>
      <c r="AZ187" s="192"/>
      <c r="BA187" s="192"/>
      <c r="BB187" s="192"/>
      <c r="BC187" s="192"/>
    </row>
    <row r="188" spans="42:55" ht="21.75">
      <c r="AP188" s="33"/>
      <c r="AQ188" s="33"/>
      <c r="AR188" s="33"/>
      <c r="AS188" s="33"/>
      <c r="AT188" s="33"/>
      <c r="AU188" s="33"/>
      <c r="AV188" s="33"/>
      <c r="AW188" s="33"/>
      <c r="AX188" s="33"/>
      <c r="AY188" s="33"/>
      <c r="AZ188" s="192"/>
      <c r="BA188" s="192"/>
      <c r="BB188" s="192"/>
      <c r="BC188" s="192"/>
    </row>
    <row r="189" spans="42:55" ht="21.75">
      <c r="AP189" s="33"/>
      <c r="AQ189" s="33"/>
      <c r="AR189" s="33"/>
      <c r="AS189" s="33"/>
      <c r="AT189" s="33"/>
      <c r="AU189" s="33"/>
      <c r="AV189" s="33"/>
      <c r="AW189" s="33"/>
      <c r="AX189" s="33"/>
      <c r="AY189" s="33"/>
      <c r="AZ189" s="192"/>
      <c r="BA189" s="192"/>
      <c r="BB189" s="192"/>
      <c r="BC189" s="192"/>
    </row>
    <row r="190" spans="42:55" ht="21.75">
      <c r="AP190" s="33"/>
      <c r="AQ190" s="33"/>
      <c r="AR190" s="33"/>
      <c r="AS190" s="33"/>
      <c r="AT190" s="33"/>
      <c r="AU190" s="33"/>
      <c r="AV190" s="33"/>
      <c r="AW190" s="33"/>
      <c r="AX190" s="33"/>
      <c r="AY190" s="33"/>
      <c r="AZ190" s="192"/>
      <c r="BA190" s="192"/>
      <c r="BB190" s="192"/>
      <c r="BC190" s="192"/>
    </row>
    <row r="191" spans="42:55" ht="21.75">
      <c r="AP191" s="33"/>
      <c r="AQ191" s="33"/>
      <c r="AR191" s="33"/>
      <c r="AS191" s="33"/>
      <c r="AT191" s="33"/>
      <c r="AU191" s="33"/>
      <c r="AV191" s="33"/>
      <c r="AW191" s="33"/>
      <c r="AX191" s="33"/>
      <c r="AY191" s="33"/>
      <c r="AZ191" s="192"/>
      <c r="BA191" s="192"/>
      <c r="BB191" s="192"/>
      <c r="BC191" s="192"/>
    </row>
    <row r="192" spans="42:55" ht="21.75">
      <c r="AP192" s="33"/>
      <c r="AQ192" s="33"/>
      <c r="AR192" s="33"/>
      <c r="AS192" s="33"/>
      <c r="AT192" s="33"/>
      <c r="AU192" s="33"/>
      <c r="AV192" s="33"/>
      <c r="AW192" s="33"/>
      <c r="AX192" s="33"/>
      <c r="AY192" s="33"/>
      <c r="AZ192" s="192"/>
      <c r="BA192" s="192"/>
      <c r="BB192" s="192"/>
      <c r="BC192" s="192"/>
    </row>
    <row r="193" spans="42:55" ht="21.75">
      <c r="AP193" s="33"/>
      <c r="AQ193" s="33"/>
      <c r="AR193" s="33"/>
      <c r="AS193" s="33"/>
      <c r="AT193" s="33"/>
      <c r="AU193" s="33"/>
      <c r="AV193" s="33"/>
      <c r="AW193" s="33"/>
      <c r="AX193" s="33"/>
      <c r="AY193" s="33"/>
      <c r="AZ193" s="192"/>
      <c r="BA193" s="192"/>
      <c r="BB193" s="192"/>
      <c r="BC193" s="192"/>
    </row>
    <row r="194" spans="42:55" ht="21.75">
      <c r="AP194" s="33"/>
      <c r="AQ194" s="33"/>
      <c r="AR194" s="33"/>
      <c r="AS194" s="33"/>
      <c r="AT194" s="33"/>
      <c r="AU194" s="33"/>
      <c r="AV194" s="33"/>
      <c r="AW194" s="33"/>
      <c r="AX194" s="33"/>
      <c r="AY194" s="33"/>
      <c r="AZ194" s="192"/>
      <c r="BA194" s="192"/>
      <c r="BB194" s="192"/>
      <c r="BC194" s="192"/>
    </row>
    <row r="195" spans="42:55" ht="21.75">
      <c r="AP195" s="33"/>
      <c r="AQ195" s="33"/>
      <c r="AR195" s="33"/>
      <c r="AS195" s="33"/>
      <c r="AT195" s="33"/>
      <c r="AU195" s="33"/>
      <c r="AV195" s="33"/>
      <c r="AW195" s="33"/>
      <c r="AX195" s="33"/>
      <c r="AY195" s="33"/>
      <c r="AZ195" s="192"/>
      <c r="BA195" s="192"/>
      <c r="BB195" s="192"/>
      <c r="BC195" s="192"/>
    </row>
    <row r="196" spans="42:55" ht="21.75">
      <c r="AP196" s="33"/>
      <c r="AQ196" s="33"/>
      <c r="AR196" s="33"/>
      <c r="AS196" s="33"/>
      <c r="AT196" s="33"/>
      <c r="AU196" s="33"/>
      <c r="AV196" s="33"/>
      <c r="AW196" s="33"/>
      <c r="AX196" s="33"/>
      <c r="AY196" s="33"/>
      <c r="AZ196" s="192"/>
      <c r="BA196" s="192"/>
      <c r="BB196" s="192"/>
      <c r="BC196" s="192"/>
    </row>
    <row r="197" spans="42:55" ht="21.75">
      <c r="AP197" s="33"/>
      <c r="AQ197" s="33"/>
      <c r="AR197" s="33"/>
      <c r="AS197" s="33"/>
      <c r="AT197" s="33"/>
      <c r="AU197" s="33"/>
      <c r="AV197" s="33"/>
      <c r="AW197" s="33"/>
      <c r="AX197" s="33"/>
      <c r="AY197" s="33"/>
      <c r="AZ197" s="192"/>
      <c r="BA197" s="192"/>
      <c r="BB197" s="192"/>
      <c r="BC197" s="192"/>
    </row>
    <row r="198" spans="42:55" ht="21.75">
      <c r="AP198" s="33"/>
      <c r="AQ198" s="33"/>
      <c r="AR198" s="33"/>
      <c r="AS198" s="33"/>
      <c r="AT198" s="33"/>
      <c r="AU198" s="33"/>
      <c r="AV198" s="33"/>
      <c r="AW198" s="33"/>
      <c r="AX198" s="33"/>
      <c r="AY198" s="33"/>
      <c r="AZ198" s="192"/>
      <c r="BA198" s="192"/>
      <c r="BB198" s="192"/>
      <c r="BC198" s="192"/>
    </row>
    <row r="199" spans="42:55" ht="21.75">
      <c r="AP199" s="33"/>
      <c r="AQ199" s="33"/>
      <c r="AR199" s="33"/>
      <c r="AS199" s="33"/>
      <c r="AT199" s="33"/>
      <c r="AU199" s="33"/>
      <c r="AV199" s="33"/>
      <c r="AW199" s="33"/>
      <c r="AX199" s="33"/>
      <c r="AY199" s="33"/>
      <c r="AZ199" s="192"/>
      <c r="BA199" s="192"/>
      <c r="BB199" s="192"/>
      <c r="BC199" s="192"/>
    </row>
    <row r="200" spans="42:55" ht="21.75">
      <c r="AP200" s="33"/>
      <c r="AQ200" s="33"/>
      <c r="AR200" s="33"/>
      <c r="AS200" s="33"/>
      <c r="AT200" s="33"/>
      <c r="AU200" s="33"/>
      <c r="AV200" s="33"/>
      <c r="AW200" s="33"/>
      <c r="AX200" s="33"/>
      <c r="AY200" s="33"/>
      <c r="AZ200" s="192"/>
      <c r="BA200" s="192"/>
      <c r="BB200" s="192"/>
      <c r="BC200" s="192"/>
    </row>
    <row r="201" spans="42:55" ht="21.75">
      <c r="AP201" s="33"/>
      <c r="AQ201" s="33"/>
      <c r="AR201" s="33"/>
      <c r="AS201" s="33"/>
      <c r="AT201" s="33"/>
      <c r="AU201" s="33"/>
      <c r="AV201" s="33"/>
      <c r="AW201" s="33"/>
      <c r="AX201" s="33"/>
      <c r="AY201" s="33"/>
      <c r="AZ201" s="192"/>
      <c r="BA201" s="192"/>
      <c r="BB201" s="192"/>
      <c r="BC201" s="192"/>
    </row>
    <row r="202" spans="42:55" ht="21.75">
      <c r="AP202" s="33"/>
      <c r="AQ202" s="33"/>
      <c r="AR202" s="33"/>
      <c r="AS202" s="33"/>
      <c r="AT202" s="33"/>
      <c r="AU202" s="33"/>
      <c r="AV202" s="33"/>
      <c r="AW202" s="33"/>
      <c r="AX202" s="33"/>
      <c r="AY202" s="33"/>
      <c r="AZ202" s="192"/>
      <c r="BA202" s="192"/>
      <c r="BB202" s="192"/>
      <c r="BC202" s="192"/>
    </row>
    <row r="203" spans="42:55" ht="21.75">
      <c r="AP203" s="33"/>
      <c r="AQ203" s="33"/>
      <c r="AR203" s="33"/>
      <c r="AS203" s="33"/>
      <c r="AT203" s="33"/>
      <c r="AU203" s="33"/>
      <c r="AV203" s="33"/>
      <c r="AW203" s="33"/>
      <c r="AX203" s="33"/>
      <c r="AY203" s="33"/>
      <c r="AZ203" s="192"/>
      <c r="BA203" s="192"/>
      <c r="BB203" s="192"/>
      <c r="BC203" s="192"/>
    </row>
    <row r="204" spans="42:55" ht="21.75">
      <c r="AP204" s="33"/>
      <c r="AQ204" s="33"/>
      <c r="AR204" s="33"/>
      <c r="AS204" s="33"/>
      <c r="AT204" s="33"/>
      <c r="AU204" s="33"/>
      <c r="AV204" s="33"/>
      <c r="AW204" s="33"/>
      <c r="AX204" s="33"/>
      <c r="AY204" s="33"/>
      <c r="AZ204" s="192"/>
      <c r="BA204" s="192"/>
      <c r="BB204" s="192"/>
      <c r="BC204" s="192"/>
    </row>
    <row r="205" spans="42:55" ht="21.75">
      <c r="AP205" s="33"/>
      <c r="AQ205" s="33"/>
      <c r="AR205" s="33"/>
      <c r="AS205" s="33"/>
      <c r="AT205" s="33"/>
      <c r="AU205" s="33"/>
      <c r="AV205" s="33"/>
      <c r="AW205" s="33"/>
      <c r="AX205" s="33"/>
      <c r="AY205" s="33"/>
      <c r="AZ205" s="192"/>
      <c r="BA205" s="192"/>
      <c r="BB205" s="192"/>
      <c r="BC205" s="192"/>
    </row>
    <row r="206" spans="42:55" ht="21.75">
      <c r="AP206" s="33"/>
      <c r="AQ206" s="33"/>
      <c r="AR206" s="33"/>
      <c r="AS206" s="33"/>
      <c r="AT206" s="33"/>
      <c r="AU206" s="33"/>
      <c r="AV206" s="33"/>
      <c r="AW206" s="33"/>
      <c r="AX206" s="33"/>
      <c r="AY206" s="33"/>
      <c r="AZ206" s="192"/>
      <c r="BA206" s="192"/>
      <c r="BB206" s="192"/>
      <c r="BC206" s="192"/>
    </row>
    <row r="207" spans="42:55" ht="21.75">
      <c r="AP207" s="33"/>
      <c r="AQ207" s="33"/>
      <c r="AR207" s="33"/>
      <c r="AS207" s="33"/>
      <c r="AT207" s="33"/>
      <c r="AU207" s="33"/>
      <c r="AV207" s="33"/>
      <c r="AW207" s="33"/>
      <c r="AX207" s="33"/>
      <c r="AY207" s="33"/>
      <c r="AZ207" s="192"/>
      <c r="BA207" s="192"/>
      <c r="BB207" s="192"/>
      <c r="BC207" s="192"/>
    </row>
    <row r="208" spans="42:55" ht="21.75">
      <c r="AP208" s="33"/>
      <c r="AQ208" s="33"/>
      <c r="AR208" s="33"/>
      <c r="AS208" s="33"/>
      <c r="AT208" s="33"/>
      <c r="AU208" s="33"/>
      <c r="AV208" s="33"/>
      <c r="AW208" s="33"/>
      <c r="AX208" s="33"/>
      <c r="AY208" s="33"/>
      <c r="AZ208" s="192"/>
      <c r="BA208" s="192"/>
      <c r="BB208" s="192"/>
      <c r="BC208" s="192"/>
    </row>
    <row r="209" spans="42:55" ht="21.75">
      <c r="AP209" s="33"/>
      <c r="AQ209" s="33"/>
      <c r="AR209" s="33"/>
      <c r="AS209" s="33"/>
      <c r="AT209" s="33"/>
      <c r="AU209" s="33"/>
      <c r="AV209" s="33"/>
      <c r="AW209" s="33"/>
      <c r="AX209" s="33"/>
      <c r="AY209" s="33"/>
      <c r="AZ209" s="192"/>
      <c r="BA209" s="192"/>
      <c r="BB209" s="192"/>
      <c r="BC209" s="192"/>
    </row>
    <row r="210" spans="42:55" ht="21.75">
      <c r="AP210" s="33"/>
      <c r="AQ210" s="33"/>
      <c r="AR210" s="33"/>
      <c r="AS210" s="33"/>
      <c r="AT210" s="33"/>
      <c r="AU210" s="33"/>
      <c r="AV210" s="33"/>
      <c r="AW210" s="33"/>
      <c r="AX210" s="33"/>
      <c r="AY210" s="33"/>
      <c r="AZ210" s="192"/>
      <c r="BA210" s="192"/>
      <c r="BB210" s="192"/>
      <c r="BC210" s="192"/>
    </row>
    <row r="211" spans="42:55" ht="21.75">
      <c r="AP211" s="33"/>
      <c r="AQ211" s="33"/>
      <c r="AR211" s="33"/>
      <c r="AS211" s="33"/>
      <c r="AT211" s="33"/>
      <c r="AU211" s="33"/>
      <c r="AV211" s="33"/>
      <c r="AW211" s="33"/>
      <c r="AX211" s="33"/>
      <c r="AY211" s="33"/>
      <c r="AZ211" s="192"/>
      <c r="BA211" s="192"/>
      <c r="BB211" s="192"/>
      <c r="BC211" s="192"/>
    </row>
    <row r="212" spans="42:55" ht="21.75">
      <c r="AP212" s="33"/>
      <c r="AQ212" s="33"/>
      <c r="AR212" s="33"/>
      <c r="AS212" s="33"/>
      <c r="AT212" s="33"/>
      <c r="AU212" s="33"/>
      <c r="AV212" s="33"/>
      <c r="AW212" s="33"/>
      <c r="AX212" s="33"/>
      <c r="AY212" s="33"/>
      <c r="AZ212" s="192"/>
      <c r="BA212" s="192"/>
      <c r="BB212" s="192"/>
      <c r="BC212" s="192"/>
    </row>
    <row r="213" spans="42:55" ht="21.75">
      <c r="AP213" s="33"/>
      <c r="AQ213" s="33"/>
      <c r="AR213" s="33"/>
      <c r="AS213" s="33"/>
      <c r="AT213" s="33"/>
      <c r="AU213" s="33"/>
      <c r="AV213" s="33"/>
      <c r="AW213" s="33"/>
      <c r="AX213" s="33"/>
      <c r="AY213" s="33"/>
      <c r="AZ213" s="192"/>
      <c r="BA213" s="192"/>
      <c r="BB213" s="192"/>
      <c r="BC213" s="192"/>
    </row>
    <row r="214" spans="42:55" ht="21.75">
      <c r="AP214" s="33"/>
      <c r="AQ214" s="33"/>
      <c r="AR214" s="33"/>
      <c r="AS214" s="33"/>
      <c r="AT214" s="33"/>
      <c r="AU214" s="33"/>
      <c r="AV214" s="33"/>
      <c r="AW214" s="33"/>
      <c r="AX214" s="33"/>
      <c r="AY214" s="33"/>
      <c r="AZ214" s="192"/>
      <c r="BA214" s="192"/>
      <c r="BB214" s="192"/>
      <c r="BC214" s="192"/>
    </row>
    <row r="215" spans="42:55" ht="21.75">
      <c r="AP215" s="33"/>
      <c r="AQ215" s="33"/>
      <c r="AR215" s="33"/>
      <c r="AS215" s="33"/>
      <c r="AT215" s="33"/>
      <c r="AU215" s="33"/>
      <c r="AV215" s="33"/>
      <c r="AW215" s="33"/>
      <c r="AX215" s="33"/>
      <c r="AY215" s="33"/>
      <c r="AZ215" s="192"/>
      <c r="BA215" s="192"/>
      <c r="BB215" s="192"/>
      <c r="BC215" s="192"/>
    </row>
    <row r="216" spans="42:55" ht="21.75">
      <c r="AP216" s="33"/>
      <c r="AQ216" s="33"/>
      <c r="AR216" s="33"/>
      <c r="AS216" s="33"/>
      <c r="AT216" s="33"/>
      <c r="AU216" s="33"/>
      <c r="AV216" s="33"/>
      <c r="AW216" s="33"/>
      <c r="AX216" s="33"/>
      <c r="AY216" s="33"/>
      <c r="AZ216" s="192"/>
      <c r="BA216" s="192"/>
      <c r="BB216" s="192"/>
      <c r="BC216" s="192"/>
    </row>
    <row r="217" spans="42:55" ht="21.75">
      <c r="AP217" s="33"/>
      <c r="AQ217" s="33"/>
      <c r="AR217" s="33"/>
      <c r="AS217" s="33"/>
      <c r="AT217" s="33"/>
      <c r="AU217" s="33"/>
      <c r="AV217" s="33"/>
      <c r="AW217" s="33"/>
      <c r="AX217" s="33"/>
      <c r="AY217" s="33"/>
      <c r="AZ217" s="192"/>
      <c r="BA217" s="192"/>
      <c r="BB217" s="192"/>
      <c r="BC217" s="192"/>
    </row>
    <row r="218" spans="42:55" ht="21.75">
      <c r="AP218" s="33"/>
      <c r="AQ218" s="33"/>
      <c r="AR218" s="33"/>
      <c r="AS218" s="33"/>
      <c r="AT218" s="33"/>
      <c r="AU218" s="33"/>
      <c r="AV218" s="33"/>
      <c r="AW218" s="33"/>
      <c r="AX218" s="33"/>
      <c r="AY218" s="33"/>
      <c r="AZ218" s="192"/>
      <c r="BA218" s="192"/>
      <c r="BB218" s="192"/>
      <c r="BC218" s="192"/>
    </row>
    <row r="219" spans="42:55" ht="21.75">
      <c r="AP219" s="33"/>
      <c r="AQ219" s="33"/>
      <c r="AR219" s="33"/>
      <c r="AS219" s="33"/>
      <c r="AT219" s="33"/>
      <c r="AU219" s="33"/>
      <c r="AV219" s="33"/>
      <c r="AW219" s="33"/>
      <c r="AX219" s="33"/>
      <c r="AY219" s="33"/>
      <c r="AZ219" s="192"/>
      <c r="BA219" s="192"/>
      <c r="BB219" s="192"/>
      <c r="BC219" s="192"/>
    </row>
    <row r="220" spans="42:55" ht="21.75">
      <c r="AP220" s="33"/>
      <c r="AQ220" s="33"/>
      <c r="AR220" s="33"/>
      <c r="AS220" s="33"/>
      <c r="AT220" s="33"/>
      <c r="AU220" s="33"/>
      <c r="AV220" s="33"/>
      <c r="AW220" s="33"/>
      <c r="AX220" s="33"/>
      <c r="AY220" s="33"/>
      <c r="AZ220" s="192"/>
      <c r="BA220" s="192"/>
      <c r="BB220" s="192"/>
      <c r="BC220" s="192"/>
    </row>
    <row r="221" spans="42:55" ht="21.75">
      <c r="AP221" s="33"/>
      <c r="AQ221" s="33"/>
      <c r="AR221" s="33"/>
      <c r="AS221" s="33"/>
      <c r="AT221" s="33"/>
      <c r="AU221" s="33"/>
      <c r="AV221" s="33"/>
      <c r="AW221" s="33"/>
      <c r="AX221" s="33"/>
      <c r="AY221" s="33"/>
      <c r="AZ221" s="192"/>
      <c r="BA221" s="192"/>
      <c r="BB221" s="192"/>
      <c r="BC221" s="192"/>
    </row>
    <row r="222" spans="42:55" ht="21.75">
      <c r="AP222" s="33"/>
      <c r="AQ222" s="33"/>
      <c r="AR222" s="33"/>
      <c r="AS222" s="33"/>
      <c r="AT222" s="33"/>
      <c r="AU222" s="33"/>
      <c r="AV222" s="33"/>
      <c r="AW222" s="33"/>
      <c r="AX222" s="33"/>
      <c r="AY222" s="33"/>
      <c r="AZ222" s="192"/>
      <c r="BA222" s="192"/>
      <c r="BB222" s="192"/>
      <c r="BC222" s="192"/>
    </row>
    <row r="223" spans="42:55" ht="21.75">
      <c r="AP223" s="33"/>
      <c r="AQ223" s="33"/>
      <c r="AR223" s="33"/>
      <c r="AS223" s="33"/>
      <c r="AT223" s="33"/>
      <c r="AU223" s="33"/>
      <c r="AV223" s="33"/>
      <c r="AW223" s="33"/>
      <c r="AX223" s="33"/>
      <c r="AY223" s="33"/>
      <c r="AZ223" s="192"/>
      <c r="BA223" s="192"/>
      <c r="BB223" s="192"/>
      <c r="BC223" s="192"/>
    </row>
    <row r="224" spans="42:55" ht="21.75">
      <c r="AP224" s="33"/>
      <c r="AQ224" s="33"/>
      <c r="AR224" s="33"/>
      <c r="AS224" s="33"/>
      <c r="AT224" s="33"/>
      <c r="AU224" s="33"/>
      <c r="AV224" s="33"/>
      <c r="AW224" s="33"/>
      <c r="AX224" s="33"/>
      <c r="AY224" s="33"/>
      <c r="AZ224" s="192"/>
      <c r="BA224" s="192"/>
      <c r="BB224" s="192"/>
      <c r="BC224" s="192"/>
    </row>
    <row r="225" spans="42:55" ht="21.75">
      <c r="AP225" s="33"/>
      <c r="AQ225" s="33"/>
      <c r="AR225" s="33"/>
      <c r="AS225" s="33"/>
      <c r="AT225" s="33"/>
      <c r="AU225" s="33"/>
      <c r="AV225" s="33"/>
      <c r="AW225" s="33"/>
      <c r="AX225" s="33"/>
      <c r="AY225" s="33"/>
      <c r="AZ225" s="192"/>
      <c r="BA225" s="192"/>
      <c r="BB225" s="192"/>
      <c r="BC225" s="192"/>
    </row>
    <row r="226" spans="42:55" ht="21.75">
      <c r="AP226" s="33"/>
      <c r="AQ226" s="33"/>
      <c r="AR226" s="33"/>
      <c r="AS226" s="33"/>
      <c r="AT226" s="33"/>
      <c r="AU226" s="33"/>
      <c r="AV226" s="33"/>
      <c r="AW226" s="33"/>
      <c r="AX226" s="33"/>
      <c r="AY226" s="33"/>
      <c r="AZ226" s="192"/>
      <c r="BA226" s="192"/>
      <c r="BB226" s="192"/>
      <c r="BC226" s="192"/>
    </row>
    <row r="227" spans="42:55" ht="21.75">
      <c r="AP227" s="33"/>
      <c r="AQ227" s="33"/>
      <c r="AR227" s="33"/>
      <c r="AS227" s="33"/>
      <c r="AT227" s="33"/>
      <c r="AU227" s="33"/>
      <c r="AV227" s="33"/>
      <c r="AW227" s="33"/>
      <c r="AX227" s="33"/>
      <c r="AY227" s="33"/>
      <c r="AZ227" s="192"/>
      <c r="BA227" s="192"/>
      <c r="BB227" s="192"/>
      <c r="BC227" s="192"/>
    </row>
    <row r="228" spans="42:55" ht="21.75">
      <c r="AP228" s="33"/>
      <c r="AQ228" s="33"/>
      <c r="AR228" s="33"/>
      <c r="AS228" s="33"/>
      <c r="AT228" s="33"/>
      <c r="AU228" s="33"/>
      <c r="AV228" s="33"/>
      <c r="AW228" s="33"/>
      <c r="AX228" s="33"/>
      <c r="AY228" s="33"/>
      <c r="AZ228" s="192"/>
      <c r="BA228" s="192"/>
      <c r="BB228" s="192"/>
      <c r="BC228" s="192"/>
    </row>
    <row r="229" spans="42:55" ht="21.75">
      <c r="AP229" s="33"/>
      <c r="AQ229" s="33"/>
      <c r="AR229" s="33"/>
      <c r="AS229" s="33"/>
      <c r="AT229" s="33"/>
      <c r="AU229" s="33"/>
      <c r="AV229" s="33"/>
      <c r="AW229" s="33"/>
      <c r="AX229" s="33"/>
      <c r="AY229" s="33"/>
      <c r="AZ229" s="192"/>
      <c r="BA229" s="192"/>
      <c r="BB229" s="192"/>
      <c r="BC229" s="192"/>
    </row>
    <row r="230" spans="42:55" ht="21.75">
      <c r="AP230" s="33"/>
      <c r="AQ230" s="33"/>
      <c r="AR230" s="33"/>
      <c r="AS230" s="33"/>
      <c r="AT230" s="33"/>
      <c r="AU230" s="33"/>
      <c r="AV230" s="33"/>
      <c r="AW230" s="33"/>
      <c r="AX230" s="33"/>
      <c r="AY230" s="33"/>
      <c r="AZ230" s="192"/>
      <c r="BA230" s="192"/>
      <c r="BB230" s="192"/>
      <c r="BC230" s="192"/>
    </row>
    <row r="231" spans="42:55" ht="21.75">
      <c r="AP231" s="33"/>
      <c r="AQ231" s="33"/>
      <c r="AR231" s="33"/>
      <c r="AS231" s="33"/>
      <c r="AT231" s="33"/>
      <c r="AU231" s="33"/>
      <c r="AV231" s="33"/>
      <c r="AW231" s="33"/>
      <c r="AX231" s="33"/>
      <c r="AY231" s="33"/>
      <c r="AZ231" s="192"/>
      <c r="BA231" s="192"/>
      <c r="BB231" s="192"/>
      <c r="BC231" s="192"/>
    </row>
    <row r="232" spans="42:55" ht="21.75">
      <c r="AP232" s="33"/>
      <c r="AQ232" s="33"/>
      <c r="AR232" s="33"/>
      <c r="AS232" s="33"/>
      <c r="AT232" s="33"/>
      <c r="AU232" s="33"/>
      <c r="AV232" s="33"/>
      <c r="AW232" s="33"/>
      <c r="AX232" s="33"/>
      <c r="AY232" s="33"/>
      <c r="AZ232" s="192"/>
      <c r="BA232" s="192"/>
      <c r="BB232" s="192"/>
      <c r="BC232" s="192"/>
    </row>
    <row r="233" spans="42:55" ht="21.75">
      <c r="AP233" s="33"/>
      <c r="AQ233" s="33"/>
      <c r="AR233" s="33"/>
      <c r="AS233" s="33"/>
      <c r="AT233" s="33"/>
      <c r="AU233" s="33"/>
      <c r="AV233" s="33"/>
      <c r="AW233" s="33"/>
      <c r="AX233" s="33"/>
      <c r="AY233" s="33"/>
      <c r="AZ233" s="192"/>
      <c r="BA233" s="192"/>
      <c r="BB233" s="192"/>
      <c r="BC233" s="192"/>
    </row>
    <row r="234" spans="42:55" ht="21.75">
      <c r="AP234" s="33"/>
      <c r="AQ234" s="33"/>
      <c r="AR234" s="33"/>
      <c r="AS234" s="33"/>
      <c r="AT234" s="33"/>
      <c r="AU234" s="33"/>
      <c r="AV234" s="33"/>
      <c r="AW234" s="33"/>
      <c r="AX234" s="33"/>
      <c r="AY234" s="33"/>
      <c r="AZ234" s="192"/>
      <c r="BA234" s="192"/>
      <c r="BB234" s="192"/>
      <c r="BC234" s="192"/>
    </row>
    <row r="235" spans="42:55" ht="21.75">
      <c r="AP235" s="33"/>
      <c r="AQ235" s="33"/>
      <c r="AR235" s="33"/>
      <c r="AS235" s="33"/>
      <c r="AT235" s="33"/>
      <c r="AU235" s="33"/>
      <c r="AV235" s="33"/>
      <c r="AW235" s="33"/>
      <c r="AX235" s="33"/>
      <c r="AY235" s="33"/>
      <c r="AZ235" s="192"/>
      <c r="BA235" s="192"/>
      <c r="BB235" s="192"/>
      <c r="BC235" s="192"/>
    </row>
    <row r="236" spans="42:55" ht="21.75">
      <c r="AP236" s="33"/>
      <c r="AQ236" s="33"/>
      <c r="AR236" s="33"/>
      <c r="AS236" s="33"/>
      <c r="AT236" s="33"/>
      <c r="AU236" s="33"/>
      <c r="AV236" s="33"/>
      <c r="AW236" s="33"/>
      <c r="AX236" s="33"/>
      <c r="AY236" s="33"/>
      <c r="AZ236" s="192"/>
      <c r="BA236" s="192"/>
      <c r="BB236" s="192"/>
      <c r="BC236" s="192"/>
    </row>
    <row r="237" spans="42:55" ht="21.75">
      <c r="AP237" s="33"/>
      <c r="AQ237" s="33"/>
      <c r="AR237" s="33"/>
      <c r="AS237" s="33"/>
      <c r="AT237" s="33"/>
      <c r="AU237" s="33"/>
      <c r="AV237" s="33"/>
      <c r="AW237" s="33"/>
      <c r="AX237" s="33"/>
      <c r="AY237" s="33"/>
      <c r="AZ237" s="192"/>
      <c r="BA237" s="192"/>
      <c r="BB237" s="192"/>
      <c r="BC237" s="192"/>
    </row>
    <row r="238" spans="42:55" ht="21.75">
      <c r="AP238" s="33"/>
      <c r="AQ238" s="33"/>
      <c r="AR238" s="33"/>
      <c r="AS238" s="33"/>
      <c r="AT238" s="33"/>
      <c r="AU238" s="33"/>
      <c r="AV238" s="33"/>
      <c r="AW238" s="33"/>
      <c r="AX238" s="33"/>
      <c r="AY238" s="33"/>
      <c r="AZ238" s="192"/>
      <c r="BA238" s="192"/>
      <c r="BB238" s="192"/>
      <c r="BC238" s="192"/>
    </row>
    <row r="239" spans="42:55" ht="21.75">
      <c r="AP239" s="33"/>
      <c r="AQ239" s="33"/>
      <c r="AR239" s="33"/>
      <c r="AS239" s="33"/>
      <c r="AT239" s="33"/>
      <c r="AU239" s="33"/>
      <c r="AV239" s="33"/>
      <c r="AW239" s="33"/>
      <c r="AX239" s="33"/>
      <c r="AY239" s="33"/>
      <c r="AZ239" s="192"/>
      <c r="BA239" s="192"/>
      <c r="BB239" s="192"/>
      <c r="BC239" s="192"/>
    </row>
    <row r="240" spans="42:55" ht="21.75">
      <c r="AP240" s="33"/>
      <c r="AQ240" s="33"/>
      <c r="AR240" s="33"/>
      <c r="AS240" s="33"/>
      <c r="AT240" s="33"/>
      <c r="AU240" s="33"/>
      <c r="AV240" s="33"/>
      <c r="AW240" s="33"/>
      <c r="AX240" s="33"/>
      <c r="AY240" s="33"/>
      <c r="AZ240" s="192"/>
      <c r="BA240" s="192"/>
      <c r="BB240" s="192"/>
      <c r="BC240" s="192"/>
    </row>
    <row r="241" spans="42:55" ht="21.75">
      <c r="AP241" s="33"/>
      <c r="AQ241" s="33"/>
      <c r="AR241" s="33"/>
      <c r="AS241" s="33"/>
      <c r="AT241" s="33"/>
      <c r="AU241" s="33"/>
      <c r="AV241" s="33"/>
      <c r="AW241" s="33"/>
      <c r="AX241" s="33"/>
      <c r="AY241" s="33"/>
      <c r="AZ241" s="192"/>
      <c r="BA241" s="192"/>
      <c r="BB241" s="192"/>
      <c r="BC241" s="192"/>
    </row>
    <row r="242" spans="42:55" ht="21.75">
      <c r="AP242" s="33"/>
      <c r="AQ242" s="33"/>
      <c r="AR242" s="33"/>
      <c r="AS242" s="33"/>
      <c r="AT242" s="33"/>
      <c r="AU242" s="33"/>
      <c r="AV242" s="33"/>
      <c r="AW242" s="33"/>
      <c r="AX242" s="33"/>
      <c r="AY242" s="33"/>
      <c r="AZ242" s="192"/>
      <c r="BA242" s="192"/>
      <c r="BB242" s="192"/>
      <c r="BC242" s="192"/>
    </row>
    <row r="243" spans="42:55">
      <c r="AP243" s="33"/>
      <c r="AQ243" s="33"/>
      <c r="AR243" s="33"/>
      <c r="AS243" s="33"/>
      <c r="AT243" s="33"/>
      <c r="AU243" s="33"/>
      <c r="AV243" s="33"/>
      <c r="AW243" s="33"/>
      <c r="AX243" s="33"/>
      <c r="AY243" s="33"/>
      <c r="AZ243" s="33"/>
      <c r="BA243" s="33"/>
      <c r="BB243" s="33"/>
      <c r="BC243" s="33"/>
    </row>
    <row r="244" spans="42:55">
      <c r="AP244" s="33"/>
      <c r="AQ244" s="33"/>
      <c r="AR244" s="33"/>
      <c r="AS244" s="33"/>
      <c r="AT244" s="33"/>
      <c r="AU244" s="33"/>
      <c r="AV244" s="33"/>
      <c r="AW244" s="33"/>
      <c r="AX244" s="33"/>
      <c r="AY244" s="33"/>
      <c r="AZ244" s="33"/>
      <c r="BA244" s="33"/>
      <c r="BB244" s="33"/>
      <c r="BC244" s="33"/>
    </row>
    <row r="245" spans="42:55">
      <c r="AP245" s="33"/>
      <c r="AQ245" s="33"/>
      <c r="AR245" s="33"/>
      <c r="AS245" s="33"/>
      <c r="AT245" s="33"/>
      <c r="AU245" s="33"/>
      <c r="AV245" s="33"/>
      <c r="AW245" s="33"/>
      <c r="AX245" s="33"/>
      <c r="AY245" s="33"/>
      <c r="AZ245" s="33"/>
      <c r="BA245" s="33"/>
      <c r="BB245" s="33"/>
      <c r="BC245" s="33"/>
    </row>
    <row r="246" spans="42:55">
      <c r="AP246" s="33"/>
      <c r="AQ246" s="33"/>
      <c r="AR246" s="33"/>
      <c r="AS246" s="33"/>
      <c r="AT246" s="33"/>
      <c r="AU246" s="33"/>
      <c r="AV246" s="33"/>
      <c r="AW246" s="33"/>
      <c r="AX246" s="33"/>
      <c r="AY246" s="33"/>
      <c r="AZ246" s="33"/>
      <c r="BA246" s="33"/>
      <c r="BB246" s="33"/>
      <c r="BC246" s="33"/>
    </row>
    <row r="247" spans="42:55" ht="21.75">
      <c r="AP247" s="33"/>
      <c r="AQ247" s="33"/>
      <c r="AR247" s="33"/>
      <c r="AS247" s="33"/>
      <c r="AT247" s="33"/>
      <c r="AU247" s="33"/>
      <c r="AV247" s="33"/>
      <c r="AW247" s="33"/>
      <c r="AX247" s="33"/>
      <c r="AY247" s="33"/>
      <c r="AZ247" s="192"/>
      <c r="BA247" s="192"/>
      <c r="BB247" s="192"/>
      <c r="BC247" s="192"/>
    </row>
    <row r="248" spans="42:55" ht="21.75">
      <c r="AP248" s="33"/>
      <c r="AQ248" s="33"/>
      <c r="AR248" s="33"/>
      <c r="AS248" s="33"/>
      <c r="AT248" s="33"/>
      <c r="AU248" s="33"/>
      <c r="AV248" s="33"/>
      <c r="AW248" s="33"/>
      <c r="AX248" s="33"/>
      <c r="AY248" s="33"/>
      <c r="AZ248" s="192"/>
      <c r="BA248" s="192"/>
      <c r="BB248" s="192"/>
      <c r="BC248" s="192"/>
    </row>
    <row r="249" spans="42:55" ht="21.75">
      <c r="AP249" s="33"/>
      <c r="AQ249" s="33"/>
      <c r="AR249" s="33"/>
      <c r="AS249" s="33"/>
      <c r="AT249" s="33"/>
      <c r="AU249" s="33"/>
      <c r="AV249" s="33"/>
      <c r="AW249" s="33"/>
      <c r="AX249" s="33"/>
      <c r="AY249" s="33"/>
      <c r="AZ249" s="192"/>
      <c r="BA249" s="192"/>
      <c r="BB249" s="192"/>
      <c r="BC249" s="192"/>
    </row>
    <row r="250" spans="42:55" ht="21.75">
      <c r="AP250" s="33"/>
      <c r="AQ250" s="33"/>
      <c r="AR250" s="33"/>
      <c r="AS250" s="33"/>
      <c r="AT250" s="33"/>
      <c r="AU250" s="33"/>
      <c r="AV250" s="33"/>
      <c r="AW250" s="33"/>
      <c r="AX250" s="33"/>
      <c r="AY250" s="33"/>
      <c r="AZ250" s="192"/>
      <c r="BA250" s="192"/>
      <c r="BB250" s="192"/>
      <c r="BC250" s="192"/>
    </row>
    <row r="251" spans="42:55" ht="21.75">
      <c r="AP251" s="33"/>
      <c r="AQ251" s="33"/>
      <c r="AR251" s="33"/>
      <c r="AS251" s="33"/>
      <c r="AT251" s="33"/>
      <c r="AU251" s="33"/>
      <c r="AV251" s="33"/>
      <c r="AW251" s="33"/>
      <c r="AX251" s="33"/>
      <c r="AY251" s="33"/>
      <c r="AZ251" s="192"/>
      <c r="BA251" s="192"/>
      <c r="BB251" s="192"/>
      <c r="BC251" s="192"/>
    </row>
    <row r="252" spans="42:55" ht="21.75">
      <c r="AP252" s="33"/>
      <c r="AQ252" s="33"/>
      <c r="AR252" s="33"/>
      <c r="AS252" s="33"/>
      <c r="AT252" s="33"/>
      <c r="AU252" s="33"/>
      <c r="AV252" s="33"/>
      <c r="AW252" s="33"/>
      <c r="AX252" s="33"/>
      <c r="AY252" s="33"/>
      <c r="AZ252" s="192"/>
      <c r="BA252" s="192"/>
      <c r="BB252" s="192"/>
      <c r="BC252" s="192"/>
    </row>
    <row r="253" spans="42:55" ht="21.75">
      <c r="AP253" s="33"/>
      <c r="AQ253" s="33"/>
      <c r="AR253" s="33"/>
      <c r="AS253" s="33"/>
      <c r="AT253" s="33"/>
      <c r="AU253" s="33"/>
      <c r="AV253" s="33"/>
      <c r="AW253" s="33"/>
      <c r="AX253" s="33"/>
      <c r="AY253" s="33"/>
      <c r="AZ253" s="192"/>
      <c r="BA253" s="192"/>
      <c r="BB253" s="192"/>
      <c r="BC253" s="192"/>
    </row>
    <row r="254" spans="42:55" ht="21.75">
      <c r="AP254" s="33"/>
      <c r="AQ254" s="33"/>
      <c r="AR254" s="33"/>
      <c r="AS254" s="33"/>
      <c r="AT254" s="33"/>
      <c r="AU254" s="33"/>
      <c r="AV254" s="33"/>
      <c r="AW254" s="33"/>
      <c r="AX254" s="33"/>
      <c r="AY254" s="33"/>
      <c r="AZ254" s="192"/>
      <c r="BA254" s="192"/>
      <c r="BB254" s="192"/>
      <c r="BC254" s="192"/>
    </row>
    <row r="255" spans="42:55" ht="21.75">
      <c r="AP255" s="33"/>
      <c r="AQ255" s="33"/>
      <c r="AR255" s="33"/>
      <c r="AS255" s="33"/>
      <c r="AT255" s="33"/>
      <c r="AU255" s="33"/>
      <c r="AV255" s="33"/>
      <c r="AW255" s="33"/>
      <c r="AX255" s="33"/>
      <c r="AY255" s="33"/>
      <c r="AZ255" s="192"/>
      <c r="BA255" s="192"/>
      <c r="BB255" s="192"/>
      <c r="BC255" s="192"/>
    </row>
    <row r="256" spans="42:55" ht="21.75">
      <c r="AP256" s="33"/>
      <c r="AQ256" s="33"/>
      <c r="AR256" s="33"/>
      <c r="AS256" s="33"/>
      <c r="AT256" s="33"/>
      <c r="AU256" s="33"/>
      <c r="AV256" s="33"/>
      <c r="AW256" s="33"/>
      <c r="AX256" s="33"/>
      <c r="AY256" s="33"/>
      <c r="AZ256" s="192"/>
      <c r="BA256" s="192"/>
      <c r="BB256" s="192"/>
      <c r="BC256" s="192"/>
    </row>
    <row r="257" spans="42:55" ht="21.75">
      <c r="AP257" s="33"/>
      <c r="AQ257" s="33"/>
      <c r="AR257" s="33"/>
      <c r="AS257" s="33"/>
      <c r="AT257" s="33"/>
      <c r="AU257" s="33"/>
      <c r="AV257" s="33"/>
      <c r="AW257" s="33"/>
      <c r="AX257" s="33"/>
      <c r="AY257" s="33"/>
      <c r="AZ257" s="192"/>
      <c r="BA257" s="192"/>
      <c r="BB257" s="192"/>
      <c r="BC257" s="192"/>
    </row>
    <row r="258" spans="42:55" ht="21.75">
      <c r="AP258" s="33"/>
      <c r="AQ258" s="33"/>
      <c r="AR258" s="33"/>
      <c r="AS258" s="33"/>
      <c r="AT258" s="33"/>
      <c r="AU258" s="33"/>
      <c r="AV258" s="33"/>
      <c r="AW258" s="33"/>
      <c r="AX258" s="33"/>
      <c r="AY258" s="33"/>
      <c r="AZ258" s="192"/>
      <c r="BA258" s="192"/>
      <c r="BB258" s="192"/>
      <c r="BC258" s="192"/>
    </row>
    <row r="259" spans="42:55" ht="21.75">
      <c r="AP259" s="33"/>
      <c r="AQ259" s="33"/>
      <c r="AR259" s="33"/>
      <c r="AS259" s="33"/>
      <c r="AT259" s="33"/>
      <c r="AU259" s="33"/>
      <c r="AV259" s="33"/>
      <c r="AW259" s="33"/>
      <c r="AX259" s="33"/>
      <c r="AY259" s="33"/>
      <c r="AZ259" s="192"/>
      <c r="BA259" s="192"/>
      <c r="BB259" s="192"/>
      <c r="BC259" s="192"/>
    </row>
    <row r="260" spans="42:55" ht="21.75">
      <c r="AP260" s="33"/>
      <c r="AQ260" s="33"/>
      <c r="AR260" s="33"/>
      <c r="AS260" s="33"/>
      <c r="AT260" s="33"/>
      <c r="AU260" s="33"/>
      <c r="AV260" s="33"/>
      <c r="AW260" s="33"/>
      <c r="AX260" s="33"/>
      <c r="AY260" s="33"/>
      <c r="AZ260" s="192"/>
      <c r="BA260" s="192"/>
      <c r="BB260" s="192"/>
      <c r="BC260" s="192"/>
    </row>
    <row r="261" spans="42:55" ht="21.75">
      <c r="AP261" s="33"/>
      <c r="AQ261" s="33"/>
      <c r="AR261" s="33"/>
      <c r="AS261" s="33"/>
      <c r="AT261" s="33"/>
      <c r="AU261" s="33"/>
      <c r="AV261" s="33"/>
      <c r="AW261" s="33"/>
      <c r="AX261" s="33"/>
      <c r="AY261" s="33"/>
      <c r="AZ261" s="192"/>
      <c r="BA261" s="192"/>
      <c r="BB261" s="192"/>
      <c r="BC261" s="192"/>
    </row>
    <row r="262" spans="42:55" ht="21.75">
      <c r="AP262" s="33"/>
      <c r="AQ262" s="33"/>
      <c r="AR262" s="33"/>
      <c r="AS262" s="33"/>
      <c r="AT262" s="33"/>
      <c r="AU262" s="33"/>
      <c r="AV262" s="33"/>
      <c r="AW262" s="33"/>
      <c r="AX262" s="33"/>
      <c r="AY262" s="33"/>
      <c r="AZ262" s="192"/>
      <c r="BA262" s="192"/>
      <c r="BB262" s="192"/>
      <c r="BC262" s="192"/>
    </row>
    <row r="263" spans="42:55" ht="21.75">
      <c r="AP263" s="33"/>
      <c r="AQ263" s="33"/>
      <c r="AR263" s="33"/>
      <c r="AS263" s="33"/>
      <c r="AT263" s="33"/>
      <c r="AU263" s="33"/>
      <c r="AV263" s="33"/>
      <c r="AW263" s="33"/>
      <c r="AX263" s="33"/>
      <c r="AY263" s="33"/>
      <c r="AZ263" s="192"/>
      <c r="BA263" s="192"/>
      <c r="BB263" s="192"/>
      <c r="BC263" s="192"/>
    </row>
    <row r="264" spans="42:55" ht="21.75">
      <c r="AP264" s="33"/>
      <c r="AQ264" s="33"/>
      <c r="AR264" s="33"/>
      <c r="AS264" s="33"/>
      <c r="AT264" s="33"/>
      <c r="AU264" s="33"/>
      <c r="AV264" s="33"/>
      <c r="AW264" s="33"/>
      <c r="AX264" s="33"/>
      <c r="AY264" s="33"/>
      <c r="AZ264" s="192"/>
      <c r="BA264" s="192"/>
      <c r="BB264" s="192"/>
      <c r="BC264" s="192"/>
    </row>
    <row r="265" spans="42:55" ht="21.75">
      <c r="AP265" s="33"/>
      <c r="AQ265" s="33"/>
      <c r="AR265" s="33"/>
      <c r="AS265" s="33"/>
      <c r="AT265" s="33"/>
      <c r="AU265" s="33"/>
      <c r="AV265" s="33"/>
      <c r="AW265" s="33"/>
      <c r="AX265" s="33"/>
      <c r="AY265" s="33"/>
      <c r="AZ265" s="192"/>
      <c r="BA265" s="192"/>
      <c r="BB265" s="192"/>
      <c r="BC265" s="192"/>
    </row>
    <row r="266" spans="42:55" ht="21.75">
      <c r="AP266" s="33"/>
      <c r="AQ266" s="33"/>
      <c r="AR266" s="33"/>
      <c r="AS266" s="33"/>
      <c r="AT266" s="33"/>
      <c r="AU266" s="33"/>
      <c r="AV266" s="33"/>
      <c r="AW266" s="33"/>
      <c r="AX266" s="33"/>
      <c r="AY266" s="33"/>
      <c r="AZ266" s="192"/>
      <c r="BA266" s="192"/>
      <c r="BB266" s="192"/>
      <c r="BC266" s="192"/>
    </row>
    <row r="267" spans="42:55" ht="21.75">
      <c r="AP267" s="33"/>
      <c r="AQ267" s="33"/>
      <c r="AR267" s="33"/>
      <c r="AS267" s="33"/>
      <c r="AT267" s="33"/>
      <c r="AU267" s="33"/>
      <c r="AV267" s="33"/>
      <c r="AW267" s="33"/>
      <c r="AX267" s="33"/>
      <c r="AY267" s="33"/>
      <c r="AZ267" s="192"/>
      <c r="BA267" s="192"/>
      <c r="BB267" s="192"/>
      <c r="BC267" s="192"/>
    </row>
    <row r="268" spans="42:55" ht="21.75">
      <c r="AP268" s="33"/>
      <c r="AQ268" s="33"/>
      <c r="AR268" s="33"/>
      <c r="AS268" s="33"/>
      <c r="AT268" s="33"/>
      <c r="AU268" s="33"/>
      <c r="AV268" s="33"/>
      <c r="AW268" s="33"/>
      <c r="AX268" s="33"/>
      <c r="AY268" s="33"/>
      <c r="AZ268" s="192"/>
      <c r="BA268" s="192"/>
      <c r="BB268" s="192"/>
      <c r="BC268" s="192"/>
    </row>
    <row r="269" spans="42:55" ht="21.75">
      <c r="AP269" s="33"/>
      <c r="AQ269" s="33"/>
      <c r="AR269" s="33"/>
      <c r="AS269" s="33"/>
      <c r="AT269" s="33"/>
      <c r="AU269" s="33"/>
      <c r="AV269" s="33"/>
      <c r="AW269" s="33"/>
      <c r="AX269" s="33"/>
      <c r="AY269" s="33"/>
      <c r="AZ269" s="192"/>
      <c r="BA269" s="192"/>
      <c r="BB269" s="192"/>
      <c r="BC269" s="192"/>
    </row>
    <row r="270" spans="42:55" ht="21.75">
      <c r="AP270" s="33"/>
      <c r="AQ270" s="33"/>
      <c r="AR270" s="33"/>
      <c r="AS270" s="33"/>
      <c r="AT270" s="33"/>
      <c r="AU270" s="33"/>
      <c r="AV270" s="33"/>
      <c r="AW270" s="33"/>
      <c r="AX270" s="33"/>
      <c r="AY270" s="33"/>
      <c r="AZ270" s="192"/>
      <c r="BA270" s="192"/>
      <c r="BB270" s="192"/>
      <c r="BC270" s="192"/>
    </row>
    <row r="271" spans="42:55" ht="21.75">
      <c r="AP271" s="33"/>
      <c r="AQ271" s="33"/>
      <c r="AR271" s="33"/>
      <c r="AS271" s="33"/>
      <c r="AT271" s="33"/>
      <c r="AU271" s="33"/>
      <c r="AV271" s="33"/>
      <c r="AW271" s="33"/>
      <c r="AX271" s="33"/>
      <c r="AY271" s="33"/>
      <c r="AZ271" s="192"/>
      <c r="BA271" s="192"/>
      <c r="BB271" s="192"/>
      <c r="BC271" s="192"/>
    </row>
    <row r="272" spans="42:55" ht="21.75">
      <c r="AP272" s="33"/>
      <c r="AQ272" s="33"/>
      <c r="AR272" s="33"/>
      <c r="AS272" s="33"/>
      <c r="AT272" s="33"/>
      <c r="AU272" s="33"/>
      <c r="AV272" s="33"/>
      <c r="AW272" s="33"/>
      <c r="AX272" s="33"/>
      <c r="AY272" s="33"/>
      <c r="AZ272" s="192"/>
      <c r="BA272" s="192"/>
      <c r="BB272" s="192"/>
      <c r="BC272" s="192"/>
    </row>
    <row r="273" spans="42:55" ht="21.75">
      <c r="AP273" s="33"/>
      <c r="AQ273" s="33"/>
      <c r="AR273" s="33"/>
      <c r="AS273" s="33"/>
      <c r="AT273" s="33"/>
      <c r="AU273" s="33"/>
      <c r="AV273" s="33"/>
      <c r="AW273" s="33"/>
      <c r="AX273" s="33"/>
      <c r="AY273" s="33"/>
      <c r="AZ273" s="192"/>
      <c r="BA273" s="192"/>
      <c r="BB273" s="192"/>
      <c r="BC273" s="192"/>
    </row>
    <row r="274" spans="42:55" ht="21.75">
      <c r="AP274" s="33"/>
      <c r="AQ274" s="33"/>
      <c r="AR274" s="33"/>
      <c r="AS274" s="33"/>
      <c r="AT274" s="33"/>
      <c r="AU274" s="33"/>
      <c r="AV274" s="33"/>
      <c r="AW274" s="33"/>
      <c r="AX274" s="33"/>
      <c r="AY274" s="33"/>
      <c r="AZ274" s="192"/>
      <c r="BA274" s="192"/>
      <c r="BB274" s="192"/>
      <c r="BC274" s="192"/>
    </row>
    <row r="275" spans="42:55" ht="21.75">
      <c r="AP275" s="33"/>
      <c r="AQ275" s="33"/>
      <c r="AR275" s="33"/>
      <c r="AS275" s="33"/>
      <c r="AT275" s="33"/>
      <c r="AU275" s="33"/>
      <c r="AV275" s="33"/>
      <c r="AW275" s="33"/>
      <c r="AX275" s="33"/>
      <c r="AY275" s="33"/>
      <c r="AZ275" s="192"/>
      <c r="BA275" s="192"/>
      <c r="BB275" s="192"/>
      <c r="BC275" s="192"/>
    </row>
    <row r="276" spans="42:55" ht="21.75">
      <c r="AP276" s="33"/>
      <c r="AQ276" s="33"/>
      <c r="AR276" s="33"/>
      <c r="AS276" s="33"/>
      <c r="AT276" s="33"/>
      <c r="AU276" s="33"/>
      <c r="AV276" s="33"/>
      <c r="AW276" s="33"/>
      <c r="AX276" s="33"/>
      <c r="AY276" s="33"/>
      <c r="AZ276" s="192"/>
      <c r="BA276" s="192"/>
      <c r="BB276" s="192"/>
      <c r="BC276" s="192"/>
    </row>
    <row r="277" spans="42:55" ht="21.75">
      <c r="AP277" s="33"/>
      <c r="AQ277" s="33"/>
      <c r="AR277" s="33"/>
      <c r="AS277" s="33"/>
      <c r="AT277" s="33"/>
      <c r="AU277" s="33"/>
      <c r="AV277" s="33"/>
      <c r="AW277" s="33"/>
      <c r="AX277" s="33"/>
      <c r="AY277" s="33"/>
      <c r="AZ277" s="192"/>
      <c r="BA277" s="192"/>
      <c r="BB277" s="192"/>
      <c r="BC277" s="192"/>
    </row>
    <row r="278" spans="42:55" ht="21.75">
      <c r="AP278" s="33"/>
      <c r="AQ278" s="33"/>
      <c r="AR278" s="33"/>
      <c r="AS278" s="33"/>
      <c r="AT278" s="33"/>
      <c r="AU278" s="33"/>
      <c r="AV278" s="33"/>
      <c r="AW278" s="33"/>
      <c r="AX278" s="33"/>
      <c r="AY278" s="33"/>
      <c r="AZ278" s="192"/>
      <c r="BA278" s="192"/>
      <c r="BB278" s="192"/>
      <c r="BC278" s="192"/>
    </row>
    <row r="279" spans="42:55" ht="21.75">
      <c r="AP279" s="33"/>
      <c r="AQ279" s="33"/>
      <c r="AR279" s="33"/>
      <c r="AS279" s="33"/>
      <c r="AT279" s="33"/>
      <c r="AU279" s="33"/>
      <c r="AV279" s="33"/>
      <c r="AW279" s="33"/>
      <c r="AX279" s="33"/>
      <c r="AY279" s="33"/>
      <c r="AZ279" s="192"/>
      <c r="BA279" s="192"/>
      <c r="BB279" s="192"/>
      <c r="BC279" s="192"/>
    </row>
    <row r="280" spans="42:55" ht="21.75">
      <c r="AP280" s="33"/>
      <c r="AQ280" s="33"/>
      <c r="AR280" s="33"/>
      <c r="AS280" s="33"/>
      <c r="AT280" s="33"/>
      <c r="AU280" s="33"/>
      <c r="AV280" s="33"/>
      <c r="AW280" s="33"/>
      <c r="AX280" s="33"/>
      <c r="AY280" s="33"/>
      <c r="AZ280" s="192"/>
      <c r="BA280" s="192"/>
      <c r="BB280" s="192"/>
      <c r="BC280" s="192"/>
    </row>
    <row r="281" spans="42:55" ht="21.75">
      <c r="AP281" s="33"/>
      <c r="AQ281" s="33"/>
      <c r="AR281" s="33"/>
      <c r="AS281" s="33"/>
      <c r="AT281" s="33"/>
      <c r="AU281" s="33"/>
      <c r="AV281" s="33"/>
      <c r="AW281" s="33"/>
      <c r="AX281" s="33"/>
      <c r="AY281" s="33"/>
      <c r="AZ281" s="192"/>
      <c r="BA281" s="192"/>
      <c r="BB281" s="192"/>
      <c r="BC281" s="192"/>
    </row>
    <row r="282" spans="42:55" ht="21.75">
      <c r="AP282" s="33"/>
      <c r="AQ282" s="33"/>
      <c r="AR282" s="33"/>
      <c r="AS282" s="33"/>
      <c r="AT282" s="33"/>
      <c r="AU282" s="33"/>
      <c r="AV282" s="33"/>
      <c r="AW282" s="33"/>
      <c r="AX282" s="33"/>
      <c r="AY282" s="33"/>
      <c r="AZ282" s="192"/>
      <c r="BA282" s="192"/>
      <c r="BB282" s="192"/>
      <c r="BC282" s="192"/>
    </row>
    <row r="283" spans="42:55" ht="21.75">
      <c r="AP283" s="33"/>
      <c r="AQ283" s="33"/>
      <c r="AR283" s="33"/>
      <c r="AS283" s="33"/>
      <c r="AT283" s="33"/>
      <c r="AU283" s="33"/>
      <c r="AV283" s="33"/>
      <c r="AW283" s="33"/>
      <c r="AX283" s="33"/>
      <c r="AY283" s="33"/>
      <c r="AZ283" s="192"/>
      <c r="BA283" s="192"/>
      <c r="BB283" s="192"/>
      <c r="BC283" s="192"/>
    </row>
    <row r="284" spans="42:55" ht="21.75">
      <c r="AP284" s="33"/>
      <c r="AQ284" s="33"/>
      <c r="AR284" s="33"/>
      <c r="AS284" s="33"/>
      <c r="AT284" s="33"/>
      <c r="AU284" s="33"/>
      <c r="AV284" s="33"/>
      <c r="AW284" s="33"/>
      <c r="AX284" s="33"/>
      <c r="AY284" s="33"/>
      <c r="AZ284" s="192"/>
      <c r="BA284" s="192"/>
      <c r="BB284" s="192"/>
      <c r="BC284" s="192"/>
    </row>
    <row r="285" spans="42:55" ht="21.75">
      <c r="AP285" s="33"/>
      <c r="AQ285" s="33"/>
      <c r="AR285" s="33"/>
      <c r="AS285" s="33"/>
      <c r="AT285" s="33"/>
      <c r="AU285" s="33"/>
      <c r="AV285" s="33"/>
      <c r="AW285" s="33"/>
      <c r="AX285" s="33"/>
      <c r="AY285" s="33"/>
      <c r="AZ285" s="192"/>
      <c r="BA285" s="192"/>
      <c r="BB285" s="192"/>
      <c r="BC285" s="192"/>
    </row>
    <row r="286" spans="42:55" ht="21.75">
      <c r="AP286" s="33"/>
      <c r="AQ286" s="33"/>
      <c r="AR286" s="33"/>
      <c r="AS286" s="33"/>
      <c r="AT286" s="33"/>
      <c r="AU286" s="33"/>
      <c r="AV286" s="33"/>
      <c r="AW286" s="33"/>
      <c r="AX286" s="33"/>
      <c r="AY286" s="33"/>
      <c r="AZ286" s="192"/>
      <c r="BA286" s="192"/>
      <c r="BB286" s="192"/>
      <c r="BC286" s="192"/>
    </row>
    <row r="287" spans="42:55" ht="21.75">
      <c r="AP287" s="33"/>
      <c r="AQ287" s="33"/>
      <c r="AR287" s="33"/>
      <c r="AS287" s="33"/>
      <c r="AT287" s="33"/>
      <c r="AU287" s="33"/>
      <c r="AV287" s="33"/>
      <c r="AW287" s="33"/>
      <c r="AX287" s="33"/>
      <c r="AY287" s="33"/>
      <c r="AZ287" s="192"/>
      <c r="BA287" s="192"/>
      <c r="BB287" s="192"/>
      <c r="BC287" s="192"/>
    </row>
    <row r="288" spans="42:55" ht="21.75">
      <c r="AP288" s="33"/>
      <c r="AQ288" s="33"/>
      <c r="AR288" s="33"/>
      <c r="AS288" s="33"/>
      <c r="AT288" s="33"/>
      <c r="AU288" s="33"/>
      <c r="AV288" s="33"/>
      <c r="AW288" s="33"/>
      <c r="AX288" s="33"/>
      <c r="AY288" s="33"/>
      <c r="AZ288" s="192"/>
      <c r="BA288" s="192"/>
      <c r="BB288" s="192"/>
      <c r="BC288" s="192"/>
    </row>
    <row r="289" spans="42:55" ht="21.75">
      <c r="AP289" s="33"/>
      <c r="AQ289" s="33"/>
      <c r="AR289" s="33"/>
      <c r="AS289" s="33"/>
      <c r="AT289" s="33"/>
      <c r="AU289" s="33"/>
      <c r="AV289" s="33"/>
      <c r="AW289" s="33"/>
      <c r="AX289" s="33"/>
      <c r="AY289" s="33"/>
      <c r="AZ289" s="192"/>
      <c r="BA289" s="192"/>
      <c r="BB289" s="192"/>
      <c r="BC289" s="192"/>
    </row>
    <row r="290" spans="42:55" ht="21.75">
      <c r="AP290" s="33"/>
      <c r="AQ290" s="33"/>
      <c r="AR290" s="33"/>
      <c r="AS290" s="33"/>
      <c r="AT290" s="33"/>
      <c r="AU290" s="33"/>
      <c r="AV290" s="33"/>
      <c r="AW290" s="33"/>
      <c r="AX290" s="33"/>
      <c r="AY290" s="33"/>
      <c r="AZ290" s="192"/>
      <c r="BA290" s="192"/>
      <c r="BB290" s="192"/>
      <c r="BC290" s="192"/>
    </row>
    <row r="291" spans="42:55" ht="21.75">
      <c r="AP291" s="33"/>
      <c r="AQ291" s="33"/>
      <c r="AR291" s="33"/>
      <c r="AS291" s="33"/>
      <c r="AT291" s="33"/>
      <c r="AU291" s="33"/>
      <c r="AV291" s="33"/>
      <c r="AW291" s="33"/>
      <c r="AX291" s="33"/>
      <c r="AY291" s="33"/>
      <c r="AZ291" s="192"/>
      <c r="BA291" s="192"/>
      <c r="BB291" s="192"/>
      <c r="BC291" s="192"/>
    </row>
    <row r="292" spans="42:55" ht="21.75">
      <c r="AP292" s="33"/>
      <c r="AQ292" s="33"/>
      <c r="AR292" s="33"/>
      <c r="AS292" s="33"/>
      <c r="AT292" s="33"/>
      <c r="AU292" s="33"/>
      <c r="AV292" s="33"/>
      <c r="AW292" s="33"/>
      <c r="AX292" s="33"/>
      <c r="AY292" s="33"/>
      <c r="AZ292" s="192"/>
      <c r="BA292" s="192"/>
      <c r="BB292" s="192"/>
      <c r="BC292" s="192"/>
    </row>
    <row r="293" spans="42:55" ht="21.75">
      <c r="AP293" s="33"/>
      <c r="AQ293" s="33"/>
      <c r="AR293" s="33"/>
      <c r="AS293" s="33"/>
      <c r="AT293" s="33"/>
      <c r="AU293" s="33"/>
      <c r="AV293" s="33"/>
      <c r="AW293" s="33"/>
      <c r="AX293" s="33"/>
      <c r="AY293" s="33"/>
      <c r="AZ293" s="192"/>
      <c r="BA293" s="192"/>
      <c r="BB293" s="192"/>
      <c r="BC293" s="192"/>
    </row>
    <row r="294" spans="42:55" ht="21.75">
      <c r="AP294" s="33"/>
      <c r="AQ294" s="33"/>
      <c r="AR294" s="33"/>
      <c r="AS294" s="33"/>
      <c r="AT294" s="33"/>
      <c r="AU294" s="33"/>
      <c r="AV294" s="33"/>
      <c r="AW294" s="33"/>
      <c r="AX294" s="33"/>
      <c r="AY294" s="33"/>
      <c r="AZ294" s="192"/>
      <c r="BA294" s="192"/>
      <c r="BB294" s="192"/>
      <c r="BC294" s="192"/>
    </row>
    <row r="295" spans="42:55" ht="21.75">
      <c r="AP295" s="33"/>
      <c r="AQ295" s="33"/>
      <c r="AR295" s="33"/>
      <c r="AS295" s="33"/>
      <c r="AT295" s="33"/>
      <c r="AU295" s="33"/>
      <c r="AV295" s="33"/>
      <c r="AW295" s="33"/>
      <c r="AX295" s="33"/>
      <c r="AY295" s="33"/>
      <c r="AZ295" s="192"/>
      <c r="BA295" s="192"/>
      <c r="BB295" s="192"/>
      <c r="BC295" s="192"/>
    </row>
    <row r="296" spans="42:55" ht="21.75">
      <c r="AP296" s="33"/>
      <c r="AQ296" s="33"/>
      <c r="AR296" s="33"/>
      <c r="AS296" s="33"/>
      <c r="AT296" s="33"/>
      <c r="AU296" s="33"/>
      <c r="AV296" s="33"/>
      <c r="AW296" s="33"/>
      <c r="AX296" s="33"/>
      <c r="AY296" s="33"/>
      <c r="AZ296" s="192"/>
      <c r="BA296" s="192"/>
      <c r="BB296" s="192"/>
      <c r="BC296" s="192"/>
    </row>
    <row r="297" spans="42:55" ht="21.75">
      <c r="AP297" s="33"/>
      <c r="AQ297" s="33"/>
      <c r="AR297" s="33"/>
      <c r="AS297" s="33"/>
      <c r="AT297" s="33"/>
      <c r="AU297" s="33"/>
      <c r="AV297" s="33"/>
      <c r="AW297" s="33"/>
      <c r="AX297" s="33"/>
      <c r="AY297" s="33"/>
      <c r="AZ297" s="192"/>
      <c r="BA297" s="192"/>
      <c r="BB297" s="192"/>
      <c r="BC297" s="192"/>
    </row>
    <row r="298" spans="42:55" ht="21.75">
      <c r="AP298" s="33"/>
      <c r="AQ298" s="33"/>
      <c r="AR298" s="33"/>
      <c r="AS298" s="33"/>
      <c r="AT298" s="33"/>
      <c r="AU298" s="33"/>
      <c r="AV298" s="33"/>
      <c r="AW298" s="33"/>
      <c r="AX298" s="33"/>
      <c r="AY298" s="33"/>
      <c r="AZ298" s="192"/>
      <c r="BA298" s="192"/>
      <c r="BB298" s="192"/>
      <c r="BC298" s="192"/>
    </row>
    <row r="299" spans="42:55" ht="21.75">
      <c r="AP299" s="33"/>
      <c r="AQ299" s="33"/>
      <c r="AR299" s="33"/>
      <c r="AS299" s="33"/>
      <c r="AT299" s="33"/>
      <c r="AU299" s="33"/>
      <c r="AV299" s="33"/>
      <c r="AW299" s="33"/>
      <c r="AX299" s="33"/>
      <c r="AY299" s="33"/>
      <c r="AZ299" s="192"/>
      <c r="BA299" s="192"/>
      <c r="BB299" s="192"/>
      <c r="BC299" s="192"/>
    </row>
    <row r="300" spans="42:55" ht="21.75">
      <c r="AP300" s="33"/>
      <c r="AQ300" s="33"/>
      <c r="AR300" s="33"/>
      <c r="AS300" s="33"/>
      <c r="AT300" s="33"/>
      <c r="AU300" s="33"/>
      <c r="AV300" s="33"/>
      <c r="AW300" s="33"/>
      <c r="AX300" s="33"/>
      <c r="AY300" s="33"/>
      <c r="AZ300" s="192"/>
      <c r="BA300" s="192"/>
      <c r="BB300" s="192"/>
      <c r="BC300" s="192"/>
    </row>
    <row r="301" spans="42:55" ht="21.75">
      <c r="AP301" s="33"/>
      <c r="AQ301" s="33"/>
      <c r="AR301" s="33"/>
      <c r="AS301" s="33"/>
      <c r="AT301" s="33"/>
      <c r="AU301" s="33"/>
      <c r="AV301" s="33"/>
      <c r="AW301" s="33"/>
      <c r="AX301" s="33"/>
      <c r="AY301" s="33"/>
      <c r="AZ301" s="192"/>
      <c r="BA301" s="192"/>
      <c r="BB301" s="192"/>
      <c r="BC301" s="192"/>
    </row>
    <row r="302" spans="42:55" ht="21.75">
      <c r="AP302" s="33"/>
      <c r="AQ302" s="33"/>
      <c r="AR302" s="33"/>
      <c r="AS302" s="33"/>
      <c r="AT302" s="33"/>
      <c r="AU302" s="33"/>
      <c r="AV302" s="33"/>
      <c r="AW302" s="33"/>
      <c r="AX302" s="33"/>
      <c r="AY302" s="33"/>
      <c r="AZ302" s="192"/>
      <c r="BA302" s="192"/>
      <c r="BB302" s="192"/>
      <c r="BC302" s="192"/>
    </row>
    <row r="303" spans="42:55" ht="21.75">
      <c r="AP303" s="33"/>
      <c r="AQ303" s="33"/>
      <c r="AR303" s="33"/>
      <c r="AS303" s="33"/>
      <c r="AT303" s="33"/>
      <c r="AU303" s="33"/>
      <c r="AV303" s="33"/>
      <c r="AW303" s="33"/>
      <c r="AX303" s="33"/>
      <c r="AY303" s="33"/>
      <c r="AZ303" s="192"/>
      <c r="BA303" s="192"/>
      <c r="BB303" s="192"/>
      <c r="BC303" s="192"/>
    </row>
    <row r="304" spans="42:55">
      <c r="AP304" s="33"/>
      <c r="AQ304" s="33"/>
      <c r="AR304" s="33"/>
      <c r="AS304" s="33"/>
      <c r="AT304" s="33"/>
      <c r="AU304" s="33"/>
      <c r="AV304" s="33"/>
      <c r="AW304" s="33"/>
      <c r="AX304" s="33"/>
      <c r="AY304" s="33"/>
      <c r="AZ304" s="33"/>
      <c r="BA304" s="33"/>
      <c r="BB304" s="33"/>
      <c r="BC304" s="33"/>
    </row>
    <row r="305" spans="42:55">
      <c r="AP305" s="33"/>
      <c r="AQ305" s="33"/>
      <c r="AR305" s="33"/>
      <c r="AS305" s="33"/>
      <c r="AT305" s="33"/>
      <c r="AU305" s="33"/>
      <c r="AV305" s="33"/>
      <c r="AW305" s="33"/>
      <c r="AX305" s="33"/>
      <c r="AY305" s="33"/>
      <c r="AZ305" s="33"/>
      <c r="BA305" s="33"/>
      <c r="BB305" s="33"/>
      <c r="BC305" s="33"/>
    </row>
    <row r="306" spans="42:55">
      <c r="AP306" s="33"/>
      <c r="AQ306" s="33"/>
      <c r="AR306" s="33"/>
      <c r="AS306" s="33"/>
      <c r="AT306" s="33"/>
      <c r="AU306" s="33"/>
      <c r="AV306" s="33"/>
      <c r="AW306" s="33"/>
      <c r="AX306" s="33"/>
      <c r="AY306" s="33"/>
      <c r="AZ306" s="33"/>
      <c r="BA306" s="33"/>
      <c r="BB306" s="33"/>
      <c r="BC306" s="33"/>
    </row>
    <row r="307" spans="42:55">
      <c r="AP307" s="33"/>
      <c r="AQ307" s="33"/>
      <c r="AR307" s="33"/>
      <c r="AS307" s="33"/>
      <c r="AT307" s="33"/>
      <c r="AU307" s="33"/>
      <c r="AV307" s="33"/>
      <c r="AW307" s="33"/>
      <c r="AX307" s="33"/>
      <c r="AY307" s="33"/>
      <c r="AZ307" s="33"/>
      <c r="BA307" s="33"/>
      <c r="BB307" s="33"/>
      <c r="BC307" s="33"/>
    </row>
    <row r="308" spans="42:55">
      <c r="AP308" s="33"/>
      <c r="AQ308" s="33"/>
      <c r="AR308" s="33"/>
      <c r="AS308" s="33"/>
      <c r="AT308" s="33"/>
      <c r="AU308" s="33"/>
      <c r="AV308" s="33"/>
      <c r="AW308" s="33"/>
      <c r="AX308" s="33"/>
      <c r="AY308" s="33"/>
      <c r="AZ308" s="33"/>
      <c r="BA308" s="33"/>
      <c r="BB308" s="33"/>
      <c r="BC308" s="33"/>
    </row>
    <row r="309" spans="42:55" ht="21.75">
      <c r="AP309" s="33"/>
      <c r="AQ309" s="33"/>
      <c r="AR309" s="33"/>
      <c r="AS309" s="33"/>
      <c r="AT309" s="33"/>
      <c r="AU309" s="33"/>
      <c r="AV309" s="33"/>
      <c r="AW309" s="33"/>
      <c r="AX309" s="33"/>
      <c r="AY309" s="33"/>
      <c r="AZ309" s="192"/>
      <c r="BA309" s="192"/>
      <c r="BB309" s="192"/>
      <c r="BC309" s="192"/>
    </row>
    <row r="310" spans="42:55" ht="21.75">
      <c r="AP310" s="33"/>
      <c r="AQ310" s="33"/>
      <c r="AR310" s="33"/>
      <c r="AS310" s="33"/>
      <c r="AT310" s="33"/>
      <c r="AU310" s="33"/>
      <c r="AV310" s="33"/>
      <c r="AW310" s="33"/>
      <c r="AX310" s="33"/>
      <c r="AY310" s="33"/>
      <c r="AZ310" s="192"/>
      <c r="BA310" s="192"/>
      <c r="BB310" s="192"/>
      <c r="BC310" s="192"/>
    </row>
    <row r="311" spans="42:55" ht="21.75">
      <c r="AP311" s="33"/>
      <c r="AQ311" s="33"/>
      <c r="AR311" s="33"/>
      <c r="AS311" s="33"/>
      <c r="AT311" s="33"/>
      <c r="AU311" s="33"/>
      <c r="AV311" s="33"/>
      <c r="AW311" s="33"/>
      <c r="AX311" s="33"/>
      <c r="AY311" s="33"/>
      <c r="AZ311" s="192"/>
      <c r="BA311" s="192"/>
      <c r="BB311" s="192"/>
      <c r="BC311" s="192"/>
    </row>
    <row r="312" spans="42:55" ht="21.75">
      <c r="AP312" s="33"/>
      <c r="AQ312" s="33"/>
      <c r="AR312" s="33"/>
      <c r="AS312" s="33"/>
      <c r="AT312" s="33"/>
      <c r="AU312" s="33"/>
      <c r="AV312" s="33"/>
      <c r="AW312" s="33"/>
      <c r="AX312" s="33"/>
      <c r="AY312" s="33"/>
      <c r="AZ312" s="192"/>
      <c r="BA312" s="192"/>
      <c r="BB312" s="192"/>
      <c r="BC312" s="192"/>
    </row>
    <row r="313" spans="42:55" ht="21.75">
      <c r="AP313" s="33"/>
      <c r="AQ313" s="33"/>
      <c r="AR313" s="33"/>
      <c r="AS313" s="33"/>
      <c r="AT313" s="33"/>
      <c r="AU313" s="33"/>
      <c r="AV313" s="33"/>
      <c r="AW313" s="33"/>
      <c r="AX313" s="33"/>
      <c r="AY313" s="33"/>
      <c r="AZ313" s="192"/>
      <c r="BA313" s="192"/>
      <c r="BB313" s="192"/>
      <c r="BC313" s="192"/>
    </row>
    <row r="314" spans="42:55" ht="21.75">
      <c r="AP314" s="33"/>
      <c r="AQ314" s="33"/>
      <c r="AR314" s="33"/>
      <c r="AS314" s="33"/>
      <c r="AT314" s="33"/>
      <c r="AU314" s="33"/>
      <c r="AV314" s="33"/>
      <c r="AW314" s="33"/>
      <c r="AX314" s="33"/>
      <c r="AY314" s="33"/>
      <c r="AZ314" s="192"/>
      <c r="BA314" s="192"/>
      <c r="BB314" s="192"/>
      <c r="BC314" s="192"/>
    </row>
    <row r="315" spans="42:55" ht="21.75">
      <c r="AP315" s="33"/>
      <c r="AQ315" s="33"/>
      <c r="AR315" s="33"/>
      <c r="AS315" s="33"/>
      <c r="AT315" s="33"/>
      <c r="AU315" s="33"/>
      <c r="AV315" s="33"/>
      <c r="AW315" s="33"/>
      <c r="AX315" s="33"/>
      <c r="AY315" s="33"/>
      <c r="AZ315" s="192"/>
      <c r="BA315" s="192"/>
      <c r="BB315" s="192"/>
      <c r="BC315" s="192"/>
    </row>
    <row r="316" spans="42:55" ht="21.75">
      <c r="AP316" s="33"/>
      <c r="AQ316" s="33"/>
      <c r="AR316" s="33"/>
      <c r="AS316" s="33"/>
      <c r="AT316" s="33"/>
      <c r="AU316" s="33"/>
      <c r="AV316" s="33"/>
      <c r="AW316" s="33"/>
      <c r="AX316" s="33"/>
      <c r="AY316" s="33"/>
      <c r="AZ316" s="192"/>
      <c r="BA316" s="192"/>
      <c r="BB316" s="192"/>
      <c r="BC316" s="192"/>
    </row>
    <row r="317" spans="42:55" ht="21.75">
      <c r="AP317" s="33"/>
      <c r="AQ317" s="33"/>
      <c r="AR317" s="33"/>
      <c r="AS317" s="33"/>
      <c r="AT317" s="33"/>
      <c r="AU317" s="33"/>
      <c r="AV317" s="33"/>
      <c r="AW317" s="33"/>
      <c r="AX317" s="33"/>
      <c r="AY317" s="33"/>
      <c r="AZ317" s="192"/>
      <c r="BA317" s="192"/>
      <c r="BB317" s="192"/>
      <c r="BC317" s="192"/>
    </row>
    <row r="318" spans="42:55" ht="21.75">
      <c r="AP318" s="33"/>
      <c r="AQ318" s="33"/>
      <c r="AR318" s="33"/>
      <c r="AS318" s="33"/>
      <c r="AT318" s="33"/>
      <c r="AU318" s="33"/>
      <c r="AV318" s="33"/>
      <c r="AW318" s="33"/>
      <c r="AX318" s="33"/>
      <c r="AY318" s="33"/>
      <c r="AZ318" s="192"/>
      <c r="BA318" s="192"/>
      <c r="BB318" s="192"/>
      <c r="BC318" s="192"/>
    </row>
    <row r="319" spans="42:55" ht="21.75">
      <c r="AP319" s="33"/>
      <c r="AQ319" s="33"/>
      <c r="AR319" s="33"/>
      <c r="AS319" s="33"/>
      <c r="AT319" s="33"/>
      <c r="AU319" s="33"/>
      <c r="AV319" s="33"/>
      <c r="AW319" s="33"/>
      <c r="AX319" s="33"/>
      <c r="AY319" s="33"/>
      <c r="AZ319" s="192"/>
      <c r="BA319" s="192"/>
      <c r="BB319" s="192"/>
      <c r="BC319" s="192"/>
    </row>
    <row r="320" spans="42:55" ht="21.75">
      <c r="AP320" s="33"/>
      <c r="AQ320" s="33"/>
      <c r="AR320" s="33"/>
      <c r="AS320" s="33"/>
      <c r="AT320" s="33"/>
      <c r="AU320" s="33"/>
      <c r="AV320" s="33"/>
      <c r="AW320" s="33"/>
      <c r="AX320" s="33"/>
      <c r="AY320" s="33"/>
      <c r="AZ320" s="192"/>
      <c r="BA320" s="192"/>
      <c r="BB320" s="192"/>
      <c r="BC320" s="192"/>
    </row>
    <row r="321" spans="42:55" ht="21.75">
      <c r="AP321" s="33"/>
      <c r="AQ321" s="33"/>
      <c r="AR321" s="33"/>
      <c r="AS321" s="33"/>
      <c r="AT321" s="33"/>
      <c r="AU321" s="33"/>
      <c r="AV321" s="33"/>
      <c r="AW321" s="33"/>
      <c r="AX321" s="33"/>
      <c r="AY321" s="33"/>
      <c r="AZ321" s="192"/>
      <c r="BA321" s="192"/>
      <c r="BB321" s="192"/>
      <c r="BC321" s="192"/>
    </row>
    <row r="322" spans="42:55" ht="21.75">
      <c r="AP322" s="33"/>
      <c r="AQ322" s="33"/>
      <c r="AR322" s="33"/>
      <c r="AS322" s="33"/>
      <c r="AT322" s="33"/>
      <c r="AU322" s="33"/>
      <c r="AV322" s="33"/>
      <c r="AW322" s="33"/>
      <c r="AX322" s="33"/>
      <c r="AY322" s="33"/>
      <c r="AZ322" s="192"/>
      <c r="BA322" s="192"/>
      <c r="BB322" s="192"/>
      <c r="BC322" s="192"/>
    </row>
    <row r="323" spans="42:55" ht="21.75">
      <c r="AP323" s="33"/>
      <c r="AQ323" s="33"/>
      <c r="AR323" s="33"/>
      <c r="AS323" s="33"/>
      <c r="AT323" s="33"/>
      <c r="AU323" s="33"/>
      <c r="AV323" s="33"/>
      <c r="AW323" s="33"/>
      <c r="AX323" s="33"/>
      <c r="AY323" s="33"/>
      <c r="AZ323" s="192"/>
      <c r="BA323" s="192"/>
      <c r="BB323" s="192"/>
      <c r="BC323" s="192"/>
    </row>
    <row r="324" spans="42:55" ht="21.75">
      <c r="AP324" s="33"/>
      <c r="AQ324" s="33"/>
      <c r="AR324" s="33"/>
      <c r="AS324" s="33"/>
      <c r="AT324" s="33"/>
      <c r="AU324" s="33"/>
      <c r="AV324" s="33"/>
      <c r="AW324" s="33"/>
      <c r="AX324" s="33"/>
      <c r="AY324" s="33"/>
      <c r="AZ324" s="192"/>
      <c r="BA324" s="192"/>
      <c r="BB324" s="192"/>
      <c r="BC324" s="192"/>
    </row>
    <row r="325" spans="42:55" ht="21.75">
      <c r="AP325" s="33"/>
      <c r="AQ325" s="33"/>
      <c r="AR325" s="33"/>
      <c r="AS325" s="33"/>
      <c r="AT325" s="33"/>
      <c r="AU325" s="33"/>
      <c r="AV325" s="33"/>
      <c r="AW325" s="33"/>
      <c r="AX325" s="33"/>
      <c r="AY325" s="33"/>
      <c r="AZ325" s="192"/>
      <c r="BA325" s="192"/>
      <c r="BB325" s="192"/>
      <c r="BC325" s="192"/>
    </row>
    <row r="326" spans="42:55" ht="21.75">
      <c r="AP326" s="33"/>
      <c r="AQ326" s="33"/>
      <c r="AR326" s="33"/>
      <c r="AS326" s="33"/>
      <c r="AT326" s="33"/>
      <c r="AU326" s="33"/>
      <c r="AV326" s="33"/>
      <c r="AW326" s="33"/>
      <c r="AX326" s="33"/>
      <c r="AY326" s="33"/>
      <c r="AZ326" s="192"/>
      <c r="BA326" s="192"/>
      <c r="BB326" s="192"/>
      <c r="BC326" s="192"/>
    </row>
    <row r="327" spans="42:55" ht="21.75">
      <c r="AP327" s="33"/>
      <c r="AQ327" s="33"/>
      <c r="AR327" s="33"/>
      <c r="AS327" s="33"/>
      <c r="AT327" s="33"/>
      <c r="AU327" s="33"/>
      <c r="AV327" s="33"/>
      <c r="AW327" s="33"/>
      <c r="AX327" s="33"/>
      <c r="AY327" s="33"/>
      <c r="AZ327" s="192"/>
      <c r="BA327" s="192"/>
      <c r="BB327" s="192"/>
      <c r="BC327" s="192"/>
    </row>
    <row r="328" spans="42:55" ht="21.75">
      <c r="AP328" s="33"/>
      <c r="AQ328" s="33"/>
      <c r="AR328" s="33"/>
      <c r="AS328" s="33"/>
      <c r="AT328" s="33"/>
      <c r="AU328" s="33"/>
      <c r="AV328" s="33"/>
      <c r="AW328" s="33"/>
      <c r="AX328" s="33"/>
      <c r="AY328" s="33"/>
      <c r="AZ328" s="192"/>
      <c r="BA328" s="192"/>
      <c r="BB328" s="192"/>
      <c r="BC328" s="192"/>
    </row>
    <row r="329" spans="42:55" ht="21.75">
      <c r="AP329" s="33"/>
      <c r="AQ329" s="33"/>
      <c r="AR329" s="33"/>
      <c r="AS329" s="33"/>
      <c r="AT329" s="33"/>
      <c r="AU329" s="33"/>
      <c r="AV329" s="33"/>
      <c r="AW329" s="33"/>
      <c r="AX329" s="33"/>
      <c r="AY329" s="33"/>
      <c r="AZ329" s="192"/>
      <c r="BA329" s="192"/>
      <c r="BB329" s="192"/>
      <c r="BC329" s="192"/>
    </row>
    <row r="330" spans="42:55" ht="21.75">
      <c r="AP330" s="33"/>
      <c r="AQ330" s="33"/>
      <c r="AR330" s="33"/>
      <c r="AS330" s="33"/>
      <c r="AT330" s="33"/>
      <c r="AU330" s="33"/>
      <c r="AV330" s="33"/>
      <c r="AW330" s="33"/>
      <c r="AX330" s="33"/>
      <c r="AY330" s="33"/>
      <c r="AZ330" s="192"/>
      <c r="BA330" s="192"/>
      <c r="BB330" s="192"/>
      <c r="BC330" s="192"/>
    </row>
    <row r="331" spans="42:55" ht="21.75">
      <c r="AP331" s="33"/>
      <c r="AQ331" s="33"/>
      <c r="AR331" s="33"/>
      <c r="AS331" s="33"/>
      <c r="AT331" s="33"/>
      <c r="AU331" s="33"/>
      <c r="AV331" s="33"/>
      <c r="AW331" s="33"/>
      <c r="AX331" s="33"/>
      <c r="AY331" s="33"/>
      <c r="AZ331" s="192"/>
      <c r="BA331" s="192"/>
      <c r="BB331" s="192"/>
      <c r="BC331" s="192"/>
    </row>
    <row r="332" spans="42:55" ht="21.75">
      <c r="AP332" s="33"/>
      <c r="AQ332" s="33"/>
      <c r="AR332" s="33"/>
      <c r="AS332" s="33"/>
      <c r="AT332" s="33"/>
      <c r="AU332" s="33"/>
      <c r="AV332" s="33"/>
      <c r="AW332" s="33"/>
      <c r="AX332" s="33"/>
      <c r="AY332" s="33"/>
      <c r="AZ332" s="192"/>
      <c r="BA332" s="192"/>
      <c r="BB332" s="192"/>
      <c r="BC332" s="192"/>
    </row>
    <row r="333" spans="42:55" ht="21.75">
      <c r="AP333" s="33"/>
      <c r="AQ333" s="33"/>
      <c r="AR333" s="33"/>
      <c r="AS333" s="33"/>
      <c r="AT333" s="33"/>
      <c r="AU333" s="33"/>
      <c r="AV333" s="33"/>
      <c r="AW333" s="33"/>
      <c r="AX333" s="33"/>
      <c r="AY333" s="33"/>
      <c r="AZ333" s="192"/>
      <c r="BA333" s="192"/>
      <c r="BB333" s="192"/>
      <c r="BC333" s="192"/>
    </row>
    <row r="334" spans="42:55" ht="21.75">
      <c r="AP334" s="33"/>
      <c r="AQ334" s="33"/>
      <c r="AR334" s="33"/>
      <c r="AS334" s="33"/>
      <c r="AT334" s="33"/>
      <c r="AU334" s="33"/>
      <c r="AV334" s="33"/>
      <c r="AW334" s="33"/>
      <c r="AX334" s="33"/>
      <c r="AY334" s="33"/>
      <c r="AZ334" s="192"/>
      <c r="BA334" s="192"/>
      <c r="BB334" s="192"/>
      <c r="BC334" s="192"/>
    </row>
    <row r="335" spans="42:55" ht="21.75">
      <c r="AP335" s="33"/>
      <c r="AQ335" s="33"/>
      <c r="AR335" s="33"/>
      <c r="AS335" s="33"/>
      <c r="AT335" s="33"/>
      <c r="AU335" s="33"/>
      <c r="AV335" s="33"/>
      <c r="AW335" s="33"/>
      <c r="AX335" s="33"/>
      <c r="AY335" s="33"/>
      <c r="AZ335" s="192"/>
      <c r="BA335" s="192"/>
      <c r="BB335" s="192"/>
      <c r="BC335" s="192"/>
    </row>
    <row r="336" spans="42:55" ht="21.75">
      <c r="AP336" s="33"/>
      <c r="AQ336" s="33"/>
      <c r="AR336" s="33"/>
      <c r="AS336" s="33"/>
      <c r="AT336" s="33"/>
      <c r="AU336" s="33"/>
      <c r="AV336" s="33"/>
      <c r="AW336" s="33"/>
      <c r="AX336" s="33"/>
      <c r="AY336" s="33"/>
      <c r="AZ336" s="192"/>
      <c r="BA336" s="192"/>
      <c r="BB336" s="192"/>
      <c r="BC336" s="192"/>
    </row>
    <row r="337" spans="42:55" ht="21.75">
      <c r="AP337" s="33"/>
      <c r="AQ337" s="33"/>
      <c r="AR337" s="33"/>
      <c r="AS337" s="33"/>
      <c r="AT337" s="33"/>
      <c r="AU337" s="33"/>
      <c r="AV337" s="33"/>
      <c r="AW337" s="33"/>
      <c r="AX337" s="33"/>
      <c r="AY337" s="33"/>
      <c r="AZ337" s="192"/>
      <c r="BA337" s="192"/>
      <c r="BB337" s="192"/>
      <c r="BC337" s="192"/>
    </row>
    <row r="338" spans="42:55" ht="21.75">
      <c r="AP338" s="33"/>
      <c r="AQ338" s="33"/>
      <c r="AR338" s="33"/>
      <c r="AS338" s="33"/>
      <c r="AT338" s="33"/>
      <c r="AU338" s="33"/>
      <c r="AV338" s="33"/>
      <c r="AW338" s="33"/>
      <c r="AX338" s="33"/>
      <c r="AY338" s="33"/>
      <c r="AZ338" s="192"/>
      <c r="BA338" s="192"/>
      <c r="BB338" s="192"/>
      <c r="BC338" s="192"/>
    </row>
    <row r="339" spans="42:55" ht="21.75">
      <c r="AP339" s="33"/>
      <c r="AQ339" s="33"/>
      <c r="AR339" s="33"/>
      <c r="AS339" s="33"/>
      <c r="AT339" s="33"/>
      <c r="AU339" s="33"/>
      <c r="AV339" s="33"/>
      <c r="AW339" s="33"/>
      <c r="AX339" s="33"/>
      <c r="AY339" s="33"/>
      <c r="AZ339" s="192"/>
      <c r="BA339" s="192"/>
      <c r="BB339" s="192"/>
      <c r="BC339" s="192"/>
    </row>
    <row r="340" spans="42:55" ht="21.75">
      <c r="AP340" s="33"/>
      <c r="AQ340" s="33"/>
      <c r="AR340" s="33"/>
      <c r="AS340" s="33"/>
      <c r="AT340" s="33"/>
      <c r="AU340" s="33"/>
      <c r="AV340" s="33"/>
      <c r="AW340" s="33"/>
      <c r="AX340" s="33"/>
      <c r="AY340" s="33"/>
      <c r="AZ340" s="192"/>
      <c r="BA340" s="192"/>
      <c r="BB340" s="192"/>
      <c r="BC340" s="192"/>
    </row>
    <row r="341" spans="42:55" ht="21.75">
      <c r="AP341" s="33"/>
      <c r="AQ341" s="33"/>
      <c r="AR341" s="33"/>
      <c r="AS341" s="33"/>
      <c r="AT341" s="33"/>
      <c r="AU341" s="33"/>
      <c r="AV341" s="33"/>
      <c r="AW341" s="33"/>
      <c r="AX341" s="33"/>
      <c r="AY341" s="33"/>
      <c r="AZ341" s="192"/>
      <c r="BA341" s="192"/>
      <c r="BB341" s="192"/>
      <c r="BC341" s="192"/>
    </row>
    <row r="342" spans="42:55" ht="21.75">
      <c r="AP342" s="33"/>
      <c r="AQ342" s="33"/>
      <c r="AR342" s="33"/>
      <c r="AS342" s="33"/>
      <c r="AT342" s="33"/>
      <c r="AU342" s="33"/>
      <c r="AV342" s="33"/>
      <c r="AW342" s="33"/>
      <c r="AX342" s="33"/>
      <c r="AY342" s="33"/>
      <c r="AZ342" s="192"/>
      <c r="BA342" s="192"/>
      <c r="BB342" s="192"/>
      <c r="BC342" s="192"/>
    </row>
    <row r="343" spans="42:55" ht="21.75">
      <c r="AP343" s="33"/>
      <c r="AQ343" s="33"/>
      <c r="AR343" s="33"/>
      <c r="AS343" s="33"/>
      <c r="AT343" s="33"/>
      <c r="AU343" s="33"/>
      <c r="AV343" s="33"/>
      <c r="AW343" s="33"/>
      <c r="AX343" s="33"/>
      <c r="AY343" s="33"/>
      <c r="AZ343" s="192"/>
      <c r="BA343" s="192"/>
      <c r="BB343" s="192"/>
      <c r="BC343" s="192"/>
    </row>
    <row r="344" spans="42:55" ht="21.75">
      <c r="AP344" s="33"/>
      <c r="AQ344" s="33"/>
      <c r="AR344" s="33"/>
      <c r="AS344" s="33"/>
      <c r="AT344" s="33"/>
      <c r="AU344" s="33"/>
      <c r="AV344" s="33"/>
      <c r="AW344" s="33"/>
      <c r="AX344" s="33"/>
      <c r="AY344" s="33"/>
      <c r="AZ344" s="192"/>
      <c r="BA344" s="192"/>
      <c r="BB344" s="192"/>
      <c r="BC344" s="192"/>
    </row>
    <row r="345" spans="42:55" ht="21.75">
      <c r="AP345" s="33"/>
      <c r="AQ345" s="33"/>
      <c r="AR345" s="33"/>
      <c r="AS345" s="33"/>
      <c r="AT345" s="33"/>
      <c r="AU345" s="33"/>
      <c r="AV345" s="33"/>
      <c r="AW345" s="33"/>
      <c r="AX345" s="33"/>
      <c r="AY345" s="33"/>
      <c r="AZ345" s="192"/>
      <c r="BA345" s="192"/>
      <c r="BB345" s="192"/>
      <c r="BC345" s="192"/>
    </row>
    <row r="346" spans="42:55" ht="21.75">
      <c r="AP346" s="33"/>
      <c r="AQ346" s="33"/>
      <c r="AR346" s="33"/>
      <c r="AS346" s="33"/>
      <c r="AT346" s="33"/>
      <c r="AU346" s="33"/>
      <c r="AV346" s="33"/>
      <c r="AW346" s="33"/>
      <c r="AX346" s="33"/>
      <c r="AY346" s="33"/>
      <c r="AZ346" s="192"/>
      <c r="BA346" s="192"/>
      <c r="BB346" s="192"/>
      <c r="BC346" s="192"/>
    </row>
    <row r="347" spans="42:55" ht="21.75">
      <c r="AP347" s="33"/>
      <c r="AQ347" s="33"/>
      <c r="AR347" s="33"/>
      <c r="AS347" s="33"/>
      <c r="AT347" s="33"/>
      <c r="AU347" s="33"/>
      <c r="AV347" s="33"/>
      <c r="AW347" s="33"/>
      <c r="AX347" s="33"/>
      <c r="AY347" s="33"/>
      <c r="AZ347" s="192"/>
      <c r="BA347" s="192"/>
      <c r="BB347" s="192"/>
      <c r="BC347" s="192"/>
    </row>
    <row r="348" spans="42:55" ht="21.75">
      <c r="AP348" s="33"/>
      <c r="AQ348" s="33"/>
      <c r="AR348" s="33"/>
      <c r="AS348" s="33"/>
      <c r="AT348" s="33"/>
      <c r="AU348" s="33"/>
      <c r="AV348" s="33"/>
      <c r="AW348" s="33"/>
      <c r="AX348" s="33"/>
      <c r="AY348" s="33"/>
      <c r="AZ348" s="192"/>
      <c r="BA348" s="192"/>
      <c r="BB348" s="192"/>
      <c r="BC348" s="192"/>
    </row>
    <row r="349" spans="42:55" ht="21.75">
      <c r="AP349" s="33"/>
      <c r="AQ349" s="33"/>
      <c r="AR349" s="33"/>
      <c r="AS349" s="33"/>
      <c r="AT349" s="33"/>
      <c r="AU349" s="33"/>
      <c r="AV349" s="33"/>
      <c r="AW349" s="33"/>
      <c r="AX349" s="33"/>
      <c r="AY349" s="33"/>
      <c r="AZ349" s="192"/>
      <c r="BA349" s="192"/>
      <c r="BB349" s="192"/>
      <c r="BC349" s="192"/>
    </row>
    <row r="350" spans="42:55" ht="21.75">
      <c r="AP350" s="33"/>
      <c r="AQ350" s="33"/>
      <c r="AR350" s="33"/>
      <c r="AS350" s="33"/>
      <c r="AT350" s="33"/>
      <c r="AU350" s="33"/>
      <c r="AV350" s="33"/>
      <c r="AW350" s="33"/>
      <c r="AX350" s="33"/>
      <c r="AY350" s="33"/>
      <c r="AZ350" s="192"/>
      <c r="BA350" s="192"/>
      <c r="BB350" s="192"/>
      <c r="BC350" s="192"/>
    </row>
    <row r="351" spans="42:55" ht="21.75">
      <c r="AP351" s="33"/>
      <c r="AQ351" s="33"/>
      <c r="AR351" s="33"/>
      <c r="AS351" s="33"/>
      <c r="AT351" s="33"/>
      <c r="AU351" s="33"/>
      <c r="AV351" s="33"/>
      <c r="AW351" s="33"/>
      <c r="AX351" s="33"/>
      <c r="AY351" s="33"/>
      <c r="AZ351" s="192"/>
      <c r="BA351" s="192"/>
      <c r="BB351" s="192"/>
      <c r="BC351" s="192"/>
    </row>
    <row r="352" spans="42:55" ht="21.75">
      <c r="AP352" s="33"/>
      <c r="AQ352" s="33"/>
      <c r="AR352" s="33"/>
      <c r="AS352" s="33"/>
      <c r="AT352" s="33"/>
      <c r="AU352" s="33"/>
      <c r="AV352" s="33"/>
      <c r="AW352" s="33"/>
      <c r="AX352" s="33"/>
      <c r="AY352" s="33"/>
      <c r="AZ352" s="192"/>
      <c r="BA352" s="192"/>
      <c r="BB352" s="192"/>
      <c r="BC352" s="192"/>
    </row>
    <row r="353" spans="42:55" ht="21.75">
      <c r="AP353" s="33"/>
      <c r="AQ353" s="33"/>
      <c r="AR353" s="33"/>
      <c r="AS353" s="33"/>
      <c r="AT353" s="33"/>
      <c r="AU353" s="33"/>
      <c r="AV353" s="33"/>
      <c r="AW353" s="33"/>
      <c r="AX353" s="33"/>
      <c r="AY353" s="33"/>
      <c r="AZ353" s="192"/>
      <c r="BA353" s="192"/>
      <c r="BB353" s="192"/>
      <c r="BC353" s="192"/>
    </row>
    <row r="354" spans="42:55" ht="21.75">
      <c r="AP354" s="33"/>
      <c r="AQ354" s="33"/>
      <c r="AR354" s="33"/>
      <c r="AS354" s="33"/>
      <c r="AT354" s="33"/>
      <c r="AU354" s="33"/>
      <c r="AV354" s="33"/>
      <c r="AW354" s="33"/>
      <c r="AX354" s="33"/>
      <c r="AY354" s="33"/>
      <c r="AZ354" s="192"/>
      <c r="BA354" s="192"/>
      <c r="BB354" s="192"/>
      <c r="BC354" s="192"/>
    </row>
    <row r="355" spans="42:55" ht="21.75">
      <c r="AP355" s="33"/>
      <c r="AQ355" s="33"/>
      <c r="AR355" s="33"/>
      <c r="AS355" s="33"/>
      <c r="AT355" s="33"/>
      <c r="AU355" s="33"/>
      <c r="AV355" s="33"/>
      <c r="AW355" s="33"/>
      <c r="AX355" s="33"/>
      <c r="AY355" s="33"/>
      <c r="AZ355" s="192"/>
      <c r="BA355" s="192"/>
      <c r="BB355" s="192"/>
      <c r="BC355" s="192"/>
    </row>
    <row r="356" spans="42:55" ht="21.75">
      <c r="AP356" s="33"/>
      <c r="AQ356" s="33"/>
      <c r="AR356" s="33"/>
      <c r="AS356" s="33"/>
      <c r="AT356" s="33"/>
      <c r="AU356" s="33"/>
      <c r="AV356" s="33"/>
      <c r="AW356" s="33"/>
      <c r="AX356" s="33"/>
      <c r="AY356" s="33"/>
      <c r="AZ356" s="192"/>
      <c r="BA356" s="192"/>
      <c r="BB356" s="192"/>
      <c r="BC356" s="192"/>
    </row>
    <row r="357" spans="42:55" ht="21.75">
      <c r="AP357" s="33"/>
      <c r="AQ357" s="33"/>
      <c r="AR357" s="33"/>
      <c r="AS357" s="33"/>
      <c r="AT357" s="33"/>
      <c r="AU357" s="33"/>
      <c r="AV357" s="33"/>
      <c r="AW357" s="33"/>
      <c r="AX357" s="33"/>
      <c r="AY357" s="33"/>
      <c r="AZ357" s="192"/>
      <c r="BA357" s="192"/>
      <c r="BB357" s="192"/>
      <c r="BC357" s="192"/>
    </row>
    <row r="358" spans="42:55" ht="21.75">
      <c r="AP358" s="33"/>
      <c r="AQ358" s="33"/>
      <c r="AR358" s="33"/>
      <c r="AS358" s="33"/>
      <c r="AT358" s="33"/>
      <c r="AU358" s="33"/>
      <c r="AV358" s="33"/>
      <c r="AW358" s="33"/>
      <c r="AX358" s="33"/>
      <c r="AY358" s="33"/>
      <c r="AZ358" s="192"/>
      <c r="BA358" s="192"/>
      <c r="BB358" s="192"/>
      <c r="BC358" s="192"/>
    </row>
    <row r="359" spans="42:55" ht="21.75">
      <c r="AP359" s="33"/>
      <c r="AQ359" s="33"/>
      <c r="AR359" s="33"/>
      <c r="AS359" s="33"/>
      <c r="AT359" s="33"/>
      <c r="AU359" s="33"/>
      <c r="AV359" s="33"/>
      <c r="AW359" s="33"/>
      <c r="AX359" s="33"/>
      <c r="AY359" s="33"/>
      <c r="AZ359" s="192"/>
      <c r="BA359" s="192"/>
      <c r="BB359" s="192"/>
      <c r="BC359" s="192"/>
    </row>
    <row r="360" spans="42:55" ht="21.75">
      <c r="AP360" s="33"/>
      <c r="AQ360" s="33"/>
      <c r="AR360" s="33"/>
      <c r="AS360" s="33"/>
      <c r="AT360" s="33"/>
      <c r="AU360" s="33"/>
      <c r="AV360" s="33"/>
      <c r="AW360" s="33"/>
      <c r="AX360" s="33"/>
      <c r="AY360" s="33"/>
      <c r="AZ360" s="192"/>
      <c r="BA360" s="192"/>
      <c r="BB360" s="192"/>
      <c r="BC360" s="192"/>
    </row>
    <row r="361" spans="42:55" ht="21.75">
      <c r="AP361" s="33"/>
      <c r="AQ361" s="33"/>
      <c r="AR361" s="33"/>
      <c r="AS361" s="33"/>
      <c r="AT361" s="33"/>
      <c r="AU361" s="33"/>
      <c r="AV361" s="33"/>
      <c r="AW361" s="33"/>
      <c r="AX361" s="33"/>
      <c r="AY361" s="33"/>
      <c r="AZ361" s="192"/>
      <c r="BA361" s="192"/>
      <c r="BB361" s="192"/>
      <c r="BC361" s="192"/>
    </row>
    <row r="362" spans="42:55" ht="21.75">
      <c r="AP362" s="33"/>
      <c r="AQ362" s="33"/>
      <c r="AR362" s="33"/>
      <c r="AS362" s="33"/>
      <c r="AT362" s="33"/>
      <c r="AU362" s="33"/>
      <c r="AV362" s="33"/>
      <c r="AW362" s="33"/>
      <c r="AX362" s="33"/>
      <c r="AY362" s="33"/>
      <c r="AZ362" s="192"/>
      <c r="BA362" s="192"/>
      <c r="BB362" s="192"/>
      <c r="BC362" s="192"/>
    </row>
    <row r="363" spans="42:55" ht="21.75">
      <c r="AP363" s="33"/>
      <c r="AQ363" s="33"/>
      <c r="AR363" s="33"/>
      <c r="AS363" s="33"/>
      <c r="AT363" s="33"/>
      <c r="AU363" s="33"/>
      <c r="AV363" s="33"/>
      <c r="AW363" s="33"/>
      <c r="AX363" s="33"/>
      <c r="AY363" s="33"/>
      <c r="AZ363" s="192"/>
      <c r="BA363" s="192"/>
      <c r="BB363" s="192"/>
      <c r="BC363" s="192"/>
    </row>
    <row r="364" spans="42:55" ht="21.75">
      <c r="AP364" s="33"/>
      <c r="AQ364" s="33"/>
      <c r="AR364" s="33"/>
      <c r="AS364" s="33"/>
      <c r="AT364" s="33"/>
      <c r="AU364" s="33"/>
      <c r="AV364" s="33"/>
      <c r="AW364" s="33"/>
      <c r="AX364" s="33"/>
      <c r="AY364" s="33"/>
      <c r="AZ364" s="192"/>
      <c r="BA364" s="192"/>
      <c r="BB364" s="192"/>
      <c r="BC364" s="192"/>
    </row>
    <row r="365" spans="42:55" ht="21.75">
      <c r="AP365" s="33"/>
      <c r="AQ365" s="33"/>
      <c r="AR365" s="33"/>
      <c r="AS365" s="33"/>
      <c r="AT365" s="33"/>
      <c r="AU365" s="33"/>
      <c r="AV365" s="33"/>
      <c r="AW365" s="33"/>
      <c r="AX365" s="33"/>
      <c r="AY365" s="33"/>
      <c r="AZ365" s="192"/>
      <c r="BA365" s="192"/>
      <c r="BB365" s="192"/>
      <c r="BC365" s="192"/>
    </row>
    <row r="366" spans="42:55">
      <c r="AP366" s="33"/>
      <c r="AQ366" s="33"/>
      <c r="AR366" s="33"/>
      <c r="AS366" s="33"/>
      <c r="AT366" s="33"/>
      <c r="AU366" s="33"/>
      <c r="AV366" s="33"/>
      <c r="AW366" s="33"/>
      <c r="AX366" s="33"/>
      <c r="AY366" s="33"/>
      <c r="AZ366" s="33"/>
      <c r="BA366" s="33"/>
      <c r="BB366" s="33"/>
      <c r="BC366" s="33"/>
    </row>
    <row r="367" spans="42:55">
      <c r="AP367" s="33"/>
      <c r="AQ367" s="33"/>
      <c r="AR367" s="33"/>
      <c r="AS367" s="33"/>
      <c r="AT367" s="33"/>
      <c r="AU367" s="33"/>
      <c r="AV367" s="33"/>
      <c r="AW367" s="33"/>
      <c r="AX367" s="33"/>
      <c r="AY367" s="33"/>
      <c r="AZ367" s="33"/>
      <c r="BA367" s="33"/>
      <c r="BB367" s="33"/>
      <c r="BC367" s="33"/>
    </row>
    <row r="368" spans="42:55">
      <c r="AP368" s="33"/>
      <c r="AQ368" s="33"/>
      <c r="AR368" s="33"/>
      <c r="AS368" s="33"/>
      <c r="AT368" s="33"/>
      <c r="AU368" s="33"/>
      <c r="AV368" s="33"/>
      <c r="AW368" s="33"/>
      <c r="AX368" s="33"/>
      <c r="AY368" s="33"/>
      <c r="AZ368" s="33"/>
      <c r="BA368" s="33"/>
      <c r="BB368" s="33"/>
      <c r="BC368" s="33"/>
    </row>
    <row r="369" spans="42:55">
      <c r="AP369" s="33"/>
      <c r="AQ369" s="33"/>
      <c r="AR369" s="33"/>
      <c r="AS369" s="33"/>
      <c r="AT369" s="33"/>
      <c r="AU369" s="33"/>
      <c r="AV369" s="33"/>
      <c r="AW369" s="33"/>
      <c r="AX369" s="33"/>
      <c r="AY369" s="33"/>
      <c r="AZ369" s="33"/>
      <c r="BA369" s="33"/>
      <c r="BB369" s="33"/>
      <c r="BC369" s="33"/>
    </row>
    <row r="370" spans="42:55">
      <c r="AP370" s="33"/>
      <c r="AQ370" s="33"/>
      <c r="AR370" s="33"/>
      <c r="AS370" s="33"/>
      <c r="AT370" s="33"/>
      <c r="AU370" s="33"/>
      <c r="AV370" s="33"/>
      <c r="AW370" s="33"/>
      <c r="AX370" s="33"/>
      <c r="AY370" s="33"/>
      <c r="AZ370" s="33"/>
      <c r="BA370" s="33"/>
      <c r="BB370" s="33"/>
      <c r="BC370" s="33"/>
    </row>
    <row r="371" spans="42:55" ht="21.75">
      <c r="AP371" s="33"/>
      <c r="AQ371" s="33"/>
      <c r="AR371" s="33"/>
      <c r="AS371" s="33"/>
      <c r="AT371" s="33"/>
      <c r="AU371" s="33"/>
      <c r="AV371" s="33"/>
      <c r="AW371" s="33"/>
      <c r="AX371" s="33"/>
      <c r="AY371" s="33"/>
      <c r="AZ371" s="192"/>
      <c r="BA371" s="192"/>
      <c r="BB371" s="192"/>
      <c r="BC371" s="192"/>
    </row>
    <row r="372" spans="42:55" ht="21.75">
      <c r="AP372" s="33"/>
      <c r="AQ372" s="33"/>
      <c r="AR372" s="33"/>
      <c r="AS372" s="33"/>
      <c r="AT372" s="33"/>
      <c r="AU372" s="33"/>
      <c r="AV372" s="33"/>
      <c r="AW372" s="33"/>
      <c r="AX372" s="33"/>
      <c r="AY372" s="33"/>
      <c r="AZ372" s="192"/>
      <c r="BA372" s="192"/>
      <c r="BB372" s="192"/>
      <c r="BC372" s="192"/>
    </row>
    <row r="373" spans="42:55" ht="21.75">
      <c r="AP373" s="33"/>
      <c r="AQ373" s="33"/>
      <c r="AR373" s="33"/>
      <c r="AS373" s="33"/>
      <c r="AT373" s="33"/>
      <c r="AU373" s="33"/>
      <c r="AV373" s="33"/>
      <c r="AW373" s="33"/>
      <c r="AX373" s="33"/>
      <c r="AY373" s="33"/>
      <c r="AZ373" s="192"/>
      <c r="BA373" s="192"/>
      <c r="BB373" s="192"/>
      <c r="BC373" s="192"/>
    </row>
    <row r="374" spans="42:55" ht="21.75">
      <c r="AP374" s="33"/>
      <c r="AQ374" s="33"/>
      <c r="AR374" s="33"/>
      <c r="AS374" s="33"/>
      <c r="AT374" s="33"/>
      <c r="AU374" s="33"/>
      <c r="AV374" s="33"/>
      <c r="AW374" s="33"/>
      <c r="AX374" s="33"/>
      <c r="AY374" s="33"/>
      <c r="AZ374" s="192"/>
      <c r="BA374" s="192"/>
      <c r="BB374" s="192"/>
      <c r="BC374" s="192"/>
    </row>
    <row r="375" spans="42:55" ht="21.75">
      <c r="AP375" s="33"/>
      <c r="AQ375" s="33"/>
      <c r="AR375" s="33"/>
      <c r="AS375" s="33"/>
      <c r="AT375" s="33"/>
      <c r="AU375" s="33"/>
      <c r="AV375" s="33"/>
      <c r="AW375" s="33"/>
      <c r="AX375" s="33"/>
      <c r="AY375" s="33"/>
      <c r="AZ375" s="192"/>
      <c r="BA375" s="192"/>
      <c r="BB375" s="192"/>
      <c r="BC375" s="192"/>
    </row>
    <row r="376" spans="42:55" ht="21.75">
      <c r="AP376" s="33"/>
      <c r="AQ376" s="33"/>
      <c r="AR376" s="33"/>
      <c r="AS376" s="33"/>
      <c r="AT376" s="33"/>
      <c r="AU376" s="33"/>
      <c r="AV376" s="33"/>
      <c r="AW376" s="33"/>
      <c r="AX376" s="33"/>
      <c r="AY376" s="33"/>
      <c r="AZ376" s="192"/>
      <c r="BA376" s="192"/>
      <c r="BB376" s="192"/>
      <c r="BC376" s="192"/>
    </row>
    <row r="377" spans="42:55" ht="21.75">
      <c r="AP377" s="33"/>
      <c r="AQ377" s="33"/>
      <c r="AR377" s="33"/>
      <c r="AS377" s="33"/>
      <c r="AT377" s="33"/>
      <c r="AU377" s="33"/>
      <c r="AV377" s="33"/>
      <c r="AW377" s="33"/>
      <c r="AX377" s="33"/>
      <c r="AY377" s="33"/>
      <c r="AZ377" s="192"/>
      <c r="BA377" s="192"/>
      <c r="BB377" s="192"/>
      <c r="BC377" s="192"/>
    </row>
    <row r="378" spans="42:55" ht="21.75">
      <c r="AP378" s="33"/>
      <c r="AQ378" s="33"/>
      <c r="AR378" s="33"/>
      <c r="AS378" s="33"/>
      <c r="AT378" s="33"/>
      <c r="AU378" s="33"/>
      <c r="AV378" s="33"/>
      <c r="AW378" s="33"/>
      <c r="AX378" s="33"/>
      <c r="AY378" s="33"/>
      <c r="AZ378" s="192"/>
      <c r="BA378" s="192"/>
      <c r="BB378" s="192"/>
      <c r="BC378" s="192"/>
    </row>
    <row r="379" spans="42:55" ht="21.75">
      <c r="AP379" s="33"/>
      <c r="AQ379" s="33"/>
      <c r="AR379" s="33"/>
      <c r="AS379" s="33"/>
      <c r="AT379" s="33"/>
      <c r="AU379" s="33"/>
      <c r="AV379" s="33"/>
      <c r="AW379" s="33"/>
      <c r="AX379" s="33"/>
      <c r="AY379" s="33"/>
      <c r="AZ379" s="192"/>
      <c r="BA379" s="192"/>
      <c r="BB379" s="192"/>
      <c r="BC379" s="192"/>
    </row>
    <row r="380" spans="42:55" ht="21.75">
      <c r="AP380" s="33"/>
      <c r="AQ380" s="33"/>
      <c r="AR380" s="33"/>
      <c r="AS380" s="33"/>
      <c r="AT380" s="33"/>
      <c r="AU380" s="33"/>
      <c r="AV380" s="33"/>
      <c r="AW380" s="33"/>
      <c r="AX380" s="33"/>
      <c r="AY380" s="33"/>
      <c r="AZ380" s="192"/>
      <c r="BA380" s="192"/>
      <c r="BB380" s="192"/>
      <c r="BC380" s="192"/>
    </row>
    <row r="381" spans="42:55" ht="21.75">
      <c r="AP381" s="33"/>
      <c r="AQ381" s="33"/>
      <c r="AR381" s="33"/>
      <c r="AS381" s="33"/>
      <c r="AT381" s="33"/>
      <c r="AU381" s="33"/>
      <c r="AV381" s="33"/>
      <c r="AW381" s="33"/>
      <c r="AX381" s="33"/>
      <c r="AY381" s="33"/>
      <c r="AZ381" s="192"/>
      <c r="BA381" s="192"/>
      <c r="BB381" s="192"/>
      <c r="BC381" s="192"/>
    </row>
    <row r="382" spans="42:55" ht="21.75">
      <c r="AP382" s="33"/>
      <c r="AQ382" s="33"/>
      <c r="AR382" s="33"/>
      <c r="AS382" s="33"/>
      <c r="AT382" s="33"/>
      <c r="AU382" s="33"/>
      <c r="AV382" s="33"/>
      <c r="AW382" s="33"/>
      <c r="AX382" s="33"/>
      <c r="AY382" s="33"/>
      <c r="AZ382" s="192"/>
      <c r="BA382" s="192"/>
      <c r="BB382" s="192"/>
      <c r="BC382" s="192"/>
    </row>
    <row r="383" spans="42:55" ht="21.75">
      <c r="AP383" s="33"/>
      <c r="AQ383" s="33"/>
      <c r="AR383" s="33"/>
      <c r="AS383" s="33"/>
      <c r="AT383" s="33"/>
      <c r="AU383" s="33"/>
      <c r="AV383" s="33"/>
      <c r="AW383" s="33"/>
      <c r="AX383" s="33"/>
      <c r="AY383" s="33"/>
      <c r="AZ383" s="192"/>
      <c r="BA383" s="192"/>
      <c r="BB383" s="192"/>
      <c r="BC383" s="192"/>
    </row>
    <row r="384" spans="42:55" ht="21.75">
      <c r="AP384" s="33"/>
      <c r="AQ384" s="33"/>
      <c r="AR384" s="33"/>
      <c r="AS384" s="33"/>
      <c r="AT384" s="33"/>
      <c r="AU384" s="33"/>
      <c r="AV384" s="33"/>
      <c r="AW384" s="33"/>
      <c r="AX384" s="33"/>
      <c r="AY384" s="33"/>
      <c r="AZ384" s="192"/>
      <c r="BA384" s="192"/>
      <c r="BB384" s="192"/>
      <c r="BC384" s="192"/>
    </row>
    <row r="385" spans="42:55" ht="21.75">
      <c r="AP385" s="33"/>
      <c r="AQ385" s="33"/>
      <c r="AR385" s="33"/>
      <c r="AS385" s="33"/>
      <c r="AT385" s="33"/>
      <c r="AU385" s="33"/>
      <c r="AV385" s="33"/>
      <c r="AW385" s="33"/>
      <c r="AX385" s="33"/>
      <c r="AY385" s="33"/>
      <c r="AZ385" s="192"/>
      <c r="BA385" s="192"/>
      <c r="BB385" s="192"/>
      <c r="BC385" s="192"/>
    </row>
    <row r="386" spans="42:55" ht="21.75">
      <c r="AP386" s="33"/>
      <c r="AQ386" s="33"/>
      <c r="AR386" s="33"/>
      <c r="AS386" s="33"/>
      <c r="AT386" s="33"/>
      <c r="AU386" s="33"/>
      <c r="AV386" s="33"/>
      <c r="AW386" s="33"/>
      <c r="AX386" s="33"/>
      <c r="AY386" s="33"/>
      <c r="AZ386" s="192"/>
      <c r="BA386" s="192"/>
      <c r="BB386" s="192"/>
      <c r="BC386" s="192"/>
    </row>
    <row r="387" spans="42:55" ht="21.75">
      <c r="AP387" s="33"/>
      <c r="AQ387" s="33"/>
      <c r="AR387" s="33"/>
      <c r="AS387" s="33"/>
      <c r="AT387" s="33"/>
      <c r="AU387" s="33"/>
      <c r="AV387" s="33"/>
      <c r="AW387" s="33"/>
      <c r="AX387" s="33"/>
      <c r="AY387" s="33"/>
      <c r="AZ387" s="192"/>
      <c r="BA387" s="192"/>
      <c r="BB387" s="192"/>
      <c r="BC387" s="192"/>
    </row>
    <row r="388" spans="42:55" ht="21.75">
      <c r="AP388" s="33"/>
      <c r="AQ388" s="33"/>
      <c r="AR388" s="33"/>
      <c r="AS388" s="33"/>
      <c r="AT388" s="33"/>
      <c r="AU388" s="33"/>
      <c r="AV388" s="33"/>
      <c r="AW388" s="33"/>
      <c r="AX388" s="33"/>
      <c r="AY388" s="33"/>
      <c r="AZ388" s="192"/>
      <c r="BA388" s="192"/>
      <c r="BB388" s="192"/>
      <c r="BC388" s="192"/>
    </row>
    <row r="389" spans="42:55" ht="21.75">
      <c r="AP389" s="33"/>
      <c r="AQ389" s="33"/>
      <c r="AR389" s="33"/>
      <c r="AS389" s="33"/>
      <c r="AT389" s="33"/>
      <c r="AU389" s="33"/>
      <c r="AV389" s="33"/>
      <c r="AW389" s="33"/>
      <c r="AX389" s="33"/>
      <c r="AY389" s="33"/>
      <c r="AZ389" s="192"/>
      <c r="BA389" s="192"/>
      <c r="BB389" s="192"/>
      <c r="BC389" s="192"/>
    </row>
    <row r="390" spans="42:55" ht="21.75">
      <c r="AP390" s="33"/>
      <c r="AQ390" s="33"/>
      <c r="AR390" s="33"/>
      <c r="AS390" s="33"/>
      <c r="AT390" s="33"/>
      <c r="AU390" s="33"/>
      <c r="AV390" s="33"/>
      <c r="AW390" s="33"/>
      <c r="AX390" s="33"/>
      <c r="AY390" s="33"/>
      <c r="AZ390" s="192"/>
      <c r="BA390" s="192"/>
      <c r="BB390" s="192"/>
      <c r="BC390" s="192"/>
    </row>
    <row r="391" spans="42:55" ht="21.75">
      <c r="AP391" s="33"/>
      <c r="AQ391" s="33"/>
      <c r="AR391" s="33"/>
      <c r="AS391" s="33"/>
      <c r="AT391" s="33"/>
      <c r="AU391" s="33"/>
      <c r="AV391" s="33"/>
      <c r="AW391" s="33"/>
      <c r="AX391" s="33"/>
      <c r="AY391" s="33"/>
      <c r="AZ391" s="192"/>
      <c r="BA391" s="192"/>
      <c r="BB391" s="192"/>
      <c r="BC391" s="192"/>
    </row>
    <row r="392" spans="42:55" ht="21.75">
      <c r="AP392" s="33"/>
      <c r="AQ392" s="33"/>
      <c r="AR392" s="33"/>
      <c r="AS392" s="33"/>
      <c r="AT392" s="33"/>
      <c r="AU392" s="33"/>
      <c r="AV392" s="33"/>
      <c r="AW392" s="33"/>
      <c r="AX392" s="33"/>
      <c r="AY392" s="33"/>
      <c r="AZ392" s="192"/>
      <c r="BA392" s="192"/>
      <c r="BB392" s="192"/>
      <c r="BC392" s="192"/>
    </row>
    <row r="393" spans="42:55" ht="21.75">
      <c r="AP393" s="33"/>
      <c r="AQ393" s="33"/>
      <c r="AR393" s="33"/>
      <c r="AS393" s="33"/>
      <c r="AT393" s="33"/>
      <c r="AU393" s="33"/>
      <c r="AV393" s="33"/>
      <c r="AW393" s="33"/>
      <c r="AX393" s="33"/>
      <c r="AY393" s="33"/>
      <c r="AZ393" s="192"/>
      <c r="BA393" s="192"/>
      <c r="BB393" s="192"/>
      <c r="BC393" s="192"/>
    </row>
    <row r="394" spans="42:55" ht="21.75">
      <c r="AP394" s="33"/>
      <c r="AQ394" s="33"/>
      <c r="AR394" s="33"/>
      <c r="AS394" s="33"/>
      <c r="AT394" s="33"/>
      <c r="AU394" s="33"/>
      <c r="AV394" s="33"/>
      <c r="AW394" s="33"/>
      <c r="AX394" s="33"/>
      <c r="AY394" s="33"/>
      <c r="AZ394" s="192"/>
      <c r="BA394" s="192"/>
      <c r="BB394" s="192"/>
      <c r="BC394" s="192"/>
    </row>
    <row r="395" spans="42:55" ht="21.75">
      <c r="AP395" s="33"/>
      <c r="AQ395" s="33"/>
      <c r="AR395" s="33"/>
      <c r="AS395" s="33"/>
      <c r="AT395" s="33"/>
      <c r="AU395" s="33"/>
      <c r="AV395" s="33"/>
      <c r="AW395" s="33"/>
      <c r="AX395" s="33"/>
      <c r="AY395" s="33"/>
      <c r="AZ395" s="192"/>
      <c r="BA395" s="192"/>
      <c r="BB395" s="192"/>
      <c r="BC395" s="192"/>
    </row>
    <row r="396" spans="42:55" ht="21.75">
      <c r="AP396" s="33"/>
      <c r="AQ396" s="33"/>
      <c r="AR396" s="33"/>
      <c r="AS396" s="33"/>
      <c r="AT396" s="33"/>
      <c r="AU396" s="33"/>
      <c r="AV396" s="33"/>
      <c r="AW396" s="33"/>
      <c r="AX396" s="33"/>
      <c r="AY396" s="33"/>
      <c r="AZ396" s="192"/>
      <c r="BA396" s="192"/>
      <c r="BB396" s="192"/>
      <c r="BC396" s="192"/>
    </row>
    <row r="397" spans="42:55" ht="21.75">
      <c r="AP397" s="33"/>
      <c r="AQ397" s="33"/>
      <c r="AR397" s="33"/>
      <c r="AS397" s="33"/>
      <c r="AT397" s="33"/>
      <c r="AU397" s="33"/>
      <c r="AV397" s="33"/>
      <c r="AW397" s="33"/>
      <c r="AX397" s="33"/>
      <c r="AY397" s="33"/>
      <c r="AZ397" s="192"/>
      <c r="BA397" s="192"/>
      <c r="BB397" s="192"/>
      <c r="BC397" s="192"/>
    </row>
    <row r="398" spans="42:55" ht="21.75">
      <c r="AP398" s="33"/>
      <c r="AQ398" s="33"/>
      <c r="AR398" s="33"/>
      <c r="AS398" s="33"/>
      <c r="AT398" s="33"/>
      <c r="AU398" s="33"/>
      <c r="AV398" s="33"/>
      <c r="AW398" s="33"/>
      <c r="AX398" s="33"/>
      <c r="AY398" s="33"/>
      <c r="AZ398" s="192"/>
      <c r="BA398" s="192"/>
      <c r="BB398" s="192"/>
      <c r="BC398" s="192"/>
    </row>
    <row r="399" spans="42:55" ht="21.75">
      <c r="AP399" s="33"/>
      <c r="AQ399" s="33"/>
      <c r="AR399" s="33"/>
      <c r="AS399" s="33"/>
      <c r="AT399" s="33"/>
      <c r="AU399" s="33"/>
      <c r="AV399" s="33"/>
      <c r="AW399" s="33"/>
      <c r="AX399" s="33"/>
      <c r="AY399" s="33"/>
      <c r="AZ399" s="192"/>
      <c r="BA399" s="192"/>
      <c r="BB399" s="192"/>
      <c r="BC399" s="192"/>
    </row>
    <row r="400" spans="42:55" ht="21.75">
      <c r="AP400" s="33"/>
      <c r="AQ400" s="33"/>
      <c r="AR400" s="33"/>
      <c r="AS400" s="33"/>
      <c r="AT400" s="33"/>
      <c r="AU400" s="33"/>
      <c r="AV400" s="33"/>
      <c r="AW400" s="33"/>
      <c r="AX400" s="33"/>
      <c r="AY400" s="33"/>
      <c r="AZ400" s="192"/>
      <c r="BA400" s="192"/>
      <c r="BB400" s="192"/>
      <c r="BC400" s="192"/>
    </row>
    <row r="401" spans="42:55" ht="21.75">
      <c r="AP401" s="33"/>
      <c r="AQ401" s="33"/>
      <c r="AR401" s="33"/>
      <c r="AS401" s="33"/>
      <c r="AT401" s="33"/>
      <c r="AU401" s="33"/>
      <c r="AV401" s="33"/>
      <c r="AW401" s="33"/>
      <c r="AX401" s="33"/>
      <c r="AY401" s="33"/>
      <c r="AZ401" s="192"/>
      <c r="BA401" s="192"/>
      <c r="BB401" s="192"/>
      <c r="BC401" s="192"/>
    </row>
    <row r="402" spans="42:55" ht="21.75">
      <c r="AP402" s="33"/>
      <c r="AQ402" s="33"/>
      <c r="AR402" s="33"/>
      <c r="AS402" s="33"/>
      <c r="AT402" s="33"/>
      <c r="AU402" s="33"/>
      <c r="AV402" s="33"/>
      <c r="AW402" s="33"/>
      <c r="AX402" s="33"/>
      <c r="AY402" s="33"/>
      <c r="AZ402" s="192"/>
      <c r="BA402" s="192"/>
      <c r="BB402" s="192"/>
      <c r="BC402" s="192"/>
    </row>
    <row r="403" spans="42:55" ht="21.75">
      <c r="AP403" s="33"/>
      <c r="AQ403" s="33"/>
      <c r="AR403" s="33"/>
      <c r="AS403" s="33"/>
      <c r="AT403" s="33"/>
      <c r="AU403" s="33"/>
      <c r="AV403" s="33"/>
      <c r="AW403" s="33"/>
      <c r="AX403" s="33"/>
      <c r="AY403" s="33"/>
      <c r="AZ403" s="192"/>
      <c r="BA403" s="192"/>
      <c r="BB403" s="192"/>
      <c r="BC403" s="192"/>
    </row>
    <row r="404" spans="42:55" ht="21.75">
      <c r="AP404" s="33"/>
      <c r="AQ404" s="33"/>
      <c r="AR404" s="33"/>
      <c r="AS404" s="33"/>
      <c r="AT404" s="33"/>
      <c r="AU404" s="33"/>
      <c r="AV404" s="33"/>
      <c r="AW404" s="33"/>
      <c r="AX404" s="33"/>
      <c r="AY404" s="33"/>
      <c r="AZ404" s="192"/>
      <c r="BA404" s="192"/>
      <c r="BB404" s="192"/>
      <c r="BC404" s="192"/>
    </row>
    <row r="405" spans="42:55" ht="21.75">
      <c r="AP405" s="33"/>
      <c r="AQ405" s="33"/>
      <c r="AR405" s="33"/>
      <c r="AS405" s="33"/>
      <c r="AT405" s="33"/>
      <c r="AU405" s="33"/>
      <c r="AV405" s="33"/>
      <c r="AW405" s="33"/>
      <c r="AX405" s="33"/>
      <c r="AY405" s="33"/>
      <c r="AZ405" s="192"/>
      <c r="BA405" s="192"/>
      <c r="BB405" s="192"/>
      <c r="BC405" s="192"/>
    </row>
    <row r="406" spans="42:55" ht="21.75">
      <c r="AP406" s="33"/>
      <c r="AQ406" s="33"/>
      <c r="AR406" s="33"/>
      <c r="AS406" s="33"/>
      <c r="AT406" s="33"/>
      <c r="AU406" s="33"/>
      <c r="AV406" s="33"/>
      <c r="AW406" s="33"/>
      <c r="AX406" s="33"/>
      <c r="AY406" s="33"/>
      <c r="AZ406" s="192"/>
      <c r="BA406" s="192"/>
      <c r="BB406" s="192"/>
      <c r="BC406" s="192"/>
    </row>
    <row r="407" spans="42:55" ht="21.75">
      <c r="AP407" s="33"/>
      <c r="AQ407" s="33"/>
      <c r="AR407" s="33"/>
      <c r="AS407" s="33"/>
      <c r="AT407" s="33"/>
      <c r="AU407" s="33"/>
      <c r="AV407" s="33"/>
      <c r="AW407" s="33"/>
      <c r="AX407" s="33"/>
      <c r="AY407" s="33"/>
      <c r="AZ407" s="192"/>
      <c r="BA407" s="192"/>
      <c r="BB407" s="192"/>
      <c r="BC407" s="192"/>
    </row>
    <row r="408" spans="42:55" ht="21.75">
      <c r="AP408" s="33"/>
      <c r="AQ408" s="33"/>
      <c r="AR408" s="33"/>
      <c r="AS408" s="33"/>
      <c r="AT408" s="33"/>
      <c r="AU408" s="33"/>
      <c r="AV408" s="33"/>
      <c r="AW408" s="33"/>
      <c r="AX408" s="33"/>
      <c r="AY408" s="33"/>
      <c r="AZ408" s="192"/>
      <c r="BA408" s="192"/>
      <c r="BB408" s="192"/>
      <c r="BC408" s="192"/>
    </row>
    <row r="409" spans="42:55" ht="21.75">
      <c r="AP409" s="33"/>
      <c r="AQ409" s="33"/>
      <c r="AR409" s="33"/>
      <c r="AS409" s="33"/>
      <c r="AT409" s="33"/>
      <c r="AU409" s="33"/>
      <c r="AV409" s="33"/>
      <c r="AW409" s="33"/>
      <c r="AX409" s="33"/>
      <c r="AY409" s="33"/>
      <c r="AZ409" s="192"/>
      <c r="BA409" s="192"/>
      <c r="BB409" s="192"/>
      <c r="BC409" s="192"/>
    </row>
    <row r="410" spans="42:55" ht="21.75">
      <c r="AP410" s="33"/>
      <c r="AQ410" s="33"/>
      <c r="AR410" s="33"/>
      <c r="AS410" s="33"/>
      <c r="AT410" s="33"/>
      <c r="AU410" s="33"/>
      <c r="AV410" s="33"/>
      <c r="AW410" s="33"/>
      <c r="AX410" s="33"/>
      <c r="AY410" s="33"/>
      <c r="AZ410" s="192"/>
      <c r="BA410" s="192"/>
      <c r="BB410" s="192"/>
      <c r="BC410" s="192"/>
    </row>
    <row r="411" spans="42:55" ht="21.75">
      <c r="AP411" s="33"/>
      <c r="AQ411" s="33"/>
      <c r="AR411" s="33"/>
      <c r="AS411" s="33"/>
      <c r="AT411" s="33"/>
      <c r="AU411" s="33"/>
      <c r="AV411" s="33"/>
      <c r="AW411" s="33"/>
      <c r="AX411" s="33"/>
      <c r="AY411" s="33"/>
      <c r="AZ411" s="192"/>
      <c r="BA411" s="192"/>
      <c r="BB411" s="192"/>
      <c r="BC411" s="192"/>
    </row>
    <row r="412" spans="42:55" ht="21.75">
      <c r="AP412" s="33"/>
      <c r="AQ412" s="33"/>
      <c r="AR412" s="33"/>
      <c r="AS412" s="33"/>
      <c r="AT412" s="33"/>
      <c r="AU412" s="33"/>
      <c r="AV412" s="33"/>
      <c r="AW412" s="33"/>
      <c r="AX412" s="33"/>
      <c r="AY412" s="33"/>
      <c r="AZ412" s="192"/>
      <c r="BA412" s="192"/>
      <c r="BB412" s="192"/>
      <c r="BC412" s="192"/>
    </row>
    <row r="413" spans="42:55" ht="21.75">
      <c r="AP413" s="33"/>
      <c r="AQ413" s="33"/>
      <c r="AR413" s="33"/>
      <c r="AS413" s="33"/>
      <c r="AT413" s="33"/>
      <c r="AU413" s="33"/>
      <c r="AV413" s="33"/>
      <c r="AW413" s="33"/>
      <c r="AX413" s="33"/>
      <c r="AY413" s="33"/>
      <c r="AZ413" s="192"/>
      <c r="BA413" s="192"/>
      <c r="BB413" s="192"/>
      <c r="BC413" s="192"/>
    </row>
    <row r="414" spans="42:55" ht="21.75">
      <c r="AP414" s="33"/>
      <c r="AQ414" s="33"/>
      <c r="AR414" s="33"/>
      <c r="AS414" s="33"/>
      <c r="AT414" s="33"/>
      <c r="AU414" s="33"/>
      <c r="AV414" s="33"/>
      <c r="AW414" s="33"/>
      <c r="AX414" s="33"/>
      <c r="AY414" s="33"/>
      <c r="AZ414" s="192"/>
      <c r="BA414" s="192"/>
      <c r="BB414" s="192"/>
      <c r="BC414" s="192"/>
    </row>
    <row r="415" spans="42:55" ht="21.75">
      <c r="AP415" s="33"/>
      <c r="AQ415" s="33"/>
      <c r="AR415" s="33"/>
      <c r="AS415" s="33"/>
      <c r="AT415" s="33"/>
      <c r="AU415" s="33"/>
      <c r="AV415" s="33"/>
      <c r="AW415" s="33"/>
      <c r="AX415" s="33"/>
      <c r="AY415" s="33"/>
      <c r="AZ415" s="192"/>
      <c r="BA415" s="192"/>
      <c r="BB415" s="192"/>
      <c r="BC415" s="192"/>
    </row>
    <row r="416" spans="42:55" ht="21.75">
      <c r="AP416" s="33"/>
      <c r="AQ416" s="33"/>
      <c r="AR416" s="33"/>
      <c r="AS416" s="33"/>
      <c r="AT416" s="33"/>
      <c r="AU416" s="33"/>
      <c r="AV416" s="33"/>
      <c r="AW416" s="33"/>
      <c r="AX416" s="33"/>
      <c r="AY416" s="33"/>
      <c r="AZ416" s="192"/>
      <c r="BA416" s="192"/>
      <c r="BB416" s="192"/>
      <c r="BC416" s="192"/>
    </row>
    <row r="417" spans="42:55" ht="21.75">
      <c r="AP417" s="33"/>
      <c r="AQ417" s="33"/>
      <c r="AR417" s="33"/>
      <c r="AS417" s="33"/>
      <c r="AT417" s="33"/>
      <c r="AU417" s="33"/>
      <c r="AV417" s="33"/>
      <c r="AW417" s="33"/>
      <c r="AX417" s="33"/>
      <c r="AY417" s="33"/>
      <c r="AZ417" s="192"/>
      <c r="BA417" s="192"/>
      <c r="BB417" s="192"/>
      <c r="BC417" s="192"/>
    </row>
    <row r="418" spans="42:55" ht="21.75">
      <c r="AP418" s="33"/>
      <c r="AQ418" s="33"/>
      <c r="AR418" s="33"/>
      <c r="AS418" s="33"/>
      <c r="AT418" s="33"/>
      <c r="AU418" s="33"/>
      <c r="AV418" s="33"/>
      <c r="AW418" s="33"/>
      <c r="AX418" s="33"/>
      <c r="AY418" s="33"/>
      <c r="AZ418" s="192"/>
      <c r="BA418" s="192"/>
      <c r="BB418" s="192"/>
      <c r="BC418" s="192"/>
    </row>
    <row r="419" spans="42:55" ht="21.75">
      <c r="AP419" s="33"/>
      <c r="AQ419" s="33"/>
      <c r="AR419" s="33"/>
      <c r="AS419" s="33"/>
      <c r="AT419" s="33"/>
      <c r="AU419" s="33"/>
      <c r="AV419" s="33"/>
      <c r="AW419" s="33"/>
      <c r="AX419" s="33"/>
      <c r="AY419" s="33"/>
      <c r="AZ419" s="192"/>
      <c r="BA419" s="192"/>
      <c r="BB419" s="192"/>
      <c r="BC419" s="192"/>
    </row>
    <row r="420" spans="42:55" ht="21.75">
      <c r="AP420" s="33"/>
      <c r="AQ420" s="33"/>
      <c r="AR420" s="33"/>
      <c r="AS420" s="33"/>
      <c r="AT420" s="33"/>
      <c r="AU420" s="33"/>
      <c r="AV420" s="33"/>
      <c r="AW420" s="33"/>
      <c r="AX420" s="33"/>
      <c r="AY420" s="33"/>
      <c r="AZ420" s="192"/>
      <c r="BA420" s="192"/>
      <c r="BB420" s="192"/>
      <c r="BC420" s="192"/>
    </row>
    <row r="421" spans="42:55" ht="21.75">
      <c r="AP421" s="33"/>
      <c r="AQ421" s="33"/>
      <c r="AR421" s="33"/>
      <c r="AS421" s="33"/>
      <c r="AT421" s="33"/>
      <c r="AU421" s="33"/>
      <c r="AV421" s="33"/>
      <c r="AW421" s="33"/>
      <c r="AX421" s="33"/>
      <c r="AY421" s="33"/>
      <c r="AZ421" s="192"/>
      <c r="BA421" s="192"/>
      <c r="BB421" s="192"/>
      <c r="BC421" s="192"/>
    </row>
    <row r="422" spans="42:55" ht="21.75">
      <c r="AP422" s="33"/>
      <c r="AQ422" s="33"/>
      <c r="AR422" s="33"/>
      <c r="AS422" s="33"/>
      <c r="AT422" s="33"/>
      <c r="AU422" s="33"/>
      <c r="AV422" s="33"/>
      <c r="AW422" s="33"/>
      <c r="AX422" s="33"/>
      <c r="AY422" s="33"/>
      <c r="AZ422" s="192"/>
      <c r="BA422" s="192"/>
      <c r="BB422" s="192"/>
      <c r="BC422" s="192"/>
    </row>
    <row r="423" spans="42:55" ht="21.75">
      <c r="AP423" s="33"/>
      <c r="AQ423" s="33"/>
      <c r="AR423" s="33"/>
      <c r="AS423" s="33"/>
      <c r="AT423" s="33"/>
      <c r="AU423" s="33"/>
      <c r="AV423" s="33"/>
      <c r="AW423" s="33"/>
      <c r="AX423" s="33"/>
      <c r="AY423" s="33"/>
      <c r="AZ423" s="192"/>
      <c r="BA423" s="192"/>
      <c r="BB423" s="192"/>
      <c r="BC423" s="192"/>
    </row>
    <row r="424" spans="42:55" ht="21.75">
      <c r="AP424" s="33"/>
      <c r="AQ424" s="33"/>
      <c r="AR424" s="33"/>
      <c r="AS424" s="33"/>
      <c r="AT424" s="33"/>
      <c r="AU424" s="33"/>
      <c r="AV424" s="33"/>
      <c r="AW424" s="33"/>
      <c r="AX424" s="33"/>
      <c r="AY424" s="33"/>
      <c r="AZ424" s="192"/>
      <c r="BA424" s="192"/>
      <c r="BB424" s="192"/>
      <c r="BC424" s="192"/>
    </row>
    <row r="425" spans="42:55" ht="21.75">
      <c r="AP425" s="33"/>
      <c r="AQ425" s="33"/>
      <c r="AR425" s="33"/>
      <c r="AS425" s="33"/>
      <c r="AT425" s="33"/>
      <c r="AU425" s="33"/>
      <c r="AV425" s="33"/>
      <c r="AW425" s="33"/>
      <c r="AX425" s="33"/>
      <c r="AY425" s="33"/>
      <c r="AZ425" s="192"/>
      <c r="BA425" s="192"/>
      <c r="BB425" s="192"/>
      <c r="BC425" s="192"/>
    </row>
    <row r="426" spans="42:55" ht="21.75">
      <c r="AP426" s="33"/>
      <c r="AQ426" s="33"/>
      <c r="AR426" s="33"/>
      <c r="AS426" s="33"/>
      <c r="AT426" s="33"/>
      <c r="AU426" s="33"/>
      <c r="AV426" s="33"/>
      <c r="AW426" s="33"/>
      <c r="AX426" s="33"/>
      <c r="AY426" s="33"/>
      <c r="AZ426" s="192"/>
      <c r="BA426" s="192"/>
      <c r="BB426" s="192"/>
      <c r="BC426" s="192"/>
    </row>
    <row r="427" spans="42:55" ht="21.75">
      <c r="AP427" s="33"/>
      <c r="AQ427" s="33"/>
      <c r="AR427" s="33"/>
      <c r="AS427" s="33"/>
      <c r="AT427" s="33"/>
      <c r="AU427" s="33"/>
      <c r="AV427" s="33"/>
      <c r="AW427" s="33"/>
      <c r="AX427" s="33"/>
      <c r="AY427" s="33"/>
      <c r="AZ427" s="192"/>
      <c r="BA427" s="192"/>
      <c r="BB427" s="192"/>
      <c r="BC427" s="192"/>
    </row>
    <row r="428" spans="42:55">
      <c r="AP428" s="33"/>
      <c r="AQ428" s="33"/>
      <c r="AR428" s="33"/>
      <c r="AS428" s="33"/>
      <c r="AT428" s="33"/>
      <c r="AU428" s="33"/>
      <c r="AV428" s="33"/>
      <c r="AW428" s="33"/>
      <c r="AX428" s="33"/>
      <c r="AY428" s="33"/>
      <c r="AZ428" s="33"/>
      <c r="BA428" s="33"/>
      <c r="BB428" s="33"/>
      <c r="BC428" s="33"/>
    </row>
    <row r="429" spans="42:55">
      <c r="AP429" s="33"/>
      <c r="AQ429" s="33"/>
      <c r="AR429" s="33"/>
      <c r="AS429" s="33"/>
      <c r="AT429" s="33"/>
      <c r="AU429" s="33"/>
      <c r="AV429" s="33"/>
      <c r="AW429" s="33"/>
      <c r="AX429" s="33"/>
      <c r="AY429" s="33"/>
      <c r="AZ429" s="33"/>
      <c r="BA429" s="33"/>
      <c r="BB429" s="33"/>
      <c r="BC429" s="33"/>
    </row>
    <row r="430" spans="42:55">
      <c r="AP430" s="33"/>
      <c r="AQ430" s="33"/>
      <c r="AR430" s="33"/>
      <c r="AS430" s="33"/>
      <c r="AT430" s="33"/>
      <c r="AU430" s="33"/>
      <c r="AV430" s="33"/>
      <c r="AW430" s="33"/>
      <c r="AX430" s="33"/>
      <c r="AY430" s="33"/>
      <c r="AZ430" s="33"/>
      <c r="BA430" s="33"/>
      <c r="BB430" s="33"/>
      <c r="BC430" s="33"/>
    </row>
    <row r="431" spans="42:55">
      <c r="AP431" s="33"/>
      <c r="AQ431" s="33"/>
      <c r="AR431" s="33"/>
      <c r="AS431" s="33"/>
      <c r="AT431" s="33"/>
      <c r="AU431" s="33"/>
      <c r="AV431" s="33"/>
      <c r="AW431" s="33"/>
      <c r="AX431" s="33"/>
      <c r="AY431" s="33"/>
      <c r="AZ431" s="33"/>
      <c r="BA431" s="33"/>
      <c r="BB431" s="33"/>
      <c r="BC431" s="33"/>
    </row>
    <row r="432" spans="42:55">
      <c r="AP432" s="33"/>
      <c r="AQ432" s="33"/>
      <c r="AR432" s="33"/>
      <c r="AS432" s="33"/>
      <c r="AT432" s="33"/>
      <c r="AU432" s="33"/>
      <c r="AV432" s="33"/>
      <c r="AW432" s="33"/>
      <c r="AX432" s="33"/>
      <c r="AY432" s="33"/>
      <c r="AZ432" s="33"/>
      <c r="BA432" s="33"/>
      <c r="BB432" s="33"/>
      <c r="BC432" s="33"/>
    </row>
    <row r="433" spans="42:55">
      <c r="AP433" s="33"/>
      <c r="AQ433" s="33"/>
      <c r="AR433" s="33"/>
      <c r="AS433" s="33"/>
      <c r="AT433" s="33"/>
      <c r="AU433" s="33"/>
      <c r="AV433" s="33"/>
      <c r="AW433" s="33"/>
      <c r="AX433" s="33"/>
      <c r="AY433" s="33"/>
      <c r="AZ433" s="33"/>
      <c r="BA433" s="33"/>
      <c r="BB433" s="33"/>
      <c r="BC433" s="33"/>
    </row>
    <row r="434" spans="42:55" ht="21.75">
      <c r="AP434" s="33"/>
      <c r="AQ434" s="33"/>
      <c r="AR434" s="33"/>
      <c r="AS434" s="33"/>
      <c r="AT434" s="33"/>
      <c r="AU434" s="33"/>
      <c r="AV434" s="33"/>
      <c r="AW434" s="33"/>
      <c r="AX434" s="33"/>
      <c r="AY434" s="33"/>
      <c r="AZ434" s="192"/>
      <c r="BA434" s="192"/>
      <c r="BB434" s="192"/>
      <c r="BC434" s="192"/>
    </row>
    <row r="435" spans="42:55" ht="21.75">
      <c r="AP435" s="33"/>
      <c r="AQ435" s="33"/>
      <c r="AR435" s="33"/>
      <c r="AS435" s="33"/>
      <c r="AT435" s="33"/>
      <c r="AU435" s="33"/>
      <c r="AV435" s="33"/>
      <c r="AW435" s="33"/>
      <c r="AX435" s="33"/>
      <c r="AY435" s="33"/>
      <c r="AZ435" s="192"/>
      <c r="BA435" s="192"/>
      <c r="BB435" s="192"/>
      <c r="BC435" s="192"/>
    </row>
    <row r="436" spans="42:55" ht="21.75">
      <c r="AP436" s="33"/>
      <c r="AQ436" s="33"/>
      <c r="AR436" s="33"/>
      <c r="AS436" s="33"/>
      <c r="AT436" s="33"/>
      <c r="AU436" s="33"/>
      <c r="AV436" s="33"/>
      <c r="AW436" s="33"/>
      <c r="AX436" s="33"/>
      <c r="AY436" s="33"/>
      <c r="AZ436" s="192"/>
      <c r="BA436" s="192"/>
      <c r="BB436" s="192"/>
      <c r="BC436" s="192"/>
    </row>
    <row r="437" spans="42:55" ht="21.75">
      <c r="AP437" s="33"/>
      <c r="AQ437" s="33"/>
      <c r="AR437" s="33"/>
      <c r="AS437" s="33"/>
      <c r="AT437" s="33"/>
      <c r="AU437" s="33"/>
      <c r="AV437" s="33"/>
      <c r="AW437" s="33"/>
      <c r="AX437" s="33"/>
      <c r="AY437" s="33"/>
      <c r="AZ437" s="192"/>
      <c r="BA437" s="192"/>
      <c r="BB437" s="192"/>
      <c r="BC437" s="192"/>
    </row>
    <row r="438" spans="42:55" ht="21.75">
      <c r="AP438" s="33"/>
      <c r="AQ438" s="33"/>
      <c r="AR438" s="33"/>
      <c r="AS438" s="33"/>
      <c r="AT438" s="33"/>
      <c r="AU438" s="33"/>
      <c r="AV438" s="33"/>
      <c r="AW438" s="33"/>
      <c r="AX438" s="33"/>
      <c r="AY438" s="33"/>
      <c r="AZ438" s="192"/>
      <c r="BA438" s="192"/>
      <c r="BB438" s="192"/>
      <c r="BC438" s="192"/>
    </row>
    <row r="439" spans="42:55" ht="21.75">
      <c r="AP439" s="33"/>
      <c r="AQ439" s="33"/>
      <c r="AR439" s="33"/>
      <c r="AS439" s="33"/>
      <c r="AT439" s="33"/>
      <c r="AU439" s="33"/>
      <c r="AV439" s="33"/>
      <c r="AW439" s="33"/>
      <c r="AX439" s="33"/>
      <c r="AY439" s="33"/>
      <c r="AZ439" s="192"/>
      <c r="BA439" s="192"/>
      <c r="BB439" s="192"/>
      <c r="BC439" s="192"/>
    </row>
    <row r="440" spans="42:55" ht="21.75">
      <c r="AP440" s="33"/>
      <c r="AQ440" s="33"/>
      <c r="AR440" s="33"/>
      <c r="AS440" s="33"/>
      <c r="AT440" s="33"/>
      <c r="AU440" s="33"/>
      <c r="AV440" s="33"/>
      <c r="AW440" s="33"/>
      <c r="AX440" s="33"/>
      <c r="AY440" s="33"/>
      <c r="AZ440" s="192"/>
      <c r="BA440" s="192"/>
      <c r="BB440" s="192"/>
      <c r="BC440" s="192"/>
    </row>
    <row r="441" spans="42:55" ht="21.75">
      <c r="AP441" s="33"/>
      <c r="AQ441" s="33"/>
      <c r="AR441" s="33"/>
      <c r="AS441" s="33"/>
      <c r="AT441" s="33"/>
      <c r="AU441" s="33"/>
      <c r="AV441" s="33"/>
      <c r="AW441" s="33"/>
      <c r="AX441" s="33"/>
      <c r="AY441" s="33"/>
      <c r="AZ441" s="192"/>
      <c r="BA441" s="192"/>
      <c r="BB441" s="192"/>
      <c r="BC441" s="192"/>
    </row>
    <row r="442" spans="42:55" ht="21.75">
      <c r="AP442" s="33"/>
      <c r="AQ442" s="33"/>
      <c r="AR442" s="33"/>
      <c r="AS442" s="33"/>
      <c r="AT442" s="33"/>
      <c r="AU442" s="33"/>
      <c r="AV442" s="33"/>
      <c r="AW442" s="33"/>
      <c r="AX442" s="33"/>
      <c r="AY442" s="33"/>
      <c r="AZ442" s="192"/>
      <c r="BA442" s="192"/>
      <c r="BB442" s="192"/>
      <c r="BC442" s="192"/>
    </row>
    <row r="443" spans="42:55" ht="21.75">
      <c r="AP443" s="33"/>
      <c r="AQ443" s="33"/>
      <c r="AR443" s="33"/>
      <c r="AS443" s="33"/>
      <c r="AT443" s="33"/>
      <c r="AU443" s="33"/>
      <c r="AV443" s="33"/>
      <c r="AW443" s="33"/>
      <c r="AX443" s="33"/>
      <c r="AY443" s="33"/>
      <c r="AZ443" s="192"/>
      <c r="BA443" s="192"/>
      <c r="BB443" s="192"/>
      <c r="BC443" s="192"/>
    </row>
    <row r="444" spans="42:55" ht="21.75">
      <c r="AP444" s="33"/>
      <c r="AQ444" s="33"/>
      <c r="AR444" s="33"/>
      <c r="AS444" s="33"/>
      <c r="AT444" s="33"/>
      <c r="AU444" s="33"/>
      <c r="AV444" s="33"/>
      <c r="AW444" s="33"/>
      <c r="AX444" s="33"/>
      <c r="AY444" s="33"/>
      <c r="AZ444" s="192"/>
      <c r="BA444" s="192"/>
      <c r="BB444" s="192"/>
      <c r="BC444" s="192"/>
    </row>
    <row r="445" spans="42:55" ht="21.75">
      <c r="AP445" s="33"/>
      <c r="AQ445" s="33"/>
      <c r="AR445" s="33"/>
      <c r="AS445" s="33"/>
      <c r="AT445" s="33"/>
      <c r="AU445" s="33"/>
      <c r="AV445" s="33"/>
      <c r="AW445" s="33"/>
      <c r="AX445" s="33"/>
      <c r="AY445" s="33"/>
      <c r="AZ445" s="192"/>
      <c r="BA445" s="192"/>
      <c r="BB445" s="192"/>
      <c r="BC445" s="192"/>
    </row>
    <row r="446" spans="42:55" ht="21.75">
      <c r="AP446" s="33"/>
      <c r="AQ446" s="33"/>
      <c r="AR446" s="33"/>
      <c r="AS446" s="33"/>
      <c r="AT446" s="33"/>
      <c r="AU446" s="33"/>
      <c r="AV446" s="33"/>
      <c r="AW446" s="33"/>
      <c r="AX446" s="33"/>
      <c r="AY446" s="33"/>
      <c r="AZ446" s="192"/>
      <c r="BA446" s="192"/>
      <c r="BB446" s="192"/>
      <c r="BC446" s="192"/>
    </row>
    <row r="447" spans="42:55" ht="21.75">
      <c r="AP447" s="33"/>
      <c r="AQ447" s="33"/>
      <c r="AR447" s="33"/>
      <c r="AS447" s="33"/>
      <c r="AT447" s="33"/>
      <c r="AU447" s="33"/>
      <c r="AV447" s="33"/>
      <c r="AW447" s="33"/>
      <c r="AX447" s="33"/>
      <c r="AY447" s="33"/>
      <c r="AZ447" s="192"/>
      <c r="BA447" s="192"/>
      <c r="BB447" s="192"/>
      <c r="BC447" s="192"/>
    </row>
    <row r="448" spans="42:55" ht="21.75">
      <c r="AP448" s="33"/>
      <c r="AQ448" s="33"/>
      <c r="AR448" s="33"/>
      <c r="AS448" s="33"/>
      <c r="AT448" s="33"/>
      <c r="AU448" s="33"/>
      <c r="AV448" s="33"/>
      <c r="AW448" s="33"/>
      <c r="AX448" s="33"/>
      <c r="AY448" s="33"/>
      <c r="AZ448" s="192"/>
      <c r="BA448" s="192"/>
      <c r="BB448" s="192"/>
      <c r="BC448" s="192"/>
    </row>
    <row r="449" spans="42:55" ht="21.75">
      <c r="AP449" s="33"/>
      <c r="AQ449" s="33"/>
      <c r="AR449" s="33"/>
      <c r="AS449" s="33"/>
      <c r="AT449" s="33"/>
      <c r="AU449" s="33"/>
      <c r="AV449" s="33"/>
      <c r="AW449" s="33"/>
      <c r="AX449" s="33"/>
      <c r="AY449" s="33"/>
      <c r="AZ449" s="192"/>
      <c r="BA449" s="192"/>
      <c r="BB449" s="192"/>
      <c r="BC449" s="192"/>
    </row>
    <row r="450" spans="42:55" ht="21.75">
      <c r="AP450" s="33"/>
      <c r="AQ450" s="33"/>
      <c r="AR450" s="33"/>
      <c r="AS450" s="33"/>
      <c r="AT450" s="33"/>
      <c r="AU450" s="33"/>
      <c r="AV450" s="33"/>
      <c r="AW450" s="33"/>
      <c r="AX450" s="33"/>
      <c r="AY450" s="33"/>
      <c r="AZ450" s="192"/>
      <c r="BA450" s="192"/>
      <c r="BB450" s="192"/>
      <c r="BC450" s="192"/>
    </row>
    <row r="451" spans="42:55" ht="21.75">
      <c r="AP451" s="33"/>
      <c r="AQ451" s="33"/>
      <c r="AR451" s="33"/>
      <c r="AS451" s="33"/>
      <c r="AT451" s="33"/>
      <c r="AU451" s="33"/>
      <c r="AV451" s="33"/>
      <c r="AW451" s="33"/>
      <c r="AX451" s="33"/>
      <c r="AY451" s="33"/>
      <c r="AZ451" s="192"/>
      <c r="BA451" s="192"/>
      <c r="BB451" s="192"/>
      <c r="BC451" s="192"/>
    </row>
    <row r="452" spans="42:55" ht="21.75">
      <c r="AP452" s="33"/>
      <c r="AQ452" s="33"/>
      <c r="AR452" s="33"/>
      <c r="AS452" s="33"/>
      <c r="AT452" s="33"/>
      <c r="AU452" s="33"/>
      <c r="AV452" s="33"/>
      <c r="AW452" s="33"/>
      <c r="AX452" s="33"/>
      <c r="AY452" s="33"/>
      <c r="AZ452" s="192"/>
      <c r="BA452" s="192"/>
      <c r="BB452" s="192"/>
      <c r="BC452" s="192"/>
    </row>
    <row r="453" spans="42:55" ht="21.75">
      <c r="AP453" s="33"/>
      <c r="AQ453" s="33"/>
      <c r="AR453" s="33"/>
      <c r="AS453" s="33"/>
      <c r="AT453" s="33"/>
      <c r="AU453" s="33"/>
      <c r="AV453" s="33"/>
      <c r="AW453" s="33"/>
      <c r="AX453" s="33"/>
      <c r="AY453" s="33"/>
      <c r="AZ453" s="192"/>
      <c r="BA453" s="192"/>
      <c r="BB453" s="192"/>
      <c r="BC453" s="192"/>
    </row>
    <row r="454" spans="42:55" ht="21.75">
      <c r="AP454" s="33"/>
      <c r="AQ454" s="33"/>
      <c r="AR454" s="33"/>
      <c r="AS454" s="33"/>
      <c r="AT454" s="33"/>
      <c r="AU454" s="33"/>
      <c r="AV454" s="33"/>
      <c r="AW454" s="33"/>
      <c r="AX454" s="33"/>
      <c r="AY454" s="33"/>
      <c r="AZ454" s="192"/>
      <c r="BA454" s="192"/>
      <c r="BB454" s="192"/>
      <c r="BC454" s="192"/>
    </row>
    <row r="455" spans="42:55" ht="21.75">
      <c r="AP455" s="33"/>
      <c r="AQ455" s="33"/>
      <c r="AR455" s="33"/>
      <c r="AS455" s="33"/>
      <c r="AT455" s="33"/>
      <c r="AU455" s="33"/>
      <c r="AV455" s="33"/>
      <c r="AW455" s="33"/>
      <c r="AX455" s="33"/>
      <c r="AY455" s="33"/>
      <c r="AZ455" s="192"/>
      <c r="BA455" s="192"/>
      <c r="BB455" s="192"/>
      <c r="BC455" s="192"/>
    </row>
    <row r="456" spans="42:55" ht="21.75">
      <c r="AP456" s="33"/>
      <c r="AQ456" s="33"/>
      <c r="AR456" s="33"/>
      <c r="AS456" s="33"/>
      <c r="AT456" s="33"/>
      <c r="AU456" s="33"/>
      <c r="AV456" s="33"/>
      <c r="AW456" s="33"/>
      <c r="AX456" s="33"/>
      <c r="AY456" s="33"/>
      <c r="AZ456" s="192"/>
      <c r="BA456" s="192"/>
      <c r="BB456" s="192"/>
      <c r="BC456" s="192"/>
    </row>
    <row r="457" spans="42:55" ht="21.75">
      <c r="AP457" s="33"/>
      <c r="AQ457" s="33"/>
      <c r="AR457" s="33"/>
      <c r="AS457" s="33"/>
      <c r="AT457" s="33"/>
      <c r="AU457" s="33"/>
      <c r="AV457" s="33"/>
      <c r="AW457" s="33"/>
      <c r="AX457" s="33"/>
      <c r="AY457" s="33"/>
      <c r="AZ457" s="192"/>
      <c r="BA457" s="192"/>
      <c r="BB457" s="192"/>
      <c r="BC457" s="192"/>
    </row>
    <row r="458" spans="42:55" ht="21.75">
      <c r="AP458" s="33"/>
      <c r="AQ458" s="33"/>
      <c r="AR458" s="33"/>
      <c r="AS458" s="33"/>
      <c r="AT458" s="33"/>
      <c r="AU458" s="33"/>
      <c r="AV458" s="33"/>
      <c r="AW458" s="33"/>
      <c r="AX458" s="33"/>
      <c r="AY458" s="33"/>
      <c r="AZ458" s="192"/>
      <c r="BA458" s="192"/>
      <c r="BB458" s="192"/>
      <c r="BC458" s="192"/>
    </row>
    <row r="459" spans="42:55" ht="21.75">
      <c r="AP459" s="33"/>
      <c r="AQ459" s="33"/>
      <c r="AR459" s="33"/>
      <c r="AS459" s="33"/>
      <c r="AT459" s="33"/>
      <c r="AU459" s="33"/>
      <c r="AV459" s="33"/>
      <c r="AW459" s="33"/>
      <c r="AX459" s="33"/>
      <c r="AY459" s="33"/>
      <c r="AZ459" s="192"/>
      <c r="BA459" s="192"/>
      <c r="BB459" s="192"/>
      <c r="BC459" s="192"/>
    </row>
    <row r="460" spans="42:55" ht="21.75">
      <c r="AP460" s="33"/>
      <c r="AQ460" s="33"/>
      <c r="AR460" s="33"/>
      <c r="AS460" s="33"/>
      <c r="AT460" s="33"/>
      <c r="AU460" s="33"/>
      <c r="AV460" s="33"/>
      <c r="AW460" s="33"/>
      <c r="AX460" s="33"/>
      <c r="AY460" s="33"/>
      <c r="AZ460" s="192"/>
      <c r="BA460" s="192"/>
      <c r="BB460" s="192"/>
      <c r="BC460" s="192"/>
    </row>
    <row r="461" spans="42:55" ht="21.75">
      <c r="AP461" s="33"/>
      <c r="AQ461" s="33"/>
      <c r="AR461" s="33"/>
      <c r="AS461" s="33"/>
      <c r="AT461" s="33"/>
      <c r="AU461" s="33"/>
      <c r="AV461" s="33"/>
      <c r="AW461" s="33"/>
      <c r="AX461" s="33"/>
      <c r="AY461" s="33"/>
      <c r="AZ461" s="192"/>
      <c r="BA461" s="192"/>
      <c r="BB461" s="192"/>
      <c r="BC461" s="192"/>
    </row>
    <row r="462" spans="42:55" ht="21.75">
      <c r="AP462" s="33"/>
      <c r="AQ462" s="33"/>
      <c r="AR462" s="33"/>
      <c r="AS462" s="33"/>
      <c r="AT462" s="33"/>
      <c r="AU462" s="33"/>
      <c r="AV462" s="33"/>
      <c r="AW462" s="33"/>
      <c r="AX462" s="33"/>
      <c r="AY462" s="33"/>
      <c r="AZ462" s="192"/>
      <c r="BA462" s="192"/>
      <c r="BB462" s="192"/>
      <c r="BC462" s="192"/>
    </row>
    <row r="463" spans="42:55" ht="21.75">
      <c r="AP463" s="33"/>
      <c r="AQ463" s="33"/>
      <c r="AR463" s="33"/>
      <c r="AS463" s="33"/>
      <c r="AT463" s="33"/>
      <c r="AU463" s="33"/>
      <c r="AV463" s="33"/>
      <c r="AW463" s="33"/>
      <c r="AX463" s="33"/>
      <c r="AY463" s="33"/>
      <c r="AZ463" s="192"/>
      <c r="BA463" s="192"/>
      <c r="BB463" s="192"/>
      <c r="BC463" s="192"/>
    </row>
    <row r="464" spans="42:55" ht="21.75">
      <c r="AP464" s="33"/>
      <c r="AQ464" s="33"/>
      <c r="AR464" s="33"/>
      <c r="AS464" s="33"/>
      <c r="AT464" s="33"/>
      <c r="AU464" s="33"/>
      <c r="AV464" s="33"/>
      <c r="AW464" s="33"/>
      <c r="AX464" s="33"/>
      <c r="AY464" s="33"/>
      <c r="AZ464" s="192"/>
      <c r="BA464" s="192"/>
      <c r="BB464" s="192"/>
      <c r="BC464" s="192"/>
    </row>
    <row r="465" spans="42:55" ht="21.75">
      <c r="AP465" s="33"/>
      <c r="AQ465" s="33"/>
      <c r="AR465" s="33"/>
      <c r="AS465" s="33"/>
      <c r="AT465" s="33"/>
      <c r="AU465" s="33"/>
      <c r="AV465" s="33"/>
      <c r="AW465" s="33"/>
      <c r="AX465" s="33"/>
      <c r="AY465" s="33"/>
      <c r="AZ465" s="192"/>
      <c r="BA465" s="192"/>
      <c r="BB465" s="192"/>
      <c r="BC465" s="192"/>
    </row>
    <row r="466" spans="42:55" ht="21.75">
      <c r="AP466" s="33"/>
      <c r="AQ466" s="33"/>
      <c r="AR466" s="33"/>
      <c r="AS466" s="33"/>
      <c r="AT466" s="33"/>
      <c r="AU466" s="33"/>
      <c r="AV466" s="33"/>
      <c r="AW466" s="33"/>
      <c r="AX466" s="33"/>
      <c r="AY466" s="33"/>
      <c r="AZ466" s="192"/>
      <c r="BA466" s="192"/>
      <c r="BB466" s="192"/>
      <c r="BC466" s="192"/>
    </row>
    <row r="467" spans="42:55" ht="21.75">
      <c r="AP467" s="33"/>
      <c r="AQ467" s="33"/>
      <c r="AR467" s="33"/>
      <c r="AS467" s="33"/>
      <c r="AT467" s="33"/>
      <c r="AU467" s="33"/>
      <c r="AV467" s="33"/>
      <c r="AW467" s="33"/>
      <c r="AX467" s="33"/>
      <c r="AY467" s="33"/>
      <c r="AZ467" s="192"/>
      <c r="BA467" s="192"/>
      <c r="BB467" s="192"/>
      <c r="BC467" s="192"/>
    </row>
    <row r="468" spans="42:55" ht="21.75">
      <c r="AP468" s="33"/>
      <c r="AQ468" s="33"/>
      <c r="AR468" s="33"/>
      <c r="AS468" s="33"/>
      <c r="AT468" s="33"/>
      <c r="AU468" s="33"/>
      <c r="AV468" s="33"/>
      <c r="AW468" s="33"/>
      <c r="AX468" s="33"/>
      <c r="AY468" s="33"/>
      <c r="AZ468" s="192"/>
      <c r="BA468" s="192"/>
      <c r="BB468" s="192"/>
      <c r="BC468" s="192"/>
    </row>
    <row r="469" spans="42:55" ht="21.75">
      <c r="AP469" s="33"/>
      <c r="AQ469" s="33"/>
      <c r="AR469" s="33"/>
      <c r="AS469" s="33"/>
      <c r="AT469" s="33"/>
      <c r="AU469" s="33"/>
      <c r="AV469" s="33"/>
      <c r="AW469" s="33"/>
      <c r="AX469" s="33"/>
      <c r="AY469" s="33"/>
      <c r="AZ469" s="192"/>
      <c r="BA469" s="192"/>
      <c r="BB469" s="192"/>
      <c r="BC469" s="192"/>
    </row>
    <row r="470" spans="42:55" ht="21.75">
      <c r="AP470" s="33"/>
      <c r="AQ470" s="33"/>
      <c r="AR470" s="33"/>
      <c r="AS470" s="33"/>
      <c r="AT470" s="33"/>
      <c r="AU470" s="33"/>
      <c r="AV470" s="33"/>
      <c r="AW470" s="33"/>
      <c r="AX470" s="33"/>
      <c r="AY470" s="33"/>
      <c r="AZ470" s="192"/>
      <c r="BA470" s="192"/>
      <c r="BB470" s="192"/>
      <c r="BC470" s="192"/>
    </row>
    <row r="471" spans="42:55" ht="21.75">
      <c r="AP471" s="33"/>
      <c r="AQ471" s="33"/>
      <c r="AR471" s="33"/>
      <c r="AS471" s="33"/>
      <c r="AT471" s="33"/>
      <c r="AU471" s="33"/>
      <c r="AV471" s="33"/>
      <c r="AW471" s="33"/>
      <c r="AX471" s="33"/>
      <c r="AY471" s="33"/>
      <c r="AZ471" s="192"/>
      <c r="BA471" s="192"/>
      <c r="BB471" s="192"/>
      <c r="BC471" s="192"/>
    </row>
    <row r="472" spans="42:55" ht="21.75">
      <c r="AP472" s="33"/>
      <c r="AQ472" s="33"/>
      <c r="AR472" s="33"/>
      <c r="AS472" s="33"/>
      <c r="AT472" s="33"/>
      <c r="AU472" s="33"/>
      <c r="AV472" s="33"/>
      <c r="AW472" s="33"/>
      <c r="AX472" s="33"/>
      <c r="AY472" s="33"/>
      <c r="AZ472" s="192"/>
      <c r="BA472" s="192"/>
      <c r="BB472" s="192"/>
      <c r="BC472" s="192"/>
    </row>
    <row r="473" spans="42:55" ht="21.75">
      <c r="AP473" s="33"/>
      <c r="AQ473" s="33"/>
      <c r="AR473" s="33"/>
      <c r="AS473" s="33"/>
      <c r="AT473" s="33"/>
      <c r="AU473" s="33"/>
      <c r="AV473" s="33"/>
      <c r="AW473" s="33"/>
      <c r="AX473" s="33"/>
      <c r="AY473" s="33"/>
      <c r="AZ473" s="192"/>
      <c r="BA473" s="192"/>
      <c r="BB473" s="192"/>
      <c r="BC473" s="192"/>
    </row>
    <row r="474" spans="42:55" ht="21.75">
      <c r="AP474" s="33"/>
      <c r="AQ474" s="33"/>
      <c r="AR474" s="33"/>
      <c r="AS474" s="33"/>
      <c r="AT474" s="33"/>
      <c r="AU474" s="33"/>
      <c r="AV474" s="33"/>
      <c r="AW474" s="33"/>
      <c r="AX474" s="33"/>
      <c r="AY474" s="33"/>
      <c r="AZ474" s="192"/>
      <c r="BA474" s="192"/>
      <c r="BB474" s="192"/>
      <c r="BC474" s="192"/>
    </row>
    <row r="475" spans="42:55" ht="21.75">
      <c r="AP475" s="33"/>
      <c r="AQ475" s="33"/>
      <c r="AR475" s="33"/>
      <c r="AS475" s="33"/>
      <c r="AT475" s="33"/>
      <c r="AU475" s="33"/>
      <c r="AV475" s="33"/>
      <c r="AW475" s="33"/>
      <c r="AX475" s="33"/>
      <c r="AY475" s="33"/>
      <c r="AZ475" s="192"/>
      <c r="BA475" s="192"/>
      <c r="BB475" s="192"/>
      <c r="BC475" s="192"/>
    </row>
    <row r="476" spans="42:55" ht="21.75">
      <c r="AP476" s="33"/>
      <c r="AQ476" s="33"/>
      <c r="AR476" s="33"/>
      <c r="AS476" s="33"/>
      <c r="AT476" s="33"/>
      <c r="AU476" s="33"/>
      <c r="AV476" s="33"/>
      <c r="AW476" s="33"/>
      <c r="AX476" s="33"/>
      <c r="AY476" s="33"/>
      <c r="AZ476" s="192"/>
      <c r="BA476" s="192"/>
      <c r="BB476" s="192"/>
      <c r="BC476" s="192"/>
    </row>
    <row r="477" spans="42:55" ht="21.75">
      <c r="AP477" s="33"/>
      <c r="AQ477" s="33"/>
      <c r="AR477" s="33"/>
      <c r="AS477" s="33"/>
      <c r="AT477" s="33"/>
      <c r="AU477" s="33"/>
      <c r="AV477" s="33"/>
      <c r="AW477" s="33"/>
      <c r="AX477" s="33"/>
      <c r="AY477" s="33"/>
      <c r="AZ477" s="192"/>
      <c r="BA477" s="192"/>
      <c r="BB477" s="192"/>
      <c r="BC477" s="192"/>
    </row>
    <row r="478" spans="42:55" ht="21.75">
      <c r="AP478" s="33"/>
      <c r="AQ478" s="33"/>
      <c r="AR478" s="33"/>
      <c r="AS478" s="33"/>
      <c r="AT478" s="33"/>
      <c r="AU478" s="33"/>
      <c r="AV478" s="33"/>
      <c r="AW478" s="33"/>
      <c r="AX478" s="33"/>
      <c r="AY478" s="33"/>
      <c r="AZ478" s="192"/>
      <c r="BA478" s="192"/>
      <c r="BB478" s="192"/>
      <c r="BC478" s="192"/>
    </row>
    <row r="479" spans="42:55" ht="21.75">
      <c r="AP479" s="33"/>
      <c r="AQ479" s="33"/>
      <c r="AR479" s="33"/>
      <c r="AS479" s="33"/>
      <c r="AT479" s="33"/>
      <c r="AU479" s="33"/>
      <c r="AV479" s="33"/>
      <c r="AW479" s="33"/>
      <c r="AX479" s="33"/>
      <c r="AY479" s="33"/>
      <c r="AZ479" s="192"/>
      <c r="BA479" s="192"/>
      <c r="BB479" s="192"/>
      <c r="BC479" s="192"/>
    </row>
    <row r="480" spans="42:55" ht="21.75">
      <c r="AP480" s="33"/>
      <c r="AQ480" s="33"/>
      <c r="AR480" s="33"/>
      <c r="AS480" s="33"/>
      <c r="AT480" s="33"/>
      <c r="AU480" s="33"/>
      <c r="AV480" s="33"/>
      <c r="AW480" s="33"/>
      <c r="AX480" s="33"/>
      <c r="AY480" s="33"/>
      <c r="AZ480" s="192"/>
      <c r="BA480" s="192"/>
      <c r="BB480" s="192"/>
      <c r="BC480" s="192"/>
    </row>
    <row r="481" spans="42:55" ht="21.75">
      <c r="AP481" s="33"/>
      <c r="AQ481" s="33"/>
      <c r="AR481" s="33"/>
      <c r="AS481" s="33"/>
      <c r="AT481" s="33"/>
      <c r="AU481" s="33"/>
      <c r="AV481" s="33"/>
      <c r="AW481" s="33"/>
      <c r="AX481" s="33"/>
      <c r="AY481" s="33"/>
      <c r="AZ481" s="192"/>
      <c r="BA481" s="192"/>
      <c r="BB481" s="192"/>
      <c r="BC481" s="192"/>
    </row>
    <row r="482" spans="42:55" ht="21.75">
      <c r="AP482" s="33"/>
      <c r="AQ482" s="33"/>
      <c r="AR482" s="33"/>
      <c r="AS482" s="33"/>
      <c r="AT482" s="33"/>
      <c r="AU482" s="33"/>
      <c r="AV482" s="33"/>
      <c r="AW482" s="33"/>
      <c r="AX482" s="33"/>
      <c r="AY482" s="33"/>
      <c r="AZ482" s="192"/>
      <c r="BA482" s="192"/>
      <c r="BB482" s="192"/>
      <c r="BC482" s="192"/>
    </row>
    <row r="483" spans="42:55" ht="21.75">
      <c r="AP483" s="33"/>
      <c r="AQ483" s="33"/>
      <c r="AR483" s="33"/>
      <c r="AS483" s="33"/>
      <c r="AT483" s="33"/>
      <c r="AU483" s="33"/>
      <c r="AV483" s="33"/>
      <c r="AW483" s="33"/>
      <c r="AX483" s="33"/>
      <c r="AY483" s="33"/>
      <c r="AZ483" s="192"/>
      <c r="BA483" s="192"/>
      <c r="BB483" s="192"/>
      <c r="BC483" s="192"/>
    </row>
    <row r="484" spans="42:55" ht="21.75">
      <c r="AP484" s="33"/>
      <c r="AQ484" s="33"/>
      <c r="AR484" s="33"/>
      <c r="AS484" s="33"/>
      <c r="AT484" s="33"/>
      <c r="AU484" s="33"/>
      <c r="AV484" s="33"/>
      <c r="AW484" s="33"/>
      <c r="AX484" s="33"/>
      <c r="AY484" s="33"/>
      <c r="AZ484" s="192"/>
      <c r="BA484" s="192"/>
      <c r="BB484" s="192"/>
      <c r="BC484" s="192"/>
    </row>
    <row r="485" spans="42:55" ht="21.75">
      <c r="AP485" s="33"/>
      <c r="AQ485" s="33"/>
      <c r="AR485" s="33"/>
      <c r="AS485" s="33"/>
      <c r="AT485" s="33"/>
      <c r="AU485" s="33"/>
      <c r="AV485" s="33"/>
      <c r="AW485" s="33"/>
      <c r="AX485" s="33"/>
      <c r="AY485" s="33"/>
      <c r="AZ485" s="192"/>
      <c r="BA485" s="192"/>
      <c r="BB485" s="192"/>
      <c r="BC485" s="192"/>
    </row>
    <row r="486" spans="42:55" ht="21.75">
      <c r="AP486" s="33"/>
      <c r="AQ486" s="33"/>
      <c r="AR486" s="33"/>
      <c r="AS486" s="33"/>
      <c r="AT486" s="33"/>
      <c r="AU486" s="33"/>
      <c r="AV486" s="33"/>
      <c r="AW486" s="33"/>
      <c r="AX486" s="33"/>
      <c r="AY486" s="33"/>
      <c r="AZ486" s="192"/>
      <c r="BA486" s="192"/>
      <c r="BB486" s="192"/>
      <c r="BC486" s="192"/>
    </row>
    <row r="487" spans="42:55" ht="21.75">
      <c r="AP487" s="33"/>
      <c r="AQ487" s="33"/>
      <c r="AR487" s="33"/>
      <c r="AS487" s="33"/>
      <c r="AT487" s="33"/>
      <c r="AU487" s="33"/>
      <c r="AV487" s="33"/>
      <c r="AW487" s="33"/>
      <c r="AX487" s="33"/>
      <c r="AY487" s="33"/>
      <c r="AZ487" s="192"/>
      <c r="BA487" s="192"/>
      <c r="BB487" s="192"/>
      <c r="BC487" s="192"/>
    </row>
    <row r="488" spans="42:55" ht="21.75">
      <c r="AP488" s="33"/>
      <c r="AQ488" s="33"/>
      <c r="AR488" s="33"/>
      <c r="AS488" s="33"/>
      <c r="AT488" s="33"/>
      <c r="AU488" s="33"/>
      <c r="AV488" s="33"/>
      <c r="AW488" s="33"/>
      <c r="AX488" s="33"/>
      <c r="AY488" s="33"/>
      <c r="AZ488" s="192"/>
      <c r="BA488" s="192"/>
      <c r="BB488" s="192"/>
      <c r="BC488" s="192"/>
    </row>
    <row r="489" spans="42:55" ht="21.75">
      <c r="AP489" s="33"/>
      <c r="AQ489" s="33"/>
      <c r="AR489" s="33"/>
      <c r="AS489" s="33"/>
      <c r="AT489" s="33"/>
      <c r="AU489" s="33"/>
      <c r="AV489" s="33"/>
      <c r="AW489" s="33"/>
      <c r="AX489" s="33"/>
      <c r="AY489" s="33"/>
      <c r="AZ489" s="192"/>
      <c r="BA489" s="192"/>
      <c r="BB489" s="192"/>
      <c r="BC489" s="192"/>
    </row>
    <row r="490" spans="42:55" ht="21.75">
      <c r="AP490" s="33"/>
      <c r="AQ490" s="33"/>
      <c r="AR490" s="33"/>
      <c r="AS490" s="33"/>
      <c r="AT490" s="33"/>
      <c r="AU490" s="33"/>
      <c r="AV490" s="33"/>
      <c r="AW490" s="33"/>
      <c r="AX490" s="33"/>
      <c r="AY490" s="33"/>
      <c r="AZ490" s="192"/>
      <c r="BA490" s="192"/>
      <c r="BB490" s="192"/>
      <c r="BC490" s="192"/>
    </row>
    <row r="491" spans="42:55">
      <c r="AP491" s="33"/>
      <c r="AQ491" s="33"/>
      <c r="AR491" s="33"/>
      <c r="AS491" s="33"/>
      <c r="AT491" s="33"/>
      <c r="AU491" s="33"/>
      <c r="AV491" s="33"/>
      <c r="AW491" s="33"/>
      <c r="AX491" s="33"/>
      <c r="AY491" s="33"/>
      <c r="AZ491" s="33"/>
      <c r="BA491" s="33"/>
      <c r="BB491" s="33"/>
      <c r="BC491" s="33"/>
    </row>
    <row r="492" spans="42:55">
      <c r="AP492" s="33"/>
      <c r="AQ492" s="33"/>
      <c r="AR492" s="33"/>
      <c r="AS492" s="33"/>
      <c r="AT492" s="33"/>
      <c r="AU492" s="33"/>
      <c r="AV492" s="33"/>
      <c r="AW492" s="33"/>
      <c r="AX492" s="33"/>
      <c r="AY492" s="33"/>
      <c r="AZ492" s="33"/>
      <c r="BA492" s="33"/>
      <c r="BB492" s="33"/>
      <c r="BC492" s="33"/>
    </row>
    <row r="493" spans="42:55">
      <c r="AP493" s="33"/>
      <c r="AQ493" s="33"/>
      <c r="AR493" s="33"/>
      <c r="AS493" s="33"/>
      <c r="AT493" s="33"/>
      <c r="AU493" s="33"/>
      <c r="AV493" s="33"/>
      <c r="AW493" s="33"/>
      <c r="AX493" s="33"/>
      <c r="AY493" s="33"/>
      <c r="AZ493" s="33"/>
      <c r="BA493" s="33"/>
      <c r="BB493" s="33"/>
      <c r="BC493" s="33"/>
    </row>
    <row r="494" spans="42:55">
      <c r="AP494" s="33"/>
      <c r="AQ494" s="33"/>
      <c r="AR494" s="33"/>
      <c r="AS494" s="33"/>
      <c r="AT494" s="33"/>
      <c r="AU494" s="33"/>
      <c r="AV494" s="33"/>
      <c r="AW494" s="33"/>
      <c r="AX494" s="33"/>
      <c r="AY494" s="33"/>
      <c r="AZ494" s="33"/>
      <c r="BA494" s="33"/>
      <c r="BB494" s="33"/>
      <c r="BC494" s="33"/>
    </row>
    <row r="495" spans="42:55">
      <c r="AP495" s="33"/>
      <c r="AQ495" s="33"/>
      <c r="AR495" s="33"/>
      <c r="AS495" s="33"/>
      <c r="AT495" s="33"/>
      <c r="AU495" s="33"/>
      <c r="AV495" s="33"/>
      <c r="AW495" s="33"/>
      <c r="AX495" s="33"/>
      <c r="AY495" s="33"/>
      <c r="AZ495" s="33"/>
      <c r="BA495" s="33"/>
      <c r="BB495" s="33"/>
      <c r="BC495" s="33"/>
    </row>
    <row r="496" spans="42:55">
      <c r="AP496" s="33"/>
      <c r="AQ496" s="33"/>
      <c r="AR496" s="33"/>
      <c r="AS496" s="33"/>
      <c r="AT496" s="33"/>
      <c r="AU496" s="33"/>
      <c r="AV496" s="33"/>
      <c r="AW496" s="33"/>
      <c r="AX496" s="33"/>
      <c r="AY496" s="33"/>
      <c r="AZ496" s="33"/>
      <c r="BA496" s="33"/>
      <c r="BB496" s="33"/>
      <c r="BC496" s="33"/>
    </row>
    <row r="497" spans="42:55" ht="21.75">
      <c r="AP497" s="33"/>
      <c r="AQ497" s="33"/>
      <c r="AR497" s="33"/>
      <c r="AS497" s="33"/>
      <c r="AT497" s="33"/>
      <c r="AU497" s="33"/>
      <c r="AV497" s="33"/>
      <c r="AW497" s="33"/>
      <c r="AX497" s="33"/>
      <c r="AY497" s="33"/>
      <c r="AZ497" s="192"/>
      <c r="BA497" s="192"/>
      <c r="BB497" s="192"/>
      <c r="BC497" s="192"/>
    </row>
    <row r="498" spans="42:55" ht="21.75">
      <c r="AP498" s="33"/>
      <c r="AQ498" s="33"/>
      <c r="AR498" s="33"/>
      <c r="AS498" s="33"/>
      <c r="AT498" s="33"/>
      <c r="AU498" s="33"/>
      <c r="AV498" s="33"/>
      <c r="AW498" s="33"/>
      <c r="AX498" s="33"/>
      <c r="AY498" s="33"/>
      <c r="AZ498" s="192"/>
      <c r="BA498" s="192"/>
      <c r="BB498" s="192"/>
      <c r="BC498" s="192"/>
    </row>
    <row r="499" spans="42:55" ht="21.75">
      <c r="AP499" s="33"/>
      <c r="AQ499" s="33"/>
      <c r="AR499" s="33"/>
      <c r="AS499" s="33"/>
      <c r="AT499" s="33"/>
      <c r="AU499" s="33"/>
      <c r="AV499" s="33"/>
      <c r="AW499" s="33"/>
      <c r="AX499" s="33"/>
      <c r="AY499" s="33"/>
      <c r="AZ499" s="192"/>
      <c r="BA499" s="192"/>
      <c r="BB499" s="192"/>
      <c r="BC499" s="192"/>
    </row>
    <row r="500" spans="42:55" ht="21.75">
      <c r="AP500" s="33"/>
      <c r="AQ500" s="33"/>
      <c r="AR500" s="33"/>
      <c r="AS500" s="33"/>
      <c r="AT500" s="33"/>
      <c r="AU500" s="33"/>
      <c r="AV500" s="33"/>
      <c r="AW500" s="33"/>
      <c r="AX500" s="33"/>
      <c r="AY500" s="33"/>
      <c r="AZ500" s="192"/>
      <c r="BA500" s="192"/>
      <c r="BB500" s="192"/>
      <c r="BC500" s="192"/>
    </row>
    <row r="501" spans="42:55" ht="21.75">
      <c r="AP501" s="33"/>
      <c r="AQ501" s="33"/>
      <c r="AR501" s="33"/>
      <c r="AS501" s="33"/>
      <c r="AT501" s="33"/>
      <c r="AU501" s="33"/>
      <c r="AV501" s="33"/>
      <c r="AW501" s="33"/>
      <c r="AX501" s="33"/>
      <c r="AY501" s="33"/>
      <c r="AZ501" s="192"/>
      <c r="BA501" s="192"/>
      <c r="BB501" s="192"/>
      <c r="BC501" s="192"/>
    </row>
    <row r="502" spans="42:55" ht="21.75">
      <c r="AP502" s="33"/>
      <c r="AQ502" s="33"/>
      <c r="AR502" s="33"/>
      <c r="AS502" s="33"/>
      <c r="AT502" s="33"/>
      <c r="AU502" s="33"/>
      <c r="AV502" s="33"/>
      <c r="AW502" s="33"/>
      <c r="AX502" s="33"/>
      <c r="AY502" s="33"/>
      <c r="AZ502" s="192"/>
      <c r="BA502" s="192"/>
      <c r="BB502" s="192"/>
      <c r="BC502" s="192"/>
    </row>
    <row r="503" spans="42:55" ht="21.75">
      <c r="AP503" s="33"/>
      <c r="AQ503" s="33"/>
      <c r="AR503" s="33"/>
      <c r="AS503" s="33"/>
      <c r="AT503" s="33"/>
      <c r="AU503" s="33"/>
      <c r="AV503" s="33"/>
      <c r="AW503" s="33"/>
      <c r="AX503" s="33"/>
      <c r="AY503" s="33"/>
      <c r="AZ503" s="192"/>
      <c r="BA503" s="192"/>
      <c r="BB503" s="192"/>
      <c r="BC503" s="192"/>
    </row>
    <row r="504" spans="42:55" ht="21.75">
      <c r="AP504" s="33"/>
      <c r="AQ504" s="33"/>
      <c r="AR504" s="33"/>
      <c r="AS504" s="33"/>
      <c r="AT504" s="33"/>
      <c r="AU504" s="33"/>
      <c r="AV504" s="33"/>
      <c r="AW504" s="33"/>
      <c r="AX504" s="33"/>
      <c r="AY504" s="33"/>
      <c r="AZ504" s="192"/>
      <c r="BA504" s="192"/>
      <c r="BB504" s="192"/>
      <c r="BC504" s="192"/>
    </row>
    <row r="505" spans="42:55" ht="21.75">
      <c r="AP505" s="33"/>
      <c r="AQ505" s="33"/>
      <c r="AR505" s="33"/>
      <c r="AS505" s="33"/>
      <c r="AT505" s="33"/>
      <c r="AU505" s="33"/>
      <c r="AV505" s="33"/>
      <c r="AW505" s="33"/>
      <c r="AX505" s="33"/>
      <c r="AY505" s="33"/>
      <c r="AZ505" s="192"/>
      <c r="BA505" s="192"/>
      <c r="BB505" s="192"/>
      <c r="BC505" s="192"/>
    </row>
    <row r="506" spans="42:55" ht="21.75">
      <c r="AP506" s="33"/>
      <c r="AQ506" s="33"/>
      <c r="AR506" s="33"/>
      <c r="AS506" s="33"/>
      <c r="AT506" s="33"/>
      <c r="AU506" s="33"/>
      <c r="AV506" s="33"/>
      <c r="AW506" s="33"/>
      <c r="AX506" s="33"/>
      <c r="AY506" s="33"/>
      <c r="AZ506" s="192"/>
      <c r="BA506" s="192"/>
      <c r="BB506" s="192"/>
      <c r="BC506" s="192"/>
    </row>
    <row r="507" spans="42:55" ht="21.75">
      <c r="AP507" s="33"/>
      <c r="AQ507" s="33"/>
      <c r="AR507" s="33"/>
      <c r="AS507" s="33"/>
      <c r="AT507" s="33"/>
      <c r="AU507" s="33"/>
      <c r="AV507" s="33"/>
      <c r="AW507" s="33"/>
      <c r="AX507" s="33"/>
      <c r="AY507" s="33"/>
      <c r="AZ507" s="192"/>
      <c r="BA507" s="192"/>
      <c r="BB507" s="192"/>
      <c r="BC507" s="192"/>
    </row>
    <row r="508" spans="42:55" ht="21.75">
      <c r="AP508" s="33"/>
      <c r="AQ508" s="33"/>
      <c r="AR508" s="33"/>
      <c r="AS508" s="33"/>
      <c r="AT508" s="33"/>
      <c r="AU508" s="33"/>
      <c r="AV508" s="33"/>
      <c r="AW508" s="33"/>
      <c r="AX508" s="33"/>
      <c r="AY508" s="33"/>
      <c r="AZ508" s="192"/>
      <c r="BA508" s="192"/>
      <c r="BB508" s="192"/>
      <c r="BC508" s="192"/>
    </row>
    <row r="509" spans="42:55" ht="21.75">
      <c r="AP509" s="33"/>
      <c r="AQ509" s="33"/>
      <c r="AR509" s="33"/>
      <c r="AS509" s="33"/>
      <c r="AT509" s="33"/>
      <c r="AU509" s="33"/>
      <c r="AV509" s="33"/>
      <c r="AW509" s="33"/>
      <c r="AX509" s="33"/>
      <c r="AY509" s="33"/>
      <c r="AZ509" s="192"/>
      <c r="BA509" s="192"/>
      <c r="BB509" s="192"/>
      <c r="BC509" s="192"/>
    </row>
    <row r="510" spans="42:55" ht="21.75">
      <c r="AP510" s="33"/>
      <c r="AQ510" s="33"/>
      <c r="AR510" s="33"/>
      <c r="AS510" s="33"/>
      <c r="AT510" s="33"/>
      <c r="AU510" s="33"/>
      <c r="AV510" s="33"/>
      <c r="AW510" s="33"/>
      <c r="AX510" s="33"/>
      <c r="AY510" s="33"/>
      <c r="AZ510" s="192"/>
      <c r="BA510" s="192"/>
      <c r="BB510" s="192"/>
      <c r="BC510" s="192"/>
    </row>
    <row r="511" spans="42:55" ht="21.75">
      <c r="AP511" s="33"/>
      <c r="AQ511" s="33"/>
      <c r="AR511" s="33"/>
      <c r="AS511" s="33"/>
      <c r="AT511" s="33"/>
      <c r="AU511" s="33"/>
      <c r="AV511" s="33"/>
      <c r="AW511" s="33"/>
      <c r="AX511" s="33"/>
      <c r="AY511" s="33"/>
      <c r="AZ511" s="192"/>
      <c r="BA511" s="192"/>
      <c r="BB511" s="192"/>
      <c r="BC511" s="192"/>
    </row>
    <row r="512" spans="42:55" ht="21.75">
      <c r="AP512" s="33"/>
      <c r="AQ512" s="33"/>
      <c r="AR512" s="33"/>
      <c r="AS512" s="33"/>
      <c r="AT512" s="33"/>
      <c r="AU512" s="33"/>
      <c r="AV512" s="33"/>
      <c r="AW512" s="33"/>
      <c r="AX512" s="33"/>
      <c r="AY512" s="33"/>
      <c r="AZ512" s="192"/>
      <c r="BA512" s="192"/>
      <c r="BB512" s="192"/>
      <c r="BC512" s="192"/>
    </row>
    <row r="513" spans="42:55" ht="21.75">
      <c r="AP513" s="33"/>
      <c r="AQ513" s="33"/>
      <c r="AR513" s="33"/>
      <c r="AS513" s="33"/>
      <c r="AT513" s="33"/>
      <c r="AU513" s="33"/>
      <c r="AV513" s="33"/>
      <c r="AW513" s="33"/>
      <c r="AX513" s="33"/>
      <c r="AY513" s="33"/>
      <c r="AZ513" s="192"/>
      <c r="BA513" s="192"/>
      <c r="BB513" s="192"/>
      <c r="BC513" s="192"/>
    </row>
    <row r="514" spans="42:55" ht="21.75">
      <c r="AP514" s="33"/>
      <c r="AQ514" s="33"/>
      <c r="AR514" s="33"/>
      <c r="AS514" s="33"/>
      <c r="AT514" s="33"/>
      <c r="AU514" s="33"/>
      <c r="AV514" s="33"/>
      <c r="AW514" s="33"/>
      <c r="AX514" s="33"/>
      <c r="AY514" s="33"/>
      <c r="AZ514" s="192"/>
      <c r="BA514" s="192"/>
      <c r="BB514" s="192"/>
      <c r="BC514" s="192"/>
    </row>
    <row r="515" spans="42:55" ht="21.75">
      <c r="AP515" s="33"/>
      <c r="AQ515" s="33"/>
      <c r="AR515" s="33"/>
      <c r="AS515" s="33"/>
      <c r="AT515" s="33"/>
      <c r="AU515" s="33"/>
      <c r="AV515" s="33"/>
      <c r="AW515" s="33"/>
      <c r="AX515" s="33"/>
      <c r="AY515" s="33"/>
      <c r="AZ515" s="192"/>
      <c r="BA515" s="192"/>
      <c r="BB515" s="192"/>
      <c r="BC515" s="192"/>
    </row>
    <row r="516" spans="42:55" ht="21.75">
      <c r="AP516" s="33"/>
      <c r="AQ516" s="33"/>
      <c r="AR516" s="33"/>
      <c r="AS516" s="33"/>
      <c r="AT516" s="33"/>
      <c r="AU516" s="33"/>
      <c r="AV516" s="33"/>
      <c r="AW516" s="33"/>
      <c r="AX516" s="33"/>
      <c r="AY516" s="33"/>
      <c r="AZ516" s="192"/>
      <c r="BA516" s="192"/>
      <c r="BB516" s="192"/>
      <c r="BC516" s="192"/>
    </row>
    <row r="517" spans="42:55" ht="21.75">
      <c r="AP517" s="33"/>
      <c r="AQ517" s="33"/>
      <c r="AR517" s="33"/>
      <c r="AS517" s="33"/>
      <c r="AT517" s="33"/>
      <c r="AU517" s="33"/>
      <c r="AV517" s="33"/>
      <c r="AW517" s="33"/>
      <c r="AX517" s="33"/>
      <c r="AY517" s="33"/>
      <c r="AZ517" s="192"/>
      <c r="BA517" s="192"/>
      <c r="BB517" s="192"/>
      <c r="BC517" s="192"/>
    </row>
    <row r="518" spans="42:55" ht="21.75">
      <c r="AP518" s="33"/>
      <c r="AQ518" s="33"/>
      <c r="AR518" s="33"/>
      <c r="AS518" s="33"/>
      <c r="AT518" s="33"/>
      <c r="AU518" s="33"/>
      <c r="AV518" s="33"/>
      <c r="AW518" s="33"/>
      <c r="AX518" s="33"/>
      <c r="AY518" s="33"/>
      <c r="AZ518" s="192"/>
      <c r="BA518" s="192"/>
      <c r="BB518" s="192"/>
      <c r="BC518" s="192"/>
    </row>
    <row r="519" spans="42:55" ht="21.75">
      <c r="AP519" s="33"/>
      <c r="AQ519" s="33"/>
      <c r="AR519" s="33"/>
      <c r="AS519" s="33"/>
      <c r="AT519" s="33"/>
      <c r="AU519" s="33"/>
      <c r="AV519" s="33"/>
      <c r="AW519" s="33"/>
      <c r="AX519" s="33"/>
      <c r="AY519" s="33"/>
      <c r="AZ519" s="192"/>
      <c r="BA519" s="192"/>
      <c r="BB519" s="192"/>
      <c r="BC519" s="192"/>
    </row>
    <row r="520" spans="42:55" ht="21.75">
      <c r="AP520" s="33"/>
      <c r="AQ520" s="33"/>
      <c r="AR520" s="33"/>
      <c r="AS520" s="33"/>
      <c r="AT520" s="33"/>
      <c r="AU520" s="33"/>
      <c r="AV520" s="33"/>
      <c r="AW520" s="33"/>
      <c r="AX520" s="33"/>
      <c r="AY520" s="33"/>
      <c r="AZ520" s="192"/>
      <c r="BA520" s="192"/>
      <c r="BB520" s="192"/>
      <c r="BC520" s="192"/>
    </row>
    <row r="521" spans="42:55" ht="21.75">
      <c r="AP521" s="33"/>
      <c r="AQ521" s="33"/>
      <c r="AR521" s="33"/>
      <c r="AS521" s="33"/>
      <c r="AT521" s="33"/>
      <c r="AU521" s="33"/>
      <c r="AV521" s="33"/>
      <c r="AW521" s="33"/>
      <c r="AX521" s="33"/>
      <c r="AY521" s="33"/>
      <c r="AZ521" s="192"/>
      <c r="BA521" s="192"/>
      <c r="BB521" s="192"/>
      <c r="BC521" s="192"/>
    </row>
    <row r="522" spans="42:55" ht="21.75">
      <c r="AP522" s="33"/>
      <c r="AQ522" s="33"/>
      <c r="AR522" s="33"/>
      <c r="AS522" s="33"/>
      <c r="AT522" s="33"/>
      <c r="AU522" s="33"/>
      <c r="AV522" s="33"/>
      <c r="AW522" s="33"/>
      <c r="AX522" s="33"/>
      <c r="AY522" s="33"/>
      <c r="AZ522" s="192"/>
      <c r="BA522" s="192"/>
      <c r="BB522" s="192"/>
      <c r="BC522" s="192"/>
    </row>
    <row r="523" spans="42:55" ht="21.75">
      <c r="AP523" s="33"/>
      <c r="AQ523" s="33"/>
      <c r="AR523" s="33"/>
      <c r="AS523" s="33"/>
      <c r="AT523" s="33"/>
      <c r="AU523" s="33"/>
      <c r="AV523" s="33"/>
      <c r="AW523" s="33"/>
      <c r="AX523" s="33"/>
      <c r="AY523" s="33"/>
      <c r="AZ523" s="192"/>
      <c r="BA523" s="192"/>
      <c r="BB523" s="192"/>
      <c r="BC523" s="192"/>
    </row>
    <row r="524" spans="42:55" ht="21.75">
      <c r="AP524" s="33"/>
      <c r="AQ524" s="33"/>
      <c r="AR524" s="33"/>
      <c r="AS524" s="33"/>
      <c r="AT524" s="33"/>
      <c r="AU524" s="33"/>
      <c r="AV524" s="33"/>
      <c r="AW524" s="33"/>
      <c r="AX524" s="33"/>
      <c r="AY524" s="33"/>
      <c r="AZ524" s="192"/>
      <c r="BA524" s="192"/>
      <c r="BB524" s="192"/>
      <c r="BC524" s="192"/>
    </row>
    <row r="525" spans="42:55" ht="21.75">
      <c r="AP525" s="33"/>
      <c r="AQ525" s="33"/>
      <c r="AR525" s="33"/>
      <c r="AS525" s="33"/>
      <c r="AT525" s="33"/>
      <c r="AU525" s="33"/>
      <c r="AV525" s="33"/>
      <c r="AW525" s="33"/>
      <c r="AX525" s="33"/>
      <c r="AY525" s="33"/>
      <c r="AZ525" s="192"/>
      <c r="BA525" s="192"/>
      <c r="BB525" s="192"/>
      <c r="BC525" s="192"/>
    </row>
    <row r="526" spans="42:55" ht="21.75">
      <c r="AP526" s="33"/>
      <c r="AQ526" s="33"/>
      <c r="AR526" s="33"/>
      <c r="AS526" s="33"/>
      <c r="AT526" s="33"/>
      <c r="AU526" s="33"/>
      <c r="AV526" s="33"/>
      <c r="AW526" s="33"/>
      <c r="AX526" s="33"/>
      <c r="AY526" s="33"/>
      <c r="AZ526" s="192"/>
      <c r="BA526" s="192"/>
      <c r="BB526" s="192"/>
      <c r="BC526" s="192"/>
    </row>
    <row r="527" spans="42:55" ht="21.75">
      <c r="AP527" s="33"/>
      <c r="AQ527" s="33"/>
      <c r="AR527" s="33"/>
      <c r="AS527" s="33"/>
      <c r="AT527" s="33"/>
      <c r="AU527" s="33"/>
      <c r="AV527" s="33"/>
      <c r="AW527" s="33"/>
      <c r="AX527" s="33"/>
      <c r="AY527" s="33"/>
      <c r="AZ527" s="192"/>
      <c r="BA527" s="192"/>
      <c r="BB527" s="192"/>
      <c r="BC527" s="192"/>
    </row>
    <row r="528" spans="42:55" ht="21.75">
      <c r="AP528" s="33"/>
      <c r="AQ528" s="33"/>
      <c r="AR528" s="33"/>
      <c r="AS528" s="33"/>
      <c r="AT528" s="33"/>
      <c r="AU528" s="33"/>
      <c r="AV528" s="33"/>
      <c r="AW528" s="33"/>
      <c r="AX528" s="33"/>
      <c r="AY528" s="33"/>
      <c r="AZ528" s="192"/>
      <c r="BA528" s="192"/>
      <c r="BB528" s="192"/>
      <c r="BC528" s="192"/>
    </row>
    <row r="529" spans="42:55" ht="21.75">
      <c r="AP529" s="33"/>
      <c r="AQ529" s="33"/>
      <c r="AR529" s="33"/>
      <c r="AS529" s="33"/>
      <c r="AT529" s="33"/>
      <c r="AU529" s="33"/>
      <c r="AV529" s="33"/>
      <c r="AW529" s="33"/>
      <c r="AX529" s="33"/>
      <c r="AY529" s="33"/>
      <c r="AZ529" s="192"/>
      <c r="BA529" s="192"/>
      <c r="BB529" s="192"/>
      <c r="BC529" s="192"/>
    </row>
    <row r="530" spans="42:55" ht="21.75">
      <c r="AP530" s="33"/>
      <c r="AQ530" s="33"/>
      <c r="AR530" s="33"/>
      <c r="AS530" s="33"/>
      <c r="AT530" s="33"/>
      <c r="AU530" s="33"/>
      <c r="AV530" s="33"/>
      <c r="AW530" s="33"/>
      <c r="AX530" s="33"/>
      <c r="AY530" s="33"/>
      <c r="AZ530" s="192"/>
      <c r="BA530" s="192"/>
      <c r="BB530" s="192"/>
      <c r="BC530" s="192"/>
    </row>
    <row r="531" spans="42:55" ht="21.75">
      <c r="AP531" s="33"/>
      <c r="AQ531" s="33"/>
      <c r="AR531" s="33"/>
      <c r="AS531" s="33"/>
      <c r="AT531" s="33"/>
      <c r="AU531" s="33"/>
      <c r="AV531" s="33"/>
      <c r="AW531" s="33"/>
      <c r="AX531" s="33"/>
      <c r="AY531" s="33"/>
      <c r="AZ531" s="192"/>
      <c r="BA531" s="192"/>
      <c r="BB531" s="192"/>
      <c r="BC531" s="192"/>
    </row>
    <row r="532" spans="42:55" ht="21.75">
      <c r="AP532" s="33"/>
      <c r="AQ532" s="33"/>
      <c r="AR532" s="33"/>
      <c r="AS532" s="33"/>
      <c r="AT532" s="33"/>
      <c r="AU532" s="33"/>
      <c r="AV532" s="33"/>
      <c r="AW532" s="33"/>
      <c r="AX532" s="33"/>
      <c r="AY532" s="33"/>
      <c r="AZ532" s="192"/>
      <c r="BA532" s="192"/>
      <c r="BB532" s="192"/>
      <c r="BC532" s="192"/>
    </row>
    <row r="533" spans="42:55" ht="21.75">
      <c r="AP533" s="33"/>
      <c r="AQ533" s="33"/>
      <c r="AR533" s="33"/>
      <c r="AS533" s="33"/>
      <c r="AT533" s="33"/>
      <c r="AU533" s="33"/>
      <c r="AV533" s="33"/>
      <c r="AW533" s="33"/>
      <c r="AX533" s="33"/>
      <c r="AY533" s="33"/>
      <c r="AZ533" s="192"/>
      <c r="BA533" s="192"/>
      <c r="BB533" s="192"/>
      <c r="BC533" s="192"/>
    </row>
    <row r="534" spans="42:55" ht="21.75">
      <c r="AP534" s="33"/>
      <c r="AQ534" s="33"/>
      <c r="AR534" s="33"/>
      <c r="AS534" s="33"/>
      <c r="AT534" s="33"/>
      <c r="AU534" s="33"/>
      <c r="AV534" s="33"/>
      <c r="AW534" s="33"/>
      <c r="AX534" s="33"/>
      <c r="AY534" s="33"/>
      <c r="AZ534" s="192"/>
      <c r="BA534" s="192"/>
      <c r="BB534" s="192"/>
      <c r="BC534" s="192"/>
    </row>
    <row r="535" spans="42:55" ht="21.75">
      <c r="AP535" s="33"/>
      <c r="AQ535" s="33"/>
      <c r="AR535" s="33"/>
      <c r="AS535" s="33"/>
      <c r="AT535" s="33"/>
      <c r="AU535" s="33"/>
      <c r="AV535" s="33"/>
      <c r="AW535" s="33"/>
      <c r="AX535" s="33"/>
      <c r="AY535" s="33"/>
      <c r="AZ535" s="192"/>
      <c r="BA535" s="192"/>
      <c r="BB535" s="192"/>
      <c r="BC535" s="192"/>
    </row>
    <row r="536" spans="42:55" ht="21.75">
      <c r="AP536" s="33"/>
      <c r="AQ536" s="33"/>
      <c r="AR536" s="33"/>
      <c r="AS536" s="33"/>
      <c r="AT536" s="33"/>
      <c r="AU536" s="33"/>
      <c r="AV536" s="33"/>
      <c r="AW536" s="33"/>
      <c r="AX536" s="33"/>
      <c r="AY536" s="33"/>
      <c r="AZ536" s="192"/>
      <c r="BA536" s="192"/>
      <c r="BB536" s="192"/>
      <c r="BC536" s="192"/>
    </row>
    <row r="537" spans="42:55" ht="21.75">
      <c r="AP537" s="33"/>
      <c r="AQ537" s="33"/>
      <c r="AR537" s="33"/>
      <c r="AS537" s="33"/>
      <c r="AT537" s="33"/>
      <c r="AU537" s="33"/>
      <c r="AV537" s="33"/>
      <c r="AW537" s="33"/>
      <c r="AX537" s="33"/>
      <c r="AY537" s="33"/>
      <c r="AZ537" s="192"/>
      <c r="BA537" s="192"/>
      <c r="BB537" s="192"/>
      <c r="BC537" s="192"/>
    </row>
    <row r="538" spans="42:55" ht="21.75">
      <c r="AP538" s="33"/>
      <c r="AQ538" s="33"/>
      <c r="AR538" s="33"/>
      <c r="AS538" s="33"/>
      <c r="AT538" s="33"/>
      <c r="AU538" s="33"/>
      <c r="AV538" s="33"/>
      <c r="AW538" s="33"/>
      <c r="AX538" s="33"/>
      <c r="AY538" s="33"/>
      <c r="AZ538" s="192"/>
      <c r="BA538" s="192"/>
      <c r="BB538" s="192"/>
      <c r="BC538" s="192"/>
    </row>
    <row r="539" spans="42:55" ht="21.75">
      <c r="AP539" s="33"/>
      <c r="AQ539" s="33"/>
      <c r="AR539" s="33"/>
      <c r="AS539" s="33"/>
      <c r="AT539" s="33"/>
      <c r="AU539" s="33"/>
      <c r="AV539" s="33"/>
      <c r="AW539" s="33"/>
      <c r="AX539" s="33"/>
      <c r="AY539" s="33"/>
      <c r="AZ539" s="192"/>
      <c r="BA539" s="192"/>
      <c r="BB539" s="192"/>
      <c r="BC539" s="192"/>
    </row>
    <row r="540" spans="42:55" ht="21.75">
      <c r="AP540" s="33"/>
      <c r="AQ540" s="33"/>
      <c r="AR540" s="33"/>
      <c r="AS540" s="33"/>
      <c r="AT540" s="33"/>
      <c r="AU540" s="33"/>
      <c r="AV540" s="33"/>
      <c r="AW540" s="33"/>
      <c r="AX540" s="33"/>
      <c r="AY540" s="33"/>
      <c r="AZ540" s="192"/>
      <c r="BA540" s="192"/>
      <c r="BB540" s="192"/>
      <c r="BC540" s="192"/>
    </row>
    <row r="541" spans="42:55" ht="21.75">
      <c r="AP541" s="33"/>
      <c r="AQ541" s="33"/>
      <c r="AR541" s="33"/>
      <c r="AS541" s="33"/>
      <c r="AT541" s="33"/>
      <c r="AU541" s="33"/>
      <c r="AV541" s="33"/>
      <c r="AW541" s="33"/>
      <c r="AX541" s="33"/>
      <c r="AY541" s="33"/>
      <c r="AZ541" s="192"/>
      <c r="BA541" s="192"/>
      <c r="BB541" s="192"/>
      <c r="BC541" s="192"/>
    </row>
    <row r="542" spans="42:55" ht="21.75">
      <c r="AP542" s="33"/>
      <c r="AQ542" s="33"/>
      <c r="AR542" s="33"/>
      <c r="AS542" s="33"/>
      <c r="AT542" s="33"/>
      <c r="AU542" s="33"/>
      <c r="AV542" s="33"/>
      <c r="AW542" s="33"/>
      <c r="AX542" s="33"/>
      <c r="AY542" s="33"/>
      <c r="AZ542" s="192"/>
      <c r="BA542" s="192"/>
      <c r="BB542" s="192"/>
      <c r="BC542" s="192"/>
    </row>
    <row r="543" spans="42:55" ht="21.75">
      <c r="AP543" s="33"/>
      <c r="AQ543" s="33"/>
      <c r="AR543" s="33"/>
      <c r="AS543" s="33"/>
      <c r="AT543" s="33"/>
      <c r="AU543" s="33"/>
      <c r="AV543" s="33"/>
      <c r="AW543" s="33"/>
      <c r="AX543" s="33"/>
      <c r="AY543" s="33"/>
      <c r="AZ543" s="192"/>
      <c r="BA543" s="192"/>
      <c r="BB543" s="192"/>
      <c r="BC543" s="192"/>
    </row>
    <row r="544" spans="42:55" ht="21.75">
      <c r="AP544" s="33"/>
      <c r="AQ544" s="33"/>
      <c r="AR544" s="33"/>
      <c r="AS544" s="33"/>
      <c r="AT544" s="33"/>
      <c r="AU544" s="33"/>
      <c r="AV544" s="33"/>
      <c r="AW544" s="33"/>
      <c r="AX544" s="33"/>
      <c r="AY544" s="33"/>
      <c r="AZ544" s="192"/>
      <c r="BA544" s="192"/>
      <c r="BB544" s="192"/>
      <c r="BC544" s="192"/>
    </row>
    <row r="545" spans="42:55" ht="21.75">
      <c r="AP545" s="33"/>
      <c r="AQ545" s="33"/>
      <c r="AR545" s="33"/>
      <c r="AS545" s="33"/>
      <c r="AT545" s="33"/>
      <c r="AU545" s="33"/>
      <c r="AV545" s="33"/>
      <c r="AW545" s="33"/>
      <c r="AX545" s="33"/>
      <c r="AY545" s="33"/>
      <c r="AZ545" s="192"/>
      <c r="BA545" s="192"/>
      <c r="BB545" s="192"/>
      <c r="BC545" s="192"/>
    </row>
    <row r="546" spans="42:55" ht="21.75">
      <c r="AP546" s="33"/>
      <c r="AQ546" s="33"/>
      <c r="AR546" s="33"/>
      <c r="AS546" s="33"/>
      <c r="AT546" s="33"/>
      <c r="AU546" s="33"/>
      <c r="AV546" s="33"/>
      <c r="AW546" s="33"/>
      <c r="AX546" s="33"/>
      <c r="AY546" s="33"/>
      <c r="AZ546" s="192"/>
      <c r="BA546" s="192"/>
      <c r="BB546" s="192"/>
      <c r="BC546" s="192"/>
    </row>
    <row r="547" spans="42:55" ht="21.75">
      <c r="AP547" s="33"/>
      <c r="AQ547" s="33"/>
      <c r="AR547" s="33"/>
      <c r="AS547" s="33"/>
      <c r="AT547" s="33"/>
      <c r="AU547" s="33"/>
      <c r="AV547" s="33"/>
      <c r="AW547" s="33"/>
      <c r="AX547" s="33"/>
      <c r="AY547" s="33"/>
      <c r="AZ547" s="192"/>
      <c r="BA547" s="192"/>
      <c r="BB547" s="192"/>
      <c r="BC547" s="192"/>
    </row>
    <row r="548" spans="42:55" ht="21.75">
      <c r="AP548" s="33"/>
      <c r="AQ548" s="33"/>
      <c r="AR548" s="33"/>
      <c r="AS548" s="33"/>
      <c r="AT548" s="33"/>
      <c r="AU548" s="33"/>
      <c r="AV548" s="33"/>
      <c r="AW548" s="33"/>
      <c r="AX548" s="33"/>
      <c r="AY548" s="33"/>
      <c r="AZ548" s="192"/>
      <c r="BA548" s="192"/>
      <c r="BB548" s="192"/>
      <c r="BC548" s="192"/>
    </row>
    <row r="549" spans="42:55" ht="21.75">
      <c r="AP549" s="33"/>
      <c r="AQ549" s="33"/>
      <c r="AR549" s="33"/>
      <c r="AS549" s="33"/>
      <c r="AT549" s="33"/>
      <c r="AU549" s="33"/>
      <c r="AV549" s="33"/>
      <c r="AW549" s="33"/>
      <c r="AX549" s="33"/>
      <c r="AY549" s="33"/>
      <c r="AZ549" s="192"/>
      <c r="BA549" s="192"/>
      <c r="BB549" s="192"/>
      <c r="BC549" s="192"/>
    </row>
    <row r="550" spans="42:55" ht="21.75">
      <c r="AP550" s="33"/>
      <c r="AQ550" s="33"/>
      <c r="AR550" s="33"/>
      <c r="AS550" s="33"/>
      <c r="AT550" s="33"/>
      <c r="AU550" s="33"/>
      <c r="AV550" s="33"/>
      <c r="AW550" s="33"/>
      <c r="AX550" s="33"/>
      <c r="AY550" s="33"/>
      <c r="AZ550" s="192"/>
      <c r="BA550" s="192"/>
      <c r="BB550" s="192"/>
      <c r="BC550" s="192"/>
    </row>
    <row r="551" spans="42:55" ht="21.75">
      <c r="AP551" s="33"/>
      <c r="AQ551" s="33"/>
      <c r="AR551" s="33"/>
      <c r="AS551" s="33"/>
      <c r="AT551" s="33"/>
      <c r="AU551" s="33"/>
      <c r="AV551" s="33"/>
      <c r="AW551" s="33"/>
      <c r="AX551" s="33"/>
      <c r="AY551" s="33"/>
      <c r="AZ551" s="192"/>
      <c r="BA551" s="192"/>
      <c r="BB551" s="192"/>
      <c r="BC551" s="192"/>
    </row>
    <row r="552" spans="42:55" ht="21.75">
      <c r="AP552" s="33"/>
      <c r="AQ552" s="33"/>
      <c r="AR552" s="33"/>
      <c r="AS552" s="33"/>
      <c r="AT552" s="33"/>
      <c r="AU552" s="33"/>
      <c r="AV552" s="33"/>
      <c r="AW552" s="33"/>
      <c r="AX552" s="33"/>
      <c r="AY552" s="33"/>
      <c r="AZ552" s="192"/>
      <c r="BA552" s="192"/>
      <c r="BB552" s="192"/>
      <c r="BC552" s="192"/>
    </row>
    <row r="553" spans="42:55" ht="21.75">
      <c r="AP553" s="33"/>
      <c r="AQ553" s="33"/>
      <c r="AR553" s="33"/>
      <c r="AS553" s="33"/>
      <c r="AT553" s="33"/>
      <c r="AU553" s="33"/>
      <c r="AV553" s="33"/>
      <c r="AW553" s="33"/>
      <c r="AX553" s="33"/>
      <c r="AY553" s="33"/>
      <c r="AZ553" s="192"/>
      <c r="BA553" s="192"/>
      <c r="BB553" s="192"/>
      <c r="BC553" s="192"/>
    </row>
    <row r="554" spans="42:55">
      <c r="AP554" s="33"/>
      <c r="AQ554" s="33"/>
      <c r="AR554" s="33"/>
      <c r="AS554" s="33"/>
      <c r="AT554" s="33"/>
      <c r="AU554" s="33"/>
      <c r="AV554" s="33"/>
      <c r="AW554" s="33"/>
      <c r="AX554" s="33"/>
      <c r="AY554" s="33"/>
      <c r="AZ554" s="33"/>
      <c r="BA554" s="33"/>
      <c r="BB554" s="33"/>
      <c r="BC554" s="33"/>
    </row>
    <row r="555" spans="42:55">
      <c r="AP555" s="33"/>
      <c r="AQ555" s="33"/>
      <c r="AR555" s="33"/>
      <c r="AS555" s="33"/>
      <c r="AT555" s="33"/>
      <c r="AU555" s="33"/>
      <c r="AV555" s="33"/>
      <c r="AW555" s="33"/>
      <c r="AX555" s="33"/>
      <c r="AY555" s="33"/>
      <c r="AZ555" s="33"/>
      <c r="BA555" s="33"/>
      <c r="BB555" s="33"/>
      <c r="BC555" s="33"/>
    </row>
    <row r="556" spans="42:55">
      <c r="AP556" s="33"/>
      <c r="AQ556" s="33"/>
      <c r="AR556" s="33"/>
      <c r="AS556" s="33"/>
      <c r="AT556" s="33"/>
      <c r="AU556" s="33"/>
      <c r="AV556" s="33"/>
      <c r="AW556" s="33"/>
      <c r="AX556" s="33"/>
      <c r="AY556" s="33"/>
      <c r="AZ556" s="33"/>
      <c r="BA556" s="33"/>
      <c r="BB556" s="33"/>
      <c r="BC556" s="33"/>
    </row>
    <row r="557" spans="42:55">
      <c r="AP557" s="33"/>
      <c r="AQ557" s="33"/>
      <c r="AR557" s="33"/>
      <c r="AS557" s="33"/>
      <c r="AT557" s="33"/>
      <c r="AU557" s="33"/>
      <c r="AV557" s="33"/>
      <c r="AW557" s="33"/>
      <c r="AX557" s="33"/>
      <c r="AY557" s="33"/>
      <c r="AZ557" s="33"/>
      <c r="BA557" s="33"/>
      <c r="BB557" s="33"/>
      <c r="BC557" s="33"/>
    </row>
    <row r="558" spans="42:55">
      <c r="AP558" s="33"/>
      <c r="AQ558" s="33"/>
      <c r="AR558" s="33"/>
      <c r="AS558" s="33"/>
      <c r="AT558" s="33"/>
      <c r="AU558" s="33"/>
      <c r="AV558" s="33"/>
      <c r="AW558" s="33"/>
      <c r="AX558" s="33"/>
      <c r="AY558" s="33"/>
      <c r="AZ558" s="33"/>
      <c r="BA558" s="33"/>
      <c r="BB558" s="33"/>
      <c r="BC558" s="33"/>
    </row>
    <row r="559" spans="42:55">
      <c r="AP559" s="33"/>
      <c r="AQ559" s="33"/>
      <c r="AR559" s="33"/>
      <c r="AS559" s="33"/>
      <c r="AT559" s="33"/>
      <c r="AU559" s="33"/>
      <c r="AV559" s="33"/>
      <c r="AW559" s="33"/>
      <c r="AX559" s="33"/>
      <c r="AY559" s="33"/>
      <c r="AZ559" s="33"/>
      <c r="BA559" s="33"/>
      <c r="BB559" s="33"/>
      <c r="BC559" s="33"/>
    </row>
    <row r="560" spans="42:55" ht="21.75">
      <c r="AP560" s="33"/>
      <c r="AQ560" s="33"/>
      <c r="AR560" s="33"/>
      <c r="AS560" s="33"/>
      <c r="AT560" s="33"/>
      <c r="AU560" s="33"/>
      <c r="AV560" s="33"/>
      <c r="AW560" s="33"/>
      <c r="AX560" s="33"/>
      <c r="AY560" s="33"/>
      <c r="AZ560" s="192"/>
      <c r="BA560" s="192"/>
      <c r="BB560" s="192"/>
      <c r="BC560" s="192"/>
    </row>
    <row r="561" spans="42:55" ht="21.75">
      <c r="AP561" s="33"/>
      <c r="AQ561" s="33"/>
      <c r="AR561" s="33"/>
      <c r="AS561" s="33"/>
      <c r="AT561" s="33"/>
      <c r="AU561" s="33"/>
      <c r="AV561" s="33"/>
      <c r="AW561" s="33"/>
      <c r="AX561" s="33"/>
      <c r="AY561" s="33"/>
      <c r="AZ561" s="192"/>
      <c r="BA561" s="192"/>
      <c r="BB561" s="192"/>
      <c r="BC561" s="192"/>
    </row>
    <row r="562" spans="42:55" ht="21.75">
      <c r="AP562" s="33"/>
      <c r="AQ562" s="33"/>
      <c r="AR562" s="33"/>
      <c r="AS562" s="33"/>
      <c r="AT562" s="33"/>
      <c r="AU562" s="33"/>
      <c r="AV562" s="33"/>
      <c r="AW562" s="33"/>
      <c r="AX562" s="33"/>
      <c r="AY562" s="33"/>
      <c r="AZ562" s="192"/>
      <c r="BA562" s="192"/>
      <c r="BB562" s="192"/>
      <c r="BC562" s="192"/>
    </row>
    <row r="563" spans="42:55" ht="21.75">
      <c r="AP563" s="33"/>
      <c r="AQ563" s="33"/>
      <c r="AR563" s="33"/>
      <c r="AS563" s="33"/>
      <c r="AT563" s="33"/>
      <c r="AU563" s="33"/>
      <c r="AV563" s="33"/>
      <c r="AW563" s="33"/>
      <c r="AX563" s="33"/>
      <c r="AY563" s="33"/>
      <c r="AZ563" s="192"/>
      <c r="BA563" s="192"/>
      <c r="BB563" s="192"/>
      <c r="BC563" s="192"/>
    </row>
    <row r="564" spans="42:55" ht="21.75">
      <c r="AP564" s="33"/>
      <c r="AQ564" s="33"/>
      <c r="AR564" s="33"/>
      <c r="AS564" s="33"/>
      <c r="AT564" s="33"/>
      <c r="AU564" s="33"/>
      <c r="AV564" s="33"/>
      <c r="AW564" s="33"/>
      <c r="AX564" s="33"/>
      <c r="AY564" s="33"/>
      <c r="AZ564" s="192"/>
      <c r="BA564" s="192"/>
      <c r="BB564" s="192"/>
      <c r="BC564" s="192"/>
    </row>
    <row r="565" spans="42:55" ht="21.75">
      <c r="AP565" s="33"/>
      <c r="AQ565" s="33"/>
      <c r="AR565" s="33"/>
      <c r="AS565" s="33"/>
      <c r="AT565" s="33"/>
      <c r="AU565" s="33"/>
      <c r="AV565" s="33"/>
      <c r="AW565" s="33"/>
      <c r="AX565" s="33"/>
      <c r="AY565" s="33"/>
      <c r="AZ565" s="192"/>
      <c r="BA565" s="192"/>
      <c r="BB565" s="192"/>
      <c r="BC565" s="192"/>
    </row>
    <row r="566" spans="42:55" ht="21.75">
      <c r="AP566" s="33"/>
      <c r="AQ566" s="33"/>
      <c r="AR566" s="33"/>
      <c r="AS566" s="33"/>
      <c r="AT566" s="33"/>
      <c r="AU566" s="33"/>
      <c r="AV566" s="33"/>
      <c r="AW566" s="33"/>
      <c r="AX566" s="33"/>
      <c r="AY566" s="33"/>
      <c r="AZ566" s="192"/>
      <c r="BA566" s="192"/>
      <c r="BB566" s="192"/>
      <c r="BC566" s="192"/>
    </row>
    <row r="567" spans="42:55" ht="21.75">
      <c r="AP567" s="33"/>
      <c r="AQ567" s="33"/>
      <c r="AR567" s="33"/>
      <c r="AS567" s="33"/>
      <c r="AT567" s="33"/>
      <c r="AU567" s="33"/>
      <c r="AV567" s="33"/>
      <c r="AW567" s="33"/>
      <c r="AX567" s="33"/>
      <c r="AY567" s="33"/>
      <c r="AZ567" s="192"/>
      <c r="BA567" s="192"/>
      <c r="BB567" s="192"/>
      <c r="BC567" s="192"/>
    </row>
    <row r="568" spans="42:55" ht="21.75">
      <c r="AP568" s="33"/>
      <c r="AQ568" s="33"/>
      <c r="AR568" s="33"/>
      <c r="AS568" s="33"/>
      <c r="AT568" s="33"/>
      <c r="AU568" s="33"/>
      <c r="AV568" s="33"/>
      <c r="AW568" s="33"/>
      <c r="AX568" s="33"/>
      <c r="AY568" s="33"/>
      <c r="AZ568" s="192"/>
      <c r="BA568" s="192"/>
      <c r="BB568" s="192"/>
      <c r="BC568" s="192"/>
    </row>
    <row r="569" spans="42:55" ht="21.75">
      <c r="AP569" s="33"/>
      <c r="AQ569" s="33"/>
      <c r="AR569" s="33"/>
      <c r="AS569" s="33"/>
      <c r="AT569" s="33"/>
      <c r="AU569" s="33"/>
      <c r="AV569" s="33"/>
      <c r="AW569" s="33"/>
      <c r="AX569" s="33"/>
      <c r="AY569" s="33"/>
      <c r="AZ569" s="192"/>
      <c r="BA569" s="192"/>
      <c r="BB569" s="192"/>
      <c r="BC569" s="192"/>
    </row>
    <row r="570" spans="42:55" ht="21.75">
      <c r="AP570" s="33"/>
      <c r="AQ570" s="33"/>
      <c r="AR570" s="33"/>
      <c r="AS570" s="33"/>
      <c r="AT570" s="33"/>
      <c r="AU570" s="33"/>
      <c r="AV570" s="33"/>
      <c r="AW570" s="33"/>
      <c r="AX570" s="33"/>
      <c r="AY570" s="33"/>
      <c r="AZ570" s="192"/>
      <c r="BA570" s="192"/>
      <c r="BB570" s="192"/>
      <c r="BC570" s="192"/>
    </row>
    <row r="571" spans="42:55" ht="21.75">
      <c r="AP571" s="33"/>
      <c r="AQ571" s="33"/>
      <c r="AR571" s="33"/>
      <c r="AS571" s="33"/>
      <c r="AT571" s="33"/>
      <c r="AU571" s="33"/>
      <c r="AV571" s="33"/>
      <c r="AW571" s="33"/>
      <c r="AX571" s="33"/>
      <c r="AY571" s="33"/>
      <c r="AZ571" s="192"/>
      <c r="BA571" s="192"/>
      <c r="BB571" s="192"/>
      <c r="BC571" s="192"/>
    </row>
    <row r="572" spans="42:55" ht="21.75">
      <c r="AP572" s="33"/>
      <c r="AQ572" s="33"/>
      <c r="AR572" s="33"/>
      <c r="AS572" s="33"/>
      <c r="AT572" s="33"/>
      <c r="AU572" s="33"/>
      <c r="AV572" s="33"/>
      <c r="AW572" s="33"/>
      <c r="AX572" s="33"/>
      <c r="AY572" s="33"/>
      <c r="AZ572" s="192"/>
      <c r="BA572" s="192"/>
      <c r="BB572" s="192"/>
      <c r="BC572" s="192"/>
    </row>
    <row r="573" spans="42:55" ht="21.75">
      <c r="AP573" s="33"/>
      <c r="AQ573" s="33"/>
      <c r="AR573" s="33"/>
      <c r="AS573" s="33"/>
      <c r="AT573" s="33"/>
      <c r="AU573" s="33"/>
      <c r="AV573" s="33"/>
      <c r="AW573" s="33"/>
      <c r="AX573" s="33"/>
      <c r="AY573" s="33"/>
      <c r="AZ573" s="192"/>
      <c r="BA573" s="192"/>
      <c r="BB573" s="192"/>
      <c r="BC573" s="192"/>
    </row>
    <row r="574" spans="42:55" ht="21.75">
      <c r="AP574" s="33"/>
      <c r="AQ574" s="33"/>
      <c r="AR574" s="33"/>
      <c r="AS574" s="33"/>
      <c r="AT574" s="33"/>
      <c r="AU574" s="33"/>
      <c r="AV574" s="33"/>
      <c r="AW574" s="33"/>
      <c r="AX574" s="33"/>
      <c r="AY574" s="33"/>
      <c r="AZ574" s="192"/>
      <c r="BA574" s="192"/>
      <c r="BB574" s="192"/>
      <c r="BC574" s="192"/>
    </row>
    <row r="575" spans="42:55" ht="21.75">
      <c r="AP575" s="33"/>
      <c r="AQ575" s="33"/>
      <c r="AR575" s="33"/>
      <c r="AS575" s="33"/>
      <c r="AT575" s="33"/>
      <c r="AU575" s="33"/>
      <c r="AV575" s="33"/>
      <c r="AW575" s="33"/>
      <c r="AX575" s="33"/>
      <c r="AY575" s="33"/>
      <c r="AZ575" s="192"/>
      <c r="BA575" s="192"/>
      <c r="BB575" s="192"/>
      <c r="BC575" s="192"/>
    </row>
    <row r="576" spans="42:55" ht="21.75">
      <c r="AP576" s="33"/>
      <c r="AQ576" s="33"/>
      <c r="AR576" s="33"/>
      <c r="AS576" s="33"/>
      <c r="AT576" s="33"/>
      <c r="AU576" s="33"/>
      <c r="AV576" s="33"/>
      <c r="AW576" s="33"/>
      <c r="AX576" s="33"/>
      <c r="AY576" s="33"/>
      <c r="AZ576" s="192"/>
      <c r="BA576" s="192"/>
      <c r="BB576" s="192"/>
      <c r="BC576" s="192"/>
    </row>
    <row r="577" spans="42:55" ht="21.75">
      <c r="AP577" s="33"/>
      <c r="AQ577" s="33"/>
      <c r="AR577" s="33"/>
      <c r="AS577" s="33"/>
      <c r="AT577" s="33"/>
      <c r="AU577" s="33"/>
      <c r="AV577" s="33"/>
      <c r="AW577" s="33"/>
      <c r="AX577" s="33"/>
      <c r="AY577" s="33"/>
      <c r="AZ577" s="192"/>
      <c r="BA577" s="192"/>
      <c r="BB577" s="192"/>
      <c r="BC577" s="192"/>
    </row>
    <row r="578" spans="42:55" ht="21.75">
      <c r="AP578" s="33"/>
      <c r="AQ578" s="33"/>
      <c r="AR578" s="33"/>
      <c r="AS578" s="33"/>
      <c r="AT578" s="33"/>
      <c r="AU578" s="33"/>
      <c r="AV578" s="33"/>
      <c r="AW578" s="33"/>
      <c r="AX578" s="33"/>
      <c r="AY578" s="33"/>
      <c r="AZ578" s="192"/>
      <c r="BA578" s="192"/>
      <c r="BB578" s="192"/>
      <c r="BC578" s="192"/>
    </row>
    <row r="579" spans="42:55" ht="21.75">
      <c r="AP579" s="33"/>
      <c r="AQ579" s="33"/>
      <c r="AR579" s="33"/>
      <c r="AS579" s="33"/>
      <c r="AT579" s="33"/>
      <c r="AU579" s="33"/>
      <c r="AV579" s="33"/>
      <c r="AW579" s="33"/>
      <c r="AX579" s="33"/>
      <c r="AY579" s="33"/>
      <c r="AZ579" s="192"/>
      <c r="BA579" s="192"/>
      <c r="BB579" s="192"/>
      <c r="BC579" s="192"/>
    </row>
    <row r="580" spans="42:55" ht="21.75">
      <c r="AP580" s="33"/>
      <c r="AQ580" s="33"/>
      <c r="AR580" s="33"/>
      <c r="AS580" s="33"/>
      <c r="AT580" s="33"/>
      <c r="AU580" s="33"/>
      <c r="AV580" s="33"/>
      <c r="AW580" s="33"/>
      <c r="AX580" s="33"/>
      <c r="AY580" s="33"/>
      <c r="AZ580" s="192"/>
      <c r="BA580" s="192"/>
      <c r="BB580" s="192"/>
      <c r="BC580" s="192"/>
    </row>
    <row r="581" spans="42:55" ht="21.75">
      <c r="AP581" s="33"/>
      <c r="AQ581" s="33"/>
      <c r="AR581" s="33"/>
      <c r="AS581" s="33"/>
      <c r="AT581" s="33"/>
      <c r="AU581" s="33"/>
      <c r="AV581" s="33"/>
      <c r="AW581" s="33"/>
      <c r="AX581" s="33"/>
      <c r="AY581" s="33"/>
      <c r="AZ581" s="192"/>
      <c r="BA581" s="192"/>
      <c r="BB581" s="192"/>
      <c r="BC581" s="192"/>
    </row>
    <row r="582" spans="42:55" ht="21.75">
      <c r="AP582" s="33"/>
      <c r="AQ582" s="33"/>
      <c r="AR582" s="33"/>
      <c r="AS582" s="33"/>
      <c r="AT582" s="33"/>
      <c r="AU582" s="33"/>
      <c r="AV582" s="33"/>
      <c r="AW582" s="33"/>
      <c r="AX582" s="33"/>
      <c r="AY582" s="33"/>
      <c r="AZ582" s="192"/>
      <c r="BA582" s="192"/>
      <c r="BB582" s="192"/>
      <c r="BC582" s="192"/>
    </row>
    <row r="583" spans="42:55" ht="21.75">
      <c r="AP583" s="33"/>
      <c r="AQ583" s="33"/>
      <c r="AR583" s="33"/>
      <c r="AS583" s="33"/>
      <c r="AT583" s="33"/>
      <c r="AU583" s="33"/>
      <c r="AV583" s="33"/>
      <c r="AW583" s="33"/>
      <c r="AX583" s="33"/>
      <c r="AY583" s="33"/>
      <c r="AZ583" s="192"/>
      <c r="BA583" s="192"/>
      <c r="BB583" s="192"/>
      <c r="BC583" s="192"/>
    </row>
    <row r="584" spans="42:55" ht="21.75">
      <c r="AP584" s="33"/>
      <c r="AQ584" s="33"/>
      <c r="AR584" s="33"/>
      <c r="AS584" s="33"/>
      <c r="AT584" s="33"/>
      <c r="AU584" s="33"/>
      <c r="AV584" s="33"/>
      <c r="AW584" s="33"/>
      <c r="AX584" s="33"/>
      <c r="AY584" s="33"/>
      <c r="AZ584" s="192"/>
      <c r="BA584" s="192"/>
      <c r="BB584" s="192"/>
      <c r="BC584" s="192"/>
    </row>
    <row r="585" spans="42:55" ht="21.75">
      <c r="AP585" s="33"/>
      <c r="AQ585" s="33"/>
      <c r="AR585" s="33"/>
      <c r="AS585" s="33"/>
      <c r="AT585" s="33"/>
      <c r="AU585" s="33"/>
      <c r="AV585" s="33"/>
      <c r="AW585" s="33"/>
      <c r="AX585" s="33"/>
      <c r="AY585" s="33"/>
      <c r="AZ585" s="192"/>
      <c r="BA585" s="192"/>
      <c r="BB585" s="192"/>
      <c r="BC585" s="192"/>
    </row>
    <row r="586" spans="42:55" ht="21.75">
      <c r="AP586" s="33"/>
      <c r="AQ586" s="33"/>
      <c r="AR586" s="33"/>
      <c r="AS586" s="33"/>
      <c r="AT586" s="33"/>
      <c r="AU586" s="33"/>
      <c r="AV586" s="33"/>
      <c r="AW586" s="33"/>
      <c r="AX586" s="33"/>
      <c r="AY586" s="33"/>
      <c r="AZ586" s="192"/>
      <c r="BA586" s="192"/>
      <c r="BB586" s="192"/>
      <c r="BC586" s="192"/>
    </row>
    <row r="587" spans="42:55" ht="21.75">
      <c r="AP587" s="33"/>
      <c r="AQ587" s="33"/>
      <c r="AR587" s="33"/>
      <c r="AS587" s="33"/>
      <c r="AT587" s="33"/>
      <c r="AU587" s="33"/>
      <c r="AV587" s="33"/>
      <c r="AW587" s="33"/>
      <c r="AX587" s="33"/>
      <c r="AY587" s="33"/>
      <c r="AZ587" s="192"/>
      <c r="BA587" s="192"/>
      <c r="BB587" s="192"/>
      <c r="BC587" s="192"/>
    </row>
    <row r="588" spans="42:55" ht="21.75">
      <c r="AP588" s="33"/>
      <c r="AQ588" s="33"/>
      <c r="AR588" s="33"/>
      <c r="AS588" s="33"/>
      <c r="AT588" s="33"/>
      <c r="AU588" s="33"/>
      <c r="AV588" s="33"/>
      <c r="AW588" s="33"/>
      <c r="AX588" s="33"/>
      <c r="AY588" s="33"/>
      <c r="AZ588" s="192"/>
      <c r="BA588" s="192"/>
      <c r="BB588" s="192"/>
      <c r="BC588" s="192"/>
    </row>
    <row r="589" spans="42:55" ht="21.75">
      <c r="AP589" s="33"/>
      <c r="AQ589" s="33"/>
      <c r="AR589" s="33"/>
      <c r="AS589" s="33"/>
      <c r="AT589" s="33"/>
      <c r="AU589" s="33"/>
      <c r="AV589" s="33"/>
      <c r="AW589" s="33"/>
      <c r="AX589" s="33"/>
      <c r="AY589" s="33"/>
      <c r="AZ589" s="192"/>
      <c r="BA589" s="192"/>
      <c r="BB589" s="192"/>
      <c r="BC589" s="192"/>
    </row>
    <row r="590" spans="42:55" ht="21.75">
      <c r="AP590" s="33"/>
      <c r="AQ590" s="33"/>
      <c r="AR590" s="33"/>
      <c r="AS590" s="33"/>
      <c r="AT590" s="33"/>
      <c r="AU590" s="33"/>
      <c r="AV590" s="33"/>
      <c r="AW590" s="33"/>
      <c r="AX590" s="33"/>
      <c r="AY590" s="33"/>
      <c r="AZ590" s="192"/>
      <c r="BA590" s="192"/>
      <c r="BB590" s="192"/>
      <c r="BC590" s="192"/>
    </row>
    <row r="591" spans="42:55" ht="21.75">
      <c r="AP591" s="33"/>
      <c r="AQ591" s="33"/>
      <c r="AR591" s="33"/>
      <c r="AS591" s="33"/>
      <c r="AT591" s="33"/>
      <c r="AU591" s="33"/>
      <c r="AV591" s="33"/>
      <c r="AW591" s="33"/>
      <c r="AX591" s="33"/>
      <c r="AY591" s="33"/>
      <c r="AZ591" s="192"/>
      <c r="BA591" s="192"/>
      <c r="BB591" s="192"/>
      <c r="BC591" s="192"/>
    </row>
    <row r="592" spans="42:55" ht="21.75">
      <c r="AP592" s="33"/>
      <c r="AQ592" s="33"/>
      <c r="AR592" s="33"/>
      <c r="AS592" s="33"/>
      <c r="AT592" s="33"/>
      <c r="AU592" s="33"/>
      <c r="AV592" s="33"/>
      <c r="AW592" s="33"/>
      <c r="AX592" s="33"/>
      <c r="AY592" s="33"/>
      <c r="AZ592" s="192"/>
      <c r="BA592" s="192"/>
      <c r="BB592" s="192"/>
      <c r="BC592" s="192"/>
    </row>
    <row r="593" spans="42:55" ht="21.75">
      <c r="AP593" s="33"/>
      <c r="AQ593" s="33"/>
      <c r="AR593" s="33"/>
      <c r="AS593" s="33"/>
      <c r="AT593" s="33"/>
      <c r="AU593" s="33"/>
      <c r="AV593" s="33"/>
      <c r="AW593" s="33"/>
      <c r="AX593" s="33"/>
      <c r="AY593" s="33"/>
      <c r="AZ593" s="192"/>
      <c r="BA593" s="192"/>
      <c r="BB593" s="192"/>
      <c r="BC593" s="192"/>
    </row>
    <row r="594" spans="42:55" ht="21.75">
      <c r="AP594" s="33"/>
      <c r="AQ594" s="33"/>
      <c r="AR594" s="33"/>
      <c r="AS594" s="33"/>
      <c r="AT594" s="33"/>
      <c r="AU594" s="33"/>
      <c r="AV594" s="33"/>
      <c r="AW594" s="33"/>
      <c r="AX594" s="33"/>
      <c r="AY594" s="33"/>
      <c r="AZ594" s="192"/>
      <c r="BA594" s="192"/>
      <c r="BB594" s="192"/>
      <c r="BC594" s="192"/>
    </row>
    <row r="595" spans="42:55" ht="21.75">
      <c r="AP595" s="33"/>
      <c r="AQ595" s="33"/>
      <c r="AR595" s="33"/>
      <c r="AS595" s="33"/>
      <c r="AT595" s="33"/>
      <c r="AU595" s="33"/>
      <c r="AV595" s="33"/>
      <c r="AW595" s="33"/>
      <c r="AX595" s="33"/>
      <c r="AY595" s="33"/>
      <c r="AZ595" s="192"/>
      <c r="BA595" s="192"/>
      <c r="BB595" s="192"/>
      <c r="BC595" s="192"/>
    </row>
    <row r="596" spans="42:55" ht="21.75">
      <c r="AP596" s="33"/>
      <c r="AQ596" s="33"/>
      <c r="AR596" s="33"/>
      <c r="AS596" s="33"/>
      <c r="AT596" s="33"/>
      <c r="AU596" s="33"/>
      <c r="AV596" s="33"/>
      <c r="AW596" s="33"/>
      <c r="AX596" s="33"/>
      <c r="AY596" s="33"/>
      <c r="AZ596" s="192"/>
      <c r="BA596" s="192"/>
      <c r="BB596" s="192"/>
      <c r="BC596" s="192"/>
    </row>
    <row r="597" spans="42:55" ht="21.75">
      <c r="AP597" s="33"/>
      <c r="AQ597" s="33"/>
      <c r="AR597" s="33"/>
      <c r="AS597" s="33"/>
      <c r="AT597" s="33"/>
      <c r="AU597" s="33"/>
      <c r="AV597" s="33"/>
      <c r="AW597" s="33"/>
      <c r="AX597" s="33"/>
      <c r="AY597" s="33"/>
      <c r="AZ597" s="192"/>
      <c r="BA597" s="192"/>
      <c r="BB597" s="192"/>
      <c r="BC597" s="192"/>
    </row>
    <row r="598" spans="42:55" ht="21.75">
      <c r="AP598" s="33"/>
      <c r="AQ598" s="33"/>
      <c r="AR598" s="33"/>
      <c r="AS598" s="33"/>
      <c r="AT598" s="33"/>
      <c r="AU598" s="33"/>
      <c r="AV598" s="33"/>
      <c r="AW598" s="33"/>
      <c r="AX598" s="33"/>
      <c r="AY598" s="33"/>
      <c r="AZ598" s="192"/>
      <c r="BA598" s="192"/>
      <c r="BB598" s="192"/>
      <c r="BC598" s="192"/>
    </row>
    <row r="599" spans="42:55" ht="21.75">
      <c r="AP599" s="33"/>
      <c r="AQ599" s="33"/>
      <c r="AR599" s="33"/>
      <c r="AS599" s="33"/>
      <c r="AT599" s="33"/>
      <c r="AU599" s="33"/>
      <c r="AV599" s="33"/>
      <c r="AW599" s="33"/>
      <c r="AX599" s="33"/>
      <c r="AY599" s="33"/>
      <c r="AZ599" s="192"/>
      <c r="BA599" s="192"/>
      <c r="BB599" s="192"/>
      <c r="BC599" s="192"/>
    </row>
    <row r="600" spans="42:55" ht="21.75">
      <c r="AP600" s="33"/>
      <c r="AQ600" s="33"/>
      <c r="AR600" s="33"/>
      <c r="AS600" s="33"/>
      <c r="AT600" s="33"/>
      <c r="AU600" s="33"/>
      <c r="AV600" s="33"/>
      <c r="AW600" s="33"/>
      <c r="AX600" s="33"/>
      <c r="AY600" s="33"/>
      <c r="AZ600" s="192"/>
      <c r="BA600" s="192"/>
      <c r="BB600" s="192"/>
      <c r="BC600" s="192"/>
    </row>
    <row r="601" spans="42:55" ht="21.75">
      <c r="AP601" s="33"/>
      <c r="AQ601" s="33"/>
      <c r="AR601" s="33"/>
      <c r="AS601" s="33"/>
      <c r="AT601" s="33"/>
      <c r="AU601" s="33"/>
      <c r="AV601" s="33"/>
      <c r="AW601" s="33"/>
      <c r="AX601" s="33"/>
      <c r="AY601" s="33"/>
      <c r="AZ601" s="192"/>
      <c r="BA601" s="192"/>
      <c r="BB601" s="192"/>
      <c r="BC601" s="192"/>
    </row>
    <row r="602" spans="42:55" ht="21.75">
      <c r="AP602" s="33"/>
      <c r="AQ602" s="33"/>
      <c r="AR602" s="33"/>
      <c r="AS602" s="33"/>
      <c r="AT602" s="33"/>
      <c r="AU602" s="33"/>
      <c r="AV602" s="33"/>
      <c r="AW602" s="33"/>
      <c r="AX602" s="33"/>
      <c r="AY602" s="33"/>
      <c r="AZ602" s="192"/>
      <c r="BA602" s="192"/>
      <c r="BB602" s="192"/>
      <c r="BC602" s="192"/>
    </row>
    <row r="603" spans="42:55" ht="21.75">
      <c r="AP603" s="33"/>
      <c r="AQ603" s="33"/>
      <c r="AR603" s="33"/>
      <c r="AS603" s="33"/>
      <c r="AT603" s="33"/>
      <c r="AU603" s="33"/>
      <c r="AV603" s="33"/>
      <c r="AW603" s="33"/>
      <c r="AX603" s="33"/>
      <c r="AY603" s="33"/>
      <c r="AZ603" s="192"/>
      <c r="BA603" s="192"/>
      <c r="BB603" s="192"/>
      <c r="BC603" s="192"/>
    </row>
    <row r="604" spans="42:55" ht="21.75">
      <c r="AP604" s="33"/>
      <c r="AQ604" s="33"/>
      <c r="AR604" s="33"/>
      <c r="AS604" s="33"/>
      <c r="AT604" s="33"/>
      <c r="AU604" s="33"/>
      <c r="AV604" s="33"/>
      <c r="AW604" s="33"/>
      <c r="AX604" s="33"/>
      <c r="AY604" s="33"/>
      <c r="AZ604" s="192"/>
      <c r="BA604" s="192"/>
      <c r="BB604" s="192"/>
      <c r="BC604" s="192"/>
    </row>
    <row r="605" spans="42:55" ht="21.75">
      <c r="AP605" s="33"/>
      <c r="AQ605" s="33"/>
      <c r="AR605" s="33"/>
      <c r="AS605" s="33"/>
      <c r="AT605" s="33"/>
      <c r="AU605" s="33"/>
      <c r="AV605" s="33"/>
      <c r="AW605" s="33"/>
      <c r="AX605" s="33"/>
      <c r="AY605" s="33"/>
      <c r="AZ605" s="192"/>
      <c r="BA605" s="192"/>
      <c r="BB605" s="192"/>
      <c r="BC605" s="192"/>
    </row>
    <row r="606" spans="42:55" ht="21.75">
      <c r="AP606" s="33"/>
      <c r="AQ606" s="33"/>
      <c r="AR606" s="33"/>
      <c r="AS606" s="33"/>
      <c r="AT606" s="33"/>
      <c r="AU606" s="33"/>
      <c r="AV606" s="33"/>
      <c r="AW606" s="33"/>
      <c r="AX606" s="33"/>
      <c r="AY606" s="33"/>
      <c r="AZ606" s="192"/>
      <c r="BA606" s="192"/>
      <c r="BB606" s="192"/>
      <c r="BC606" s="192"/>
    </row>
    <row r="607" spans="42:55" ht="21.75">
      <c r="AP607" s="33"/>
      <c r="AQ607" s="33"/>
      <c r="AR607" s="33"/>
      <c r="AS607" s="33"/>
      <c r="AT607" s="33"/>
      <c r="AU607" s="33"/>
      <c r="AV607" s="33"/>
      <c r="AW607" s="33"/>
      <c r="AX607" s="33"/>
      <c r="AY607" s="33"/>
      <c r="AZ607" s="192"/>
      <c r="BA607" s="192"/>
      <c r="BB607" s="192"/>
      <c r="BC607" s="192"/>
    </row>
    <row r="608" spans="42:55" ht="21.75">
      <c r="AP608" s="33"/>
      <c r="AQ608" s="33"/>
      <c r="AR608" s="33"/>
      <c r="AS608" s="33"/>
      <c r="AT608" s="33"/>
      <c r="AU608" s="33"/>
      <c r="AV608" s="33"/>
      <c r="AW608" s="33"/>
      <c r="AX608" s="33"/>
      <c r="AY608" s="33"/>
      <c r="AZ608" s="192"/>
      <c r="BA608" s="192"/>
      <c r="BB608" s="192"/>
      <c r="BC608" s="192"/>
    </row>
    <row r="609" spans="42:55" ht="21.75">
      <c r="AP609" s="33"/>
      <c r="AQ609" s="33"/>
      <c r="AR609" s="33"/>
      <c r="AS609" s="33"/>
      <c r="AT609" s="33"/>
      <c r="AU609" s="33"/>
      <c r="AV609" s="33"/>
      <c r="AW609" s="33"/>
      <c r="AX609" s="33"/>
      <c r="AY609" s="33"/>
      <c r="AZ609" s="192"/>
      <c r="BA609" s="192"/>
      <c r="BB609" s="192"/>
      <c r="BC609" s="192"/>
    </row>
    <row r="610" spans="42:55" ht="21.75">
      <c r="AP610" s="33"/>
      <c r="AQ610" s="33"/>
      <c r="AR610" s="33"/>
      <c r="AS610" s="33"/>
      <c r="AT610" s="33"/>
      <c r="AU610" s="33"/>
      <c r="AV610" s="33"/>
      <c r="AW610" s="33"/>
      <c r="AX610" s="33"/>
      <c r="AY610" s="33"/>
      <c r="AZ610" s="192"/>
      <c r="BA610" s="192"/>
      <c r="BB610" s="192"/>
      <c r="BC610" s="192"/>
    </row>
    <row r="611" spans="42:55" ht="21.75">
      <c r="AP611" s="33"/>
      <c r="AQ611" s="33"/>
      <c r="AR611" s="33"/>
      <c r="AS611" s="33"/>
      <c r="AT611" s="33"/>
      <c r="AU611" s="33"/>
      <c r="AV611" s="33"/>
      <c r="AW611" s="33"/>
      <c r="AX611" s="33"/>
      <c r="AY611" s="33"/>
      <c r="AZ611" s="192"/>
      <c r="BA611" s="192"/>
      <c r="BB611" s="192"/>
      <c r="BC611" s="192"/>
    </row>
    <row r="612" spans="42:55" ht="21.75">
      <c r="AP612" s="33"/>
      <c r="AQ612" s="33"/>
      <c r="AR612" s="33"/>
      <c r="AS612" s="33"/>
      <c r="AT612" s="33"/>
      <c r="AU612" s="33"/>
      <c r="AV612" s="33"/>
      <c r="AW612" s="33"/>
      <c r="AX612" s="33"/>
      <c r="AY612" s="33"/>
      <c r="AZ612" s="192"/>
      <c r="BA612" s="192"/>
      <c r="BB612" s="192"/>
      <c r="BC612" s="192"/>
    </row>
    <row r="613" spans="42:55" ht="21.75">
      <c r="AP613" s="33"/>
      <c r="AQ613" s="33"/>
      <c r="AR613" s="33"/>
      <c r="AS613" s="33"/>
      <c r="AT613" s="33"/>
      <c r="AU613" s="33"/>
      <c r="AV613" s="33"/>
      <c r="AW613" s="33"/>
      <c r="AX613" s="33"/>
      <c r="AY613" s="33"/>
      <c r="AZ613" s="192"/>
      <c r="BA613" s="192"/>
      <c r="BB613" s="192"/>
      <c r="BC613" s="192"/>
    </row>
    <row r="614" spans="42:55" ht="21.75">
      <c r="AP614" s="33"/>
      <c r="AQ614" s="33"/>
      <c r="AR614" s="33"/>
      <c r="AS614" s="33"/>
      <c r="AT614" s="33"/>
      <c r="AU614" s="33"/>
      <c r="AV614" s="33"/>
      <c r="AW614" s="33"/>
      <c r="AX614" s="33"/>
      <c r="AY614" s="33"/>
      <c r="AZ614" s="192"/>
      <c r="BA614" s="192"/>
      <c r="BB614" s="192"/>
      <c r="BC614" s="192"/>
    </row>
    <row r="615" spans="42:55" ht="21.75">
      <c r="AP615" s="33"/>
      <c r="AQ615" s="33"/>
      <c r="AR615" s="33"/>
      <c r="AS615" s="33"/>
      <c r="AT615" s="33"/>
      <c r="AU615" s="33"/>
      <c r="AV615" s="33"/>
      <c r="AW615" s="33"/>
      <c r="AX615" s="33"/>
      <c r="AY615" s="33"/>
      <c r="AZ615" s="192"/>
      <c r="BA615" s="192"/>
      <c r="BB615" s="192"/>
      <c r="BC615" s="192"/>
    </row>
    <row r="616" spans="42:55" ht="21.75">
      <c r="AP616" s="33"/>
      <c r="AQ616" s="33"/>
      <c r="AR616" s="33"/>
      <c r="AS616" s="33"/>
      <c r="AT616" s="33"/>
      <c r="AU616" s="33"/>
      <c r="AV616" s="33"/>
      <c r="AW616" s="33"/>
      <c r="AX616" s="33"/>
      <c r="AY616" s="33"/>
      <c r="AZ616" s="192"/>
      <c r="BA616" s="192"/>
      <c r="BB616" s="192"/>
      <c r="BC616" s="192"/>
    </row>
    <row r="617" spans="42:55">
      <c r="AP617" s="33"/>
      <c r="AQ617" s="33"/>
      <c r="AR617" s="33"/>
      <c r="AS617" s="33"/>
      <c r="AT617" s="33"/>
      <c r="AU617" s="33"/>
      <c r="AV617" s="33"/>
      <c r="AW617" s="33"/>
      <c r="AX617" s="33"/>
      <c r="AY617" s="33"/>
      <c r="AZ617" s="33"/>
      <c r="BA617" s="33"/>
      <c r="BB617" s="33"/>
      <c r="BC617" s="33"/>
    </row>
    <row r="618" spans="42:55">
      <c r="AP618" s="33"/>
      <c r="AQ618" s="33"/>
      <c r="AR618" s="33"/>
      <c r="AS618" s="33"/>
      <c r="AT618" s="33"/>
      <c r="AU618" s="33"/>
      <c r="AV618" s="33"/>
      <c r="AW618" s="33"/>
      <c r="AX618" s="33"/>
      <c r="AY618" s="33"/>
      <c r="AZ618" s="33"/>
      <c r="BA618" s="33"/>
      <c r="BB618" s="33"/>
      <c r="BC618" s="33"/>
    </row>
    <row r="619" spans="42:55">
      <c r="AP619" s="33"/>
      <c r="AQ619" s="33"/>
      <c r="AR619" s="33"/>
      <c r="AS619" s="33"/>
      <c r="AT619" s="33"/>
      <c r="AU619" s="33"/>
      <c r="AV619" s="33"/>
      <c r="AW619" s="33"/>
      <c r="AX619" s="33"/>
      <c r="AY619" s="33"/>
      <c r="AZ619" s="33"/>
      <c r="BA619" s="33"/>
      <c r="BB619" s="33"/>
      <c r="BC619" s="33"/>
    </row>
    <row r="620" spans="42:55">
      <c r="AP620" s="33"/>
      <c r="AQ620" s="33"/>
      <c r="AR620" s="33"/>
      <c r="AS620" s="33"/>
      <c r="AT620" s="33"/>
      <c r="AU620" s="33"/>
      <c r="AV620" s="33"/>
      <c r="AW620" s="33"/>
      <c r="AX620" s="33"/>
      <c r="AY620" s="33"/>
      <c r="AZ620" s="33"/>
      <c r="BA620" s="33"/>
      <c r="BB620" s="33"/>
      <c r="BC620" s="33"/>
    </row>
    <row r="621" spans="42:55">
      <c r="AP621" s="33"/>
      <c r="AQ621" s="33"/>
      <c r="AR621" s="33"/>
      <c r="AS621" s="33"/>
      <c r="AT621" s="33"/>
      <c r="AU621" s="33"/>
      <c r="AV621" s="33"/>
      <c r="AW621" s="33"/>
      <c r="AX621" s="33"/>
      <c r="AY621" s="33"/>
      <c r="AZ621" s="33"/>
      <c r="BA621" s="33"/>
      <c r="BB621" s="33"/>
      <c r="BC621" s="33"/>
    </row>
    <row r="622" spans="42:55">
      <c r="AP622" s="33"/>
      <c r="AQ622" s="33"/>
      <c r="AR622" s="33"/>
      <c r="AS622" s="33"/>
      <c r="AT622" s="33"/>
      <c r="AU622" s="33"/>
      <c r="AV622" s="33"/>
      <c r="AW622" s="33"/>
      <c r="AX622" s="33"/>
      <c r="AY622" s="33"/>
      <c r="AZ622" s="33"/>
      <c r="BA622" s="33"/>
      <c r="BB622" s="33"/>
      <c r="BC622" s="33"/>
    </row>
    <row r="623" spans="42:55" ht="21.75">
      <c r="AP623" s="33"/>
      <c r="AQ623" s="33"/>
      <c r="AR623" s="33"/>
      <c r="AS623" s="33"/>
      <c r="AT623" s="33"/>
      <c r="AU623" s="33"/>
      <c r="AV623" s="33"/>
      <c r="AW623" s="33"/>
      <c r="AX623" s="33"/>
      <c r="AY623" s="33"/>
      <c r="AZ623" s="192"/>
      <c r="BA623" s="192"/>
      <c r="BB623" s="192"/>
      <c r="BC623" s="192"/>
    </row>
    <row r="624" spans="42:55" ht="21.75">
      <c r="AP624" s="33"/>
      <c r="AQ624" s="33"/>
      <c r="AR624" s="33"/>
      <c r="AS624" s="33"/>
      <c r="AT624" s="33"/>
      <c r="AU624" s="33"/>
      <c r="AV624" s="33"/>
      <c r="AW624" s="33"/>
      <c r="AX624" s="33"/>
      <c r="AY624" s="33"/>
      <c r="AZ624" s="192"/>
      <c r="BA624" s="192"/>
      <c r="BB624" s="192"/>
      <c r="BC624" s="192"/>
    </row>
    <row r="625" spans="42:55" ht="21.75">
      <c r="AP625" s="33"/>
      <c r="AQ625" s="33"/>
      <c r="AR625" s="33"/>
      <c r="AS625" s="33"/>
      <c r="AT625" s="33"/>
      <c r="AU625" s="33"/>
      <c r="AV625" s="33"/>
      <c r="AW625" s="33"/>
      <c r="AX625" s="33"/>
      <c r="AY625" s="33"/>
      <c r="AZ625" s="192"/>
      <c r="BA625" s="192"/>
      <c r="BB625" s="192"/>
      <c r="BC625" s="192"/>
    </row>
    <row r="626" spans="42:55" ht="21.75">
      <c r="AP626" s="33"/>
      <c r="AQ626" s="33"/>
      <c r="AR626" s="33"/>
      <c r="AS626" s="33"/>
      <c r="AT626" s="33"/>
      <c r="AU626" s="33"/>
      <c r="AV626" s="33"/>
      <c r="AW626" s="33"/>
      <c r="AX626" s="33"/>
      <c r="AY626" s="33"/>
      <c r="AZ626" s="192"/>
      <c r="BA626" s="192"/>
      <c r="BB626" s="192"/>
      <c r="BC626" s="192"/>
    </row>
    <row r="627" spans="42:55" ht="21.75">
      <c r="AP627" s="33"/>
      <c r="AQ627" s="33"/>
      <c r="AR627" s="33"/>
      <c r="AS627" s="33"/>
      <c r="AT627" s="33"/>
      <c r="AU627" s="33"/>
      <c r="AV627" s="33"/>
      <c r="AW627" s="33"/>
      <c r="AX627" s="33"/>
      <c r="AY627" s="33"/>
      <c r="AZ627" s="192"/>
      <c r="BA627" s="192"/>
      <c r="BB627" s="192"/>
      <c r="BC627" s="192"/>
    </row>
    <row r="628" spans="42:55" ht="21.75">
      <c r="AP628" s="33"/>
      <c r="AQ628" s="33"/>
      <c r="AR628" s="33"/>
      <c r="AS628" s="33"/>
      <c r="AT628" s="33"/>
      <c r="AU628" s="33"/>
      <c r="AV628" s="33"/>
      <c r="AW628" s="33"/>
      <c r="AX628" s="33"/>
      <c r="AY628" s="33"/>
      <c r="AZ628" s="192"/>
      <c r="BA628" s="192"/>
      <c r="BB628" s="192"/>
      <c r="BC628" s="192"/>
    </row>
    <row r="629" spans="42:55" ht="21.75">
      <c r="AP629" s="33"/>
      <c r="AQ629" s="33"/>
      <c r="AR629" s="33"/>
      <c r="AS629" s="33"/>
      <c r="AT629" s="33"/>
      <c r="AU629" s="33"/>
      <c r="AV629" s="33"/>
      <c r="AW629" s="33"/>
      <c r="AX629" s="33"/>
      <c r="AY629" s="33"/>
      <c r="AZ629" s="192"/>
      <c r="BA629" s="192"/>
      <c r="BB629" s="192"/>
      <c r="BC629" s="192"/>
    </row>
    <row r="630" spans="42:55" ht="21.75">
      <c r="AP630" s="33"/>
      <c r="AQ630" s="33"/>
      <c r="AR630" s="33"/>
      <c r="AS630" s="33"/>
      <c r="AT630" s="33"/>
      <c r="AU630" s="33"/>
      <c r="AV630" s="33"/>
      <c r="AW630" s="33"/>
      <c r="AX630" s="33"/>
      <c r="AY630" s="33"/>
      <c r="AZ630" s="192"/>
      <c r="BA630" s="192"/>
      <c r="BB630" s="192"/>
      <c r="BC630" s="192"/>
    </row>
    <row r="631" spans="42:55" ht="21.75">
      <c r="AP631" s="33"/>
      <c r="AQ631" s="33"/>
      <c r="AR631" s="33"/>
      <c r="AS631" s="33"/>
      <c r="AT631" s="33"/>
      <c r="AU631" s="33"/>
      <c r="AV631" s="33"/>
      <c r="AW631" s="33"/>
      <c r="AX631" s="33"/>
      <c r="AY631" s="33"/>
      <c r="AZ631" s="192"/>
      <c r="BA631" s="192"/>
      <c r="BB631" s="192"/>
      <c r="BC631" s="192"/>
    </row>
    <row r="632" spans="42:55" ht="21.75">
      <c r="AP632" s="33"/>
      <c r="AQ632" s="33"/>
      <c r="AR632" s="33"/>
      <c r="AS632" s="33"/>
      <c r="AT632" s="33"/>
      <c r="AU632" s="33"/>
      <c r="AV632" s="33"/>
      <c r="AW632" s="33"/>
      <c r="AX632" s="33"/>
      <c r="AY632" s="33"/>
      <c r="AZ632" s="192"/>
      <c r="BA632" s="192"/>
      <c r="BB632" s="192"/>
      <c r="BC632" s="192"/>
    </row>
    <row r="633" spans="42:55" ht="21.75">
      <c r="AP633" s="33"/>
      <c r="AQ633" s="33"/>
      <c r="AR633" s="33"/>
      <c r="AS633" s="33"/>
      <c r="AT633" s="33"/>
      <c r="AU633" s="33"/>
      <c r="AV633" s="33"/>
      <c r="AW633" s="33"/>
      <c r="AX633" s="33"/>
      <c r="AY633" s="33"/>
      <c r="AZ633" s="192"/>
      <c r="BA633" s="192"/>
      <c r="BB633" s="192"/>
      <c r="BC633" s="192"/>
    </row>
    <row r="634" spans="42:55" ht="21.75">
      <c r="AP634" s="33"/>
      <c r="AQ634" s="33"/>
      <c r="AR634" s="33"/>
      <c r="AS634" s="33"/>
      <c r="AT634" s="33"/>
      <c r="AU634" s="33"/>
      <c r="AV634" s="33"/>
      <c r="AW634" s="33"/>
      <c r="AX634" s="33"/>
      <c r="AY634" s="33"/>
      <c r="AZ634" s="192"/>
      <c r="BA634" s="192"/>
      <c r="BB634" s="192"/>
      <c r="BC634" s="192"/>
    </row>
    <row r="635" spans="42:55" ht="21.75">
      <c r="AP635" s="33"/>
      <c r="AQ635" s="33"/>
      <c r="AR635" s="33"/>
      <c r="AS635" s="33"/>
      <c r="AT635" s="33"/>
      <c r="AU635" s="33"/>
      <c r="AV635" s="33"/>
      <c r="AW635" s="33"/>
      <c r="AX635" s="33"/>
      <c r="AY635" s="33"/>
      <c r="AZ635" s="192"/>
      <c r="BA635" s="192"/>
      <c r="BB635" s="192"/>
      <c r="BC635" s="192"/>
    </row>
    <row r="636" spans="42:55" ht="21.75">
      <c r="AP636" s="33"/>
      <c r="AQ636" s="33"/>
      <c r="AR636" s="33"/>
      <c r="AS636" s="33"/>
      <c r="AT636" s="33"/>
      <c r="AU636" s="33"/>
      <c r="AV636" s="33"/>
      <c r="AW636" s="33"/>
      <c r="AX636" s="33"/>
      <c r="AY636" s="33"/>
      <c r="AZ636" s="192"/>
      <c r="BA636" s="192"/>
      <c r="BB636" s="192"/>
      <c r="BC636" s="192"/>
    </row>
    <row r="637" spans="42:55" ht="21.75">
      <c r="AP637" s="33"/>
      <c r="AQ637" s="33"/>
      <c r="AR637" s="33"/>
      <c r="AS637" s="33"/>
      <c r="AT637" s="33"/>
      <c r="AU637" s="33"/>
      <c r="AV637" s="33"/>
      <c r="AW637" s="33"/>
      <c r="AX637" s="33"/>
      <c r="AY637" s="33"/>
      <c r="AZ637" s="192"/>
      <c r="BA637" s="192"/>
      <c r="BB637" s="192"/>
      <c r="BC637" s="192"/>
    </row>
    <row r="638" spans="42:55" ht="21.75">
      <c r="AP638" s="33"/>
      <c r="AQ638" s="33"/>
      <c r="AR638" s="33"/>
      <c r="AS638" s="33"/>
      <c r="AT638" s="33"/>
      <c r="AU638" s="33"/>
      <c r="AV638" s="33"/>
      <c r="AW638" s="33"/>
      <c r="AX638" s="33"/>
      <c r="AY638" s="33"/>
      <c r="AZ638" s="192"/>
      <c r="BA638" s="192"/>
      <c r="BB638" s="192"/>
      <c r="BC638" s="192"/>
    </row>
    <row r="639" spans="42:55" ht="21.75">
      <c r="AP639" s="33"/>
      <c r="AQ639" s="33"/>
      <c r="AR639" s="33"/>
      <c r="AS639" s="33"/>
      <c r="AT639" s="33"/>
      <c r="AU639" s="33"/>
      <c r="AV639" s="33"/>
      <c r="AW639" s="33"/>
      <c r="AX639" s="33"/>
      <c r="AY639" s="33"/>
      <c r="AZ639" s="192"/>
      <c r="BA639" s="192"/>
      <c r="BB639" s="192"/>
      <c r="BC639" s="192"/>
    </row>
    <row r="640" spans="42:55" ht="21.75">
      <c r="AP640" s="33"/>
      <c r="AQ640" s="33"/>
      <c r="AR640" s="33"/>
      <c r="AS640" s="33"/>
      <c r="AT640" s="33"/>
      <c r="AU640" s="33"/>
      <c r="AV640" s="33"/>
      <c r="AW640" s="33"/>
      <c r="AX640" s="33"/>
      <c r="AY640" s="33"/>
      <c r="AZ640" s="192"/>
      <c r="BA640" s="192"/>
      <c r="BB640" s="192"/>
      <c r="BC640" s="192"/>
    </row>
    <row r="641" spans="42:55" ht="21.75">
      <c r="AP641" s="33"/>
      <c r="AQ641" s="33"/>
      <c r="AR641" s="33"/>
      <c r="AS641" s="33"/>
      <c r="AT641" s="33"/>
      <c r="AU641" s="33"/>
      <c r="AV641" s="33"/>
      <c r="AW641" s="33"/>
      <c r="AX641" s="33"/>
      <c r="AY641" s="33"/>
      <c r="AZ641" s="192"/>
      <c r="BA641" s="192"/>
      <c r="BB641" s="192"/>
      <c r="BC641" s="192"/>
    </row>
    <row r="642" spans="42:55" ht="21.75">
      <c r="AP642" s="33"/>
      <c r="AQ642" s="33"/>
      <c r="AR642" s="33"/>
      <c r="AS642" s="33"/>
      <c r="AT642" s="33"/>
      <c r="AU642" s="33"/>
      <c r="AV642" s="33"/>
      <c r="AW642" s="33"/>
      <c r="AX642" s="33"/>
      <c r="AY642" s="33"/>
      <c r="AZ642" s="192"/>
      <c r="BA642" s="192"/>
      <c r="BB642" s="192"/>
      <c r="BC642" s="192"/>
    </row>
    <row r="643" spans="42:55" ht="21.75">
      <c r="AP643" s="33"/>
      <c r="AQ643" s="33"/>
      <c r="AR643" s="33"/>
      <c r="AS643" s="33"/>
      <c r="AT643" s="33"/>
      <c r="AU643" s="33"/>
      <c r="AV643" s="33"/>
      <c r="AW643" s="33"/>
      <c r="AX643" s="33"/>
      <c r="AY643" s="33"/>
      <c r="AZ643" s="192"/>
      <c r="BA643" s="192"/>
      <c r="BB643" s="192"/>
      <c r="BC643" s="192"/>
    </row>
    <row r="644" spans="42:55" ht="21.75">
      <c r="AP644" s="33"/>
      <c r="AQ644" s="33"/>
      <c r="AR644" s="33"/>
      <c r="AS644" s="33"/>
      <c r="AT644" s="33"/>
      <c r="AU644" s="33"/>
      <c r="AV644" s="33"/>
      <c r="AW644" s="33"/>
      <c r="AX644" s="33"/>
      <c r="AY644" s="33"/>
      <c r="AZ644" s="192"/>
      <c r="BA644" s="192"/>
      <c r="BB644" s="192"/>
      <c r="BC644" s="192"/>
    </row>
    <row r="645" spans="42:55" ht="21.75">
      <c r="AP645" s="33"/>
      <c r="AQ645" s="33"/>
      <c r="AR645" s="33"/>
      <c r="AS645" s="33"/>
      <c r="AT645" s="33"/>
      <c r="AU645" s="33"/>
      <c r="AV645" s="33"/>
      <c r="AW645" s="33"/>
      <c r="AX645" s="33"/>
      <c r="AY645" s="33"/>
      <c r="AZ645" s="192"/>
      <c r="BA645" s="192"/>
      <c r="BB645" s="192"/>
      <c r="BC645" s="192"/>
    </row>
    <row r="646" spans="42:55" ht="21.75">
      <c r="AP646" s="33"/>
      <c r="AQ646" s="33"/>
      <c r="AR646" s="33"/>
      <c r="AS646" s="33"/>
      <c r="AT646" s="33"/>
      <c r="AU646" s="33"/>
      <c r="AV646" s="33"/>
      <c r="AW646" s="33"/>
      <c r="AX646" s="33"/>
      <c r="AY646" s="33"/>
      <c r="AZ646" s="192"/>
      <c r="BA646" s="192"/>
      <c r="BB646" s="192"/>
      <c r="BC646" s="192"/>
    </row>
    <row r="647" spans="42:55" ht="21.75">
      <c r="AP647" s="33"/>
      <c r="AQ647" s="33"/>
      <c r="AR647" s="33"/>
      <c r="AS647" s="33"/>
      <c r="AT647" s="33"/>
      <c r="AU647" s="33"/>
      <c r="AV647" s="33"/>
      <c r="AW647" s="33"/>
      <c r="AX647" s="33"/>
      <c r="AY647" s="33"/>
      <c r="AZ647" s="192"/>
      <c r="BA647" s="192"/>
      <c r="BB647" s="192"/>
      <c r="BC647" s="192"/>
    </row>
    <row r="648" spans="42:55" ht="21.75">
      <c r="AP648" s="33"/>
      <c r="AQ648" s="33"/>
      <c r="AR648" s="33"/>
      <c r="AS648" s="33"/>
      <c r="AT648" s="33"/>
      <c r="AU648" s="33"/>
      <c r="AV648" s="33"/>
      <c r="AW648" s="33"/>
      <c r="AX648" s="33"/>
      <c r="AY648" s="33"/>
      <c r="AZ648" s="192"/>
      <c r="BA648" s="192"/>
      <c r="BB648" s="192"/>
      <c r="BC648" s="192"/>
    </row>
    <row r="649" spans="42:55" ht="21.75">
      <c r="AP649" s="33"/>
      <c r="AQ649" s="33"/>
      <c r="AR649" s="33"/>
      <c r="AS649" s="33"/>
      <c r="AT649" s="33"/>
      <c r="AU649" s="33"/>
      <c r="AV649" s="33"/>
      <c r="AW649" s="33"/>
      <c r="AX649" s="33"/>
      <c r="AY649" s="33"/>
      <c r="AZ649" s="192"/>
      <c r="BA649" s="192"/>
      <c r="BB649" s="192"/>
      <c r="BC649" s="192"/>
    </row>
    <row r="650" spans="42:55" ht="21.75">
      <c r="AP650" s="33"/>
      <c r="AQ650" s="33"/>
      <c r="AR650" s="33"/>
      <c r="AS650" s="33"/>
      <c r="AT650" s="33"/>
      <c r="AU650" s="33"/>
      <c r="AV650" s="33"/>
      <c r="AW650" s="33"/>
      <c r="AX650" s="33"/>
      <c r="AY650" s="33"/>
      <c r="AZ650" s="192"/>
      <c r="BA650" s="192"/>
      <c r="BB650" s="192"/>
      <c r="BC650" s="192"/>
    </row>
    <row r="651" spans="42:55" ht="21.75">
      <c r="AP651" s="33"/>
      <c r="AQ651" s="33"/>
      <c r="AR651" s="33"/>
      <c r="AS651" s="33"/>
      <c r="AT651" s="33"/>
      <c r="AU651" s="33"/>
      <c r="AV651" s="33"/>
      <c r="AW651" s="33"/>
      <c r="AX651" s="33"/>
      <c r="AY651" s="33"/>
      <c r="AZ651" s="192"/>
      <c r="BA651" s="192"/>
      <c r="BB651" s="192"/>
      <c r="BC651" s="192"/>
    </row>
    <row r="652" spans="42:55" ht="21.75">
      <c r="AP652" s="33"/>
      <c r="AQ652" s="33"/>
      <c r="AR652" s="33"/>
      <c r="AS652" s="33"/>
      <c r="AT652" s="33"/>
      <c r="AU652" s="33"/>
      <c r="AV652" s="33"/>
      <c r="AW652" s="33"/>
      <c r="AX652" s="33"/>
      <c r="AY652" s="33"/>
      <c r="AZ652" s="192"/>
      <c r="BA652" s="192"/>
      <c r="BB652" s="192"/>
      <c r="BC652" s="192"/>
    </row>
    <row r="653" spans="42:55" ht="21.75">
      <c r="AP653" s="33"/>
      <c r="AQ653" s="33"/>
      <c r="AR653" s="33"/>
      <c r="AS653" s="33"/>
      <c r="AT653" s="33"/>
      <c r="AU653" s="33"/>
      <c r="AV653" s="33"/>
      <c r="AW653" s="33"/>
      <c r="AX653" s="33"/>
      <c r="AY653" s="33"/>
      <c r="AZ653" s="192"/>
      <c r="BA653" s="192"/>
      <c r="BB653" s="192"/>
      <c r="BC653" s="192"/>
    </row>
    <row r="654" spans="42:55" ht="21.75">
      <c r="AP654" s="33"/>
      <c r="AQ654" s="33"/>
      <c r="AR654" s="33"/>
      <c r="AS654" s="33"/>
      <c r="AT654" s="33"/>
      <c r="AU654" s="33"/>
      <c r="AV654" s="33"/>
      <c r="AW654" s="33"/>
      <c r="AX654" s="33"/>
      <c r="AY654" s="33"/>
      <c r="AZ654" s="192"/>
      <c r="BA654" s="192"/>
      <c r="BB654" s="192"/>
      <c r="BC654" s="192"/>
    </row>
    <row r="655" spans="42:55" ht="21.75">
      <c r="AP655" s="33"/>
      <c r="AQ655" s="33"/>
      <c r="AR655" s="33"/>
      <c r="AS655" s="33"/>
      <c r="AT655" s="33"/>
      <c r="AU655" s="33"/>
      <c r="AV655" s="33"/>
      <c r="AW655" s="33"/>
      <c r="AX655" s="33"/>
      <c r="AY655" s="33"/>
      <c r="AZ655" s="192"/>
      <c r="BA655" s="192"/>
      <c r="BB655" s="192"/>
      <c r="BC655" s="192"/>
    </row>
    <row r="656" spans="42:55" ht="21.75">
      <c r="AP656" s="33"/>
      <c r="AQ656" s="33"/>
      <c r="AR656" s="33"/>
      <c r="AS656" s="33"/>
      <c r="AT656" s="33"/>
      <c r="AU656" s="33"/>
      <c r="AV656" s="33"/>
      <c r="AW656" s="33"/>
      <c r="AX656" s="33"/>
      <c r="AY656" s="33"/>
      <c r="AZ656" s="192"/>
      <c r="BA656" s="192"/>
      <c r="BB656" s="192"/>
      <c r="BC656" s="192"/>
    </row>
    <row r="657" spans="42:55" ht="21.75">
      <c r="AP657" s="33"/>
      <c r="AQ657" s="33"/>
      <c r="AR657" s="33"/>
      <c r="AS657" s="33"/>
      <c r="AT657" s="33"/>
      <c r="AU657" s="33"/>
      <c r="AV657" s="33"/>
      <c r="AW657" s="33"/>
      <c r="AX657" s="33"/>
      <c r="AY657" s="33"/>
      <c r="AZ657" s="192"/>
      <c r="BA657" s="192"/>
      <c r="BB657" s="192"/>
      <c r="BC657" s="192"/>
    </row>
    <row r="658" spans="42:55" ht="21.75">
      <c r="AP658" s="33"/>
      <c r="AQ658" s="33"/>
      <c r="AR658" s="33"/>
      <c r="AS658" s="33"/>
      <c r="AT658" s="33"/>
      <c r="AU658" s="33"/>
      <c r="AV658" s="33"/>
      <c r="AW658" s="33"/>
      <c r="AX658" s="33"/>
      <c r="AY658" s="33"/>
      <c r="AZ658" s="192"/>
      <c r="BA658" s="192"/>
      <c r="BB658" s="192"/>
      <c r="BC658" s="192"/>
    </row>
    <row r="659" spans="42:55" ht="21.75">
      <c r="AP659" s="33"/>
      <c r="AQ659" s="33"/>
      <c r="AR659" s="33"/>
      <c r="AS659" s="33"/>
      <c r="AT659" s="33"/>
      <c r="AU659" s="33"/>
      <c r="AV659" s="33"/>
      <c r="AW659" s="33"/>
      <c r="AX659" s="33"/>
      <c r="AY659" s="33"/>
      <c r="AZ659" s="192"/>
      <c r="BA659" s="192"/>
      <c r="BB659" s="192"/>
      <c r="BC659" s="192"/>
    </row>
    <row r="660" spans="42:55" ht="21.75">
      <c r="AP660" s="33"/>
      <c r="AQ660" s="33"/>
      <c r="AR660" s="33"/>
      <c r="AS660" s="33"/>
      <c r="AT660" s="33"/>
      <c r="AU660" s="33"/>
      <c r="AV660" s="33"/>
      <c r="AW660" s="33"/>
      <c r="AX660" s="33"/>
      <c r="AY660" s="33"/>
      <c r="AZ660" s="192"/>
      <c r="BA660" s="192"/>
      <c r="BB660" s="192"/>
      <c r="BC660" s="192"/>
    </row>
    <row r="661" spans="42:55" ht="21.75">
      <c r="AP661" s="33"/>
      <c r="AQ661" s="33"/>
      <c r="AR661" s="33"/>
      <c r="AS661" s="33"/>
      <c r="AT661" s="33"/>
      <c r="AU661" s="33"/>
      <c r="AV661" s="33"/>
      <c r="AW661" s="33"/>
      <c r="AX661" s="33"/>
      <c r="AY661" s="33"/>
      <c r="AZ661" s="192"/>
      <c r="BA661" s="192"/>
      <c r="BB661" s="192"/>
      <c r="BC661" s="192"/>
    </row>
    <row r="662" spans="42:55" ht="21.75">
      <c r="AP662" s="33"/>
      <c r="AQ662" s="33"/>
      <c r="AR662" s="33"/>
      <c r="AS662" s="33"/>
      <c r="AT662" s="33"/>
      <c r="AU662" s="33"/>
      <c r="AV662" s="33"/>
      <c r="AW662" s="33"/>
      <c r="AX662" s="33"/>
      <c r="AY662" s="33"/>
      <c r="AZ662" s="192"/>
      <c r="BA662" s="192"/>
      <c r="BB662" s="192"/>
      <c r="BC662" s="192"/>
    </row>
    <row r="663" spans="42:55" ht="21.75">
      <c r="AP663" s="33"/>
      <c r="AQ663" s="33"/>
      <c r="AR663" s="33"/>
      <c r="AS663" s="33"/>
      <c r="AT663" s="33"/>
      <c r="AU663" s="33"/>
      <c r="AV663" s="33"/>
      <c r="AW663" s="33"/>
      <c r="AX663" s="33"/>
      <c r="AY663" s="33"/>
      <c r="AZ663" s="192"/>
      <c r="BA663" s="192"/>
      <c r="BB663" s="192"/>
      <c r="BC663" s="192"/>
    </row>
    <row r="664" spans="42:55" ht="21.75">
      <c r="AP664" s="33"/>
      <c r="AQ664" s="33"/>
      <c r="AR664" s="33"/>
      <c r="AS664" s="33"/>
      <c r="AT664" s="33"/>
      <c r="AU664" s="33"/>
      <c r="AV664" s="33"/>
      <c r="AW664" s="33"/>
      <c r="AX664" s="33"/>
      <c r="AY664" s="33"/>
      <c r="AZ664" s="192"/>
      <c r="BA664" s="192"/>
      <c r="BB664" s="192"/>
      <c r="BC664" s="192"/>
    </row>
    <row r="665" spans="42:55" ht="21.75">
      <c r="AP665" s="33"/>
      <c r="AQ665" s="33"/>
      <c r="AR665" s="33"/>
      <c r="AS665" s="33"/>
      <c r="AT665" s="33"/>
      <c r="AU665" s="33"/>
      <c r="AV665" s="33"/>
      <c r="AW665" s="33"/>
      <c r="AX665" s="33"/>
      <c r="AY665" s="33"/>
      <c r="AZ665" s="192"/>
      <c r="BA665" s="192"/>
      <c r="BB665" s="192"/>
      <c r="BC665" s="192"/>
    </row>
    <row r="666" spans="42:55" ht="21.75">
      <c r="AP666" s="33"/>
      <c r="AQ666" s="33"/>
      <c r="AR666" s="33"/>
      <c r="AS666" s="33"/>
      <c r="AT666" s="33"/>
      <c r="AU666" s="33"/>
      <c r="AV666" s="33"/>
      <c r="AW666" s="33"/>
      <c r="AX666" s="33"/>
      <c r="AY666" s="33"/>
      <c r="AZ666" s="192"/>
      <c r="BA666" s="192"/>
      <c r="BB666" s="192"/>
      <c r="BC666" s="192"/>
    </row>
    <row r="667" spans="42:55" ht="21.75">
      <c r="AP667" s="33"/>
      <c r="AQ667" s="33"/>
      <c r="AR667" s="33"/>
      <c r="AS667" s="33"/>
      <c r="AT667" s="33"/>
      <c r="AU667" s="33"/>
      <c r="AV667" s="33"/>
      <c r="AW667" s="33"/>
      <c r="AX667" s="33"/>
      <c r="AY667" s="33"/>
      <c r="AZ667" s="192"/>
      <c r="BA667" s="192"/>
      <c r="BB667" s="192"/>
      <c r="BC667" s="192"/>
    </row>
    <row r="668" spans="42:55" ht="21.75">
      <c r="AP668" s="33"/>
      <c r="AQ668" s="33"/>
      <c r="AR668" s="33"/>
      <c r="AS668" s="33"/>
      <c r="AT668" s="33"/>
      <c r="AU668" s="33"/>
      <c r="AV668" s="33"/>
      <c r="AW668" s="33"/>
      <c r="AX668" s="33"/>
      <c r="AY668" s="33"/>
      <c r="AZ668" s="192"/>
      <c r="BA668" s="192"/>
      <c r="BB668" s="192"/>
      <c r="BC668" s="192"/>
    </row>
    <row r="669" spans="42:55" ht="21.75">
      <c r="AP669" s="33"/>
      <c r="AQ669" s="33"/>
      <c r="AR669" s="33"/>
      <c r="AS669" s="33"/>
      <c r="AT669" s="33"/>
      <c r="AU669" s="33"/>
      <c r="AV669" s="33"/>
      <c r="AW669" s="33"/>
      <c r="AX669" s="33"/>
      <c r="AY669" s="33"/>
      <c r="AZ669" s="192"/>
      <c r="BA669" s="192"/>
      <c r="BB669" s="192"/>
      <c r="BC669" s="192"/>
    </row>
    <row r="670" spans="42:55" ht="21.75">
      <c r="AP670" s="33"/>
      <c r="AQ670" s="33"/>
      <c r="AR670" s="33"/>
      <c r="AS670" s="33"/>
      <c r="AT670" s="33"/>
      <c r="AU670" s="33"/>
      <c r="AV670" s="33"/>
      <c r="AW670" s="33"/>
      <c r="AX670" s="33"/>
      <c r="AY670" s="33"/>
      <c r="AZ670" s="192"/>
      <c r="BA670" s="192"/>
      <c r="BB670" s="192"/>
      <c r="BC670" s="192"/>
    </row>
    <row r="671" spans="42:55" ht="21.75">
      <c r="AP671" s="33"/>
      <c r="AQ671" s="33"/>
      <c r="AR671" s="33"/>
      <c r="AS671" s="33"/>
      <c r="AT671" s="33"/>
      <c r="AU671" s="33"/>
      <c r="AV671" s="33"/>
      <c r="AW671" s="33"/>
      <c r="AX671" s="33"/>
      <c r="AY671" s="33"/>
      <c r="AZ671" s="192"/>
      <c r="BA671" s="192"/>
      <c r="BB671" s="192"/>
      <c r="BC671" s="192"/>
    </row>
    <row r="672" spans="42:55" ht="21.75">
      <c r="AP672" s="33"/>
      <c r="AQ672" s="33"/>
      <c r="AR672" s="33"/>
      <c r="AS672" s="33"/>
      <c r="AT672" s="33"/>
      <c r="AU672" s="33"/>
      <c r="AV672" s="33"/>
      <c r="AW672" s="33"/>
      <c r="AX672" s="33"/>
      <c r="AY672" s="33"/>
      <c r="AZ672" s="192"/>
      <c r="BA672" s="192"/>
      <c r="BB672" s="192"/>
      <c r="BC672" s="192"/>
    </row>
    <row r="673" spans="42:55" ht="21.75">
      <c r="AP673" s="33"/>
      <c r="AQ673" s="33"/>
      <c r="AR673" s="33"/>
      <c r="AS673" s="33"/>
      <c r="AT673" s="33"/>
      <c r="AU673" s="33"/>
      <c r="AV673" s="33"/>
      <c r="AW673" s="33"/>
      <c r="AX673" s="33"/>
      <c r="AY673" s="33"/>
      <c r="AZ673" s="192"/>
      <c r="BA673" s="192"/>
      <c r="BB673" s="192"/>
      <c r="BC673" s="192"/>
    </row>
    <row r="674" spans="42:55" ht="21.75">
      <c r="AP674" s="33"/>
      <c r="AQ674" s="33"/>
      <c r="AR674" s="33"/>
      <c r="AS674" s="33"/>
      <c r="AT674" s="33"/>
      <c r="AU674" s="33"/>
      <c r="AV674" s="33"/>
      <c r="AW674" s="33"/>
      <c r="AX674" s="33"/>
      <c r="AY674" s="33"/>
      <c r="AZ674" s="192"/>
      <c r="BA674" s="192"/>
      <c r="BB674" s="192"/>
      <c r="BC674" s="192"/>
    </row>
    <row r="675" spans="42:55" ht="21.75">
      <c r="AP675" s="33"/>
      <c r="AQ675" s="33"/>
      <c r="AR675" s="33"/>
      <c r="AS675" s="33"/>
      <c r="AT675" s="33"/>
      <c r="AU675" s="33"/>
      <c r="AV675" s="33"/>
      <c r="AW675" s="33"/>
      <c r="AX675" s="33"/>
      <c r="AY675" s="33"/>
      <c r="AZ675" s="192"/>
      <c r="BA675" s="192"/>
      <c r="BB675" s="192"/>
      <c r="BC675" s="192"/>
    </row>
    <row r="676" spans="42:55" ht="21.75">
      <c r="AP676" s="33"/>
      <c r="AQ676" s="33"/>
      <c r="AR676" s="33"/>
      <c r="AS676" s="33"/>
      <c r="AT676" s="33"/>
      <c r="AU676" s="33"/>
      <c r="AV676" s="33"/>
      <c r="AW676" s="33"/>
      <c r="AX676" s="33"/>
      <c r="AY676" s="33"/>
      <c r="AZ676" s="192"/>
      <c r="BA676" s="192"/>
      <c r="BB676" s="192"/>
      <c r="BC676" s="192"/>
    </row>
    <row r="677" spans="42:55" ht="21.75">
      <c r="AP677" s="33"/>
      <c r="AQ677" s="33"/>
      <c r="AR677" s="33"/>
      <c r="AS677" s="33"/>
      <c r="AT677" s="33"/>
      <c r="AU677" s="33"/>
      <c r="AV677" s="33"/>
      <c r="AW677" s="33"/>
      <c r="AX677" s="33"/>
      <c r="AY677" s="33"/>
      <c r="AZ677" s="192"/>
      <c r="BA677" s="192"/>
      <c r="BB677" s="192"/>
      <c r="BC677" s="192"/>
    </row>
    <row r="678" spans="42:55" ht="21.75">
      <c r="AP678" s="33"/>
      <c r="AQ678" s="33"/>
      <c r="AR678" s="33"/>
      <c r="AS678" s="33"/>
      <c r="AT678" s="33"/>
      <c r="AU678" s="33"/>
      <c r="AV678" s="33"/>
      <c r="AW678" s="33"/>
      <c r="AX678" s="33"/>
      <c r="AY678" s="33"/>
      <c r="AZ678" s="192"/>
      <c r="BA678" s="192"/>
      <c r="BB678" s="192"/>
      <c r="BC678" s="192"/>
    </row>
    <row r="679" spans="42:55" ht="21.75">
      <c r="AP679" s="33"/>
      <c r="AQ679" s="33"/>
      <c r="AR679" s="33"/>
      <c r="AS679" s="33"/>
      <c r="AT679" s="33"/>
      <c r="AU679" s="33"/>
      <c r="AV679" s="33"/>
      <c r="AW679" s="33"/>
      <c r="AX679" s="33"/>
      <c r="AY679" s="33"/>
      <c r="AZ679" s="192"/>
      <c r="BA679" s="192"/>
      <c r="BB679" s="192"/>
      <c r="BC679" s="192"/>
    </row>
    <row r="680" spans="42:55">
      <c r="AP680" s="33"/>
      <c r="AQ680" s="33"/>
      <c r="AR680" s="33"/>
      <c r="AS680" s="33"/>
      <c r="AT680" s="33"/>
      <c r="AU680" s="33"/>
      <c r="AV680" s="33"/>
      <c r="AW680" s="33"/>
      <c r="AX680" s="33"/>
      <c r="AY680" s="33"/>
      <c r="AZ680" s="33"/>
      <c r="BA680" s="33"/>
      <c r="BB680" s="33"/>
      <c r="BC680" s="33"/>
    </row>
    <row r="681" spans="42:55">
      <c r="AP681" s="33"/>
      <c r="AQ681" s="33"/>
      <c r="AR681" s="33"/>
      <c r="AS681" s="33"/>
      <c r="AT681" s="33"/>
      <c r="AU681" s="33"/>
      <c r="AV681" s="33"/>
      <c r="AW681" s="33"/>
      <c r="AX681" s="33"/>
      <c r="AY681" s="33"/>
      <c r="AZ681" s="33"/>
      <c r="BA681" s="33"/>
      <c r="BB681" s="33"/>
      <c r="BC681" s="33"/>
    </row>
    <row r="682" spans="42:55">
      <c r="AP682" s="33"/>
      <c r="AQ682" s="33"/>
      <c r="AR682" s="33"/>
      <c r="AS682" s="33"/>
      <c r="AT682" s="33"/>
      <c r="AU682" s="33"/>
      <c r="AV682" s="33"/>
      <c r="AW682" s="33"/>
      <c r="AX682" s="33"/>
      <c r="AY682" s="33"/>
      <c r="AZ682" s="33"/>
      <c r="BA682" s="33"/>
      <c r="BB682" s="33"/>
      <c r="BC682" s="33"/>
    </row>
    <row r="683" spans="42:55">
      <c r="AP683" s="33"/>
      <c r="AQ683" s="33"/>
      <c r="AR683" s="33"/>
      <c r="AS683" s="33"/>
      <c r="AT683" s="33"/>
      <c r="AU683" s="33"/>
      <c r="AV683" s="33"/>
      <c r="AW683" s="33"/>
      <c r="AX683" s="33"/>
      <c r="AY683" s="33"/>
      <c r="AZ683" s="33"/>
      <c r="BA683" s="33"/>
      <c r="BB683" s="33"/>
      <c r="BC683" s="33"/>
    </row>
    <row r="684" spans="42:55">
      <c r="AP684" s="33"/>
      <c r="AQ684" s="33"/>
      <c r="AR684" s="33"/>
      <c r="AS684" s="33"/>
      <c r="AT684" s="33"/>
      <c r="AU684" s="33"/>
      <c r="AV684" s="33"/>
      <c r="AW684" s="33"/>
      <c r="AX684" s="33"/>
      <c r="AY684" s="33"/>
      <c r="AZ684" s="33"/>
      <c r="BA684" s="33"/>
      <c r="BB684" s="33"/>
      <c r="BC684" s="33"/>
    </row>
    <row r="685" spans="42:55" ht="21.75">
      <c r="AP685" s="33"/>
      <c r="AQ685" s="33"/>
      <c r="AR685" s="33"/>
      <c r="AS685" s="33"/>
      <c r="AT685" s="33"/>
      <c r="AU685" s="33"/>
      <c r="AV685" s="33"/>
      <c r="AW685" s="33"/>
      <c r="AX685" s="33"/>
      <c r="AY685" s="33"/>
      <c r="AZ685" s="192"/>
      <c r="BA685" s="192"/>
      <c r="BB685" s="192"/>
      <c r="BC685" s="192"/>
    </row>
    <row r="686" spans="42:55" ht="21.75">
      <c r="AP686" s="33"/>
      <c r="AQ686" s="33"/>
      <c r="AR686" s="33"/>
      <c r="AS686" s="33"/>
      <c r="AT686" s="33"/>
      <c r="AU686" s="33"/>
      <c r="AV686" s="33"/>
      <c r="AW686" s="33"/>
      <c r="AX686" s="33"/>
      <c r="AY686" s="33"/>
      <c r="AZ686" s="192"/>
      <c r="BA686" s="192"/>
      <c r="BB686" s="192"/>
      <c r="BC686" s="192"/>
    </row>
    <row r="687" spans="42:55" ht="21.75">
      <c r="AP687" s="33"/>
      <c r="AQ687" s="33"/>
      <c r="AR687" s="33"/>
      <c r="AS687" s="33"/>
      <c r="AT687" s="33"/>
      <c r="AU687" s="33"/>
      <c r="AV687" s="33"/>
      <c r="AW687" s="33"/>
      <c r="AX687" s="33"/>
      <c r="AY687" s="33"/>
      <c r="AZ687" s="192"/>
      <c r="BA687" s="192"/>
      <c r="BB687" s="192"/>
      <c r="BC687" s="192"/>
    </row>
    <row r="688" spans="42:55" ht="21.75">
      <c r="AP688" s="33"/>
      <c r="AQ688" s="33"/>
      <c r="AR688" s="33"/>
      <c r="AS688" s="33"/>
      <c r="AT688" s="33"/>
      <c r="AU688" s="33"/>
      <c r="AV688" s="33"/>
      <c r="AW688" s="33"/>
      <c r="AX688" s="33"/>
      <c r="AY688" s="33"/>
      <c r="AZ688" s="192"/>
      <c r="BA688" s="192"/>
      <c r="BB688" s="192"/>
      <c r="BC688" s="192"/>
    </row>
    <row r="689" spans="42:55" ht="21.75">
      <c r="AP689" s="33"/>
      <c r="AQ689" s="33"/>
      <c r="AR689" s="33"/>
      <c r="AS689" s="33"/>
      <c r="AT689" s="33"/>
      <c r="AU689" s="33"/>
      <c r="AV689" s="33"/>
      <c r="AW689" s="33"/>
      <c r="AX689" s="33"/>
      <c r="AY689" s="33"/>
      <c r="AZ689" s="192"/>
      <c r="BA689" s="192"/>
      <c r="BB689" s="192"/>
      <c r="BC689" s="192"/>
    </row>
    <row r="690" spans="42:55" ht="21.75">
      <c r="AP690" s="33"/>
      <c r="AQ690" s="33"/>
      <c r="AR690" s="33"/>
      <c r="AS690" s="33"/>
      <c r="AT690" s="33"/>
      <c r="AU690" s="33"/>
      <c r="AV690" s="33"/>
      <c r="AW690" s="33"/>
      <c r="AX690" s="33"/>
      <c r="AY690" s="33"/>
      <c r="AZ690" s="192"/>
      <c r="BA690" s="192"/>
      <c r="BB690" s="192"/>
      <c r="BC690" s="192"/>
    </row>
    <row r="691" spans="42:55" ht="21.75">
      <c r="AP691" s="33"/>
      <c r="AQ691" s="33"/>
      <c r="AR691" s="33"/>
      <c r="AS691" s="33"/>
      <c r="AT691" s="33"/>
      <c r="AU691" s="33"/>
      <c r="AV691" s="33"/>
      <c r="AW691" s="33"/>
      <c r="AX691" s="33"/>
      <c r="AY691" s="33"/>
      <c r="AZ691" s="192"/>
      <c r="BA691" s="192"/>
      <c r="BB691" s="192"/>
      <c r="BC691" s="192"/>
    </row>
    <row r="692" spans="42:55" ht="21.75">
      <c r="AP692" s="33"/>
      <c r="AQ692" s="33"/>
      <c r="AR692" s="33"/>
      <c r="AS692" s="33"/>
      <c r="AT692" s="33"/>
      <c r="AU692" s="33"/>
      <c r="AV692" s="33"/>
      <c r="AW692" s="33"/>
      <c r="AX692" s="33"/>
      <c r="AY692" s="33"/>
      <c r="AZ692" s="192"/>
      <c r="BA692" s="192"/>
      <c r="BB692" s="192"/>
      <c r="BC692" s="192"/>
    </row>
    <row r="693" spans="42:55" ht="21.75">
      <c r="AP693" s="33"/>
      <c r="AQ693" s="33"/>
      <c r="AR693" s="33"/>
      <c r="AS693" s="33"/>
      <c r="AT693" s="33"/>
      <c r="AU693" s="33"/>
      <c r="AV693" s="33"/>
      <c r="AW693" s="33"/>
      <c r="AX693" s="33"/>
      <c r="AY693" s="33"/>
      <c r="AZ693" s="192"/>
      <c r="BA693" s="192"/>
      <c r="BB693" s="192"/>
      <c r="BC693" s="192"/>
    </row>
    <row r="694" spans="42:55" ht="21.75">
      <c r="AP694" s="33"/>
      <c r="AQ694" s="33"/>
      <c r="AR694" s="33"/>
      <c r="AS694" s="33"/>
      <c r="AT694" s="33"/>
      <c r="AU694" s="33"/>
      <c r="AV694" s="33"/>
      <c r="AW694" s="33"/>
      <c r="AX694" s="33"/>
      <c r="AY694" s="33"/>
      <c r="AZ694" s="192"/>
      <c r="BA694" s="192"/>
      <c r="BB694" s="192"/>
      <c r="BC694" s="192"/>
    </row>
    <row r="695" spans="42:55" ht="21.75">
      <c r="AP695" s="33"/>
      <c r="AQ695" s="33"/>
      <c r="AR695" s="33"/>
      <c r="AS695" s="33"/>
      <c r="AT695" s="33"/>
      <c r="AU695" s="33"/>
      <c r="AV695" s="33"/>
      <c r="AW695" s="33"/>
      <c r="AX695" s="33"/>
      <c r="AY695" s="33"/>
      <c r="AZ695" s="192"/>
      <c r="BA695" s="192"/>
      <c r="BB695" s="192"/>
      <c r="BC695" s="192"/>
    </row>
    <row r="696" spans="42:55" ht="21.75">
      <c r="AP696" s="33"/>
      <c r="AQ696" s="33"/>
      <c r="AR696" s="33"/>
      <c r="AS696" s="33"/>
      <c r="AT696" s="33"/>
      <c r="AU696" s="33"/>
      <c r="AV696" s="33"/>
      <c r="AW696" s="33"/>
      <c r="AX696" s="33"/>
      <c r="AY696" s="33"/>
      <c r="AZ696" s="192"/>
      <c r="BA696" s="192"/>
      <c r="BB696" s="192"/>
      <c r="BC696" s="192"/>
    </row>
    <row r="697" spans="42:55" ht="21.75">
      <c r="AP697" s="33"/>
      <c r="AQ697" s="33"/>
      <c r="AR697" s="33"/>
      <c r="AS697" s="33"/>
      <c r="AT697" s="33"/>
      <c r="AU697" s="33"/>
      <c r="AV697" s="33"/>
      <c r="AW697" s="33"/>
      <c r="AX697" s="33"/>
      <c r="AY697" s="33"/>
      <c r="AZ697" s="192"/>
      <c r="BA697" s="192"/>
      <c r="BB697" s="192"/>
      <c r="BC697" s="192"/>
    </row>
    <row r="698" spans="42:55" ht="21.75">
      <c r="AP698" s="33"/>
      <c r="AQ698" s="33"/>
      <c r="AR698" s="33"/>
      <c r="AS698" s="33"/>
      <c r="AT698" s="33"/>
      <c r="AU698" s="33"/>
      <c r="AV698" s="33"/>
      <c r="AW698" s="33"/>
      <c r="AX698" s="33"/>
      <c r="AY698" s="33"/>
      <c r="AZ698" s="192"/>
      <c r="BA698" s="192"/>
      <c r="BB698" s="192"/>
      <c r="BC698" s="192"/>
    </row>
    <row r="699" spans="42:55" ht="21.75">
      <c r="AP699" s="33"/>
      <c r="AQ699" s="33"/>
      <c r="AR699" s="33"/>
      <c r="AS699" s="33"/>
      <c r="AT699" s="33"/>
      <c r="AU699" s="33"/>
      <c r="AV699" s="33"/>
      <c r="AW699" s="33"/>
      <c r="AX699" s="33"/>
      <c r="AY699" s="33"/>
      <c r="AZ699" s="192"/>
      <c r="BA699" s="192"/>
      <c r="BB699" s="192"/>
      <c r="BC699" s="192"/>
    </row>
    <row r="700" spans="42:55" ht="21.75">
      <c r="AP700" s="33"/>
      <c r="AQ700" s="33"/>
      <c r="AR700" s="33"/>
      <c r="AS700" s="33"/>
      <c r="AT700" s="33"/>
      <c r="AU700" s="33"/>
      <c r="AV700" s="33"/>
      <c r="AW700" s="33"/>
      <c r="AX700" s="33"/>
      <c r="AY700" s="33"/>
      <c r="AZ700" s="192"/>
      <c r="BA700" s="192"/>
      <c r="BB700" s="192"/>
      <c r="BC700" s="192"/>
    </row>
    <row r="701" spans="42:55" ht="21.75">
      <c r="AP701" s="33"/>
      <c r="AQ701" s="33"/>
      <c r="AR701" s="33"/>
      <c r="AS701" s="33"/>
      <c r="AT701" s="33"/>
      <c r="AU701" s="33"/>
      <c r="AV701" s="33"/>
      <c r="AW701" s="33"/>
      <c r="AX701" s="33"/>
      <c r="AY701" s="33"/>
      <c r="AZ701" s="192"/>
      <c r="BA701" s="192"/>
      <c r="BB701" s="192"/>
      <c r="BC701" s="192"/>
    </row>
    <row r="702" spans="42:55" ht="21.75">
      <c r="AP702" s="33"/>
      <c r="AQ702" s="33"/>
      <c r="AR702" s="33"/>
      <c r="AS702" s="33"/>
      <c r="AT702" s="33"/>
      <c r="AU702" s="33"/>
      <c r="AV702" s="33"/>
      <c r="AW702" s="33"/>
      <c r="AX702" s="33"/>
      <c r="AY702" s="33"/>
      <c r="AZ702" s="192"/>
      <c r="BA702" s="192"/>
      <c r="BB702" s="192"/>
      <c r="BC702" s="192"/>
    </row>
    <row r="703" spans="42:55" ht="21.75">
      <c r="AP703" s="33"/>
      <c r="AQ703" s="33"/>
      <c r="AR703" s="33"/>
      <c r="AS703" s="33"/>
      <c r="AT703" s="33"/>
      <c r="AU703" s="33"/>
      <c r="AV703" s="33"/>
      <c r="AW703" s="33"/>
      <c r="AX703" s="33"/>
      <c r="AY703" s="33"/>
      <c r="AZ703" s="192"/>
      <c r="BA703" s="192"/>
      <c r="BB703" s="192"/>
      <c r="BC703" s="192"/>
    </row>
    <row r="704" spans="42:55" ht="21.75">
      <c r="AP704" s="33"/>
      <c r="AQ704" s="33"/>
      <c r="AR704" s="33"/>
      <c r="AS704" s="33"/>
      <c r="AT704" s="33"/>
      <c r="AU704" s="33"/>
      <c r="AV704" s="33"/>
      <c r="AW704" s="33"/>
      <c r="AX704" s="33"/>
      <c r="AY704" s="33"/>
      <c r="AZ704" s="192"/>
      <c r="BA704" s="192"/>
      <c r="BB704" s="192"/>
      <c r="BC704" s="192"/>
    </row>
    <row r="705" spans="42:55" ht="21.75">
      <c r="AP705" s="33"/>
      <c r="AQ705" s="33"/>
      <c r="AR705" s="33"/>
      <c r="AS705" s="33"/>
      <c r="AT705" s="33"/>
      <c r="AU705" s="33"/>
      <c r="AV705" s="33"/>
      <c r="AW705" s="33"/>
      <c r="AX705" s="33"/>
      <c r="AY705" s="33"/>
      <c r="AZ705" s="192"/>
      <c r="BA705" s="192"/>
      <c r="BB705" s="192"/>
      <c r="BC705" s="192"/>
    </row>
    <row r="706" spans="42:55" ht="21.75">
      <c r="AP706" s="33"/>
      <c r="AQ706" s="33"/>
      <c r="AR706" s="33"/>
      <c r="AS706" s="33"/>
      <c r="AT706" s="33"/>
      <c r="AU706" s="33"/>
      <c r="AV706" s="33"/>
      <c r="AW706" s="33"/>
      <c r="AX706" s="33"/>
      <c r="AY706" s="33"/>
      <c r="AZ706" s="192"/>
      <c r="BA706" s="192"/>
      <c r="BB706" s="192"/>
      <c r="BC706" s="192"/>
    </row>
    <row r="707" spans="42:55" ht="21.75">
      <c r="AP707" s="33"/>
      <c r="AQ707" s="33"/>
      <c r="AR707" s="33"/>
      <c r="AS707" s="33"/>
      <c r="AT707" s="33"/>
      <c r="AU707" s="33"/>
      <c r="AV707" s="33"/>
      <c r="AW707" s="33"/>
      <c r="AX707" s="33"/>
      <c r="AY707" s="33"/>
      <c r="AZ707" s="192"/>
      <c r="BA707" s="192"/>
      <c r="BB707" s="192"/>
      <c r="BC707" s="192"/>
    </row>
    <row r="708" spans="42:55" ht="21.75">
      <c r="AP708" s="33"/>
      <c r="AQ708" s="33"/>
      <c r="AR708" s="33"/>
      <c r="AS708" s="33"/>
      <c r="AT708" s="33"/>
      <c r="AU708" s="33"/>
      <c r="AV708" s="33"/>
      <c r="AW708" s="33"/>
      <c r="AX708" s="33"/>
      <c r="AY708" s="33"/>
      <c r="AZ708" s="192"/>
      <c r="BA708" s="192"/>
      <c r="BB708" s="192"/>
      <c r="BC708" s="192"/>
    </row>
    <row r="709" spans="42:55" ht="21.75">
      <c r="AP709" s="33"/>
      <c r="AQ709" s="33"/>
      <c r="AR709" s="33"/>
      <c r="AS709" s="33"/>
      <c r="AT709" s="33"/>
      <c r="AU709" s="33"/>
      <c r="AV709" s="33"/>
      <c r="AW709" s="33"/>
      <c r="AX709" s="33"/>
      <c r="AY709" s="33"/>
      <c r="AZ709" s="192"/>
      <c r="BA709" s="192"/>
      <c r="BB709" s="192"/>
      <c r="BC709" s="192"/>
    </row>
    <row r="710" spans="42:55" ht="21.75">
      <c r="AP710" s="33"/>
      <c r="AQ710" s="33"/>
      <c r="AR710" s="33"/>
      <c r="AS710" s="33"/>
      <c r="AT710" s="33"/>
      <c r="AU710" s="33"/>
      <c r="AV710" s="33"/>
      <c r="AW710" s="33"/>
      <c r="AX710" s="33"/>
      <c r="AY710" s="33"/>
      <c r="AZ710" s="192"/>
      <c r="BA710" s="192"/>
      <c r="BB710" s="192"/>
      <c r="BC710" s="192"/>
    </row>
    <row r="711" spans="42:55" ht="21.75">
      <c r="AP711" s="33"/>
      <c r="AQ711" s="33"/>
      <c r="AR711" s="33"/>
      <c r="AS711" s="33"/>
      <c r="AT711" s="33"/>
      <c r="AU711" s="33"/>
      <c r="AV711" s="33"/>
      <c r="AW711" s="33"/>
      <c r="AX711" s="33"/>
      <c r="AY711" s="33"/>
      <c r="AZ711" s="192"/>
      <c r="BA711" s="192"/>
      <c r="BB711" s="192"/>
      <c r="BC711" s="192"/>
    </row>
    <row r="712" spans="42:55" ht="21.75">
      <c r="AP712" s="33"/>
      <c r="AQ712" s="33"/>
      <c r="AR712" s="33"/>
      <c r="AS712" s="33"/>
      <c r="AT712" s="33"/>
      <c r="AU712" s="33"/>
      <c r="AV712" s="33"/>
      <c r="AW712" s="33"/>
      <c r="AX712" s="33"/>
      <c r="AY712" s="33"/>
      <c r="AZ712" s="192"/>
      <c r="BA712" s="192"/>
      <c r="BB712" s="192"/>
      <c r="BC712" s="192"/>
    </row>
    <row r="713" spans="42:55" ht="21.75">
      <c r="AP713" s="33"/>
      <c r="AQ713" s="33"/>
      <c r="AR713" s="33"/>
      <c r="AS713" s="33"/>
      <c r="AT713" s="33"/>
      <c r="AU713" s="33"/>
      <c r="AV713" s="33"/>
      <c r="AW713" s="33"/>
      <c r="AX713" s="33"/>
      <c r="AY713" s="33"/>
      <c r="AZ713" s="192"/>
      <c r="BA713" s="192"/>
      <c r="BB713" s="192"/>
      <c r="BC713" s="192"/>
    </row>
    <row r="714" spans="42:55" ht="21.75">
      <c r="AP714" s="33"/>
      <c r="AQ714" s="33"/>
      <c r="AR714" s="33"/>
      <c r="AS714" s="33"/>
      <c r="AT714" s="33"/>
      <c r="AU714" s="33"/>
      <c r="AV714" s="33"/>
      <c r="AW714" s="33"/>
      <c r="AX714" s="33"/>
      <c r="AY714" s="33"/>
      <c r="AZ714" s="192"/>
      <c r="BA714" s="192"/>
      <c r="BB714" s="192"/>
      <c r="BC714" s="192"/>
    </row>
    <row r="715" spans="42:55" ht="21.75">
      <c r="AP715" s="33"/>
      <c r="AQ715" s="33"/>
      <c r="AR715" s="33"/>
      <c r="AS715" s="33"/>
      <c r="AT715" s="33"/>
      <c r="AU715" s="33"/>
      <c r="AV715" s="33"/>
      <c r="AW715" s="33"/>
      <c r="AX715" s="33"/>
      <c r="AY715" s="33"/>
      <c r="AZ715" s="192"/>
      <c r="BA715" s="192"/>
      <c r="BB715" s="192"/>
      <c r="BC715" s="192"/>
    </row>
    <row r="716" spans="42:55" ht="21.75">
      <c r="AP716" s="33"/>
      <c r="AQ716" s="33"/>
      <c r="AR716" s="33"/>
      <c r="AS716" s="33"/>
      <c r="AT716" s="33"/>
      <c r="AU716" s="33"/>
      <c r="AV716" s="33"/>
      <c r="AW716" s="33"/>
      <c r="AX716" s="33"/>
      <c r="AY716" s="33"/>
      <c r="AZ716" s="192"/>
      <c r="BA716" s="192"/>
      <c r="BB716" s="192"/>
      <c r="BC716" s="192"/>
    </row>
    <row r="717" spans="42:55" ht="21.75">
      <c r="AP717" s="33"/>
      <c r="AQ717" s="33"/>
      <c r="AR717" s="33"/>
      <c r="AS717" s="33"/>
      <c r="AT717" s="33"/>
      <c r="AU717" s="33"/>
      <c r="AV717" s="33"/>
      <c r="AW717" s="33"/>
      <c r="AX717" s="33"/>
      <c r="AY717" s="33"/>
      <c r="AZ717" s="192"/>
      <c r="BA717" s="192"/>
      <c r="BB717" s="192"/>
      <c r="BC717" s="192"/>
    </row>
    <row r="718" spans="42:55" ht="21.75">
      <c r="AP718" s="33"/>
      <c r="AQ718" s="33"/>
      <c r="AR718" s="33"/>
      <c r="AS718" s="33"/>
      <c r="AT718" s="33"/>
      <c r="AU718" s="33"/>
      <c r="AV718" s="33"/>
      <c r="AW718" s="33"/>
      <c r="AX718" s="33"/>
      <c r="AY718" s="33"/>
      <c r="AZ718" s="192"/>
      <c r="BA718" s="192"/>
      <c r="BB718" s="192"/>
      <c r="BC718" s="192"/>
    </row>
    <row r="719" spans="42:55" ht="21.75">
      <c r="AP719" s="33"/>
      <c r="AQ719" s="33"/>
      <c r="AR719" s="33"/>
      <c r="AS719" s="33"/>
      <c r="AT719" s="33"/>
      <c r="AU719" s="33"/>
      <c r="AV719" s="33"/>
      <c r="AW719" s="33"/>
      <c r="AX719" s="33"/>
      <c r="AY719" s="33"/>
      <c r="AZ719" s="192"/>
      <c r="BA719" s="192"/>
      <c r="BB719" s="192"/>
      <c r="BC719" s="192"/>
    </row>
    <row r="720" spans="42:55" ht="21.75">
      <c r="AP720" s="33"/>
      <c r="AQ720" s="33"/>
      <c r="AR720" s="33"/>
      <c r="AS720" s="33"/>
      <c r="AT720" s="33"/>
      <c r="AU720" s="33"/>
      <c r="AV720" s="33"/>
      <c r="AW720" s="33"/>
      <c r="AX720" s="33"/>
      <c r="AY720" s="33"/>
      <c r="AZ720" s="192"/>
      <c r="BA720" s="192"/>
      <c r="BB720" s="192"/>
      <c r="BC720" s="192"/>
    </row>
    <row r="721" spans="42:55" ht="21.75">
      <c r="AP721" s="33"/>
      <c r="AQ721" s="33"/>
      <c r="AR721" s="33"/>
      <c r="AS721" s="33"/>
      <c r="AT721" s="33"/>
      <c r="AU721" s="33"/>
      <c r="AV721" s="33"/>
      <c r="AW721" s="33"/>
      <c r="AX721" s="33"/>
      <c r="AY721" s="33"/>
      <c r="AZ721" s="192"/>
      <c r="BA721" s="192"/>
      <c r="BB721" s="192"/>
      <c r="BC721" s="192"/>
    </row>
    <row r="722" spans="42:55" ht="21.75">
      <c r="AP722" s="33"/>
      <c r="AQ722" s="33"/>
      <c r="AR722" s="33"/>
      <c r="AS722" s="33"/>
      <c r="AT722" s="33"/>
      <c r="AU722" s="33"/>
      <c r="AV722" s="33"/>
      <c r="AW722" s="33"/>
      <c r="AX722" s="33"/>
      <c r="AY722" s="33"/>
      <c r="AZ722" s="192"/>
      <c r="BA722" s="192"/>
      <c r="BB722" s="192"/>
      <c r="BC722" s="192"/>
    </row>
    <row r="723" spans="42:55" ht="21.75">
      <c r="AP723" s="33"/>
      <c r="AQ723" s="33"/>
      <c r="AR723" s="33"/>
      <c r="AS723" s="33"/>
      <c r="AT723" s="33"/>
      <c r="AU723" s="33"/>
      <c r="AV723" s="33"/>
      <c r="AW723" s="33"/>
      <c r="AX723" s="33"/>
      <c r="AY723" s="33"/>
      <c r="AZ723" s="192"/>
      <c r="BA723" s="192"/>
      <c r="BB723" s="192"/>
      <c r="BC723" s="192"/>
    </row>
    <row r="724" spans="42:55" ht="21.75">
      <c r="AP724" s="33"/>
      <c r="AQ724" s="33"/>
      <c r="AR724" s="33"/>
      <c r="AS724" s="33"/>
      <c r="AT724" s="33"/>
      <c r="AU724" s="33"/>
      <c r="AV724" s="33"/>
      <c r="AW724" s="33"/>
      <c r="AX724" s="33"/>
      <c r="AY724" s="33"/>
      <c r="AZ724" s="192"/>
      <c r="BA724" s="192"/>
      <c r="BB724" s="192"/>
      <c r="BC724" s="192"/>
    </row>
    <row r="725" spans="42:55" ht="21.75">
      <c r="AP725" s="33"/>
      <c r="AQ725" s="33"/>
      <c r="AR725" s="33"/>
      <c r="AS725" s="33"/>
      <c r="AT725" s="33"/>
      <c r="AU725" s="33"/>
      <c r="AV725" s="33"/>
      <c r="AW725" s="33"/>
      <c r="AX725" s="33"/>
      <c r="AY725" s="33"/>
      <c r="AZ725" s="192"/>
      <c r="BA725" s="192"/>
      <c r="BB725" s="192"/>
      <c r="BC725" s="192"/>
    </row>
    <row r="726" spans="42:55" ht="21.75">
      <c r="AP726" s="33"/>
      <c r="AQ726" s="33"/>
      <c r="AR726" s="33"/>
      <c r="AS726" s="33"/>
      <c r="AT726" s="33"/>
      <c r="AU726" s="33"/>
      <c r="AV726" s="33"/>
      <c r="AW726" s="33"/>
      <c r="AX726" s="33"/>
      <c r="AY726" s="33"/>
      <c r="AZ726" s="192"/>
      <c r="BA726" s="192"/>
      <c r="BB726" s="192"/>
      <c r="BC726" s="192"/>
    </row>
    <row r="727" spans="42:55" ht="21.75">
      <c r="AP727" s="33"/>
      <c r="AQ727" s="33"/>
      <c r="AR727" s="33"/>
      <c r="AS727" s="33"/>
      <c r="AT727" s="33"/>
      <c r="AU727" s="33"/>
      <c r="AV727" s="33"/>
      <c r="AW727" s="33"/>
      <c r="AX727" s="33"/>
      <c r="AY727" s="33"/>
      <c r="AZ727" s="192"/>
      <c r="BA727" s="192"/>
      <c r="BB727" s="192"/>
      <c r="BC727" s="192"/>
    </row>
    <row r="728" spans="42:55" ht="21.75">
      <c r="AP728" s="33"/>
      <c r="AQ728" s="33"/>
      <c r="AR728" s="33"/>
      <c r="AS728" s="33"/>
      <c r="AT728" s="33"/>
      <c r="AU728" s="33"/>
      <c r="AV728" s="33"/>
      <c r="AW728" s="33"/>
      <c r="AX728" s="33"/>
      <c r="AY728" s="33"/>
      <c r="AZ728" s="192"/>
      <c r="BA728" s="192"/>
      <c r="BB728" s="192"/>
      <c r="BC728" s="192"/>
    </row>
    <row r="729" spans="42:55" ht="21.75">
      <c r="AP729" s="33"/>
      <c r="AQ729" s="33"/>
      <c r="AR729" s="33"/>
      <c r="AS729" s="33"/>
      <c r="AT729" s="33"/>
      <c r="AU729" s="33"/>
      <c r="AV729" s="33"/>
      <c r="AW729" s="33"/>
      <c r="AX729" s="33"/>
      <c r="AY729" s="33"/>
      <c r="AZ729" s="192"/>
      <c r="BA729" s="192"/>
      <c r="BB729" s="192"/>
      <c r="BC729" s="192"/>
    </row>
    <row r="730" spans="42:55" ht="21.75">
      <c r="AP730" s="33"/>
      <c r="AQ730" s="33"/>
      <c r="AR730" s="33"/>
      <c r="AS730" s="33"/>
      <c r="AT730" s="33"/>
      <c r="AU730" s="33"/>
      <c r="AV730" s="33"/>
      <c r="AW730" s="33"/>
      <c r="AX730" s="33"/>
      <c r="AY730" s="33"/>
      <c r="AZ730" s="192"/>
      <c r="BA730" s="192"/>
      <c r="BB730" s="192"/>
      <c r="BC730" s="192"/>
    </row>
    <row r="731" spans="42:55" ht="21.75">
      <c r="AP731" s="33"/>
      <c r="AQ731" s="33"/>
      <c r="AR731" s="33"/>
      <c r="AS731" s="33"/>
      <c r="AT731" s="33"/>
      <c r="AU731" s="33"/>
      <c r="AV731" s="33"/>
      <c r="AW731" s="33"/>
      <c r="AX731" s="33"/>
      <c r="AY731" s="33"/>
      <c r="AZ731" s="192"/>
      <c r="BA731" s="192"/>
      <c r="BB731" s="192"/>
      <c r="BC731" s="192"/>
    </row>
    <row r="732" spans="42:55" ht="21.75">
      <c r="AP732" s="33"/>
      <c r="AQ732" s="33"/>
      <c r="AR732" s="33"/>
      <c r="AS732" s="33"/>
      <c r="AT732" s="33"/>
      <c r="AU732" s="33"/>
      <c r="AV732" s="33"/>
      <c r="AW732" s="33"/>
      <c r="AX732" s="33"/>
      <c r="AY732" s="33"/>
      <c r="AZ732" s="192"/>
      <c r="BA732" s="192"/>
      <c r="BB732" s="192"/>
      <c r="BC732" s="192"/>
    </row>
    <row r="733" spans="42:55" ht="21.75">
      <c r="AP733" s="33"/>
      <c r="AQ733" s="33"/>
      <c r="AR733" s="33"/>
      <c r="AS733" s="33"/>
      <c r="AT733" s="33"/>
      <c r="AU733" s="33"/>
      <c r="AV733" s="33"/>
      <c r="AW733" s="33"/>
      <c r="AX733" s="33"/>
      <c r="AY733" s="33"/>
      <c r="AZ733" s="192"/>
      <c r="BA733" s="192"/>
      <c r="BB733" s="192"/>
      <c r="BC733" s="192"/>
    </row>
    <row r="734" spans="42:55" ht="21.75">
      <c r="AP734" s="33"/>
      <c r="AQ734" s="33"/>
      <c r="AR734" s="33"/>
      <c r="AS734" s="33"/>
      <c r="AT734" s="33"/>
      <c r="AU734" s="33"/>
      <c r="AV734" s="33"/>
      <c r="AW734" s="33"/>
      <c r="AX734" s="33"/>
      <c r="AY734" s="33"/>
      <c r="AZ734" s="192"/>
      <c r="BA734" s="192"/>
      <c r="BB734" s="192"/>
      <c r="BC734" s="192"/>
    </row>
    <row r="735" spans="42:55" ht="21.75">
      <c r="AP735" s="33"/>
      <c r="AQ735" s="33"/>
      <c r="AR735" s="33"/>
      <c r="AS735" s="33"/>
      <c r="AT735" s="33"/>
      <c r="AU735" s="33"/>
      <c r="AV735" s="33"/>
      <c r="AW735" s="33"/>
      <c r="AX735" s="33"/>
      <c r="AY735" s="33"/>
      <c r="AZ735" s="192"/>
      <c r="BA735" s="192"/>
      <c r="BB735" s="192"/>
      <c r="BC735" s="192"/>
    </row>
    <row r="736" spans="42:55" ht="21.75">
      <c r="AP736" s="33"/>
      <c r="AQ736" s="33"/>
      <c r="AR736" s="33"/>
      <c r="AS736" s="33"/>
      <c r="AT736" s="33"/>
      <c r="AU736" s="33"/>
      <c r="AV736" s="33"/>
      <c r="AW736" s="33"/>
      <c r="AX736" s="33"/>
      <c r="AY736" s="33"/>
      <c r="AZ736" s="192"/>
      <c r="BA736" s="192"/>
      <c r="BB736" s="192"/>
      <c r="BC736" s="192"/>
    </row>
    <row r="737" spans="42:55" ht="21.75">
      <c r="AP737" s="33"/>
      <c r="AQ737" s="33"/>
      <c r="AR737" s="33"/>
      <c r="AS737" s="33"/>
      <c r="AT737" s="33"/>
      <c r="AU737" s="33"/>
      <c r="AV737" s="33"/>
      <c r="AW737" s="33"/>
      <c r="AX737" s="33"/>
      <c r="AY737" s="33"/>
      <c r="AZ737" s="192"/>
      <c r="BA737" s="192"/>
      <c r="BB737" s="192"/>
      <c r="BC737" s="192"/>
    </row>
    <row r="738" spans="42:55" ht="21.75">
      <c r="AP738" s="33"/>
      <c r="AQ738" s="33"/>
      <c r="AR738" s="33"/>
      <c r="AS738" s="33"/>
      <c r="AT738" s="33"/>
      <c r="AU738" s="33"/>
      <c r="AV738" s="33"/>
      <c r="AW738" s="33"/>
      <c r="AX738" s="33"/>
      <c r="AY738" s="33"/>
      <c r="AZ738" s="192"/>
      <c r="BA738" s="192"/>
      <c r="BB738" s="192"/>
      <c r="BC738" s="192"/>
    </row>
    <row r="739" spans="42:55" ht="21.75">
      <c r="AP739" s="33"/>
      <c r="AQ739" s="33"/>
      <c r="AR739" s="33"/>
      <c r="AS739" s="33"/>
      <c r="AT739" s="33"/>
      <c r="AU739" s="33"/>
      <c r="AV739" s="33"/>
      <c r="AW739" s="33"/>
      <c r="AX739" s="33"/>
      <c r="AY739" s="33"/>
      <c r="AZ739" s="192"/>
      <c r="BA739" s="192"/>
      <c r="BB739" s="192"/>
      <c r="BC739" s="192"/>
    </row>
    <row r="740" spans="42:55" ht="21.75">
      <c r="AP740" s="33"/>
      <c r="AQ740" s="33"/>
      <c r="AR740" s="33"/>
      <c r="AS740" s="33"/>
      <c r="AT740" s="33"/>
      <c r="AU740" s="33"/>
      <c r="AV740" s="33"/>
      <c r="AW740" s="33"/>
      <c r="AX740" s="33"/>
      <c r="AY740" s="33"/>
      <c r="AZ740" s="192"/>
      <c r="BA740" s="192"/>
      <c r="BB740" s="192"/>
      <c r="BC740" s="192"/>
    </row>
    <row r="741" spans="42:55" ht="21.75">
      <c r="AP741" s="33"/>
      <c r="AQ741" s="33"/>
      <c r="AR741" s="33"/>
      <c r="AS741" s="33"/>
      <c r="AT741" s="33"/>
      <c r="AU741" s="33"/>
      <c r="AV741" s="33"/>
      <c r="AW741" s="33"/>
      <c r="AX741" s="33"/>
      <c r="AY741" s="33"/>
      <c r="AZ741" s="192"/>
      <c r="BA741" s="192"/>
      <c r="BB741" s="192"/>
      <c r="BC741" s="192"/>
    </row>
    <row r="742" spans="42:55">
      <c r="AP742" s="33"/>
      <c r="AQ742" s="33"/>
      <c r="AR742" s="33"/>
      <c r="AS742" s="33"/>
      <c r="AT742" s="33"/>
      <c r="AU742" s="33"/>
      <c r="AV742" s="33"/>
      <c r="AW742" s="33"/>
      <c r="AX742" s="33"/>
      <c r="AY742" s="33"/>
      <c r="AZ742" s="33"/>
      <c r="BA742" s="33"/>
      <c r="BB742" s="33"/>
      <c r="BC742" s="33"/>
    </row>
    <row r="743" spans="42:55">
      <c r="AP743" s="33"/>
      <c r="AQ743" s="33"/>
      <c r="AR743" s="33"/>
      <c r="AS743" s="33"/>
      <c r="AT743" s="33"/>
      <c r="AU743" s="33"/>
      <c r="AV743" s="33"/>
      <c r="AW743" s="33"/>
      <c r="AX743" s="33"/>
      <c r="AY743" s="33"/>
      <c r="AZ743" s="33"/>
      <c r="BA743" s="33"/>
      <c r="BB743" s="33"/>
      <c r="BC743" s="33"/>
    </row>
    <row r="744" spans="42:55">
      <c r="AP744" s="33"/>
      <c r="AQ744" s="33"/>
      <c r="AR744" s="33"/>
      <c r="AS744" s="33"/>
      <c r="AT744" s="33"/>
      <c r="AU744" s="33"/>
      <c r="AV744" s="33"/>
      <c r="AW744" s="33"/>
      <c r="AX744" s="33"/>
      <c r="AY744" s="33"/>
      <c r="AZ744" s="33"/>
      <c r="BA744" s="33"/>
      <c r="BB744" s="33"/>
      <c r="BC744" s="3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JK49"/>
  <sheetViews>
    <sheetView workbookViewId="0">
      <selection activeCell="J7" sqref="J7"/>
    </sheetView>
  </sheetViews>
  <sheetFormatPr defaultRowHeight="15"/>
  <sheetData>
    <row r="1" spans="1:271" ht="32.25">
      <c r="A1" s="889"/>
      <c r="B1" s="890"/>
      <c r="C1" s="891"/>
      <c r="D1" s="891"/>
      <c r="E1" s="891"/>
      <c r="F1" s="891"/>
      <c r="G1" s="891"/>
      <c r="H1" s="892"/>
      <c r="I1" s="801"/>
      <c r="J1" s="871"/>
      <c r="K1" s="872"/>
      <c r="L1" s="872"/>
      <c r="M1" s="872"/>
      <c r="N1" s="872"/>
      <c r="O1" s="873"/>
      <c r="P1" s="900"/>
      <c r="Q1" s="875"/>
      <c r="R1" s="875"/>
      <c r="S1" s="823" t="s">
        <v>3563</v>
      </c>
      <c r="T1" s="821"/>
      <c r="U1" s="821"/>
      <c r="V1" s="821"/>
      <c r="W1" s="821"/>
      <c r="X1" s="821"/>
      <c r="Y1" s="877"/>
      <c r="Z1" s="877"/>
      <c r="AA1" s="813" t="s">
        <v>3564</v>
      </c>
      <c r="AB1" s="878"/>
      <c r="AC1" s="881"/>
      <c r="AD1" s="882"/>
      <c r="AE1" s="882"/>
      <c r="AF1" s="882"/>
      <c r="AG1" s="883"/>
      <c r="AH1" s="894"/>
      <c r="AI1" s="895"/>
      <c r="AJ1" s="797"/>
      <c r="AK1" s="856" t="s">
        <v>3565</v>
      </c>
      <c r="AL1" s="857"/>
      <c r="AM1" s="857"/>
      <c r="AN1" s="857"/>
      <c r="AO1" s="857"/>
      <c r="AP1" s="858"/>
      <c r="AQ1" s="859" t="s">
        <v>3566</v>
      </c>
      <c r="AR1" s="862"/>
      <c r="AS1" s="859"/>
      <c r="AT1" s="859"/>
      <c r="AU1" s="860"/>
      <c r="AV1" s="858"/>
      <c r="AW1" s="861"/>
      <c r="AX1" s="845"/>
      <c r="AY1" s="856" t="s">
        <v>3565</v>
      </c>
      <c r="AZ1" s="857"/>
      <c r="BA1" s="857"/>
      <c r="BB1" s="857"/>
      <c r="BC1" s="857"/>
      <c r="BD1" s="858"/>
      <c r="BE1" s="859" t="s">
        <v>3567</v>
      </c>
      <c r="BF1" s="862"/>
      <c r="BG1" s="859"/>
      <c r="BH1" s="862"/>
      <c r="BI1" s="860"/>
      <c r="BJ1" s="858"/>
      <c r="BK1" s="861"/>
      <c r="BL1" s="863"/>
      <c r="BM1" s="863"/>
      <c r="BN1" s="845"/>
      <c r="BO1" s="826"/>
      <c r="BP1" s="849" t="s">
        <v>3568</v>
      </c>
      <c r="BQ1" s="815"/>
      <c r="BR1" s="808"/>
      <c r="BS1" s="815"/>
      <c r="BT1" s="815"/>
      <c r="BU1" s="815"/>
      <c r="BV1" s="815"/>
      <c r="BW1" s="815"/>
      <c r="BX1" s="815"/>
      <c r="BY1" s="815"/>
      <c r="BZ1" s="815"/>
      <c r="CA1" s="815"/>
      <c r="CB1" s="815"/>
      <c r="CC1" s="815"/>
      <c r="CD1" s="815"/>
      <c r="CE1" s="815"/>
      <c r="CF1" s="816"/>
      <c r="CG1" s="846"/>
      <c r="CH1" s="821" t="s">
        <v>3569</v>
      </c>
      <c r="CI1" s="821"/>
      <c r="CJ1" s="825"/>
      <c r="CK1" s="846"/>
      <c r="CL1" s="813" t="s">
        <v>3570</v>
      </c>
      <c r="CM1" s="825"/>
      <c r="CN1" s="825"/>
      <c r="CO1" s="825"/>
      <c r="CP1" s="825"/>
      <c r="CQ1" s="825"/>
      <c r="CR1" s="825"/>
      <c r="CS1" s="884" t="s">
        <v>3763</v>
      </c>
      <c r="CT1" s="811"/>
      <c r="CU1" s="811"/>
      <c r="CV1" s="811"/>
      <c r="CW1" s="811"/>
      <c r="CX1" s="811"/>
      <c r="CY1" s="811"/>
      <c r="CZ1" s="885"/>
      <c r="DA1" s="828"/>
      <c r="DB1" s="866" t="s">
        <v>3764</v>
      </c>
      <c r="DC1" s="888"/>
      <c r="DD1" s="888"/>
      <c r="DE1" s="828"/>
      <c r="DF1" s="836" t="s">
        <v>3571</v>
      </c>
      <c r="DG1" s="837"/>
      <c r="DH1" s="837"/>
      <c r="DI1" s="837"/>
      <c r="DJ1" s="837"/>
      <c r="DK1" s="837"/>
      <c r="DL1" s="837"/>
      <c r="DM1" s="837"/>
      <c r="DN1" s="837"/>
      <c r="DO1" s="837"/>
      <c r="DP1" s="837"/>
      <c r="DQ1" s="837"/>
      <c r="DR1" s="797"/>
      <c r="DS1" s="828"/>
      <c r="DT1" s="844" t="s">
        <v>3572</v>
      </c>
      <c r="DU1" s="841"/>
      <c r="DV1" s="841"/>
      <c r="DW1" s="841"/>
      <c r="DX1" s="841"/>
      <c r="DY1" s="841"/>
      <c r="DZ1" s="841"/>
      <c r="EA1" s="841"/>
      <c r="EB1" s="841"/>
      <c r="EC1" s="841"/>
      <c r="ED1" s="841"/>
      <c r="EE1" s="841"/>
      <c r="EF1" s="841"/>
      <c r="EG1" s="841"/>
      <c r="EH1" s="841"/>
      <c r="EI1" s="841"/>
      <c r="EJ1" s="830"/>
      <c r="EK1" s="830"/>
      <c r="EL1" s="830"/>
      <c r="EM1" s="830"/>
      <c r="EN1" s="830"/>
      <c r="EO1" s="830"/>
      <c r="EP1" s="830"/>
      <c r="EQ1" s="830"/>
      <c r="ER1" s="830"/>
      <c r="ES1" s="830"/>
      <c r="ET1" s="830"/>
      <c r="EU1" s="830"/>
      <c r="EV1" s="830"/>
      <c r="EW1" s="830"/>
      <c r="EX1" s="830"/>
      <c r="EY1" s="830"/>
      <c r="EZ1" s="830"/>
      <c r="FA1" s="830"/>
      <c r="FB1" s="830"/>
      <c r="FC1" s="830"/>
      <c r="FD1" s="830"/>
      <c r="FE1" s="830"/>
      <c r="FF1" s="830"/>
      <c r="FG1" s="830"/>
      <c r="FH1" s="830"/>
      <c r="FI1" s="830"/>
      <c r="FJ1" s="830"/>
      <c r="FK1" s="830"/>
      <c r="FL1" s="830"/>
      <c r="FM1" s="830"/>
      <c r="FN1" s="830"/>
      <c r="FO1" s="830"/>
      <c r="FP1" s="830"/>
      <c r="FQ1" s="830"/>
      <c r="FR1" s="830"/>
      <c r="FS1" s="830"/>
      <c r="FT1" s="830"/>
      <c r="FU1" s="830"/>
      <c r="FV1" s="830"/>
      <c r="FW1" s="830"/>
      <c r="FX1" s="830"/>
      <c r="FY1" s="830"/>
      <c r="FZ1" s="830"/>
      <c r="GA1" s="830"/>
      <c r="GB1" s="830"/>
      <c r="GC1" s="830"/>
      <c r="GD1" s="830"/>
      <c r="GE1" s="830"/>
      <c r="GF1" s="830"/>
      <c r="GG1" s="830"/>
      <c r="GH1" s="830"/>
      <c r="GI1" s="830"/>
      <c r="GJ1" s="830"/>
      <c r="GK1" s="830"/>
      <c r="GL1" s="830"/>
      <c r="GM1" s="830"/>
      <c r="GN1" s="830"/>
      <c r="GO1" s="830"/>
      <c r="GP1" s="830"/>
      <c r="GQ1" s="830"/>
      <c r="GR1" s="830"/>
      <c r="GS1" s="830"/>
      <c r="GT1" s="830"/>
      <c r="GU1" s="830"/>
      <c r="GV1" s="830"/>
      <c r="GW1" s="830"/>
      <c r="GX1" s="830"/>
      <c r="GY1" s="830"/>
      <c r="GZ1" s="830"/>
      <c r="HA1" s="830"/>
      <c r="HB1" s="830"/>
      <c r="HC1" s="830"/>
      <c r="HD1" s="830"/>
      <c r="HE1" s="830"/>
      <c r="HF1" s="830"/>
      <c r="HG1" s="830"/>
      <c r="HH1" s="830"/>
      <c r="HI1" s="830"/>
      <c r="HJ1" s="830"/>
      <c r="HK1" s="830"/>
      <c r="HL1" s="830"/>
      <c r="HM1" s="830"/>
      <c r="HN1" s="830"/>
      <c r="HO1" s="830"/>
      <c r="HP1" s="830"/>
      <c r="HQ1" s="830"/>
      <c r="HR1" s="830"/>
      <c r="HS1" s="830"/>
      <c r="HT1" s="830"/>
      <c r="HU1" s="830"/>
      <c r="HV1" s="830"/>
      <c r="HW1" s="830"/>
      <c r="HX1" s="830"/>
      <c r="HY1" s="830"/>
      <c r="HZ1" s="830"/>
      <c r="IA1" s="830"/>
      <c r="IB1" s="830"/>
      <c r="IC1" s="831"/>
      <c r="ID1" s="852"/>
      <c r="IE1" s="852"/>
      <c r="IF1" s="852"/>
      <c r="IG1" s="852"/>
      <c r="IH1" s="852"/>
      <c r="II1" s="852"/>
      <c r="IJ1" s="852"/>
      <c r="IK1" s="852"/>
      <c r="IL1" s="852"/>
      <c r="IM1" s="852"/>
      <c r="IN1" s="852"/>
      <c r="IO1" s="852"/>
      <c r="IP1" s="829"/>
      <c r="IQ1" s="829"/>
      <c r="IR1" s="829"/>
      <c r="IS1" s="829"/>
      <c r="IT1" s="829"/>
      <c r="IU1" s="829"/>
      <c r="IV1" s="829"/>
      <c r="IW1" s="829"/>
      <c r="IX1" s="829"/>
      <c r="IY1" s="829"/>
      <c r="IZ1" s="829"/>
      <c r="JA1" s="829"/>
      <c r="JB1" s="829"/>
      <c r="JC1" s="797"/>
      <c r="JD1" s="797"/>
      <c r="JE1" s="797"/>
      <c r="JF1" s="797"/>
      <c r="JG1" s="797"/>
      <c r="JH1" s="797"/>
      <c r="JI1" s="797"/>
      <c r="JJ1" s="797"/>
      <c r="JK1" s="797"/>
    </row>
    <row r="2" spans="1:271" ht="32.25">
      <c r="A2" s="879"/>
      <c r="B2" s="879"/>
      <c r="C2" s="879"/>
      <c r="D2" s="879"/>
      <c r="E2" s="879"/>
      <c r="F2" s="879"/>
      <c r="G2" s="879"/>
      <c r="H2" s="879"/>
      <c r="I2" s="799"/>
      <c r="J2" s="874"/>
      <c r="K2" s="874"/>
      <c r="L2" s="874"/>
      <c r="M2" s="874"/>
      <c r="N2" s="874"/>
      <c r="O2" s="874"/>
      <c r="P2" s="875"/>
      <c r="Q2" s="874"/>
      <c r="R2" s="874"/>
      <c r="S2" s="838" t="s">
        <v>3573</v>
      </c>
      <c r="T2" s="880" t="s">
        <v>1501</v>
      </c>
      <c r="U2" s="880" t="s">
        <v>1502</v>
      </c>
      <c r="V2" s="880" t="s">
        <v>1503</v>
      </c>
      <c r="W2" s="838" t="s">
        <v>3574</v>
      </c>
      <c r="X2" s="880" t="s">
        <v>219</v>
      </c>
      <c r="Y2" s="880" t="s">
        <v>1502</v>
      </c>
      <c r="Z2" s="880" t="s">
        <v>1503</v>
      </c>
      <c r="AA2" s="813" t="s">
        <v>3577</v>
      </c>
      <c r="AB2" s="876" t="s">
        <v>3578</v>
      </c>
      <c r="AC2" s="827" t="s">
        <v>3579</v>
      </c>
      <c r="AD2" s="896"/>
      <c r="AE2" s="896"/>
      <c r="AF2" s="896"/>
      <c r="AG2" s="897"/>
      <c r="AH2" s="898"/>
      <c r="AI2" s="899"/>
      <c r="AJ2" s="797"/>
      <c r="AK2" s="819" t="s">
        <v>3580</v>
      </c>
      <c r="AL2" s="834" t="s">
        <v>3581</v>
      </c>
      <c r="AM2" s="803" t="s">
        <v>150</v>
      </c>
      <c r="AN2" s="813" t="s">
        <v>3582</v>
      </c>
      <c r="AO2" s="854"/>
      <c r="AP2" s="864"/>
      <c r="AQ2" s="813"/>
      <c r="AR2" s="813"/>
      <c r="AS2" s="813"/>
      <c r="AT2" s="821"/>
      <c r="AU2" s="816"/>
      <c r="AV2" s="816"/>
      <c r="AW2" s="816"/>
      <c r="AX2" s="845"/>
      <c r="AY2" s="819" t="s">
        <v>3580</v>
      </c>
      <c r="AZ2" s="834" t="s">
        <v>3581</v>
      </c>
      <c r="BA2" s="803" t="s">
        <v>150</v>
      </c>
      <c r="BB2" s="813" t="s">
        <v>3583</v>
      </c>
      <c r="BC2" s="864"/>
      <c r="BD2" s="864"/>
      <c r="BE2" s="813"/>
      <c r="BF2" s="813"/>
      <c r="BG2" s="813"/>
      <c r="BH2" s="813"/>
      <c r="BI2" s="813"/>
      <c r="BJ2" s="808"/>
      <c r="BK2" s="808"/>
      <c r="BL2" s="808"/>
      <c r="BM2" s="808"/>
      <c r="BN2" s="845"/>
      <c r="BO2" s="819" t="s">
        <v>3580</v>
      </c>
      <c r="BP2" s="834" t="s">
        <v>3581</v>
      </c>
      <c r="BQ2" s="832" t="s">
        <v>150</v>
      </c>
      <c r="BR2" s="832" t="s">
        <v>152</v>
      </c>
      <c r="BS2" s="832" t="s">
        <v>153</v>
      </c>
      <c r="BT2" s="832" t="s">
        <v>154</v>
      </c>
      <c r="BU2" s="832" t="s">
        <v>149</v>
      </c>
      <c r="BV2" s="832" t="s">
        <v>3584</v>
      </c>
      <c r="BW2" s="832" t="s">
        <v>3585</v>
      </c>
      <c r="BX2" s="832" t="s">
        <v>158</v>
      </c>
      <c r="BY2" s="832" t="s">
        <v>3586</v>
      </c>
      <c r="BZ2" s="832" t="s">
        <v>3587</v>
      </c>
      <c r="CA2" s="832" t="s">
        <v>160</v>
      </c>
      <c r="CB2" s="832" t="s">
        <v>161</v>
      </c>
      <c r="CC2" s="832" t="s">
        <v>3588</v>
      </c>
      <c r="CD2" s="832" t="s">
        <v>3589</v>
      </c>
      <c r="CE2" s="832" t="s">
        <v>162</v>
      </c>
      <c r="CF2" s="832" t="s">
        <v>3590</v>
      </c>
      <c r="CG2" s="819" t="s">
        <v>3591</v>
      </c>
      <c r="CH2" s="832" t="s">
        <v>3592</v>
      </c>
      <c r="CI2" s="832" t="s">
        <v>219</v>
      </c>
      <c r="CJ2" s="832" t="s">
        <v>166</v>
      </c>
      <c r="CK2" s="819" t="s">
        <v>3591</v>
      </c>
      <c r="CL2" s="832" t="s">
        <v>3592</v>
      </c>
      <c r="CM2" s="832" t="s">
        <v>219</v>
      </c>
      <c r="CN2" s="832" t="s">
        <v>166</v>
      </c>
      <c r="CO2" s="832" t="s">
        <v>3593</v>
      </c>
      <c r="CP2" s="832" t="s">
        <v>3594</v>
      </c>
      <c r="CQ2" s="832" t="s">
        <v>275</v>
      </c>
      <c r="CR2" s="832" t="s">
        <v>3595</v>
      </c>
      <c r="CS2" s="819"/>
      <c r="CT2" s="833" t="s">
        <v>3765</v>
      </c>
      <c r="CU2" s="887"/>
      <c r="CV2" s="887"/>
      <c r="CW2" s="887"/>
      <c r="CX2" s="887"/>
      <c r="CY2" s="887"/>
      <c r="CZ2" s="843"/>
      <c r="DA2" s="843"/>
      <c r="DB2" s="843" t="s">
        <v>3766</v>
      </c>
      <c r="DC2" s="843"/>
      <c r="DD2" s="843"/>
      <c r="DE2" s="843"/>
      <c r="DF2" s="814" t="s">
        <v>3596</v>
      </c>
      <c r="DG2" s="815"/>
      <c r="DH2" s="815"/>
      <c r="DI2" s="815"/>
      <c r="DJ2" s="816"/>
      <c r="DK2" s="819"/>
      <c r="DL2" s="814" t="s">
        <v>3597</v>
      </c>
      <c r="DM2" s="815"/>
      <c r="DN2" s="815"/>
      <c r="DO2" s="815"/>
      <c r="DP2" s="815"/>
      <c r="DQ2" s="816"/>
      <c r="DR2" s="811"/>
      <c r="DS2" s="833"/>
      <c r="DT2" s="867" t="s">
        <v>3598</v>
      </c>
      <c r="DU2" s="868"/>
      <c r="DV2" s="868"/>
      <c r="DW2" s="869"/>
      <c r="DX2" s="869"/>
      <c r="DY2" s="869"/>
      <c r="DZ2" s="869"/>
      <c r="EA2" s="869"/>
      <c r="EB2" s="869"/>
      <c r="EC2" s="869"/>
      <c r="ED2" s="869"/>
      <c r="EE2" s="869"/>
      <c r="EF2" s="869"/>
      <c r="EG2" s="869"/>
      <c r="EH2" s="869"/>
      <c r="EI2" s="870"/>
      <c r="EJ2" s="843" t="s">
        <v>3599</v>
      </c>
      <c r="EK2" s="814" t="s">
        <v>3600</v>
      </c>
      <c r="EL2" s="822"/>
      <c r="EM2" s="822"/>
      <c r="EN2" s="826"/>
      <c r="EO2" s="826"/>
      <c r="EP2" s="826"/>
      <c r="EQ2" s="826"/>
      <c r="ER2" s="826"/>
      <c r="ES2" s="826"/>
      <c r="ET2" s="826"/>
      <c r="EU2" s="826"/>
      <c r="EV2" s="826"/>
      <c r="EW2" s="823" t="s">
        <v>3601</v>
      </c>
      <c r="EX2" s="823"/>
      <c r="EY2" s="823"/>
      <c r="EZ2" s="823"/>
      <c r="FA2" s="823"/>
      <c r="FB2" s="823"/>
      <c r="FC2" s="823"/>
      <c r="FD2" s="813"/>
      <c r="FE2" s="819"/>
      <c r="FF2" s="814" t="s">
        <v>3602</v>
      </c>
      <c r="FG2" s="822"/>
      <c r="FH2" s="822"/>
      <c r="FI2" s="826"/>
      <c r="FJ2" s="826"/>
      <c r="FK2" s="826"/>
      <c r="FL2" s="826"/>
      <c r="FM2" s="826"/>
      <c r="FN2" s="826"/>
      <c r="FO2" s="826"/>
      <c r="FP2" s="826"/>
      <c r="FQ2" s="826"/>
      <c r="FR2" s="849"/>
      <c r="FS2" s="826"/>
      <c r="FT2" s="826"/>
      <c r="FU2" s="826"/>
      <c r="FV2" s="826"/>
      <c r="FW2" s="826"/>
      <c r="FX2" s="826"/>
      <c r="FY2" s="826"/>
      <c r="FZ2" s="819"/>
      <c r="GA2" s="814" t="s">
        <v>3603</v>
      </c>
      <c r="GB2" s="822"/>
      <c r="GC2" s="822"/>
      <c r="GD2" s="826"/>
      <c r="GE2" s="826"/>
      <c r="GF2" s="826"/>
      <c r="GG2" s="826"/>
      <c r="GH2" s="826"/>
      <c r="GI2" s="826"/>
      <c r="GJ2" s="826"/>
      <c r="GK2" s="826"/>
      <c r="GL2" s="826"/>
      <c r="GM2" s="826"/>
      <c r="GN2" s="826"/>
      <c r="GO2" s="826"/>
      <c r="GP2" s="826"/>
      <c r="GQ2" s="819"/>
      <c r="GR2" s="814" t="s">
        <v>3604</v>
      </c>
      <c r="GS2" s="822"/>
      <c r="GT2" s="822"/>
      <c r="GU2" s="826"/>
      <c r="GV2" s="826"/>
      <c r="GW2" s="826"/>
      <c r="GX2" s="826"/>
      <c r="GY2" s="826"/>
      <c r="GZ2" s="826"/>
      <c r="HA2" s="826"/>
      <c r="HB2" s="826"/>
      <c r="HC2" s="826"/>
      <c r="HD2" s="826"/>
      <c r="HE2" s="826"/>
      <c r="HF2" s="826"/>
      <c r="HG2" s="826"/>
      <c r="HH2" s="819"/>
      <c r="HI2" s="814" t="s">
        <v>3605</v>
      </c>
      <c r="HJ2" s="822"/>
      <c r="HK2" s="822"/>
      <c r="HL2" s="826"/>
      <c r="HM2" s="826"/>
      <c r="HN2" s="826"/>
      <c r="HO2" s="826"/>
      <c r="HP2" s="826"/>
      <c r="HQ2" s="826"/>
      <c r="HR2" s="826"/>
      <c r="HS2" s="826"/>
      <c r="HT2" s="826"/>
      <c r="HU2" s="826"/>
      <c r="HV2" s="826"/>
      <c r="HW2" s="826"/>
      <c r="HX2" s="826"/>
      <c r="HY2" s="819"/>
      <c r="HZ2" s="814" t="s">
        <v>3606</v>
      </c>
      <c r="IA2" s="822"/>
      <c r="IB2" s="822"/>
      <c r="IC2" s="826"/>
      <c r="ID2" s="826"/>
      <c r="IE2" s="826"/>
      <c r="IF2" s="826"/>
      <c r="IG2" s="826"/>
      <c r="IH2" s="826"/>
      <c r="II2" s="826"/>
      <c r="IJ2" s="826"/>
      <c r="IK2" s="826"/>
      <c r="IL2" s="826"/>
      <c r="IM2" s="826"/>
      <c r="IN2" s="826"/>
      <c r="IO2" s="826"/>
      <c r="IP2" s="819"/>
      <c r="IQ2" s="814" t="s">
        <v>3607</v>
      </c>
      <c r="IR2" s="815"/>
      <c r="IS2" s="815"/>
      <c r="IT2" s="815"/>
      <c r="IU2" s="815"/>
      <c r="IV2" s="816"/>
      <c r="IW2" s="855"/>
      <c r="IX2" s="814" t="s">
        <v>3608</v>
      </c>
      <c r="IY2" s="821"/>
      <c r="IZ2" s="821"/>
      <c r="JA2" s="825"/>
      <c r="JB2" s="866"/>
      <c r="JC2" s="848" t="s">
        <v>3767</v>
      </c>
      <c r="JD2" s="848"/>
      <c r="JE2" s="848"/>
      <c r="JF2" s="848"/>
      <c r="JG2" s="848"/>
      <c r="JH2" s="848"/>
      <c r="JI2" s="848"/>
      <c r="JJ2" s="865"/>
      <c r="JK2" s="845"/>
    </row>
    <row r="3" spans="1:271" ht="32.25">
      <c r="A3" s="879"/>
      <c r="B3" s="893"/>
      <c r="C3" s="879"/>
      <c r="D3" s="879"/>
      <c r="E3" s="879"/>
      <c r="F3" s="879"/>
      <c r="G3" s="879"/>
      <c r="H3" s="879"/>
      <c r="I3" s="800"/>
      <c r="J3" s="874"/>
      <c r="K3" s="875"/>
      <c r="L3" s="875"/>
      <c r="M3" s="875"/>
      <c r="N3" s="875"/>
      <c r="O3" s="875"/>
      <c r="P3" s="875"/>
      <c r="Q3" s="797"/>
      <c r="R3" s="875"/>
      <c r="S3" s="839" t="s">
        <v>3609</v>
      </c>
      <c r="T3" s="840"/>
      <c r="U3" s="835"/>
      <c r="V3" s="835"/>
      <c r="W3" s="839" t="s">
        <v>3610</v>
      </c>
      <c r="X3" s="835"/>
      <c r="Y3" s="879"/>
      <c r="Z3" s="879"/>
      <c r="AA3" s="802" t="s">
        <v>3611</v>
      </c>
      <c r="AB3" s="803" t="s">
        <v>3612</v>
      </c>
      <c r="AC3" s="804"/>
      <c r="AD3" s="805"/>
      <c r="AE3" s="805"/>
      <c r="AF3" s="805"/>
      <c r="AG3" s="798"/>
      <c r="AH3" s="798"/>
      <c r="AI3" s="806"/>
      <c r="AJ3" s="797"/>
      <c r="AK3" s="849" t="s">
        <v>3613</v>
      </c>
      <c r="AL3" s="813"/>
      <c r="AM3" s="813"/>
      <c r="AN3" s="803" t="s">
        <v>3614</v>
      </c>
      <c r="AO3" s="803" t="s">
        <v>3615</v>
      </c>
      <c r="AP3" s="803" t="s">
        <v>3616</v>
      </c>
      <c r="AQ3" s="803" t="s">
        <v>3617</v>
      </c>
      <c r="AR3" s="803" t="s">
        <v>3618</v>
      </c>
      <c r="AS3" s="803" t="s">
        <v>3619</v>
      </c>
      <c r="AT3" s="803" t="s">
        <v>3620</v>
      </c>
      <c r="AU3" s="803" t="s">
        <v>934</v>
      </c>
      <c r="AV3" s="803" t="s">
        <v>959</v>
      </c>
      <c r="AW3" s="803" t="s">
        <v>3621</v>
      </c>
      <c r="AX3" s="848"/>
      <c r="AY3" s="849" t="s">
        <v>3613</v>
      </c>
      <c r="AZ3" s="813"/>
      <c r="BA3" s="813"/>
      <c r="BB3" s="803" t="s">
        <v>3614</v>
      </c>
      <c r="BC3" s="803" t="s">
        <v>3615</v>
      </c>
      <c r="BD3" s="803" t="s">
        <v>1084</v>
      </c>
      <c r="BE3" s="803" t="s">
        <v>3622</v>
      </c>
      <c r="BF3" s="803" t="s">
        <v>3623</v>
      </c>
      <c r="BG3" s="803" t="s">
        <v>3624</v>
      </c>
      <c r="BH3" s="803" t="s">
        <v>3625</v>
      </c>
      <c r="BI3" s="803" t="s">
        <v>3626</v>
      </c>
      <c r="BJ3" s="803" t="s">
        <v>3618</v>
      </c>
      <c r="BK3" s="803" t="s">
        <v>959</v>
      </c>
      <c r="BL3" s="803" t="s">
        <v>3627</v>
      </c>
      <c r="BM3" s="803" t="s">
        <v>3620</v>
      </c>
      <c r="BN3" s="848"/>
      <c r="BO3" s="849" t="s">
        <v>3613</v>
      </c>
      <c r="BP3" s="813"/>
      <c r="BQ3" s="809"/>
      <c r="BR3" s="809"/>
      <c r="BS3" s="809"/>
      <c r="BT3" s="809"/>
      <c r="BU3" s="809"/>
      <c r="BV3" s="809"/>
      <c r="BW3" s="809"/>
      <c r="BX3" s="809"/>
      <c r="BY3" s="809"/>
      <c r="BZ3" s="809"/>
      <c r="CA3" s="809"/>
      <c r="CB3" s="809"/>
      <c r="CC3" s="809"/>
      <c r="CD3" s="809"/>
      <c r="CE3" s="809"/>
      <c r="CF3" s="809"/>
      <c r="CG3" s="850" t="s">
        <v>3628</v>
      </c>
      <c r="CH3" s="809"/>
      <c r="CI3" s="809"/>
      <c r="CJ3" s="809"/>
      <c r="CK3" s="850" t="s">
        <v>3628</v>
      </c>
      <c r="CL3" s="809"/>
      <c r="CM3" s="809"/>
      <c r="CN3" s="809"/>
      <c r="CO3" s="809"/>
      <c r="CP3" s="809"/>
      <c r="CQ3" s="809"/>
      <c r="CR3" s="809"/>
      <c r="CS3" s="813" t="s">
        <v>3629</v>
      </c>
      <c r="CT3" s="886" t="s">
        <v>3768</v>
      </c>
      <c r="CU3" s="842" t="s">
        <v>3539</v>
      </c>
      <c r="CV3" s="842" t="s">
        <v>3769</v>
      </c>
      <c r="CW3" s="842" t="s">
        <v>3770</v>
      </c>
      <c r="CX3" s="842" t="s">
        <v>3771</v>
      </c>
      <c r="CY3" s="842" t="s">
        <v>3772</v>
      </c>
      <c r="CZ3" s="842" t="s">
        <v>3773</v>
      </c>
      <c r="DA3" s="813" t="s">
        <v>3629</v>
      </c>
      <c r="DB3" s="842" t="s">
        <v>3774</v>
      </c>
      <c r="DC3" s="842" t="s">
        <v>3775</v>
      </c>
      <c r="DD3" s="842" t="s">
        <v>3776</v>
      </c>
      <c r="DE3" s="813" t="s">
        <v>3629</v>
      </c>
      <c r="DF3" s="803" t="s">
        <v>3630</v>
      </c>
      <c r="DG3" s="803" t="s">
        <v>3631</v>
      </c>
      <c r="DH3" s="803" t="s">
        <v>219</v>
      </c>
      <c r="DI3" s="803" t="s">
        <v>3632</v>
      </c>
      <c r="DJ3" s="803" t="s">
        <v>3633</v>
      </c>
      <c r="DK3" s="813" t="s">
        <v>3629</v>
      </c>
      <c r="DL3" s="803" t="s">
        <v>3631</v>
      </c>
      <c r="DM3" s="803" t="s">
        <v>3634</v>
      </c>
      <c r="DN3" s="803" t="s">
        <v>3635</v>
      </c>
      <c r="DO3" s="803" t="s">
        <v>3633</v>
      </c>
      <c r="DP3" s="803" t="s">
        <v>219</v>
      </c>
      <c r="DQ3" s="803" t="s">
        <v>3632</v>
      </c>
      <c r="DR3" s="810"/>
      <c r="DS3" s="813" t="s">
        <v>3629</v>
      </c>
      <c r="DT3" s="842" t="s">
        <v>173</v>
      </c>
      <c r="DU3" s="842" t="s">
        <v>219</v>
      </c>
      <c r="DV3" s="842" t="s">
        <v>3632</v>
      </c>
      <c r="DW3" s="842" t="s">
        <v>3636</v>
      </c>
      <c r="DX3" s="807" t="s">
        <v>3637</v>
      </c>
      <c r="DY3" s="807" t="s">
        <v>3638</v>
      </c>
      <c r="DZ3" s="807" t="s">
        <v>658</v>
      </c>
      <c r="EA3" s="807" t="s">
        <v>3639</v>
      </c>
      <c r="EB3" s="807" t="s">
        <v>3640</v>
      </c>
      <c r="EC3" s="807" t="s">
        <v>3641</v>
      </c>
      <c r="ED3" s="807" t="s">
        <v>3777</v>
      </c>
      <c r="EE3" s="827" t="s">
        <v>3642</v>
      </c>
      <c r="EF3" s="827" t="s">
        <v>3643</v>
      </c>
      <c r="EG3" s="827" t="s">
        <v>3644</v>
      </c>
      <c r="EH3" s="803" t="s">
        <v>3645</v>
      </c>
      <c r="EI3" s="803"/>
      <c r="EJ3" s="833"/>
      <c r="EK3" s="803" t="s">
        <v>173</v>
      </c>
      <c r="EL3" s="803" t="s">
        <v>219</v>
      </c>
      <c r="EM3" s="803" t="s">
        <v>3632</v>
      </c>
      <c r="EN3" s="803" t="s">
        <v>3633</v>
      </c>
      <c r="EO3" s="827" t="s">
        <v>275</v>
      </c>
      <c r="EP3" s="827" t="s">
        <v>3646</v>
      </c>
      <c r="EQ3" s="827" t="s">
        <v>658</v>
      </c>
      <c r="ER3" s="827" t="s">
        <v>3647</v>
      </c>
      <c r="ES3" s="827" t="s">
        <v>3648</v>
      </c>
      <c r="ET3" s="827" t="s">
        <v>3649</v>
      </c>
      <c r="EU3" s="827" t="s">
        <v>1545</v>
      </c>
      <c r="EV3" s="827" t="s">
        <v>3778</v>
      </c>
      <c r="EW3" s="827" t="s">
        <v>3650</v>
      </c>
      <c r="EX3" s="827" t="s">
        <v>3651</v>
      </c>
      <c r="EY3" s="803" t="s">
        <v>3652</v>
      </c>
      <c r="EZ3" s="827" t="s">
        <v>3642</v>
      </c>
      <c r="FA3" s="827" t="s">
        <v>3643</v>
      </c>
      <c r="FB3" s="827" t="s">
        <v>3644</v>
      </c>
      <c r="FC3" s="803" t="s">
        <v>3645</v>
      </c>
      <c r="FD3" s="803" t="s">
        <v>3645</v>
      </c>
      <c r="FE3" s="823" t="s">
        <v>3629</v>
      </c>
      <c r="FF3" s="803" t="s">
        <v>173</v>
      </c>
      <c r="FG3" s="803" t="s">
        <v>219</v>
      </c>
      <c r="FH3" s="803" t="s">
        <v>3632</v>
      </c>
      <c r="FI3" s="827" t="s">
        <v>3633</v>
      </c>
      <c r="FJ3" s="827" t="s">
        <v>3653</v>
      </c>
      <c r="FK3" s="827" t="s">
        <v>3646</v>
      </c>
      <c r="FL3" s="827" t="s">
        <v>658</v>
      </c>
      <c r="FM3" s="827" t="s">
        <v>3647</v>
      </c>
      <c r="FN3" s="827" t="s">
        <v>3648</v>
      </c>
      <c r="FO3" s="827" t="s">
        <v>3654</v>
      </c>
      <c r="FP3" s="827" t="s">
        <v>1545</v>
      </c>
      <c r="FQ3" s="827" t="s">
        <v>3779</v>
      </c>
      <c r="FR3" s="827" t="s">
        <v>3642</v>
      </c>
      <c r="FS3" s="827" t="s">
        <v>3643</v>
      </c>
      <c r="FT3" s="827" t="s">
        <v>3644</v>
      </c>
      <c r="FU3" s="803" t="s">
        <v>3645</v>
      </c>
      <c r="FV3" s="803" t="s">
        <v>3645</v>
      </c>
      <c r="FW3" s="827"/>
      <c r="FX3" s="803"/>
      <c r="FY3" s="803"/>
      <c r="FZ3" s="823" t="s">
        <v>3629</v>
      </c>
      <c r="GA3" s="803" t="s">
        <v>173</v>
      </c>
      <c r="GB3" s="803" t="s">
        <v>219</v>
      </c>
      <c r="GC3" s="803" t="s">
        <v>3632</v>
      </c>
      <c r="GD3" s="803" t="s">
        <v>3633</v>
      </c>
      <c r="GE3" s="827" t="s">
        <v>3653</v>
      </c>
      <c r="GF3" s="827" t="s">
        <v>3646</v>
      </c>
      <c r="GG3" s="827" t="s">
        <v>658</v>
      </c>
      <c r="GH3" s="827" t="s">
        <v>3647</v>
      </c>
      <c r="GI3" s="827" t="s">
        <v>3648</v>
      </c>
      <c r="GJ3" s="827" t="s">
        <v>3654</v>
      </c>
      <c r="GK3" s="827" t="s">
        <v>1545</v>
      </c>
      <c r="GL3" s="827" t="s">
        <v>3777</v>
      </c>
      <c r="GM3" s="827" t="s">
        <v>3642</v>
      </c>
      <c r="GN3" s="827" t="s">
        <v>3643</v>
      </c>
      <c r="GO3" s="827" t="s">
        <v>3644</v>
      </c>
      <c r="GP3" s="803" t="s">
        <v>3645</v>
      </c>
      <c r="GQ3" s="823" t="s">
        <v>3629</v>
      </c>
      <c r="GR3" s="803" t="s">
        <v>173</v>
      </c>
      <c r="GS3" s="803" t="s">
        <v>219</v>
      </c>
      <c r="GT3" s="803" t="s">
        <v>3632</v>
      </c>
      <c r="GU3" s="827" t="s">
        <v>3633</v>
      </c>
      <c r="GV3" s="827" t="s">
        <v>3653</v>
      </c>
      <c r="GW3" s="827" t="s">
        <v>3646</v>
      </c>
      <c r="GX3" s="827" t="s">
        <v>658</v>
      </c>
      <c r="GY3" s="827" t="s">
        <v>3647</v>
      </c>
      <c r="GZ3" s="827" t="s">
        <v>3648</v>
      </c>
      <c r="HA3" s="827" t="s">
        <v>3654</v>
      </c>
      <c r="HB3" s="827" t="s">
        <v>1545</v>
      </c>
      <c r="HC3" s="827" t="s">
        <v>3780</v>
      </c>
      <c r="HD3" s="827" t="s">
        <v>3642</v>
      </c>
      <c r="HE3" s="827" t="s">
        <v>3643</v>
      </c>
      <c r="HF3" s="827" t="s">
        <v>3644</v>
      </c>
      <c r="HG3" s="803" t="s">
        <v>3645</v>
      </c>
      <c r="HH3" s="823" t="s">
        <v>3629</v>
      </c>
      <c r="HI3" s="803" t="s">
        <v>173</v>
      </c>
      <c r="HJ3" s="803" t="s">
        <v>219</v>
      </c>
      <c r="HK3" s="803" t="s">
        <v>3632</v>
      </c>
      <c r="HL3" s="827" t="s">
        <v>3633</v>
      </c>
      <c r="HM3" s="827" t="s">
        <v>3653</v>
      </c>
      <c r="HN3" s="827" t="s">
        <v>3646</v>
      </c>
      <c r="HO3" s="827" t="s">
        <v>658</v>
      </c>
      <c r="HP3" s="827" t="s">
        <v>3647</v>
      </c>
      <c r="HQ3" s="827" t="s">
        <v>3648</v>
      </c>
      <c r="HR3" s="827" t="s">
        <v>3654</v>
      </c>
      <c r="HS3" s="827" t="s">
        <v>1545</v>
      </c>
      <c r="HT3" s="827" t="s">
        <v>3781</v>
      </c>
      <c r="HU3" s="827" t="s">
        <v>3642</v>
      </c>
      <c r="HV3" s="827" t="s">
        <v>3643</v>
      </c>
      <c r="HW3" s="827" t="s">
        <v>3644</v>
      </c>
      <c r="HX3" s="803" t="s">
        <v>3645</v>
      </c>
      <c r="HY3" s="823" t="s">
        <v>3629</v>
      </c>
      <c r="HZ3" s="803" t="s">
        <v>173</v>
      </c>
      <c r="IA3" s="803" t="s">
        <v>219</v>
      </c>
      <c r="IB3" s="803" t="s">
        <v>3632</v>
      </c>
      <c r="IC3" s="803" t="s">
        <v>3633</v>
      </c>
      <c r="ID3" s="827" t="s">
        <v>3653</v>
      </c>
      <c r="IE3" s="827" t="s">
        <v>3646</v>
      </c>
      <c r="IF3" s="827" t="s">
        <v>658</v>
      </c>
      <c r="IG3" s="827" t="s">
        <v>3647</v>
      </c>
      <c r="IH3" s="827" t="s">
        <v>3648</v>
      </c>
      <c r="II3" s="827" t="s">
        <v>3654</v>
      </c>
      <c r="IJ3" s="827" t="s">
        <v>1545</v>
      </c>
      <c r="IK3" s="827" t="s">
        <v>3777</v>
      </c>
      <c r="IL3" s="827" t="s">
        <v>3642</v>
      </c>
      <c r="IM3" s="827" t="s">
        <v>3643</v>
      </c>
      <c r="IN3" s="827" t="s">
        <v>3644</v>
      </c>
      <c r="IO3" s="803" t="s">
        <v>3645</v>
      </c>
      <c r="IP3" s="813" t="s">
        <v>3629</v>
      </c>
      <c r="IQ3" s="803" t="s">
        <v>3655</v>
      </c>
      <c r="IR3" s="803" t="s">
        <v>3656</v>
      </c>
      <c r="IS3" s="803"/>
      <c r="IT3" s="803" t="s">
        <v>3633</v>
      </c>
      <c r="IU3" s="803" t="s">
        <v>219</v>
      </c>
      <c r="IV3" s="803" t="s">
        <v>3632</v>
      </c>
      <c r="IW3" s="813" t="s">
        <v>3629</v>
      </c>
      <c r="IX3" s="803" t="s">
        <v>219</v>
      </c>
      <c r="IY3" s="803" t="s">
        <v>166</v>
      </c>
      <c r="IZ3" s="803" t="s">
        <v>167</v>
      </c>
      <c r="JA3" s="803" t="s">
        <v>168</v>
      </c>
      <c r="JB3" s="848"/>
      <c r="JC3" s="848" t="s">
        <v>151</v>
      </c>
      <c r="JD3" s="848" t="s">
        <v>3782</v>
      </c>
      <c r="JE3" s="848" t="s">
        <v>3783</v>
      </c>
      <c r="JF3" s="848"/>
      <c r="JG3" s="848"/>
      <c r="JH3" s="848"/>
      <c r="JI3" s="845"/>
      <c r="JJ3" s="848"/>
      <c r="JK3" s="845"/>
    </row>
    <row r="4" spans="1:271" ht="28.5">
      <c r="A4" s="879"/>
      <c r="B4" s="879"/>
      <c r="C4" s="879"/>
      <c r="D4" s="879"/>
      <c r="E4" s="879"/>
      <c r="F4" s="879"/>
      <c r="G4" s="879"/>
      <c r="H4" s="879"/>
      <c r="I4" s="800"/>
      <c r="J4" s="874"/>
      <c r="K4" s="875"/>
      <c r="L4" s="875"/>
      <c r="M4" s="875"/>
      <c r="N4" s="875"/>
      <c r="O4" s="875"/>
      <c r="P4" s="875"/>
      <c r="Q4" s="874"/>
      <c r="R4" s="875"/>
      <c r="S4" s="839" t="s">
        <v>3657</v>
      </c>
      <c r="T4" s="835"/>
      <c r="U4" s="835"/>
      <c r="V4" s="835"/>
      <c r="W4" s="839" t="s">
        <v>3658</v>
      </c>
      <c r="X4" s="835"/>
      <c r="Y4" s="835"/>
      <c r="Z4" s="835"/>
      <c r="AA4" s="802" t="s">
        <v>3659</v>
      </c>
      <c r="AB4" s="803" t="s">
        <v>3660</v>
      </c>
      <c r="AC4" s="804"/>
      <c r="AD4" s="805"/>
      <c r="AE4" s="805"/>
      <c r="AF4" s="805"/>
      <c r="AG4" s="798"/>
      <c r="AH4" s="798"/>
      <c r="AI4" s="806"/>
      <c r="AJ4" s="797"/>
      <c r="AK4" s="851"/>
      <c r="AL4" s="817">
        <v>1</v>
      </c>
      <c r="AM4" s="809"/>
      <c r="AN4" s="809"/>
      <c r="AO4" s="809"/>
      <c r="AP4" s="809"/>
      <c r="AQ4" s="809"/>
      <c r="AR4" s="809"/>
      <c r="AS4" s="809"/>
      <c r="AT4" s="809"/>
      <c r="AU4" s="809"/>
      <c r="AV4" s="809"/>
      <c r="AW4" s="809"/>
      <c r="AX4" s="847"/>
      <c r="AY4" s="851"/>
      <c r="AZ4" s="817">
        <v>1</v>
      </c>
      <c r="BA4" s="809"/>
      <c r="BB4" s="809"/>
      <c r="BC4" s="809"/>
      <c r="BD4" s="809"/>
      <c r="BE4" s="809"/>
      <c r="BF4" s="809"/>
      <c r="BG4" s="809"/>
      <c r="BH4" s="809"/>
      <c r="BI4" s="809"/>
      <c r="BJ4" s="809"/>
      <c r="BK4" s="809"/>
      <c r="BL4" s="809"/>
      <c r="BM4" s="809"/>
      <c r="BN4" s="847"/>
      <c r="BO4" s="851"/>
      <c r="BP4" s="817">
        <v>1</v>
      </c>
      <c r="BQ4" s="809"/>
      <c r="BR4" s="809"/>
      <c r="BS4" s="809"/>
      <c r="BT4" s="809"/>
      <c r="BU4" s="809"/>
      <c r="BV4" s="809"/>
      <c r="BW4" s="809"/>
      <c r="BX4" s="809"/>
      <c r="BY4" s="809"/>
      <c r="BZ4" s="809"/>
      <c r="CA4" s="809"/>
      <c r="CB4" s="809"/>
      <c r="CC4" s="809"/>
      <c r="CD4" s="809"/>
      <c r="CE4" s="809"/>
      <c r="CF4" s="809"/>
      <c r="CG4" s="850" t="s">
        <v>3661</v>
      </c>
      <c r="CH4" s="809"/>
      <c r="CI4" s="809"/>
      <c r="CJ4" s="809"/>
      <c r="CK4" s="850" t="s">
        <v>3661</v>
      </c>
      <c r="CL4" s="809"/>
      <c r="CM4" s="809"/>
      <c r="CN4" s="809"/>
      <c r="CO4" s="809"/>
      <c r="CP4" s="809"/>
      <c r="CQ4" s="809"/>
      <c r="CR4" s="809"/>
      <c r="CS4" s="817">
        <v>1</v>
      </c>
      <c r="CT4" s="853"/>
      <c r="CU4" s="853"/>
      <c r="CV4" s="853"/>
      <c r="CW4" s="853"/>
      <c r="CX4" s="853"/>
      <c r="CY4" s="853"/>
      <c r="CZ4" s="809"/>
      <c r="DA4" s="817">
        <v>1</v>
      </c>
      <c r="DB4" s="809"/>
      <c r="DC4" s="809"/>
      <c r="DD4" s="809"/>
      <c r="DE4" s="817">
        <v>1</v>
      </c>
      <c r="DF4" s="809"/>
      <c r="DG4" s="809"/>
      <c r="DH4" s="809"/>
      <c r="DI4" s="809"/>
      <c r="DJ4" s="809"/>
      <c r="DK4" s="817">
        <v>1</v>
      </c>
      <c r="DL4" s="809"/>
      <c r="DM4" s="809"/>
      <c r="DN4" s="809"/>
      <c r="DO4" s="809"/>
      <c r="DP4" s="809"/>
      <c r="DQ4" s="818"/>
      <c r="DR4" s="812"/>
      <c r="DS4" s="817">
        <v>1</v>
      </c>
      <c r="DT4" s="818"/>
      <c r="DU4" s="809"/>
      <c r="DV4" s="809"/>
      <c r="DW4" s="809"/>
      <c r="DX4" s="820"/>
      <c r="DY4" s="820"/>
      <c r="DZ4" s="820"/>
      <c r="EA4" s="820"/>
      <c r="EB4" s="820"/>
      <c r="EC4" s="820"/>
      <c r="ED4" s="820"/>
      <c r="EE4" s="820"/>
      <c r="EF4" s="820"/>
      <c r="EG4" s="820"/>
      <c r="EH4" s="820"/>
      <c r="EI4" s="820"/>
      <c r="EJ4" s="823" t="s">
        <v>3629</v>
      </c>
      <c r="EK4" s="809"/>
      <c r="EL4" s="809"/>
      <c r="EM4" s="809"/>
      <c r="EN4" s="809"/>
      <c r="EO4" s="820"/>
      <c r="EP4" s="820"/>
      <c r="EQ4" s="820"/>
      <c r="ER4" s="820"/>
      <c r="ES4" s="820"/>
      <c r="ET4" s="820"/>
      <c r="EU4" s="820"/>
      <c r="EV4" s="820"/>
      <c r="EW4" s="820"/>
      <c r="EX4" s="820"/>
      <c r="EY4" s="820"/>
      <c r="EZ4" s="820"/>
      <c r="FA4" s="820"/>
      <c r="FB4" s="820"/>
      <c r="FC4" s="820"/>
      <c r="FD4" s="820"/>
      <c r="FE4" s="824">
        <v>1</v>
      </c>
      <c r="FF4" s="809"/>
      <c r="FG4" s="809"/>
      <c r="FH4" s="809"/>
      <c r="FI4" s="809" t="s">
        <v>1416</v>
      </c>
      <c r="FJ4" s="820"/>
      <c r="FK4" s="820"/>
      <c r="FL4" s="820"/>
      <c r="FM4" s="820"/>
      <c r="FN4" s="820"/>
      <c r="FO4" s="820"/>
      <c r="FP4" s="820"/>
      <c r="FQ4" s="820"/>
      <c r="FR4" s="820"/>
      <c r="FS4" s="820"/>
      <c r="FT4" s="820"/>
      <c r="FU4" s="820"/>
      <c r="FV4" s="820"/>
      <c r="FW4" s="820"/>
      <c r="FX4" s="820"/>
      <c r="FY4" s="820"/>
      <c r="FZ4" s="824">
        <v>1</v>
      </c>
      <c r="GA4" s="809"/>
      <c r="GB4" s="809"/>
      <c r="GC4" s="809"/>
      <c r="GD4" s="809"/>
      <c r="GE4" s="820"/>
      <c r="GF4" s="820"/>
      <c r="GG4" s="820"/>
      <c r="GH4" s="820"/>
      <c r="GI4" s="820"/>
      <c r="GJ4" s="820"/>
      <c r="GK4" s="820"/>
      <c r="GL4" s="820"/>
      <c r="GM4" s="820"/>
      <c r="GN4" s="820"/>
      <c r="GO4" s="820"/>
      <c r="GP4" s="820"/>
      <c r="GQ4" s="824">
        <v>1</v>
      </c>
      <c r="GR4" s="809"/>
      <c r="GS4" s="809"/>
      <c r="GT4" s="809"/>
      <c r="GU4" s="809" t="s">
        <v>1416</v>
      </c>
      <c r="GV4" s="820"/>
      <c r="GW4" s="820"/>
      <c r="GX4" s="820"/>
      <c r="GY4" s="820"/>
      <c r="GZ4" s="820"/>
      <c r="HA4" s="820"/>
      <c r="HB4" s="820"/>
      <c r="HC4" s="820"/>
      <c r="HD4" s="820"/>
      <c r="HE4" s="820"/>
      <c r="HF4" s="820"/>
      <c r="HG4" s="820"/>
      <c r="HH4" s="824">
        <v>1</v>
      </c>
      <c r="HI4" s="809"/>
      <c r="HJ4" s="809"/>
      <c r="HK4" s="809"/>
      <c r="HL4" s="809" t="s">
        <v>1416</v>
      </c>
      <c r="HM4" s="820"/>
      <c r="HN4" s="820"/>
      <c r="HO4" s="820"/>
      <c r="HP4" s="820"/>
      <c r="HQ4" s="820"/>
      <c r="HR4" s="820"/>
      <c r="HS4" s="820"/>
      <c r="HT4" s="820"/>
      <c r="HU4" s="820"/>
      <c r="HV4" s="820"/>
      <c r="HW4" s="820"/>
      <c r="HX4" s="820"/>
      <c r="HY4" s="824">
        <v>1</v>
      </c>
      <c r="HZ4" s="809"/>
      <c r="IA4" s="809"/>
      <c r="IB4" s="809"/>
      <c r="IC4" s="809" t="s">
        <v>1416</v>
      </c>
      <c r="ID4" s="809"/>
      <c r="IE4" s="809"/>
      <c r="IF4" s="809"/>
      <c r="IG4" s="809"/>
      <c r="IH4" s="809"/>
      <c r="II4" s="809"/>
      <c r="IJ4" s="809"/>
      <c r="IK4" s="809"/>
      <c r="IL4" s="809"/>
      <c r="IM4" s="809"/>
      <c r="IN4" s="809"/>
      <c r="IO4" s="809"/>
      <c r="IP4" s="817">
        <v>1</v>
      </c>
      <c r="IQ4" s="809"/>
      <c r="IR4" s="809"/>
      <c r="IS4" s="809"/>
      <c r="IT4" s="809"/>
      <c r="IU4" s="809"/>
      <c r="IV4" s="818"/>
      <c r="IW4" s="817">
        <v>1</v>
      </c>
      <c r="IX4" s="853"/>
      <c r="IY4" s="853"/>
      <c r="IZ4" s="853"/>
      <c r="JA4" s="853"/>
      <c r="JB4" s="845"/>
      <c r="JC4" s="845" t="s">
        <v>3784</v>
      </c>
      <c r="JD4" s="845"/>
      <c r="JE4" s="845"/>
      <c r="JF4" s="845"/>
      <c r="JG4" s="845"/>
      <c r="JH4" s="845"/>
      <c r="JI4" s="845"/>
      <c r="JJ4" s="845"/>
      <c r="JK4" s="845"/>
    </row>
    <row r="5" spans="1:271" ht="28.5">
      <c r="A5" s="879"/>
      <c r="B5" s="879"/>
      <c r="C5" s="879"/>
      <c r="D5" s="879"/>
      <c r="E5" s="879"/>
      <c r="F5" s="879"/>
      <c r="G5" s="879"/>
      <c r="H5" s="879"/>
      <c r="I5" s="800"/>
      <c r="J5" s="874"/>
      <c r="K5" s="875"/>
      <c r="L5" s="875"/>
      <c r="M5" s="875"/>
      <c r="N5" s="875"/>
      <c r="O5" s="875"/>
      <c r="P5" s="875"/>
      <c r="Q5" s="874"/>
      <c r="R5" s="875"/>
      <c r="S5" s="839" t="s">
        <v>3662</v>
      </c>
      <c r="T5" s="835"/>
      <c r="U5" s="835"/>
      <c r="V5" s="835"/>
      <c r="W5" s="839" t="s">
        <v>3663</v>
      </c>
      <c r="X5" s="835"/>
      <c r="Y5" s="835"/>
      <c r="Z5" s="835"/>
      <c r="AA5" s="802" t="s">
        <v>3664</v>
      </c>
      <c r="AB5" s="803" t="s">
        <v>3665</v>
      </c>
      <c r="AC5" s="804"/>
      <c r="AD5" s="805"/>
      <c r="AE5" s="805"/>
      <c r="AF5" s="805"/>
      <c r="AG5" s="798"/>
      <c r="AH5" s="798"/>
      <c r="AI5" s="806"/>
      <c r="AJ5" s="797"/>
      <c r="AK5" s="851"/>
      <c r="AL5" s="817">
        <v>2</v>
      </c>
      <c r="AM5" s="809"/>
      <c r="AN5" s="809"/>
      <c r="AO5" s="809"/>
      <c r="AP5" s="809"/>
      <c r="AQ5" s="809"/>
      <c r="AR5" s="809"/>
      <c r="AS5" s="809"/>
      <c r="AT5" s="809"/>
      <c r="AU5" s="809"/>
      <c r="AV5" s="809"/>
      <c r="AW5" s="809"/>
      <c r="AX5" s="847"/>
      <c r="AY5" s="851"/>
      <c r="AZ5" s="817">
        <v>2</v>
      </c>
      <c r="BA5" s="809"/>
      <c r="BB5" s="809"/>
      <c r="BC5" s="809"/>
      <c r="BD5" s="809"/>
      <c r="BE5" s="809"/>
      <c r="BF5" s="809"/>
      <c r="BG5" s="809"/>
      <c r="BH5" s="809"/>
      <c r="BI5" s="809"/>
      <c r="BJ5" s="809"/>
      <c r="BK5" s="809"/>
      <c r="BL5" s="809"/>
      <c r="BM5" s="809"/>
      <c r="BN5" s="847"/>
      <c r="BO5" s="851"/>
      <c r="BP5" s="817">
        <v>2</v>
      </c>
      <c r="BQ5" s="809"/>
      <c r="BR5" s="809"/>
      <c r="BS5" s="809"/>
      <c r="BT5" s="809"/>
      <c r="BU5" s="809"/>
      <c r="BV5" s="809"/>
      <c r="BW5" s="809"/>
      <c r="BX5" s="809"/>
      <c r="BY5" s="809"/>
      <c r="BZ5" s="809"/>
      <c r="CA5" s="809"/>
      <c r="CB5" s="809"/>
      <c r="CC5" s="809"/>
      <c r="CD5" s="809"/>
      <c r="CE5" s="809"/>
      <c r="CF5" s="809"/>
      <c r="CG5" s="838" t="s">
        <v>3666</v>
      </c>
      <c r="CH5" s="809"/>
      <c r="CI5" s="809"/>
      <c r="CJ5" s="809"/>
      <c r="CK5" s="838" t="s">
        <v>3666</v>
      </c>
      <c r="CL5" s="809"/>
      <c r="CM5" s="809"/>
      <c r="CN5" s="809"/>
      <c r="CO5" s="809"/>
      <c r="CP5" s="809"/>
      <c r="CQ5" s="809"/>
      <c r="CR5" s="809"/>
      <c r="CS5" s="817">
        <v>2</v>
      </c>
      <c r="CT5" s="853"/>
      <c r="CU5" s="853"/>
      <c r="CV5" s="853"/>
      <c r="CW5" s="853"/>
      <c r="CX5" s="853"/>
      <c r="CY5" s="853"/>
      <c r="CZ5" s="809"/>
      <c r="DA5" s="817">
        <v>2</v>
      </c>
      <c r="DB5" s="809"/>
      <c r="DC5" s="809"/>
      <c r="DD5" s="809"/>
      <c r="DE5" s="817">
        <v>2</v>
      </c>
      <c r="DF5" s="809"/>
      <c r="DG5" s="809"/>
      <c r="DH5" s="809"/>
      <c r="DI5" s="809"/>
      <c r="DJ5" s="809"/>
      <c r="DK5" s="817">
        <v>2</v>
      </c>
      <c r="DL5" s="809"/>
      <c r="DM5" s="809"/>
      <c r="DN5" s="809"/>
      <c r="DO5" s="809"/>
      <c r="DP5" s="809"/>
      <c r="DQ5" s="809"/>
      <c r="DR5" s="797"/>
      <c r="DS5" s="817">
        <v>2</v>
      </c>
      <c r="DT5" s="809"/>
      <c r="DU5" s="809"/>
      <c r="DV5" s="809"/>
      <c r="DW5" s="809"/>
      <c r="DX5" s="820"/>
      <c r="DY5" s="820"/>
      <c r="DZ5" s="820"/>
      <c r="EA5" s="820"/>
      <c r="EB5" s="820"/>
      <c r="EC5" s="820"/>
      <c r="ED5" s="820"/>
      <c r="EE5" s="820"/>
      <c r="EF5" s="820"/>
      <c r="EG5" s="820"/>
      <c r="EH5" s="820"/>
      <c r="EI5" s="820"/>
      <c r="EJ5" s="824">
        <v>1</v>
      </c>
      <c r="EK5" s="809"/>
      <c r="EL5" s="809"/>
      <c r="EM5" s="809"/>
      <c r="EN5" s="809"/>
      <c r="EO5" s="820"/>
      <c r="EP5" s="820"/>
      <c r="EQ5" s="820"/>
      <c r="ER5" s="820"/>
      <c r="ES5" s="820"/>
      <c r="ET5" s="820"/>
      <c r="EU5" s="820"/>
      <c r="EV5" s="820"/>
      <c r="EW5" s="820"/>
      <c r="EX5" s="820"/>
      <c r="EY5" s="820"/>
      <c r="EZ5" s="820"/>
      <c r="FA5" s="820"/>
      <c r="FB5" s="820"/>
      <c r="FC5" s="820"/>
      <c r="FD5" s="820"/>
      <c r="FE5" s="824">
        <v>2</v>
      </c>
      <c r="FF5" s="809"/>
      <c r="FG5" s="809"/>
      <c r="FH5" s="809"/>
      <c r="FI5" s="809"/>
      <c r="FJ5" s="820"/>
      <c r="FK5" s="820"/>
      <c r="FL5" s="820"/>
      <c r="FM5" s="820"/>
      <c r="FN5" s="820"/>
      <c r="FO5" s="820"/>
      <c r="FP5" s="820"/>
      <c r="FQ5" s="820"/>
      <c r="FR5" s="820"/>
      <c r="FS5" s="820"/>
      <c r="FT5" s="820"/>
      <c r="FU5" s="820"/>
      <c r="FV5" s="820"/>
      <c r="FW5" s="820"/>
      <c r="FX5" s="820"/>
      <c r="FY5" s="820"/>
      <c r="FZ5" s="824">
        <v>2</v>
      </c>
      <c r="GA5" s="809"/>
      <c r="GB5" s="809"/>
      <c r="GC5" s="809"/>
      <c r="GD5" s="809"/>
      <c r="GE5" s="820"/>
      <c r="GF5" s="820"/>
      <c r="GG5" s="820"/>
      <c r="GH5" s="820"/>
      <c r="GI5" s="820"/>
      <c r="GJ5" s="820"/>
      <c r="GK5" s="820"/>
      <c r="GL5" s="820"/>
      <c r="GM5" s="820"/>
      <c r="GN5" s="820"/>
      <c r="GO5" s="820"/>
      <c r="GP5" s="820"/>
      <c r="GQ5" s="824">
        <v>2</v>
      </c>
      <c r="GR5" s="809"/>
      <c r="GS5" s="809"/>
      <c r="GT5" s="809"/>
      <c r="GU5" s="809"/>
      <c r="GV5" s="820"/>
      <c r="GW5" s="820"/>
      <c r="GX5" s="820"/>
      <c r="GY5" s="820"/>
      <c r="GZ5" s="820"/>
      <c r="HA5" s="820"/>
      <c r="HB5" s="820"/>
      <c r="HC5" s="820"/>
      <c r="HD5" s="820"/>
      <c r="HE5" s="820"/>
      <c r="HF5" s="820"/>
      <c r="HG5" s="820"/>
      <c r="HH5" s="824">
        <v>2</v>
      </c>
      <c r="HI5" s="809"/>
      <c r="HJ5" s="809"/>
      <c r="HK5" s="809"/>
      <c r="HL5" s="809"/>
      <c r="HM5" s="820"/>
      <c r="HN5" s="820"/>
      <c r="HO5" s="820"/>
      <c r="HP5" s="820"/>
      <c r="HQ5" s="820"/>
      <c r="HR5" s="820"/>
      <c r="HS5" s="820"/>
      <c r="HT5" s="820"/>
      <c r="HU5" s="820"/>
      <c r="HV5" s="820"/>
      <c r="HW5" s="820"/>
      <c r="HX5" s="820"/>
      <c r="HY5" s="824">
        <v>2</v>
      </c>
      <c r="HZ5" s="809"/>
      <c r="IA5" s="809"/>
      <c r="IB5" s="809"/>
      <c r="IC5" s="809"/>
      <c r="ID5" s="809"/>
      <c r="IE5" s="809"/>
      <c r="IF5" s="809"/>
      <c r="IG5" s="809"/>
      <c r="IH5" s="809"/>
      <c r="II5" s="809"/>
      <c r="IJ5" s="809"/>
      <c r="IK5" s="809"/>
      <c r="IL5" s="809"/>
      <c r="IM5" s="809"/>
      <c r="IN5" s="809"/>
      <c r="IO5" s="809"/>
      <c r="IP5" s="817">
        <v>2</v>
      </c>
      <c r="IQ5" s="809"/>
      <c r="IR5" s="809"/>
      <c r="IS5" s="809"/>
      <c r="IT5" s="809"/>
      <c r="IU5" s="809"/>
      <c r="IV5" s="809"/>
      <c r="IW5" s="817">
        <v>2</v>
      </c>
      <c r="IX5" s="853"/>
      <c r="IY5" s="853"/>
      <c r="IZ5" s="853"/>
      <c r="JA5" s="853"/>
      <c r="JB5" s="845"/>
      <c r="JC5" s="845"/>
      <c r="JD5" s="845"/>
      <c r="JE5" s="845"/>
      <c r="JF5" s="845"/>
      <c r="JG5" s="845"/>
      <c r="JH5" s="845"/>
      <c r="JI5" s="845"/>
      <c r="JJ5" s="845"/>
      <c r="JK5" s="845"/>
    </row>
    <row r="6" spans="1:271" ht="28.5">
      <c r="A6" s="879"/>
      <c r="B6" s="879"/>
      <c r="C6" s="879"/>
      <c r="D6" s="879"/>
      <c r="E6" s="879"/>
      <c r="F6" s="879"/>
      <c r="G6" s="879"/>
      <c r="H6" s="879"/>
      <c r="I6" s="800"/>
      <c r="J6" s="874"/>
      <c r="K6" s="875"/>
      <c r="L6" s="875"/>
      <c r="M6" s="875"/>
      <c r="N6" s="875"/>
      <c r="O6" s="875"/>
      <c r="P6" s="875"/>
      <c r="Q6" s="874"/>
      <c r="R6" s="875"/>
      <c r="S6" s="839" t="s">
        <v>3667</v>
      </c>
      <c r="T6" s="835"/>
      <c r="U6" s="835"/>
      <c r="V6" s="835"/>
      <c r="W6" s="839" t="s">
        <v>3668</v>
      </c>
      <c r="X6" s="835"/>
      <c r="Y6" s="835"/>
      <c r="Z6" s="835"/>
      <c r="AA6" s="802" t="s">
        <v>3669</v>
      </c>
      <c r="AB6" s="803" t="s">
        <v>3670</v>
      </c>
      <c r="AC6" s="804"/>
      <c r="AD6" s="805"/>
      <c r="AE6" s="805"/>
      <c r="AF6" s="805"/>
      <c r="AG6" s="798"/>
      <c r="AH6" s="798"/>
      <c r="AI6" s="806"/>
      <c r="AJ6" s="797"/>
      <c r="AK6" s="851"/>
      <c r="AL6" s="817">
        <v>3</v>
      </c>
      <c r="AM6" s="809"/>
      <c r="AN6" s="809"/>
      <c r="AO6" s="809"/>
      <c r="AP6" s="809"/>
      <c r="AQ6" s="809"/>
      <c r="AR6" s="809"/>
      <c r="AS6" s="809"/>
      <c r="AT6" s="809"/>
      <c r="AU6" s="809"/>
      <c r="AV6" s="809"/>
      <c r="AW6" s="809"/>
      <c r="AX6" s="847"/>
      <c r="AY6" s="851"/>
      <c r="AZ6" s="817">
        <v>3</v>
      </c>
      <c r="BA6" s="809"/>
      <c r="BB6" s="809"/>
      <c r="BC6" s="809"/>
      <c r="BD6" s="809"/>
      <c r="BE6" s="809"/>
      <c r="BF6" s="809"/>
      <c r="BG6" s="809"/>
      <c r="BH6" s="809"/>
      <c r="BI6" s="809"/>
      <c r="BJ6" s="809"/>
      <c r="BK6" s="809"/>
      <c r="BL6" s="809"/>
      <c r="BM6" s="809"/>
      <c r="BN6" s="847"/>
      <c r="BO6" s="851"/>
      <c r="BP6" s="817">
        <v>3</v>
      </c>
      <c r="BQ6" s="809"/>
      <c r="BR6" s="809"/>
      <c r="BS6" s="809"/>
      <c r="BT6" s="809"/>
      <c r="BU6" s="809"/>
      <c r="BV6" s="809"/>
      <c r="BW6" s="809"/>
      <c r="BX6" s="809"/>
      <c r="BY6" s="809"/>
      <c r="BZ6" s="809"/>
      <c r="CA6" s="809"/>
      <c r="CB6" s="809"/>
      <c r="CC6" s="809"/>
      <c r="CD6" s="809"/>
      <c r="CE6" s="809"/>
      <c r="CF6" s="809"/>
      <c r="CG6" s="838" t="s">
        <v>3671</v>
      </c>
      <c r="CH6" s="809"/>
      <c r="CI6" s="809"/>
      <c r="CJ6" s="809"/>
      <c r="CK6" s="838" t="s">
        <v>3671</v>
      </c>
      <c r="CL6" s="809"/>
      <c r="CM6" s="809"/>
      <c r="CN6" s="809"/>
      <c r="CO6" s="809"/>
      <c r="CP6" s="809"/>
      <c r="CQ6" s="809"/>
      <c r="CR6" s="809"/>
      <c r="CS6" s="817">
        <v>3</v>
      </c>
      <c r="CT6" s="853"/>
      <c r="CU6" s="853"/>
      <c r="CV6" s="853"/>
      <c r="CW6" s="853"/>
      <c r="CX6" s="853"/>
      <c r="CY6" s="853"/>
      <c r="CZ6" s="809"/>
      <c r="DA6" s="817">
        <v>3</v>
      </c>
      <c r="DB6" s="809"/>
      <c r="DC6" s="809"/>
      <c r="DD6" s="809"/>
      <c r="DE6" s="817">
        <v>3</v>
      </c>
      <c r="DF6" s="809"/>
      <c r="DG6" s="809"/>
      <c r="DH6" s="809"/>
      <c r="DI6" s="809"/>
      <c r="DJ6" s="809"/>
      <c r="DK6" s="817">
        <v>3</v>
      </c>
      <c r="DL6" s="809"/>
      <c r="DM6" s="809"/>
      <c r="DN6" s="809"/>
      <c r="DO6" s="809"/>
      <c r="DP6" s="809"/>
      <c r="DQ6" s="809"/>
      <c r="DR6" s="797"/>
      <c r="DS6" s="817">
        <v>3</v>
      </c>
      <c r="DT6" s="809"/>
      <c r="DU6" s="809"/>
      <c r="DV6" s="809"/>
      <c r="DW6" s="809"/>
      <c r="DX6" s="820"/>
      <c r="DY6" s="820"/>
      <c r="DZ6" s="820"/>
      <c r="EA6" s="820"/>
      <c r="EB6" s="820"/>
      <c r="EC6" s="820"/>
      <c r="ED6" s="820"/>
      <c r="EE6" s="820"/>
      <c r="EF6" s="820"/>
      <c r="EG6" s="820"/>
      <c r="EH6" s="820"/>
      <c r="EI6" s="820"/>
      <c r="EJ6" s="824">
        <v>2</v>
      </c>
      <c r="EK6" s="809"/>
      <c r="EL6" s="809"/>
      <c r="EM6" s="809"/>
      <c r="EN6" s="809"/>
      <c r="EO6" s="820"/>
      <c r="EP6" s="820"/>
      <c r="EQ6" s="820"/>
      <c r="ER6" s="820"/>
      <c r="ES6" s="820"/>
      <c r="ET6" s="820"/>
      <c r="EU6" s="820"/>
      <c r="EV6" s="820"/>
      <c r="EW6" s="820"/>
      <c r="EX6" s="820"/>
      <c r="EY6" s="820"/>
      <c r="EZ6" s="820"/>
      <c r="FA6" s="820"/>
      <c r="FB6" s="820"/>
      <c r="FC6" s="820"/>
      <c r="FD6" s="820"/>
      <c r="FE6" s="824">
        <v>3</v>
      </c>
      <c r="FF6" s="809"/>
      <c r="FG6" s="809"/>
      <c r="FH6" s="809"/>
      <c r="FI6" s="809"/>
      <c r="FJ6" s="820"/>
      <c r="FK6" s="820"/>
      <c r="FL6" s="820"/>
      <c r="FM6" s="820"/>
      <c r="FN6" s="820"/>
      <c r="FO6" s="820"/>
      <c r="FP6" s="820"/>
      <c r="FQ6" s="820"/>
      <c r="FR6" s="820"/>
      <c r="FS6" s="820"/>
      <c r="FT6" s="820"/>
      <c r="FU6" s="820"/>
      <c r="FV6" s="820"/>
      <c r="FW6" s="820"/>
      <c r="FX6" s="820"/>
      <c r="FY6" s="820"/>
      <c r="FZ6" s="824">
        <v>3</v>
      </c>
      <c r="GA6" s="809"/>
      <c r="GB6" s="809"/>
      <c r="GC6" s="809"/>
      <c r="GD6" s="809"/>
      <c r="GE6" s="820"/>
      <c r="GF6" s="820"/>
      <c r="GG6" s="820"/>
      <c r="GH6" s="820"/>
      <c r="GI6" s="820"/>
      <c r="GJ6" s="820"/>
      <c r="GK6" s="820"/>
      <c r="GL6" s="820"/>
      <c r="GM6" s="820"/>
      <c r="GN6" s="820"/>
      <c r="GO6" s="820"/>
      <c r="GP6" s="820"/>
      <c r="GQ6" s="824">
        <v>3</v>
      </c>
      <c r="GR6" s="809"/>
      <c r="GS6" s="809"/>
      <c r="GT6" s="809"/>
      <c r="GU6" s="809"/>
      <c r="GV6" s="820"/>
      <c r="GW6" s="820"/>
      <c r="GX6" s="820"/>
      <c r="GY6" s="820"/>
      <c r="GZ6" s="820"/>
      <c r="HA6" s="820"/>
      <c r="HB6" s="820"/>
      <c r="HC6" s="820"/>
      <c r="HD6" s="820"/>
      <c r="HE6" s="820"/>
      <c r="HF6" s="820"/>
      <c r="HG6" s="820"/>
      <c r="HH6" s="824">
        <v>3</v>
      </c>
      <c r="HI6" s="809"/>
      <c r="HJ6" s="809"/>
      <c r="HK6" s="809"/>
      <c r="HL6" s="809"/>
      <c r="HM6" s="820"/>
      <c r="HN6" s="820"/>
      <c r="HO6" s="820"/>
      <c r="HP6" s="820"/>
      <c r="HQ6" s="820"/>
      <c r="HR6" s="820"/>
      <c r="HS6" s="820"/>
      <c r="HT6" s="820"/>
      <c r="HU6" s="820"/>
      <c r="HV6" s="820"/>
      <c r="HW6" s="820"/>
      <c r="HX6" s="820"/>
      <c r="HY6" s="824">
        <v>3</v>
      </c>
      <c r="HZ6" s="809"/>
      <c r="IA6" s="809"/>
      <c r="IB6" s="809"/>
      <c r="IC6" s="809"/>
      <c r="ID6" s="809"/>
      <c r="IE6" s="809"/>
      <c r="IF6" s="809"/>
      <c r="IG6" s="809"/>
      <c r="IH6" s="809"/>
      <c r="II6" s="809"/>
      <c r="IJ6" s="809"/>
      <c r="IK6" s="809"/>
      <c r="IL6" s="809"/>
      <c r="IM6" s="809"/>
      <c r="IN6" s="809"/>
      <c r="IO6" s="809"/>
      <c r="IP6" s="817">
        <v>3</v>
      </c>
      <c r="IQ6" s="809"/>
      <c r="IR6" s="809"/>
      <c r="IS6" s="809"/>
      <c r="IT6" s="809"/>
      <c r="IU6" s="809"/>
      <c r="IV6" s="809"/>
      <c r="IW6" s="817">
        <v>3</v>
      </c>
      <c r="IX6" s="853"/>
      <c r="IY6" s="853"/>
      <c r="IZ6" s="853"/>
      <c r="JA6" s="853"/>
      <c r="JB6" s="845"/>
      <c r="JC6" s="845"/>
      <c r="JD6" s="845"/>
      <c r="JE6" s="845"/>
      <c r="JF6" s="845"/>
      <c r="JG6" s="845"/>
      <c r="JH6" s="845"/>
      <c r="JI6" s="845"/>
      <c r="JJ6" s="845"/>
      <c r="JK6" s="845"/>
    </row>
    <row r="7" spans="1:271" ht="28.5">
      <c r="A7" s="879"/>
      <c r="B7" s="879"/>
      <c r="C7" s="879"/>
      <c r="D7" s="879"/>
      <c r="E7" s="879"/>
      <c r="F7" s="879"/>
      <c r="G7" s="879"/>
      <c r="H7" s="879"/>
      <c r="I7" s="800"/>
      <c r="J7" s="874"/>
      <c r="K7" s="875"/>
      <c r="L7" s="875"/>
      <c r="M7" s="875"/>
      <c r="N7" s="875"/>
      <c r="O7" s="875"/>
      <c r="P7" s="875"/>
      <c r="Q7" s="874"/>
      <c r="R7" s="875"/>
      <c r="S7" s="839" t="s">
        <v>3672</v>
      </c>
      <c r="T7" s="835"/>
      <c r="U7" s="835"/>
      <c r="V7" s="835"/>
      <c r="W7" s="839" t="s">
        <v>3673</v>
      </c>
      <c r="X7" s="835"/>
      <c r="Y7" s="835"/>
      <c r="Z7" s="835"/>
      <c r="AA7" s="802" t="s">
        <v>3674</v>
      </c>
      <c r="AB7" s="803" t="s">
        <v>3675</v>
      </c>
      <c r="AC7" s="804"/>
      <c r="AD7" s="805"/>
      <c r="AE7" s="805"/>
      <c r="AF7" s="805"/>
      <c r="AG7" s="798"/>
      <c r="AH7" s="798"/>
      <c r="AI7" s="806"/>
      <c r="AJ7" s="797"/>
      <c r="AK7" s="851"/>
      <c r="AL7" s="817">
        <v>4</v>
      </c>
      <c r="AM7" s="809"/>
      <c r="AN7" s="809"/>
      <c r="AO7" s="809"/>
      <c r="AP7" s="809"/>
      <c r="AQ7" s="809"/>
      <c r="AR7" s="809"/>
      <c r="AS7" s="809"/>
      <c r="AT7" s="809"/>
      <c r="AU7" s="809"/>
      <c r="AV7" s="809"/>
      <c r="AW7" s="809"/>
      <c r="AX7" s="847"/>
      <c r="AY7" s="851"/>
      <c r="AZ7" s="817">
        <v>4</v>
      </c>
      <c r="BA7" s="809"/>
      <c r="BB7" s="809"/>
      <c r="BC7" s="809"/>
      <c r="BD7" s="809"/>
      <c r="BE7" s="809"/>
      <c r="BF7" s="809"/>
      <c r="BG7" s="809"/>
      <c r="BH7" s="809"/>
      <c r="BI7" s="809"/>
      <c r="BJ7" s="809"/>
      <c r="BK7" s="809"/>
      <c r="BL7" s="809"/>
      <c r="BM7" s="809"/>
      <c r="BN7" s="847"/>
      <c r="BO7" s="851"/>
      <c r="BP7" s="817">
        <v>4</v>
      </c>
      <c r="BQ7" s="809"/>
      <c r="BR7" s="809"/>
      <c r="BS7" s="809"/>
      <c r="BT7" s="809"/>
      <c r="BU7" s="809"/>
      <c r="BV7" s="809"/>
      <c r="BW7" s="809"/>
      <c r="BX7" s="809"/>
      <c r="BY7" s="809"/>
      <c r="BZ7" s="809"/>
      <c r="CA7" s="809"/>
      <c r="CB7" s="809"/>
      <c r="CC7" s="809"/>
      <c r="CD7" s="809"/>
      <c r="CE7" s="809"/>
      <c r="CF7" s="809"/>
      <c r="CG7" s="838" t="s">
        <v>3676</v>
      </c>
      <c r="CH7" s="809"/>
      <c r="CI7" s="809"/>
      <c r="CJ7" s="809"/>
      <c r="CK7" s="838" t="s">
        <v>3676</v>
      </c>
      <c r="CL7" s="809"/>
      <c r="CM7" s="809"/>
      <c r="CN7" s="809"/>
      <c r="CO7" s="809"/>
      <c r="CP7" s="809"/>
      <c r="CQ7" s="809"/>
      <c r="CR7" s="809"/>
      <c r="CS7" s="817">
        <v>4</v>
      </c>
      <c r="CT7" s="853"/>
      <c r="CU7" s="853"/>
      <c r="CV7" s="853"/>
      <c r="CW7" s="853"/>
      <c r="CX7" s="853"/>
      <c r="CY7" s="853"/>
      <c r="CZ7" s="809"/>
      <c r="DA7" s="817">
        <v>4</v>
      </c>
      <c r="DB7" s="809"/>
      <c r="DC7" s="809"/>
      <c r="DD7" s="809"/>
      <c r="DE7" s="817">
        <v>4</v>
      </c>
      <c r="DF7" s="809"/>
      <c r="DG7" s="809"/>
      <c r="DH7" s="809"/>
      <c r="DI7" s="809"/>
      <c r="DJ7" s="809"/>
      <c r="DK7" s="817">
        <v>4</v>
      </c>
      <c r="DL7" s="809"/>
      <c r="DM7" s="809"/>
      <c r="DN7" s="809"/>
      <c r="DO7" s="809"/>
      <c r="DP7" s="809"/>
      <c r="DQ7" s="809"/>
      <c r="DR7" s="797"/>
      <c r="DS7" s="817">
        <v>4</v>
      </c>
      <c r="DT7" s="809"/>
      <c r="DU7" s="809"/>
      <c r="DV7" s="809"/>
      <c r="DW7" s="809"/>
      <c r="DX7" s="820"/>
      <c r="DY7" s="820"/>
      <c r="DZ7" s="809"/>
      <c r="EA7" s="820"/>
      <c r="EB7" s="820"/>
      <c r="EC7" s="820"/>
      <c r="ED7" s="820"/>
      <c r="EE7" s="820"/>
      <c r="EF7" s="820"/>
      <c r="EG7" s="820"/>
      <c r="EH7" s="820"/>
      <c r="EI7" s="820"/>
      <c r="EJ7" s="824">
        <v>3</v>
      </c>
      <c r="EK7" s="809"/>
      <c r="EL7" s="809"/>
      <c r="EM7" s="809"/>
      <c r="EN7" s="809"/>
      <c r="EO7" s="820"/>
      <c r="EP7" s="820"/>
      <c r="EQ7" s="820"/>
      <c r="ER7" s="820"/>
      <c r="ES7" s="820"/>
      <c r="ET7" s="820"/>
      <c r="EU7" s="820"/>
      <c r="EV7" s="820"/>
      <c r="EW7" s="820"/>
      <c r="EX7" s="820"/>
      <c r="EY7" s="820"/>
      <c r="EZ7" s="820"/>
      <c r="FA7" s="820"/>
      <c r="FB7" s="820"/>
      <c r="FC7" s="820"/>
      <c r="FD7" s="820"/>
      <c r="FE7" s="824">
        <v>4</v>
      </c>
      <c r="FF7" s="809"/>
      <c r="FG7" s="809"/>
      <c r="FH7" s="809"/>
      <c r="FI7" s="809"/>
      <c r="FJ7" s="820"/>
      <c r="FK7" s="820"/>
      <c r="FL7" s="820"/>
      <c r="FM7" s="820"/>
      <c r="FN7" s="820"/>
      <c r="FO7" s="820"/>
      <c r="FP7" s="820"/>
      <c r="FQ7" s="820"/>
      <c r="FR7" s="820"/>
      <c r="FS7" s="820"/>
      <c r="FT7" s="820"/>
      <c r="FU7" s="820"/>
      <c r="FV7" s="820"/>
      <c r="FW7" s="820"/>
      <c r="FX7" s="820"/>
      <c r="FY7" s="820"/>
      <c r="FZ7" s="824">
        <v>4</v>
      </c>
      <c r="GA7" s="809"/>
      <c r="GB7" s="809"/>
      <c r="GC7" s="809"/>
      <c r="GD7" s="809"/>
      <c r="GE7" s="820"/>
      <c r="GF7" s="820"/>
      <c r="GG7" s="820"/>
      <c r="GH7" s="820"/>
      <c r="GI7" s="820"/>
      <c r="GJ7" s="820"/>
      <c r="GK7" s="820"/>
      <c r="GL7" s="820"/>
      <c r="GM7" s="820"/>
      <c r="GN7" s="820"/>
      <c r="GO7" s="820"/>
      <c r="GP7" s="820"/>
      <c r="GQ7" s="824">
        <v>4</v>
      </c>
      <c r="GR7" s="809"/>
      <c r="GS7" s="809"/>
      <c r="GT7" s="809"/>
      <c r="GU7" s="809"/>
      <c r="GV7" s="820"/>
      <c r="GW7" s="820"/>
      <c r="GX7" s="820"/>
      <c r="GY7" s="820"/>
      <c r="GZ7" s="820"/>
      <c r="HA7" s="820"/>
      <c r="HB7" s="820"/>
      <c r="HC7" s="820"/>
      <c r="HD7" s="820"/>
      <c r="HE7" s="820"/>
      <c r="HF7" s="820"/>
      <c r="HG7" s="820"/>
      <c r="HH7" s="824">
        <v>4</v>
      </c>
      <c r="HI7" s="809"/>
      <c r="HJ7" s="809"/>
      <c r="HK7" s="809"/>
      <c r="HL7" s="809"/>
      <c r="HM7" s="820"/>
      <c r="HN7" s="820"/>
      <c r="HO7" s="820"/>
      <c r="HP7" s="820"/>
      <c r="HQ7" s="820"/>
      <c r="HR7" s="820"/>
      <c r="HS7" s="820"/>
      <c r="HT7" s="820"/>
      <c r="HU7" s="820"/>
      <c r="HV7" s="820"/>
      <c r="HW7" s="820"/>
      <c r="HX7" s="820"/>
      <c r="HY7" s="824">
        <v>4</v>
      </c>
      <c r="HZ7" s="809"/>
      <c r="IA7" s="809"/>
      <c r="IB7" s="809"/>
      <c r="IC7" s="809"/>
      <c r="ID7" s="809"/>
      <c r="IE7" s="809"/>
      <c r="IF7" s="809"/>
      <c r="IG7" s="809"/>
      <c r="IH7" s="809"/>
      <c r="II7" s="809"/>
      <c r="IJ7" s="809"/>
      <c r="IK7" s="809"/>
      <c r="IL7" s="809"/>
      <c r="IM7" s="809"/>
      <c r="IN7" s="809"/>
      <c r="IO7" s="809"/>
      <c r="IP7" s="817">
        <v>4</v>
      </c>
      <c r="IQ7" s="809"/>
      <c r="IR7" s="809"/>
      <c r="IS7" s="809"/>
      <c r="IT7" s="809"/>
      <c r="IU7" s="809"/>
      <c r="IV7" s="809"/>
      <c r="IW7" s="817">
        <v>4</v>
      </c>
      <c r="IX7" s="853"/>
      <c r="IY7" s="853"/>
      <c r="IZ7" s="853"/>
      <c r="JA7" s="853"/>
      <c r="JB7" s="845"/>
      <c r="JC7" s="845"/>
      <c r="JD7" s="845"/>
      <c r="JE7" s="845"/>
      <c r="JF7" s="845"/>
      <c r="JG7" s="845"/>
      <c r="JH7" s="845"/>
      <c r="JI7" s="845"/>
      <c r="JJ7" s="845"/>
      <c r="JK7" s="845"/>
    </row>
    <row r="8" spans="1:271" ht="28.5">
      <c r="A8" s="879"/>
      <c r="B8" s="879"/>
      <c r="C8" s="879"/>
      <c r="D8" s="879"/>
      <c r="E8" s="879"/>
      <c r="F8" s="879"/>
      <c r="G8" s="879"/>
      <c r="H8" s="879"/>
      <c r="I8" s="800"/>
      <c r="J8" s="874"/>
      <c r="K8" s="875"/>
      <c r="L8" s="875"/>
      <c r="M8" s="875"/>
      <c r="N8" s="875"/>
      <c r="O8" s="875"/>
      <c r="P8" s="875"/>
      <c r="Q8" s="874"/>
      <c r="R8" s="875"/>
      <c r="S8" s="839" t="s">
        <v>3677</v>
      </c>
      <c r="T8" s="835"/>
      <c r="U8" s="835"/>
      <c r="V8" s="835"/>
      <c r="W8" s="839" t="s">
        <v>3678</v>
      </c>
      <c r="X8" s="835"/>
      <c r="Y8" s="835"/>
      <c r="Z8" s="835"/>
      <c r="AA8" s="802" t="s">
        <v>3679</v>
      </c>
      <c r="AB8" s="803" t="s">
        <v>3680</v>
      </c>
      <c r="AC8" s="804"/>
      <c r="AD8" s="805"/>
      <c r="AE8" s="805"/>
      <c r="AF8" s="805"/>
      <c r="AG8" s="798"/>
      <c r="AH8" s="798"/>
      <c r="AI8" s="806"/>
      <c r="AJ8" s="797"/>
      <c r="AK8" s="851"/>
      <c r="AL8" s="817">
        <v>5</v>
      </c>
      <c r="AM8" s="809"/>
      <c r="AN8" s="809"/>
      <c r="AO8" s="809"/>
      <c r="AP8" s="809"/>
      <c r="AQ8" s="809"/>
      <c r="AR8" s="809"/>
      <c r="AS8" s="809"/>
      <c r="AT8" s="809"/>
      <c r="AU8" s="809"/>
      <c r="AV8" s="809"/>
      <c r="AW8" s="809"/>
      <c r="AX8" s="847"/>
      <c r="AY8" s="851"/>
      <c r="AZ8" s="817">
        <v>5</v>
      </c>
      <c r="BA8" s="809"/>
      <c r="BB8" s="809"/>
      <c r="BC8" s="809"/>
      <c r="BD8" s="809"/>
      <c r="BE8" s="809"/>
      <c r="BF8" s="809"/>
      <c r="BG8" s="809"/>
      <c r="BH8" s="809"/>
      <c r="BI8" s="809"/>
      <c r="BJ8" s="809"/>
      <c r="BK8" s="809"/>
      <c r="BL8" s="809"/>
      <c r="BM8" s="809"/>
      <c r="BN8" s="847"/>
      <c r="BO8" s="851"/>
      <c r="BP8" s="817">
        <v>5</v>
      </c>
      <c r="BQ8" s="809"/>
      <c r="BR8" s="809"/>
      <c r="BS8" s="809"/>
      <c r="BT8" s="809"/>
      <c r="BU8" s="809"/>
      <c r="BV8" s="809"/>
      <c r="BW8" s="809"/>
      <c r="BX8" s="809"/>
      <c r="BY8" s="809"/>
      <c r="BZ8" s="809"/>
      <c r="CA8" s="809"/>
      <c r="CB8" s="809"/>
      <c r="CC8" s="809"/>
      <c r="CD8" s="809"/>
      <c r="CE8" s="809"/>
      <c r="CF8" s="809"/>
      <c r="CG8" s="838" t="s">
        <v>3681</v>
      </c>
      <c r="CH8" s="809"/>
      <c r="CI8" s="809"/>
      <c r="CJ8" s="809"/>
      <c r="CK8" s="838" t="s">
        <v>3681</v>
      </c>
      <c r="CL8" s="809"/>
      <c r="CM8" s="809"/>
      <c r="CN8" s="809"/>
      <c r="CO8" s="809"/>
      <c r="CP8" s="809"/>
      <c r="CQ8" s="809"/>
      <c r="CR8" s="809"/>
      <c r="CS8" s="817">
        <v>5</v>
      </c>
      <c r="CT8" s="853"/>
      <c r="CU8" s="853"/>
      <c r="CV8" s="853"/>
      <c r="CW8" s="853"/>
      <c r="CX8" s="853"/>
      <c r="CY8" s="853"/>
      <c r="CZ8" s="809"/>
      <c r="DA8" s="817">
        <v>5</v>
      </c>
      <c r="DB8" s="809"/>
      <c r="DC8" s="809"/>
      <c r="DD8" s="809"/>
      <c r="DE8" s="817">
        <v>5</v>
      </c>
      <c r="DF8" s="809"/>
      <c r="DG8" s="809"/>
      <c r="DH8" s="809"/>
      <c r="DI8" s="809"/>
      <c r="DJ8" s="809"/>
      <c r="DK8" s="817">
        <v>5</v>
      </c>
      <c r="DL8" s="809"/>
      <c r="DM8" s="809"/>
      <c r="DN8" s="809"/>
      <c r="DO8" s="809"/>
      <c r="DP8" s="809"/>
      <c r="DQ8" s="809"/>
      <c r="DR8" s="797"/>
      <c r="DS8" s="817">
        <v>5</v>
      </c>
      <c r="DT8" s="809"/>
      <c r="DU8" s="809"/>
      <c r="DV8" s="809"/>
      <c r="DW8" s="809"/>
      <c r="DX8" s="820"/>
      <c r="DY8" s="820"/>
      <c r="DZ8" s="809"/>
      <c r="EA8" s="820"/>
      <c r="EB8" s="820"/>
      <c r="EC8" s="820"/>
      <c r="ED8" s="820"/>
      <c r="EE8" s="820"/>
      <c r="EF8" s="820"/>
      <c r="EG8" s="820"/>
      <c r="EH8" s="820"/>
      <c r="EI8" s="820"/>
      <c r="EJ8" s="824">
        <v>4</v>
      </c>
      <c r="EK8" s="809"/>
      <c r="EL8" s="809"/>
      <c r="EM8" s="809"/>
      <c r="EN8" s="809"/>
      <c r="EO8" s="820"/>
      <c r="EP8" s="820"/>
      <c r="EQ8" s="820"/>
      <c r="ER8" s="820"/>
      <c r="ES8" s="820"/>
      <c r="ET8" s="820"/>
      <c r="EU8" s="820"/>
      <c r="EV8" s="820"/>
      <c r="EW8" s="820"/>
      <c r="EX8" s="820"/>
      <c r="EY8" s="820"/>
      <c r="EZ8" s="820"/>
      <c r="FA8" s="820"/>
      <c r="FB8" s="820"/>
      <c r="FC8" s="820"/>
      <c r="FD8" s="820"/>
      <c r="FE8" s="824">
        <v>5</v>
      </c>
      <c r="FF8" s="809"/>
      <c r="FG8" s="809"/>
      <c r="FH8" s="809"/>
      <c r="FI8" s="809"/>
      <c r="FJ8" s="820"/>
      <c r="FK8" s="820"/>
      <c r="FL8" s="820"/>
      <c r="FM8" s="820"/>
      <c r="FN8" s="820"/>
      <c r="FO8" s="820"/>
      <c r="FP8" s="820"/>
      <c r="FQ8" s="820"/>
      <c r="FR8" s="820"/>
      <c r="FS8" s="820"/>
      <c r="FT8" s="820"/>
      <c r="FU8" s="820"/>
      <c r="FV8" s="820"/>
      <c r="FW8" s="820"/>
      <c r="FX8" s="820"/>
      <c r="FY8" s="820"/>
      <c r="FZ8" s="824">
        <v>5</v>
      </c>
      <c r="GA8" s="809"/>
      <c r="GB8" s="809"/>
      <c r="GC8" s="809"/>
      <c r="GD8" s="809"/>
      <c r="GE8" s="820"/>
      <c r="GF8" s="820"/>
      <c r="GG8" s="820"/>
      <c r="GH8" s="820"/>
      <c r="GI8" s="820"/>
      <c r="GJ8" s="820"/>
      <c r="GK8" s="820"/>
      <c r="GL8" s="820"/>
      <c r="GM8" s="820"/>
      <c r="GN8" s="820"/>
      <c r="GO8" s="820"/>
      <c r="GP8" s="820"/>
      <c r="GQ8" s="824">
        <v>5</v>
      </c>
      <c r="GR8" s="809"/>
      <c r="GS8" s="809"/>
      <c r="GT8" s="809"/>
      <c r="GU8" s="809"/>
      <c r="GV8" s="820"/>
      <c r="GW8" s="820"/>
      <c r="GX8" s="820"/>
      <c r="GY8" s="820"/>
      <c r="GZ8" s="820"/>
      <c r="HA8" s="820"/>
      <c r="HB8" s="820"/>
      <c r="HC8" s="820"/>
      <c r="HD8" s="820"/>
      <c r="HE8" s="820"/>
      <c r="HF8" s="820"/>
      <c r="HG8" s="820"/>
      <c r="HH8" s="824">
        <v>5</v>
      </c>
      <c r="HI8" s="809"/>
      <c r="HJ8" s="809"/>
      <c r="HK8" s="809"/>
      <c r="HL8" s="809"/>
      <c r="HM8" s="820"/>
      <c r="HN8" s="820"/>
      <c r="HO8" s="820"/>
      <c r="HP8" s="820"/>
      <c r="HQ8" s="820"/>
      <c r="HR8" s="820"/>
      <c r="HS8" s="820"/>
      <c r="HT8" s="820"/>
      <c r="HU8" s="820"/>
      <c r="HV8" s="820"/>
      <c r="HW8" s="820"/>
      <c r="HX8" s="820"/>
      <c r="HY8" s="824">
        <v>5</v>
      </c>
      <c r="HZ8" s="809"/>
      <c r="IA8" s="809"/>
      <c r="IB8" s="809"/>
      <c r="IC8" s="809"/>
      <c r="ID8" s="809"/>
      <c r="IE8" s="809"/>
      <c r="IF8" s="809"/>
      <c r="IG8" s="809"/>
      <c r="IH8" s="809"/>
      <c r="II8" s="809"/>
      <c r="IJ8" s="809"/>
      <c r="IK8" s="809"/>
      <c r="IL8" s="809"/>
      <c r="IM8" s="809"/>
      <c r="IN8" s="809"/>
      <c r="IO8" s="809"/>
      <c r="IP8" s="817">
        <v>5</v>
      </c>
      <c r="IQ8" s="809"/>
      <c r="IR8" s="809"/>
      <c r="IS8" s="809"/>
      <c r="IT8" s="809"/>
      <c r="IU8" s="809"/>
      <c r="IV8" s="809"/>
      <c r="IW8" s="817">
        <v>5</v>
      </c>
      <c r="IX8" s="853"/>
      <c r="IY8" s="853"/>
      <c r="IZ8" s="853"/>
      <c r="JA8" s="853"/>
      <c r="JB8" s="845"/>
      <c r="JC8" s="845"/>
      <c r="JD8" s="845"/>
      <c r="JE8" s="845"/>
      <c r="JF8" s="845"/>
      <c r="JG8" s="845"/>
      <c r="JH8" s="845"/>
      <c r="JI8" s="845"/>
      <c r="JJ8" s="845"/>
      <c r="JK8" s="845"/>
    </row>
    <row r="9" spans="1:271" ht="28.5">
      <c r="A9" s="879"/>
      <c r="B9" s="879"/>
      <c r="C9" s="879"/>
      <c r="D9" s="879"/>
      <c r="E9" s="879"/>
      <c r="F9" s="879"/>
      <c r="G9" s="879"/>
      <c r="H9" s="879"/>
      <c r="I9" s="800"/>
      <c r="J9" s="874"/>
      <c r="K9" s="875"/>
      <c r="L9" s="875"/>
      <c r="M9" s="875"/>
      <c r="N9" s="875"/>
      <c r="O9" s="875"/>
      <c r="P9" s="875"/>
      <c r="Q9" s="874"/>
      <c r="R9" s="875"/>
      <c r="S9" s="839" t="s">
        <v>3682</v>
      </c>
      <c r="T9" s="835"/>
      <c r="U9" s="835"/>
      <c r="V9" s="835"/>
      <c r="W9" s="839" t="s">
        <v>3683</v>
      </c>
      <c r="X9" s="835"/>
      <c r="Y9" s="835"/>
      <c r="Z9" s="835"/>
      <c r="AA9" s="802" t="s">
        <v>3684</v>
      </c>
      <c r="AB9" s="803" t="s">
        <v>3685</v>
      </c>
      <c r="AC9" s="804"/>
      <c r="AD9" s="805"/>
      <c r="AE9" s="805"/>
      <c r="AF9" s="805"/>
      <c r="AG9" s="798"/>
      <c r="AH9" s="798"/>
      <c r="AI9" s="806"/>
      <c r="AJ9" s="797"/>
      <c r="AK9" s="851"/>
      <c r="AL9" s="817">
        <v>6</v>
      </c>
      <c r="AM9" s="809"/>
      <c r="AN9" s="809"/>
      <c r="AO9" s="809"/>
      <c r="AP9" s="809"/>
      <c r="AQ9" s="809"/>
      <c r="AR9" s="809"/>
      <c r="AS9" s="809"/>
      <c r="AT9" s="809"/>
      <c r="AU9" s="809"/>
      <c r="AV9" s="809"/>
      <c r="AW9" s="809"/>
      <c r="AX9" s="847"/>
      <c r="AY9" s="851"/>
      <c r="AZ9" s="817">
        <v>6</v>
      </c>
      <c r="BA9" s="809"/>
      <c r="BB9" s="809"/>
      <c r="BC9" s="809"/>
      <c r="BD9" s="809"/>
      <c r="BE9" s="809"/>
      <c r="BF9" s="809"/>
      <c r="BG9" s="809"/>
      <c r="BH9" s="809"/>
      <c r="BI9" s="809"/>
      <c r="BJ9" s="809"/>
      <c r="BK9" s="809"/>
      <c r="BL9" s="809"/>
      <c r="BM9" s="809"/>
      <c r="BN9" s="847"/>
      <c r="BO9" s="851"/>
      <c r="BP9" s="817">
        <v>6</v>
      </c>
      <c r="BQ9" s="809"/>
      <c r="BR9" s="809"/>
      <c r="BS9" s="809"/>
      <c r="BT9" s="809"/>
      <c r="BU9" s="809"/>
      <c r="BV9" s="809"/>
      <c r="BW9" s="809"/>
      <c r="BX9" s="809"/>
      <c r="BY9" s="809"/>
      <c r="BZ9" s="809"/>
      <c r="CA9" s="809"/>
      <c r="CB9" s="809"/>
      <c r="CC9" s="809"/>
      <c r="CD9" s="809"/>
      <c r="CE9" s="809"/>
      <c r="CF9" s="809"/>
      <c r="CG9" s="838" t="s">
        <v>3686</v>
      </c>
      <c r="CH9" s="809"/>
      <c r="CI9" s="809"/>
      <c r="CJ9" s="809"/>
      <c r="CK9" s="838" t="s">
        <v>3686</v>
      </c>
      <c r="CL9" s="809"/>
      <c r="CM9" s="809"/>
      <c r="CN9" s="809"/>
      <c r="CO9" s="809"/>
      <c r="CP9" s="809"/>
      <c r="CQ9" s="809"/>
      <c r="CR9" s="809"/>
      <c r="CS9" s="817">
        <v>6</v>
      </c>
      <c r="CT9" s="853"/>
      <c r="CU9" s="853"/>
      <c r="CV9" s="853"/>
      <c r="CW9" s="853"/>
      <c r="CX9" s="853"/>
      <c r="CY9" s="853"/>
      <c r="CZ9" s="809"/>
      <c r="DA9" s="817">
        <v>6</v>
      </c>
      <c r="DB9" s="809"/>
      <c r="DC9" s="809"/>
      <c r="DD9" s="809"/>
      <c r="DE9" s="817">
        <v>6</v>
      </c>
      <c r="DF9" s="809"/>
      <c r="DG9" s="809"/>
      <c r="DH9" s="809"/>
      <c r="DI9" s="809"/>
      <c r="DJ9" s="809"/>
      <c r="DK9" s="817">
        <v>6</v>
      </c>
      <c r="DL9" s="809"/>
      <c r="DM9" s="809"/>
      <c r="DN9" s="809"/>
      <c r="DO9" s="809"/>
      <c r="DP9" s="809"/>
      <c r="DQ9" s="809"/>
      <c r="DR9" s="797"/>
      <c r="DS9" s="817">
        <v>6</v>
      </c>
      <c r="DT9" s="809"/>
      <c r="DU9" s="809"/>
      <c r="DV9" s="809"/>
      <c r="DW9" s="809"/>
      <c r="DX9" s="820"/>
      <c r="DY9" s="820"/>
      <c r="DZ9" s="820"/>
      <c r="EA9" s="820"/>
      <c r="EB9" s="820"/>
      <c r="EC9" s="820"/>
      <c r="ED9" s="820"/>
      <c r="EE9" s="820"/>
      <c r="EF9" s="820"/>
      <c r="EG9" s="820"/>
      <c r="EH9" s="820"/>
      <c r="EI9" s="820"/>
      <c r="EJ9" s="824">
        <v>5</v>
      </c>
      <c r="EK9" s="809"/>
      <c r="EL9" s="809"/>
      <c r="EM9" s="809"/>
      <c r="EN9" s="809"/>
      <c r="EO9" s="820"/>
      <c r="EP9" s="820"/>
      <c r="EQ9" s="820"/>
      <c r="ER9" s="820"/>
      <c r="ES9" s="820"/>
      <c r="ET9" s="820"/>
      <c r="EU9" s="820"/>
      <c r="EV9" s="820"/>
      <c r="EW9" s="820"/>
      <c r="EX9" s="820"/>
      <c r="EY9" s="820"/>
      <c r="EZ9" s="820"/>
      <c r="FA9" s="820"/>
      <c r="FB9" s="820"/>
      <c r="FC9" s="820"/>
      <c r="FD9" s="820"/>
      <c r="FE9" s="824">
        <v>6</v>
      </c>
      <c r="FF9" s="809"/>
      <c r="FG9" s="809"/>
      <c r="FH9" s="809"/>
      <c r="FI9" s="809"/>
      <c r="FJ9" s="820"/>
      <c r="FK9" s="820"/>
      <c r="FL9" s="820"/>
      <c r="FM9" s="820"/>
      <c r="FN9" s="820"/>
      <c r="FO9" s="820"/>
      <c r="FP9" s="820"/>
      <c r="FQ9" s="820"/>
      <c r="FR9" s="820"/>
      <c r="FS9" s="820"/>
      <c r="FT9" s="820"/>
      <c r="FU9" s="820"/>
      <c r="FV9" s="820"/>
      <c r="FW9" s="820"/>
      <c r="FX9" s="820"/>
      <c r="FY9" s="820"/>
      <c r="FZ9" s="824">
        <v>6</v>
      </c>
      <c r="GA9" s="809"/>
      <c r="GB9" s="809"/>
      <c r="GC9" s="809"/>
      <c r="GD9" s="809"/>
      <c r="GE9" s="820"/>
      <c r="GF9" s="820"/>
      <c r="GG9" s="820"/>
      <c r="GH9" s="820"/>
      <c r="GI9" s="820"/>
      <c r="GJ9" s="820"/>
      <c r="GK9" s="820"/>
      <c r="GL9" s="820"/>
      <c r="GM9" s="820"/>
      <c r="GN9" s="820"/>
      <c r="GO9" s="820"/>
      <c r="GP9" s="820"/>
      <c r="GQ9" s="824">
        <v>6</v>
      </c>
      <c r="GR9" s="809"/>
      <c r="GS9" s="809"/>
      <c r="GT9" s="809"/>
      <c r="GU9" s="809"/>
      <c r="GV9" s="820"/>
      <c r="GW9" s="820"/>
      <c r="GX9" s="820"/>
      <c r="GY9" s="820"/>
      <c r="GZ9" s="820"/>
      <c r="HA9" s="820"/>
      <c r="HB9" s="820"/>
      <c r="HC9" s="820"/>
      <c r="HD9" s="820"/>
      <c r="HE9" s="820"/>
      <c r="HF9" s="820"/>
      <c r="HG9" s="820"/>
      <c r="HH9" s="824">
        <v>6</v>
      </c>
      <c r="HI9" s="809"/>
      <c r="HJ9" s="809"/>
      <c r="HK9" s="809"/>
      <c r="HL9" s="809"/>
      <c r="HM9" s="820"/>
      <c r="HN9" s="820"/>
      <c r="HO9" s="820"/>
      <c r="HP9" s="820"/>
      <c r="HQ9" s="820"/>
      <c r="HR9" s="820"/>
      <c r="HS9" s="820"/>
      <c r="HT9" s="820"/>
      <c r="HU9" s="820"/>
      <c r="HV9" s="820"/>
      <c r="HW9" s="820"/>
      <c r="HX9" s="820"/>
      <c r="HY9" s="824">
        <v>6</v>
      </c>
      <c r="HZ9" s="809"/>
      <c r="IA9" s="809"/>
      <c r="IB9" s="809"/>
      <c r="IC9" s="809"/>
      <c r="ID9" s="809"/>
      <c r="IE9" s="809"/>
      <c r="IF9" s="809"/>
      <c r="IG9" s="809"/>
      <c r="IH9" s="809"/>
      <c r="II9" s="809"/>
      <c r="IJ9" s="809"/>
      <c r="IK9" s="809"/>
      <c r="IL9" s="809"/>
      <c r="IM9" s="809"/>
      <c r="IN9" s="809"/>
      <c r="IO9" s="809"/>
      <c r="IP9" s="817">
        <v>6</v>
      </c>
      <c r="IQ9" s="809"/>
      <c r="IR9" s="809"/>
      <c r="IS9" s="809"/>
      <c r="IT9" s="809"/>
      <c r="IU9" s="809"/>
      <c r="IV9" s="809"/>
      <c r="IW9" s="817">
        <v>6</v>
      </c>
      <c r="IX9" s="853"/>
      <c r="IY9" s="853"/>
      <c r="IZ9" s="853"/>
      <c r="JA9" s="853"/>
      <c r="JB9" s="845"/>
      <c r="JC9" s="845"/>
      <c r="JD9" s="845"/>
      <c r="JE9" s="845"/>
      <c r="JF9" s="845"/>
      <c r="JG9" s="845"/>
      <c r="JH9" s="845"/>
      <c r="JI9" s="845"/>
      <c r="JJ9" s="845"/>
      <c r="JK9" s="845"/>
    </row>
    <row r="10" spans="1:271" ht="28.5">
      <c r="A10" s="879"/>
      <c r="B10" s="879"/>
      <c r="C10" s="879"/>
      <c r="D10" s="879"/>
      <c r="E10" s="879"/>
      <c r="F10" s="879"/>
      <c r="G10" s="879"/>
      <c r="H10" s="879"/>
      <c r="I10" s="800"/>
      <c r="J10" s="874"/>
      <c r="K10" s="875"/>
      <c r="L10" s="875"/>
      <c r="M10" s="875"/>
      <c r="N10" s="875"/>
      <c r="O10" s="875"/>
      <c r="P10" s="875"/>
      <c r="Q10" s="874"/>
      <c r="R10" s="875"/>
      <c r="S10" s="839" t="s">
        <v>3687</v>
      </c>
      <c r="T10" s="835"/>
      <c r="U10" s="835"/>
      <c r="V10" s="835"/>
      <c r="W10" s="839" t="s">
        <v>3688</v>
      </c>
      <c r="X10" s="835"/>
      <c r="Y10" s="835"/>
      <c r="Z10" s="835"/>
      <c r="AA10" s="802" t="s">
        <v>3689</v>
      </c>
      <c r="AB10" s="803" t="s">
        <v>3690</v>
      </c>
      <c r="AC10" s="804"/>
      <c r="AD10" s="805"/>
      <c r="AE10" s="805"/>
      <c r="AF10" s="805"/>
      <c r="AG10" s="798"/>
      <c r="AH10" s="798"/>
      <c r="AI10" s="806"/>
      <c r="AJ10" s="797"/>
      <c r="AK10" s="851"/>
      <c r="AL10" s="817">
        <v>7</v>
      </c>
      <c r="AM10" s="809"/>
      <c r="AN10" s="809"/>
      <c r="AO10" s="809"/>
      <c r="AP10" s="809"/>
      <c r="AQ10" s="809"/>
      <c r="AR10" s="809"/>
      <c r="AS10" s="809"/>
      <c r="AT10" s="809"/>
      <c r="AU10" s="809"/>
      <c r="AV10" s="809"/>
      <c r="AW10" s="809"/>
      <c r="AX10" s="847"/>
      <c r="AY10" s="851"/>
      <c r="AZ10" s="817">
        <v>7</v>
      </c>
      <c r="BA10" s="809"/>
      <c r="BB10" s="809"/>
      <c r="BC10" s="809"/>
      <c r="BD10" s="809"/>
      <c r="BE10" s="809"/>
      <c r="BF10" s="809"/>
      <c r="BG10" s="809"/>
      <c r="BH10" s="809"/>
      <c r="BI10" s="809"/>
      <c r="BJ10" s="809"/>
      <c r="BK10" s="809"/>
      <c r="BL10" s="809"/>
      <c r="BM10" s="809"/>
      <c r="BN10" s="847"/>
      <c r="BO10" s="851"/>
      <c r="BP10" s="817">
        <v>7</v>
      </c>
      <c r="BQ10" s="809"/>
      <c r="BR10" s="809"/>
      <c r="BS10" s="809"/>
      <c r="BT10" s="809"/>
      <c r="BU10" s="809"/>
      <c r="BV10" s="809"/>
      <c r="BW10" s="809"/>
      <c r="BX10" s="809"/>
      <c r="BY10" s="809"/>
      <c r="BZ10" s="809"/>
      <c r="CA10" s="809"/>
      <c r="CB10" s="809"/>
      <c r="CC10" s="809"/>
      <c r="CD10" s="809"/>
      <c r="CE10" s="809"/>
      <c r="CF10" s="809"/>
      <c r="CG10" s="838" t="s">
        <v>3691</v>
      </c>
      <c r="CH10" s="809"/>
      <c r="CI10" s="809"/>
      <c r="CJ10" s="809"/>
      <c r="CK10" s="838" t="s">
        <v>3691</v>
      </c>
      <c r="CL10" s="809"/>
      <c r="CM10" s="809"/>
      <c r="CN10" s="809"/>
      <c r="CO10" s="809"/>
      <c r="CP10" s="809"/>
      <c r="CQ10" s="809"/>
      <c r="CR10" s="809"/>
      <c r="CS10" s="817">
        <v>7</v>
      </c>
      <c r="CT10" s="853"/>
      <c r="CU10" s="853"/>
      <c r="CV10" s="853"/>
      <c r="CW10" s="853"/>
      <c r="CX10" s="853"/>
      <c r="CY10" s="853"/>
      <c r="CZ10" s="809"/>
      <c r="DA10" s="817">
        <v>7</v>
      </c>
      <c r="DB10" s="809"/>
      <c r="DC10" s="809"/>
      <c r="DD10" s="809"/>
      <c r="DE10" s="817">
        <v>7</v>
      </c>
      <c r="DF10" s="809"/>
      <c r="DG10" s="809"/>
      <c r="DH10" s="809"/>
      <c r="DI10" s="809"/>
      <c r="DJ10" s="809"/>
      <c r="DK10" s="817">
        <v>7</v>
      </c>
      <c r="DL10" s="809"/>
      <c r="DM10" s="809"/>
      <c r="DN10" s="809"/>
      <c r="DO10" s="809"/>
      <c r="DP10" s="809"/>
      <c r="DQ10" s="809"/>
      <c r="DR10" s="797"/>
      <c r="DS10" s="817">
        <v>7</v>
      </c>
      <c r="DT10" s="809"/>
      <c r="DU10" s="809"/>
      <c r="DV10" s="809"/>
      <c r="DW10" s="809"/>
      <c r="DX10" s="820"/>
      <c r="DY10" s="820"/>
      <c r="DZ10" s="820"/>
      <c r="EA10" s="820"/>
      <c r="EB10" s="820"/>
      <c r="EC10" s="820"/>
      <c r="ED10" s="820"/>
      <c r="EE10" s="820"/>
      <c r="EF10" s="820"/>
      <c r="EG10" s="820"/>
      <c r="EH10" s="820"/>
      <c r="EI10" s="820"/>
      <c r="EJ10" s="824">
        <v>6</v>
      </c>
      <c r="EK10" s="809"/>
      <c r="EL10" s="809"/>
      <c r="EM10" s="809"/>
      <c r="EN10" s="809"/>
      <c r="EO10" s="820"/>
      <c r="EP10" s="820"/>
      <c r="EQ10" s="820"/>
      <c r="ER10" s="820"/>
      <c r="ES10" s="820"/>
      <c r="ET10" s="820"/>
      <c r="EU10" s="820"/>
      <c r="EV10" s="820"/>
      <c r="EW10" s="820"/>
      <c r="EX10" s="820"/>
      <c r="EY10" s="820"/>
      <c r="EZ10" s="820"/>
      <c r="FA10" s="820"/>
      <c r="FB10" s="820"/>
      <c r="FC10" s="820"/>
      <c r="FD10" s="820"/>
      <c r="FE10" s="824">
        <v>7</v>
      </c>
      <c r="FF10" s="809"/>
      <c r="FG10" s="809"/>
      <c r="FH10" s="809"/>
      <c r="FI10" s="809"/>
      <c r="FJ10" s="820"/>
      <c r="FK10" s="820"/>
      <c r="FL10" s="820"/>
      <c r="FM10" s="820"/>
      <c r="FN10" s="820"/>
      <c r="FO10" s="820"/>
      <c r="FP10" s="820"/>
      <c r="FQ10" s="820"/>
      <c r="FR10" s="820"/>
      <c r="FS10" s="820"/>
      <c r="FT10" s="820"/>
      <c r="FU10" s="820"/>
      <c r="FV10" s="820"/>
      <c r="FW10" s="820"/>
      <c r="FX10" s="820"/>
      <c r="FY10" s="820"/>
      <c r="FZ10" s="824">
        <v>7</v>
      </c>
      <c r="GA10" s="809"/>
      <c r="GB10" s="809"/>
      <c r="GC10" s="809"/>
      <c r="GD10" s="809"/>
      <c r="GE10" s="820"/>
      <c r="GF10" s="820"/>
      <c r="GG10" s="820"/>
      <c r="GH10" s="820"/>
      <c r="GI10" s="820"/>
      <c r="GJ10" s="820"/>
      <c r="GK10" s="820"/>
      <c r="GL10" s="820"/>
      <c r="GM10" s="820"/>
      <c r="GN10" s="820"/>
      <c r="GO10" s="820"/>
      <c r="GP10" s="820"/>
      <c r="GQ10" s="824">
        <v>7</v>
      </c>
      <c r="GR10" s="809"/>
      <c r="GS10" s="809"/>
      <c r="GT10" s="809"/>
      <c r="GU10" s="809"/>
      <c r="GV10" s="820"/>
      <c r="GW10" s="820"/>
      <c r="GX10" s="820"/>
      <c r="GY10" s="820"/>
      <c r="GZ10" s="820"/>
      <c r="HA10" s="820"/>
      <c r="HB10" s="820"/>
      <c r="HC10" s="820"/>
      <c r="HD10" s="820"/>
      <c r="HE10" s="820"/>
      <c r="HF10" s="820"/>
      <c r="HG10" s="820"/>
      <c r="HH10" s="824">
        <v>7</v>
      </c>
      <c r="HI10" s="809"/>
      <c r="HJ10" s="809"/>
      <c r="HK10" s="809"/>
      <c r="HL10" s="809"/>
      <c r="HM10" s="820"/>
      <c r="HN10" s="820"/>
      <c r="HO10" s="820"/>
      <c r="HP10" s="820"/>
      <c r="HQ10" s="820"/>
      <c r="HR10" s="820"/>
      <c r="HS10" s="820"/>
      <c r="HT10" s="820"/>
      <c r="HU10" s="820"/>
      <c r="HV10" s="820"/>
      <c r="HW10" s="820"/>
      <c r="HX10" s="820"/>
      <c r="HY10" s="824">
        <v>7</v>
      </c>
      <c r="HZ10" s="809"/>
      <c r="IA10" s="809"/>
      <c r="IB10" s="809"/>
      <c r="IC10" s="809"/>
      <c r="ID10" s="809"/>
      <c r="IE10" s="809"/>
      <c r="IF10" s="809"/>
      <c r="IG10" s="809"/>
      <c r="IH10" s="809"/>
      <c r="II10" s="809"/>
      <c r="IJ10" s="809"/>
      <c r="IK10" s="809"/>
      <c r="IL10" s="809"/>
      <c r="IM10" s="809"/>
      <c r="IN10" s="809"/>
      <c r="IO10" s="809"/>
      <c r="IP10" s="817">
        <v>7</v>
      </c>
      <c r="IQ10" s="809"/>
      <c r="IR10" s="809"/>
      <c r="IS10" s="809"/>
      <c r="IT10" s="809"/>
      <c r="IU10" s="809"/>
      <c r="IV10" s="809"/>
      <c r="IW10" s="817">
        <v>7</v>
      </c>
      <c r="IX10" s="853"/>
      <c r="IY10" s="853"/>
      <c r="IZ10" s="853"/>
      <c r="JA10" s="853"/>
      <c r="JB10" s="845"/>
      <c r="JC10" s="845"/>
      <c r="JD10" s="845"/>
      <c r="JE10" s="845"/>
      <c r="JF10" s="845"/>
      <c r="JG10" s="845"/>
      <c r="JH10" s="845"/>
      <c r="JI10" s="845"/>
      <c r="JJ10" s="845"/>
      <c r="JK10" s="845"/>
    </row>
    <row r="11" spans="1:271" ht="28.5">
      <c r="A11" s="879"/>
      <c r="B11" s="879"/>
      <c r="C11" s="879"/>
      <c r="D11" s="879"/>
      <c r="E11" s="879"/>
      <c r="F11" s="879"/>
      <c r="G11" s="879"/>
      <c r="H11" s="879"/>
      <c r="I11" s="800"/>
      <c r="J11" s="874"/>
      <c r="K11" s="875"/>
      <c r="L11" s="875"/>
      <c r="M11" s="875"/>
      <c r="N11" s="875"/>
      <c r="O11" s="875"/>
      <c r="P11" s="875"/>
      <c r="Q11" s="874"/>
      <c r="R11" s="875"/>
      <c r="S11" s="839" t="s">
        <v>3692</v>
      </c>
      <c r="T11" s="835"/>
      <c r="U11" s="835"/>
      <c r="V11" s="835"/>
      <c r="W11" s="839" t="s">
        <v>3693</v>
      </c>
      <c r="X11" s="835"/>
      <c r="Y11" s="835"/>
      <c r="Z11" s="835"/>
      <c r="AA11" s="802" t="s">
        <v>3694</v>
      </c>
      <c r="AB11" s="803" t="s">
        <v>3695</v>
      </c>
      <c r="AC11" s="804"/>
      <c r="AD11" s="805"/>
      <c r="AE11" s="805"/>
      <c r="AF11" s="805"/>
      <c r="AG11" s="798"/>
      <c r="AH11" s="798"/>
      <c r="AI11" s="806"/>
      <c r="AJ11" s="797"/>
      <c r="AK11" s="851"/>
      <c r="AL11" s="817">
        <v>8</v>
      </c>
      <c r="AM11" s="809"/>
      <c r="AN11" s="809"/>
      <c r="AO11" s="809"/>
      <c r="AP11" s="809"/>
      <c r="AQ11" s="809"/>
      <c r="AR11" s="809"/>
      <c r="AS11" s="809"/>
      <c r="AT11" s="809"/>
      <c r="AU11" s="809"/>
      <c r="AV11" s="809"/>
      <c r="AW11" s="809"/>
      <c r="AX11" s="847"/>
      <c r="AY11" s="851"/>
      <c r="AZ11" s="817">
        <v>8</v>
      </c>
      <c r="BA11" s="809"/>
      <c r="BB11" s="809"/>
      <c r="BC11" s="809"/>
      <c r="BD11" s="809"/>
      <c r="BE11" s="809"/>
      <c r="BF11" s="809"/>
      <c r="BG11" s="809"/>
      <c r="BH11" s="809"/>
      <c r="BI11" s="809"/>
      <c r="BJ11" s="809"/>
      <c r="BK11" s="809"/>
      <c r="BL11" s="809"/>
      <c r="BM11" s="809"/>
      <c r="BN11" s="847"/>
      <c r="BO11" s="851"/>
      <c r="BP11" s="817">
        <v>8</v>
      </c>
      <c r="BQ11" s="809"/>
      <c r="BR11" s="809"/>
      <c r="BS11" s="809"/>
      <c r="BT11" s="809"/>
      <c r="BU11" s="809"/>
      <c r="BV11" s="809"/>
      <c r="BW11" s="809"/>
      <c r="BX11" s="809"/>
      <c r="BY11" s="809"/>
      <c r="BZ11" s="809"/>
      <c r="CA11" s="809"/>
      <c r="CB11" s="809"/>
      <c r="CC11" s="809"/>
      <c r="CD11" s="809"/>
      <c r="CE11" s="809"/>
      <c r="CF11" s="809"/>
      <c r="CG11" s="838" t="s">
        <v>3696</v>
      </c>
      <c r="CH11" s="809"/>
      <c r="CI11" s="809"/>
      <c r="CJ11" s="809"/>
      <c r="CK11" s="838" t="s">
        <v>3696</v>
      </c>
      <c r="CL11" s="809"/>
      <c r="CM11" s="809"/>
      <c r="CN11" s="809"/>
      <c r="CO11" s="809"/>
      <c r="CP11" s="809"/>
      <c r="CQ11" s="809"/>
      <c r="CR11" s="809"/>
      <c r="CS11" s="817">
        <v>8</v>
      </c>
      <c r="CT11" s="853"/>
      <c r="CU11" s="853"/>
      <c r="CV11" s="853"/>
      <c r="CW11" s="853"/>
      <c r="CX11" s="853"/>
      <c r="CY11" s="853"/>
      <c r="CZ11" s="809"/>
      <c r="DA11" s="817">
        <v>8</v>
      </c>
      <c r="DB11" s="809"/>
      <c r="DC11" s="809"/>
      <c r="DD11" s="809"/>
      <c r="DE11" s="817">
        <v>8</v>
      </c>
      <c r="DF11" s="809"/>
      <c r="DG11" s="809"/>
      <c r="DH11" s="809"/>
      <c r="DI11" s="809"/>
      <c r="DJ11" s="809"/>
      <c r="DK11" s="817">
        <v>8</v>
      </c>
      <c r="DL11" s="809"/>
      <c r="DM11" s="809"/>
      <c r="DN11" s="809"/>
      <c r="DO11" s="809"/>
      <c r="DP11" s="809"/>
      <c r="DQ11" s="809"/>
      <c r="DR11" s="797"/>
      <c r="DS11" s="817">
        <v>8</v>
      </c>
      <c r="DT11" s="809"/>
      <c r="DU11" s="809"/>
      <c r="DV11" s="809"/>
      <c r="DW11" s="809"/>
      <c r="DX11" s="820"/>
      <c r="DY11" s="820"/>
      <c r="DZ11" s="820"/>
      <c r="EA11" s="820"/>
      <c r="EB11" s="820"/>
      <c r="EC11" s="820"/>
      <c r="ED11" s="820"/>
      <c r="EE11" s="820"/>
      <c r="EF11" s="820"/>
      <c r="EG11" s="820"/>
      <c r="EH11" s="820"/>
      <c r="EI11" s="820"/>
      <c r="EJ11" s="824">
        <v>7</v>
      </c>
      <c r="EK11" s="809"/>
      <c r="EL11" s="809"/>
      <c r="EM11" s="809"/>
      <c r="EN11" s="809"/>
      <c r="EO11" s="820"/>
      <c r="EP11" s="820"/>
      <c r="EQ11" s="820"/>
      <c r="ER11" s="820"/>
      <c r="ES11" s="820"/>
      <c r="ET11" s="820"/>
      <c r="EU11" s="820"/>
      <c r="EV11" s="820"/>
      <c r="EW11" s="820"/>
      <c r="EX11" s="820"/>
      <c r="EY11" s="820"/>
      <c r="EZ11" s="820"/>
      <c r="FA11" s="820"/>
      <c r="FB11" s="820"/>
      <c r="FC11" s="820"/>
      <c r="FD11" s="820"/>
      <c r="FE11" s="824">
        <v>8</v>
      </c>
      <c r="FF11" s="809"/>
      <c r="FG11" s="809"/>
      <c r="FH11" s="809"/>
      <c r="FI11" s="809"/>
      <c r="FJ11" s="820"/>
      <c r="FK11" s="820"/>
      <c r="FL11" s="820"/>
      <c r="FM11" s="820"/>
      <c r="FN11" s="820"/>
      <c r="FO11" s="820"/>
      <c r="FP11" s="820"/>
      <c r="FQ11" s="820"/>
      <c r="FR11" s="820"/>
      <c r="FS11" s="820"/>
      <c r="FT11" s="820"/>
      <c r="FU11" s="820"/>
      <c r="FV11" s="820"/>
      <c r="FW11" s="820"/>
      <c r="FX11" s="820"/>
      <c r="FY11" s="820"/>
      <c r="FZ11" s="824">
        <v>8</v>
      </c>
      <c r="GA11" s="809"/>
      <c r="GB11" s="809"/>
      <c r="GC11" s="809"/>
      <c r="GD11" s="809"/>
      <c r="GE11" s="820"/>
      <c r="GF11" s="820"/>
      <c r="GG11" s="820"/>
      <c r="GH11" s="820"/>
      <c r="GI11" s="820"/>
      <c r="GJ11" s="820"/>
      <c r="GK11" s="820"/>
      <c r="GL11" s="820"/>
      <c r="GM11" s="820"/>
      <c r="GN11" s="820"/>
      <c r="GO11" s="820"/>
      <c r="GP11" s="820"/>
      <c r="GQ11" s="824">
        <v>8</v>
      </c>
      <c r="GR11" s="809"/>
      <c r="GS11" s="809"/>
      <c r="GT11" s="809"/>
      <c r="GU11" s="809"/>
      <c r="GV11" s="820"/>
      <c r="GW11" s="820"/>
      <c r="GX11" s="820"/>
      <c r="GY11" s="820"/>
      <c r="GZ11" s="820"/>
      <c r="HA11" s="820"/>
      <c r="HB11" s="820"/>
      <c r="HC11" s="820"/>
      <c r="HD11" s="820"/>
      <c r="HE11" s="820"/>
      <c r="HF11" s="820"/>
      <c r="HG11" s="820"/>
      <c r="HH11" s="824">
        <v>8</v>
      </c>
      <c r="HI11" s="809"/>
      <c r="HJ11" s="809"/>
      <c r="HK11" s="809"/>
      <c r="HL11" s="809"/>
      <c r="HM11" s="820"/>
      <c r="HN11" s="820"/>
      <c r="HO11" s="820"/>
      <c r="HP11" s="820"/>
      <c r="HQ11" s="820"/>
      <c r="HR11" s="820"/>
      <c r="HS11" s="820"/>
      <c r="HT11" s="820"/>
      <c r="HU11" s="820"/>
      <c r="HV11" s="820"/>
      <c r="HW11" s="820"/>
      <c r="HX11" s="820"/>
      <c r="HY11" s="824">
        <v>8</v>
      </c>
      <c r="HZ11" s="809"/>
      <c r="IA11" s="809"/>
      <c r="IB11" s="809"/>
      <c r="IC11" s="809"/>
      <c r="ID11" s="809"/>
      <c r="IE11" s="809"/>
      <c r="IF11" s="809"/>
      <c r="IG11" s="809"/>
      <c r="IH11" s="809"/>
      <c r="II11" s="809"/>
      <c r="IJ11" s="809"/>
      <c r="IK11" s="809"/>
      <c r="IL11" s="809"/>
      <c r="IM11" s="809"/>
      <c r="IN11" s="809"/>
      <c r="IO11" s="809"/>
      <c r="IP11" s="817">
        <v>8</v>
      </c>
      <c r="IQ11" s="809"/>
      <c r="IR11" s="809"/>
      <c r="IS11" s="809"/>
      <c r="IT11" s="809"/>
      <c r="IU11" s="809"/>
      <c r="IV11" s="809"/>
      <c r="IW11" s="817">
        <v>8</v>
      </c>
      <c r="IX11" s="853"/>
      <c r="IY11" s="853"/>
      <c r="IZ11" s="853"/>
      <c r="JA11" s="853"/>
      <c r="JB11" s="845"/>
      <c r="JC11" s="845"/>
      <c r="JD11" s="845"/>
      <c r="JE11" s="845"/>
      <c r="JF11" s="845"/>
      <c r="JG11" s="845"/>
      <c r="JH11" s="845"/>
      <c r="JI11" s="845"/>
      <c r="JJ11" s="845"/>
      <c r="JK11" s="845"/>
    </row>
    <row r="12" spans="1:271" ht="28.5">
      <c r="A12" s="879"/>
      <c r="B12" s="879"/>
      <c r="C12" s="879"/>
      <c r="D12" s="879"/>
      <c r="E12" s="879"/>
      <c r="F12" s="879"/>
      <c r="G12" s="879"/>
      <c r="H12" s="879"/>
      <c r="I12" s="800"/>
      <c r="J12" s="874"/>
      <c r="K12" s="875"/>
      <c r="L12" s="875"/>
      <c r="M12" s="875"/>
      <c r="N12" s="875"/>
      <c r="O12" s="875"/>
      <c r="P12" s="875"/>
      <c r="Q12" s="874"/>
      <c r="R12" s="875"/>
      <c r="S12" s="839" t="s">
        <v>3697</v>
      </c>
      <c r="T12" s="835"/>
      <c r="U12" s="835"/>
      <c r="V12" s="835"/>
      <c r="W12" s="839" t="s">
        <v>3698</v>
      </c>
      <c r="X12" s="835"/>
      <c r="Y12" s="835"/>
      <c r="Z12" s="835"/>
      <c r="AA12" s="802" t="s">
        <v>3699</v>
      </c>
      <c r="AB12" s="803" t="s">
        <v>3700</v>
      </c>
      <c r="AC12" s="804"/>
      <c r="AD12" s="805"/>
      <c r="AE12" s="805"/>
      <c r="AF12" s="805"/>
      <c r="AG12" s="798"/>
      <c r="AH12" s="798"/>
      <c r="AI12" s="806"/>
      <c r="AJ12" s="797"/>
      <c r="AK12" s="851"/>
      <c r="AL12" s="817">
        <v>9</v>
      </c>
      <c r="AM12" s="809"/>
      <c r="AN12" s="809"/>
      <c r="AO12" s="809"/>
      <c r="AP12" s="809"/>
      <c r="AQ12" s="809"/>
      <c r="AR12" s="809"/>
      <c r="AS12" s="809"/>
      <c r="AT12" s="809"/>
      <c r="AU12" s="809"/>
      <c r="AV12" s="809"/>
      <c r="AW12" s="809"/>
      <c r="AX12" s="847"/>
      <c r="AY12" s="851"/>
      <c r="AZ12" s="817">
        <v>9</v>
      </c>
      <c r="BA12" s="809"/>
      <c r="BB12" s="809"/>
      <c r="BC12" s="809"/>
      <c r="BD12" s="809"/>
      <c r="BE12" s="809"/>
      <c r="BF12" s="809"/>
      <c r="BG12" s="809"/>
      <c r="BH12" s="809"/>
      <c r="BI12" s="809"/>
      <c r="BJ12" s="809"/>
      <c r="BK12" s="809"/>
      <c r="BL12" s="809"/>
      <c r="BM12" s="809"/>
      <c r="BN12" s="847"/>
      <c r="BO12" s="851"/>
      <c r="BP12" s="817">
        <v>9</v>
      </c>
      <c r="BQ12" s="809"/>
      <c r="BR12" s="809"/>
      <c r="BS12" s="809"/>
      <c r="BT12" s="809"/>
      <c r="BU12" s="809"/>
      <c r="BV12" s="809"/>
      <c r="BW12" s="809"/>
      <c r="BX12" s="809"/>
      <c r="BY12" s="809"/>
      <c r="BZ12" s="809"/>
      <c r="CA12" s="809"/>
      <c r="CB12" s="809"/>
      <c r="CC12" s="809"/>
      <c r="CD12" s="809"/>
      <c r="CE12" s="809"/>
      <c r="CF12" s="809"/>
      <c r="CG12" s="838" t="s">
        <v>3701</v>
      </c>
      <c r="CH12" s="809"/>
      <c r="CI12" s="809"/>
      <c r="CJ12" s="809"/>
      <c r="CK12" s="838" t="s">
        <v>3701</v>
      </c>
      <c r="CL12" s="809"/>
      <c r="CM12" s="809"/>
      <c r="CN12" s="809"/>
      <c r="CO12" s="809"/>
      <c r="CP12" s="809"/>
      <c r="CQ12" s="809"/>
      <c r="CR12" s="809"/>
      <c r="CS12" s="817">
        <v>9</v>
      </c>
      <c r="CT12" s="853"/>
      <c r="CU12" s="853"/>
      <c r="CV12" s="853"/>
      <c r="CW12" s="853"/>
      <c r="CX12" s="853"/>
      <c r="CY12" s="853"/>
      <c r="CZ12" s="809"/>
      <c r="DA12" s="817">
        <v>9</v>
      </c>
      <c r="DB12" s="809"/>
      <c r="DC12" s="809"/>
      <c r="DD12" s="809"/>
      <c r="DE12" s="817">
        <v>9</v>
      </c>
      <c r="DF12" s="809"/>
      <c r="DG12" s="809"/>
      <c r="DH12" s="809"/>
      <c r="DI12" s="809"/>
      <c r="DJ12" s="809"/>
      <c r="DK12" s="817">
        <v>9</v>
      </c>
      <c r="DL12" s="809"/>
      <c r="DM12" s="809"/>
      <c r="DN12" s="809"/>
      <c r="DO12" s="809"/>
      <c r="DP12" s="809"/>
      <c r="DQ12" s="809"/>
      <c r="DR12" s="797"/>
      <c r="DS12" s="817">
        <v>9</v>
      </c>
      <c r="DT12" s="809"/>
      <c r="DU12" s="809"/>
      <c r="DV12" s="809"/>
      <c r="DW12" s="809"/>
      <c r="DX12" s="820"/>
      <c r="DY12" s="820"/>
      <c r="DZ12" s="820"/>
      <c r="EA12" s="820"/>
      <c r="EB12" s="820"/>
      <c r="EC12" s="820"/>
      <c r="ED12" s="820"/>
      <c r="EE12" s="820"/>
      <c r="EF12" s="820"/>
      <c r="EG12" s="820"/>
      <c r="EH12" s="820"/>
      <c r="EI12" s="820"/>
      <c r="EJ12" s="824">
        <v>8</v>
      </c>
      <c r="EK12" s="809"/>
      <c r="EL12" s="809"/>
      <c r="EM12" s="809"/>
      <c r="EN12" s="809"/>
      <c r="EO12" s="820"/>
      <c r="EP12" s="820"/>
      <c r="EQ12" s="820"/>
      <c r="ER12" s="820"/>
      <c r="ES12" s="820"/>
      <c r="ET12" s="820"/>
      <c r="EU12" s="820"/>
      <c r="EV12" s="820"/>
      <c r="EW12" s="820"/>
      <c r="EX12" s="820"/>
      <c r="EY12" s="820"/>
      <c r="EZ12" s="820"/>
      <c r="FA12" s="820"/>
      <c r="FB12" s="820"/>
      <c r="FC12" s="820"/>
      <c r="FD12" s="820"/>
      <c r="FE12" s="824">
        <v>9</v>
      </c>
      <c r="FF12" s="809"/>
      <c r="FG12" s="809"/>
      <c r="FH12" s="809"/>
      <c r="FI12" s="809"/>
      <c r="FJ12" s="820"/>
      <c r="FK12" s="820"/>
      <c r="FL12" s="820"/>
      <c r="FM12" s="820"/>
      <c r="FN12" s="820"/>
      <c r="FO12" s="820"/>
      <c r="FP12" s="820"/>
      <c r="FQ12" s="820"/>
      <c r="FR12" s="820"/>
      <c r="FS12" s="820"/>
      <c r="FT12" s="820"/>
      <c r="FU12" s="820"/>
      <c r="FV12" s="820"/>
      <c r="FW12" s="820"/>
      <c r="FX12" s="820"/>
      <c r="FY12" s="820"/>
      <c r="FZ12" s="824">
        <v>9</v>
      </c>
      <c r="GA12" s="809"/>
      <c r="GB12" s="809"/>
      <c r="GC12" s="809"/>
      <c r="GD12" s="809"/>
      <c r="GE12" s="820"/>
      <c r="GF12" s="820"/>
      <c r="GG12" s="820"/>
      <c r="GH12" s="820"/>
      <c r="GI12" s="820"/>
      <c r="GJ12" s="820"/>
      <c r="GK12" s="820"/>
      <c r="GL12" s="820"/>
      <c r="GM12" s="820"/>
      <c r="GN12" s="820"/>
      <c r="GO12" s="820"/>
      <c r="GP12" s="820"/>
      <c r="GQ12" s="824">
        <v>9</v>
      </c>
      <c r="GR12" s="809"/>
      <c r="GS12" s="809"/>
      <c r="GT12" s="809"/>
      <c r="GU12" s="809"/>
      <c r="GV12" s="820"/>
      <c r="GW12" s="820"/>
      <c r="GX12" s="820"/>
      <c r="GY12" s="820"/>
      <c r="GZ12" s="820"/>
      <c r="HA12" s="820"/>
      <c r="HB12" s="820"/>
      <c r="HC12" s="820"/>
      <c r="HD12" s="820"/>
      <c r="HE12" s="820"/>
      <c r="HF12" s="820"/>
      <c r="HG12" s="820"/>
      <c r="HH12" s="824">
        <v>9</v>
      </c>
      <c r="HI12" s="809"/>
      <c r="HJ12" s="809"/>
      <c r="HK12" s="809"/>
      <c r="HL12" s="809"/>
      <c r="HM12" s="820"/>
      <c r="HN12" s="820"/>
      <c r="HO12" s="820"/>
      <c r="HP12" s="820"/>
      <c r="HQ12" s="820"/>
      <c r="HR12" s="820"/>
      <c r="HS12" s="820"/>
      <c r="HT12" s="820"/>
      <c r="HU12" s="820"/>
      <c r="HV12" s="820"/>
      <c r="HW12" s="820"/>
      <c r="HX12" s="820"/>
      <c r="HY12" s="824">
        <v>9</v>
      </c>
      <c r="HZ12" s="809"/>
      <c r="IA12" s="809"/>
      <c r="IB12" s="809"/>
      <c r="IC12" s="809"/>
      <c r="ID12" s="809"/>
      <c r="IE12" s="809"/>
      <c r="IF12" s="809"/>
      <c r="IG12" s="809"/>
      <c r="IH12" s="809"/>
      <c r="II12" s="809"/>
      <c r="IJ12" s="809"/>
      <c r="IK12" s="809"/>
      <c r="IL12" s="809"/>
      <c r="IM12" s="809"/>
      <c r="IN12" s="809"/>
      <c r="IO12" s="809"/>
      <c r="IP12" s="817">
        <v>9</v>
      </c>
      <c r="IQ12" s="809"/>
      <c r="IR12" s="809"/>
      <c r="IS12" s="809"/>
      <c r="IT12" s="809"/>
      <c r="IU12" s="809"/>
      <c r="IV12" s="809"/>
      <c r="IW12" s="817">
        <v>9</v>
      </c>
      <c r="IX12" s="853"/>
      <c r="IY12" s="853"/>
      <c r="IZ12" s="853"/>
      <c r="JA12" s="853"/>
      <c r="JB12" s="845"/>
      <c r="JC12" s="845"/>
      <c r="JD12" s="845"/>
      <c r="JE12" s="845"/>
      <c r="JF12" s="845"/>
      <c r="JG12" s="845"/>
      <c r="JH12" s="845"/>
      <c r="JI12" s="845"/>
      <c r="JJ12" s="845"/>
      <c r="JK12" s="845"/>
    </row>
    <row r="13" spans="1:271" ht="28.5">
      <c r="A13" s="879"/>
      <c r="B13" s="879"/>
      <c r="C13" s="879"/>
      <c r="D13" s="879"/>
      <c r="E13" s="879"/>
      <c r="F13" s="879"/>
      <c r="G13" s="879"/>
      <c r="H13" s="879"/>
      <c r="I13" s="800"/>
      <c r="J13" s="874"/>
      <c r="K13" s="875"/>
      <c r="L13" s="875"/>
      <c r="M13" s="875"/>
      <c r="N13" s="875"/>
      <c r="O13" s="875"/>
      <c r="P13" s="875"/>
      <c r="Q13" s="874"/>
      <c r="R13" s="875"/>
      <c r="S13" s="839" t="s">
        <v>3702</v>
      </c>
      <c r="T13" s="835"/>
      <c r="U13" s="835"/>
      <c r="V13" s="835"/>
      <c r="W13" s="839" t="s">
        <v>3703</v>
      </c>
      <c r="X13" s="835"/>
      <c r="Y13" s="835"/>
      <c r="Z13" s="835"/>
      <c r="AA13" s="802" t="s">
        <v>3704</v>
      </c>
      <c r="AB13" s="803" t="s">
        <v>3705</v>
      </c>
      <c r="AC13" s="804"/>
      <c r="AD13" s="805"/>
      <c r="AE13" s="805"/>
      <c r="AF13" s="805"/>
      <c r="AG13" s="798"/>
      <c r="AH13" s="798"/>
      <c r="AI13" s="806"/>
      <c r="AJ13" s="797"/>
      <c r="AK13" s="851"/>
      <c r="AL13" s="817">
        <v>10</v>
      </c>
      <c r="AM13" s="809"/>
      <c r="AN13" s="809"/>
      <c r="AO13" s="809"/>
      <c r="AP13" s="809"/>
      <c r="AQ13" s="809"/>
      <c r="AR13" s="809"/>
      <c r="AS13" s="809"/>
      <c r="AT13" s="809"/>
      <c r="AU13" s="809"/>
      <c r="AV13" s="809"/>
      <c r="AW13" s="809"/>
      <c r="AX13" s="847"/>
      <c r="AY13" s="851"/>
      <c r="AZ13" s="817">
        <v>10</v>
      </c>
      <c r="BA13" s="809"/>
      <c r="BB13" s="809"/>
      <c r="BC13" s="809"/>
      <c r="BD13" s="809"/>
      <c r="BE13" s="809"/>
      <c r="BF13" s="809"/>
      <c r="BG13" s="809"/>
      <c r="BH13" s="809"/>
      <c r="BI13" s="809"/>
      <c r="BJ13" s="809"/>
      <c r="BK13" s="809"/>
      <c r="BL13" s="809"/>
      <c r="BM13" s="809"/>
      <c r="BN13" s="847"/>
      <c r="BO13" s="851"/>
      <c r="BP13" s="817">
        <v>10</v>
      </c>
      <c r="BQ13" s="809"/>
      <c r="BR13" s="809"/>
      <c r="BS13" s="809"/>
      <c r="BT13" s="809"/>
      <c r="BU13" s="809"/>
      <c r="BV13" s="809"/>
      <c r="BW13" s="809"/>
      <c r="BX13" s="809"/>
      <c r="BY13" s="809"/>
      <c r="BZ13" s="809"/>
      <c r="CA13" s="809"/>
      <c r="CB13" s="809"/>
      <c r="CC13" s="809"/>
      <c r="CD13" s="809"/>
      <c r="CE13" s="809"/>
      <c r="CF13" s="809"/>
      <c r="CG13" s="838" t="s">
        <v>3706</v>
      </c>
      <c r="CH13" s="809"/>
      <c r="CI13" s="809"/>
      <c r="CJ13" s="809"/>
      <c r="CK13" s="838" t="s">
        <v>3706</v>
      </c>
      <c r="CL13" s="809"/>
      <c r="CM13" s="809"/>
      <c r="CN13" s="809"/>
      <c r="CO13" s="809"/>
      <c r="CP13" s="809"/>
      <c r="CQ13" s="809"/>
      <c r="CR13" s="809"/>
      <c r="CS13" s="817">
        <v>10</v>
      </c>
      <c r="CT13" s="853"/>
      <c r="CU13" s="853"/>
      <c r="CV13" s="853"/>
      <c r="CW13" s="853"/>
      <c r="CX13" s="853"/>
      <c r="CY13" s="853"/>
      <c r="CZ13" s="809"/>
      <c r="DA13" s="817">
        <v>10</v>
      </c>
      <c r="DB13" s="809"/>
      <c r="DC13" s="809"/>
      <c r="DD13" s="809"/>
      <c r="DE13" s="817">
        <v>10</v>
      </c>
      <c r="DF13" s="809"/>
      <c r="DG13" s="809"/>
      <c r="DH13" s="809"/>
      <c r="DI13" s="809"/>
      <c r="DJ13" s="809"/>
      <c r="DK13" s="817">
        <v>10</v>
      </c>
      <c r="DL13" s="809"/>
      <c r="DM13" s="809"/>
      <c r="DN13" s="809"/>
      <c r="DO13" s="809"/>
      <c r="DP13" s="809"/>
      <c r="DQ13" s="809"/>
      <c r="DR13" s="797"/>
      <c r="DS13" s="817">
        <v>10</v>
      </c>
      <c r="DT13" s="809"/>
      <c r="DU13" s="809"/>
      <c r="DV13" s="809"/>
      <c r="DW13" s="809"/>
      <c r="DX13" s="820"/>
      <c r="DY13" s="820"/>
      <c r="DZ13" s="820"/>
      <c r="EA13" s="820"/>
      <c r="EB13" s="820"/>
      <c r="EC13" s="820"/>
      <c r="ED13" s="820"/>
      <c r="EE13" s="820"/>
      <c r="EF13" s="820"/>
      <c r="EG13" s="820"/>
      <c r="EH13" s="820"/>
      <c r="EI13" s="820"/>
      <c r="EJ13" s="824">
        <v>9</v>
      </c>
      <c r="EK13" s="809"/>
      <c r="EL13" s="809"/>
      <c r="EM13" s="809"/>
      <c r="EN13" s="809"/>
      <c r="EO13" s="820"/>
      <c r="EP13" s="820"/>
      <c r="EQ13" s="820"/>
      <c r="ER13" s="820"/>
      <c r="ES13" s="820"/>
      <c r="ET13" s="820"/>
      <c r="EU13" s="820"/>
      <c r="EV13" s="820"/>
      <c r="EW13" s="820"/>
      <c r="EX13" s="820"/>
      <c r="EY13" s="820"/>
      <c r="EZ13" s="820"/>
      <c r="FA13" s="820"/>
      <c r="FB13" s="820"/>
      <c r="FC13" s="820"/>
      <c r="FD13" s="820"/>
      <c r="FE13" s="824">
        <v>10</v>
      </c>
      <c r="FF13" s="809"/>
      <c r="FG13" s="809"/>
      <c r="FH13" s="809"/>
      <c r="FI13" s="809"/>
      <c r="FJ13" s="820"/>
      <c r="FK13" s="820"/>
      <c r="FL13" s="820"/>
      <c r="FM13" s="820"/>
      <c r="FN13" s="820"/>
      <c r="FO13" s="820"/>
      <c r="FP13" s="820"/>
      <c r="FQ13" s="820"/>
      <c r="FR13" s="820"/>
      <c r="FS13" s="820"/>
      <c r="FT13" s="820"/>
      <c r="FU13" s="820"/>
      <c r="FV13" s="820"/>
      <c r="FW13" s="820"/>
      <c r="FX13" s="820"/>
      <c r="FY13" s="820"/>
      <c r="FZ13" s="824">
        <v>10</v>
      </c>
      <c r="GA13" s="809"/>
      <c r="GB13" s="809"/>
      <c r="GC13" s="809"/>
      <c r="GD13" s="809"/>
      <c r="GE13" s="820"/>
      <c r="GF13" s="820"/>
      <c r="GG13" s="820"/>
      <c r="GH13" s="820"/>
      <c r="GI13" s="820"/>
      <c r="GJ13" s="820"/>
      <c r="GK13" s="820"/>
      <c r="GL13" s="820"/>
      <c r="GM13" s="820"/>
      <c r="GN13" s="820"/>
      <c r="GO13" s="820"/>
      <c r="GP13" s="820"/>
      <c r="GQ13" s="824">
        <v>10</v>
      </c>
      <c r="GR13" s="809"/>
      <c r="GS13" s="809"/>
      <c r="GT13" s="809"/>
      <c r="GU13" s="809"/>
      <c r="GV13" s="820"/>
      <c r="GW13" s="820"/>
      <c r="GX13" s="820"/>
      <c r="GY13" s="820"/>
      <c r="GZ13" s="820"/>
      <c r="HA13" s="820"/>
      <c r="HB13" s="820"/>
      <c r="HC13" s="820"/>
      <c r="HD13" s="820"/>
      <c r="HE13" s="820"/>
      <c r="HF13" s="820"/>
      <c r="HG13" s="820"/>
      <c r="HH13" s="824">
        <v>10</v>
      </c>
      <c r="HI13" s="809"/>
      <c r="HJ13" s="809"/>
      <c r="HK13" s="809"/>
      <c r="HL13" s="809"/>
      <c r="HM13" s="820"/>
      <c r="HN13" s="820"/>
      <c r="HO13" s="820"/>
      <c r="HP13" s="820"/>
      <c r="HQ13" s="820"/>
      <c r="HR13" s="820"/>
      <c r="HS13" s="820"/>
      <c r="HT13" s="820"/>
      <c r="HU13" s="820"/>
      <c r="HV13" s="820"/>
      <c r="HW13" s="820"/>
      <c r="HX13" s="820"/>
      <c r="HY13" s="824">
        <v>10</v>
      </c>
      <c r="HZ13" s="809"/>
      <c r="IA13" s="809"/>
      <c r="IB13" s="809"/>
      <c r="IC13" s="809"/>
      <c r="ID13" s="809"/>
      <c r="IE13" s="809"/>
      <c r="IF13" s="809"/>
      <c r="IG13" s="809"/>
      <c r="IH13" s="809"/>
      <c r="II13" s="809"/>
      <c r="IJ13" s="809"/>
      <c r="IK13" s="809"/>
      <c r="IL13" s="809"/>
      <c r="IM13" s="809"/>
      <c r="IN13" s="809"/>
      <c r="IO13" s="809"/>
      <c r="IP13" s="817">
        <v>10</v>
      </c>
      <c r="IQ13" s="809"/>
      <c r="IR13" s="809"/>
      <c r="IS13" s="809"/>
      <c r="IT13" s="809"/>
      <c r="IU13" s="809"/>
      <c r="IV13" s="809"/>
      <c r="IW13" s="817">
        <v>10</v>
      </c>
      <c r="IX13" s="853"/>
      <c r="IY13" s="853"/>
      <c r="IZ13" s="853"/>
      <c r="JA13" s="853"/>
      <c r="JB13" s="845"/>
      <c r="JC13" s="845"/>
      <c r="JD13" s="845"/>
      <c r="JE13" s="845"/>
      <c r="JF13" s="845"/>
      <c r="JG13" s="845"/>
      <c r="JH13" s="845"/>
      <c r="JI13" s="845"/>
      <c r="JJ13" s="845"/>
      <c r="JK13" s="845"/>
    </row>
    <row r="14" spans="1:271" ht="28.5">
      <c r="A14" s="879"/>
      <c r="B14" s="879"/>
      <c r="C14" s="879"/>
      <c r="D14" s="879"/>
      <c r="E14" s="879"/>
      <c r="F14" s="879"/>
      <c r="G14" s="879"/>
      <c r="H14" s="879"/>
      <c r="I14" s="800"/>
      <c r="J14" s="874"/>
      <c r="K14" s="875"/>
      <c r="L14" s="875"/>
      <c r="M14" s="875"/>
      <c r="N14" s="875"/>
      <c r="O14" s="875"/>
      <c r="P14" s="875"/>
      <c r="Q14" s="874"/>
      <c r="R14" s="875"/>
      <c r="S14" s="839" t="s">
        <v>3707</v>
      </c>
      <c r="T14" s="835"/>
      <c r="U14" s="835"/>
      <c r="V14" s="835"/>
      <c r="W14" s="839" t="s">
        <v>3708</v>
      </c>
      <c r="X14" s="835"/>
      <c r="Y14" s="835"/>
      <c r="Z14" s="835"/>
      <c r="AA14" s="802" t="s">
        <v>3709</v>
      </c>
      <c r="AB14" s="803" t="s">
        <v>3710</v>
      </c>
      <c r="AC14" s="804"/>
      <c r="AD14" s="805"/>
      <c r="AE14" s="805"/>
      <c r="AF14" s="805"/>
      <c r="AG14" s="798"/>
      <c r="AH14" s="798"/>
      <c r="AI14" s="806"/>
      <c r="AJ14" s="797"/>
      <c r="AK14" s="851"/>
      <c r="AL14" s="817">
        <v>11</v>
      </c>
      <c r="AM14" s="809"/>
      <c r="AN14" s="809"/>
      <c r="AO14" s="809"/>
      <c r="AP14" s="809"/>
      <c r="AQ14" s="809"/>
      <c r="AR14" s="809"/>
      <c r="AS14" s="809"/>
      <c r="AT14" s="809"/>
      <c r="AU14" s="809"/>
      <c r="AV14" s="809"/>
      <c r="AW14" s="809"/>
      <c r="AX14" s="847"/>
      <c r="AY14" s="851"/>
      <c r="AZ14" s="817">
        <v>11</v>
      </c>
      <c r="BA14" s="809"/>
      <c r="BB14" s="809"/>
      <c r="BC14" s="809"/>
      <c r="BD14" s="809"/>
      <c r="BE14" s="809"/>
      <c r="BF14" s="809"/>
      <c r="BG14" s="809"/>
      <c r="BH14" s="809"/>
      <c r="BI14" s="809"/>
      <c r="BJ14" s="809"/>
      <c r="BK14" s="809"/>
      <c r="BL14" s="809"/>
      <c r="BM14" s="809"/>
      <c r="BN14" s="847"/>
      <c r="BO14" s="851"/>
      <c r="BP14" s="817">
        <v>11</v>
      </c>
      <c r="BQ14" s="809"/>
      <c r="BR14" s="809"/>
      <c r="BS14" s="809"/>
      <c r="BT14" s="809"/>
      <c r="BU14" s="809"/>
      <c r="BV14" s="809"/>
      <c r="BW14" s="809"/>
      <c r="BX14" s="809"/>
      <c r="BY14" s="809"/>
      <c r="BZ14" s="809"/>
      <c r="CA14" s="809"/>
      <c r="CB14" s="809"/>
      <c r="CC14" s="809"/>
      <c r="CD14" s="809"/>
      <c r="CE14" s="809"/>
      <c r="CF14" s="809"/>
      <c r="CG14" s="838" t="s">
        <v>3711</v>
      </c>
      <c r="CH14" s="809"/>
      <c r="CI14" s="809"/>
      <c r="CJ14" s="809"/>
      <c r="CK14" s="838" t="s">
        <v>3711</v>
      </c>
      <c r="CL14" s="809"/>
      <c r="CM14" s="809"/>
      <c r="CN14" s="809"/>
      <c r="CO14" s="809"/>
      <c r="CP14" s="809"/>
      <c r="CQ14" s="809"/>
      <c r="CR14" s="809"/>
      <c r="CS14" s="817">
        <v>11</v>
      </c>
      <c r="CT14" s="853"/>
      <c r="CU14" s="853"/>
      <c r="CV14" s="853"/>
      <c r="CW14" s="853"/>
      <c r="CX14" s="853"/>
      <c r="CY14" s="853"/>
      <c r="CZ14" s="809"/>
      <c r="DA14" s="817">
        <v>11</v>
      </c>
      <c r="DB14" s="809"/>
      <c r="DC14" s="809"/>
      <c r="DD14" s="809"/>
      <c r="DE14" s="817">
        <v>11</v>
      </c>
      <c r="DF14" s="809"/>
      <c r="DG14" s="809"/>
      <c r="DH14" s="809"/>
      <c r="DI14" s="809"/>
      <c r="DJ14" s="809"/>
      <c r="DK14" s="817">
        <v>11</v>
      </c>
      <c r="DL14" s="809"/>
      <c r="DM14" s="809"/>
      <c r="DN14" s="809"/>
      <c r="DO14" s="809"/>
      <c r="DP14" s="809"/>
      <c r="DQ14" s="809"/>
      <c r="DR14" s="797"/>
      <c r="DS14" s="817">
        <v>11</v>
      </c>
      <c r="DT14" s="809"/>
      <c r="DU14" s="809"/>
      <c r="DV14" s="809"/>
      <c r="DW14" s="809"/>
      <c r="DX14" s="820"/>
      <c r="DY14" s="820"/>
      <c r="DZ14" s="820"/>
      <c r="EA14" s="820"/>
      <c r="EB14" s="820"/>
      <c r="EC14" s="820"/>
      <c r="ED14" s="820"/>
      <c r="EE14" s="820"/>
      <c r="EF14" s="820"/>
      <c r="EG14" s="820"/>
      <c r="EH14" s="820"/>
      <c r="EI14" s="820"/>
      <c r="EJ14" s="824">
        <v>10</v>
      </c>
      <c r="EK14" s="809"/>
      <c r="EL14" s="809"/>
      <c r="EM14" s="809"/>
      <c r="EN14" s="809"/>
      <c r="EO14" s="820"/>
      <c r="EP14" s="820"/>
      <c r="EQ14" s="820"/>
      <c r="ER14" s="820"/>
      <c r="ES14" s="820"/>
      <c r="ET14" s="820"/>
      <c r="EU14" s="820"/>
      <c r="EV14" s="820"/>
      <c r="EW14" s="820"/>
      <c r="EX14" s="820"/>
      <c r="EY14" s="820"/>
      <c r="EZ14" s="820"/>
      <c r="FA14" s="820"/>
      <c r="FB14" s="820"/>
      <c r="FC14" s="820"/>
      <c r="FD14" s="820"/>
      <c r="FE14" s="824">
        <v>11</v>
      </c>
      <c r="FF14" s="809"/>
      <c r="FG14" s="809"/>
      <c r="FH14" s="809"/>
      <c r="FI14" s="809"/>
      <c r="FJ14" s="820"/>
      <c r="FK14" s="820"/>
      <c r="FL14" s="820"/>
      <c r="FM14" s="820"/>
      <c r="FN14" s="820"/>
      <c r="FO14" s="820"/>
      <c r="FP14" s="820"/>
      <c r="FQ14" s="820"/>
      <c r="FR14" s="820"/>
      <c r="FS14" s="820"/>
      <c r="FT14" s="820"/>
      <c r="FU14" s="820"/>
      <c r="FV14" s="820"/>
      <c r="FW14" s="820"/>
      <c r="FX14" s="820"/>
      <c r="FY14" s="820"/>
      <c r="FZ14" s="824">
        <v>11</v>
      </c>
      <c r="GA14" s="809"/>
      <c r="GB14" s="809"/>
      <c r="GC14" s="809"/>
      <c r="GD14" s="809"/>
      <c r="GE14" s="820"/>
      <c r="GF14" s="820"/>
      <c r="GG14" s="820"/>
      <c r="GH14" s="820"/>
      <c r="GI14" s="820"/>
      <c r="GJ14" s="820"/>
      <c r="GK14" s="820"/>
      <c r="GL14" s="820"/>
      <c r="GM14" s="820"/>
      <c r="GN14" s="820"/>
      <c r="GO14" s="820"/>
      <c r="GP14" s="820"/>
      <c r="GQ14" s="824">
        <v>11</v>
      </c>
      <c r="GR14" s="809"/>
      <c r="GS14" s="809"/>
      <c r="GT14" s="809"/>
      <c r="GU14" s="809"/>
      <c r="GV14" s="820"/>
      <c r="GW14" s="820"/>
      <c r="GX14" s="820"/>
      <c r="GY14" s="820"/>
      <c r="GZ14" s="820"/>
      <c r="HA14" s="820"/>
      <c r="HB14" s="820"/>
      <c r="HC14" s="820"/>
      <c r="HD14" s="820"/>
      <c r="HE14" s="820"/>
      <c r="HF14" s="820"/>
      <c r="HG14" s="820"/>
      <c r="HH14" s="824">
        <v>11</v>
      </c>
      <c r="HI14" s="809"/>
      <c r="HJ14" s="809"/>
      <c r="HK14" s="809"/>
      <c r="HL14" s="809"/>
      <c r="HM14" s="820"/>
      <c r="HN14" s="820"/>
      <c r="HO14" s="820"/>
      <c r="HP14" s="820"/>
      <c r="HQ14" s="820"/>
      <c r="HR14" s="820"/>
      <c r="HS14" s="820"/>
      <c r="HT14" s="820"/>
      <c r="HU14" s="820"/>
      <c r="HV14" s="820"/>
      <c r="HW14" s="820"/>
      <c r="HX14" s="820"/>
      <c r="HY14" s="824">
        <v>11</v>
      </c>
      <c r="HZ14" s="809"/>
      <c r="IA14" s="809"/>
      <c r="IB14" s="809"/>
      <c r="IC14" s="809"/>
      <c r="ID14" s="809"/>
      <c r="IE14" s="809"/>
      <c r="IF14" s="809"/>
      <c r="IG14" s="809"/>
      <c r="IH14" s="809"/>
      <c r="II14" s="809"/>
      <c r="IJ14" s="809"/>
      <c r="IK14" s="809"/>
      <c r="IL14" s="809"/>
      <c r="IM14" s="809"/>
      <c r="IN14" s="809"/>
      <c r="IO14" s="809"/>
      <c r="IP14" s="817">
        <v>11</v>
      </c>
      <c r="IQ14" s="809"/>
      <c r="IR14" s="809"/>
      <c r="IS14" s="809"/>
      <c r="IT14" s="809"/>
      <c r="IU14" s="809"/>
      <c r="IV14" s="809"/>
      <c r="IW14" s="817">
        <v>11</v>
      </c>
      <c r="IX14" s="853"/>
      <c r="IY14" s="853"/>
      <c r="IZ14" s="853"/>
      <c r="JA14" s="853"/>
      <c r="JB14" s="845"/>
      <c r="JC14" s="845"/>
      <c r="JD14" s="845"/>
      <c r="JE14" s="845"/>
      <c r="JF14" s="845"/>
      <c r="JG14" s="845"/>
      <c r="JH14" s="845"/>
      <c r="JI14" s="845"/>
      <c r="JJ14" s="845"/>
      <c r="JK14" s="845"/>
    </row>
    <row r="15" spans="1:271" ht="24.75">
      <c r="A15" s="879"/>
      <c r="B15" s="879"/>
      <c r="C15" s="879"/>
      <c r="D15" s="879"/>
      <c r="E15" s="879"/>
      <c r="F15" s="879"/>
      <c r="G15" s="879"/>
      <c r="H15" s="879"/>
      <c r="I15" s="800"/>
      <c r="J15" s="797"/>
      <c r="K15" s="797"/>
      <c r="L15" s="797"/>
      <c r="M15" s="797"/>
      <c r="N15" s="797"/>
      <c r="O15" s="797"/>
      <c r="P15" s="797"/>
      <c r="Q15" s="797"/>
      <c r="R15" s="797"/>
      <c r="S15" s="839" t="s">
        <v>3712</v>
      </c>
      <c r="T15" s="835"/>
      <c r="U15" s="835"/>
      <c r="V15" s="835"/>
      <c r="W15" s="839" t="s">
        <v>3713</v>
      </c>
      <c r="X15" s="835"/>
      <c r="Y15" s="835"/>
      <c r="Z15" s="835"/>
      <c r="AA15" s="797"/>
      <c r="AB15" s="797"/>
      <c r="AC15" s="797"/>
      <c r="AD15" s="797"/>
      <c r="AE15" s="797"/>
      <c r="AF15" s="797"/>
      <c r="AG15" s="797"/>
      <c r="AH15" s="797"/>
      <c r="AI15" s="797"/>
      <c r="AJ15" s="797"/>
      <c r="AK15" s="851"/>
      <c r="AL15" s="817">
        <v>12</v>
      </c>
      <c r="AM15" s="809"/>
      <c r="AN15" s="809"/>
      <c r="AO15" s="809"/>
      <c r="AP15" s="809"/>
      <c r="AQ15" s="809"/>
      <c r="AR15" s="809"/>
      <c r="AS15" s="809"/>
      <c r="AT15" s="809"/>
      <c r="AU15" s="809"/>
      <c r="AV15" s="809"/>
      <c r="AW15" s="809"/>
      <c r="AX15" s="847"/>
      <c r="AY15" s="851"/>
      <c r="AZ15" s="817">
        <v>12</v>
      </c>
      <c r="BA15" s="809"/>
      <c r="BB15" s="809"/>
      <c r="BC15" s="809"/>
      <c r="BD15" s="809"/>
      <c r="BE15" s="809"/>
      <c r="BF15" s="809"/>
      <c r="BG15" s="809"/>
      <c r="BH15" s="809"/>
      <c r="BI15" s="809"/>
      <c r="BJ15" s="809"/>
      <c r="BK15" s="809"/>
      <c r="BL15" s="809"/>
      <c r="BM15" s="809"/>
      <c r="BN15" s="847"/>
      <c r="BO15" s="851"/>
      <c r="BP15" s="817">
        <v>12</v>
      </c>
      <c r="BQ15" s="809"/>
      <c r="BR15" s="809"/>
      <c r="BS15" s="809"/>
      <c r="BT15" s="809"/>
      <c r="BU15" s="809"/>
      <c r="BV15" s="809"/>
      <c r="BW15" s="809"/>
      <c r="BX15" s="809"/>
      <c r="BY15" s="809"/>
      <c r="BZ15" s="809"/>
      <c r="CA15" s="809"/>
      <c r="CB15" s="809"/>
      <c r="CC15" s="809"/>
      <c r="CD15" s="809"/>
      <c r="CE15" s="809"/>
      <c r="CF15" s="809"/>
      <c r="CG15" s="809"/>
      <c r="CH15" s="809"/>
      <c r="CI15" s="809"/>
      <c r="CJ15" s="809"/>
      <c r="CK15" s="809"/>
      <c r="CL15" s="809"/>
      <c r="CM15" s="809"/>
      <c r="CN15" s="809"/>
      <c r="CO15" s="809"/>
      <c r="CP15" s="809"/>
      <c r="CQ15" s="809"/>
      <c r="CR15" s="809"/>
      <c r="CS15" s="817">
        <v>12</v>
      </c>
      <c r="CT15" s="853"/>
      <c r="CU15" s="853"/>
      <c r="CV15" s="853"/>
      <c r="CW15" s="853"/>
      <c r="CX15" s="853"/>
      <c r="CY15" s="853"/>
      <c r="CZ15" s="809"/>
      <c r="DA15" s="817">
        <v>12</v>
      </c>
      <c r="DB15" s="809"/>
      <c r="DC15" s="809"/>
      <c r="DD15" s="809"/>
      <c r="DE15" s="817">
        <v>12</v>
      </c>
      <c r="DF15" s="809"/>
      <c r="DG15" s="809"/>
      <c r="DH15" s="809"/>
      <c r="DI15" s="809"/>
      <c r="DJ15" s="809"/>
      <c r="DK15" s="817">
        <v>12</v>
      </c>
      <c r="DL15" s="809"/>
      <c r="DM15" s="809"/>
      <c r="DN15" s="809"/>
      <c r="DO15" s="809"/>
      <c r="DP15" s="809"/>
      <c r="DQ15" s="809"/>
      <c r="DR15" s="797"/>
      <c r="DS15" s="817">
        <v>12</v>
      </c>
      <c r="DT15" s="809"/>
      <c r="DU15" s="809"/>
      <c r="DV15" s="809"/>
      <c r="DW15" s="809"/>
      <c r="DX15" s="820"/>
      <c r="DY15" s="820"/>
      <c r="DZ15" s="820"/>
      <c r="EA15" s="820"/>
      <c r="EB15" s="820"/>
      <c r="EC15" s="820"/>
      <c r="ED15" s="820"/>
      <c r="EE15" s="820"/>
      <c r="EF15" s="820"/>
      <c r="EG15" s="820"/>
      <c r="EH15" s="820"/>
      <c r="EI15" s="820"/>
      <c r="EJ15" s="824">
        <v>11</v>
      </c>
      <c r="EK15" s="809"/>
      <c r="EL15" s="809"/>
      <c r="EM15" s="809"/>
      <c r="EN15" s="809"/>
      <c r="EO15" s="820"/>
      <c r="EP15" s="820"/>
      <c r="EQ15" s="820"/>
      <c r="ER15" s="820"/>
      <c r="ES15" s="820"/>
      <c r="ET15" s="820"/>
      <c r="EU15" s="820"/>
      <c r="EV15" s="820"/>
      <c r="EW15" s="820"/>
      <c r="EX15" s="820"/>
      <c r="EY15" s="820"/>
      <c r="EZ15" s="820"/>
      <c r="FA15" s="820"/>
      <c r="FB15" s="820"/>
      <c r="FC15" s="820"/>
      <c r="FD15" s="820"/>
      <c r="FE15" s="824">
        <v>12</v>
      </c>
      <c r="FF15" s="809"/>
      <c r="FG15" s="809"/>
      <c r="FH15" s="809"/>
      <c r="FI15" s="809"/>
      <c r="FJ15" s="820"/>
      <c r="FK15" s="820"/>
      <c r="FL15" s="820"/>
      <c r="FM15" s="820"/>
      <c r="FN15" s="820"/>
      <c r="FO15" s="820"/>
      <c r="FP15" s="820"/>
      <c r="FQ15" s="820"/>
      <c r="FR15" s="820"/>
      <c r="FS15" s="820"/>
      <c r="FT15" s="820"/>
      <c r="FU15" s="820"/>
      <c r="FV15" s="820"/>
      <c r="FW15" s="820"/>
      <c r="FX15" s="820"/>
      <c r="FY15" s="820"/>
      <c r="FZ15" s="824">
        <v>12</v>
      </c>
      <c r="GA15" s="809"/>
      <c r="GB15" s="809"/>
      <c r="GC15" s="809"/>
      <c r="GD15" s="809"/>
      <c r="GE15" s="820"/>
      <c r="GF15" s="820"/>
      <c r="GG15" s="820"/>
      <c r="GH15" s="820"/>
      <c r="GI15" s="820"/>
      <c r="GJ15" s="820"/>
      <c r="GK15" s="820"/>
      <c r="GL15" s="820"/>
      <c r="GM15" s="820"/>
      <c r="GN15" s="820"/>
      <c r="GO15" s="820"/>
      <c r="GP15" s="820"/>
      <c r="GQ15" s="824">
        <v>12</v>
      </c>
      <c r="GR15" s="809"/>
      <c r="GS15" s="809"/>
      <c r="GT15" s="809"/>
      <c r="GU15" s="809"/>
      <c r="GV15" s="820"/>
      <c r="GW15" s="820"/>
      <c r="GX15" s="820"/>
      <c r="GY15" s="820"/>
      <c r="GZ15" s="820"/>
      <c r="HA15" s="820"/>
      <c r="HB15" s="820"/>
      <c r="HC15" s="820"/>
      <c r="HD15" s="820"/>
      <c r="HE15" s="820"/>
      <c r="HF15" s="820"/>
      <c r="HG15" s="820"/>
      <c r="HH15" s="824">
        <v>12</v>
      </c>
      <c r="HI15" s="809"/>
      <c r="HJ15" s="809"/>
      <c r="HK15" s="809"/>
      <c r="HL15" s="809"/>
      <c r="HM15" s="820"/>
      <c r="HN15" s="820"/>
      <c r="HO15" s="820"/>
      <c r="HP15" s="820"/>
      <c r="HQ15" s="820"/>
      <c r="HR15" s="820"/>
      <c r="HS15" s="820"/>
      <c r="HT15" s="820"/>
      <c r="HU15" s="820"/>
      <c r="HV15" s="820"/>
      <c r="HW15" s="820"/>
      <c r="HX15" s="820"/>
      <c r="HY15" s="824">
        <v>12</v>
      </c>
      <c r="HZ15" s="809"/>
      <c r="IA15" s="809"/>
      <c r="IB15" s="809"/>
      <c r="IC15" s="809"/>
      <c r="ID15" s="809"/>
      <c r="IE15" s="809"/>
      <c r="IF15" s="809"/>
      <c r="IG15" s="809"/>
      <c r="IH15" s="809"/>
      <c r="II15" s="809"/>
      <c r="IJ15" s="809"/>
      <c r="IK15" s="809"/>
      <c r="IL15" s="809"/>
      <c r="IM15" s="809"/>
      <c r="IN15" s="809"/>
      <c r="IO15" s="809"/>
      <c r="IP15" s="817">
        <v>12</v>
      </c>
      <c r="IQ15" s="809"/>
      <c r="IR15" s="809"/>
      <c r="IS15" s="809"/>
      <c r="IT15" s="809"/>
      <c r="IU15" s="809"/>
      <c r="IV15" s="809"/>
      <c r="IW15" s="817">
        <v>12</v>
      </c>
      <c r="IX15" s="853"/>
      <c r="IY15" s="853"/>
      <c r="IZ15" s="853"/>
      <c r="JA15" s="853"/>
      <c r="JB15" s="845"/>
      <c r="JC15" s="845"/>
      <c r="JD15" s="845"/>
      <c r="JE15" s="845"/>
      <c r="JF15" s="845"/>
      <c r="JG15" s="845"/>
      <c r="JH15" s="845"/>
      <c r="JI15" s="845"/>
      <c r="JJ15" s="845"/>
      <c r="JK15" s="845"/>
    </row>
    <row r="16" spans="1:271" ht="24.75">
      <c r="A16" s="879"/>
      <c r="B16" s="879"/>
      <c r="C16" s="879"/>
      <c r="D16" s="879"/>
      <c r="E16" s="879"/>
      <c r="F16" s="879"/>
      <c r="G16" s="879"/>
      <c r="H16" s="879"/>
      <c r="I16" s="800"/>
      <c r="J16" s="797"/>
      <c r="K16" s="797"/>
      <c r="L16" s="797"/>
      <c r="M16" s="797"/>
      <c r="N16" s="797"/>
      <c r="O16" s="797"/>
      <c r="P16" s="797"/>
      <c r="Q16" s="797"/>
      <c r="R16" s="797"/>
      <c r="S16" s="839" t="s">
        <v>3714</v>
      </c>
      <c r="T16" s="835"/>
      <c r="U16" s="835"/>
      <c r="V16" s="835"/>
      <c r="W16" s="839" t="s">
        <v>3715</v>
      </c>
      <c r="X16" s="835"/>
      <c r="Y16" s="835"/>
      <c r="Z16" s="835"/>
      <c r="AA16" s="797"/>
      <c r="AB16" s="797"/>
      <c r="AC16" s="797"/>
      <c r="AD16" s="797"/>
      <c r="AE16" s="797"/>
      <c r="AF16" s="797"/>
      <c r="AG16" s="797"/>
      <c r="AH16" s="797"/>
      <c r="AI16" s="797"/>
      <c r="AJ16" s="797"/>
      <c r="AK16" s="851"/>
      <c r="AL16" s="817">
        <v>13</v>
      </c>
      <c r="AM16" s="809"/>
      <c r="AN16" s="809"/>
      <c r="AO16" s="809"/>
      <c r="AP16" s="809"/>
      <c r="AQ16" s="809"/>
      <c r="AR16" s="809"/>
      <c r="AS16" s="809"/>
      <c r="AT16" s="809"/>
      <c r="AU16" s="809"/>
      <c r="AV16" s="809"/>
      <c r="AW16" s="809"/>
      <c r="AX16" s="847"/>
      <c r="AY16" s="851"/>
      <c r="AZ16" s="817">
        <v>13</v>
      </c>
      <c r="BA16" s="809"/>
      <c r="BB16" s="809"/>
      <c r="BC16" s="809"/>
      <c r="BD16" s="809"/>
      <c r="BE16" s="809"/>
      <c r="BF16" s="809"/>
      <c r="BG16" s="809"/>
      <c r="BH16" s="809"/>
      <c r="BI16" s="809"/>
      <c r="BJ16" s="809"/>
      <c r="BK16" s="809"/>
      <c r="BL16" s="809"/>
      <c r="BM16" s="809"/>
      <c r="BN16" s="847"/>
      <c r="BO16" s="851"/>
      <c r="BP16" s="817">
        <v>13</v>
      </c>
      <c r="BQ16" s="809"/>
      <c r="BR16" s="809"/>
      <c r="BS16" s="809"/>
      <c r="BT16" s="809"/>
      <c r="BU16" s="809"/>
      <c r="BV16" s="809"/>
      <c r="BW16" s="809"/>
      <c r="BX16" s="809"/>
      <c r="BY16" s="809"/>
      <c r="BZ16" s="809"/>
      <c r="CA16" s="809"/>
      <c r="CB16" s="809"/>
      <c r="CC16" s="809"/>
      <c r="CD16" s="809"/>
      <c r="CE16" s="809"/>
      <c r="CF16" s="809"/>
      <c r="CG16" s="809"/>
      <c r="CH16" s="809"/>
      <c r="CI16" s="809"/>
      <c r="CJ16" s="809"/>
      <c r="CK16" s="809"/>
      <c r="CL16" s="809"/>
      <c r="CM16" s="809"/>
      <c r="CN16" s="809"/>
      <c r="CO16" s="809"/>
      <c r="CP16" s="809"/>
      <c r="CQ16" s="809"/>
      <c r="CR16" s="809"/>
      <c r="CS16" s="817">
        <v>13</v>
      </c>
      <c r="CT16" s="853"/>
      <c r="CU16" s="853"/>
      <c r="CV16" s="853"/>
      <c r="CW16" s="853"/>
      <c r="CX16" s="853"/>
      <c r="CY16" s="853"/>
      <c r="CZ16" s="809"/>
      <c r="DA16" s="817">
        <v>13</v>
      </c>
      <c r="DB16" s="809"/>
      <c r="DC16" s="809"/>
      <c r="DD16" s="809"/>
      <c r="DE16" s="817">
        <v>13</v>
      </c>
      <c r="DF16" s="809"/>
      <c r="DG16" s="809"/>
      <c r="DH16" s="809"/>
      <c r="DI16" s="809"/>
      <c r="DJ16" s="809"/>
      <c r="DK16" s="817">
        <v>13</v>
      </c>
      <c r="DL16" s="809"/>
      <c r="DM16" s="809"/>
      <c r="DN16" s="809"/>
      <c r="DO16" s="809"/>
      <c r="DP16" s="809"/>
      <c r="DQ16" s="809"/>
      <c r="DR16" s="797"/>
      <c r="DS16" s="817">
        <v>13</v>
      </c>
      <c r="DT16" s="809"/>
      <c r="DU16" s="809"/>
      <c r="DV16" s="809"/>
      <c r="DW16" s="809"/>
      <c r="DX16" s="820"/>
      <c r="DY16" s="820"/>
      <c r="DZ16" s="820"/>
      <c r="EA16" s="820"/>
      <c r="EB16" s="820"/>
      <c r="EC16" s="820"/>
      <c r="ED16" s="820"/>
      <c r="EE16" s="820"/>
      <c r="EF16" s="820"/>
      <c r="EG16" s="820"/>
      <c r="EH16" s="820"/>
      <c r="EI16" s="820"/>
      <c r="EJ16" s="824">
        <v>12</v>
      </c>
      <c r="EK16" s="809"/>
      <c r="EL16" s="809"/>
      <c r="EM16" s="809"/>
      <c r="EN16" s="809"/>
      <c r="EO16" s="820"/>
      <c r="EP16" s="820"/>
      <c r="EQ16" s="820"/>
      <c r="ER16" s="820"/>
      <c r="ES16" s="820"/>
      <c r="ET16" s="820"/>
      <c r="EU16" s="820"/>
      <c r="EV16" s="820"/>
      <c r="EW16" s="820"/>
      <c r="EX16" s="820"/>
      <c r="EY16" s="820"/>
      <c r="EZ16" s="820"/>
      <c r="FA16" s="820"/>
      <c r="FB16" s="820"/>
      <c r="FC16" s="820"/>
      <c r="FD16" s="820"/>
      <c r="FE16" s="824">
        <v>13</v>
      </c>
      <c r="FF16" s="809"/>
      <c r="FG16" s="809"/>
      <c r="FH16" s="809"/>
      <c r="FI16" s="809"/>
      <c r="FJ16" s="820"/>
      <c r="FK16" s="820"/>
      <c r="FL16" s="820"/>
      <c r="FM16" s="820"/>
      <c r="FN16" s="820"/>
      <c r="FO16" s="820"/>
      <c r="FP16" s="820"/>
      <c r="FQ16" s="820"/>
      <c r="FR16" s="820"/>
      <c r="FS16" s="820"/>
      <c r="FT16" s="820"/>
      <c r="FU16" s="820"/>
      <c r="FV16" s="820"/>
      <c r="FW16" s="820"/>
      <c r="FX16" s="820"/>
      <c r="FY16" s="820"/>
      <c r="FZ16" s="824">
        <v>13</v>
      </c>
      <c r="GA16" s="809"/>
      <c r="GB16" s="809"/>
      <c r="GC16" s="809"/>
      <c r="GD16" s="809"/>
      <c r="GE16" s="820"/>
      <c r="GF16" s="820"/>
      <c r="GG16" s="820"/>
      <c r="GH16" s="820"/>
      <c r="GI16" s="820"/>
      <c r="GJ16" s="820"/>
      <c r="GK16" s="820"/>
      <c r="GL16" s="820"/>
      <c r="GM16" s="820"/>
      <c r="GN16" s="820"/>
      <c r="GO16" s="820"/>
      <c r="GP16" s="820"/>
      <c r="GQ16" s="824">
        <v>13</v>
      </c>
      <c r="GR16" s="809"/>
      <c r="GS16" s="809"/>
      <c r="GT16" s="809"/>
      <c r="GU16" s="809"/>
      <c r="GV16" s="820"/>
      <c r="GW16" s="820"/>
      <c r="GX16" s="820"/>
      <c r="GY16" s="820"/>
      <c r="GZ16" s="820"/>
      <c r="HA16" s="820"/>
      <c r="HB16" s="820"/>
      <c r="HC16" s="820"/>
      <c r="HD16" s="820"/>
      <c r="HE16" s="820"/>
      <c r="HF16" s="820"/>
      <c r="HG16" s="820"/>
      <c r="HH16" s="824">
        <v>13</v>
      </c>
      <c r="HI16" s="809"/>
      <c r="HJ16" s="809"/>
      <c r="HK16" s="809"/>
      <c r="HL16" s="809"/>
      <c r="HM16" s="820"/>
      <c r="HN16" s="820"/>
      <c r="HO16" s="820"/>
      <c r="HP16" s="820"/>
      <c r="HQ16" s="820"/>
      <c r="HR16" s="820"/>
      <c r="HS16" s="820"/>
      <c r="HT16" s="820"/>
      <c r="HU16" s="820"/>
      <c r="HV16" s="820"/>
      <c r="HW16" s="820"/>
      <c r="HX16" s="820"/>
      <c r="HY16" s="824">
        <v>13</v>
      </c>
      <c r="HZ16" s="809"/>
      <c r="IA16" s="809"/>
      <c r="IB16" s="809"/>
      <c r="IC16" s="809"/>
      <c r="ID16" s="809"/>
      <c r="IE16" s="809"/>
      <c r="IF16" s="809"/>
      <c r="IG16" s="809"/>
      <c r="IH16" s="809"/>
      <c r="II16" s="809"/>
      <c r="IJ16" s="809"/>
      <c r="IK16" s="809"/>
      <c r="IL16" s="809"/>
      <c r="IM16" s="809"/>
      <c r="IN16" s="809"/>
      <c r="IO16" s="809"/>
      <c r="IP16" s="817">
        <v>13</v>
      </c>
      <c r="IQ16" s="809"/>
      <c r="IR16" s="809"/>
      <c r="IS16" s="809"/>
      <c r="IT16" s="809"/>
      <c r="IU16" s="809"/>
      <c r="IV16" s="809"/>
      <c r="IW16" s="817">
        <v>13</v>
      </c>
      <c r="IX16" s="853"/>
      <c r="IY16" s="853"/>
      <c r="IZ16" s="853"/>
      <c r="JA16" s="853"/>
      <c r="JB16" s="845"/>
      <c r="JC16" s="845"/>
      <c r="JD16" s="845"/>
      <c r="JE16" s="845"/>
      <c r="JF16" s="845"/>
      <c r="JG16" s="845"/>
      <c r="JH16" s="845"/>
      <c r="JI16" s="845"/>
      <c r="JJ16" s="845"/>
      <c r="JK16" s="845"/>
    </row>
    <row r="17" spans="1:271" ht="24.75">
      <c r="A17" s="879"/>
      <c r="B17" s="879"/>
      <c r="C17" s="879"/>
      <c r="D17" s="879"/>
      <c r="E17" s="879"/>
      <c r="F17" s="879"/>
      <c r="G17" s="879"/>
      <c r="H17" s="879"/>
      <c r="I17" s="800"/>
      <c r="J17" s="797"/>
      <c r="K17" s="797"/>
      <c r="L17" s="797"/>
      <c r="M17" s="797"/>
      <c r="N17" s="797"/>
      <c r="O17" s="797"/>
      <c r="P17" s="797"/>
      <c r="Q17" s="797"/>
      <c r="R17" s="797"/>
      <c r="S17" s="839" t="s">
        <v>3716</v>
      </c>
      <c r="T17" s="835"/>
      <c r="U17" s="835"/>
      <c r="V17" s="835"/>
      <c r="W17" s="839" t="s">
        <v>3717</v>
      </c>
      <c r="X17" s="835"/>
      <c r="Y17" s="835"/>
      <c r="Z17" s="835"/>
      <c r="AA17" s="797"/>
      <c r="AB17" s="797"/>
      <c r="AC17" s="797"/>
      <c r="AD17" s="797"/>
      <c r="AE17" s="797"/>
      <c r="AF17" s="797"/>
      <c r="AG17" s="797"/>
      <c r="AH17" s="797"/>
      <c r="AI17" s="797"/>
      <c r="AJ17" s="797"/>
      <c r="AK17" s="851"/>
      <c r="AL17" s="817">
        <v>14</v>
      </c>
      <c r="AM17" s="809"/>
      <c r="AN17" s="809"/>
      <c r="AO17" s="809"/>
      <c r="AP17" s="809"/>
      <c r="AQ17" s="809"/>
      <c r="AR17" s="809"/>
      <c r="AS17" s="809"/>
      <c r="AT17" s="809"/>
      <c r="AU17" s="809"/>
      <c r="AV17" s="809"/>
      <c r="AW17" s="809"/>
      <c r="AX17" s="847"/>
      <c r="AY17" s="851"/>
      <c r="AZ17" s="817">
        <v>14</v>
      </c>
      <c r="BA17" s="809"/>
      <c r="BB17" s="809"/>
      <c r="BC17" s="809"/>
      <c r="BD17" s="809"/>
      <c r="BE17" s="809"/>
      <c r="BF17" s="809"/>
      <c r="BG17" s="809"/>
      <c r="BH17" s="809"/>
      <c r="BI17" s="809"/>
      <c r="BJ17" s="809"/>
      <c r="BK17" s="809"/>
      <c r="BL17" s="809"/>
      <c r="BM17" s="809"/>
      <c r="BN17" s="847"/>
      <c r="BO17" s="851"/>
      <c r="BP17" s="817">
        <v>14</v>
      </c>
      <c r="BQ17" s="809"/>
      <c r="BR17" s="809"/>
      <c r="BS17" s="809"/>
      <c r="BT17" s="809"/>
      <c r="BU17" s="809"/>
      <c r="BV17" s="809"/>
      <c r="BW17" s="809"/>
      <c r="BX17" s="809"/>
      <c r="BY17" s="809"/>
      <c r="BZ17" s="809"/>
      <c r="CA17" s="809"/>
      <c r="CB17" s="809"/>
      <c r="CC17" s="809"/>
      <c r="CD17" s="809"/>
      <c r="CE17" s="809"/>
      <c r="CF17" s="809"/>
      <c r="CG17" s="809"/>
      <c r="CH17" s="809"/>
      <c r="CI17" s="809"/>
      <c r="CJ17" s="809"/>
      <c r="CK17" s="809"/>
      <c r="CL17" s="809"/>
      <c r="CM17" s="809"/>
      <c r="CN17" s="809"/>
      <c r="CO17" s="809"/>
      <c r="CP17" s="809"/>
      <c r="CQ17" s="809"/>
      <c r="CR17" s="809"/>
      <c r="CS17" s="817">
        <v>14</v>
      </c>
      <c r="CT17" s="853"/>
      <c r="CU17" s="853"/>
      <c r="CV17" s="853"/>
      <c r="CW17" s="853"/>
      <c r="CX17" s="853"/>
      <c r="CY17" s="853"/>
      <c r="CZ17" s="809"/>
      <c r="DA17" s="817">
        <v>14</v>
      </c>
      <c r="DB17" s="809"/>
      <c r="DC17" s="809"/>
      <c r="DD17" s="809"/>
      <c r="DE17" s="817">
        <v>14</v>
      </c>
      <c r="DF17" s="809"/>
      <c r="DG17" s="809"/>
      <c r="DH17" s="809"/>
      <c r="DI17" s="809"/>
      <c r="DJ17" s="809"/>
      <c r="DK17" s="817">
        <v>14</v>
      </c>
      <c r="DL17" s="809"/>
      <c r="DM17" s="809"/>
      <c r="DN17" s="809"/>
      <c r="DO17" s="809"/>
      <c r="DP17" s="809"/>
      <c r="DQ17" s="809"/>
      <c r="DR17" s="797"/>
      <c r="DS17" s="817">
        <v>14</v>
      </c>
      <c r="DT17" s="809"/>
      <c r="DU17" s="809"/>
      <c r="DV17" s="809"/>
      <c r="DW17" s="809"/>
      <c r="DX17" s="820"/>
      <c r="DY17" s="820"/>
      <c r="DZ17" s="820"/>
      <c r="EA17" s="820"/>
      <c r="EB17" s="820"/>
      <c r="EC17" s="820"/>
      <c r="ED17" s="820"/>
      <c r="EE17" s="820"/>
      <c r="EF17" s="820"/>
      <c r="EG17" s="820"/>
      <c r="EH17" s="820"/>
      <c r="EI17" s="820"/>
      <c r="EJ17" s="824">
        <v>13</v>
      </c>
      <c r="EK17" s="809"/>
      <c r="EL17" s="809"/>
      <c r="EM17" s="809"/>
      <c r="EN17" s="809"/>
      <c r="EO17" s="820"/>
      <c r="EP17" s="820"/>
      <c r="EQ17" s="820"/>
      <c r="ER17" s="820"/>
      <c r="ES17" s="820"/>
      <c r="ET17" s="820"/>
      <c r="EU17" s="820"/>
      <c r="EV17" s="820"/>
      <c r="EW17" s="820"/>
      <c r="EX17" s="820"/>
      <c r="EY17" s="820"/>
      <c r="EZ17" s="820"/>
      <c r="FA17" s="820"/>
      <c r="FB17" s="820"/>
      <c r="FC17" s="820"/>
      <c r="FD17" s="820"/>
      <c r="FE17" s="824">
        <v>14</v>
      </c>
      <c r="FF17" s="809"/>
      <c r="FG17" s="809"/>
      <c r="FH17" s="809"/>
      <c r="FI17" s="809"/>
      <c r="FJ17" s="820"/>
      <c r="FK17" s="820"/>
      <c r="FL17" s="820"/>
      <c r="FM17" s="820"/>
      <c r="FN17" s="820"/>
      <c r="FO17" s="820"/>
      <c r="FP17" s="820"/>
      <c r="FQ17" s="820"/>
      <c r="FR17" s="820"/>
      <c r="FS17" s="820"/>
      <c r="FT17" s="820"/>
      <c r="FU17" s="820"/>
      <c r="FV17" s="820"/>
      <c r="FW17" s="820"/>
      <c r="FX17" s="820"/>
      <c r="FY17" s="820"/>
      <c r="FZ17" s="824">
        <v>14</v>
      </c>
      <c r="GA17" s="809"/>
      <c r="GB17" s="809"/>
      <c r="GC17" s="809"/>
      <c r="GD17" s="809"/>
      <c r="GE17" s="820"/>
      <c r="GF17" s="820"/>
      <c r="GG17" s="820"/>
      <c r="GH17" s="820"/>
      <c r="GI17" s="820"/>
      <c r="GJ17" s="820"/>
      <c r="GK17" s="820"/>
      <c r="GL17" s="820"/>
      <c r="GM17" s="820"/>
      <c r="GN17" s="820"/>
      <c r="GO17" s="820"/>
      <c r="GP17" s="820"/>
      <c r="GQ17" s="824">
        <v>14</v>
      </c>
      <c r="GR17" s="809"/>
      <c r="GS17" s="809"/>
      <c r="GT17" s="809"/>
      <c r="GU17" s="809"/>
      <c r="GV17" s="820"/>
      <c r="GW17" s="820"/>
      <c r="GX17" s="820"/>
      <c r="GY17" s="820"/>
      <c r="GZ17" s="820"/>
      <c r="HA17" s="820"/>
      <c r="HB17" s="820"/>
      <c r="HC17" s="820"/>
      <c r="HD17" s="820"/>
      <c r="HE17" s="820"/>
      <c r="HF17" s="820"/>
      <c r="HG17" s="820"/>
      <c r="HH17" s="824">
        <v>14</v>
      </c>
      <c r="HI17" s="809"/>
      <c r="HJ17" s="809"/>
      <c r="HK17" s="809"/>
      <c r="HL17" s="809"/>
      <c r="HM17" s="820"/>
      <c r="HN17" s="820"/>
      <c r="HO17" s="820"/>
      <c r="HP17" s="820"/>
      <c r="HQ17" s="820"/>
      <c r="HR17" s="820"/>
      <c r="HS17" s="820"/>
      <c r="HT17" s="820"/>
      <c r="HU17" s="820"/>
      <c r="HV17" s="820"/>
      <c r="HW17" s="820"/>
      <c r="HX17" s="820"/>
      <c r="HY17" s="824">
        <v>14</v>
      </c>
      <c r="HZ17" s="809"/>
      <c r="IA17" s="809"/>
      <c r="IB17" s="809"/>
      <c r="IC17" s="809"/>
      <c r="ID17" s="809"/>
      <c r="IE17" s="809"/>
      <c r="IF17" s="809"/>
      <c r="IG17" s="809"/>
      <c r="IH17" s="809"/>
      <c r="II17" s="809"/>
      <c r="IJ17" s="809"/>
      <c r="IK17" s="809"/>
      <c r="IL17" s="809"/>
      <c r="IM17" s="809"/>
      <c r="IN17" s="809"/>
      <c r="IO17" s="809"/>
      <c r="IP17" s="817">
        <v>14</v>
      </c>
      <c r="IQ17" s="809"/>
      <c r="IR17" s="809"/>
      <c r="IS17" s="809"/>
      <c r="IT17" s="809"/>
      <c r="IU17" s="809"/>
      <c r="IV17" s="809"/>
      <c r="IW17" s="817">
        <v>14</v>
      </c>
      <c r="IX17" s="853"/>
      <c r="IY17" s="853"/>
      <c r="IZ17" s="853"/>
      <c r="JA17" s="853"/>
      <c r="JB17" s="845"/>
      <c r="JC17" s="845"/>
      <c r="JD17" s="845"/>
      <c r="JE17" s="845"/>
      <c r="JF17" s="845"/>
      <c r="JG17" s="845"/>
      <c r="JH17" s="845"/>
      <c r="JI17" s="845"/>
      <c r="JJ17" s="845"/>
      <c r="JK17" s="845"/>
    </row>
    <row r="18" spans="1:271" ht="24.75">
      <c r="A18" s="879"/>
      <c r="B18" s="879"/>
      <c r="C18" s="879"/>
      <c r="D18" s="879"/>
      <c r="E18" s="879"/>
      <c r="F18" s="879"/>
      <c r="G18" s="879"/>
      <c r="H18" s="879"/>
      <c r="I18" s="800"/>
      <c r="J18" s="797"/>
      <c r="K18" s="797"/>
      <c r="L18" s="797"/>
      <c r="M18" s="797"/>
      <c r="N18" s="797"/>
      <c r="O18" s="797"/>
      <c r="P18" s="797"/>
      <c r="Q18" s="797"/>
      <c r="R18" s="797"/>
      <c r="S18" s="839" t="s">
        <v>3718</v>
      </c>
      <c r="T18" s="835"/>
      <c r="U18" s="835"/>
      <c r="V18" s="835"/>
      <c r="W18" s="839" t="s">
        <v>3719</v>
      </c>
      <c r="X18" s="835"/>
      <c r="Y18" s="835"/>
      <c r="Z18" s="835"/>
      <c r="AA18" s="797"/>
      <c r="AB18" s="797"/>
      <c r="AC18" s="797"/>
      <c r="AD18" s="797"/>
      <c r="AE18" s="797"/>
      <c r="AF18" s="797"/>
      <c r="AG18" s="797"/>
      <c r="AH18" s="797"/>
      <c r="AI18" s="797"/>
      <c r="AJ18" s="797"/>
      <c r="AK18" s="851"/>
      <c r="AL18" s="817">
        <v>15</v>
      </c>
      <c r="AM18" s="809"/>
      <c r="AN18" s="809"/>
      <c r="AO18" s="809"/>
      <c r="AP18" s="809"/>
      <c r="AQ18" s="809"/>
      <c r="AR18" s="809"/>
      <c r="AS18" s="809"/>
      <c r="AT18" s="809"/>
      <c r="AU18" s="809"/>
      <c r="AV18" s="809"/>
      <c r="AW18" s="809"/>
      <c r="AX18" s="847"/>
      <c r="AY18" s="851"/>
      <c r="AZ18" s="817">
        <v>15</v>
      </c>
      <c r="BA18" s="809"/>
      <c r="BB18" s="809"/>
      <c r="BC18" s="809"/>
      <c r="BD18" s="809"/>
      <c r="BE18" s="809"/>
      <c r="BF18" s="809"/>
      <c r="BG18" s="809"/>
      <c r="BH18" s="809"/>
      <c r="BI18" s="809"/>
      <c r="BJ18" s="809"/>
      <c r="BK18" s="809"/>
      <c r="BL18" s="809"/>
      <c r="BM18" s="809"/>
      <c r="BN18" s="847"/>
      <c r="BO18" s="851"/>
      <c r="BP18" s="817">
        <v>15</v>
      </c>
      <c r="BQ18" s="809"/>
      <c r="BR18" s="809"/>
      <c r="BS18" s="809"/>
      <c r="BT18" s="809"/>
      <c r="BU18" s="809"/>
      <c r="BV18" s="809"/>
      <c r="BW18" s="809"/>
      <c r="BX18" s="809"/>
      <c r="BY18" s="809"/>
      <c r="BZ18" s="809"/>
      <c r="CA18" s="809"/>
      <c r="CB18" s="809"/>
      <c r="CC18" s="809"/>
      <c r="CD18" s="809"/>
      <c r="CE18" s="809"/>
      <c r="CF18" s="809"/>
      <c r="CG18" s="809"/>
      <c r="CH18" s="809"/>
      <c r="CI18" s="809"/>
      <c r="CJ18" s="809"/>
      <c r="CK18" s="809"/>
      <c r="CL18" s="809"/>
      <c r="CM18" s="809"/>
      <c r="CN18" s="809"/>
      <c r="CO18" s="809"/>
      <c r="CP18" s="809"/>
      <c r="CQ18" s="809"/>
      <c r="CR18" s="809"/>
      <c r="CS18" s="817">
        <v>15</v>
      </c>
      <c r="CT18" s="853"/>
      <c r="CU18" s="853"/>
      <c r="CV18" s="853"/>
      <c r="CW18" s="853"/>
      <c r="CX18" s="853"/>
      <c r="CY18" s="853"/>
      <c r="CZ18" s="809"/>
      <c r="DA18" s="817">
        <v>15</v>
      </c>
      <c r="DB18" s="809"/>
      <c r="DC18" s="809"/>
      <c r="DD18" s="809"/>
      <c r="DE18" s="817">
        <v>15</v>
      </c>
      <c r="DF18" s="809"/>
      <c r="DG18" s="809"/>
      <c r="DH18" s="809"/>
      <c r="DI18" s="809"/>
      <c r="DJ18" s="809"/>
      <c r="DK18" s="817">
        <v>15</v>
      </c>
      <c r="DL18" s="809"/>
      <c r="DM18" s="809"/>
      <c r="DN18" s="809"/>
      <c r="DO18" s="809"/>
      <c r="DP18" s="809"/>
      <c r="DQ18" s="809"/>
      <c r="DR18" s="797"/>
      <c r="DS18" s="817">
        <v>15</v>
      </c>
      <c r="DT18" s="809"/>
      <c r="DU18" s="809"/>
      <c r="DV18" s="809"/>
      <c r="DW18" s="809"/>
      <c r="DX18" s="820"/>
      <c r="DY18" s="820"/>
      <c r="DZ18" s="820"/>
      <c r="EA18" s="820"/>
      <c r="EB18" s="820"/>
      <c r="EC18" s="820"/>
      <c r="ED18" s="820"/>
      <c r="EE18" s="820"/>
      <c r="EF18" s="820"/>
      <c r="EG18" s="820"/>
      <c r="EH18" s="820"/>
      <c r="EI18" s="820"/>
      <c r="EJ18" s="824">
        <v>14</v>
      </c>
      <c r="EK18" s="809"/>
      <c r="EL18" s="809"/>
      <c r="EM18" s="809"/>
      <c r="EN18" s="809"/>
      <c r="EO18" s="820"/>
      <c r="EP18" s="820"/>
      <c r="EQ18" s="820"/>
      <c r="ER18" s="820"/>
      <c r="ES18" s="820"/>
      <c r="ET18" s="820"/>
      <c r="EU18" s="820"/>
      <c r="EV18" s="820"/>
      <c r="EW18" s="820"/>
      <c r="EX18" s="820"/>
      <c r="EY18" s="820"/>
      <c r="EZ18" s="820"/>
      <c r="FA18" s="820"/>
      <c r="FB18" s="820"/>
      <c r="FC18" s="820"/>
      <c r="FD18" s="820"/>
      <c r="FE18" s="824">
        <v>15</v>
      </c>
      <c r="FF18" s="809"/>
      <c r="FG18" s="809"/>
      <c r="FH18" s="809"/>
      <c r="FI18" s="809"/>
      <c r="FJ18" s="820"/>
      <c r="FK18" s="820"/>
      <c r="FL18" s="820"/>
      <c r="FM18" s="820"/>
      <c r="FN18" s="820"/>
      <c r="FO18" s="820"/>
      <c r="FP18" s="820"/>
      <c r="FQ18" s="820"/>
      <c r="FR18" s="820"/>
      <c r="FS18" s="820"/>
      <c r="FT18" s="820"/>
      <c r="FU18" s="820"/>
      <c r="FV18" s="820"/>
      <c r="FW18" s="820"/>
      <c r="FX18" s="820"/>
      <c r="FY18" s="820"/>
      <c r="FZ18" s="824">
        <v>15</v>
      </c>
      <c r="GA18" s="809"/>
      <c r="GB18" s="809"/>
      <c r="GC18" s="809"/>
      <c r="GD18" s="809"/>
      <c r="GE18" s="820"/>
      <c r="GF18" s="820"/>
      <c r="GG18" s="820"/>
      <c r="GH18" s="820"/>
      <c r="GI18" s="820"/>
      <c r="GJ18" s="820"/>
      <c r="GK18" s="820"/>
      <c r="GL18" s="820"/>
      <c r="GM18" s="820"/>
      <c r="GN18" s="820"/>
      <c r="GO18" s="820"/>
      <c r="GP18" s="820"/>
      <c r="GQ18" s="824">
        <v>15</v>
      </c>
      <c r="GR18" s="809"/>
      <c r="GS18" s="809"/>
      <c r="GT18" s="809"/>
      <c r="GU18" s="809"/>
      <c r="GV18" s="820"/>
      <c r="GW18" s="820"/>
      <c r="GX18" s="820"/>
      <c r="GY18" s="820"/>
      <c r="GZ18" s="820"/>
      <c r="HA18" s="820"/>
      <c r="HB18" s="820"/>
      <c r="HC18" s="820"/>
      <c r="HD18" s="820"/>
      <c r="HE18" s="820"/>
      <c r="HF18" s="820"/>
      <c r="HG18" s="820"/>
      <c r="HH18" s="824">
        <v>15</v>
      </c>
      <c r="HI18" s="809"/>
      <c r="HJ18" s="809"/>
      <c r="HK18" s="809"/>
      <c r="HL18" s="809"/>
      <c r="HM18" s="820"/>
      <c r="HN18" s="820"/>
      <c r="HO18" s="820"/>
      <c r="HP18" s="820"/>
      <c r="HQ18" s="820"/>
      <c r="HR18" s="820"/>
      <c r="HS18" s="820"/>
      <c r="HT18" s="820"/>
      <c r="HU18" s="820"/>
      <c r="HV18" s="820"/>
      <c r="HW18" s="820"/>
      <c r="HX18" s="820"/>
      <c r="HY18" s="824">
        <v>15</v>
      </c>
      <c r="HZ18" s="809"/>
      <c r="IA18" s="809"/>
      <c r="IB18" s="809"/>
      <c r="IC18" s="809"/>
      <c r="ID18" s="809"/>
      <c r="IE18" s="809"/>
      <c r="IF18" s="809"/>
      <c r="IG18" s="809"/>
      <c r="IH18" s="809"/>
      <c r="II18" s="809"/>
      <c r="IJ18" s="809"/>
      <c r="IK18" s="809"/>
      <c r="IL18" s="809"/>
      <c r="IM18" s="809"/>
      <c r="IN18" s="809"/>
      <c r="IO18" s="809"/>
      <c r="IP18" s="817">
        <v>15</v>
      </c>
      <c r="IQ18" s="809"/>
      <c r="IR18" s="809"/>
      <c r="IS18" s="809"/>
      <c r="IT18" s="809"/>
      <c r="IU18" s="809"/>
      <c r="IV18" s="809"/>
      <c r="IW18" s="817">
        <v>15</v>
      </c>
      <c r="IX18" s="853"/>
      <c r="IY18" s="853"/>
      <c r="IZ18" s="853"/>
      <c r="JA18" s="853"/>
      <c r="JB18" s="845"/>
      <c r="JC18" s="845"/>
      <c r="JD18" s="845"/>
      <c r="JE18" s="845"/>
      <c r="JF18" s="845"/>
      <c r="JG18" s="845"/>
      <c r="JH18" s="845"/>
      <c r="JI18" s="845"/>
      <c r="JJ18" s="845"/>
      <c r="JK18" s="845"/>
    </row>
    <row r="19" spans="1:271" ht="24.75">
      <c r="A19" s="879"/>
      <c r="B19" s="879"/>
      <c r="C19" s="879"/>
      <c r="D19" s="879"/>
      <c r="E19" s="879"/>
      <c r="F19" s="879"/>
      <c r="G19" s="879"/>
      <c r="H19" s="879"/>
      <c r="I19" s="800"/>
      <c r="J19" s="797"/>
      <c r="K19" s="797"/>
      <c r="L19" s="797"/>
      <c r="M19" s="797"/>
      <c r="N19" s="797"/>
      <c r="O19" s="797"/>
      <c r="P19" s="797"/>
      <c r="Q19" s="797"/>
      <c r="R19" s="797"/>
      <c r="S19" s="839" t="s">
        <v>3720</v>
      </c>
      <c r="T19" s="835"/>
      <c r="U19" s="835"/>
      <c r="V19" s="835"/>
      <c r="W19" s="839" t="s">
        <v>3721</v>
      </c>
      <c r="X19" s="835"/>
      <c r="Y19" s="835"/>
      <c r="Z19" s="835"/>
      <c r="AA19" s="797"/>
      <c r="AB19" s="797"/>
      <c r="AC19" s="797"/>
      <c r="AD19" s="797"/>
      <c r="AE19" s="797"/>
      <c r="AF19" s="797"/>
      <c r="AG19" s="797"/>
      <c r="AH19" s="797"/>
      <c r="AI19" s="797"/>
      <c r="AJ19" s="797"/>
      <c r="AK19" s="851"/>
      <c r="AL19" s="817">
        <v>16</v>
      </c>
      <c r="AM19" s="809"/>
      <c r="AN19" s="809"/>
      <c r="AO19" s="809"/>
      <c r="AP19" s="809"/>
      <c r="AQ19" s="809"/>
      <c r="AR19" s="809"/>
      <c r="AS19" s="809"/>
      <c r="AT19" s="809"/>
      <c r="AU19" s="809"/>
      <c r="AV19" s="809"/>
      <c r="AW19" s="809"/>
      <c r="AX19" s="847"/>
      <c r="AY19" s="851"/>
      <c r="AZ19" s="817">
        <v>16</v>
      </c>
      <c r="BA19" s="809"/>
      <c r="BB19" s="809"/>
      <c r="BC19" s="809"/>
      <c r="BD19" s="809"/>
      <c r="BE19" s="809"/>
      <c r="BF19" s="809"/>
      <c r="BG19" s="809"/>
      <c r="BH19" s="809"/>
      <c r="BI19" s="809"/>
      <c r="BJ19" s="809"/>
      <c r="BK19" s="809"/>
      <c r="BL19" s="809"/>
      <c r="BM19" s="809"/>
      <c r="BN19" s="847"/>
      <c r="BO19" s="851"/>
      <c r="BP19" s="817">
        <v>16</v>
      </c>
      <c r="BQ19" s="809"/>
      <c r="BR19" s="809"/>
      <c r="BS19" s="809"/>
      <c r="BT19" s="809"/>
      <c r="BU19" s="809"/>
      <c r="BV19" s="809"/>
      <c r="BW19" s="809"/>
      <c r="BX19" s="809"/>
      <c r="BY19" s="809"/>
      <c r="BZ19" s="809"/>
      <c r="CA19" s="809"/>
      <c r="CB19" s="809"/>
      <c r="CC19" s="809"/>
      <c r="CD19" s="809"/>
      <c r="CE19" s="809"/>
      <c r="CF19" s="809"/>
      <c r="CG19" s="809"/>
      <c r="CH19" s="809"/>
      <c r="CI19" s="809"/>
      <c r="CJ19" s="809"/>
      <c r="CK19" s="809"/>
      <c r="CL19" s="809"/>
      <c r="CM19" s="809"/>
      <c r="CN19" s="809"/>
      <c r="CO19" s="809"/>
      <c r="CP19" s="809"/>
      <c r="CQ19" s="809"/>
      <c r="CR19" s="809"/>
      <c r="CS19" s="817">
        <v>16</v>
      </c>
      <c r="CT19" s="853"/>
      <c r="CU19" s="853"/>
      <c r="CV19" s="853"/>
      <c r="CW19" s="853"/>
      <c r="CX19" s="853"/>
      <c r="CY19" s="853"/>
      <c r="CZ19" s="809"/>
      <c r="DA19" s="817">
        <v>16</v>
      </c>
      <c r="DB19" s="809"/>
      <c r="DC19" s="809"/>
      <c r="DD19" s="809"/>
      <c r="DE19" s="817">
        <v>16</v>
      </c>
      <c r="DF19" s="809"/>
      <c r="DG19" s="809"/>
      <c r="DH19" s="809"/>
      <c r="DI19" s="809"/>
      <c r="DJ19" s="809"/>
      <c r="DK19" s="817">
        <v>16</v>
      </c>
      <c r="DL19" s="809"/>
      <c r="DM19" s="809"/>
      <c r="DN19" s="809"/>
      <c r="DO19" s="809"/>
      <c r="DP19" s="809"/>
      <c r="DQ19" s="809"/>
      <c r="DR19" s="797"/>
      <c r="DS19" s="817">
        <v>16</v>
      </c>
      <c r="DT19" s="809"/>
      <c r="DU19" s="809"/>
      <c r="DV19" s="809"/>
      <c r="DW19" s="809"/>
      <c r="DX19" s="820"/>
      <c r="DY19" s="820"/>
      <c r="DZ19" s="820"/>
      <c r="EA19" s="820"/>
      <c r="EB19" s="820"/>
      <c r="EC19" s="820"/>
      <c r="ED19" s="820"/>
      <c r="EE19" s="820"/>
      <c r="EF19" s="820"/>
      <c r="EG19" s="820"/>
      <c r="EH19" s="820"/>
      <c r="EI19" s="820"/>
      <c r="EJ19" s="824">
        <v>15</v>
      </c>
      <c r="EK19" s="809"/>
      <c r="EL19" s="809"/>
      <c r="EM19" s="809"/>
      <c r="EN19" s="809"/>
      <c r="EO19" s="820"/>
      <c r="EP19" s="820"/>
      <c r="EQ19" s="820"/>
      <c r="ER19" s="820"/>
      <c r="ES19" s="820"/>
      <c r="ET19" s="820"/>
      <c r="EU19" s="820"/>
      <c r="EV19" s="820"/>
      <c r="EW19" s="820"/>
      <c r="EX19" s="820"/>
      <c r="EY19" s="820"/>
      <c r="EZ19" s="820"/>
      <c r="FA19" s="820"/>
      <c r="FB19" s="820"/>
      <c r="FC19" s="820"/>
      <c r="FD19" s="820"/>
      <c r="FE19" s="824">
        <v>16</v>
      </c>
      <c r="FF19" s="809"/>
      <c r="FG19" s="809"/>
      <c r="FH19" s="809"/>
      <c r="FI19" s="809"/>
      <c r="FJ19" s="820"/>
      <c r="FK19" s="820"/>
      <c r="FL19" s="820"/>
      <c r="FM19" s="820"/>
      <c r="FN19" s="820"/>
      <c r="FO19" s="820"/>
      <c r="FP19" s="820"/>
      <c r="FQ19" s="820"/>
      <c r="FR19" s="820"/>
      <c r="FS19" s="820"/>
      <c r="FT19" s="820"/>
      <c r="FU19" s="820"/>
      <c r="FV19" s="820"/>
      <c r="FW19" s="820"/>
      <c r="FX19" s="820"/>
      <c r="FY19" s="820"/>
      <c r="FZ19" s="824">
        <v>16</v>
      </c>
      <c r="GA19" s="809"/>
      <c r="GB19" s="809"/>
      <c r="GC19" s="809"/>
      <c r="GD19" s="809"/>
      <c r="GE19" s="820"/>
      <c r="GF19" s="820"/>
      <c r="GG19" s="820"/>
      <c r="GH19" s="820"/>
      <c r="GI19" s="820"/>
      <c r="GJ19" s="820"/>
      <c r="GK19" s="820"/>
      <c r="GL19" s="820"/>
      <c r="GM19" s="820"/>
      <c r="GN19" s="820"/>
      <c r="GO19" s="820"/>
      <c r="GP19" s="820"/>
      <c r="GQ19" s="824">
        <v>16</v>
      </c>
      <c r="GR19" s="809"/>
      <c r="GS19" s="809"/>
      <c r="GT19" s="809"/>
      <c r="GU19" s="809"/>
      <c r="GV19" s="820"/>
      <c r="GW19" s="820"/>
      <c r="GX19" s="820"/>
      <c r="GY19" s="820"/>
      <c r="GZ19" s="820"/>
      <c r="HA19" s="820"/>
      <c r="HB19" s="820"/>
      <c r="HC19" s="820"/>
      <c r="HD19" s="820"/>
      <c r="HE19" s="820"/>
      <c r="HF19" s="820"/>
      <c r="HG19" s="820"/>
      <c r="HH19" s="824">
        <v>16</v>
      </c>
      <c r="HI19" s="809"/>
      <c r="HJ19" s="809"/>
      <c r="HK19" s="809"/>
      <c r="HL19" s="809"/>
      <c r="HM19" s="820"/>
      <c r="HN19" s="820"/>
      <c r="HO19" s="820"/>
      <c r="HP19" s="820"/>
      <c r="HQ19" s="820"/>
      <c r="HR19" s="820"/>
      <c r="HS19" s="820"/>
      <c r="HT19" s="820"/>
      <c r="HU19" s="820"/>
      <c r="HV19" s="820"/>
      <c r="HW19" s="820"/>
      <c r="HX19" s="820"/>
      <c r="HY19" s="824">
        <v>16</v>
      </c>
      <c r="HZ19" s="809"/>
      <c r="IA19" s="809"/>
      <c r="IB19" s="809"/>
      <c r="IC19" s="809"/>
      <c r="ID19" s="809"/>
      <c r="IE19" s="809"/>
      <c r="IF19" s="809"/>
      <c r="IG19" s="809"/>
      <c r="IH19" s="809"/>
      <c r="II19" s="809"/>
      <c r="IJ19" s="809"/>
      <c r="IK19" s="809"/>
      <c r="IL19" s="809"/>
      <c r="IM19" s="809"/>
      <c r="IN19" s="809"/>
      <c r="IO19" s="809"/>
      <c r="IP19" s="817">
        <v>16</v>
      </c>
      <c r="IQ19" s="809"/>
      <c r="IR19" s="809"/>
      <c r="IS19" s="809"/>
      <c r="IT19" s="809"/>
      <c r="IU19" s="809"/>
      <c r="IV19" s="809"/>
      <c r="IW19" s="817">
        <v>16</v>
      </c>
      <c r="IX19" s="853"/>
      <c r="IY19" s="853"/>
      <c r="IZ19" s="853"/>
      <c r="JA19" s="853"/>
      <c r="JB19" s="845"/>
      <c r="JC19" s="845"/>
      <c r="JD19" s="845"/>
      <c r="JE19" s="845"/>
      <c r="JF19" s="845"/>
      <c r="JG19" s="845"/>
      <c r="JH19" s="845"/>
      <c r="JI19" s="845"/>
      <c r="JJ19" s="845"/>
      <c r="JK19" s="845"/>
    </row>
    <row r="20" spans="1:271" ht="24.75">
      <c r="A20" s="879"/>
      <c r="B20" s="879"/>
      <c r="C20" s="879"/>
      <c r="D20" s="879"/>
      <c r="E20" s="879"/>
      <c r="F20" s="879"/>
      <c r="G20" s="879"/>
      <c r="H20" s="879"/>
      <c r="I20" s="800"/>
      <c r="J20" s="797"/>
      <c r="K20" s="797"/>
      <c r="L20" s="797"/>
      <c r="M20" s="797"/>
      <c r="N20" s="797"/>
      <c r="O20" s="797"/>
      <c r="P20" s="797"/>
      <c r="Q20" s="797"/>
      <c r="R20" s="797"/>
      <c r="S20" s="839" t="s">
        <v>3722</v>
      </c>
      <c r="T20" s="835"/>
      <c r="U20" s="835"/>
      <c r="V20" s="835"/>
      <c r="W20" s="839" t="s">
        <v>3723</v>
      </c>
      <c r="X20" s="835"/>
      <c r="Y20" s="835"/>
      <c r="Z20" s="835"/>
      <c r="AA20" s="797"/>
      <c r="AB20" s="797"/>
      <c r="AC20" s="797"/>
      <c r="AD20" s="797"/>
      <c r="AE20" s="797"/>
      <c r="AF20" s="797"/>
      <c r="AG20" s="797"/>
      <c r="AH20" s="797"/>
      <c r="AI20" s="797"/>
      <c r="AJ20" s="797"/>
      <c r="AK20" s="851"/>
      <c r="AL20" s="817">
        <v>17</v>
      </c>
      <c r="AM20" s="809"/>
      <c r="AN20" s="809"/>
      <c r="AO20" s="809"/>
      <c r="AP20" s="809"/>
      <c r="AQ20" s="809"/>
      <c r="AR20" s="809"/>
      <c r="AS20" s="809"/>
      <c r="AT20" s="809"/>
      <c r="AU20" s="809"/>
      <c r="AV20" s="809"/>
      <c r="AW20" s="809"/>
      <c r="AX20" s="847"/>
      <c r="AY20" s="851"/>
      <c r="AZ20" s="817">
        <v>17</v>
      </c>
      <c r="BA20" s="809"/>
      <c r="BB20" s="809"/>
      <c r="BC20" s="809"/>
      <c r="BD20" s="809"/>
      <c r="BE20" s="809"/>
      <c r="BF20" s="809"/>
      <c r="BG20" s="809"/>
      <c r="BH20" s="809"/>
      <c r="BI20" s="809"/>
      <c r="BJ20" s="809"/>
      <c r="BK20" s="809"/>
      <c r="BL20" s="809"/>
      <c r="BM20" s="809"/>
      <c r="BN20" s="847"/>
      <c r="BO20" s="851"/>
      <c r="BP20" s="817">
        <v>17</v>
      </c>
      <c r="BQ20" s="809"/>
      <c r="BR20" s="809"/>
      <c r="BS20" s="809"/>
      <c r="BT20" s="809"/>
      <c r="BU20" s="809"/>
      <c r="BV20" s="809"/>
      <c r="BW20" s="809"/>
      <c r="BX20" s="809"/>
      <c r="BY20" s="809"/>
      <c r="BZ20" s="809"/>
      <c r="CA20" s="809"/>
      <c r="CB20" s="809"/>
      <c r="CC20" s="809"/>
      <c r="CD20" s="809"/>
      <c r="CE20" s="809"/>
      <c r="CF20" s="809"/>
      <c r="CG20" s="809"/>
      <c r="CH20" s="809"/>
      <c r="CI20" s="809"/>
      <c r="CJ20" s="809"/>
      <c r="CK20" s="809"/>
      <c r="CL20" s="809"/>
      <c r="CM20" s="809"/>
      <c r="CN20" s="809"/>
      <c r="CO20" s="809"/>
      <c r="CP20" s="809"/>
      <c r="CQ20" s="809"/>
      <c r="CR20" s="809"/>
      <c r="CS20" s="817">
        <v>17</v>
      </c>
      <c r="CT20" s="853"/>
      <c r="CU20" s="853"/>
      <c r="CV20" s="853"/>
      <c r="CW20" s="853"/>
      <c r="CX20" s="853"/>
      <c r="CY20" s="853"/>
      <c r="CZ20" s="809"/>
      <c r="DA20" s="817">
        <v>17</v>
      </c>
      <c r="DB20" s="809"/>
      <c r="DC20" s="809"/>
      <c r="DD20" s="809"/>
      <c r="DE20" s="817">
        <v>17</v>
      </c>
      <c r="DF20" s="809"/>
      <c r="DG20" s="809"/>
      <c r="DH20" s="809"/>
      <c r="DI20" s="809"/>
      <c r="DJ20" s="809"/>
      <c r="DK20" s="817">
        <v>17</v>
      </c>
      <c r="DL20" s="809"/>
      <c r="DM20" s="809"/>
      <c r="DN20" s="809"/>
      <c r="DO20" s="809"/>
      <c r="DP20" s="809"/>
      <c r="DQ20" s="809"/>
      <c r="DR20" s="797"/>
      <c r="DS20" s="817">
        <v>17</v>
      </c>
      <c r="DT20" s="809"/>
      <c r="DU20" s="809"/>
      <c r="DV20" s="809"/>
      <c r="DW20" s="809"/>
      <c r="DX20" s="820"/>
      <c r="DY20" s="820"/>
      <c r="DZ20" s="820"/>
      <c r="EA20" s="820"/>
      <c r="EB20" s="820"/>
      <c r="EC20" s="820"/>
      <c r="ED20" s="820"/>
      <c r="EE20" s="820"/>
      <c r="EF20" s="820"/>
      <c r="EG20" s="820"/>
      <c r="EH20" s="820"/>
      <c r="EI20" s="820"/>
      <c r="EJ20" s="824">
        <v>16</v>
      </c>
      <c r="EK20" s="809"/>
      <c r="EL20" s="809"/>
      <c r="EM20" s="809"/>
      <c r="EN20" s="809"/>
      <c r="EO20" s="820"/>
      <c r="EP20" s="820"/>
      <c r="EQ20" s="820"/>
      <c r="ER20" s="820"/>
      <c r="ES20" s="820"/>
      <c r="ET20" s="820"/>
      <c r="EU20" s="820"/>
      <c r="EV20" s="820"/>
      <c r="EW20" s="820"/>
      <c r="EX20" s="820"/>
      <c r="EY20" s="820"/>
      <c r="EZ20" s="820"/>
      <c r="FA20" s="820"/>
      <c r="FB20" s="820"/>
      <c r="FC20" s="820"/>
      <c r="FD20" s="820"/>
      <c r="FE20" s="824">
        <v>17</v>
      </c>
      <c r="FF20" s="809"/>
      <c r="FG20" s="809"/>
      <c r="FH20" s="809"/>
      <c r="FI20" s="809"/>
      <c r="FJ20" s="820"/>
      <c r="FK20" s="820"/>
      <c r="FL20" s="820"/>
      <c r="FM20" s="820"/>
      <c r="FN20" s="820"/>
      <c r="FO20" s="820"/>
      <c r="FP20" s="820"/>
      <c r="FQ20" s="820"/>
      <c r="FR20" s="820"/>
      <c r="FS20" s="820"/>
      <c r="FT20" s="820"/>
      <c r="FU20" s="820"/>
      <c r="FV20" s="820"/>
      <c r="FW20" s="820"/>
      <c r="FX20" s="820"/>
      <c r="FY20" s="820"/>
      <c r="FZ20" s="824">
        <v>17</v>
      </c>
      <c r="GA20" s="809"/>
      <c r="GB20" s="809"/>
      <c r="GC20" s="809"/>
      <c r="GD20" s="809"/>
      <c r="GE20" s="820"/>
      <c r="GF20" s="820"/>
      <c r="GG20" s="820"/>
      <c r="GH20" s="820"/>
      <c r="GI20" s="820"/>
      <c r="GJ20" s="820"/>
      <c r="GK20" s="820"/>
      <c r="GL20" s="820"/>
      <c r="GM20" s="820"/>
      <c r="GN20" s="820"/>
      <c r="GO20" s="820"/>
      <c r="GP20" s="820"/>
      <c r="GQ20" s="824">
        <v>17</v>
      </c>
      <c r="GR20" s="809"/>
      <c r="GS20" s="809"/>
      <c r="GT20" s="809"/>
      <c r="GU20" s="809"/>
      <c r="GV20" s="820"/>
      <c r="GW20" s="820"/>
      <c r="GX20" s="820"/>
      <c r="GY20" s="820"/>
      <c r="GZ20" s="820"/>
      <c r="HA20" s="820"/>
      <c r="HB20" s="820"/>
      <c r="HC20" s="820"/>
      <c r="HD20" s="820"/>
      <c r="HE20" s="820"/>
      <c r="HF20" s="820"/>
      <c r="HG20" s="820"/>
      <c r="HH20" s="824">
        <v>17</v>
      </c>
      <c r="HI20" s="809"/>
      <c r="HJ20" s="809"/>
      <c r="HK20" s="809"/>
      <c r="HL20" s="809"/>
      <c r="HM20" s="820"/>
      <c r="HN20" s="820"/>
      <c r="HO20" s="820"/>
      <c r="HP20" s="820"/>
      <c r="HQ20" s="820"/>
      <c r="HR20" s="820"/>
      <c r="HS20" s="820"/>
      <c r="HT20" s="820"/>
      <c r="HU20" s="820"/>
      <c r="HV20" s="820"/>
      <c r="HW20" s="820"/>
      <c r="HX20" s="820"/>
      <c r="HY20" s="824">
        <v>17</v>
      </c>
      <c r="HZ20" s="809"/>
      <c r="IA20" s="809"/>
      <c r="IB20" s="809"/>
      <c r="IC20" s="809"/>
      <c r="ID20" s="809"/>
      <c r="IE20" s="809"/>
      <c r="IF20" s="809"/>
      <c r="IG20" s="809"/>
      <c r="IH20" s="809"/>
      <c r="II20" s="809"/>
      <c r="IJ20" s="809"/>
      <c r="IK20" s="809"/>
      <c r="IL20" s="809"/>
      <c r="IM20" s="809"/>
      <c r="IN20" s="809"/>
      <c r="IO20" s="809"/>
      <c r="IP20" s="817">
        <v>17</v>
      </c>
      <c r="IQ20" s="809"/>
      <c r="IR20" s="809"/>
      <c r="IS20" s="809"/>
      <c r="IT20" s="809"/>
      <c r="IU20" s="809"/>
      <c r="IV20" s="809"/>
      <c r="IW20" s="817">
        <v>17</v>
      </c>
      <c r="IX20" s="853"/>
      <c r="IY20" s="853"/>
      <c r="IZ20" s="853"/>
      <c r="JA20" s="853"/>
      <c r="JB20" s="845"/>
      <c r="JC20" s="845"/>
      <c r="JD20" s="845"/>
      <c r="JE20" s="845"/>
      <c r="JF20" s="845"/>
      <c r="JG20" s="845"/>
      <c r="JH20" s="845"/>
      <c r="JI20" s="845"/>
      <c r="JJ20" s="845"/>
      <c r="JK20" s="845"/>
    </row>
    <row r="21" spans="1:271" ht="24.75">
      <c r="A21" s="879"/>
      <c r="B21" s="879"/>
      <c r="C21" s="879"/>
      <c r="D21" s="879"/>
      <c r="E21" s="879"/>
      <c r="F21" s="879"/>
      <c r="G21" s="879"/>
      <c r="H21" s="879"/>
      <c r="I21" s="800"/>
      <c r="J21" s="797"/>
      <c r="K21" s="797"/>
      <c r="L21" s="797"/>
      <c r="M21" s="797"/>
      <c r="N21" s="797"/>
      <c r="O21" s="797"/>
      <c r="P21" s="797"/>
      <c r="Q21" s="797"/>
      <c r="R21" s="797"/>
      <c r="S21" s="839" t="s">
        <v>3724</v>
      </c>
      <c r="T21" s="835"/>
      <c r="U21" s="835"/>
      <c r="V21" s="835"/>
      <c r="W21" s="839" t="s">
        <v>3725</v>
      </c>
      <c r="X21" s="835"/>
      <c r="Y21" s="835"/>
      <c r="Z21" s="835"/>
      <c r="AA21" s="797"/>
      <c r="AB21" s="797"/>
      <c r="AC21" s="797"/>
      <c r="AD21" s="797"/>
      <c r="AE21" s="797"/>
      <c r="AF21" s="797"/>
      <c r="AG21" s="797"/>
      <c r="AH21" s="797"/>
      <c r="AI21" s="797"/>
      <c r="AJ21" s="797"/>
      <c r="AK21" s="851"/>
      <c r="AL21" s="817">
        <v>18</v>
      </c>
      <c r="AM21" s="809"/>
      <c r="AN21" s="809"/>
      <c r="AO21" s="809"/>
      <c r="AP21" s="809"/>
      <c r="AQ21" s="809"/>
      <c r="AR21" s="809"/>
      <c r="AS21" s="809"/>
      <c r="AT21" s="809"/>
      <c r="AU21" s="809"/>
      <c r="AV21" s="809"/>
      <c r="AW21" s="809"/>
      <c r="AX21" s="847"/>
      <c r="AY21" s="851"/>
      <c r="AZ21" s="817">
        <v>18</v>
      </c>
      <c r="BA21" s="809"/>
      <c r="BB21" s="809"/>
      <c r="BC21" s="809"/>
      <c r="BD21" s="809"/>
      <c r="BE21" s="809"/>
      <c r="BF21" s="809"/>
      <c r="BG21" s="809"/>
      <c r="BH21" s="809"/>
      <c r="BI21" s="809"/>
      <c r="BJ21" s="809"/>
      <c r="BK21" s="809"/>
      <c r="BL21" s="809"/>
      <c r="BM21" s="809"/>
      <c r="BN21" s="847"/>
      <c r="BO21" s="851"/>
      <c r="BP21" s="817">
        <v>18</v>
      </c>
      <c r="BQ21" s="809"/>
      <c r="BR21" s="809"/>
      <c r="BS21" s="809"/>
      <c r="BT21" s="809"/>
      <c r="BU21" s="809"/>
      <c r="BV21" s="809"/>
      <c r="BW21" s="809"/>
      <c r="BX21" s="809"/>
      <c r="BY21" s="809"/>
      <c r="BZ21" s="809"/>
      <c r="CA21" s="809"/>
      <c r="CB21" s="809"/>
      <c r="CC21" s="809"/>
      <c r="CD21" s="809"/>
      <c r="CE21" s="809"/>
      <c r="CF21" s="809"/>
      <c r="CG21" s="809"/>
      <c r="CH21" s="809"/>
      <c r="CI21" s="809"/>
      <c r="CJ21" s="809"/>
      <c r="CK21" s="809"/>
      <c r="CL21" s="809"/>
      <c r="CM21" s="809"/>
      <c r="CN21" s="809"/>
      <c r="CO21" s="809"/>
      <c r="CP21" s="809"/>
      <c r="CQ21" s="809"/>
      <c r="CR21" s="809"/>
      <c r="CS21" s="817">
        <v>18</v>
      </c>
      <c r="CT21" s="853"/>
      <c r="CU21" s="853"/>
      <c r="CV21" s="853"/>
      <c r="CW21" s="853"/>
      <c r="CX21" s="853"/>
      <c r="CY21" s="853"/>
      <c r="CZ21" s="809"/>
      <c r="DA21" s="817">
        <v>18</v>
      </c>
      <c r="DB21" s="809"/>
      <c r="DC21" s="809"/>
      <c r="DD21" s="809"/>
      <c r="DE21" s="817">
        <v>18</v>
      </c>
      <c r="DF21" s="809"/>
      <c r="DG21" s="809"/>
      <c r="DH21" s="809"/>
      <c r="DI21" s="809"/>
      <c r="DJ21" s="809"/>
      <c r="DK21" s="817">
        <v>18</v>
      </c>
      <c r="DL21" s="809"/>
      <c r="DM21" s="809"/>
      <c r="DN21" s="809"/>
      <c r="DO21" s="809"/>
      <c r="DP21" s="809"/>
      <c r="DQ21" s="809"/>
      <c r="DR21" s="797"/>
      <c r="DS21" s="817">
        <v>18</v>
      </c>
      <c r="DT21" s="809"/>
      <c r="DU21" s="809"/>
      <c r="DV21" s="809"/>
      <c r="DW21" s="809"/>
      <c r="DX21" s="820"/>
      <c r="DY21" s="820"/>
      <c r="DZ21" s="820"/>
      <c r="EA21" s="820"/>
      <c r="EB21" s="820"/>
      <c r="EC21" s="820"/>
      <c r="ED21" s="820"/>
      <c r="EE21" s="820"/>
      <c r="EF21" s="820"/>
      <c r="EG21" s="820"/>
      <c r="EH21" s="820"/>
      <c r="EI21" s="820"/>
      <c r="EJ21" s="824">
        <v>17</v>
      </c>
      <c r="EK21" s="809"/>
      <c r="EL21" s="809"/>
      <c r="EM21" s="809"/>
      <c r="EN21" s="809"/>
      <c r="EO21" s="820"/>
      <c r="EP21" s="820"/>
      <c r="EQ21" s="820"/>
      <c r="ER21" s="820"/>
      <c r="ES21" s="820"/>
      <c r="ET21" s="820"/>
      <c r="EU21" s="820"/>
      <c r="EV21" s="820"/>
      <c r="EW21" s="820"/>
      <c r="EX21" s="820"/>
      <c r="EY21" s="820"/>
      <c r="EZ21" s="820"/>
      <c r="FA21" s="820"/>
      <c r="FB21" s="820"/>
      <c r="FC21" s="820"/>
      <c r="FD21" s="820"/>
      <c r="FE21" s="824">
        <v>18</v>
      </c>
      <c r="FF21" s="809"/>
      <c r="FG21" s="809"/>
      <c r="FH21" s="809"/>
      <c r="FI21" s="809"/>
      <c r="FJ21" s="820"/>
      <c r="FK21" s="820"/>
      <c r="FL21" s="820"/>
      <c r="FM21" s="820"/>
      <c r="FN21" s="820"/>
      <c r="FO21" s="820"/>
      <c r="FP21" s="820"/>
      <c r="FQ21" s="820"/>
      <c r="FR21" s="820"/>
      <c r="FS21" s="820"/>
      <c r="FT21" s="820"/>
      <c r="FU21" s="820"/>
      <c r="FV21" s="820"/>
      <c r="FW21" s="820"/>
      <c r="FX21" s="820"/>
      <c r="FY21" s="820"/>
      <c r="FZ21" s="824">
        <v>18</v>
      </c>
      <c r="GA21" s="809"/>
      <c r="GB21" s="809"/>
      <c r="GC21" s="809"/>
      <c r="GD21" s="809"/>
      <c r="GE21" s="820"/>
      <c r="GF21" s="820"/>
      <c r="GG21" s="820"/>
      <c r="GH21" s="820"/>
      <c r="GI21" s="820"/>
      <c r="GJ21" s="820"/>
      <c r="GK21" s="820"/>
      <c r="GL21" s="820"/>
      <c r="GM21" s="820"/>
      <c r="GN21" s="820"/>
      <c r="GO21" s="820"/>
      <c r="GP21" s="820"/>
      <c r="GQ21" s="824">
        <v>18</v>
      </c>
      <c r="GR21" s="809"/>
      <c r="GS21" s="809"/>
      <c r="GT21" s="809"/>
      <c r="GU21" s="809"/>
      <c r="GV21" s="820"/>
      <c r="GW21" s="820"/>
      <c r="GX21" s="820"/>
      <c r="GY21" s="820"/>
      <c r="GZ21" s="820"/>
      <c r="HA21" s="820"/>
      <c r="HB21" s="820"/>
      <c r="HC21" s="820"/>
      <c r="HD21" s="820"/>
      <c r="HE21" s="820"/>
      <c r="HF21" s="820"/>
      <c r="HG21" s="820"/>
      <c r="HH21" s="824">
        <v>18</v>
      </c>
      <c r="HI21" s="809"/>
      <c r="HJ21" s="809"/>
      <c r="HK21" s="809"/>
      <c r="HL21" s="809"/>
      <c r="HM21" s="820"/>
      <c r="HN21" s="820"/>
      <c r="HO21" s="820"/>
      <c r="HP21" s="820"/>
      <c r="HQ21" s="820"/>
      <c r="HR21" s="820"/>
      <c r="HS21" s="820"/>
      <c r="HT21" s="820"/>
      <c r="HU21" s="820"/>
      <c r="HV21" s="820"/>
      <c r="HW21" s="820"/>
      <c r="HX21" s="820"/>
      <c r="HY21" s="824">
        <v>18</v>
      </c>
      <c r="HZ21" s="809"/>
      <c r="IA21" s="809"/>
      <c r="IB21" s="809"/>
      <c r="IC21" s="809"/>
      <c r="ID21" s="809"/>
      <c r="IE21" s="809"/>
      <c r="IF21" s="809"/>
      <c r="IG21" s="809"/>
      <c r="IH21" s="809"/>
      <c r="II21" s="809"/>
      <c r="IJ21" s="809"/>
      <c r="IK21" s="809"/>
      <c r="IL21" s="809"/>
      <c r="IM21" s="809"/>
      <c r="IN21" s="809"/>
      <c r="IO21" s="809"/>
      <c r="IP21" s="817">
        <v>18</v>
      </c>
      <c r="IQ21" s="809"/>
      <c r="IR21" s="809"/>
      <c r="IS21" s="809"/>
      <c r="IT21" s="809"/>
      <c r="IU21" s="809"/>
      <c r="IV21" s="809"/>
      <c r="IW21" s="817">
        <v>18</v>
      </c>
      <c r="IX21" s="853"/>
      <c r="IY21" s="853"/>
      <c r="IZ21" s="853"/>
      <c r="JA21" s="853"/>
      <c r="JB21" s="845"/>
      <c r="JC21" s="845"/>
      <c r="JD21" s="845"/>
      <c r="JE21" s="845"/>
      <c r="JF21" s="845"/>
      <c r="JG21" s="845"/>
      <c r="JH21" s="845"/>
      <c r="JI21" s="845"/>
      <c r="JJ21" s="845"/>
      <c r="JK21" s="845"/>
    </row>
    <row r="22" spans="1:271" ht="24.75">
      <c r="A22" s="879"/>
      <c r="B22" s="879"/>
      <c r="C22" s="879"/>
      <c r="D22" s="879"/>
      <c r="E22" s="879"/>
      <c r="F22" s="879"/>
      <c r="G22" s="879"/>
      <c r="H22" s="879"/>
      <c r="I22" s="800"/>
      <c r="J22" s="797"/>
      <c r="K22" s="797"/>
      <c r="L22" s="797"/>
      <c r="M22" s="797"/>
      <c r="N22" s="797"/>
      <c r="O22" s="797"/>
      <c r="P22" s="797"/>
      <c r="Q22" s="797"/>
      <c r="R22" s="797"/>
      <c r="S22" s="839" t="s">
        <v>3726</v>
      </c>
      <c r="T22" s="835"/>
      <c r="U22" s="835"/>
      <c r="V22" s="835"/>
      <c r="W22" s="839" t="s">
        <v>3727</v>
      </c>
      <c r="X22" s="835"/>
      <c r="Y22" s="835"/>
      <c r="Z22" s="835"/>
      <c r="AA22" s="797"/>
      <c r="AB22" s="797"/>
      <c r="AC22" s="797"/>
      <c r="AD22" s="797"/>
      <c r="AE22" s="797"/>
      <c r="AF22" s="797"/>
      <c r="AG22" s="797"/>
      <c r="AH22" s="797"/>
      <c r="AI22" s="797"/>
      <c r="AJ22" s="797"/>
      <c r="AK22" s="851"/>
      <c r="AL22" s="817">
        <v>19</v>
      </c>
      <c r="AM22" s="809"/>
      <c r="AN22" s="809"/>
      <c r="AO22" s="809"/>
      <c r="AP22" s="809"/>
      <c r="AQ22" s="809"/>
      <c r="AR22" s="809"/>
      <c r="AS22" s="809"/>
      <c r="AT22" s="809"/>
      <c r="AU22" s="809"/>
      <c r="AV22" s="809"/>
      <c r="AW22" s="809"/>
      <c r="AX22" s="847"/>
      <c r="AY22" s="851"/>
      <c r="AZ22" s="817">
        <v>19</v>
      </c>
      <c r="BA22" s="809"/>
      <c r="BB22" s="809"/>
      <c r="BC22" s="809"/>
      <c r="BD22" s="809"/>
      <c r="BE22" s="809"/>
      <c r="BF22" s="809"/>
      <c r="BG22" s="809"/>
      <c r="BH22" s="809"/>
      <c r="BI22" s="809"/>
      <c r="BJ22" s="809"/>
      <c r="BK22" s="809"/>
      <c r="BL22" s="809"/>
      <c r="BM22" s="809"/>
      <c r="BN22" s="847"/>
      <c r="BO22" s="851"/>
      <c r="BP22" s="817">
        <v>19</v>
      </c>
      <c r="BQ22" s="809"/>
      <c r="BR22" s="809"/>
      <c r="BS22" s="809"/>
      <c r="BT22" s="809"/>
      <c r="BU22" s="809"/>
      <c r="BV22" s="809"/>
      <c r="BW22" s="809"/>
      <c r="BX22" s="809"/>
      <c r="BY22" s="809"/>
      <c r="BZ22" s="809"/>
      <c r="CA22" s="809"/>
      <c r="CB22" s="809"/>
      <c r="CC22" s="809"/>
      <c r="CD22" s="809"/>
      <c r="CE22" s="809"/>
      <c r="CF22" s="809"/>
      <c r="CG22" s="809"/>
      <c r="CH22" s="809"/>
      <c r="CI22" s="809"/>
      <c r="CJ22" s="809"/>
      <c r="CK22" s="809"/>
      <c r="CL22" s="809"/>
      <c r="CM22" s="809"/>
      <c r="CN22" s="809"/>
      <c r="CO22" s="809"/>
      <c r="CP22" s="809"/>
      <c r="CQ22" s="809"/>
      <c r="CR22" s="809"/>
      <c r="CS22" s="817">
        <v>19</v>
      </c>
      <c r="CT22" s="853"/>
      <c r="CU22" s="853"/>
      <c r="CV22" s="853"/>
      <c r="CW22" s="853"/>
      <c r="CX22" s="853"/>
      <c r="CY22" s="853"/>
      <c r="CZ22" s="809"/>
      <c r="DA22" s="817">
        <v>19</v>
      </c>
      <c r="DB22" s="809"/>
      <c r="DC22" s="809"/>
      <c r="DD22" s="809"/>
      <c r="DE22" s="817">
        <v>19</v>
      </c>
      <c r="DF22" s="809"/>
      <c r="DG22" s="809"/>
      <c r="DH22" s="809"/>
      <c r="DI22" s="809"/>
      <c r="DJ22" s="809"/>
      <c r="DK22" s="817">
        <v>19</v>
      </c>
      <c r="DL22" s="809"/>
      <c r="DM22" s="809"/>
      <c r="DN22" s="809"/>
      <c r="DO22" s="809"/>
      <c r="DP22" s="809"/>
      <c r="DQ22" s="809"/>
      <c r="DR22" s="797"/>
      <c r="DS22" s="817">
        <v>19</v>
      </c>
      <c r="DT22" s="809"/>
      <c r="DU22" s="809"/>
      <c r="DV22" s="809"/>
      <c r="DW22" s="809"/>
      <c r="DX22" s="820"/>
      <c r="DY22" s="820"/>
      <c r="DZ22" s="820"/>
      <c r="EA22" s="820"/>
      <c r="EB22" s="820"/>
      <c r="EC22" s="820"/>
      <c r="ED22" s="820"/>
      <c r="EE22" s="820"/>
      <c r="EF22" s="820"/>
      <c r="EG22" s="820"/>
      <c r="EH22" s="820"/>
      <c r="EI22" s="820"/>
      <c r="EJ22" s="824">
        <v>18</v>
      </c>
      <c r="EK22" s="809"/>
      <c r="EL22" s="809"/>
      <c r="EM22" s="809"/>
      <c r="EN22" s="809"/>
      <c r="EO22" s="820"/>
      <c r="EP22" s="820"/>
      <c r="EQ22" s="820"/>
      <c r="ER22" s="820"/>
      <c r="ES22" s="820"/>
      <c r="ET22" s="820"/>
      <c r="EU22" s="820"/>
      <c r="EV22" s="820"/>
      <c r="EW22" s="820"/>
      <c r="EX22" s="820"/>
      <c r="EY22" s="820"/>
      <c r="EZ22" s="820"/>
      <c r="FA22" s="820"/>
      <c r="FB22" s="820"/>
      <c r="FC22" s="820"/>
      <c r="FD22" s="820"/>
      <c r="FE22" s="824">
        <v>19</v>
      </c>
      <c r="FF22" s="809"/>
      <c r="FG22" s="809"/>
      <c r="FH22" s="809"/>
      <c r="FI22" s="809"/>
      <c r="FJ22" s="820"/>
      <c r="FK22" s="820"/>
      <c r="FL22" s="820"/>
      <c r="FM22" s="820"/>
      <c r="FN22" s="820"/>
      <c r="FO22" s="820"/>
      <c r="FP22" s="820"/>
      <c r="FQ22" s="820"/>
      <c r="FR22" s="820"/>
      <c r="FS22" s="820"/>
      <c r="FT22" s="820"/>
      <c r="FU22" s="820"/>
      <c r="FV22" s="820"/>
      <c r="FW22" s="820"/>
      <c r="FX22" s="820"/>
      <c r="FY22" s="820"/>
      <c r="FZ22" s="824">
        <v>19</v>
      </c>
      <c r="GA22" s="809"/>
      <c r="GB22" s="809"/>
      <c r="GC22" s="809"/>
      <c r="GD22" s="809"/>
      <c r="GE22" s="820"/>
      <c r="GF22" s="820"/>
      <c r="GG22" s="820"/>
      <c r="GH22" s="820"/>
      <c r="GI22" s="820"/>
      <c r="GJ22" s="820"/>
      <c r="GK22" s="820"/>
      <c r="GL22" s="820"/>
      <c r="GM22" s="820"/>
      <c r="GN22" s="820"/>
      <c r="GO22" s="820"/>
      <c r="GP22" s="820"/>
      <c r="GQ22" s="824">
        <v>19</v>
      </c>
      <c r="GR22" s="809"/>
      <c r="GS22" s="809"/>
      <c r="GT22" s="809"/>
      <c r="GU22" s="809"/>
      <c r="GV22" s="820"/>
      <c r="GW22" s="820"/>
      <c r="GX22" s="820"/>
      <c r="GY22" s="820"/>
      <c r="GZ22" s="820"/>
      <c r="HA22" s="820"/>
      <c r="HB22" s="820"/>
      <c r="HC22" s="820"/>
      <c r="HD22" s="820"/>
      <c r="HE22" s="820"/>
      <c r="HF22" s="820"/>
      <c r="HG22" s="820"/>
      <c r="HH22" s="824">
        <v>19</v>
      </c>
      <c r="HI22" s="809"/>
      <c r="HJ22" s="809"/>
      <c r="HK22" s="809"/>
      <c r="HL22" s="809"/>
      <c r="HM22" s="820"/>
      <c r="HN22" s="820"/>
      <c r="HO22" s="820"/>
      <c r="HP22" s="820"/>
      <c r="HQ22" s="820"/>
      <c r="HR22" s="820"/>
      <c r="HS22" s="820"/>
      <c r="HT22" s="820"/>
      <c r="HU22" s="820"/>
      <c r="HV22" s="820"/>
      <c r="HW22" s="820"/>
      <c r="HX22" s="820"/>
      <c r="HY22" s="824">
        <v>19</v>
      </c>
      <c r="HZ22" s="809"/>
      <c r="IA22" s="809"/>
      <c r="IB22" s="809"/>
      <c r="IC22" s="809"/>
      <c r="ID22" s="809"/>
      <c r="IE22" s="809"/>
      <c r="IF22" s="809"/>
      <c r="IG22" s="809"/>
      <c r="IH22" s="809"/>
      <c r="II22" s="809"/>
      <c r="IJ22" s="809"/>
      <c r="IK22" s="809"/>
      <c r="IL22" s="809"/>
      <c r="IM22" s="809"/>
      <c r="IN22" s="809"/>
      <c r="IO22" s="809"/>
      <c r="IP22" s="817">
        <v>19</v>
      </c>
      <c r="IQ22" s="809"/>
      <c r="IR22" s="809"/>
      <c r="IS22" s="809"/>
      <c r="IT22" s="809"/>
      <c r="IU22" s="809"/>
      <c r="IV22" s="809"/>
      <c r="IW22" s="817">
        <v>19</v>
      </c>
      <c r="IX22" s="853"/>
      <c r="IY22" s="853"/>
      <c r="IZ22" s="853"/>
      <c r="JA22" s="853"/>
      <c r="JB22" s="845"/>
      <c r="JC22" s="845"/>
      <c r="JD22" s="845"/>
      <c r="JE22" s="845"/>
      <c r="JF22" s="845"/>
      <c r="JG22" s="845"/>
      <c r="JH22" s="845"/>
      <c r="JI22" s="845"/>
      <c r="JJ22" s="845"/>
      <c r="JK22" s="845"/>
    </row>
    <row r="23" spans="1:271" ht="24.75">
      <c r="A23" s="879"/>
      <c r="B23" s="879"/>
      <c r="C23" s="879"/>
      <c r="D23" s="879"/>
      <c r="E23" s="879"/>
      <c r="F23" s="879"/>
      <c r="G23" s="879"/>
      <c r="H23" s="879"/>
      <c r="I23" s="800"/>
      <c r="J23" s="797"/>
      <c r="K23" s="797"/>
      <c r="L23" s="797"/>
      <c r="M23" s="797"/>
      <c r="N23" s="797"/>
      <c r="O23" s="797"/>
      <c r="P23" s="797"/>
      <c r="Q23" s="797"/>
      <c r="R23" s="797"/>
      <c r="S23" s="839" t="s">
        <v>3728</v>
      </c>
      <c r="T23" s="835"/>
      <c r="U23" s="835"/>
      <c r="V23" s="835"/>
      <c r="W23" s="839" t="s">
        <v>3729</v>
      </c>
      <c r="X23" s="835"/>
      <c r="Y23" s="835"/>
      <c r="Z23" s="835"/>
      <c r="AA23" s="797"/>
      <c r="AB23" s="797"/>
      <c r="AC23" s="797"/>
      <c r="AD23" s="797"/>
      <c r="AE23" s="797"/>
      <c r="AF23" s="797"/>
      <c r="AG23" s="797"/>
      <c r="AH23" s="797"/>
      <c r="AI23" s="797"/>
      <c r="AJ23" s="797"/>
      <c r="AK23" s="851"/>
      <c r="AL23" s="817">
        <v>20</v>
      </c>
      <c r="AM23" s="809"/>
      <c r="AN23" s="809"/>
      <c r="AO23" s="809"/>
      <c r="AP23" s="809"/>
      <c r="AQ23" s="809"/>
      <c r="AR23" s="809"/>
      <c r="AS23" s="809"/>
      <c r="AT23" s="809"/>
      <c r="AU23" s="809"/>
      <c r="AV23" s="809"/>
      <c r="AW23" s="809"/>
      <c r="AX23" s="847"/>
      <c r="AY23" s="851"/>
      <c r="AZ23" s="817">
        <v>20</v>
      </c>
      <c r="BA23" s="809"/>
      <c r="BB23" s="809"/>
      <c r="BC23" s="809"/>
      <c r="BD23" s="809"/>
      <c r="BE23" s="809"/>
      <c r="BF23" s="809"/>
      <c r="BG23" s="809"/>
      <c r="BH23" s="809"/>
      <c r="BI23" s="809"/>
      <c r="BJ23" s="809"/>
      <c r="BK23" s="809"/>
      <c r="BL23" s="809"/>
      <c r="BM23" s="809"/>
      <c r="BN23" s="847"/>
      <c r="BO23" s="851"/>
      <c r="BP23" s="817">
        <v>20</v>
      </c>
      <c r="BQ23" s="809"/>
      <c r="BR23" s="809"/>
      <c r="BS23" s="809"/>
      <c r="BT23" s="809"/>
      <c r="BU23" s="809"/>
      <c r="BV23" s="809"/>
      <c r="BW23" s="809"/>
      <c r="BX23" s="809"/>
      <c r="BY23" s="809"/>
      <c r="BZ23" s="809"/>
      <c r="CA23" s="809"/>
      <c r="CB23" s="809"/>
      <c r="CC23" s="809"/>
      <c r="CD23" s="809"/>
      <c r="CE23" s="809"/>
      <c r="CF23" s="809"/>
      <c r="CG23" s="809"/>
      <c r="CH23" s="809"/>
      <c r="CI23" s="809"/>
      <c r="CJ23" s="809"/>
      <c r="CK23" s="809"/>
      <c r="CL23" s="809"/>
      <c r="CM23" s="809"/>
      <c r="CN23" s="809"/>
      <c r="CO23" s="809"/>
      <c r="CP23" s="809"/>
      <c r="CQ23" s="809"/>
      <c r="CR23" s="809"/>
      <c r="CS23" s="817">
        <v>20</v>
      </c>
      <c r="CT23" s="853"/>
      <c r="CU23" s="853"/>
      <c r="CV23" s="853"/>
      <c r="CW23" s="853"/>
      <c r="CX23" s="853"/>
      <c r="CY23" s="853"/>
      <c r="CZ23" s="809"/>
      <c r="DA23" s="817">
        <v>20</v>
      </c>
      <c r="DB23" s="809"/>
      <c r="DC23" s="809"/>
      <c r="DD23" s="809"/>
      <c r="DE23" s="817">
        <v>20</v>
      </c>
      <c r="DF23" s="809"/>
      <c r="DG23" s="809"/>
      <c r="DH23" s="809"/>
      <c r="DI23" s="809"/>
      <c r="DJ23" s="809"/>
      <c r="DK23" s="817">
        <v>20</v>
      </c>
      <c r="DL23" s="809"/>
      <c r="DM23" s="809"/>
      <c r="DN23" s="809"/>
      <c r="DO23" s="809"/>
      <c r="DP23" s="809"/>
      <c r="DQ23" s="809"/>
      <c r="DR23" s="797"/>
      <c r="DS23" s="817">
        <v>20</v>
      </c>
      <c r="DT23" s="809"/>
      <c r="DU23" s="809"/>
      <c r="DV23" s="809"/>
      <c r="DW23" s="809"/>
      <c r="DX23" s="820"/>
      <c r="DY23" s="820"/>
      <c r="DZ23" s="820"/>
      <c r="EA23" s="820"/>
      <c r="EB23" s="820"/>
      <c r="EC23" s="820"/>
      <c r="ED23" s="820"/>
      <c r="EE23" s="820"/>
      <c r="EF23" s="820"/>
      <c r="EG23" s="820"/>
      <c r="EH23" s="820"/>
      <c r="EI23" s="820"/>
      <c r="EJ23" s="824">
        <v>19</v>
      </c>
      <c r="EK23" s="809"/>
      <c r="EL23" s="809"/>
      <c r="EM23" s="809"/>
      <c r="EN23" s="809"/>
      <c r="EO23" s="820"/>
      <c r="EP23" s="820"/>
      <c r="EQ23" s="820"/>
      <c r="ER23" s="820"/>
      <c r="ES23" s="820"/>
      <c r="ET23" s="820"/>
      <c r="EU23" s="820"/>
      <c r="EV23" s="820"/>
      <c r="EW23" s="820"/>
      <c r="EX23" s="820"/>
      <c r="EY23" s="820"/>
      <c r="EZ23" s="820"/>
      <c r="FA23" s="820"/>
      <c r="FB23" s="820"/>
      <c r="FC23" s="820"/>
      <c r="FD23" s="820"/>
      <c r="FE23" s="824">
        <v>20</v>
      </c>
      <c r="FF23" s="809"/>
      <c r="FG23" s="809"/>
      <c r="FH23" s="809"/>
      <c r="FI23" s="809"/>
      <c r="FJ23" s="820"/>
      <c r="FK23" s="820"/>
      <c r="FL23" s="820"/>
      <c r="FM23" s="820"/>
      <c r="FN23" s="820"/>
      <c r="FO23" s="820"/>
      <c r="FP23" s="820"/>
      <c r="FQ23" s="820"/>
      <c r="FR23" s="820"/>
      <c r="FS23" s="820"/>
      <c r="FT23" s="820"/>
      <c r="FU23" s="820"/>
      <c r="FV23" s="820"/>
      <c r="FW23" s="820"/>
      <c r="FX23" s="820"/>
      <c r="FY23" s="820"/>
      <c r="FZ23" s="824">
        <v>20</v>
      </c>
      <c r="GA23" s="809"/>
      <c r="GB23" s="809"/>
      <c r="GC23" s="809"/>
      <c r="GD23" s="809"/>
      <c r="GE23" s="820"/>
      <c r="GF23" s="820"/>
      <c r="GG23" s="820"/>
      <c r="GH23" s="820"/>
      <c r="GI23" s="820"/>
      <c r="GJ23" s="820"/>
      <c r="GK23" s="820"/>
      <c r="GL23" s="820"/>
      <c r="GM23" s="820"/>
      <c r="GN23" s="820"/>
      <c r="GO23" s="820"/>
      <c r="GP23" s="820"/>
      <c r="GQ23" s="824">
        <v>20</v>
      </c>
      <c r="GR23" s="809"/>
      <c r="GS23" s="809"/>
      <c r="GT23" s="809"/>
      <c r="GU23" s="809"/>
      <c r="GV23" s="820"/>
      <c r="GW23" s="820"/>
      <c r="GX23" s="820"/>
      <c r="GY23" s="820"/>
      <c r="GZ23" s="820"/>
      <c r="HA23" s="820"/>
      <c r="HB23" s="820"/>
      <c r="HC23" s="820"/>
      <c r="HD23" s="820"/>
      <c r="HE23" s="820"/>
      <c r="HF23" s="820"/>
      <c r="HG23" s="820"/>
      <c r="HH23" s="824">
        <v>20</v>
      </c>
      <c r="HI23" s="809"/>
      <c r="HJ23" s="809"/>
      <c r="HK23" s="809"/>
      <c r="HL23" s="809"/>
      <c r="HM23" s="820"/>
      <c r="HN23" s="820"/>
      <c r="HO23" s="820"/>
      <c r="HP23" s="820"/>
      <c r="HQ23" s="820"/>
      <c r="HR23" s="820"/>
      <c r="HS23" s="820"/>
      <c r="HT23" s="820"/>
      <c r="HU23" s="820"/>
      <c r="HV23" s="820"/>
      <c r="HW23" s="820"/>
      <c r="HX23" s="820"/>
      <c r="HY23" s="824">
        <v>20</v>
      </c>
      <c r="HZ23" s="809"/>
      <c r="IA23" s="809"/>
      <c r="IB23" s="809"/>
      <c r="IC23" s="809"/>
      <c r="ID23" s="809"/>
      <c r="IE23" s="809"/>
      <c r="IF23" s="809"/>
      <c r="IG23" s="809"/>
      <c r="IH23" s="809"/>
      <c r="II23" s="809"/>
      <c r="IJ23" s="809"/>
      <c r="IK23" s="809"/>
      <c r="IL23" s="809"/>
      <c r="IM23" s="809"/>
      <c r="IN23" s="809"/>
      <c r="IO23" s="809"/>
      <c r="IP23" s="817">
        <v>20</v>
      </c>
      <c r="IQ23" s="809"/>
      <c r="IR23" s="809"/>
      <c r="IS23" s="809"/>
      <c r="IT23" s="809"/>
      <c r="IU23" s="809"/>
      <c r="IV23" s="809"/>
      <c r="IW23" s="817">
        <v>20</v>
      </c>
      <c r="IX23" s="853"/>
      <c r="IY23" s="853"/>
      <c r="IZ23" s="853"/>
      <c r="JA23" s="853"/>
      <c r="JB23" s="845"/>
      <c r="JC23" s="845"/>
      <c r="JD23" s="845"/>
      <c r="JE23" s="845"/>
      <c r="JF23" s="845"/>
      <c r="JG23" s="845"/>
      <c r="JH23" s="845"/>
      <c r="JI23" s="845"/>
      <c r="JJ23" s="845"/>
      <c r="JK23" s="845"/>
    </row>
    <row r="24" spans="1:271" ht="24.75">
      <c r="A24" s="879"/>
      <c r="B24" s="879"/>
      <c r="C24" s="879"/>
      <c r="D24" s="879"/>
      <c r="E24" s="879"/>
      <c r="F24" s="879"/>
      <c r="G24" s="879"/>
      <c r="H24" s="879"/>
      <c r="I24" s="800"/>
      <c r="J24" s="797"/>
      <c r="K24" s="797"/>
      <c r="L24" s="797"/>
      <c r="M24" s="797"/>
      <c r="N24" s="797"/>
      <c r="O24" s="797"/>
      <c r="P24" s="797"/>
      <c r="Q24" s="797"/>
      <c r="R24" s="797"/>
      <c r="S24" s="839" t="s">
        <v>3730</v>
      </c>
      <c r="T24" s="835"/>
      <c r="U24" s="835"/>
      <c r="V24" s="835"/>
      <c r="W24" s="839" t="s">
        <v>3731</v>
      </c>
      <c r="X24" s="835"/>
      <c r="Y24" s="835"/>
      <c r="Z24" s="835"/>
      <c r="AA24" s="797"/>
      <c r="AB24" s="797"/>
      <c r="AC24" s="797"/>
      <c r="AD24" s="797"/>
      <c r="AE24" s="797"/>
      <c r="AF24" s="797"/>
      <c r="AG24" s="797"/>
      <c r="AH24" s="797"/>
      <c r="AI24" s="797"/>
      <c r="AJ24" s="797"/>
      <c r="AK24" s="851"/>
      <c r="AL24" s="817">
        <v>21</v>
      </c>
      <c r="AM24" s="809"/>
      <c r="AN24" s="809"/>
      <c r="AO24" s="809"/>
      <c r="AP24" s="809"/>
      <c r="AQ24" s="809"/>
      <c r="AR24" s="809"/>
      <c r="AS24" s="809"/>
      <c r="AT24" s="809"/>
      <c r="AU24" s="809"/>
      <c r="AV24" s="809"/>
      <c r="AW24" s="809"/>
      <c r="AX24" s="847"/>
      <c r="AY24" s="851"/>
      <c r="AZ24" s="817">
        <v>21</v>
      </c>
      <c r="BA24" s="809"/>
      <c r="BB24" s="809"/>
      <c r="BC24" s="809"/>
      <c r="BD24" s="809"/>
      <c r="BE24" s="809"/>
      <c r="BF24" s="809"/>
      <c r="BG24" s="809"/>
      <c r="BH24" s="809"/>
      <c r="BI24" s="809"/>
      <c r="BJ24" s="809"/>
      <c r="BK24" s="809"/>
      <c r="BL24" s="809"/>
      <c r="BM24" s="809"/>
      <c r="BN24" s="847"/>
      <c r="BO24" s="851"/>
      <c r="BP24" s="817">
        <v>21</v>
      </c>
      <c r="BQ24" s="809"/>
      <c r="BR24" s="809"/>
      <c r="BS24" s="809"/>
      <c r="BT24" s="809"/>
      <c r="BU24" s="809"/>
      <c r="BV24" s="809"/>
      <c r="BW24" s="809"/>
      <c r="BX24" s="809"/>
      <c r="BY24" s="809"/>
      <c r="BZ24" s="809"/>
      <c r="CA24" s="809"/>
      <c r="CB24" s="809"/>
      <c r="CC24" s="809"/>
      <c r="CD24" s="809"/>
      <c r="CE24" s="809"/>
      <c r="CF24" s="809"/>
      <c r="CG24" s="809"/>
      <c r="CH24" s="809"/>
      <c r="CI24" s="809"/>
      <c r="CJ24" s="809"/>
      <c r="CK24" s="809"/>
      <c r="CL24" s="809"/>
      <c r="CM24" s="809"/>
      <c r="CN24" s="809"/>
      <c r="CO24" s="809"/>
      <c r="CP24" s="809"/>
      <c r="CQ24" s="809"/>
      <c r="CR24" s="809"/>
      <c r="CS24" s="817">
        <v>21</v>
      </c>
      <c r="CT24" s="853"/>
      <c r="CU24" s="853"/>
      <c r="CV24" s="853"/>
      <c r="CW24" s="853"/>
      <c r="CX24" s="853"/>
      <c r="CY24" s="853"/>
      <c r="CZ24" s="809"/>
      <c r="DA24" s="817">
        <v>21</v>
      </c>
      <c r="DB24" s="809"/>
      <c r="DC24" s="809"/>
      <c r="DD24" s="809"/>
      <c r="DE24" s="817">
        <v>21</v>
      </c>
      <c r="DF24" s="809"/>
      <c r="DG24" s="809"/>
      <c r="DH24" s="809"/>
      <c r="DI24" s="809"/>
      <c r="DJ24" s="809"/>
      <c r="DK24" s="817">
        <v>21</v>
      </c>
      <c r="DL24" s="809"/>
      <c r="DM24" s="809"/>
      <c r="DN24" s="809"/>
      <c r="DO24" s="809"/>
      <c r="DP24" s="809"/>
      <c r="DQ24" s="809"/>
      <c r="DR24" s="797"/>
      <c r="DS24" s="817">
        <v>21</v>
      </c>
      <c r="DT24" s="809"/>
      <c r="DU24" s="809"/>
      <c r="DV24" s="809"/>
      <c r="DW24" s="809"/>
      <c r="DX24" s="820"/>
      <c r="DY24" s="820"/>
      <c r="DZ24" s="820"/>
      <c r="EA24" s="820"/>
      <c r="EB24" s="820"/>
      <c r="EC24" s="820"/>
      <c r="ED24" s="820"/>
      <c r="EE24" s="820"/>
      <c r="EF24" s="820"/>
      <c r="EG24" s="820"/>
      <c r="EH24" s="820"/>
      <c r="EI24" s="820"/>
      <c r="EJ24" s="824">
        <v>20</v>
      </c>
      <c r="EK24" s="809"/>
      <c r="EL24" s="809"/>
      <c r="EM24" s="809"/>
      <c r="EN24" s="809"/>
      <c r="EO24" s="820"/>
      <c r="EP24" s="820"/>
      <c r="EQ24" s="820"/>
      <c r="ER24" s="820"/>
      <c r="ES24" s="820"/>
      <c r="ET24" s="820"/>
      <c r="EU24" s="820"/>
      <c r="EV24" s="820"/>
      <c r="EW24" s="820"/>
      <c r="EX24" s="820"/>
      <c r="EY24" s="820"/>
      <c r="EZ24" s="820"/>
      <c r="FA24" s="820"/>
      <c r="FB24" s="820"/>
      <c r="FC24" s="820"/>
      <c r="FD24" s="820"/>
      <c r="FE24" s="824">
        <v>21</v>
      </c>
      <c r="FF24" s="809"/>
      <c r="FG24" s="809"/>
      <c r="FH24" s="809"/>
      <c r="FI24" s="809"/>
      <c r="FJ24" s="820"/>
      <c r="FK24" s="820"/>
      <c r="FL24" s="820"/>
      <c r="FM24" s="820"/>
      <c r="FN24" s="820"/>
      <c r="FO24" s="820"/>
      <c r="FP24" s="820"/>
      <c r="FQ24" s="820"/>
      <c r="FR24" s="820"/>
      <c r="FS24" s="820"/>
      <c r="FT24" s="820"/>
      <c r="FU24" s="820"/>
      <c r="FV24" s="820"/>
      <c r="FW24" s="820"/>
      <c r="FX24" s="820"/>
      <c r="FY24" s="820"/>
      <c r="FZ24" s="824">
        <v>21</v>
      </c>
      <c r="GA24" s="809"/>
      <c r="GB24" s="809"/>
      <c r="GC24" s="809"/>
      <c r="GD24" s="809"/>
      <c r="GE24" s="820"/>
      <c r="GF24" s="820"/>
      <c r="GG24" s="820"/>
      <c r="GH24" s="820"/>
      <c r="GI24" s="820"/>
      <c r="GJ24" s="820"/>
      <c r="GK24" s="820"/>
      <c r="GL24" s="820"/>
      <c r="GM24" s="820"/>
      <c r="GN24" s="820"/>
      <c r="GO24" s="820"/>
      <c r="GP24" s="820"/>
      <c r="GQ24" s="824">
        <v>21</v>
      </c>
      <c r="GR24" s="809"/>
      <c r="GS24" s="809"/>
      <c r="GT24" s="809"/>
      <c r="GU24" s="809"/>
      <c r="GV24" s="820"/>
      <c r="GW24" s="820"/>
      <c r="GX24" s="820"/>
      <c r="GY24" s="820"/>
      <c r="GZ24" s="820"/>
      <c r="HA24" s="820"/>
      <c r="HB24" s="820"/>
      <c r="HC24" s="820"/>
      <c r="HD24" s="820"/>
      <c r="HE24" s="820"/>
      <c r="HF24" s="820"/>
      <c r="HG24" s="820"/>
      <c r="HH24" s="824">
        <v>21</v>
      </c>
      <c r="HI24" s="809"/>
      <c r="HJ24" s="809"/>
      <c r="HK24" s="809"/>
      <c r="HL24" s="809"/>
      <c r="HM24" s="820"/>
      <c r="HN24" s="820"/>
      <c r="HO24" s="820"/>
      <c r="HP24" s="820"/>
      <c r="HQ24" s="820"/>
      <c r="HR24" s="820"/>
      <c r="HS24" s="820"/>
      <c r="HT24" s="820"/>
      <c r="HU24" s="820"/>
      <c r="HV24" s="820"/>
      <c r="HW24" s="820"/>
      <c r="HX24" s="820"/>
      <c r="HY24" s="824">
        <v>21</v>
      </c>
      <c r="HZ24" s="809"/>
      <c r="IA24" s="809"/>
      <c r="IB24" s="809"/>
      <c r="IC24" s="809"/>
      <c r="ID24" s="809"/>
      <c r="IE24" s="809"/>
      <c r="IF24" s="809"/>
      <c r="IG24" s="809"/>
      <c r="IH24" s="809"/>
      <c r="II24" s="809"/>
      <c r="IJ24" s="809"/>
      <c r="IK24" s="809"/>
      <c r="IL24" s="809"/>
      <c r="IM24" s="809"/>
      <c r="IN24" s="809"/>
      <c r="IO24" s="809"/>
      <c r="IP24" s="817">
        <v>21</v>
      </c>
      <c r="IQ24" s="809"/>
      <c r="IR24" s="809"/>
      <c r="IS24" s="809"/>
      <c r="IT24" s="809"/>
      <c r="IU24" s="809"/>
      <c r="IV24" s="809"/>
      <c r="IW24" s="817">
        <v>21</v>
      </c>
      <c r="IX24" s="853"/>
      <c r="IY24" s="853"/>
      <c r="IZ24" s="853"/>
      <c r="JA24" s="853"/>
      <c r="JB24" s="845"/>
      <c r="JC24" s="845"/>
      <c r="JD24" s="845"/>
      <c r="JE24" s="845"/>
      <c r="JF24" s="845"/>
      <c r="JG24" s="845"/>
      <c r="JH24" s="845"/>
      <c r="JI24" s="845"/>
      <c r="JJ24" s="845"/>
      <c r="JK24" s="845"/>
    </row>
    <row r="25" spans="1:271" ht="24.75">
      <c r="A25" s="879"/>
      <c r="B25" s="879"/>
      <c r="C25" s="879"/>
      <c r="D25" s="879"/>
      <c r="E25" s="879"/>
      <c r="F25" s="879"/>
      <c r="G25" s="879"/>
      <c r="H25" s="879"/>
      <c r="I25" s="800"/>
      <c r="J25" s="797"/>
      <c r="K25" s="797"/>
      <c r="L25" s="797"/>
      <c r="M25" s="797"/>
      <c r="N25" s="797"/>
      <c r="O25" s="797"/>
      <c r="P25" s="797"/>
      <c r="Q25" s="797"/>
      <c r="R25" s="797"/>
      <c r="S25" s="839" t="s">
        <v>3732</v>
      </c>
      <c r="T25" s="835"/>
      <c r="U25" s="835"/>
      <c r="V25" s="835"/>
      <c r="W25" s="839" t="s">
        <v>3733</v>
      </c>
      <c r="X25" s="835"/>
      <c r="Y25" s="835"/>
      <c r="Z25" s="835"/>
      <c r="AA25" s="797"/>
      <c r="AB25" s="797"/>
      <c r="AC25" s="797"/>
      <c r="AD25" s="797"/>
      <c r="AE25" s="797"/>
      <c r="AF25" s="797"/>
      <c r="AG25" s="797"/>
      <c r="AH25" s="797"/>
      <c r="AI25" s="797"/>
      <c r="AJ25" s="797"/>
      <c r="AK25" s="851"/>
      <c r="AL25" s="817">
        <v>22</v>
      </c>
      <c r="AM25" s="809"/>
      <c r="AN25" s="809"/>
      <c r="AO25" s="809"/>
      <c r="AP25" s="809"/>
      <c r="AQ25" s="809"/>
      <c r="AR25" s="809"/>
      <c r="AS25" s="809"/>
      <c r="AT25" s="809"/>
      <c r="AU25" s="809"/>
      <c r="AV25" s="809"/>
      <c r="AW25" s="809"/>
      <c r="AX25" s="847"/>
      <c r="AY25" s="851"/>
      <c r="AZ25" s="817">
        <v>22</v>
      </c>
      <c r="BA25" s="809"/>
      <c r="BB25" s="809"/>
      <c r="BC25" s="809"/>
      <c r="BD25" s="809"/>
      <c r="BE25" s="809"/>
      <c r="BF25" s="809"/>
      <c r="BG25" s="809"/>
      <c r="BH25" s="809"/>
      <c r="BI25" s="809"/>
      <c r="BJ25" s="809"/>
      <c r="BK25" s="809"/>
      <c r="BL25" s="809"/>
      <c r="BM25" s="809"/>
      <c r="BN25" s="847"/>
      <c r="BO25" s="851"/>
      <c r="BP25" s="817">
        <v>22</v>
      </c>
      <c r="BQ25" s="809"/>
      <c r="BR25" s="809"/>
      <c r="BS25" s="809"/>
      <c r="BT25" s="809"/>
      <c r="BU25" s="809"/>
      <c r="BV25" s="809"/>
      <c r="BW25" s="809"/>
      <c r="BX25" s="809"/>
      <c r="BY25" s="809"/>
      <c r="BZ25" s="809"/>
      <c r="CA25" s="809"/>
      <c r="CB25" s="809"/>
      <c r="CC25" s="809"/>
      <c r="CD25" s="809"/>
      <c r="CE25" s="809"/>
      <c r="CF25" s="809"/>
      <c r="CG25" s="809"/>
      <c r="CH25" s="809"/>
      <c r="CI25" s="809"/>
      <c r="CJ25" s="809"/>
      <c r="CK25" s="809"/>
      <c r="CL25" s="809"/>
      <c r="CM25" s="809"/>
      <c r="CN25" s="809"/>
      <c r="CO25" s="809"/>
      <c r="CP25" s="809"/>
      <c r="CQ25" s="809"/>
      <c r="CR25" s="809"/>
      <c r="CS25" s="817">
        <v>22</v>
      </c>
      <c r="CT25" s="853"/>
      <c r="CU25" s="853"/>
      <c r="CV25" s="853"/>
      <c r="CW25" s="853"/>
      <c r="CX25" s="853"/>
      <c r="CY25" s="853"/>
      <c r="CZ25" s="809"/>
      <c r="DA25" s="817">
        <v>22</v>
      </c>
      <c r="DB25" s="809"/>
      <c r="DC25" s="809"/>
      <c r="DD25" s="809"/>
      <c r="DE25" s="817">
        <v>22</v>
      </c>
      <c r="DF25" s="809"/>
      <c r="DG25" s="809"/>
      <c r="DH25" s="809"/>
      <c r="DI25" s="809"/>
      <c r="DJ25" s="809"/>
      <c r="DK25" s="817">
        <v>22</v>
      </c>
      <c r="DL25" s="809"/>
      <c r="DM25" s="809"/>
      <c r="DN25" s="809"/>
      <c r="DO25" s="809"/>
      <c r="DP25" s="809"/>
      <c r="DQ25" s="809"/>
      <c r="DR25" s="797"/>
      <c r="DS25" s="817">
        <v>22</v>
      </c>
      <c r="DT25" s="809"/>
      <c r="DU25" s="809"/>
      <c r="DV25" s="809"/>
      <c r="DW25" s="809"/>
      <c r="DX25" s="820"/>
      <c r="DY25" s="820"/>
      <c r="DZ25" s="820"/>
      <c r="EA25" s="820"/>
      <c r="EB25" s="820"/>
      <c r="EC25" s="820"/>
      <c r="ED25" s="820"/>
      <c r="EE25" s="820"/>
      <c r="EF25" s="820"/>
      <c r="EG25" s="820"/>
      <c r="EH25" s="820"/>
      <c r="EI25" s="820"/>
      <c r="EJ25" s="824">
        <v>21</v>
      </c>
      <c r="EK25" s="809"/>
      <c r="EL25" s="809"/>
      <c r="EM25" s="809"/>
      <c r="EN25" s="809"/>
      <c r="EO25" s="820"/>
      <c r="EP25" s="820"/>
      <c r="EQ25" s="820"/>
      <c r="ER25" s="820"/>
      <c r="ES25" s="820"/>
      <c r="ET25" s="820"/>
      <c r="EU25" s="820"/>
      <c r="EV25" s="820"/>
      <c r="EW25" s="820"/>
      <c r="EX25" s="820"/>
      <c r="EY25" s="820"/>
      <c r="EZ25" s="820"/>
      <c r="FA25" s="820"/>
      <c r="FB25" s="820"/>
      <c r="FC25" s="820"/>
      <c r="FD25" s="820"/>
      <c r="FE25" s="824">
        <v>22</v>
      </c>
      <c r="FF25" s="809"/>
      <c r="FG25" s="809"/>
      <c r="FH25" s="809"/>
      <c r="FI25" s="809"/>
      <c r="FJ25" s="820"/>
      <c r="FK25" s="820"/>
      <c r="FL25" s="820"/>
      <c r="FM25" s="820"/>
      <c r="FN25" s="820"/>
      <c r="FO25" s="820"/>
      <c r="FP25" s="820"/>
      <c r="FQ25" s="820"/>
      <c r="FR25" s="820"/>
      <c r="FS25" s="820"/>
      <c r="FT25" s="820"/>
      <c r="FU25" s="820"/>
      <c r="FV25" s="820"/>
      <c r="FW25" s="820"/>
      <c r="FX25" s="820"/>
      <c r="FY25" s="820"/>
      <c r="FZ25" s="824">
        <v>22</v>
      </c>
      <c r="GA25" s="809"/>
      <c r="GB25" s="809"/>
      <c r="GC25" s="809"/>
      <c r="GD25" s="809"/>
      <c r="GE25" s="820"/>
      <c r="GF25" s="820"/>
      <c r="GG25" s="820"/>
      <c r="GH25" s="820"/>
      <c r="GI25" s="820"/>
      <c r="GJ25" s="820"/>
      <c r="GK25" s="820"/>
      <c r="GL25" s="820"/>
      <c r="GM25" s="820"/>
      <c r="GN25" s="820"/>
      <c r="GO25" s="820"/>
      <c r="GP25" s="820"/>
      <c r="GQ25" s="824">
        <v>22</v>
      </c>
      <c r="GR25" s="809"/>
      <c r="GS25" s="809"/>
      <c r="GT25" s="809"/>
      <c r="GU25" s="809"/>
      <c r="GV25" s="820"/>
      <c r="GW25" s="820"/>
      <c r="GX25" s="820"/>
      <c r="GY25" s="820"/>
      <c r="GZ25" s="820"/>
      <c r="HA25" s="820"/>
      <c r="HB25" s="820"/>
      <c r="HC25" s="820"/>
      <c r="HD25" s="820"/>
      <c r="HE25" s="820"/>
      <c r="HF25" s="820"/>
      <c r="HG25" s="820"/>
      <c r="HH25" s="824">
        <v>22</v>
      </c>
      <c r="HI25" s="809"/>
      <c r="HJ25" s="809"/>
      <c r="HK25" s="809"/>
      <c r="HL25" s="809"/>
      <c r="HM25" s="820"/>
      <c r="HN25" s="820"/>
      <c r="HO25" s="820"/>
      <c r="HP25" s="820"/>
      <c r="HQ25" s="820"/>
      <c r="HR25" s="820"/>
      <c r="HS25" s="820"/>
      <c r="HT25" s="820"/>
      <c r="HU25" s="820"/>
      <c r="HV25" s="820"/>
      <c r="HW25" s="820"/>
      <c r="HX25" s="820"/>
      <c r="HY25" s="824">
        <v>22</v>
      </c>
      <c r="HZ25" s="809"/>
      <c r="IA25" s="809"/>
      <c r="IB25" s="809"/>
      <c r="IC25" s="809"/>
      <c r="ID25" s="809"/>
      <c r="IE25" s="809"/>
      <c r="IF25" s="809"/>
      <c r="IG25" s="809"/>
      <c r="IH25" s="809"/>
      <c r="II25" s="809"/>
      <c r="IJ25" s="809"/>
      <c r="IK25" s="809"/>
      <c r="IL25" s="809"/>
      <c r="IM25" s="809"/>
      <c r="IN25" s="809"/>
      <c r="IO25" s="809"/>
      <c r="IP25" s="817">
        <v>22</v>
      </c>
      <c r="IQ25" s="809"/>
      <c r="IR25" s="809"/>
      <c r="IS25" s="809"/>
      <c r="IT25" s="809"/>
      <c r="IU25" s="809"/>
      <c r="IV25" s="809"/>
      <c r="IW25" s="817">
        <v>22</v>
      </c>
      <c r="IX25" s="853"/>
      <c r="IY25" s="853"/>
      <c r="IZ25" s="853"/>
      <c r="JA25" s="853"/>
      <c r="JB25" s="845"/>
      <c r="JC25" s="845"/>
      <c r="JD25" s="845"/>
      <c r="JE25" s="845"/>
      <c r="JF25" s="845"/>
      <c r="JG25" s="845"/>
      <c r="JH25" s="845"/>
      <c r="JI25" s="845"/>
      <c r="JJ25" s="845"/>
      <c r="JK25" s="845"/>
    </row>
    <row r="26" spans="1:271" ht="24.75">
      <c r="A26" s="879"/>
      <c r="B26" s="879"/>
      <c r="C26" s="879"/>
      <c r="D26" s="879"/>
      <c r="E26" s="879"/>
      <c r="F26" s="879"/>
      <c r="G26" s="879"/>
      <c r="H26" s="879"/>
      <c r="I26" s="800"/>
      <c r="J26" s="797"/>
      <c r="K26" s="797"/>
      <c r="L26" s="797"/>
      <c r="M26" s="797"/>
      <c r="N26" s="797"/>
      <c r="O26" s="797"/>
      <c r="P26" s="797"/>
      <c r="Q26" s="797"/>
      <c r="R26" s="797"/>
      <c r="S26" s="839" t="s">
        <v>3734</v>
      </c>
      <c r="T26" s="835"/>
      <c r="U26" s="835"/>
      <c r="V26" s="835"/>
      <c r="W26" s="839" t="s">
        <v>3735</v>
      </c>
      <c r="X26" s="835"/>
      <c r="Y26" s="835"/>
      <c r="Z26" s="835"/>
      <c r="AA26" s="797"/>
      <c r="AB26" s="797"/>
      <c r="AC26" s="797"/>
      <c r="AD26" s="797"/>
      <c r="AE26" s="797"/>
      <c r="AF26" s="797"/>
      <c r="AG26" s="797"/>
      <c r="AH26" s="797"/>
      <c r="AI26" s="797"/>
      <c r="AJ26" s="797"/>
      <c r="AK26" s="851"/>
      <c r="AL26" s="817">
        <v>23</v>
      </c>
      <c r="AM26" s="809"/>
      <c r="AN26" s="809"/>
      <c r="AO26" s="809"/>
      <c r="AP26" s="809"/>
      <c r="AQ26" s="809"/>
      <c r="AR26" s="809"/>
      <c r="AS26" s="809"/>
      <c r="AT26" s="809"/>
      <c r="AU26" s="809"/>
      <c r="AV26" s="809"/>
      <c r="AW26" s="809"/>
      <c r="AX26" s="847"/>
      <c r="AY26" s="851"/>
      <c r="AZ26" s="817">
        <v>23</v>
      </c>
      <c r="BA26" s="809"/>
      <c r="BB26" s="809"/>
      <c r="BC26" s="809"/>
      <c r="BD26" s="809"/>
      <c r="BE26" s="809"/>
      <c r="BF26" s="809"/>
      <c r="BG26" s="809"/>
      <c r="BH26" s="809"/>
      <c r="BI26" s="809"/>
      <c r="BJ26" s="809"/>
      <c r="BK26" s="809"/>
      <c r="BL26" s="809"/>
      <c r="BM26" s="809"/>
      <c r="BN26" s="847"/>
      <c r="BO26" s="851"/>
      <c r="BP26" s="817">
        <v>23</v>
      </c>
      <c r="BQ26" s="809"/>
      <c r="BR26" s="809"/>
      <c r="BS26" s="809"/>
      <c r="BT26" s="809"/>
      <c r="BU26" s="809"/>
      <c r="BV26" s="809"/>
      <c r="BW26" s="809"/>
      <c r="BX26" s="809"/>
      <c r="BY26" s="809"/>
      <c r="BZ26" s="809"/>
      <c r="CA26" s="809"/>
      <c r="CB26" s="809"/>
      <c r="CC26" s="809"/>
      <c r="CD26" s="809"/>
      <c r="CE26" s="809"/>
      <c r="CF26" s="809"/>
      <c r="CG26" s="809"/>
      <c r="CH26" s="809"/>
      <c r="CI26" s="809"/>
      <c r="CJ26" s="809"/>
      <c r="CK26" s="809"/>
      <c r="CL26" s="809"/>
      <c r="CM26" s="809"/>
      <c r="CN26" s="809"/>
      <c r="CO26" s="809"/>
      <c r="CP26" s="809"/>
      <c r="CQ26" s="809"/>
      <c r="CR26" s="809"/>
      <c r="CS26" s="817">
        <v>23</v>
      </c>
      <c r="CT26" s="853"/>
      <c r="CU26" s="853"/>
      <c r="CV26" s="853"/>
      <c r="CW26" s="853"/>
      <c r="CX26" s="853"/>
      <c r="CY26" s="853"/>
      <c r="CZ26" s="809"/>
      <c r="DA26" s="817">
        <v>23</v>
      </c>
      <c r="DB26" s="809"/>
      <c r="DC26" s="809"/>
      <c r="DD26" s="809"/>
      <c r="DE26" s="817">
        <v>23</v>
      </c>
      <c r="DF26" s="809"/>
      <c r="DG26" s="809"/>
      <c r="DH26" s="809"/>
      <c r="DI26" s="809"/>
      <c r="DJ26" s="809"/>
      <c r="DK26" s="817">
        <v>23</v>
      </c>
      <c r="DL26" s="809"/>
      <c r="DM26" s="809"/>
      <c r="DN26" s="809"/>
      <c r="DO26" s="809"/>
      <c r="DP26" s="809"/>
      <c r="DQ26" s="809"/>
      <c r="DR26" s="797"/>
      <c r="DS26" s="817">
        <v>23</v>
      </c>
      <c r="DT26" s="809"/>
      <c r="DU26" s="809"/>
      <c r="DV26" s="809"/>
      <c r="DW26" s="809"/>
      <c r="DX26" s="820"/>
      <c r="DY26" s="820"/>
      <c r="DZ26" s="820"/>
      <c r="EA26" s="820"/>
      <c r="EB26" s="820"/>
      <c r="EC26" s="820"/>
      <c r="ED26" s="820"/>
      <c r="EE26" s="820"/>
      <c r="EF26" s="820"/>
      <c r="EG26" s="820"/>
      <c r="EH26" s="820"/>
      <c r="EI26" s="820"/>
      <c r="EJ26" s="824">
        <v>22</v>
      </c>
      <c r="EK26" s="809"/>
      <c r="EL26" s="809"/>
      <c r="EM26" s="809"/>
      <c r="EN26" s="809"/>
      <c r="EO26" s="820"/>
      <c r="EP26" s="820"/>
      <c r="EQ26" s="820"/>
      <c r="ER26" s="820"/>
      <c r="ES26" s="820"/>
      <c r="ET26" s="820"/>
      <c r="EU26" s="820"/>
      <c r="EV26" s="820"/>
      <c r="EW26" s="820"/>
      <c r="EX26" s="820"/>
      <c r="EY26" s="820"/>
      <c r="EZ26" s="820"/>
      <c r="FA26" s="820"/>
      <c r="FB26" s="820"/>
      <c r="FC26" s="820"/>
      <c r="FD26" s="820"/>
      <c r="FE26" s="824">
        <v>23</v>
      </c>
      <c r="FF26" s="809"/>
      <c r="FG26" s="809"/>
      <c r="FH26" s="809"/>
      <c r="FI26" s="809"/>
      <c r="FJ26" s="820"/>
      <c r="FK26" s="820"/>
      <c r="FL26" s="820"/>
      <c r="FM26" s="820"/>
      <c r="FN26" s="820"/>
      <c r="FO26" s="820"/>
      <c r="FP26" s="820"/>
      <c r="FQ26" s="820"/>
      <c r="FR26" s="820"/>
      <c r="FS26" s="820"/>
      <c r="FT26" s="820"/>
      <c r="FU26" s="820"/>
      <c r="FV26" s="820"/>
      <c r="FW26" s="820"/>
      <c r="FX26" s="820"/>
      <c r="FY26" s="820"/>
      <c r="FZ26" s="824">
        <v>23</v>
      </c>
      <c r="GA26" s="809"/>
      <c r="GB26" s="809"/>
      <c r="GC26" s="809"/>
      <c r="GD26" s="809"/>
      <c r="GE26" s="820"/>
      <c r="GF26" s="820"/>
      <c r="GG26" s="820"/>
      <c r="GH26" s="820"/>
      <c r="GI26" s="820"/>
      <c r="GJ26" s="820"/>
      <c r="GK26" s="820"/>
      <c r="GL26" s="820"/>
      <c r="GM26" s="820"/>
      <c r="GN26" s="820"/>
      <c r="GO26" s="820"/>
      <c r="GP26" s="820"/>
      <c r="GQ26" s="824">
        <v>23</v>
      </c>
      <c r="GR26" s="809"/>
      <c r="GS26" s="809"/>
      <c r="GT26" s="809"/>
      <c r="GU26" s="809"/>
      <c r="GV26" s="820"/>
      <c r="GW26" s="820"/>
      <c r="GX26" s="820"/>
      <c r="GY26" s="820"/>
      <c r="GZ26" s="820"/>
      <c r="HA26" s="820"/>
      <c r="HB26" s="820"/>
      <c r="HC26" s="820"/>
      <c r="HD26" s="820"/>
      <c r="HE26" s="820"/>
      <c r="HF26" s="820"/>
      <c r="HG26" s="820"/>
      <c r="HH26" s="824">
        <v>23</v>
      </c>
      <c r="HI26" s="809"/>
      <c r="HJ26" s="809"/>
      <c r="HK26" s="809"/>
      <c r="HL26" s="809"/>
      <c r="HM26" s="820"/>
      <c r="HN26" s="820"/>
      <c r="HO26" s="820"/>
      <c r="HP26" s="820"/>
      <c r="HQ26" s="820"/>
      <c r="HR26" s="820"/>
      <c r="HS26" s="820"/>
      <c r="HT26" s="820"/>
      <c r="HU26" s="820"/>
      <c r="HV26" s="820"/>
      <c r="HW26" s="820"/>
      <c r="HX26" s="820"/>
      <c r="HY26" s="824">
        <v>23</v>
      </c>
      <c r="HZ26" s="809"/>
      <c r="IA26" s="809"/>
      <c r="IB26" s="809"/>
      <c r="IC26" s="809"/>
      <c r="ID26" s="809"/>
      <c r="IE26" s="809"/>
      <c r="IF26" s="809"/>
      <c r="IG26" s="809"/>
      <c r="IH26" s="809"/>
      <c r="II26" s="809"/>
      <c r="IJ26" s="809"/>
      <c r="IK26" s="809"/>
      <c r="IL26" s="809"/>
      <c r="IM26" s="809"/>
      <c r="IN26" s="809"/>
      <c r="IO26" s="809"/>
      <c r="IP26" s="817">
        <v>23</v>
      </c>
      <c r="IQ26" s="809"/>
      <c r="IR26" s="809"/>
      <c r="IS26" s="809"/>
      <c r="IT26" s="809"/>
      <c r="IU26" s="809"/>
      <c r="IV26" s="809"/>
      <c r="IW26" s="817">
        <v>23</v>
      </c>
      <c r="IX26" s="853"/>
      <c r="IY26" s="853"/>
      <c r="IZ26" s="853"/>
      <c r="JA26" s="853"/>
      <c r="JB26" s="845"/>
      <c r="JC26" s="845"/>
      <c r="JD26" s="845"/>
      <c r="JE26" s="845"/>
      <c r="JF26" s="845"/>
      <c r="JG26" s="845"/>
      <c r="JH26" s="845"/>
      <c r="JI26" s="845"/>
      <c r="JJ26" s="845"/>
      <c r="JK26" s="845"/>
    </row>
    <row r="27" spans="1:271" ht="24.75">
      <c r="A27" s="879"/>
      <c r="B27" s="879"/>
      <c r="C27" s="879"/>
      <c r="D27" s="879"/>
      <c r="E27" s="879"/>
      <c r="F27" s="879"/>
      <c r="G27" s="879"/>
      <c r="H27" s="879"/>
      <c r="I27" s="800"/>
      <c r="J27" s="797"/>
      <c r="K27" s="797"/>
      <c r="L27" s="797"/>
      <c r="M27" s="797"/>
      <c r="N27" s="797"/>
      <c r="O27" s="797"/>
      <c r="P27" s="797"/>
      <c r="Q27" s="797"/>
      <c r="R27" s="797"/>
      <c r="S27" s="839" t="s">
        <v>3736</v>
      </c>
      <c r="T27" s="835"/>
      <c r="U27" s="835"/>
      <c r="V27" s="835"/>
      <c r="W27" s="839" t="s">
        <v>3737</v>
      </c>
      <c r="X27" s="835"/>
      <c r="Y27" s="835"/>
      <c r="Z27" s="835"/>
      <c r="AA27" s="797"/>
      <c r="AB27" s="797"/>
      <c r="AC27" s="797"/>
      <c r="AD27" s="797"/>
      <c r="AE27" s="797"/>
      <c r="AF27" s="797"/>
      <c r="AG27" s="797"/>
      <c r="AH27" s="797"/>
      <c r="AI27" s="797"/>
      <c r="AJ27" s="797"/>
      <c r="AK27" s="851"/>
      <c r="AL27" s="817">
        <v>24</v>
      </c>
      <c r="AM27" s="809"/>
      <c r="AN27" s="809"/>
      <c r="AO27" s="809"/>
      <c r="AP27" s="809"/>
      <c r="AQ27" s="809"/>
      <c r="AR27" s="809"/>
      <c r="AS27" s="809"/>
      <c r="AT27" s="809"/>
      <c r="AU27" s="809"/>
      <c r="AV27" s="809"/>
      <c r="AW27" s="809"/>
      <c r="AX27" s="847"/>
      <c r="AY27" s="851"/>
      <c r="AZ27" s="817">
        <v>24</v>
      </c>
      <c r="BA27" s="809"/>
      <c r="BB27" s="809"/>
      <c r="BC27" s="809"/>
      <c r="BD27" s="809"/>
      <c r="BE27" s="809"/>
      <c r="BF27" s="809"/>
      <c r="BG27" s="809"/>
      <c r="BH27" s="809"/>
      <c r="BI27" s="809"/>
      <c r="BJ27" s="809"/>
      <c r="BK27" s="809"/>
      <c r="BL27" s="809"/>
      <c r="BM27" s="809"/>
      <c r="BN27" s="847"/>
      <c r="BO27" s="851"/>
      <c r="BP27" s="817">
        <v>24</v>
      </c>
      <c r="BQ27" s="809"/>
      <c r="BR27" s="809"/>
      <c r="BS27" s="809"/>
      <c r="BT27" s="809"/>
      <c r="BU27" s="809"/>
      <c r="BV27" s="809"/>
      <c r="BW27" s="809"/>
      <c r="BX27" s="809"/>
      <c r="BY27" s="809"/>
      <c r="BZ27" s="809"/>
      <c r="CA27" s="809"/>
      <c r="CB27" s="809"/>
      <c r="CC27" s="809"/>
      <c r="CD27" s="809"/>
      <c r="CE27" s="809"/>
      <c r="CF27" s="809"/>
      <c r="CG27" s="809"/>
      <c r="CH27" s="809"/>
      <c r="CI27" s="809"/>
      <c r="CJ27" s="809"/>
      <c r="CK27" s="809"/>
      <c r="CL27" s="809"/>
      <c r="CM27" s="809"/>
      <c r="CN27" s="809"/>
      <c r="CO27" s="809"/>
      <c r="CP27" s="809"/>
      <c r="CQ27" s="809"/>
      <c r="CR27" s="809"/>
      <c r="CS27" s="817">
        <v>24</v>
      </c>
      <c r="CT27" s="853"/>
      <c r="CU27" s="853"/>
      <c r="CV27" s="853"/>
      <c r="CW27" s="853"/>
      <c r="CX27" s="853"/>
      <c r="CY27" s="853"/>
      <c r="CZ27" s="809"/>
      <c r="DA27" s="817">
        <v>24</v>
      </c>
      <c r="DB27" s="809"/>
      <c r="DC27" s="809"/>
      <c r="DD27" s="809"/>
      <c r="DE27" s="817">
        <v>24</v>
      </c>
      <c r="DF27" s="809"/>
      <c r="DG27" s="809"/>
      <c r="DH27" s="809"/>
      <c r="DI27" s="809"/>
      <c r="DJ27" s="809"/>
      <c r="DK27" s="817">
        <v>24</v>
      </c>
      <c r="DL27" s="809"/>
      <c r="DM27" s="809"/>
      <c r="DN27" s="809"/>
      <c r="DO27" s="809"/>
      <c r="DP27" s="809"/>
      <c r="DQ27" s="809"/>
      <c r="DR27" s="797"/>
      <c r="DS27" s="817">
        <v>24</v>
      </c>
      <c r="DT27" s="809"/>
      <c r="DU27" s="809"/>
      <c r="DV27" s="809"/>
      <c r="DW27" s="809"/>
      <c r="DX27" s="820"/>
      <c r="DY27" s="820"/>
      <c r="DZ27" s="820"/>
      <c r="EA27" s="820"/>
      <c r="EB27" s="820"/>
      <c r="EC27" s="820"/>
      <c r="ED27" s="820"/>
      <c r="EE27" s="820"/>
      <c r="EF27" s="820"/>
      <c r="EG27" s="820"/>
      <c r="EH27" s="820"/>
      <c r="EI27" s="820"/>
      <c r="EJ27" s="824">
        <v>23</v>
      </c>
      <c r="EK27" s="809"/>
      <c r="EL27" s="809"/>
      <c r="EM27" s="809"/>
      <c r="EN27" s="809"/>
      <c r="EO27" s="820"/>
      <c r="EP27" s="820"/>
      <c r="EQ27" s="820"/>
      <c r="ER27" s="820"/>
      <c r="ES27" s="820"/>
      <c r="ET27" s="820"/>
      <c r="EU27" s="820"/>
      <c r="EV27" s="820"/>
      <c r="EW27" s="820"/>
      <c r="EX27" s="820"/>
      <c r="EY27" s="820"/>
      <c r="EZ27" s="820"/>
      <c r="FA27" s="820"/>
      <c r="FB27" s="820"/>
      <c r="FC27" s="820"/>
      <c r="FD27" s="820"/>
      <c r="FE27" s="824">
        <v>24</v>
      </c>
      <c r="FF27" s="809"/>
      <c r="FG27" s="809"/>
      <c r="FH27" s="809"/>
      <c r="FI27" s="809"/>
      <c r="FJ27" s="820"/>
      <c r="FK27" s="820"/>
      <c r="FL27" s="820"/>
      <c r="FM27" s="820"/>
      <c r="FN27" s="820"/>
      <c r="FO27" s="820"/>
      <c r="FP27" s="820"/>
      <c r="FQ27" s="820"/>
      <c r="FR27" s="820"/>
      <c r="FS27" s="820"/>
      <c r="FT27" s="820"/>
      <c r="FU27" s="820"/>
      <c r="FV27" s="820"/>
      <c r="FW27" s="820"/>
      <c r="FX27" s="820"/>
      <c r="FY27" s="820"/>
      <c r="FZ27" s="824">
        <v>24</v>
      </c>
      <c r="GA27" s="809"/>
      <c r="GB27" s="809"/>
      <c r="GC27" s="809"/>
      <c r="GD27" s="809"/>
      <c r="GE27" s="820"/>
      <c r="GF27" s="820"/>
      <c r="GG27" s="820"/>
      <c r="GH27" s="820"/>
      <c r="GI27" s="820"/>
      <c r="GJ27" s="820"/>
      <c r="GK27" s="820"/>
      <c r="GL27" s="820"/>
      <c r="GM27" s="820"/>
      <c r="GN27" s="820"/>
      <c r="GO27" s="820"/>
      <c r="GP27" s="820"/>
      <c r="GQ27" s="824">
        <v>24</v>
      </c>
      <c r="GR27" s="809"/>
      <c r="GS27" s="809"/>
      <c r="GT27" s="809"/>
      <c r="GU27" s="809"/>
      <c r="GV27" s="820"/>
      <c r="GW27" s="820"/>
      <c r="GX27" s="820"/>
      <c r="GY27" s="820"/>
      <c r="GZ27" s="820"/>
      <c r="HA27" s="820"/>
      <c r="HB27" s="820"/>
      <c r="HC27" s="820"/>
      <c r="HD27" s="820"/>
      <c r="HE27" s="820"/>
      <c r="HF27" s="820"/>
      <c r="HG27" s="820"/>
      <c r="HH27" s="824">
        <v>24</v>
      </c>
      <c r="HI27" s="809"/>
      <c r="HJ27" s="809"/>
      <c r="HK27" s="809"/>
      <c r="HL27" s="809"/>
      <c r="HM27" s="820"/>
      <c r="HN27" s="820"/>
      <c r="HO27" s="820"/>
      <c r="HP27" s="820"/>
      <c r="HQ27" s="820"/>
      <c r="HR27" s="820"/>
      <c r="HS27" s="820"/>
      <c r="HT27" s="820"/>
      <c r="HU27" s="820"/>
      <c r="HV27" s="820"/>
      <c r="HW27" s="820"/>
      <c r="HX27" s="820"/>
      <c r="HY27" s="824">
        <v>24</v>
      </c>
      <c r="HZ27" s="809"/>
      <c r="IA27" s="809"/>
      <c r="IB27" s="809"/>
      <c r="IC27" s="809"/>
      <c r="ID27" s="809"/>
      <c r="IE27" s="809"/>
      <c r="IF27" s="809"/>
      <c r="IG27" s="809"/>
      <c r="IH27" s="809"/>
      <c r="II27" s="809"/>
      <c r="IJ27" s="809"/>
      <c r="IK27" s="809"/>
      <c r="IL27" s="809"/>
      <c r="IM27" s="809"/>
      <c r="IN27" s="809"/>
      <c r="IO27" s="809"/>
      <c r="IP27" s="817">
        <v>24</v>
      </c>
      <c r="IQ27" s="809"/>
      <c r="IR27" s="809"/>
      <c r="IS27" s="809"/>
      <c r="IT27" s="809"/>
      <c r="IU27" s="809"/>
      <c r="IV27" s="809"/>
      <c r="IW27" s="817">
        <v>24</v>
      </c>
      <c r="IX27" s="853"/>
      <c r="IY27" s="853"/>
      <c r="IZ27" s="853"/>
      <c r="JA27" s="853"/>
      <c r="JB27" s="845"/>
      <c r="JC27" s="845"/>
      <c r="JD27" s="845"/>
      <c r="JE27" s="845"/>
      <c r="JF27" s="845"/>
      <c r="JG27" s="845"/>
      <c r="JH27" s="845"/>
      <c r="JI27" s="845"/>
      <c r="JJ27" s="845"/>
      <c r="JK27" s="845"/>
    </row>
    <row r="28" spans="1:271" ht="24.75">
      <c r="A28" s="879"/>
      <c r="B28" s="879"/>
      <c r="C28" s="879"/>
      <c r="D28" s="879"/>
      <c r="E28" s="879"/>
      <c r="F28" s="879"/>
      <c r="G28" s="879"/>
      <c r="H28" s="879"/>
      <c r="I28" s="800"/>
      <c r="J28" s="797"/>
      <c r="K28" s="797"/>
      <c r="L28" s="797"/>
      <c r="M28" s="797"/>
      <c r="N28" s="797"/>
      <c r="O28" s="797"/>
      <c r="P28" s="797"/>
      <c r="Q28" s="797"/>
      <c r="R28" s="797"/>
      <c r="S28" s="839" t="s">
        <v>3738</v>
      </c>
      <c r="T28" s="835"/>
      <c r="U28" s="835"/>
      <c r="V28" s="835"/>
      <c r="W28" s="839" t="s">
        <v>3739</v>
      </c>
      <c r="X28" s="835"/>
      <c r="Y28" s="835"/>
      <c r="Z28" s="835"/>
      <c r="AA28" s="797"/>
      <c r="AB28" s="797"/>
      <c r="AC28" s="797"/>
      <c r="AD28" s="797"/>
      <c r="AE28" s="797"/>
      <c r="AF28" s="797"/>
      <c r="AG28" s="797"/>
      <c r="AH28" s="797"/>
      <c r="AI28" s="797"/>
      <c r="AJ28" s="797"/>
      <c r="AK28" s="851"/>
      <c r="AL28" s="817">
        <v>25</v>
      </c>
      <c r="AM28" s="809"/>
      <c r="AN28" s="809"/>
      <c r="AO28" s="809"/>
      <c r="AP28" s="809"/>
      <c r="AQ28" s="809"/>
      <c r="AR28" s="809"/>
      <c r="AS28" s="809"/>
      <c r="AT28" s="809"/>
      <c r="AU28" s="809"/>
      <c r="AV28" s="809"/>
      <c r="AW28" s="809"/>
      <c r="AX28" s="847"/>
      <c r="AY28" s="851"/>
      <c r="AZ28" s="817">
        <v>25</v>
      </c>
      <c r="BA28" s="809"/>
      <c r="BB28" s="809"/>
      <c r="BC28" s="809"/>
      <c r="BD28" s="809"/>
      <c r="BE28" s="809"/>
      <c r="BF28" s="809"/>
      <c r="BG28" s="809"/>
      <c r="BH28" s="809"/>
      <c r="BI28" s="809"/>
      <c r="BJ28" s="809"/>
      <c r="BK28" s="809"/>
      <c r="BL28" s="809"/>
      <c r="BM28" s="809"/>
      <c r="BN28" s="847"/>
      <c r="BO28" s="851"/>
      <c r="BP28" s="817">
        <v>25</v>
      </c>
      <c r="BQ28" s="809"/>
      <c r="BR28" s="809"/>
      <c r="BS28" s="809"/>
      <c r="BT28" s="809"/>
      <c r="BU28" s="809"/>
      <c r="BV28" s="809"/>
      <c r="BW28" s="809"/>
      <c r="BX28" s="809"/>
      <c r="BY28" s="809"/>
      <c r="BZ28" s="809"/>
      <c r="CA28" s="809"/>
      <c r="CB28" s="809"/>
      <c r="CC28" s="809"/>
      <c r="CD28" s="809"/>
      <c r="CE28" s="809"/>
      <c r="CF28" s="809"/>
      <c r="CG28" s="809"/>
      <c r="CH28" s="809"/>
      <c r="CI28" s="809"/>
      <c r="CJ28" s="809"/>
      <c r="CK28" s="809"/>
      <c r="CL28" s="809"/>
      <c r="CM28" s="809"/>
      <c r="CN28" s="809"/>
      <c r="CO28" s="809"/>
      <c r="CP28" s="809"/>
      <c r="CQ28" s="809"/>
      <c r="CR28" s="809"/>
      <c r="CS28" s="817">
        <v>25</v>
      </c>
      <c r="CT28" s="853"/>
      <c r="CU28" s="853"/>
      <c r="CV28" s="853"/>
      <c r="CW28" s="853"/>
      <c r="CX28" s="853"/>
      <c r="CY28" s="853"/>
      <c r="CZ28" s="809"/>
      <c r="DA28" s="817">
        <v>25</v>
      </c>
      <c r="DB28" s="809"/>
      <c r="DC28" s="809"/>
      <c r="DD28" s="809"/>
      <c r="DE28" s="817">
        <v>25</v>
      </c>
      <c r="DF28" s="809"/>
      <c r="DG28" s="809"/>
      <c r="DH28" s="809"/>
      <c r="DI28" s="809"/>
      <c r="DJ28" s="809"/>
      <c r="DK28" s="817">
        <v>25</v>
      </c>
      <c r="DL28" s="809"/>
      <c r="DM28" s="809"/>
      <c r="DN28" s="809"/>
      <c r="DO28" s="809"/>
      <c r="DP28" s="809"/>
      <c r="DQ28" s="809"/>
      <c r="DR28" s="797"/>
      <c r="DS28" s="817">
        <v>25</v>
      </c>
      <c r="DT28" s="809"/>
      <c r="DU28" s="809"/>
      <c r="DV28" s="809"/>
      <c r="DW28" s="809"/>
      <c r="DX28" s="820"/>
      <c r="DY28" s="820"/>
      <c r="DZ28" s="820"/>
      <c r="EA28" s="820"/>
      <c r="EB28" s="820"/>
      <c r="EC28" s="820"/>
      <c r="ED28" s="820"/>
      <c r="EE28" s="820"/>
      <c r="EF28" s="820"/>
      <c r="EG28" s="820"/>
      <c r="EH28" s="820"/>
      <c r="EI28" s="820"/>
      <c r="EJ28" s="824">
        <v>24</v>
      </c>
      <c r="EK28" s="809"/>
      <c r="EL28" s="809"/>
      <c r="EM28" s="809"/>
      <c r="EN28" s="809"/>
      <c r="EO28" s="820"/>
      <c r="EP28" s="820"/>
      <c r="EQ28" s="820"/>
      <c r="ER28" s="820"/>
      <c r="ES28" s="820"/>
      <c r="ET28" s="820"/>
      <c r="EU28" s="820"/>
      <c r="EV28" s="820"/>
      <c r="EW28" s="820"/>
      <c r="EX28" s="820"/>
      <c r="EY28" s="820"/>
      <c r="EZ28" s="820"/>
      <c r="FA28" s="820"/>
      <c r="FB28" s="820"/>
      <c r="FC28" s="820"/>
      <c r="FD28" s="820"/>
      <c r="FE28" s="824">
        <v>25</v>
      </c>
      <c r="FF28" s="809"/>
      <c r="FG28" s="809"/>
      <c r="FH28" s="809"/>
      <c r="FI28" s="809"/>
      <c r="FJ28" s="820"/>
      <c r="FK28" s="820"/>
      <c r="FL28" s="820"/>
      <c r="FM28" s="820"/>
      <c r="FN28" s="820"/>
      <c r="FO28" s="820"/>
      <c r="FP28" s="820"/>
      <c r="FQ28" s="820"/>
      <c r="FR28" s="820"/>
      <c r="FS28" s="820"/>
      <c r="FT28" s="820"/>
      <c r="FU28" s="820"/>
      <c r="FV28" s="820"/>
      <c r="FW28" s="820"/>
      <c r="FX28" s="820"/>
      <c r="FY28" s="820"/>
      <c r="FZ28" s="824">
        <v>25</v>
      </c>
      <c r="GA28" s="809"/>
      <c r="GB28" s="809"/>
      <c r="GC28" s="809"/>
      <c r="GD28" s="809"/>
      <c r="GE28" s="820"/>
      <c r="GF28" s="820"/>
      <c r="GG28" s="820"/>
      <c r="GH28" s="820"/>
      <c r="GI28" s="820"/>
      <c r="GJ28" s="820"/>
      <c r="GK28" s="820"/>
      <c r="GL28" s="820"/>
      <c r="GM28" s="820"/>
      <c r="GN28" s="820"/>
      <c r="GO28" s="820"/>
      <c r="GP28" s="820"/>
      <c r="GQ28" s="824">
        <v>25</v>
      </c>
      <c r="GR28" s="809"/>
      <c r="GS28" s="809"/>
      <c r="GT28" s="809"/>
      <c r="GU28" s="809"/>
      <c r="GV28" s="820"/>
      <c r="GW28" s="820"/>
      <c r="GX28" s="820"/>
      <c r="GY28" s="820"/>
      <c r="GZ28" s="820"/>
      <c r="HA28" s="820"/>
      <c r="HB28" s="820"/>
      <c r="HC28" s="820"/>
      <c r="HD28" s="820"/>
      <c r="HE28" s="820"/>
      <c r="HF28" s="820"/>
      <c r="HG28" s="820"/>
      <c r="HH28" s="824">
        <v>25</v>
      </c>
      <c r="HI28" s="809"/>
      <c r="HJ28" s="809"/>
      <c r="HK28" s="809"/>
      <c r="HL28" s="809"/>
      <c r="HM28" s="820"/>
      <c r="HN28" s="820"/>
      <c r="HO28" s="820"/>
      <c r="HP28" s="820"/>
      <c r="HQ28" s="820"/>
      <c r="HR28" s="820"/>
      <c r="HS28" s="820"/>
      <c r="HT28" s="820"/>
      <c r="HU28" s="820"/>
      <c r="HV28" s="820"/>
      <c r="HW28" s="820"/>
      <c r="HX28" s="820"/>
      <c r="HY28" s="824">
        <v>25</v>
      </c>
      <c r="HZ28" s="809"/>
      <c r="IA28" s="809"/>
      <c r="IB28" s="809"/>
      <c r="IC28" s="809"/>
      <c r="ID28" s="809"/>
      <c r="IE28" s="809"/>
      <c r="IF28" s="809"/>
      <c r="IG28" s="809"/>
      <c r="IH28" s="809"/>
      <c r="II28" s="809"/>
      <c r="IJ28" s="809"/>
      <c r="IK28" s="809"/>
      <c r="IL28" s="809"/>
      <c r="IM28" s="809"/>
      <c r="IN28" s="809"/>
      <c r="IO28" s="809"/>
      <c r="IP28" s="817">
        <v>25</v>
      </c>
      <c r="IQ28" s="809"/>
      <c r="IR28" s="809"/>
      <c r="IS28" s="809"/>
      <c r="IT28" s="809"/>
      <c r="IU28" s="809"/>
      <c r="IV28" s="809"/>
      <c r="IW28" s="817">
        <v>25</v>
      </c>
      <c r="IX28" s="853"/>
      <c r="IY28" s="853"/>
      <c r="IZ28" s="853"/>
      <c r="JA28" s="853"/>
      <c r="JB28" s="845"/>
      <c r="JC28" s="845"/>
      <c r="JD28" s="845"/>
      <c r="JE28" s="845"/>
      <c r="JF28" s="845"/>
      <c r="JG28" s="845"/>
      <c r="JH28" s="845"/>
      <c r="JI28" s="845"/>
      <c r="JJ28" s="845"/>
      <c r="JK28" s="845"/>
    </row>
    <row r="29" spans="1:271" ht="24.75">
      <c r="A29" s="879"/>
      <c r="B29" s="879"/>
      <c r="C29" s="879"/>
      <c r="D29" s="879"/>
      <c r="E29" s="879"/>
      <c r="F29" s="879"/>
      <c r="G29" s="879"/>
      <c r="H29" s="879"/>
      <c r="I29" s="800"/>
      <c r="J29" s="797"/>
      <c r="K29" s="797"/>
      <c r="L29" s="797"/>
      <c r="M29" s="797"/>
      <c r="N29" s="797"/>
      <c r="O29" s="797"/>
      <c r="P29" s="797"/>
      <c r="Q29" s="797"/>
      <c r="R29" s="797"/>
      <c r="S29" s="839" t="s">
        <v>3740</v>
      </c>
      <c r="T29" s="835"/>
      <c r="U29" s="835"/>
      <c r="V29" s="835"/>
      <c r="W29" s="839" t="s">
        <v>3741</v>
      </c>
      <c r="X29" s="835"/>
      <c r="Y29" s="835"/>
      <c r="Z29" s="835"/>
      <c r="AA29" s="797"/>
      <c r="AB29" s="797"/>
      <c r="AC29" s="797"/>
      <c r="AD29" s="797"/>
      <c r="AE29" s="797"/>
      <c r="AF29" s="797"/>
      <c r="AG29" s="797"/>
      <c r="AH29" s="797"/>
      <c r="AI29" s="797"/>
      <c r="AJ29" s="797"/>
      <c r="AK29" s="851"/>
      <c r="AL29" s="817">
        <v>26</v>
      </c>
      <c r="AM29" s="809"/>
      <c r="AN29" s="809"/>
      <c r="AO29" s="809"/>
      <c r="AP29" s="809"/>
      <c r="AQ29" s="809"/>
      <c r="AR29" s="809"/>
      <c r="AS29" s="809"/>
      <c r="AT29" s="809"/>
      <c r="AU29" s="809"/>
      <c r="AV29" s="809"/>
      <c r="AW29" s="809"/>
      <c r="AX29" s="847"/>
      <c r="AY29" s="851"/>
      <c r="AZ29" s="817">
        <v>26</v>
      </c>
      <c r="BA29" s="809"/>
      <c r="BB29" s="809"/>
      <c r="BC29" s="809"/>
      <c r="BD29" s="809"/>
      <c r="BE29" s="809"/>
      <c r="BF29" s="809"/>
      <c r="BG29" s="809"/>
      <c r="BH29" s="809"/>
      <c r="BI29" s="809"/>
      <c r="BJ29" s="809"/>
      <c r="BK29" s="809"/>
      <c r="BL29" s="809"/>
      <c r="BM29" s="809"/>
      <c r="BN29" s="847"/>
      <c r="BO29" s="851"/>
      <c r="BP29" s="817">
        <v>26</v>
      </c>
      <c r="BQ29" s="809"/>
      <c r="BR29" s="809"/>
      <c r="BS29" s="809"/>
      <c r="BT29" s="809"/>
      <c r="BU29" s="809"/>
      <c r="BV29" s="809"/>
      <c r="BW29" s="809"/>
      <c r="BX29" s="809"/>
      <c r="BY29" s="809"/>
      <c r="BZ29" s="809"/>
      <c r="CA29" s="809"/>
      <c r="CB29" s="809"/>
      <c r="CC29" s="809"/>
      <c r="CD29" s="809"/>
      <c r="CE29" s="809"/>
      <c r="CF29" s="809"/>
      <c r="CG29" s="809"/>
      <c r="CH29" s="809"/>
      <c r="CI29" s="809"/>
      <c r="CJ29" s="809"/>
      <c r="CK29" s="809"/>
      <c r="CL29" s="809"/>
      <c r="CM29" s="809"/>
      <c r="CN29" s="809"/>
      <c r="CO29" s="809"/>
      <c r="CP29" s="809"/>
      <c r="CQ29" s="809"/>
      <c r="CR29" s="809"/>
      <c r="CS29" s="817">
        <v>26</v>
      </c>
      <c r="CT29" s="853"/>
      <c r="CU29" s="853"/>
      <c r="CV29" s="853"/>
      <c r="CW29" s="853"/>
      <c r="CX29" s="853"/>
      <c r="CY29" s="853"/>
      <c r="CZ29" s="809"/>
      <c r="DA29" s="817">
        <v>26</v>
      </c>
      <c r="DB29" s="809"/>
      <c r="DC29" s="809"/>
      <c r="DD29" s="809"/>
      <c r="DE29" s="817">
        <v>26</v>
      </c>
      <c r="DF29" s="809"/>
      <c r="DG29" s="809"/>
      <c r="DH29" s="809"/>
      <c r="DI29" s="809"/>
      <c r="DJ29" s="809"/>
      <c r="DK29" s="817">
        <v>26</v>
      </c>
      <c r="DL29" s="809"/>
      <c r="DM29" s="809"/>
      <c r="DN29" s="809"/>
      <c r="DO29" s="809"/>
      <c r="DP29" s="809"/>
      <c r="DQ29" s="809"/>
      <c r="DR29" s="797"/>
      <c r="DS29" s="817">
        <v>26</v>
      </c>
      <c r="DT29" s="809"/>
      <c r="DU29" s="809"/>
      <c r="DV29" s="809"/>
      <c r="DW29" s="809"/>
      <c r="DX29" s="820"/>
      <c r="DY29" s="820"/>
      <c r="DZ29" s="820"/>
      <c r="EA29" s="820"/>
      <c r="EB29" s="820"/>
      <c r="EC29" s="820"/>
      <c r="ED29" s="820"/>
      <c r="EE29" s="820"/>
      <c r="EF29" s="820"/>
      <c r="EG29" s="820"/>
      <c r="EH29" s="820"/>
      <c r="EI29" s="820"/>
      <c r="EJ29" s="824">
        <v>25</v>
      </c>
      <c r="EK29" s="809"/>
      <c r="EL29" s="809"/>
      <c r="EM29" s="809"/>
      <c r="EN29" s="809"/>
      <c r="EO29" s="820"/>
      <c r="EP29" s="820"/>
      <c r="EQ29" s="820"/>
      <c r="ER29" s="820"/>
      <c r="ES29" s="820"/>
      <c r="ET29" s="820"/>
      <c r="EU29" s="820"/>
      <c r="EV29" s="820"/>
      <c r="EW29" s="820"/>
      <c r="EX29" s="820"/>
      <c r="EY29" s="820"/>
      <c r="EZ29" s="820"/>
      <c r="FA29" s="820"/>
      <c r="FB29" s="820"/>
      <c r="FC29" s="820"/>
      <c r="FD29" s="820"/>
      <c r="FE29" s="824">
        <v>26</v>
      </c>
      <c r="FF29" s="809"/>
      <c r="FG29" s="809"/>
      <c r="FH29" s="809"/>
      <c r="FI29" s="809"/>
      <c r="FJ29" s="820"/>
      <c r="FK29" s="820"/>
      <c r="FL29" s="820"/>
      <c r="FM29" s="820"/>
      <c r="FN29" s="820"/>
      <c r="FO29" s="820"/>
      <c r="FP29" s="820"/>
      <c r="FQ29" s="820"/>
      <c r="FR29" s="820"/>
      <c r="FS29" s="820"/>
      <c r="FT29" s="820"/>
      <c r="FU29" s="820"/>
      <c r="FV29" s="820"/>
      <c r="FW29" s="820"/>
      <c r="FX29" s="820"/>
      <c r="FY29" s="820"/>
      <c r="FZ29" s="824">
        <v>26</v>
      </c>
      <c r="GA29" s="809"/>
      <c r="GB29" s="809"/>
      <c r="GC29" s="809"/>
      <c r="GD29" s="809"/>
      <c r="GE29" s="820"/>
      <c r="GF29" s="820"/>
      <c r="GG29" s="820"/>
      <c r="GH29" s="820"/>
      <c r="GI29" s="820"/>
      <c r="GJ29" s="820"/>
      <c r="GK29" s="820"/>
      <c r="GL29" s="820"/>
      <c r="GM29" s="820"/>
      <c r="GN29" s="820"/>
      <c r="GO29" s="820"/>
      <c r="GP29" s="820"/>
      <c r="GQ29" s="824">
        <v>26</v>
      </c>
      <c r="GR29" s="809"/>
      <c r="GS29" s="809"/>
      <c r="GT29" s="809"/>
      <c r="GU29" s="809"/>
      <c r="GV29" s="820"/>
      <c r="GW29" s="820"/>
      <c r="GX29" s="820"/>
      <c r="GY29" s="820"/>
      <c r="GZ29" s="820"/>
      <c r="HA29" s="820"/>
      <c r="HB29" s="820"/>
      <c r="HC29" s="820"/>
      <c r="HD29" s="820"/>
      <c r="HE29" s="820"/>
      <c r="HF29" s="820"/>
      <c r="HG29" s="820"/>
      <c r="HH29" s="824">
        <v>26</v>
      </c>
      <c r="HI29" s="809"/>
      <c r="HJ29" s="809"/>
      <c r="HK29" s="809"/>
      <c r="HL29" s="809"/>
      <c r="HM29" s="820"/>
      <c r="HN29" s="820"/>
      <c r="HO29" s="820"/>
      <c r="HP29" s="820"/>
      <c r="HQ29" s="820"/>
      <c r="HR29" s="820"/>
      <c r="HS29" s="820"/>
      <c r="HT29" s="820"/>
      <c r="HU29" s="820"/>
      <c r="HV29" s="820"/>
      <c r="HW29" s="820"/>
      <c r="HX29" s="820"/>
      <c r="HY29" s="824">
        <v>26</v>
      </c>
      <c r="HZ29" s="809"/>
      <c r="IA29" s="809"/>
      <c r="IB29" s="809"/>
      <c r="IC29" s="809"/>
      <c r="ID29" s="809"/>
      <c r="IE29" s="809"/>
      <c r="IF29" s="809"/>
      <c r="IG29" s="809"/>
      <c r="IH29" s="809"/>
      <c r="II29" s="809"/>
      <c r="IJ29" s="809"/>
      <c r="IK29" s="809"/>
      <c r="IL29" s="809"/>
      <c r="IM29" s="809"/>
      <c r="IN29" s="809"/>
      <c r="IO29" s="809"/>
      <c r="IP29" s="817">
        <v>26</v>
      </c>
      <c r="IQ29" s="809"/>
      <c r="IR29" s="809"/>
      <c r="IS29" s="809"/>
      <c r="IT29" s="809"/>
      <c r="IU29" s="809"/>
      <c r="IV29" s="809"/>
      <c r="IW29" s="817">
        <v>26</v>
      </c>
      <c r="IX29" s="853"/>
      <c r="IY29" s="853"/>
      <c r="IZ29" s="853"/>
      <c r="JA29" s="853"/>
      <c r="JB29" s="845"/>
      <c r="JC29" s="845"/>
      <c r="JD29" s="845"/>
      <c r="JE29" s="845"/>
      <c r="JF29" s="845"/>
      <c r="JG29" s="845"/>
      <c r="JH29" s="845"/>
      <c r="JI29" s="845"/>
      <c r="JJ29" s="845"/>
      <c r="JK29" s="845"/>
    </row>
    <row r="30" spans="1:271" ht="24.75">
      <c r="A30" s="797"/>
      <c r="B30" s="797"/>
      <c r="C30" s="797"/>
      <c r="D30" s="797"/>
      <c r="E30" s="797"/>
      <c r="F30" s="797"/>
      <c r="G30" s="797"/>
      <c r="H30" s="797"/>
      <c r="I30" s="797"/>
      <c r="J30" s="797"/>
      <c r="K30" s="797"/>
      <c r="L30" s="797"/>
      <c r="M30" s="797"/>
      <c r="N30" s="797"/>
      <c r="O30" s="797"/>
      <c r="P30" s="797"/>
      <c r="Q30" s="797"/>
      <c r="R30" s="797"/>
      <c r="S30" s="839" t="s">
        <v>3740</v>
      </c>
      <c r="T30" s="835"/>
      <c r="U30" s="835"/>
      <c r="V30" s="835"/>
      <c r="W30" s="839" t="s">
        <v>3741</v>
      </c>
      <c r="X30" s="835"/>
      <c r="Y30" s="835"/>
      <c r="Z30" s="835"/>
      <c r="AA30" s="797"/>
      <c r="AB30" s="797"/>
      <c r="AC30" s="797"/>
      <c r="AD30" s="797"/>
      <c r="AE30" s="797"/>
      <c r="AF30" s="797"/>
      <c r="AG30" s="797"/>
      <c r="AH30" s="797"/>
      <c r="AI30" s="797"/>
      <c r="AJ30" s="797"/>
      <c r="AK30" s="851"/>
      <c r="AL30" s="817">
        <v>27</v>
      </c>
      <c r="AM30" s="809"/>
      <c r="AN30" s="809"/>
      <c r="AO30" s="809"/>
      <c r="AP30" s="809"/>
      <c r="AQ30" s="809"/>
      <c r="AR30" s="809"/>
      <c r="AS30" s="809"/>
      <c r="AT30" s="809"/>
      <c r="AU30" s="809"/>
      <c r="AV30" s="809"/>
      <c r="AW30" s="809"/>
      <c r="AX30" s="847"/>
      <c r="AY30" s="851"/>
      <c r="AZ30" s="817">
        <v>27</v>
      </c>
      <c r="BA30" s="809"/>
      <c r="BB30" s="809"/>
      <c r="BC30" s="809"/>
      <c r="BD30" s="809"/>
      <c r="BE30" s="809"/>
      <c r="BF30" s="809"/>
      <c r="BG30" s="809"/>
      <c r="BH30" s="809"/>
      <c r="BI30" s="809"/>
      <c r="BJ30" s="809"/>
      <c r="BK30" s="809"/>
      <c r="BL30" s="809"/>
      <c r="BM30" s="809"/>
      <c r="BN30" s="847"/>
      <c r="BO30" s="851"/>
      <c r="BP30" s="817">
        <v>27</v>
      </c>
      <c r="BQ30" s="809"/>
      <c r="BR30" s="809"/>
      <c r="BS30" s="809"/>
      <c r="BT30" s="809"/>
      <c r="BU30" s="809"/>
      <c r="BV30" s="809"/>
      <c r="BW30" s="809"/>
      <c r="BX30" s="809"/>
      <c r="BY30" s="809"/>
      <c r="BZ30" s="809"/>
      <c r="CA30" s="809"/>
      <c r="CB30" s="809"/>
      <c r="CC30" s="809"/>
      <c r="CD30" s="809"/>
      <c r="CE30" s="809"/>
      <c r="CF30" s="809"/>
      <c r="CG30" s="809"/>
      <c r="CH30" s="809"/>
      <c r="CI30" s="809"/>
      <c r="CJ30" s="809"/>
      <c r="CK30" s="809"/>
      <c r="CL30" s="809"/>
      <c r="CM30" s="809"/>
      <c r="CN30" s="809"/>
      <c r="CO30" s="809"/>
      <c r="CP30" s="809"/>
      <c r="CQ30" s="809"/>
      <c r="CR30" s="809"/>
      <c r="CS30" s="817">
        <v>27</v>
      </c>
      <c r="CT30" s="853"/>
      <c r="CU30" s="853"/>
      <c r="CV30" s="853"/>
      <c r="CW30" s="853"/>
      <c r="CX30" s="853"/>
      <c r="CY30" s="853"/>
      <c r="CZ30" s="809"/>
      <c r="DA30" s="817">
        <v>27</v>
      </c>
      <c r="DB30" s="809"/>
      <c r="DC30" s="809"/>
      <c r="DD30" s="809"/>
      <c r="DE30" s="817">
        <v>27</v>
      </c>
      <c r="DF30" s="809"/>
      <c r="DG30" s="809"/>
      <c r="DH30" s="809"/>
      <c r="DI30" s="809"/>
      <c r="DJ30" s="809"/>
      <c r="DK30" s="817">
        <v>27</v>
      </c>
      <c r="DL30" s="809"/>
      <c r="DM30" s="809"/>
      <c r="DN30" s="809"/>
      <c r="DO30" s="809"/>
      <c r="DP30" s="809"/>
      <c r="DQ30" s="809"/>
      <c r="DR30" s="797"/>
      <c r="DS30" s="817">
        <v>27</v>
      </c>
      <c r="DT30" s="809"/>
      <c r="DU30" s="809"/>
      <c r="DV30" s="809"/>
      <c r="DW30" s="809"/>
      <c r="DX30" s="820"/>
      <c r="DY30" s="820"/>
      <c r="DZ30" s="820"/>
      <c r="EA30" s="820"/>
      <c r="EB30" s="820"/>
      <c r="EC30" s="820"/>
      <c r="ED30" s="820"/>
      <c r="EE30" s="820"/>
      <c r="EF30" s="820"/>
      <c r="EG30" s="820"/>
      <c r="EH30" s="820"/>
      <c r="EI30" s="820"/>
      <c r="EJ30" s="824">
        <v>26</v>
      </c>
      <c r="EK30" s="809"/>
      <c r="EL30" s="809"/>
      <c r="EM30" s="809"/>
      <c r="EN30" s="809"/>
      <c r="EO30" s="820"/>
      <c r="EP30" s="820"/>
      <c r="EQ30" s="820"/>
      <c r="ER30" s="820"/>
      <c r="ES30" s="820"/>
      <c r="ET30" s="820"/>
      <c r="EU30" s="820"/>
      <c r="EV30" s="820"/>
      <c r="EW30" s="820"/>
      <c r="EX30" s="820"/>
      <c r="EY30" s="820"/>
      <c r="EZ30" s="820"/>
      <c r="FA30" s="820"/>
      <c r="FB30" s="820"/>
      <c r="FC30" s="820"/>
      <c r="FD30" s="820"/>
      <c r="FE30" s="824">
        <v>27</v>
      </c>
      <c r="FF30" s="809"/>
      <c r="FG30" s="809"/>
      <c r="FH30" s="809"/>
      <c r="FI30" s="809"/>
      <c r="FJ30" s="820"/>
      <c r="FK30" s="820"/>
      <c r="FL30" s="820"/>
      <c r="FM30" s="820"/>
      <c r="FN30" s="820"/>
      <c r="FO30" s="820"/>
      <c r="FP30" s="820"/>
      <c r="FQ30" s="820"/>
      <c r="FR30" s="820"/>
      <c r="FS30" s="820"/>
      <c r="FT30" s="820"/>
      <c r="FU30" s="820"/>
      <c r="FV30" s="820"/>
      <c r="FW30" s="820"/>
      <c r="FX30" s="820"/>
      <c r="FY30" s="820"/>
      <c r="FZ30" s="824">
        <v>27</v>
      </c>
      <c r="GA30" s="809"/>
      <c r="GB30" s="809"/>
      <c r="GC30" s="809"/>
      <c r="GD30" s="809"/>
      <c r="GE30" s="820"/>
      <c r="GF30" s="820"/>
      <c r="GG30" s="820"/>
      <c r="GH30" s="820"/>
      <c r="GI30" s="820"/>
      <c r="GJ30" s="820"/>
      <c r="GK30" s="820"/>
      <c r="GL30" s="820"/>
      <c r="GM30" s="820"/>
      <c r="GN30" s="820"/>
      <c r="GO30" s="820"/>
      <c r="GP30" s="820"/>
      <c r="GQ30" s="824">
        <v>27</v>
      </c>
      <c r="GR30" s="809"/>
      <c r="GS30" s="809"/>
      <c r="GT30" s="809"/>
      <c r="GU30" s="809"/>
      <c r="GV30" s="820"/>
      <c r="GW30" s="820"/>
      <c r="GX30" s="820"/>
      <c r="GY30" s="820"/>
      <c r="GZ30" s="820"/>
      <c r="HA30" s="820"/>
      <c r="HB30" s="820"/>
      <c r="HC30" s="820"/>
      <c r="HD30" s="820"/>
      <c r="HE30" s="820"/>
      <c r="HF30" s="820"/>
      <c r="HG30" s="820"/>
      <c r="HH30" s="824">
        <v>27</v>
      </c>
      <c r="HI30" s="809"/>
      <c r="HJ30" s="809"/>
      <c r="HK30" s="809"/>
      <c r="HL30" s="809"/>
      <c r="HM30" s="820"/>
      <c r="HN30" s="820"/>
      <c r="HO30" s="820"/>
      <c r="HP30" s="820"/>
      <c r="HQ30" s="820"/>
      <c r="HR30" s="820"/>
      <c r="HS30" s="820"/>
      <c r="HT30" s="820"/>
      <c r="HU30" s="820"/>
      <c r="HV30" s="820"/>
      <c r="HW30" s="820"/>
      <c r="HX30" s="820"/>
      <c r="HY30" s="824">
        <v>27</v>
      </c>
      <c r="HZ30" s="809"/>
      <c r="IA30" s="809"/>
      <c r="IB30" s="809"/>
      <c r="IC30" s="809"/>
      <c r="ID30" s="809"/>
      <c r="IE30" s="809"/>
      <c r="IF30" s="809"/>
      <c r="IG30" s="809"/>
      <c r="IH30" s="809"/>
      <c r="II30" s="809"/>
      <c r="IJ30" s="809"/>
      <c r="IK30" s="809"/>
      <c r="IL30" s="809"/>
      <c r="IM30" s="809"/>
      <c r="IN30" s="809"/>
      <c r="IO30" s="809"/>
      <c r="IP30" s="817">
        <v>27</v>
      </c>
      <c r="IQ30" s="809"/>
      <c r="IR30" s="809"/>
      <c r="IS30" s="809"/>
      <c r="IT30" s="809"/>
      <c r="IU30" s="809"/>
      <c r="IV30" s="809"/>
      <c r="IW30" s="817">
        <v>27</v>
      </c>
      <c r="IX30" s="853"/>
      <c r="IY30" s="853"/>
      <c r="IZ30" s="853"/>
      <c r="JA30" s="853"/>
      <c r="JB30" s="845"/>
      <c r="JC30" s="845"/>
      <c r="JD30" s="845"/>
      <c r="JE30" s="845"/>
      <c r="JF30" s="845"/>
      <c r="JG30" s="845"/>
      <c r="JH30" s="845"/>
      <c r="JI30" s="845"/>
      <c r="JJ30" s="845"/>
      <c r="JK30" s="845"/>
    </row>
    <row r="31" spans="1:271">
      <c r="A31" s="797"/>
      <c r="B31" s="797"/>
      <c r="C31" s="797"/>
      <c r="D31" s="797"/>
      <c r="E31" s="797"/>
      <c r="F31" s="797"/>
      <c r="G31" s="797"/>
      <c r="H31" s="797"/>
      <c r="I31" s="797"/>
      <c r="J31" s="797"/>
      <c r="K31" s="797"/>
      <c r="L31" s="797"/>
      <c r="M31" s="797"/>
      <c r="N31" s="797"/>
      <c r="O31" s="797"/>
      <c r="P31" s="797"/>
      <c r="Q31" s="797"/>
      <c r="R31" s="797"/>
      <c r="S31" s="797"/>
      <c r="T31" s="797"/>
      <c r="U31" s="797"/>
      <c r="V31" s="797"/>
      <c r="W31" s="797"/>
      <c r="X31" s="797"/>
      <c r="Y31" s="797"/>
      <c r="Z31" s="797"/>
      <c r="AA31" s="797"/>
      <c r="AB31" s="797"/>
      <c r="AC31" s="797"/>
      <c r="AD31" s="797"/>
      <c r="AE31" s="797"/>
      <c r="AF31" s="797"/>
      <c r="AG31" s="797"/>
      <c r="AH31" s="797"/>
      <c r="AI31" s="797"/>
      <c r="AJ31" s="797"/>
      <c r="AK31" s="851"/>
      <c r="AL31" s="817">
        <v>28</v>
      </c>
      <c r="AM31" s="809"/>
      <c r="AN31" s="809"/>
      <c r="AO31" s="809"/>
      <c r="AP31" s="809"/>
      <c r="AQ31" s="809"/>
      <c r="AR31" s="809"/>
      <c r="AS31" s="809"/>
      <c r="AT31" s="809"/>
      <c r="AU31" s="809"/>
      <c r="AV31" s="809"/>
      <c r="AW31" s="809"/>
      <c r="AX31" s="847"/>
      <c r="AY31" s="851"/>
      <c r="AZ31" s="817">
        <v>28</v>
      </c>
      <c r="BA31" s="809"/>
      <c r="BB31" s="809"/>
      <c r="BC31" s="809"/>
      <c r="BD31" s="809"/>
      <c r="BE31" s="809"/>
      <c r="BF31" s="809"/>
      <c r="BG31" s="809"/>
      <c r="BH31" s="809"/>
      <c r="BI31" s="809"/>
      <c r="BJ31" s="809"/>
      <c r="BK31" s="809"/>
      <c r="BL31" s="809"/>
      <c r="BM31" s="809"/>
      <c r="BN31" s="847"/>
      <c r="BO31" s="851"/>
      <c r="BP31" s="817">
        <v>28</v>
      </c>
      <c r="BQ31" s="809"/>
      <c r="BR31" s="809"/>
      <c r="BS31" s="809"/>
      <c r="BT31" s="809"/>
      <c r="BU31" s="809"/>
      <c r="BV31" s="809"/>
      <c r="BW31" s="809"/>
      <c r="BX31" s="809"/>
      <c r="BY31" s="809"/>
      <c r="BZ31" s="809"/>
      <c r="CA31" s="809"/>
      <c r="CB31" s="809"/>
      <c r="CC31" s="809"/>
      <c r="CD31" s="809"/>
      <c r="CE31" s="809"/>
      <c r="CF31" s="809"/>
      <c r="CG31" s="809"/>
      <c r="CH31" s="809"/>
      <c r="CI31" s="809"/>
      <c r="CJ31" s="809"/>
      <c r="CK31" s="809"/>
      <c r="CL31" s="809"/>
      <c r="CM31" s="809"/>
      <c r="CN31" s="809"/>
      <c r="CO31" s="809"/>
      <c r="CP31" s="809"/>
      <c r="CQ31" s="809"/>
      <c r="CR31" s="809"/>
      <c r="CS31" s="817">
        <v>28</v>
      </c>
      <c r="CT31" s="853"/>
      <c r="CU31" s="853"/>
      <c r="CV31" s="853"/>
      <c r="CW31" s="853"/>
      <c r="CX31" s="853"/>
      <c r="CY31" s="853"/>
      <c r="CZ31" s="809"/>
      <c r="DA31" s="817">
        <v>28</v>
      </c>
      <c r="DB31" s="809"/>
      <c r="DC31" s="809"/>
      <c r="DD31" s="809"/>
      <c r="DE31" s="817">
        <v>28</v>
      </c>
      <c r="DF31" s="809"/>
      <c r="DG31" s="809"/>
      <c r="DH31" s="809"/>
      <c r="DI31" s="809"/>
      <c r="DJ31" s="809"/>
      <c r="DK31" s="817">
        <v>28</v>
      </c>
      <c r="DL31" s="809"/>
      <c r="DM31" s="809"/>
      <c r="DN31" s="809"/>
      <c r="DO31" s="809"/>
      <c r="DP31" s="809"/>
      <c r="DQ31" s="809"/>
      <c r="DR31" s="797"/>
      <c r="DS31" s="817">
        <v>28</v>
      </c>
      <c r="DT31" s="809"/>
      <c r="DU31" s="809"/>
      <c r="DV31" s="809"/>
      <c r="DW31" s="809"/>
      <c r="DX31" s="820"/>
      <c r="DY31" s="820"/>
      <c r="DZ31" s="820"/>
      <c r="EA31" s="820"/>
      <c r="EB31" s="820"/>
      <c r="EC31" s="820"/>
      <c r="ED31" s="820"/>
      <c r="EE31" s="820"/>
      <c r="EF31" s="820"/>
      <c r="EG31" s="820"/>
      <c r="EH31" s="820"/>
      <c r="EI31" s="820"/>
      <c r="EJ31" s="824">
        <v>27</v>
      </c>
      <c r="EK31" s="809"/>
      <c r="EL31" s="809"/>
      <c r="EM31" s="809"/>
      <c r="EN31" s="809"/>
      <c r="EO31" s="820"/>
      <c r="EP31" s="820"/>
      <c r="EQ31" s="820"/>
      <c r="ER31" s="820"/>
      <c r="ES31" s="820"/>
      <c r="ET31" s="820"/>
      <c r="EU31" s="820"/>
      <c r="EV31" s="820"/>
      <c r="EW31" s="820"/>
      <c r="EX31" s="820"/>
      <c r="EY31" s="820"/>
      <c r="EZ31" s="820"/>
      <c r="FA31" s="820"/>
      <c r="FB31" s="820"/>
      <c r="FC31" s="820"/>
      <c r="FD31" s="820"/>
      <c r="FE31" s="824">
        <v>28</v>
      </c>
      <c r="FF31" s="809"/>
      <c r="FG31" s="809"/>
      <c r="FH31" s="809"/>
      <c r="FI31" s="809"/>
      <c r="FJ31" s="820"/>
      <c r="FK31" s="820"/>
      <c r="FL31" s="820"/>
      <c r="FM31" s="820"/>
      <c r="FN31" s="820"/>
      <c r="FO31" s="820"/>
      <c r="FP31" s="820"/>
      <c r="FQ31" s="820"/>
      <c r="FR31" s="820"/>
      <c r="FS31" s="820"/>
      <c r="FT31" s="820"/>
      <c r="FU31" s="820"/>
      <c r="FV31" s="820"/>
      <c r="FW31" s="820"/>
      <c r="FX31" s="820"/>
      <c r="FY31" s="820"/>
      <c r="FZ31" s="824">
        <v>28</v>
      </c>
      <c r="GA31" s="809"/>
      <c r="GB31" s="809"/>
      <c r="GC31" s="809"/>
      <c r="GD31" s="809"/>
      <c r="GE31" s="820"/>
      <c r="GF31" s="820"/>
      <c r="GG31" s="820"/>
      <c r="GH31" s="820"/>
      <c r="GI31" s="820"/>
      <c r="GJ31" s="820"/>
      <c r="GK31" s="820"/>
      <c r="GL31" s="820"/>
      <c r="GM31" s="820"/>
      <c r="GN31" s="820"/>
      <c r="GO31" s="820"/>
      <c r="GP31" s="820"/>
      <c r="GQ31" s="824">
        <v>28</v>
      </c>
      <c r="GR31" s="809"/>
      <c r="GS31" s="809"/>
      <c r="GT31" s="809"/>
      <c r="GU31" s="809"/>
      <c r="GV31" s="820"/>
      <c r="GW31" s="820"/>
      <c r="GX31" s="820"/>
      <c r="GY31" s="820"/>
      <c r="GZ31" s="820"/>
      <c r="HA31" s="820"/>
      <c r="HB31" s="820"/>
      <c r="HC31" s="820"/>
      <c r="HD31" s="820"/>
      <c r="HE31" s="820"/>
      <c r="HF31" s="820"/>
      <c r="HG31" s="820"/>
      <c r="HH31" s="824">
        <v>28</v>
      </c>
      <c r="HI31" s="809"/>
      <c r="HJ31" s="809"/>
      <c r="HK31" s="809"/>
      <c r="HL31" s="809"/>
      <c r="HM31" s="820"/>
      <c r="HN31" s="820"/>
      <c r="HO31" s="820"/>
      <c r="HP31" s="820"/>
      <c r="HQ31" s="820"/>
      <c r="HR31" s="820"/>
      <c r="HS31" s="820"/>
      <c r="HT31" s="820"/>
      <c r="HU31" s="820"/>
      <c r="HV31" s="820"/>
      <c r="HW31" s="820"/>
      <c r="HX31" s="820"/>
      <c r="HY31" s="824">
        <v>28</v>
      </c>
      <c r="HZ31" s="809"/>
      <c r="IA31" s="809"/>
      <c r="IB31" s="809"/>
      <c r="IC31" s="809"/>
      <c r="ID31" s="809"/>
      <c r="IE31" s="809"/>
      <c r="IF31" s="809"/>
      <c r="IG31" s="809"/>
      <c r="IH31" s="809"/>
      <c r="II31" s="809"/>
      <c r="IJ31" s="809"/>
      <c r="IK31" s="809"/>
      <c r="IL31" s="809"/>
      <c r="IM31" s="809"/>
      <c r="IN31" s="809"/>
      <c r="IO31" s="809"/>
      <c r="IP31" s="817">
        <v>28</v>
      </c>
      <c r="IQ31" s="809"/>
      <c r="IR31" s="809"/>
      <c r="IS31" s="809"/>
      <c r="IT31" s="809"/>
      <c r="IU31" s="809"/>
      <c r="IV31" s="809"/>
      <c r="IW31" s="817">
        <v>28</v>
      </c>
      <c r="IX31" s="853"/>
      <c r="IY31" s="853"/>
      <c r="IZ31" s="853"/>
      <c r="JA31" s="853"/>
      <c r="JB31" s="845"/>
      <c r="JC31" s="845"/>
      <c r="JD31" s="845"/>
      <c r="JE31" s="845"/>
      <c r="JF31" s="845"/>
      <c r="JG31" s="845"/>
      <c r="JH31" s="845"/>
      <c r="JI31" s="845"/>
      <c r="JJ31" s="845"/>
      <c r="JK31" s="845"/>
    </row>
    <row r="32" spans="1:271">
      <c r="A32" s="797"/>
      <c r="B32" s="797"/>
      <c r="C32" s="797"/>
      <c r="D32" s="797"/>
      <c r="E32" s="797"/>
      <c r="F32" s="797"/>
      <c r="G32" s="797"/>
      <c r="H32" s="797"/>
      <c r="I32" s="797"/>
      <c r="J32" s="797"/>
      <c r="K32" s="797"/>
      <c r="L32" s="797"/>
      <c r="M32" s="797"/>
      <c r="N32" s="797"/>
      <c r="O32" s="797"/>
      <c r="P32" s="797"/>
      <c r="Q32" s="797"/>
      <c r="R32" s="797"/>
      <c r="S32" s="797"/>
      <c r="T32" s="797"/>
      <c r="U32" s="797"/>
      <c r="V32" s="797"/>
      <c r="W32" s="797"/>
      <c r="X32" s="797"/>
      <c r="Y32" s="797"/>
      <c r="Z32" s="797"/>
      <c r="AA32" s="797"/>
      <c r="AB32" s="797"/>
      <c r="AC32" s="797"/>
      <c r="AD32" s="797"/>
      <c r="AE32" s="797"/>
      <c r="AF32" s="797"/>
      <c r="AG32" s="797"/>
      <c r="AH32" s="797"/>
      <c r="AI32" s="797"/>
      <c r="AJ32" s="797"/>
      <c r="AK32" s="851"/>
      <c r="AL32" s="817">
        <v>29</v>
      </c>
      <c r="AM32" s="809"/>
      <c r="AN32" s="809"/>
      <c r="AO32" s="809"/>
      <c r="AP32" s="809"/>
      <c r="AQ32" s="809"/>
      <c r="AR32" s="809"/>
      <c r="AS32" s="809"/>
      <c r="AT32" s="809"/>
      <c r="AU32" s="809"/>
      <c r="AV32" s="809"/>
      <c r="AW32" s="809"/>
      <c r="AX32" s="847"/>
      <c r="AY32" s="851"/>
      <c r="AZ32" s="817">
        <v>29</v>
      </c>
      <c r="BA32" s="809"/>
      <c r="BB32" s="809"/>
      <c r="BC32" s="809"/>
      <c r="BD32" s="809"/>
      <c r="BE32" s="809"/>
      <c r="BF32" s="809"/>
      <c r="BG32" s="809"/>
      <c r="BH32" s="809"/>
      <c r="BI32" s="809"/>
      <c r="BJ32" s="809"/>
      <c r="BK32" s="809"/>
      <c r="BL32" s="809"/>
      <c r="BM32" s="809"/>
      <c r="BN32" s="847"/>
      <c r="BO32" s="851"/>
      <c r="BP32" s="817">
        <v>29</v>
      </c>
      <c r="BQ32" s="809"/>
      <c r="BR32" s="809"/>
      <c r="BS32" s="809"/>
      <c r="BT32" s="809"/>
      <c r="BU32" s="809"/>
      <c r="BV32" s="809"/>
      <c r="BW32" s="809"/>
      <c r="BX32" s="809"/>
      <c r="BY32" s="809"/>
      <c r="BZ32" s="809"/>
      <c r="CA32" s="809"/>
      <c r="CB32" s="809"/>
      <c r="CC32" s="809"/>
      <c r="CD32" s="809"/>
      <c r="CE32" s="809"/>
      <c r="CF32" s="809"/>
      <c r="CG32" s="809"/>
      <c r="CH32" s="809"/>
      <c r="CI32" s="809"/>
      <c r="CJ32" s="809"/>
      <c r="CK32" s="809"/>
      <c r="CL32" s="809"/>
      <c r="CM32" s="809"/>
      <c r="CN32" s="809"/>
      <c r="CO32" s="809"/>
      <c r="CP32" s="809"/>
      <c r="CQ32" s="809"/>
      <c r="CR32" s="809"/>
      <c r="CS32" s="817">
        <v>29</v>
      </c>
      <c r="CT32" s="853"/>
      <c r="CU32" s="853"/>
      <c r="CV32" s="853"/>
      <c r="CW32" s="853"/>
      <c r="CX32" s="853"/>
      <c r="CY32" s="853"/>
      <c r="CZ32" s="809"/>
      <c r="DA32" s="817">
        <v>29</v>
      </c>
      <c r="DB32" s="809"/>
      <c r="DC32" s="809"/>
      <c r="DD32" s="809"/>
      <c r="DE32" s="817">
        <v>29</v>
      </c>
      <c r="DF32" s="809"/>
      <c r="DG32" s="809"/>
      <c r="DH32" s="809"/>
      <c r="DI32" s="809"/>
      <c r="DJ32" s="809"/>
      <c r="DK32" s="817">
        <v>29</v>
      </c>
      <c r="DL32" s="809"/>
      <c r="DM32" s="809"/>
      <c r="DN32" s="809"/>
      <c r="DO32" s="809"/>
      <c r="DP32" s="809"/>
      <c r="DQ32" s="809"/>
      <c r="DR32" s="797"/>
      <c r="DS32" s="817">
        <v>29</v>
      </c>
      <c r="DT32" s="809"/>
      <c r="DU32" s="809"/>
      <c r="DV32" s="809"/>
      <c r="DW32" s="809"/>
      <c r="DX32" s="820"/>
      <c r="DY32" s="820"/>
      <c r="DZ32" s="820"/>
      <c r="EA32" s="820"/>
      <c r="EB32" s="820"/>
      <c r="EC32" s="820"/>
      <c r="ED32" s="820"/>
      <c r="EE32" s="820"/>
      <c r="EF32" s="820"/>
      <c r="EG32" s="820"/>
      <c r="EH32" s="820"/>
      <c r="EI32" s="820"/>
      <c r="EJ32" s="824">
        <v>28</v>
      </c>
      <c r="EK32" s="809"/>
      <c r="EL32" s="809"/>
      <c r="EM32" s="809"/>
      <c r="EN32" s="809"/>
      <c r="EO32" s="820"/>
      <c r="EP32" s="820"/>
      <c r="EQ32" s="820"/>
      <c r="ER32" s="820"/>
      <c r="ES32" s="820"/>
      <c r="ET32" s="820"/>
      <c r="EU32" s="820"/>
      <c r="EV32" s="820"/>
      <c r="EW32" s="820"/>
      <c r="EX32" s="820"/>
      <c r="EY32" s="820"/>
      <c r="EZ32" s="820"/>
      <c r="FA32" s="820"/>
      <c r="FB32" s="820"/>
      <c r="FC32" s="820"/>
      <c r="FD32" s="820"/>
      <c r="FE32" s="824">
        <v>29</v>
      </c>
      <c r="FF32" s="809"/>
      <c r="FG32" s="809"/>
      <c r="FH32" s="809"/>
      <c r="FI32" s="809"/>
      <c r="FJ32" s="820"/>
      <c r="FK32" s="820"/>
      <c r="FL32" s="820"/>
      <c r="FM32" s="820"/>
      <c r="FN32" s="820"/>
      <c r="FO32" s="820"/>
      <c r="FP32" s="820"/>
      <c r="FQ32" s="820"/>
      <c r="FR32" s="820"/>
      <c r="FS32" s="820"/>
      <c r="FT32" s="820"/>
      <c r="FU32" s="820"/>
      <c r="FV32" s="820"/>
      <c r="FW32" s="820"/>
      <c r="FX32" s="820"/>
      <c r="FY32" s="820"/>
      <c r="FZ32" s="824">
        <v>29</v>
      </c>
      <c r="GA32" s="809"/>
      <c r="GB32" s="809"/>
      <c r="GC32" s="809"/>
      <c r="GD32" s="809"/>
      <c r="GE32" s="820"/>
      <c r="GF32" s="820"/>
      <c r="GG32" s="820"/>
      <c r="GH32" s="820"/>
      <c r="GI32" s="820"/>
      <c r="GJ32" s="820"/>
      <c r="GK32" s="820"/>
      <c r="GL32" s="820"/>
      <c r="GM32" s="820"/>
      <c r="GN32" s="820"/>
      <c r="GO32" s="820"/>
      <c r="GP32" s="820"/>
      <c r="GQ32" s="824">
        <v>29</v>
      </c>
      <c r="GR32" s="809"/>
      <c r="GS32" s="809"/>
      <c r="GT32" s="809"/>
      <c r="GU32" s="809"/>
      <c r="GV32" s="820"/>
      <c r="GW32" s="820"/>
      <c r="GX32" s="820"/>
      <c r="GY32" s="820"/>
      <c r="GZ32" s="820"/>
      <c r="HA32" s="820"/>
      <c r="HB32" s="820"/>
      <c r="HC32" s="820"/>
      <c r="HD32" s="820"/>
      <c r="HE32" s="820"/>
      <c r="HF32" s="820"/>
      <c r="HG32" s="820"/>
      <c r="HH32" s="824">
        <v>29</v>
      </c>
      <c r="HI32" s="809"/>
      <c r="HJ32" s="809"/>
      <c r="HK32" s="809"/>
      <c r="HL32" s="809"/>
      <c r="HM32" s="820"/>
      <c r="HN32" s="820"/>
      <c r="HO32" s="820"/>
      <c r="HP32" s="820"/>
      <c r="HQ32" s="820"/>
      <c r="HR32" s="820"/>
      <c r="HS32" s="820"/>
      <c r="HT32" s="820"/>
      <c r="HU32" s="820"/>
      <c r="HV32" s="820"/>
      <c r="HW32" s="820"/>
      <c r="HX32" s="820"/>
      <c r="HY32" s="824">
        <v>29</v>
      </c>
      <c r="HZ32" s="809"/>
      <c r="IA32" s="809"/>
      <c r="IB32" s="809"/>
      <c r="IC32" s="809"/>
      <c r="ID32" s="809"/>
      <c r="IE32" s="809"/>
      <c r="IF32" s="809"/>
      <c r="IG32" s="809"/>
      <c r="IH32" s="809"/>
      <c r="II32" s="809"/>
      <c r="IJ32" s="809"/>
      <c r="IK32" s="809"/>
      <c r="IL32" s="809"/>
      <c r="IM32" s="809"/>
      <c r="IN32" s="809"/>
      <c r="IO32" s="809"/>
      <c r="IP32" s="817">
        <v>29</v>
      </c>
      <c r="IQ32" s="809"/>
      <c r="IR32" s="809"/>
      <c r="IS32" s="809"/>
      <c r="IT32" s="809"/>
      <c r="IU32" s="809"/>
      <c r="IV32" s="809"/>
      <c r="IW32" s="817">
        <v>29</v>
      </c>
      <c r="IX32" s="853"/>
      <c r="IY32" s="853"/>
      <c r="IZ32" s="853"/>
      <c r="JA32" s="853"/>
      <c r="JB32" s="845"/>
      <c r="JC32" s="845"/>
      <c r="JD32" s="845"/>
      <c r="JE32" s="845"/>
      <c r="JF32" s="845"/>
      <c r="JG32" s="845"/>
      <c r="JH32" s="845"/>
      <c r="JI32" s="845"/>
      <c r="JJ32" s="845"/>
      <c r="JK32" s="845"/>
    </row>
    <row r="33" spans="2:271">
      <c r="I33" s="787"/>
      <c r="J33" s="242"/>
      <c r="K33" s="242"/>
      <c r="L33" s="242"/>
      <c r="M33" s="242"/>
      <c r="N33" s="788"/>
      <c r="AK33" s="851"/>
      <c r="AL33" s="817">
        <v>30</v>
      </c>
      <c r="AM33" s="809"/>
      <c r="AN33" s="809"/>
      <c r="AO33" s="809"/>
      <c r="AP33" s="809"/>
      <c r="AQ33" s="809"/>
      <c r="AR33" s="809"/>
      <c r="AS33" s="809"/>
      <c r="AT33" s="809"/>
      <c r="AU33" s="809"/>
      <c r="AV33" s="809"/>
      <c r="AW33" s="809"/>
      <c r="AX33" s="847"/>
      <c r="AY33" s="851"/>
      <c r="AZ33" s="817">
        <v>30</v>
      </c>
      <c r="BA33" s="809"/>
      <c r="BB33" s="809"/>
      <c r="BC33" s="809"/>
      <c r="BD33" s="809"/>
      <c r="BE33" s="809"/>
      <c r="BF33" s="809"/>
      <c r="BG33" s="809"/>
      <c r="BH33" s="809"/>
      <c r="BI33" s="809"/>
      <c r="BJ33" s="809"/>
      <c r="BK33" s="809"/>
      <c r="BL33" s="809"/>
      <c r="BM33" s="809"/>
      <c r="BN33" s="847"/>
      <c r="BO33" s="851"/>
      <c r="BP33" s="817">
        <v>30</v>
      </c>
      <c r="BQ33" s="809"/>
      <c r="BR33" s="809"/>
      <c r="BS33" s="809"/>
      <c r="BT33" s="809"/>
      <c r="BU33" s="809"/>
      <c r="BV33" s="809"/>
      <c r="BW33" s="809"/>
      <c r="BX33" s="809"/>
      <c r="BY33" s="809"/>
      <c r="BZ33" s="809"/>
      <c r="CA33" s="809"/>
      <c r="CB33" s="809"/>
      <c r="CC33" s="809"/>
      <c r="CD33" s="809"/>
      <c r="CE33" s="809"/>
      <c r="CF33" s="809"/>
      <c r="CG33" s="809"/>
      <c r="CH33" s="809"/>
      <c r="CI33" s="809"/>
      <c r="CJ33" s="809"/>
      <c r="CK33" s="809"/>
      <c r="CL33" s="809"/>
      <c r="CM33" s="809"/>
      <c r="CN33" s="809"/>
      <c r="CO33" s="809"/>
      <c r="CP33" s="809"/>
      <c r="CQ33" s="809"/>
      <c r="CR33" s="809"/>
      <c r="CS33" s="817">
        <v>30</v>
      </c>
      <c r="CT33" s="853"/>
      <c r="CU33" s="853"/>
      <c r="CV33" s="853"/>
      <c r="CW33" s="853"/>
      <c r="CX33" s="853"/>
      <c r="CY33" s="853"/>
      <c r="CZ33" s="809"/>
      <c r="DA33" s="817">
        <v>30</v>
      </c>
      <c r="DB33" s="809"/>
      <c r="DC33" s="809"/>
      <c r="DD33" s="809"/>
      <c r="DE33" s="817">
        <v>30</v>
      </c>
      <c r="DF33" s="809"/>
      <c r="DG33" s="809"/>
      <c r="DH33" s="809"/>
      <c r="DI33" s="809"/>
      <c r="DJ33" s="809"/>
      <c r="DK33" s="817">
        <v>30</v>
      </c>
      <c r="DL33" s="809"/>
      <c r="DM33" s="809"/>
      <c r="DN33" s="809"/>
      <c r="DO33" s="809"/>
      <c r="DP33" s="809"/>
      <c r="DQ33" s="809"/>
      <c r="DR33" s="797"/>
      <c r="DS33" s="817">
        <v>30</v>
      </c>
      <c r="DT33" s="809"/>
      <c r="DU33" s="809"/>
      <c r="DV33" s="809"/>
      <c r="DW33" s="809"/>
      <c r="DX33" s="820"/>
      <c r="DY33" s="820"/>
      <c r="DZ33" s="820"/>
      <c r="EA33" s="820"/>
      <c r="EB33" s="820"/>
      <c r="EC33" s="820"/>
      <c r="ED33" s="820"/>
      <c r="EE33" s="820"/>
      <c r="EF33" s="820"/>
      <c r="EG33" s="820"/>
      <c r="EH33" s="820"/>
      <c r="EI33" s="820"/>
      <c r="EJ33" s="824">
        <v>29</v>
      </c>
      <c r="EK33" s="809"/>
      <c r="EL33" s="809"/>
      <c r="EM33" s="809"/>
      <c r="EN33" s="809"/>
      <c r="EO33" s="820"/>
      <c r="EP33" s="820"/>
      <c r="EQ33" s="820"/>
      <c r="ER33" s="820"/>
      <c r="ES33" s="820"/>
      <c r="ET33" s="820"/>
      <c r="EU33" s="820"/>
      <c r="EV33" s="820"/>
      <c r="EW33" s="820"/>
      <c r="EX33" s="820"/>
      <c r="EY33" s="820"/>
      <c r="EZ33" s="820"/>
      <c r="FA33" s="820"/>
      <c r="FB33" s="820"/>
      <c r="FC33" s="820"/>
      <c r="FD33" s="820"/>
      <c r="FE33" s="824">
        <v>30</v>
      </c>
      <c r="FF33" s="809"/>
      <c r="FG33" s="809"/>
      <c r="FH33" s="809"/>
      <c r="FI33" s="809"/>
      <c r="FJ33" s="820"/>
      <c r="FK33" s="820"/>
      <c r="FL33" s="820"/>
      <c r="FM33" s="820"/>
      <c r="FN33" s="820"/>
      <c r="FO33" s="820"/>
      <c r="FP33" s="820"/>
      <c r="FQ33" s="820"/>
      <c r="FR33" s="820"/>
      <c r="FS33" s="820"/>
      <c r="FT33" s="820"/>
      <c r="FU33" s="820"/>
      <c r="FV33" s="820"/>
      <c r="FW33" s="820"/>
      <c r="FX33" s="820"/>
      <c r="FY33" s="820"/>
      <c r="FZ33" s="824">
        <v>30</v>
      </c>
      <c r="GA33" s="809"/>
      <c r="GB33" s="809"/>
      <c r="GC33" s="809"/>
      <c r="GD33" s="809"/>
      <c r="GE33" s="820"/>
      <c r="GF33" s="820"/>
      <c r="GG33" s="820"/>
      <c r="GH33" s="820"/>
      <c r="GI33" s="820"/>
      <c r="GJ33" s="820"/>
      <c r="GK33" s="820"/>
      <c r="GL33" s="820"/>
      <c r="GM33" s="820"/>
      <c r="GN33" s="820"/>
      <c r="GO33" s="820"/>
      <c r="GP33" s="820"/>
      <c r="GQ33" s="824">
        <v>30</v>
      </c>
      <c r="GR33" s="809"/>
      <c r="GS33" s="809"/>
      <c r="GT33" s="809"/>
      <c r="GU33" s="809"/>
      <c r="GV33" s="820"/>
      <c r="GW33" s="820"/>
      <c r="GX33" s="820"/>
      <c r="GY33" s="820"/>
      <c r="GZ33" s="820"/>
      <c r="HA33" s="820"/>
      <c r="HB33" s="820"/>
      <c r="HC33" s="820"/>
      <c r="HD33" s="820"/>
      <c r="HE33" s="820"/>
      <c r="HF33" s="820"/>
      <c r="HG33" s="820"/>
      <c r="HH33" s="824">
        <v>30</v>
      </c>
      <c r="HI33" s="809"/>
      <c r="HJ33" s="809"/>
      <c r="HK33" s="809"/>
      <c r="HL33" s="809"/>
      <c r="HM33" s="820"/>
      <c r="HN33" s="820"/>
      <c r="HO33" s="820"/>
      <c r="HP33" s="820"/>
      <c r="HQ33" s="820"/>
      <c r="HR33" s="820"/>
      <c r="HS33" s="820"/>
      <c r="HT33" s="820"/>
      <c r="HU33" s="820"/>
      <c r="HV33" s="820"/>
      <c r="HW33" s="820"/>
      <c r="HX33" s="820"/>
      <c r="HY33" s="824">
        <v>30</v>
      </c>
      <c r="HZ33" s="809"/>
      <c r="IA33" s="809"/>
      <c r="IB33" s="809"/>
      <c r="IC33" s="809"/>
      <c r="ID33" s="809"/>
      <c r="IE33" s="809"/>
      <c r="IF33" s="809"/>
      <c r="IG33" s="809"/>
      <c r="IH33" s="809"/>
      <c r="II33" s="809"/>
      <c r="IJ33" s="809"/>
      <c r="IK33" s="809"/>
      <c r="IL33" s="809"/>
      <c r="IM33" s="809"/>
      <c r="IN33" s="809"/>
      <c r="IO33" s="809"/>
      <c r="IP33" s="817">
        <v>30</v>
      </c>
      <c r="IQ33" s="809"/>
      <c r="IR33" s="809"/>
      <c r="IS33" s="809"/>
      <c r="IT33" s="809"/>
      <c r="IU33" s="809"/>
      <c r="IV33" s="809"/>
      <c r="IW33" s="817">
        <v>30</v>
      </c>
      <c r="IX33" s="853"/>
      <c r="IY33" s="853"/>
      <c r="IZ33" s="853"/>
      <c r="JA33" s="853"/>
      <c r="JB33" s="845"/>
      <c r="JC33" s="845"/>
      <c r="JD33" s="845"/>
      <c r="JE33" s="845"/>
      <c r="JF33" s="845"/>
      <c r="JG33" s="845"/>
      <c r="JH33" s="845"/>
      <c r="JI33" s="845"/>
      <c r="JJ33" s="845"/>
      <c r="JK33" s="845"/>
    </row>
    <row r="34" spans="2:271">
      <c r="I34" s="787"/>
      <c r="J34" s="242"/>
      <c r="K34" s="242"/>
      <c r="L34" s="242"/>
      <c r="M34" s="242"/>
      <c r="N34" s="788"/>
      <c r="AK34" s="851"/>
      <c r="AL34" s="817">
        <v>31</v>
      </c>
      <c r="AM34" s="809"/>
      <c r="AN34" s="809"/>
      <c r="AO34" s="809"/>
      <c r="AP34" s="809"/>
      <c r="AQ34" s="809"/>
      <c r="AR34" s="809"/>
      <c r="AS34" s="809"/>
      <c r="AT34" s="809"/>
      <c r="AU34" s="809"/>
      <c r="AV34" s="809"/>
      <c r="AW34" s="809"/>
      <c r="AX34" s="847"/>
      <c r="AY34" s="851"/>
      <c r="AZ34" s="817">
        <v>31</v>
      </c>
      <c r="BA34" s="809"/>
      <c r="BB34" s="809"/>
      <c r="BC34" s="809"/>
      <c r="BD34" s="809"/>
      <c r="BE34" s="809"/>
      <c r="BF34" s="809"/>
      <c r="BG34" s="809"/>
      <c r="BH34" s="809"/>
      <c r="BI34" s="809"/>
      <c r="BJ34" s="809"/>
      <c r="BK34" s="809"/>
      <c r="BL34" s="809"/>
      <c r="BM34" s="809"/>
      <c r="BN34" s="847"/>
      <c r="BO34" s="851"/>
      <c r="BP34" s="817">
        <v>31</v>
      </c>
      <c r="BQ34" s="809"/>
      <c r="BR34" s="809"/>
      <c r="BS34" s="809"/>
      <c r="BT34" s="809"/>
      <c r="BU34" s="809"/>
      <c r="BV34" s="809"/>
      <c r="BW34" s="809"/>
      <c r="BX34" s="809"/>
      <c r="BY34" s="809"/>
      <c r="BZ34" s="809"/>
      <c r="CA34" s="809"/>
      <c r="CB34" s="809"/>
      <c r="CC34" s="809"/>
      <c r="CD34" s="809"/>
      <c r="CE34" s="809"/>
      <c r="CF34" s="809"/>
      <c r="CG34" s="809"/>
      <c r="CH34" s="809"/>
      <c r="CI34" s="809"/>
      <c r="CJ34" s="809"/>
      <c r="CK34" s="809"/>
      <c r="CL34" s="809"/>
      <c r="CM34" s="809"/>
      <c r="CN34" s="809"/>
      <c r="CO34" s="809"/>
      <c r="CP34" s="809"/>
      <c r="CQ34" s="809"/>
      <c r="CR34" s="809"/>
      <c r="CS34" s="817">
        <v>31</v>
      </c>
      <c r="CT34" s="853"/>
      <c r="CU34" s="853"/>
      <c r="CV34" s="853"/>
      <c r="CW34" s="853"/>
      <c r="CX34" s="853"/>
      <c r="CY34" s="853"/>
      <c r="CZ34" s="809"/>
      <c r="DA34" s="817">
        <v>31</v>
      </c>
      <c r="DB34" s="809"/>
      <c r="DC34" s="809"/>
      <c r="DD34" s="809"/>
      <c r="DE34" s="817">
        <v>31</v>
      </c>
      <c r="DF34" s="809"/>
      <c r="DG34" s="809"/>
      <c r="DH34" s="809"/>
      <c r="DI34" s="809"/>
      <c r="DJ34" s="809"/>
      <c r="DK34" s="817">
        <v>31</v>
      </c>
      <c r="DL34" s="809"/>
      <c r="DM34" s="809"/>
      <c r="DN34" s="809"/>
      <c r="DO34" s="809"/>
      <c r="DP34" s="809"/>
      <c r="DQ34" s="809"/>
      <c r="DR34" s="797"/>
      <c r="DS34" s="817">
        <v>31</v>
      </c>
      <c r="DT34" s="809"/>
      <c r="DU34" s="809"/>
      <c r="DV34" s="809"/>
      <c r="DW34" s="809"/>
      <c r="DX34" s="820"/>
      <c r="DY34" s="820"/>
      <c r="DZ34" s="820"/>
      <c r="EA34" s="820"/>
      <c r="EB34" s="820"/>
      <c r="EC34" s="820"/>
      <c r="ED34" s="820"/>
      <c r="EE34" s="820"/>
      <c r="EF34" s="820"/>
      <c r="EG34" s="820"/>
      <c r="EH34" s="820"/>
      <c r="EI34" s="820"/>
      <c r="EJ34" s="824">
        <v>30</v>
      </c>
      <c r="EK34" s="809"/>
      <c r="EL34" s="809"/>
      <c r="EM34" s="809"/>
      <c r="EN34" s="809"/>
      <c r="EO34" s="820"/>
      <c r="EP34" s="820"/>
      <c r="EQ34" s="820"/>
      <c r="ER34" s="820"/>
      <c r="ES34" s="820"/>
      <c r="ET34" s="820"/>
      <c r="EU34" s="820"/>
      <c r="EV34" s="820"/>
      <c r="EW34" s="820"/>
      <c r="EX34" s="820"/>
      <c r="EY34" s="820"/>
      <c r="EZ34" s="820"/>
      <c r="FA34" s="820"/>
      <c r="FB34" s="820"/>
      <c r="FC34" s="820"/>
      <c r="FD34" s="820"/>
      <c r="FE34" s="824">
        <v>31</v>
      </c>
      <c r="FF34" s="809"/>
      <c r="FG34" s="809"/>
      <c r="FH34" s="809"/>
      <c r="FI34" s="809"/>
      <c r="FJ34" s="820"/>
      <c r="FK34" s="820"/>
      <c r="FL34" s="820"/>
      <c r="FM34" s="820"/>
      <c r="FN34" s="820"/>
      <c r="FO34" s="820"/>
      <c r="FP34" s="820"/>
      <c r="FQ34" s="820"/>
      <c r="FR34" s="820"/>
      <c r="FS34" s="820"/>
      <c r="FT34" s="820"/>
      <c r="FU34" s="820"/>
      <c r="FV34" s="820"/>
      <c r="FW34" s="820"/>
      <c r="FX34" s="820"/>
      <c r="FY34" s="820"/>
      <c r="FZ34" s="824">
        <v>31</v>
      </c>
      <c r="GA34" s="809"/>
      <c r="GB34" s="809"/>
      <c r="GC34" s="809"/>
      <c r="GD34" s="809"/>
      <c r="GE34" s="820"/>
      <c r="GF34" s="820"/>
      <c r="GG34" s="820"/>
      <c r="GH34" s="820"/>
      <c r="GI34" s="820"/>
      <c r="GJ34" s="820"/>
      <c r="GK34" s="820"/>
      <c r="GL34" s="820"/>
      <c r="GM34" s="820"/>
      <c r="GN34" s="820"/>
      <c r="GO34" s="820"/>
      <c r="GP34" s="820"/>
      <c r="GQ34" s="824">
        <v>31</v>
      </c>
      <c r="GR34" s="809"/>
      <c r="GS34" s="809"/>
      <c r="GT34" s="809"/>
      <c r="GU34" s="809"/>
      <c r="GV34" s="820"/>
      <c r="GW34" s="820"/>
      <c r="GX34" s="820"/>
      <c r="GY34" s="820"/>
      <c r="GZ34" s="820"/>
      <c r="HA34" s="820"/>
      <c r="HB34" s="820"/>
      <c r="HC34" s="820"/>
      <c r="HD34" s="820"/>
      <c r="HE34" s="820"/>
      <c r="HF34" s="820"/>
      <c r="HG34" s="820"/>
      <c r="HH34" s="824">
        <v>31</v>
      </c>
      <c r="HI34" s="809"/>
      <c r="HJ34" s="809"/>
      <c r="HK34" s="809"/>
      <c r="HL34" s="809"/>
      <c r="HM34" s="820"/>
      <c r="HN34" s="820"/>
      <c r="HO34" s="820"/>
      <c r="HP34" s="820"/>
      <c r="HQ34" s="820"/>
      <c r="HR34" s="820"/>
      <c r="HS34" s="820"/>
      <c r="HT34" s="820"/>
      <c r="HU34" s="820"/>
      <c r="HV34" s="820"/>
      <c r="HW34" s="820"/>
      <c r="HX34" s="820"/>
      <c r="HY34" s="824">
        <v>31</v>
      </c>
      <c r="HZ34" s="809"/>
      <c r="IA34" s="809"/>
      <c r="IB34" s="809"/>
      <c r="IC34" s="809"/>
      <c r="ID34" s="809"/>
      <c r="IE34" s="809"/>
      <c r="IF34" s="809"/>
      <c r="IG34" s="809"/>
      <c r="IH34" s="809"/>
      <c r="II34" s="809"/>
      <c r="IJ34" s="809"/>
      <c r="IK34" s="809"/>
      <c r="IL34" s="809"/>
      <c r="IM34" s="809"/>
      <c r="IN34" s="809"/>
      <c r="IO34" s="809"/>
      <c r="IP34" s="817">
        <v>31</v>
      </c>
      <c r="IQ34" s="809"/>
      <c r="IR34" s="809"/>
      <c r="IS34" s="809"/>
      <c r="IT34" s="809"/>
      <c r="IU34" s="809"/>
      <c r="IV34" s="809"/>
      <c r="IW34" s="817">
        <v>31</v>
      </c>
      <c r="IX34" s="853"/>
      <c r="IY34" s="853"/>
      <c r="IZ34" s="853"/>
      <c r="JA34" s="853"/>
      <c r="JB34" s="845"/>
      <c r="JC34" s="845"/>
      <c r="JD34" s="845"/>
      <c r="JE34" s="845"/>
      <c r="JF34" s="845"/>
      <c r="JG34" s="845"/>
      <c r="JH34" s="845"/>
      <c r="JI34" s="845"/>
      <c r="JJ34" s="845"/>
      <c r="JK34" s="845"/>
    </row>
    <row r="35" spans="2:271">
      <c r="I35" s="787"/>
      <c r="J35" s="242"/>
      <c r="K35" s="242"/>
      <c r="L35" s="242"/>
      <c r="M35" s="242"/>
      <c r="N35" s="788"/>
      <c r="AK35" s="797"/>
      <c r="AL35" s="797"/>
      <c r="AM35" s="797"/>
      <c r="AN35" s="797"/>
      <c r="AO35" s="797"/>
      <c r="AP35" s="797"/>
      <c r="AQ35" s="797"/>
      <c r="AR35" s="797"/>
      <c r="AS35" s="797"/>
      <c r="AT35" s="797"/>
      <c r="AU35" s="797"/>
      <c r="AV35" s="797"/>
      <c r="AW35" s="797"/>
      <c r="AX35" s="797"/>
      <c r="AY35" s="797"/>
      <c r="AZ35" s="797"/>
      <c r="BA35" s="797"/>
      <c r="BB35" s="797"/>
      <c r="BC35" s="797"/>
      <c r="BD35" s="797"/>
      <c r="BE35" s="797"/>
      <c r="BF35" s="797"/>
      <c r="BG35" s="797"/>
      <c r="BH35" s="797"/>
      <c r="BI35" s="797"/>
      <c r="BJ35" s="797"/>
      <c r="BK35" s="797"/>
      <c r="BL35" s="797"/>
      <c r="BM35" s="797"/>
      <c r="BN35" s="797"/>
      <c r="BO35" s="797"/>
      <c r="BP35" s="797"/>
      <c r="BQ35" s="797"/>
      <c r="BR35" s="797"/>
      <c r="BS35" s="797"/>
      <c r="BT35" s="797"/>
      <c r="BU35" s="797"/>
      <c r="BV35" s="797"/>
      <c r="BW35" s="797"/>
      <c r="BX35" s="797"/>
      <c r="BY35" s="797"/>
      <c r="BZ35" s="797"/>
      <c r="CA35" s="797"/>
      <c r="CB35" s="797"/>
      <c r="CC35" s="797"/>
      <c r="CD35" s="797"/>
      <c r="CE35" s="797"/>
      <c r="CF35" s="797"/>
      <c r="CG35" s="797"/>
      <c r="CH35" s="797"/>
      <c r="CI35" s="797"/>
      <c r="CJ35" s="797"/>
      <c r="CK35" s="797"/>
      <c r="CL35" s="797"/>
      <c r="CM35" s="797"/>
      <c r="CN35" s="797"/>
      <c r="CO35" s="797"/>
      <c r="CP35" s="797"/>
      <c r="CQ35" s="797"/>
      <c r="CR35" s="797"/>
      <c r="CS35" s="797"/>
      <c r="CT35" s="797"/>
      <c r="CU35" s="797"/>
      <c r="CV35" s="797"/>
      <c r="CW35" s="797"/>
      <c r="CX35" s="797"/>
      <c r="CY35" s="797"/>
      <c r="CZ35" s="797"/>
      <c r="DA35" s="797"/>
      <c r="DB35" s="797"/>
      <c r="DC35" s="797"/>
      <c r="DD35" s="797"/>
      <c r="DE35" s="797"/>
      <c r="DF35" s="797"/>
      <c r="DG35" s="797"/>
      <c r="DH35" s="797"/>
      <c r="DI35" s="797"/>
      <c r="DJ35" s="797"/>
      <c r="DK35" s="797"/>
      <c r="DL35" s="797"/>
      <c r="DM35" s="797"/>
      <c r="DN35" s="797"/>
      <c r="DO35" s="797"/>
      <c r="DP35" s="797"/>
      <c r="DQ35" s="797"/>
      <c r="DR35" s="797"/>
      <c r="DS35" s="797"/>
      <c r="DT35" s="797"/>
      <c r="DU35" s="797"/>
      <c r="DV35" s="797"/>
      <c r="DW35" s="797"/>
      <c r="DX35" s="797"/>
      <c r="DY35" s="797"/>
      <c r="DZ35" s="797"/>
      <c r="EA35" s="797"/>
      <c r="EB35" s="797"/>
      <c r="EC35" s="797"/>
      <c r="ED35" s="797"/>
      <c r="EE35" s="797"/>
      <c r="EF35" s="797"/>
      <c r="EG35" s="797"/>
      <c r="EH35" s="797"/>
      <c r="EI35" s="797"/>
      <c r="EJ35" s="824">
        <v>31</v>
      </c>
      <c r="EK35" s="797"/>
      <c r="EL35" s="797"/>
      <c r="EM35" s="797"/>
      <c r="EN35" s="797"/>
      <c r="EO35" s="797"/>
      <c r="EP35" s="797"/>
      <c r="EQ35" s="797"/>
      <c r="ER35" s="797"/>
      <c r="ES35" s="797"/>
      <c r="ET35" s="797"/>
      <c r="EU35" s="797"/>
      <c r="EV35" s="797"/>
      <c r="EW35" s="797"/>
      <c r="EX35" s="797"/>
      <c r="EY35" s="797"/>
      <c r="EZ35" s="797"/>
      <c r="FA35" s="797"/>
      <c r="FB35" s="797"/>
      <c r="FC35" s="797"/>
      <c r="FD35" s="797"/>
      <c r="FE35" s="797"/>
      <c r="FF35" s="797"/>
      <c r="FG35" s="797"/>
      <c r="FH35" s="797"/>
      <c r="FI35" s="797"/>
      <c r="FJ35" s="797"/>
      <c r="FK35" s="797"/>
      <c r="FL35" s="797"/>
      <c r="FM35" s="797"/>
      <c r="FN35" s="797"/>
      <c r="FO35" s="797"/>
      <c r="FP35" s="797"/>
      <c r="FQ35" s="797"/>
      <c r="FR35" s="797"/>
      <c r="FS35" s="797"/>
      <c r="FT35" s="797"/>
      <c r="FU35" s="797"/>
      <c r="FV35" s="797"/>
      <c r="FW35" s="797"/>
      <c r="FX35" s="797"/>
      <c r="FY35" s="797"/>
      <c r="FZ35" s="797"/>
      <c r="GA35" s="797"/>
      <c r="GB35" s="797"/>
      <c r="GC35" s="797"/>
      <c r="GD35" s="797"/>
      <c r="GE35" s="797"/>
      <c r="GF35" s="797"/>
      <c r="GG35" s="797"/>
      <c r="GH35" s="797"/>
      <c r="GI35" s="797"/>
      <c r="GJ35" s="797"/>
      <c r="GK35" s="797"/>
      <c r="GL35" s="797"/>
      <c r="GM35" s="797"/>
      <c r="GN35" s="797"/>
      <c r="GO35" s="797"/>
      <c r="GP35" s="797"/>
      <c r="GQ35" s="797"/>
      <c r="GR35" s="797"/>
      <c r="GS35" s="797"/>
      <c r="GT35" s="797"/>
      <c r="GU35" s="797"/>
      <c r="GV35" s="797"/>
      <c r="GW35" s="797"/>
      <c r="GX35" s="797"/>
      <c r="GY35" s="797"/>
      <c r="GZ35" s="797"/>
      <c r="HA35" s="797"/>
      <c r="HB35" s="797"/>
      <c r="HC35" s="797"/>
      <c r="HD35" s="797"/>
      <c r="HE35" s="797"/>
      <c r="HF35" s="797"/>
      <c r="HG35" s="797"/>
      <c r="HH35" s="797"/>
      <c r="HI35" s="797"/>
      <c r="HJ35" s="797"/>
      <c r="HK35" s="797"/>
      <c r="HL35" s="797"/>
      <c r="HM35" s="797"/>
      <c r="HN35" s="797"/>
      <c r="HO35" s="797"/>
      <c r="HP35" s="797"/>
      <c r="HQ35" s="797"/>
      <c r="HR35" s="797"/>
      <c r="HS35" s="797"/>
      <c r="HT35" s="797"/>
      <c r="HU35" s="797"/>
      <c r="HV35" s="797"/>
      <c r="HW35" s="797"/>
      <c r="HX35" s="797"/>
      <c r="HY35" s="797"/>
      <c r="HZ35" s="797"/>
      <c r="IA35" s="797"/>
      <c r="IB35" s="797"/>
      <c r="IC35" s="797"/>
      <c r="ID35" s="797"/>
      <c r="IE35" s="797"/>
      <c r="IF35" s="797"/>
      <c r="IG35" s="797"/>
      <c r="IH35" s="797"/>
      <c r="II35" s="797"/>
      <c r="IJ35" s="797"/>
      <c r="IK35" s="797"/>
      <c r="IL35" s="797"/>
      <c r="IM35" s="797"/>
      <c r="IN35" s="797"/>
      <c r="IO35" s="797"/>
      <c r="IP35" s="845"/>
      <c r="IQ35" s="847"/>
      <c r="IR35" s="847"/>
      <c r="IS35" s="847"/>
      <c r="IT35" s="847"/>
      <c r="IU35" s="847"/>
      <c r="IV35" s="847"/>
      <c r="IW35" s="847"/>
      <c r="IX35" s="845"/>
      <c r="IY35" s="797"/>
      <c r="IZ35" s="797"/>
      <c r="JA35" s="797"/>
      <c r="JB35" s="797"/>
      <c r="JC35" s="797"/>
      <c r="JD35" s="797"/>
      <c r="JE35" s="797"/>
      <c r="JF35" s="797"/>
      <c r="JG35" s="797"/>
      <c r="JH35" s="797"/>
      <c r="JI35" s="797"/>
      <c r="JJ35" s="797"/>
      <c r="JK35" s="797"/>
    </row>
    <row r="36" spans="2:271" ht="21.75">
      <c r="B36" t="s">
        <v>166</v>
      </c>
      <c r="C36">
        <v>25</v>
      </c>
      <c r="I36" s="787" t="s">
        <v>166</v>
      </c>
      <c r="J36" s="242">
        <f>C36+(C37/60)</f>
        <v>25.033333333333335</v>
      </c>
      <c r="K36" s="244">
        <f>INT(ABS(J36))</f>
        <v>25</v>
      </c>
      <c r="L36" s="244">
        <f>INT((ABS(J36)-K36)*60)</f>
        <v>2</v>
      </c>
      <c r="M36" s="244">
        <f>INT((((ABS(J36)-K36)*60)-L36)*60)</f>
        <v>0</v>
      </c>
      <c r="N36" s="789">
        <f>INT((((((ABS(J36)-K36)*60)-L36)*60)-M36)*60)</f>
        <v>0</v>
      </c>
    </row>
    <row r="37" spans="2:271">
      <c r="B37" t="s">
        <v>167</v>
      </c>
      <c r="C37">
        <v>2</v>
      </c>
      <c r="I37" s="787"/>
      <c r="J37" s="242">
        <f>[1]!roz(J34,J35,J36,0)</f>
        <v>1.7384259259259259E-2</v>
      </c>
      <c r="K37" s="242"/>
      <c r="L37" s="242"/>
      <c r="M37" s="242"/>
      <c r="N37" s="788"/>
    </row>
    <row r="38" spans="2:271">
      <c r="B38" t="s">
        <v>393</v>
      </c>
      <c r="C38">
        <f>[1]!mbtool(D38,E38,F38,G38)</f>
        <v>9.5138888888888884E-2</v>
      </c>
      <c r="D38">
        <v>2</v>
      </c>
      <c r="E38">
        <v>17</v>
      </c>
      <c r="F38">
        <v>0</v>
      </c>
      <c r="G38">
        <v>1</v>
      </c>
      <c r="I38" s="787" t="s">
        <v>326</v>
      </c>
      <c r="J38" s="242">
        <f>[1]!mbtool(2,17,0,1)</f>
        <v>9.5138888888888884E-2</v>
      </c>
      <c r="K38" s="242"/>
      <c r="L38" s="242"/>
      <c r="M38" s="242"/>
      <c r="N38" s="788"/>
    </row>
    <row r="39" spans="2:271">
      <c r="C39">
        <f>[1]!taqsh(C32,C33,[1]!roz(C34,C35,C36,C37),C38)</f>
        <v>96.695397632987465</v>
      </c>
      <c r="I39" s="787" t="s">
        <v>378</v>
      </c>
      <c r="J39" s="242">
        <f>[1]!taqsh(J32,J33,J37,J38)</f>
        <v>96.695397632987465</v>
      </c>
      <c r="K39" s="242"/>
      <c r="L39" s="242"/>
      <c r="M39" s="242"/>
      <c r="N39" s="788"/>
    </row>
    <row r="40" spans="2:271" ht="24.75">
      <c r="C40">
        <f>[1]!tzaman(0)</f>
        <v>-0.19679630000000001</v>
      </c>
      <c r="D40" s="472">
        <f t="shared" ref="D40" si="0">INT(ABS(C40))</f>
        <v>0</v>
      </c>
      <c r="E40" s="472">
        <f t="shared" ref="E40" si="1">INT((ABS(C40)-D40)*60)</f>
        <v>11</v>
      </c>
      <c r="F40" s="472">
        <f t="shared" ref="F40" si="2">INT((((ABS(C40)-D40)*60)-E40)*60)</f>
        <v>48</v>
      </c>
      <c r="G40" s="471">
        <f t="shared" ref="G40" si="3">INT((((((ABS(C40)-D40)*60)-E40)*60)-F40)*60)</f>
        <v>28</v>
      </c>
      <c r="I40" s="787"/>
      <c r="J40" s="242">
        <f>[1]!tzaman(INT(J39))</f>
        <v>-0.1138204954536946</v>
      </c>
      <c r="K40" s="244">
        <f>INT(ABS(J40))</f>
        <v>0</v>
      </c>
      <c r="L40" s="244">
        <f>INT((ABS(J40)-K40)*60)</f>
        <v>6</v>
      </c>
      <c r="M40" s="244">
        <f>INT((((ABS(J40)-K40)*60)-L40)*60)</f>
        <v>49</v>
      </c>
      <c r="N40" s="789">
        <f>INT((((((ABS(J40)-K40)*60)-L40)*60)-M40)*60)</f>
        <v>45</v>
      </c>
    </row>
    <row r="41" spans="2:271">
      <c r="I41" s="787"/>
      <c r="J41" s="242">
        <f>J40+J35+(J36/60)</f>
        <v>0.30340172676852767</v>
      </c>
      <c r="K41" s="242"/>
      <c r="L41" s="242"/>
      <c r="M41" s="242"/>
      <c r="N41" s="788"/>
    </row>
    <row r="42" spans="2:271">
      <c r="I42" s="787"/>
      <c r="J42" s="388">
        <f>IF(J33&gt;1,J32,J32-1)</f>
        <v>-1</v>
      </c>
      <c r="K42" s="242"/>
      <c r="L42" s="242"/>
      <c r="M42" s="242"/>
      <c r="N42" s="788"/>
    </row>
    <row r="43" spans="2:271">
      <c r="I43" s="787"/>
      <c r="J43" s="242">
        <f>IF(J34&gt;1,J33,J33-1)</f>
        <v>-1</v>
      </c>
      <c r="K43" s="242"/>
      <c r="L43" s="242"/>
      <c r="M43" s="242"/>
      <c r="N43" s="788"/>
    </row>
    <row r="44" spans="2:271">
      <c r="I44" s="787"/>
      <c r="J44" s="388">
        <f>IF(J49&lt;12,J33,J43)</f>
        <v>0</v>
      </c>
      <c r="K44" s="242"/>
      <c r="L44" s="242"/>
      <c r="M44" s="242"/>
      <c r="N44" s="788"/>
    </row>
    <row r="45" spans="2:271" ht="15.75" thickBot="1">
      <c r="I45" s="790"/>
      <c r="J45" s="791">
        <f>IF(J49&lt;12,J34,J34-1)</f>
        <v>0</v>
      </c>
      <c r="K45" s="791"/>
      <c r="L45" s="791"/>
      <c r="M45" s="791"/>
      <c r="N45" s="792"/>
    </row>
    <row r="46" spans="2:271">
      <c r="I46" s="486" t="s">
        <v>3</v>
      </c>
      <c r="J46" s="487">
        <f>IF(J49&lt;12,J32,J42)</f>
        <v>0</v>
      </c>
      <c r="K46" s="487"/>
      <c r="L46" s="487"/>
      <c r="M46" s="487"/>
      <c r="N46" s="773"/>
    </row>
    <row r="47" spans="2:271">
      <c r="I47" s="490" t="s">
        <v>4</v>
      </c>
      <c r="J47" s="309">
        <f>IF(J44&gt;0,J44,12)</f>
        <v>12</v>
      </c>
      <c r="K47" s="309"/>
      <c r="L47" s="309"/>
      <c r="M47" s="309"/>
      <c r="N47" s="774"/>
    </row>
    <row r="48" spans="2:271">
      <c r="I48" s="490" t="s">
        <v>3761</v>
      </c>
      <c r="J48" s="309">
        <f>IF(J45&gt;0,J45,30)</f>
        <v>30</v>
      </c>
      <c r="K48" s="309"/>
      <c r="L48" s="309"/>
      <c r="M48" s="309"/>
      <c r="N48" s="774"/>
    </row>
    <row r="49" spans="9:14" ht="22.5" thickBot="1">
      <c r="I49" s="492" t="s">
        <v>3750</v>
      </c>
      <c r="J49" s="493">
        <f>IF(J41&lt;24,J41,J41-24)</f>
        <v>0.30340172676852767</v>
      </c>
      <c r="K49" s="794">
        <f>INT(ABS(J49))</f>
        <v>0</v>
      </c>
      <c r="L49" s="794">
        <f>INT((ABS(J49)-K49)*60)</f>
        <v>18</v>
      </c>
      <c r="M49" s="794">
        <f>INT((((ABS(J49)-K49)*60)-L49)*60)</f>
        <v>12</v>
      </c>
      <c r="N49" s="795">
        <f>INT((((((ABS(J49)-K49)*60)-L49)*60)-M49)*60)</f>
        <v>14</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1:BM32"/>
  <sheetViews>
    <sheetView workbookViewId="0">
      <selection activeCell="E2" sqref="E2"/>
    </sheetView>
  </sheetViews>
  <sheetFormatPr defaultRowHeight="15"/>
  <cols>
    <col min="1" max="2" width="9.140625" style="1496"/>
    <col min="3" max="3" width="15.7109375" style="1496" customWidth="1"/>
    <col min="4" max="4" width="12" style="1496" bestFit="1" customWidth="1"/>
    <col min="5" max="12" width="9.140625" style="1496"/>
    <col min="13" max="13" width="17.5703125" style="1496" customWidth="1"/>
    <col min="14" max="16384" width="9.140625" style="1496"/>
  </cols>
  <sheetData>
    <row r="1" spans="2:65">
      <c r="BE1" s="1496">
        <v>23.9</v>
      </c>
    </row>
    <row r="2" spans="2:65" ht="15.75" thickBot="1">
      <c r="BK2" s="1496" t="s">
        <v>4172</v>
      </c>
    </row>
    <row r="3" spans="2:65" ht="21.75" thickBot="1">
      <c r="BB3" s="1787" t="s">
        <v>3</v>
      </c>
      <c r="BC3" s="1788">
        <v>1445</v>
      </c>
      <c r="BD3" s="1792" t="s">
        <v>219</v>
      </c>
      <c r="BE3" s="707">
        <v>8</v>
      </c>
      <c r="BF3" s="706"/>
      <c r="BG3" s="706" t="s">
        <v>144</v>
      </c>
      <c r="BH3" s="706"/>
      <c r="BI3" s="1697" t="s">
        <v>172</v>
      </c>
      <c r="BJ3" s="1697" t="s">
        <v>4171</v>
      </c>
      <c r="BK3" s="1789" t="s">
        <v>167</v>
      </c>
    </row>
    <row r="4" spans="2:65" ht="27.75" thickBot="1">
      <c r="C4" s="1496" t="s">
        <v>3958</v>
      </c>
      <c r="M4" s="1497" t="s">
        <v>2236</v>
      </c>
      <c r="N4" s="1498"/>
      <c r="O4" s="1499" t="s">
        <v>1648</v>
      </c>
      <c r="P4" s="1625" t="s">
        <v>2202</v>
      </c>
      <c r="Q4" s="1500" t="s">
        <v>3960</v>
      </c>
      <c r="R4" s="1498" t="s">
        <v>172</v>
      </c>
      <c r="S4" s="1498" t="s">
        <v>4330</v>
      </c>
      <c r="T4" s="1501" t="s">
        <v>2237</v>
      </c>
      <c r="U4" s="1501" t="s">
        <v>839</v>
      </c>
      <c r="V4" s="1498"/>
      <c r="W4" s="1498" t="s">
        <v>2202</v>
      </c>
      <c r="X4" s="1502" t="s">
        <v>3957</v>
      </c>
      <c r="Y4" s="1519" t="s">
        <v>4340</v>
      </c>
      <c r="Z4" s="1503" t="s">
        <v>4341</v>
      </c>
      <c r="AA4" s="1775"/>
      <c r="AB4" s="1776" t="s">
        <v>3</v>
      </c>
      <c r="AC4" s="1776">
        <f>D5</f>
        <v>1445</v>
      </c>
      <c r="AD4" s="1776" t="s">
        <v>5</v>
      </c>
      <c r="AE4" s="1776">
        <f>F5</f>
        <v>10</v>
      </c>
      <c r="AF4" s="1776" t="s">
        <v>177</v>
      </c>
      <c r="AG4" s="1776">
        <f>H7</f>
        <v>35.75</v>
      </c>
      <c r="AH4" s="1777"/>
      <c r="AK4" s="1507" t="s">
        <v>2231</v>
      </c>
      <c r="AL4" s="1508" t="s">
        <v>2229</v>
      </c>
      <c r="AM4" s="1509" t="s">
        <v>3963</v>
      </c>
      <c r="AN4" s="1509">
        <f>Q16</f>
        <v>328.43481493689569</v>
      </c>
      <c r="AO4" s="1509" t="str">
        <f>IF(AH12=12,AA12,"-")</f>
        <v>زهره</v>
      </c>
      <c r="AP4" s="1509" t="s">
        <v>3967</v>
      </c>
      <c r="AQ4" s="1509"/>
      <c r="AR4" s="1510" t="s">
        <v>3961</v>
      </c>
      <c r="AS4" s="1509" t="s">
        <v>2227</v>
      </c>
      <c r="AT4" s="1509" t="s">
        <v>3963</v>
      </c>
      <c r="AU4" s="1509">
        <f>Q6</f>
        <v>32.790685994705107</v>
      </c>
      <c r="AV4" s="1509"/>
      <c r="AW4" s="1509"/>
      <c r="AX4" s="1511" t="s">
        <v>1702</v>
      </c>
      <c r="AY4" s="1512" t="s">
        <v>1703</v>
      </c>
      <c r="BB4" s="1660" t="s">
        <v>4</v>
      </c>
      <c r="BC4" s="1658">
        <v>6</v>
      </c>
      <c r="BD4" s="1793" t="s">
        <v>166</v>
      </c>
      <c r="BE4" s="1665">
        <v>4</v>
      </c>
      <c r="BF4" s="226"/>
      <c r="BG4" s="1658" t="s">
        <v>3871</v>
      </c>
      <c r="BH4" s="1696">
        <v>51</v>
      </c>
      <c r="BI4" s="1664">
        <f t="shared" ref="BI4:BI5" si="0">INT(ABS(BH4))</f>
        <v>51</v>
      </c>
      <c r="BJ4" s="1664">
        <f t="shared" ref="BJ4" si="1">INT((ABS(BH4)-BI4)*60)</f>
        <v>0</v>
      </c>
      <c r="BK4" s="1790">
        <f t="shared" ref="BK4" si="2">INT((((ABS(BH4)-BI4)*60)-BJ4)*60)</f>
        <v>0</v>
      </c>
      <c r="BL4" s="845"/>
      <c r="BM4" s="845"/>
    </row>
    <row r="5" spans="2:65" ht="24.75">
      <c r="B5" s="1496" t="s">
        <v>144</v>
      </c>
      <c r="C5" s="1504" t="s">
        <v>60</v>
      </c>
      <c r="D5" s="1513">
        <v>1445</v>
      </c>
      <c r="E5" s="1505" t="s">
        <v>5</v>
      </c>
      <c r="F5" s="1513">
        <v>10</v>
      </c>
      <c r="G5" s="1505">
        <f>[1]!saatzij(D5,D6,[1]!roz(F5,F6,F7,F8))</f>
        <v>6.0301354271580934</v>
      </c>
      <c r="H5" s="1506" t="s">
        <v>4013</v>
      </c>
      <c r="M5" s="1514" t="s">
        <v>2235</v>
      </c>
      <c r="N5" s="1515">
        <f>D27</f>
        <v>0.71593199902168658</v>
      </c>
      <c r="O5" s="1516">
        <v>1</v>
      </c>
      <c r="P5" s="222"/>
      <c r="Q5" s="1515">
        <f>N5</f>
        <v>0.71593199902168658</v>
      </c>
      <c r="R5" s="1515">
        <f>INT(Q5)</f>
        <v>0</v>
      </c>
      <c r="S5" s="292">
        <f>(Q5-R5)*60</f>
        <v>42.955919941301197</v>
      </c>
      <c r="T5" s="1515"/>
      <c r="U5" s="1517">
        <f>IF(Q5-Q16&gt;=0,Q5-Q16,Q5-Q16+360)</f>
        <v>32.281117062125986</v>
      </c>
      <c r="V5" s="1515">
        <f>U5/2</f>
        <v>16.140558531062993</v>
      </c>
      <c r="W5" s="1515">
        <f>[1]!ebtedabait1(D5,D6,F5,H7,G5,D8)</f>
        <v>344.57537346795868</v>
      </c>
      <c r="X5" s="1518">
        <f>IF(V5+Q16&lt;=360,V5+Q16,V5+Q16-360)</f>
        <v>344.57537346795868</v>
      </c>
      <c r="Y5" s="5">
        <f t="shared" ref="Y5:Y16" si="3">IF(Z5=X$5,O$5,IF(Z5=X$6,O$6,IF(Z5=X$7,O$7,IF(Z5=X$8,O$8,IF(Z5=X$9,O$9,IF(Z5=X$10,O$10,IF(Z5=X$11,O$11,IF(Z5=X$12,O$12,IF(Z5=X$13,O$13,IF(Z5=X$14,O$14,IF(Z5=X$15,O$15,O$16)))))))))))</f>
        <v>2</v>
      </c>
      <c r="Z5" s="1519">
        <f t="shared" ref="Z5:Z16" si="4">SMALL(X$5:X$16,O5)</f>
        <v>16.753308996863399</v>
      </c>
      <c r="AA5" s="1778"/>
      <c r="AB5" s="1779" t="s">
        <v>4</v>
      </c>
      <c r="AC5" s="1779">
        <f>D6</f>
        <v>9</v>
      </c>
      <c r="AD5" s="1779" t="s">
        <v>219</v>
      </c>
      <c r="AE5" s="1779">
        <f>F6</f>
        <v>6</v>
      </c>
      <c r="AF5" s="1779" t="s">
        <v>3950</v>
      </c>
      <c r="AG5" s="1779">
        <f>(((AE7/60)+AE6)/60)+AE5</f>
        <v>6.2216666666666667</v>
      </c>
      <c r="AH5" s="1780"/>
      <c r="AK5" s="1523" t="s">
        <v>3963</v>
      </c>
      <c r="AL5" s="1524">
        <f>Q15</f>
        <v>298.41056814105508</v>
      </c>
      <c r="AM5" s="1525" t="str">
        <f>IF(AH9=12,AA9,"-")</f>
        <v>-</v>
      </c>
      <c r="AN5" s="1525" t="str">
        <f>IF(AH10=12,AA10,"-")</f>
        <v>-</v>
      </c>
      <c r="AO5" s="1525" t="str">
        <f>IF(AH13=12,AA13,"-")</f>
        <v>مریخ</v>
      </c>
      <c r="AP5" s="1525" t="str">
        <f>IF(AH16=12,AA16,"-")</f>
        <v>-</v>
      </c>
      <c r="AQ5" s="1526"/>
      <c r="AR5" s="1527" t="s">
        <v>3962</v>
      </c>
      <c r="AS5" s="1528" t="str">
        <f>IF(AH9=2,AA9,"-")</f>
        <v>-</v>
      </c>
      <c r="AT5" s="1525" t="str">
        <f>IF(AH10=2,AA10,"-")</f>
        <v>-</v>
      </c>
      <c r="AU5" s="1525" t="str">
        <f>IF(AH12=2,AA12,"-")</f>
        <v>-</v>
      </c>
      <c r="AV5" s="1525" t="str">
        <f>IF(AH15=2,AA15,"-")</f>
        <v>-</v>
      </c>
      <c r="AW5" s="1525" t="str">
        <f>IF(AH17=2,AA17,"-")</f>
        <v>-</v>
      </c>
      <c r="AX5" s="1529" t="s">
        <v>2225</v>
      </c>
      <c r="AY5" s="1530"/>
      <c r="BB5" s="1660" t="s">
        <v>5</v>
      </c>
      <c r="BC5" s="1658">
        <v>13</v>
      </c>
      <c r="BD5" s="1793" t="s">
        <v>167</v>
      </c>
      <c r="BE5" s="1665">
        <v>54</v>
      </c>
      <c r="BF5" s="226"/>
      <c r="BG5" s="1658" t="s">
        <v>177</v>
      </c>
      <c r="BH5" s="1661">
        <v>35</v>
      </c>
      <c r="BI5" s="1664">
        <f t="shared" si="0"/>
        <v>35</v>
      </c>
      <c r="BJ5" s="1664">
        <f t="shared" ref="BJ5" si="5">INT((ABS(BH5)-BI5)*60)</f>
        <v>0</v>
      </c>
      <c r="BK5" s="1790">
        <f t="shared" ref="BK5" si="6">INT((((ABS(BH5)-BI5)*60)-BJ5)*60)</f>
        <v>0</v>
      </c>
      <c r="BL5" s="845"/>
      <c r="BM5" s="845"/>
    </row>
    <row r="6" spans="2:65" ht="25.5" thickBot="1">
      <c r="C6" s="1520" t="s">
        <v>4</v>
      </c>
      <c r="D6" s="1531">
        <v>9</v>
      </c>
      <c r="E6" s="1521" t="s">
        <v>4337</v>
      </c>
      <c r="F6" s="1531">
        <v>6</v>
      </c>
      <c r="G6" s="1521"/>
      <c r="H6" s="1522"/>
      <c r="M6" s="1532" t="s">
        <v>2234</v>
      </c>
      <c r="N6" s="1519">
        <f>[1]!ba(N5+180)</f>
        <v>180.71593199902168</v>
      </c>
      <c r="O6" s="1533">
        <v>2</v>
      </c>
      <c r="P6" s="238">
        <f>[1]!bait2(D5,D6,F5,H7,G5,D8)</f>
        <v>32.790685994705107</v>
      </c>
      <c r="Q6" s="1519">
        <f>N22</f>
        <v>32.790685994705107</v>
      </c>
      <c r="R6" s="1519">
        <f t="shared" ref="R6:R16" si="7">INT(Q6)</f>
        <v>32</v>
      </c>
      <c r="S6" s="267">
        <f t="shared" ref="S6:S16" si="8">(Q6-R6)*60</f>
        <v>47.441159682306449</v>
      </c>
      <c r="T6" s="1519">
        <f>[1]!beyt2b(D5,D6,D7,D8,H7)</f>
        <v>0</v>
      </c>
      <c r="U6" s="1534">
        <f t="shared" ref="U6:U16" si="9">IF(Q6-Q5&gt;=0,Q6-Q5,Q6-Q5+360)</f>
        <v>32.074753995683423</v>
      </c>
      <c r="V6" s="1519">
        <f t="shared" ref="V6:V16" si="10">U6/2</f>
        <v>16.037376997841712</v>
      </c>
      <c r="W6" s="1519">
        <f>[1]!ebtedabait2(D5,D6,F5,H7,G5,D8)</f>
        <v>16.753308996863399</v>
      </c>
      <c r="X6" s="1535">
        <f t="shared" ref="X6:X16" si="11">IF(V6+Q5&lt;=360,V6+Q5,V6+Q5-360)</f>
        <v>16.753308996863399</v>
      </c>
      <c r="Y6" s="1519">
        <f t="shared" si="3"/>
        <v>3</v>
      </c>
      <c r="Z6" s="1519">
        <f t="shared" si="4"/>
        <v>47.687154090346979</v>
      </c>
      <c r="AA6" s="1778"/>
      <c r="AB6" s="1779" t="s">
        <v>5</v>
      </c>
      <c r="AC6" s="1779">
        <f>[1]!roz(AE4,AE5,AE6,AE7)</f>
        <v>10.259236111111111</v>
      </c>
      <c r="AD6" s="1779" t="s">
        <v>166</v>
      </c>
      <c r="AE6" s="1779">
        <f>F7</f>
        <v>13</v>
      </c>
      <c r="AF6" s="1779"/>
      <c r="AG6" s="1779"/>
      <c r="AH6" s="1780"/>
      <c r="AJ6" s="1496">
        <f>0.43*60</f>
        <v>25.8</v>
      </c>
      <c r="AK6" s="1523" t="str">
        <f>IF(AH9=11,AA9,"-")</f>
        <v>-</v>
      </c>
      <c r="AL6" s="1536" t="str">
        <f>IF(AH14=11,AA14,"-")</f>
        <v>-</v>
      </c>
      <c r="AM6" s="1537" t="s">
        <v>1711</v>
      </c>
      <c r="AN6" s="1525" t="str">
        <f>IF(AH11=12,AA11,"-")</f>
        <v>-</v>
      </c>
      <c r="AO6" s="1525" t="str">
        <f>IF(AH14=12,AA14,"-")</f>
        <v>-</v>
      </c>
      <c r="AP6" s="1526" t="str">
        <f>IF(AH17=12,AA17,"-")</f>
        <v>-</v>
      </c>
      <c r="AQ6" s="1538" t="s">
        <v>3963</v>
      </c>
      <c r="AR6" s="1538">
        <f>Q5</f>
        <v>0.71593199902168658</v>
      </c>
      <c r="AS6" s="1539" t="s">
        <v>3965</v>
      </c>
      <c r="AT6" s="1525" t="str">
        <f>IF(AH11=2,AA11,"-")</f>
        <v>عطارد</v>
      </c>
      <c r="AU6" s="1525" t="str">
        <f>IF(AH13=2,AA13,"-")</f>
        <v>-</v>
      </c>
      <c r="AV6" s="1525" t="str">
        <f>IF(AH16=2,AA16,"-")</f>
        <v>-</v>
      </c>
      <c r="AW6" s="1540" t="s">
        <v>3963</v>
      </c>
      <c r="AX6" s="1536">
        <f>Q7</f>
        <v>62.583622185988851</v>
      </c>
      <c r="AY6" s="1530"/>
      <c r="BB6" s="1662"/>
      <c r="BC6" s="763"/>
      <c r="BD6" s="1794" t="s">
        <v>2126</v>
      </c>
      <c r="BE6" s="1791">
        <f>(((BE5/60)+BE4)/60)+BE3</f>
        <v>8.081666666666667</v>
      </c>
      <c r="BF6" s="763"/>
      <c r="BG6" s="1666" t="s">
        <v>3870</v>
      </c>
      <c r="BH6" s="1659">
        <f>[1]!tabdilsaheb(BH4)</f>
        <v>9.6917129630555557E-2</v>
      </c>
      <c r="BI6" s="1667"/>
      <c r="BJ6" s="1666"/>
      <c r="BK6" s="1668"/>
      <c r="BL6" s="845"/>
    </row>
    <row r="7" spans="2:65" ht="25.5" thickBot="1">
      <c r="C7" s="1520" t="s">
        <v>5</v>
      </c>
      <c r="D7" s="1531">
        <f>[1]!roz(F5,G5,0,0)</f>
        <v>10.251255642798254</v>
      </c>
      <c r="E7" s="1521" t="s">
        <v>166</v>
      </c>
      <c r="F7" s="1531">
        <v>13</v>
      </c>
      <c r="G7" s="1505" t="s">
        <v>177</v>
      </c>
      <c r="H7" s="1506">
        <v>35.75</v>
      </c>
      <c r="M7" s="1532" t="s">
        <v>2213</v>
      </c>
      <c r="N7" s="1519">
        <f>[1]!ml(D5,N5)</f>
        <v>0.2846087899959806</v>
      </c>
      <c r="O7" s="1533">
        <v>3</v>
      </c>
      <c r="P7" s="238">
        <f>[1]!bait3(D5,D6,F5,H7,G5,D8)</f>
        <v>62.583622185988851</v>
      </c>
      <c r="Q7" s="1519">
        <f>N26</f>
        <v>62.583622185988851</v>
      </c>
      <c r="R7" s="1519">
        <f t="shared" si="7"/>
        <v>62</v>
      </c>
      <c r="S7" s="267">
        <f t="shared" si="8"/>
        <v>35.017331159331064</v>
      </c>
      <c r="T7" s="1519">
        <f>[1]!beyt3b(D5,D6,D7,D8,H7)</f>
        <v>241.18552480970993</v>
      </c>
      <c r="U7" s="1534">
        <f t="shared" si="9"/>
        <v>29.792936191283744</v>
      </c>
      <c r="V7" s="1519">
        <f t="shared" si="10"/>
        <v>14.896468095641872</v>
      </c>
      <c r="W7" s="1519">
        <f>[1]!ebtedabait3(D5,D6,F5,H7,G5,D8)</f>
        <v>47.687154090346979</v>
      </c>
      <c r="X7" s="1535">
        <f t="shared" si="11"/>
        <v>47.687154090346979</v>
      </c>
      <c r="Y7" s="1519">
        <f t="shared" si="3"/>
        <v>4</v>
      </c>
      <c r="Z7" s="1519">
        <f t="shared" si="4"/>
        <v>76.499204356058513</v>
      </c>
      <c r="AA7" s="1778"/>
      <c r="AB7" s="1779" t="s">
        <v>377</v>
      </c>
      <c r="AC7" s="1779">
        <f>[1]!mbtool(2,20,4,1)</f>
        <v>9.7268518518518518E-2</v>
      </c>
      <c r="AD7" s="1779" t="s">
        <v>167</v>
      </c>
      <c r="AE7" s="1779">
        <f>F8</f>
        <v>18</v>
      </c>
      <c r="AF7" s="1779"/>
      <c r="AG7" s="1779"/>
      <c r="AH7" s="1780"/>
      <c r="AK7" s="1523" t="str">
        <f>IF(AH10=11,AA10,"-")</f>
        <v>-</v>
      </c>
      <c r="AL7" s="1536" t="str">
        <f>IF(AH15=11,AA15,"-")</f>
        <v>-</v>
      </c>
      <c r="AM7" s="1536"/>
      <c r="AN7" s="1537"/>
      <c r="AO7" s="1544" t="str">
        <f>IF(AH15=12,AA15,"-")</f>
        <v>زحل</v>
      </c>
      <c r="AP7" s="1538" t="str">
        <f>IF(AH9=1,AA9,"-")</f>
        <v>شمس</v>
      </c>
      <c r="AQ7" s="1538" t="str">
        <f>IF(AH11=1,AA11,"-")</f>
        <v>-</v>
      </c>
      <c r="AR7" s="1538" t="str">
        <f>IF(AH14=1,AA14,"-")</f>
        <v>-</v>
      </c>
      <c r="AS7" s="1538"/>
      <c r="AT7" s="1539"/>
      <c r="AU7" s="1544" t="str">
        <f>IF(AH14=2,AA14,"-")</f>
        <v>مشتری</v>
      </c>
      <c r="AV7" s="1540" t="str">
        <f>IF(AH9=3,AA9,"-")</f>
        <v>-</v>
      </c>
      <c r="AW7" s="1536" t="str">
        <f>IF(AH11=3,AA11,"-")</f>
        <v>-</v>
      </c>
      <c r="AX7" s="1536" t="str">
        <f>IF(AH14=3,AA14,"-")</f>
        <v>-</v>
      </c>
      <c r="AY7" s="1530"/>
      <c r="BB7" s="1669" t="s">
        <v>4170</v>
      </c>
      <c r="BC7" s="1670">
        <f>(BH9-BC9)/12</f>
        <v>0.81263362326963084</v>
      </c>
      <c r="BD7" s="1671">
        <f>INT(ABS(BC7))</f>
        <v>0</v>
      </c>
      <c r="BE7" s="1671">
        <f>INT((ABS(BC7)-BD7)*60)</f>
        <v>48</v>
      </c>
      <c r="BF7" s="1695">
        <f>INT((((ABS(BC7)-BD7)*60)-BE7)*60)</f>
        <v>45</v>
      </c>
      <c r="BG7" s="1672" t="s">
        <v>4169</v>
      </c>
      <c r="BH7" s="1672">
        <f>2-BC7</f>
        <v>1.187366376730369</v>
      </c>
      <c r="BI7" s="1673">
        <f>INT(ABS(BH7))</f>
        <v>1</v>
      </c>
      <c r="BJ7" s="1673">
        <f>INT((ABS(BH7)-BI7)*60)</f>
        <v>11</v>
      </c>
      <c r="BK7" s="1674">
        <f>INT((((ABS(BH7)-BI7)*60)-BJ7)*60)</f>
        <v>14</v>
      </c>
      <c r="BL7" s="752" t="s">
        <v>2202</v>
      </c>
    </row>
    <row r="8" spans="2:65" ht="25.5" thickBot="1">
      <c r="B8" s="1545"/>
      <c r="C8" s="1541" t="s">
        <v>393</v>
      </c>
      <c r="D8" s="1546">
        <f>[1]!tabdilsaheb(H8)</f>
        <v>9.598740740833335E-2</v>
      </c>
      <c r="E8" s="1542" t="s">
        <v>167</v>
      </c>
      <c r="F8" s="1546">
        <v>18</v>
      </c>
      <c r="G8" s="1542" t="s">
        <v>326</v>
      </c>
      <c r="H8" s="1543">
        <v>51.334699999999998</v>
      </c>
      <c r="M8" s="1532" t="s">
        <v>2212</v>
      </c>
      <c r="N8" s="1519">
        <f>[1]!qsn(N7,H7)</f>
        <v>180.40978226548199</v>
      </c>
      <c r="O8" s="1533">
        <v>4</v>
      </c>
      <c r="P8" s="238">
        <f>[1]!bait4(D5,D6,F5,H7,G5,D8)</f>
        <v>90.414786526128182</v>
      </c>
      <c r="Q8" s="1519">
        <f>N11</f>
        <v>90.414786526128182</v>
      </c>
      <c r="R8" s="1519">
        <f t="shared" si="7"/>
        <v>90</v>
      </c>
      <c r="S8" s="267">
        <f t="shared" si="8"/>
        <v>24.887191567690934</v>
      </c>
      <c r="T8" s="1519"/>
      <c r="U8" s="1534">
        <f t="shared" si="9"/>
        <v>27.831164340139331</v>
      </c>
      <c r="V8" s="1519">
        <f t="shared" si="10"/>
        <v>13.915582170069666</v>
      </c>
      <c r="W8" s="1519">
        <f>[1]!ebtedabait4(D5,D6,F5,H7,G5,D8)</f>
        <v>76.499204356058513</v>
      </c>
      <c r="X8" s="1535">
        <f t="shared" si="11"/>
        <v>76.499204356058513</v>
      </c>
      <c r="Y8" s="1519">
        <f t="shared" si="3"/>
        <v>5</v>
      </c>
      <c r="Z8" s="1519">
        <f t="shared" si="4"/>
        <v>104.41267733359165</v>
      </c>
      <c r="AA8" s="1781" t="s">
        <v>1537</v>
      </c>
      <c r="AB8" s="1782"/>
      <c r="AC8" s="1782" t="s">
        <v>2366</v>
      </c>
      <c r="AD8" s="1782" t="s">
        <v>172</v>
      </c>
      <c r="AE8" s="1782" t="s">
        <v>166</v>
      </c>
      <c r="AF8" s="1782" t="s">
        <v>167</v>
      </c>
      <c r="AG8" s="1782" t="s">
        <v>168</v>
      </c>
      <c r="AH8" s="1783" t="s">
        <v>3959</v>
      </c>
      <c r="AK8" s="1523" t="str">
        <f>IF(AH11=11,AA11,"-")</f>
        <v>-</v>
      </c>
      <c r="AL8" s="1536" t="str">
        <f>IF(AH16=11,AA16,"-")</f>
        <v>-</v>
      </c>
      <c r="AM8" s="1536"/>
      <c r="AN8" s="1548"/>
      <c r="AO8" s="1539" t="s">
        <v>2233</v>
      </c>
      <c r="AP8" s="1538" t="str">
        <f>IF(AH10=1,AA10,"-")</f>
        <v>-</v>
      </c>
      <c r="AQ8" s="1538" t="str">
        <f>IF(AH12=1,AA12,"-")</f>
        <v>-</v>
      </c>
      <c r="AR8" s="1538" t="str">
        <f>IF(AH15=1,AA15,"-")</f>
        <v>-</v>
      </c>
      <c r="AS8" s="1538"/>
      <c r="AT8" s="1538"/>
      <c r="AU8" s="1549" t="s">
        <v>2232</v>
      </c>
      <c r="AV8" s="1536" t="str">
        <f>IF(AH10=3,AA10,"-")</f>
        <v>-</v>
      </c>
      <c r="AW8" s="1536" t="str">
        <f>IF(AH12=3,AA12,"-")</f>
        <v>-</v>
      </c>
      <c r="AX8" s="1536" t="str">
        <f>IF(AH15=3,AA15,"-")</f>
        <v>-</v>
      </c>
      <c r="AY8" s="1530"/>
      <c r="BB8" s="1675" t="s">
        <v>4166</v>
      </c>
      <c r="BC8" s="1676" t="s">
        <v>4167</v>
      </c>
      <c r="BD8" s="1677" t="s">
        <v>219</v>
      </c>
      <c r="BE8" s="1677" t="s">
        <v>166</v>
      </c>
      <c r="BF8" s="1678" t="s">
        <v>167</v>
      </c>
      <c r="BG8" s="1679" t="s">
        <v>4168</v>
      </c>
      <c r="BH8" s="1679" t="s">
        <v>4167</v>
      </c>
      <c r="BI8" s="1679" t="s">
        <v>219</v>
      </c>
      <c r="BJ8" s="1679" t="s">
        <v>166</v>
      </c>
      <c r="BK8" s="1680" t="s">
        <v>167</v>
      </c>
      <c r="BL8" s="1795">
        <f>[1]!movajjeh(BC3,BC4,BC5,BE6,BH6,BH5)</f>
        <v>2</v>
      </c>
    </row>
    <row r="9" spans="2:65" ht="24.75">
      <c r="B9" s="1545"/>
      <c r="C9" s="1550" t="s">
        <v>378</v>
      </c>
      <c r="D9" s="1551">
        <f>[1]!taqsh(D5,D6,D7,D8)</f>
        <v>1.0596241224902769E-5</v>
      </c>
      <c r="E9" s="1552">
        <f t="shared" ref="E9:E17" si="12">INT(ABS(D9))</f>
        <v>0</v>
      </c>
      <c r="F9" s="1552">
        <f t="shared" ref="F9:F17" si="13">INT((ABS(D9)-E9)*60)</f>
        <v>0</v>
      </c>
      <c r="G9" s="1552">
        <f t="shared" ref="G9:G17" si="14">INT((((ABS(D9)-E9)*60)-F9)*60)</f>
        <v>0</v>
      </c>
      <c r="H9" s="1552">
        <f t="shared" ref="H9:H17" si="15">INT((((((ABS(D9)-E9)*60)-F9)*60)-G9)*60)</f>
        <v>2</v>
      </c>
      <c r="I9" s="1553"/>
      <c r="J9" s="1553"/>
      <c r="K9" s="1553"/>
      <c r="L9" s="1553"/>
      <c r="M9" s="1532" t="s">
        <v>2214</v>
      </c>
      <c r="N9" s="1519">
        <f>N8/6</f>
        <v>30.068297044247</v>
      </c>
      <c r="O9" s="1533">
        <v>5</v>
      </c>
      <c r="P9" s="238">
        <f>[1]!bait5(D5,D6,F5,H7,G5,D8)</f>
        <v>118.41056814105511</v>
      </c>
      <c r="Q9" s="1519">
        <f>N16</f>
        <v>118.41056814105511</v>
      </c>
      <c r="R9" s="1519">
        <f t="shared" si="7"/>
        <v>118</v>
      </c>
      <c r="S9" s="267">
        <f t="shared" si="8"/>
        <v>24.634088463306512</v>
      </c>
      <c r="T9" s="1519">
        <f>[1]!beyt5b(D5,D6,D7,D8,H7)</f>
        <v>300.0355723819884</v>
      </c>
      <c r="U9" s="1534">
        <f t="shared" si="9"/>
        <v>27.995781614926926</v>
      </c>
      <c r="V9" s="1519">
        <f t="shared" si="10"/>
        <v>13.997890807463463</v>
      </c>
      <c r="W9" s="1519">
        <f>[1]!ebtedabait5(D5,D6,F5,H7,G5,D8)</f>
        <v>104.41267733359165</v>
      </c>
      <c r="X9" s="1535">
        <f t="shared" si="11"/>
        <v>104.41267733359165</v>
      </c>
      <c r="Y9" s="1519">
        <f t="shared" si="3"/>
        <v>6</v>
      </c>
      <c r="Z9" s="1519">
        <f t="shared" si="4"/>
        <v>133.42269153897541</v>
      </c>
      <c r="AA9" s="1778" t="s">
        <v>1544</v>
      </c>
      <c r="AB9" s="1779" t="s">
        <v>1481</v>
      </c>
      <c r="AC9" s="1779">
        <f>D9</f>
        <v>1.0596241224902769E-5</v>
      </c>
      <c r="AD9" s="1773">
        <f t="shared" ref="AD9:AD14" si="16">INT(ABS(AC9))</f>
        <v>0</v>
      </c>
      <c r="AE9" s="1773">
        <f t="shared" ref="AE9:AE14" si="17">INT((ABS(AC9)-AD9)*60)</f>
        <v>0</v>
      </c>
      <c r="AF9" s="1773">
        <f t="shared" ref="AF9:AF14" si="18">INT((((ABS(AC9)-AD9)*60)-AE9)*60)</f>
        <v>0</v>
      </c>
      <c r="AG9" s="1773">
        <f t="shared" ref="AG9:AG14" si="19">INT((((((ABS(AC9)-AD9)*60)-AE9)*60)-AF9)*60)</f>
        <v>2</v>
      </c>
      <c r="AH9" s="1784">
        <f>IF(AND(AC9&gt;=Z$5,AC9&lt;Z$6),Y$5,IF(AND(AC9&lt;Z$7,AC9&gt;=Z$6),Y$6,IF(AND(AC9&lt;Z$8,AC9&gt;=Z$7),Y$7,IF(AND(AC9&lt;Z$9,AC9&gt;=Z$8),Y$8,IF(AND(AC9&lt;Z$10,AC9&gt;=Z$9),Y$9,IF(AND(AC9&lt;Z$11,AC9&gt;=Z$10),Y$10,IF(AND(AC9&lt;Z$12,AC9&gt;=Z$11),Y$11,IF(AND(AC9&lt;Z$13,AC9&gt;=Z$12),Y$12,IF(AND(AC9&lt;Z$14,AC9&gt;=Z$13),Y$13,IF(AND(AC9&lt;Z$15,AC9&gt;=Z$14),Y$14,IF(AND(AC9&lt;Z$16,AC9&gt;=Z$15),Y$15,Y$16)))))))))))</f>
        <v>1</v>
      </c>
      <c r="AI9" s="1496">
        <f>IF(AND(AC9&gt;=Z5,AC9&lt;Z6),Y5,IF(AND(AC9&lt;Z7,AC9&gt;=Z6),Y6,IF(AND(AC9&lt;Z8,AC9&gt;=Z7),Y7,IF(AND(AC9&lt;Z9,AC9&gt;=Z8),Y8,IF(AND(AC9&lt;Z10,AC9&gt;=Z9),Y9,IF(AND(AC9&lt;Z11,AC9&gt;=Z10),Y10,IF(AND(AC9&lt;Z12,AC9&gt;=Z11),Y11,IF(AND(AC9&lt;Z13,AC9&gt;=Z12),Y12,IF(AND(AC9&lt;Z14,AC9&gt;=Z13),Y13,IF(AND(AC9&lt;Z15,AC9&gt;=Z14),Y14,IF(AND(AC9&lt;Z16,AC9&gt;=Z15),Y15,Y16)))))))))))</f>
        <v>1</v>
      </c>
      <c r="AK9" s="1523" t="str">
        <f>IF(AH12=11,AA12,"-")</f>
        <v>-</v>
      </c>
      <c r="AL9" s="1536" t="str">
        <f>IF(AH17=11,AA17,"-")</f>
        <v>-</v>
      </c>
      <c r="AM9" s="1548"/>
      <c r="AN9" s="1538" t="s">
        <v>3963</v>
      </c>
      <c r="AO9" s="1538">
        <f>Q14</f>
        <v>270.41478652612818</v>
      </c>
      <c r="AP9" s="1539" t="s">
        <v>1710</v>
      </c>
      <c r="AQ9" s="1538" t="str">
        <f>IF(AH13=1,AA13,"-")</f>
        <v>-</v>
      </c>
      <c r="AR9" s="1538" t="str">
        <f>IF(AH16=1,AA16,"-")</f>
        <v>رأس</v>
      </c>
      <c r="AS9" s="1538"/>
      <c r="AT9" s="1555" t="s">
        <v>3963</v>
      </c>
      <c r="AU9" s="1538">
        <f>Q8</f>
        <v>90.414786526128182</v>
      </c>
      <c r="AV9" s="1539"/>
      <c r="AW9" s="1536" t="str">
        <f>IF(AH13=3,AA13,"-")</f>
        <v>-</v>
      </c>
      <c r="AX9" s="1536" t="str">
        <f>IF(AH16=3,AA16,"-")</f>
        <v>-</v>
      </c>
      <c r="AY9" s="1530"/>
      <c r="BB9" s="1663">
        <v>1</v>
      </c>
      <c r="BC9" s="1681">
        <f>[1]!vtoloo(BC3,BC4,BC5,BH6,BH5)</f>
        <v>7.2690197774973067</v>
      </c>
      <c r="BD9" s="1682">
        <f>INT(ABS(BC9))</f>
        <v>7</v>
      </c>
      <c r="BE9" s="1682">
        <f>INT((ABS(BC9)-BD9)*60)</f>
        <v>16</v>
      </c>
      <c r="BF9" s="1683">
        <f>INT((((ABS(BC9)-BD9)*60)-BE9)*60)</f>
        <v>8</v>
      </c>
      <c r="BG9" s="1684">
        <v>1</v>
      </c>
      <c r="BH9" s="1684">
        <f>[1]!vqoroob(BC3,BC4,BC5,BH6,BH5)</f>
        <v>17.020623256732875</v>
      </c>
      <c r="BI9" s="1685">
        <f>INT(ABS(BH9))</f>
        <v>17</v>
      </c>
      <c r="BJ9" s="1685">
        <f>INT((ABS(BH9)-BI9)*60)</f>
        <v>1</v>
      </c>
      <c r="BK9" s="1686">
        <f>INT((((ABS(BH9)-BI9)*60)-BJ9)*60)</f>
        <v>14</v>
      </c>
    </row>
    <row r="10" spans="2:65" ht="24.75">
      <c r="B10" s="1545"/>
      <c r="C10" s="1556" t="s">
        <v>227</v>
      </c>
      <c r="D10" s="1557">
        <f>[1]!ml(D5,D9)</f>
        <v>4.2124803394592357E-6</v>
      </c>
      <c r="E10" s="1558">
        <f t="shared" si="12"/>
        <v>0</v>
      </c>
      <c r="F10" s="1558">
        <f t="shared" si="13"/>
        <v>0</v>
      </c>
      <c r="G10" s="1558">
        <f t="shared" si="14"/>
        <v>0</v>
      </c>
      <c r="H10" s="1558">
        <f t="shared" si="15"/>
        <v>0</v>
      </c>
      <c r="I10" s="1557"/>
      <c r="J10" s="1557"/>
      <c r="K10" s="1557"/>
      <c r="L10" s="1557">
        <f>[1]!asher2(D5,D6,D7,D8,H7)</f>
        <v>270.41478652612818</v>
      </c>
      <c r="M10" s="1532" t="s">
        <v>2233</v>
      </c>
      <c r="N10" s="1519">
        <f>[1]!asher2(D5,D6,D7,D8,H7)</f>
        <v>270.41478652612818</v>
      </c>
      <c r="O10" s="1533">
        <v>6</v>
      </c>
      <c r="P10" s="238">
        <f>[1]!bait6(D5,D6,F5,H7,G5,D8)</f>
        <v>148.43481493689569</v>
      </c>
      <c r="Q10" s="1519">
        <f>N20</f>
        <v>148.43481493689569</v>
      </c>
      <c r="R10" s="1519">
        <f t="shared" si="7"/>
        <v>148</v>
      </c>
      <c r="S10" s="267">
        <f t="shared" si="8"/>
        <v>26.088896213741464</v>
      </c>
      <c r="T10" s="1519">
        <f>[1]!beyt6b(D5,D6,D7,D8,H7)</f>
        <v>329.99928026777741</v>
      </c>
      <c r="U10" s="1534">
        <f t="shared" si="9"/>
        <v>30.024246795840583</v>
      </c>
      <c r="V10" s="1519">
        <f t="shared" si="10"/>
        <v>15.012123397920291</v>
      </c>
      <c r="W10" s="1519">
        <f>[1]!ebtedabait6(D5,D6,F5,H7,G5,D8)</f>
        <v>133.42269153897541</v>
      </c>
      <c r="X10" s="1535">
        <f t="shared" si="11"/>
        <v>133.42269153897541</v>
      </c>
      <c r="Y10" s="1519">
        <f t="shared" si="3"/>
        <v>7</v>
      </c>
      <c r="Z10" s="1519">
        <f t="shared" si="4"/>
        <v>164.57537346795868</v>
      </c>
      <c r="AA10" s="1778" t="s">
        <v>849</v>
      </c>
      <c r="AB10" s="1779" t="s">
        <v>1481</v>
      </c>
      <c r="AC10" s="1779">
        <f>[1]!taqq(AC4,AC5,AC6,AC7)</f>
        <v>123.88984996271172</v>
      </c>
      <c r="AD10" s="1773">
        <f t="shared" si="16"/>
        <v>123</v>
      </c>
      <c r="AE10" s="1773">
        <f t="shared" si="17"/>
        <v>53</v>
      </c>
      <c r="AF10" s="1773">
        <f t="shared" si="18"/>
        <v>23</v>
      </c>
      <c r="AG10" s="1773">
        <f t="shared" si="19"/>
        <v>27</v>
      </c>
      <c r="AH10" s="1784">
        <f>IF(AND(AC10&gt;=Z$5,AC10&lt;Z$6),Y$5,IF(AND(AC10&lt;Z$7,AC10&gt;=Z$6),Y$6,IF(AND(AC10&lt;Z$8,AC10&gt;=Z$7),Y$7,IF(AND(AC10&lt;Z$9,AC10&gt;=Z$8),Y$8,IF(AND(AC10&lt;Z$10,AC10&gt;=Z$9),Y$9,IF(AND(AC10&lt;Z$11,AC10&gt;=Z$10),Y$10,IF(AND(AC10&lt;Z$12,AC10&gt;=Z$11),Y$11,IF(AND(AC10&lt;Z$13,AC10&gt;=Z$12),Y$12,IF(AND(AC10&lt;Z$14,AC10&gt;=Z$13),Y$13,IF(AND(AC10&lt;Z$15,AC10&gt;=Z$14),Y$14,IF(AND(AC10&lt;Z$16,AC10&gt;=Z$15),Y$15,Y$16)))))))))))</f>
        <v>5</v>
      </c>
      <c r="AK10" s="1523" t="str">
        <f>IF(AH13=11,AA13,"-")</f>
        <v>-</v>
      </c>
      <c r="AL10" s="1548"/>
      <c r="AM10" s="1538" t="str">
        <f>IF(AH10=10,AA10,"-")</f>
        <v>-</v>
      </c>
      <c r="AN10" s="1538" t="str">
        <f>IF(AH13=10,AA13,"-")</f>
        <v>-</v>
      </c>
      <c r="AO10" s="1538" t="str">
        <f>IF(AH17=10,AA17,"-")</f>
        <v>-</v>
      </c>
      <c r="AP10" s="1538"/>
      <c r="AQ10" s="1539"/>
      <c r="AR10" s="1538" t="str">
        <f>IF(AH17=1,AA17,"-")</f>
        <v>-</v>
      </c>
      <c r="AS10" s="1555" t="s">
        <v>1704</v>
      </c>
      <c r="AT10" s="1538" t="str">
        <f>IF(AH9=4,AA9,"-")</f>
        <v>-</v>
      </c>
      <c r="AU10" s="1538" t="str">
        <f>IF(AH12=4,AA12,"-")</f>
        <v>-</v>
      </c>
      <c r="AV10" s="1538" t="str">
        <f>IF(AH16=4,AA16,"-")</f>
        <v>-</v>
      </c>
      <c r="AW10" s="1539"/>
      <c r="AX10" s="1559" t="str">
        <f>IF(AH17=3,AA17,"-")</f>
        <v>-</v>
      </c>
      <c r="AY10" s="1530"/>
      <c r="BB10" s="1687">
        <v>2</v>
      </c>
      <c r="BC10" s="1681">
        <f>IF(BC$9+(BC$7*BB9)&lt;24,BC$9+(BC$7*BB9),BC$9+(BC$7*BB9)-24)</f>
        <v>8.0816534007669372</v>
      </c>
      <c r="BD10" s="1682">
        <f t="shared" ref="BD10:BD20" si="20">INT(ABS(BC10))</f>
        <v>8</v>
      </c>
      <c r="BE10" s="1682">
        <f t="shared" ref="BE10:BE20" si="21">INT((ABS(BC10)-BD10)*60)</f>
        <v>4</v>
      </c>
      <c r="BF10" s="1683">
        <f t="shared" ref="BF10:BF20" si="22">INT((((ABS(BC10)-BD10)*60)-BE10)*60)</f>
        <v>53</v>
      </c>
      <c r="BG10" s="1684">
        <v>2</v>
      </c>
      <c r="BH10" s="1684">
        <f t="shared" ref="BH10:BH20" si="23">IF(BH$9+(BH$7*BG9)&lt;24,BH$9+(BH$7*BG9),BH$9+(BH$7*BG9)-24)</f>
        <v>18.207989633463246</v>
      </c>
      <c r="BI10" s="1685">
        <f t="shared" ref="BI10:BI20" si="24">INT(ABS(BH10))</f>
        <v>18</v>
      </c>
      <c r="BJ10" s="1685">
        <f t="shared" ref="BJ10:BJ20" si="25">INT((ABS(BH10)-BI10)*60)</f>
        <v>12</v>
      </c>
      <c r="BK10" s="1686">
        <f t="shared" ref="BK10:BK20" si="26">INT((((ABS(BH10)-BI10)*60)-BJ10)*60)</f>
        <v>28</v>
      </c>
    </row>
    <row r="11" spans="2:65" ht="24.75">
      <c r="B11" s="1545"/>
      <c r="C11" s="1556" t="s">
        <v>364</v>
      </c>
      <c r="D11" s="1557">
        <f>[1]!qsn(D10,H7)</f>
        <v>180.00000606510383</v>
      </c>
      <c r="E11" s="1558">
        <f t="shared" si="12"/>
        <v>180</v>
      </c>
      <c r="F11" s="1558">
        <f t="shared" si="13"/>
        <v>0</v>
      </c>
      <c r="G11" s="1558">
        <f t="shared" si="14"/>
        <v>0</v>
      </c>
      <c r="H11" s="1558">
        <f t="shared" si="15"/>
        <v>1</v>
      </c>
      <c r="I11" s="1557"/>
      <c r="J11" s="1557"/>
      <c r="K11" s="1557"/>
      <c r="L11" s="1557"/>
      <c r="M11" s="1532" t="s">
        <v>2232</v>
      </c>
      <c r="N11" s="1519">
        <f>[1]!tq(N10+180)</f>
        <v>90.414786526128182</v>
      </c>
      <c r="O11" s="1533">
        <v>7</v>
      </c>
      <c r="P11" s="238">
        <f>[1]!bait7(D5,D6,F5,H7,G5,D8)</f>
        <v>180.71593199902168</v>
      </c>
      <c r="Q11" s="1519">
        <f>N6</f>
        <v>180.71593199902168</v>
      </c>
      <c r="R11" s="1519">
        <f t="shared" si="7"/>
        <v>180</v>
      </c>
      <c r="S11" s="267">
        <f t="shared" si="8"/>
        <v>42.955919941300635</v>
      </c>
      <c r="T11" s="1519"/>
      <c r="U11" s="1534">
        <f t="shared" si="9"/>
        <v>32.281117062125986</v>
      </c>
      <c r="V11" s="1519">
        <f t="shared" si="10"/>
        <v>16.140558531062993</v>
      </c>
      <c r="W11" s="1519">
        <f>[1]!ebtedabait7(D5,D6,F5,H7,G5,D8)</f>
        <v>164.57537346795868</v>
      </c>
      <c r="X11" s="1535">
        <f t="shared" si="11"/>
        <v>164.57537346795868</v>
      </c>
      <c r="Y11" s="1519">
        <f t="shared" si="3"/>
        <v>8</v>
      </c>
      <c r="Z11" s="1519">
        <f t="shared" si="4"/>
        <v>196.75330899686338</v>
      </c>
      <c r="AA11" s="1778" t="s">
        <v>1291</v>
      </c>
      <c r="AB11" s="1779" t="s">
        <v>1481</v>
      </c>
      <c r="AC11" s="1779">
        <f>[1]!taqota(AC4,AC5,AC6,AC7)</f>
        <v>17.408576578622448</v>
      </c>
      <c r="AD11" s="1773">
        <f t="shared" si="16"/>
        <v>17</v>
      </c>
      <c r="AE11" s="1773">
        <f t="shared" si="17"/>
        <v>24</v>
      </c>
      <c r="AF11" s="1773">
        <f t="shared" si="18"/>
        <v>30</v>
      </c>
      <c r="AG11" s="1773">
        <f t="shared" si="19"/>
        <v>52</v>
      </c>
      <c r="AH11" s="1784">
        <f>IF(AND(AC11&gt;=Z$5,AC11&lt;Z$6),Y$5,IF(AND(AC11&lt;Z$7,AC11&gt;=Z$6),Y$6,IF(AND(AC11&lt;Z$8,AC11&gt;=Z$7),Y$7,IF(AND(AC11&lt;Z$9,AC11&gt;=Z$8),Y$8,IF(AND(AC11&lt;Z$10,AC11&gt;=Z$9),Y$9,IF(AND(AC11&lt;Z$11,AC11&gt;=Z$10),Y$10,IF(AND(AC11&lt;Z$12,AC11&gt;=Z$11),Y$11,IF(AND(AC11&lt;Z$13,AC11&gt;=Z$12),Y$12,IF(AND(AC11&lt;Z$14,AC11&gt;=Z$13),Y$13,IF(AND(AC11&lt;Z$15,AC11&gt;=Z$14),Y$14,IF(AND(AC11&lt;Z$16,AC11&gt;=Z$15),Y$15,Y$16)))))))))))</f>
        <v>2</v>
      </c>
      <c r="AK11" s="1560"/>
      <c r="AL11" s="1538" t="str">
        <f>IF(AH9=10,AA9,"-")</f>
        <v>-</v>
      </c>
      <c r="AM11" s="1538" t="str">
        <f>IF(AH11=10,AA11,"-")</f>
        <v>-</v>
      </c>
      <c r="AN11" s="1538" t="str">
        <f>IF(AH14=10,AA14,"-")</f>
        <v>-</v>
      </c>
      <c r="AO11" s="1538"/>
      <c r="AP11" s="1538"/>
      <c r="AQ11" s="1538"/>
      <c r="AR11" s="1549" t="s">
        <v>2234</v>
      </c>
      <c r="AS11" s="1538"/>
      <c r="AT11" s="1538" t="str">
        <f>IF(AH10=4,AA10,"-")</f>
        <v>-</v>
      </c>
      <c r="AU11" s="1538" t="str">
        <f>IF(AH13=4,AA13,"-")</f>
        <v>-</v>
      </c>
      <c r="AV11" s="1538" t="str">
        <f>IF(AH17=4,AA17,"-")</f>
        <v>-</v>
      </c>
      <c r="AW11" s="1538"/>
      <c r="AX11" s="1561"/>
      <c r="AY11" s="1562"/>
      <c r="BB11" s="1687">
        <v>3</v>
      </c>
      <c r="BC11" s="1681">
        <f>IF(BC$9+(BC$7*BB10)&lt;24,BC$9+(BC$7*BB10),BC$9+(BC$7*BB10)-24)</f>
        <v>8.8942870240365686</v>
      </c>
      <c r="BD11" s="1682">
        <f t="shared" si="20"/>
        <v>8</v>
      </c>
      <c r="BE11" s="1682">
        <f t="shared" si="21"/>
        <v>53</v>
      </c>
      <c r="BF11" s="1683">
        <f t="shared" si="22"/>
        <v>39</v>
      </c>
      <c r="BG11" s="1684">
        <v>3</v>
      </c>
      <c r="BH11" s="1684">
        <f t="shared" si="23"/>
        <v>19.395356010193613</v>
      </c>
      <c r="BI11" s="1685">
        <f t="shared" si="24"/>
        <v>19</v>
      </c>
      <c r="BJ11" s="1685">
        <f t="shared" si="25"/>
        <v>23</v>
      </c>
      <c r="BK11" s="1686">
        <f t="shared" si="26"/>
        <v>43</v>
      </c>
    </row>
    <row r="12" spans="2:65" ht="24.75">
      <c r="B12" s="1545"/>
      <c r="C12" s="1556" t="s">
        <v>421</v>
      </c>
      <c r="D12" s="1557">
        <f>[1]!qsl(D10,H7)</f>
        <v>179.99999393489617</v>
      </c>
      <c r="E12" s="1558">
        <f t="shared" si="12"/>
        <v>179</v>
      </c>
      <c r="F12" s="1558">
        <f t="shared" si="13"/>
        <v>59</v>
      </c>
      <c r="G12" s="1558">
        <f t="shared" si="14"/>
        <v>59</v>
      </c>
      <c r="H12" s="1558">
        <f t="shared" si="15"/>
        <v>58</v>
      </c>
      <c r="I12" s="1557"/>
      <c r="J12" s="1557"/>
      <c r="K12" s="1557"/>
      <c r="L12" s="1557"/>
      <c r="M12" s="1532" t="s">
        <v>2215</v>
      </c>
      <c r="N12" s="1519">
        <f>[1]!mtb(D5,N5,H7)</f>
        <v>0.45204114188968608</v>
      </c>
      <c r="O12" s="1533">
        <v>8</v>
      </c>
      <c r="P12" s="238">
        <f>[1]!bait8(D5,D6,F5,H7,G5,D8)</f>
        <v>212.79068599470509</v>
      </c>
      <c r="Q12" s="1519">
        <f>N24</f>
        <v>212.79068599470509</v>
      </c>
      <c r="R12" s="1519">
        <f t="shared" si="7"/>
        <v>212</v>
      </c>
      <c r="S12" s="267">
        <f t="shared" si="8"/>
        <v>47.44115968230517</v>
      </c>
      <c r="T12" s="1519">
        <f>[1]!beyt8b(D5,D6,D7,D8,H7)</f>
        <v>180</v>
      </c>
      <c r="U12" s="1534">
        <f t="shared" si="9"/>
        <v>32.074753995683409</v>
      </c>
      <c r="V12" s="1519">
        <f t="shared" si="10"/>
        <v>16.037376997841704</v>
      </c>
      <c r="W12" s="1519">
        <f>[1]!ebtedabait8(D5,D6,F5,H7,G5,D8)</f>
        <v>196.75330899686338</v>
      </c>
      <c r="X12" s="1535">
        <f t="shared" si="11"/>
        <v>196.75330899686338</v>
      </c>
      <c r="Y12" s="1519">
        <f t="shared" si="3"/>
        <v>9</v>
      </c>
      <c r="Z12" s="1519">
        <f t="shared" si="4"/>
        <v>227.68715409034695</v>
      </c>
      <c r="AA12" s="1778" t="s">
        <v>1290</v>
      </c>
      <c r="AB12" s="1779" t="s">
        <v>1481</v>
      </c>
      <c r="AC12" s="1779">
        <f>[1]!taqzohre(AC4,AC5,AC6,AC7)</f>
        <v>340.37265545575474</v>
      </c>
      <c r="AD12" s="1773">
        <f t="shared" si="16"/>
        <v>340</v>
      </c>
      <c r="AE12" s="1773">
        <f t="shared" si="17"/>
        <v>22</v>
      </c>
      <c r="AF12" s="1773">
        <f t="shared" si="18"/>
        <v>21</v>
      </c>
      <c r="AG12" s="1773">
        <f t="shared" si="19"/>
        <v>33</v>
      </c>
      <c r="AH12" s="1784">
        <f t="shared" ref="AH12:AH16" si="27">IF(AND(AC12&gt;=Z$5,AC12&lt;Z$6),Y$5,IF(AND(AC12&lt;Z$7,AC12&gt;=Z$6),Y$6,IF(AND(AC12&lt;Z$8,AC12&gt;=Z$7),Y$7,IF(AND(AC12&lt;Z$9,AC12&gt;=Z$8),Y$8,IF(AND(AC12&lt;Z$10,AC12&gt;=Z$9),Y$9,IF(AND(AC12&lt;Z$11,AC12&gt;=Z$10),Y$10,IF(AND(AC12&lt;Z$12,AC12&gt;=Z$11),Y$11,IF(AND(AC12&lt;Z$13,AC12&gt;=Z$12),Y$12,IF(AND(AC12&lt;Z$14,AC12&gt;=Z$13),Y$13,IF(AND(AC12&lt;Z$15,AC12&gt;=Z$14),Y$14,IF(AND(AC12&lt;Z$16,AC12&gt;=Z$15),Y$15,Y$16)))))))))))</f>
        <v>12</v>
      </c>
      <c r="AK12" s="1523" t="s">
        <v>3964</v>
      </c>
      <c r="AL12" s="1537" t="s">
        <v>1709</v>
      </c>
      <c r="AM12" s="1538" t="str">
        <f>IF(AH12=10,AA12,"-")</f>
        <v>-</v>
      </c>
      <c r="AN12" s="1538" t="str">
        <f>IF(AH15=10,AA15,"-")</f>
        <v>-</v>
      </c>
      <c r="AO12" s="1538"/>
      <c r="AP12" s="1538"/>
      <c r="AQ12" s="1555" t="s">
        <v>3963</v>
      </c>
      <c r="AR12" s="1538">
        <f>Q11</f>
        <v>180.71593199902168</v>
      </c>
      <c r="AS12" s="1539" t="s">
        <v>1707</v>
      </c>
      <c r="AT12" s="1538" t="str">
        <f>IF(AH11=4,AA11,"-")</f>
        <v>-</v>
      </c>
      <c r="AU12" s="1538" t="str">
        <f>IF(AH14=4,AA14,"-")</f>
        <v>-</v>
      </c>
      <c r="AV12" s="1538"/>
      <c r="AW12" s="1563"/>
      <c r="AX12" s="1536" t="s">
        <v>2230</v>
      </c>
      <c r="AY12" s="1530" t="s">
        <v>1705</v>
      </c>
      <c r="BB12" s="1687">
        <v>4</v>
      </c>
      <c r="BC12" s="1681">
        <f t="shared" ref="BC12:BC20" si="28">IF(BC$9+(BC$7*BB11)&lt;24,BC$9+(BC$7*BB11),BC$9+(BC$7*BB11)-24)</f>
        <v>9.7069206473061982</v>
      </c>
      <c r="BD12" s="1682">
        <f t="shared" si="20"/>
        <v>9</v>
      </c>
      <c r="BE12" s="1682">
        <f t="shared" si="21"/>
        <v>42</v>
      </c>
      <c r="BF12" s="1683">
        <f t="shared" si="22"/>
        <v>24</v>
      </c>
      <c r="BG12" s="1684">
        <v>4</v>
      </c>
      <c r="BH12" s="1684">
        <f t="shared" si="23"/>
        <v>20.582722386923983</v>
      </c>
      <c r="BI12" s="1685">
        <f t="shared" si="24"/>
        <v>20</v>
      </c>
      <c r="BJ12" s="1685">
        <f t="shared" si="25"/>
        <v>34</v>
      </c>
      <c r="BK12" s="1686">
        <f t="shared" si="26"/>
        <v>57</v>
      </c>
    </row>
    <row r="13" spans="2:65" ht="24.75">
      <c r="B13" s="1545"/>
      <c r="C13" s="1556" t="s">
        <v>363</v>
      </c>
      <c r="D13" s="1557">
        <f>D11/2</f>
        <v>90.000003032551916</v>
      </c>
      <c r="E13" s="1558">
        <f t="shared" si="12"/>
        <v>90</v>
      </c>
      <c r="F13" s="1558">
        <f t="shared" si="13"/>
        <v>0</v>
      </c>
      <c r="G13" s="1558">
        <f t="shared" si="14"/>
        <v>0</v>
      </c>
      <c r="H13" s="1558">
        <f t="shared" si="15"/>
        <v>0</v>
      </c>
      <c r="I13" s="1557"/>
      <c r="J13" s="1557"/>
      <c r="K13" s="1557"/>
      <c r="L13" s="1557"/>
      <c r="M13" s="1532" t="s">
        <v>2216</v>
      </c>
      <c r="N13" s="1519">
        <f>[1]!tq(N9+N12)</f>
        <v>30.520338186136687</v>
      </c>
      <c r="O13" s="1533">
        <v>9</v>
      </c>
      <c r="P13" s="238">
        <f>[1]!bait9(D5,D6,F5,H7,G5,D8)</f>
        <v>242.58362218598882</v>
      </c>
      <c r="Q13" s="1519">
        <f>N28</f>
        <v>242.58362218598882</v>
      </c>
      <c r="R13" s="1519">
        <f t="shared" si="7"/>
        <v>242</v>
      </c>
      <c r="S13" s="267">
        <f t="shared" si="8"/>
        <v>35.017331159328933</v>
      </c>
      <c r="T13" s="1519">
        <f>[1]!beyt9b(D5,D6,D7,D8,H7)</f>
        <v>61.185524809709932</v>
      </c>
      <c r="U13" s="1534">
        <f t="shared" si="9"/>
        <v>29.792936191283729</v>
      </c>
      <c r="V13" s="1519">
        <f t="shared" si="10"/>
        <v>14.896468095641865</v>
      </c>
      <c r="W13" s="1519">
        <f>[1]!ebtedabait9(D5,D6,F5,H7,G5,D8)</f>
        <v>227.68715409034695</v>
      </c>
      <c r="X13" s="1535">
        <f t="shared" si="11"/>
        <v>227.68715409034695</v>
      </c>
      <c r="Y13" s="1519">
        <f t="shared" si="3"/>
        <v>10</v>
      </c>
      <c r="Z13" s="1519">
        <f t="shared" si="4"/>
        <v>256.4992043560585</v>
      </c>
      <c r="AA13" s="1778" t="s">
        <v>687</v>
      </c>
      <c r="AB13" s="1779" t="s">
        <v>1481</v>
      </c>
      <c r="AC13" s="1779">
        <f>[1]!taqmer(AC4,AC5,AC6,AC7)</f>
        <v>327.73463375955555</v>
      </c>
      <c r="AD13" s="1773">
        <f t="shared" si="16"/>
        <v>327</v>
      </c>
      <c r="AE13" s="1773">
        <f t="shared" si="17"/>
        <v>44</v>
      </c>
      <c r="AF13" s="1773">
        <f t="shared" si="18"/>
        <v>4</v>
      </c>
      <c r="AG13" s="1773">
        <f t="shared" si="19"/>
        <v>40</v>
      </c>
      <c r="AH13" s="1784">
        <f t="shared" si="27"/>
        <v>12</v>
      </c>
      <c r="AK13" s="1523" t="s">
        <v>3963</v>
      </c>
      <c r="AL13" s="1536">
        <f>Q13</f>
        <v>242.58362218598882</v>
      </c>
      <c r="AM13" s="1537"/>
      <c r="AN13" s="1564" t="str">
        <f>IF(AH16=10,AA16,"-")</f>
        <v>-</v>
      </c>
      <c r="AO13" s="1565"/>
      <c r="AP13" s="1555" t="str">
        <f>IF(AH10=7,AA10,"-")</f>
        <v>-</v>
      </c>
      <c r="AQ13" s="1538" t="str">
        <f>IF(AH13=7,AA13,"-")</f>
        <v>-</v>
      </c>
      <c r="AR13" s="1538" t="str">
        <f>IF(AH16=7,AA16,"-")</f>
        <v>-</v>
      </c>
      <c r="AS13" s="1538"/>
      <c r="AT13" s="1539"/>
      <c r="AU13" s="1538" t="str">
        <f>IF(AH15=4,AA15,"-")</f>
        <v>-</v>
      </c>
      <c r="AV13" s="1563"/>
      <c r="AW13" s="1536" t="s">
        <v>3963</v>
      </c>
      <c r="AX13" s="1536">
        <f>Q9</f>
        <v>118.41056814105511</v>
      </c>
      <c r="AY13" s="1530"/>
      <c r="BB13" s="1687">
        <v>5</v>
      </c>
      <c r="BC13" s="1681">
        <f t="shared" si="28"/>
        <v>10.51955427057583</v>
      </c>
      <c r="BD13" s="1682">
        <f t="shared" si="20"/>
        <v>10</v>
      </c>
      <c r="BE13" s="1682">
        <f t="shared" si="21"/>
        <v>31</v>
      </c>
      <c r="BF13" s="1683">
        <f t="shared" si="22"/>
        <v>10</v>
      </c>
      <c r="BG13" s="1684">
        <v>5</v>
      </c>
      <c r="BH13" s="1684">
        <f t="shared" si="23"/>
        <v>21.77008876365435</v>
      </c>
      <c r="BI13" s="1685">
        <f t="shared" si="24"/>
        <v>21</v>
      </c>
      <c r="BJ13" s="1685">
        <f t="shared" si="25"/>
        <v>46</v>
      </c>
      <c r="BK13" s="1686">
        <f t="shared" si="26"/>
        <v>12</v>
      </c>
    </row>
    <row r="14" spans="2:65" ht="24.75">
      <c r="B14" s="1545"/>
      <c r="C14" s="1556" t="s">
        <v>1316</v>
      </c>
      <c r="D14" s="1557">
        <f>D12/2</f>
        <v>89.999996967448084</v>
      </c>
      <c r="E14" s="1558">
        <f t="shared" si="12"/>
        <v>89</v>
      </c>
      <c r="F14" s="1558">
        <f t="shared" si="13"/>
        <v>59</v>
      </c>
      <c r="G14" s="1558">
        <f t="shared" si="14"/>
        <v>59</v>
      </c>
      <c r="H14" s="1558">
        <f t="shared" si="15"/>
        <v>59</v>
      </c>
      <c r="I14" s="1557"/>
      <c r="J14" s="1557"/>
      <c r="K14" s="1557"/>
      <c r="L14" s="1557"/>
      <c r="M14" s="1532" t="s">
        <v>2231</v>
      </c>
      <c r="N14" s="1519">
        <f>[1]!tl(D5,IF(N13-90&gt;0,N13-90,N13-90+360))</f>
        <v>298.41056814105508</v>
      </c>
      <c r="O14" s="1533">
        <v>10</v>
      </c>
      <c r="P14" s="238"/>
      <c r="Q14" s="1519">
        <f>N10</f>
        <v>270.41478652612818</v>
      </c>
      <c r="R14" s="1519">
        <f t="shared" si="7"/>
        <v>270</v>
      </c>
      <c r="S14" s="267">
        <f t="shared" si="8"/>
        <v>24.887191567690934</v>
      </c>
      <c r="T14" s="1519"/>
      <c r="U14" s="1534">
        <f t="shared" si="9"/>
        <v>27.831164340139367</v>
      </c>
      <c r="V14" s="1519">
        <f t="shared" si="10"/>
        <v>13.915582170069683</v>
      </c>
      <c r="W14" s="1519">
        <f>[1]!ebtedabait10(D5,D6,F5,H7,G5,D8)</f>
        <v>256.4992043560585</v>
      </c>
      <c r="X14" s="1535">
        <f t="shared" si="11"/>
        <v>256.4992043560585</v>
      </c>
      <c r="Y14" s="1519">
        <f t="shared" si="3"/>
        <v>11</v>
      </c>
      <c r="Z14" s="1519">
        <f t="shared" si="4"/>
        <v>284.41267733359166</v>
      </c>
      <c r="AA14" s="1778" t="s">
        <v>1292</v>
      </c>
      <c r="AB14" s="1779" t="s">
        <v>1481</v>
      </c>
      <c r="AC14" s="1779">
        <f>[1]!taqmosh(AC4,AC5,AC6,AC7)</f>
        <v>44.70844412987239</v>
      </c>
      <c r="AD14" s="1773">
        <f t="shared" si="16"/>
        <v>44</v>
      </c>
      <c r="AE14" s="1773">
        <f t="shared" si="17"/>
        <v>42</v>
      </c>
      <c r="AF14" s="1773">
        <f t="shared" si="18"/>
        <v>30</v>
      </c>
      <c r="AG14" s="1773">
        <f t="shared" si="19"/>
        <v>23</v>
      </c>
      <c r="AH14" s="1784">
        <f t="shared" si="27"/>
        <v>2</v>
      </c>
      <c r="AK14" s="1523" t="str">
        <f>IF(AH9=9,AA9,"-")</f>
        <v>-</v>
      </c>
      <c r="AL14" s="1536" t="str">
        <f>IF(AH13=9,AA13,"-")</f>
        <v>-</v>
      </c>
      <c r="AM14" s="1536" t="str">
        <f>IF(AH16=9,AA16,"-")</f>
        <v>-</v>
      </c>
      <c r="AN14" s="1566"/>
      <c r="AO14" s="1567" t="str">
        <f>IF(AH9=7,AA9,"-")</f>
        <v>-</v>
      </c>
      <c r="AP14" s="1538" t="str">
        <f>IF(AH11=7,AA11,"-")</f>
        <v>-</v>
      </c>
      <c r="AQ14" s="1538" t="str">
        <f>IF(AH14=7,AA14,"-")</f>
        <v>-</v>
      </c>
      <c r="AR14" s="1538" t="str">
        <f>IF(AH17=7,AA17,"-")</f>
        <v>ذنب</v>
      </c>
      <c r="AS14" s="1538"/>
      <c r="AT14" s="1538"/>
      <c r="AU14" s="1568"/>
      <c r="AV14" s="1536" t="str">
        <f>IF(AH9=5,AA9,"-")</f>
        <v>-</v>
      </c>
      <c r="AW14" s="1536" t="str">
        <f>IF(AH10=5,AA10,"-")</f>
        <v>قمر</v>
      </c>
      <c r="AX14" s="1536" t="str">
        <f>IF(AH12=5,AA12,"-")</f>
        <v>-</v>
      </c>
      <c r="AY14" s="1530" t="str">
        <f>IF(AH15=5,AA15,"-")</f>
        <v>-</v>
      </c>
      <c r="BB14" s="1687">
        <v>6</v>
      </c>
      <c r="BC14" s="1681">
        <f t="shared" si="28"/>
        <v>11.332187893845461</v>
      </c>
      <c r="BD14" s="1682">
        <f t="shared" si="20"/>
        <v>11</v>
      </c>
      <c r="BE14" s="1682">
        <f t="shared" si="21"/>
        <v>19</v>
      </c>
      <c r="BF14" s="1683">
        <f t="shared" si="22"/>
        <v>55</v>
      </c>
      <c r="BG14" s="1684">
        <v>6</v>
      </c>
      <c r="BH14" s="1684">
        <f t="shared" si="23"/>
        <v>22.95745514038472</v>
      </c>
      <c r="BI14" s="1685">
        <f t="shared" si="24"/>
        <v>22</v>
      </c>
      <c r="BJ14" s="1685">
        <f t="shared" si="25"/>
        <v>57</v>
      </c>
      <c r="BK14" s="1686">
        <f t="shared" si="26"/>
        <v>26</v>
      </c>
    </row>
    <row r="15" spans="2:65" ht="24.75">
      <c r="B15" s="1545"/>
      <c r="C15" s="1556"/>
      <c r="D15" s="1557"/>
      <c r="E15" s="1558">
        <f t="shared" si="12"/>
        <v>0</v>
      </c>
      <c r="F15" s="1558">
        <f t="shared" si="13"/>
        <v>0</v>
      </c>
      <c r="G15" s="1558">
        <f t="shared" si="14"/>
        <v>0</v>
      </c>
      <c r="H15" s="1558">
        <f t="shared" si="15"/>
        <v>0</v>
      </c>
      <c r="I15" s="1557"/>
      <c r="J15" s="1557"/>
      <c r="K15" s="1557"/>
      <c r="L15" s="1557"/>
      <c r="M15" s="1532" t="s">
        <v>2217</v>
      </c>
      <c r="N15" s="1519">
        <f>[1]!ba(N13+180-90)</f>
        <v>120.52033818613668</v>
      </c>
      <c r="O15" s="1533">
        <v>11</v>
      </c>
      <c r="P15" s="238">
        <f>[1]!bait11(D5,D6,F5,H7,G5,D8)</f>
        <v>298.41056814105508</v>
      </c>
      <c r="Q15" s="1519">
        <f>N14</f>
        <v>298.41056814105508</v>
      </c>
      <c r="R15" s="1519">
        <f t="shared" si="7"/>
        <v>298</v>
      </c>
      <c r="S15" s="267">
        <f t="shared" si="8"/>
        <v>24.634088463304806</v>
      </c>
      <c r="T15" s="1519">
        <f>[1]!beyt11b(D5,D6,D7,D8,H7)</f>
        <v>120.0355723819884</v>
      </c>
      <c r="U15" s="1534">
        <f t="shared" si="9"/>
        <v>27.995781614926898</v>
      </c>
      <c r="V15" s="1519">
        <f t="shared" si="10"/>
        <v>13.997890807463449</v>
      </c>
      <c r="W15" s="1519">
        <f>[1]!ebtedabait11(D5,D6,F5,H7,G5,D8)</f>
        <v>284.41267733359166</v>
      </c>
      <c r="X15" s="1535">
        <f t="shared" si="11"/>
        <v>284.41267733359166</v>
      </c>
      <c r="Y15" s="1519">
        <f t="shared" si="3"/>
        <v>12</v>
      </c>
      <c r="Z15" s="1519">
        <f t="shared" si="4"/>
        <v>313.42269153897541</v>
      </c>
      <c r="AA15" s="1778" t="s">
        <v>1293</v>
      </c>
      <c r="AB15" s="1779" t="s">
        <v>1481</v>
      </c>
      <c r="AC15" s="1779">
        <f>[1]!taqzohal(AC4,AC5,AC6,AC7)</f>
        <v>341.08631113495625</v>
      </c>
      <c r="AD15" s="1773">
        <f t="shared" ref="AD15:AD17" si="29">INT(ABS(AC15))</f>
        <v>341</v>
      </c>
      <c r="AE15" s="1773">
        <f t="shared" ref="AE15:AE17" si="30">INT((ABS(AC15)-AD15)*60)</f>
        <v>5</v>
      </c>
      <c r="AF15" s="1773">
        <f t="shared" ref="AF15:AF17" si="31">INT((((ABS(AC15)-AD15)*60)-AE15)*60)</f>
        <v>10</v>
      </c>
      <c r="AG15" s="1773">
        <f t="shared" ref="AG15:AG17" si="32">INT((((((ABS(AC15)-AD15)*60)-AE15)*60)-AF15)*60)</f>
        <v>43</v>
      </c>
      <c r="AH15" s="1784">
        <f t="shared" si="27"/>
        <v>12</v>
      </c>
      <c r="AK15" s="1523" t="str">
        <f>IF(AH10=9,AA10,"-")</f>
        <v>-</v>
      </c>
      <c r="AL15" s="1536" t="str">
        <f>IF(AH14=9,AA14,"-")</f>
        <v>-</v>
      </c>
      <c r="AM15" s="1536" t="str">
        <f>IF(AH17=9,AA17,"-")</f>
        <v>-</v>
      </c>
      <c r="AN15" s="1570" t="s">
        <v>3963</v>
      </c>
      <c r="AO15" s="1571">
        <f>Q12</f>
        <v>212.79068599470509</v>
      </c>
      <c r="AP15" s="1538" t="str">
        <f>IF(AH12=7,AA12,"-")</f>
        <v>-</v>
      </c>
      <c r="AQ15" s="1538" t="str">
        <f>IF(AH15=7,AA15,"-")</f>
        <v>-</v>
      </c>
      <c r="AR15" s="1538"/>
      <c r="AS15" s="1538"/>
      <c r="AT15" s="1563"/>
      <c r="AU15" s="1525" t="s">
        <v>3963</v>
      </c>
      <c r="AV15" s="1571">
        <f>Q10</f>
        <v>148.43481493689569</v>
      </c>
      <c r="AW15" s="1536" t="str">
        <f>IF(AH11=5,AA11,"-")</f>
        <v>-</v>
      </c>
      <c r="AX15" s="1536" t="str">
        <f>IF(AH13=5,AA13,"-")</f>
        <v>-</v>
      </c>
      <c r="AY15" s="1530" t="str">
        <f>IF(AH16=5,AA16,"-")</f>
        <v>-</v>
      </c>
      <c r="BB15" s="1687">
        <v>7</v>
      </c>
      <c r="BC15" s="1681">
        <f t="shared" si="28"/>
        <v>12.144821517115091</v>
      </c>
      <c r="BD15" s="1682">
        <f t="shared" si="20"/>
        <v>12</v>
      </c>
      <c r="BE15" s="1682">
        <f t="shared" si="21"/>
        <v>8</v>
      </c>
      <c r="BF15" s="1683">
        <f t="shared" si="22"/>
        <v>41</v>
      </c>
      <c r="BG15" s="1684">
        <v>7</v>
      </c>
      <c r="BH15" s="1684">
        <f t="shared" si="23"/>
        <v>0.14482151711509061</v>
      </c>
      <c r="BI15" s="1685">
        <f t="shared" si="24"/>
        <v>0</v>
      </c>
      <c r="BJ15" s="1685">
        <f t="shared" si="25"/>
        <v>8</v>
      </c>
      <c r="BK15" s="1686">
        <f t="shared" si="26"/>
        <v>41</v>
      </c>
    </row>
    <row r="16" spans="2:65" ht="24.75">
      <c r="B16" s="1545"/>
      <c r="C16" s="1556" t="s">
        <v>1406</v>
      </c>
      <c r="D16" s="1557">
        <f>[1]!saat(D5,D6,D7,D8)</f>
        <v>15.037959621051094</v>
      </c>
      <c r="E16" s="1558">
        <f t="shared" si="12"/>
        <v>15</v>
      </c>
      <c r="F16" s="1558">
        <f t="shared" si="13"/>
        <v>2</v>
      </c>
      <c r="G16" s="1558">
        <f t="shared" si="14"/>
        <v>16</v>
      </c>
      <c r="H16" s="1558">
        <f t="shared" si="15"/>
        <v>39</v>
      </c>
      <c r="I16" s="1557"/>
      <c r="J16" s="1557"/>
      <c r="K16" s="1557"/>
      <c r="L16" s="1557"/>
      <c r="M16" s="1532" t="s">
        <v>2230</v>
      </c>
      <c r="N16" s="1519">
        <f>[1]!tl(D5,N15)</f>
        <v>118.41056814105511</v>
      </c>
      <c r="O16" s="1533">
        <v>12</v>
      </c>
      <c r="P16" s="238">
        <f>[1]!bait12(D5,D6,F5,H7,G5,D8)</f>
        <v>328.43481493689569</v>
      </c>
      <c r="Q16" s="1519">
        <f>N18</f>
        <v>328.43481493689569</v>
      </c>
      <c r="R16" s="1519">
        <f t="shared" si="7"/>
        <v>328</v>
      </c>
      <c r="S16" s="267">
        <f t="shared" si="8"/>
        <v>26.088896213741464</v>
      </c>
      <c r="T16" s="1519">
        <f>[1]!beyt12b(D5,D6,D7,D8,H7)</f>
        <v>149.99928026777741</v>
      </c>
      <c r="U16" s="1572">
        <f t="shared" si="9"/>
        <v>30.024246795840611</v>
      </c>
      <c r="V16" s="1573">
        <f t="shared" si="10"/>
        <v>15.012123397920305</v>
      </c>
      <c r="W16" s="1573">
        <f>[1]!ebtedabait12(D5,D6,F5,H7,G5,D8)</f>
        <v>313.42269153897541</v>
      </c>
      <c r="X16" s="1574">
        <f t="shared" si="11"/>
        <v>313.42269153897541</v>
      </c>
      <c r="Y16" s="1519">
        <f t="shared" si="3"/>
        <v>1</v>
      </c>
      <c r="Z16" s="1519">
        <f t="shared" si="4"/>
        <v>344.57537346795868</v>
      </c>
      <c r="AA16" s="1778" t="s">
        <v>3654</v>
      </c>
      <c r="AB16" s="1779" t="s">
        <v>1481</v>
      </c>
      <c r="AC16" s="1779">
        <f>[1]!rasq(AC4,AC5,AC6,AC7)</f>
        <v>16.568368490256603</v>
      </c>
      <c r="AD16" s="1773">
        <f t="shared" si="29"/>
        <v>16</v>
      </c>
      <c r="AE16" s="1773">
        <f t="shared" si="30"/>
        <v>34</v>
      </c>
      <c r="AF16" s="1773">
        <f t="shared" si="31"/>
        <v>6</v>
      </c>
      <c r="AG16" s="1773">
        <f t="shared" si="32"/>
        <v>7</v>
      </c>
      <c r="AH16" s="1784">
        <f t="shared" si="27"/>
        <v>1</v>
      </c>
      <c r="AK16" s="1523" t="str">
        <f>IF(AH11=9,AA11,"-")</f>
        <v>-</v>
      </c>
      <c r="AL16" s="1536" t="str">
        <f>IF(AH15=9,AA15,"-")</f>
        <v>-</v>
      </c>
      <c r="AM16" s="1570" t="str">
        <f>IF(AH9=8,AA9,"-")</f>
        <v>-</v>
      </c>
      <c r="AN16" s="1525" t="str">
        <f>IF(AH11=8,AA11,"-")</f>
        <v>-</v>
      </c>
      <c r="AO16" s="1525" t="str">
        <f>IF(AH13=8,AA13,"-")</f>
        <v>-</v>
      </c>
      <c r="AP16" s="1571" t="str">
        <f>IF(AH15=8,AA15,"-")</f>
        <v>-</v>
      </c>
      <c r="AQ16" s="1564"/>
      <c r="AR16" s="1538"/>
      <c r="AS16" s="1563"/>
      <c r="AT16" s="1525" t="str">
        <f>IF(AH10=6,AA10,"-")</f>
        <v>-</v>
      </c>
      <c r="AU16" s="1525" t="str">
        <f>IF(AH12=6,AA12,"-")</f>
        <v>-</v>
      </c>
      <c r="AV16" s="1525" t="str">
        <f>IF(AH14=6,AA14,"-")</f>
        <v>-</v>
      </c>
      <c r="AW16" s="1571" t="str">
        <f>IF(AH16=6,AA16,"-")</f>
        <v>-</v>
      </c>
      <c r="AX16" s="1536" t="str">
        <f>IF(AH14=5,AA14,"-")</f>
        <v>-</v>
      </c>
      <c r="AY16" s="1530" t="str">
        <f>IF(AH17=5,AA17,"-")</f>
        <v>-</v>
      </c>
      <c r="BB16" s="1687">
        <v>8</v>
      </c>
      <c r="BC16" s="1681">
        <f t="shared" si="28"/>
        <v>12.957455140384724</v>
      </c>
      <c r="BD16" s="1682">
        <f t="shared" si="20"/>
        <v>12</v>
      </c>
      <c r="BE16" s="1682">
        <f t="shared" si="21"/>
        <v>57</v>
      </c>
      <c r="BF16" s="1683">
        <f t="shared" si="22"/>
        <v>26</v>
      </c>
      <c r="BG16" s="1684">
        <v>8</v>
      </c>
      <c r="BH16" s="1684">
        <f t="shared" si="23"/>
        <v>1.3321878938454574</v>
      </c>
      <c r="BI16" s="1685">
        <f t="shared" si="24"/>
        <v>1</v>
      </c>
      <c r="BJ16" s="1685">
        <f t="shared" si="25"/>
        <v>19</v>
      </c>
      <c r="BK16" s="1686">
        <f t="shared" si="26"/>
        <v>55</v>
      </c>
    </row>
    <row r="17" spans="3:63" ht="25.5" thickBot="1">
      <c r="C17" s="1556" t="s">
        <v>2196</v>
      </c>
      <c r="D17" s="1557">
        <f>(360+0.985647331382888)/24</f>
        <v>15.041068638807621</v>
      </c>
      <c r="E17" s="1558">
        <f t="shared" si="12"/>
        <v>15</v>
      </c>
      <c r="F17" s="1558">
        <f t="shared" si="13"/>
        <v>2</v>
      </c>
      <c r="G17" s="1558">
        <f t="shared" si="14"/>
        <v>27</v>
      </c>
      <c r="H17" s="1558">
        <f t="shared" si="15"/>
        <v>50</v>
      </c>
      <c r="I17" s="1557"/>
      <c r="J17" s="1557"/>
      <c r="K17" s="1557"/>
      <c r="L17" s="1557"/>
      <c r="M17" s="1532" t="s">
        <v>2218</v>
      </c>
      <c r="N17" s="1519">
        <f>IF(N13+N9-90&gt;0,N13+N9-90,N13+N9-90+360)</f>
        <v>330.58863523038372</v>
      </c>
      <c r="O17" s="1575"/>
      <c r="P17" s="1575"/>
      <c r="Q17" s="1575"/>
      <c r="R17" s="1575"/>
      <c r="S17" s="1575"/>
      <c r="T17" s="1576"/>
      <c r="U17" s="1519"/>
      <c r="V17" s="1515"/>
      <c r="W17" s="1515"/>
      <c r="X17" s="1515"/>
      <c r="Y17" s="1515"/>
      <c r="Z17" s="1515"/>
      <c r="AA17" s="1785" t="s">
        <v>1545</v>
      </c>
      <c r="AB17" s="1786" t="s">
        <v>1481</v>
      </c>
      <c r="AC17" s="1774">
        <f>IF(AC16+180&lt;360,AC16+180,AC16-180)</f>
        <v>196.5683684902566</v>
      </c>
      <c r="AD17" s="1774">
        <f t="shared" si="29"/>
        <v>196</v>
      </c>
      <c r="AE17" s="1774">
        <f t="shared" si="30"/>
        <v>34</v>
      </c>
      <c r="AF17" s="1774">
        <f t="shared" si="31"/>
        <v>6</v>
      </c>
      <c r="AG17" s="1774">
        <f t="shared" si="32"/>
        <v>7</v>
      </c>
      <c r="AH17" s="1784">
        <f>IF(AND(AC17&gt;=Z$5,AC17&lt;Z$6),Y$5,IF(AND(AC17&lt;Z$7,AC17&gt;=Z$6),Y$6,IF(AND(AC17&lt;Z$8,AC17&gt;=Z$7),Y$7,IF(AND(AC17&lt;Z$9,AC17&gt;=Z$8),Y$8,IF(AND(AC17&lt;Z$10,AC17&gt;=Z$9),Y$9,IF(AND(AC17&lt;Z$11,AC17&gt;=Z$10),Y$10,IF(AND(AC17&lt;Z$12,AC17&gt;=Z$11),Y$11,IF(AND(AC17&lt;Z$13,AC17&gt;=Z$12),Y$12,IF(AND(AC17&lt;Z$14,AC17&gt;=Z$13),Y$13,IF(AND(AC17&lt;Z$15,AC17&gt;=Z$14),Y$14,IF(AND(AC17&lt;Z$16,AC17&gt;=Z$15),Y$15,Y$16)))))))))))</f>
        <v>7</v>
      </c>
      <c r="AK17" s="1523" t="str">
        <f>IF(AH12=9,AA12,"-")</f>
        <v>-</v>
      </c>
      <c r="AL17" s="1570" t="s">
        <v>2226</v>
      </c>
      <c r="AM17" s="1525" t="str">
        <f>IF(AH10=8,AA10,"-")</f>
        <v>-</v>
      </c>
      <c r="AN17" s="1525" t="str">
        <f>IF(AH12=8,AA12,"-")</f>
        <v>-</v>
      </c>
      <c r="AO17" s="1525" t="str">
        <f>IF(AH14=8,AA14,"-")</f>
        <v>-</v>
      </c>
      <c r="AP17" s="1525" t="str">
        <f>IF(AH16=8,AA16,"-")</f>
        <v>-</v>
      </c>
      <c r="AQ17" s="1571" t="str">
        <f>IF(AH17=8,AA17,"-")</f>
        <v>-</v>
      </c>
      <c r="AR17" s="1565"/>
      <c r="AS17" s="1525" t="str">
        <f>IF(AH9=6,AA9,"-")</f>
        <v>-</v>
      </c>
      <c r="AT17" s="1525" t="str">
        <f>IF(AH11=6,AA11,"-")</f>
        <v>-</v>
      </c>
      <c r="AU17" s="1525" t="str">
        <f>IF(AH13=6,AA13,"-")</f>
        <v>-</v>
      </c>
      <c r="AV17" s="1525" t="str">
        <f>IF(AH15=6,AA15,"-")</f>
        <v>-</v>
      </c>
      <c r="AW17" s="1525" t="str">
        <f>IF(AH17=6,AA17,"-")</f>
        <v>-</v>
      </c>
      <c r="AX17" s="1571" t="s">
        <v>2228</v>
      </c>
      <c r="AY17" s="1530"/>
      <c r="BB17" s="1687">
        <v>9</v>
      </c>
      <c r="BC17" s="1681">
        <f t="shared" si="28"/>
        <v>13.770088763654353</v>
      </c>
      <c r="BD17" s="1682">
        <f t="shared" si="20"/>
        <v>13</v>
      </c>
      <c r="BE17" s="1682">
        <f t="shared" si="21"/>
        <v>46</v>
      </c>
      <c r="BF17" s="1683">
        <f t="shared" si="22"/>
        <v>12</v>
      </c>
      <c r="BG17" s="1684">
        <v>9</v>
      </c>
      <c r="BH17" s="1684">
        <f t="shared" si="23"/>
        <v>2.5195542705758278</v>
      </c>
      <c r="BI17" s="1685">
        <f t="shared" si="24"/>
        <v>2</v>
      </c>
      <c r="BJ17" s="1685">
        <f t="shared" si="25"/>
        <v>31</v>
      </c>
      <c r="BK17" s="1686">
        <f t="shared" si="26"/>
        <v>10</v>
      </c>
    </row>
    <row r="18" spans="3:63" ht="24" thickBot="1">
      <c r="C18" s="1556"/>
      <c r="D18" s="1577" t="s">
        <v>3955</v>
      </c>
      <c r="E18" s="1578"/>
      <c r="F18" s="1578"/>
      <c r="G18" s="1578"/>
      <c r="H18" s="1579"/>
      <c r="I18" s="1577" t="s">
        <v>3956</v>
      </c>
      <c r="J18" s="1580"/>
      <c r="K18" s="1580"/>
      <c r="L18" s="1580"/>
      <c r="M18" s="1532" t="s">
        <v>2229</v>
      </c>
      <c r="N18" s="1519">
        <f>[1]!tl(D5,N17)</f>
        <v>328.43481493689569</v>
      </c>
      <c r="O18" s="1575"/>
      <c r="P18" s="1575"/>
      <c r="Q18" s="1575"/>
      <c r="R18" s="1575"/>
      <c r="S18" s="1575"/>
      <c r="T18" s="1576"/>
      <c r="U18" s="1519"/>
      <c r="V18" s="1519"/>
      <c r="W18" s="1519"/>
      <c r="X18" s="1519"/>
      <c r="Y18" s="1519"/>
      <c r="Z18" s="1547"/>
      <c r="AA18" s="1581"/>
      <c r="AB18" s="1545"/>
      <c r="AC18" s="1545"/>
      <c r="AK18" s="1597"/>
      <c r="AL18" s="1596" t="s">
        <v>3966</v>
      </c>
      <c r="AM18" s="1596"/>
      <c r="AN18" s="1596"/>
      <c r="AO18" s="1596"/>
      <c r="AP18" s="1596"/>
      <c r="AQ18" s="1596"/>
      <c r="AR18" s="1598"/>
      <c r="AS18" s="1596" t="s">
        <v>1706</v>
      </c>
      <c r="AT18" s="1596"/>
      <c r="AU18" s="1596"/>
      <c r="AV18" s="1596"/>
      <c r="AW18" s="1596"/>
      <c r="AX18" s="1599"/>
      <c r="AY18" s="1088"/>
      <c r="BB18" s="1687">
        <v>10</v>
      </c>
      <c r="BC18" s="1681">
        <f t="shared" si="28"/>
        <v>14.582722386923983</v>
      </c>
      <c r="BD18" s="1682">
        <f t="shared" si="20"/>
        <v>14</v>
      </c>
      <c r="BE18" s="1682">
        <f t="shared" si="21"/>
        <v>34</v>
      </c>
      <c r="BF18" s="1683">
        <f t="shared" si="22"/>
        <v>57</v>
      </c>
      <c r="BG18" s="1684">
        <v>10</v>
      </c>
      <c r="BH18" s="1684">
        <f t="shared" si="23"/>
        <v>3.7069206473061982</v>
      </c>
      <c r="BI18" s="1685">
        <f t="shared" si="24"/>
        <v>3</v>
      </c>
      <c r="BJ18" s="1685">
        <f t="shared" si="25"/>
        <v>42</v>
      </c>
      <c r="BK18" s="1686">
        <f t="shared" si="26"/>
        <v>24</v>
      </c>
    </row>
    <row r="19" spans="3:63" ht="24" thickBot="1">
      <c r="C19" s="1556" t="s">
        <v>2201</v>
      </c>
      <c r="D19" s="1582">
        <f>D13/D16</f>
        <v>5.9848546811207139</v>
      </c>
      <c r="E19" s="1558">
        <f t="shared" ref="E19:E27" si="33">INT(ABS(D19))</f>
        <v>5</v>
      </c>
      <c r="F19" s="1558">
        <f t="shared" ref="F19:F27" si="34">INT((ABS(D19)-E19)*60)</f>
        <v>59</v>
      </c>
      <c r="G19" s="1558">
        <f t="shared" ref="G19:G27" si="35">INT((((ABS(D19)-E19)*60)-F19)*60)</f>
        <v>5</v>
      </c>
      <c r="H19" s="1583">
        <f t="shared" ref="H19:H27" si="36">INT((((((ABS(D19)-E19)*60)-F19)*60)-G19)*60)</f>
        <v>28</v>
      </c>
      <c r="I19" s="1582">
        <f>D13/D17</f>
        <v>5.9836176001711712</v>
      </c>
      <c r="J19" s="1558">
        <f t="shared" ref="J19:J26" si="37">INT(ABS(I19))</f>
        <v>5</v>
      </c>
      <c r="K19" s="1558">
        <f t="shared" ref="K19:K26" si="38">INT((ABS(I19)-J19)*60)</f>
        <v>59</v>
      </c>
      <c r="L19" s="1558">
        <f t="shared" ref="L19:L26" si="39">INT((((ABS(I19)-J19)*60)-K19)*60)</f>
        <v>1</v>
      </c>
      <c r="M19" s="1532" t="s">
        <v>2219</v>
      </c>
      <c r="N19" s="1519">
        <f>[1]!ba(N17+180)</f>
        <v>150.58863523038372</v>
      </c>
      <c r="O19" s="1575"/>
      <c r="P19" s="1575"/>
      <c r="Q19" s="1575"/>
      <c r="R19" s="1575"/>
      <c r="S19" s="1575"/>
      <c r="T19" s="1576"/>
      <c r="U19" s="1519"/>
      <c r="V19" s="1519"/>
      <c r="W19" s="1519"/>
      <c r="X19" s="1519"/>
      <c r="Y19" s="1519"/>
      <c r="Z19" s="1547"/>
      <c r="AA19" s="1581"/>
      <c r="AB19"/>
      <c r="AC19"/>
      <c r="AD19"/>
      <c r="AE19"/>
      <c r="AF19"/>
      <c r="AG19"/>
      <c r="AH19"/>
      <c r="AI19"/>
      <c r="AJ19"/>
      <c r="AK19"/>
      <c r="AL19"/>
      <c r="AM19"/>
      <c r="AN19"/>
      <c r="AO19"/>
      <c r="AP19"/>
      <c r="AQ19"/>
      <c r="AR19"/>
      <c r="AS19"/>
      <c r="AT19"/>
      <c r="AU19"/>
      <c r="AV19"/>
      <c r="AW19"/>
      <c r="AX19"/>
      <c r="AY19" s="1496" t="s">
        <v>1674</v>
      </c>
      <c r="BB19" s="1687">
        <v>11</v>
      </c>
      <c r="BC19" s="1681">
        <f t="shared" si="28"/>
        <v>15.395356010193616</v>
      </c>
      <c r="BD19" s="1682">
        <f t="shared" si="20"/>
        <v>15</v>
      </c>
      <c r="BE19" s="1682">
        <f t="shared" si="21"/>
        <v>23</v>
      </c>
      <c r="BF19" s="1683">
        <f t="shared" si="22"/>
        <v>43</v>
      </c>
      <c r="BG19" s="1684">
        <v>11</v>
      </c>
      <c r="BH19" s="1684">
        <f t="shared" si="23"/>
        <v>4.894287024036565</v>
      </c>
      <c r="BI19" s="1685">
        <f t="shared" si="24"/>
        <v>4</v>
      </c>
      <c r="BJ19" s="1685">
        <f t="shared" si="25"/>
        <v>53</v>
      </c>
      <c r="BK19" s="1686">
        <f t="shared" si="26"/>
        <v>39</v>
      </c>
    </row>
    <row r="20" spans="3:63" ht="24" thickBot="1">
      <c r="C20" s="1556" t="s">
        <v>2204</v>
      </c>
      <c r="D20" s="1582">
        <f>F6+(F7/60)+(F8/3600)</f>
        <v>6.2216666666666667</v>
      </c>
      <c r="E20" s="1558">
        <f t="shared" si="33"/>
        <v>6</v>
      </c>
      <c r="F20" s="1558">
        <f t="shared" si="34"/>
        <v>13</v>
      </c>
      <c r="G20" s="1558">
        <f t="shared" si="35"/>
        <v>18</v>
      </c>
      <c r="H20" s="1583">
        <f t="shared" si="36"/>
        <v>0</v>
      </c>
      <c r="I20" s="1582">
        <f>D20</f>
        <v>6.2216666666666667</v>
      </c>
      <c r="J20" s="1558">
        <f t="shared" si="37"/>
        <v>6</v>
      </c>
      <c r="K20" s="1558">
        <f t="shared" si="38"/>
        <v>13</v>
      </c>
      <c r="L20" s="1558">
        <f t="shared" si="39"/>
        <v>18</v>
      </c>
      <c r="M20" s="1532" t="s">
        <v>2228</v>
      </c>
      <c r="N20" s="1519">
        <f>[1]!tl(D5,N19)</f>
        <v>148.43481493689569</v>
      </c>
      <c r="O20" s="1575"/>
      <c r="P20" s="1575"/>
      <c r="Q20" s="1575"/>
      <c r="R20" s="1575"/>
      <c r="S20" s="1575"/>
      <c r="T20" s="1576"/>
      <c r="U20" s="1519"/>
      <c r="W20" s="1519"/>
      <c r="X20" s="1519"/>
      <c r="Y20" s="1519"/>
      <c r="Z20" s="1547"/>
      <c r="AA20" s="1581"/>
      <c r="AB20" s="1800" t="s">
        <v>1648</v>
      </c>
      <c r="AC20" s="1697"/>
      <c r="AD20" s="1697"/>
      <c r="AE20" s="1697"/>
      <c r="AF20" s="1697"/>
      <c r="AG20" s="1697"/>
      <c r="AH20" s="1697"/>
      <c r="AI20" s="1697"/>
      <c r="AJ20" s="1697"/>
      <c r="AK20" s="1697"/>
      <c r="AL20" s="1697"/>
      <c r="AM20" s="1697" t="s">
        <v>1649</v>
      </c>
      <c r="AN20" s="1697" t="s">
        <v>1700</v>
      </c>
      <c r="AO20" s="1697" t="s">
        <v>1713</v>
      </c>
      <c r="AP20" s="1697" t="s">
        <v>1720</v>
      </c>
      <c r="AQ20" s="1697" t="s">
        <v>1724</v>
      </c>
      <c r="AR20" s="1697" t="s">
        <v>1727</v>
      </c>
      <c r="AS20" s="1697" t="s">
        <v>1728</v>
      </c>
      <c r="AT20" s="1697" t="s">
        <v>1729</v>
      </c>
      <c r="AU20" s="1697" t="s">
        <v>1740</v>
      </c>
      <c r="AV20" s="1697" t="s">
        <v>1749</v>
      </c>
      <c r="AW20" s="1697" t="s">
        <v>1752</v>
      </c>
      <c r="AX20" s="1697" t="s">
        <v>1753</v>
      </c>
      <c r="AY20" s="1789" t="s">
        <v>1753</v>
      </c>
      <c r="BB20" s="1688">
        <v>12</v>
      </c>
      <c r="BC20" s="1689">
        <f t="shared" si="28"/>
        <v>16.207989633463246</v>
      </c>
      <c r="BD20" s="1690">
        <f t="shared" si="20"/>
        <v>16</v>
      </c>
      <c r="BE20" s="1690">
        <f t="shared" si="21"/>
        <v>12</v>
      </c>
      <c r="BF20" s="1691">
        <f t="shared" si="22"/>
        <v>28</v>
      </c>
      <c r="BG20" s="1692">
        <v>12</v>
      </c>
      <c r="BH20" s="1692">
        <f t="shared" si="23"/>
        <v>6.0816534007669354</v>
      </c>
      <c r="BI20" s="1693">
        <f t="shared" si="24"/>
        <v>6</v>
      </c>
      <c r="BJ20" s="1693">
        <f t="shared" si="25"/>
        <v>4</v>
      </c>
      <c r="BK20" s="1694">
        <f t="shared" si="26"/>
        <v>53</v>
      </c>
    </row>
    <row r="21" spans="3:63" ht="21.75">
      <c r="C21" s="1556" t="s">
        <v>295</v>
      </c>
      <c r="D21" s="1582">
        <f>[1]!ba(IF(OR(D20&lt;D19,D20&gt;(D19+(D12/D16))),(D16*D20)+D13,(D20-D19)*D16))</f>
        <v>3.5611690764209722</v>
      </c>
      <c r="E21" s="1558">
        <f t="shared" si="33"/>
        <v>3</v>
      </c>
      <c r="F21" s="1558">
        <f t="shared" si="34"/>
        <v>33</v>
      </c>
      <c r="G21" s="1558">
        <f t="shared" si="35"/>
        <v>40</v>
      </c>
      <c r="H21" s="1583">
        <f t="shared" si="36"/>
        <v>12</v>
      </c>
      <c r="I21" s="1582">
        <f>[1]!ba(IF(OR(I20&lt;I19,I20&gt;(I19+(D12/D17))),(D17*I20)+D13,(I20-I19)*D17))</f>
        <v>3.5805123485628276</v>
      </c>
      <c r="J21" s="1558">
        <f t="shared" si="37"/>
        <v>3</v>
      </c>
      <c r="K21" s="1558">
        <f t="shared" si="38"/>
        <v>34</v>
      </c>
      <c r="L21" s="1558">
        <f t="shared" si="39"/>
        <v>49</v>
      </c>
      <c r="M21" s="1532" t="s">
        <v>2220</v>
      </c>
      <c r="N21" s="1519">
        <f>[1]!ba(N17+60)</f>
        <v>30.588635230383716</v>
      </c>
      <c r="O21" s="1575"/>
      <c r="P21" s="1575"/>
      <c r="Q21" s="1575"/>
      <c r="R21" s="1575"/>
      <c r="S21" s="1575"/>
      <c r="T21" s="1576"/>
      <c r="U21" s="1519"/>
      <c r="W21" s="1519"/>
      <c r="X21" s="1519"/>
      <c r="Y21" s="1519"/>
      <c r="Z21" s="1547"/>
      <c r="AA21" s="1581"/>
      <c r="AB21" s="1556">
        <v>1</v>
      </c>
      <c r="AC21" s="1557"/>
      <c r="AD21" s="1557"/>
      <c r="AE21" s="1557"/>
      <c r="AF21" s="1557"/>
      <c r="AG21" s="1557"/>
      <c r="AH21" s="1557"/>
      <c r="AI21" s="1557"/>
      <c r="AJ21" s="1557"/>
      <c r="AK21" s="1557"/>
      <c r="AL21" s="1557"/>
      <c r="AM21" s="1557" t="s">
        <v>1675</v>
      </c>
      <c r="AN21" s="1557" t="s">
        <v>1701</v>
      </c>
      <c r="AO21" s="1557" t="s">
        <v>1714</v>
      </c>
      <c r="AP21" s="1557"/>
      <c r="AQ21" s="1557" t="s">
        <v>1725</v>
      </c>
      <c r="AR21" s="1557"/>
      <c r="AS21" s="1557" t="s">
        <v>1290</v>
      </c>
      <c r="AT21" s="1557" t="s">
        <v>1730</v>
      </c>
      <c r="AU21" s="1557" t="s">
        <v>1741</v>
      </c>
      <c r="AV21" s="1557" t="s">
        <v>1750</v>
      </c>
      <c r="AW21" s="1557" t="s">
        <v>1750</v>
      </c>
      <c r="AX21" s="1557" t="s">
        <v>1291</v>
      </c>
      <c r="AY21" s="314"/>
    </row>
    <row r="22" spans="3:63" ht="21.75">
      <c r="C22" s="1556" t="s">
        <v>1206</v>
      </c>
      <c r="D22" s="1582">
        <f>[1]!mtb(D5,D9,H7)</f>
        <v>6.7019653846705928E-6</v>
      </c>
      <c r="E22" s="1558">
        <f t="shared" si="33"/>
        <v>0</v>
      </c>
      <c r="F22" s="1558">
        <f t="shared" si="34"/>
        <v>0</v>
      </c>
      <c r="G22" s="1558">
        <f t="shared" si="35"/>
        <v>0</v>
      </c>
      <c r="H22" s="1583">
        <f t="shared" si="36"/>
        <v>1</v>
      </c>
      <c r="I22" s="1582">
        <f>[1]!mtb(D5,D9,H7)</f>
        <v>6.7019653846705928E-6</v>
      </c>
      <c r="J22" s="1558">
        <f t="shared" si="37"/>
        <v>0</v>
      </c>
      <c r="K22" s="1558">
        <f t="shared" si="38"/>
        <v>0</v>
      </c>
      <c r="L22" s="1558">
        <f t="shared" si="39"/>
        <v>0</v>
      </c>
      <c r="M22" s="1532" t="s">
        <v>2227</v>
      </c>
      <c r="N22" s="1519">
        <f>[1]!tl(D5,N21)</f>
        <v>32.790685994705107</v>
      </c>
      <c r="O22" s="1575"/>
      <c r="P22" s="1575"/>
      <c r="Q22" s="1575"/>
      <c r="R22" s="1575"/>
      <c r="S22" s="1575"/>
      <c r="T22" s="1576"/>
      <c r="U22" s="1519"/>
      <c r="W22" s="1519"/>
      <c r="X22" s="1519"/>
      <c r="Y22" s="1519"/>
      <c r="Z22" s="1547"/>
      <c r="AA22" s="1581"/>
      <c r="AB22" s="906">
        <v>2</v>
      </c>
      <c r="AC22" s="114"/>
      <c r="AD22" s="114"/>
      <c r="AE22" s="114"/>
      <c r="AF22" s="114"/>
      <c r="AG22" s="114"/>
      <c r="AH22" s="114"/>
      <c r="AI22" s="114"/>
      <c r="AJ22" s="114"/>
      <c r="AK22" s="114"/>
      <c r="AL22" s="114"/>
      <c r="AM22" s="114" t="s">
        <v>1676</v>
      </c>
      <c r="AN22" s="114" t="s">
        <v>1702</v>
      </c>
      <c r="AO22" s="114" t="s">
        <v>1715</v>
      </c>
      <c r="AP22" s="114" t="s">
        <v>1721</v>
      </c>
      <c r="AQ22" s="114" t="s">
        <v>1725</v>
      </c>
      <c r="AR22" s="114" t="s">
        <v>1292</v>
      </c>
      <c r="AS22" s="114" t="s">
        <v>1293</v>
      </c>
      <c r="AT22" s="114" t="s">
        <v>1731</v>
      </c>
      <c r="AU22" s="114" t="s">
        <v>1742</v>
      </c>
      <c r="AV22" s="114" t="s">
        <v>1751</v>
      </c>
      <c r="AW22" s="114" t="s">
        <v>1751</v>
      </c>
      <c r="AX22" s="114"/>
      <c r="AY22" s="115"/>
    </row>
    <row r="23" spans="3:63" ht="21.75">
      <c r="C23" s="1556" t="s">
        <v>2200</v>
      </c>
      <c r="D23" s="1582">
        <f>IF(D22+180&lt;360,D22+180,D22+180-360)</f>
        <v>180.00000670196539</v>
      </c>
      <c r="E23" s="1558">
        <f t="shared" si="33"/>
        <v>180</v>
      </c>
      <c r="F23" s="1558">
        <f t="shared" si="34"/>
        <v>0</v>
      </c>
      <c r="G23" s="1558">
        <f t="shared" si="35"/>
        <v>0</v>
      </c>
      <c r="H23" s="1583">
        <f t="shared" si="36"/>
        <v>1</v>
      </c>
      <c r="I23" s="1582">
        <f>IF(I22+180&lt;360,I22+180,I22+180-360)</f>
        <v>180.00000670196539</v>
      </c>
      <c r="J23" s="1558">
        <f t="shared" si="37"/>
        <v>180</v>
      </c>
      <c r="K23" s="1558">
        <f t="shared" si="38"/>
        <v>0</v>
      </c>
      <c r="L23" s="1558">
        <f t="shared" si="39"/>
        <v>0</v>
      </c>
      <c r="M23" s="1532" t="s">
        <v>2221</v>
      </c>
      <c r="N23" s="1519">
        <f>[1]!ba(N21+180)</f>
        <v>210.58863523038372</v>
      </c>
      <c r="O23" s="1575"/>
      <c r="P23" s="1575"/>
      <c r="Q23" s="1575"/>
      <c r="R23" s="1575"/>
      <c r="S23" s="1575"/>
      <c r="T23" s="1576"/>
      <c r="U23" s="1519"/>
      <c r="W23" s="1519"/>
      <c r="X23" s="1519"/>
      <c r="Y23" s="1519"/>
      <c r="Z23" s="1547"/>
      <c r="AA23" s="1581"/>
      <c r="AB23" s="1556">
        <v>3</v>
      </c>
      <c r="AC23" s="1557"/>
      <c r="AD23" s="1557"/>
      <c r="AE23" s="1557"/>
      <c r="AF23" s="1557"/>
      <c r="AG23" s="1557"/>
      <c r="AH23" s="1557"/>
      <c r="AI23" s="1557"/>
      <c r="AJ23" s="1557"/>
      <c r="AK23" s="1557"/>
      <c r="AL23" s="1557"/>
      <c r="AM23" s="1557" t="s">
        <v>2107</v>
      </c>
      <c r="AN23" s="1557" t="s">
        <v>1703</v>
      </c>
      <c r="AO23" s="1557" t="s">
        <v>1716</v>
      </c>
      <c r="AP23" s="1557" t="s">
        <v>1722</v>
      </c>
      <c r="AQ23" s="1557" t="s">
        <v>1725</v>
      </c>
      <c r="AR23" s="1557" t="s">
        <v>687</v>
      </c>
      <c r="AS23" s="1557" t="s">
        <v>1291</v>
      </c>
      <c r="AT23" s="1557" t="s">
        <v>1732</v>
      </c>
      <c r="AU23" s="1557" t="s">
        <v>1742</v>
      </c>
      <c r="AV23" s="1557" t="s">
        <v>1750</v>
      </c>
      <c r="AW23" s="1557" t="s">
        <v>1751</v>
      </c>
      <c r="AX23" s="1557" t="s">
        <v>849</v>
      </c>
      <c r="AY23" s="314" t="s">
        <v>1544</v>
      </c>
    </row>
    <row r="24" spans="3:63" ht="21.75">
      <c r="C24" s="1556" t="s">
        <v>2199</v>
      </c>
      <c r="D24" s="1582">
        <f>[1]!mtb(D5,D23,H7)</f>
        <v>180.0000080746934</v>
      </c>
      <c r="E24" s="1558">
        <f t="shared" si="33"/>
        <v>180</v>
      </c>
      <c r="F24" s="1558">
        <f t="shared" si="34"/>
        <v>0</v>
      </c>
      <c r="G24" s="1558">
        <f t="shared" si="35"/>
        <v>0</v>
      </c>
      <c r="H24" s="1583">
        <f t="shared" si="36"/>
        <v>1</v>
      </c>
      <c r="I24" s="1582">
        <f>[1]!mtb(D5,I23,H7)</f>
        <v>180.0000080746934</v>
      </c>
      <c r="J24" s="1558">
        <f t="shared" si="37"/>
        <v>180</v>
      </c>
      <c r="K24" s="1558">
        <f t="shared" si="38"/>
        <v>0</v>
      </c>
      <c r="L24" s="1558">
        <f t="shared" si="39"/>
        <v>0</v>
      </c>
      <c r="M24" s="1532" t="s">
        <v>2226</v>
      </c>
      <c r="N24" s="1519">
        <f>[1]!tl(D5,N23)</f>
        <v>212.79068599470509</v>
      </c>
      <c r="O24" s="1575"/>
      <c r="P24" s="1575"/>
      <c r="Q24" s="1575"/>
      <c r="R24" s="1575"/>
      <c r="S24" s="1575"/>
      <c r="T24" s="1576"/>
      <c r="U24" s="1519"/>
      <c r="W24" s="1519"/>
      <c r="X24" s="1519"/>
      <c r="Y24" s="1519"/>
      <c r="Z24" s="1547"/>
      <c r="AA24" s="1581"/>
      <c r="AB24" s="906">
        <v>4</v>
      </c>
      <c r="AC24" s="114"/>
      <c r="AD24" s="114"/>
      <c r="AE24" s="114"/>
      <c r="AF24" s="114"/>
      <c r="AG24" s="114"/>
      <c r="AH24" s="114"/>
      <c r="AI24" s="114"/>
      <c r="AJ24" s="114"/>
      <c r="AK24" s="114"/>
      <c r="AL24" s="114"/>
      <c r="AM24" s="114" t="s">
        <v>1677</v>
      </c>
      <c r="AN24" s="114" t="s">
        <v>1704</v>
      </c>
      <c r="AO24" s="114" t="s">
        <v>1717</v>
      </c>
      <c r="AP24" s="114" t="s">
        <v>1723</v>
      </c>
      <c r="AQ24" s="114" t="s">
        <v>1726</v>
      </c>
      <c r="AR24" s="114" t="s">
        <v>849</v>
      </c>
      <c r="AS24" s="114" t="s">
        <v>1544</v>
      </c>
      <c r="AT24" s="114" t="s">
        <v>1733</v>
      </c>
      <c r="AU24" s="114" t="s">
        <v>1743</v>
      </c>
      <c r="AV24" s="114" t="s">
        <v>1751</v>
      </c>
      <c r="AW24" s="114" t="s">
        <v>1751</v>
      </c>
      <c r="AX24" s="114"/>
      <c r="AY24" s="115"/>
    </row>
    <row r="25" spans="3:63" ht="21.75">
      <c r="C25" s="1556" t="s">
        <v>357</v>
      </c>
      <c r="D25" s="1582">
        <f>[1]!ba(IF(OR(D20&lt;D19,D20&gt;(D19+(D12/D16))),D21+D22,D21+D24))</f>
        <v>183.56117715111438</v>
      </c>
      <c r="E25" s="1558">
        <f t="shared" si="33"/>
        <v>183</v>
      </c>
      <c r="F25" s="1558">
        <f t="shared" si="34"/>
        <v>33</v>
      </c>
      <c r="G25" s="1558">
        <f t="shared" si="35"/>
        <v>40</v>
      </c>
      <c r="H25" s="1583">
        <f t="shared" si="36"/>
        <v>14</v>
      </c>
      <c r="I25" s="1582">
        <f>[1]!ba(IF(OR(I20&lt;I19,I20&gt;(I19+(D12/D17))),I21+I22,I21+I24))</f>
        <v>183.58052042325622</v>
      </c>
      <c r="J25" s="1558">
        <f t="shared" si="37"/>
        <v>183</v>
      </c>
      <c r="K25" s="1558">
        <f t="shared" si="38"/>
        <v>34</v>
      </c>
      <c r="L25" s="1558">
        <f t="shared" si="39"/>
        <v>49</v>
      </c>
      <c r="M25" s="1532" t="s">
        <v>2222</v>
      </c>
      <c r="N25" s="1519">
        <f>[1]!ba(N13+120)</f>
        <v>150.52033818613668</v>
      </c>
      <c r="O25" s="1575"/>
      <c r="P25" s="1575"/>
      <c r="Q25" s="1575"/>
      <c r="R25" s="1575"/>
      <c r="S25" s="1575"/>
      <c r="T25" s="1576"/>
      <c r="U25" s="1519"/>
      <c r="V25" s="1519"/>
      <c r="W25" s="1519"/>
      <c r="X25" s="1519"/>
      <c r="Y25" s="1519"/>
      <c r="Z25" s="1547"/>
      <c r="AA25" s="1581"/>
      <c r="AB25" s="1556">
        <v>5</v>
      </c>
      <c r="AC25" s="1557"/>
      <c r="AD25" s="1557"/>
      <c r="AE25" s="1557"/>
      <c r="AF25" s="1557"/>
      <c r="AG25" s="1557"/>
      <c r="AH25" s="1557"/>
      <c r="AI25" s="1557"/>
      <c r="AJ25" s="1557"/>
      <c r="AK25" s="1557"/>
      <c r="AL25" s="1557"/>
      <c r="AM25" s="1557" t="s">
        <v>1678</v>
      </c>
      <c r="AN25" s="1557" t="s">
        <v>1705</v>
      </c>
      <c r="AO25" s="1557" t="s">
        <v>1715</v>
      </c>
      <c r="AP25" s="1557" t="s">
        <v>1723</v>
      </c>
      <c r="AQ25" s="1557" t="s">
        <v>1726</v>
      </c>
      <c r="AR25" s="1557"/>
      <c r="AS25" s="1557"/>
      <c r="AT25" s="1557"/>
      <c r="AU25" s="1557" t="s">
        <v>1744</v>
      </c>
      <c r="AV25" s="1557" t="s">
        <v>1750</v>
      </c>
      <c r="AW25" s="1557" t="s">
        <v>1750</v>
      </c>
      <c r="AX25" s="1557" t="s">
        <v>1290</v>
      </c>
      <c r="AY25" s="314" t="s">
        <v>1292</v>
      </c>
    </row>
    <row r="26" spans="3:63" ht="21.75">
      <c r="C26" s="1556" t="s">
        <v>279</v>
      </c>
      <c r="D26" s="1584">
        <f>[1]!tazmb(D5,D25,H7)</f>
        <v>182.95816576654676</v>
      </c>
      <c r="E26" s="1585">
        <f t="shared" si="33"/>
        <v>182</v>
      </c>
      <c r="F26" s="1585">
        <f t="shared" si="34"/>
        <v>57</v>
      </c>
      <c r="G26" s="1585">
        <f t="shared" si="35"/>
        <v>29</v>
      </c>
      <c r="H26" s="1586">
        <f t="shared" si="36"/>
        <v>23</v>
      </c>
      <c r="I26" s="1584">
        <f>[1]!tazmb(D5,I25,H7)</f>
        <v>182.97423171369294</v>
      </c>
      <c r="J26" s="1585">
        <f t="shared" si="37"/>
        <v>182</v>
      </c>
      <c r="K26" s="1585">
        <f t="shared" si="38"/>
        <v>58</v>
      </c>
      <c r="L26" s="1585">
        <f t="shared" si="39"/>
        <v>27</v>
      </c>
      <c r="M26" s="1532" t="s">
        <v>2225</v>
      </c>
      <c r="N26" s="1519">
        <f>[1]!tl(D5,IF(N25-90&gt;0,N25-90,N25-90+360))</f>
        <v>62.583622185988851</v>
      </c>
      <c r="O26" s="1575"/>
      <c r="P26" s="1575"/>
      <c r="Q26" s="1575"/>
      <c r="R26" s="1575"/>
      <c r="S26" s="1575"/>
      <c r="T26" s="1576"/>
      <c r="U26" s="1519"/>
      <c r="V26" s="1519"/>
      <c r="W26" s="1519"/>
      <c r="X26" s="1519"/>
      <c r="Y26" s="1519"/>
      <c r="Z26" s="1547"/>
      <c r="AA26" s="1581"/>
      <c r="AB26" s="906">
        <v>6</v>
      </c>
      <c r="AC26" s="114"/>
      <c r="AD26" s="114"/>
      <c r="AE26" s="114"/>
      <c r="AF26" s="114"/>
      <c r="AG26" s="114"/>
      <c r="AH26" s="114"/>
      <c r="AI26" s="114"/>
      <c r="AJ26" s="114"/>
      <c r="AK26" s="114"/>
      <c r="AL26" s="114"/>
      <c r="AM26" s="114" t="s">
        <v>1679</v>
      </c>
      <c r="AN26" s="114" t="s">
        <v>1706</v>
      </c>
      <c r="AO26" s="114" t="s">
        <v>1716</v>
      </c>
      <c r="AP26" s="114" t="s">
        <v>1721</v>
      </c>
      <c r="AQ26" s="114" t="s">
        <v>1726</v>
      </c>
      <c r="AR26" s="114"/>
      <c r="AS26" s="114"/>
      <c r="AT26" s="114" t="s">
        <v>1734</v>
      </c>
      <c r="AU26" s="114" t="s">
        <v>1744</v>
      </c>
      <c r="AV26" s="114" t="s">
        <v>1751</v>
      </c>
      <c r="AW26" s="114" t="s">
        <v>1750</v>
      </c>
      <c r="AX26" s="114" t="s">
        <v>687</v>
      </c>
      <c r="AY26" s="115" t="s">
        <v>1293</v>
      </c>
    </row>
    <row r="27" spans="3:63" ht="22.5" thickBot="1">
      <c r="C27" s="1587" t="s">
        <v>2202</v>
      </c>
      <c r="D27" s="1588">
        <f>[1]!tale3(D5,H7,D9,G5)</f>
        <v>0.71593199902168658</v>
      </c>
      <c r="E27" s="1589">
        <f t="shared" si="33"/>
        <v>0</v>
      </c>
      <c r="F27" s="1589">
        <f t="shared" si="34"/>
        <v>42</v>
      </c>
      <c r="G27" s="1589">
        <f t="shared" si="35"/>
        <v>57</v>
      </c>
      <c r="H27" s="1589">
        <f t="shared" si="36"/>
        <v>21</v>
      </c>
      <c r="I27" s="1588"/>
      <c r="J27" s="1588"/>
      <c r="K27" s="1588"/>
      <c r="L27" s="1589"/>
      <c r="M27" s="1532" t="s">
        <v>2223</v>
      </c>
      <c r="N27" s="1519">
        <f>[1]!ba(N25+180)</f>
        <v>330.52033818613666</v>
      </c>
      <c r="O27" s="1575"/>
      <c r="P27" s="1575"/>
      <c r="Q27" s="1575"/>
      <c r="R27" s="1575"/>
      <c r="S27" s="1575"/>
      <c r="T27" s="1576"/>
      <c r="U27" s="1519"/>
      <c r="V27" s="1519"/>
      <c r="W27" s="1519"/>
      <c r="X27" s="1519"/>
      <c r="Y27" s="1519"/>
      <c r="Z27" s="1547"/>
      <c r="AA27" s="1581"/>
      <c r="AB27" s="1556">
        <v>7</v>
      </c>
      <c r="AC27" s="1557"/>
      <c r="AD27" s="1557"/>
      <c r="AE27" s="1557"/>
      <c r="AF27" s="1557"/>
      <c r="AG27" s="1557"/>
      <c r="AH27" s="1557"/>
      <c r="AI27" s="1557"/>
      <c r="AJ27" s="1557"/>
      <c r="AK27" s="1557"/>
      <c r="AL27" s="1557"/>
      <c r="AM27" s="1557" t="s">
        <v>1680</v>
      </c>
      <c r="AN27" s="1557" t="s">
        <v>1707</v>
      </c>
      <c r="AO27" s="1557" t="s">
        <v>1718</v>
      </c>
      <c r="AP27" s="1557" t="s">
        <v>1723</v>
      </c>
      <c r="AQ27" s="1557" t="s">
        <v>1726</v>
      </c>
      <c r="AR27" s="1557" t="s">
        <v>1290</v>
      </c>
      <c r="AS27" s="1557"/>
      <c r="AT27" s="1557" t="s">
        <v>1735</v>
      </c>
      <c r="AU27" s="1557" t="s">
        <v>1745</v>
      </c>
      <c r="AV27" s="1557" t="s">
        <v>1750</v>
      </c>
      <c r="AW27" s="1557" t="s">
        <v>1750</v>
      </c>
      <c r="AX27" s="1557"/>
      <c r="AY27" s="314" t="s">
        <v>1291</v>
      </c>
    </row>
    <row r="28" spans="3:63" ht="22.5" thickBot="1">
      <c r="L28" s="1590"/>
      <c r="M28" s="1591" t="s">
        <v>2224</v>
      </c>
      <c r="N28" s="1592">
        <f>[1]!tl(D5,IF(N27-90&gt;0,N27-90,N27-90+360))</f>
        <v>242.58362218598882</v>
      </c>
      <c r="O28" s="1593"/>
      <c r="P28" s="1593"/>
      <c r="Q28" s="1593"/>
      <c r="R28" s="1593"/>
      <c r="S28" s="1593"/>
      <c r="T28" s="1594"/>
      <c r="U28" s="1592"/>
      <c r="V28" s="1592"/>
      <c r="W28" s="1592"/>
      <c r="X28" s="1592"/>
      <c r="Y28" s="1592"/>
      <c r="Z28" s="1595"/>
      <c r="AA28" s="1581"/>
      <c r="AB28" s="906">
        <v>8</v>
      </c>
      <c r="AC28" s="114"/>
      <c r="AD28" s="114"/>
      <c r="AE28" s="114"/>
      <c r="AF28" s="114"/>
      <c r="AG28" s="114"/>
      <c r="AH28" s="114"/>
      <c r="AI28" s="114"/>
      <c r="AJ28" s="114"/>
      <c r="AK28" s="114"/>
      <c r="AL28" s="114"/>
      <c r="AM28" s="114" t="s">
        <v>1695</v>
      </c>
      <c r="AN28" s="114" t="s">
        <v>1708</v>
      </c>
      <c r="AO28" s="114" t="s">
        <v>1715</v>
      </c>
      <c r="AP28" s="114" t="s">
        <v>1721</v>
      </c>
      <c r="AQ28" s="114" t="s">
        <v>1726</v>
      </c>
      <c r="AR28" s="114" t="s">
        <v>1293</v>
      </c>
      <c r="AS28" s="114" t="s">
        <v>1292</v>
      </c>
      <c r="AT28" s="114" t="s">
        <v>1736</v>
      </c>
      <c r="AU28" s="114" t="s">
        <v>1746</v>
      </c>
      <c r="AV28" s="114" t="s">
        <v>1751</v>
      </c>
      <c r="AW28" s="114" t="s">
        <v>1751</v>
      </c>
      <c r="AX28" s="114"/>
      <c r="AY28" s="115"/>
    </row>
    <row r="29" spans="3:63">
      <c r="AB29" s="1556">
        <v>9</v>
      </c>
      <c r="AC29" s="1557"/>
      <c r="AD29" s="1557"/>
      <c r="AE29" s="1557"/>
      <c r="AF29" s="1557"/>
      <c r="AG29" s="1557"/>
      <c r="AH29" s="1557"/>
      <c r="AI29" s="1557"/>
      <c r="AJ29" s="1557"/>
      <c r="AK29" s="1557"/>
      <c r="AL29" s="1557"/>
      <c r="AM29" s="1557" t="s">
        <v>1696</v>
      </c>
      <c r="AN29" s="1557" t="s">
        <v>1709</v>
      </c>
      <c r="AO29" s="1557" t="s">
        <v>1716</v>
      </c>
      <c r="AP29" s="1557" t="s">
        <v>1723</v>
      </c>
      <c r="AQ29" s="1557" t="s">
        <v>1726</v>
      </c>
      <c r="AR29" s="1557" t="s">
        <v>1291</v>
      </c>
      <c r="AS29" s="1557" t="s">
        <v>687</v>
      </c>
      <c r="AT29" s="1557"/>
      <c r="AU29" s="1557" t="s">
        <v>1746</v>
      </c>
      <c r="AV29" s="1557" t="s">
        <v>1750</v>
      </c>
      <c r="AW29" s="1557" t="s">
        <v>1751</v>
      </c>
      <c r="AX29" s="1557" t="s">
        <v>1544</v>
      </c>
      <c r="AY29" s="314" t="s">
        <v>849</v>
      </c>
    </row>
    <row r="30" spans="3:63">
      <c r="AB30" s="906">
        <v>10</v>
      </c>
      <c r="AC30" s="114"/>
      <c r="AD30" s="114"/>
      <c r="AE30" s="114"/>
      <c r="AF30" s="114"/>
      <c r="AG30" s="114"/>
      <c r="AH30" s="114"/>
      <c r="AI30" s="114"/>
      <c r="AJ30" s="114"/>
      <c r="AK30" s="114"/>
      <c r="AL30" s="114"/>
      <c r="AM30" s="114" t="s">
        <v>1697</v>
      </c>
      <c r="AN30" s="114" t="s">
        <v>1710</v>
      </c>
      <c r="AO30" s="114" t="s">
        <v>1719</v>
      </c>
      <c r="AP30" s="114" t="s">
        <v>1723</v>
      </c>
      <c r="AQ30" s="114" t="s">
        <v>1725</v>
      </c>
      <c r="AR30" s="114" t="s">
        <v>1544</v>
      </c>
      <c r="AS30" s="114" t="s">
        <v>849</v>
      </c>
      <c r="AT30" s="114" t="s">
        <v>1737</v>
      </c>
      <c r="AU30" s="114" t="s">
        <v>1747</v>
      </c>
      <c r="AV30" s="114" t="s">
        <v>1751</v>
      </c>
      <c r="AW30" s="114" t="s">
        <v>1751</v>
      </c>
      <c r="AX30" s="114"/>
      <c r="AY30" s="115"/>
    </row>
    <row r="31" spans="3:63">
      <c r="AB31" s="1556">
        <v>11</v>
      </c>
      <c r="AC31" s="1557"/>
      <c r="AD31" s="1557"/>
      <c r="AE31" s="1557"/>
      <c r="AF31" s="1557"/>
      <c r="AG31" s="1557"/>
      <c r="AH31" s="1557"/>
      <c r="AI31" s="1557"/>
      <c r="AJ31" s="1557"/>
      <c r="AK31" s="1557"/>
      <c r="AL31" s="1557"/>
      <c r="AM31" s="1557" t="s">
        <v>1699</v>
      </c>
      <c r="AN31" s="1557" t="s">
        <v>1711</v>
      </c>
      <c r="AO31" s="1557" t="s">
        <v>1715</v>
      </c>
      <c r="AP31" s="1557" t="s">
        <v>1723</v>
      </c>
      <c r="AQ31" s="1557" t="s">
        <v>1725</v>
      </c>
      <c r="AR31" s="1557"/>
      <c r="AS31" s="1557"/>
      <c r="AT31" s="1557" t="s">
        <v>1738</v>
      </c>
      <c r="AU31" s="1557" t="s">
        <v>1748</v>
      </c>
      <c r="AV31" s="1557" t="s">
        <v>1750</v>
      </c>
      <c r="AW31" s="1557" t="s">
        <v>1750</v>
      </c>
      <c r="AX31" s="1557" t="s">
        <v>1292</v>
      </c>
      <c r="AY31" s="314" t="s">
        <v>1754</v>
      </c>
    </row>
    <row r="32" spans="3:63" ht="15.75" thickBot="1">
      <c r="AB32" s="916">
        <v>12</v>
      </c>
      <c r="AC32" s="119"/>
      <c r="AD32" s="119"/>
      <c r="AE32" s="119"/>
      <c r="AF32" s="119"/>
      <c r="AG32" s="119"/>
      <c r="AH32" s="119"/>
      <c r="AI32" s="119"/>
      <c r="AJ32" s="119"/>
      <c r="AK32" s="119"/>
      <c r="AL32" s="119"/>
      <c r="AM32" s="119" t="s">
        <v>1698</v>
      </c>
      <c r="AN32" s="119" t="s">
        <v>1712</v>
      </c>
      <c r="AO32" s="119" t="s">
        <v>1716</v>
      </c>
      <c r="AP32" s="119" t="s">
        <v>1721</v>
      </c>
      <c r="AQ32" s="119" t="s">
        <v>1725</v>
      </c>
      <c r="AR32" s="119"/>
      <c r="AS32" s="119"/>
      <c r="AT32" s="119" t="s">
        <v>1739</v>
      </c>
      <c r="AU32" s="119" t="s">
        <v>1748</v>
      </c>
      <c r="AV32" s="119" t="s">
        <v>1751</v>
      </c>
      <c r="AW32" s="119" t="s">
        <v>1750</v>
      </c>
      <c r="AX32" s="119" t="s">
        <v>1293</v>
      </c>
      <c r="AY32" s="121" t="s">
        <v>687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JB52"/>
  <sheetViews>
    <sheetView rightToLeft="1" tabSelected="1" topLeftCell="IM5" workbookViewId="0">
      <selection activeCell="IT13" sqref="IT13"/>
    </sheetView>
  </sheetViews>
  <sheetFormatPr defaultRowHeight="18"/>
  <cols>
    <col min="1" max="1" width="9.140625" style="1130"/>
    <col min="2" max="2" width="9.28515625" style="1130" bestFit="1" customWidth="1"/>
    <col min="3" max="3" width="12" style="1130" customWidth="1"/>
    <col min="4" max="7" width="9.28515625" style="1130" bestFit="1" customWidth="1"/>
    <col min="8" max="8" width="9.140625" style="1130" customWidth="1"/>
    <col min="9" max="9" width="15.28515625" style="1130" customWidth="1"/>
    <col min="10" max="15" width="9.28515625" style="1130" bestFit="1" customWidth="1"/>
    <col min="16" max="17" width="9.140625" style="1130"/>
    <col min="18" max="18" width="9.28515625" style="1130" bestFit="1" customWidth="1"/>
    <col min="19" max="21" width="9.140625" style="1130"/>
    <col min="22" max="22" width="9.28515625" style="1130" bestFit="1" customWidth="1"/>
    <col min="23" max="23" width="12.5703125" style="1130" customWidth="1"/>
    <col min="24" max="31" width="9.28515625" style="1130" bestFit="1" customWidth="1"/>
    <col min="32" max="33" width="9.140625" style="1130"/>
    <col min="34" max="34" width="9.28515625" style="1130" bestFit="1" customWidth="1"/>
    <col min="35" max="35" width="9.140625" style="1130"/>
    <col min="36" max="36" width="12.140625" style="1130" customWidth="1"/>
    <col min="37" max="37" width="14.7109375" style="1130" customWidth="1"/>
    <col min="38" max="43" width="9.28515625" style="1130" bestFit="1" customWidth="1"/>
    <col min="44" max="44" width="9.140625" style="1130"/>
    <col min="45" max="53" width="9.28515625" style="1130" bestFit="1" customWidth="1"/>
    <col min="54" max="55" width="9.140625" style="1130"/>
    <col min="56" max="56" width="9.28515625" style="1130" bestFit="1" customWidth="1"/>
    <col min="57" max="57" width="12.85546875" style="1130" customWidth="1"/>
    <col min="58" max="62" width="9.28515625" style="1130" bestFit="1" customWidth="1"/>
    <col min="63" max="63" width="9.140625" style="1130"/>
    <col min="64" max="64" width="10.7109375" style="1130" customWidth="1"/>
    <col min="65" max="69" width="9.28515625" style="1130" bestFit="1" customWidth="1"/>
    <col min="70" max="70" width="15.7109375" style="1130" customWidth="1"/>
    <col min="71" max="75" width="9.28515625" style="1130" bestFit="1" customWidth="1"/>
    <col min="76" max="76" width="9.140625" style="1130"/>
    <col min="77" max="77" width="10.42578125" style="1130" customWidth="1"/>
    <col min="78" max="78" width="7.28515625" style="1130" customWidth="1"/>
    <col min="79" max="79" width="11.7109375" style="1130" customWidth="1"/>
    <col min="80" max="82" width="9.28515625" style="1130" bestFit="1" customWidth="1"/>
    <col min="83" max="83" width="8.5703125" style="1130" customWidth="1"/>
    <col min="84" max="84" width="7.28515625" style="1130" customWidth="1"/>
    <col min="85" max="85" width="5.85546875" style="1130" customWidth="1"/>
    <col min="86" max="86" width="4.140625" style="1130" customWidth="1"/>
    <col min="87" max="87" width="11.42578125" style="1130" customWidth="1"/>
    <col min="88" max="88" width="22.7109375" style="1130" customWidth="1"/>
    <col min="89" max="89" width="13.42578125" style="1130" customWidth="1"/>
    <col min="90" max="93" width="9.28515625" style="1130" bestFit="1" customWidth="1"/>
    <col min="94" max="94" width="9.140625" style="1130"/>
    <col min="95" max="95" width="21.85546875" style="1130" customWidth="1"/>
    <col min="96" max="102" width="9.28515625" style="1130" bestFit="1" customWidth="1"/>
    <col min="103" max="103" width="9.140625" style="1130"/>
    <col min="104" max="104" width="18.5703125" style="1130" customWidth="1"/>
    <col min="105" max="105" width="9.140625" style="1130" customWidth="1"/>
    <col min="106" max="109" width="9.28515625" style="1130" bestFit="1" customWidth="1"/>
    <col min="110" max="111" width="9.140625" style="1130"/>
    <col min="112" max="116" width="9.28515625" style="1130" bestFit="1" customWidth="1"/>
    <col min="117" max="119" width="9.140625" style="1130"/>
    <col min="120" max="125" width="9.28515625" style="1130" bestFit="1" customWidth="1"/>
    <col min="126" max="126" width="11.85546875" style="1130" customWidth="1"/>
    <col min="127" max="132" width="9.28515625" style="1130" bestFit="1" customWidth="1"/>
    <col min="133" max="136" width="9.140625" style="1130"/>
    <col min="137" max="140" width="9.28515625" style="1130" bestFit="1" customWidth="1"/>
    <col min="141" max="142" width="9.140625" style="1130"/>
    <col min="143" max="143" width="12.42578125" style="1130" customWidth="1"/>
    <col min="144" max="148" width="9.28515625" style="1130" bestFit="1" customWidth="1"/>
    <col min="149" max="149" width="12.28515625" style="1130" customWidth="1"/>
    <col min="150" max="155" width="9.28515625" style="1130" bestFit="1" customWidth="1"/>
    <col min="156" max="161" width="9.140625" style="1130"/>
    <col min="162" max="162" width="9.28515625" style="1130" bestFit="1" customWidth="1"/>
    <col min="163" max="163" width="9.140625" style="1130"/>
    <col min="164" max="164" width="9.28515625" style="1130" bestFit="1" customWidth="1"/>
    <col min="165" max="165" width="17.85546875" style="1130" customWidth="1"/>
    <col min="166" max="166" width="9.28515625" style="1130" bestFit="1" customWidth="1"/>
    <col min="167" max="168" width="9.5703125" style="1130" bestFit="1" customWidth="1"/>
    <col min="169" max="169" width="13.42578125" style="1130" customWidth="1"/>
    <col min="170" max="170" width="9.28515625" style="1130" bestFit="1" customWidth="1"/>
    <col min="171" max="172" width="9.5703125" style="1130" bestFit="1" customWidth="1"/>
    <col min="173" max="173" width="9.140625" style="1130"/>
    <col min="174" max="174" width="13" style="1130" customWidth="1"/>
    <col min="175" max="175" width="9.5703125" style="1130" bestFit="1" customWidth="1"/>
    <col min="176" max="176" width="9.140625" style="1130"/>
    <col min="177" max="177" width="9.28515625" style="1130" bestFit="1" customWidth="1"/>
    <col min="178" max="184" width="9.140625" style="1130"/>
    <col min="185" max="186" width="9.28515625" style="1130" bestFit="1" customWidth="1"/>
    <col min="187" max="187" width="9.140625" style="1130"/>
    <col min="188" max="188" width="17.28515625" style="1130" customWidth="1"/>
    <col min="189" max="189" width="9.28515625" style="1130" bestFit="1" customWidth="1"/>
    <col min="190" max="191" width="9.140625" style="1130"/>
    <col min="192" max="192" width="16.28515625" style="1130" customWidth="1"/>
    <col min="193" max="202" width="9.28515625" style="1130" bestFit="1" customWidth="1"/>
    <col min="203" max="203" width="12.7109375" style="1130" customWidth="1"/>
    <col min="204" max="207" width="9.28515625" style="1130" bestFit="1" customWidth="1"/>
    <col min="208" max="224" width="9.140625" style="1130"/>
    <col min="225" max="225" width="9.140625" style="1130" customWidth="1"/>
    <col min="226" max="226" width="12.28515625" style="1130" customWidth="1"/>
    <col min="227" max="235" width="9.140625" style="1130"/>
    <col min="236" max="236" width="16.7109375" style="1130" customWidth="1"/>
    <col min="237" max="237" width="9.140625" style="1130"/>
    <col min="238" max="238" width="10.5703125" style="1130" customWidth="1"/>
    <col min="239" max="239" width="24.28515625" style="1130" customWidth="1"/>
    <col min="240" max="241" width="9.140625" style="1130"/>
    <col min="242" max="242" width="8.140625" style="1130" customWidth="1"/>
    <col min="243" max="244" width="9.140625" style="1130"/>
    <col min="245" max="245" width="11" style="1130" customWidth="1"/>
    <col min="246" max="246" width="22.5703125" style="1130" customWidth="1"/>
    <col min="247" max="247" width="21" style="1130" customWidth="1"/>
    <col min="248" max="248" width="22.28515625" style="1130" customWidth="1"/>
    <col min="249" max="251" width="9.140625" style="1130"/>
    <col min="252" max="252" width="11.28515625" style="1130" customWidth="1"/>
    <col min="253" max="256" width="9.140625" style="1130"/>
    <col min="257" max="257" width="10.28515625" style="1130" customWidth="1"/>
    <col min="258" max="16384" width="9.140625" style="1130"/>
  </cols>
  <sheetData>
    <row r="1" spans="2:260" ht="18.75" thickBot="1">
      <c r="AD1" s="1326" t="s">
        <v>3952</v>
      </c>
      <c r="AE1" s="1130">
        <f>AE2*30</f>
        <v>2347.8261012955777</v>
      </c>
      <c r="AF1" s="1320" t="s">
        <v>3953</v>
      </c>
      <c r="BC1" s="1131" t="s">
        <v>1456</v>
      </c>
      <c r="BD1" s="1131"/>
      <c r="BE1" s="1131" t="s">
        <v>1450</v>
      </c>
      <c r="BF1" s="1131"/>
      <c r="BG1" s="1131"/>
      <c r="BH1" s="1131"/>
      <c r="BI1" s="1131"/>
      <c r="BJ1" s="1131"/>
      <c r="CI1" s="1130" t="s">
        <v>1492</v>
      </c>
    </row>
    <row r="2" spans="2:260" ht="18.75" thickBot="1">
      <c r="B2" s="1130" t="s">
        <v>1439</v>
      </c>
      <c r="AE2" s="1130">
        <f>1/AE3</f>
        <v>78.260870043185918</v>
      </c>
      <c r="BC2" s="1132"/>
      <c r="BD2" s="1126"/>
      <c r="BE2" s="1132" t="s">
        <v>60</v>
      </c>
      <c r="BF2" s="1127">
        <v>1444</v>
      </c>
      <c r="BG2" s="1133" t="s">
        <v>5</v>
      </c>
      <c r="BH2" s="1134">
        <v>13</v>
      </c>
      <c r="BI2" s="1133" t="s">
        <v>3950</v>
      </c>
      <c r="BJ2" s="1134">
        <f>((((BH5/60)+BH4)/60)+BH3)</f>
        <v>6.3338888888888887</v>
      </c>
      <c r="BL2" s="1397" t="s">
        <v>1458</v>
      </c>
      <c r="BM2" s="1135"/>
      <c r="BN2" s="1135"/>
      <c r="BO2" s="1135"/>
      <c r="BP2" s="1135"/>
      <c r="BQ2" s="1135"/>
      <c r="BR2" s="1136"/>
      <c r="BS2" s="1136"/>
      <c r="BT2" s="1136"/>
      <c r="BU2" s="1136"/>
      <c r="BV2" s="1136"/>
      <c r="BW2" s="1136"/>
      <c r="BY2" s="1412" t="s">
        <v>1451</v>
      </c>
      <c r="BZ2" s="1413" t="s">
        <v>1474</v>
      </c>
      <c r="CA2" s="1413"/>
      <c r="CB2" s="1413"/>
      <c r="CC2" s="1413"/>
      <c r="CD2" s="1413"/>
      <c r="CE2" s="1413"/>
      <c r="CF2" s="1414"/>
      <c r="CG2" s="1400" t="s">
        <v>1475</v>
      </c>
      <c r="CH2" s="1399"/>
      <c r="CI2" s="1436" t="s">
        <v>1487</v>
      </c>
      <c r="CJ2" s="1437">
        <v>2</v>
      </c>
      <c r="CK2" s="1437" t="s">
        <v>5</v>
      </c>
      <c r="CL2" s="1437">
        <v>6</v>
      </c>
      <c r="CM2" s="1438" t="s">
        <v>3950</v>
      </c>
      <c r="CN2" s="1439">
        <f>((((CL5/60)+CL4)/60)+CL3)</f>
        <v>6.2233333333333336</v>
      </c>
      <c r="DO2" s="1139" t="s">
        <v>1531</v>
      </c>
      <c r="DP2" s="1139"/>
      <c r="DQ2" s="1139"/>
      <c r="DR2" s="1139"/>
      <c r="DS2" s="1139"/>
      <c r="DT2" s="1139"/>
      <c r="DU2" s="1139"/>
      <c r="DV2" s="1139"/>
      <c r="DW2" s="1139"/>
      <c r="DX2" s="1139"/>
      <c r="DY2" s="1139"/>
      <c r="DZ2" s="1139"/>
      <c r="EA2" s="1139"/>
      <c r="EB2" s="1139"/>
      <c r="EF2" s="1130" t="s">
        <v>1526</v>
      </c>
      <c r="EL2" s="1136" t="s">
        <v>1532</v>
      </c>
      <c r="EM2" s="1136"/>
      <c r="EN2" s="1136"/>
      <c r="EO2" s="1136"/>
      <c r="EP2" s="1136"/>
      <c r="EQ2" s="1136"/>
      <c r="ER2" s="1136"/>
      <c r="ES2" s="1136"/>
      <c r="ET2" s="1136"/>
      <c r="EU2" s="1136"/>
      <c r="EV2" s="1136"/>
      <c r="EW2" s="1136"/>
      <c r="EX2" s="1136"/>
      <c r="EY2" s="1136"/>
      <c r="GY2" s="1760"/>
    </row>
    <row r="3" spans="2:260" ht="18.75" thickBot="1">
      <c r="B3" s="1132" t="s">
        <v>1438</v>
      </c>
      <c r="C3" s="1126"/>
      <c r="D3" s="1126"/>
      <c r="E3" s="1140"/>
      <c r="F3" s="1126"/>
      <c r="G3" s="1140"/>
      <c r="H3" s="1126"/>
      <c r="I3" s="1126"/>
      <c r="J3" s="1126"/>
      <c r="K3" s="1126"/>
      <c r="L3" s="1140"/>
      <c r="M3" s="1126"/>
      <c r="N3" s="1140"/>
      <c r="O3" s="1126"/>
      <c r="P3" s="1126"/>
      <c r="Q3" s="1126"/>
      <c r="R3" s="1126"/>
      <c r="S3" s="1126"/>
      <c r="T3" s="1127"/>
      <c r="AE3" s="1130">
        <f>AE4-INT(AE4)</f>
        <v>1.277777769973909E-2</v>
      </c>
      <c r="AG3" s="1125"/>
      <c r="AH3" s="1125"/>
      <c r="BC3" s="1141"/>
      <c r="BD3" s="1128"/>
      <c r="BE3" s="1141" t="s">
        <v>4</v>
      </c>
      <c r="BF3" s="1129">
        <v>9</v>
      </c>
      <c r="BG3" s="1142" t="s">
        <v>219</v>
      </c>
      <c r="BH3" s="1143">
        <v>6</v>
      </c>
      <c r="BI3" s="1142"/>
      <c r="BJ3" s="1143"/>
      <c r="BL3" s="1397" t="s">
        <v>1459</v>
      </c>
      <c r="BM3" s="1135"/>
      <c r="BN3" s="1135"/>
      <c r="BO3" s="1135"/>
      <c r="BP3" s="1135"/>
      <c r="BQ3" s="1135"/>
      <c r="BR3" s="1396" t="s">
        <v>1466</v>
      </c>
      <c r="BS3" s="1136"/>
      <c r="BT3" s="1136"/>
      <c r="BU3" s="1136"/>
      <c r="BV3" s="1136"/>
      <c r="BW3" s="1136"/>
      <c r="BY3" s="1415" t="s">
        <v>1473</v>
      </c>
      <c r="BZ3" s="1197">
        <f>(((((((((CF3/60)+CE3)/60)+CD3)/60)+CC3)/60)+CB3)/60)+CA3</f>
        <v>2.7378858024691356E-3</v>
      </c>
      <c r="CA3" s="1151">
        <v>0</v>
      </c>
      <c r="CB3" s="1151">
        <v>0</v>
      </c>
      <c r="CC3" s="1151">
        <v>9</v>
      </c>
      <c r="CD3" s="1151">
        <v>51</v>
      </c>
      <c r="CE3" s="1151">
        <v>23</v>
      </c>
      <c r="CF3" s="1213"/>
      <c r="CG3" s="1149"/>
      <c r="CH3" s="1150"/>
      <c r="CI3" s="1193" t="s">
        <v>4</v>
      </c>
      <c r="CJ3" s="1194">
        <v>5</v>
      </c>
      <c r="CK3" s="1194" t="s">
        <v>219</v>
      </c>
      <c r="CL3" s="1194">
        <v>6</v>
      </c>
      <c r="CM3" s="1194"/>
      <c r="CN3" s="1398"/>
      <c r="DG3" s="1148"/>
      <c r="DH3" s="1148" t="s">
        <v>1511</v>
      </c>
      <c r="DI3" s="1148"/>
      <c r="DJ3" s="1148"/>
      <c r="DK3" s="1148"/>
      <c r="DL3" s="1148"/>
      <c r="DO3" s="1139" t="s">
        <v>4629</v>
      </c>
      <c r="DP3" s="1139">
        <v>365.24220026360001</v>
      </c>
      <c r="DQ3" s="1139"/>
      <c r="DR3" s="1139"/>
      <c r="DS3" s="1139"/>
      <c r="DT3" s="1139"/>
      <c r="DU3" s="1139"/>
      <c r="DV3" s="1139" t="s">
        <v>3</v>
      </c>
      <c r="DW3" s="1139"/>
      <c r="DX3" s="1139"/>
      <c r="DY3" s="1139"/>
      <c r="DZ3" s="1139"/>
      <c r="EA3" s="1139"/>
      <c r="EB3" s="1139"/>
      <c r="EE3" s="1130" t="s">
        <v>144</v>
      </c>
      <c r="EF3" s="1132" t="s">
        <v>1521</v>
      </c>
      <c r="EG3" s="1127">
        <v>1442</v>
      </c>
      <c r="EH3" s="1133" t="s">
        <v>5</v>
      </c>
      <c r="EI3" s="1134">
        <v>20</v>
      </c>
      <c r="EJ3" s="1130" t="s">
        <v>177</v>
      </c>
      <c r="EL3" s="1136" t="s">
        <v>1383</v>
      </c>
      <c r="EM3" s="1136">
        <v>365.24220026360001</v>
      </c>
      <c r="EN3" s="1136" t="s">
        <v>345</v>
      </c>
      <c r="EO3" s="1136"/>
      <c r="EP3" s="1136"/>
      <c r="EQ3" s="1136"/>
      <c r="ER3" s="1136"/>
      <c r="ES3" s="1136"/>
      <c r="ET3" s="1136"/>
      <c r="EU3" s="1136"/>
      <c r="EV3" s="1136"/>
      <c r="EW3" s="1136"/>
      <c r="EX3" s="1136"/>
      <c r="EY3" s="1136"/>
      <c r="FC3" s="1124"/>
      <c r="FD3" s="1124"/>
      <c r="FE3" s="2445" t="s">
        <v>1384</v>
      </c>
      <c r="FF3" s="1413"/>
      <c r="FG3" s="2446" t="s">
        <v>1539</v>
      </c>
      <c r="FH3" s="1413"/>
      <c r="FI3" s="1413" t="s">
        <v>1540</v>
      </c>
      <c r="FJ3" s="1413" t="s">
        <v>1548</v>
      </c>
      <c r="FK3" s="1413"/>
      <c r="FL3" s="1413"/>
      <c r="FM3" s="1413" t="s">
        <v>1549</v>
      </c>
      <c r="FN3" s="1413"/>
      <c r="FO3" s="1413"/>
      <c r="FP3" s="1413"/>
      <c r="FQ3" s="1413"/>
      <c r="FR3" s="1413" t="s">
        <v>1550</v>
      </c>
      <c r="FS3" s="2447"/>
      <c r="FT3" s="1759"/>
      <c r="FU3" s="1759"/>
      <c r="GY3" s="1760"/>
    </row>
    <row r="4" spans="2:260" ht="25.5" thickBot="1">
      <c r="B4" s="1149" t="s">
        <v>1370</v>
      </c>
      <c r="C4" s="1150"/>
      <c r="D4" s="1150"/>
      <c r="E4" s="1136"/>
      <c r="F4" s="1151" t="s">
        <v>1423</v>
      </c>
      <c r="G4" s="1136"/>
      <c r="H4" s="1151" t="s">
        <v>1424</v>
      </c>
      <c r="I4" s="1150" t="s">
        <v>1371</v>
      </c>
      <c r="J4" s="1150"/>
      <c r="K4" s="1150"/>
      <c r="L4" s="1136"/>
      <c r="M4" s="1151" t="s">
        <v>1423</v>
      </c>
      <c r="N4" s="1136"/>
      <c r="O4" s="1151" t="s">
        <v>1424</v>
      </c>
      <c r="P4" s="1150"/>
      <c r="Q4" s="1146" t="s">
        <v>3</v>
      </c>
      <c r="R4" s="1146">
        <v>1345</v>
      </c>
      <c r="S4" s="1146" t="s">
        <v>5</v>
      </c>
      <c r="T4" s="1147">
        <v>7</v>
      </c>
      <c r="AE4" s="1130">
        <f>AE9*30</f>
        <v>10631.0127777777</v>
      </c>
      <c r="AQ4" s="1152" t="s">
        <v>1447</v>
      </c>
      <c r="AR4" s="1152"/>
      <c r="AS4" s="1152"/>
      <c r="AT4" s="1152"/>
      <c r="AU4" s="1152"/>
      <c r="AV4" s="1152"/>
      <c r="AW4" s="1152"/>
      <c r="AX4" s="1152"/>
      <c r="AY4" s="1152"/>
      <c r="AZ4" s="1152"/>
      <c r="BA4" s="1152"/>
      <c r="BC4" s="1141"/>
      <c r="BD4" s="1128"/>
      <c r="BE4" s="1141" t="s">
        <v>5</v>
      </c>
      <c r="BF4" s="1129">
        <f>[1]!roz(BH2,BH3,BH4,BH5)</f>
        <v>13.263912037037038</v>
      </c>
      <c r="BG4" s="1142" t="s">
        <v>166</v>
      </c>
      <c r="BH4" s="1143">
        <v>20</v>
      </c>
      <c r="BI4" s="1142"/>
      <c r="BJ4" s="1143"/>
      <c r="BL4" s="1153" t="s">
        <v>1456</v>
      </c>
      <c r="BM4" s="1131">
        <f>BF28</f>
        <v>5.3136458055458462</v>
      </c>
      <c r="BN4" s="1154">
        <f>INT(ABS(BM4))</f>
        <v>5</v>
      </c>
      <c r="BO4" s="1154">
        <f>INT((ABS(BM4)-BN4)*60)</f>
        <v>18</v>
      </c>
      <c r="BP4" s="1154">
        <f>INT((((ABS(BM4)-BN4)*60)-BO4)*60)</f>
        <v>49</v>
      </c>
      <c r="BQ4" s="1155">
        <f>INT((((((ABS(BM4)-BN4)*60)-BO4)*60)-BP4)*60)</f>
        <v>7</v>
      </c>
      <c r="BR4" s="1148" t="s">
        <v>1456</v>
      </c>
      <c r="BS4" s="1148">
        <f>BF28</f>
        <v>5.3136458055458462</v>
      </c>
      <c r="BT4" s="1154">
        <f t="shared" ref="BT4:BT16" si="0">INT(ABS(BS4))</f>
        <v>5</v>
      </c>
      <c r="BU4" s="1154">
        <f>INT((ABS(BS4)-BT4)*60)</f>
        <v>18</v>
      </c>
      <c r="BV4" s="1154">
        <f>INT((((ABS(BS4)-BT4)*60)-BU4)*60)</f>
        <v>49</v>
      </c>
      <c r="BW4" s="1155">
        <f>INT((((((ABS(BS4)-BT4)*60)-BU4)*60)-BV4)*60)</f>
        <v>7</v>
      </c>
      <c r="BY4" s="1416"/>
      <c r="BZ4" s="1208">
        <f>BZ3*6</f>
        <v>1.6427314814814815E-2</v>
      </c>
      <c r="CA4" s="1197">
        <f>INT(ABS(BZ4))</f>
        <v>0</v>
      </c>
      <c r="CB4" s="1197">
        <f>INT((ABS(BZ4)-CA4)*60)</f>
        <v>0</v>
      </c>
      <c r="CC4" s="1197">
        <f>INT((((ABS(BZ4)-CA4)*60)-CB4)*60)</f>
        <v>59</v>
      </c>
      <c r="CD4" s="1420">
        <f>INT((((((ABS(BZ4)-CA4)*60)-CB4)*60)-CC4)*60)</f>
        <v>8</v>
      </c>
      <c r="CE4" s="1151"/>
      <c r="CF4" s="1213"/>
      <c r="CG4" s="1149"/>
      <c r="CH4" s="1150"/>
      <c r="CI4" s="1193" t="s">
        <v>5</v>
      </c>
      <c r="CJ4" s="1194">
        <f>[1]!roz(CL2,CL3,CL4,CL5)</f>
        <v>6.2593055555555557</v>
      </c>
      <c r="CK4" s="1194" t="s">
        <v>166</v>
      </c>
      <c r="CL4" s="1194">
        <v>13</v>
      </c>
      <c r="CM4" s="1194"/>
      <c r="CN4" s="1398"/>
      <c r="CZ4" s="1130" t="s">
        <v>1491</v>
      </c>
      <c r="DG4" s="1136"/>
      <c r="DH4" s="1136"/>
      <c r="DI4" s="1136" t="s">
        <v>1500</v>
      </c>
      <c r="DJ4" s="1136" t="s">
        <v>1501</v>
      </c>
      <c r="DK4" s="1136" t="s">
        <v>1502</v>
      </c>
      <c r="DL4" s="1136" t="s">
        <v>1503</v>
      </c>
      <c r="DO4" s="1139" t="s">
        <v>1512</v>
      </c>
      <c r="DP4" s="1139"/>
      <c r="DQ4" s="1139"/>
      <c r="DR4" s="1139"/>
      <c r="DS4" s="1139"/>
      <c r="DT4" s="1139"/>
      <c r="DU4" s="1139"/>
      <c r="DV4" s="1139">
        <v>185237</v>
      </c>
      <c r="DW4" s="1139"/>
      <c r="DX4" s="1139"/>
      <c r="DY4" s="1139"/>
      <c r="DZ4" s="1139"/>
      <c r="EA4" s="1139"/>
      <c r="EB4" s="1139"/>
      <c r="EF4" s="1141" t="s">
        <v>4</v>
      </c>
      <c r="EG4" s="1129">
        <v>9</v>
      </c>
      <c r="EH4" s="1142" t="s">
        <v>219</v>
      </c>
      <c r="EI4" s="1143">
        <v>5</v>
      </c>
      <c r="EJ4" s="1130">
        <v>35</v>
      </c>
      <c r="EL4" s="1136"/>
      <c r="EM4" s="1136"/>
      <c r="EN4" s="1136"/>
      <c r="EO4" s="1136"/>
      <c r="EP4" s="1136"/>
      <c r="EQ4" s="1136"/>
      <c r="ER4" s="1136"/>
      <c r="ES4" s="1136">
        <v>185237</v>
      </c>
      <c r="ET4" s="1136"/>
      <c r="EU4" s="1136"/>
      <c r="EV4" s="1136"/>
      <c r="EW4" s="1136"/>
      <c r="EX4" s="1136"/>
      <c r="EY4" s="1136"/>
      <c r="FC4" s="1124"/>
      <c r="FD4" s="1124" t="s">
        <v>144</v>
      </c>
      <c r="FE4" s="2050" t="s">
        <v>60</v>
      </c>
      <c r="FF4" s="2051">
        <v>1445</v>
      </c>
      <c r="FG4" s="1158" t="s">
        <v>60</v>
      </c>
      <c r="FH4" s="1159">
        <v>2</v>
      </c>
      <c r="FI4" s="2045"/>
      <c r="FJ4" s="1161">
        <f>7*12*360</f>
        <v>30240</v>
      </c>
      <c r="FK4" s="1151"/>
      <c r="FL4" s="1151"/>
      <c r="FM4" s="1160" t="s">
        <v>1543</v>
      </c>
      <c r="FN4" s="1161">
        <v>78</v>
      </c>
      <c r="FO4" s="1151"/>
      <c r="FP4" s="1151"/>
      <c r="FQ4" s="1151"/>
      <c r="FR4" s="1160" t="s">
        <v>1542</v>
      </c>
      <c r="FS4" s="2479">
        <f>75*9</f>
        <v>675</v>
      </c>
      <c r="FT4" s="1759"/>
      <c r="FU4" s="1759"/>
      <c r="GB4" s="1130" t="s">
        <v>1562</v>
      </c>
      <c r="GF4" s="1130" t="s">
        <v>1563</v>
      </c>
      <c r="GI4" s="1222" t="s">
        <v>1565</v>
      </c>
      <c r="GJ4" s="1223"/>
      <c r="GK4" s="1223"/>
      <c r="GL4" s="1223"/>
      <c r="GM4" s="1223"/>
      <c r="GN4" s="1223"/>
      <c r="GO4" s="1223"/>
      <c r="GP4" s="1223"/>
      <c r="GQ4" s="1223"/>
      <c r="GR4" s="1223"/>
      <c r="GS4" s="1223"/>
      <c r="GT4" s="1223"/>
      <c r="GU4" s="1223"/>
      <c r="GV4" s="1223"/>
      <c r="GW4" s="1223"/>
      <c r="GX4" s="1224"/>
      <c r="GZ4" s="1496"/>
      <c r="HA4" s="1496"/>
      <c r="HB4" s="1496"/>
      <c r="HC4" s="1496"/>
      <c r="HD4" s="1496"/>
      <c r="HE4" s="1496"/>
      <c r="HF4" s="1496"/>
      <c r="HG4" s="1496" t="s">
        <v>2202</v>
      </c>
      <c r="HH4" s="1496">
        <f>[1]!saatzij(HI5,HI6,HB19)</f>
        <v>11.858468760491469</v>
      </c>
      <c r="HI4" s="1496">
        <f>HH4</f>
        <v>11.858468760491469</v>
      </c>
      <c r="HJ4" s="1554">
        <f>INT(ABS(HI4))</f>
        <v>11</v>
      </c>
      <c r="HK4" s="1554">
        <f>INT((ABS(HI4)-HJ4)*60)</f>
        <v>51</v>
      </c>
      <c r="HL4" s="1554">
        <f>INT((((ABS(HI4)-HJ4)*60)-HK4)*60)</f>
        <v>30</v>
      </c>
      <c r="HN4" s="451"/>
      <c r="HO4" s="1496"/>
      <c r="HP4" s="1496"/>
      <c r="HQ4" s="1496"/>
      <c r="HR4" s="1496"/>
      <c r="HS4" s="1496"/>
      <c r="HT4" s="1496"/>
      <c r="HU4" s="1496"/>
    </row>
    <row r="5" spans="2:260" ht="25.5" thickBot="1">
      <c r="B5" s="1149" t="s">
        <v>1367</v>
      </c>
      <c r="C5" s="1150" t="s">
        <v>1368</v>
      </c>
      <c r="D5" s="1150" t="s">
        <v>1369</v>
      </c>
      <c r="E5" s="1151" t="s">
        <v>1425</v>
      </c>
      <c r="F5" s="1151" t="s">
        <v>1421</v>
      </c>
      <c r="G5" s="1151" t="s">
        <v>1425</v>
      </c>
      <c r="H5" s="1151" t="s">
        <v>1422</v>
      </c>
      <c r="I5" s="1150" t="s">
        <v>1367</v>
      </c>
      <c r="J5" s="1150" t="s">
        <v>1368</v>
      </c>
      <c r="K5" s="1150" t="s">
        <v>1369</v>
      </c>
      <c r="L5" s="1151" t="s">
        <v>1425</v>
      </c>
      <c r="M5" s="1151" t="s">
        <v>1421</v>
      </c>
      <c r="N5" s="1151" t="s">
        <v>1425</v>
      </c>
      <c r="O5" s="1151" t="s">
        <v>1422</v>
      </c>
      <c r="P5" s="1150"/>
      <c r="Q5" s="1146" t="s">
        <v>4</v>
      </c>
      <c r="R5" s="1146">
        <v>3</v>
      </c>
      <c r="S5" s="1146" t="s">
        <v>219</v>
      </c>
      <c r="T5" s="1147">
        <v>20</v>
      </c>
      <c r="W5" s="1132" t="s">
        <v>1377</v>
      </c>
      <c r="X5" s="1126"/>
      <c r="Y5" s="1126"/>
      <c r="Z5" s="1126"/>
      <c r="AA5" s="1126"/>
      <c r="AB5" s="1127"/>
      <c r="AC5" s="1125"/>
      <c r="AD5" s="1130" t="s">
        <v>1385</v>
      </c>
      <c r="AG5" s="1130" t="s">
        <v>1384</v>
      </c>
      <c r="AJ5" s="1130" t="s">
        <v>3935</v>
      </c>
      <c r="AQ5" s="1165"/>
      <c r="AR5" s="1166" t="s">
        <v>1446</v>
      </c>
      <c r="AS5" s="1167" t="s">
        <v>1440</v>
      </c>
      <c r="AT5" s="1167"/>
      <c r="AU5" s="1168" t="s">
        <v>1441</v>
      </c>
      <c r="AV5" s="1168"/>
      <c r="AW5" s="1167" t="s">
        <v>1442</v>
      </c>
      <c r="AX5" s="1167"/>
      <c r="AY5" s="1168" t="s">
        <v>1443</v>
      </c>
      <c r="AZ5" s="1167" t="s">
        <v>1444</v>
      </c>
      <c r="BA5" s="1169" t="s">
        <v>1445</v>
      </c>
      <c r="BC5" s="1141"/>
      <c r="BD5" s="1128"/>
      <c r="BE5" s="1170" t="s">
        <v>393</v>
      </c>
      <c r="BF5" s="1171">
        <f>[1]!mbtool(2,20,0,1)</f>
        <v>9.7222222222222224E-2</v>
      </c>
      <c r="BG5" s="1172" t="s">
        <v>167</v>
      </c>
      <c r="BH5" s="1173">
        <v>2</v>
      </c>
      <c r="BI5" s="1142"/>
      <c r="BJ5" s="1143"/>
      <c r="BL5" s="1131"/>
      <c r="BM5" s="1131">
        <f>IF(BM4+60&lt;360,BM4+60,BM4+60-360)</f>
        <v>65.313645805545846</v>
      </c>
      <c r="BN5" s="1154">
        <f t="shared" ref="BN5:BN16" si="1">INT(ABS(BM5))</f>
        <v>65</v>
      </c>
      <c r="BO5" s="1154">
        <f t="shared" ref="BO5:BO16" si="2">INT((ABS(BM5)-BN5)*60)</f>
        <v>18</v>
      </c>
      <c r="BP5" s="1154">
        <f t="shared" ref="BP5:BP16" si="3">INT((((ABS(BM5)-BN5)*60)-BO5)*60)</f>
        <v>49</v>
      </c>
      <c r="BQ5" s="1155">
        <f t="shared" ref="BQ5:BQ16" si="4">INT((((((ABS(BM5)-BN5)*60)-BO5)*60)-BP5)*60)</f>
        <v>7</v>
      </c>
      <c r="BR5" s="1150" t="s">
        <v>375</v>
      </c>
      <c r="BS5" s="1148">
        <f>BF24</f>
        <v>11.565838605497305</v>
      </c>
      <c r="BT5" s="1154">
        <f t="shared" si="0"/>
        <v>11</v>
      </c>
      <c r="BU5" s="1154">
        <f t="shared" ref="BU5:BU11" si="5">INT((ABS(BS5)-BT5)*60)</f>
        <v>33</v>
      </c>
      <c r="BV5" s="1154">
        <f t="shared" ref="BV5:BV11" si="6">INT((((ABS(BS5)-BT5)*60)-BU5)*60)</f>
        <v>57</v>
      </c>
      <c r="BW5" s="1155">
        <f t="shared" ref="BW5:BW11" si="7">INT((((((ABS(BS5)-BT5)*60)-BU5)*60)-BV5)*60)</f>
        <v>1</v>
      </c>
      <c r="BY5" s="1419"/>
      <c r="BZ5" s="1192" t="s">
        <v>1474</v>
      </c>
      <c r="CA5" s="1426" t="s">
        <v>60</v>
      </c>
      <c r="CB5" s="1427">
        <v>1</v>
      </c>
      <c r="CC5" s="1427" t="s">
        <v>5</v>
      </c>
      <c r="CD5" s="1427">
        <v>3</v>
      </c>
      <c r="CE5" s="1428" t="s">
        <v>3950</v>
      </c>
      <c r="CF5" s="1429">
        <f>((((CD8/60)+CD7)/60)+CD6)</f>
        <v>0</v>
      </c>
      <c r="CG5" s="1150"/>
      <c r="CH5" s="1150"/>
      <c r="CI5" s="1424" t="s">
        <v>393</v>
      </c>
      <c r="CJ5" s="1425">
        <f>CB8</f>
        <v>9.7222222222222224E-2</v>
      </c>
      <c r="CK5" s="1425" t="s">
        <v>167</v>
      </c>
      <c r="CL5" s="1425">
        <v>24</v>
      </c>
      <c r="CM5" s="1425"/>
      <c r="CN5" s="1440"/>
      <c r="CZ5" s="1174" t="s">
        <v>1494</v>
      </c>
      <c r="DA5" s="1174">
        <v>30</v>
      </c>
      <c r="DB5" s="1175">
        <f>INT(ABS(DA5))</f>
        <v>30</v>
      </c>
      <c r="DC5" s="1175">
        <f>INT((ABS(DA5)-DB5)*60)</f>
        <v>0</v>
      </c>
      <c r="DD5" s="1175">
        <f>INT((((ABS(DA5)-DB5)*60)-DC5)*60)</f>
        <v>0</v>
      </c>
      <c r="DE5" s="1175">
        <f>INT((((((ABS(DA5)-DB5)*60)-DC5)*60)-DD5)*60)</f>
        <v>0</v>
      </c>
      <c r="DG5" s="1136"/>
      <c r="DH5" s="1136">
        <v>365.24220026360001</v>
      </c>
      <c r="DI5" s="1175">
        <f>INT(ABS(DH5))</f>
        <v>365</v>
      </c>
      <c r="DJ5" s="1175">
        <f>INT((ABS(DH5)-DI5)*24)</f>
        <v>5</v>
      </c>
      <c r="DK5" s="1175">
        <f>INT((((ABS(DH5)-DI5)*24)-DJ5)*60)</f>
        <v>48</v>
      </c>
      <c r="DL5" s="1175">
        <f>INT((((((ABS(DH5)-DI5)*24)-DJ5)*60)-DK5)*60)</f>
        <v>46</v>
      </c>
      <c r="DO5" s="1139"/>
      <c r="DP5" s="1139" t="s">
        <v>1517</v>
      </c>
      <c r="DQ5" s="1139" t="s">
        <v>172</v>
      </c>
      <c r="DR5" s="1139" t="s">
        <v>1518</v>
      </c>
      <c r="DS5" s="1139"/>
      <c r="DT5" s="1139" t="s">
        <v>172</v>
      </c>
      <c r="DU5" s="1139" t="s">
        <v>166</v>
      </c>
      <c r="DV5" s="1139" t="s">
        <v>167</v>
      </c>
      <c r="DW5" s="1139" t="s">
        <v>168</v>
      </c>
      <c r="DX5" s="1139" t="s">
        <v>1494</v>
      </c>
      <c r="DY5" s="1139"/>
      <c r="DZ5" s="1139"/>
      <c r="EA5" s="1139"/>
      <c r="EB5" s="1139"/>
      <c r="EF5" s="1141" t="s">
        <v>5</v>
      </c>
      <c r="EG5" s="1129" t="e">
        <f ca="1">[2]!roz(EI3,EI4,EI5,EI6)</f>
        <v>#NAME?</v>
      </c>
      <c r="EH5" s="1142" t="s">
        <v>166</v>
      </c>
      <c r="EI5" s="1143">
        <v>0</v>
      </c>
      <c r="EL5" s="1136"/>
      <c r="EM5" s="1136" t="s">
        <v>1517</v>
      </c>
      <c r="EN5" s="1136" t="s">
        <v>172</v>
      </c>
      <c r="EO5" s="1136" t="s">
        <v>1518</v>
      </c>
      <c r="EP5" s="1136"/>
      <c r="EQ5" s="1136" t="s">
        <v>172</v>
      </c>
      <c r="ER5" s="1136" t="s">
        <v>166</v>
      </c>
      <c r="ES5" s="1136" t="s">
        <v>167</v>
      </c>
      <c r="ET5" s="1136" t="s">
        <v>168</v>
      </c>
      <c r="EU5" s="1136" t="s">
        <v>1494</v>
      </c>
      <c r="EV5" s="1136"/>
      <c r="EW5" s="1136"/>
      <c r="EX5" s="1136"/>
      <c r="EY5" s="1136"/>
      <c r="FC5" s="1124"/>
      <c r="FD5" s="1124"/>
      <c r="FE5" s="2052" t="s">
        <v>4</v>
      </c>
      <c r="FF5" s="2053">
        <v>9</v>
      </c>
      <c r="FG5" s="1176" t="s">
        <v>4</v>
      </c>
      <c r="FH5" s="1122">
        <v>12</v>
      </c>
      <c r="FI5" s="2046" t="s">
        <v>1533</v>
      </c>
      <c r="FJ5" s="1178">
        <v>185236.103</v>
      </c>
      <c r="FK5" s="1151"/>
      <c r="FL5" s="1151"/>
      <c r="FM5" s="1177" t="s">
        <v>1533</v>
      </c>
      <c r="FN5" s="1178">
        <v>185236.103</v>
      </c>
      <c r="FO5" s="1151"/>
      <c r="FP5" s="1151"/>
      <c r="FQ5" s="1151"/>
      <c r="FR5" s="1177" t="s">
        <v>1533</v>
      </c>
      <c r="FS5" s="1298">
        <v>185236.103</v>
      </c>
      <c r="FT5" s="1759"/>
      <c r="FU5" s="1759"/>
      <c r="GB5" s="1163"/>
      <c r="GC5" s="1181">
        <v>123455</v>
      </c>
      <c r="GD5" s="1164"/>
      <c r="GF5" s="1182" t="s">
        <v>1564</v>
      </c>
      <c r="GG5" s="1183"/>
      <c r="GI5" s="1226" t="s">
        <v>1566</v>
      </c>
      <c r="GJ5" s="1128"/>
      <c r="GK5" s="1128"/>
      <c r="GL5" s="1128"/>
      <c r="GM5" s="1128"/>
      <c r="GN5" s="1128"/>
      <c r="GO5" s="1128"/>
      <c r="GP5" s="1128"/>
      <c r="GQ5" s="1128"/>
      <c r="GR5" s="1128"/>
      <c r="GS5" s="1128"/>
      <c r="GT5" s="1128"/>
      <c r="GU5" s="1128"/>
      <c r="GV5" s="1128"/>
      <c r="GW5" s="1128"/>
      <c r="GX5" s="1227"/>
      <c r="GZ5" s="1471"/>
      <c r="HA5" s="1472" t="s">
        <v>3873</v>
      </c>
      <c r="HB5" s="1472"/>
      <c r="HC5" s="1472" t="s">
        <v>172</v>
      </c>
      <c r="HD5" s="1472"/>
      <c r="HE5" s="1472"/>
      <c r="HF5" s="1472"/>
      <c r="HG5" s="705" t="s">
        <v>144</v>
      </c>
      <c r="HH5" s="706" t="s">
        <v>3</v>
      </c>
      <c r="HI5" s="706">
        <v>1446</v>
      </c>
      <c r="HJ5" s="706" t="s">
        <v>5</v>
      </c>
      <c r="HK5" s="1801">
        <v>20</v>
      </c>
      <c r="HL5" s="706" t="s">
        <v>177</v>
      </c>
      <c r="HM5" s="706">
        <v>35.700000000000003</v>
      </c>
      <c r="HN5" s="1295" t="s">
        <v>4261</v>
      </c>
      <c r="HO5" s="706">
        <f>[1]!movajjeh(HI5,HI6,HK5,HM6,HI8,HM5)</f>
        <v>6</v>
      </c>
      <c r="HP5" s="1094" t="s">
        <v>219</v>
      </c>
      <c r="HQ5" s="1094" t="s">
        <v>166</v>
      </c>
      <c r="HR5" s="706" t="str">
        <f>[1]!qeraname(HI5,HI6,HI7,HI8)</f>
        <v>--</v>
      </c>
      <c r="HS5" s="706"/>
      <c r="HT5" s="706"/>
      <c r="HU5" s="706"/>
      <c r="HV5" s="1295"/>
      <c r="HW5" s="1295"/>
      <c r="HX5" s="1295"/>
      <c r="HY5" s="1295"/>
      <c r="HZ5" s="1295"/>
      <c r="IA5" s="1295"/>
      <c r="IB5" s="1295"/>
      <c r="IC5" s="1295"/>
      <c r="ID5" s="1295"/>
      <c r="IE5" s="1295"/>
      <c r="IF5" s="1296"/>
      <c r="IH5" s="2527"/>
      <c r="II5" s="1295">
        <v>5</v>
      </c>
      <c r="IJ5" s="1295">
        <v>4</v>
      </c>
      <c r="IK5" s="1295">
        <v>3</v>
      </c>
      <c r="IL5" s="1295">
        <v>2</v>
      </c>
      <c r="IM5" s="1295">
        <v>1</v>
      </c>
      <c r="IN5" s="1295">
        <v>1</v>
      </c>
      <c r="IO5" s="1295">
        <v>1</v>
      </c>
      <c r="IP5" s="1295">
        <v>1</v>
      </c>
      <c r="IQ5" s="1295"/>
      <c r="IR5" s="1295"/>
      <c r="IS5" s="2537" t="s">
        <v>4683</v>
      </c>
      <c r="IT5" s="1295"/>
      <c r="IU5" s="1295"/>
      <c r="IV5" s="1296"/>
    </row>
    <row r="6" spans="2:260" ht="25.5" thickBot="1">
      <c r="B6" s="1149">
        <v>1</v>
      </c>
      <c r="C6" s="1150" t="s">
        <v>1351</v>
      </c>
      <c r="D6" s="1150">
        <v>192</v>
      </c>
      <c r="E6" s="1136" t="s">
        <v>1426</v>
      </c>
      <c r="F6" s="1151">
        <f t="shared" ref="F6:F20" si="8">D6-12</f>
        <v>180</v>
      </c>
      <c r="G6" s="1136" t="s">
        <v>1427</v>
      </c>
      <c r="H6" s="1151">
        <f t="shared" ref="H6:H20" si="9">D6-6</f>
        <v>186</v>
      </c>
      <c r="I6" s="1150">
        <v>1</v>
      </c>
      <c r="J6" s="1150" t="s">
        <v>1351</v>
      </c>
      <c r="K6" s="1150">
        <v>12</v>
      </c>
      <c r="L6" s="1136" t="s">
        <v>1435</v>
      </c>
      <c r="M6" s="1151">
        <f t="shared" ref="M6:M20" si="10">K6-12</f>
        <v>0</v>
      </c>
      <c r="N6" s="1136" t="s">
        <v>1431</v>
      </c>
      <c r="O6" s="1151">
        <f t="shared" ref="O6:O20" si="11">K6-6</f>
        <v>6</v>
      </c>
      <c r="P6" s="1150"/>
      <c r="Q6" s="1146" t="s">
        <v>5</v>
      </c>
      <c r="R6" s="1146">
        <f>[1]!roz(T4,T5,T6,T7)</f>
        <v>7.8361111111111112</v>
      </c>
      <c r="S6" s="1146" t="s">
        <v>166</v>
      </c>
      <c r="T6" s="1147">
        <v>4</v>
      </c>
      <c r="W6" s="1184" t="s">
        <v>5</v>
      </c>
      <c r="X6" s="1185">
        <v>1</v>
      </c>
      <c r="Y6" s="1185"/>
      <c r="Z6" s="1185"/>
      <c r="AA6" s="1185"/>
      <c r="AB6" s="1186"/>
      <c r="AD6" s="1187" t="s">
        <v>60</v>
      </c>
      <c r="AE6" s="1159">
        <v>1444</v>
      </c>
      <c r="AG6" s="1187" t="s">
        <v>60</v>
      </c>
      <c r="AH6" s="1159">
        <v>1444</v>
      </c>
      <c r="AJ6" s="1188" t="s">
        <v>3</v>
      </c>
      <c r="AK6" s="1189">
        <v>1444</v>
      </c>
      <c r="AL6" s="1189" t="s">
        <v>5</v>
      </c>
      <c r="AM6" s="1189">
        <v>10</v>
      </c>
      <c r="AN6" s="1189" t="s">
        <v>177</v>
      </c>
      <c r="AO6" s="1190">
        <v>35</v>
      </c>
      <c r="AQ6" s="1191">
        <v>1</v>
      </c>
      <c r="AR6" s="1192" t="str">
        <f>IF(AQ6=1,"حمل",IF(AQ6=2,"ثور",IF(AQ6=3,"جوزاء",IF(AQ6=4,"سرطان",IF(AQ6=5,"اسد",IF(AQ6=6,"سنبله",IF(AQ6=7,"میزان",IF(AQ6=8,"عقرب",IF(AQ6=9,"قوس",IF(AQ6=10,"جدی",IF(AQ6=11,"دلو","حوت")))))))))))</f>
        <v>حمل</v>
      </c>
      <c r="AS6" s="1181">
        <f>IF(AQ6+2&lt;=12,AQ6+2,AQ6+2-12)</f>
        <v>3</v>
      </c>
      <c r="AT6" s="1181">
        <f>IF(AQ6-2&gt;0,AQ6-2,AQ6+12-2)</f>
        <v>11</v>
      </c>
      <c r="AU6" s="1137">
        <f>IF(AQ6+3&lt;=12,AQ6+3,AQ6+3-12)</f>
        <v>4</v>
      </c>
      <c r="AV6" s="1137">
        <f>IF(AQ6-3&gt;0,AQ6-3,AQ6+12-3)</f>
        <v>10</v>
      </c>
      <c r="AW6" s="1181">
        <f>IF(AQ6+4&lt;=12,AQ6+4,AQ6+4-12)</f>
        <v>5</v>
      </c>
      <c r="AX6" s="1181">
        <f>IF(AQ6-4&gt;0,AQ6-4,AQ6+12-4)</f>
        <v>9</v>
      </c>
      <c r="AY6" s="1137">
        <f>IF(AQ6+6&lt;=12,AQ6+6,AQ6+6-12)</f>
        <v>7</v>
      </c>
      <c r="AZ6" s="1181">
        <f>13-AQ6</f>
        <v>12</v>
      </c>
      <c r="BA6" s="1138">
        <f>IF(AQ6&lt;=6,7-AQ6,19-AQ6)</f>
        <v>6</v>
      </c>
      <c r="BC6" s="1193"/>
      <c r="BD6" s="1194"/>
      <c r="BE6" s="1194"/>
      <c r="BF6" s="1194"/>
      <c r="BG6" s="1194"/>
      <c r="BH6" s="1194"/>
      <c r="BI6" s="1194"/>
      <c r="BJ6" s="1195"/>
      <c r="BL6" s="1131"/>
      <c r="BM6" s="1131">
        <f>IF(BM4+90&lt;360,BM4+90,BM4+90-360)</f>
        <v>95.313645805545846</v>
      </c>
      <c r="BN6" s="1154">
        <f t="shared" si="1"/>
        <v>95</v>
      </c>
      <c r="BO6" s="1154">
        <f t="shared" si="2"/>
        <v>18</v>
      </c>
      <c r="BP6" s="1154">
        <f t="shared" si="3"/>
        <v>49</v>
      </c>
      <c r="BQ6" s="1155">
        <f t="shared" si="4"/>
        <v>7</v>
      </c>
      <c r="BR6" s="1148" t="s">
        <v>1469</v>
      </c>
      <c r="BS6" s="1148">
        <f>IF(BS5+90&lt;360,BS5+90,BS5+90-360)</f>
        <v>101.56583860549731</v>
      </c>
      <c r="BT6" s="1154">
        <f t="shared" si="0"/>
        <v>101</v>
      </c>
      <c r="BU6" s="1154">
        <f t="shared" si="5"/>
        <v>33</v>
      </c>
      <c r="BV6" s="1154">
        <f t="shared" si="6"/>
        <v>57</v>
      </c>
      <c r="BW6" s="1155">
        <f t="shared" si="7"/>
        <v>1</v>
      </c>
      <c r="BY6" s="1415"/>
      <c r="BZ6" s="1151"/>
      <c r="CA6" s="1430" t="s">
        <v>4</v>
      </c>
      <c r="CB6" s="1431">
        <v>12</v>
      </c>
      <c r="CC6" s="1431" t="s">
        <v>219</v>
      </c>
      <c r="CD6" s="1431">
        <v>0</v>
      </c>
      <c r="CE6" s="1431"/>
      <c r="CF6" s="1432"/>
      <c r="CG6" s="1150"/>
      <c r="CH6" s="1150"/>
      <c r="CI6" s="1150"/>
      <c r="CJ6" s="1150"/>
      <c r="CK6" s="1150"/>
      <c r="CL6" s="1150"/>
      <c r="CM6" s="1150"/>
      <c r="CN6" s="1401"/>
      <c r="CZ6" s="1174" t="s">
        <v>1495</v>
      </c>
      <c r="DA6" s="1174">
        <f>DA8*30</f>
        <v>2.4641183284693233</v>
      </c>
      <c r="DB6" s="1175">
        <f>INT(ABS(DA6))</f>
        <v>2</v>
      </c>
      <c r="DC6" s="1175">
        <f>INT((ABS(DA6)-DB6)*60)</f>
        <v>27</v>
      </c>
      <c r="DD6" s="1175">
        <f>INT((((ABS(DA6)-DB6)*60)-DC6)*60)</f>
        <v>50</v>
      </c>
      <c r="DE6" s="1175">
        <f>INT((((((ABS(DA6)-DB6)*60)-DC6)*60)-DD6)*60)</f>
        <v>49</v>
      </c>
      <c r="DG6" s="1136" t="s">
        <v>1504</v>
      </c>
      <c r="DH6" s="1136">
        <f>DH5/7</f>
        <v>52.177457180514288</v>
      </c>
      <c r="DI6" s="1175">
        <f>INT(ABS(DH6))</f>
        <v>52</v>
      </c>
      <c r="DJ6" s="1175">
        <f>INT((ABS(DH6)-DI6)*24)</f>
        <v>4</v>
      </c>
      <c r="DK6" s="1175">
        <f>INT((((ABS(DH6)-DI6)*24)-DJ6)*60)</f>
        <v>15</v>
      </c>
      <c r="DL6" s="1175">
        <f>INT((((((ABS(DH6)-DI6)*24)-DJ6)*60)-DK6)*60)</f>
        <v>32</v>
      </c>
      <c r="DO6" s="1139" t="s">
        <v>1513</v>
      </c>
      <c r="DP6" s="1139">
        <v>1000</v>
      </c>
      <c r="DQ6" s="1139">
        <v>1</v>
      </c>
      <c r="DR6" s="1139">
        <v>360000</v>
      </c>
      <c r="DS6" s="1139">
        <f>DV4/DP6</f>
        <v>185.23699999999999</v>
      </c>
      <c r="DT6" s="1196">
        <f>INT(ABS(DS6))</f>
        <v>185</v>
      </c>
      <c r="DU6" s="1196">
        <f>INT((ABS(DS6)-DT6)*60)</f>
        <v>14</v>
      </c>
      <c r="DV6" s="1196">
        <f>INT((((ABS(DS6)-DT6)*60)-DU6)*60)</f>
        <v>13</v>
      </c>
      <c r="DW6" s="1196">
        <f>INT((((((ABS(DS6)-DT6)*60)-DU6)*60)-DV6)*60)</f>
        <v>11</v>
      </c>
      <c r="DX6" s="1139">
        <f>DQ6/DP6</f>
        <v>1E-3</v>
      </c>
      <c r="DY6" s="1196">
        <f>INT(ABS(DX6))</f>
        <v>0</v>
      </c>
      <c r="DZ6" s="1196">
        <f>INT((ABS(DX6)-DY6)*60)</f>
        <v>0</v>
      </c>
      <c r="EA6" s="1196">
        <f>INT((((ABS(DX6)-DY6)*60)-DZ6)*60)</f>
        <v>3</v>
      </c>
      <c r="EB6" s="1196">
        <f>INT((((((ABS(DX6)-DY6)*60)-DZ6)*60)-EA6)*60)</f>
        <v>36</v>
      </c>
      <c r="EF6" s="1170" t="s">
        <v>393</v>
      </c>
      <c r="EG6" s="1171" t="e">
        <f ca="1">[2]!mbtool(1,25,0,1)</f>
        <v>#NAME?</v>
      </c>
      <c r="EH6" s="1172" t="s">
        <v>167</v>
      </c>
      <c r="EI6" s="1173">
        <v>0</v>
      </c>
      <c r="EL6" s="1136" t="s">
        <v>1527</v>
      </c>
      <c r="EM6" s="1136">
        <v>1000</v>
      </c>
      <c r="EN6" s="1136">
        <v>30</v>
      </c>
      <c r="EO6" s="1136">
        <v>12000</v>
      </c>
      <c r="EP6" s="1136">
        <f>((ES4/EO6)-INT(ES4/EO6))*360</f>
        <v>157.10999999999984</v>
      </c>
      <c r="EQ6" s="1197">
        <f>INT(ABS(EP6))</f>
        <v>157</v>
      </c>
      <c r="ER6" s="1197">
        <f>INT((ABS(EP6)-EQ6)*60)</f>
        <v>6</v>
      </c>
      <c r="ES6" s="1197">
        <f>INT((((ABS(EP6)-EQ6)*60)-ER6)*60)</f>
        <v>35</v>
      </c>
      <c r="ET6" s="1197">
        <f>INT((((((ABS(EP6)-EQ6)*60)-ER6)*60)-ES6)*60)</f>
        <v>59</v>
      </c>
      <c r="EU6" s="1136">
        <f>EN6/EM6</f>
        <v>0.03</v>
      </c>
      <c r="EV6" s="1197">
        <f>INT(ABS(EU6))</f>
        <v>0</v>
      </c>
      <c r="EW6" s="1197">
        <f>INT((ABS(EU6)-EV6)*60)</f>
        <v>1</v>
      </c>
      <c r="EX6" s="1197">
        <f>INT((((ABS(EU6)-EV6)*60)-EW6)*60)</f>
        <v>48</v>
      </c>
      <c r="EY6" s="1197">
        <f>INT((((((ABS(EU6)-EV6)*60)-EW6)*60)-EX6)*60)</f>
        <v>-1</v>
      </c>
      <c r="FC6" s="1124"/>
      <c r="FD6" s="1124"/>
      <c r="FE6" s="2054" t="s">
        <v>5</v>
      </c>
      <c r="FF6" s="2055">
        <v>5</v>
      </c>
      <c r="FG6" s="1198" t="s">
        <v>5</v>
      </c>
      <c r="FH6" s="1199">
        <v>1</v>
      </c>
      <c r="FI6" s="2046"/>
      <c r="FJ6" s="1178">
        <f>[1]!modd(FJ5,FJ4)</f>
        <v>3796.1030000000028</v>
      </c>
      <c r="FK6" s="1151"/>
      <c r="FL6" s="1151"/>
      <c r="FM6" s="1177"/>
      <c r="FN6" s="1178">
        <f>[1]!modd(FN5,FN4)</f>
        <v>64.103000000002794</v>
      </c>
      <c r="FO6" s="1151"/>
      <c r="FP6" s="1151"/>
      <c r="FQ6" s="1151"/>
      <c r="FR6" s="1177"/>
      <c r="FS6" s="1298">
        <f>[1]!modd(FS5,FS4)</f>
        <v>286.10300000000279</v>
      </c>
      <c r="FT6" s="1759"/>
      <c r="FU6" s="1759"/>
      <c r="GB6" s="1149" t="s">
        <v>1551</v>
      </c>
      <c r="GC6" s="1150">
        <v>1461</v>
      </c>
      <c r="GD6" s="1180">
        <f>GC6</f>
        <v>1461</v>
      </c>
      <c r="GF6" s="1132" t="s">
        <v>1556</v>
      </c>
      <c r="GG6" s="1127">
        <v>1523296</v>
      </c>
      <c r="GI6" s="1222" t="s">
        <v>144</v>
      </c>
      <c r="GJ6" s="1223" t="s">
        <v>1521</v>
      </c>
      <c r="GK6" s="1223">
        <v>1252</v>
      </c>
      <c r="GL6" s="1223" t="s">
        <v>5</v>
      </c>
      <c r="GM6" s="1224">
        <v>5</v>
      </c>
      <c r="GN6" s="1128"/>
      <c r="GO6" s="1128"/>
      <c r="GP6" s="1128"/>
      <c r="GQ6" s="1128"/>
      <c r="GR6" s="1128"/>
      <c r="GS6" s="1128"/>
      <c r="GT6" s="1128"/>
      <c r="GU6" s="1128"/>
      <c r="GV6" s="1128"/>
      <c r="GW6" s="1128"/>
      <c r="GX6" s="1227"/>
      <c r="GZ6" s="1473" t="s">
        <v>144</v>
      </c>
      <c r="HA6" s="1634" t="s">
        <v>3871</v>
      </c>
      <c r="HB6" s="1474">
        <v>51.334699999999998</v>
      </c>
      <c r="HC6" s="243">
        <f>INT(ABS(HB6))</f>
        <v>51</v>
      </c>
      <c r="HD6" s="243">
        <f>INT((ABS(HB6)-HC6)*60)</f>
        <v>20</v>
      </c>
      <c r="HE6" s="243">
        <f>INT((((ABS(HB6)-HC6)*60)-HD6)*60)</f>
        <v>4</v>
      </c>
      <c r="HF6" s="243">
        <f>INT((((((ABS(HB6)-HC6)*60)-HD6)*60)-HE6)*60)</f>
        <v>55</v>
      </c>
      <c r="HG6" s="708"/>
      <c r="HH6" s="226" t="s">
        <v>4</v>
      </c>
      <c r="HI6" s="226">
        <v>9</v>
      </c>
      <c r="HJ6" s="226" t="s">
        <v>3971</v>
      </c>
      <c r="HK6" s="227">
        <v>12</v>
      </c>
      <c r="HL6" s="226" t="s">
        <v>3950</v>
      </c>
      <c r="HM6" s="226">
        <f>(((HK8/60)+HK7)/60)+HK6</f>
        <v>12.05</v>
      </c>
      <c r="HN6" s="1796" t="s">
        <v>4263</v>
      </c>
      <c r="HO6" s="226">
        <f>[1]!mostavieh(HI5,HI6,HK5,HO5,HI8,HM5)</f>
        <v>11.198452429237832</v>
      </c>
      <c r="HP6" s="1096">
        <f t="shared" ref="HP6" si="12">INT(ABS(HO6))</f>
        <v>11</v>
      </c>
      <c r="HQ6" s="1096">
        <f t="shared" ref="HQ6" si="13">INT((ABS(HO6)-HP6)*60)</f>
        <v>11</v>
      </c>
      <c r="HR6" s="226"/>
      <c r="HS6" s="226"/>
      <c r="HT6" s="226"/>
      <c r="HU6" s="226"/>
      <c r="HV6" s="1179"/>
      <c r="HW6" s="1179"/>
      <c r="HX6" s="1179"/>
      <c r="HY6" s="1179"/>
      <c r="HZ6" s="1179"/>
      <c r="IA6" s="1179"/>
      <c r="IB6" s="1179"/>
      <c r="IC6" s="1179"/>
      <c r="ID6" s="1179"/>
      <c r="IE6" s="1179"/>
      <c r="IF6" s="1298"/>
      <c r="IH6" s="2528" t="s">
        <v>279</v>
      </c>
      <c r="II6" s="1179" t="s">
        <v>4340</v>
      </c>
      <c r="IJ6" s="1179" t="s">
        <v>3642</v>
      </c>
      <c r="IK6" s="1179" t="s">
        <v>4663</v>
      </c>
      <c r="IL6" s="1179" t="s">
        <v>4664</v>
      </c>
      <c r="IM6" s="1179" t="s">
        <v>4666</v>
      </c>
      <c r="IN6" s="1179" t="s">
        <v>4665</v>
      </c>
      <c r="IO6" s="1796" t="s">
        <v>4667</v>
      </c>
      <c r="IP6" s="1179" t="s">
        <v>4668</v>
      </c>
      <c r="IQ6" s="1179"/>
      <c r="IR6" s="1179"/>
      <c r="IS6" s="1177" t="s">
        <v>4682</v>
      </c>
      <c r="IT6" s="1179" t="s">
        <v>4682</v>
      </c>
      <c r="IU6" s="1179" t="s">
        <v>4681</v>
      </c>
      <c r="IV6" s="1298" t="s">
        <v>4681</v>
      </c>
    </row>
    <row r="7" spans="2:260">
      <c r="B7" s="1149">
        <v>2</v>
      </c>
      <c r="C7" s="1150" t="s">
        <v>1352</v>
      </c>
      <c r="D7" s="1150">
        <f t="shared" ref="D7:D20" si="14">D6+12</f>
        <v>204</v>
      </c>
      <c r="E7" s="1136" t="s">
        <v>1428</v>
      </c>
      <c r="F7" s="1151">
        <f t="shared" si="8"/>
        <v>192</v>
      </c>
      <c r="G7" s="1136" t="s">
        <v>1429</v>
      </c>
      <c r="H7" s="1151">
        <f t="shared" si="9"/>
        <v>198</v>
      </c>
      <c r="I7" s="1150">
        <v>2</v>
      </c>
      <c r="J7" s="1150" t="s">
        <v>1352</v>
      </c>
      <c r="K7" s="1150">
        <f t="shared" ref="K7:K20" si="15">K6+12</f>
        <v>24</v>
      </c>
      <c r="L7" s="1136" t="s">
        <v>1426</v>
      </c>
      <c r="M7" s="1151">
        <f t="shared" si="10"/>
        <v>12</v>
      </c>
      <c r="N7" s="1136" t="s">
        <v>1427</v>
      </c>
      <c r="O7" s="1151">
        <f t="shared" si="11"/>
        <v>18</v>
      </c>
      <c r="P7" s="1150"/>
      <c r="Q7" s="1146" t="s">
        <v>393</v>
      </c>
      <c r="R7" s="1146">
        <v>0</v>
      </c>
      <c r="S7" s="1146" t="s">
        <v>167</v>
      </c>
      <c r="T7" s="1147">
        <v>0</v>
      </c>
      <c r="W7" s="1184"/>
      <c r="X7" s="1185">
        <f>(360*(X6-0))/364</f>
        <v>0.98901098901098905</v>
      </c>
      <c r="Y7" s="1121">
        <f>INT(ABS(X7))</f>
        <v>0</v>
      </c>
      <c r="Z7" s="1121">
        <f>INT((ABS(X7)-Y7)*60)</f>
        <v>59</v>
      </c>
      <c r="AA7" s="1121">
        <f>INT((((ABS(X7)-Y7)*60)-Z7)*60)</f>
        <v>20</v>
      </c>
      <c r="AB7" s="1202">
        <f>INT((((((ABS(X7)-Y7)*60)-Z7)*60)-AA7)*60)</f>
        <v>26</v>
      </c>
      <c r="AD7" s="1203" t="s">
        <v>4</v>
      </c>
      <c r="AE7" s="1122">
        <v>8</v>
      </c>
      <c r="AG7" s="1203" t="s">
        <v>4</v>
      </c>
      <c r="AH7" s="1122">
        <v>8</v>
      </c>
      <c r="AJ7" s="1204" t="s">
        <v>4</v>
      </c>
      <c r="AK7" s="1205">
        <v>1</v>
      </c>
      <c r="AL7" s="1205" t="s">
        <v>219</v>
      </c>
      <c r="AM7" s="1205">
        <v>17</v>
      </c>
      <c r="AN7" s="1205"/>
      <c r="AO7" s="1206"/>
      <c r="AQ7" s="1207"/>
      <c r="AR7" s="1208"/>
      <c r="AS7" s="1209" t="str">
        <f>IF(AS6=1,"حمل",IF(AS6=2,"ثور",IF(AS6=3,"جوزاء",IF(AS6=4,"سرطان",IF(AS6=5,"اسد",IF(AS6=6,"سنبله",IF(AS6=7,"میزان",IF(AS6=8,"عقرب",IF(AS6=9,"قوس",IF(AS6=10,"جدی",IF(AS6=11,"دلو","حوت")))))))))))</f>
        <v>جوزاء</v>
      </c>
      <c r="AT7" s="1209" t="str">
        <f>IF(AT6=1,"حمل",IF(AT6=2,"ثور",IF(AT6=3,"جوزاء",IF(AT6=4,"سرطان",IF(AT6=5,"اسد",IF(AT6=6,"سنبله",IF(AT6=7,"میزان",IF(AT6=8,"عقرب",IF(AT6=9,"قوس",IF(AT6=10,"جدی",IF(AT6=11,"دلو","حوت")))))))))))</f>
        <v>دلو</v>
      </c>
      <c r="AU7" s="1156" t="str">
        <f t="shared" ref="AU7:BA7" si="16">IF(AU6=1,"حمل",IF(AU6=2,"ثور",IF(AU6=3,"جوزاء",IF(AU6=4,"سرطان",IF(AU6=5,"اسد",IF(AU6=6,"سنبله",IF(AU6=7,"میزان",IF(AU6=8,"عقرب",IF(AU6=9,"قوس",IF(AU6=10,"جدی",IF(AU6=11,"دلو","حوت")))))))))))</f>
        <v>سرطان</v>
      </c>
      <c r="AV7" s="1156" t="str">
        <f t="shared" si="16"/>
        <v>جدی</v>
      </c>
      <c r="AW7" s="1209" t="str">
        <f t="shared" si="16"/>
        <v>اسد</v>
      </c>
      <c r="AX7" s="1209" t="str">
        <f t="shared" si="16"/>
        <v>قوس</v>
      </c>
      <c r="AY7" s="1156" t="str">
        <f t="shared" si="16"/>
        <v>میزان</v>
      </c>
      <c r="AZ7" s="1209" t="str">
        <f>IF(AZ6=1,"حمل",IF(AZ6=2,"ثور",IF(AZ6=3,"جوزاء",IF(AZ6=4,"سرطان",IF(AZ6=5,"اسد",IF(AZ6=6,"سنبله",IF(AZ6=7,"میزان",IF(AZ6=8,"عقرب",IF(AZ6=9,"قوس",IF(AZ6=10,"جدی",IF(AZ6=11,"دلو","حوت")))))))))))</f>
        <v>حوت</v>
      </c>
      <c r="BA7" s="1157" t="str">
        <f t="shared" si="16"/>
        <v>سنبله</v>
      </c>
      <c r="BC7" s="1144"/>
      <c r="BD7" s="1146"/>
      <c r="BE7" s="1146" t="s">
        <v>659</v>
      </c>
      <c r="BF7" s="1146">
        <f>[1]!taqsh(BF2,BF3,BF4,BF5)</f>
        <v>14.106446932379257</v>
      </c>
      <c r="BG7" s="1121">
        <f>INT(ABS(BF7))</f>
        <v>14</v>
      </c>
      <c r="BH7" s="1121">
        <f>INT((ABS(BF7)-BG7)*60)</f>
        <v>6</v>
      </c>
      <c r="BI7" s="1121">
        <f>INT((((ABS(BF7)-BG7)*60)-BH7)*60)</f>
        <v>23</v>
      </c>
      <c r="BJ7" s="1202">
        <f>INT((((((ABS(BF7)-BG7)*60)-BH7)*60)-BI7)*60)</f>
        <v>12</v>
      </c>
      <c r="BL7" s="1131"/>
      <c r="BM7" s="1131">
        <f>IF(BM4+120&lt;360,BM4+120,BM4+120-360)</f>
        <v>125.31364580554585</v>
      </c>
      <c r="BN7" s="1154">
        <f t="shared" si="1"/>
        <v>125</v>
      </c>
      <c r="BO7" s="1154">
        <f t="shared" si="2"/>
        <v>18</v>
      </c>
      <c r="BP7" s="1154">
        <f t="shared" si="3"/>
        <v>49</v>
      </c>
      <c r="BQ7" s="1155">
        <f t="shared" si="4"/>
        <v>7</v>
      </c>
      <c r="BR7" s="1148" t="s">
        <v>839</v>
      </c>
      <c r="BS7" s="1148">
        <f>[1]!tafazoll(BS4,BS6)</f>
        <v>96.252192799951459</v>
      </c>
      <c r="BT7" s="1154">
        <f t="shared" si="0"/>
        <v>96</v>
      </c>
      <c r="BU7" s="1154">
        <f t="shared" si="5"/>
        <v>15</v>
      </c>
      <c r="BV7" s="1154">
        <f t="shared" si="6"/>
        <v>7</v>
      </c>
      <c r="BW7" s="1155">
        <f t="shared" si="7"/>
        <v>53</v>
      </c>
      <c r="BY7" s="1415"/>
      <c r="BZ7" s="1151"/>
      <c r="CA7" s="1430" t="s">
        <v>5</v>
      </c>
      <c r="CB7" s="1431">
        <f>[1]!roz(CD5,CD6,CD7,CD8)</f>
        <v>3</v>
      </c>
      <c r="CC7" s="1431" t="s">
        <v>166</v>
      </c>
      <c r="CD7" s="1431">
        <v>0</v>
      </c>
      <c r="CE7" s="1431"/>
      <c r="CF7" s="1432"/>
      <c r="CG7" s="1150"/>
      <c r="CH7" s="1150"/>
      <c r="CI7" s="1150" t="s">
        <v>659</v>
      </c>
      <c r="CJ7" s="1150">
        <f>[1]!taqsh(CJ2,CJ3,CJ4,CJ5)</f>
        <v>225.03814530591714</v>
      </c>
      <c r="CK7" s="1201">
        <f>INT(ABS(CJ7))</f>
        <v>225</v>
      </c>
      <c r="CL7" s="1201">
        <f>INT((ABS(CJ7)-CK7)*60)</f>
        <v>2</v>
      </c>
      <c r="CM7" s="1201">
        <f>INT((((ABS(CJ7)-CK7)*60)-CL7)*60)</f>
        <v>17</v>
      </c>
      <c r="CN7" s="1403">
        <f>INT((((((ABS(CJ7)-CK7)*60)-CL7)*60)-CM7)*60)</f>
        <v>19</v>
      </c>
      <c r="CZ7" s="1174" t="s">
        <v>1383</v>
      </c>
      <c r="DA7" s="1174">
        <v>365.24220026360001</v>
      </c>
      <c r="DB7" s="1175">
        <f>INT(ABS(DA7))</f>
        <v>365</v>
      </c>
      <c r="DC7" s="1175">
        <f>INT((ABS(DA7)-DB7)*60)</f>
        <v>14</v>
      </c>
      <c r="DD7" s="1175">
        <f>INT((((ABS(DA7)-DB7)*60)-DC7)*60)</f>
        <v>31</v>
      </c>
      <c r="DE7" s="1175">
        <f>INT((((((ABS(DA7)-DB7)*60)-DC7)*60)-DD7)*60)</f>
        <v>55</v>
      </c>
      <c r="DG7" s="1136" t="s">
        <v>1505</v>
      </c>
      <c r="DH7" s="1136">
        <f>DH5*2/7</f>
        <v>104.35491436102858</v>
      </c>
      <c r="DI7" s="1175">
        <f t="shared" ref="DI7:DI12" si="17">INT(ABS(DH7))</f>
        <v>104</v>
      </c>
      <c r="DJ7" s="1175">
        <f t="shared" ref="DJ7:DJ12" si="18">INT((ABS(DH7)-DI7)*24)</f>
        <v>8</v>
      </c>
      <c r="DK7" s="1175">
        <f t="shared" ref="DK7:DK12" si="19">INT((((ABS(DH7)-DI7)*24)-DJ7)*60)</f>
        <v>31</v>
      </c>
      <c r="DL7" s="1175">
        <f t="shared" ref="DL7:DL12" si="20">INT((((((ABS(DH7)-DI7)*24)-DJ7)*60)-DK7)*60)</f>
        <v>4</v>
      </c>
      <c r="DO7" s="1139" t="s">
        <v>1514</v>
      </c>
      <c r="DP7" s="1139">
        <v>100</v>
      </c>
      <c r="DQ7" s="1139">
        <v>1</v>
      </c>
      <c r="DR7" s="1139">
        <v>36000</v>
      </c>
      <c r="DS7" s="1139">
        <f>[1]!modd((DV4/DP7),360)</f>
        <v>52.369999999999891</v>
      </c>
      <c r="DT7" s="1196">
        <f>INT(ABS(DS7))</f>
        <v>52</v>
      </c>
      <c r="DU7" s="1196">
        <f>INT((ABS(DS7)-DT7)*60)</f>
        <v>22</v>
      </c>
      <c r="DV7" s="1196">
        <f>INT((((ABS(DS7)-DT7)*60)-DU7)*60)</f>
        <v>11</v>
      </c>
      <c r="DW7" s="1196">
        <f>INT((((((ABS(DS7)-DT7)*60)-DU7)*60)-DV7)*60)</f>
        <v>59</v>
      </c>
      <c r="DX7" s="1139">
        <f>DQ7/DP7</f>
        <v>0.01</v>
      </c>
      <c r="DY7" s="1196">
        <f>INT(ABS(DX7))</f>
        <v>0</v>
      </c>
      <c r="DZ7" s="1196">
        <f>INT((ABS(DX7)-DY7)*60)</f>
        <v>0</v>
      </c>
      <c r="EA7" s="1196">
        <f>INT((((ABS(DX7)-DY7)*60)-DZ7)*60)</f>
        <v>36</v>
      </c>
      <c r="EB7" s="1196">
        <f>INT((((((ABS(DX7)-DY7)*60)-DZ7)*60)-EA7)*60)</f>
        <v>0</v>
      </c>
      <c r="EF7" s="1153" t="s">
        <v>1523</v>
      </c>
      <c r="EG7" s="1131" t="e">
        <f ca="1">(EG5-INT(EG5))*24</f>
        <v>#NAME?</v>
      </c>
      <c r="EH7" s="1131"/>
      <c r="EI7" s="1131"/>
      <c r="EL7" s="1136" t="s">
        <v>1528</v>
      </c>
      <c r="EM7" s="1136">
        <v>100</v>
      </c>
      <c r="EN7" s="1136">
        <v>30</v>
      </c>
      <c r="EO7" s="1136">
        <v>1200</v>
      </c>
      <c r="EP7" s="1136">
        <f>((ES4/EO7)-INT(ES4/EO7))*360</f>
        <v>131.10000000000355</v>
      </c>
      <c r="EQ7" s="1197">
        <f>INT(ABS(EP7))</f>
        <v>131</v>
      </c>
      <c r="ER7" s="1197">
        <f>INT((ABS(EP7)-EQ7)*60)</f>
        <v>6</v>
      </c>
      <c r="ES7" s="1197">
        <f>INT((((ABS(EP7)-EQ7)*60)-ER7)*60)</f>
        <v>0</v>
      </c>
      <c r="ET7" s="1197">
        <f>INT((((((ABS(EP7)-EQ7)*60)-ER7)*60)-ES7)*60)</f>
        <v>0</v>
      </c>
      <c r="EU7" s="1136">
        <f>EN7/EM7</f>
        <v>0.3</v>
      </c>
      <c r="EV7" s="1197">
        <f>INT(ABS(EU7))</f>
        <v>0</v>
      </c>
      <c r="EW7" s="1197">
        <f>INT((ABS(EU7)-EV7)*60)</f>
        <v>18</v>
      </c>
      <c r="EX7" s="1197">
        <f>INT((((ABS(EU7)-EV7)*60)-EW7)*60)</f>
        <v>0</v>
      </c>
      <c r="EY7" s="1197">
        <f>INT((((((ABS(EU7)-EV7)*60)-EW7)*60)-EX7)*60)</f>
        <v>0</v>
      </c>
      <c r="FE7" s="2439"/>
      <c r="FF7" s="1216">
        <f>FF4*0.9702256</f>
        <v>1401.9759920000001</v>
      </c>
      <c r="FG7" s="1210"/>
      <c r="FH7" s="1211">
        <f>FH4*0.9702256</f>
        <v>1.9404512</v>
      </c>
      <c r="FI7" s="2046" t="s">
        <v>1534</v>
      </c>
      <c r="FJ7" s="1178">
        <f>FF15-1215</f>
        <v>187</v>
      </c>
      <c r="FK7" s="2481" t="s">
        <v>4633</v>
      </c>
      <c r="FL7" s="1151"/>
      <c r="FM7" s="2450" t="s">
        <v>1534</v>
      </c>
      <c r="FN7" s="1178">
        <f>FF15-1215</f>
        <v>187</v>
      </c>
      <c r="FO7" s="1151"/>
      <c r="FP7" s="1151"/>
      <c r="FQ7" s="1151"/>
      <c r="FR7" s="2450" t="s">
        <v>1534</v>
      </c>
      <c r="FS7" s="1298">
        <f>FF15-1215</f>
        <v>187</v>
      </c>
      <c r="FT7" s="2480"/>
      <c r="FU7" s="1759"/>
      <c r="GB7" s="1149" t="s">
        <v>1290</v>
      </c>
      <c r="GC7" s="1150">
        <v>1151</v>
      </c>
      <c r="GD7" s="1180">
        <f>GC7+GC6</f>
        <v>2612</v>
      </c>
      <c r="GF7" s="1141" t="s">
        <v>77</v>
      </c>
      <c r="GG7" s="1127">
        <v>354.36709259258998</v>
      </c>
      <c r="GI7" s="1226"/>
      <c r="GJ7" s="1128" t="s">
        <v>4</v>
      </c>
      <c r="GK7" s="1128">
        <v>8</v>
      </c>
      <c r="GL7" s="1128" t="s">
        <v>219</v>
      </c>
      <c r="GM7" s="1227">
        <v>0</v>
      </c>
      <c r="GN7" s="1128"/>
      <c r="GO7" s="1128"/>
      <c r="GP7" s="1128"/>
      <c r="GQ7" s="1128"/>
      <c r="GR7" s="1128"/>
      <c r="GS7" s="1128"/>
      <c r="GT7" s="1128"/>
      <c r="GU7" s="1128"/>
      <c r="GV7" s="1128"/>
      <c r="GW7" s="1128"/>
      <c r="GX7" s="1227"/>
      <c r="GZ7" s="1079"/>
      <c r="HA7" s="1635" t="s">
        <v>3869</v>
      </c>
      <c r="HB7" s="1080">
        <v>85.890166667000003</v>
      </c>
      <c r="HC7" s="1080"/>
      <c r="HD7" s="1080"/>
      <c r="HE7" s="1080"/>
      <c r="HF7" s="1080"/>
      <c r="HG7" s="708"/>
      <c r="HH7" s="226" t="s">
        <v>5</v>
      </c>
      <c r="HI7" s="226">
        <f>[1]!roz(HK5,HH4,0,0)</f>
        <v>20.494102865020476</v>
      </c>
      <c r="HJ7" s="226" t="s">
        <v>166</v>
      </c>
      <c r="HK7" s="227">
        <v>3</v>
      </c>
      <c r="HL7" s="1179" t="s">
        <v>4259</v>
      </c>
      <c r="HM7" s="226">
        <f>[1]!troozv(HI5,HI6,HK5)</f>
        <v>512316</v>
      </c>
      <c r="HN7" s="1796" t="s">
        <v>4320</v>
      </c>
      <c r="HO7" s="226">
        <f>[1]!sahmolhavadeth(HI5,HI6,HI7,HI8)</f>
        <v>237.92344066007581</v>
      </c>
      <c r="HP7" s="226"/>
      <c r="HQ7" s="226"/>
      <c r="HR7" s="226"/>
      <c r="HS7" s="226"/>
      <c r="HT7" s="226"/>
      <c r="HU7" s="226"/>
      <c r="HV7" s="1179"/>
      <c r="HW7" s="1179"/>
      <c r="HX7" s="1179"/>
      <c r="HY7" s="1179"/>
      <c r="HZ7" s="1179"/>
      <c r="IA7" s="1179"/>
      <c r="IB7" s="1179"/>
      <c r="IC7" s="1179"/>
      <c r="ID7" s="1179"/>
      <c r="IE7" s="1179"/>
      <c r="IF7" s="1298"/>
      <c r="IH7" s="2528">
        <f>HI17</f>
        <v>104.1360934591568</v>
      </c>
      <c r="II7" s="1179" t="str">
        <f>IF17</f>
        <v>qomar</v>
      </c>
      <c r="IJ7" s="1179" t="str">
        <f>[1]!sahebsharafame(IH7)</f>
        <v>moshtari</v>
      </c>
      <c r="IK7" s="1179" t="str">
        <f>HT17</f>
        <v>otared</v>
      </c>
      <c r="IL7" s="1179" t="s">
        <v>4670</v>
      </c>
      <c r="IM7" s="1179" t="s">
        <v>4671</v>
      </c>
      <c r="IN7" s="1179" t="s">
        <v>4672</v>
      </c>
      <c r="IO7" s="1179" t="str">
        <f>HU17</f>
        <v>otared</v>
      </c>
      <c r="IP7" s="1179" t="str">
        <f>IA10</f>
        <v>shams</v>
      </c>
      <c r="IQ7" s="1179"/>
      <c r="IR7" s="1179"/>
      <c r="IS7" s="1177">
        <f>IF(IT11-2&gt;0,IT11-2,IT11-2+12)</f>
        <v>1</v>
      </c>
      <c r="IT7" s="1179">
        <f>IF(IT11+2&lt;13,IT11+2,IT11+2-12)</f>
        <v>5</v>
      </c>
      <c r="IU7" s="1179">
        <f>IF(IT11-4&gt;0,IT11-4,IT11-4+12)</f>
        <v>11</v>
      </c>
      <c r="IV7" s="1298">
        <f>IF(IT11+4&lt;13,IT11+4,IT11+4-12)</f>
        <v>7</v>
      </c>
    </row>
    <row r="8" spans="2:260" ht="25.5" thickBot="1">
      <c r="B8" s="1149">
        <v>3</v>
      </c>
      <c r="C8" s="1150" t="s">
        <v>1353</v>
      </c>
      <c r="D8" s="1150">
        <f t="shared" si="14"/>
        <v>216</v>
      </c>
      <c r="E8" s="1136" t="s">
        <v>1430</v>
      </c>
      <c r="F8" s="1151">
        <f t="shared" si="8"/>
        <v>204</v>
      </c>
      <c r="G8" s="1136" t="s">
        <v>1437</v>
      </c>
      <c r="H8" s="1151">
        <f t="shared" si="9"/>
        <v>210</v>
      </c>
      <c r="I8" s="1150">
        <v>3</v>
      </c>
      <c r="J8" s="1150" t="s">
        <v>1353</v>
      </c>
      <c r="K8" s="1150">
        <f t="shared" si="15"/>
        <v>36</v>
      </c>
      <c r="L8" s="1136" t="s">
        <v>1428</v>
      </c>
      <c r="M8" s="1151">
        <f t="shared" si="10"/>
        <v>24</v>
      </c>
      <c r="N8" s="1136" t="s">
        <v>1429</v>
      </c>
      <c r="O8" s="1151">
        <f t="shared" si="11"/>
        <v>30</v>
      </c>
      <c r="P8" s="1150"/>
      <c r="Q8" s="1176" t="s">
        <v>378</v>
      </c>
      <c r="R8" s="1176">
        <f>[1]!taqsh(R4,R5,R6,R7)</f>
        <v>171.97572840728412</v>
      </c>
      <c r="S8" s="1176"/>
      <c r="T8" s="1122"/>
      <c r="W8" s="1184" t="s">
        <v>1382</v>
      </c>
      <c r="X8" s="1185">
        <f>((9.87*([1]!sn(2*X7)/60))-(7.52*[1]!csn(X7)/60)-(1.5*[1]!sn(X7)/60))</f>
        <v>-7.2040963705142511</v>
      </c>
      <c r="Y8" s="1121">
        <f>INT(ABS(X8))</f>
        <v>7</v>
      </c>
      <c r="Z8" s="1121">
        <f>INT((ABS(X8)-Y8)*60)</f>
        <v>12</v>
      </c>
      <c r="AA8" s="1121">
        <f>INT((((ABS(X8)-Y8)*60)-Z8)*60)</f>
        <v>14</v>
      </c>
      <c r="AB8" s="1202">
        <f>INT((((((ABS(X8)-Y8)*60)-Z8)*60)-AA8)*60)</f>
        <v>44</v>
      </c>
      <c r="AD8" s="1214" t="s">
        <v>5</v>
      </c>
      <c r="AE8" s="1199">
        <v>15</v>
      </c>
      <c r="AF8" s="1125"/>
      <c r="AG8" s="1214" t="s">
        <v>5</v>
      </c>
      <c r="AH8" s="1199">
        <v>28</v>
      </c>
      <c r="AJ8" s="1204" t="s">
        <v>5</v>
      </c>
      <c r="AK8" s="1205">
        <f>[1]!roz(AM6,AM7,AM8,AM9)</f>
        <v>10.722453703703703</v>
      </c>
      <c r="AL8" s="1205" t="s">
        <v>166</v>
      </c>
      <c r="AM8" s="1205">
        <v>20</v>
      </c>
      <c r="AN8" s="1205"/>
      <c r="AO8" s="1206"/>
      <c r="AQ8" s="1191">
        <v>2</v>
      </c>
      <c r="AR8" s="1192" t="str">
        <f>IF(AQ8=1,"حمل",IF(AQ8=2,"ثور",IF(AQ8=3,"جوزاء",IF(AQ8=4,"سرطان",IF(AQ8=5,"اسد",IF(AQ8=6,"سنبله",IF(AQ8=7,"میزان",IF(AQ8=8,"عقرب",IF(AQ8=9,"قوس",IF(AQ8=10,"جدی",IF(AQ8=11,"دلو","حوت")))))))))))</f>
        <v>ثور</v>
      </c>
      <c r="AS8" s="1181">
        <f>IF(AQ8+2&lt;=12,AQ8+2,AQ8+2-12)</f>
        <v>4</v>
      </c>
      <c r="AT8" s="1181">
        <f>IF(AQ8-2&gt;0,AQ8-2,AQ8+12-2)</f>
        <v>12</v>
      </c>
      <c r="AU8" s="1137">
        <f>IF(AQ8+3&lt;=12,AQ8+3,AQ8+3-12)</f>
        <v>5</v>
      </c>
      <c r="AV8" s="1137">
        <f>IF(AQ8-3&gt;0,AQ8-3,AQ8+12-3)</f>
        <v>11</v>
      </c>
      <c r="AW8" s="1181">
        <f>IF(AQ8+4&lt;=12,AQ8+4,AQ8+4-12)</f>
        <v>6</v>
      </c>
      <c r="AX8" s="1181">
        <f>IF(AQ8-4&gt;0,AQ8-4,AQ8+12-4)</f>
        <v>10</v>
      </c>
      <c r="AY8" s="1137">
        <f>IF(AQ8+6&lt;=12,AQ8+6,AQ8+6-12)</f>
        <v>8</v>
      </c>
      <c r="AZ8" s="1181">
        <f>13-AQ8</f>
        <v>11</v>
      </c>
      <c r="BA8" s="1138">
        <f>IF(AQ8&lt;=6,7-AQ8,19-AQ8)</f>
        <v>5</v>
      </c>
      <c r="BC8" s="1144"/>
      <c r="BD8" s="1146"/>
      <c r="BE8" s="1146" t="s">
        <v>177</v>
      </c>
      <c r="BF8" s="1146">
        <v>35</v>
      </c>
      <c r="BG8" s="1121">
        <f t="shared" ref="BG8:BG17" si="21">INT(ABS(BF8))</f>
        <v>35</v>
      </c>
      <c r="BH8" s="1121">
        <f t="shared" ref="BH8:BH17" si="22">INT((ABS(BF8)-BG8)*60)</f>
        <v>0</v>
      </c>
      <c r="BI8" s="1121">
        <f t="shared" ref="BI8:BI17" si="23">INT((((ABS(BF8)-BG8)*60)-BH8)*60)</f>
        <v>0</v>
      </c>
      <c r="BJ8" s="1202">
        <f t="shared" ref="BJ8:BJ17" si="24">INT((((((ABS(BF8)-BG8)*60)-BH8)*60)-BI8)*60)</f>
        <v>0</v>
      </c>
      <c r="BL8" s="1131"/>
      <c r="BM8" s="1131">
        <f>IF(BM4-60&gt;0,BM4-60,BM4+360-60)</f>
        <v>305.31364580554583</v>
      </c>
      <c r="BN8" s="1154">
        <f t="shared" si="1"/>
        <v>305</v>
      </c>
      <c r="BO8" s="1154">
        <f t="shared" si="2"/>
        <v>18</v>
      </c>
      <c r="BP8" s="1154">
        <f t="shared" si="3"/>
        <v>49</v>
      </c>
      <c r="BQ8" s="1155">
        <f t="shared" si="4"/>
        <v>7</v>
      </c>
      <c r="BR8" s="1148" t="s">
        <v>1467</v>
      </c>
      <c r="BS8" s="1148">
        <f>[1]!tq(BS7/3)+BS4</f>
        <v>37.397710072196332</v>
      </c>
      <c r="BT8" s="1154">
        <f t="shared" si="0"/>
        <v>37</v>
      </c>
      <c r="BU8" s="1154">
        <f t="shared" si="5"/>
        <v>23</v>
      </c>
      <c r="BV8" s="1154">
        <f t="shared" si="6"/>
        <v>51</v>
      </c>
      <c r="BW8" s="1155">
        <f t="shared" si="7"/>
        <v>45</v>
      </c>
      <c r="BY8" s="1415"/>
      <c r="BZ8" s="1151"/>
      <c r="CA8" s="1433" t="s">
        <v>393</v>
      </c>
      <c r="CB8" s="1434">
        <f>[1]!mbtool(2,20,0,1)</f>
        <v>9.7222222222222224E-2</v>
      </c>
      <c r="CC8" s="1434" t="s">
        <v>167</v>
      </c>
      <c r="CD8" s="1434">
        <v>0</v>
      </c>
      <c r="CE8" s="1434"/>
      <c r="CF8" s="1435"/>
      <c r="CG8" s="1150"/>
      <c r="CH8" s="1150"/>
      <c r="CI8" s="1150" t="s">
        <v>177</v>
      </c>
      <c r="CJ8" s="1150">
        <v>35</v>
      </c>
      <c r="CK8" s="1201">
        <f t="shared" ref="CK8:CK10" si="25">INT(ABS(CJ8))</f>
        <v>35</v>
      </c>
      <c r="CL8" s="1201">
        <f t="shared" ref="CL8:CL10" si="26">INT((ABS(CJ8)-CK8)*60)</f>
        <v>0</v>
      </c>
      <c r="CM8" s="1201">
        <f t="shared" ref="CM8:CM10" si="27">INT((((ABS(CJ8)-CK8)*60)-CL8)*60)</f>
        <v>0</v>
      </c>
      <c r="CN8" s="1403">
        <f t="shared" ref="CN8:CN10" si="28">INT((((((ABS(CJ8)-CK8)*60)-CL8)*60)-CM8)*60)</f>
        <v>0</v>
      </c>
      <c r="CZ8" s="1174" t="s">
        <v>1490</v>
      </c>
      <c r="DA8" s="1174">
        <f>DA5/DA7</f>
        <v>8.2137277615644114E-2</v>
      </c>
      <c r="DB8" s="1175">
        <f>INT(ABS(DA8))</f>
        <v>0</v>
      </c>
      <c r="DC8" s="1175">
        <f>INT((ABS(DA8)-DB8)*60)</f>
        <v>4</v>
      </c>
      <c r="DD8" s="1175">
        <f>INT((((ABS(DA8)-DB8)*60)-DC8)*60)</f>
        <v>55</v>
      </c>
      <c r="DE8" s="1175">
        <f>INT((((((ABS(DA8)-DB8)*60)-DC8)*60)-DD8)*60)</f>
        <v>41</v>
      </c>
      <c r="DG8" s="1136" t="s">
        <v>1506</v>
      </c>
      <c r="DH8" s="1136">
        <f>DH5*3/7</f>
        <v>156.53237154154289</v>
      </c>
      <c r="DI8" s="1175">
        <f t="shared" si="17"/>
        <v>156</v>
      </c>
      <c r="DJ8" s="1175">
        <f t="shared" si="18"/>
        <v>12</v>
      </c>
      <c r="DK8" s="1175">
        <f t="shared" si="19"/>
        <v>46</v>
      </c>
      <c r="DL8" s="1175">
        <f t="shared" si="20"/>
        <v>36</v>
      </c>
      <c r="DO8" s="1139" t="s">
        <v>1515</v>
      </c>
      <c r="DP8" s="1139">
        <v>10</v>
      </c>
      <c r="DQ8" s="1139">
        <v>1</v>
      </c>
      <c r="DR8" s="1139">
        <v>3600</v>
      </c>
      <c r="DS8" s="1139">
        <f>[1]!modd((DV4/DP8),360)</f>
        <v>163.70000000000073</v>
      </c>
      <c r="DT8" s="1196">
        <f>INT(ABS(DS8))</f>
        <v>163</v>
      </c>
      <c r="DU8" s="1196">
        <f>INT((ABS(DS8)-DT8)*60)</f>
        <v>42</v>
      </c>
      <c r="DV8" s="1196">
        <f>INT((((ABS(DS8)-DT8)*60)-DU8)*60)</f>
        <v>0</v>
      </c>
      <c r="DW8" s="1196">
        <f>INT((((((ABS(DS8)-DT8)*60)-DU8)*60)-DV8)*60)</f>
        <v>0</v>
      </c>
      <c r="DX8" s="1139">
        <f>DQ8/DP8</f>
        <v>0.1</v>
      </c>
      <c r="DY8" s="1196">
        <f>INT(ABS(DX8))</f>
        <v>0</v>
      </c>
      <c r="DZ8" s="1196">
        <f>INT((ABS(DX8)-DY8)*60)</f>
        <v>6</v>
      </c>
      <c r="EA8" s="1196">
        <f>INT((((ABS(DX8)-DY8)*60)-DZ8)*60)</f>
        <v>0</v>
      </c>
      <c r="EB8" s="1196">
        <f>INT((((((ABS(DX8)-DY8)*60)-DZ8)*60)-EA8)*60)</f>
        <v>0</v>
      </c>
      <c r="EF8" s="1153" t="s">
        <v>1522</v>
      </c>
      <c r="EG8" s="1131">
        <v>0.98564733138288796</v>
      </c>
      <c r="EH8" s="1131"/>
      <c r="EI8" s="1131"/>
      <c r="EL8" s="1136" t="s">
        <v>1529</v>
      </c>
      <c r="EM8" s="1136">
        <v>10</v>
      </c>
      <c r="EN8" s="1136">
        <v>30</v>
      </c>
      <c r="EO8" s="1136">
        <v>120</v>
      </c>
      <c r="EP8" s="1136">
        <f>((ES4/EO8)-INT(ES4/EO8))*360</f>
        <v>230.99999999999454</v>
      </c>
      <c r="EQ8" s="1197">
        <f>INT(ABS(EP8))</f>
        <v>230</v>
      </c>
      <c r="ER8" s="1197">
        <f>INT((ABS(EP8)-EQ8)*60)</f>
        <v>59</v>
      </c>
      <c r="ES8" s="1197">
        <f>INT((((ABS(EP8)-EQ8)*60)-ER8)*60)</f>
        <v>59</v>
      </c>
      <c r="ET8" s="1197">
        <f>INT((((((ABS(EP8)-EQ8)*60)-ER8)*60)-ES8)*60)</f>
        <v>59</v>
      </c>
      <c r="EU8" s="1136">
        <f>EN8/EM8</f>
        <v>3</v>
      </c>
      <c r="EV8" s="1197">
        <f>INT(ABS(EU8))</f>
        <v>3</v>
      </c>
      <c r="EW8" s="1197">
        <f>INT((ABS(EU8)-EV8)*60)</f>
        <v>0</v>
      </c>
      <c r="EX8" s="1197">
        <f>INT((((ABS(EU8)-EV8)*60)-EW8)*60)</f>
        <v>0</v>
      </c>
      <c r="EY8" s="1197">
        <f>INT((((((ABS(EU8)-EV8)*60)-EW8)*60)-EX8)*60)</f>
        <v>0</v>
      </c>
      <c r="FE8" s="2439"/>
      <c r="FF8" s="1216">
        <v>0.35560000000000003</v>
      </c>
      <c r="FG8" s="1215"/>
      <c r="FH8" s="1216">
        <v>0.35560000000000003</v>
      </c>
      <c r="FI8" s="2046"/>
      <c r="FJ8" s="1178">
        <f>FJ6+FJ7</f>
        <v>3983.1030000000028</v>
      </c>
      <c r="FK8" s="1151"/>
      <c r="FL8" s="1151"/>
      <c r="FM8" s="1177"/>
      <c r="FN8" s="1178">
        <f>FN6+FN7</f>
        <v>251.10300000000279</v>
      </c>
      <c r="FO8" s="1151"/>
      <c r="FP8" s="1151"/>
      <c r="FQ8" s="1151"/>
      <c r="FR8" s="1177"/>
      <c r="FS8" s="1298">
        <f>FS6+FS7</f>
        <v>473.10300000000279</v>
      </c>
      <c r="FT8" s="1759"/>
      <c r="FU8" s="1759"/>
      <c r="GB8" s="1149" t="s">
        <v>1291</v>
      </c>
      <c r="GC8" s="1150">
        <v>480</v>
      </c>
      <c r="GD8" s="1180">
        <f>GC8+GD7</f>
        <v>3092</v>
      </c>
      <c r="GF8" s="1141"/>
      <c r="GG8" s="1129">
        <f>1250*GG7</f>
        <v>442958.86574073747</v>
      </c>
      <c r="GI8" s="1226"/>
      <c r="GJ8" s="1128" t="s">
        <v>5</v>
      </c>
      <c r="GK8" s="1128">
        <f>[1]!roz(GM6,GM7,GM8,GM9)</f>
        <v>5</v>
      </c>
      <c r="GL8" s="1128" t="s">
        <v>166</v>
      </c>
      <c r="GM8" s="1227">
        <v>0</v>
      </c>
      <c r="GN8" s="1128"/>
      <c r="GO8" s="1128"/>
      <c r="GP8" s="1128"/>
      <c r="GQ8" s="1128"/>
      <c r="GR8" s="1128"/>
      <c r="GS8" s="1128"/>
      <c r="GT8" s="1128"/>
      <c r="GU8" s="1128"/>
      <c r="GV8" s="1128"/>
      <c r="GW8" s="1128"/>
      <c r="GX8" s="1227"/>
      <c r="GZ8" s="1082"/>
      <c r="HA8" s="1636"/>
      <c r="HB8" s="1083">
        <f>HB6-HB7</f>
        <v>-34.555466667000005</v>
      </c>
      <c r="HC8" s="1083"/>
      <c r="HD8" s="1083"/>
      <c r="HE8" s="1083"/>
      <c r="HF8" s="1083"/>
      <c r="HG8" s="762"/>
      <c r="HH8" s="763" t="s">
        <v>377</v>
      </c>
      <c r="HI8" s="763">
        <f>HB11</f>
        <v>9.598740740833335E-2</v>
      </c>
      <c r="HJ8" s="763" t="s">
        <v>167</v>
      </c>
      <c r="HK8" s="1802">
        <v>0</v>
      </c>
      <c r="HL8" s="763" t="s">
        <v>4257</v>
      </c>
      <c r="HM8" s="1772" t="str">
        <f>IF(MOD(HM7,7)=2,"جمعه",IF(MOD(HM7,7)=3,"شنبه",IF(MOD(HM7,7)=4,"یک شنبه",IF(MOD(HM7,7)=5,"دوشنبه",IF(MOD(HM7,7)=6,"سه شنبه",IF(MOD(HM7,7)=0,"چهارشنبه","پنج شنبه"))))))</f>
        <v>چهارشنبه</v>
      </c>
      <c r="HN8" s="1300">
        <f>IF(HM8="یک شنبه",1,IF(HM8="دوشنبه",2,IF(HM8="سه شنبه",3,IF(HM8="چهارشنبه",4,IF(HM8="پنج شنبه",5,IF(HM8="جمعه",6,7))))))</f>
        <v>4</v>
      </c>
      <c r="HO8" s="763"/>
      <c r="HP8" s="763" t="s">
        <v>4337</v>
      </c>
      <c r="HQ8" s="451">
        <f>(((HK8/60)+HK7)/60)+HK6</f>
        <v>12.05</v>
      </c>
      <c r="HR8" s="763"/>
      <c r="HS8" s="763"/>
      <c r="HT8" s="763" t="s">
        <v>4253</v>
      </c>
      <c r="HU8" s="763"/>
      <c r="HV8" s="1300" t="s">
        <v>4255</v>
      </c>
      <c r="HW8" s="1300" t="s">
        <v>4256</v>
      </c>
      <c r="HX8" s="1300"/>
      <c r="HY8" s="1300" t="s">
        <v>4260</v>
      </c>
      <c r="HZ8" s="1300" t="s">
        <v>4260</v>
      </c>
      <c r="IA8" s="1300" t="s">
        <v>4260</v>
      </c>
      <c r="IB8" s="1300"/>
      <c r="IC8" s="1300"/>
      <c r="ID8" s="1300"/>
      <c r="IE8" s="1300" t="s">
        <v>4256</v>
      </c>
      <c r="IF8" s="1301"/>
      <c r="IH8" s="2529"/>
      <c r="II8" s="1300"/>
      <c r="IJ8" s="1300"/>
      <c r="IK8" s="1300"/>
      <c r="IL8" s="1300" t="str">
        <f>IE17</f>
        <v>abi-zhr-mrkh-qmr</v>
      </c>
      <c r="IM8" s="1300" t="str">
        <f>IL8</f>
        <v>abi-zhr-mrkh-qmr</v>
      </c>
      <c r="IN8" s="1300" t="str">
        <f>IM8</f>
        <v>abi-zhr-mrkh-qmr</v>
      </c>
      <c r="IO8" s="1300"/>
      <c r="IP8" s="1300"/>
      <c r="IQ8" s="1300"/>
      <c r="IR8" s="1300"/>
      <c r="IS8" s="1255"/>
      <c r="IT8" s="1256"/>
      <c r="IU8" s="1256"/>
      <c r="IV8" s="2536"/>
      <c r="IW8" s="1130" t="s">
        <v>4712</v>
      </c>
    </row>
    <row r="9" spans="2:260" ht="18.75" thickBot="1">
      <c r="B9" s="1149">
        <v>4</v>
      </c>
      <c r="C9" s="1150" t="s">
        <v>1354</v>
      </c>
      <c r="D9" s="1150">
        <f t="shared" si="14"/>
        <v>228</v>
      </c>
      <c r="E9" s="1136" t="s">
        <v>1431</v>
      </c>
      <c r="F9" s="1151">
        <f t="shared" si="8"/>
        <v>216</v>
      </c>
      <c r="G9" s="1136" t="s">
        <v>1426</v>
      </c>
      <c r="H9" s="1151">
        <f t="shared" si="9"/>
        <v>222</v>
      </c>
      <c r="I9" s="1150">
        <v>4</v>
      </c>
      <c r="J9" s="1150" t="s">
        <v>1354</v>
      </c>
      <c r="K9" s="1150">
        <f t="shared" si="15"/>
        <v>48</v>
      </c>
      <c r="L9" s="1136" t="s">
        <v>1430</v>
      </c>
      <c r="M9" s="1151">
        <f t="shared" si="10"/>
        <v>36</v>
      </c>
      <c r="N9" s="1136" t="s">
        <v>1437</v>
      </c>
      <c r="O9" s="1151">
        <f t="shared" si="11"/>
        <v>42</v>
      </c>
      <c r="P9" s="1150"/>
      <c r="Q9" s="1176" t="s">
        <v>698</v>
      </c>
      <c r="R9" s="1176">
        <f>[1]!taqq(R4,R5,R6,R7)</f>
        <v>266.97705946197175</v>
      </c>
      <c r="S9" s="1176"/>
      <c r="T9" s="1122"/>
      <c r="W9" s="1217" t="s">
        <v>1378</v>
      </c>
      <c r="X9" s="1121">
        <f>((((AA9)/60)+Z9)/60)+Y9</f>
        <v>51.428055555555552</v>
      </c>
      <c r="Y9" s="1121">
        <v>51</v>
      </c>
      <c r="Z9" s="1185">
        <v>25</v>
      </c>
      <c r="AA9" s="1185">
        <v>41</v>
      </c>
      <c r="AB9" s="1186"/>
      <c r="AD9" s="1218" t="s">
        <v>87</v>
      </c>
      <c r="AE9" s="1211">
        <v>354.36709259258998</v>
      </c>
      <c r="AG9" s="1210"/>
      <c r="AH9" s="1211">
        <f>AH6*0.9702256</f>
        <v>1401.0057664000001</v>
      </c>
      <c r="AJ9" s="1204" t="s">
        <v>326</v>
      </c>
      <c r="AK9" s="1205">
        <f>[1]!mbtool(2,20,4,1)</f>
        <v>9.7268518518518518E-2</v>
      </c>
      <c r="AL9" s="1205" t="s">
        <v>167</v>
      </c>
      <c r="AM9" s="1205">
        <v>20</v>
      </c>
      <c r="AN9" s="1205"/>
      <c r="AO9" s="1206"/>
      <c r="AQ9" s="1207"/>
      <c r="AR9" s="1208"/>
      <c r="AS9" s="1209" t="str">
        <f t="shared" ref="AS9:BA9" si="29">IF(AS8=1,"حمل",IF(AS8=2,"ثور",IF(AS8=3,"جوزاء",IF(AS8=4,"سرطان",IF(AS8=5,"اسد",IF(AS8=6,"سنبله",IF(AS8=7,"میزان",IF(AS8=8,"عقرب",IF(AS8=9,"قوس",IF(AS8=10,"جدی",IF(AS8=11,"دلو","حوت")))))))))))</f>
        <v>سرطان</v>
      </c>
      <c r="AT9" s="1209" t="str">
        <f t="shared" si="29"/>
        <v>حوت</v>
      </c>
      <c r="AU9" s="1156" t="str">
        <f t="shared" si="29"/>
        <v>اسد</v>
      </c>
      <c r="AV9" s="1156" t="str">
        <f t="shared" si="29"/>
        <v>دلو</v>
      </c>
      <c r="AW9" s="1209" t="str">
        <f t="shared" si="29"/>
        <v>سنبله</v>
      </c>
      <c r="AX9" s="1209" t="str">
        <f t="shared" si="29"/>
        <v>جدی</v>
      </c>
      <c r="AY9" s="1156" t="str">
        <f t="shared" si="29"/>
        <v>عقرب</v>
      </c>
      <c r="AZ9" s="1209" t="str">
        <f t="shared" si="29"/>
        <v>دلو</v>
      </c>
      <c r="BA9" s="1157" t="str">
        <f t="shared" si="29"/>
        <v>اسد</v>
      </c>
      <c r="BC9" s="1144"/>
      <c r="BD9" s="1146"/>
      <c r="BE9" s="1146" t="s">
        <v>175</v>
      </c>
      <c r="BF9" s="1146">
        <f>[1]!arzqmr([1]!hesseh(BF2,BF3,BF4,BF5))</f>
        <v>3.6211539223214566</v>
      </c>
      <c r="BG9" s="1121">
        <f t="shared" si="21"/>
        <v>3</v>
      </c>
      <c r="BH9" s="1121">
        <f t="shared" si="22"/>
        <v>37</v>
      </c>
      <c r="BI9" s="1121">
        <f t="shared" si="23"/>
        <v>16</v>
      </c>
      <c r="BJ9" s="1202">
        <f t="shared" si="24"/>
        <v>9</v>
      </c>
      <c r="BL9" s="1131"/>
      <c r="BM9" s="1131">
        <f>IF(BM4-90&gt;0,BM4-90,BM4+360-90)</f>
        <v>275.31364580554583</v>
      </c>
      <c r="BN9" s="1154">
        <f t="shared" si="1"/>
        <v>275</v>
      </c>
      <c r="BO9" s="1154">
        <f t="shared" si="2"/>
        <v>18</v>
      </c>
      <c r="BP9" s="1154">
        <f t="shared" si="3"/>
        <v>49</v>
      </c>
      <c r="BQ9" s="1155">
        <f t="shared" si="4"/>
        <v>7</v>
      </c>
      <c r="BR9" s="1148" t="s">
        <v>1463</v>
      </c>
      <c r="BS9" s="1148">
        <f>[1]!tl(BF2,IF(BS8+270&lt;360,BS8+270,BS8-90))</f>
        <v>305.04913025928812</v>
      </c>
      <c r="BT9" s="1154">
        <f t="shared" si="0"/>
        <v>305</v>
      </c>
      <c r="BU9" s="1154">
        <f t="shared" si="5"/>
        <v>2</v>
      </c>
      <c r="BV9" s="1154">
        <f t="shared" si="6"/>
        <v>56</v>
      </c>
      <c r="BW9" s="1155">
        <f t="shared" si="7"/>
        <v>52</v>
      </c>
      <c r="BY9" s="1415"/>
      <c r="BZ9" s="1151"/>
      <c r="CA9" s="1151"/>
      <c r="CB9" s="1151"/>
      <c r="CC9" s="1151"/>
      <c r="CD9" s="1151"/>
      <c r="CE9" s="1151"/>
      <c r="CF9" s="1213"/>
      <c r="CG9" s="1149"/>
      <c r="CH9" s="1150"/>
      <c r="CI9" s="1150" t="s">
        <v>175</v>
      </c>
      <c r="CJ9" s="1150">
        <f>[1]!arzqmr([1]!hesseh(CJ2,CJ3,CJ4,CJ5))</f>
        <v>-2.7353012069751892</v>
      </c>
      <c r="CK9" s="1201">
        <f t="shared" si="25"/>
        <v>2</v>
      </c>
      <c r="CL9" s="1201">
        <f t="shared" si="26"/>
        <v>44</v>
      </c>
      <c r="CM9" s="1201">
        <f t="shared" si="27"/>
        <v>7</v>
      </c>
      <c r="CN9" s="1403">
        <f t="shared" si="28"/>
        <v>5</v>
      </c>
      <c r="CQ9" s="1132" t="s">
        <v>1488</v>
      </c>
      <c r="CR9" s="1127">
        <v>1430</v>
      </c>
      <c r="CS9" s="1133" t="s">
        <v>5</v>
      </c>
      <c r="CT9" s="1134">
        <v>29</v>
      </c>
      <c r="CZ9" s="1174" t="s">
        <v>1493</v>
      </c>
      <c r="DA9" s="1174">
        <f>DA8/24</f>
        <v>3.4223865673185046E-3</v>
      </c>
      <c r="DB9" s="1175">
        <f>INT(ABS(DA9))</f>
        <v>0</v>
      </c>
      <c r="DC9" s="1175">
        <f>INT((ABS(DA9)-DB9)*60)</f>
        <v>0</v>
      </c>
      <c r="DD9" s="1175">
        <f>INT((((ABS(DA9)-DB9)*60)-DC9)*60)</f>
        <v>12</v>
      </c>
      <c r="DE9" s="1175">
        <f>INT((((((ABS(DA9)-DB9)*60)-DC9)*60)-DD9)*60)</f>
        <v>19</v>
      </c>
      <c r="DG9" s="1136" t="s">
        <v>1507</v>
      </c>
      <c r="DH9" s="1136">
        <f>DH5*4/7</f>
        <v>208.70982872205715</v>
      </c>
      <c r="DI9" s="1175">
        <f t="shared" si="17"/>
        <v>208</v>
      </c>
      <c r="DJ9" s="1175">
        <f t="shared" si="18"/>
        <v>17</v>
      </c>
      <c r="DK9" s="1175">
        <f t="shared" si="19"/>
        <v>2</v>
      </c>
      <c r="DL9" s="1175">
        <f t="shared" si="20"/>
        <v>9</v>
      </c>
      <c r="DO9" s="1139" t="s">
        <v>1516</v>
      </c>
      <c r="DP9" s="1139">
        <v>1</v>
      </c>
      <c r="DQ9" s="1139">
        <v>1</v>
      </c>
      <c r="DR9" s="1139">
        <v>360</v>
      </c>
      <c r="DS9" s="1139">
        <f>[1]!modd((DV4/DP9),360)</f>
        <v>197</v>
      </c>
      <c r="DT9" s="1196">
        <f>INT(ABS(DS9))</f>
        <v>197</v>
      </c>
      <c r="DU9" s="1196">
        <f>INT((ABS(DS9)-DT9)*60)</f>
        <v>0</v>
      </c>
      <c r="DV9" s="1196">
        <f>INT((((ABS(DS9)-DT9)*60)-DU9)*60)</f>
        <v>0</v>
      </c>
      <c r="DW9" s="1196">
        <f>INT((((((ABS(DS9)-DT9)*60)-DU9)*60)-DV9)*60)</f>
        <v>0</v>
      </c>
      <c r="DX9" s="1139">
        <f>DQ9/DP9</f>
        <v>1</v>
      </c>
      <c r="DY9" s="1196">
        <f>INT(ABS(DX9))</f>
        <v>1</v>
      </c>
      <c r="DZ9" s="1196">
        <f>INT((ABS(DX9)-DY9)*60)</f>
        <v>0</v>
      </c>
      <c r="EA9" s="1196">
        <f>INT((((ABS(DX9)-DY9)*60)-DZ9)*60)</f>
        <v>0</v>
      </c>
      <c r="EB9" s="1196">
        <f>INT((((((ABS(DX9)-DY9)*60)-DZ9)*60)-EA9)*60)</f>
        <v>0</v>
      </c>
      <c r="EF9" s="1153" t="s">
        <v>944</v>
      </c>
      <c r="EG9" s="1131" t="e">
        <f ca="1">EG7*EG8/24</f>
        <v>#NAME?</v>
      </c>
      <c r="EH9" s="1131"/>
      <c r="EI9" s="1131"/>
      <c r="EL9" s="1136" t="s">
        <v>1530</v>
      </c>
      <c r="EM9" s="1136">
        <v>1</v>
      </c>
      <c r="EN9" s="1136">
        <v>30</v>
      </c>
      <c r="EO9" s="1136">
        <v>12</v>
      </c>
      <c r="EP9" s="1136">
        <f>((ES4/EO9)-INT(ES4/EO9))*360</f>
        <v>149.99999999978172</v>
      </c>
      <c r="EQ9" s="1197">
        <f>INT(ABS(EP9))</f>
        <v>149</v>
      </c>
      <c r="ER9" s="1197">
        <f>INT((ABS(EP9)-EQ9)*60)</f>
        <v>59</v>
      </c>
      <c r="ES9" s="1197">
        <f>INT((((ABS(EP9)-EQ9)*60)-ER9)*60)</f>
        <v>59</v>
      </c>
      <c r="ET9" s="1197">
        <f>INT((((((ABS(EP9)-EQ9)*60)-ER9)*60)-ES9)*60)</f>
        <v>59</v>
      </c>
      <c r="EU9" s="1136">
        <f>EN9/EM9</f>
        <v>30</v>
      </c>
      <c r="EV9" s="1197">
        <f>INT(ABS(EU9))</f>
        <v>30</v>
      </c>
      <c r="EW9" s="1197">
        <f>INT((ABS(EU9)-EV9)*60)</f>
        <v>0</v>
      </c>
      <c r="EX9" s="1197">
        <f>INT((((ABS(EU9)-EV9)*60)-EW9)*60)</f>
        <v>0</v>
      </c>
      <c r="EY9" s="1197">
        <f>INT((((((ABS(EU9)-EV9)*60)-EW9)*60)-EX9)*60)</f>
        <v>0</v>
      </c>
      <c r="FE9" s="2439"/>
      <c r="FF9" s="1216">
        <f>FF7+FF8</f>
        <v>1402.3315920000002</v>
      </c>
      <c r="FG9" s="1215"/>
      <c r="FH9" s="1216">
        <f>FH7+FH8</f>
        <v>2.2960512</v>
      </c>
      <c r="FI9" s="2046"/>
      <c r="FJ9" s="1178">
        <f>FJ8/360</f>
        <v>11.064175000000008</v>
      </c>
      <c r="FK9" s="1151"/>
      <c r="FL9" s="1151"/>
      <c r="FM9" s="1177"/>
      <c r="FN9" s="1178">
        <f>FN8/FN4</f>
        <v>3.2192692307692665</v>
      </c>
      <c r="FO9" s="1151"/>
      <c r="FP9" s="1151"/>
      <c r="FQ9" s="1151"/>
      <c r="FR9" s="1177"/>
      <c r="FS9" s="1298">
        <f>FS8/FS4</f>
        <v>0.70089333333333748</v>
      </c>
      <c r="FT9" s="1759"/>
      <c r="FU9" s="1759"/>
      <c r="GB9" s="1149" t="s">
        <v>849</v>
      </c>
      <c r="GC9" s="1150">
        <v>520</v>
      </c>
      <c r="GD9" s="1180">
        <f>GC9+GD8</f>
        <v>3612</v>
      </c>
      <c r="GF9" s="1141"/>
      <c r="GG9" s="1129">
        <f>GG8+GG6</f>
        <v>1966254.8657407374</v>
      </c>
      <c r="GI9" s="1263"/>
      <c r="GJ9" s="1264"/>
      <c r="GK9" s="1264"/>
      <c r="GL9" s="1264" t="s">
        <v>167</v>
      </c>
      <c r="GM9" s="1266">
        <v>0</v>
      </c>
      <c r="GN9" s="1128"/>
      <c r="GO9" s="1128"/>
      <c r="GP9" s="1128"/>
      <c r="GQ9" s="1128"/>
      <c r="GR9" s="1128"/>
      <c r="GS9" s="1128"/>
      <c r="GT9" s="1128"/>
      <c r="GU9" s="1128"/>
      <c r="GV9" s="1128"/>
      <c r="GW9" s="1128"/>
      <c r="GX9" s="1227"/>
      <c r="GZ9" s="1082"/>
      <c r="HA9" s="1636" t="s">
        <v>3874</v>
      </c>
      <c r="HB9" s="1083">
        <f>IF(HB8*-1&lt;180,HB8*-1,(HB8*-1)-360)</f>
        <v>34.555466667000005</v>
      </c>
      <c r="HC9" s="1083"/>
      <c r="HD9" s="1083"/>
      <c r="HE9" s="1083"/>
      <c r="HF9" s="1083"/>
      <c r="HG9" s="747" t="s">
        <v>1537</v>
      </c>
      <c r="HH9" s="218"/>
      <c r="HI9" s="218" t="s">
        <v>2366</v>
      </c>
      <c r="HJ9" s="218" t="s">
        <v>172</v>
      </c>
      <c r="HK9" s="218" t="s">
        <v>166</v>
      </c>
      <c r="HL9" s="218" t="s">
        <v>167</v>
      </c>
      <c r="HM9" s="320" t="s">
        <v>168</v>
      </c>
      <c r="HN9" s="2509" t="s">
        <v>4246</v>
      </c>
      <c r="HO9" s="1476" t="s">
        <v>4248</v>
      </c>
      <c r="HP9" s="1476" t="s">
        <v>4249</v>
      </c>
      <c r="HQ9" s="1476" t="s">
        <v>4250</v>
      </c>
      <c r="HR9" s="1476"/>
      <c r="HS9" s="1476" t="s">
        <v>4251</v>
      </c>
      <c r="HT9" s="1092" t="s">
        <v>4252</v>
      </c>
      <c r="HU9" s="2510" t="s">
        <v>4254</v>
      </c>
      <c r="HV9" s="2511" t="s">
        <v>1858</v>
      </c>
      <c r="HW9" s="2511" t="s">
        <v>1860</v>
      </c>
      <c r="HX9" s="2511" t="s">
        <v>1857</v>
      </c>
      <c r="HY9" s="2511" t="s">
        <v>1863</v>
      </c>
      <c r="HZ9" s="2511" t="s">
        <v>4258</v>
      </c>
      <c r="IA9" s="2511" t="s">
        <v>4262</v>
      </c>
      <c r="IB9" s="2522" t="s">
        <v>3948</v>
      </c>
      <c r="IC9" s="2511" t="s">
        <v>4265</v>
      </c>
      <c r="ID9" s="2511" t="s">
        <v>4264</v>
      </c>
      <c r="IE9" s="2511" t="s">
        <v>4321</v>
      </c>
      <c r="IF9" s="2521" t="s">
        <v>4645</v>
      </c>
      <c r="IH9" s="2530" t="s">
        <v>1537</v>
      </c>
      <c r="II9" s="2523" t="s">
        <v>4340</v>
      </c>
      <c r="IJ9" s="2523" t="s">
        <v>3642</v>
      </c>
      <c r="IK9" s="2523" t="s">
        <v>4663</v>
      </c>
      <c r="IL9" s="2523" t="s">
        <v>4664</v>
      </c>
      <c r="IM9" s="2523" t="s">
        <v>4666</v>
      </c>
      <c r="IN9" s="2523" t="s">
        <v>4665</v>
      </c>
      <c r="IO9" s="2524" t="s">
        <v>4667</v>
      </c>
      <c r="IP9" s="2525" t="s">
        <v>4668</v>
      </c>
      <c r="IQ9" s="2533" t="s">
        <v>4675</v>
      </c>
      <c r="IR9" s="2535" t="s">
        <v>4680</v>
      </c>
      <c r="IS9" s="1237" t="s">
        <v>4679</v>
      </c>
      <c r="IT9" s="1205" t="s">
        <v>4669</v>
      </c>
      <c r="IU9" s="1205" t="s">
        <v>4673</v>
      </c>
      <c r="IV9" s="1206" t="s">
        <v>4674</v>
      </c>
      <c r="IW9" s="2572" t="s">
        <v>4707</v>
      </c>
      <c r="IX9" s="1148" t="s">
        <v>4708</v>
      </c>
      <c r="IY9" s="1148"/>
      <c r="IZ9" s="1327" t="s">
        <v>4709</v>
      </c>
    </row>
    <row r="10" spans="2:260" ht="24.75">
      <c r="B10" s="1149">
        <v>5</v>
      </c>
      <c r="C10" s="1201" t="s">
        <v>1355</v>
      </c>
      <c r="D10" s="1150">
        <f t="shared" si="14"/>
        <v>240</v>
      </c>
      <c r="E10" s="1136" t="s">
        <v>1427</v>
      </c>
      <c r="F10" s="1151">
        <f t="shared" si="8"/>
        <v>228</v>
      </c>
      <c r="G10" s="1136" t="s">
        <v>1428</v>
      </c>
      <c r="H10" s="1151">
        <f t="shared" si="9"/>
        <v>234</v>
      </c>
      <c r="I10" s="1150">
        <v>5</v>
      </c>
      <c r="J10" s="1201" t="s">
        <v>1355</v>
      </c>
      <c r="K10" s="1150">
        <f t="shared" si="15"/>
        <v>60</v>
      </c>
      <c r="L10" s="1136" t="s">
        <v>1431</v>
      </c>
      <c r="M10" s="1151">
        <f t="shared" si="10"/>
        <v>48</v>
      </c>
      <c r="N10" s="1136" t="s">
        <v>1426</v>
      </c>
      <c r="O10" s="1151">
        <f t="shared" si="11"/>
        <v>54</v>
      </c>
      <c r="P10" s="1150"/>
      <c r="Q10" s="1176" t="s">
        <v>839</v>
      </c>
      <c r="R10" s="1176">
        <f>IF(R9&gt;R8,R9-R8,R9+360-R8)</f>
        <v>95.001331054687626</v>
      </c>
      <c r="S10" s="1176"/>
      <c r="T10" s="1122"/>
      <c r="V10" s="1220"/>
      <c r="W10" s="1217" t="s">
        <v>1379</v>
      </c>
      <c r="X10" s="1121">
        <f>((((AA10)/60)+Z10)/60)+Y10</f>
        <v>52.5</v>
      </c>
      <c r="Y10" s="1121">
        <v>52</v>
      </c>
      <c r="Z10" s="1185">
        <v>30</v>
      </c>
      <c r="AA10" s="1185"/>
      <c r="AB10" s="1186"/>
      <c r="AD10" s="1221"/>
      <c r="AE10" s="1216">
        <f>(AE6-1)*AE9</f>
        <v>511351.71461110737</v>
      </c>
      <c r="AG10" s="1215"/>
      <c r="AH10" s="1216">
        <v>0.35560000000000003</v>
      </c>
      <c r="AJ10" s="1222"/>
      <c r="AK10" s="1223">
        <f>(((((((AP10/60)+AO10)/60)+AN10)/60)+AM10)/60)+AL10</f>
        <v>1.5859953703703702E-2</v>
      </c>
      <c r="AL10" s="1223">
        <v>0</v>
      </c>
      <c r="AM10" s="1223">
        <v>0</v>
      </c>
      <c r="AN10" s="1223">
        <v>57</v>
      </c>
      <c r="AO10" s="1223">
        <v>5</v>
      </c>
      <c r="AP10" s="1224">
        <v>45</v>
      </c>
      <c r="AQ10" s="1192">
        <v>3</v>
      </c>
      <c r="AR10" s="1192" t="str">
        <f>IF(AQ10=1,"حمل",IF(AQ10=2,"ثور",IF(AQ10=3,"جوزاء",IF(AQ10=4,"سرطان",IF(AQ10=5,"اسد",IF(AQ10=6,"سنبله",IF(AQ10=7,"میزان",IF(AQ10=8,"عقرب",IF(AQ10=9,"قوس",IF(AQ10=10,"جدی",IF(AQ10=11,"دلو","حوت")))))))))))</f>
        <v>جوزاء</v>
      </c>
      <c r="AS10" s="1181">
        <f>IF(AQ10+2&lt;=12,AQ10+2,AQ10+2-12)</f>
        <v>5</v>
      </c>
      <c r="AT10" s="1181">
        <f>IF(AQ10-2&gt;0,AQ10-2,AQ10+12-2)</f>
        <v>1</v>
      </c>
      <c r="AU10" s="1137">
        <f>IF(AQ10+3&lt;=12,AQ10+3,AQ10+3-12)</f>
        <v>6</v>
      </c>
      <c r="AV10" s="1137">
        <f>IF(AQ10-3&gt;0,AQ10-3,AQ10+12-3)</f>
        <v>12</v>
      </c>
      <c r="AW10" s="1181">
        <f>IF(AQ10+4&lt;=12,AQ10+4,AQ10+4-12)</f>
        <v>7</v>
      </c>
      <c r="AX10" s="1181">
        <f>IF(AQ10-4&gt;0,AQ10-4,AQ10+12-4)</f>
        <v>11</v>
      </c>
      <c r="AY10" s="1137">
        <f>IF(AQ10+6&lt;=12,AQ10+6,AQ10+6-12)</f>
        <v>9</v>
      </c>
      <c r="AZ10" s="1181">
        <f>13-AQ10</f>
        <v>10</v>
      </c>
      <c r="BA10" s="1138">
        <f>IF(AQ10&lt;=6,7-AQ10,19-AQ10)</f>
        <v>4</v>
      </c>
      <c r="BC10" s="1144" t="s">
        <v>279</v>
      </c>
      <c r="BD10" s="1146">
        <f>[1]!tale3(BF2,BF8,BF7,BJ2)</f>
        <v>27.462853669999589</v>
      </c>
      <c r="BE10" s="1146" t="s">
        <v>297</v>
      </c>
      <c r="BF10" s="1146">
        <f>[1]!ertaztale(BF2,BF8,BF9,BF7,BD10)</f>
        <v>10.329017543887248</v>
      </c>
      <c r="BG10" s="1121">
        <f t="shared" si="21"/>
        <v>10</v>
      </c>
      <c r="BH10" s="1121">
        <f t="shared" si="22"/>
        <v>19</v>
      </c>
      <c r="BI10" s="1121">
        <f t="shared" si="23"/>
        <v>44</v>
      </c>
      <c r="BJ10" s="1202">
        <f t="shared" si="24"/>
        <v>27</v>
      </c>
      <c r="BL10" s="1131"/>
      <c r="BM10" s="1131">
        <f>IF(BM4-120&gt;0,BM4-120,BM4+360-120)</f>
        <v>245.31364580554583</v>
      </c>
      <c r="BN10" s="1154">
        <f t="shared" si="1"/>
        <v>245</v>
      </c>
      <c r="BO10" s="1154">
        <f t="shared" si="2"/>
        <v>18</v>
      </c>
      <c r="BP10" s="1154">
        <f t="shared" si="3"/>
        <v>49</v>
      </c>
      <c r="BQ10" s="1155">
        <f t="shared" si="4"/>
        <v>7</v>
      </c>
      <c r="BR10" s="1148" t="s">
        <v>1468</v>
      </c>
      <c r="BS10" s="1148">
        <f>IF(BS8+120-90&lt;360,BS8+120-90,BS8+120-90-360)</f>
        <v>67.397710072196332</v>
      </c>
      <c r="BT10" s="1154">
        <f t="shared" si="0"/>
        <v>67</v>
      </c>
      <c r="BU10" s="1154">
        <f t="shared" si="5"/>
        <v>23</v>
      </c>
      <c r="BV10" s="1154">
        <f t="shared" si="6"/>
        <v>51</v>
      </c>
      <c r="BW10" s="1155">
        <f t="shared" si="7"/>
        <v>45</v>
      </c>
      <c r="BY10" s="1415"/>
      <c r="BZ10" s="1151"/>
      <c r="CA10" s="1151" t="s">
        <v>659</v>
      </c>
      <c r="CB10" s="1151">
        <f>[1]!taqsh(CB5,CB6,CB7,CB8)</f>
        <v>78.089903838591269</v>
      </c>
      <c r="CC10" s="1197">
        <f>INT(ABS(CB10))</f>
        <v>78</v>
      </c>
      <c r="CD10" s="1197">
        <f>INT((ABS(CB10)-CC10)*60)</f>
        <v>5</v>
      </c>
      <c r="CE10" s="1197">
        <f>INT((((ABS(CB10)-CC10)*60)-CD10)*60)</f>
        <v>23</v>
      </c>
      <c r="CF10" s="1420">
        <f>INT((((((ABS(CB10)-CC10)*60)-CD10)*60)-CE10)*60)</f>
        <v>39</v>
      </c>
      <c r="CG10" s="1149"/>
      <c r="CH10" s="1150"/>
      <c r="CI10" s="1150" t="s">
        <v>279</v>
      </c>
      <c r="CJ10" s="1150">
        <f>[1]!tale3(CJ2,CJ8,CJ7,CN2)</f>
        <v>218.02042397402172</v>
      </c>
      <c r="CK10" s="1201">
        <f t="shared" si="25"/>
        <v>218</v>
      </c>
      <c r="CL10" s="1201">
        <f t="shared" si="26"/>
        <v>1</v>
      </c>
      <c r="CM10" s="1201">
        <f t="shared" si="27"/>
        <v>13</v>
      </c>
      <c r="CN10" s="1403">
        <f t="shared" si="28"/>
        <v>31</v>
      </c>
      <c r="CQ10" s="1141" t="s">
        <v>4</v>
      </c>
      <c r="CR10" s="1129">
        <v>8</v>
      </c>
      <c r="CS10" s="1142" t="s">
        <v>219</v>
      </c>
      <c r="CT10" s="1143">
        <v>6</v>
      </c>
      <c r="CZ10" s="1225" t="s">
        <v>1496</v>
      </c>
      <c r="DA10" s="1225"/>
      <c r="DG10" s="1136" t="s">
        <v>1508</v>
      </c>
      <c r="DH10" s="1136">
        <f>DH5*5/7</f>
        <v>260.88728590257142</v>
      </c>
      <c r="DI10" s="1175">
        <f t="shared" si="17"/>
        <v>260</v>
      </c>
      <c r="DJ10" s="1175">
        <f t="shared" si="18"/>
        <v>21</v>
      </c>
      <c r="DK10" s="1175">
        <f t="shared" si="19"/>
        <v>17</v>
      </c>
      <c r="DL10" s="1175">
        <f t="shared" si="20"/>
        <v>41</v>
      </c>
      <c r="DO10" s="1139"/>
      <c r="DP10" s="1139"/>
      <c r="DQ10" s="1139"/>
      <c r="DR10" s="1139"/>
      <c r="DS10" s="1139">
        <v>327.3065277778</v>
      </c>
      <c r="DT10" s="2451" t="s">
        <v>4628</v>
      </c>
      <c r="DU10" s="1139"/>
      <c r="DV10" s="1139"/>
      <c r="DW10" s="1139"/>
      <c r="DX10" s="1139"/>
      <c r="DY10" s="1139"/>
      <c r="DZ10" s="1139"/>
      <c r="EA10" s="1139"/>
      <c r="EB10" s="1139"/>
      <c r="EE10" s="1130" t="s">
        <v>1225</v>
      </c>
      <c r="EF10" s="1153" t="s">
        <v>1524</v>
      </c>
      <c r="EG10" s="1131">
        <v>10</v>
      </c>
      <c r="EH10" s="1131" t="e">
        <f ca="1">[2]!talea(EG3,,EG4,EG5,EG6,EJ4)</f>
        <v>#NAME?</v>
      </c>
      <c r="EI10" s="1131"/>
      <c r="EL10" s="1136"/>
      <c r="EM10" s="1136"/>
      <c r="EN10" s="1136"/>
      <c r="EO10" s="1136"/>
      <c r="EP10" s="1136">
        <v>327.3065277778</v>
      </c>
      <c r="EQ10" s="1136" t="s">
        <v>344</v>
      </c>
      <c r="ER10" s="1136"/>
      <c r="ES10" s="1136"/>
      <c r="ET10" s="1136"/>
      <c r="EU10" s="1136"/>
      <c r="EV10" s="1136"/>
      <c r="EW10" s="1136"/>
      <c r="EX10" s="1136"/>
      <c r="EY10" s="1136"/>
      <c r="FE10" s="2439"/>
      <c r="FF10" s="1216">
        <f>(FF9-INT(FF9))*365</f>
        <v>121.03108000008319</v>
      </c>
      <c r="FG10" s="1215"/>
      <c r="FH10" s="1216">
        <f>(FH9-INT(FH9))*365</f>
        <v>108.05868799999999</v>
      </c>
      <c r="FI10" s="2046" t="s">
        <v>1535</v>
      </c>
      <c r="FJ10" s="1178">
        <f>INT(FJ9)+1</f>
        <v>12</v>
      </c>
      <c r="FK10" s="1151"/>
      <c r="FL10" s="1151"/>
      <c r="FM10" s="1177" t="s">
        <v>1536</v>
      </c>
      <c r="FN10" s="1178">
        <f>[1]!modd(FN8,FN4)</f>
        <v>17.103000000002794</v>
      </c>
      <c r="FO10" s="1151"/>
      <c r="FP10" s="1151"/>
      <c r="FQ10" s="1151"/>
      <c r="FR10" s="1177" t="s">
        <v>1536</v>
      </c>
      <c r="FS10" s="1298">
        <f>[1]!modd(FS8,FS4)</f>
        <v>473.10300000000279</v>
      </c>
      <c r="FT10" s="1759"/>
      <c r="FU10" s="1759"/>
      <c r="GB10" s="1149" t="s">
        <v>1293</v>
      </c>
      <c r="GC10" s="1150">
        <v>265</v>
      </c>
      <c r="GD10" s="1180">
        <f>GC10+GD9</f>
        <v>3877</v>
      </c>
      <c r="GF10" s="1141" t="s">
        <v>1383</v>
      </c>
      <c r="GG10" s="1129">
        <v>365.24220026360001</v>
      </c>
      <c r="GI10" s="1226" t="s">
        <v>1574</v>
      </c>
      <c r="GJ10" s="1154">
        <f>(((((((((GP15/60)+GO10)/60)+GN10)/60)+GM10)/60)+GL10)/60)+GK10</f>
        <v>6.8502314814814814E-3</v>
      </c>
      <c r="GK10" s="1128">
        <v>0</v>
      </c>
      <c r="GL10" s="1128">
        <v>0</v>
      </c>
      <c r="GM10" s="1128">
        <v>24</v>
      </c>
      <c r="GN10" s="1128">
        <v>39</v>
      </c>
      <c r="GO10" s="1128">
        <v>39</v>
      </c>
      <c r="GP10" s="1128"/>
      <c r="GQ10" s="1128"/>
      <c r="GR10" s="1128"/>
      <c r="GS10" s="1128"/>
      <c r="GT10" s="1128"/>
      <c r="GU10" s="1128"/>
      <c r="GV10" s="1128"/>
      <c r="GW10" s="1128"/>
      <c r="GX10" s="1227"/>
      <c r="GZ10" s="1082"/>
      <c r="HA10" s="1636"/>
      <c r="HB10" s="1083">
        <f>HB9/15</f>
        <v>2.3036977778000005</v>
      </c>
      <c r="HC10" s="1630" t="s">
        <v>168</v>
      </c>
      <c r="HD10" s="1630" t="s">
        <v>167</v>
      </c>
      <c r="HE10" s="1630" t="s">
        <v>166</v>
      </c>
      <c r="HF10" s="1630" t="s">
        <v>219</v>
      </c>
      <c r="HG10" s="2043" t="s">
        <v>1544</v>
      </c>
      <c r="HH10" s="1645" t="s">
        <v>1481</v>
      </c>
      <c r="HI10" s="1645">
        <f>[1]!taqsh(HI5,HI6,HI7,HI8)</f>
        <v>5.1099039779956001E-4</v>
      </c>
      <c r="HJ10" s="1554">
        <f t="shared" ref="HJ10:HJ16" si="30">INT(ABS(HI10))</f>
        <v>0</v>
      </c>
      <c r="HK10" s="1554">
        <f>INT((ABS(HI10)-HJ10)*60)</f>
        <v>0</v>
      </c>
      <c r="HL10" s="1554">
        <f t="shared" ref="HL10:HL16" si="31">INT((((ABS(HI10)-HJ10)*60)-HK10)*60)</f>
        <v>1</v>
      </c>
      <c r="HM10" s="1310">
        <f t="shared" ref="HM10:HM16" si="32">INT((((((ABS(HI10)-HJ10)*60)-HK10)*60)-HL10)*60)</f>
        <v>50</v>
      </c>
      <c r="HN10" s="1803" t="str">
        <f>[1]!sadnahsame(HI10)</f>
        <v>--</v>
      </c>
      <c r="HO10" s="268" t="str">
        <f>[1]!mozakarame(HI10)</f>
        <v>mozakkar</v>
      </c>
      <c r="HP10" s="268" t="str">
        <f>[1]!abarame(HI10)</f>
        <v>--</v>
      </c>
      <c r="HQ10" s="268" t="str">
        <f>[1]!vozoohame(HI10)</f>
        <v>qotmeh</v>
      </c>
      <c r="HR10" s="268" t="str">
        <f>[1]!daragamaame(HI10)</f>
        <v>lasheyafih</v>
      </c>
      <c r="HS10" s="268" t="str">
        <f>[1]!esnaasharame(HI10)</f>
        <v>merikh</v>
      </c>
      <c r="HT10" s="268" t="str">
        <f>[1]!hodoodame(HI10)</f>
        <v>moshtari</v>
      </c>
      <c r="HU10" s="268" t="str">
        <f>[1]!vojoohame(HI10)</f>
        <v>merikh</v>
      </c>
      <c r="HV10" s="1153" t="str">
        <f>[1]!daryjaname(HI10)</f>
        <v>merikh</v>
      </c>
      <c r="HW10" s="1153" t="str">
        <f>[1]!ardjaname(HI10)</f>
        <v>merikh</v>
      </c>
      <c r="HX10" s="1153" t="str">
        <f>[1]!nohbahrame(HI10)</f>
        <v>merikh</v>
      </c>
      <c r="HY10" s="1153" t="str">
        <f>[1]!haftbahrame(HI10)</f>
        <v>merikh</v>
      </c>
      <c r="HZ10" s="1153" t="str">
        <f>[1]!nimbahrame(HI10)</f>
        <v>shams</v>
      </c>
      <c r="IA10" s="1153" t="str">
        <f>[1]!saatame(HN8,HO5)</f>
        <v>shams</v>
      </c>
      <c r="IB10" s="268" t="str">
        <f>[1]!sharafshamsame(HI10)</f>
        <v>la shey</v>
      </c>
      <c r="IC10" s="1153" t="str">
        <f>[1]!borjame(HI10)</f>
        <v>hamal</v>
      </c>
      <c r="ID10" s="1153"/>
      <c r="IE10" s="1153" t="str">
        <f>[1]!arbabame(HI10,$HO$5)</f>
        <v>nari-shms-mshtr-zhl</v>
      </c>
      <c r="IF10" s="2512" t="str">
        <f>[1]!sahebborjame(HI10)</f>
        <v>merikh</v>
      </c>
      <c r="IH10" s="2531" t="s">
        <v>4710</v>
      </c>
      <c r="II10" s="1151">
        <f>IF($II$7="shams",5,0)</f>
        <v>0</v>
      </c>
      <c r="IJ10" s="1151">
        <f>IF($IJ$7="shams",4,0)</f>
        <v>0</v>
      </c>
      <c r="IK10" s="1151">
        <f>IF($IK$7="shams",3,0)</f>
        <v>0</v>
      </c>
      <c r="IL10" s="1151">
        <f>IF($IL$7="shams",2,0)</f>
        <v>2</v>
      </c>
      <c r="IM10" s="1151">
        <f>IF($IM$7="shams",1,0)</f>
        <v>0</v>
      </c>
      <c r="IN10" s="1151">
        <f>IF($IN$7="shams",1,0)</f>
        <v>0</v>
      </c>
      <c r="IO10" s="1151">
        <f>IF($IO$7="shams",1,0)</f>
        <v>0</v>
      </c>
      <c r="IP10" s="1213">
        <f>IF($IP$7="shams",1,0)</f>
        <v>1</v>
      </c>
      <c r="IQ10" s="1431">
        <f>[1]!adadborj(HI10)</f>
        <v>1</v>
      </c>
      <c r="IR10" s="1431">
        <f>SUM(II10:IP10)</f>
        <v>3</v>
      </c>
      <c r="IS10" s="1237">
        <f>MAX(IR10:IR16)</f>
        <v>5</v>
      </c>
      <c r="IT10" s="1205" t="str">
        <f>IF(IS10=IR10,IH10,IF(IS10=IR11,IH11,IF(IS10=IR12,IH12,IF(IS10=IR13,IH13,IF(IS10=IR14,IH14,IF(IS10=IR15,IH15,IF(IS10=IR16,IH16,0)))))))</f>
        <v xml:space="preserve">مشتری </v>
      </c>
      <c r="IU10" s="1205" t="str">
        <f>IF($IT$10=IH10,"",IF(IR10&gt;0,IH10,""))</f>
        <v xml:space="preserve">شمس </v>
      </c>
      <c r="IV10" s="1206" t="str">
        <f>IF($IT$10=IH10,"",IF(OR(IQ10=$IT$11,IQ10=$IS$7,IQ10=$IT$7,IQ10=$IU$7,IQ10=$IV$7),IH10,""))</f>
        <v xml:space="preserve">شمس </v>
      </c>
      <c r="IW10" s="2572" t="str">
        <f>IF(IP7="qamar","سبز فیروزجی ",IF(IP7="otared","آسمانگونی ",IF(IP7="zohreh","سفید درخشان ",IF(IP7="shams","نارنجی درخشان ",IF(IP7="merikh"," احمر اقتم",IF(IP7="moshtari","بادامی ",IF(IP7="zohal","سیاه ","خطا")))))))</f>
        <v xml:space="preserve">نارنجی درخشان </v>
      </c>
      <c r="IX10" s="1148" t="str">
        <f>IF(IP7="qamar","قصب شکر ",IF(IP7="otared","قلم ",IF(IP7="zohreh","بربط ",IF(IP7="shams","رمح ",IF(IP7="merikh"," شمشیر",IF(IP7="moshtari","عصا ",IF(IP7="zohal","کچک-گرز ","خطا")))))))</f>
        <v xml:space="preserve">رمح </v>
      </c>
      <c r="IY10" s="1148"/>
      <c r="IZ10" s="1148">
        <f>HI17</f>
        <v>104.1360934591568</v>
      </c>
    </row>
    <row r="11" spans="2:260" ht="24.75">
      <c r="B11" s="1149">
        <v>6</v>
      </c>
      <c r="C11" s="1150" t="s">
        <v>1356</v>
      </c>
      <c r="D11" s="1150">
        <f t="shared" si="14"/>
        <v>252</v>
      </c>
      <c r="E11" s="1136" t="s">
        <v>1429</v>
      </c>
      <c r="F11" s="1151">
        <f t="shared" si="8"/>
        <v>240</v>
      </c>
      <c r="G11" s="1136" t="s">
        <v>1430</v>
      </c>
      <c r="H11" s="1151">
        <f t="shared" si="9"/>
        <v>246</v>
      </c>
      <c r="I11" s="1150">
        <v>6</v>
      </c>
      <c r="J11" s="1150" t="s">
        <v>1356</v>
      </c>
      <c r="K11" s="1150">
        <f t="shared" si="15"/>
        <v>72</v>
      </c>
      <c r="L11" s="1136" t="s">
        <v>1427</v>
      </c>
      <c r="M11" s="1151">
        <f t="shared" si="10"/>
        <v>60</v>
      </c>
      <c r="N11" s="1136" t="s">
        <v>1428</v>
      </c>
      <c r="O11" s="1151">
        <f t="shared" si="11"/>
        <v>66</v>
      </c>
      <c r="P11" s="1150"/>
      <c r="Q11" s="1176" t="s">
        <v>1372</v>
      </c>
      <c r="R11" s="1151" t="str">
        <f>IF(R10&lt;=K20,I4,B4)</f>
        <v>شکل پچهه یعنی پکهه سودی</v>
      </c>
      <c r="S11" s="1136"/>
      <c r="T11" s="1122"/>
      <c r="W11" s="1217" t="s">
        <v>1380</v>
      </c>
      <c r="X11" s="1121">
        <f>X10-X9</f>
        <v>1.0719444444444477</v>
      </c>
      <c r="Y11" s="1121">
        <f>INT(ABS(X11))</f>
        <v>1</v>
      </c>
      <c r="Z11" s="1121">
        <f>INT((ABS(X11)-Y11)*60)</f>
        <v>4</v>
      </c>
      <c r="AA11" s="1121">
        <f>INT((((ABS(X11)-Y11)*60)-Z11)*60)</f>
        <v>19</v>
      </c>
      <c r="AB11" s="1202">
        <f>INT((((((ABS(X11)-Y11)*60)-Z11)*60)-AA11)*60)</f>
        <v>0</v>
      </c>
      <c r="AD11" s="1221"/>
      <c r="AE11" s="1216">
        <f>INT(AE7/2)*30+(AE7-1-INT(AE7/2))*29</f>
        <v>207</v>
      </c>
      <c r="AF11" s="1220"/>
      <c r="AG11" s="1215"/>
      <c r="AH11" s="1216">
        <f>AH9+AH10</f>
        <v>1401.3613664000002</v>
      </c>
      <c r="AJ11" s="1226" t="s">
        <v>3932</v>
      </c>
      <c r="AK11" s="1128">
        <f>1/AK10</f>
        <v>63.051886448223023</v>
      </c>
      <c r="AL11" s="1128"/>
      <c r="AM11" s="1128"/>
      <c r="AN11" s="1128"/>
      <c r="AO11" s="1128"/>
      <c r="AP11" s="1227"/>
      <c r="AQ11" s="1208"/>
      <c r="AR11" s="1208"/>
      <c r="AS11" s="1209" t="str">
        <f t="shared" ref="AS11:BA11" si="33">IF(AS10=1,"حمل",IF(AS10=2,"ثور",IF(AS10=3,"جوزاء",IF(AS10=4,"سرطان",IF(AS10=5,"اسد",IF(AS10=6,"سنبله",IF(AS10=7,"میزان",IF(AS10=8,"عقرب",IF(AS10=9,"قوس",IF(AS10=10,"جدی",IF(AS10=11,"دلو","حوت")))))))))))</f>
        <v>اسد</v>
      </c>
      <c r="AT11" s="1209" t="str">
        <f t="shared" si="33"/>
        <v>حمل</v>
      </c>
      <c r="AU11" s="1156" t="str">
        <f t="shared" si="33"/>
        <v>سنبله</v>
      </c>
      <c r="AV11" s="1156" t="str">
        <f t="shared" si="33"/>
        <v>حوت</v>
      </c>
      <c r="AW11" s="1209" t="str">
        <f t="shared" si="33"/>
        <v>میزان</v>
      </c>
      <c r="AX11" s="1209" t="str">
        <f t="shared" si="33"/>
        <v>دلو</v>
      </c>
      <c r="AY11" s="1156" t="str">
        <f t="shared" si="33"/>
        <v>قوس</v>
      </c>
      <c r="AZ11" s="1209" t="str">
        <f t="shared" si="33"/>
        <v>جدی</v>
      </c>
      <c r="BA11" s="1157" t="str">
        <f t="shared" si="33"/>
        <v>سرطان</v>
      </c>
      <c r="BB11" s="1320"/>
      <c r="BC11" s="1144"/>
      <c r="BD11" s="1146"/>
      <c r="BE11" s="1146" t="s">
        <v>214</v>
      </c>
      <c r="BF11" s="1146">
        <f>[1]!sem(BF2,BF8,BF7,BF9)</f>
        <v>10.882474110687088</v>
      </c>
      <c r="BG11" s="1121">
        <f t="shared" si="21"/>
        <v>10</v>
      </c>
      <c r="BH11" s="1121">
        <f t="shared" si="22"/>
        <v>52</v>
      </c>
      <c r="BI11" s="1121">
        <f t="shared" si="23"/>
        <v>56</v>
      </c>
      <c r="BJ11" s="1202">
        <f t="shared" si="24"/>
        <v>54</v>
      </c>
      <c r="BL11" s="1131" t="s">
        <v>1460</v>
      </c>
      <c r="BM11" s="1131">
        <f>[1]!tazmb(BF2,BM5,BF19)</f>
        <v>83.305611553781603</v>
      </c>
      <c r="BN11" s="1154">
        <f t="shared" si="1"/>
        <v>83</v>
      </c>
      <c r="BO11" s="1154">
        <f t="shared" si="2"/>
        <v>18</v>
      </c>
      <c r="BP11" s="1154">
        <f t="shared" si="3"/>
        <v>20</v>
      </c>
      <c r="BQ11" s="1155">
        <f t="shared" si="4"/>
        <v>12</v>
      </c>
      <c r="BR11" s="1148" t="s">
        <v>1460</v>
      </c>
      <c r="BS11" s="1148">
        <f>[1]!tl(BF2,BS10)</f>
        <v>69.093368228025497</v>
      </c>
      <c r="BT11" s="1154">
        <f t="shared" si="0"/>
        <v>69</v>
      </c>
      <c r="BU11" s="1154">
        <f t="shared" si="5"/>
        <v>5</v>
      </c>
      <c r="BV11" s="1154">
        <f t="shared" si="6"/>
        <v>36</v>
      </c>
      <c r="BW11" s="1155">
        <f t="shared" si="7"/>
        <v>7</v>
      </c>
      <c r="BY11" s="1415"/>
      <c r="BZ11" s="1151"/>
      <c r="CA11" s="1151" t="s">
        <v>177</v>
      </c>
      <c r="CB11" s="1151">
        <v>35</v>
      </c>
      <c r="CC11" s="1197">
        <f t="shared" ref="CC11:CC12" si="34">INT(ABS(CB11))</f>
        <v>35</v>
      </c>
      <c r="CD11" s="1197">
        <f t="shared" ref="CD11:CD12" si="35">INT((ABS(CB11)-CC11)*60)</f>
        <v>0</v>
      </c>
      <c r="CE11" s="1197">
        <f t="shared" ref="CE11:CE12" si="36">INT((((ABS(CB11)-CC11)*60)-CD11)*60)</f>
        <v>0</v>
      </c>
      <c r="CF11" s="1420">
        <f t="shared" ref="CF11:CF12" si="37">INT((((((ABS(CB11)-CC11)*60)-CD11)*60)-CE11)*60)</f>
        <v>0</v>
      </c>
      <c r="CG11" s="1149"/>
      <c r="CH11" s="1150"/>
      <c r="CI11" s="1150" t="s">
        <v>297</v>
      </c>
      <c r="CJ11" s="1150">
        <f>[1]!ertaztale(CJ2,CJ8,CJ9,CJ7,CJ10)</f>
        <v>-7.5103619451517822</v>
      </c>
      <c r="CK11" s="1201">
        <f>INT(ABS(CJ11))</f>
        <v>7</v>
      </c>
      <c r="CL11" s="1201">
        <f>INT((ABS(CJ11)-CK11)*60)</f>
        <v>30</v>
      </c>
      <c r="CM11" s="1201">
        <f>INT((((ABS(CJ11)-CK11)*60)-CL11)*60)</f>
        <v>37</v>
      </c>
      <c r="CN11" s="1403">
        <f>INT((((((ABS(CJ11)-CK11)*60)-CL11)*60)-CM11)*60)</f>
        <v>18</v>
      </c>
      <c r="CQ11" s="1141" t="s">
        <v>5</v>
      </c>
      <c r="CR11" s="1129">
        <f>[1]!roz(CT9,CT10,CT11,CT12)</f>
        <v>29.25349537037037</v>
      </c>
      <c r="CS11" s="1142" t="s">
        <v>166</v>
      </c>
      <c r="CT11" s="1143">
        <v>5</v>
      </c>
      <c r="CZ11" s="1225" t="s">
        <v>1494</v>
      </c>
      <c r="DA11" s="1225">
        <v>390</v>
      </c>
      <c r="DB11" s="1175">
        <f>INT(ABS(DA11))</f>
        <v>390</v>
      </c>
      <c r="DC11" s="1175">
        <f>INT((ABS(DA11)-DB11)*60)</f>
        <v>0</v>
      </c>
      <c r="DD11" s="1175">
        <f>INT((((ABS(DA11)-DB11)*60)-DC11)*60)</f>
        <v>0</v>
      </c>
      <c r="DE11" s="1175">
        <f>INT((((((ABS(DA11)-DB11)*60)-DC11)*60)-DD11)*60)</f>
        <v>0</v>
      </c>
      <c r="DG11" s="1136" t="s">
        <v>1509</v>
      </c>
      <c r="DH11" s="1136">
        <f>DH5*6/7</f>
        <v>313.06474308308577</v>
      </c>
      <c r="DI11" s="1175">
        <f t="shared" si="17"/>
        <v>313</v>
      </c>
      <c r="DJ11" s="1175">
        <f t="shared" si="18"/>
        <v>1</v>
      </c>
      <c r="DK11" s="1175">
        <f t="shared" si="19"/>
        <v>33</v>
      </c>
      <c r="DL11" s="1175">
        <f t="shared" si="20"/>
        <v>13</v>
      </c>
      <c r="DO11" s="1139"/>
      <c r="DP11" s="1139"/>
      <c r="DQ11" s="1139"/>
      <c r="DR11" s="1139"/>
      <c r="DS11" s="1139">
        <f>DS10/DP3</f>
        <v>0.89613557124992305</v>
      </c>
      <c r="DT11" s="1139"/>
      <c r="DU11" s="1139"/>
      <c r="DV11" s="1139"/>
      <c r="DW11" s="1139"/>
      <c r="DX11" s="1139"/>
      <c r="DY11" s="1139"/>
      <c r="DZ11" s="1139"/>
      <c r="EA11" s="1139"/>
      <c r="EB11" s="1139"/>
      <c r="EF11" s="1131"/>
      <c r="EG11" s="1131" t="e">
        <f ca="1">EG10+EG9</f>
        <v>#NAME?</v>
      </c>
      <c r="EH11" s="1131"/>
      <c r="EI11" s="1131"/>
      <c r="EL11" s="1136"/>
      <c r="EM11" s="1136"/>
      <c r="EN11" s="1136"/>
      <c r="EO11" s="1136"/>
      <c r="EP11" s="1136">
        <f>EP10/EM3</f>
        <v>0.89613557124992305</v>
      </c>
      <c r="EQ11" s="1136" t="s">
        <v>346</v>
      </c>
      <c r="ER11" s="1136"/>
      <c r="ES11" s="1136"/>
      <c r="ET11" s="1136"/>
      <c r="EU11" s="1136"/>
      <c r="EV11" s="1136"/>
      <c r="EW11" s="1136"/>
      <c r="EX11" s="1136"/>
      <c r="EY11" s="1136"/>
      <c r="FE11" s="2439"/>
      <c r="FF11" s="1216">
        <f>(INT(FF5/2)*30+(FF5-1-INT(FF5/2))*29)+FF6</f>
        <v>241</v>
      </c>
      <c r="FG11" s="1215"/>
      <c r="FH11" s="1216">
        <f>(INT(FH5/2)*30+(FH5-1-INT(FH5/2))*29)+FH6</f>
        <v>326</v>
      </c>
      <c r="FI11" s="2046" t="s">
        <v>1536</v>
      </c>
      <c r="FJ11" s="1178">
        <f>[1]!modd(FJ8,360)-1</f>
        <v>22.103000000002794</v>
      </c>
      <c r="FK11" s="1151"/>
      <c r="FL11" s="1151"/>
      <c r="FM11" s="1228" t="s">
        <v>173</v>
      </c>
      <c r="FN11" s="1229">
        <f>IF(FN10&lt;=12,0,IF(FN10&lt;=23,1,IF(FN10&lt;=33,2,IF(FN10&lt;=42,3,IF(FN10&lt;=50,4,IF(FN10&lt;=57,5,IF(FN10&lt;=63,6,IF(FN10&lt;=68,7,IF(FN10&lt;=72,8,IF(FN10&lt;=75,9,IF(FN10&lt;=77,10,11)))))))))))</f>
        <v>1</v>
      </c>
      <c r="FO11" s="1229"/>
      <c r="FP11" s="1230"/>
      <c r="FQ11" s="1151"/>
      <c r="FR11" s="1255"/>
      <c r="FS11" s="1298">
        <f>INT(FS10/75)</f>
        <v>6</v>
      </c>
      <c r="FT11" s="1759"/>
      <c r="FU11" s="1759"/>
      <c r="GB11" s="1149" t="s">
        <v>1292</v>
      </c>
      <c r="GC11" s="1150">
        <v>429</v>
      </c>
      <c r="GD11" s="1180">
        <f>GC11+GD10</f>
        <v>4306</v>
      </c>
      <c r="GF11" s="1141"/>
      <c r="GG11" s="1129">
        <f>GG9/GG10</f>
        <v>5383.4273923485998</v>
      </c>
      <c r="GI11" s="1226" t="s">
        <v>1575</v>
      </c>
      <c r="GJ11" s="1128">
        <f>GJ10*355</f>
        <v>2.4318321759259258</v>
      </c>
      <c r="GK11" s="1154">
        <f>INT(ABS(GJ11))</f>
        <v>2</v>
      </c>
      <c r="GL11" s="1154">
        <f>INT((ABS(GJ11)-GK11)*60)</f>
        <v>25</v>
      </c>
      <c r="GM11" s="1154">
        <f>INT((((ABS(GJ11)-GK11)*60)-GL11)*60)</f>
        <v>54</v>
      </c>
      <c r="GN11" s="1154">
        <f>INT((((((ABS(GJ11)-GK11)*60)-GL11)*60)-GM11)*60)</f>
        <v>35</v>
      </c>
      <c r="GO11" s="1128"/>
      <c r="GP11" s="1128"/>
      <c r="GQ11" s="1128"/>
      <c r="GR11" s="1128"/>
      <c r="GS11" s="1128"/>
      <c r="GT11" s="1128"/>
      <c r="GU11" s="1128"/>
      <c r="GV11" s="1128"/>
      <c r="GW11" s="1128"/>
      <c r="GX11" s="1227"/>
      <c r="GZ11" s="1082" t="s">
        <v>1372</v>
      </c>
      <c r="HA11" s="1636" t="s">
        <v>3870</v>
      </c>
      <c r="HB11" s="1083">
        <f>HB10/24</f>
        <v>9.598740740833335E-2</v>
      </c>
      <c r="HC11" s="1083">
        <f>IF(HB11&gt;0,1,-1)</f>
        <v>1</v>
      </c>
      <c r="HD11" s="1085">
        <f>((((ABS(HB11*24)-HF11)*60)-HE11)*60)</f>
        <v>13.312000080001951</v>
      </c>
      <c r="HE11" s="1085">
        <f>INT((ABS(HB11*24)-HF11)*60)</f>
        <v>18</v>
      </c>
      <c r="HF11" s="1085">
        <f>INT(ABS(HB11*24))</f>
        <v>2</v>
      </c>
      <c r="HG11" s="2043" t="s">
        <v>849</v>
      </c>
      <c r="HH11" s="1645" t="s">
        <v>1481</v>
      </c>
      <c r="HI11" s="1645">
        <f>[1]!taqq(HI5,HI6,HI7,HI8)</f>
        <v>246.10948619494349</v>
      </c>
      <c r="HJ11" s="1554">
        <f t="shared" si="30"/>
        <v>246</v>
      </c>
      <c r="HK11" s="1554">
        <f t="shared" ref="HK11:HK16" si="38">INT((ABS(HI11)-HJ11)*60)</f>
        <v>6</v>
      </c>
      <c r="HL11" s="1554">
        <f t="shared" si="31"/>
        <v>34</v>
      </c>
      <c r="HM11" s="1310">
        <f t="shared" si="32"/>
        <v>9</v>
      </c>
      <c r="HN11" s="1803" t="str">
        <f>[1]!sadnahsame(HI11)</f>
        <v>nahs</v>
      </c>
      <c r="HO11" s="268" t="str">
        <f>[1]!mozakarame(HI11)</f>
        <v>mozakkar</v>
      </c>
      <c r="HP11" s="268" t="str">
        <f>[1]!abarame(HI11)</f>
        <v>abar</v>
      </c>
      <c r="HQ11" s="268" t="str">
        <f>[1]!vozoohame(HI11)</f>
        <v>nayyerh</v>
      </c>
      <c r="HR11" s="268" t="str">
        <f>[1]!daragamaame(HI11)</f>
        <v>ama</v>
      </c>
      <c r="HS11" s="268" t="str">
        <f>[1]!esnaasharame(HI11)</f>
        <v>merikh</v>
      </c>
      <c r="HT11" s="268" t="str">
        <f>[1]!hodoodame(HI11)</f>
        <v>moshtari</v>
      </c>
      <c r="HU11" s="268" t="str">
        <f>[1]!vojoohame(HI11)</f>
        <v>otared</v>
      </c>
      <c r="HV11" s="1153" t="str">
        <f>[1]!daryjaname(HI11)</f>
        <v>moshtary</v>
      </c>
      <c r="HW11" s="1153" t="str">
        <f>[1]!ardjaname(HI11)</f>
        <v>qamar</v>
      </c>
      <c r="HX11" s="1153" t="str">
        <f>[1]!nohbahrame(HI11)</f>
        <v>zohre</v>
      </c>
      <c r="HY11" s="1153" t="str">
        <f>[1]!haftbahrame(HI11)</f>
        <v>merikh</v>
      </c>
      <c r="HZ11" s="1153" t="str">
        <f>[1]!nimbahrame(HI11)</f>
        <v>shams</v>
      </c>
      <c r="IA11" s="1153"/>
      <c r="IB11" s="268" t="str">
        <f>[1]!sharafqamarame(HI11)</f>
        <v>la shey</v>
      </c>
      <c r="IC11" s="1153" t="str">
        <f>[1]!borjame(HI11)</f>
        <v>qovs</v>
      </c>
      <c r="ID11" s="1153" t="str">
        <f>[1]!manazelame(HI11)</f>
        <v>20-naaem</v>
      </c>
      <c r="IE11" s="1153" t="str">
        <f>[1]!arbabame(HI11,$HO$5)</f>
        <v>nari-shms-mshtr-zhl</v>
      </c>
      <c r="IF11" s="2512" t="str">
        <f>[1]!sahebborjame(HI11)</f>
        <v>moshtari</v>
      </c>
      <c r="IH11" s="2531" t="s">
        <v>4711</v>
      </c>
      <c r="II11" s="1151">
        <f>IF($II$7="qamar",5,0)</f>
        <v>0</v>
      </c>
      <c r="IJ11" s="1151">
        <f>IF($IJ$7="qamar",4,0)</f>
        <v>0</v>
      </c>
      <c r="IK11" s="1151">
        <f>IF($IK$7="qamar",3,0)</f>
        <v>0</v>
      </c>
      <c r="IL11" s="1151">
        <f>IF($IL$7="qamar",2,0)</f>
        <v>0</v>
      </c>
      <c r="IM11" s="1151">
        <f>IF($IM$7="qamar",1,0)</f>
        <v>0</v>
      </c>
      <c r="IN11" s="1151">
        <f>IF($IN$7="qamar",1,0)</f>
        <v>0</v>
      </c>
      <c r="IO11" s="1151">
        <f>IF($IO$7="qamar",1,0)</f>
        <v>0</v>
      </c>
      <c r="IP11" s="1213">
        <f>IF($IP$7="qamar",1,0)</f>
        <v>0</v>
      </c>
      <c r="IQ11" s="1431">
        <f>[1]!adadborj(HI11)</f>
        <v>9</v>
      </c>
      <c r="IR11" s="1431">
        <f t="shared" ref="IR11:IR16" si="39">SUM(II11:IP11)</f>
        <v>0</v>
      </c>
      <c r="IS11" s="1237"/>
      <c r="IT11" s="1205">
        <f>IF(IS10=IR10,IQ10,IF(IS10=IR11,IQ11,IF(IS10=IR12,IQ12,IF(IS10=IR13,IQ13,IF(IS10=IR14,IQ14,IF(IS10=IR15,IQ15,IF(IS10=IR16,IQ16,0)))))))</f>
        <v>3</v>
      </c>
      <c r="IU11" s="1205" t="str">
        <f t="shared" ref="IU11:IU16" si="40">IF($IT$10=IH11,"",IF(IR11&gt;0,IH11,""))</f>
        <v/>
      </c>
      <c r="IV11" s="1206" t="str">
        <f t="shared" ref="IV11:IV16" si="41">IF($IT$10=IH11,"",IF(OR(IQ11=$IT$11,IQ11=$IS$7,IQ11=$IT$7,IQ11=$IU$7,IQ11=$IV$7),IH11,""))</f>
        <v/>
      </c>
      <c r="IW11" s="2572" t="str">
        <f>IF(IT12="qamar"," سبز فیروزجی",IF(IT12="otared"," آسمانگونی",IF(IT12="zohreh","سفید درخشان ",IF(IT12="shams","نارنجی درخشان ",IF(IT12="merikh"," احمر اقتم",IF(IT12="moshtari","بادامی ",IF(IT12="zohal","سیاه ","خطا")))))))</f>
        <v xml:space="preserve">بادامی </v>
      </c>
      <c r="IX11" s="1148"/>
      <c r="IY11" s="1148"/>
      <c r="IZ11" s="1148">
        <f>IF(IZ10&lt;30,30,IF(IZ10&lt;60,60,IF(IZ10&lt;90,90,IF(IZ10&lt;120,120,IF(IZ10&lt;150,150,IF(IZ10&lt;180,180,IF(IZ10&lt;210,210,IF(IZ10&lt;240,240,IF(IZ10&lt;270,270,IF(IZ10&lt;300,300,IF(IZ10&lt;330,330,360)))))))))))</f>
        <v>120</v>
      </c>
    </row>
    <row r="12" spans="2:260" ht="25.5" thickBot="1">
      <c r="B12" s="1149">
        <v>7</v>
      </c>
      <c r="C12" s="1150" t="s">
        <v>1357</v>
      </c>
      <c r="D12" s="1150">
        <f t="shared" si="14"/>
        <v>264</v>
      </c>
      <c r="E12" s="1136" t="s">
        <v>1437</v>
      </c>
      <c r="F12" s="1151">
        <f t="shared" si="8"/>
        <v>252</v>
      </c>
      <c r="G12" s="1136" t="s">
        <v>1431</v>
      </c>
      <c r="H12" s="1151">
        <f t="shared" si="9"/>
        <v>258</v>
      </c>
      <c r="I12" s="1150">
        <v>7</v>
      </c>
      <c r="J12" s="1150" t="s">
        <v>1357</v>
      </c>
      <c r="K12" s="1150">
        <f t="shared" si="15"/>
        <v>84</v>
      </c>
      <c r="L12" s="1136" t="s">
        <v>1429</v>
      </c>
      <c r="M12" s="1151">
        <f t="shared" si="10"/>
        <v>72</v>
      </c>
      <c r="N12" s="1136" t="s">
        <v>1430</v>
      </c>
      <c r="O12" s="1151">
        <f t="shared" si="11"/>
        <v>78</v>
      </c>
      <c r="P12" s="1150"/>
      <c r="Q12" s="1176"/>
      <c r="R12" s="1151" t="str">
        <f>IF(R10&lt;=K6,J6,IF(R10&lt;=K7,J7,IF(R10&lt;=K8,J8,IF(R10&lt;=K9,J9,IF(R10&lt;=K10,J10,IF(R10&lt;=K11,J11,IF(R10&lt;=K12,J12,IF(R10&lt;=K13,J13,IF(R10&lt;=K14,J14,IF(R10&lt;=K15,J15,IF(R10&lt;=K16,J16,IF(R10&lt;=K17,J17,IF(R10&lt;=K18,J18,IF(R10&lt;=K19,J19,IF(R10&lt;=K20,J20,IF(R10&lt;=D6,C6,IF(R10&lt;=D7,C7,IF(R10&lt;=D8,C8,IF(R10&lt;=D9,C9,IF(R10&lt;=D10,C10,IF(R10&lt;=D11,C11,IF(R10&lt;=D12,C12,IF(R10&lt;=D13,C13,IF(R10&lt;=D14,C14,IF(R10&lt;=D15,C15,IF(R10&lt;=D16,C16,IF(R10&lt;=D17,C17,IF(R10&lt;=D18,C18,IF(R10&lt;=D19,C19,C20)))))))))))))))))))))))))))))</f>
        <v>اشتمی</v>
      </c>
      <c r="S12" s="1151"/>
      <c r="T12" s="1122"/>
      <c r="W12" s="1217"/>
      <c r="X12" s="1121">
        <f>X11*60/15</f>
        <v>4.2877777777777908</v>
      </c>
      <c r="Y12" s="1121">
        <f>INT(ABS(X12))</f>
        <v>4</v>
      </c>
      <c r="Z12" s="1121">
        <f>INT((ABS(X12)-Y12)*60)</f>
        <v>17</v>
      </c>
      <c r="AA12" s="1121">
        <f>INT((((ABS(X12)-Y12)*60)-Z12)*60)</f>
        <v>16</v>
      </c>
      <c r="AB12" s="1202">
        <f>INT((((((ABS(X12)-Y12)*60)-Z12)*60)-AA12)*60)</f>
        <v>0</v>
      </c>
      <c r="AD12" s="1215"/>
      <c r="AE12" s="1216">
        <f>INT(AE10+AE11+AE8)</f>
        <v>511573</v>
      </c>
      <c r="AG12" s="1215"/>
      <c r="AH12" s="1216">
        <f>(AH11-INT(AH11))*365</f>
        <v>131.89873600006536</v>
      </c>
      <c r="AJ12" s="1226"/>
      <c r="AK12" s="1128">
        <f>(((((((AP12/60)+AO12)/60)+AN12)/60)+AM12)/60)+AL12</f>
        <v>21.427245370370372</v>
      </c>
      <c r="AL12" s="1128">
        <v>21</v>
      </c>
      <c r="AM12" s="1128">
        <v>25</v>
      </c>
      <c r="AN12" s="1128">
        <v>38</v>
      </c>
      <c r="AO12" s="1128">
        <v>5</v>
      </c>
      <c r="AP12" s="1227"/>
      <c r="AQ12" s="1192">
        <v>4</v>
      </c>
      <c r="AR12" s="1192" t="str">
        <f>IF(AQ12=1,"حمل",IF(AQ12=2,"ثور",IF(AQ12=3,"جوزاء",IF(AQ12=4,"سرطان",IF(AQ12=5,"اسد",IF(AQ12=6,"سنبله",IF(AQ12=7,"میزان",IF(AQ12=8,"عقرب",IF(AQ12=9,"قوس",IF(AQ12=10,"جدی",IF(AQ12=11,"دلو","حوت")))))))))))</f>
        <v>سرطان</v>
      </c>
      <c r="AS12" s="1181">
        <f>IF(AQ12+2&lt;=12,AQ12+2,AQ12+2-12)</f>
        <v>6</v>
      </c>
      <c r="AT12" s="1181">
        <f>IF(AQ12-2&gt;0,AQ12-2,AQ12+12-2)</f>
        <v>2</v>
      </c>
      <c r="AU12" s="1137">
        <f>IF(AQ12+3&lt;=12,AQ12+3,AQ12+3-12)</f>
        <v>7</v>
      </c>
      <c r="AV12" s="1137">
        <f>IF(AQ12-3&gt;0,AQ12-3,AQ12+12-3)</f>
        <v>1</v>
      </c>
      <c r="AW12" s="1181">
        <f>IF(AQ12+4&lt;=12,AQ12+4,AQ12+4-12)</f>
        <v>8</v>
      </c>
      <c r="AX12" s="1181">
        <f>IF(AQ12-4&gt;0,AQ12-4,AQ12+12-4)</f>
        <v>12</v>
      </c>
      <c r="AY12" s="1137">
        <f>IF(AQ12+6&lt;=12,AQ12+6,AQ12+6-12)</f>
        <v>10</v>
      </c>
      <c r="AZ12" s="1181">
        <f>13-AQ12</f>
        <v>9</v>
      </c>
      <c r="BA12" s="1138">
        <f>IF(AQ12&lt;=6,7-AQ12,19-AQ12)</f>
        <v>3</v>
      </c>
      <c r="BC12" s="1144"/>
      <c r="BD12" s="1146"/>
      <c r="BE12" s="1146" t="s">
        <v>2291</v>
      </c>
      <c r="BF12" s="1146">
        <f>[1]!sn(BF10)*[1]!tn(BF8)/60</f>
        <v>7.5328529627115488</v>
      </c>
      <c r="BG12" s="1121">
        <f t="shared" si="21"/>
        <v>7</v>
      </c>
      <c r="BH12" s="1121">
        <f t="shared" si="22"/>
        <v>31</v>
      </c>
      <c r="BI12" s="1121">
        <f t="shared" si="23"/>
        <v>58</v>
      </c>
      <c r="BJ12" s="1202">
        <f t="shared" si="24"/>
        <v>16</v>
      </c>
      <c r="BL12" s="1131" t="s">
        <v>1461</v>
      </c>
      <c r="BM12" s="1131">
        <f>[1]!tazmb(BF2,BM6,BF19)</f>
        <v>109.95685341736608</v>
      </c>
      <c r="BN12" s="1154">
        <f t="shared" si="1"/>
        <v>109</v>
      </c>
      <c r="BO12" s="1154">
        <f t="shared" si="2"/>
        <v>57</v>
      </c>
      <c r="BP12" s="1154">
        <f t="shared" si="3"/>
        <v>24</v>
      </c>
      <c r="BQ12" s="1155">
        <f t="shared" si="4"/>
        <v>40</v>
      </c>
      <c r="BR12" s="1148" t="s">
        <v>1464</v>
      </c>
      <c r="BS12" s="1148">
        <f>[1]!tl(BF2,IF(BS4+270&lt;360,BS4+270,BS4+270-360))</f>
        <v>274.87791226533665</v>
      </c>
      <c r="BT12" s="1154">
        <f t="shared" si="0"/>
        <v>274</v>
      </c>
      <c r="BU12" s="1154">
        <f>INT((ABS(BS12)-BT12)*60)</f>
        <v>52</v>
      </c>
      <c r="BV12" s="1154">
        <f>INT((((ABS(BS12)-BT12)*60)-BU12)*60)</f>
        <v>40</v>
      </c>
      <c r="BW12" s="1155">
        <f>INT((((((ABS(BS12)-BT12)*60)-BU12)*60)-BV12)*60)</f>
        <v>29</v>
      </c>
      <c r="BY12" s="1415"/>
      <c r="BZ12" s="1151"/>
      <c r="CA12" s="1151" t="s">
        <v>175</v>
      </c>
      <c r="CB12" s="1150">
        <f>[1]!arzqmr([1]!hesseh(CB5,CB6,CB7,CB8))</f>
        <v>1.2073123758702211</v>
      </c>
      <c r="CC12" s="1197">
        <f t="shared" si="34"/>
        <v>1</v>
      </c>
      <c r="CD12" s="1197">
        <f t="shared" si="35"/>
        <v>12</v>
      </c>
      <c r="CE12" s="1197">
        <f t="shared" si="36"/>
        <v>26</v>
      </c>
      <c r="CF12" s="1420">
        <f t="shared" si="37"/>
        <v>19</v>
      </c>
      <c r="CG12" s="1149"/>
      <c r="CH12" s="1150"/>
      <c r="CI12" s="1150" t="s">
        <v>3969</v>
      </c>
      <c r="CJ12" s="1150">
        <f>[1]!mlhades(CJ2,CJ9,CJ7,CJ11,CJ8)</f>
        <v>96.379909401853155</v>
      </c>
      <c r="CK12" s="1201">
        <f t="shared" ref="CK12:CK13" si="42">INT(ABS(CJ12))</f>
        <v>96</v>
      </c>
      <c r="CL12" s="1201">
        <f t="shared" ref="CL12:CL13" si="43">INT((ABS(CJ12)-CK12)*60)</f>
        <v>22</v>
      </c>
      <c r="CM12" s="1201">
        <f t="shared" ref="CM12:CM13" si="44">INT((((ABS(CJ12)-CK12)*60)-CL12)*60)</f>
        <v>47</v>
      </c>
      <c r="CN12" s="1403">
        <f t="shared" ref="CN12:CN13" si="45">INT((((((ABS(CJ12)-CK12)*60)-CL12)*60)-CM12)*60)</f>
        <v>40</v>
      </c>
      <c r="CQ12" s="1170" t="s">
        <v>393</v>
      </c>
      <c r="CR12" s="1171">
        <f>[1]!mbtool(2,20,0,1)</f>
        <v>9.7222222222222224E-2</v>
      </c>
      <c r="CS12" s="1172" t="s">
        <v>167</v>
      </c>
      <c r="CT12" s="1173">
        <v>2</v>
      </c>
      <c r="CZ12" s="1225" t="s">
        <v>1490</v>
      </c>
      <c r="DA12" s="1225">
        <f>DA11/DA7</f>
        <v>1.0677846090033736</v>
      </c>
      <c r="DB12" s="1175">
        <f>INT(ABS(DA12))</f>
        <v>1</v>
      </c>
      <c r="DC12" s="1175">
        <f>INT((ABS(DA12)-DB12)*60)</f>
        <v>4</v>
      </c>
      <c r="DD12" s="1175">
        <f>INT((((ABS(DA12)-DB12)*60)-DC12)*60)</f>
        <v>4</v>
      </c>
      <c r="DE12" s="1175">
        <f>INT((((((ABS(DA12)-DB12)*60)-DC12)*60)-DD12)*60)</f>
        <v>1</v>
      </c>
      <c r="DG12" s="1136" t="s">
        <v>1510</v>
      </c>
      <c r="DH12" s="1136">
        <f>DH5*7/7</f>
        <v>365.24220026360001</v>
      </c>
      <c r="DI12" s="1175">
        <f t="shared" si="17"/>
        <v>365</v>
      </c>
      <c r="DJ12" s="1175">
        <f t="shared" si="18"/>
        <v>5</v>
      </c>
      <c r="DK12" s="1175">
        <f t="shared" si="19"/>
        <v>48</v>
      </c>
      <c r="DL12" s="1175">
        <f t="shared" si="20"/>
        <v>46</v>
      </c>
      <c r="DO12" s="1139" t="s">
        <v>1519</v>
      </c>
      <c r="DP12" s="1139"/>
      <c r="DQ12" s="1139"/>
      <c r="DR12" s="1139"/>
      <c r="DS12" s="1139"/>
      <c r="DT12" s="1139"/>
      <c r="DU12" s="1139"/>
      <c r="DV12" s="1139">
        <f>DV4-DS11</f>
        <v>185236.10386442876</v>
      </c>
      <c r="DW12" s="1139"/>
      <c r="DX12" s="1139"/>
      <c r="DY12" s="1139"/>
      <c r="DZ12" s="1139"/>
      <c r="EA12" s="1139"/>
      <c r="EB12" s="1139"/>
      <c r="EF12" s="1153" t="s">
        <v>1525</v>
      </c>
      <c r="EG12" s="1131" t="e">
        <f ca="1">EG11+EG8</f>
        <v>#NAME?</v>
      </c>
      <c r="EH12" s="1131"/>
      <c r="EI12" s="1131"/>
      <c r="EL12" s="1136"/>
      <c r="EM12" s="1136"/>
      <c r="EN12" s="1136"/>
      <c r="EO12" s="1136"/>
      <c r="EP12" s="1136"/>
      <c r="EQ12" s="1136"/>
      <c r="ER12" s="1136"/>
      <c r="ES12" s="1136">
        <f>ES4-EP11</f>
        <v>185236.10386442876</v>
      </c>
      <c r="ET12" s="1136"/>
      <c r="EU12" s="1136"/>
      <c r="EV12" s="1136"/>
      <c r="EW12" s="1136"/>
      <c r="EX12" s="1136"/>
      <c r="EY12" s="1136"/>
      <c r="FE12" s="2439"/>
      <c r="FF12" s="1216">
        <f>FF10+FF11</f>
        <v>362.03108000008319</v>
      </c>
      <c r="FG12" s="1215"/>
      <c r="FH12" s="1216">
        <f>FH10+FH11</f>
        <v>434.05868799999996</v>
      </c>
      <c r="FI12" s="2046"/>
      <c r="FJ12" s="1178">
        <f>IF([1]!modd(FJ10,12)=0,12,[1]!modd(FJ10,12))</f>
        <v>12</v>
      </c>
      <c r="FK12" s="1151"/>
      <c r="FL12" s="1151"/>
      <c r="FM12" s="1231" t="s">
        <v>1446</v>
      </c>
      <c r="FN12" s="1232" t="str">
        <f>IF(FN10&lt;=12,"حمل",IF(FN10&lt;=23,"ثور",IF(FN10&lt;=33,"جوزاء",IF(FN10&lt;=42,"سرطان",IF(FN10&lt;=50,"اسد",IF(FN10&lt;=57,"سنبله",IF(FN10&lt;=63,"میزان",IF(FN10&lt;=68,"عقرب",IF(FN10&lt;=72,"قوس",IF(FN10&lt;=75,"جدی",IF(FN10&lt;=77,"دلو","حوت")))))))))))</f>
        <v>ثور</v>
      </c>
      <c r="FO12" s="1232" t="str">
        <f>[1]!bjfardakbame(FF4,FF5,FF6)</f>
        <v>sor</v>
      </c>
      <c r="FP12" s="1233"/>
      <c r="FQ12" s="1151"/>
      <c r="FR12" s="2482" t="s">
        <v>1546</v>
      </c>
      <c r="FS12" s="2483" t="str">
        <f>IF(FS11=0,"شمس",IF(FS11=1,"قمر",IF(FS11=2,"رأس",IF(FS11=3,"مشتری",IF(FS11=4,"عطارد",IF(FS11=5,"زحل",IF(FS11=6,"ذنب",IF(FS11=7,"مریخ","زهره"))))))))</f>
        <v>ذنب</v>
      </c>
      <c r="FT12" s="1759"/>
      <c r="FU12" s="1759"/>
      <c r="GB12" s="1149" t="s">
        <v>687</v>
      </c>
      <c r="GC12" s="1150">
        <v>284</v>
      </c>
      <c r="GD12" s="1180">
        <f>GC12+GD11</f>
        <v>4590</v>
      </c>
      <c r="GF12" s="1141" t="s">
        <v>1557</v>
      </c>
      <c r="GG12" s="1129">
        <f>INT(GG11/360)</f>
        <v>14</v>
      </c>
      <c r="GI12" s="1226" t="s">
        <v>1576</v>
      </c>
      <c r="GJ12" s="1128">
        <f>GJ10*354</f>
        <v>2.4249819444444443</v>
      </c>
      <c r="GK12" s="1154">
        <f>INT(ABS(GJ12))</f>
        <v>2</v>
      </c>
      <c r="GL12" s="1154">
        <f>INT((ABS(GJ12)-GK12)*60)</f>
        <v>25</v>
      </c>
      <c r="GM12" s="1154">
        <f>INT((((ABS(GJ12)-GK12)*60)-GL12)*60)</f>
        <v>29</v>
      </c>
      <c r="GN12" s="1154">
        <f>INT((((((ABS(GJ12)-GK12)*60)-GL12)*60)-GM12)*60)</f>
        <v>56</v>
      </c>
      <c r="GO12" s="1128"/>
      <c r="GP12" s="1128"/>
      <c r="GQ12" s="1128"/>
      <c r="GR12" s="1128"/>
      <c r="GS12" s="1128"/>
      <c r="GT12" s="1128"/>
      <c r="GU12" s="1128"/>
      <c r="GV12" s="1128"/>
      <c r="GW12" s="1128"/>
      <c r="GX12" s="1227"/>
      <c r="GZ12" s="1087"/>
      <c r="HA12" s="1637" t="s">
        <v>2202</v>
      </c>
      <c r="HB12" s="1065">
        <f>[1]!tabdilsaheb(HB6)</f>
        <v>9.598740740833335E-2</v>
      </c>
      <c r="HC12" s="1065"/>
      <c r="HD12" s="1065"/>
      <c r="HE12" s="1065"/>
      <c r="HF12" s="1065"/>
      <c r="HG12" s="2043" t="s">
        <v>1291</v>
      </c>
      <c r="HH12" s="1645" t="s">
        <v>1481</v>
      </c>
      <c r="HI12" s="1645">
        <f>[1]!taqota(HI5,HI6,HI7,HI8)</f>
        <v>7.11429616864352</v>
      </c>
      <c r="HJ12" s="1554">
        <f t="shared" si="30"/>
        <v>7</v>
      </c>
      <c r="HK12" s="1554">
        <f t="shared" si="38"/>
        <v>6</v>
      </c>
      <c r="HL12" s="1554">
        <f t="shared" si="31"/>
        <v>51</v>
      </c>
      <c r="HM12" s="1310">
        <f t="shared" si="32"/>
        <v>27</v>
      </c>
      <c r="HN12" s="1803" t="str">
        <f>[1]!sadnahsame(HI12)</f>
        <v>--</v>
      </c>
      <c r="HO12" s="268" t="str">
        <f>[1]!mozakarame(HI12)</f>
        <v>moannas</v>
      </c>
      <c r="HP12" s="268" t="str">
        <f>[1]!abarame(HI12)</f>
        <v>--</v>
      </c>
      <c r="HQ12" s="268" t="str">
        <f>[1]!vozoohame(HI12)</f>
        <v>mozlemeh</v>
      </c>
      <c r="HR12" s="268" t="str">
        <f>[1]!daragamaame(HI12)</f>
        <v>ama</v>
      </c>
      <c r="HS12" s="268" t="str">
        <f>[1]!esnaasharame(HI12)</f>
        <v>merikh</v>
      </c>
      <c r="HT12" s="268" t="str">
        <f>[1]!hodoodame(HI12)</f>
        <v>zohre</v>
      </c>
      <c r="HU12" s="268" t="str">
        <f>[1]!vojoohame(HI12)</f>
        <v>merikh</v>
      </c>
      <c r="HV12" s="1153" t="str">
        <f>[1]!daryjaname(HI12)</f>
        <v>merikh</v>
      </c>
      <c r="HW12" s="1153" t="str">
        <f>[1]!ardjaname(HI12)</f>
        <v>merikh</v>
      </c>
      <c r="HX12" s="1153" t="str">
        <f>[1]!nohbahrame(HI12)</f>
        <v>otared</v>
      </c>
      <c r="HY12" s="1153" t="str">
        <f>[1]!haftbahrame(HI12)</f>
        <v>shams</v>
      </c>
      <c r="HZ12" s="1153" t="str">
        <f>[1]!nimbahrame(HI12)</f>
        <v>shams</v>
      </c>
      <c r="IA12" s="1153"/>
      <c r="IB12" s="268" t="str">
        <f>[1]!sharafotaredame(HI12)</f>
        <v>la shey</v>
      </c>
      <c r="IC12" s="1153" t="str">
        <f>[1]!borjame(HI12)</f>
        <v>hamal</v>
      </c>
      <c r="ID12" s="1153"/>
      <c r="IE12" s="1153" t="str">
        <f>[1]!arbabame(HI12,$HO$5)</f>
        <v>nari-shms-mshtr-zhl</v>
      </c>
      <c r="IF12" s="2512" t="str">
        <f>[1]!sahebborjame(HI12)</f>
        <v>merikh</v>
      </c>
      <c r="IH12" s="2531" t="s">
        <v>4694</v>
      </c>
      <c r="II12" s="1151">
        <f>IF($II$7="otared",5,0)</f>
        <v>0</v>
      </c>
      <c r="IJ12" s="1151">
        <f>IF($IJ$7="otared",4,0)</f>
        <v>0</v>
      </c>
      <c r="IK12" s="1151">
        <f>IF($IK$7="otared",3,0)</f>
        <v>3</v>
      </c>
      <c r="IL12" s="1151">
        <f>IF($IL$7="otared",2,0)</f>
        <v>0</v>
      </c>
      <c r="IM12" s="1151">
        <f>IF($IM$7="otared",1,0)</f>
        <v>0</v>
      </c>
      <c r="IN12" s="1151">
        <f>IF($IN$7="otared",1,0)</f>
        <v>0</v>
      </c>
      <c r="IO12" s="1151">
        <f>IF($IO$7="otared",1,0)</f>
        <v>1</v>
      </c>
      <c r="IP12" s="1213">
        <f>IF($IP$7="otared",1,0)</f>
        <v>0</v>
      </c>
      <c r="IQ12" s="1431">
        <f>[1]!adadborj(HI12)</f>
        <v>1</v>
      </c>
      <c r="IR12" s="1431">
        <f t="shared" si="39"/>
        <v>4</v>
      </c>
      <c r="IS12" s="1237"/>
      <c r="IT12" s="1205" t="str">
        <f>IF(IT10="قمر ","qamar",IF(IT10="عطارد ","otared",IF(IT10="زهره ","zohreh",IF(IT10="شمس ","shams",IF(IT10="مریخ ","merikh",IF(IT10="مشتری ","moshtari",IF(IT10="زحل ","zohal","-")))))))</f>
        <v>moshtari</v>
      </c>
      <c r="IU12" s="1205" t="str">
        <f t="shared" si="40"/>
        <v xml:space="preserve">عطارد </v>
      </c>
      <c r="IV12" s="1206" t="str">
        <f t="shared" si="41"/>
        <v xml:space="preserve">عطارد </v>
      </c>
      <c r="IW12" s="2572" t="str">
        <f>CONCATENATE(IW10,IW11)</f>
        <v xml:space="preserve">نارنجی درخشان بادامی </v>
      </c>
      <c r="IX12" s="1148"/>
      <c r="IY12" s="1148"/>
      <c r="IZ12" s="1148"/>
    </row>
    <row r="13" spans="2:260" ht="24.75">
      <c r="B13" s="1149">
        <v>8</v>
      </c>
      <c r="C13" s="1150" t="s">
        <v>1358</v>
      </c>
      <c r="D13" s="1150">
        <f t="shared" si="14"/>
        <v>276</v>
      </c>
      <c r="E13" s="1136" t="s">
        <v>1426</v>
      </c>
      <c r="F13" s="1151">
        <f t="shared" si="8"/>
        <v>264</v>
      </c>
      <c r="G13" s="1136" t="s">
        <v>1427</v>
      </c>
      <c r="H13" s="1151">
        <f t="shared" si="9"/>
        <v>270</v>
      </c>
      <c r="I13" s="1150">
        <v>8</v>
      </c>
      <c r="J13" s="1150" t="s">
        <v>1358</v>
      </c>
      <c r="K13" s="1150">
        <f t="shared" si="15"/>
        <v>96</v>
      </c>
      <c r="L13" s="1136" t="s">
        <v>1437</v>
      </c>
      <c r="M13" s="1151">
        <f t="shared" si="10"/>
        <v>84</v>
      </c>
      <c r="N13" s="1136" t="s">
        <v>1431</v>
      </c>
      <c r="O13" s="1151">
        <f t="shared" si="11"/>
        <v>90</v>
      </c>
      <c r="P13" s="1150"/>
      <c r="Q13" s="1225" t="s">
        <v>1420</v>
      </c>
      <c r="R13" s="1136" t="str">
        <f>IF(R10&lt;=O6,N6,IF(R10&lt;=M7,L7,IF(R10&lt;=O7,N7,IF(R10&lt;=M8,L8,IF(R10&lt;=O8,N8,IF(R10&lt;=M9,L9,IF(R10&lt;=O9,N9,IF(R10&lt;=M10,L10,IF(R10&lt;=O10,N10,IF(R10&lt;=M11,L11,IF(R10&lt;=O11,N11,IF(R10&lt;=M12,L12,IF(R10&lt;=O12,N12,IF(R10&lt;=M13,L13,IF(R10&lt;=O13,N13,IF(R10&lt;=M14,L14,IF(R10&lt;=O14,N14,IF(R10&lt;=M15,L15,IF(R10&lt;=O15,N15,IF(R10&lt;=M16,L16,IF(R10&lt;=O16,N16,IF(R10&lt;=M17,L17,IF(R10&lt;=O17,N17,IF(R10&lt;=M18,L18,IF(R10&lt;=O18,N18,IF(R10&lt;=M19,L19,IF(R10&lt;=O19,N19,IF(R10&lt;=M20,L20,IF(R10&lt;=O20,N20,IF(R10&lt;=F6,E6,IF(R10&lt;=H6,G6,IF(R10&lt;=F7,E7,IF(R10&lt;=H7,G7,IF(R10&lt;=F8,E8,IF(R10&lt;=H8,G8,IF(R10&lt;=F9,E9,IF(R10&lt;=H9,G9,IF(R10&lt;=F10,E10,IF(R10&lt;=H10,G10,IF(R10&lt;=F11,E11,IF(R10&lt;=H11,G11,IF(R10&lt;=F12,E12,IF(R10&lt;=H12,G12,IF(R10&lt;=F13,E13,IF(R10&lt;=H13,G13,IF(R10&lt;=F14,E14,IF(R10&lt;=H14,G14,IF(R10&lt;=F15,E15,IF(R10&lt;=H15,G15,IF(R10&lt;=F16,E16,IF(R10&lt;=H16,G16,IF(R10&lt;=F17,E17,IF(R10&lt;=H17,G17,IF(R10&lt;=F18,E18,IF(R10&lt;=H18,G18,IF(R10&lt;=F19,E19,IF(R10&lt;=H19,G19,IF(R10&lt;=F20,E20,IF(R10&lt;=H20,G20,L6)))))))))))))))))))))))))))))))))))))))))))))))))))))))))))</f>
        <v>بالو</v>
      </c>
      <c r="S13" s="1151"/>
      <c r="T13" s="1122"/>
      <c r="W13" s="1217" t="s">
        <v>1381</v>
      </c>
      <c r="X13" s="1185">
        <f>(X8-X12)/60</f>
        <v>-0.19153123580486736</v>
      </c>
      <c r="Y13" s="1121">
        <f>INT(ABS(X13))</f>
        <v>0</v>
      </c>
      <c r="Z13" s="1121">
        <f>INT((ABS(X13)-Y13)*60)</f>
        <v>11</v>
      </c>
      <c r="AA13" s="1121">
        <f>INT((((ABS(X13)-Y13)*60)-Z13)*60)</f>
        <v>29</v>
      </c>
      <c r="AB13" s="1202">
        <f>INT((((((ABS(X13)-Y13)*60)-Z13)*60)-AA13)*60)</f>
        <v>30</v>
      </c>
      <c r="AD13" s="1215"/>
      <c r="AE13" s="1216">
        <f>MOD(AE12,7)</f>
        <v>6</v>
      </c>
      <c r="AG13" s="1215"/>
      <c r="AH13" s="1216">
        <f>(INT(AH7/2)*30+(AH7-1-INT(AH7/2))*29)+AH8</f>
        <v>235</v>
      </c>
      <c r="AJ13" s="1226"/>
      <c r="AK13" s="1128">
        <f>AK12/AK10</f>
        <v>1351.0282419908051</v>
      </c>
      <c r="AL13" s="1154">
        <f>INT(ABS(AK13))</f>
        <v>1351</v>
      </c>
      <c r="AM13" s="1154">
        <f>INT((ABS(AK13)-AL13)*60)</f>
        <v>1</v>
      </c>
      <c r="AN13" s="1154">
        <f>INT((((ABS(AK13)-AL13)*60)-AM13)*60)</f>
        <v>41</v>
      </c>
      <c r="AO13" s="1154">
        <f>INT((((((ABS(AK13)-AL13)*60)-AM13)*60)-AN13)*60)</f>
        <v>40</v>
      </c>
      <c r="AP13" s="1227"/>
      <c r="AQ13" s="1208"/>
      <c r="AR13" s="1208"/>
      <c r="AS13" s="1209" t="str">
        <f t="shared" ref="AS13:BA13" si="46">IF(AS12=1,"حمل",IF(AS12=2,"ثور",IF(AS12=3,"جوزاء",IF(AS12=4,"سرطان",IF(AS12=5,"اسد",IF(AS12=6,"سنبله",IF(AS12=7,"میزان",IF(AS12=8,"عقرب",IF(AS12=9,"قوس",IF(AS12=10,"جدی",IF(AS12=11,"دلو","حوت")))))))))))</f>
        <v>سنبله</v>
      </c>
      <c r="AT13" s="1209" t="str">
        <f t="shared" si="46"/>
        <v>ثور</v>
      </c>
      <c r="AU13" s="1156" t="str">
        <f t="shared" si="46"/>
        <v>میزان</v>
      </c>
      <c r="AV13" s="1156" t="str">
        <f t="shared" si="46"/>
        <v>حمل</v>
      </c>
      <c r="AW13" s="1209" t="str">
        <f t="shared" si="46"/>
        <v>عقرب</v>
      </c>
      <c r="AX13" s="1209" t="str">
        <f t="shared" si="46"/>
        <v>حوت</v>
      </c>
      <c r="AY13" s="1156" t="str">
        <f t="shared" si="46"/>
        <v>جدی</v>
      </c>
      <c r="AZ13" s="1209" t="str">
        <f t="shared" si="46"/>
        <v>قوس</v>
      </c>
      <c r="BA13" s="1157" t="str">
        <f t="shared" si="46"/>
        <v>جوزاء</v>
      </c>
      <c r="BC13" s="1144"/>
      <c r="BD13" s="1146"/>
      <c r="BE13" s="1146" t="s">
        <v>359</v>
      </c>
      <c r="BF13" s="1146">
        <f>[1]!bkm(BF2,BF9,BF7)</f>
        <v>8.896606192528111</v>
      </c>
      <c r="BG13" s="1121">
        <f t="shared" si="21"/>
        <v>8</v>
      </c>
      <c r="BH13" s="1121">
        <f t="shared" si="22"/>
        <v>53</v>
      </c>
      <c r="BI13" s="1121">
        <f t="shared" si="23"/>
        <v>47</v>
      </c>
      <c r="BJ13" s="1202">
        <f t="shared" si="24"/>
        <v>46</v>
      </c>
      <c r="BL13" s="1131" t="s">
        <v>1462</v>
      </c>
      <c r="BM13" s="1131">
        <f>[1]!tazmb(BF2,BM7,BF19)</f>
        <v>134.68200223485348</v>
      </c>
      <c r="BN13" s="1154">
        <f t="shared" si="1"/>
        <v>134</v>
      </c>
      <c r="BO13" s="1154">
        <f t="shared" si="2"/>
        <v>40</v>
      </c>
      <c r="BP13" s="1154">
        <f t="shared" si="3"/>
        <v>55</v>
      </c>
      <c r="BQ13" s="1155">
        <f t="shared" si="4"/>
        <v>12</v>
      </c>
      <c r="BR13" s="1148" t="s">
        <v>1462</v>
      </c>
      <c r="BS13" s="1148">
        <f>IF(BS9+180&lt;360,BS9+180,BS9-180)</f>
        <v>125.04913025928812</v>
      </c>
      <c r="BT13" s="1154">
        <f t="shared" si="0"/>
        <v>125</v>
      </c>
      <c r="BU13" s="1154">
        <f>INT((ABS(BS13)-BT13)*60)</f>
        <v>2</v>
      </c>
      <c r="BV13" s="1154">
        <f>INT((((ABS(BS13)-BT13)*60)-BU13)*60)</f>
        <v>56</v>
      </c>
      <c r="BW13" s="1155">
        <f>INT((((((ABS(BS13)-BT13)*60)-BU13)*60)-BV13)*60)</f>
        <v>52</v>
      </c>
      <c r="BY13" s="1415"/>
      <c r="BZ13" s="1151"/>
      <c r="CA13" s="1151" t="s">
        <v>279</v>
      </c>
      <c r="CB13" s="1151">
        <f>[1]!tale3(CB5,CB11,CB10,CF5)</f>
        <v>339.88383509962762</v>
      </c>
      <c r="CC13" s="1197">
        <f t="shared" ref="CC13" si="47">INT(ABS(CB13))</f>
        <v>339</v>
      </c>
      <c r="CD13" s="1197">
        <f t="shared" ref="CD13" si="48">INT((ABS(CB13)-CC13)*60)</f>
        <v>53</v>
      </c>
      <c r="CE13" s="1197">
        <f t="shared" ref="CE13" si="49">INT((((ABS(CB13)-CC13)*60)-CD13)*60)</f>
        <v>1</v>
      </c>
      <c r="CF13" s="1420">
        <f t="shared" ref="CF13" si="50">INT((((((ABS(CB13)-CC13)*60)-CD13)*60)-CE13)*60)</f>
        <v>48</v>
      </c>
      <c r="CG13" s="1149"/>
      <c r="CH13" s="1150"/>
      <c r="CI13" s="1150" t="s">
        <v>3970</v>
      </c>
      <c r="CJ13" s="1150">
        <f>[1]!arzhades(CJ12,CJ8)</f>
        <v>34.751916486499738</v>
      </c>
      <c r="CK13" s="1201">
        <f t="shared" si="42"/>
        <v>34</v>
      </c>
      <c r="CL13" s="1201">
        <f t="shared" si="43"/>
        <v>45</v>
      </c>
      <c r="CM13" s="1201">
        <f t="shared" si="44"/>
        <v>6</v>
      </c>
      <c r="CN13" s="1403">
        <f t="shared" si="45"/>
        <v>53</v>
      </c>
      <c r="CQ13" s="1140" t="s">
        <v>1470</v>
      </c>
      <c r="CR13" s="1154">
        <f>(((((((((CX13/60)+CW13)/60)+CV13)/60)+CU13)/60)+CT13)/60)+CS13</f>
        <v>87.429980709876546</v>
      </c>
      <c r="CS13" s="1175">
        <v>87</v>
      </c>
      <c r="CT13" s="1175">
        <v>25</v>
      </c>
      <c r="CU13" s="1175">
        <v>47</v>
      </c>
      <c r="CV13" s="1175">
        <v>55</v>
      </c>
      <c r="CW13" s="1175">
        <v>50</v>
      </c>
      <c r="CX13" s="1175">
        <v>0</v>
      </c>
      <c r="CZ13" s="1225" t="s">
        <v>1493</v>
      </c>
      <c r="DA13" s="1225">
        <f>DA12/24</f>
        <v>4.4491025375140568E-2</v>
      </c>
      <c r="DB13" s="1175">
        <f>INT(ABS(DA13))</f>
        <v>0</v>
      </c>
      <c r="DC13" s="1175">
        <f>INT((ABS(DA13)-DB13)*60)</f>
        <v>2</v>
      </c>
      <c r="DD13" s="1175">
        <f>INT((((ABS(DA13)-DB13)*60)-DC13)*60)</f>
        <v>40</v>
      </c>
      <c r="DE13" s="1175">
        <f>INT((((((ABS(DA13)-DB13)*60)-DC13)*60)-DD13)*60)</f>
        <v>10</v>
      </c>
      <c r="DF13" s="1124"/>
      <c r="DG13" s="1124"/>
      <c r="DO13" s="1139"/>
      <c r="DP13" s="1139" t="s">
        <v>1517</v>
      </c>
      <c r="DQ13" s="1139" t="s">
        <v>172</v>
      </c>
      <c r="DR13" s="1139" t="s">
        <v>1518</v>
      </c>
      <c r="DS13" s="1139"/>
      <c r="DT13" s="1139" t="s">
        <v>172</v>
      </c>
      <c r="DU13" s="1139" t="s">
        <v>166</v>
      </c>
      <c r="DV13" s="1139" t="s">
        <v>167</v>
      </c>
      <c r="DW13" s="1139" t="s">
        <v>168</v>
      </c>
      <c r="DX13" s="1139"/>
      <c r="DY13" s="1139"/>
      <c r="DZ13" s="1139"/>
      <c r="EA13" s="1139"/>
      <c r="EB13" s="1139"/>
      <c r="EL13" s="1136"/>
      <c r="EM13" s="1136"/>
      <c r="EN13" s="1136"/>
      <c r="EO13" s="1136"/>
      <c r="EP13" s="1136"/>
      <c r="EQ13" s="1136"/>
      <c r="ER13" s="1136"/>
      <c r="ES13" s="1136"/>
      <c r="ET13" s="1136"/>
      <c r="EU13" s="1136"/>
      <c r="EV13" s="1136"/>
      <c r="EW13" s="1136"/>
      <c r="EX13" s="1136"/>
      <c r="EY13" s="1136"/>
      <c r="FC13" s="1130" t="s">
        <v>2256</v>
      </c>
      <c r="FE13" s="2439"/>
      <c r="FF13" s="1216">
        <f>INT(FF12/365)</f>
        <v>0</v>
      </c>
      <c r="FG13" s="1215"/>
      <c r="FH13" s="1216">
        <f>INT(FH12/365)</f>
        <v>1</v>
      </c>
      <c r="FI13" s="2046"/>
      <c r="FJ13" s="1178">
        <f>IF([1]!modd(FJ10,7)=0,7,[1]!modd(FJ10,7))</f>
        <v>5</v>
      </c>
      <c r="FK13" s="1151"/>
      <c r="FL13" s="1151"/>
      <c r="FM13" s="1231"/>
      <c r="FN13" s="1232">
        <f>IF(FN10&lt;=12,0,IF(FN10&lt;=23,30,IF(FN10&lt;=33,60,IF(FN10&lt;=42,90,IF(FN10&lt;=50,120,IF(FN10&lt;=57,150,IF(FN10&lt;=63,180,IF(FN10&lt;=68,210,IF(FN10&lt;=72,240,IF(FN10&lt;=75,270,IF(FN10&lt;=77,300,330)))))))))))</f>
        <v>30</v>
      </c>
      <c r="FO13" s="1232"/>
      <c r="FP13" s="1233"/>
      <c r="FQ13" s="1151"/>
      <c r="FR13" s="2485" t="s">
        <v>4634</v>
      </c>
      <c r="FS13" s="2484">
        <f>[1]!fardaravsat(FF15)</f>
        <v>6</v>
      </c>
      <c r="FT13" s="1759"/>
      <c r="FU13" s="1759"/>
      <c r="FV13" s="1124"/>
      <c r="GB13" s="1149"/>
      <c r="GC13" s="1150">
        <f>SUM(GC6:GC12)</f>
        <v>4590</v>
      </c>
      <c r="GD13" s="1180"/>
      <c r="GF13" s="1141" t="s">
        <v>1558</v>
      </c>
      <c r="GG13" s="1129">
        <f>[1]!modd(GG11,360)</f>
        <v>343.42739234859982</v>
      </c>
      <c r="GI13" s="1226" t="s">
        <v>390</v>
      </c>
      <c r="GJ13" s="1154" t="s">
        <v>4245</v>
      </c>
      <c r="GK13" s="1154" t="s">
        <v>4232</v>
      </c>
      <c r="GL13" s="1154"/>
      <c r="GM13" s="1154"/>
      <c r="GN13" s="1154"/>
      <c r="GO13" s="1128"/>
      <c r="GP13" s="1128"/>
      <c r="GQ13" s="1128"/>
      <c r="GR13" s="1128"/>
      <c r="GS13" s="1128"/>
      <c r="GT13" s="1128"/>
      <c r="GU13" s="1128"/>
      <c r="GV13" s="1128"/>
      <c r="GW13" s="1128"/>
      <c r="GX13" s="1227"/>
      <c r="GZ13" s="1066"/>
      <c r="HA13" s="1638" t="s">
        <v>3872</v>
      </c>
      <c r="HB13" s="1067"/>
      <c r="HC13" s="1067" t="s">
        <v>168</v>
      </c>
      <c r="HD13" s="1067" t="s">
        <v>167</v>
      </c>
      <c r="HE13" s="1067" t="s">
        <v>166</v>
      </c>
      <c r="HF13" s="1067" t="s">
        <v>219</v>
      </c>
      <c r="HG13" s="2043" t="s">
        <v>1290</v>
      </c>
      <c r="HH13" s="1645" t="s">
        <v>1481</v>
      </c>
      <c r="HI13" s="1645">
        <f>[1]!taqzohre(HI5,HI6,HI7,HI8)</f>
        <v>3.2243035285830928</v>
      </c>
      <c r="HJ13" s="1554">
        <f t="shared" si="30"/>
        <v>3</v>
      </c>
      <c r="HK13" s="1554">
        <f t="shared" si="38"/>
        <v>13</v>
      </c>
      <c r="HL13" s="1554">
        <f>INT((((ABS(HI13)-HJ13)*60)-HK13)*60)</f>
        <v>27</v>
      </c>
      <c r="HM13" s="1310">
        <f t="shared" si="32"/>
        <v>29</v>
      </c>
      <c r="HN13" s="1803" t="str">
        <f>[1]!sadnahsame(HI13)</f>
        <v>--</v>
      </c>
      <c r="HO13" s="268" t="str">
        <f>[1]!mozakarame(HI13)</f>
        <v>mozakkar</v>
      </c>
      <c r="HP13" s="268" t="str">
        <f>[1]!abarame(HI13)</f>
        <v>--</v>
      </c>
      <c r="HQ13" s="268" t="str">
        <f>[1]!vozoohame(HI13)</f>
        <v>mozlemeh</v>
      </c>
      <c r="HR13" s="268" t="str">
        <f>[1]!daragamaame(HI13)</f>
        <v>lasheyafih</v>
      </c>
      <c r="HS13" s="268" t="str">
        <f>[1]!esnaasharame(HI13)</f>
        <v>shams</v>
      </c>
      <c r="HT13" s="268" t="str">
        <f>[1]!hodoodame(HI13)</f>
        <v>moshtari</v>
      </c>
      <c r="HU13" s="268" t="str">
        <f>[1]!vojoohame(HI13)</f>
        <v>merikh</v>
      </c>
      <c r="HV13" s="1153" t="str">
        <f>[1]!daryjaname(HI13)</f>
        <v>merikh</v>
      </c>
      <c r="HW13" s="1153" t="str">
        <f>[1]!ardjaname(HI13)</f>
        <v>merikh</v>
      </c>
      <c r="HX13" s="1153" t="str">
        <f>[1]!nohbahrame(HI13)</f>
        <v>merikh</v>
      </c>
      <c r="HY13" s="1153" t="str">
        <f>[1]!haftbahrame(HI13)</f>
        <v>merikh</v>
      </c>
      <c r="HZ13" s="1153" t="str">
        <f>[1]!nimbahrame(HI13)</f>
        <v>shams</v>
      </c>
      <c r="IA13" s="1153"/>
      <c r="IB13" s="268" t="str">
        <f>[1]!sharafzohreame(HI13)</f>
        <v>la shey</v>
      </c>
      <c r="IC13" s="1153" t="str">
        <f>[1]!borjame(HI13)</f>
        <v>hamal</v>
      </c>
      <c r="ID13" s="1153"/>
      <c r="IE13" s="1153" t="str">
        <f>[1]!arbabame(HI13,$HO$5)</f>
        <v>nari-shms-mshtr-zhl</v>
      </c>
      <c r="IF13" s="2512" t="str">
        <f>[1]!sahebborjame(HI13)</f>
        <v>merikh</v>
      </c>
      <c r="IH13" s="2531" t="s">
        <v>1754</v>
      </c>
      <c r="II13" s="1151">
        <f>IF($II$7="zohre",5,0)</f>
        <v>0</v>
      </c>
      <c r="IJ13" s="1151">
        <f>IF($IJ$7="zohre",4,0)</f>
        <v>0</v>
      </c>
      <c r="IK13" s="1151">
        <f>IF($IK$7="zohre",3,0)</f>
        <v>0</v>
      </c>
      <c r="IL13" s="1151">
        <f>IF($IL$7="zohre",2,0)</f>
        <v>0</v>
      </c>
      <c r="IM13" s="1151">
        <f>IF($IM$7="zohre",1,0)</f>
        <v>0</v>
      </c>
      <c r="IN13" s="1151">
        <f>IF($IN$7="zohre",1,0)</f>
        <v>0</v>
      </c>
      <c r="IO13" s="1151">
        <f>IF($IO$7="zohre",1,0)</f>
        <v>0</v>
      </c>
      <c r="IP13" s="1213">
        <f>IF($IP$7="zohre",1,0)</f>
        <v>0</v>
      </c>
      <c r="IQ13" s="1431">
        <f>[1]!adadborj(HI13)</f>
        <v>1</v>
      </c>
      <c r="IR13" s="1431">
        <f t="shared" si="39"/>
        <v>0</v>
      </c>
      <c r="IS13" s="1237"/>
      <c r="IT13" s="1205"/>
      <c r="IU13" s="1205" t="str">
        <f t="shared" si="40"/>
        <v/>
      </c>
      <c r="IV13" s="1206" t="str">
        <f t="shared" si="41"/>
        <v xml:space="preserve">زهره </v>
      </c>
      <c r="IW13" s="1148"/>
      <c r="IX13" s="1148"/>
      <c r="IY13" s="1148"/>
      <c r="IZ13" s="1148">
        <f>[1]!mtb(HI5,IZ11,HM5)</f>
        <v>106.90052528252136</v>
      </c>
    </row>
    <row r="14" spans="2:260" ht="24.75">
      <c r="B14" s="1149">
        <v>9</v>
      </c>
      <c r="C14" s="1150" t="s">
        <v>1359</v>
      </c>
      <c r="D14" s="1150">
        <f t="shared" si="14"/>
        <v>288</v>
      </c>
      <c r="E14" s="1136" t="s">
        <v>1428</v>
      </c>
      <c r="F14" s="1151">
        <f t="shared" si="8"/>
        <v>276</v>
      </c>
      <c r="G14" s="1136" t="s">
        <v>1429</v>
      </c>
      <c r="H14" s="1151">
        <f t="shared" si="9"/>
        <v>282</v>
      </c>
      <c r="I14" s="1150">
        <v>9</v>
      </c>
      <c r="J14" s="1150" t="s">
        <v>1359</v>
      </c>
      <c r="K14" s="1150">
        <f t="shared" si="15"/>
        <v>108</v>
      </c>
      <c r="L14" s="1136" t="s">
        <v>1426</v>
      </c>
      <c r="M14" s="1151">
        <f t="shared" si="10"/>
        <v>96</v>
      </c>
      <c r="N14" s="1136" t="s">
        <v>1427</v>
      </c>
      <c r="O14" s="1151">
        <f t="shared" si="11"/>
        <v>102</v>
      </c>
      <c r="P14" s="1150"/>
      <c r="Q14" s="1176" t="s">
        <v>885</v>
      </c>
      <c r="R14" s="1176">
        <f>[1]!bohtsh(R4,R5,R6,R7)</f>
        <v>0.97489828451190874</v>
      </c>
      <c r="S14" s="1176"/>
      <c r="T14" s="1122"/>
      <c r="W14" s="1217"/>
      <c r="X14" s="1121">
        <v>12</v>
      </c>
      <c r="Y14" s="1121">
        <f>INT(ABS(X14))</f>
        <v>12</v>
      </c>
      <c r="Z14" s="1121">
        <f>INT((ABS(X14)-Y14)*60)</f>
        <v>0</v>
      </c>
      <c r="AA14" s="1121">
        <f>INT((((ABS(X14)-Y14)*60)-Z14)*60)</f>
        <v>0</v>
      </c>
      <c r="AB14" s="1202">
        <f>INT((((((ABS(X14)-Y14)*60)-Z14)*60)-AA14)*60)</f>
        <v>0</v>
      </c>
      <c r="AD14" s="1239" t="s">
        <v>1372</v>
      </c>
      <c r="AE14" s="1240" t="str">
        <f>IF(AE13=1,"جمعه",IF(AE13=2,"شنبه",IF(AE13=3,"یک شنبه",IF(AE13=4,"دو شنبه",IF(AE13=5,"سه شنبه",IF(AE13=6,"چهار شنبه","پنج شنبه"))))))</f>
        <v>چهار شنبه</v>
      </c>
      <c r="AF14" s="1125"/>
      <c r="AG14" s="1215"/>
      <c r="AH14" s="1216">
        <f>AH12+AH13</f>
        <v>366.89873600006536</v>
      </c>
      <c r="AJ14" s="1226"/>
      <c r="AK14" s="1128">
        <v>1251</v>
      </c>
      <c r="AL14" s="1154">
        <f t="shared" ref="AL14:AL19" si="51">INT(ABS(AK14))</f>
        <v>1251</v>
      </c>
      <c r="AM14" s="1154">
        <f t="shared" ref="AM14:AM19" si="52">INT((ABS(AK14)-AL14)*60)</f>
        <v>0</v>
      </c>
      <c r="AN14" s="1154">
        <f t="shared" ref="AN14:AN19" si="53">INT((((ABS(AK14)-AL14)*60)-AM14)*60)</f>
        <v>0</v>
      </c>
      <c r="AO14" s="1154">
        <f t="shared" ref="AO14:AO19" si="54">INT((((((ABS(AK14)-AL14)*60)-AM14)*60)-AN14)*60)</f>
        <v>0</v>
      </c>
      <c r="AP14" s="1227"/>
      <c r="AQ14" s="1192">
        <v>5</v>
      </c>
      <c r="AR14" s="1192" t="str">
        <f>IF(AQ14=1,"حمل",IF(AQ14=2,"ثور",IF(AQ14=3,"جوزاء",IF(AQ14=4,"سرطان",IF(AQ14=5,"اسد",IF(AQ14=6,"سنبله",IF(AQ14=7,"میزان",IF(AQ14=8,"عقرب",IF(AQ14=9,"قوس",IF(AQ14=10,"جدی",IF(AQ14=11,"دلو","حوت")))))))))))</f>
        <v>اسد</v>
      </c>
      <c r="AS14" s="1181">
        <f>IF(AQ14+2&lt;=12,AQ14+2,AQ14+2-12)</f>
        <v>7</v>
      </c>
      <c r="AT14" s="1181">
        <f>IF(AQ14-2&gt;0,AQ14-2,AQ14+12-2)</f>
        <v>3</v>
      </c>
      <c r="AU14" s="1137">
        <f>IF(AQ14+3&lt;=12,AQ14+3,AQ14+3-12)</f>
        <v>8</v>
      </c>
      <c r="AV14" s="1137">
        <f>IF(AQ14-3&gt;0,AQ14-3,AQ14+12-3)</f>
        <v>2</v>
      </c>
      <c r="AW14" s="1181">
        <f>IF(AQ14+4&lt;=12,AQ14+4,AQ14+4-12)</f>
        <v>9</v>
      </c>
      <c r="AX14" s="1181">
        <f>IF(AQ14-4&gt;0,AQ14-4,AQ14+12-4)</f>
        <v>1</v>
      </c>
      <c r="AY14" s="1137">
        <f>IF(AQ14+6&lt;=12,AQ14+6,AQ14+6-12)</f>
        <v>11</v>
      </c>
      <c r="AZ14" s="1181">
        <f>13-AQ14</f>
        <v>8</v>
      </c>
      <c r="BA14" s="1138">
        <f>IF(AQ14&lt;=6,7-AQ14,19-AQ14)</f>
        <v>2</v>
      </c>
      <c r="BC14" s="1144"/>
      <c r="BD14" s="1146"/>
      <c r="BE14" s="1146" t="s">
        <v>1448</v>
      </c>
      <c r="BF14" s="1146">
        <f>IF(BF12&gt;=BF13,BF12,BF12*-1)</f>
        <v>-7.5328529627115488</v>
      </c>
      <c r="BG14" s="1121">
        <f t="shared" si="21"/>
        <v>7</v>
      </c>
      <c r="BH14" s="1121">
        <f t="shared" si="22"/>
        <v>31</v>
      </c>
      <c r="BI14" s="1121">
        <f t="shared" si="23"/>
        <v>58</v>
      </c>
      <c r="BJ14" s="1202">
        <f t="shared" si="24"/>
        <v>16</v>
      </c>
      <c r="BL14" s="1131" t="s">
        <v>1463</v>
      </c>
      <c r="BM14" s="1131">
        <f>[1]!tazmb(BF2,BM8,BF19)</f>
        <v>287.2790225048895</v>
      </c>
      <c r="BN14" s="1154">
        <f t="shared" si="1"/>
        <v>287</v>
      </c>
      <c r="BO14" s="1154">
        <f t="shared" si="2"/>
        <v>16</v>
      </c>
      <c r="BP14" s="1154">
        <f t="shared" si="3"/>
        <v>44</v>
      </c>
      <c r="BQ14" s="1155">
        <f t="shared" si="4"/>
        <v>28</v>
      </c>
      <c r="BR14" s="1148" t="s">
        <v>1465</v>
      </c>
      <c r="BS14" s="1148">
        <f>IF(BS11+180&lt;360,BS11+180,BS11-180)</f>
        <v>249.0933682280255</v>
      </c>
      <c r="BT14" s="1154">
        <f t="shared" si="0"/>
        <v>249</v>
      </c>
      <c r="BU14" s="1154">
        <f>INT((ABS(BS14)-BT14)*60)</f>
        <v>5</v>
      </c>
      <c r="BV14" s="1154">
        <f>INT((((ABS(BS14)-BT14)*60)-BU14)*60)</f>
        <v>36</v>
      </c>
      <c r="BW14" s="1155">
        <f>INT((((((ABS(BS14)-BT14)*60)-BU14)*60)-BV14)*60)</f>
        <v>7</v>
      </c>
      <c r="BY14" s="1415"/>
      <c r="BZ14" s="1151"/>
      <c r="CA14" s="1151" t="s">
        <v>297</v>
      </c>
      <c r="CB14" s="1151">
        <f>[1]!ertaztale(CB5,CB11,CB12,CB10,CB13)</f>
        <v>-30.723103553952644</v>
      </c>
      <c r="CC14" s="1197">
        <f>INT(ABS(CB14))</f>
        <v>30</v>
      </c>
      <c r="CD14" s="1197">
        <f>INT((ABS(CB14)-CC14)*60)</f>
        <v>43</v>
      </c>
      <c r="CE14" s="1197">
        <f>INT((((ABS(CB14)-CC14)*60)-CD14)*60)</f>
        <v>23</v>
      </c>
      <c r="CF14" s="1420">
        <f>INT((((((ABS(CB14)-CC14)*60)-CD14)*60)-CE14)*60)</f>
        <v>10</v>
      </c>
      <c r="CG14" s="1149"/>
      <c r="CH14" s="1150"/>
      <c r="CI14" s="1150" t="s">
        <v>1456</v>
      </c>
      <c r="CJ14" s="1150">
        <f>[1]!mtlmosahah(CJ2,CJ9,CJ7,CJ11,CJ8)</f>
        <v>207.80085262819887</v>
      </c>
      <c r="CK14" s="1201">
        <f t="shared" ref="CK14:CK20" si="55">INT(ABS(CJ14))</f>
        <v>207</v>
      </c>
      <c r="CL14" s="1201">
        <f t="shared" ref="CL14:CL20" si="56">INT((ABS(CJ14)-CK14)*60)</f>
        <v>48</v>
      </c>
      <c r="CM14" s="1201">
        <f t="shared" ref="CM14:CM20" si="57">INT((((ABS(CJ14)-CK14)*60)-CL14)*60)</f>
        <v>3</v>
      </c>
      <c r="CN14" s="1403">
        <f t="shared" ref="CN14:CN20" si="58">INT((((((ABS(CJ14)-CK14)*60)-CL14)*60)-CM14)*60)</f>
        <v>4</v>
      </c>
      <c r="CQ14" s="1140"/>
      <c r="CR14" s="1140">
        <f>360+CR13</f>
        <v>447.42998070987653</v>
      </c>
      <c r="CS14" s="1175">
        <f>INT(ABS(CR14))</f>
        <v>447</v>
      </c>
      <c r="CT14" s="1175">
        <f>INT((ABS(CR14)-CS14)*60)</f>
        <v>25</v>
      </c>
      <c r="CU14" s="1175">
        <f>INT((((ABS(CR14)-CS14)*60)-CT14)*60)</f>
        <v>47</v>
      </c>
      <c r="CV14" s="1175">
        <f>INT((((((ABS(CR14)-CS14)*60)-CT14)*60)-CU14)*60)</f>
        <v>55</v>
      </c>
      <c r="CW14" s="1194"/>
      <c r="CX14" s="1194"/>
      <c r="CZ14" s="1132" t="s">
        <v>1487</v>
      </c>
      <c r="DA14" s="1127">
        <v>1422</v>
      </c>
      <c r="DB14" s="1133" t="s">
        <v>5</v>
      </c>
      <c r="DC14" s="1134">
        <v>29</v>
      </c>
      <c r="DD14" s="1130" t="s">
        <v>177</v>
      </c>
      <c r="DE14" s="1130">
        <v>35</v>
      </c>
      <c r="DF14" s="1124"/>
      <c r="DG14" s="1124"/>
      <c r="DO14" s="1139" t="s">
        <v>1513</v>
      </c>
      <c r="DP14" s="1139">
        <v>1000</v>
      </c>
      <c r="DQ14" s="1139">
        <v>1</v>
      </c>
      <c r="DR14" s="1139">
        <v>360000</v>
      </c>
      <c r="DS14" s="1139">
        <f>DV12/DP14</f>
        <v>185.23610386442877</v>
      </c>
      <c r="DT14" s="1196">
        <f>INT(ABS(DS14))</f>
        <v>185</v>
      </c>
      <c r="DU14" s="1196">
        <f>INT((ABS(DS14)-DT14)*60)</f>
        <v>14</v>
      </c>
      <c r="DV14" s="1196">
        <f>INT((((ABS(DS14)-DT14)*60)-DU14)*60)</f>
        <v>9</v>
      </c>
      <c r="DW14" s="1196">
        <f>INT((((((ABS(DS14)-DT14)*60)-DU14)*60)-DV14)*60)</f>
        <v>58</v>
      </c>
      <c r="DX14" s="1139"/>
      <c r="DY14" s="1196"/>
      <c r="DZ14" s="1196"/>
      <c r="EA14" s="1196"/>
      <c r="EB14" s="1196"/>
      <c r="EL14" s="1136" t="s">
        <v>1527</v>
      </c>
      <c r="EM14" s="1136">
        <v>1000</v>
      </c>
      <c r="EN14" s="1136">
        <v>30</v>
      </c>
      <c r="EO14" s="1136">
        <v>12000</v>
      </c>
      <c r="EP14" s="1136">
        <f>((ES12/EO14)-INT(ES12/EO14))*360</f>
        <v>157.08311593286288</v>
      </c>
      <c r="EQ14" s="1197">
        <f>INT(ABS(EP14))</f>
        <v>157</v>
      </c>
      <c r="ER14" s="1197">
        <f>INT((ABS(EP14)-EQ14)*60)</f>
        <v>4</v>
      </c>
      <c r="ES14" s="1197">
        <f>INT((((ABS(EP14)-EQ14)*60)-ER14)*60)</f>
        <v>59</v>
      </c>
      <c r="ET14" s="1197">
        <f>INT((((((ABS(EP14)-EQ14)*60)-ER14)*60)-ES14)*60)</f>
        <v>13</v>
      </c>
      <c r="EU14" s="1136"/>
      <c r="EV14" s="1136"/>
      <c r="EW14" s="1136"/>
      <c r="EX14" s="1136"/>
      <c r="EY14" s="1136"/>
      <c r="EZ14" s="1130">
        <f>(1440/30)*11</f>
        <v>528</v>
      </c>
      <c r="FA14" s="1130">
        <f>[1]!modd(1444,30)</f>
        <v>4</v>
      </c>
      <c r="FB14" s="1130">
        <f>1443*354</f>
        <v>510822</v>
      </c>
      <c r="FC14" s="1130">
        <v>1444</v>
      </c>
      <c r="FE14" s="2439"/>
      <c r="FF14" s="1216">
        <f>INT(MOD(FF12,365))</f>
        <v>362</v>
      </c>
      <c r="FG14" s="1215"/>
      <c r="FH14" s="1216">
        <f>INT(MOD(FH12,365))</f>
        <v>69</v>
      </c>
      <c r="FI14" s="2046" t="s">
        <v>173</v>
      </c>
      <c r="FJ14" s="1178" t="str">
        <f>IF(FJ12=1,"حمل",IF(FJ12=2,"ثور",IF(FJ12=3,"جوزاء",IF(FJ12=4,"سرطان",IF(FJ12=5,"اسد",IF(FJ12=6,"سنبله",IF(FJ12=7,"میزان",IF(FJ12=8,"عقرب",IF(FJ12=9,"قوس",IF(FJ12=10,"جدی",IF(FJ12=11,"دلو","حوت")))))))))))</f>
        <v>حوت</v>
      </c>
      <c r="FK14" s="1151" t="str">
        <f>[1]!borjfardaazame(FF4,FF5,FF6)</f>
        <v>hoot</v>
      </c>
      <c r="FL14" s="1151"/>
      <c r="FM14" s="1231"/>
      <c r="FN14" s="1232">
        <f>IF(FN10&lt;=12,(FN10-1)*(30/12),IF(FN10&lt;=23,(FN10-12-1)*(30/11),IF(FN10&lt;=33,(FN10-23-1)*(30/10),IF(FN10&lt;=42,(FN10-33-1)*(30/9),IF(FN10&lt;=50,(FN10-42-1)*(30/8),IF(FN10&lt;=57,(FN10-50-1)*(30/7),IF(FN10&lt;=63,(FN10-57-1)*(30/6),IF(FN10&lt;=68,(FN10-63-1)*(30/5),IF(FN10&lt;=72,(FN10-68-1)*(30/4),IF(FN10&lt;=75,(FN10-72-1)*(30/3),IF(FN10&lt;=77,(FN10-75-1)*(30/2),(FN10-76-1)*(30/1))))))))))))</f>
        <v>11.190000000007618</v>
      </c>
      <c r="FO14" s="1232"/>
      <c r="FP14" s="1233"/>
      <c r="FQ14" s="1151"/>
      <c r="FR14" s="2485" t="s">
        <v>4632</v>
      </c>
      <c r="FS14" s="2484" t="str">
        <f>[1]!fdavsatame(FS13)</f>
        <v>zanab</v>
      </c>
      <c r="FT14" s="1759"/>
      <c r="FU14" s="1759"/>
      <c r="FV14" s="1124"/>
      <c r="GB14" s="1235" t="s">
        <v>1552</v>
      </c>
      <c r="GC14" s="1209">
        <f>INT(GC5/GC13)</f>
        <v>26</v>
      </c>
      <c r="GD14" s="1236"/>
      <c r="GF14" s="1141" t="s">
        <v>1559</v>
      </c>
      <c r="GG14" s="1129">
        <f>INT(GG13/90)</f>
        <v>3</v>
      </c>
      <c r="GI14" s="1226">
        <f>[1]!modd(GK6-1250,30)</f>
        <v>2</v>
      </c>
      <c r="GJ14" s="1128"/>
      <c r="GK14" s="1128"/>
      <c r="GL14" s="1128" t="s">
        <v>4</v>
      </c>
      <c r="GM14" s="1128" t="s">
        <v>5</v>
      </c>
      <c r="GN14" s="1154"/>
      <c r="GO14" s="1128"/>
      <c r="GP14" s="1128"/>
      <c r="GQ14" s="1128"/>
      <c r="GR14" s="1128"/>
      <c r="GS14" s="1128"/>
      <c r="GT14" s="1128"/>
      <c r="GU14" s="1128"/>
      <c r="GV14" s="1128"/>
      <c r="GW14" s="1128"/>
      <c r="GX14" s="1227"/>
      <c r="GZ14" s="1082" t="s">
        <v>144</v>
      </c>
      <c r="HA14" s="1636" t="s">
        <v>3870</v>
      </c>
      <c r="HB14" s="1083">
        <f>[1]!mbtool(HF14,HE14,HD14,HC14)</f>
        <v>-7.013888888888889E-3</v>
      </c>
      <c r="HC14" s="1483">
        <v>-1</v>
      </c>
      <c r="HD14" s="1483">
        <v>6</v>
      </c>
      <c r="HE14" s="1483">
        <v>10</v>
      </c>
      <c r="HF14" s="1483">
        <v>0</v>
      </c>
      <c r="HG14" s="2043" t="s">
        <v>687</v>
      </c>
      <c r="HH14" s="1645" t="s">
        <v>1481</v>
      </c>
      <c r="HI14" s="1645">
        <f>[1]!taqmer(HI5,HI6,HI7,HI8)</f>
        <v>110.11887946715342</v>
      </c>
      <c r="HJ14" s="1554">
        <f t="shared" si="30"/>
        <v>110</v>
      </c>
      <c r="HK14" s="1554">
        <f t="shared" si="38"/>
        <v>7</v>
      </c>
      <c r="HL14" s="1554">
        <f t="shared" si="31"/>
        <v>7</v>
      </c>
      <c r="HM14" s="1310">
        <f>INT((((((ABS(HI14)-HJ14)*60)-HK14)*60)-HL14)*60)</f>
        <v>57</v>
      </c>
      <c r="HN14" s="1803" t="str">
        <f>[1]!sadnahsame(HI14)</f>
        <v>saad</v>
      </c>
      <c r="HO14" s="268" t="str">
        <f>[1]!mozakarame(HI14)</f>
        <v>mozakkar</v>
      </c>
      <c r="HP14" s="268" t="str">
        <f>[1]!abarame(HI14)</f>
        <v>--</v>
      </c>
      <c r="HQ14" s="268" t="str">
        <f>[1]!vozoohame(HI14)</f>
        <v>nayyereh</v>
      </c>
      <c r="HR14" s="268" t="str">
        <f>[1]!daragamaame(HI14)</f>
        <v>lasheyafih</v>
      </c>
      <c r="HS14" s="268" t="str">
        <f>[1]!esnaasharame(HI14)</f>
        <v>moshtari</v>
      </c>
      <c r="HT14" s="268" t="str">
        <f>[1]!hodoodame(HI14)</f>
        <v>moshtari</v>
      </c>
      <c r="HU14" s="268" t="str">
        <f>[1]!vojoohame(HI14)</f>
        <v>qamar</v>
      </c>
      <c r="HV14" s="1153" t="str">
        <f>[1]!daryjaname(HI14)</f>
        <v>moshtary</v>
      </c>
      <c r="HW14" s="1153" t="str">
        <f>[1]!ardjaname(HI14)</f>
        <v>otared</v>
      </c>
      <c r="HX14" s="1153" t="str">
        <f>[1]!nohbahrame(HI14)</f>
        <v>zohal</v>
      </c>
      <c r="HY14" s="1153" t="str">
        <f>[1]!haftbahrame(HI14)</f>
        <v>shams</v>
      </c>
      <c r="HZ14" s="1153" t="str">
        <f>[1]!nimbahrame(HI14)</f>
        <v>shams</v>
      </c>
      <c r="IA14" s="1153"/>
      <c r="IB14" s="268" t="str">
        <f>[1]!sharafmerikhame(HI14)</f>
        <v>la shey</v>
      </c>
      <c r="IC14" s="1153" t="str">
        <f>[1]!borjame(HI14)</f>
        <v>saratan</v>
      </c>
      <c r="ID14" s="1153"/>
      <c r="IE14" s="1153" t="str">
        <f>[1]!arbabame(HI14,$HO$5)</f>
        <v>abi-zhr-mrkh-qmr</v>
      </c>
      <c r="IF14" s="2512" t="str">
        <f>[1]!sahebborjame(HI14)</f>
        <v>qomar</v>
      </c>
      <c r="IH14" s="2531" t="s">
        <v>4695</v>
      </c>
      <c r="II14" s="1151">
        <f>IF($II$7="merikh",5,0)</f>
        <v>0</v>
      </c>
      <c r="IJ14" s="1151">
        <f>IF($IJ$7="merikh",4,0)</f>
        <v>0</v>
      </c>
      <c r="IK14" s="1151">
        <f>IF($IK$7="merikh",3,0)</f>
        <v>0</v>
      </c>
      <c r="IL14" s="1151">
        <f>IF($IL$7="merikh",2,0)</f>
        <v>0</v>
      </c>
      <c r="IM14" s="1151">
        <f>IF($IM$7="merikh",1,0)</f>
        <v>0</v>
      </c>
      <c r="IN14" s="1151">
        <f>IF($IN$7="merikh",1,0)</f>
        <v>0</v>
      </c>
      <c r="IO14" s="1151">
        <f>IF($IO$7="merikh",1,0)</f>
        <v>0</v>
      </c>
      <c r="IP14" s="1213">
        <f>IF($IP$7="merikh",1,0)</f>
        <v>0</v>
      </c>
      <c r="IQ14" s="1431">
        <f>[1]!adadborj(HI14)</f>
        <v>4</v>
      </c>
      <c r="IR14" s="1431">
        <f t="shared" si="39"/>
        <v>0</v>
      </c>
      <c r="IS14" s="1237"/>
      <c r="IT14" s="1205"/>
      <c r="IU14" s="1205" t="str">
        <f t="shared" si="40"/>
        <v/>
      </c>
      <c r="IV14" s="1206" t="str">
        <f t="shared" si="41"/>
        <v/>
      </c>
      <c r="IW14" s="1148"/>
      <c r="IX14" s="1148"/>
      <c r="IY14" s="1148"/>
      <c r="IZ14" s="1148">
        <f>[1]!mtb(HI5,IZ10,HM5)</f>
        <v>87.87750028381474</v>
      </c>
    </row>
    <row r="15" spans="2:260" ht="24.75">
      <c r="B15" s="1149">
        <v>10</v>
      </c>
      <c r="C15" s="1150" t="s">
        <v>1360</v>
      </c>
      <c r="D15" s="1150">
        <f t="shared" si="14"/>
        <v>300</v>
      </c>
      <c r="E15" s="1136" t="s">
        <v>1430</v>
      </c>
      <c r="F15" s="1151">
        <f t="shared" si="8"/>
        <v>288</v>
      </c>
      <c r="G15" s="1136" t="s">
        <v>1437</v>
      </c>
      <c r="H15" s="1151">
        <f t="shared" si="9"/>
        <v>294</v>
      </c>
      <c r="I15" s="1150">
        <v>10</v>
      </c>
      <c r="J15" s="1150" t="s">
        <v>1360</v>
      </c>
      <c r="K15" s="1150">
        <f t="shared" si="15"/>
        <v>120</v>
      </c>
      <c r="L15" s="1136" t="s">
        <v>1428</v>
      </c>
      <c r="M15" s="1151">
        <f t="shared" si="10"/>
        <v>108</v>
      </c>
      <c r="N15" s="1136" t="s">
        <v>1429</v>
      </c>
      <c r="O15" s="1151">
        <f t="shared" si="11"/>
        <v>114</v>
      </c>
      <c r="P15" s="1150"/>
      <c r="Q15" s="1176" t="s">
        <v>812</v>
      </c>
      <c r="R15" s="1176">
        <f>[1]!bohtq(R4,R5,R6,R7)</f>
        <v>13.442909236517664</v>
      </c>
      <c r="S15" s="1176"/>
      <c r="T15" s="1122"/>
      <c r="V15" s="1220"/>
      <c r="W15" s="1241"/>
      <c r="X15" s="1242">
        <f>X14-X13</f>
        <v>12.191531235804867</v>
      </c>
      <c r="Y15" s="1242">
        <f>INT(ABS(X15))</f>
        <v>12</v>
      </c>
      <c r="Z15" s="1242">
        <f>INT((ABS(X15)-Y15)*60)</f>
        <v>11</v>
      </c>
      <c r="AA15" s="1242">
        <f>INT((((ABS(X15)-Y15)*60)-Z15)*60)</f>
        <v>29</v>
      </c>
      <c r="AB15" s="1243">
        <f>INT((((((ABS(X15)-Y15)*60)-Z15)*60)-AA15)*60)</f>
        <v>30</v>
      </c>
      <c r="AC15" s="1125"/>
      <c r="AD15" s="1244"/>
      <c r="AE15" s="1245"/>
      <c r="AF15" s="1125"/>
      <c r="AG15" s="1215"/>
      <c r="AH15" s="1216">
        <f>INT(AH14/365)</f>
        <v>1</v>
      </c>
      <c r="AJ15" s="1226"/>
      <c r="AK15" s="1128">
        <f>AK14-AK13</f>
        <v>-100.0282419908051</v>
      </c>
      <c r="AL15" s="1154">
        <f t="shared" si="51"/>
        <v>100</v>
      </c>
      <c r="AM15" s="1154">
        <f t="shared" si="52"/>
        <v>1</v>
      </c>
      <c r="AN15" s="1154">
        <f t="shared" si="53"/>
        <v>41</v>
      </c>
      <c r="AO15" s="1154">
        <f t="shared" si="54"/>
        <v>40</v>
      </c>
      <c r="AP15" s="1227"/>
      <c r="AQ15" s="1208"/>
      <c r="AR15" s="1208"/>
      <c r="AS15" s="1209" t="str">
        <f t="shared" ref="AS15:BA15" si="59">IF(AS14=1,"حمل",IF(AS14=2,"ثور",IF(AS14=3,"جوزاء",IF(AS14=4,"سرطان",IF(AS14=5,"اسد",IF(AS14=6,"سنبله",IF(AS14=7,"میزان",IF(AS14=8,"عقرب",IF(AS14=9,"قوس",IF(AS14=10,"جدی",IF(AS14=11,"دلو","حوت")))))))))))</f>
        <v>میزان</v>
      </c>
      <c r="AT15" s="1209" t="str">
        <f t="shared" si="59"/>
        <v>جوزاء</v>
      </c>
      <c r="AU15" s="1156" t="str">
        <f t="shared" si="59"/>
        <v>عقرب</v>
      </c>
      <c r="AV15" s="1156" t="str">
        <f t="shared" si="59"/>
        <v>ثور</v>
      </c>
      <c r="AW15" s="1209" t="str">
        <f t="shared" si="59"/>
        <v>قوس</v>
      </c>
      <c r="AX15" s="1209" t="str">
        <f t="shared" si="59"/>
        <v>حمل</v>
      </c>
      <c r="AY15" s="1156" t="str">
        <f t="shared" si="59"/>
        <v>دلو</v>
      </c>
      <c r="AZ15" s="1209" t="str">
        <f t="shared" si="59"/>
        <v>عقرب</v>
      </c>
      <c r="BA15" s="1157" t="str">
        <f t="shared" si="59"/>
        <v>ثور</v>
      </c>
      <c r="BB15" s="1320" t="s">
        <v>3949</v>
      </c>
      <c r="BC15" s="1144"/>
      <c r="BD15" s="1146"/>
      <c r="BE15" s="1146" t="s">
        <v>1449</v>
      </c>
      <c r="BF15" s="1146">
        <f>[1]!sn(BF11)+BF14</f>
        <v>3.794851130788115</v>
      </c>
      <c r="BG15" s="1121">
        <f t="shared" si="21"/>
        <v>3</v>
      </c>
      <c r="BH15" s="1121">
        <f t="shared" si="22"/>
        <v>47</v>
      </c>
      <c r="BI15" s="1121">
        <f t="shared" si="23"/>
        <v>41</v>
      </c>
      <c r="BJ15" s="1202">
        <f t="shared" si="24"/>
        <v>27</v>
      </c>
      <c r="BL15" s="1131" t="s">
        <v>1464</v>
      </c>
      <c r="BM15" s="1131">
        <f>[1]!tazmb(BF2,BM9,BF19)</f>
        <v>259.10750408631742</v>
      </c>
      <c r="BN15" s="1154">
        <f t="shared" si="1"/>
        <v>259</v>
      </c>
      <c r="BO15" s="1154">
        <f t="shared" si="2"/>
        <v>6</v>
      </c>
      <c r="BP15" s="1154">
        <f t="shared" si="3"/>
        <v>27</v>
      </c>
      <c r="BQ15" s="1155">
        <f t="shared" si="4"/>
        <v>0</v>
      </c>
      <c r="BR15" s="1148" t="s">
        <v>1461</v>
      </c>
      <c r="BS15" s="1148">
        <f>IF(BS12+180&lt;360,BS12+180,BS12-180)</f>
        <v>94.877912265336647</v>
      </c>
      <c r="BT15" s="1154">
        <f t="shared" si="0"/>
        <v>94</v>
      </c>
      <c r="BU15" s="1154">
        <f>INT((ABS(BS15)-BT15)*60)</f>
        <v>52</v>
      </c>
      <c r="BV15" s="1154">
        <f>INT((((ABS(BS15)-BT15)*60)-BU15)*60)</f>
        <v>40</v>
      </c>
      <c r="BW15" s="1155">
        <f>INT((((((ABS(BS15)-BT15)*60)-BU15)*60)-BV15)*60)</f>
        <v>29</v>
      </c>
      <c r="BY15" s="1415"/>
      <c r="BZ15" s="1151"/>
      <c r="CA15" s="1151" t="s">
        <v>3969</v>
      </c>
      <c r="CB15" s="1151">
        <f>[1]!mlhades(CB5,CB12,CB10,CB13,CB11)</f>
        <v>92.681233286838108</v>
      </c>
      <c r="CC15" s="1197">
        <f t="shared" ref="CC15:CC16" si="60">INT(ABS(CB15))</f>
        <v>92</v>
      </c>
      <c r="CD15" s="1197">
        <f t="shared" ref="CD15:CD16" si="61">INT((ABS(CB15)-CC15)*60)</f>
        <v>40</v>
      </c>
      <c r="CE15" s="1197">
        <f t="shared" ref="CE15:CE16" si="62">INT((((ABS(CB15)-CC15)*60)-CD15)*60)</f>
        <v>52</v>
      </c>
      <c r="CF15" s="1420">
        <f t="shared" ref="CF15:CF16" si="63">INT((((((ABS(CB15)-CC15)*60)-CD15)*60)-CE15)*60)</f>
        <v>26</v>
      </c>
      <c r="CG15" s="1149"/>
      <c r="CH15" s="1150"/>
      <c r="CI15" s="1150" t="s">
        <v>1457</v>
      </c>
      <c r="CJ15" s="1150">
        <f>[1]!tazmb(CJ2,CJ14,CJ12)</f>
        <v>170.4484746880801</v>
      </c>
      <c r="CK15" s="1201">
        <f t="shared" si="55"/>
        <v>170</v>
      </c>
      <c r="CL15" s="1201">
        <f t="shared" si="56"/>
        <v>26</v>
      </c>
      <c r="CM15" s="1201">
        <f t="shared" si="57"/>
        <v>54</v>
      </c>
      <c r="CN15" s="1403">
        <f t="shared" si="58"/>
        <v>30</v>
      </c>
      <c r="CQ15" s="1140" t="s">
        <v>1472</v>
      </c>
      <c r="CR15" s="1140">
        <f>CR14/CJ20</f>
        <v>1.2250226846375467</v>
      </c>
      <c r="CS15" s="1175">
        <f>INT(ABS(CR15))</f>
        <v>1</v>
      </c>
      <c r="CT15" s="1175">
        <f>INT((ABS(CR15)-CS15)*60)</f>
        <v>13</v>
      </c>
      <c r="CU15" s="1175">
        <f>INT((((ABS(CR15)-CS15)*60)-CT15)*60)</f>
        <v>30</v>
      </c>
      <c r="CV15" s="1175">
        <f>INT((((((ABS(CR15)-CS15)*60)-CT15)*60)-CU15)*60)</f>
        <v>4</v>
      </c>
      <c r="CW15" s="1194"/>
      <c r="CX15" s="1194"/>
      <c r="CZ15" s="1141" t="s">
        <v>4</v>
      </c>
      <c r="DA15" s="1129">
        <v>8</v>
      </c>
      <c r="DB15" s="1142" t="s">
        <v>219</v>
      </c>
      <c r="DC15" s="1143">
        <v>6</v>
      </c>
      <c r="DF15" s="1124"/>
      <c r="DG15" s="1124"/>
      <c r="DO15" s="1139" t="s">
        <v>1514</v>
      </c>
      <c r="DP15" s="1139">
        <v>100</v>
      </c>
      <c r="DQ15" s="1139">
        <v>1</v>
      </c>
      <c r="DR15" s="1139">
        <v>36000</v>
      </c>
      <c r="DS15" s="1139">
        <f>[1]!modd((DV12/DP15),360)</f>
        <v>52.361038644287646</v>
      </c>
      <c r="DT15" s="1196">
        <f>INT(ABS(DS15))</f>
        <v>52</v>
      </c>
      <c r="DU15" s="1196">
        <f>INT((ABS(DS15)-DT15)*60)</f>
        <v>21</v>
      </c>
      <c r="DV15" s="1196">
        <f>INT((((ABS(DS15)-DT15)*60)-DU15)*60)</f>
        <v>39</v>
      </c>
      <c r="DW15" s="1196">
        <f>INT((((((ABS(DS15)-DT15)*60)-DU15)*60)-DV15)*60)</f>
        <v>44</v>
      </c>
      <c r="DX15" s="1139"/>
      <c r="DY15" s="1196"/>
      <c r="DZ15" s="1196"/>
      <c r="EA15" s="1196"/>
      <c r="EB15" s="1196"/>
      <c r="EL15" s="1136" t="s">
        <v>1528</v>
      </c>
      <c r="EM15" s="1136">
        <v>100</v>
      </c>
      <c r="EN15" s="1136">
        <v>30</v>
      </c>
      <c r="EO15" s="1136">
        <v>1200</v>
      </c>
      <c r="EP15" s="1136">
        <f>((ES12/EO15)-INT(ES12/EO15))*360</f>
        <v>130.83115932863279</v>
      </c>
      <c r="EQ15" s="1197">
        <f>INT(ABS(EP15))</f>
        <v>130</v>
      </c>
      <c r="ER15" s="1197">
        <f>INT((ABS(EP15)-EQ15)*60)</f>
        <v>49</v>
      </c>
      <c r="ES15" s="1197">
        <f>INT((((ABS(EP15)-EQ15)*60)-ER15)*60)</f>
        <v>52</v>
      </c>
      <c r="ET15" s="1197">
        <f>INT((((((ABS(EP15)-EQ15)*60)-ER15)*60)-ES15)*60)</f>
        <v>10</v>
      </c>
      <c r="EU15" s="1136"/>
      <c r="EV15" s="1136"/>
      <c r="EW15" s="1136"/>
      <c r="EX15" s="1136"/>
      <c r="EY15" s="1136"/>
      <c r="EZ15" s="1130">
        <f>EZ14+FA15</f>
        <v>529</v>
      </c>
      <c r="FA15" s="1130">
        <v>1</v>
      </c>
      <c r="FB15" s="1130">
        <f>EZ15</f>
        <v>529</v>
      </c>
      <c r="FC15" s="1130">
        <v>10</v>
      </c>
      <c r="FE15" s="2440" t="s">
        <v>1383</v>
      </c>
      <c r="FF15" s="1246">
        <f>INT(FF9+FF13)</f>
        <v>1402</v>
      </c>
      <c r="FG15" s="1234" t="s">
        <v>1383</v>
      </c>
      <c r="FH15" s="1246">
        <f>INT(FH9+FH13)</f>
        <v>3</v>
      </c>
      <c r="FI15" s="2046" t="s">
        <v>1537</v>
      </c>
      <c r="FJ15" s="1178" t="str">
        <f>IF(FJ13=1,"زحل",IF(FJ13=2,"مشتری",IF(FJ13=3,"مریخ",IF(FJ13=4,"شمس",IF(FJ13=5,"زهره",IF(FJ13=6,"عطارد","قمر"))))))</f>
        <v>زهره</v>
      </c>
      <c r="FK15" s="1151" t="str">
        <f>[1]!kokabfardaazame(FF4,FF5,FF6)</f>
        <v>zohre</v>
      </c>
      <c r="FL15" s="1151"/>
      <c r="FM15" s="1254" t="s">
        <v>1541</v>
      </c>
      <c r="FN15" s="1247">
        <f>FN13+FN14</f>
        <v>41.190000000007615</v>
      </c>
      <c r="FO15" s="1248">
        <f>INT(ABS(FN15))</f>
        <v>41</v>
      </c>
      <c r="FP15" s="1249">
        <f>INT((ABS(FN15)-FO15)*60)</f>
        <v>11</v>
      </c>
      <c r="FQ15" s="1151"/>
      <c r="FR15" s="1244" t="s">
        <v>1547</v>
      </c>
      <c r="FS15" s="2486" t="str">
        <f>[1]!farasqarame(FF15)</f>
        <v>shams</v>
      </c>
      <c r="FT15" s="1759"/>
      <c r="FU15" s="2478"/>
      <c r="FV15" s="1124"/>
      <c r="GB15" s="1160" t="s">
        <v>1553</v>
      </c>
      <c r="GC15" s="1162">
        <f>[1]!modd(GC5,GC13)</f>
        <v>4115</v>
      </c>
      <c r="GD15" s="1161"/>
      <c r="GF15" s="1141" t="s">
        <v>1560</v>
      </c>
      <c r="GG15" s="1129">
        <f>[1]!modd(GG13,90)</f>
        <v>73.427392348599824</v>
      </c>
      <c r="GI15" s="1226">
        <f>ABS(GK6-1251)</f>
        <v>1</v>
      </c>
      <c r="GJ15" s="1128">
        <f>ABS(GK6-1251)</f>
        <v>1</v>
      </c>
      <c r="GK15" s="1128">
        <f>IF(GK6&gt;=1251,[1]!modd(GK6-1251,30),30-[1]!modd(GK6-1251,30)-1)</f>
        <v>1</v>
      </c>
      <c r="GL15" s="1128">
        <f>GK7</f>
        <v>8</v>
      </c>
      <c r="GM15" s="1128">
        <f>GK8-1</f>
        <v>4</v>
      </c>
      <c r="GN15" s="1128"/>
      <c r="GO15" s="1128"/>
      <c r="GP15" s="1128"/>
      <c r="GQ15" s="1128"/>
      <c r="GR15" s="1154"/>
      <c r="GS15" s="1154"/>
      <c r="GT15" s="1154"/>
      <c r="GU15" s="1154"/>
      <c r="GV15" s="1128"/>
      <c r="GW15" s="1128"/>
      <c r="GX15" s="1227"/>
      <c r="GZ15" s="1082"/>
      <c r="HA15" s="1636"/>
      <c r="HB15" s="1083">
        <f>HB14*24</f>
        <v>-0.16833333333333333</v>
      </c>
      <c r="HC15" s="1083"/>
      <c r="HD15" s="1083"/>
      <c r="HE15" s="1083"/>
      <c r="HF15" s="1083"/>
      <c r="HG15" s="2043" t="s">
        <v>1292</v>
      </c>
      <c r="HH15" s="1645" t="s">
        <v>1481</v>
      </c>
      <c r="HI15" s="1645">
        <f>[1]!taqmosh(HI5,HI6,HI7,HI8)</f>
        <v>74.331566660562814</v>
      </c>
      <c r="HJ15" s="1554">
        <f t="shared" si="30"/>
        <v>74</v>
      </c>
      <c r="HK15" s="1554">
        <f t="shared" si="38"/>
        <v>19</v>
      </c>
      <c r="HL15" s="1554">
        <f t="shared" si="31"/>
        <v>53</v>
      </c>
      <c r="HM15" s="1310">
        <f t="shared" si="32"/>
        <v>38</v>
      </c>
      <c r="HN15" s="1803" t="str">
        <f>[1]!sadnahsame(HI15)</f>
        <v>--</v>
      </c>
      <c r="HO15" s="268" t="str">
        <f>[1]!mozakarame(HI15)</f>
        <v>mozakkar</v>
      </c>
      <c r="HP15" s="268" t="str">
        <f>[1]!abarame(HI15)</f>
        <v>--</v>
      </c>
      <c r="HQ15" s="268" t="str">
        <f>[1]!vozoohame(HI15)</f>
        <v>nayyereh</v>
      </c>
      <c r="HR15" s="268" t="str">
        <f>[1]!daragamaame(HI15)</f>
        <v>lasheyafih</v>
      </c>
      <c r="HS15" s="268" t="str">
        <f>[1]!esnaasharame(HI15)</f>
        <v>zohre</v>
      </c>
      <c r="HT15" s="268" t="str">
        <f>[1]!hodoodame(HI15)</f>
        <v>zohre</v>
      </c>
      <c r="HU15" s="268" t="str">
        <f>[1]!vojoohame(HI15)</f>
        <v>merikh</v>
      </c>
      <c r="HV15" s="1153" t="str">
        <f>[1]!daryjaname(HI15)</f>
        <v>zohre</v>
      </c>
      <c r="HW15" s="1153" t="str">
        <f>[1]!ardjaname(HI15)</f>
        <v>merikh</v>
      </c>
      <c r="HX15" s="1153" t="str">
        <f>[1]!nohbahrame(HI15)</f>
        <v>zohal</v>
      </c>
      <c r="HY15" s="1153" t="str">
        <f>[1]!haftbahrame(HI15)</f>
        <v>mohtary</v>
      </c>
      <c r="HZ15" s="1153" t="str">
        <f>[1]!nimbahrame(HI15)</f>
        <v>shams</v>
      </c>
      <c r="IA15" s="1153"/>
      <c r="IB15" s="268" t="str">
        <f>[1]!sharafmoshtaryame(HI15)</f>
        <v>la shey</v>
      </c>
      <c r="IC15" s="1153" t="str">
        <f>[1]!borjame(HI15)</f>
        <v>jovza</v>
      </c>
      <c r="ID15" s="1153"/>
      <c r="IE15" s="1153" t="str">
        <f>[1]!arbabame(HI15,$HO$5)</f>
        <v>havaei-zhl-otrd-mshtr</v>
      </c>
      <c r="IF15" s="2512" t="str">
        <f>[1]!sahebborjame(HI15)</f>
        <v>otared</v>
      </c>
      <c r="IH15" s="2531" t="s">
        <v>2034</v>
      </c>
      <c r="II15" s="1151">
        <f>IF($II$7="moshtari",5,0)</f>
        <v>0</v>
      </c>
      <c r="IJ15" s="1151">
        <f>IF($IJ$7="moshtari",4,0)</f>
        <v>4</v>
      </c>
      <c r="IK15" s="1151">
        <f>IF($IK$7="moshtari",3,0)</f>
        <v>0</v>
      </c>
      <c r="IL15" s="1151">
        <f>IF($IL$7="moshtari",2,0)</f>
        <v>0</v>
      </c>
      <c r="IM15" s="1151">
        <f>IF($IM$7="moshtari",1,0)</f>
        <v>1</v>
      </c>
      <c r="IN15" s="1151">
        <f>IF($IN$7="moshtari",1,0)</f>
        <v>0</v>
      </c>
      <c r="IO15" s="1151">
        <f>IF($IO$7="moshtari",1,0)</f>
        <v>0</v>
      </c>
      <c r="IP15" s="1213">
        <f>IF($IP$7="moshtari",1,0)</f>
        <v>0</v>
      </c>
      <c r="IQ15" s="1431">
        <f>[1]!adadborj(HI15)</f>
        <v>3</v>
      </c>
      <c r="IR15" s="1431">
        <f t="shared" si="39"/>
        <v>5</v>
      </c>
      <c r="IS15" s="1237"/>
      <c r="IT15" s="1205"/>
      <c r="IU15" s="1205" t="str">
        <f t="shared" si="40"/>
        <v/>
      </c>
      <c r="IV15" s="1206" t="str">
        <f t="shared" si="41"/>
        <v/>
      </c>
      <c r="IW15" s="1148"/>
      <c r="IX15" s="1148"/>
      <c r="IY15" s="1148"/>
      <c r="IZ15" s="1148">
        <f>((IZ13-IZ14)*4)/60</f>
        <v>1.2682016665804412</v>
      </c>
    </row>
    <row r="16" spans="2:260" ht="25.5" thickBot="1">
      <c r="B16" s="1149">
        <v>11</v>
      </c>
      <c r="C16" s="1150" t="s">
        <v>1361</v>
      </c>
      <c r="D16" s="1150">
        <f t="shared" si="14"/>
        <v>312</v>
      </c>
      <c r="E16" s="1136" t="s">
        <v>1431</v>
      </c>
      <c r="F16" s="1151">
        <f t="shared" si="8"/>
        <v>300</v>
      </c>
      <c r="G16" s="1136" t="s">
        <v>1426</v>
      </c>
      <c r="H16" s="1151">
        <f t="shared" si="9"/>
        <v>306</v>
      </c>
      <c r="I16" s="1150">
        <v>11</v>
      </c>
      <c r="J16" s="1150" t="s">
        <v>1361</v>
      </c>
      <c r="K16" s="1150">
        <f t="shared" si="15"/>
        <v>132</v>
      </c>
      <c r="L16" s="1136" t="s">
        <v>1430</v>
      </c>
      <c r="M16" s="1151">
        <f t="shared" si="10"/>
        <v>120</v>
      </c>
      <c r="N16" s="1136" t="s">
        <v>1437</v>
      </c>
      <c r="O16" s="1151">
        <f t="shared" si="11"/>
        <v>126</v>
      </c>
      <c r="P16" s="1150"/>
      <c r="Q16" s="1176" t="s">
        <v>814</v>
      </c>
      <c r="R16" s="1176">
        <f>R15-R14</f>
        <v>12.468010952005756</v>
      </c>
      <c r="S16" s="1176"/>
      <c r="T16" s="1122"/>
      <c r="V16" s="1130" t="s">
        <v>1436</v>
      </c>
      <c r="AE16" s="1125"/>
      <c r="AF16" s="1125"/>
      <c r="AG16" s="1215"/>
      <c r="AH16" s="1216">
        <f>INT(MOD(AH14,365))</f>
        <v>1</v>
      </c>
      <c r="AJ16" s="1226" t="s">
        <v>698</v>
      </c>
      <c r="AK16" s="1128">
        <f>[1]!taqq(AK6,AK7,AK8,AK9)</f>
        <v>266.91733636808499</v>
      </c>
      <c r="AL16" s="1154">
        <f t="shared" si="51"/>
        <v>266</v>
      </c>
      <c r="AM16" s="1154">
        <f t="shared" si="52"/>
        <v>55</v>
      </c>
      <c r="AN16" s="1154">
        <f t="shared" si="53"/>
        <v>2</v>
      </c>
      <c r="AO16" s="1154">
        <f t="shared" si="54"/>
        <v>24</v>
      </c>
      <c r="AP16" s="1227"/>
      <c r="AQ16" s="1192">
        <v>6</v>
      </c>
      <c r="AR16" s="1192" t="str">
        <f>IF(AQ16=1,"حمل",IF(AQ16=2,"ثور",IF(AQ16=3,"جوزاء",IF(AQ16=4,"سرطان",IF(AQ16=5,"اسد",IF(AQ16=6,"سنبله",IF(AQ16=7,"میزان",IF(AQ16=8,"عقرب",IF(AQ16=9,"قوس",IF(AQ16=10,"جدی",IF(AQ16=11,"دلو","حوت")))))))))))</f>
        <v>سنبله</v>
      </c>
      <c r="AS16" s="1181">
        <f>IF(AQ16+2&lt;=12,AQ16+2,AQ16+2-12)</f>
        <v>8</v>
      </c>
      <c r="AT16" s="1181">
        <f>IF(AQ16-2&gt;0,AQ16-2,AQ16+12-2)</f>
        <v>4</v>
      </c>
      <c r="AU16" s="1137">
        <f>IF(AQ16+3&lt;=12,AQ16+3,AQ16+3-12)</f>
        <v>9</v>
      </c>
      <c r="AV16" s="1137">
        <f>IF(AQ16-3&gt;0,AQ16-3,AQ16+12-3)</f>
        <v>3</v>
      </c>
      <c r="AW16" s="1181">
        <f>IF(AQ16+4&lt;=12,AQ16+4,AQ16+4-12)</f>
        <v>10</v>
      </c>
      <c r="AX16" s="1181">
        <f>IF(AQ16-4&gt;0,AQ16-4,AQ16+12-4)</f>
        <v>2</v>
      </c>
      <c r="AY16" s="1137">
        <f>IF(AQ16+6&lt;=12,AQ16+6,AQ16+6-12)</f>
        <v>12</v>
      </c>
      <c r="AZ16" s="1181">
        <f>13-AQ16</f>
        <v>7</v>
      </c>
      <c r="BA16" s="1138">
        <f>IF(AQ16&lt;=6,7-AQ16,19-AQ16)</f>
        <v>1</v>
      </c>
      <c r="BC16" s="1144"/>
      <c r="BD16" s="1146"/>
      <c r="BE16" s="1146"/>
      <c r="BF16" s="1146">
        <f>[1]!asn(BF15)</f>
        <v>3.6262362815145783</v>
      </c>
      <c r="BG16" s="1121">
        <f t="shared" si="21"/>
        <v>3</v>
      </c>
      <c r="BH16" s="1121">
        <f t="shared" si="22"/>
        <v>37</v>
      </c>
      <c r="BI16" s="1121">
        <f t="shared" si="23"/>
        <v>34</v>
      </c>
      <c r="BJ16" s="1202">
        <f t="shared" si="24"/>
        <v>27</v>
      </c>
      <c r="BL16" s="1131" t="s">
        <v>1465</v>
      </c>
      <c r="BM16" s="1131">
        <f>[1]!tazmb(BF2,BM10,BF19)</f>
        <v>234.01367877978234</v>
      </c>
      <c r="BN16" s="1154">
        <f t="shared" si="1"/>
        <v>234</v>
      </c>
      <c r="BO16" s="1154">
        <f t="shared" si="2"/>
        <v>0</v>
      </c>
      <c r="BP16" s="1154">
        <f t="shared" si="3"/>
        <v>49</v>
      </c>
      <c r="BQ16" s="1155">
        <f t="shared" si="4"/>
        <v>14</v>
      </c>
      <c r="BR16" s="1148" t="s">
        <v>1443</v>
      </c>
      <c r="BS16" s="1148">
        <f>IF(BF29+180&lt;360,BF29+180,BF29-180)</f>
        <v>188.27104350434294</v>
      </c>
      <c r="BT16" s="1154">
        <f t="shared" si="0"/>
        <v>188</v>
      </c>
      <c r="BU16" s="1154">
        <f>INT((ABS(BS16)-BT16)*60)</f>
        <v>16</v>
      </c>
      <c r="BV16" s="1154">
        <f>INT((((ABS(BS16)-BT16)*60)-BU16)*60)</f>
        <v>15</v>
      </c>
      <c r="BW16" s="1155">
        <f>INT((((((ABS(BS16)-BT16)*60)-BU16)*60)-BV16)*60)</f>
        <v>45</v>
      </c>
      <c r="BY16" s="1415"/>
      <c r="BZ16" s="1151"/>
      <c r="CA16" s="1151" t="s">
        <v>3970</v>
      </c>
      <c r="CB16" s="1151">
        <f>[1]!arzhades(CB15,CB11)</f>
        <v>34.956091597282892</v>
      </c>
      <c r="CC16" s="1197">
        <f t="shared" si="60"/>
        <v>34</v>
      </c>
      <c r="CD16" s="1197">
        <f t="shared" si="61"/>
        <v>57</v>
      </c>
      <c r="CE16" s="1197">
        <f t="shared" si="62"/>
        <v>21</v>
      </c>
      <c r="CF16" s="1420">
        <f t="shared" si="63"/>
        <v>55</v>
      </c>
      <c r="CG16" s="1163"/>
      <c r="CH16" s="1181"/>
      <c r="CI16" s="1404" t="s">
        <v>87</v>
      </c>
      <c r="CJ16" s="1181">
        <v>354.36709259258998</v>
      </c>
      <c r="CK16" s="1404">
        <f t="shared" si="55"/>
        <v>354</v>
      </c>
      <c r="CL16" s="1404">
        <f t="shared" si="56"/>
        <v>22</v>
      </c>
      <c r="CM16" s="1404">
        <f t="shared" si="57"/>
        <v>1</v>
      </c>
      <c r="CN16" s="1405">
        <f t="shared" si="58"/>
        <v>31</v>
      </c>
      <c r="CQ16" s="1140" t="s">
        <v>1471</v>
      </c>
      <c r="CR16" s="1140">
        <f>CR15/24</f>
        <v>5.104261185989778E-2</v>
      </c>
      <c r="CS16" s="1175">
        <f>INT(ABS(CR16))</f>
        <v>0</v>
      </c>
      <c r="CT16" s="1175">
        <f>INT((ABS(CR16)-CS16)*60)</f>
        <v>3</v>
      </c>
      <c r="CU16" s="1175">
        <f>INT((((ABS(CR16)-CS16)*60)-CT16)*60)</f>
        <v>3</v>
      </c>
      <c r="CV16" s="1175">
        <f>INT((((((ABS(CR16)-CS16)*60)-CT16)*60)-CU16)*60)</f>
        <v>45</v>
      </c>
      <c r="CW16" s="1194"/>
      <c r="CX16" s="1194"/>
      <c r="CZ16" s="1141" t="s">
        <v>5</v>
      </c>
      <c r="DA16" s="1129">
        <f>[1]!roz(DC14,DC15,DC16,DC17)</f>
        <v>29.25349537037037</v>
      </c>
      <c r="DB16" s="1142" t="s">
        <v>166</v>
      </c>
      <c r="DC16" s="1143">
        <v>5</v>
      </c>
      <c r="DF16" s="1250"/>
      <c r="DG16" s="1124"/>
      <c r="DO16" s="1139" t="s">
        <v>1515</v>
      </c>
      <c r="DP16" s="1139">
        <v>10</v>
      </c>
      <c r="DQ16" s="1139">
        <v>1</v>
      </c>
      <c r="DR16" s="1139">
        <v>3600</v>
      </c>
      <c r="DS16" s="1139">
        <f>[1]!modd((DV12/DP16),360)</f>
        <v>163.61038644287692</v>
      </c>
      <c r="DT16" s="1196">
        <f>INT(ABS(DS16))</f>
        <v>163</v>
      </c>
      <c r="DU16" s="1196">
        <f>INT((ABS(DS16)-DT16)*60)</f>
        <v>36</v>
      </c>
      <c r="DV16" s="1196">
        <f>INT((((ABS(DS16)-DT16)*60)-DU16)*60)</f>
        <v>37</v>
      </c>
      <c r="DW16" s="1196">
        <f>INT((((((ABS(DS16)-DT16)*60)-DU16)*60)-DV16)*60)</f>
        <v>23</v>
      </c>
      <c r="DX16" s="1139"/>
      <c r="DY16" s="1196"/>
      <c r="DZ16" s="1196"/>
      <c r="EA16" s="1196"/>
      <c r="EB16" s="1196"/>
      <c r="EL16" s="1136" t="s">
        <v>1529</v>
      </c>
      <c r="EM16" s="1136">
        <v>10</v>
      </c>
      <c r="EN16" s="1136">
        <v>30</v>
      </c>
      <c r="EO16" s="1136">
        <v>120</v>
      </c>
      <c r="EP16" s="1136">
        <f>((ES12/EO16)-INT(ES12/EO16))*360</f>
        <v>228.31159328630747</v>
      </c>
      <c r="EQ16" s="1197">
        <f>INT(ABS(EP16))</f>
        <v>228</v>
      </c>
      <c r="ER16" s="1197">
        <f>INT((ABS(EP16)-EQ16)*60)</f>
        <v>18</v>
      </c>
      <c r="ES16" s="1197">
        <f>INT((((ABS(EP16)-EQ16)*60)-ER16)*60)</f>
        <v>41</v>
      </c>
      <c r="ET16" s="1197">
        <f>INT((((((ABS(EP16)-EQ16)*60)-ER16)*60)-ES16)*60)</f>
        <v>44</v>
      </c>
      <c r="EU16" s="1136"/>
      <c r="EV16" s="1136"/>
      <c r="EW16" s="1136"/>
      <c r="EX16" s="1136"/>
      <c r="EY16" s="1136"/>
      <c r="FB16" s="1130">
        <f>9*29</f>
        <v>261</v>
      </c>
      <c r="FC16" s="1130">
        <v>12</v>
      </c>
      <c r="FE16" s="1204" t="s">
        <v>4</v>
      </c>
      <c r="FF16" s="1238">
        <f>IF(FF14&lt;=31,1,IF(FF14&lt;=62,2,IF(FF14&lt;=93,3,IF(FF14&lt;=124,4,IF(FF14&lt;=155,5,IF(FF14&lt;=186,6,IF(FF14&lt;=216,7,IF(FF14&lt;=246,8,IF(FF14&lt;=276,9,IF(FF14&lt;306,10,IF(FF14&lt;=336,11,12)))))))))))</f>
        <v>12</v>
      </c>
      <c r="FG16" s="1237" t="s">
        <v>4</v>
      </c>
      <c r="FH16" s="1238">
        <f>IF(FH14&lt;=31,1,IF(FH14&lt;=62,2,IF(FH14&lt;=93,3,IF(FH14&lt;=124,4,IF(FH14&lt;=155,5,IF(FH14&lt;=186,6,IF(FH14&lt;=216,7,IF(FH14&lt;=246,8,IF(FH14&lt;=276,9,IF(FH14&lt;306,10,IF(FH14&lt;=336,11,12)))))))))))</f>
        <v>3</v>
      </c>
      <c r="FI16" s="1228"/>
      <c r="FJ16" s="1229">
        <v>8.3333333333333995E-2</v>
      </c>
      <c r="FK16" s="1251">
        <f>INT(ABS(FJ16))</f>
        <v>0</v>
      </c>
      <c r="FL16" s="1252">
        <f>INT((ABS(FJ16)-FK16)*60)</f>
        <v>5</v>
      </c>
      <c r="FM16" s="2436" t="s">
        <v>2202</v>
      </c>
      <c r="FN16" s="2437">
        <f>[1]!fardarakbar(FF4,FF5,FF6)</f>
        <v>43.63636363636364</v>
      </c>
      <c r="FO16" s="2437"/>
      <c r="FP16" s="2438"/>
      <c r="FQ16" s="1151"/>
      <c r="FR16" s="1151"/>
      <c r="FS16" s="2448"/>
      <c r="FT16" s="1759"/>
      <c r="FU16" s="1759"/>
      <c r="FV16" s="1124"/>
      <c r="GB16" s="1177" t="s">
        <v>1554</v>
      </c>
      <c r="GC16" s="1179" t="str">
        <f>IF(GC15&lt;GD6,GB6,IF(GC15&lt;GD7,GB7,IF(GC15&lt;GD8,GB8,IF(GC15&lt;GD9,GB9,IF(GC15&lt;GD10,GB10,IF(GC15&lt;GD11,GB11,GB12))))))</f>
        <v>مشتری</v>
      </c>
      <c r="GD16" s="1178"/>
      <c r="GF16" s="1170" t="s">
        <v>1561</v>
      </c>
      <c r="GG16" s="1171">
        <f>INT((GG13-INT(GG13))*GG10)</f>
        <v>156</v>
      </c>
      <c r="GI16" s="1226"/>
      <c r="GJ16" s="1128">
        <f>IF(GK6&gt;=1251,GJ15-GK20,GJ15-GK20-1)</f>
        <v>0</v>
      </c>
      <c r="GK16" s="1128">
        <f>INT(ABS(GK6-1251)/30)</f>
        <v>0</v>
      </c>
      <c r="GL16" s="1128">
        <f>IF(OR(GI14=1,GI14=4,GI14=6,GI14=9,GI14=12,GI14=15,GI14=17,GI14=20,GI14=23,GI14=25,GI14=28),355,354)</f>
        <v>354</v>
      </c>
      <c r="GM16" s="1128"/>
      <c r="GN16" s="1128"/>
      <c r="GO16" s="1128"/>
      <c r="GP16" s="1128"/>
      <c r="GQ16" s="1128"/>
      <c r="GR16" s="1128"/>
      <c r="GS16" s="1128"/>
      <c r="GT16" s="1128"/>
      <c r="GU16" s="1128"/>
      <c r="GV16" s="1128"/>
      <c r="GW16" s="1128"/>
      <c r="GX16" s="1227"/>
      <c r="GZ16" s="1082"/>
      <c r="HA16" s="1636"/>
      <c r="HB16" s="1083">
        <f>HB15*15</f>
        <v>-2.5249999999999999</v>
      </c>
      <c r="HC16" s="1083"/>
      <c r="HD16" s="1083"/>
      <c r="HE16" s="1083"/>
      <c r="HF16" s="1083"/>
      <c r="HG16" s="2043" t="s">
        <v>1293</v>
      </c>
      <c r="HH16" s="1645" t="s">
        <v>1481</v>
      </c>
      <c r="HI16" s="1645">
        <f>[1]!taqzohal(HI5,HI6,HI7,HI8)</f>
        <v>351.81446545553013</v>
      </c>
      <c r="HJ16" s="1554">
        <f t="shared" si="30"/>
        <v>351</v>
      </c>
      <c r="HK16" s="1554">
        <f t="shared" si="38"/>
        <v>48</v>
      </c>
      <c r="HL16" s="1554">
        <f t="shared" si="31"/>
        <v>52</v>
      </c>
      <c r="HM16" s="1310">
        <f t="shared" si="32"/>
        <v>4</v>
      </c>
      <c r="HN16" s="1804" t="str">
        <f>[1]!sadnahsame(HI16)</f>
        <v>--</v>
      </c>
      <c r="HO16" s="1460" t="str">
        <f>[1]!mozakarame(HI16)</f>
        <v>mozakkar</v>
      </c>
      <c r="HP16" s="1460" t="str">
        <f>[1]!abarame(HI16)</f>
        <v>--</v>
      </c>
      <c r="HQ16" s="1460" t="str">
        <f>[1]!vozoohame(HI16)</f>
        <v>nayyereh</v>
      </c>
      <c r="HR16" s="1460" t="str">
        <f>[1]!daragamaame(HI16)</f>
        <v>lasheyafih</v>
      </c>
      <c r="HS16" s="1460" t="str">
        <f>[1]!esnaasharame(HI16)</f>
        <v>shams</v>
      </c>
      <c r="HT16" s="1460" t="str">
        <f>[1]!hodoodame(HI16)</f>
        <v>merikh</v>
      </c>
      <c r="HU16" s="1460" t="str">
        <f>[1]!vojoohame(HI16)</f>
        <v>merikh</v>
      </c>
      <c r="HV16" s="1805" t="str">
        <f>[1]!daryjaname(HI16)</f>
        <v>merikh</v>
      </c>
      <c r="HW16" s="1805" t="str">
        <f>[1]!ardjaname(HI16)</f>
        <v>merikh</v>
      </c>
      <c r="HX16" s="1805" t="str">
        <f>[1]!nohbahrame(HI16)</f>
        <v>zohal</v>
      </c>
      <c r="HY16" s="1805" t="str">
        <f>[1]!haftbahrame(HI16)</f>
        <v>qamar</v>
      </c>
      <c r="HZ16" s="1805" t="str">
        <f>[1]!nimbahrame(HI16)</f>
        <v>shams</v>
      </c>
      <c r="IA16" s="1805"/>
      <c r="IB16" s="1460" t="str">
        <f>[1]!sharafzohalame(HI16)</f>
        <v>la shey</v>
      </c>
      <c r="IC16" s="1805" t="str">
        <f>[1]!borjame(HI16)</f>
        <v>hoot</v>
      </c>
      <c r="ID16" s="1805"/>
      <c r="IE16" s="1153" t="str">
        <f>[1]!arbabame(HI16,$HO$5)</f>
        <v>abi-zhr-mrkh-qmr</v>
      </c>
      <c r="IF16" s="2512" t="str">
        <f>[1]!sahebborjame(HI16)</f>
        <v>moshtari</v>
      </c>
      <c r="IH16" s="2532" t="s">
        <v>4350</v>
      </c>
      <c r="II16" s="1423">
        <f>IF($II$7="zohal",5,0)</f>
        <v>0</v>
      </c>
      <c r="IJ16" s="1423">
        <f>IF($IJ$7="zohal",4,0)</f>
        <v>0</v>
      </c>
      <c r="IK16" s="1423">
        <f>IF($IK$7="zohal",3,0)</f>
        <v>0</v>
      </c>
      <c r="IL16" s="1423">
        <f>IF($IL$7="zohal",2,0)</f>
        <v>0</v>
      </c>
      <c r="IM16" s="1423">
        <f>IF($IM$7="zohal",1,0)</f>
        <v>0</v>
      </c>
      <c r="IN16" s="1423">
        <f>IF($IN$7="zohal",1,0)</f>
        <v>1</v>
      </c>
      <c r="IO16" s="1423">
        <f>IF($IO$7="zohal",1,0)</f>
        <v>0</v>
      </c>
      <c r="IP16" s="2526">
        <f>IF($IP$7="zohal",1,0)</f>
        <v>0</v>
      </c>
      <c r="IQ16" s="2534">
        <f>[1]!adadborj(HI16)</f>
        <v>12</v>
      </c>
      <c r="IR16" s="2534">
        <f t="shared" si="39"/>
        <v>1</v>
      </c>
      <c r="IS16" s="1237"/>
      <c r="IT16" s="1205"/>
      <c r="IU16" s="1205" t="str">
        <f t="shared" si="40"/>
        <v xml:space="preserve">زحل </v>
      </c>
      <c r="IV16" s="1206" t="str">
        <f t="shared" si="41"/>
        <v/>
      </c>
      <c r="IW16" s="1148"/>
      <c r="IX16" s="1148"/>
      <c r="IY16" s="1148"/>
      <c r="IZ16" s="1148">
        <f>IZ15+HQ8</f>
        <v>13.318201666580443</v>
      </c>
    </row>
    <row r="17" spans="2:262" ht="25.5" thickBot="1">
      <c r="B17" s="1149">
        <v>12</v>
      </c>
      <c r="C17" s="1150" t="s">
        <v>1362</v>
      </c>
      <c r="D17" s="1150">
        <f t="shared" si="14"/>
        <v>324</v>
      </c>
      <c r="E17" s="1136" t="s">
        <v>1427</v>
      </c>
      <c r="F17" s="1151">
        <f t="shared" si="8"/>
        <v>312</v>
      </c>
      <c r="G17" s="1136" t="s">
        <v>1428</v>
      </c>
      <c r="H17" s="1151">
        <f t="shared" si="9"/>
        <v>318</v>
      </c>
      <c r="I17" s="1150">
        <v>12</v>
      </c>
      <c r="J17" s="1150" t="s">
        <v>1362</v>
      </c>
      <c r="K17" s="1150">
        <f t="shared" si="15"/>
        <v>144</v>
      </c>
      <c r="L17" s="1136" t="s">
        <v>1431</v>
      </c>
      <c r="M17" s="1151">
        <f t="shared" si="10"/>
        <v>132</v>
      </c>
      <c r="N17" s="1136" t="s">
        <v>1426</v>
      </c>
      <c r="O17" s="1151">
        <f t="shared" si="11"/>
        <v>138</v>
      </c>
      <c r="P17" s="1201"/>
      <c r="Q17" s="1176"/>
      <c r="R17" s="1176">
        <f>(INT(R10/12)+1)*12</f>
        <v>96</v>
      </c>
      <c r="S17" s="1176"/>
      <c r="T17" s="1122"/>
      <c r="V17" s="1163"/>
      <c r="W17" s="1181" t="s">
        <v>1402</v>
      </c>
      <c r="X17" s="1181"/>
      <c r="Y17" s="1181"/>
      <c r="Z17" s="1181"/>
      <c r="AA17" s="1181"/>
      <c r="AB17" s="1181"/>
      <c r="AC17" s="1181"/>
      <c r="AD17" s="1181"/>
      <c r="AE17" s="1164"/>
      <c r="AF17" s="1125"/>
      <c r="AG17" s="1234" t="s">
        <v>1383</v>
      </c>
      <c r="AH17" s="1246">
        <f>INT(AH11+AH15)</f>
        <v>1402</v>
      </c>
      <c r="AJ17" s="1226" t="s">
        <v>3931</v>
      </c>
      <c r="AK17" s="1128">
        <f>AK6-AK15</f>
        <v>1544.0282419908051</v>
      </c>
      <c r="AL17" s="1154">
        <f t="shared" si="51"/>
        <v>1544</v>
      </c>
      <c r="AM17" s="1154">
        <f t="shared" si="52"/>
        <v>1</v>
      </c>
      <c r="AN17" s="1154">
        <f t="shared" si="53"/>
        <v>41</v>
      </c>
      <c r="AO17" s="1154">
        <f t="shared" si="54"/>
        <v>40</v>
      </c>
      <c r="AP17" s="1227"/>
      <c r="AQ17" s="1208"/>
      <c r="AR17" s="1208"/>
      <c r="AS17" s="1209" t="str">
        <f t="shared" ref="AS17:BA17" si="64">IF(AS16=1,"حمل",IF(AS16=2,"ثور",IF(AS16=3,"جوزاء",IF(AS16=4,"سرطان",IF(AS16=5,"اسد",IF(AS16=6,"سنبله",IF(AS16=7,"میزان",IF(AS16=8,"عقرب",IF(AS16=9,"قوس",IF(AS16=10,"جدی",IF(AS16=11,"دلو","حوت")))))))))))</f>
        <v>عقرب</v>
      </c>
      <c r="AT17" s="1209" t="str">
        <f t="shared" si="64"/>
        <v>سرطان</v>
      </c>
      <c r="AU17" s="1156" t="str">
        <f t="shared" si="64"/>
        <v>قوس</v>
      </c>
      <c r="AV17" s="1156" t="str">
        <f t="shared" si="64"/>
        <v>جوزاء</v>
      </c>
      <c r="AW17" s="1209" t="str">
        <f t="shared" si="64"/>
        <v>جدی</v>
      </c>
      <c r="AX17" s="1209" t="str">
        <f t="shared" si="64"/>
        <v>ثور</v>
      </c>
      <c r="AY17" s="1156" t="str">
        <f t="shared" si="64"/>
        <v>حوت</v>
      </c>
      <c r="AZ17" s="1209" t="str">
        <f t="shared" si="64"/>
        <v>میزان</v>
      </c>
      <c r="BA17" s="1157" t="str">
        <f t="shared" si="64"/>
        <v>حمل</v>
      </c>
      <c r="BC17" s="1144"/>
      <c r="BD17" s="1146"/>
      <c r="BE17" s="1146" t="s">
        <v>1452</v>
      </c>
      <c r="BF17" s="1145">
        <f>[1]!acs([1]!csn(BF16)/[1]!sn(BF10))</f>
        <v>84.67714756730858</v>
      </c>
      <c r="BG17" s="1121">
        <f t="shared" si="21"/>
        <v>84</v>
      </c>
      <c r="BH17" s="1121">
        <f t="shared" si="22"/>
        <v>40</v>
      </c>
      <c r="BI17" s="1121">
        <f t="shared" si="23"/>
        <v>37</v>
      </c>
      <c r="BJ17" s="1202">
        <f t="shared" si="24"/>
        <v>43</v>
      </c>
      <c r="BM17" s="1130" t="s">
        <v>3968</v>
      </c>
      <c r="BY17" s="1415"/>
      <c r="BZ17" s="1151"/>
      <c r="CA17" s="1151" t="s">
        <v>1456</v>
      </c>
      <c r="CB17" s="1151">
        <f>[1]!mtlmosahah(CB5,CB12,CB10,CB14,CB11)</f>
        <v>58.522742841699468</v>
      </c>
      <c r="CC17" s="1197">
        <f t="shared" ref="CC17:CC23" si="65">INT(ABS(CB17))</f>
        <v>58</v>
      </c>
      <c r="CD17" s="1197">
        <f t="shared" ref="CD17:CD23" si="66">INT((ABS(CB17)-CC17)*60)</f>
        <v>31</v>
      </c>
      <c r="CE17" s="1197">
        <f t="shared" ref="CE17:CE23" si="67">INT((((ABS(CB17)-CC17)*60)-CD17)*60)</f>
        <v>21</v>
      </c>
      <c r="CF17" s="1420">
        <f t="shared" ref="CF17:CF23" si="68">INT((((((ABS(CB17)-CC17)*60)-CD17)*60)-CE17)*60)</f>
        <v>52</v>
      </c>
      <c r="CG17" s="1149"/>
      <c r="CH17" s="1150"/>
      <c r="CI17" s="1201"/>
      <c r="CJ17" s="1150">
        <f>(CJ2-1)*CJ16</f>
        <v>354.36709259258998</v>
      </c>
      <c r="CK17" s="1201">
        <f t="shared" si="55"/>
        <v>354</v>
      </c>
      <c r="CL17" s="1201">
        <f t="shared" si="56"/>
        <v>22</v>
      </c>
      <c r="CM17" s="1201">
        <f t="shared" si="57"/>
        <v>1</v>
      </c>
      <c r="CN17" s="1403">
        <f t="shared" si="58"/>
        <v>31</v>
      </c>
      <c r="CQ17" s="1140"/>
      <c r="CR17" s="1140">
        <f>CR9-CJ2-1</f>
        <v>1427</v>
      </c>
      <c r="CS17" s="1175">
        <f t="shared" ref="CS17:CS22" si="69">INT(ABS(CR17))</f>
        <v>1427</v>
      </c>
      <c r="CT17" s="1175">
        <f t="shared" ref="CT17:CT22" si="70">INT((ABS(CR17)-CS17)*60)</f>
        <v>0</v>
      </c>
      <c r="CU17" s="1175">
        <f t="shared" ref="CU17:CU22" si="71">INT((((ABS(CR17)-CS17)*60)-CT17)*60)</f>
        <v>0</v>
      </c>
      <c r="CV17" s="1175">
        <f t="shared" ref="CV17:CV22" si="72">INT((((((ABS(CR17)-CS17)*60)-CT17)*60)-CU17)*60)</f>
        <v>0</v>
      </c>
      <c r="CY17" s="1253"/>
      <c r="CZ17" s="1170" t="s">
        <v>393</v>
      </c>
      <c r="DA17" s="1171">
        <f>[1]!mbtool(1,25,0,1)</f>
        <v>5.9027777777777776E-2</v>
      </c>
      <c r="DB17" s="1172" t="s">
        <v>167</v>
      </c>
      <c r="DC17" s="1173">
        <v>2</v>
      </c>
      <c r="DF17" s="1250"/>
      <c r="DG17" s="1124"/>
      <c r="DO17" s="1139" t="s">
        <v>1516</v>
      </c>
      <c r="DP17" s="1139">
        <v>1</v>
      </c>
      <c r="DQ17" s="1139">
        <v>1</v>
      </c>
      <c r="DR17" s="1139">
        <v>360</v>
      </c>
      <c r="DS17" s="1139">
        <f>[1]!modd((DV12/DP17),360)</f>
        <v>196.10386442876188</v>
      </c>
      <c r="DT17" s="1196">
        <f>INT(ABS(DS17))</f>
        <v>196</v>
      </c>
      <c r="DU17" s="1196">
        <f>INT((ABS(DS17)-DT17)*60)</f>
        <v>6</v>
      </c>
      <c r="DV17" s="1196">
        <f>INT((((ABS(DS17)-DT17)*60)-DU17)*60)</f>
        <v>13</v>
      </c>
      <c r="DW17" s="1196">
        <f>INT((((((ABS(DS17)-DT17)*60)-DU17)*60)-DV17)*60)</f>
        <v>54</v>
      </c>
      <c r="DX17" s="1139"/>
      <c r="DY17" s="1196"/>
      <c r="DZ17" s="1196"/>
      <c r="EA17" s="1196"/>
      <c r="EB17" s="1196"/>
      <c r="EL17" s="1136" t="s">
        <v>1530</v>
      </c>
      <c r="EM17" s="1136">
        <v>1</v>
      </c>
      <c r="EN17" s="1136">
        <v>30</v>
      </c>
      <c r="EO17" s="1136">
        <v>12</v>
      </c>
      <c r="EP17" s="1136">
        <f>((ES12/EO17)-INT(ES12/EO17))*360</f>
        <v>123.1159328630747</v>
      </c>
      <c r="EQ17" s="1197">
        <f>INT(ABS(EP17))</f>
        <v>123</v>
      </c>
      <c r="ER17" s="1197">
        <f>INT((ABS(EP17)-EQ17)*60)</f>
        <v>6</v>
      </c>
      <c r="ES17" s="1197">
        <f>INT((((ABS(EP17)-EQ17)*60)-ER17)*60)</f>
        <v>57</v>
      </c>
      <c r="ET17" s="1197">
        <f>INT((((((ABS(EP17)-EQ17)*60)-ER17)*60)-ES17)*60)</f>
        <v>21</v>
      </c>
      <c r="EU17" s="1136"/>
      <c r="EV17" s="1136"/>
      <c r="EW17" s="1136"/>
      <c r="EX17" s="1136"/>
      <c r="EY17" s="1136"/>
      <c r="FB17" s="1130">
        <v>5</v>
      </c>
      <c r="FE17" s="2441" t="s">
        <v>5</v>
      </c>
      <c r="FF17" s="1240">
        <f>IF(FF16=1,FF14,IF(FF16=2,FF14-31,IF(FF16=3,FF14-62,IF(FF16=4,FF14-93,IF(FF16=5,FF14-124,IF(FF16=6,FF14-155,IF(FF16=7,FF14-186,IF(FF16=8,FF14-216,IF(FF16=9,FF14-246,IF(FF16=10,FF14-276,IF(FF16=11,FF14-306,FF14-336)))))))))))</f>
        <v>26</v>
      </c>
      <c r="FG17" s="1239" t="s">
        <v>5</v>
      </c>
      <c r="FH17" s="1240">
        <f>IF(FH16=1,FH14,IF(FH16=2,FH14-31,IF(FH16=3,FH14-62,IF(FH16=4,FH14-93,IF(FH16=5,FH14-124,IF(FH16=6,FH14-155,IF(FH16=7,FH14-186,IF(FH16=8,FH14-216,IF(FH16=9,FH14-246,IF(FH16=10,FH14-276,IF(FH16=11,FH14-306,FH14-336)))))))))))</f>
        <v>7</v>
      </c>
      <c r="FI17" s="1254" t="s">
        <v>1538</v>
      </c>
      <c r="FJ17" s="1247">
        <f>FJ11*FJ16</f>
        <v>1.8419166666669142</v>
      </c>
      <c r="FK17" s="1248">
        <f>INT(ABS(FJ17))</f>
        <v>1</v>
      </c>
      <c r="FL17" s="1249">
        <f>INT((ABS(FJ17)-FK17)*60)</f>
        <v>50</v>
      </c>
      <c r="FM17" s="1151"/>
      <c r="FN17" s="1151"/>
      <c r="FO17" s="1151"/>
      <c r="FP17" s="1197"/>
      <c r="FQ17" s="1151"/>
      <c r="FR17" s="1151"/>
      <c r="FS17" s="2448"/>
      <c r="FT17" s="1759"/>
      <c r="FU17" s="1759"/>
      <c r="FV17" s="1124"/>
      <c r="GB17" s="1255" t="s">
        <v>1555</v>
      </c>
      <c r="GC17" s="1256">
        <f>IF(GC15&lt;GD6,GC15,IF(GC15&lt;GD7,GC15-GD6,IF(GC15&lt;GD8,GC15-GD7,IF(GC15&lt;GD9,GC15-GD8,IF(GC15&lt;GD10,GC15-GD9,IF(GC15&lt;GD11,GC15-GD10,"خطا"))))))</f>
        <v>238</v>
      </c>
      <c r="GD17" s="1257"/>
      <c r="GI17" s="1226"/>
      <c r="GJ17" s="1128"/>
      <c r="GK17" s="1128">
        <f>GK16*11</f>
        <v>0</v>
      </c>
      <c r="GL17" s="1128">
        <f>(INT(GL15/2)*30)+((GL15-1-INT(GL15/2))*29)</f>
        <v>207</v>
      </c>
      <c r="GM17" s="1128"/>
      <c r="GN17" s="1128"/>
      <c r="GO17" s="1128"/>
      <c r="GP17" s="1128"/>
      <c r="GQ17" s="1128"/>
      <c r="GR17" s="1128"/>
      <c r="GS17" s="1128"/>
      <c r="GT17" s="1128"/>
      <c r="GU17" s="1128"/>
      <c r="GV17" s="1128"/>
      <c r="GW17" s="1128"/>
      <c r="GX17" s="1227"/>
      <c r="GZ17" s="1082" t="s">
        <v>1372</v>
      </c>
      <c r="HA17" s="1636" t="s">
        <v>3871</v>
      </c>
      <c r="HB17" s="1083">
        <f>IF(HB7+(HB16*-1)&lt;=180,HB7+(HB16*-1),(HB7+(HB16*-1))-360)</f>
        <v>88.415166667000008</v>
      </c>
      <c r="HC17" s="1083"/>
      <c r="HD17" s="1083"/>
      <c r="HE17" s="1083"/>
      <c r="HF17" s="1083"/>
      <c r="HG17" s="2044" t="s">
        <v>279</v>
      </c>
      <c r="HH17" s="1166"/>
      <c r="HI17" s="1166">
        <f>[1]!tale3(HI5,HM5,HI10,HH4)</f>
        <v>104.1360934591568</v>
      </c>
      <c r="HJ17" s="2041">
        <f t="shared" ref="HJ17" si="73">INT(ABS(HI17))</f>
        <v>104</v>
      </c>
      <c r="HK17" s="2041">
        <f t="shared" ref="HK17" si="74">INT((ABS(HI17)-HJ17)*60)</f>
        <v>8</v>
      </c>
      <c r="HL17" s="2041">
        <f t="shared" ref="HL17" si="75">INT((((ABS(HI17)-HJ17)*60)-HK17)*60)</f>
        <v>9</v>
      </c>
      <c r="HM17" s="2042">
        <f t="shared" ref="HM17" si="76">INT((((((ABS(HI17)-HJ17)*60)-HK17)*60)-HL17)*60)</f>
        <v>56</v>
      </c>
      <c r="HN17" s="1804" t="str">
        <f>[1]!sadnahsame(HI17)</f>
        <v>saad</v>
      </c>
      <c r="HO17" s="1460" t="str">
        <f>[1]!mozakarame(HI17)</f>
        <v>moannas</v>
      </c>
      <c r="HP17" s="1460" t="str">
        <f>[1]!abarame(HI17)</f>
        <v>--</v>
      </c>
      <c r="HQ17" s="1460" t="str">
        <f>[1]!vozoohame(HI17)</f>
        <v>mozieh</v>
      </c>
      <c r="HR17" s="1460" t="str">
        <f>[1]!daragamaame(HI17)</f>
        <v>ama</v>
      </c>
      <c r="HS17" s="1460" t="str">
        <f>[1]!esnaasharame(HI17)</f>
        <v>merikh</v>
      </c>
      <c r="HT17" s="1460" t="str">
        <f>[1]!hodoodame(HI17)</f>
        <v>otared</v>
      </c>
      <c r="HU17" s="1460" t="str">
        <f>[1]!vojoohame(HI17)</f>
        <v>otared</v>
      </c>
      <c r="HV17" s="1805" t="str">
        <f>[1]!daryjaname(HI17)</f>
        <v>merikh</v>
      </c>
      <c r="HW17" s="1805" t="str">
        <f>[1]!ardjaname(HI17)</f>
        <v>qamar</v>
      </c>
      <c r="HX17" s="1805" t="str">
        <f>[1]!nohbahrame(HI17)</f>
        <v>merikh</v>
      </c>
      <c r="HY17" s="1805" t="str">
        <f>[1]!haftbahrame(HI17)</f>
        <v>merikh</v>
      </c>
      <c r="HZ17" s="1805" t="str">
        <f>[1]!nimbahrame(HI17)</f>
        <v>qamar</v>
      </c>
      <c r="IA17" s="1805"/>
      <c r="IB17" s="1460" t="str">
        <f>[1]!sharafzohalame(HI17)</f>
        <v>la shey</v>
      </c>
      <c r="IC17" s="1805" t="str">
        <f>[1]!borjame(HI17)</f>
        <v>saratan</v>
      </c>
      <c r="ID17" s="1805"/>
      <c r="IE17" s="1153" t="str">
        <f>[1]!arbabame(HI17,$HO$5)</f>
        <v>abi-zhr-mrkh-qmr</v>
      </c>
      <c r="IF17" s="2512" t="str">
        <f>[1]!sahebborjame(HI17)</f>
        <v>qomar</v>
      </c>
      <c r="IS17" s="2576"/>
      <c r="IT17" s="2577"/>
      <c r="IU17" s="2578" t="str">
        <f>CONCATENATE(IU10,IU11,IU12,IU13,IU14,IU13,IU15,IU16)</f>
        <v xml:space="preserve">شمس عطارد زحل </v>
      </c>
      <c r="IV17" s="2579" t="str">
        <f>CONCATENATE(IV10,IV11,IV12,IV13,IV14,IV13,IV15,IV16)</f>
        <v xml:space="preserve">شمس عطارد زهره زهره </v>
      </c>
      <c r="IW17" s="1148"/>
      <c r="IX17" s="1148"/>
      <c r="IY17" s="1148"/>
      <c r="IZ17" s="238">
        <f>[1]!mostavieh(HI5,HI6,HK5,HO5+1,HI8,HM5)</f>
        <v>12.205229009308571</v>
      </c>
      <c r="JA17" s="1130" t="s">
        <v>166</v>
      </c>
      <c r="JB17" s="1130" t="s">
        <v>219</v>
      </c>
    </row>
    <row r="18" spans="2:262" ht="25.5" thickBot="1">
      <c r="B18" s="1149">
        <v>13</v>
      </c>
      <c r="C18" s="1150" t="s">
        <v>1363</v>
      </c>
      <c r="D18" s="1150">
        <f t="shared" si="14"/>
        <v>336</v>
      </c>
      <c r="E18" s="1136" t="s">
        <v>1429</v>
      </c>
      <c r="F18" s="1151">
        <f t="shared" si="8"/>
        <v>324</v>
      </c>
      <c r="G18" s="1136" t="s">
        <v>1430</v>
      </c>
      <c r="H18" s="1151">
        <f t="shared" si="9"/>
        <v>330</v>
      </c>
      <c r="I18" s="1150">
        <v>13</v>
      </c>
      <c r="J18" s="1150" t="s">
        <v>1363</v>
      </c>
      <c r="K18" s="1150">
        <f t="shared" si="15"/>
        <v>156</v>
      </c>
      <c r="L18" s="1136" t="s">
        <v>1427</v>
      </c>
      <c r="M18" s="1151">
        <f t="shared" si="10"/>
        <v>144</v>
      </c>
      <c r="N18" s="1136" t="s">
        <v>1428</v>
      </c>
      <c r="O18" s="1151">
        <f t="shared" si="11"/>
        <v>150</v>
      </c>
      <c r="P18" s="1150"/>
      <c r="Q18" s="1258" t="s">
        <v>1373</v>
      </c>
      <c r="R18" s="1258">
        <f>R17-R10</f>
        <v>0.99866894531237449</v>
      </c>
      <c r="S18" s="1176"/>
      <c r="T18" s="1122"/>
      <c r="V18" s="1149">
        <v>1443</v>
      </c>
      <c r="W18" s="1259" t="s">
        <v>177</v>
      </c>
      <c r="X18" s="1179">
        <v>35</v>
      </c>
      <c r="Y18" s="1179"/>
      <c r="Z18" s="1179" t="s">
        <v>166</v>
      </c>
      <c r="AA18" s="1179" t="s">
        <v>167</v>
      </c>
      <c r="AB18" s="1179"/>
      <c r="AC18" s="1179"/>
      <c r="AD18" s="1179"/>
      <c r="AE18" s="1178"/>
      <c r="AF18" s="1125"/>
      <c r="AG18" s="1237" t="s">
        <v>4</v>
      </c>
      <c r="AH18" s="1238">
        <f>IF(AH16&lt;=31,1,IF(AH16&lt;=62,2,IF(AH16&lt;=93,3,IF(AH16&lt;=124,4,IF(AH16&lt;=155,5,IF(AH16&lt;=186,6,IF(AH16&lt;=216,7,IF(AH16&lt;=246,8,IF(AH16&lt;=276,9,IF(AH16&lt;306,10,IF(AH16&lt;=336,11,12)))))))))))</f>
        <v>1</v>
      </c>
      <c r="AJ18" s="1226"/>
      <c r="AK18" s="1128">
        <f>AK17*AK10</f>
        <v>24.488216435185187</v>
      </c>
      <c r="AL18" s="1154">
        <f t="shared" si="51"/>
        <v>24</v>
      </c>
      <c r="AM18" s="1154">
        <f t="shared" si="52"/>
        <v>29</v>
      </c>
      <c r="AN18" s="1154">
        <f t="shared" si="53"/>
        <v>17</v>
      </c>
      <c r="AO18" s="1154">
        <f t="shared" si="54"/>
        <v>34</v>
      </c>
      <c r="AP18" s="1227"/>
      <c r="AQ18" s="1192">
        <v>7</v>
      </c>
      <c r="AR18" s="1192" t="str">
        <f>IF(AQ18=1,"حمل",IF(AQ18=2,"ثور",IF(AQ18=3,"جوزاء",IF(AQ18=4,"سرطان",IF(AQ18=5,"اسد",IF(AQ18=6,"سنبله",IF(AQ18=7,"میزان",IF(AQ18=8,"عقرب",IF(AQ18=9,"قوس",IF(AQ18=10,"جدی",IF(AQ18=11,"دلو","حوت")))))))))))</f>
        <v>میزان</v>
      </c>
      <c r="AS18" s="1181">
        <f>IF(AQ18+2&lt;=12,AQ18+2,AQ18+2-12)</f>
        <v>9</v>
      </c>
      <c r="AT18" s="1181">
        <f>IF(AQ18-2&gt;0,AQ18-2,AQ18+12-2)</f>
        <v>5</v>
      </c>
      <c r="AU18" s="1137">
        <f>IF(AQ18+3&lt;=12,AQ18+3,AQ18+3-12)</f>
        <v>10</v>
      </c>
      <c r="AV18" s="1137">
        <f>IF(AQ18-3&gt;0,AQ18-3,AQ18+12-3)</f>
        <v>4</v>
      </c>
      <c r="AW18" s="1181">
        <f>IF(AQ18+4&lt;=12,AQ18+4,AQ18+4-12)</f>
        <v>11</v>
      </c>
      <c r="AX18" s="1181">
        <f>IF(AQ18-4&gt;0,AQ18-4,AQ18+12-4)</f>
        <v>3</v>
      </c>
      <c r="AY18" s="1137">
        <f>IF(AQ18+6&lt;=12,AQ18+6,AQ18+6-12)</f>
        <v>1</v>
      </c>
      <c r="AZ18" s="1181">
        <f>13-AQ18</f>
        <v>6</v>
      </c>
      <c r="BA18" s="1138">
        <f>IF(AQ18&lt;=6,7-AQ18,19-AQ18)</f>
        <v>12</v>
      </c>
      <c r="BC18" s="1149"/>
      <c r="BD18" s="1327" t="s">
        <v>3954</v>
      </c>
      <c r="BE18" s="1148"/>
      <c r="BF18" s="1148">
        <f>[1]!mlhades(BF2,BF9,BF7,BF10,BF8)</f>
        <v>84.937523391985764</v>
      </c>
      <c r="BG18" s="1121">
        <f t="shared" ref="BG18:BG20" si="77">INT(ABS(BF18))</f>
        <v>84</v>
      </c>
      <c r="BH18" s="1121">
        <f t="shared" ref="BH18:BH20" si="78">INT((ABS(BF18)-BG18)*60)</f>
        <v>56</v>
      </c>
      <c r="BI18" s="1121">
        <f t="shared" ref="BI18:BI20" si="79">INT((((ABS(BF18)-BG18)*60)-BH18)*60)</f>
        <v>15</v>
      </c>
      <c r="BJ18" s="1202">
        <f t="shared" ref="BJ18:BJ20" si="80">INT((((((ABS(BF18)-BG18)*60)-BH18)*60)-BI18)*60)</f>
        <v>5</v>
      </c>
      <c r="BW18" s="1125"/>
      <c r="BX18" s="1125"/>
      <c r="BY18" s="1415"/>
      <c r="BZ18" s="1151"/>
      <c r="CA18" s="1151" t="s">
        <v>1457</v>
      </c>
      <c r="CB18" s="1151">
        <f>[1]!tazmb(CB5,CB17,CB15)</f>
        <v>5.3944038874461597</v>
      </c>
      <c r="CC18" s="1197">
        <f t="shared" si="65"/>
        <v>5</v>
      </c>
      <c r="CD18" s="1197">
        <f t="shared" si="66"/>
        <v>23</v>
      </c>
      <c r="CE18" s="1197">
        <f t="shared" si="67"/>
        <v>39</v>
      </c>
      <c r="CF18" s="1420">
        <f t="shared" si="68"/>
        <v>51</v>
      </c>
      <c r="CG18" s="1149"/>
      <c r="CH18" s="1150"/>
      <c r="CI18" s="1201"/>
      <c r="CJ18" s="1150">
        <f>INT(CJ3/2)*30+(CJ3-1-INT(CJ3/2))*29</f>
        <v>118</v>
      </c>
      <c r="CK18" s="1201">
        <f t="shared" si="55"/>
        <v>118</v>
      </c>
      <c r="CL18" s="1201">
        <f t="shared" si="56"/>
        <v>0</v>
      </c>
      <c r="CM18" s="1201">
        <f t="shared" si="57"/>
        <v>0</v>
      </c>
      <c r="CN18" s="1403">
        <f t="shared" si="58"/>
        <v>0</v>
      </c>
      <c r="CQ18" s="1128" t="s">
        <v>1489</v>
      </c>
      <c r="CR18" s="1140">
        <f>CR17*CR13</f>
        <v>124762.58247299383</v>
      </c>
      <c r="CS18" s="1175">
        <f t="shared" si="69"/>
        <v>124762</v>
      </c>
      <c r="CT18" s="1175">
        <f t="shared" si="70"/>
        <v>34</v>
      </c>
      <c r="CU18" s="1175">
        <f t="shared" si="71"/>
        <v>56</v>
      </c>
      <c r="CV18" s="1175">
        <f t="shared" si="72"/>
        <v>54</v>
      </c>
      <c r="CZ18" s="1218" t="s">
        <v>87</v>
      </c>
      <c r="DA18" s="1211">
        <v>354.36709259258998</v>
      </c>
      <c r="DB18" s="1142" t="s">
        <v>378</v>
      </c>
      <c r="DC18" s="1130">
        <f>[1]!taqsh(DA14,DA15,DA16,DA17)</f>
        <v>233.74088909969899</v>
      </c>
      <c r="DF18" s="1250"/>
      <c r="DG18" s="1124"/>
      <c r="DN18" s="1130" t="s">
        <v>144</v>
      </c>
      <c r="DO18" s="1191" t="s">
        <v>1521</v>
      </c>
      <c r="DP18" s="1200">
        <v>1444</v>
      </c>
      <c r="DQ18" s="1192" t="s">
        <v>5</v>
      </c>
      <c r="DR18" s="1200">
        <v>20</v>
      </c>
      <c r="DS18" s="1139"/>
      <c r="DT18" s="1260" t="s">
        <v>1520</v>
      </c>
      <c r="DU18" s="1261">
        <v>1251</v>
      </c>
      <c r="DV18" s="1262" t="s">
        <v>5</v>
      </c>
      <c r="DW18" s="1261">
        <v>1</v>
      </c>
      <c r="DX18" s="1139"/>
      <c r="DY18" s="1139"/>
      <c r="DZ18" s="1139"/>
      <c r="EA18" s="1139"/>
      <c r="EB18" s="1139"/>
      <c r="EL18" s="1191" t="s">
        <v>1520</v>
      </c>
      <c r="EM18" s="1200">
        <v>1251</v>
      </c>
      <c r="EN18" s="1192" t="s">
        <v>5</v>
      </c>
      <c r="EO18" s="1200">
        <v>1</v>
      </c>
      <c r="EP18" s="1136"/>
      <c r="EQ18" s="1136"/>
      <c r="ER18" s="1136"/>
      <c r="ES18" s="1136"/>
      <c r="ET18" s="1136"/>
      <c r="EU18" s="1136"/>
      <c r="EV18" s="1136"/>
      <c r="EW18" s="1136"/>
      <c r="EX18" s="1136"/>
      <c r="EY18" s="1136"/>
      <c r="FB18" s="1130">
        <v>12</v>
      </c>
      <c r="FE18" s="1422"/>
      <c r="FF18" s="1423"/>
      <c r="FG18" s="1423"/>
      <c r="FH18" s="1423"/>
      <c r="FI18" s="2442" t="s">
        <v>2202</v>
      </c>
      <c r="FJ18" s="2443">
        <f>[1]!fardaazam(FF4,FF5,FF6)</f>
        <v>1.9166666589999999</v>
      </c>
      <c r="FK18" s="2443"/>
      <c r="FL18" s="2444"/>
      <c r="FM18" s="1423"/>
      <c r="FN18" s="1423"/>
      <c r="FO18" s="1423"/>
      <c r="FP18" s="1423"/>
      <c r="FQ18" s="1423"/>
      <c r="FR18" s="1423"/>
      <c r="FS18" s="2449"/>
      <c r="FT18" s="1759"/>
      <c r="FU18" s="1759"/>
      <c r="GI18" s="1226"/>
      <c r="GJ18" s="1128"/>
      <c r="GK18" s="1128">
        <f>IF(GK6&gt;=1251,[1]!kab(GK15),11-[1]!kab(GK15))</f>
        <v>1</v>
      </c>
      <c r="GL18" s="1128">
        <f>GL17-GM15</f>
        <v>203</v>
      </c>
      <c r="GM18" s="1128"/>
      <c r="GN18" s="1154"/>
      <c r="GO18" s="1128"/>
      <c r="GP18" s="1128"/>
      <c r="GQ18" s="1154"/>
      <c r="GR18" s="1154"/>
      <c r="GS18" s="1154"/>
      <c r="GT18" s="1154"/>
      <c r="GU18" s="1128"/>
      <c r="GV18" s="1128"/>
      <c r="GW18" s="1128"/>
      <c r="GX18" s="1227"/>
      <c r="GZ18" s="1087"/>
      <c r="HA18" s="1637" t="s">
        <v>2202</v>
      </c>
      <c r="HB18" s="1065" t="e">
        <f ca="1">tabdilg(HB14)</f>
        <v>#NAME?</v>
      </c>
      <c r="HC18" s="1065"/>
      <c r="HD18" s="1065"/>
      <c r="HE18" s="1065"/>
      <c r="HF18" s="1065"/>
      <c r="HG18" s="1646" t="s">
        <v>3850</v>
      </c>
      <c r="HH18" s="1647"/>
      <c r="HI18" s="1647">
        <f>[1]!taqmareesh(HI5,HI6,INT(HI7),HI4,HI8,HM5)</f>
        <v>359.99063299238037</v>
      </c>
      <c r="HJ18" s="1642">
        <f>INT(ABS(HI18))</f>
        <v>359</v>
      </c>
      <c r="HK18" s="1642">
        <f>INT((ABS(HI18)-HJ18)*60)</f>
        <v>59</v>
      </c>
      <c r="HL18" s="1642">
        <f>INT((((ABS(HI18)-HJ18)*60)-HK18)*60)</f>
        <v>26</v>
      </c>
      <c r="HM18" s="1643">
        <f>INT((((((ABS(HI18)-HJ18)*60)-HK18)*60)-HL18)*60)</f>
        <v>16</v>
      </c>
      <c r="HN18" s="1496"/>
      <c r="HO18" s="1496"/>
      <c r="HP18" s="1496"/>
      <c r="HQ18" s="1496"/>
      <c r="HR18" s="1496"/>
      <c r="HS18" s="1496" t="s">
        <v>4676</v>
      </c>
      <c r="HT18" s="1496"/>
      <c r="HU18" s="1496"/>
      <c r="IW18" s="1148"/>
      <c r="IX18" s="1148"/>
      <c r="IY18" s="1182" t="s">
        <v>1372</v>
      </c>
      <c r="IZ18" s="2573">
        <f>IF(IZ16&gt;IZ17,IZ16,IZ17)</f>
        <v>13.318201666580443</v>
      </c>
      <c r="JA18" s="2574">
        <f>INT((ABS(IZ18)-JB18)*60)</f>
        <v>19</v>
      </c>
      <c r="JB18" s="2575">
        <f>INT(ABS(IZ18))</f>
        <v>13</v>
      </c>
    </row>
    <row r="19" spans="2:262" ht="25.5" thickBot="1">
      <c r="B19" s="1149">
        <v>14</v>
      </c>
      <c r="C19" s="1150" t="s">
        <v>1365</v>
      </c>
      <c r="D19" s="1150">
        <f t="shared" si="14"/>
        <v>348</v>
      </c>
      <c r="E19" s="1136" t="s">
        <v>1437</v>
      </c>
      <c r="F19" s="1151">
        <f t="shared" si="8"/>
        <v>336</v>
      </c>
      <c r="G19" s="1136" t="s">
        <v>1432</v>
      </c>
      <c r="H19" s="1151">
        <f t="shared" si="9"/>
        <v>342</v>
      </c>
      <c r="I19" s="1150">
        <v>14</v>
      </c>
      <c r="J19" s="1150" t="s">
        <v>1365</v>
      </c>
      <c r="K19" s="1150">
        <f t="shared" si="15"/>
        <v>168</v>
      </c>
      <c r="L19" s="1136" t="s">
        <v>1429</v>
      </c>
      <c r="M19" s="1151">
        <f t="shared" si="10"/>
        <v>156</v>
      </c>
      <c r="N19" s="1136" t="s">
        <v>1430</v>
      </c>
      <c r="O19" s="1151">
        <f t="shared" si="11"/>
        <v>162</v>
      </c>
      <c r="P19" s="1150"/>
      <c r="Q19" s="1176" t="s">
        <v>1374</v>
      </c>
      <c r="R19" s="1176">
        <f>R18/R16</f>
        <v>8.0098497599708676E-2</v>
      </c>
      <c r="S19" s="1176"/>
      <c r="T19" s="1122"/>
      <c r="V19" s="1149">
        <v>4</v>
      </c>
      <c r="W19" s="1259" t="s">
        <v>1403</v>
      </c>
      <c r="X19" s="1259">
        <v>0.98564733138000005</v>
      </c>
      <c r="Y19" s="1154">
        <f t="shared" ref="Y19:Y26" si="81">INT(X19)</f>
        <v>0</v>
      </c>
      <c r="Z19" s="1154">
        <f t="shared" ref="Z19:Z26" si="82">INT((X19-Y19)*60)</f>
        <v>59</v>
      </c>
      <c r="AA19" s="1154">
        <f t="shared" ref="AA19:AA26" si="83">INT((((X19-Y19)*60)-Z19)*60)</f>
        <v>8</v>
      </c>
      <c r="AB19" s="1154">
        <f t="shared" ref="AB19:AB26" si="84">INT((((((X19-Y19)*60)-Z19)*60)-AA19)*60)</f>
        <v>19</v>
      </c>
      <c r="AC19" s="1154">
        <f t="shared" ref="AC19:AC26" si="85">INT((((((((X19-Y19)*60)-Z19)*60)-AA19)*60)-AB19)*60)</f>
        <v>49</v>
      </c>
      <c r="AD19" s="1154">
        <f t="shared" ref="AD19:AD26" si="86">INT((((((((((X19-Y19)*60)-Z19)*60)-AA19)*60)-AB19)*60)-AC19)*60)</f>
        <v>24</v>
      </c>
      <c r="AE19" s="1155">
        <f t="shared" ref="AE19:AE26" si="87">INT((((((((((((X19-Y19)*60)-Z19)*60)-AA19)*60)-AB19)*60)-AC19)*60)-AD19)*60)</f>
        <v>52</v>
      </c>
      <c r="AF19" s="1125"/>
      <c r="AG19" s="1239" t="s">
        <v>5</v>
      </c>
      <c r="AH19" s="1240">
        <f>IF(AH18=1,AH16,IF(AH18=2,AH16-31,IF(AH18=3,AH16-62,IF(AH18=4,AH16-93,IF(AH18=5,AH16-124,IF(AH18=6,AH16-155,IF(AH18=7,AH16-186,IF(AH18=8,AH16-216,IF(AH18=9,AH16-246,IF(AH18=10,AH16-276,IF(AH18=11,AH16-306,AH16-336)))))))))))</f>
        <v>1</v>
      </c>
      <c r="AJ19" s="1263"/>
      <c r="AK19" s="1264">
        <f>IF(AK16+AK18&lt;=360,AK16+AK18,AK16+AK18-360)</f>
        <v>291.40555280327015</v>
      </c>
      <c r="AL19" s="1265">
        <f t="shared" si="51"/>
        <v>291</v>
      </c>
      <c r="AM19" s="1265">
        <f t="shared" si="52"/>
        <v>24</v>
      </c>
      <c r="AN19" s="1265">
        <f t="shared" si="53"/>
        <v>19</v>
      </c>
      <c r="AO19" s="1265">
        <f t="shared" si="54"/>
        <v>59</v>
      </c>
      <c r="AP19" s="1266"/>
      <c r="AQ19" s="1208"/>
      <c r="AR19" s="1208"/>
      <c r="AS19" s="1209" t="str">
        <f t="shared" ref="AS19:BA19" si="88">IF(AS18=1,"حمل",IF(AS18=2,"ثور",IF(AS18=3,"جوزاء",IF(AS18=4,"سرطان",IF(AS18=5,"اسد",IF(AS18=6,"سنبله",IF(AS18=7,"میزان",IF(AS18=8,"عقرب",IF(AS18=9,"قوس",IF(AS18=10,"جدی",IF(AS18=11,"دلو","حوت")))))))))))</f>
        <v>قوس</v>
      </c>
      <c r="AT19" s="1209" t="str">
        <f t="shared" si="88"/>
        <v>اسد</v>
      </c>
      <c r="AU19" s="1156" t="str">
        <f t="shared" si="88"/>
        <v>جدی</v>
      </c>
      <c r="AV19" s="1156" t="str">
        <f t="shared" si="88"/>
        <v>سرطان</v>
      </c>
      <c r="AW19" s="1209" t="str">
        <f t="shared" si="88"/>
        <v>دلو</v>
      </c>
      <c r="AX19" s="1209" t="str">
        <f t="shared" si="88"/>
        <v>جوزاء</v>
      </c>
      <c r="AY19" s="1156" t="str">
        <f t="shared" si="88"/>
        <v>حمل</v>
      </c>
      <c r="AZ19" s="1209" t="str">
        <f t="shared" si="88"/>
        <v>سنبله</v>
      </c>
      <c r="BA19" s="1157" t="str">
        <f t="shared" si="88"/>
        <v>حوت</v>
      </c>
      <c r="BC19" s="1144" t="s">
        <v>176</v>
      </c>
      <c r="BD19" s="1146">
        <f>IF(BF19&gt;=0,1,-1)</f>
        <v>1</v>
      </c>
      <c r="BE19" s="1146" t="s">
        <v>1453</v>
      </c>
      <c r="BF19" s="1146">
        <f>[1]!asn([1]!sn(BF17)*[1]!sn(BF8)/60)</f>
        <v>34.827180433253879</v>
      </c>
      <c r="BG19" s="1121">
        <f t="shared" si="77"/>
        <v>34</v>
      </c>
      <c r="BH19" s="1121">
        <f t="shared" si="78"/>
        <v>49</v>
      </c>
      <c r="BI19" s="1121">
        <f t="shared" si="79"/>
        <v>37</v>
      </c>
      <c r="BJ19" s="1202">
        <f t="shared" si="80"/>
        <v>50</v>
      </c>
      <c r="BW19" s="1124"/>
      <c r="BX19" s="1124"/>
      <c r="BY19" s="1419"/>
      <c r="BZ19" s="1192"/>
      <c r="CA19" s="1123" t="s">
        <v>87</v>
      </c>
      <c r="CB19" s="1192">
        <v>354.36709259258998</v>
      </c>
      <c r="CC19" s="1123">
        <f t="shared" si="65"/>
        <v>354</v>
      </c>
      <c r="CD19" s="1123">
        <f t="shared" si="66"/>
        <v>22</v>
      </c>
      <c r="CE19" s="1123">
        <f t="shared" si="67"/>
        <v>1</v>
      </c>
      <c r="CF19" s="1421">
        <f t="shared" si="68"/>
        <v>31</v>
      </c>
      <c r="CG19" s="1149"/>
      <c r="CH19" s="1150"/>
      <c r="CI19" s="1150"/>
      <c r="CJ19" s="1150">
        <f>(CJ17+CJ18+CJ4)</f>
        <v>478.62639814814554</v>
      </c>
      <c r="CK19" s="1201">
        <f t="shared" si="55"/>
        <v>478</v>
      </c>
      <c r="CL19" s="1201">
        <f t="shared" si="56"/>
        <v>37</v>
      </c>
      <c r="CM19" s="1201">
        <f t="shared" si="57"/>
        <v>35</v>
      </c>
      <c r="CN19" s="1403">
        <f t="shared" si="58"/>
        <v>1</v>
      </c>
      <c r="CQ19" s="1140"/>
      <c r="CR19" s="1140">
        <f>[1]!modd(CR18,360)</f>
        <v>202.5824729938322</v>
      </c>
      <c r="CS19" s="1175">
        <f t="shared" si="69"/>
        <v>202</v>
      </c>
      <c r="CT19" s="1175">
        <f t="shared" si="70"/>
        <v>34</v>
      </c>
      <c r="CU19" s="1175">
        <f t="shared" si="71"/>
        <v>56</v>
      </c>
      <c r="CV19" s="1175">
        <f t="shared" si="72"/>
        <v>54</v>
      </c>
      <c r="CZ19" s="1221"/>
      <c r="DA19" s="1216">
        <f>(DA14-1)*DA18</f>
        <v>503555.63857407036</v>
      </c>
      <c r="DF19" s="1124"/>
      <c r="DG19" s="1124"/>
      <c r="DO19" s="1212" t="s">
        <v>4</v>
      </c>
      <c r="DP19" s="1213">
        <v>11</v>
      </c>
      <c r="DQ19" s="1151" t="s">
        <v>219</v>
      </c>
      <c r="DR19" s="1213">
        <v>0</v>
      </c>
      <c r="DS19" s="1139"/>
      <c r="DT19" s="1267" t="s">
        <v>4</v>
      </c>
      <c r="DU19" s="1268">
        <v>1</v>
      </c>
      <c r="DV19" s="1269" t="s">
        <v>219</v>
      </c>
      <c r="DW19" s="1268">
        <v>0</v>
      </c>
      <c r="DX19" s="1139"/>
      <c r="DY19" s="1139"/>
      <c r="DZ19" s="1139"/>
      <c r="EA19" s="1139"/>
      <c r="EB19" s="1139"/>
      <c r="EL19" s="1212" t="s">
        <v>4</v>
      </c>
      <c r="EM19" s="1213">
        <v>1</v>
      </c>
      <c r="EN19" s="1151" t="s">
        <v>219</v>
      </c>
      <c r="EO19" s="1213">
        <v>0</v>
      </c>
      <c r="EP19" s="1136"/>
      <c r="EQ19" s="1136"/>
      <c r="ER19" s="1136"/>
      <c r="ES19" s="1136"/>
      <c r="ET19" s="1136"/>
      <c r="EU19" s="1136"/>
      <c r="EV19" s="1136"/>
      <c r="EW19" s="1136"/>
      <c r="EX19" s="1136"/>
      <c r="EY19" s="1136"/>
      <c r="FB19" s="1130">
        <f>FB14+FB15+FB16+FB17+FB18</f>
        <v>511629</v>
      </c>
      <c r="FE19" s="1130" t="s">
        <v>1547</v>
      </c>
      <c r="GI19" s="1226"/>
      <c r="GJ19" s="1128"/>
      <c r="GK19" s="1128">
        <f>IF(GK6&gt;=1251,GK18,11-GK18)</f>
        <v>1</v>
      </c>
      <c r="GL19" s="1128">
        <f>GL16-GL18</f>
        <v>151</v>
      </c>
      <c r="GM19" s="1128"/>
      <c r="GN19" s="1128"/>
      <c r="GO19" s="1128"/>
      <c r="GP19" s="1128"/>
      <c r="GQ19" s="1128"/>
      <c r="GR19" s="1128"/>
      <c r="GS19" s="1128"/>
      <c r="GT19" s="1128"/>
      <c r="GU19" s="1128"/>
      <c r="GV19" s="1128"/>
      <c r="GW19" s="1128"/>
      <c r="GX19" s="1227"/>
      <c r="GZ19" s="1496"/>
      <c r="HA19" s="1496" t="s">
        <v>5</v>
      </c>
      <c r="HB19" s="1496">
        <f>[1]!roz(HK5,HK6,HK7,HK8)</f>
        <v>20.502083333333335</v>
      </c>
      <c r="HC19" s="1496"/>
      <c r="HD19" s="1496"/>
      <c r="HE19" s="1496">
        <f>HB24/60</f>
        <v>-3.1921873251428475E-3</v>
      </c>
      <c r="HF19" s="1496"/>
      <c r="HG19" s="1644" t="s">
        <v>1107</v>
      </c>
      <c r="HH19" s="1645"/>
      <c r="HI19" s="1554">
        <f>[1]!taqmareeq(HI5,HI6,HK5,HI4,HI8,HM5)</f>
        <v>245.50590811966023</v>
      </c>
      <c r="HJ19" s="1554">
        <f>INT(ABS(HI19))</f>
        <v>245</v>
      </c>
      <c r="HK19" s="1554">
        <f>INT((ABS(HI19)-HJ19)*60)</f>
        <v>30</v>
      </c>
      <c r="HL19" s="1554">
        <f>INT((((ABS(HI19)-HJ19)*60)-HK19)*60)</f>
        <v>21</v>
      </c>
      <c r="HM19" s="1310">
        <f>INT((((((ABS(HI19)-HJ19)*60)-HK19)*60)-HL19)*60)</f>
        <v>16</v>
      </c>
      <c r="HN19" s="1758"/>
      <c r="HO19" s="1496"/>
      <c r="HP19" s="1496"/>
      <c r="HQ19" s="1758"/>
      <c r="HR19" s="1758"/>
      <c r="HS19" s="1758">
        <f>HI15*12</f>
        <v>891.97879992675371</v>
      </c>
      <c r="HT19" s="845"/>
      <c r="HU19" s="1496"/>
    </row>
    <row r="20" spans="2:262" ht="27.75" thickBot="1">
      <c r="B20" s="1149">
        <v>15</v>
      </c>
      <c r="C20" s="1150" t="s">
        <v>1364</v>
      </c>
      <c r="D20" s="1150">
        <f t="shared" si="14"/>
        <v>360</v>
      </c>
      <c r="E20" s="1136" t="s">
        <v>1433</v>
      </c>
      <c r="F20" s="1151">
        <f t="shared" si="8"/>
        <v>348</v>
      </c>
      <c r="G20" s="1136" t="s">
        <v>1434</v>
      </c>
      <c r="H20" s="1151">
        <f t="shared" si="9"/>
        <v>354</v>
      </c>
      <c r="I20" s="1150">
        <v>15</v>
      </c>
      <c r="J20" s="1150" t="s">
        <v>1366</v>
      </c>
      <c r="K20" s="1150">
        <f t="shared" si="15"/>
        <v>180</v>
      </c>
      <c r="L20" s="1136" t="s">
        <v>1437</v>
      </c>
      <c r="M20" s="1151">
        <f t="shared" si="10"/>
        <v>168</v>
      </c>
      <c r="N20" s="1136" t="s">
        <v>1431</v>
      </c>
      <c r="O20" s="1151">
        <f t="shared" si="11"/>
        <v>174</v>
      </c>
      <c r="P20" s="1150"/>
      <c r="Q20" s="1176" t="s">
        <v>227</v>
      </c>
      <c r="R20" s="1176">
        <f>[1]!ml(R4,R8)</f>
        <v>3.1828912248718764</v>
      </c>
      <c r="S20" s="1176"/>
      <c r="T20" s="1122"/>
      <c r="V20" s="1149">
        <v>9</v>
      </c>
      <c r="W20" s="1259"/>
      <c r="X20" s="1259">
        <f>X19+360</f>
        <v>360.98564733137999</v>
      </c>
      <c r="Y20" s="1154">
        <f t="shared" si="81"/>
        <v>360</v>
      </c>
      <c r="Z20" s="1154">
        <f t="shared" si="82"/>
        <v>59</v>
      </c>
      <c r="AA20" s="1154">
        <f t="shared" si="83"/>
        <v>8</v>
      </c>
      <c r="AB20" s="1154">
        <f t="shared" si="84"/>
        <v>19</v>
      </c>
      <c r="AC20" s="1154">
        <f t="shared" si="85"/>
        <v>49</v>
      </c>
      <c r="AD20" s="1154">
        <f t="shared" si="86"/>
        <v>24</v>
      </c>
      <c r="AE20" s="1155">
        <f t="shared" si="87"/>
        <v>52</v>
      </c>
      <c r="AF20" s="1125"/>
      <c r="AG20" s="1125"/>
      <c r="AJ20" s="1285" t="s">
        <v>3933</v>
      </c>
      <c r="AK20" s="1286" t="str">
        <f>[1]!nahhendme(AK16)</f>
        <v>atrakhar</v>
      </c>
      <c r="AL20" s="1286"/>
      <c r="AM20" s="1286"/>
      <c r="AN20" s="1286"/>
      <c r="AO20" s="1286"/>
      <c r="AP20" s="1287"/>
      <c r="AQ20" s="1192">
        <v>8</v>
      </c>
      <c r="AR20" s="1192" t="str">
        <f>IF(AQ20=1,"حمل",IF(AQ20=2,"ثور",IF(AQ20=3,"جوزاء",IF(AQ20=4,"سرطان",IF(AQ20=5,"اسد",IF(AQ20=6,"سنبله",IF(AQ20=7,"میزان",IF(AQ20=8,"عقرب",IF(AQ20=9,"قوس",IF(AQ20=10,"جدی",IF(AQ20=11,"دلو","حوت")))))))))))</f>
        <v>عقرب</v>
      </c>
      <c r="AS20" s="1181">
        <f>IF(AQ20+2&lt;=12,AQ20+2,AQ20+2-12)</f>
        <v>10</v>
      </c>
      <c r="AT20" s="1181">
        <f>IF(AQ20-2&gt;0,AQ20-2,AQ20+12-2)</f>
        <v>6</v>
      </c>
      <c r="AU20" s="1137">
        <f>IF(AQ20+3&lt;=12,AQ20+3,AQ20+3-12)</f>
        <v>11</v>
      </c>
      <c r="AV20" s="1137">
        <f>IF(AQ20-3&gt;0,AQ20-3,AQ20+12-3)</f>
        <v>5</v>
      </c>
      <c r="AW20" s="1181">
        <f>IF(AQ20+4&lt;=12,AQ20+4,AQ20+4-12)</f>
        <v>12</v>
      </c>
      <c r="AX20" s="1181">
        <f>IF(AQ20-4&gt;0,AQ20-4,AQ20+12-4)</f>
        <v>4</v>
      </c>
      <c r="AY20" s="1137">
        <f>IF(AQ20+6&lt;=12,AQ20+6,AQ20+6-12)</f>
        <v>2</v>
      </c>
      <c r="AZ20" s="1181">
        <f>13-AQ20</f>
        <v>5</v>
      </c>
      <c r="BA20" s="1138">
        <f>IF(AQ20&lt;=6,7-AQ20,19-AQ20)</f>
        <v>11</v>
      </c>
      <c r="BC20" s="1149"/>
      <c r="BD20" s="1327" t="s">
        <v>3954</v>
      </c>
      <c r="BE20" s="1148"/>
      <c r="BF20" s="1148">
        <f>[1]!arzhades(BF18,BF8)</f>
        <v>34.843647989157517</v>
      </c>
      <c r="BG20" s="1121">
        <f t="shared" si="77"/>
        <v>34</v>
      </c>
      <c r="BH20" s="1121">
        <f t="shared" si="78"/>
        <v>50</v>
      </c>
      <c r="BI20" s="1121">
        <f t="shared" si="79"/>
        <v>37</v>
      </c>
      <c r="BJ20" s="1202">
        <f t="shared" si="80"/>
        <v>7</v>
      </c>
      <c r="BW20" s="1124"/>
      <c r="BX20" s="1124"/>
      <c r="BY20" s="1415"/>
      <c r="BZ20" s="1151"/>
      <c r="CA20" s="1197"/>
      <c r="CB20" s="1151">
        <f>(CB5-1)*CB19</f>
        <v>0</v>
      </c>
      <c r="CC20" s="1197">
        <f t="shared" si="65"/>
        <v>0</v>
      </c>
      <c r="CD20" s="1197">
        <f t="shared" si="66"/>
        <v>0</v>
      </c>
      <c r="CE20" s="1197">
        <f t="shared" si="67"/>
        <v>0</v>
      </c>
      <c r="CF20" s="1420">
        <f t="shared" si="68"/>
        <v>0</v>
      </c>
      <c r="CG20" s="1149"/>
      <c r="CH20" s="1150"/>
      <c r="CI20" s="1150"/>
      <c r="CJ20" s="1150">
        <v>365.24220026363002</v>
      </c>
      <c r="CK20" s="1201">
        <f t="shared" si="55"/>
        <v>365</v>
      </c>
      <c r="CL20" s="1201">
        <f t="shared" si="56"/>
        <v>14</v>
      </c>
      <c r="CM20" s="1201">
        <f t="shared" si="57"/>
        <v>31</v>
      </c>
      <c r="CN20" s="1403">
        <f t="shared" si="58"/>
        <v>55</v>
      </c>
      <c r="CQ20" s="1140" t="s">
        <v>279</v>
      </c>
      <c r="CR20" s="1140">
        <f>[1]!talea(CJ2,CJ3,CJ4,CJ5,CN3)</f>
        <v>48.643968927133621</v>
      </c>
      <c r="CS20" s="1175">
        <f t="shared" si="69"/>
        <v>48</v>
      </c>
      <c r="CT20" s="1175">
        <f t="shared" si="70"/>
        <v>38</v>
      </c>
      <c r="CU20" s="1175">
        <f t="shared" si="71"/>
        <v>38</v>
      </c>
      <c r="CV20" s="1175">
        <f t="shared" si="72"/>
        <v>17</v>
      </c>
      <c r="CZ20" s="1221"/>
      <c r="DA20" s="1216">
        <f>INT(DA15/2)*30+(DA15-1-INT(DA15/2))*29</f>
        <v>207</v>
      </c>
      <c r="DO20" s="1212" t="s">
        <v>5</v>
      </c>
      <c r="DP20" s="1213">
        <v>24.29</v>
      </c>
      <c r="DQ20" s="1151" t="s">
        <v>166</v>
      </c>
      <c r="DR20" s="1213">
        <v>0</v>
      </c>
      <c r="DS20" s="1139"/>
      <c r="DT20" s="1267" t="s">
        <v>5</v>
      </c>
      <c r="DU20" s="1268">
        <f>[1]!roz(DW18,DW19,DW20,DW21)</f>
        <v>1</v>
      </c>
      <c r="DV20" s="1269" t="s">
        <v>166</v>
      </c>
      <c r="DW20" s="1268">
        <v>0</v>
      </c>
      <c r="DX20" s="1139"/>
      <c r="DY20" s="1139"/>
      <c r="DZ20" s="1139"/>
      <c r="EA20" s="1139"/>
      <c r="EB20" s="1139"/>
      <c r="EL20" s="1212" t="s">
        <v>5</v>
      </c>
      <c r="EM20" s="1213">
        <f>[1]!roz(EO18,EO19,EO20,EO21)</f>
        <v>1</v>
      </c>
      <c r="EN20" s="1151" t="s">
        <v>166</v>
      </c>
      <c r="EO20" s="1213">
        <v>0</v>
      </c>
      <c r="EP20" s="1136"/>
      <c r="EQ20" s="1136"/>
      <c r="ER20" s="1136"/>
      <c r="ES20" s="1136"/>
      <c r="ET20" s="1136"/>
      <c r="EU20" s="1136"/>
      <c r="EV20" s="1136"/>
      <c r="EW20" s="1136"/>
      <c r="EX20" s="1136"/>
      <c r="EY20" s="1136"/>
      <c r="FE20" s="2463" t="s">
        <v>1544</v>
      </c>
      <c r="FF20" s="2464"/>
      <c r="FG20" s="2463" t="s">
        <v>849</v>
      </c>
      <c r="FH20" s="2464"/>
      <c r="FI20" s="2463" t="s">
        <v>761</v>
      </c>
      <c r="FJ20" s="2465"/>
      <c r="FK20" s="2466" t="s">
        <v>1292</v>
      </c>
      <c r="FL20" s="2465"/>
      <c r="FM20" s="2470" t="s">
        <v>1291</v>
      </c>
      <c r="FN20" s="2471"/>
      <c r="FO20" s="2463" t="s">
        <v>1293</v>
      </c>
      <c r="FP20" s="2464"/>
      <c r="FQ20" s="2463" t="s">
        <v>1545</v>
      </c>
      <c r="FR20" s="2464"/>
      <c r="FS20" s="2463" t="s">
        <v>687</v>
      </c>
      <c r="FT20" s="2464"/>
      <c r="FU20" s="2463" t="s">
        <v>1290</v>
      </c>
      <c r="FV20" s="2464"/>
      <c r="GI20" s="1226"/>
      <c r="GJ20" s="1128"/>
      <c r="GK20" s="1128">
        <f>GK19+GK17</f>
        <v>1</v>
      </c>
      <c r="GL20" s="1128"/>
      <c r="GM20" s="1128"/>
      <c r="GN20" s="1128"/>
      <c r="GO20" s="1128"/>
      <c r="GP20" s="1128"/>
      <c r="GQ20" s="1128"/>
      <c r="GR20" s="1128"/>
      <c r="GS20" s="1128"/>
      <c r="GT20" s="1128"/>
      <c r="GU20" s="1128"/>
      <c r="GV20" s="1128"/>
      <c r="GW20" s="1128"/>
      <c r="GX20" s="1227"/>
      <c r="GZ20" s="1496"/>
      <c r="HA20" s="1496" t="s">
        <v>612</v>
      </c>
      <c r="HB20" s="1496">
        <f>[1]!wasata(HI5,HI6,HB19,HI8)</f>
        <v>358.13816210710229</v>
      </c>
      <c r="HC20" s="1496"/>
      <c r="HD20" s="1496"/>
      <c r="HE20" s="1496">
        <f>(HB19-INT(HB19))*24</f>
        <v>12.05000000000004</v>
      </c>
      <c r="HF20" s="1496"/>
      <c r="HG20" s="1646" t="s">
        <v>1074</v>
      </c>
      <c r="HH20" s="212"/>
      <c r="HI20" s="1699">
        <f>[1]!ertqamar(HI5,HI6,HK5,HH4,HI8,HM5)</f>
        <v>28.333083239714654</v>
      </c>
      <c r="HJ20" s="1642">
        <f>INT(ABS(HI20))</f>
        <v>28</v>
      </c>
      <c r="HK20" s="1642">
        <f>INT((ABS(HI20)-HJ20)*60)</f>
        <v>19</v>
      </c>
      <c r="HL20" s="1642">
        <f>INT((((ABS(HI20)-HJ20)*60)-HK20)*60)</f>
        <v>59</v>
      </c>
      <c r="HM20" s="1643">
        <f>INT((((((ABS(HI20)-HJ20)*60)-HK20)*60)-HL20)*60)</f>
        <v>5</v>
      </c>
      <c r="HN20" s="1496"/>
      <c r="HO20" s="1496"/>
      <c r="HP20" s="1496"/>
      <c r="HQ20" s="1496"/>
      <c r="HR20" s="1496"/>
      <c r="HS20" s="1496">
        <f>HS19-360</f>
        <v>531.97879992675371</v>
      </c>
      <c r="HT20" s="1496"/>
      <c r="HU20" s="1496"/>
    </row>
    <row r="21" spans="2:262" ht="27.75" thickBot="1">
      <c r="B21" s="1149"/>
      <c r="C21" s="1150"/>
      <c r="D21" s="1150"/>
      <c r="E21" s="1136"/>
      <c r="F21" s="1151"/>
      <c r="G21" s="1136"/>
      <c r="H21" s="1151"/>
      <c r="I21" s="1150"/>
      <c r="J21" s="1150"/>
      <c r="K21" s="1150"/>
      <c r="L21" s="1136"/>
      <c r="M21" s="1151"/>
      <c r="N21" s="1136"/>
      <c r="O21" s="1151"/>
      <c r="P21" s="1150"/>
      <c r="Q21" s="1176" t="s">
        <v>177</v>
      </c>
      <c r="R21" s="1176">
        <f>24+(48/60)</f>
        <v>24.8</v>
      </c>
      <c r="S21" s="1176"/>
      <c r="T21" s="1122"/>
      <c r="V21" s="1149" t="e">
        <f ca="1">[2]!mbtool(2,17,0,1)</f>
        <v>#NAME?</v>
      </c>
      <c r="W21" s="1259" t="s">
        <v>1400</v>
      </c>
      <c r="X21" s="1259">
        <f>X20/24</f>
        <v>15.0410686388075</v>
      </c>
      <c r="Y21" s="1154">
        <f t="shared" si="81"/>
        <v>15</v>
      </c>
      <c r="Z21" s="1154">
        <f t="shared" si="82"/>
        <v>2</v>
      </c>
      <c r="AA21" s="1154">
        <f t="shared" si="83"/>
        <v>27</v>
      </c>
      <c r="AB21" s="1154">
        <f t="shared" si="84"/>
        <v>50</v>
      </c>
      <c r="AC21" s="1154">
        <f t="shared" si="85"/>
        <v>49</v>
      </c>
      <c r="AD21" s="1154">
        <f t="shared" si="86"/>
        <v>33</v>
      </c>
      <c r="AE21" s="1155">
        <f t="shared" si="87"/>
        <v>32</v>
      </c>
      <c r="AJ21" s="1288" t="s">
        <v>3934</v>
      </c>
      <c r="AK21" s="1289" t="str">
        <f>[1]!nachparsame(AK6,AK7,AK8,AK9)</f>
        <v>mool</v>
      </c>
      <c r="AL21" s="1289"/>
      <c r="AM21" s="1289"/>
      <c r="AN21" s="1289"/>
      <c r="AO21" s="1289"/>
      <c r="AP21" s="1290"/>
      <c r="AQ21" s="1208"/>
      <c r="AR21" s="1208"/>
      <c r="AS21" s="1209" t="str">
        <f t="shared" ref="AS21:BA21" si="89">IF(AS20=1,"حمل",IF(AS20=2,"ثور",IF(AS20=3,"جوزاء",IF(AS20=4,"سرطان",IF(AS20=5,"اسد",IF(AS20=6,"سنبله",IF(AS20=7,"میزان",IF(AS20=8,"عقرب",IF(AS20=9,"قوس",IF(AS20=10,"جدی",IF(AS20=11,"دلو","حوت")))))))))))</f>
        <v>جدی</v>
      </c>
      <c r="AT21" s="1209" t="str">
        <f t="shared" si="89"/>
        <v>سنبله</v>
      </c>
      <c r="AU21" s="1156" t="str">
        <f t="shared" si="89"/>
        <v>دلو</v>
      </c>
      <c r="AV21" s="1156" t="str">
        <f t="shared" si="89"/>
        <v>اسد</v>
      </c>
      <c r="AW21" s="1209" t="str">
        <f t="shared" si="89"/>
        <v>حوت</v>
      </c>
      <c r="AX21" s="1209" t="str">
        <f t="shared" si="89"/>
        <v>سرطان</v>
      </c>
      <c r="AY21" s="1156" t="str">
        <f t="shared" si="89"/>
        <v>ثور</v>
      </c>
      <c r="AZ21" s="1209" t="str">
        <f t="shared" si="89"/>
        <v>اسد</v>
      </c>
      <c r="BA21" s="1157" t="str">
        <f t="shared" si="89"/>
        <v>دلو</v>
      </c>
      <c r="BC21" s="1144"/>
      <c r="BD21" s="1146"/>
      <c r="BE21" s="1146" t="s">
        <v>419</v>
      </c>
      <c r="BF21" s="1146">
        <f>[1]!qrk([1]!bkm(BF2,BF9,BF7),BF8)</f>
        <v>63.896606192528111</v>
      </c>
      <c r="BG21" s="1121">
        <f t="shared" ref="BG21:BG29" si="90">INT(ABS(BF21))</f>
        <v>63</v>
      </c>
      <c r="BH21" s="1121">
        <f t="shared" ref="BH21:BH29" si="91">INT((ABS(BF21)-BG21)*60)</f>
        <v>53</v>
      </c>
      <c r="BI21" s="1121">
        <f t="shared" ref="BI21:BI29" si="92">INT((((ABS(BF21)-BG21)*60)-BH21)*60)</f>
        <v>47</v>
      </c>
      <c r="BJ21" s="1202">
        <f t="shared" ref="BJ21:BJ29" si="93">INT((((((ABS(BF21)-BG21)*60)-BH21)*60)-BI21)*60)</f>
        <v>46</v>
      </c>
      <c r="BW21" s="1124"/>
      <c r="BX21" s="1124"/>
      <c r="BY21" s="1415"/>
      <c r="BZ21" s="1151"/>
      <c r="CA21" s="1197"/>
      <c r="CB21" s="1151">
        <f>INT(CB6/2)*30+(CB6-1-INT(CB6/2))*29</f>
        <v>325</v>
      </c>
      <c r="CC21" s="1197">
        <f t="shared" si="65"/>
        <v>325</v>
      </c>
      <c r="CD21" s="1197">
        <f t="shared" si="66"/>
        <v>0</v>
      </c>
      <c r="CE21" s="1197">
        <f t="shared" si="67"/>
        <v>0</v>
      </c>
      <c r="CF21" s="1420">
        <f t="shared" si="68"/>
        <v>0</v>
      </c>
      <c r="CG21" s="1149"/>
      <c r="CH21" s="1150"/>
      <c r="CI21" s="1150"/>
      <c r="CJ21" s="1150"/>
      <c r="CK21" s="1150" t="s">
        <v>3</v>
      </c>
      <c r="CL21" s="1150" t="s">
        <v>5</v>
      </c>
      <c r="CM21" s="1150" t="s">
        <v>219</v>
      </c>
      <c r="CN21" s="1401" t="s">
        <v>166</v>
      </c>
      <c r="CQ21" s="1140" t="s">
        <v>357</v>
      </c>
      <c r="CR21" s="1140">
        <f>[1]!mtb(CR9,CR20,CN3)</f>
        <v>46.188995012278546</v>
      </c>
      <c r="CS21" s="1175">
        <f t="shared" si="69"/>
        <v>46</v>
      </c>
      <c r="CT21" s="1175">
        <f t="shared" si="70"/>
        <v>11</v>
      </c>
      <c r="CU21" s="1175">
        <f t="shared" si="71"/>
        <v>20</v>
      </c>
      <c r="CV21" s="1175">
        <f t="shared" si="72"/>
        <v>22</v>
      </c>
      <c r="CZ21" s="1215"/>
      <c r="DA21" s="1216">
        <f>INT(DA19+DA20+DA16)</f>
        <v>503791</v>
      </c>
      <c r="DO21" s="1207" t="s">
        <v>393</v>
      </c>
      <c r="DP21" s="1219">
        <f>[1]!mbtool(1,25,0,1)</f>
        <v>5.9027777777777776E-2</v>
      </c>
      <c r="DQ21" s="1208" t="s">
        <v>167</v>
      </c>
      <c r="DR21" s="1219">
        <v>0</v>
      </c>
      <c r="DS21" s="1139"/>
      <c r="DT21" s="1270" t="s">
        <v>393</v>
      </c>
      <c r="DU21" s="1271">
        <f>[1]!mbtool(1,25,0,1)</f>
        <v>5.9027777777777776E-2</v>
      </c>
      <c r="DV21" s="1272" t="s">
        <v>167</v>
      </c>
      <c r="DW21" s="1271">
        <v>0</v>
      </c>
      <c r="DX21" s="1139"/>
      <c r="DY21" s="1139"/>
      <c r="DZ21" s="1139"/>
      <c r="EA21" s="1139"/>
      <c r="EB21" s="1139"/>
      <c r="EL21" s="1207" t="s">
        <v>393</v>
      </c>
      <c r="EM21" s="1219">
        <f>[1]!mbtool(1,25,0,1)</f>
        <v>5.9027777777777776E-2</v>
      </c>
      <c r="EN21" s="1208" t="s">
        <v>167</v>
      </c>
      <c r="EO21" s="1219">
        <v>0</v>
      </c>
      <c r="EP21" s="1136"/>
      <c r="EQ21" s="1136"/>
      <c r="ER21" s="1136"/>
      <c r="ES21" s="1136"/>
      <c r="ET21" s="1136"/>
      <c r="EU21" s="1136"/>
      <c r="EV21" s="1136"/>
      <c r="EW21" s="1136"/>
      <c r="EX21" s="1136"/>
      <c r="EY21" s="1136"/>
      <c r="FE21" s="2452" t="s">
        <v>4631</v>
      </c>
      <c r="FF21" s="2453" t="s">
        <v>4630</v>
      </c>
      <c r="FG21" s="2463" t="s">
        <v>4631</v>
      </c>
      <c r="FH21" s="2464" t="s">
        <v>4630</v>
      </c>
      <c r="FI21" s="2463" t="s">
        <v>4631</v>
      </c>
      <c r="FJ21" s="2464" t="s">
        <v>4630</v>
      </c>
      <c r="FK21" s="2463" t="s">
        <v>4631</v>
      </c>
      <c r="FL21" s="2464" t="s">
        <v>4630</v>
      </c>
      <c r="FM21" s="2470" t="s">
        <v>4631</v>
      </c>
      <c r="FN21" s="2471" t="s">
        <v>4630</v>
      </c>
      <c r="FO21" s="2463" t="s">
        <v>4631</v>
      </c>
      <c r="FP21" s="2464" t="s">
        <v>4630</v>
      </c>
      <c r="FQ21" s="2463" t="s">
        <v>4631</v>
      </c>
      <c r="FR21" s="2464" t="s">
        <v>4630</v>
      </c>
      <c r="FS21" s="2463" t="s">
        <v>4631</v>
      </c>
      <c r="FT21" s="2464" t="s">
        <v>4630</v>
      </c>
      <c r="FU21" s="2463" t="s">
        <v>4631</v>
      </c>
      <c r="FV21" s="2464" t="s">
        <v>4630</v>
      </c>
      <c r="GI21" s="1226"/>
      <c r="GJ21" s="1128">
        <f>GJ16*GJ12</f>
        <v>0</v>
      </c>
      <c r="GK21" s="1128">
        <f>GK20*GJ11</f>
        <v>2.4318321759259258</v>
      </c>
      <c r="GL21" s="1128">
        <f>IF(GK6&gt;=1251,(GL17+GM15)*GJ10,GL19*GJ10)</f>
        <v>1.4453988425925925</v>
      </c>
      <c r="GM21" s="1128">
        <f>[1]!modd(GJ21+GK21+GL21,360)</f>
        <v>3.8772310185185184</v>
      </c>
      <c r="GN21" s="1128"/>
      <c r="GO21" s="1128"/>
      <c r="GP21" s="1128"/>
      <c r="GQ21" s="1128"/>
      <c r="GR21" s="1128"/>
      <c r="GS21" s="1188" t="s">
        <v>1481</v>
      </c>
      <c r="GT21" s="1189"/>
      <c r="GU21" s="1189"/>
      <c r="GV21" s="1189"/>
      <c r="GW21" s="1189"/>
      <c r="GX21" s="1190"/>
      <c r="GZ21" s="1496"/>
      <c r="HA21" s="1496"/>
      <c r="HB21" s="1496">
        <v>1.8972</v>
      </c>
      <c r="HC21" s="1496"/>
      <c r="HD21" s="1496"/>
      <c r="HE21" s="1496">
        <f>HE20+HE19</f>
        <v>12.046807812674897</v>
      </c>
      <c r="HF21" s="1496"/>
      <c r="HG21" s="1648" t="s">
        <v>1064</v>
      </c>
      <c r="HH21" s="1542"/>
      <c r="HI21" s="1700">
        <f>[1]!ertefashams(HI5,HI6,HK5,HH4,HI8,HM5)</f>
        <v>54.244431404577561</v>
      </c>
      <c r="HJ21" s="1569">
        <f>INT(ABS(HI21))</f>
        <v>54</v>
      </c>
      <c r="HK21" s="1569">
        <f>INT((ABS(HI21)-HJ21)*60)</f>
        <v>14</v>
      </c>
      <c r="HL21" s="1569">
        <f>INT((((ABS(HI21)-HJ21)*60)-HK21)*60)</f>
        <v>39</v>
      </c>
      <c r="HM21" s="1311">
        <f>INT((((((ABS(HI21)-HJ21)*60)-HK21)*60)-HL21)*60)</f>
        <v>57</v>
      </c>
      <c r="HN21" s="1496"/>
      <c r="HO21" s="1496"/>
      <c r="HP21" s="1496"/>
      <c r="HQ21" s="1496"/>
      <c r="HR21" s="1496"/>
      <c r="HS21" s="1496"/>
      <c r="HT21" s="1496"/>
      <c r="HU21" s="1496"/>
    </row>
    <row r="22" spans="2:262" ht="18.75" thickBot="1">
      <c r="B22" s="1149"/>
      <c r="C22" s="1150"/>
      <c r="D22" s="1150"/>
      <c r="E22" s="1136"/>
      <c r="F22" s="1151"/>
      <c r="G22" s="1136"/>
      <c r="H22" s="1151"/>
      <c r="I22" s="1150"/>
      <c r="J22" s="1150"/>
      <c r="K22" s="1150"/>
      <c r="L22" s="1136"/>
      <c r="M22" s="1151"/>
      <c r="N22" s="1136"/>
      <c r="O22" s="1151"/>
      <c r="P22" s="1150"/>
      <c r="Q22" s="1176" t="s">
        <v>1375</v>
      </c>
      <c r="R22" s="1176">
        <f>([1]!qsn(R20,R21)/(2*15))*2.5</f>
        <v>15.245396501610243</v>
      </c>
      <c r="S22" s="1176"/>
      <c r="T22" s="1122"/>
      <c r="V22" s="1149"/>
      <c r="W22" s="1259" t="s">
        <v>1404</v>
      </c>
      <c r="X22" s="1259" t="e">
        <f ca="1">[2]!taqsh(V18,V19,V20,V21)</f>
        <v>#NAME?</v>
      </c>
      <c r="Y22" s="1154" t="e">
        <f t="shared" ca="1" si="81"/>
        <v>#NAME?</v>
      </c>
      <c r="Z22" s="1154" t="e">
        <f t="shared" ca="1" si="82"/>
        <v>#NAME?</v>
      </c>
      <c r="AA22" s="1154" t="e">
        <f t="shared" ca="1" si="83"/>
        <v>#NAME?</v>
      </c>
      <c r="AB22" s="1154" t="e">
        <f t="shared" ca="1" si="84"/>
        <v>#NAME?</v>
      </c>
      <c r="AC22" s="1154" t="e">
        <f t="shared" ca="1" si="85"/>
        <v>#NAME?</v>
      </c>
      <c r="AD22" s="1154" t="e">
        <f t="shared" ca="1" si="86"/>
        <v>#NAME?</v>
      </c>
      <c r="AE22" s="1155" t="e">
        <f t="shared" ca="1" si="87"/>
        <v>#NAME?</v>
      </c>
      <c r="AJ22" s="1291" t="s">
        <v>3936</v>
      </c>
      <c r="AK22" s="1292">
        <f>[1]!kahryentnachahtar(AK6,AK7,AK8,AK9,AO6)</f>
        <v>9.8989346805532215</v>
      </c>
      <c r="AL22" s="1292"/>
      <c r="AM22" s="1292"/>
      <c r="AN22" s="1292"/>
      <c r="AO22" s="1292"/>
      <c r="AP22" s="1293"/>
      <c r="AQ22" s="1192">
        <v>9</v>
      </c>
      <c r="AR22" s="1192" t="str">
        <f>IF(AQ22=1,"حمل",IF(AQ22=2,"ثور",IF(AQ22=3,"جوزاء",IF(AQ22=4,"سرطان",IF(AQ22=5,"اسد",IF(AQ22=6,"سنبله",IF(AQ22=7,"میزان",IF(AQ22=8,"عقرب",IF(AQ22=9,"قوس",IF(AQ22=10,"جدی",IF(AQ22=11,"دلو","حوت")))))))))))</f>
        <v>قوس</v>
      </c>
      <c r="AS22" s="1181">
        <f>IF(AQ22+2&lt;=12,AQ22+2,AQ22+2-12)</f>
        <v>11</v>
      </c>
      <c r="AT22" s="1181">
        <f>IF(AQ22-2&gt;0,AQ22-2,AQ22+12-2)</f>
        <v>7</v>
      </c>
      <c r="AU22" s="1137">
        <f>IF(AQ22+3&lt;=12,AQ22+3,AQ22+3-12)</f>
        <v>12</v>
      </c>
      <c r="AV22" s="1137">
        <f>IF(AQ22-3&gt;0,AQ22-3,AQ22+12-3)</f>
        <v>6</v>
      </c>
      <c r="AW22" s="1181">
        <f>IF(AQ22+4&lt;=12,AQ22+4,AQ22+4-12)</f>
        <v>1</v>
      </c>
      <c r="AX22" s="1181">
        <f>IF(AQ22-4&gt;0,AQ22-4,AQ22+12-4)</f>
        <v>5</v>
      </c>
      <c r="AY22" s="1137">
        <f>IF(AQ22+6&lt;=12,AQ22+6,AQ22+6-12)</f>
        <v>3</v>
      </c>
      <c r="AZ22" s="1181">
        <f>13-AQ22</f>
        <v>4</v>
      </c>
      <c r="BA22" s="1138">
        <f>IF(AQ22&lt;=6,7-AQ22,19-AQ22)</f>
        <v>10</v>
      </c>
      <c r="BC22" s="1144"/>
      <c r="BD22" s="1146">
        <v>1</v>
      </c>
      <c r="BE22" s="1146" t="s">
        <v>366</v>
      </c>
      <c r="BF22" s="1146">
        <f>[1]!mtdt(BF2,BF9,BF7,BF8)</f>
        <v>5.2731725241863456</v>
      </c>
      <c r="BG22" s="1121">
        <f t="shared" si="90"/>
        <v>5</v>
      </c>
      <c r="BH22" s="1121">
        <f t="shared" si="91"/>
        <v>16</v>
      </c>
      <c r="BI22" s="1121">
        <f t="shared" si="92"/>
        <v>23</v>
      </c>
      <c r="BJ22" s="1202">
        <f t="shared" si="93"/>
        <v>25</v>
      </c>
      <c r="BW22" s="1124"/>
      <c r="BX22" s="1124"/>
      <c r="BY22" s="1415"/>
      <c r="BZ22" s="1151"/>
      <c r="CA22" s="1151"/>
      <c r="CB22" s="1151">
        <f>(CB20+CB21+CB7)</f>
        <v>328</v>
      </c>
      <c r="CC22" s="1197">
        <f t="shared" si="65"/>
        <v>328</v>
      </c>
      <c r="CD22" s="1197">
        <f t="shared" si="66"/>
        <v>0</v>
      </c>
      <c r="CE22" s="1197">
        <f t="shared" si="67"/>
        <v>0</v>
      </c>
      <c r="CF22" s="1420">
        <f t="shared" si="68"/>
        <v>0</v>
      </c>
      <c r="CG22" s="1149"/>
      <c r="CH22" s="1150"/>
      <c r="CI22" s="1150" t="s">
        <v>720</v>
      </c>
      <c r="CJ22" s="1150">
        <f>CJ19/CJ20</f>
        <v>1.3104356446288938</v>
      </c>
      <c r="CK22" s="1201">
        <f>INT(ABS(CJ22))</f>
        <v>1</v>
      </c>
      <c r="CL22" s="1201">
        <f>INT((ABS(CJ22)-CK22)*CJ20)</f>
        <v>113</v>
      </c>
      <c r="CM22" s="1201">
        <f>INT((((ABS(CJ22)-CK22)*CJ20)-CL22)*24)</f>
        <v>9</v>
      </c>
      <c r="CN22" s="1403">
        <f>INT((((((ABS(CJ22)-CK22)*CJ20)-CL22)*24)-CM22)*60)</f>
        <v>13</v>
      </c>
      <c r="CQ22" s="1140" t="s">
        <v>1486</v>
      </c>
      <c r="CR22" s="1140">
        <f>[1]!tazmb(CR9,CR21,CN3)</f>
        <v>48.643968927133614</v>
      </c>
      <c r="CS22" s="1175">
        <f t="shared" si="69"/>
        <v>48</v>
      </c>
      <c r="CT22" s="1175">
        <f t="shared" si="70"/>
        <v>38</v>
      </c>
      <c r="CU22" s="1175">
        <f t="shared" si="71"/>
        <v>38</v>
      </c>
      <c r="CV22" s="1175">
        <f t="shared" si="72"/>
        <v>17</v>
      </c>
      <c r="CZ22" s="1191" t="s">
        <v>1488</v>
      </c>
      <c r="DA22" s="1200">
        <v>1430</v>
      </c>
      <c r="DB22" s="1192" t="s">
        <v>5</v>
      </c>
      <c r="DC22" s="1200">
        <v>29</v>
      </c>
      <c r="DO22" s="1274" t="s">
        <v>87</v>
      </c>
      <c r="DP22" s="1261">
        <v>354.36709259258998</v>
      </c>
      <c r="DQ22" s="1139"/>
      <c r="DR22" s="1139"/>
      <c r="DS22" s="1139"/>
      <c r="DT22" s="1139"/>
      <c r="DU22" s="1139"/>
      <c r="DV22" s="1139"/>
      <c r="DW22" s="1139"/>
      <c r="DX22" s="1139"/>
      <c r="DY22" s="1139"/>
      <c r="DZ22" s="1139"/>
      <c r="EA22" s="1139"/>
      <c r="EB22" s="1139"/>
      <c r="EK22" s="1130" t="s">
        <v>144</v>
      </c>
      <c r="EL22" s="1191" t="s">
        <v>1521</v>
      </c>
      <c r="EM22" s="1200">
        <v>1251</v>
      </c>
      <c r="EN22" s="1192" t="s">
        <v>5</v>
      </c>
      <c r="EO22" s="1200">
        <v>20</v>
      </c>
      <c r="EP22" s="1136"/>
      <c r="EQ22" s="1136"/>
      <c r="ER22" s="1136"/>
      <c r="ES22" s="1136"/>
      <c r="ET22" s="1136"/>
      <c r="EU22" s="1136"/>
      <c r="EV22" s="1136"/>
      <c r="EW22" s="1136"/>
      <c r="EX22" s="1136"/>
      <c r="EY22" s="1136"/>
      <c r="FE22" s="2452">
        <v>1</v>
      </c>
      <c r="FF22" s="2453">
        <f>FE22+9</f>
        <v>10</v>
      </c>
      <c r="FG22" s="2467">
        <f>FF22+1</f>
        <v>11</v>
      </c>
      <c r="FH22" s="2453">
        <f>FG22+8</f>
        <v>19</v>
      </c>
      <c r="FI22" s="2452">
        <v>20</v>
      </c>
      <c r="FJ22" s="1253">
        <f>FI22+2</f>
        <v>22</v>
      </c>
      <c r="FK22" s="2460">
        <f>FJ22+1</f>
        <v>23</v>
      </c>
      <c r="FL22" s="1253">
        <f>FK22+11</f>
        <v>34</v>
      </c>
      <c r="FM22" s="2472">
        <f>FL22+1</f>
        <v>35</v>
      </c>
      <c r="FN22" s="2473">
        <f>FM22+12</f>
        <v>47</v>
      </c>
      <c r="FO22" s="2452">
        <f>FN22+1</f>
        <v>48</v>
      </c>
      <c r="FP22" s="2453">
        <f>FO22+10</f>
        <v>58</v>
      </c>
      <c r="FQ22" s="2452">
        <f t="shared" ref="FQ22:FS27" si="94">FP22+1</f>
        <v>59</v>
      </c>
      <c r="FR22" s="2453">
        <f t="shared" si="94"/>
        <v>60</v>
      </c>
      <c r="FS22" s="2452">
        <f t="shared" si="94"/>
        <v>61</v>
      </c>
      <c r="FT22" s="2453">
        <f>FS22+6</f>
        <v>67</v>
      </c>
      <c r="FU22" s="2452">
        <f t="shared" ref="FU22:FU29" si="95">FT22+1</f>
        <v>68</v>
      </c>
      <c r="FV22" s="2453">
        <f>FU22+7</f>
        <v>75</v>
      </c>
      <c r="GI22" s="1226"/>
      <c r="GJ22" s="1128" t="s">
        <v>269</v>
      </c>
      <c r="GK22" s="1128"/>
      <c r="GL22" s="1128"/>
      <c r="GM22" s="1128"/>
      <c r="GN22" s="1128"/>
      <c r="GO22" s="1128" t="s">
        <v>1577</v>
      </c>
      <c r="GP22" s="1128"/>
      <c r="GQ22" s="1128"/>
      <c r="GR22" s="1128" t="s">
        <v>1399</v>
      </c>
      <c r="GS22" s="1204" t="s">
        <v>2202</v>
      </c>
      <c r="GT22" s="1205" t="s">
        <v>4104</v>
      </c>
      <c r="GU22" s="1205"/>
      <c r="GV22" s="1205"/>
      <c r="GW22" s="1205"/>
      <c r="GX22" s="1206"/>
      <c r="GZ22" s="1496"/>
      <c r="HA22" s="1496" t="s">
        <v>341</v>
      </c>
      <c r="HB22" s="1496">
        <f>(HB20+HB21)/0.985647331382888</f>
        <v>365.27807730373866</v>
      </c>
      <c r="HC22" s="1496"/>
      <c r="HD22" s="1496" t="s">
        <v>3982</v>
      </c>
      <c r="HE22" s="1496">
        <v>-1.41395E-4</v>
      </c>
      <c r="HF22" s="1496"/>
      <c r="HG22" s="845"/>
      <c r="HH22" s="845"/>
      <c r="HJ22" s="1496"/>
      <c r="HK22" s="1496"/>
      <c r="HL22" s="1496"/>
      <c r="HM22" s="1496"/>
      <c r="HN22" s="1496"/>
      <c r="HO22" s="1496"/>
      <c r="HP22" s="1496"/>
      <c r="HQ22" s="1496"/>
      <c r="HR22" s="1496"/>
      <c r="HS22" s="1496"/>
      <c r="HT22" s="1496"/>
      <c r="HU22" s="1496"/>
    </row>
    <row r="23" spans="2:262" ht="18.75" thickBot="1">
      <c r="B23" s="1235"/>
      <c r="C23" s="1209"/>
      <c r="D23" s="1209"/>
      <c r="E23" s="1136"/>
      <c r="F23" s="1208"/>
      <c r="G23" s="1136"/>
      <c r="H23" s="1208"/>
      <c r="I23" s="1209"/>
      <c r="J23" s="1209"/>
      <c r="K23" s="1209"/>
      <c r="L23" s="1136"/>
      <c r="M23" s="1208"/>
      <c r="N23" s="1136"/>
      <c r="O23" s="1208"/>
      <c r="P23" s="1209"/>
      <c r="Q23" s="1176" t="s">
        <v>1376</v>
      </c>
      <c r="R23" s="1176">
        <f>R19+R22</f>
        <v>15.325494999209951</v>
      </c>
      <c r="S23" s="1198"/>
      <c r="T23" s="1199"/>
      <c r="V23" s="1149"/>
      <c r="W23" s="1259"/>
      <c r="X23" s="1179" t="e">
        <f ca="1">[2]!mtl(X22)</f>
        <v>#NAME?</v>
      </c>
      <c r="Y23" s="1154" t="e">
        <f t="shared" ca="1" si="81"/>
        <v>#NAME?</v>
      </c>
      <c r="Z23" s="1154" t="e">
        <f t="shared" ca="1" si="82"/>
        <v>#NAME?</v>
      </c>
      <c r="AA23" s="1154" t="e">
        <f t="shared" ca="1" si="83"/>
        <v>#NAME?</v>
      </c>
      <c r="AB23" s="1154" t="e">
        <f t="shared" ca="1" si="84"/>
        <v>#NAME?</v>
      </c>
      <c r="AC23" s="1154" t="e">
        <f t="shared" ca="1" si="85"/>
        <v>#NAME?</v>
      </c>
      <c r="AD23" s="1154" t="e">
        <f t="shared" ca="1" si="86"/>
        <v>#NAME?</v>
      </c>
      <c r="AE23" s="1155" t="e">
        <f t="shared" ca="1" si="87"/>
        <v>#NAME?</v>
      </c>
      <c r="AQ23" s="1207"/>
      <c r="AR23" s="1208"/>
      <c r="AS23" s="1209" t="str">
        <f t="shared" ref="AS23:BA23" si="96">IF(AS22=1,"حمل",IF(AS22=2,"ثور",IF(AS22=3,"جوزاء",IF(AS22=4,"سرطان",IF(AS22=5,"اسد",IF(AS22=6,"سنبله",IF(AS22=7,"میزان",IF(AS22=8,"عقرب",IF(AS22=9,"قوس",IF(AS22=10,"جدی",IF(AS22=11,"دلو","حوت")))))))))))</f>
        <v>دلو</v>
      </c>
      <c r="AT23" s="1209" t="str">
        <f t="shared" si="96"/>
        <v>میزان</v>
      </c>
      <c r="AU23" s="1156" t="str">
        <f t="shared" si="96"/>
        <v>حوت</v>
      </c>
      <c r="AV23" s="1156" t="str">
        <f t="shared" si="96"/>
        <v>سنبله</v>
      </c>
      <c r="AW23" s="1209" t="str">
        <f t="shared" si="96"/>
        <v>حمل</v>
      </c>
      <c r="AX23" s="1209" t="str">
        <f t="shared" si="96"/>
        <v>اسد</v>
      </c>
      <c r="AY23" s="1156" t="str">
        <f t="shared" si="96"/>
        <v>جوزاء</v>
      </c>
      <c r="AZ23" s="1209" t="str">
        <f t="shared" si="96"/>
        <v>سرطان</v>
      </c>
      <c r="BA23" s="1157" t="str">
        <f t="shared" si="96"/>
        <v>جدی</v>
      </c>
      <c r="BC23" s="1144"/>
      <c r="BD23" s="1146">
        <v>2</v>
      </c>
      <c r="BE23" s="1146" t="s">
        <v>1454</v>
      </c>
      <c r="BF23" s="1130">
        <f>[1]!maqk(BF2,BF9,BF7,BF8)</f>
        <v>17.858504686808264</v>
      </c>
      <c r="BG23" s="1121">
        <f t="shared" si="90"/>
        <v>17</v>
      </c>
      <c r="BH23" s="1121">
        <f t="shared" ref="BH23" si="97">INT((ABS(BF23)-BG23)*60)</f>
        <v>51</v>
      </c>
      <c r="BI23" s="1121">
        <f t="shared" ref="BI23" si="98">INT((((ABS(BF23)-BG23)*60)-BH23)*60)</f>
        <v>30</v>
      </c>
      <c r="BJ23" s="1202">
        <f t="shared" ref="BJ23" si="99">INT((((((ABS(BF23)-BG23)*60)-BH23)*60)-BI23)*60)</f>
        <v>37</v>
      </c>
      <c r="BW23" s="1124"/>
      <c r="BX23" s="1124"/>
      <c r="BY23" s="1415"/>
      <c r="BZ23" s="1151"/>
      <c r="CA23" s="1151"/>
      <c r="CB23" s="1151">
        <v>365.24220026363002</v>
      </c>
      <c r="CC23" s="1197">
        <f t="shared" si="65"/>
        <v>365</v>
      </c>
      <c r="CD23" s="1197">
        <f t="shared" si="66"/>
        <v>14</v>
      </c>
      <c r="CE23" s="1197">
        <f t="shared" si="67"/>
        <v>31</v>
      </c>
      <c r="CF23" s="1420">
        <f t="shared" si="68"/>
        <v>55</v>
      </c>
      <c r="CG23" s="1149"/>
      <c r="CH23" s="1150"/>
      <c r="CI23" s="1150" t="s">
        <v>839</v>
      </c>
      <c r="CJ23" s="1150">
        <f>CJ22-CB25</f>
        <v>0.41240140936459191</v>
      </c>
      <c r="CK23" s="1201">
        <f>INT(ABS(CJ23))</f>
        <v>0</v>
      </c>
      <c r="CL23" s="1201">
        <f>INT((ABS(CJ23)-CK23)*CJ20)</f>
        <v>150</v>
      </c>
      <c r="CM23" s="1201">
        <f>INT((((ABS(CJ23)-CK23)*CJ20)-CL23)*24)</f>
        <v>15</v>
      </c>
      <c r="CN23" s="1403">
        <f>INT((((((ABS(CJ23)-CK23)*CJ20)-CL23)*24)-CM23)*60)</f>
        <v>2</v>
      </c>
      <c r="CZ23" s="1212" t="s">
        <v>4</v>
      </c>
      <c r="DA23" s="1213">
        <v>7</v>
      </c>
      <c r="DB23" s="1151" t="s">
        <v>219</v>
      </c>
      <c r="DC23" s="1213">
        <v>6</v>
      </c>
      <c r="DO23" s="1279"/>
      <c r="DP23" s="1268">
        <f>(DP18-1)*DP22</f>
        <v>511351.71461110737</v>
      </c>
      <c r="DQ23" s="1139"/>
      <c r="DR23" s="1139"/>
      <c r="DS23" s="1139"/>
      <c r="DT23" s="1139"/>
      <c r="DU23" s="1139"/>
      <c r="DV23" s="1139"/>
      <c r="DW23" s="1139"/>
      <c r="DX23" s="1139"/>
      <c r="DY23" s="1139"/>
      <c r="DZ23" s="1139"/>
      <c r="EA23" s="1139"/>
      <c r="EB23" s="1139"/>
      <c r="EL23" s="1212" t="s">
        <v>4</v>
      </c>
      <c r="EM23" s="1213">
        <v>12</v>
      </c>
      <c r="EN23" s="1151" t="s">
        <v>219</v>
      </c>
      <c r="EO23" s="1213">
        <v>0</v>
      </c>
      <c r="EP23" s="1136"/>
      <c r="EQ23" s="1136"/>
      <c r="ER23" s="1136"/>
      <c r="ES23" s="1136"/>
      <c r="ET23" s="1136"/>
      <c r="EU23" s="1136"/>
      <c r="EV23" s="1136"/>
      <c r="EW23" s="1136"/>
      <c r="EX23" s="1136"/>
      <c r="EY23" s="1136"/>
      <c r="FE23" s="2454">
        <v>141</v>
      </c>
      <c r="FF23" s="2455">
        <f t="shared" ref="FF23:FF30" si="100">FE23+9</f>
        <v>150</v>
      </c>
      <c r="FG23" s="2468">
        <v>76</v>
      </c>
      <c r="FH23" s="2455">
        <f t="shared" ref="FH23:FH30" si="101">FG23+8</f>
        <v>84</v>
      </c>
      <c r="FI23" s="2454">
        <v>85</v>
      </c>
      <c r="FJ23" s="2458">
        <f t="shared" ref="FJ23:FJ30" si="102">FI23+2</f>
        <v>87</v>
      </c>
      <c r="FK23" s="2461">
        <f>FJ23+1</f>
        <v>88</v>
      </c>
      <c r="FL23" s="2458">
        <f t="shared" ref="FL23:FL30" si="103">FK23+11</f>
        <v>99</v>
      </c>
      <c r="FM23" s="2474">
        <f>FL23+1</f>
        <v>100</v>
      </c>
      <c r="FN23" s="2475">
        <f t="shared" ref="FN23:FN30" si="104">FM23+12</f>
        <v>112</v>
      </c>
      <c r="FO23" s="2454">
        <f>FN23+1</f>
        <v>113</v>
      </c>
      <c r="FP23" s="2455">
        <f>FO23+10</f>
        <v>123</v>
      </c>
      <c r="FQ23" s="2454">
        <f t="shared" si="94"/>
        <v>124</v>
      </c>
      <c r="FR23" s="2455">
        <f t="shared" si="94"/>
        <v>125</v>
      </c>
      <c r="FS23" s="2454">
        <f t="shared" si="94"/>
        <v>126</v>
      </c>
      <c r="FT23" s="2455">
        <f t="shared" ref="FT23:FT30" si="105">FS23+6</f>
        <v>132</v>
      </c>
      <c r="FU23" s="2454">
        <f t="shared" si="95"/>
        <v>133</v>
      </c>
      <c r="FV23" s="2455">
        <f t="shared" ref="FV23:FV30" si="106">FU23+7</f>
        <v>140</v>
      </c>
      <c r="GI23" s="1226" t="s">
        <v>1567</v>
      </c>
      <c r="GJ23" s="1128">
        <f>(((GM23/60)+GL23)/60)+GK23</f>
        <v>351.48388888888888</v>
      </c>
      <c r="GK23" s="1128">
        <v>351</v>
      </c>
      <c r="GL23" s="1128">
        <v>29</v>
      </c>
      <c r="GM23" s="1128">
        <v>2</v>
      </c>
      <c r="GN23" s="1128">
        <f>GM21</f>
        <v>3.8772310185185184</v>
      </c>
      <c r="GO23" s="1128">
        <f>IF(GJ23&gt;GN23,GJ23-GN23,GJ23-GN23+360)</f>
        <v>347.60665787037038</v>
      </c>
      <c r="GP23" s="1128"/>
      <c r="GQ23" s="1128">
        <f>GM21</f>
        <v>3.8772310185185184</v>
      </c>
      <c r="GR23" s="1128">
        <f t="shared" ref="GR23:GR29" si="107">IF(GJ23+GQ23&lt;360,GJ23+GQ23,GJ23+GQ23-360)</f>
        <v>355.36111990740739</v>
      </c>
      <c r="GS23" s="1204">
        <f>[1]!atit(GK6,GK7,GK8)</f>
        <v>347.60665787037038</v>
      </c>
      <c r="GT23" s="1205">
        <f t="shared" ref="GT23:GT29" si="108">IF($GK$6&gt;=1251,GO23,GR23)</f>
        <v>347.60665787037038</v>
      </c>
      <c r="GU23" s="1761">
        <f>INT(ABS(GT23))</f>
        <v>347</v>
      </c>
      <c r="GV23" s="1761">
        <f>INT((ABS(GT23)-GU23)*60)</f>
        <v>36</v>
      </c>
      <c r="GW23" s="1761">
        <f>INT((((ABS(GT23)-GU23)*60)-GV23)*60)</f>
        <v>23</v>
      </c>
      <c r="GX23" s="1797">
        <f>INT((((((ABS(GT23)-GU23)*60)-GV23)*60)-GW23)*60)</f>
        <v>58</v>
      </c>
      <c r="GZ23" s="1496">
        <f>[1]!almazy(HI5,HI6,HI7)</f>
        <v>1</v>
      </c>
      <c r="HA23" s="1496" t="s">
        <v>3803</v>
      </c>
      <c r="HB23" s="1496">
        <f>IF(INT(HB22)+1&lt;=365,INT(HB22)+1,INT(HB22+1)-365)</f>
        <v>1</v>
      </c>
      <c r="HC23" s="1496"/>
      <c r="HD23" s="1496"/>
      <c r="HE23" s="1496"/>
      <c r="HF23" s="1496"/>
      <c r="HG23" s="845"/>
      <c r="HH23" s="845"/>
      <c r="HJ23" s="1496"/>
      <c r="HK23" s="1496"/>
      <c r="HL23" s="1496"/>
      <c r="HM23" s="1496"/>
      <c r="HN23" s="1496"/>
      <c r="HO23" s="845"/>
      <c r="HP23" s="845"/>
      <c r="HQ23" s="845"/>
      <c r="HR23" s="1496"/>
      <c r="HS23" s="1496"/>
      <c r="HT23" s="1496"/>
      <c r="HU23" s="1496"/>
    </row>
    <row r="24" spans="2:262" ht="24.75">
      <c r="J24" s="1130">
        <f>J29+360-J28</f>
        <v>473.17598454713834</v>
      </c>
      <c r="K24" s="1121">
        <f>INT(ABS(J24))</f>
        <v>473</v>
      </c>
      <c r="L24" s="1121">
        <f t="shared" ref="L24" si="109">INT((ABS(J24)-K24)*60)</f>
        <v>10</v>
      </c>
      <c r="M24" s="1121">
        <f t="shared" ref="M24" si="110">INT((((ABS(J24)-K24)*60)-L24)*60)</f>
        <v>33</v>
      </c>
      <c r="Q24" s="1176" t="s">
        <v>2202</v>
      </c>
      <c r="R24" s="1130">
        <f>[1]!kahryenteqtathe(R4,R5,R6,R7,R21)</f>
        <v>15.325494999209951</v>
      </c>
      <c r="V24" s="1149"/>
      <c r="W24" s="1259" t="s">
        <v>1405</v>
      </c>
      <c r="X24" s="1179" t="e">
        <f ca="1">[2]!taqsh(V18,V19,V20+1,V21)</f>
        <v>#NAME?</v>
      </c>
      <c r="Y24" s="1154" t="e">
        <f t="shared" ca="1" si="81"/>
        <v>#NAME?</v>
      </c>
      <c r="Z24" s="1154" t="e">
        <f t="shared" ca="1" si="82"/>
        <v>#NAME?</v>
      </c>
      <c r="AA24" s="1154" t="e">
        <f t="shared" ca="1" si="83"/>
        <v>#NAME?</v>
      </c>
      <c r="AB24" s="1154" t="e">
        <f t="shared" ca="1" si="84"/>
        <v>#NAME?</v>
      </c>
      <c r="AC24" s="1154" t="e">
        <f t="shared" ca="1" si="85"/>
        <v>#NAME?</v>
      </c>
      <c r="AD24" s="1154" t="e">
        <f t="shared" ca="1" si="86"/>
        <v>#NAME?</v>
      </c>
      <c r="AE24" s="1155" t="e">
        <f t="shared" ca="1" si="87"/>
        <v>#NAME?</v>
      </c>
      <c r="AJ24" s="1294" t="s">
        <v>3937</v>
      </c>
      <c r="AK24" s="1295">
        <f>[1]!taqq(AK6,AK7,AM6,AK9)</f>
        <v>256.47933805264637</v>
      </c>
      <c r="AL24" s="1302">
        <f t="shared" ref="AL24" si="111">INT(ABS(AK24))</f>
        <v>256</v>
      </c>
      <c r="AM24" s="1302">
        <f t="shared" ref="AM24" si="112">INT((ABS(AK24)-AL24)*60)</f>
        <v>28</v>
      </c>
      <c r="AN24" s="1302">
        <f t="shared" ref="AN24" si="113">INT((((ABS(AK24)-AL24)*60)-AM24)*60)</f>
        <v>45</v>
      </c>
      <c r="AO24" s="1302">
        <f t="shared" ref="AO24" si="114">INT((((((ABS(AK24)-AL24)*60)-AM24)*60)-AN24)*60)</f>
        <v>37</v>
      </c>
      <c r="AP24" s="1296"/>
      <c r="AQ24" s="1192">
        <v>10</v>
      </c>
      <c r="AR24" s="1192" t="str">
        <f>IF(AQ24=1,"حمل",IF(AQ24=2,"ثور",IF(AQ24=3,"جوزاء",IF(AQ24=4,"سرطان",IF(AQ24=5,"اسد",IF(AQ24=6,"سنبله",IF(AQ24=7,"میزان",IF(AQ24=8,"عقرب",IF(AQ24=9,"قوس",IF(AQ24=10,"جدی",IF(AQ24=11,"دلو","حوت")))))))))))</f>
        <v>جدی</v>
      </c>
      <c r="AS24" s="1181">
        <f>IF(AQ24+2&lt;=12,AQ24+2,AQ24+2-12)</f>
        <v>12</v>
      </c>
      <c r="AT24" s="1181">
        <f>IF(AQ24-2&gt;0,AQ24-2,AQ24+12-2)</f>
        <v>8</v>
      </c>
      <c r="AU24" s="1137">
        <f>IF(AQ24+3&lt;=12,AQ24+3,AQ24+3-12)</f>
        <v>1</v>
      </c>
      <c r="AV24" s="1137">
        <f>IF(AQ24-3&gt;0,AQ24-3,AQ24+12-3)</f>
        <v>7</v>
      </c>
      <c r="AW24" s="1181">
        <f>IF(AQ24+4&lt;=12,AQ24+4,AQ24+4-12)</f>
        <v>2</v>
      </c>
      <c r="AX24" s="1181">
        <f>IF(AQ24-4&gt;0,AQ24-4,AQ24+12-4)</f>
        <v>6</v>
      </c>
      <c r="AY24" s="1137">
        <f>IF(AQ24+6&lt;=12,AQ24+6,AQ24+6-12)</f>
        <v>4</v>
      </c>
      <c r="AZ24" s="1181">
        <f>13-AQ24</f>
        <v>3</v>
      </c>
      <c r="BA24" s="1138">
        <f>IF(AQ24&lt;=6,7-AQ24,19-AQ24)</f>
        <v>9</v>
      </c>
      <c r="BC24" s="1144"/>
      <c r="BD24" s="1146">
        <v>3</v>
      </c>
      <c r="BE24" s="1146" t="s">
        <v>375</v>
      </c>
      <c r="BF24" s="1146">
        <f>[1]!mtm(BF2,BF13,BF7)</f>
        <v>11.565838605497305</v>
      </c>
      <c r="BG24" s="1121">
        <f t="shared" si="90"/>
        <v>11</v>
      </c>
      <c r="BH24" s="1121">
        <f t="shared" si="91"/>
        <v>33</v>
      </c>
      <c r="BI24" s="1121">
        <f t="shared" si="92"/>
        <v>57</v>
      </c>
      <c r="BJ24" s="1202">
        <f t="shared" si="93"/>
        <v>1</v>
      </c>
      <c r="BW24" s="1124"/>
      <c r="BX24" s="1124"/>
      <c r="BY24" s="1415"/>
      <c r="BZ24" s="1151"/>
      <c r="CA24" s="1151"/>
      <c r="CB24" s="1151"/>
      <c r="CC24" s="1151" t="s">
        <v>3</v>
      </c>
      <c r="CD24" s="1151" t="s">
        <v>5</v>
      </c>
      <c r="CE24" s="1151" t="s">
        <v>219</v>
      </c>
      <c r="CF24" s="1213" t="s">
        <v>166</v>
      </c>
      <c r="CG24" s="1149"/>
      <c r="CH24" s="1150"/>
      <c r="CI24" s="1150"/>
      <c r="CJ24" s="1201">
        <f>(((((((((CQ39/60)+CP39)/60)+CN24)/60)+CM24)/60)+CL24)/60)+CK24</f>
        <v>0.99932870370370375</v>
      </c>
      <c r="CK24" s="1150">
        <v>0</v>
      </c>
      <c r="CL24" s="1150">
        <v>59</v>
      </c>
      <c r="CM24" s="1150">
        <v>57</v>
      </c>
      <c r="CN24" s="1401">
        <v>35</v>
      </c>
      <c r="CZ24" s="1212" t="s">
        <v>5</v>
      </c>
      <c r="DA24" s="1213">
        <f>[1]!roz(DC22,DC23,DC24,DC25)</f>
        <v>29.25349537037037</v>
      </c>
      <c r="DB24" s="1151" t="s">
        <v>166</v>
      </c>
      <c r="DC24" s="1213">
        <v>5</v>
      </c>
      <c r="DO24" s="1279"/>
      <c r="DP24" s="1268">
        <f>INT(DP19/2)*30+(DP19-1-INT(DP19/2))*29</f>
        <v>295</v>
      </c>
      <c r="DQ24" s="1139"/>
      <c r="DR24" s="1139"/>
      <c r="DS24" s="1139"/>
      <c r="DT24" s="1139"/>
      <c r="DU24" s="1139"/>
      <c r="DV24" s="1139"/>
      <c r="DW24" s="1139"/>
      <c r="DX24" s="1139"/>
      <c r="DY24" s="1139"/>
      <c r="DZ24" s="1139"/>
      <c r="EA24" s="1139"/>
      <c r="EB24" s="1139"/>
      <c r="EL24" s="1212" t="s">
        <v>5</v>
      </c>
      <c r="EM24" s="1213">
        <v>3</v>
      </c>
      <c r="EN24" s="1151" t="s">
        <v>166</v>
      </c>
      <c r="EO24" s="1213">
        <v>0</v>
      </c>
      <c r="EP24" s="1136"/>
      <c r="EQ24" s="1136"/>
      <c r="ER24" s="1136"/>
      <c r="ES24" s="1136"/>
      <c r="ET24" s="1136"/>
      <c r="EU24" s="1136"/>
      <c r="EV24" s="1136"/>
      <c r="EW24" s="1136"/>
      <c r="EX24" s="1136"/>
      <c r="EY24" s="1136"/>
      <c r="FE24" s="2454">
        <v>207</v>
      </c>
      <c r="FF24" s="2455">
        <f t="shared" si="100"/>
        <v>216</v>
      </c>
      <c r="FG24" s="2468">
        <v>217</v>
      </c>
      <c r="FH24" s="2455">
        <f t="shared" si="101"/>
        <v>225</v>
      </c>
      <c r="FI24" s="2454">
        <v>151</v>
      </c>
      <c r="FJ24" s="2458">
        <f t="shared" si="102"/>
        <v>153</v>
      </c>
      <c r="FK24" s="2461">
        <f>FJ24+1</f>
        <v>154</v>
      </c>
      <c r="FL24" s="2458">
        <f t="shared" si="103"/>
        <v>165</v>
      </c>
      <c r="FM24" s="2474">
        <f>FL24+1</f>
        <v>166</v>
      </c>
      <c r="FN24" s="2475">
        <f t="shared" si="104"/>
        <v>178</v>
      </c>
      <c r="FO24" s="2454">
        <f>FN24+1</f>
        <v>179</v>
      </c>
      <c r="FP24" s="2455">
        <f t="shared" ref="FP24:FP30" si="115">FO24+10</f>
        <v>189</v>
      </c>
      <c r="FQ24" s="2454">
        <f t="shared" si="94"/>
        <v>190</v>
      </c>
      <c r="FR24" s="2455">
        <f t="shared" si="94"/>
        <v>191</v>
      </c>
      <c r="FS24" s="2454">
        <f t="shared" si="94"/>
        <v>192</v>
      </c>
      <c r="FT24" s="2455">
        <f t="shared" si="105"/>
        <v>198</v>
      </c>
      <c r="FU24" s="2454">
        <f t="shared" si="95"/>
        <v>199</v>
      </c>
      <c r="FV24" s="2455">
        <f t="shared" si="106"/>
        <v>206</v>
      </c>
      <c r="GI24" s="1226" t="s">
        <v>1568</v>
      </c>
      <c r="GJ24" s="1128">
        <f t="shared" ref="GJ24:GJ28" si="116">(((GM24/60)+GL24)/60)+GK24</f>
        <v>8.2172222222222224</v>
      </c>
      <c r="GK24" s="1128">
        <v>8</v>
      </c>
      <c r="GL24" s="1128">
        <v>13</v>
      </c>
      <c r="GM24" s="1128">
        <v>2</v>
      </c>
      <c r="GN24" s="1128">
        <f>GN23</f>
        <v>3.8772310185185184</v>
      </c>
      <c r="GO24" s="1128">
        <f>IF(GJ24&gt;GN24,GJ24-GN24,GJ24-GN24+360)</f>
        <v>4.3399912037037041</v>
      </c>
      <c r="GP24" s="1128"/>
      <c r="GQ24" s="1128">
        <f>GQ23</f>
        <v>3.8772310185185184</v>
      </c>
      <c r="GR24" s="1128">
        <f t="shared" si="107"/>
        <v>12.094453240740741</v>
      </c>
      <c r="GS24" s="1204">
        <f>[1]!qarnam(GK6,GK7,GK8)</f>
        <v>4.3399912037037041</v>
      </c>
      <c r="GT24" s="1205">
        <f t="shared" si="108"/>
        <v>4.3399912037037041</v>
      </c>
      <c r="GU24" s="1761">
        <f t="shared" ref="GU24:GU29" si="117">INT(ABS(GT24))</f>
        <v>4</v>
      </c>
      <c r="GV24" s="1761">
        <f t="shared" ref="GV24:GV29" si="118">INT((ABS(GT24)-GU24)*60)</f>
        <v>20</v>
      </c>
      <c r="GW24" s="1761">
        <f t="shared" ref="GW24:GW29" si="119">INT((((ABS(GT24)-GU24)*60)-GV24)*60)</f>
        <v>23</v>
      </c>
      <c r="GX24" s="1797">
        <f t="shared" ref="GX24:GX29" si="120">INT((((((ABS(GT24)-GU24)*60)-GV24)*60)-GW24)*60)</f>
        <v>58</v>
      </c>
      <c r="GZ24" s="1496">
        <f>[1]!tzaman2(HI5,HI6,HI7)</f>
        <v>-0.19153123950857084</v>
      </c>
      <c r="HA24" s="1496" t="s">
        <v>3785</v>
      </c>
      <c r="HB24" s="1496">
        <f>[1]!tzaman(HB23)</f>
        <v>-0.19153123950857084</v>
      </c>
      <c r="HC24" s="1554">
        <f t="shared" ref="HC24" si="121">INT(ABS(HB24))</f>
        <v>0</v>
      </c>
      <c r="HD24" s="1554">
        <f t="shared" ref="HD24" si="122">INT((ABS(HB24)-HC24)*60)</f>
        <v>11</v>
      </c>
      <c r="HE24" s="1554">
        <f t="shared" ref="HE24" si="123">INT((((ABS(HB24)-HC24)*60)-HD24)*60)</f>
        <v>29</v>
      </c>
      <c r="HF24" s="1554">
        <f t="shared" ref="HF24" si="124">INT((((((ABS(HB24)-HC24)*60)-HD24)*60)-HE24)*60)</f>
        <v>30</v>
      </c>
      <c r="HG24" s="845"/>
      <c r="HH24" s="845"/>
      <c r="HJ24" s="1758"/>
      <c r="HK24" s="1758"/>
      <c r="HL24" s="1496"/>
      <c r="HM24" s="1496"/>
      <c r="HN24" s="845"/>
      <c r="HO24" s="1496"/>
      <c r="HP24" s="1496"/>
      <c r="HQ24" s="1496"/>
      <c r="HR24" s="1496"/>
      <c r="HS24" s="1496"/>
      <c r="HT24" s="1496"/>
      <c r="HU24" s="1496"/>
    </row>
    <row r="25" spans="2:262">
      <c r="B25" s="1191" t="s">
        <v>1410</v>
      </c>
      <c r="C25" s="1192"/>
      <c r="D25" s="1192"/>
      <c r="E25" s="1123"/>
      <c r="F25" s="1192"/>
      <c r="G25" s="1192"/>
      <c r="H25" s="1192"/>
      <c r="I25" s="1192"/>
      <c r="J25" s="1192"/>
      <c r="K25" s="1192"/>
      <c r="L25" s="1192"/>
      <c r="M25" s="1192"/>
      <c r="N25" s="1200"/>
      <c r="O25" s="1130" t="s">
        <v>2202</v>
      </c>
      <c r="R25" s="1130" t="str">
        <f>[1]!kername(R10)</f>
        <v xml:space="preserve">bab ashtamy pkhehe soody </v>
      </c>
      <c r="V25" s="1149"/>
      <c r="W25" s="1259"/>
      <c r="X25" s="1179" t="e">
        <f ca="1">[2]!mtl(X24)</f>
        <v>#NAME?</v>
      </c>
      <c r="Y25" s="1154" t="e">
        <f t="shared" ca="1" si="81"/>
        <v>#NAME?</v>
      </c>
      <c r="Z25" s="1154" t="e">
        <f t="shared" ca="1" si="82"/>
        <v>#NAME?</v>
      </c>
      <c r="AA25" s="1154" t="e">
        <f t="shared" ca="1" si="83"/>
        <v>#NAME?</v>
      </c>
      <c r="AB25" s="1154" t="e">
        <f t="shared" ca="1" si="84"/>
        <v>#NAME?</v>
      </c>
      <c r="AC25" s="1154" t="e">
        <f t="shared" ca="1" si="85"/>
        <v>#NAME?</v>
      </c>
      <c r="AD25" s="1154" t="e">
        <f t="shared" ca="1" si="86"/>
        <v>#NAME?</v>
      </c>
      <c r="AE25" s="1155" t="e">
        <f t="shared" ca="1" si="87"/>
        <v>#NAME?</v>
      </c>
      <c r="AJ25" s="1297"/>
      <c r="AK25" s="1179">
        <f>AK18</f>
        <v>24.488216435185187</v>
      </c>
      <c r="AL25" s="1259">
        <f t="shared" ref="AL25:AL36" si="125">INT(ABS(AK25))</f>
        <v>24</v>
      </c>
      <c r="AM25" s="1259">
        <f t="shared" ref="AM25:AM36" si="126">INT((ABS(AK25)-AL25)*60)</f>
        <v>29</v>
      </c>
      <c r="AN25" s="1259">
        <f t="shared" ref="AN25:AN36" si="127">INT((((ABS(AK25)-AL25)*60)-AM25)*60)</f>
        <v>17</v>
      </c>
      <c r="AO25" s="1259">
        <f t="shared" ref="AO25:AO36" si="128">INT((((((ABS(AK25)-AL25)*60)-AM25)*60)-AN25)*60)</f>
        <v>34</v>
      </c>
      <c r="AP25" s="1298"/>
      <c r="AQ25" s="1208"/>
      <c r="AR25" s="1208"/>
      <c r="AS25" s="1209" t="str">
        <f t="shared" ref="AS25:BA25" si="129">IF(AS24=1,"حمل",IF(AS24=2,"ثور",IF(AS24=3,"جوزاء",IF(AS24=4,"سرطان",IF(AS24=5,"اسد",IF(AS24=6,"سنبله",IF(AS24=7,"میزان",IF(AS24=8,"عقرب",IF(AS24=9,"قوس",IF(AS24=10,"جدی",IF(AS24=11,"دلو","حوت")))))))))))</f>
        <v>حوت</v>
      </c>
      <c r="AT25" s="1209" t="str">
        <f t="shared" si="129"/>
        <v>عقرب</v>
      </c>
      <c r="AU25" s="1156" t="str">
        <f t="shared" si="129"/>
        <v>حمل</v>
      </c>
      <c r="AV25" s="1156" t="str">
        <f t="shared" si="129"/>
        <v>میزان</v>
      </c>
      <c r="AW25" s="1209" t="str">
        <f t="shared" si="129"/>
        <v>ثور</v>
      </c>
      <c r="AX25" s="1209" t="str">
        <f t="shared" si="129"/>
        <v>سنبله</v>
      </c>
      <c r="AY25" s="1156" t="str">
        <f t="shared" si="129"/>
        <v>سرطان</v>
      </c>
      <c r="AZ25" s="1209" t="str">
        <f t="shared" si="129"/>
        <v>جوزاء</v>
      </c>
      <c r="BA25" s="1157" t="str">
        <f t="shared" si="129"/>
        <v>قوس</v>
      </c>
      <c r="BC25" s="1144" t="s">
        <v>176</v>
      </c>
      <c r="BD25" s="1146">
        <f>IF(BF25&gt;=0,1,-1)</f>
        <v>1</v>
      </c>
      <c r="BE25" s="1146" t="s">
        <v>359</v>
      </c>
      <c r="BF25" s="1146">
        <f>[1]!bkm(BF2,BF9,BF7)</f>
        <v>8.896606192528111</v>
      </c>
      <c r="BG25" s="1121">
        <f t="shared" si="90"/>
        <v>8</v>
      </c>
      <c r="BH25" s="1121">
        <f t="shared" si="91"/>
        <v>53</v>
      </c>
      <c r="BI25" s="1121">
        <f t="shared" si="92"/>
        <v>47</v>
      </c>
      <c r="BJ25" s="1202">
        <f t="shared" si="93"/>
        <v>46</v>
      </c>
      <c r="BW25" s="1124"/>
      <c r="BX25" s="1124"/>
      <c r="BY25" s="1416"/>
      <c r="BZ25" s="1208"/>
      <c r="CA25" s="1208" t="s">
        <v>720</v>
      </c>
      <c r="CB25" s="1208">
        <f>CB22/CB23</f>
        <v>0.89803423526430193</v>
      </c>
      <c r="CC25" s="1417">
        <f t="shared" ref="CC25:CC30" si="130">INT(ABS(CB25))</f>
        <v>0</v>
      </c>
      <c r="CD25" s="1417">
        <f>INT((ABS(CB25)-CC25)*CB23)</f>
        <v>328</v>
      </c>
      <c r="CE25" s="1417">
        <f>INT((((ABS(CB25)-CC25)*CB23)-CD25)*24)</f>
        <v>0</v>
      </c>
      <c r="CF25" s="1418">
        <f>INT((((((ABS(CB25)-CC25)*CB23)-CD25)*24)-CE25)*60)</f>
        <v>0</v>
      </c>
      <c r="CG25" s="1149"/>
      <c r="CH25" s="1150"/>
      <c r="CI25" s="1150"/>
      <c r="CJ25" s="1150">
        <f>CJ23*CJ24</f>
        <v>0.41212456582589813</v>
      </c>
      <c r="CK25" s="1201">
        <f>INT(ABS(CJ25))</f>
        <v>0</v>
      </c>
      <c r="CL25" s="1201">
        <f>INT((ABS(CJ25)-CK25)*60)</f>
        <v>24</v>
      </c>
      <c r="CM25" s="1201">
        <f>INT((((ABS(CJ25)-CK25)*60)-CL25)*60)</f>
        <v>43</v>
      </c>
      <c r="CN25" s="1403">
        <f>INT((((((ABS(CJ25)-CK25)*60)-CL25)*60)-CM25)*60)</f>
        <v>38</v>
      </c>
      <c r="CZ25" s="1207" t="s">
        <v>393</v>
      </c>
      <c r="DA25" s="1219">
        <f>[1]!mbtool(1,25,0,1)</f>
        <v>5.9027777777777776E-2</v>
      </c>
      <c r="DB25" s="1208" t="s">
        <v>167</v>
      </c>
      <c r="DC25" s="1219">
        <v>2</v>
      </c>
      <c r="DO25" s="1267"/>
      <c r="DP25" s="1268">
        <f>INT(DP23+DP24+DP20)</f>
        <v>511671</v>
      </c>
      <c r="DQ25" s="1139"/>
      <c r="DR25" s="1139"/>
      <c r="DS25" s="1139"/>
      <c r="DT25" s="1139"/>
      <c r="DU25" s="1139"/>
      <c r="DV25" s="1139"/>
      <c r="DW25" s="1139"/>
      <c r="DX25" s="1139"/>
      <c r="DY25" s="1139"/>
      <c r="DZ25" s="1139"/>
      <c r="EA25" s="1139"/>
      <c r="EB25" s="1139"/>
      <c r="EL25" s="1207" t="s">
        <v>393</v>
      </c>
      <c r="EM25" s="1219">
        <f>[1]!mbtool(1,25,0,1)</f>
        <v>5.9027777777777776E-2</v>
      </c>
      <c r="EN25" s="1208" t="s">
        <v>167</v>
      </c>
      <c r="EO25" s="1219">
        <v>0</v>
      </c>
      <c r="EP25" s="1136"/>
      <c r="EQ25" s="1136"/>
      <c r="ER25" s="1136"/>
      <c r="ES25" s="1136"/>
      <c r="ET25" s="1136"/>
      <c r="EU25" s="1136"/>
      <c r="EV25" s="1136"/>
      <c r="EW25" s="1136"/>
      <c r="EX25" s="1136"/>
      <c r="EY25" s="1136"/>
      <c r="FE25" s="2454">
        <v>279</v>
      </c>
      <c r="FF25" s="2455">
        <f t="shared" si="100"/>
        <v>288</v>
      </c>
      <c r="FG25" s="2468">
        <v>289</v>
      </c>
      <c r="FH25" s="2455">
        <f t="shared" si="101"/>
        <v>297</v>
      </c>
      <c r="FI25" s="2454">
        <f>FH25+1</f>
        <v>298</v>
      </c>
      <c r="FJ25" s="2458">
        <f t="shared" si="102"/>
        <v>300</v>
      </c>
      <c r="FK25" s="2461">
        <v>226</v>
      </c>
      <c r="FL25" s="2458">
        <f t="shared" si="103"/>
        <v>237</v>
      </c>
      <c r="FM25" s="2474">
        <f>FL25+1</f>
        <v>238</v>
      </c>
      <c r="FN25" s="2475">
        <f t="shared" si="104"/>
        <v>250</v>
      </c>
      <c r="FO25" s="2454">
        <f>FN25+1</f>
        <v>251</v>
      </c>
      <c r="FP25" s="2455">
        <f t="shared" si="115"/>
        <v>261</v>
      </c>
      <c r="FQ25" s="2454">
        <f t="shared" si="94"/>
        <v>262</v>
      </c>
      <c r="FR25" s="2455">
        <f t="shared" si="94"/>
        <v>263</v>
      </c>
      <c r="FS25" s="2454">
        <f t="shared" si="94"/>
        <v>264</v>
      </c>
      <c r="FT25" s="2455">
        <f t="shared" si="105"/>
        <v>270</v>
      </c>
      <c r="FU25" s="2454">
        <f t="shared" si="95"/>
        <v>271</v>
      </c>
      <c r="FV25" s="2455">
        <f t="shared" si="106"/>
        <v>278</v>
      </c>
      <c r="GI25" s="1226" t="s">
        <v>1569</v>
      </c>
      <c r="GJ25" s="1128">
        <f>(((GM25/60)+GL25)/60)+GK25</f>
        <v>215.76722222222222</v>
      </c>
      <c r="GK25" s="1128">
        <v>215</v>
      </c>
      <c r="GL25" s="1128">
        <v>46</v>
      </c>
      <c r="GM25" s="1128">
        <v>2</v>
      </c>
      <c r="GN25" s="1128">
        <f t="shared" ref="GN25:GN29" si="131">GN24</f>
        <v>3.8772310185185184</v>
      </c>
      <c r="GO25" s="1128">
        <f>IF(GJ25&gt;GN25,GJ25-GN25,GJ25-GN25+360)</f>
        <v>211.88999120370369</v>
      </c>
      <c r="GP25" s="1128"/>
      <c r="GQ25" s="1128">
        <f t="shared" ref="GQ25:GQ28" si="132">GQ24</f>
        <v>3.8772310185185184</v>
      </c>
      <c r="GR25" s="1128">
        <f t="shared" si="107"/>
        <v>219.64445324074075</v>
      </c>
      <c r="GS25" s="1204">
        <f>[1]!sarmoosh(GK6,GK7,GK8)</f>
        <v>211.88999120370369</v>
      </c>
      <c r="GT25" s="1205">
        <f t="shared" si="108"/>
        <v>211.88999120370369</v>
      </c>
      <c r="GU25" s="1761">
        <f t="shared" si="117"/>
        <v>211</v>
      </c>
      <c r="GV25" s="1761">
        <f t="shared" si="118"/>
        <v>53</v>
      </c>
      <c r="GW25" s="1761">
        <f t="shared" si="119"/>
        <v>23</v>
      </c>
      <c r="GX25" s="1797">
        <f t="shared" si="120"/>
        <v>58</v>
      </c>
      <c r="GZ25" s="1496"/>
      <c r="HA25" s="1496"/>
      <c r="HB25" s="1496"/>
      <c r="HC25" s="1496"/>
      <c r="HD25" s="1496"/>
      <c r="HE25" s="1496"/>
      <c r="HF25" s="1496"/>
      <c r="HG25" s="845"/>
      <c r="HH25" s="845"/>
      <c r="HJ25" s="1496"/>
      <c r="HK25" s="1496"/>
      <c r="HL25" s="1496"/>
      <c r="HM25" s="1496"/>
      <c r="HN25" s="1496"/>
      <c r="HO25" s="1496"/>
      <c r="HP25" s="1496"/>
      <c r="HQ25" s="1496"/>
      <c r="HR25" s="1496"/>
      <c r="HS25" s="1496"/>
      <c r="HT25" s="1496"/>
      <c r="HU25" s="1496"/>
    </row>
    <row r="26" spans="2:262">
      <c r="B26" s="1187" t="s">
        <v>60</v>
      </c>
      <c r="C26" s="1159">
        <f>R4</f>
        <v>1345</v>
      </c>
      <c r="D26" s="1151"/>
      <c r="E26" s="1151"/>
      <c r="F26" s="1151"/>
      <c r="G26" s="1151"/>
      <c r="H26" s="1151"/>
      <c r="I26" s="1146" t="s">
        <v>378</v>
      </c>
      <c r="J26" s="1146">
        <f>[1]!taqsh(C26,C27,C28,C29)</f>
        <v>171.97572840728412</v>
      </c>
      <c r="K26" s="1121">
        <f>INT(ABS(J26))</f>
        <v>171</v>
      </c>
      <c r="L26" s="1121">
        <f t="shared" ref="L26:L43" si="133">INT((ABS(J26)-K26)*60)</f>
        <v>58</v>
      </c>
      <c r="M26" s="1121">
        <f t="shared" ref="M26:M43" si="134">INT((((ABS(J26)-K26)*60)-L26)*60)</f>
        <v>32</v>
      </c>
      <c r="N26" s="1202">
        <f t="shared" ref="N26:N43" si="135">INT((((((ABS(J26)-K26)*60)-L26)*60)-M26)*60)</f>
        <v>37</v>
      </c>
      <c r="S26" s="1124"/>
      <c r="T26" s="1124"/>
      <c r="V26" s="1273"/>
      <c r="W26" s="1259" t="s">
        <v>1406</v>
      </c>
      <c r="X26" s="1179" t="e">
        <f ca="1">(360+(IF(X25&gt;X23,X25-X23,X25+360-X23)))/24</f>
        <v>#NAME?</v>
      </c>
      <c r="Y26" s="1154" t="e">
        <f t="shared" ca="1" si="81"/>
        <v>#NAME?</v>
      </c>
      <c r="Z26" s="1154" t="e">
        <f t="shared" ca="1" si="82"/>
        <v>#NAME?</v>
      </c>
      <c r="AA26" s="1154" t="e">
        <f t="shared" ca="1" si="83"/>
        <v>#NAME?</v>
      </c>
      <c r="AB26" s="1154" t="e">
        <f t="shared" ca="1" si="84"/>
        <v>#NAME?</v>
      </c>
      <c r="AC26" s="1154" t="e">
        <f t="shared" ca="1" si="85"/>
        <v>#NAME?</v>
      </c>
      <c r="AD26" s="1154" t="e">
        <f t="shared" ca="1" si="86"/>
        <v>#NAME?</v>
      </c>
      <c r="AE26" s="1155" t="e">
        <f t="shared" ca="1" si="87"/>
        <v>#NAME?</v>
      </c>
      <c r="AJ26" s="1297" t="s">
        <v>2284</v>
      </c>
      <c r="AK26" s="1179">
        <f>IF(AK24+AK25&lt;=360,AK24+AK25,AK24+AK25-360)</f>
        <v>280.96755448783153</v>
      </c>
      <c r="AL26" s="1259">
        <f t="shared" si="125"/>
        <v>280</v>
      </c>
      <c r="AM26" s="1259">
        <f t="shared" si="126"/>
        <v>58</v>
      </c>
      <c r="AN26" s="1259">
        <f t="shared" si="127"/>
        <v>3</v>
      </c>
      <c r="AO26" s="1259">
        <f t="shared" si="128"/>
        <v>11</v>
      </c>
      <c r="AP26" s="1298"/>
      <c r="AQ26" s="1192">
        <v>11</v>
      </c>
      <c r="AR26" s="1192" t="str">
        <f>IF(AQ26=1,"حمل",IF(AQ26=2,"ثور",IF(AQ26=3,"جوزاء",IF(AQ26=4,"سرطان",IF(AQ26=5,"اسد",IF(AQ26=6,"سنبله",IF(AQ26=7,"میزان",IF(AQ26=8,"عقرب",IF(AQ26=9,"قوس",IF(AQ26=10,"جدی",IF(AQ26=11,"دلو","حوت")))))))))))</f>
        <v>دلو</v>
      </c>
      <c r="AS26" s="1181">
        <f>IF(AQ26+2&lt;=12,AQ26+2,AQ26+2-12)</f>
        <v>1</v>
      </c>
      <c r="AT26" s="1181">
        <f>IF(AQ26-2&gt;0,AQ26-2,AQ26+12-2)</f>
        <v>9</v>
      </c>
      <c r="AU26" s="1137">
        <f>IF(AQ26+3&lt;=12,AQ26+3,AQ26+3-12)</f>
        <v>2</v>
      </c>
      <c r="AV26" s="1137">
        <f>IF(AQ26-3&gt;0,AQ26-3,AQ26+12-3)</f>
        <v>8</v>
      </c>
      <c r="AW26" s="1181">
        <f>IF(AQ26+4&lt;=12,AQ26+4,AQ26+4-12)</f>
        <v>3</v>
      </c>
      <c r="AX26" s="1181">
        <f>IF(AQ26-4&gt;0,AQ26-4,AQ26+12-4)</f>
        <v>7</v>
      </c>
      <c r="AY26" s="1137">
        <f>IF(AQ26+6&lt;=12,AQ26+6,AQ26+6-12)</f>
        <v>5</v>
      </c>
      <c r="AZ26" s="1181">
        <f>13-AQ26</f>
        <v>2</v>
      </c>
      <c r="BA26" s="1138">
        <f>IF(AQ26&lt;=6,7-AQ26,19-AQ26)</f>
        <v>8</v>
      </c>
      <c r="BC26" s="1144"/>
      <c r="BD26" s="1146"/>
      <c r="BE26" s="1146" t="s">
        <v>1455</v>
      </c>
      <c r="BF26" s="1146">
        <f>[1]!tdnk(BF19,BF13)</f>
        <v>6.2521927999514588</v>
      </c>
      <c r="BG26" s="1121">
        <f t="shared" si="90"/>
        <v>6</v>
      </c>
      <c r="BH26" s="1121">
        <f t="shared" si="91"/>
        <v>15</v>
      </c>
      <c r="BI26" s="1121">
        <f t="shared" si="92"/>
        <v>7</v>
      </c>
      <c r="BJ26" s="1202">
        <f t="shared" si="93"/>
        <v>53</v>
      </c>
      <c r="BW26" s="1124"/>
      <c r="BX26" s="1124"/>
      <c r="BY26" s="1419"/>
      <c r="BZ26" s="1192"/>
      <c r="CA26" s="1192" t="s">
        <v>378</v>
      </c>
      <c r="CB26" s="1200">
        <f>CB10</f>
        <v>78.089903838591269</v>
      </c>
      <c r="CC26" s="1123">
        <f t="shared" si="130"/>
        <v>78</v>
      </c>
      <c r="CD26" s="1123">
        <f>INT((ABS(CB26)-CC26)*60)</f>
        <v>5</v>
      </c>
      <c r="CE26" s="1123">
        <f>INT((((ABS(CB26)-CC26)*60)-CD26)*60)</f>
        <v>23</v>
      </c>
      <c r="CF26" s="1421">
        <f>INT((((((ABS(CB26)-CC26)*60)-CD26)*60)-CE26)*60)</f>
        <v>39</v>
      </c>
      <c r="CG26" s="1149"/>
      <c r="CH26" s="1150"/>
      <c r="CI26" s="1150"/>
      <c r="CJ26" s="1150">
        <f>IF(CJ25+CB17&lt;360,CJ25+CB17,CJ25+CB17-360)</f>
        <v>58.934867407525367</v>
      </c>
      <c r="CK26" s="1201">
        <f>INT(ABS(CJ26))</f>
        <v>58</v>
      </c>
      <c r="CL26" s="1201">
        <f>INT((ABS(CJ26)-CK26)*60)</f>
        <v>56</v>
      </c>
      <c r="CM26" s="1201">
        <f>INT((((ABS(CJ26)-CK26)*60)-CL26)*60)</f>
        <v>5</v>
      </c>
      <c r="CN26" s="1403">
        <f>INT((((((ABS(CJ26)-CK26)*60)-CL26)*60)-CM26)*60)</f>
        <v>31</v>
      </c>
      <c r="CZ26" s="1218" t="s">
        <v>87</v>
      </c>
      <c r="DA26" s="1211">
        <v>354.36709259258998</v>
      </c>
      <c r="DO26" s="1139"/>
      <c r="DP26" s="1139">
        <f>(DP25/DP22)+1</f>
        <v>1444.90100180171</v>
      </c>
      <c r="DQ26" s="1139"/>
      <c r="DR26" s="1139"/>
      <c r="DS26" s="1139"/>
      <c r="DT26" s="1139"/>
      <c r="DU26" s="1139"/>
      <c r="DV26" s="1139"/>
      <c r="DW26" s="1139"/>
      <c r="DX26" s="1139"/>
      <c r="DY26" s="1139"/>
      <c r="DZ26" s="1139"/>
      <c r="EA26" s="1139"/>
      <c r="EB26" s="1139"/>
      <c r="EL26" s="1275" t="s">
        <v>87</v>
      </c>
      <c r="EM26" s="1200">
        <v>354.36709259258998</v>
      </c>
      <c r="EN26" s="1136"/>
      <c r="EO26" s="1136"/>
      <c r="EP26" s="1136"/>
      <c r="EQ26" s="1136"/>
      <c r="ER26" s="1136"/>
      <c r="ES26" s="1136"/>
      <c r="ET26" s="1136"/>
      <c r="EU26" s="1136"/>
      <c r="EV26" s="1136"/>
      <c r="EW26" s="1136"/>
      <c r="EX26" s="1136"/>
      <c r="EY26" s="1136"/>
      <c r="FE26" s="2454">
        <v>342</v>
      </c>
      <c r="FF26" s="2455">
        <f t="shared" si="100"/>
        <v>351</v>
      </c>
      <c r="FG26" s="2468">
        <v>352</v>
      </c>
      <c r="FH26" s="2455">
        <f t="shared" si="101"/>
        <v>360</v>
      </c>
      <c r="FI26" s="2454">
        <f t="shared" ref="FI26:FI30" si="136">FH26+1</f>
        <v>361</v>
      </c>
      <c r="FJ26" s="2458">
        <f t="shared" si="102"/>
        <v>363</v>
      </c>
      <c r="FK26" s="2461">
        <f>FJ26+1</f>
        <v>364</v>
      </c>
      <c r="FL26" s="2458">
        <f t="shared" si="103"/>
        <v>375</v>
      </c>
      <c r="FM26" s="2474">
        <v>301</v>
      </c>
      <c r="FN26" s="2475">
        <f t="shared" si="104"/>
        <v>313</v>
      </c>
      <c r="FO26" s="2454">
        <f>FN26+1</f>
        <v>314</v>
      </c>
      <c r="FP26" s="2455">
        <f t="shared" si="115"/>
        <v>324</v>
      </c>
      <c r="FQ26" s="2454">
        <f t="shared" si="94"/>
        <v>325</v>
      </c>
      <c r="FR26" s="2455">
        <f t="shared" si="94"/>
        <v>326</v>
      </c>
      <c r="FS26" s="2454">
        <f t="shared" si="94"/>
        <v>327</v>
      </c>
      <c r="FT26" s="2455">
        <f t="shared" si="105"/>
        <v>333</v>
      </c>
      <c r="FU26" s="2454">
        <f t="shared" si="95"/>
        <v>334</v>
      </c>
      <c r="FV26" s="2455">
        <f t="shared" si="106"/>
        <v>341</v>
      </c>
      <c r="GI26" s="1226" t="s">
        <v>1570</v>
      </c>
      <c r="GJ26" s="1128">
        <f t="shared" si="116"/>
        <v>258.30055555555555</v>
      </c>
      <c r="GK26" s="1128">
        <v>258</v>
      </c>
      <c r="GL26" s="1128">
        <v>18</v>
      </c>
      <c r="GM26" s="1128">
        <v>2</v>
      </c>
      <c r="GN26" s="1128">
        <f t="shared" si="131"/>
        <v>3.8772310185185184</v>
      </c>
      <c r="GO26" s="1128">
        <f>IF(GJ26&gt;GN26,GJ26-GN26,GJ26-GN26+360)</f>
        <v>254.42332453703702</v>
      </c>
      <c r="GP26" s="1128"/>
      <c r="GQ26" s="1128">
        <f t="shared" si="132"/>
        <v>3.8772310185185184</v>
      </c>
      <c r="GR26" s="1128">
        <f t="shared" si="107"/>
        <v>262.17778657407405</v>
      </c>
      <c r="GS26" s="1204">
        <f>[1]!kelab(GK6,GK7,GK8)</f>
        <v>254.42332453703702</v>
      </c>
      <c r="GT26" s="1205">
        <f t="shared" si="108"/>
        <v>254.42332453703702</v>
      </c>
      <c r="GU26" s="1761">
        <f t="shared" si="117"/>
        <v>254</v>
      </c>
      <c r="GV26" s="1761">
        <f t="shared" si="118"/>
        <v>25</v>
      </c>
      <c r="GW26" s="1761">
        <f t="shared" si="119"/>
        <v>23</v>
      </c>
      <c r="GX26" s="1797">
        <f t="shared" si="120"/>
        <v>58</v>
      </c>
      <c r="GZ26" s="1496"/>
      <c r="HA26" s="1496"/>
      <c r="HB26" s="1496"/>
      <c r="HC26" s="1496"/>
      <c r="HD26" s="1496"/>
      <c r="HE26" s="1496"/>
      <c r="HF26" s="1496"/>
      <c r="HG26" s="845"/>
      <c r="HH26" s="845"/>
      <c r="HJ26" s="1496"/>
      <c r="HK26" s="1496"/>
      <c r="HL26" s="1496"/>
      <c r="HM26" s="1496"/>
      <c r="HN26" s="1496"/>
      <c r="HO26" s="1496"/>
      <c r="HP26" s="1496"/>
      <c r="HQ26" s="1496"/>
      <c r="HR26" s="1496"/>
      <c r="HS26" s="1496"/>
      <c r="HT26" s="1496"/>
      <c r="HU26" s="1496"/>
    </row>
    <row r="27" spans="2:262">
      <c r="B27" s="1203" t="s">
        <v>4</v>
      </c>
      <c r="C27" s="1122">
        <f>R5</f>
        <v>3</v>
      </c>
      <c r="D27" s="1151"/>
      <c r="E27" s="1151"/>
      <c r="F27" s="1151"/>
      <c r="G27" s="1151"/>
      <c r="H27" s="1151"/>
      <c r="I27" s="1146" t="s">
        <v>386</v>
      </c>
      <c r="J27" s="1146">
        <f>[1]!oujsh(C26,C27,C28,C29)</f>
        <v>101.9827395222421</v>
      </c>
      <c r="K27" s="1121">
        <f t="shared" ref="K27:K43" si="137">INT(ABS(J27))</f>
        <v>101</v>
      </c>
      <c r="L27" s="1121">
        <f t="shared" si="133"/>
        <v>58</v>
      </c>
      <c r="M27" s="1121">
        <f t="shared" si="134"/>
        <v>57</v>
      </c>
      <c r="N27" s="1202">
        <f t="shared" si="135"/>
        <v>51</v>
      </c>
      <c r="S27" s="1124"/>
      <c r="T27" s="1124"/>
      <c r="V27" s="1273"/>
      <c r="W27" s="1259" t="s">
        <v>1401</v>
      </c>
      <c r="X27" s="1256" t="e">
        <f ca="1">(X26-X21)</f>
        <v>#NAME?</v>
      </c>
      <c r="Y27" s="1276" t="e">
        <f ca="1">INT(ABS(X27))</f>
        <v>#NAME?</v>
      </c>
      <c r="Z27" s="1276" t="e">
        <f ca="1">INT((ABS(X27)-Y27)*60)</f>
        <v>#NAME?</v>
      </c>
      <c r="AA27" s="1276" t="e">
        <f ca="1">INT((((ABS(X27)-Y27)*60)-Z27)*60)</f>
        <v>#NAME?</v>
      </c>
      <c r="AB27" s="1276" t="e">
        <f ca="1">INT((((((ABS(X27)-Y27)*60)-Z27)*60)-AA27)*60)</f>
        <v>#NAME?</v>
      </c>
      <c r="AC27" s="1276" t="e">
        <f ca="1">INT((((((((ABS(X27)-Y27)*60)-Z27)*60)-AA27)*60)-AB27)*60)</f>
        <v>#NAME?</v>
      </c>
      <c r="AD27" s="1276" t="e">
        <f ca="1">INT((((((((((ABS(X27)-Y27)*60)-Z27)*60)-AA27)*60)-AB27)*60)-AC27)*60)</f>
        <v>#NAME?</v>
      </c>
      <c r="AE27" s="1277" t="e">
        <f ca="1">INT((((((((((((ABS(X27)-Y27)*60)-Z27)*60)-AA27)*60)-AB27)*60)-AC27)*60)-AD27)*60)</f>
        <v>#NAME?</v>
      </c>
      <c r="AJ27" s="1297"/>
      <c r="AK27" s="1179">
        <f>13+(1/3)</f>
        <v>13.333333333333334</v>
      </c>
      <c r="AL27" s="1259">
        <f t="shared" si="125"/>
        <v>13</v>
      </c>
      <c r="AM27" s="1259">
        <f t="shared" si="126"/>
        <v>20</v>
      </c>
      <c r="AN27" s="1259">
        <f t="shared" si="127"/>
        <v>0</v>
      </c>
      <c r="AO27" s="1259">
        <f t="shared" si="128"/>
        <v>0</v>
      </c>
      <c r="AP27" s="1298"/>
      <c r="AQ27" s="1208"/>
      <c r="AR27" s="1208"/>
      <c r="AS27" s="1209" t="str">
        <f t="shared" ref="AS27:BA27" si="138">IF(AS26=1,"حمل",IF(AS26=2,"ثور",IF(AS26=3,"جوزاء",IF(AS26=4,"سرطان",IF(AS26=5,"اسد",IF(AS26=6,"سنبله",IF(AS26=7,"میزان",IF(AS26=8,"عقرب",IF(AS26=9,"قوس",IF(AS26=10,"جدی",IF(AS26=11,"دلو","حوت")))))))))))</f>
        <v>حمل</v>
      </c>
      <c r="AT27" s="1209" t="str">
        <f t="shared" si="138"/>
        <v>قوس</v>
      </c>
      <c r="AU27" s="1156" t="str">
        <f t="shared" si="138"/>
        <v>ثور</v>
      </c>
      <c r="AV27" s="1156" t="str">
        <f t="shared" si="138"/>
        <v>عقرب</v>
      </c>
      <c r="AW27" s="1209" t="str">
        <f t="shared" si="138"/>
        <v>جوزاء</v>
      </c>
      <c r="AX27" s="1209" t="str">
        <f t="shared" si="138"/>
        <v>میزان</v>
      </c>
      <c r="AY27" s="1156" t="str">
        <f t="shared" si="138"/>
        <v>اسد</v>
      </c>
      <c r="AZ27" s="1209" t="str">
        <f t="shared" si="138"/>
        <v>ثور</v>
      </c>
      <c r="BA27" s="1157" t="str">
        <f t="shared" si="138"/>
        <v>عقرب</v>
      </c>
      <c r="BC27" s="1144"/>
      <c r="BD27" s="1146">
        <v>4</v>
      </c>
      <c r="BE27" s="1146"/>
      <c r="BF27" s="1146">
        <f>IF(BD19=BD25,IF(BF24-BF26&gt;0,BF24-BF26,BF24+360-BF26),BF24+BF26)</f>
        <v>5.3136458055458462</v>
      </c>
      <c r="BG27" s="1121">
        <f t="shared" si="90"/>
        <v>5</v>
      </c>
      <c r="BH27" s="1121">
        <f t="shared" si="91"/>
        <v>18</v>
      </c>
      <c r="BI27" s="1121">
        <f t="shared" si="92"/>
        <v>49</v>
      </c>
      <c r="BJ27" s="1202">
        <f t="shared" si="93"/>
        <v>7</v>
      </c>
      <c r="BW27" s="1124"/>
      <c r="BX27" s="1124"/>
      <c r="BY27" s="1415"/>
      <c r="BZ27" s="1151"/>
      <c r="CA27" s="1151" t="s">
        <v>177</v>
      </c>
      <c r="CB27" s="1213">
        <v>35</v>
      </c>
      <c r="CC27" s="1197">
        <f t="shared" si="130"/>
        <v>35</v>
      </c>
      <c r="CD27" s="1197">
        <f>INT((ABS(CB27)-CC27)*60)</f>
        <v>0</v>
      </c>
      <c r="CE27" s="1197">
        <f>INT((((ABS(CB27)-CC27)*60)-CD27)*60)</f>
        <v>0</v>
      </c>
      <c r="CF27" s="1420">
        <f>INT((((((ABS(CB27)-CC27)*60)-CD27)*60)-CE27)*60)</f>
        <v>0</v>
      </c>
      <c r="CG27" s="1235"/>
      <c r="CH27" s="1209"/>
      <c r="CI27" s="1209" t="s">
        <v>4642</v>
      </c>
      <c r="CJ27" s="1209">
        <f>[1]!tazmb(CJ2,CJ26,CJ13)</f>
        <v>77.180276741990127</v>
      </c>
      <c r="CK27" s="1402">
        <f>INT(ABS(CJ27))</f>
        <v>77</v>
      </c>
      <c r="CL27" s="1402">
        <f>INT((ABS(CJ27)-CK27)*60)</f>
        <v>10</v>
      </c>
      <c r="CM27" s="1402">
        <f>INT((((ABS(CJ27)-CK27)*60)-CL27)*60)</f>
        <v>48</v>
      </c>
      <c r="CN27" s="1406">
        <f>INT((((((ABS(CJ27)-CK27)*60)-CL27)*60)-CM27)*60)</f>
        <v>59</v>
      </c>
      <c r="CZ27" s="1221"/>
      <c r="DA27" s="1216">
        <f>(DA22-1)*DA26</f>
        <v>506390.57531481108</v>
      </c>
      <c r="DO27" s="1139"/>
      <c r="DP27" s="1139">
        <f>DP26-DU18</f>
        <v>193.90100180170998</v>
      </c>
      <c r="DQ27" s="1139"/>
      <c r="DR27" s="1139"/>
      <c r="DS27" s="1139"/>
      <c r="DT27" s="1139"/>
      <c r="DU27" s="1139"/>
      <c r="DV27" s="1139"/>
      <c r="DW27" s="1139"/>
      <c r="DX27" s="1139"/>
      <c r="DY27" s="1139"/>
      <c r="DZ27" s="1139"/>
      <c r="EA27" s="1139"/>
      <c r="EB27" s="1139"/>
      <c r="EL27" s="1280"/>
      <c r="EM27" s="1213">
        <f>(EM22-1)*EM26</f>
        <v>442958.86574073747</v>
      </c>
      <c r="EN27" s="1136"/>
      <c r="EO27" s="1136"/>
      <c r="EP27" s="1136"/>
      <c r="EQ27" s="1136"/>
      <c r="ER27" s="1136"/>
      <c r="ES27" s="1136"/>
      <c r="ET27" s="1136"/>
      <c r="EU27" s="1136"/>
      <c r="EV27" s="1136"/>
      <c r="EW27" s="1136"/>
      <c r="EX27" s="1136"/>
      <c r="EY27" s="1136"/>
      <c r="FE27" s="2454">
        <v>404</v>
      </c>
      <c r="FF27" s="2455">
        <f t="shared" si="100"/>
        <v>413</v>
      </c>
      <c r="FG27" s="2468">
        <v>414</v>
      </c>
      <c r="FH27" s="2455">
        <f t="shared" si="101"/>
        <v>422</v>
      </c>
      <c r="FI27" s="2454">
        <f t="shared" si="136"/>
        <v>423</v>
      </c>
      <c r="FJ27" s="2458">
        <f t="shared" si="102"/>
        <v>425</v>
      </c>
      <c r="FK27" s="2461">
        <f>FJ27+1</f>
        <v>426</v>
      </c>
      <c r="FL27" s="2458">
        <f t="shared" si="103"/>
        <v>437</v>
      </c>
      <c r="FM27" s="2474">
        <f>FL27+1</f>
        <v>438</v>
      </c>
      <c r="FN27" s="2475">
        <f t="shared" si="104"/>
        <v>450</v>
      </c>
      <c r="FO27" s="2454">
        <v>376</v>
      </c>
      <c r="FP27" s="2455">
        <f t="shared" si="115"/>
        <v>386</v>
      </c>
      <c r="FQ27" s="2454">
        <f t="shared" si="94"/>
        <v>387</v>
      </c>
      <c r="FR27" s="2455">
        <f t="shared" si="94"/>
        <v>388</v>
      </c>
      <c r="FS27" s="2454">
        <f t="shared" si="94"/>
        <v>389</v>
      </c>
      <c r="FT27" s="2455">
        <f t="shared" si="105"/>
        <v>395</v>
      </c>
      <c r="FU27" s="2454">
        <f t="shared" si="95"/>
        <v>396</v>
      </c>
      <c r="FV27" s="2455">
        <f t="shared" si="106"/>
        <v>403</v>
      </c>
      <c r="GI27" s="1226" t="s">
        <v>1571</v>
      </c>
      <c r="GJ27" s="1128">
        <f t="shared" si="116"/>
        <v>256.7838888888889</v>
      </c>
      <c r="GK27" s="1128">
        <v>256</v>
      </c>
      <c r="GL27" s="1128">
        <v>47</v>
      </c>
      <c r="GM27" s="1128">
        <v>2</v>
      </c>
      <c r="GN27" s="1128">
        <f t="shared" si="131"/>
        <v>3.8772310185185184</v>
      </c>
      <c r="GO27" s="1128">
        <f>IF(GJ27&gt;GN27,GJ27-GN27,GJ27-GN27+360)</f>
        <v>252.90665787037037</v>
      </c>
      <c r="GP27" s="1128"/>
      <c r="GQ27" s="1128">
        <f t="shared" si="132"/>
        <v>3.8772310185185184</v>
      </c>
      <c r="GR27" s="1128">
        <f t="shared" si="107"/>
        <v>260.6611199074074</v>
      </c>
      <c r="GS27" s="1204">
        <f>[1]!zoozoabeh(GK6,GK7,GK8)</f>
        <v>252.90665787037037</v>
      </c>
      <c r="GT27" s="1205">
        <f t="shared" si="108"/>
        <v>252.90665787037037</v>
      </c>
      <c r="GU27" s="1761">
        <f t="shared" si="117"/>
        <v>252</v>
      </c>
      <c r="GV27" s="1761">
        <f t="shared" si="118"/>
        <v>54</v>
      </c>
      <c r="GW27" s="1761">
        <f t="shared" si="119"/>
        <v>23</v>
      </c>
      <c r="GX27" s="1797">
        <f t="shared" si="120"/>
        <v>58</v>
      </c>
      <c r="GZ27" s="1496"/>
      <c r="HA27" s="1496"/>
      <c r="HB27" s="1496"/>
      <c r="HC27" s="1496"/>
      <c r="HD27" s="1496"/>
      <c r="HE27" s="1496"/>
      <c r="HF27" s="1496"/>
      <c r="HG27" s="845"/>
      <c r="HH27" s="845"/>
      <c r="HJ27" s="1496"/>
      <c r="HK27" s="1496"/>
      <c r="HL27" s="1496"/>
      <c r="HM27" s="1496"/>
      <c r="HN27" s="1496"/>
      <c r="HO27" s="1496"/>
      <c r="HP27" s="1496"/>
      <c r="HQ27" s="1496"/>
      <c r="HR27" s="1496"/>
      <c r="HS27" s="1496"/>
      <c r="HT27" s="1496"/>
      <c r="HU27" s="1496"/>
    </row>
    <row r="28" spans="2:262">
      <c r="B28" s="1214" t="s">
        <v>5</v>
      </c>
      <c r="C28" s="1199">
        <f>R6</f>
        <v>7.8361111111111112</v>
      </c>
      <c r="D28" s="1151"/>
      <c r="E28" s="1151"/>
      <c r="F28" s="1151"/>
      <c r="G28" s="1151"/>
      <c r="H28" s="1151"/>
      <c r="I28" s="1146" t="s">
        <v>402</v>
      </c>
      <c r="J28" s="1146">
        <f>[1]!oujq(C26,C27,C28,C29)</f>
        <v>161.06450187491691</v>
      </c>
      <c r="K28" s="1121">
        <f t="shared" si="137"/>
        <v>161</v>
      </c>
      <c r="L28" s="1121">
        <f t="shared" si="133"/>
        <v>3</v>
      </c>
      <c r="M28" s="1121">
        <f t="shared" si="134"/>
        <v>52</v>
      </c>
      <c r="N28" s="1202">
        <f t="shared" si="135"/>
        <v>12</v>
      </c>
      <c r="S28" s="1124"/>
      <c r="T28" s="1124"/>
      <c r="AJ28" s="1297" t="s">
        <v>3943</v>
      </c>
      <c r="AK28" s="1179">
        <f>INT(AK24/AK27)+1</f>
        <v>20</v>
      </c>
      <c r="AL28" s="1259">
        <f t="shared" si="125"/>
        <v>20</v>
      </c>
      <c r="AM28" s="1259">
        <f t="shared" si="126"/>
        <v>0</v>
      </c>
      <c r="AN28" s="1259">
        <f t="shared" si="127"/>
        <v>0</v>
      </c>
      <c r="AO28" s="1259">
        <f t="shared" si="128"/>
        <v>0</v>
      </c>
      <c r="AP28" s="1298"/>
      <c r="AQ28" s="1192">
        <v>12</v>
      </c>
      <c r="AR28" s="1192" t="str">
        <f>IF(AQ28=1,"حمل",IF(AQ28=2,"ثور",IF(AQ28=3,"جوزاء",IF(AQ28=4,"سرطان",IF(AQ28=5,"اسد",IF(AQ28=6,"سنبله",IF(AQ28=7,"میزان",IF(AQ28=8,"عقرب",IF(AQ28=9,"قوس",IF(AQ28=10,"جدی",IF(AQ28=11,"دلو","حوت")))))))))))</f>
        <v>حوت</v>
      </c>
      <c r="AS28" s="1181">
        <f>IF(AQ28+2&lt;=12,AQ28+2,AQ28+2-12)</f>
        <v>2</v>
      </c>
      <c r="AT28" s="1181">
        <f>IF(AQ28-2&gt;0,AQ28-2,AQ28+12-2)</f>
        <v>10</v>
      </c>
      <c r="AU28" s="1137">
        <f>IF(AQ28+3&lt;=12,AQ28+3,AQ28+3-12)</f>
        <v>3</v>
      </c>
      <c r="AV28" s="1137">
        <f>IF(AQ28-3&gt;0,AQ28-3,AQ28+12-3)</f>
        <v>9</v>
      </c>
      <c r="AW28" s="1181">
        <f>IF(AQ28+4&lt;=12,AQ28+4,AQ28+4-12)</f>
        <v>4</v>
      </c>
      <c r="AX28" s="1181">
        <f>IF(AQ28-4&gt;0,AQ28-4,AQ28+12-4)</f>
        <v>8</v>
      </c>
      <c r="AY28" s="1137">
        <f>IF(AQ28+6&lt;=12,AQ28+6,AQ28+6-12)</f>
        <v>6</v>
      </c>
      <c r="AZ28" s="1181">
        <f>13-AQ28</f>
        <v>1</v>
      </c>
      <c r="BA28" s="1138">
        <f>IF(AQ28&lt;=6,7-AQ28,19-AQ28)</f>
        <v>7</v>
      </c>
      <c r="BC28" s="1141"/>
      <c r="BD28" s="1128"/>
      <c r="BE28" s="1128" t="s">
        <v>1456</v>
      </c>
      <c r="BF28" s="1128">
        <f>IF(BF8=BF19,BF22,IF(BF19=(BF8*-1),BF23,IF(BF10=BF21,BF24,BF27)))</f>
        <v>5.3136458055458462</v>
      </c>
      <c r="BG28" s="1121">
        <f t="shared" si="90"/>
        <v>5</v>
      </c>
      <c r="BH28" s="1121">
        <f t="shared" si="91"/>
        <v>18</v>
      </c>
      <c r="BI28" s="1121">
        <f t="shared" si="92"/>
        <v>49</v>
      </c>
      <c r="BJ28" s="1202">
        <f t="shared" si="93"/>
        <v>7</v>
      </c>
      <c r="BW28" s="1124"/>
      <c r="BX28" s="1124"/>
      <c r="BY28" s="1415"/>
      <c r="BZ28" s="1151"/>
      <c r="CA28" s="1151" t="s">
        <v>227</v>
      </c>
      <c r="CB28" s="1213">
        <f>[1]!ml(CB5,CB26)</f>
        <v>23.074405080558474</v>
      </c>
      <c r="CC28" s="1197">
        <f t="shared" si="130"/>
        <v>23</v>
      </c>
      <c r="CD28" s="1197">
        <f>INT((ABS(CB28)-CC28)*60)</f>
        <v>4</v>
      </c>
      <c r="CE28" s="1197">
        <f>INT((((ABS(CB28)-CC28)*60)-CD28)*60)</f>
        <v>27</v>
      </c>
      <c r="CF28" s="1420">
        <f>INT((((((ABS(CB28)-CC28)*60)-CD28)*60)-CE28)*60)</f>
        <v>51</v>
      </c>
      <c r="CG28" s="1150"/>
      <c r="CH28" s="1150"/>
      <c r="CI28" s="1150" t="s">
        <v>4643</v>
      </c>
      <c r="CJ28" s="1201">
        <f>[1]!darageqesmat(CB5,CB6,CB7,CJ2,CJ3,CJ4,CJ5,CJ8,CB12,CJ9)</f>
        <v>77.180276742112497</v>
      </c>
      <c r="CK28" s="1201">
        <f>INT(ABS(CJ28))</f>
        <v>77</v>
      </c>
      <c r="CL28" s="1201">
        <f>INT((ABS(CJ28)-CK28)*60)</f>
        <v>10</v>
      </c>
      <c r="CM28" s="1201">
        <f>INT((((ABS(CJ28)-CK28)*60)-CL28)*60)</f>
        <v>48</v>
      </c>
      <c r="CN28" s="1403">
        <f>INT((((((ABS(CJ28)-CK28)*60)-CL28)*60)-CM28)*60)</f>
        <v>59</v>
      </c>
      <c r="CZ28" s="1221"/>
      <c r="DA28" s="1216">
        <f>INT(DA23/2)*30+(DA23-1-INT(DA23/2))*29</f>
        <v>177</v>
      </c>
      <c r="DO28" s="1139"/>
      <c r="DP28" s="1139"/>
      <c r="DQ28" s="1139"/>
      <c r="DR28" s="1139"/>
      <c r="DS28" s="1139" t="s">
        <v>1372</v>
      </c>
      <c r="DT28" s="1139"/>
      <c r="DU28" s="1139"/>
      <c r="DV28" s="1139">
        <f>DP27+DV12</f>
        <v>185430.00486623048</v>
      </c>
      <c r="DW28" s="1139"/>
      <c r="DX28" s="1139"/>
      <c r="DY28" s="1139"/>
      <c r="DZ28" s="1139"/>
      <c r="EA28" s="1139"/>
      <c r="EB28" s="1139"/>
      <c r="EL28" s="1280"/>
      <c r="EM28" s="1213">
        <f>INT(EM23/2)*30+(EM23-1-INT(EM23/2))*29</f>
        <v>325</v>
      </c>
      <c r="EN28" s="1136"/>
      <c r="EO28" s="1136"/>
      <c r="EP28" s="1136"/>
      <c r="EQ28" s="1136"/>
      <c r="ER28" s="1136"/>
      <c r="ES28" s="1136"/>
      <c r="ET28" s="1136"/>
      <c r="EU28" s="1136"/>
      <c r="EV28" s="1136"/>
      <c r="EW28" s="1136"/>
      <c r="EX28" s="1136"/>
      <c r="EY28" s="1136"/>
      <c r="FE28" s="2454">
        <v>468</v>
      </c>
      <c r="FF28" s="2455">
        <f t="shared" si="100"/>
        <v>477</v>
      </c>
      <c r="FG28" s="2468">
        <v>478</v>
      </c>
      <c r="FH28" s="2455">
        <f t="shared" si="101"/>
        <v>486</v>
      </c>
      <c r="FI28" s="2454">
        <f t="shared" si="136"/>
        <v>487</v>
      </c>
      <c r="FJ28" s="2458">
        <f t="shared" si="102"/>
        <v>489</v>
      </c>
      <c r="FK28" s="2461">
        <f>FJ28+1</f>
        <v>490</v>
      </c>
      <c r="FL28" s="2458">
        <f t="shared" si="103"/>
        <v>501</v>
      </c>
      <c r="FM28" s="2474">
        <f>FL28+1</f>
        <v>502</v>
      </c>
      <c r="FN28" s="2475">
        <f t="shared" si="104"/>
        <v>514</v>
      </c>
      <c r="FO28" s="2454">
        <f>FN28+1</f>
        <v>515</v>
      </c>
      <c r="FP28" s="2455">
        <f t="shared" si="115"/>
        <v>525</v>
      </c>
      <c r="FQ28" s="2454">
        <v>451</v>
      </c>
      <c r="FR28" s="2455">
        <f>FQ28+1</f>
        <v>452</v>
      </c>
      <c r="FS28" s="2454">
        <f>FR28+1</f>
        <v>453</v>
      </c>
      <c r="FT28" s="2455">
        <f t="shared" si="105"/>
        <v>459</v>
      </c>
      <c r="FU28" s="2454">
        <f t="shared" si="95"/>
        <v>460</v>
      </c>
      <c r="FV28" s="2455">
        <f t="shared" si="106"/>
        <v>467</v>
      </c>
      <c r="GI28" s="1226" t="s">
        <v>1572</v>
      </c>
      <c r="GJ28" s="1128">
        <f t="shared" si="116"/>
        <v>152.76722222222222</v>
      </c>
      <c r="GK28" s="1128">
        <v>152</v>
      </c>
      <c r="GL28" s="1128">
        <v>46</v>
      </c>
      <c r="GM28" s="1128">
        <v>2</v>
      </c>
      <c r="GN28" s="1128">
        <f t="shared" si="131"/>
        <v>3.8772310185185184</v>
      </c>
      <c r="GO28" s="1128">
        <f t="shared" ref="GO28" si="139">IF(GJ28&gt;GN28,GJ28-GN28,GJ28-GN28+360)</f>
        <v>148.88999120370369</v>
      </c>
      <c r="GP28" s="1128"/>
      <c r="GQ28" s="1128">
        <f t="shared" si="132"/>
        <v>3.8772310185185184</v>
      </c>
      <c r="GR28" s="1128">
        <f t="shared" si="107"/>
        <v>156.64445324074075</v>
      </c>
      <c r="GS28" s="1204">
        <f>[1]!lehyani(GK6,GK7,GK8)</f>
        <v>148.88999120370369</v>
      </c>
      <c r="GT28" s="1205">
        <f t="shared" si="108"/>
        <v>148.88999120370369</v>
      </c>
      <c r="GU28" s="1761">
        <f t="shared" si="117"/>
        <v>148</v>
      </c>
      <c r="GV28" s="1761">
        <f t="shared" si="118"/>
        <v>53</v>
      </c>
      <c r="GW28" s="1761">
        <f t="shared" si="119"/>
        <v>23</v>
      </c>
      <c r="GX28" s="1797">
        <f t="shared" si="120"/>
        <v>58</v>
      </c>
      <c r="GZ28" s="1759"/>
      <c r="HA28" s="1759"/>
      <c r="HB28" s="1759"/>
      <c r="HC28" s="1759"/>
    </row>
    <row r="29" spans="2:262" ht="18.75" thickBot="1">
      <c r="B29" s="1244" t="s">
        <v>393</v>
      </c>
      <c r="C29" s="1245">
        <f>R7</f>
        <v>0</v>
      </c>
      <c r="D29" s="1151"/>
      <c r="E29" s="1151"/>
      <c r="F29" s="1151"/>
      <c r="G29" s="1151"/>
      <c r="H29" s="1151"/>
      <c r="I29" s="1146" t="s">
        <v>401</v>
      </c>
      <c r="J29" s="1146">
        <f>[1]!wasatq(C26,C27,C28,C29)</f>
        <v>274.24048642205526</v>
      </c>
      <c r="K29" s="1121">
        <f t="shared" si="137"/>
        <v>274</v>
      </c>
      <c r="L29" s="1121">
        <f t="shared" si="133"/>
        <v>14</v>
      </c>
      <c r="M29" s="1121">
        <f t="shared" si="134"/>
        <v>25</v>
      </c>
      <c r="N29" s="1202">
        <f t="shared" si="135"/>
        <v>45</v>
      </c>
      <c r="S29" s="1124"/>
      <c r="T29" s="1124"/>
      <c r="AJ29" s="1297" t="s">
        <v>349</v>
      </c>
      <c r="AK29" s="1179">
        <f>AK28*AK27</f>
        <v>266.66666666666669</v>
      </c>
      <c r="AL29" s="1259">
        <f t="shared" si="125"/>
        <v>266</v>
      </c>
      <c r="AM29" s="1259">
        <f t="shared" si="126"/>
        <v>40</v>
      </c>
      <c r="AN29" s="1259">
        <f t="shared" si="127"/>
        <v>0</v>
      </c>
      <c r="AO29" s="1259">
        <f t="shared" si="128"/>
        <v>0</v>
      </c>
      <c r="AP29" s="1298"/>
      <c r="AQ29" s="1208"/>
      <c r="AR29" s="1208"/>
      <c r="AS29" s="1209" t="str">
        <f t="shared" ref="AS29:BA29" si="140">IF(AS28=1,"حمل",IF(AS28=2,"ثور",IF(AS28=3,"جوزاء",IF(AS28=4,"سرطان",IF(AS28=5,"اسد",IF(AS28=6,"سنبله",IF(AS28=7,"میزان",IF(AS28=8,"عقرب",IF(AS28=9,"قوس",IF(AS28=10,"جدی",IF(AS28=11,"دلو","حوت")))))))))))</f>
        <v>ثور</v>
      </c>
      <c r="AT29" s="1209" t="str">
        <f t="shared" si="140"/>
        <v>جدی</v>
      </c>
      <c r="AU29" s="1156" t="str">
        <f t="shared" si="140"/>
        <v>جوزاء</v>
      </c>
      <c r="AV29" s="1156" t="str">
        <f t="shared" si="140"/>
        <v>قوس</v>
      </c>
      <c r="AW29" s="1209" t="str">
        <f t="shared" si="140"/>
        <v>سرطان</v>
      </c>
      <c r="AX29" s="1209" t="str">
        <f t="shared" si="140"/>
        <v>عقرب</v>
      </c>
      <c r="AY29" s="1156" t="str">
        <f t="shared" si="140"/>
        <v>سنبله</v>
      </c>
      <c r="AZ29" s="1209" t="str">
        <f t="shared" si="140"/>
        <v>حمل</v>
      </c>
      <c r="BA29" s="1157" t="str">
        <f t="shared" si="140"/>
        <v>میزان</v>
      </c>
      <c r="BC29" s="1170"/>
      <c r="BD29" s="1278"/>
      <c r="BE29" s="1278" t="s">
        <v>1457</v>
      </c>
      <c r="BF29" s="1278">
        <f>[1]!tazmb(BF2,BF28,BF19)</f>
        <v>8.2710435043429484</v>
      </c>
      <c r="BG29" s="1242">
        <f t="shared" si="90"/>
        <v>8</v>
      </c>
      <c r="BH29" s="1242">
        <f t="shared" si="91"/>
        <v>16</v>
      </c>
      <c r="BI29" s="1242">
        <f t="shared" si="92"/>
        <v>15</v>
      </c>
      <c r="BJ29" s="1243">
        <f t="shared" si="93"/>
        <v>45</v>
      </c>
      <c r="BW29" s="1124"/>
      <c r="BX29" s="1124"/>
      <c r="BY29" s="1415"/>
      <c r="BZ29" s="1151"/>
      <c r="CA29" s="1197" t="s">
        <v>364</v>
      </c>
      <c r="CB29" s="1213">
        <f>[1]!qsn(CB28,CB27)/(2*15)</f>
        <v>7.1570118160202556</v>
      </c>
      <c r="CC29" s="1197">
        <f t="shared" si="130"/>
        <v>7</v>
      </c>
      <c r="CD29" s="1197">
        <f>INT((ABS(CB29)-CC29)*60)</f>
        <v>9</v>
      </c>
      <c r="CE29" s="1197">
        <f>INT((((ABS(CB29)-CC29)*60)-CD29)*60)</f>
        <v>25</v>
      </c>
      <c r="CF29" s="1420">
        <f>INT((((((ABS(CB29)-CC29)*60)-CD29)*60)-CE29)*60)</f>
        <v>14</v>
      </c>
      <c r="CG29" s="1235"/>
      <c r="CH29" s="1209"/>
      <c r="CI29" s="1209" t="s">
        <v>4644</v>
      </c>
      <c r="CJ29" s="1209" t="str">
        <f>[1]!qasemame(CJ28)</f>
        <v>merikh</v>
      </c>
      <c r="CK29" s="1209"/>
      <c r="CL29" s="1209"/>
      <c r="CM29" s="1209"/>
      <c r="CN29" s="1209"/>
      <c r="CO29" s="2454"/>
      <c r="CZ29" s="1215"/>
      <c r="DA29" s="1216">
        <f>INT(DA27+DA28+DA24)</f>
        <v>506596</v>
      </c>
      <c r="DO29" s="1139"/>
      <c r="DP29" s="1139" t="s">
        <v>1517</v>
      </c>
      <c r="DQ29" s="1139" t="s">
        <v>172</v>
      </c>
      <c r="DR29" s="1139" t="s">
        <v>1518</v>
      </c>
      <c r="DS29" s="1139" t="s">
        <v>2202</v>
      </c>
      <c r="DT29" s="1139"/>
      <c r="DU29" s="1139" t="s">
        <v>172</v>
      </c>
      <c r="DV29" s="1139" t="s">
        <v>166</v>
      </c>
      <c r="DW29" s="1139" t="s">
        <v>167</v>
      </c>
      <c r="DX29" s="1139" t="s">
        <v>168</v>
      </c>
      <c r="DY29" s="1139"/>
      <c r="DZ29" s="1139"/>
      <c r="EA29" s="1139"/>
      <c r="EB29" s="1139"/>
      <c r="EL29" s="1212"/>
      <c r="EM29" s="1213">
        <f>INT(EM27+EM28+EM24)</f>
        <v>443286</v>
      </c>
      <c r="EN29" s="1136"/>
      <c r="EO29" s="1136"/>
      <c r="EP29" s="1136"/>
      <c r="EQ29" s="1136"/>
      <c r="ER29" s="1136"/>
      <c r="ES29" s="1136"/>
      <c r="ET29" s="1136"/>
      <c r="EU29" s="1136"/>
      <c r="EV29" s="1136"/>
      <c r="EW29" s="1136"/>
      <c r="EX29" s="1136"/>
      <c r="EY29" s="1136"/>
      <c r="FE29" s="2454">
        <v>541</v>
      </c>
      <c r="FF29" s="2455">
        <f t="shared" si="100"/>
        <v>550</v>
      </c>
      <c r="FG29" s="2468">
        <v>551</v>
      </c>
      <c r="FH29" s="2455">
        <f t="shared" si="101"/>
        <v>559</v>
      </c>
      <c r="FI29" s="2454">
        <f t="shared" si="136"/>
        <v>560</v>
      </c>
      <c r="FJ29" s="2458">
        <f t="shared" si="102"/>
        <v>562</v>
      </c>
      <c r="FK29" s="2461">
        <f>FJ29+1</f>
        <v>563</v>
      </c>
      <c r="FL29" s="2458">
        <f t="shared" si="103"/>
        <v>574</v>
      </c>
      <c r="FM29" s="2474">
        <f>FL29+1</f>
        <v>575</v>
      </c>
      <c r="FN29" s="2475">
        <f t="shared" si="104"/>
        <v>587</v>
      </c>
      <c r="FO29" s="2454">
        <f>FN29+1</f>
        <v>588</v>
      </c>
      <c r="FP29" s="2455">
        <f t="shared" si="115"/>
        <v>598</v>
      </c>
      <c r="FQ29" s="2454">
        <f>FP29+1</f>
        <v>599</v>
      </c>
      <c r="FR29" s="2455">
        <f>FQ29+1</f>
        <v>600</v>
      </c>
      <c r="FS29" s="2454">
        <v>526</v>
      </c>
      <c r="FT29" s="2455">
        <f t="shared" si="105"/>
        <v>532</v>
      </c>
      <c r="FU29" s="2454">
        <f t="shared" si="95"/>
        <v>533</v>
      </c>
      <c r="FV29" s="2455">
        <f t="shared" si="106"/>
        <v>540</v>
      </c>
      <c r="GI29" s="1263" t="s">
        <v>1573</v>
      </c>
      <c r="GJ29" s="1264">
        <f>(((GM29/60)+GL29)/60)+GK29</f>
        <v>95.731111111111105</v>
      </c>
      <c r="GK29" s="1264">
        <v>95</v>
      </c>
      <c r="GL29" s="1264">
        <v>43</v>
      </c>
      <c r="GM29" s="1264">
        <v>52</v>
      </c>
      <c r="GN29" s="1264">
        <f t="shared" si="131"/>
        <v>3.8772310185185184</v>
      </c>
      <c r="GO29" s="1264">
        <f>IF(GJ29&gt;GN29,GJ29-GN29,GJ29-GN29+360)</f>
        <v>91.85388009259259</v>
      </c>
      <c r="GP29" s="1264"/>
      <c r="GQ29" s="1264">
        <f>GQ28</f>
        <v>3.8772310185185184</v>
      </c>
      <c r="GR29" s="1264">
        <f t="shared" si="107"/>
        <v>99.608342129629619</v>
      </c>
      <c r="GS29" s="1763">
        <f>[1]!keyd(GK6,GK7,GK8)</f>
        <v>91.85388009259259</v>
      </c>
      <c r="GT29" s="1798">
        <f t="shared" si="108"/>
        <v>91.85388009259259</v>
      </c>
      <c r="GU29" s="1762">
        <f t="shared" si="117"/>
        <v>91</v>
      </c>
      <c r="GV29" s="1762">
        <f t="shared" si="118"/>
        <v>51</v>
      </c>
      <c r="GW29" s="1762">
        <f t="shared" si="119"/>
        <v>13</v>
      </c>
      <c r="GX29" s="1799">
        <f t="shared" si="120"/>
        <v>58</v>
      </c>
      <c r="GZ29" s="1759"/>
      <c r="HA29" s="1759"/>
      <c r="HB29" s="1759"/>
      <c r="HC29" s="1759"/>
    </row>
    <row r="30" spans="2:262">
      <c r="B30" s="1218" t="s">
        <v>87</v>
      </c>
      <c r="C30" s="1211">
        <v>354.36709259258998</v>
      </c>
      <c r="D30" s="1151"/>
      <c r="E30" s="1151"/>
      <c r="F30" s="1151"/>
      <c r="G30" s="1151"/>
      <c r="H30" s="1151"/>
      <c r="I30" s="1146" t="s">
        <v>397</v>
      </c>
      <c r="J30" s="1146">
        <f>[1]!taqm1([1]!tq(J29-J28))</f>
        <v>-4.5947561135755599</v>
      </c>
      <c r="K30" s="1121">
        <f t="shared" si="137"/>
        <v>4</v>
      </c>
      <c r="L30" s="1121">
        <f t="shared" si="133"/>
        <v>35</v>
      </c>
      <c r="M30" s="1121">
        <f t="shared" si="134"/>
        <v>41</v>
      </c>
      <c r="N30" s="1202">
        <f t="shared" si="135"/>
        <v>7</v>
      </c>
      <c r="S30" s="1124"/>
      <c r="T30" s="1124"/>
      <c r="U30" s="1125"/>
      <c r="V30" s="1220"/>
      <c r="W30" s="1220"/>
      <c r="X30" s="1220"/>
      <c r="AJ30" s="1297" t="s">
        <v>3938</v>
      </c>
      <c r="AK30" s="1179">
        <f>IF(AK6&lt;1251,AK29-AK25,AK29+AK25)</f>
        <v>291.15488310185185</v>
      </c>
      <c r="AL30" s="1259">
        <f t="shared" si="125"/>
        <v>291</v>
      </c>
      <c r="AM30" s="1259">
        <f t="shared" si="126"/>
        <v>9</v>
      </c>
      <c r="AN30" s="1259">
        <f t="shared" si="127"/>
        <v>17</v>
      </c>
      <c r="AO30" s="1259">
        <f t="shared" si="128"/>
        <v>34</v>
      </c>
      <c r="AP30" s="1298"/>
      <c r="BF30" s="1130">
        <f>[1]!mtlmosahah(BF2,BF9,BF7,BF10,BF8)</f>
        <v>5.3097966750810182</v>
      </c>
      <c r="BW30" s="1124"/>
      <c r="BX30" s="1124"/>
      <c r="BY30" s="1416"/>
      <c r="BZ30" s="1208"/>
      <c r="CA30" s="1208" t="s">
        <v>1476</v>
      </c>
      <c r="CB30" s="1219">
        <f>[1]!taqsh(CB5,CB6,CB7-(CB29/24),CB8)</f>
        <v>77.805570828185267</v>
      </c>
      <c r="CC30" s="1417">
        <f t="shared" si="130"/>
        <v>77</v>
      </c>
      <c r="CD30" s="1417">
        <f>INT((ABS(CB30)-CC30)*60)</f>
        <v>48</v>
      </c>
      <c r="CE30" s="1417">
        <f>INT((((ABS(CB30)-CC30)*60)-CD30)*60)</f>
        <v>20</v>
      </c>
      <c r="CF30" s="1418">
        <f>INT((((((ABS(CB30)-CC30)*60)-CD30)*60)-CE30)*60)</f>
        <v>3</v>
      </c>
      <c r="CG30" s="1163"/>
      <c r="CH30" s="1181"/>
      <c r="CI30" s="1181"/>
      <c r="CJ30" s="1181">
        <f>CJ23</f>
        <v>0.41240140936459191</v>
      </c>
      <c r="CK30" s="1404">
        <f t="shared" ref="CK30:CK40" si="141">INT(ABS(CJ30))</f>
        <v>0</v>
      </c>
      <c r="CL30" s="1404">
        <f t="shared" ref="CL30:CL40" si="142">INT((ABS(CJ30)-CK30)*60)</f>
        <v>24</v>
      </c>
      <c r="CM30" s="1404">
        <f t="shared" ref="CM30:CM40" si="143">INT((((ABS(CJ30)-CK30)*60)-CL30)*60)</f>
        <v>44</v>
      </c>
      <c r="CN30" s="1405">
        <f t="shared" ref="CN30:CN40" si="144">INT((((((ABS(CJ30)-CK30)*60)-CL30)*60)-CM30)*60)</f>
        <v>38</v>
      </c>
      <c r="CZ30" s="1225"/>
      <c r="DA30" s="1225">
        <f>DA21/DA7</f>
        <v>1379.3340409087655</v>
      </c>
      <c r="DO30" s="1139" t="s">
        <v>1513</v>
      </c>
      <c r="DP30" s="1139">
        <v>1000</v>
      </c>
      <c r="DQ30" s="1139">
        <v>1</v>
      </c>
      <c r="DR30" s="1139">
        <v>360000</v>
      </c>
      <c r="DS30" s="1139">
        <f>[1]!tasaazam(DP18,DP19,DP20,DP21)</f>
        <v>185.43000487161956</v>
      </c>
      <c r="DT30" s="1139">
        <f>[1]!modd(DV28/DP30,360)</f>
        <v>185.43000486623049</v>
      </c>
      <c r="DU30" s="1196">
        <f>INT(ABS(DT30))</f>
        <v>185</v>
      </c>
      <c r="DV30" s="1196">
        <f>INT((ABS(DT30)-DU30)*60)</f>
        <v>25</v>
      </c>
      <c r="DW30" s="1196">
        <f>INT((((ABS(DT30)-DU30)*60)-DV30)*60)</f>
        <v>48</v>
      </c>
      <c r="DX30" s="1196">
        <f>INT((((((ABS(DT30)-DU30)*60)-DV30)*60)-DW30)*60)</f>
        <v>1</v>
      </c>
      <c r="DY30" s="1139"/>
      <c r="DZ30" s="1139"/>
      <c r="EA30" s="1139"/>
      <c r="EB30" s="1139"/>
      <c r="EL30" s="1136"/>
      <c r="EM30" s="1136">
        <f>(EM29/EM26)+1</f>
        <v>1251.9231507837512</v>
      </c>
      <c r="EN30" s="1136"/>
      <c r="EO30" s="1136"/>
      <c r="EP30" s="1136"/>
      <c r="EQ30" s="1136"/>
      <c r="ER30" s="1136"/>
      <c r="ES30" s="1136"/>
      <c r="ET30" s="1136"/>
      <c r="EU30" s="1136"/>
      <c r="EV30" s="1136"/>
      <c r="EW30" s="1136"/>
      <c r="EX30" s="1136"/>
      <c r="EY30" s="1136"/>
      <c r="FE30" s="2456">
        <v>609</v>
      </c>
      <c r="FF30" s="2457">
        <f t="shared" si="100"/>
        <v>618</v>
      </c>
      <c r="FG30" s="2469">
        <v>619</v>
      </c>
      <c r="FH30" s="2457">
        <f t="shared" si="101"/>
        <v>627</v>
      </c>
      <c r="FI30" s="2456">
        <f t="shared" si="136"/>
        <v>628</v>
      </c>
      <c r="FJ30" s="2459">
        <f t="shared" si="102"/>
        <v>630</v>
      </c>
      <c r="FK30" s="2462">
        <f>FJ30+1</f>
        <v>631</v>
      </c>
      <c r="FL30" s="2459">
        <f t="shared" si="103"/>
        <v>642</v>
      </c>
      <c r="FM30" s="2476">
        <f>FL30+1</f>
        <v>643</v>
      </c>
      <c r="FN30" s="2477">
        <f t="shared" si="104"/>
        <v>655</v>
      </c>
      <c r="FO30" s="2456">
        <f>FN30+1</f>
        <v>656</v>
      </c>
      <c r="FP30" s="2457">
        <f t="shared" si="115"/>
        <v>666</v>
      </c>
      <c r="FQ30" s="2456">
        <f>FP30+1</f>
        <v>667</v>
      </c>
      <c r="FR30" s="2457">
        <f>FQ30+1</f>
        <v>668</v>
      </c>
      <c r="FS30" s="2456">
        <f>FR30+1</f>
        <v>669</v>
      </c>
      <c r="FT30" s="2457">
        <f t="shared" si="105"/>
        <v>675</v>
      </c>
      <c r="FU30" s="2456">
        <v>601</v>
      </c>
      <c r="FV30" s="2457">
        <f t="shared" si="106"/>
        <v>608</v>
      </c>
    </row>
    <row r="31" spans="2:262">
      <c r="B31" s="1221"/>
      <c r="C31" s="1216">
        <f>(C26-1)*C30</f>
        <v>476269.37244444096</v>
      </c>
      <c r="D31" s="1197"/>
      <c r="E31" s="1151"/>
      <c r="F31" s="1151"/>
      <c r="G31" s="1151"/>
      <c r="H31" s="1151"/>
      <c r="I31" s="1146" t="s">
        <v>398</v>
      </c>
      <c r="J31" s="1146">
        <f>[1]!taqm2([1]!tq(J29-J27),[1]!tq(J29-J26))</f>
        <v>-6.0841729738397013E-3</v>
      </c>
      <c r="K31" s="1121">
        <f t="shared" si="137"/>
        <v>0</v>
      </c>
      <c r="L31" s="1121">
        <f t="shared" si="133"/>
        <v>0</v>
      </c>
      <c r="M31" s="1121">
        <f t="shared" si="134"/>
        <v>21</v>
      </c>
      <c r="N31" s="1202">
        <f t="shared" si="135"/>
        <v>54</v>
      </c>
      <c r="S31" s="1124"/>
      <c r="T31" s="1124"/>
      <c r="AJ31" s="1297" t="s">
        <v>1373</v>
      </c>
      <c r="AK31" s="1179">
        <f>AK30-AK26</f>
        <v>10.187328614020316</v>
      </c>
      <c r="AL31" s="1259">
        <f t="shared" si="125"/>
        <v>10</v>
      </c>
      <c r="AM31" s="1259">
        <f t="shared" si="126"/>
        <v>11</v>
      </c>
      <c r="AN31" s="1259">
        <f t="shared" si="127"/>
        <v>14</v>
      </c>
      <c r="AO31" s="1259">
        <f t="shared" si="128"/>
        <v>22</v>
      </c>
      <c r="AP31" s="1298"/>
      <c r="BF31" s="1130">
        <f>[1]!drgmosahah(BF2,BF30,BF20)</f>
        <v>8.2672493010201151</v>
      </c>
      <c r="BW31" s="1124"/>
      <c r="BX31" s="1124"/>
      <c r="BY31" s="1415"/>
      <c r="BZ31" s="1151"/>
      <c r="CA31" s="1151"/>
      <c r="CB31" s="1151"/>
      <c r="CC31" s="1151"/>
      <c r="CD31" s="1151"/>
      <c r="CE31" s="1151"/>
      <c r="CF31" s="1151"/>
      <c r="CG31" s="1149"/>
      <c r="CH31" s="1150"/>
      <c r="CI31" s="1150"/>
      <c r="CJ31" s="1150">
        <f>(CJ30-INT(CJ30))*360</f>
        <v>148.46450737125309</v>
      </c>
      <c r="CK31" s="1201">
        <f t="shared" si="141"/>
        <v>148</v>
      </c>
      <c r="CL31" s="1201">
        <f t="shared" si="142"/>
        <v>27</v>
      </c>
      <c r="CM31" s="1201">
        <f t="shared" si="143"/>
        <v>52</v>
      </c>
      <c r="CN31" s="1403">
        <f t="shared" si="144"/>
        <v>13</v>
      </c>
      <c r="CZ31" s="1225"/>
      <c r="DA31" s="1225">
        <f>DA29/DA7</f>
        <v>1387.0138763658283</v>
      </c>
      <c r="DO31" s="1139" t="s">
        <v>1514</v>
      </c>
      <c r="DP31" s="1139">
        <v>100</v>
      </c>
      <c r="DQ31" s="1139">
        <v>1</v>
      </c>
      <c r="DR31" s="1139">
        <v>36000</v>
      </c>
      <c r="DS31" s="1139">
        <f>[1]!tasakbar(DP18,DP19,DP20,DP21)</f>
        <v>54.300048716195533</v>
      </c>
      <c r="DT31" s="1139">
        <f>[1]!modd((DV28/DP31),360)</f>
        <v>54.300048662304789</v>
      </c>
      <c r="DU31" s="1196">
        <f>INT(ABS(DT31))</f>
        <v>54</v>
      </c>
      <c r="DV31" s="1196">
        <f>INT((ABS(DT31)-DU31)*60)</f>
        <v>18</v>
      </c>
      <c r="DW31" s="1196">
        <f>INT((((ABS(DT31)-DU31)*60)-DV31)*60)</f>
        <v>0</v>
      </c>
      <c r="DX31" s="1196">
        <f>INT((((((ABS(DT31)-DU31)*60)-DV31)*60)-DW31)*60)</f>
        <v>10</v>
      </c>
      <c r="DY31" s="1139"/>
      <c r="DZ31" s="1139"/>
      <c r="EA31" s="1139"/>
      <c r="EB31" s="1139"/>
      <c r="EL31" s="1136"/>
      <c r="EM31" s="1136">
        <f>EM30-EM18</f>
        <v>0.92315078375122539</v>
      </c>
      <c r="EN31" s="1136"/>
      <c r="EO31" s="1136"/>
      <c r="EP31" s="1136"/>
      <c r="EQ31" s="1136"/>
      <c r="ER31" s="1136"/>
      <c r="ES31" s="1136"/>
      <c r="ET31" s="1136"/>
      <c r="EU31" s="1136"/>
      <c r="EV31" s="1136"/>
      <c r="EW31" s="1136"/>
      <c r="EX31" s="1136"/>
      <c r="EY31" s="1136"/>
    </row>
    <row r="32" spans="2:262">
      <c r="B32" s="1221"/>
      <c r="C32" s="1216">
        <f>INT(C27/2)*30+(C27-1-INT(C27/2))*29</f>
        <v>59</v>
      </c>
      <c r="D32" s="1151"/>
      <c r="E32" s="1151"/>
      <c r="F32" s="1151"/>
      <c r="G32" s="1151"/>
      <c r="H32" s="1151"/>
      <c r="I32" s="1146" t="s">
        <v>624</v>
      </c>
      <c r="J32" s="1146">
        <f>IF(J29&gt;J28,J29-J28,J29+360-J28)</f>
        <v>113.17598454713834</v>
      </c>
      <c r="K32" s="1121">
        <f t="shared" si="137"/>
        <v>113</v>
      </c>
      <c r="L32" s="1121">
        <f t="shared" si="133"/>
        <v>10</v>
      </c>
      <c r="M32" s="1121">
        <f t="shared" si="134"/>
        <v>33</v>
      </c>
      <c r="N32" s="1202">
        <f t="shared" si="135"/>
        <v>32</v>
      </c>
      <c r="S32" s="1124"/>
      <c r="T32" s="1124"/>
      <c r="AJ32" s="1297" t="s">
        <v>3939</v>
      </c>
      <c r="AK32" s="1179">
        <f>[1]!bohtq(AK6,AK7,AM6,AK9)</f>
        <v>14.4882396127378</v>
      </c>
      <c r="AL32" s="1259">
        <f t="shared" si="125"/>
        <v>14</v>
      </c>
      <c r="AM32" s="1259">
        <f t="shared" si="126"/>
        <v>29</v>
      </c>
      <c r="AN32" s="1259">
        <f t="shared" si="127"/>
        <v>17</v>
      </c>
      <c r="AO32" s="1259">
        <f t="shared" si="128"/>
        <v>39</v>
      </c>
      <c r="AP32" s="1298"/>
      <c r="BW32" s="1124"/>
      <c r="BX32" s="1124"/>
      <c r="BY32" s="1415"/>
      <c r="BZ32" s="1151"/>
      <c r="CA32" s="1151"/>
      <c r="CB32" s="1151"/>
      <c r="CC32" s="1151"/>
      <c r="CD32" s="1151"/>
      <c r="CE32" s="1151"/>
      <c r="CF32" s="1151"/>
      <c r="CG32" s="1149"/>
      <c r="CH32" s="1150"/>
      <c r="CI32" s="1150"/>
      <c r="CJ32" s="1150">
        <v>0.98564733138288796</v>
      </c>
      <c r="CK32" s="1201">
        <f t="shared" si="141"/>
        <v>0</v>
      </c>
      <c r="CL32" s="1201">
        <f t="shared" si="142"/>
        <v>59</v>
      </c>
      <c r="CM32" s="1201">
        <f t="shared" si="143"/>
        <v>8</v>
      </c>
      <c r="CN32" s="1403">
        <f t="shared" si="144"/>
        <v>19</v>
      </c>
      <c r="CZ32" s="1225"/>
      <c r="DA32" s="1225">
        <f>DA31-DA30</f>
        <v>7.6798354570628362</v>
      </c>
      <c r="DO32" s="1139" t="s">
        <v>1515</v>
      </c>
      <c r="DP32" s="1139">
        <v>10</v>
      </c>
      <c r="DQ32" s="1139">
        <v>1</v>
      </c>
      <c r="DR32" s="1139">
        <v>3600</v>
      </c>
      <c r="DS32" s="1139">
        <f>[1]!tasavsat(DP18,DP19,DP20,DP21)</f>
        <v>183.00048716195306</v>
      </c>
      <c r="DT32" s="1139">
        <f>[1]!modd((DV28/DP32),360)</f>
        <v>183.00048662304835</v>
      </c>
      <c r="DU32" s="1196">
        <f>INT(ABS(DT32))</f>
        <v>183</v>
      </c>
      <c r="DV32" s="1196">
        <f>INT((ABS(DT32)-DU32)*60)</f>
        <v>0</v>
      </c>
      <c r="DW32" s="1196">
        <f>INT((((ABS(DT32)-DU32)*60)-DV32)*60)</f>
        <v>1</v>
      </c>
      <c r="DX32" s="1196">
        <f>INT((((((ABS(DT32)-DU32)*60)-DV32)*60)-DW32)*60)</f>
        <v>45</v>
      </c>
      <c r="DY32" s="1139"/>
      <c r="DZ32" s="1139"/>
      <c r="EA32" s="1139"/>
      <c r="EB32" s="1139"/>
      <c r="EL32" s="1136"/>
      <c r="EM32" s="1136"/>
      <c r="EN32" s="1136"/>
      <c r="EO32" s="1136"/>
      <c r="EP32" s="1136"/>
      <c r="EQ32" s="1136"/>
      <c r="ER32" s="1136"/>
      <c r="ES32" s="1136">
        <f>EM31+ES12</f>
        <v>185237.02701521252</v>
      </c>
      <c r="ET32" s="1136"/>
      <c r="EU32" s="1136"/>
      <c r="EV32" s="1136"/>
      <c r="EW32" s="1136"/>
      <c r="EX32" s="1136"/>
      <c r="EY32" s="1136"/>
    </row>
    <row r="33" spans="2:155">
      <c r="B33" s="1215"/>
      <c r="C33" s="1216">
        <f>INT(C31+C32+C28)</f>
        <v>476336</v>
      </c>
      <c r="D33" s="1151"/>
      <c r="E33" s="1151"/>
      <c r="F33" s="1151"/>
      <c r="G33" s="1151"/>
      <c r="H33" s="1151"/>
      <c r="I33" s="1146" t="s">
        <v>1407</v>
      </c>
      <c r="J33" s="1146">
        <f>J32+J31+J30</f>
        <v>108.57514426058894</v>
      </c>
      <c r="K33" s="1121">
        <f t="shared" si="137"/>
        <v>108</v>
      </c>
      <c r="L33" s="1121">
        <f t="shared" si="133"/>
        <v>34</v>
      </c>
      <c r="M33" s="1121">
        <f t="shared" si="134"/>
        <v>30</v>
      </c>
      <c r="N33" s="1202">
        <f t="shared" si="135"/>
        <v>31</v>
      </c>
      <c r="AJ33" s="1297" t="s">
        <v>3940</v>
      </c>
      <c r="AK33" s="1179">
        <f>AK31/AK32*60</f>
        <v>42.188680832130082</v>
      </c>
      <c r="AL33" s="1259">
        <f t="shared" si="125"/>
        <v>42</v>
      </c>
      <c r="AM33" s="1259">
        <f t="shared" si="126"/>
        <v>11</v>
      </c>
      <c r="AN33" s="1259">
        <f t="shared" si="127"/>
        <v>19</v>
      </c>
      <c r="AO33" s="1259">
        <f t="shared" si="128"/>
        <v>15</v>
      </c>
      <c r="AP33" s="1298"/>
      <c r="BY33" s="1415"/>
      <c r="BZ33" s="1151"/>
      <c r="CA33" s="1151"/>
      <c r="CB33" s="1151"/>
      <c r="CC33" s="1151"/>
      <c r="CD33" s="1151"/>
      <c r="CE33" s="1151"/>
      <c r="CF33" s="1151"/>
      <c r="CG33" s="1149"/>
      <c r="CH33" s="1150"/>
      <c r="CI33" s="1150"/>
      <c r="CJ33" s="1150">
        <f>CJ31*CJ32</f>
        <v>146.33364549555071</v>
      </c>
      <c r="CK33" s="1201">
        <f t="shared" si="141"/>
        <v>146</v>
      </c>
      <c r="CL33" s="1201">
        <f t="shared" si="142"/>
        <v>20</v>
      </c>
      <c r="CM33" s="1201">
        <f t="shared" si="143"/>
        <v>1</v>
      </c>
      <c r="CN33" s="1403">
        <f t="shared" si="144"/>
        <v>7</v>
      </c>
      <c r="CZ33" s="1225"/>
      <c r="DA33" s="1225">
        <f>[1]!modd((DA32*30),360)</f>
        <v>230.39506371188509</v>
      </c>
      <c r="DO33" s="1139" t="s">
        <v>1516</v>
      </c>
      <c r="DP33" s="1139">
        <v>1</v>
      </c>
      <c r="DQ33" s="1139">
        <v>1</v>
      </c>
      <c r="DR33" s="1139">
        <v>360</v>
      </c>
      <c r="DS33" s="1139">
        <f>[1]!tasasqar(DP18,DP19,DP20,DP21)</f>
        <v>30.004871619545156</v>
      </c>
      <c r="DT33" s="1139">
        <f>[1]!modd((DV28/DP33),360)</f>
        <v>30.004866230476182</v>
      </c>
      <c r="DU33" s="1196">
        <f>INT(ABS(DT33))</f>
        <v>30</v>
      </c>
      <c r="DV33" s="1196">
        <f>INT((ABS(DT33)-DU33)*60)</f>
        <v>0</v>
      </c>
      <c r="DW33" s="1196">
        <f>INT((((ABS(DT33)-DU33)*60)-DV33)*60)</f>
        <v>17</v>
      </c>
      <c r="DX33" s="1196">
        <f>INT((((((ABS(DT33)-DU33)*60)-DV33)*60)-DW33)*60)</f>
        <v>31</v>
      </c>
      <c r="DY33" s="1139"/>
      <c r="DZ33" s="1139"/>
      <c r="EA33" s="1139"/>
      <c r="EB33" s="1139"/>
      <c r="EL33" s="1136"/>
      <c r="EM33" s="1136"/>
      <c r="EN33" s="1136"/>
      <c r="EO33" s="1136"/>
      <c r="EP33" s="1136"/>
      <c r="EQ33" s="1136"/>
      <c r="ER33" s="1136"/>
      <c r="ES33" s="1136"/>
      <c r="ET33" s="1136"/>
      <c r="EU33" s="1136" t="s">
        <v>2202</v>
      </c>
      <c r="EV33" s="1136"/>
      <c r="EW33" s="1136"/>
      <c r="EX33" s="1136"/>
      <c r="EY33" s="1136"/>
    </row>
    <row r="34" spans="2:155">
      <c r="B34" s="1187" t="s">
        <v>60</v>
      </c>
      <c r="C34" s="1159">
        <v>1251</v>
      </c>
      <c r="D34" s="1151"/>
      <c r="E34" s="1151"/>
      <c r="F34" s="1151"/>
      <c r="G34" s="1151"/>
      <c r="H34" s="1151"/>
      <c r="I34" s="1146" t="s">
        <v>656</v>
      </c>
      <c r="J34" s="1146">
        <f>J29+J30+J31</f>
        <v>269.63964613550587</v>
      </c>
      <c r="K34" s="1121">
        <f t="shared" si="137"/>
        <v>269</v>
      </c>
      <c r="L34" s="1121">
        <f t="shared" si="133"/>
        <v>38</v>
      </c>
      <c r="M34" s="1121">
        <f t="shared" si="134"/>
        <v>22</v>
      </c>
      <c r="N34" s="1202">
        <f t="shared" si="135"/>
        <v>43</v>
      </c>
      <c r="AJ34" s="1297" t="s">
        <v>3942</v>
      </c>
      <c r="AK34" s="1179">
        <f>([1]!qsn([1]!ml(AK6,[1]!taqsh(AK6,AK7,AM6,AK9)),AO6)/30)*2.5</f>
        <v>16.959997704223387</v>
      </c>
      <c r="AL34" s="1259">
        <f t="shared" si="125"/>
        <v>16</v>
      </c>
      <c r="AM34" s="1259">
        <f t="shared" si="126"/>
        <v>57</v>
      </c>
      <c r="AN34" s="1259">
        <f t="shared" si="127"/>
        <v>35</v>
      </c>
      <c r="AO34" s="1259">
        <f t="shared" si="128"/>
        <v>59</v>
      </c>
      <c r="AP34" s="1298"/>
      <c r="BY34" s="1415"/>
      <c r="BZ34" s="1151"/>
      <c r="CA34" s="1151"/>
      <c r="CB34" s="1151"/>
      <c r="CC34" s="1151"/>
      <c r="CD34" s="1151"/>
      <c r="CE34" s="1151"/>
      <c r="CF34" s="1151"/>
      <c r="CG34" s="1149"/>
      <c r="CH34" s="1150"/>
      <c r="CI34" s="1150" t="s">
        <v>175</v>
      </c>
      <c r="CJ34" s="1150">
        <v>0</v>
      </c>
      <c r="CK34" s="1201">
        <f t="shared" si="141"/>
        <v>0</v>
      </c>
      <c r="CL34" s="1201">
        <f t="shared" si="142"/>
        <v>0</v>
      </c>
      <c r="CM34" s="1201">
        <f t="shared" si="143"/>
        <v>0</v>
      </c>
      <c r="CN34" s="1403">
        <f t="shared" si="144"/>
        <v>0</v>
      </c>
      <c r="CZ34" s="1174" t="s">
        <v>1498</v>
      </c>
      <c r="DA34" s="1174">
        <f>[1]!modd((DA33+DC18),360)</f>
        <v>104.13595281158405</v>
      </c>
      <c r="EL34" s="1136" t="s">
        <v>1527</v>
      </c>
      <c r="EM34" s="1136">
        <v>1000</v>
      </c>
      <c r="EN34" s="1136">
        <v>30</v>
      </c>
      <c r="EO34" s="1136">
        <v>12000</v>
      </c>
      <c r="EP34" s="1136">
        <f>((ES32/EO34)-INT(ES32/EO34))*360</f>
        <v>157.11081045637576</v>
      </c>
      <c r="EQ34" s="1197">
        <f>INT(ABS(EP34))</f>
        <v>157</v>
      </c>
      <c r="ER34" s="1197">
        <f>INT((ABS(EP34)-EQ34)*60)</f>
        <v>6</v>
      </c>
      <c r="ES34" s="1197">
        <f>INT((((ABS(EP34)-EQ34)*60)-ER34)*60)</f>
        <v>38</v>
      </c>
      <c r="ET34" s="1197">
        <f>INT((((((ABS(EP34)-EQ34)*60)-ER34)*60)-ES34)*60)</f>
        <v>55</v>
      </c>
      <c r="EU34" s="1136">
        <f>[1]!entaazam(EM22,EM23,EM24,EM25)</f>
        <v>157.11081045559055</v>
      </c>
      <c r="EV34" s="1197">
        <f>INT(ABS(EU34))</f>
        <v>157</v>
      </c>
      <c r="EW34" s="1197">
        <f>INT((ABS(EU34)-EV34)*60)</f>
        <v>6</v>
      </c>
      <c r="EX34" s="1197">
        <f>INT((((ABS(EU34)-EV34)*60)-EW34)*60)</f>
        <v>38</v>
      </c>
      <c r="EY34" s="1197">
        <f>INT((((((ABS(EU34)-EV34)*60)-EW34)*60)-EX34)*60)</f>
        <v>55</v>
      </c>
    </row>
    <row r="35" spans="2:155">
      <c r="B35" s="1203" t="s">
        <v>4</v>
      </c>
      <c r="C35" s="1122">
        <v>1</v>
      </c>
      <c r="D35" s="1151"/>
      <c r="E35" s="1151"/>
      <c r="F35" s="1151"/>
      <c r="G35" s="1151"/>
      <c r="H35" s="1151"/>
      <c r="I35" s="1146" t="s">
        <v>1408</v>
      </c>
      <c r="J35" s="1146">
        <f>IF(J34&gt;J26,J34-J26,J34+360-J26)</f>
        <v>97.663917728221747</v>
      </c>
      <c r="K35" s="1121">
        <f t="shared" si="137"/>
        <v>97</v>
      </c>
      <c r="L35" s="1121">
        <f t="shared" si="133"/>
        <v>39</v>
      </c>
      <c r="M35" s="1121">
        <f t="shared" si="134"/>
        <v>50</v>
      </c>
      <c r="N35" s="1202">
        <f t="shared" si="135"/>
        <v>6</v>
      </c>
      <c r="P35" s="1121"/>
      <c r="Q35" s="1121"/>
      <c r="R35" s="1121"/>
      <c r="S35" s="1202"/>
      <c r="AJ35" s="1297" t="s">
        <v>3941</v>
      </c>
      <c r="AK35" s="1179">
        <f>IF(AK33+AK34&lt;60,AK33+AK34,AK33+AK34-60)</f>
        <v>59.148678536353472</v>
      </c>
      <c r="AL35" s="1259">
        <f t="shared" si="125"/>
        <v>59</v>
      </c>
      <c r="AM35" s="1259">
        <f t="shared" si="126"/>
        <v>8</v>
      </c>
      <c r="AN35" s="1259">
        <f t="shared" si="127"/>
        <v>55</v>
      </c>
      <c r="AO35" s="1259">
        <f t="shared" si="128"/>
        <v>14</v>
      </c>
      <c r="AP35" s="1298"/>
      <c r="BY35" s="1415"/>
      <c r="BZ35" s="1151"/>
      <c r="CA35" s="1151"/>
      <c r="CB35" s="1151"/>
      <c r="CC35" s="1151"/>
      <c r="CD35" s="1151"/>
      <c r="CE35" s="1151"/>
      <c r="CF35" s="1151"/>
      <c r="CG35" s="1149"/>
      <c r="CH35" s="1150"/>
      <c r="CI35" s="1150" t="s">
        <v>177</v>
      </c>
      <c r="CJ35" s="1150">
        <f>CJ8</f>
        <v>35</v>
      </c>
      <c r="CK35" s="1201">
        <f t="shared" si="141"/>
        <v>35</v>
      </c>
      <c r="CL35" s="1201">
        <f t="shared" si="142"/>
        <v>0</v>
      </c>
      <c r="CM35" s="1201">
        <f t="shared" si="143"/>
        <v>0</v>
      </c>
      <c r="CN35" s="1403">
        <f t="shared" si="144"/>
        <v>0</v>
      </c>
      <c r="CZ35" s="1174" t="s">
        <v>1499</v>
      </c>
      <c r="DA35" s="1174">
        <f>[1]!modd(DA34,30)</f>
        <v>14.135952811584048</v>
      </c>
      <c r="EL35" s="1136" t="s">
        <v>1528</v>
      </c>
      <c r="EM35" s="1136">
        <v>100</v>
      </c>
      <c r="EN35" s="1136">
        <v>30</v>
      </c>
      <c r="EO35" s="1136">
        <v>1200</v>
      </c>
      <c r="EP35" s="1136">
        <f>((ES32/EO35)-INT(ES32/EO35))*360</f>
        <v>131.10810456375134</v>
      </c>
      <c r="EQ35" s="1197">
        <f>INT(ABS(EP35))</f>
        <v>131</v>
      </c>
      <c r="ER35" s="1197">
        <f>INT((ABS(EP35)-EQ35)*60)</f>
        <v>6</v>
      </c>
      <c r="ES35" s="1197">
        <f>INT((((ABS(EP35)-EQ35)*60)-ER35)*60)</f>
        <v>29</v>
      </c>
      <c r="ET35" s="1197">
        <f>INT((((((ABS(EP35)-EQ35)*60)-ER35)*60)-ES35)*60)</f>
        <v>10</v>
      </c>
      <c r="EU35" s="1136">
        <f>[1]!entakbar(EM22,EM23,EM24,EM25)</f>
        <v>131.10810455590544</v>
      </c>
      <c r="EV35" s="1197">
        <f>INT(ABS(EU35))</f>
        <v>131</v>
      </c>
      <c r="EW35" s="1197">
        <f>INT((ABS(EU35)-EV35)*60)</f>
        <v>6</v>
      </c>
      <c r="EX35" s="1197">
        <f>INT((((ABS(EU35)-EV35)*60)-EW35)*60)</f>
        <v>29</v>
      </c>
      <c r="EY35" s="1197">
        <f>INT((((((ABS(EU35)-EV35)*60)-EW35)*60)-EX35)*60)</f>
        <v>10</v>
      </c>
    </row>
    <row r="36" spans="2:155" ht="18.75" thickBot="1">
      <c r="B36" s="1214" t="s">
        <v>5</v>
      </c>
      <c r="C36" s="1199">
        <v>1</v>
      </c>
      <c r="D36" s="1151"/>
      <c r="E36" s="1151"/>
      <c r="F36" s="1151"/>
      <c r="G36" s="1151"/>
      <c r="H36" s="1151"/>
      <c r="I36" s="1146" t="s">
        <v>1409</v>
      </c>
      <c r="J36" s="1146">
        <f>[1]!taqm3(J33,J35)</f>
        <v>-2.7206124862933234</v>
      </c>
      <c r="K36" s="1121">
        <f t="shared" si="137"/>
        <v>2</v>
      </c>
      <c r="L36" s="1121">
        <f t="shared" si="133"/>
        <v>43</v>
      </c>
      <c r="M36" s="1121">
        <f t="shared" si="134"/>
        <v>14</v>
      </c>
      <c r="N36" s="1202">
        <f t="shared" si="135"/>
        <v>12</v>
      </c>
      <c r="AJ36" s="1299"/>
      <c r="AK36" s="1300">
        <f>[1]!kahryentnachahtar(AK6,AK7,AM6,AK9,AO6)</f>
        <v>59.148678536353472</v>
      </c>
      <c r="AL36" s="1303">
        <f t="shared" si="125"/>
        <v>59</v>
      </c>
      <c r="AM36" s="1303">
        <f t="shared" si="126"/>
        <v>8</v>
      </c>
      <c r="AN36" s="1303">
        <f t="shared" si="127"/>
        <v>55</v>
      </c>
      <c r="AO36" s="1303">
        <f t="shared" si="128"/>
        <v>14</v>
      </c>
      <c r="AP36" s="1301"/>
      <c r="BY36" s="1415"/>
      <c r="BZ36" s="1151"/>
      <c r="CA36" s="1151"/>
      <c r="CB36" s="1151"/>
      <c r="CC36" s="1151"/>
      <c r="CD36" s="1151"/>
      <c r="CE36" s="1151"/>
      <c r="CF36" s="1151"/>
      <c r="CG36" s="1149"/>
      <c r="CH36" s="1150"/>
      <c r="CI36" s="1150" t="s">
        <v>1478</v>
      </c>
      <c r="CJ36" s="1150">
        <f>[1]!mtb(CJ2,CB30,CJ35)</f>
        <v>59.39650775948499</v>
      </c>
      <c r="CK36" s="1201">
        <f t="shared" si="141"/>
        <v>59</v>
      </c>
      <c r="CL36" s="1201">
        <f t="shared" si="142"/>
        <v>23</v>
      </c>
      <c r="CM36" s="1201">
        <f t="shared" si="143"/>
        <v>47</v>
      </c>
      <c r="CN36" s="1403">
        <f t="shared" si="144"/>
        <v>25</v>
      </c>
      <c r="CZ36" s="1225"/>
      <c r="DA36" s="1225"/>
      <c r="EL36" s="1136" t="s">
        <v>1529</v>
      </c>
      <c r="EM36" s="1136">
        <v>10</v>
      </c>
      <c r="EN36" s="1136">
        <v>30</v>
      </c>
      <c r="EO36" s="1136">
        <v>120</v>
      </c>
      <c r="EP36" s="1136">
        <f>((ES32/EO36)-INT(ES32/EO36))*360</f>
        <v>231.08104563757479</v>
      </c>
      <c r="EQ36" s="1197">
        <f>INT(ABS(EP36))</f>
        <v>231</v>
      </c>
      <c r="ER36" s="1197">
        <f>INT((ABS(EP36)-EQ36)*60)</f>
        <v>4</v>
      </c>
      <c r="ES36" s="1197">
        <f>INT((((ABS(EP36)-EQ36)*60)-ER36)*60)</f>
        <v>51</v>
      </c>
      <c r="ET36" s="1197">
        <f>INT((((((ABS(EP36)-EQ36)*60)-ER36)*60)-ES36)*60)</f>
        <v>45</v>
      </c>
      <c r="EU36" s="1136">
        <f>[1]!entavsat(EM22,EM23,EM24,EM25)</f>
        <v>231.08104555905447</v>
      </c>
      <c r="EV36" s="1197">
        <f>INT(ABS(EU36))</f>
        <v>231</v>
      </c>
      <c r="EW36" s="1197">
        <f>INT((ABS(EU36)-EV36)*60)</f>
        <v>4</v>
      </c>
      <c r="EX36" s="1197">
        <f>INT((((ABS(EU36)-EV36)*60)-EW36)*60)</f>
        <v>51</v>
      </c>
      <c r="EY36" s="1197">
        <f>INT((((((ABS(EU36)-EV36)*60)-EW36)*60)-EX36)*60)</f>
        <v>45</v>
      </c>
    </row>
    <row r="37" spans="2:155">
      <c r="B37" s="1218" t="s">
        <v>87</v>
      </c>
      <c r="C37" s="1211">
        <v>354.36709259258998</v>
      </c>
      <c r="D37" s="1151"/>
      <c r="E37" s="1151"/>
      <c r="F37" s="1151"/>
      <c r="G37" s="1151"/>
      <c r="H37" s="1151"/>
      <c r="I37" s="1146" t="s">
        <v>1411</v>
      </c>
      <c r="J37" s="1146">
        <f>[1]!hesseh(C26,C27,C28,C29)</f>
        <v>164.06536955749993</v>
      </c>
      <c r="K37" s="1121">
        <f t="shared" si="137"/>
        <v>164</v>
      </c>
      <c r="L37" s="1121">
        <f t="shared" si="133"/>
        <v>3</v>
      </c>
      <c r="M37" s="1121">
        <f t="shared" si="134"/>
        <v>55</v>
      </c>
      <c r="N37" s="1202">
        <f t="shared" si="135"/>
        <v>19</v>
      </c>
      <c r="AK37" s="1130" t="str">
        <f>[1]!jookame(AK6,AK7,AK8,AK9)</f>
        <v>sobhehe</v>
      </c>
      <c r="BY37" s="1415"/>
      <c r="BZ37" s="1151"/>
      <c r="CA37" s="1151"/>
      <c r="CB37" s="1151"/>
      <c r="CC37" s="1151"/>
      <c r="CD37" s="1151"/>
      <c r="CE37" s="1151"/>
      <c r="CF37" s="1151"/>
      <c r="CG37" s="1149"/>
      <c r="CH37" s="1150"/>
      <c r="CI37" s="1150"/>
      <c r="CJ37" s="1150">
        <f>IF(CJ33+CJ36&lt;360,CJ33+CJ36,CJ33+CJ36-360)</f>
        <v>205.7301532550357</v>
      </c>
      <c r="CK37" s="1201">
        <f t="shared" si="141"/>
        <v>205</v>
      </c>
      <c r="CL37" s="1201">
        <f t="shared" si="142"/>
        <v>43</v>
      </c>
      <c r="CM37" s="1201">
        <f t="shared" si="143"/>
        <v>48</v>
      </c>
      <c r="CN37" s="1403">
        <f t="shared" si="144"/>
        <v>33</v>
      </c>
      <c r="CZ37" s="1225"/>
      <c r="DA37" s="1225">
        <f>[1]!modd((DA32*390),390)</f>
        <v>265.13582825450612</v>
      </c>
      <c r="EL37" s="1136" t="s">
        <v>1530</v>
      </c>
      <c r="EM37" s="1136">
        <v>1</v>
      </c>
      <c r="EN37" s="1136">
        <v>30</v>
      </c>
      <c r="EO37" s="1136">
        <v>12</v>
      </c>
      <c r="EP37" s="1136">
        <f>((ES32/EO37)-INT(ES32/EO37))*360</f>
        <v>150.81045637525676</v>
      </c>
      <c r="EQ37" s="1197">
        <f>INT(ABS(EP37))</f>
        <v>150</v>
      </c>
      <c r="ER37" s="1197">
        <f>INT((ABS(EP37)-EQ37)*60)</f>
        <v>48</v>
      </c>
      <c r="ES37" s="1197">
        <f>INT((((ABS(EP37)-EQ37)*60)-ER37)*60)</f>
        <v>37</v>
      </c>
      <c r="ET37" s="1197">
        <f>INT((((((ABS(EP37)-EQ37)*60)-ER37)*60)-ES37)*60)</f>
        <v>38</v>
      </c>
      <c r="EU37" s="1136">
        <f>[1]!entasqar(EM22,EM23,EM24,EM25)</f>
        <v>150.81045559054462</v>
      </c>
      <c r="EV37" s="1197">
        <f>INT(ABS(EU37))</f>
        <v>150</v>
      </c>
      <c r="EW37" s="1197">
        <f>INT((ABS(EU37)-EV37)*60)</f>
        <v>48</v>
      </c>
      <c r="EX37" s="1197">
        <f>INT((((ABS(EU37)-EV37)*60)-EW37)*60)</f>
        <v>37</v>
      </c>
      <c r="EY37" s="1197">
        <f>INT((((((ABS(EU37)-EV37)*60)-EW37)*60)-EX37)*60)</f>
        <v>38</v>
      </c>
    </row>
    <row r="38" spans="2:155">
      <c r="B38" s="1221"/>
      <c r="C38" s="1216">
        <f>(C34-1)*C37</f>
        <v>442958.86574073747</v>
      </c>
      <c r="D38" s="1197"/>
      <c r="E38" s="1197"/>
      <c r="F38" s="1151"/>
      <c r="G38" s="1151"/>
      <c r="H38" s="1151"/>
      <c r="I38" s="1145" t="s">
        <v>1412</v>
      </c>
      <c r="J38" s="1145">
        <f>[1]!taqm4(J37)</f>
        <v>5.8086665502401047E-2</v>
      </c>
      <c r="K38" s="1121">
        <f t="shared" si="137"/>
        <v>0</v>
      </c>
      <c r="L38" s="1121">
        <f t="shared" si="133"/>
        <v>3</v>
      </c>
      <c r="M38" s="1121">
        <f t="shared" si="134"/>
        <v>29</v>
      </c>
      <c r="N38" s="1202">
        <f t="shared" si="135"/>
        <v>6</v>
      </c>
      <c r="AK38" s="1130">
        <f>[1]!kahryentjook(AK6,AK7,AK8,AK9,AO6)</f>
        <v>0.28049251858255464</v>
      </c>
      <c r="BY38" s="1415"/>
      <c r="BZ38" s="1151"/>
      <c r="CA38" s="1151"/>
      <c r="CB38" s="1151"/>
      <c r="CC38" s="1151"/>
      <c r="CD38" s="1151"/>
      <c r="CE38" s="1151"/>
      <c r="CF38" s="1151"/>
      <c r="CG38" s="1235"/>
      <c r="CH38" s="1209"/>
      <c r="CI38" s="1209" t="s">
        <v>1479</v>
      </c>
      <c r="CJ38" s="1209">
        <f>[1]!tazmb(CJ5,CJ37,CJ35)</f>
        <v>201.43315199064421</v>
      </c>
      <c r="CK38" s="1402">
        <f t="shared" si="141"/>
        <v>201</v>
      </c>
      <c r="CL38" s="1402">
        <f t="shared" si="142"/>
        <v>25</v>
      </c>
      <c r="CM38" s="1402">
        <f t="shared" si="143"/>
        <v>59</v>
      </c>
      <c r="CN38" s="1406">
        <f t="shared" si="144"/>
        <v>20</v>
      </c>
      <c r="CZ38" s="1174" t="s">
        <v>1497</v>
      </c>
      <c r="DA38" s="1174">
        <f>[1]!modd((DA37+DC18),390)</f>
        <v>108.87671735420508</v>
      </c>
    </row>
    <row r="39" spans="2:155" ht="18.75" thickBot="1">
      <c r="B39" s="1221"/>
      <c r="C39" s="1216">
        <f>INT(C35/2)*30+(C35-1-INT(C35/2))*29</f>
        <v>0</v>
      </c>
      <c r="D39" s="1151"/>
      <c r="E39" s="1151"/>
      <c r="F39" s="1151"/>
      <c r="G39" s="1151"/>
      <c r="H39" s="1151"/>
      <c r="I39" s="1146" t="s">
        <v>698</v>
      </c>
      <c r="J39" s="1146">
        <f>[1]!taqq(C26,C27,C28,C29)</f>
        <v>266.97705946197175</v>
      </c>
      <c r="K39" s="1121">
        <f t="shared" si="137"/>
        <v>266</v>
      </c>
      <c r="L39" s="1121">
        <f t="shared" si="133"/>
        <v>58</v>
      </c>
      <c r="M39" s="1121">
        <f t="shared" si="134"/>
        <v>37</v>
      </c>
      <c r="N39" s="1202">
        <f t="shared" si="135"/>
        <v>24</v>
      </c>
      <c r="BY39" s="1422"/>
      <c r="BZ39" s="1423"/>
      <c r="CA39" s="1423"/>
      <c r="CB39" s="1423"/>
      <c r="CC39" s="1423"/>
      <c r="CD39" s="1423"/>
      <c r="CE39" s="1423"/>
      <c r="CF39" s="1423"/>
      <c r="CG39" s="1163"/>
      <c r="CH39" s="1181"/>
      <c r="CI39" s="1181"/>
      <c r="CJ39" s="1164">
        <f>[1]!tq(CJ37-CJ36)</f>
        <v>146.33364549555071</v>
      </c>
      <c r="CK39" s="1201">
        <f t="shared" si="141"/>
        <v>146</v>
      </c>
      <c r="CL39" s="1201">
        <f t="shared" si="142"/>
        <v>20</v>
      </c>
      <c r="CM39" s="1201">
        <f t="shared" si="143"/>
        <v>1</v>
      </c>
      <c r="CN39" s="1403">
        <f t="shared" si="144"/>
        <v>7</v>
      </c>
      <c r="CZ39" s="1174" t="s">
        <v>1499</v>
      </c>
      <c r="DA39" s="1174">
        <f>[1]!modd(DA38,30)</f>
        <v>18.876717354205084</v>
      </c>
    </row>
    <row r="40" spans="2:155" ht="18.75" thickBot="1">
      <c r="B40" s="1215"/>
      <c r="C40" s="1216">
        <f>INT(C38+C39+C36)</f>
        <v>442959</v>
      </c>
      <c r="D40" s="1151"/>
      <c r="E40" s="1151"/>
      <c r="F40" s="1151"/>
      <c r="G40" s="1151"/>
      <c r="H40" s="1151"/>
      <c r="I40" s="1146" t="s">
        <v>1413</v>
      </c>
      <c r="J40" s="1146">
        <f>IF(C33&gt;=C40,J30+J31+J36+J38,(J30+J31+J36+J38)*-1)</f>
        <v>-7.2633661073403228</v>
      </c>
      <c r="K40" s="1121">
        <f t="shared" si="137"/>
        <v>7</v>
      </c>
      <c r="L40" s="1121">
        <f t="shared" si="133"/>
        <v>15</v>
      </c>
      <c r="M40" s="1121">
        <f t="shared" si="134"/>
        <v>48</v>
      </c>
      <c r="N40" s="1202">
        <f t="shared" si="135"/>
        <v>7</v>
      </c>
      <c r="CG40" s="1408"/>
      <c r="CH40" s="1407"/>
      <c r="CI40" s="1407" t="s">
        <v>1477</v>
      </c>
      <c r="CJ40" s="1409">
        <f>[1]!tazmb(CJ2,CJ39,CJ35)</f>
        <v>152.01076115717845</v>
      </c>
      <c r="CK40" s="1410">
        <f t="shared" si="141"/>
        <v>152</v>
      </c>
      <c r="CL40" s="1410">
        <f t="shared" si="142"/>
        <v>0</v>
      </c>
      <c r="CM40" s="1410">
        <f t="shared" si="143"/>
        <v>38</v>
      </c>
      <c r="CN40" s="1411">
        <f t="shared" si="144"/>
        <v>44</v>
      </c>
    </row>
    <row r="41" spans="2:155">
      <c r="B41" s="1275" t="s">
        <v>839</v>
      </c>
      <c r="C41" s="1192">
        <f>ABS(C33-C40)+1</f>
        <v>33378</v>
      </c>
      <c r="D41" s="1192" t="s">
        <v>5</v>
      </c>
      <c r="E41" s="1192" t="s">
        <v>1394</v>
      </c>
      <c r="F41" s="1192" t="s">
        <v>1395</v>
      </c>
      <c r="G41" s="1192" t="s">
        <v>1396</v>
      </c>
      <c r="H41" s="1200" t="s">
        <v>1397</v>
      </c>
      <c r="I41" s="1146" t="s">
        <v>812</v>
      </c>
      <c r="J41" s="1146">
        <f>[1]!bohtq(C26,C27,C28,C29)</f>
        <v>13.442909236517664</v>
      </c>
      <c r="K41" s="1121">
        <f t="shared" si="137"/>
        <v>13</v>
      </c>
      <c r="L41" s="1121">
        <f t="shared" si="133"/>
        <v>26</v>
      </c>
      <c r="M41" s="1121">
        <f t="shared" si="134"/>
        <v>34</v>
      </c>
      <c r="N41" s="1202">
        <f t="shared" si="135"/>
        <v>28</v>
      </c>
      <c r="CJ41" s="1130" t="e">
        <f>[1]!mozetasir(CB5,CB6,CB7,CJ2,CJ3,CJ4,CJ5,CB11,CB12)</f>
        <v>#VALUE!</v>
      </c>
    </row>
    <row r="42" spans="2:155">
      <c r="B42" s="1280"/>
      <c r="C42" s="1197">
        <f>(((F42/60)+E42)/60)+D42</f>
        <v>0.26527777777777778</v>
      </c>
      <c r="D42" s="1151"/>
      <c r="E42" s="1151">
        <v>15</v>
      </c>
      <c r="F42" s="1151">
        <v>55</v>
      </c>
      <c r="G42" s="1151"/>
      <c r="H42" s="1213"/>
      <c r="I42" s="1146"/>
      <c r="J42" s="1146">
        <f>(J40/J41)</f>
        <v>-0.54031206932569242</v>
      </c>
      <c r="K42" s="1121">
        <f t="shared" si="137"/>
        <v>0</v>
      </c>
      <c r="L42" s="1121">
        <f t="shared" si="133"/>
        <v>32</v>
      </c>
      <c r="M42" s="1121">
        <f t="shared" si="134"/>
        <v>25</v>
      </c>
      <c r="N42" s="1202">
        <f t="shared" si="135"/>
        <v>7</v>
      </c>
      <c r="CJ42" s="1130" t="e">
        <f>[1]!hesetasir(CB5,CB6,CB7,CJ2,CJ3,CJ4,CJ5,CB11,CB12)</f>
        <v>#VALUE!</v>
      </c>
    </row>
    <row r="43" spans="2:155">
      <c r="B43" s="1212" t="s">
        <v>232</v>
      </c>
      <c r="C43" s="1151">
        <f>IF(C33&lt;C40,C41+C42,C41-C42)</f>
        <v>33377.734722222223</v>
      </c>
      <c r="D43" s="1151">
        <f>INT(C43)</f>
        <v>33377</v>
      </c>
      <c r="E43" s="1151">
        <f>INT((C43-INT(C43))*60)</f>
        <v>44</v>
      </c>
      <c r="F43" s="1151">
        <f>(((C43-INT(C43))*60)-INT((C43-INT(C43))*60))*60</f>
        <v>5.0000000040745363</v>
      </c>
      <c r="G43" s="1151"/>
      <c r="H43" s="1213"/>
      <c r="I43" s="1146" t="s">
        <v>1414</v>
      </c>
      <c r="J43" s="1146">
        <f>C48+J42</f>
        <v>0.21581277635683582</v>
      </c>
      <c r="K43" s="1121">
        <f t="shared" si="137"/>
        <v>0</v>
      </c>
      <c r="L43" s="1121">
        <f t="shared" si="133"/>
        <v>12</v>
      </c>
      <c r="M43" s="1121">
        <f t="shared" si="134"/>
        <v>56</v>
      </c>
      <c r="N43" s="1202">
        <f t="shared" si="135"/>
        <v>55</v>
      </c>
    </row>
    <row r="44" spans="2:155">
      <c r="B44" s="1212" t="s">
        <v>2291</v>
      </c>
      <c r="C44" s="1151">
        <f>(((((((H44/60)+G44)/60)+F44)/60)+E44)/60)+D44</f>
        <v>0.94154922839506172</v>
      </c>
      <c r="D44" s="1151">
        <v>0</v>
      </c>
      <c r="E44" s="1151">
        <v>56</v>
      </c>
      <c r="F44" s="1151">
        <v>29</v>
      </c>
      <c r="G44" s="1151">
        <v>34</v>
      </c>
      <c r="H44" s="1213">
        <v>38</v>
      </c>
      <c r="I44" s="1146" t="s">
        <v>1415</v>
      </c>
      <c r="J44" s="1146">
        <f>(((((((AO23/60)+N44)/60)+M44)/60)+L44)/60)+K44</f>
        <v>0.20676851851851852</v>
      </c>
      <c r="K44" s="1121">
        <v>0</v>
      </c>
      <c r="L44" s="1121">
        <v>12</v>
      </c>
      <c r="M44" s="1121">
        <v>24</v>
      </c>
      <c r="N44" s="1202">
        <v>22</v>
      </c>
    </row>
    <row r="45" spans="2:155">
      <c r="B45" s="1212"/>
      <c r="C45" s="1151">
        <f>C44*2</f>
        <v>1.8830984567901234</v>
      </c>
      <c r="D45" s="1151">
        <f>INT(C45)</f>
        <v>1</v>
      </c>
      <c r="E45" s="1151">
        <f>INT((C45-INT(C45))*60)</f>
        <v>52</v>
      </c>
      <c r="F45" s="1151">
        <f>INT((((C45-INT(C45))*60)-INT((C45-INT(C45))*60))*60)</f>
        <v>59</v>
      </c>
      <c r="G45" s="1151">
        <f>INT((((((C45-INT(C45))*60)-INT((C45-INT(C45))*60))*60)-INT((((C45-INT(C45))*60)-INT((C45-INT(C45))*60))*60))*60)</f>
        <v>9</v>
      </c>
      <c r="H45" s="1213">
        <f>(((((((C45-INT(C45))*60)-INT((C45-INT(C45))*60))*60)-INT((((C45-INT(C45))*60)-INT((C45-INT(C45))*60))*60))*60)-INT((((((C45-INT(C45))*60)-INT((C45-INT(C45))*60))*60)-INT((((C45-INT(C45))*60)-INT((C45-INT(C45))*60))*60))*60))*60</f>
        <v>16.000000000585715</v>
      </c>
      <c r="I45" s="1146" t="s">
        <v>244</v>
      </c>
      <c r="J45" s="1146">
        <f>J44/(J41/60)</f>
        <v>0.92287397711575025</v>
      </c>
      <c r="K45" s="1121">
        <f>INT(ABS(J45))</f>
        <v>0</v>
      </c>
      <c r="L45" s="1121">
        <f>INT((ABS(J45)-K45)*60)</f>
        <v>55</v>
      </c>
      <c r="M45" s="1121">
        <f>INT((((ABS(J45)-K45)*60)-L45)*60)</f>
        <v>22</v>
      </c>
      <c r="N45" s="1202">
        <f>INT((((((ABS(J45)-K45)*60)-L45)*60)-M45)*60)</f>
        <v>20</v>
      </c>
    </row>
    <row r="46" spans="2:155">
      <c r="B46" s="1212" t="s">
        <v>3930</v>
      </c>
      <c r="C46" s="1151">
        <f>C44*27</f>
        <v>25.421829166666665</v>
      </c>
      <c r="D46" s="1151">
        <f>INT(C46)</f>
        <v>25</v>
      </c>
      <c r="E46" s="1151">
        <f>INT((C46-INT(C46))*60)</f>
        <v>25</v>
      </c>
      <c r="F46" s="1151">
        <f>INT((((C46-INT(C46))*60)-INT((C46-INT(C46))*60))*60)</f>
        <v>18</v>
      </c>
      <c r="G46" s="1151">
        <f>INT((((((C46-INT(C46))*60)-INT((C46-INT(C46))*60))*60)-INT((((C46-INT(C46))*60)-INT((C46-INT(C46))*60))*60))*60)</f>
        <v>35</v>
      </c>
      <c r="H46" s="1213">
        <f>(((((((C46-INT(C46))*60)-INT((C46-INT(C46))*60))*60)-INT((((C46-INT(C46))*60)-INT((C46-INT(C46))*60))*60))*60)-INT((((((C46-INT(C46))*60)-INT((C46-INT(C46))*60))*60)-INT((((C46-INT(C46))*60)-INT((C46-INT(C46))*60))*60))*60))*60</f>
        <v>5.9999999802812454</v>
      </c>
      <c r="I46" s="1146" t="s">
        <v>1417</v>
      </c>
      <c r="J46" s="1146">
        <f>IF(J43-J45&gt;0,J43-J45,J43-J45+1)</f>
        <v>0.29293879924108557</v>
      </c>
      <c r="K46" s="1121">
        <f>INT(ABS(J46))</f>
        <v>0</v>
      </c>
      <c r="L46" s="1121">
        <f>INT((ABS(J46)-K46)*60)</f>
        <v>17</v>
      </c>
      <c r="M46" s="1121">
        <f>INT((((ABS(J46)-K46)*60)-L46)*60)</f>
        <v>34</v>
      </c>
      <c r="N46" s="1202">
        <f>INT((((((ABS(J46)-K46)*60)-L46)*60)-M46)*60)</f>
        <v>34</v>
      </c>
    </row>
    <row r="47" spans="2:155">
      <c r="B47" s="1212" t="s">
        <v>594</v>
      </c>
      <c r="C47" s="1151">
        <f>((C43/C46)-INT(C43/C46))*C46</f>
        <v>24.294855555559071</v>
      </c>
      <c r="D47" s="1151">
        <f>INT(C47)</f>
        <v>24</v>
      </c>
      <c r="E47" s="1151">
        <f>INT((C47-INT(C47))*60)</f>
        <v>17</v>
      </c>
      <c r="F47" s="1151">
        <f>INT((((C47-INT(C47))*60)-INT((C47-INT(C47))*60))*60)</f>
        <v>41</v>
      </c>
      <c r="G47" s="1151">
        <f>INT((((((C47-INT(C47))*60)-INT((C47-INT(C47))*60))*60)-INT((((C47-INT(C47))*60)-INT((C47-INT(C47))*60))*60))*60)</f>
        <v>28</v>
      </c>
      <c r="H47" s="1213">
        <f>(((((((C47-INT(C47))*60)-INT((C47-INT(C47))*60))*60)-INT((((C47-INT(C47))*60)-INT((C47-INT(C47))*60))*60))*60)-INT((((((C47-INT(C47))*60)-INT((C47-INT(C47))*60))*60)-INT((((C47-INT(C47))*60)-INT((C47-INT(C47))*60))*60))*60))*60</f>
        <v>48.000045558042075</v>
      </c>
      <c r="I47" s="1146" t="s">
        <v>1418</v>
      </c>
      <c r="J47" s="1146">
        <f>R22</f>
        <v>15.245396501610243</v>
      </c>
      <c r="K47" s="1185">
        <v>0</v>
      </c>
      <c r="L47" s="1185">
        <v>16</v>
      </c>
      <c r="M47" s="1185">
        <v>54</v>
      </c>
      <c r="N47" s="1186">
        <v>19</v>
      </c>
    </row>
    <row r="48" spans="2:155">
      <c r="B48" s="1207" t="s">
        <v>3929</v>
      </c>
      <c r="C48" s="1208">
        <f>IF(C47&gt;C44*26,C47-(C44*26),IF(C47&gt;C44*25,C47-(C44*25),IF(C47&gt;C44*24,C47-(C44*24),IF(C47&gt;C44*23,C47-(C44*23),IF(C47&gt;C44*22,C47-(C44*22),IF(C47&gt;C44*21,C47-(C44*21),IF(C47&gt;C44*20,C47-(C44*20),IF(C47&gt;C44*19,C47-(C44*19),IF(C47&gt;C44*18,C47-(C44*18),IF(C47&gt;C44*17,C47-(C44*17),IF(C47&gt;C44*16,C47-(C44*16),IF(C47&gt;C44*15,C47-(C44*15),IF(C47&gt;C44*14,C47-(C44*14),IF(C47&gt;C44*13,C47-(C44*13),IF(C47&gt;C44*12,C47-(C44*12),IF(C47&gt;C44*11,C47-(C44*11),IF(C47&gt;C44*10,C47-(C44*10),IF(C47&gt;C44*9,C47-(C44*9),IF(C47&gt;C44*8,C47-(C44*8),IF(C47&gt;C44*7,C47-(C44*7),IF(C47&gt;C44*6,C47-(C44*6),IF(C47&gt;C44*5,C47-(C44*5),IF(C47&gt;C44*4,C47-(C44*4),IF(C47&gt;C44*3,C47-(C44*3),IF(C47&gt;C44*2,C47-(C44*2),IF(C47&gt;C44*1,C47-(C44*1),C47))))))))))))))))))))))))))</f>
        <v>0.75612484568252825</v>
      </c>
      <c r="D48" s="1208">
        <f>INT(C48)</f>
        <v>0</v>
      </c>
      <c r="E48" s="1208">
        <f>INT((C48-INT(C48))*60)</f>
        <v>45</v>
      </c>
      <c r="F48" s="1208">
        <f>INT((((C48-INT(C48))*60)-INT((C48-INT(C48))*60))*60)</f>
        <v>22</v>
      </c>
      <c r="G48" s="1208">
        <f>INT((((((C48-INT(C48))*60)-INT((C48-INT(C48))*60))*60)-INT((((C48-INT(C48))*60)-INT((C48-INT(C48))*60))*60))*60)</f>
        <v>2</v>
      </c>
      <c r="H48" s="1219">
        <f>(((((((C48-INT(C48))*60)-INT((C48-INT(C48))*60))*60)-INT((((C48-INT(C48))*60)-INT((C48-INT(C48))*60))*60))*60)-INT((((((C48-INT(C48))*60)-INT((C48-INT(C48))*60))*60)-INT((((C48-INT(C48))*60)-INT((C48-INT(C48))*60))*60))*60))*60</f>
        <v>58.000045566068366</v>
      </c>
      <c r="I48" s="1146" t="s">
        <v>1419</v>
      </c>
      <c r="J48" s="1146">
        <f>(J47-J46)/60</f>
        <v>0.24920762837281929</v>
      </c>
      <c r="K48" s="1121">
        <f>INT(ABS(J48))</f>
        <v>0</v>
      </c>
      <c r="L48" s="1121">
        <f>INT((ABS(J48)-K48)*60)</f>
        <v>14</v>
      </c>
      <c r="M48" s="1121">
        <f>INT((((ABS(J48)-K48)*60)-L48)*60)</f>
        <v>57</v>
      </c>
      <c r="N48" s="1202">
        <f>INT((((((ABS(J48)-K48)*60)-L48)*60)-M48)*60)</f>
        <v>8</v>
      </c>
    </row>
    <row r="49" spans="2:14">
      <c r="B49" s="1191" t="s">
        <v>1398</v>
      </c>
      <c r="C49" s="1192">
        <f>IF(C47&gt;C44*26,26,IF(C47&gt;C44*25,25,IF(C47&gt;C44*24,24,IF(C47&gt;C44*23,23,IF(C47&gt;C44*22,22,IF(C47&gt;C44*21,21,IF(C47&gt;C44*20,20,IF(C47&gt;C44*19,19,IF(C47&gt;C44*18,18,IF(C47&gt;C44*17,17,IF(C47&gt;C44*16,16,IF(C47&gt;C44*15,15,IF(C47&gt;C44*14,14,IF(C47&gt;C44*13,13,IF(C47&gt;C44*12,12,IF(C47&gt;C44*11,11,IF(C47&gt;C44*10,10,IF(C47&gt;C44*9,9,IF(C47&gt;C44*8,8,IF(C47&gt;C44*7,7,IF(C47&gt;C44*6,6,IF(C47&gt;C44*5,5,IF(C47&gt;C44*4,4,IF(C47&gt;C44*3,3,IF(C47&gt;C44*2,2,IF(C47&gt;C44*1,1,27))))))))))))))))))))))))))</f>
        <v>25</v>
      </c>
      <c r="D49" s="1192" t="str">
        <f>IF(C49=1,"سوبهاک",IF(C49=2,"سوبهن",IF(C49=3,"اتیگند",IF(C49=4,"سوکزما",IF(C49=5,"دهرت",IF(C49=6,"سول",IF(C49=7,"گند",IF(C49=8,"بزده",IF(C49=9,"دهرو",IF(C49=10,"بیاکهات",IF(C49=11,"هرکهن",IF(C49=12,"بجر",IF(C49=13,"ست",IF(C49=14,"بتی پات",IF(C49=15,"بریان",IF(C49=16,"پرگهه",IF(C49=17,"شیو",IF(C49=18,"سده",IF(C49=19,"سادها",IF(C49=20,"سبهه",IF(C49=21,"شوکل",IF(C49=22,"برنبها",IF(C49=23,"ایندر",IF(C49=24,"بیدهرت",IF(C49=25,"بگهه",IF(C49=26,"پریت","ایکهمان"))))))))))))))))))))))))))</f>
        <v>بگهه</v>
      </c>
      <c r="E49" s="1192"/>
      <c r="F49" s="1192"/>
      <c r="G49" s="1192"/>
      <c r="H49" s="1200"/>
      <c r="I49" s="1146" t="s">
        <v>2202</v>
      </c>
      <c r="J49" s="1146">
        <f>[1]!kahryentjook(C26,C27,C28,C29,R21)</f>
        <v>0.24920762837282573</v>
      </c>
      <c r="K49" s="1121">
        <f>INT(ABS(J49))</f>
        <v>0</v>
      </c>
      <c r="L49" s="1121">
        <f>INT((ABS(J49)-K49)*60)</f>
        <v>14</v>
      </c>
      <c r="M49" s="1121">
        <f>INT((((ABS(J49)-K49)*60)-L49)*60)</f>
        <v>57</v>
      </c>
      <c r="N49" s="1202">
        <f>INT((((((ABS(J49)-K49)*60)-L49)*60)-M49)*60)</f>
        <v>8</v>
      </c>
    </row>
    <row r="50" spans="2:14">
      <c r="B50" s="1207" t="s">
        <v>1399</v>
      </c>
      <c r="C50" s="1208">
        <f>C49</f>
        <v>25</v>
      </c>
      <c r="D50" s="1208" t="str">
        <f>IF(C50=1,"ایکهمان",IF(C50=2,"پریت",IF(C50=3,"بگهه",IF(C50=4,"بیدهرت",IF(C50=5,"ایندر",IF(C50=6,"برنبها",IF(C50=7,"شوکل",IF(C50=8,"سوبهه",IF(C50=9,"سادها",IF(C50=10,"سده",IF(C50=11,"شیو",IF(C50=12,"پرکهه",IF(C50=13,"بریان",IF(C50=14,"بتیپات",IF(C50=15,"ست",IF(C50=16,"بجر",IF(C50=17,"هرکهن",IF(C50=18,"بیاکهات",IF(C50=19,"دهرو",IF(C50=20,"برده",IF(C50=21,"گند",IF(C50=22,"سول",IF(C50=23,"دهرت",IF(C50=24,"سوکرما",IF(C50=25,"اتیگند",IF(C50=26,"سوبهن","سوبهاک"))))))))))))))))))))))))))</f>
        <v>اتیگند</v>
      </c>
      <c r="E50" s="1208"/>
      <c r="F50" s="1208"/>
      <c r="G50" s="1208"/>
      <c r="H50" s="1219"/>
      <c r="I50" s="1146"/>
      <c r="J50" s="1146"/>
      <c r="K50" s="1185"/>
      <c r="L50" s="1185"/>
      <c r="M50" s="1185"/>
      <c r="N50" s="1186"/>
    </row>
    <row r="51" spans="2:14">
      <c r="B51" s="1281" t="s">
        <v>1372</v>
      </c>
      <c r="C51" s="1167">
        <f>IF(C26&gt;=C34,C49,C50)</f>
        <v>25</v>
      </c>
      <c r="D51" s="1167" t="str">
        <f>IF(C26&gt;=C34,D49,D50)</f>
        <v>بگهه</v>
      </c>
      <c r="E51" s="1167"/>
      <c r="F51" s="1167"/>
      <c r="G51" s="1167"/>
      <c r="H51" s="1282"/>
      <c r="I51" s="1156"/>
      <c r="J51" s="1156"/>
      <c r="K51" s="1283"/>
      <c r="L51" s="1283"/>
      <c r="M51" s="1283"/>
      <c r="N51" s="1284"/>
    </row>
    <row r="52" spans="2:14">
      <c r="C52" s="1130" t="str">
        <f>[1]!jookame(C26,C27,C28,C29)</f>
        <v>beghehe</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AI191"/>
  <sheetViews>
    <sheetView topLeftCell="L1" workbookViewId="0">
      <selection activeCell="T8" sqref="T8"/>
    </sheetView>
  </sheetViews>
  <sheetFormatPr defaultRowHeight="15"/>
  <cols>
    <col min="1" max="7" width="9.140625" style="334"/>
    <col min="8" max="8" width="12.7109375" style="334" customWidth="1"/>
    <col min="9" max="13" width="9.140625" style="334"/>
    <col min="14" max="14" width="12.85546875" style="334" customWidth="1"/>
    <col min="15" max="15" width="9.140625" style="334"/>
    <col min="16" max="16" width="12.5703125" style="334" customWidth="1"/>
    <col min="17" max="17" width="9.7109375" style="334" customWidth="1"/>
    <col min="18" max="18" width="10.85546875" style="334" customWidth="1"/>
    <col min="19" max="19" width="7.5703125" style="334" customWidth="1"/>
    <col min="20" max="20" width="9.140625" style="334"/>
    <col min="21" max="21" width="13.140625" style="334" customWidth="1"/>
    <col min="22" max="16384" width="9.140625" style="334"/>
  </cols>
  <sheetData>
    <row r="2" spans="2:35" ht="15.75" thickBot="1">
      <c r="Z2" s="334" t="s">
        <v>4346</v>
      </c>
    </row>
    <row r="3" spans="2:35" ht="15.75" thickBot="1">
      <c r="B3" s="1816"/>
      <c r="C3" s="1816"/>
      <c r="D3" s="1816"/>
      <c r="E3" s="1816"/>
      <c r="F3" s="1816"/>
      <c r="G3" s="1816"/>
      <c r="H3" s="1816"/>
      <c r="I3" s="1816"/>
      <c r="J3" s="1816"/>
      <c r="K3" s="1817"/>
      <c r="L3" s="1818" t="s">
        <v>4357</v>
      </c>
      <c r="M3" s="1819" t="s">
        <v>4347</v>
      </c>
      <c r="N3" s="1820"/>
      <c r="O3" s="1820" t="s">
        <v>4356</v>
      </c>
      <c r="P3" s="1821" t="s">
        <v>4347</v>
      </c>
      <c r="Q3" s="1822"/>
      <c r="R3" s="1822"/>
      <c r="S3" s="1823" t="s">
        <v>4354</v>
      </c>
      <c r="T3" s="1824" t="s">
        <v>4347</v>
      </c>
      <c r="U3" s="1825"/>
      <c r="V3" s="1825" t="s">
        <v>4349</v>
      </c>
      <c r="W3" s="1826" t="s">
        <v>4347</v>
      </c>
      <c r="X3" s="1827"/>
      <c r="Y3" s="1827"/>
      <c r="Z3" s="1828"/>
    </row>
    <row r="4" spans="2:35" ht="23.25" customHeight="1">
      <c r="C4" s="1816"/>
      <c r="D4" s="1816"/>
      <c r="E4" s="1816"/>
      <c r="F4" s="1816"/>
      <c r="G4" s="1816"/>
      <c r="H4" s="1816"/>
      <c r="K4" s="1829"/>
      <c r="L4" s="1830"/>
      <c r="M4" s="1830" t="s">
        <v>4348</v>
      </c>
      <c r="N4" s="1831"/>
      <c r="O4" s="1832"/>
      <c r="P4" s="1832" t="s">
        <v>4348</v>
      </c>
      <c r="Q4" s="1833"/>
      <c r="R4" s="1834"/>
      <c r="S4" s="1833"/>
      <c r="T4" s="1833" t="s">
        <v>4348</v>
      </c>
      <c r="U4" s="1835"/>
      <c r="V4" s="1836"/>
      <c r="W4" s="1836" t="s">
        <v>4348</v>
      </c>
      <c r="X4" s="1837" t="s">
        <v>4351</v>
      </c>
      <c r="Y4" s="1838" t="s">
        <v>4352</v>
      </c>
      <c r="Z4" s="1839"/>
      <c r="AF4" s="2008"/>
      <c r="AG4" s="2008"/>
      <c r="AH4" s="2008"/>
      <c r="AI4" s="2008"/>
    </row>
    <row r="5" spans="2:35" ht="27.75">
      <c r="C5" s="1816"/>
      <c r="D5" s="1816"/>
      <c r="E5" s="1816"/>
      <c r="F5" s="1816"/>
      <c r="G5" s="1816"/>
      <c r="H5" s="1808"/>
      <c r="K5" s="1840"/>
      <c r="L5" s="1841"/>
      <c r="M5" s="1811" t="s">
        <v>4386</v>
      </c>
      <c r="N5" s="1842"/>
      <c r="O5" s="1843"/>
      <c r="P5" s="1812" t="s">
        <v>4383</v>
      </c>
      <c r="Q5" s="1844"/>
      <c r="R5" s="1845"/>
      <c r="S5" s="1844"/>
      <c r="T5" s="1807" t="s">
        <v>4380</v>
      </c>
      <c r="U5" s="1846"/>
      <c r="V5" s="1847"/>
      <c r="W5" s="1806" t="s">
        <v>4387</v>
      </c>
      <c r="X5" s="1848" t="s">
        <v>1292</v>
      </c>
      <c r="Y5" s="1849" t="s">
        <v>4350</v>
      </c>
      <c r="Z5" s="1850">
        <v>1</v>
      </c>
      <c r="AF5" s="2008"/>
      <c r="AG5" s="2008"/>
      <c r="AH5" s="2008"/>
      <c r="AI5" s="2008"/>
    </row>
    <row r="6" spans="2:35" ht="27.75">
      <c r="C6" s="1816"/>
      <c r="D6" s="1816"/>
      <c r="E6" s="1816"/>
      <c r="F6" s="1816"/>
      <c r="G6" s="1816"/>
      <c r="H6" s="1808"/>
      <c r="K6" s="1840"/>
      <c r="L6" s="1841"/>
      <c r="M6" s="1811" t="s">
        <v>4385</v>
      </c>
      <c r="N6" s="1842"/>
      <c r="O6" s="1843"/>
      <c r="P6" s="1812" t="s">
        <v>4382</v>
      </c>
      <c r="Q6" s="1844"/>
      <c r="R6" s="1845"/>
      <c r="S6" s="1844"/>
      <c r="T6" s="1807" t="s">
        <v>4388</v>
      </c>
      <c r="U6" s="1846"/>
      <c r="V6" s="1847"/>
      <c r="W6" s="1806" t="s">
        <v>4389</v>
      </c>
      <c r="X6" s="1848" t="s">
        <v>687</v>
      </c>
      <c r="Y6" s="1849" t="s">
        <v>4350</v>
      </c>
      <c r="Z6" s="1850">
        <v>2</v>
      </c>
      <c r="AF6" s="2008"/>
      <c r="AG6" s="2008"/>
      <c r="AH6" s="2008"/>
      <c r="AI6" s="2008"/>
    </row>
    <row r="7" spans="2:35" ht="27.75">
      <c r="C7" s="1816"/>
      <c r="D7" s="1816"/>
      <c r="E7" s="1816"/>
      <c r="F7" s="1816"/>
      <c r="G7" s="1816"/>
      <c r="H7" s="1816"/>
      <c r="K7" s="1840"/>
      <c r="L7" s="1841"/>
      <c r="M7" s="1811" t="s">
        <v>4360</v>
      </c>
      <c r="N7" s="1842"/>
      <c r="O7" s="1843"/>
      <c r="P7" s="1812" t="s">
        <v>4358</v>
      </c>
      <c r="Q7" s="1844"/>
      <c r="R7" s="1845"/>
      <c r="S7" s="1844"/>
      <c r="T7" s="1807" t="s">
        <v>4381</v>
      </c>
      <c r="U7" s="1846"/>
      <c r="V7" s="1847"/>
      <c r="W7" s="1806" t="s">
        <v>4353</v>
      </c>
      <c r="X7" s="1848" t="s">
        <v>1290</v>
      </c>
      <c r="Y7" s="1849" t="s">
        <v>4350</v>
      </c>
      <c r="Z7" s="1850">
        <v>3</v>
      </c>
    </row>
    <row r="8" spans="2:35" ht="27.75">
      <c r="C8" s="1816"/>
      <c r="D8" s="1816"/>
      <c r="E8" s="1816"/>
      <c r="F8" s="1816"/>
      <c r="G8" s="1816"/>
      <c r="H8" s="1816"/>
      <c r="K8" s="1840"/>
      <c r="L8" s="1841"/>
      <c r="M8" s="1811" t="s">
        <v>4361</v>
      </c>
      <c r="N8" s="1842"/>
      <c r="O8" s="1843"/>
      <c r="P8" s="1812" t="s">
        <v>4359</v>
      </c>
      <c r="Q8" s="1844"/>
      <c r="R8" s="1845"/>
      <c r="S8" s="1844"/>
      <c r="T8" s="1807" t="s">
        <v>4355</v>
      </c>
      <c r="U8" s="1846"/>
      <c r="V8" s="1847"/>
      <c r="W8" s="1806" t="s">
        <v>4395</v>
      </c>
      <c r="X8" s="1848" t="s">
        <v>1291</v>
      </c>
      <c r="Y8" s="1849" t="s">
        <v>4350</v>
      </c>
      <c r="Z8" s="1850">
        <v>4</v>
      </c>
    </row>
    <row r="9" spans="2:35" ht="27.75">
      <c r="C9" s="1816"/>
      <c r="D9" s="1816"/>
      <c r="E9" s="1816"/>
      <c r="F9" s="1816"/>
      <c r="G9" s="1816"/>
      <c r="H9" s="1816"/>
      <c r="K9" s="1840"/>
      <c r="L9" s="1841"/>
      <c r="M9" s="1811" t="s">
        <v>4390</v>
      </c>
      <c r="N9" s="1842"/>
      <c r="O9" s="1843"/>
      <c r="P9" s="1812" t="s">
        <v>4366</v>
      </c>
      <c r="Q9" s="1844"/>
      <c r="R9" s="1845"/>
      <c r="S9" s="1844"/>
      <c r="T9" s="1807" t="s">
        <v>4364</v>
      </c>
      <c r="U9" s="1846"/>
      <c r="V9" s="1847"/>
      <c r="W9" s="1806" t="s">
        <v>4384</v>
      </c>
      <c r="X9" s="1848" t="s">
        <v>687</v>
      </c>
      <c r="Y9" s="1849" t="s">
        <v>1292</v>
      </c>
      <c r="Z9" s="1850">
        <v>5</v>
      </c>
    </row>
    <row r="10" spans="2:35" ht="27.75">
      <c r="C10" s="1816"/>
      <c r="D10" s="1816"/>
      <c r="E10" s="1816"/>
      <c r="F10" s="1816"/>
      <c r="G10" s="1816"/>
      <c r="H10" s="1816"/>
      <c r="K10" s="1840"/>
      <c r="L10" s="1841"/>
      <c r="M10" s="1811" t="s">
        <v>4368</v>
      </c>
      <c r="N10" s="1842"/>
      <c r="O10" s="1843"/>
      <c r="P10" s="1812" t="s">
        <v>4367</v>
      </c>
      <c r="Q10" s="1844"/>
      <c r="R10" s="1845"/>
      <c r="S10" s="1844"/>
      <c r="T10" s="1807" t="s">
        <v>4365</v>
      </c>
      <c r="U10" s="1846"/>
      <c r="V10" s="1847"/>
      <c r="W10" s="1806" t="s">
        <v>4362</v>
      </c>
      <c r="X10" s="1848" t="s">
        <v>1290</v>
      </c>
      <c r="Y10" s="1849" t="s">
        <v>1292</v>
      </c>
      <c r="Z10" s="1850">
        <v>6</v>
      </c>
    </row>
    <row r="11" spans="2:35" ht="27.75">
      <c r="C11" s="1816"/>
      <c r="D11" s="1816"/>
      <c r="E11" s="1816"/>
      <c r="F11" s="1816"/>
      <c r="G11" s="1816"/>
      <c r="H11" s="1816"/>
      <c r="K11" s="1840"/>
      <c r="L11" s="1841"/>
      <c r="M11" s="1811" t="s">
        <v>4369</v>
      </c>
      <c r="N11" s="1842"/>
      <c r="O11" s="1843"/>
      <c r="P11" s="1812" t="s">
        <v>4391</v>
      </c>
      <c r="Q11" s="1844"/>
      <c r="R11" s="1845"/>
      <c r="S11" s="1844"/>
      <c r="T11" s="1807" t="s">
        <v>4392</v>
      </c>
      <c r="U11" s="1846"/>
      <c r="V11" s="1847"/>
      <c r="W11" s="1806" t="s">
        <v>4363</v>
      </c>
      <c r="X11" s="1848" t="s">
        <v>1291</v>
      </c>
      <c r="Y11" s="1849" t="s">
        <v>1292</v>
      </c>
      <c r="Z11" s="1850">
        <v>7</v>
      </c>
    </row>
    <row r="12" spans="2:35" ht="27.75">
      <c r="C12" s="1816"/>
      <c r="D12" s="1816"/>
      <c r="E12" s="1816"/>
      <c r="F12" s="1816"/>
      <c r="G12" s="1816"/>
      <c r="H12" s="1816"/>
      <c r="K12" s="1840"/>
      <c r="L12" s="1841"/>
      <c r="M12" s="1811" t="s">
        <v>4375</v>
      </c>
      <c r="N12" s="1842"/>
      <c r="O12" s="1843"/>
      <c r="P12" s="1812" t="s">
        <v>4373</v>
      </c>
      <c r="Q12" s="1844"/>
      <c r="R12" s="1845"/>
      <c r="S12" s="1844"/>
      <c r="T12" s="1807" t="s">
        <v>4372</v>
      </c>
      <c r="U12" s="1846"/>
      <c r="V12" s="1847"/>
      <c r="W12" s="1806" t="s">
        <v>4370</v>
      </c>
      <c r="X12" s="1848" t="s">
        <v>1290</v>
      </c>
      <c r="Y12" s="1849" t="s">
        <v>687</v>
      </c>
      <c r="Z12" s="1850">
        <v>8</v>
      </c>
    </row>
    <row r="13" spans="2:35" ht="27.75">
      <c r="C13" s="1816"/>
      <c r="D13" s="1816"/>
      <c r="E13" s="1816"/>
      <c r="F13" s="1816"/>
      <c r="G13" s="1816"/>
      <c r="H13" s="1816"/>
      <c r="K13" s="1840"/>
      <c r="L13" s="1841"/>
      <c r="M13" s="1811" t="s">
        <v>4393</v>
      </c>
      <c r="N13" s="1842"/>
      <c r="O13" s="1843"/>
      <c r="P13" s="1812" t="s">
        <v>4374</v>
      </c>
      <c r="Q13" s="1844"/>
      <c r="R13" s="1845"/>
      <c r="S13" s="1844"/>
      <c r="T13" s="1807" t="s">
        <v>4394</v>
      </c>
      <c r="U13" s="1846"/>
      <c r="V13" s="1847"/>
      <c r="W13" s="1806" t="s">
        <v>4371</v>
      </c>
      <c r="X13" s="1848" t="s">
        <v>1291</v>
      </c>
      <c r="Y13" s="1849" t="s">
        <v>687</v>
      </c>
      <c r="Z13" s="1850">
        <v>9</v>
      </c>
    </row>
    <row r="14" spans="2:35" ht="28.5" thickBot="1">
      <c r="C14" s="1816"/>
      <c r="D14" s="1816"/>
      <c r="E14" s="1816"/>
      <c r="F14" s="1816"/>
      <c r="G14" s="1816"/>
      <c r="H14" s="1816"/>
      <c r="K14" s="1851"/>
      <c r="L14" s="1852"/>
      <c r="M14" s="1813" t="s">
        <v>4379</v>
      </c>
      <c r="N14" s="1853"/>
      <c r="O14" s="1854"/>
      <c r="P14" s="1814" t="s">
        <v>4378</v>
      </c>
      <c r="Q14" s="1855"/>
      <c r="R14" s="1856"/>
      <c r="S14" s="1855"/>
      <c r="T14" s="1810" t="s">
        <v>4377</v>
      </c>
      <c r="U14" s="1857"/>
      <c r="V14" s="1858"/>
      <c r="W14" s="1809" t="s">
        <v>4376</v>
      </c>
      <c r="X14" s="1859" t="s">
        <v>1291</v>
      </c>
      <c r="Y14" s="1860" t="s">
        <v>1290</v>
      </c>
      <c r="Z14" s="1861">
        <v>10</v>
      </c>
    </row>
    <row r="15" spans="2:35" ht="28.5" thickBot="1">
      <c r="C15" s="1816"/>
      <c r="D15" s="1816"/>
      <c r="E15" s="1816"/>
      <c r="F15" s="1816"/>
      <c r="G15" s="1816"/>
      <c r="H15" s="1816"/>
      <c r="K15" s="1862"/>
      <c r="L15" s="1863"/>
      <c r="M15" s="1863"/>
      <c r="N15" s="1863"/>
      <c r="O15" s="1863"/>
      <c r="P15" s="1863"/>
      <c r="Q15" s="1863"/>
      <c r="R15" s="1863"/>
      <c r="S15" s="1863"/>
      <c r="T15" s="1863"/>
      <c r="U15" s="1863"/>
      <c r="V15" s="1863"/>
      <c r="W15" s="1863"/>
      <c r="X15" s="1863"/>
      <c r="Y15" s="1863"/>
      <c r="Z15" s="1815" t="s">
        <v>4396</v>
      </c>
    </row>
    <row r="16" spans="2:35" ht="15.75" thickBot="1">
      <c r="Z16" s="334" t="s">
        <v>4398</v>
      </c>
    </row>
    <row r="17" spans="11:35" ht="15.75" thickBot="1">
      <c r="K17" s="1874"/>
      <c r="L17" s="1818" t="s">
        <v>4357</v>
      </c>
      <c r="M17" s="1819" t="s">
        <v>4401</v>
      </c>
      <c r="N17" s="1820"/>
      <c r="O17" s="1820" t="s">
        <v>4356</v>
      </c>
      <c r="P17" s="1821" t="s">
        <v>4401</v>
      </c>
      <c r="Q17" s="1875"/>
      <c r="R17" s="1875"/>
      <c r="S17" s="1823" t="s">
        <v>4354</v>
      </c>
      <c r="T17" s="1824" t="s">
        <v>4401</v>
      </c>
      <c r="U17" s="1864"/>
      <c r="V17" s="1864" t="s">
        <v>4349</v>
      </c>
      <c r="W17" s="1865" t="s">
        <v>4401</v>
      </c>
      <c r="X17" s="1827"/>
      <c r="Y17" s="1827"/>
      <c r="Z17" s="1828"/>
    </row>
    <row r="18" spans="11:35">
      <c r="K18" s="1829"/>
      <c r="L18" s="1830"/>
      <c r="M18" s="1830" t="s">
        <v>4348</v>
      </c>
      <c r="N18" s="1831"/>
      <c r="O18" s="1832"/>
      <c r="P18" s="1832" t="s">
        <v>4348</v>
      </c>
      <c r="Q18" s="1833"/>
      <c r="R18" s="1834"/>
      <c r="S18" s="1833"/>
      <c r="T18" s="1833" t="s">
        <v>4348</v>
      </c>
      <c r="U18" s="1866"/>
      <c r="V18" s="1867"/>
      <c r="W18" s="1868" t="s">
        <v>4348</v>
      </c>
      <c r="X18" s="1838"/>
      <c r="Y18" s="1838" t="s">
        <v>4397</v>
      </c>
      <c r="Z18" s="1839"/>
    </row>
    <row r="19" spans="11:35" ht="27.75">
      <c r="K19" s="1840"/>
      <c r="L19" s="1841"/>
      <c r="M19" s="1811" t="s">
        <v>4402</v>
      </c>
      <c r="N19" s="1870"/>
      <c r="O19" s="1871"/>
      <c r="P19" s="1872" t="s">
        <v>4405</v>
      </c>
      <c r="Q19" s="1844"/>
      <c r="R19" s="1844"/>
      <c r="S19" s="1844"/>
      <c r="T19" s="1807" t="s">
        <v>4400</v>
      </c>
      <c r="U19" s="1846"/>
      <c r="V19" s="1847"/>
      <c r="W19" s="1869" t="s">
        <v>4399</v>
      </c>
      <c r="X19" s="1849"/>
      <c r="Y19" s="1849" t="s">
        <v>1293</v>
      </c>
      <c r="Z19" s="1850"/>
    </row>
    <row r="20" spans="11:35" ht="27.75">
      <c r="K20" s="1840"/>
      <c r="L20" s="1841"/>
      <c r="M20" s="1811" t="s">
        <v>4407</v>
      </c>
      <c r="N20" s="1842"/>
      <c r="O20" s="1843"/>
      <c r="P20" s="1873" t="s">
        <v>4406</v>
      </c>
      <c r="Q20" s="1844"/>
      <c r="R20" s="1844"/>
      <c r="S20" s="1844"/>
      <c r="T20" s="1807" t="s">
        <v>4404</v>
      </c>
      <c r="U20" s="1846"/>
      <c r="V20" s="1847"/>
      <c r="W20" s="1869" t="s">
        <v>4403</v>
      </c>
      <c r="X20" s="1849"/>
      <c r="Y20" s="1849" t="s">
        <v>1292</v>
      </c>
      <c r="Z20" s="1850"/>
    </row>
    <row r="21" spans="11:35" ht="27.75">
      <c r="K21" s="1840"/>
      <c r="L21" s="1841"/>
      <c r="M21" s="1811" t="s">
        <v>4411</v>
      </c>
      <c r="N21" s="1842"/>
      <c r="O21" s="1843"/>
      <c r="P21" s="1873" t="s">
        <v>4410</v>
      </c>
      <c r="Q21" s="1844"/>
      <c r="R21" s="1844"/>
      <c r="S21" s="1844"/>
      <c r="T21" s="1807" t="s">
        <v>4409</v>
      </c>
      <c r="U21" s="1846"/>
      <c r="V21" s="1847"/>
      <c r="W21" s="1869" t="s">
        <v>4408</v>
      </c>
      <c r="X21" s="1849"/>
      <c r="Y21" s="1849" t="s">
        <v>687</v>
      </c>
      <c r="Z21" s="1850"/>
    </row>
    <row r="22" spans="11:35" ht="27.75">
      <c r="K22" s="1840"/>
      <c r="L22" s="1841"/>
      <c r="M22" s="1811" t="s">
        <v>4415</v>
      </c>
      <c r="N22" s="1842"/>
      <c r="O22" s="1843"/>
      <c r="P22" s="1873" t="s">
        <v>4414</v>
      </c>
      <c r="Q22" s="1844"/>
      <c r="R22" s="1844"/>
      <c r="S22" s="1844"/>
      <c r="T22" s="1807" t="s">
        <v>4413</v>
      </c>
      <c r="U22" s="1846"/>
      <c r="V22" s="1847"/>
      <c r="W22" s="1869" t="s">
        <v>4412</v>
      </c>
      <c r="X22" s="1849"/>
      <c r="Y22" s="1849" t="s">
        <v>1290</v>
      </c>
      <c r="Z22" s="1850"/>
    </row>
    <row r="23" spans="11:35" ht="28.5" thickBot="1">
      <c r="K23" s="1851"/>
      <c r="L23" s="1852"/>
      <c r="M23" s="1813" t="s">
        <v>4418</v>
      </c>
      <c r="N23" s="1853"/>
      <c r="O23" s="1854"/>
      <c r="P23" s="1876" t="s">
        <v>4419</v>
      </c>
      <c r="Q23" s="1855"/>
      <c r="R23" s="1855"/>
      <c r="S23" s="1855"/>
      <c r="T23" s="1810" t="s">
        <v>4417</v>
      </c>
      <c r="U23" s="1857"/>
      <c r="V23" s="1858"/>
      <c r="W23" s="1877" t="s">
        <v>4416</v>
      </c>
      <c r="X23" s="1860"/>
      <c r="Y23" s="1860" t="s">
        <v>1291</v>
      </c>
      <c r="Z23" s="1861"/>
      <c r="AB23" s="1816"/>
      <c r="AC23" s="845"/>
      <c r="AD23" s="845"/>
      <c r="AE23" s="1758"/>
      <c r="AF23" s="1758"/>
      <c r="AG23" s="1758"/>
      <c r="AH23" s="1758"/>
      <c r="AI23" s="2016"/>
    </row>
    <row r="24" spans="11:35" ht="24.75">
      <c r="AB24" s="845"/>
      <c r="AC24" s="845"/>
      <c r="AD24" s="845"/>
      <c r="AE24" s="1758"/>
      <c r="AF24" s="1758"/>
      <c r="AG24" s="1758"/>
      <c r="AH24" s="1758"/>
      <c r="AI24" s="2016"/>
    </row>
    <row r="25" spans="11:35" ht="25.5" thickBot="1">
      <c r="Z25" s="1878" t="s">
        <v>4420</v>
      </c>
      <c r="AB25" s="845"/>
      <c r="AC25" s="845"/>
      <c r="AD25" s="845"/>
      <c r="AE25" s="1758"/>
      <c r="AF25" s="1758"/>
      <c r="AG25" s="1758"/>
      <c r="AH25" s="1758"/>
      <c r="AI25" s="2016"/>
    </row>
    <row r="26" spans="11:35" ht="27.75">
      <c r="K26" s="1891"/>
      <c r="L26" s="1892"/>
      <c r="M26" s="1892"/>
      <c r="N26" s="1892"/>
      <c r="O26" s="1892"/>
      <c r="P26" s="1893" t="s">
        <v>4423</v>
      </c>
      <c r="Q26" s="1896"/>
      <c r="R26" s="1894"/>
      <c r="S26" s="1894"/>
      <c r="T26" s="1894"/>
      <c r="U26" s="1894"/>
      <c r="V26" s="1894"/>
      <c r="W26" s="1895" t="s">
        <v>4422</v>
      </c>
      <c r="X26" s="1837"/>
      <c r="Y26" s="1838" t="s">
        <v>4421</v>
      </c>
      <c r="Z26" s="1839"/>
      <c r="AB26" s="1816"/>
      <c r="AC26" s="1816"/>
      <c r="AD26" s="1816"/>
      <c r="AE26" s="1816"/>
      <c r="AF26" s="1816"/>
      <c r="AG26" s="1816"/>
      <c r="AH26" s="1816"/>
      <c r="AI26" s="1816"/>
    </row>
    <row r="27" spans="11:35" ht="27.75">
      <c r="K27" s="1883"/>
      <c r="L27" s="1884"/>
      <c r="M27" s="1884"/>
      <c r="N27" s="1884"/>
      <c r="O27" s="1884"/>
      <c r="P27" s="1881" t="s">
        <v>4425</v>
      </c>
      <c r="Q27" s="1897"/>
      <c r="R27" s="1885"/>
      <c r="S27" s="1885"/>
      <c r="T27" s="1885"/>
      <c r="U27" s="1885"/>
      <c r="V27" s="1885"/>
      <c r="W27" s="1880" t="s">
        <v>4424</v>
      </c>
      <c r="X27" s="1848"/>
      <c r="Y27" s="1849" t="s">
        <v>1293</v>
      </c>
      <c r="Z27" s="1850"/>
      <c r="AB27" s="845"/>
      <c r="AC27" s="845"/>
      <c r="AD27" s="845"/>
      <c r="AE27" s="845"/>
      <c r="AF27" s="845"/>
      <c r="AG27" s="845"/>
      <c r="AH27" s="845"/>
      <c r="AI27" s="2016"/>
    </row>
    <row r="28" spans="11:35" ht="27.75">
      <c r="K28" s="1883"/>
      <c r="L28" s="1884"/>
      <c r="M28" s="1884"/>
      <c r="N28" s="1884"/>
      <c r="O28" s="1884"/>
      <c r="P28" s="1881" t="s">
        <v>4427</v>
      </c>
      <c r="Q28" s="1897"/>
      <c r="R28" s="1885"/>
      <c r="S28" s="1885"/>
      <c r="T28" s="1885"/>
      <c r="U28" s="1885"/>
      <c r="V28" s="1885"/>
      <c r="W28" s="1880" t="s">
        <v>4426</v>
      </c>
      <c r="X28" s="1848"/>
      <c r="Y28" s="1849" t="s">
        <v>1292</v>
      </c>
      <c r="Z28" s="1850"/>
      <c r="AB28" s="845"/>
      <c r="AC28" s="845"/>
      <c r="AD28" s="845"/>
      <c r="AE28" s="1758"/>
      <c r="AF28" s="1758"/>
      <c r="AG28" s="1758"/>
      <c r="AH28" s="1758"/>
      <c r="AI28" s="2016"/>
    </row>
    <row r="29" spans="11:35" ht="27.75">
      <c r="K29" s="1883"/>
      <c r="L29" s="1884"/>
      <c r="M29" s="1884"/>
      <c r="N29" s="1884"/>
      <c r="O29" s="1884"/>
      <c r="P29" s="1881" t="s">
        <v>4429</v>
      </c>
      <c r="Q29" s="1897"/>
      <c r="R29" s="1885"/>
      <c r="S29" s="1885"/>
      <c r="T29" s="1885"/>
      <c r="U29" s="1885"/>
      <c r="V29" s="1885"/>
      <c r="W29" s="1880" t="s">
        <v>4428</v>
      </c>
      <c r="X29" s="1848"/>
      <c r="Y29" s="1849" t="s">
        <v>687</v>
      </c>
      <c r="Z29" s="1850"/>
      <c r="AB29" s="1816"/>
      <c r="AC29" s="845"/>
      <c r="AD29" s="845"/>
      <c r="AE29" s="1758"/>
      <c r="AF29" s="1758"/>
      <c r="AG29" s="1758"/>
      <c r="AH29" s="1758"/>
      <c r="AI29" s="2016"/>
    </row>
    <row r="30" spans="11:35" ht="27.75">
      <c r="K30" s="1883"/>
      <c r="L30" s="1884"/>
      <c r="M30" s="1884"/>
      <c r="N30" s="1884"/>
      <c r="O30" s="1884"/>
      <c r="P30" s="1881" t="s">
        <v>4431</v>
      </c>
      <c r="Q30" s="1897"/>
      <c r="R30" s="1885"/>
      <c r="S30" s="1885"/>
      <c r="T30" s="1885"/>
      <c r="U30" s="1885"/>
      <c r="V30" s="1885"/>
      <c r="W30" s="1880" t="s">
        <v>4430</v>
      </c>
      <c r="X30" s="1848"/>
      <c r="Y30" s="1849" t="s">
        <v>1544</v>
      </c>
      <c r="Z30" s="1850"/>
      <c r="AB30" s="845"/>
      <c r="AC30" s="845"/>
      <c r="AD30" s="845"/>
      <c r="AE30" s="1758"/>
      <c r="AF30" s="1758"/>
      <c r="AG30" s="1758"/>
      <c r="AH30" s="1758"/>
      <c r="AI30" s="2016"/>
    </row>
    <row r="31" spans="11:35" ht="27.75">
      <c r="K31" s="1883"/>
      <c r="L31" s="1884"/>
      <c r="M31" s="1884"/>
      <c r="N31" s="1884"/>
      <c r="O31" s="1884"/>
      <c r="P31" s="1881" t="s">
        <v>4433</v>
      </c>
      <c r="Q31" s="1897"/>
      <c r="R31" s="1885"/>
      <c r="S31" s="1885"/>
      <c r="T31" s="1885"/>
      <c r="U31" s="1885"/>
      <c r="V31" s="1885"/>
      <c r="W31" s="1880" t="s">
        <v>4432</v>
      </c>
      <c r="X31" s="1848"/>
      <c r="Y31" s="1849" t="s">
        <v>1290</v>
      </c>
      <c r="Z31" s="1850"/>
      <c r="AB31" s="845"/>
      <c r="AC31" s="845"/>
      <c r="AD31" s="845"/>
      <c r="AE31" s="1758"/>
      <c r="AF31" s="1758"/>
      <c r="AG31" s="1758"/>
      <c r="AH31" s="1758"/>
      <c r="AI31" s="2016"/>
    </row>
    <row r="32" spans="11:35" ht="28.5" thickBot="1">
      <c r="K32" s="1886"/>
      <c r="L32" s="1887"/>
      <c r="M32" s="1887"/>
      <c r="N32" s="1887"/>
      <c r="O32" s="1887"/>
      <c r="P32" s="1888" t="s">
        <v>4435</v>
      </c>
      <c r="Q32" s="1898"/>
      <c r="R32" s="1889"/>
      <c r="S32" s="1889"/>
      <c r="T32" s="1889"/>
      <c r="U32" s="1889"/>
      <c r="V32" s="1889"/>
      <c r="W32" s="1890" t="s">
        <v>4434</v>
      </c>
      <c r="X32" s="1859"/>
      <c r="Y32" s="1860" t="s">
        <v>1291</v>
      </c>
      <c r="Z32" s="1861"/>
      <c r="AB32" s="1816"/>
      <c r="AC32" s="1816"/>
      <c r="AD32" s="1816"/>
      <c r="AE32" s="1816"/>
      <c r="AF32" s="1816"/>
      <c r="AG32" s="1816"/>
      <c r="AH32" s="1816"/>
      <c r="AI32" s="1816"/>
    </row>
    <row r="33" spans="11:35">
      <c r="AB33" s="845"/>
      <c r="AC33" s="845"/>
      <c r="AD33" s="845"/>
      <c r="AE33" s="845"/>
      <c r="AF33" s="845"/>
      <c r="AG33" s="845"/>
      <c r="AH33" s="845"/>
      <c r="AI33" s="2016"/>
    </row>
    <row r="34" spans="11:35" ht="25.5" thickBot="1">
      <c r="Z34" s="1878" t="s">
        <v>4436</v>
      </c>
      <c r="AB34" s="845"/>
      <c r="AC34" s="845"/>
      <c r="AD34" s="845"/>
      <c r="AE34" s="1758"/>
      <c r="AF34" s="1758"/>
      <c r="AG34" s="1758"/>
      <c r="AH34" s="1758"/>
      <c r="AI34" s="2016"/>
    </row>
    <row r="35" spans="11:35" ht="28.5" thickBot="1">
      <c r="K35" s="1940"/>
      <c r="L35" s="1941"/>
      <c r="M35" s="1941"/>
      <c r="N35" s="1941"/>
      <c r="O35" s="1941"/>
      <c r="P35" s="1993" t="s">
        <v>4451</v>
      </c>
      <c r="Q35" s="1931"/>
      <c r="R35" s="1931"/>
      <c r="S35" s="1931"/>
      <c r="T35" s="1931"/>
      <c r="U35" s="1931"/>
      <c r="V35" s="1931"/>
      <c r="W35" s="1932" t="s">
        <v>4450</v>
      </c>
      <c r="X35" s="1927"/>
      <c r="Y35" s="1928" t="s">
        <v>4454</v>
      </c>
      <c r="Z35" s="1929"/>
      <c r="AB35" s="1816"/>
      <c r="AC35" s="845"/>
      <c r="AD35" s="845"/>
      <c r="AE35" s="1758"/>
      <c r="AF35" s="1758"/>
      <c r="AG35" s="1758"/>
      <c r="AH35" s="1758"/>
      <c r="AI35" s="2016"/>
    </row>
    <row r="36" spans="11:35" ht="27.75">
      <c r="K36" s="1942"/>
      <c r="L36" s="1943"/>
      <c r="M36" s="1943"/>
      <c r="N36" s="1943"/>
      <c r="O36" s="1943"/>
      <c r="P36" s="1964" t="s">
        <v>4455</v>
      </c>
      <c r="Q36" s="1921"/>
      <c r="R36" s="1900"/>
      <c r="S36" s="1900"/>
      <c r="T36" s="1900"/>
      <c r="U36" s="1900"/>
      <c r="V36" s="1900"/>
      <c r="W36" s="1901" t="s">
        <v>4437</v>
      </c>
      <c r="X36" s="1907"/>
      <c r="Y36" s="1882" t="s">
        <v>1292</v>
      </c>
      <c r="Z36" s="1902"/>
      <c r="AB36" s="845"/>
      <c r="AC36" s="845"/>
      <c r="AD36" s="845"/>
      <c r="AE36" s="1758"/>
      <c r="AF36" s="1758"/>
      <c r="AG36" s="1758"/>
      <c r="AH36" s="1758"/>
      <c r="AI36" s="2016"/>
    </row>
    <row r="37" spans="11:35" ht="27.75">
      <c r="K37" s="1944"/>
      <c r="L37" s="1914"/>
      <c r="M37" s="1914"/>
      <c r="N37" s="1914"/>
      <c r="O37" s="1914"/>
      <c r="P37" s="1965" t="s">
        <v>4456</v>
      </c>
      <c r="Q37" s="1922"/>
      <c r="R37" s="1903"/>
      <c r="S37" s="1903"/>
      <c r="T37" s="1903"/>
      <c r="U37" s="1903"/>
      <c r="V37" s="1903"/>
      <c r="W37" s="1904" t="s">
        <v>4438</v>
      </c>
      <c r="X37" s="1848"/>
      <c r="Y37" s="1849" t="s">
        <v>687</v>
      </c>
      <c r="Z37" s="1850"/>
      <c r="AB37" s="845"/>
      <c r="AC37" s="845"/>
      <c r="AD37" s="845"/>
      <c r="AE37" s="1758"/>
      <c r="AF37" s="1758"/>
      <c r="AG37" s="1758"/>
      <c r="AH37" s="1758"/>
      <c r="AI37" s="2016"/>
    </row>
    <row r="38" spans="11:35" ht="27.75">
      <c r="K38" s="1944"/>
      <c r="L38" s="1914"/>
      <c r="M38" s="1914"/>
      <c r="N38" s="1914"/>
      <c r="O38" s="1914"/>
      <c r="P38" s="1965" t="s">
        <v>4457</v>
      </c>
      <c r="Q38" s="1922"/>
      <c r="R38" s="1903"/>
      <c r="S38" s="1903"/>
      <c r="T38" s="1903"/>
      <c r="U38" s="1903"/>
      <c r="V38" s="1903"/>
      <c r="W38" s="1904" t="s">
        <v>4439</v>
      </c>
      <c r="X38" s="1848"/>
      <c r="Y38" s="1849" t="s">
        <v>1544</v>
      </c>
      <c r="Z38" s="1850"/>
      <c r="AB38" s="1816"/>
      <c r="AC38" s="1816"/>
      <c r="AD38" s="1816"/>
      <c r="AE38" s="1816"/>
      <c r="AF38" s="1816"/>
      <c r="AG38" s="1816"/>
      <c r="AH38" s="1816"/>
      <c r="AI38" s="1816"/>
    </row>
    <row r="39" spans="11:35" ht="27.75">
      <c r="K39" s="1944"/>
      <c r="L39" s="1914"/>
      <c r="M39" s="1914"/>
      <c r="N39" s="1914"/>
      <c r="O39" s="1914"/>
      <c r="P39" s="1965" t="s">
        <v>4458</v>
      </c>
      <c r="Q39" s="1922"/>
      <c r="R39" s="1903"/>
      <c r="S39" s="1903"/>
      <c r="T39" s="1903"/>
      <c r="U39" s="1903"/>
      <c r="V39" s="1903"/>
      <c r="W39" s="1904" t="s">
        <v>4440</v>
      </c>
      <c r="X39" s="1848"/>
      <c r="Y39" s="1849" t="s">
        <v>1290</v>
      </c>
      <c r="Z39" s="1850"/>
      <c r="AB39" s="845"/>
      <c r="AC39" s="845"/>
      <c r="AD39" s="845"/>
      <c r="AE39" s="845"/>
      <c r="AF39" s="845"/>
      <c r="AG39" s="845"/>
      <c r="AH39" s="845"/>
      <c r="AI39" s="2016"/>
    </row>
    <row r="40" spans="11:35" ht="28.5" thickBot="1">
      <c r="K40" s="1945"/>
      <c r="L40" s="1946"/>
      <c r="M40" s="1946"/>
      <c r="N40" s="1946"/>
      <c r="O40" s="1946"/>
      <c r="P40" s="1966" t="s">
        <v>4459</v>
      </c>
      <c r="Q40" s="1923"/>
      <c r="R40" s="1905"/>
      <c r="S40" s="1905"/>
      <c r="T40" s="1905"/>
      <c r="U40" s="1905"/>
      <c r="V40" s="1905"/>
      <c r="W40" s="1906" t="s">
        <v>4441</v>
      </c>
      <c r="X40" s="1859"/>
      <c r="Y40" s="1860" t="s">
        <v>1291</v>
      </c>
      <c r="Z40" s="1861"/>
      <c r="AB40" s="845"/>
      <c r="AC40" s="845"/>
      <c r="AD40" s="845"/>
      <c r="AE40" s="1758"/>
      <c r="AF40" s="1758"/>
      <c r="AG40" s="1758"/>
      <c r="AH40" s="1758"/>
      <c r="AI40" s="2016"/>
    </row>
    <row r="41" spans="11:35" ht="25.5" thickBot="1">
      <c r="AB41" s="1816"/>
      <c r="AC41" s="845"/>
      <c r="AD41" s="845"/>
      <c r="AE41" s="1758"/>
      <c r="AF41" s="1758"/>
      <c r="AG41" s="1758"/>
      <c r="AH41" s="1758"/>
      <c r="AI41" s="2016"/>
    </row>
    <row r="42" spans="11:35" ht="27" thickBot="1">
      <c r="K42" s="1950"/>
      <c r="L42" s="1924"/>
      <c r="M42" s="1924"/>
      <c r="N42" s="1924"/>
      <c r="O42" s="1924"/>
      <c r="P42" s="1924" t="s">
        <v>4451</v>
      </c>
      <c r="Q42" s="1925"/>
      <c r="R42" s="1926"/>
      <c r="S42" s="1926"/>
      <c r="T42" s="1926"/>
      <c r="U42" s="1926"/>
      <c r="V42" s="1926"/>
      <c r="W42" s="1963" t="s">
        <v>4453</v>
      </c>
      <c r="X42" s="1920"/>
      <c r="Y42" s="1827" t="s">
        <v>4452</v>
      </c>
      <c r="Z42" s="1828"/>
      <c r="AB42" s="845"/>
      <c r="AC42" s="845"/>
      <c r="AD42" s="845"/>
      <c r="AE42" s="1758"/>
      <c r="AF42" s="1758"/>
      <c r="AG42" s="1758"/>
      <c r="AH42" s="1758"/>
      <c r="AI42" s="2016"/>
    </row>
    <row r="43" spans="11:35" ht="27.75">
      <c r="K43" s="1967"/>
      <c r="L43" s="1968"/>
      <c r="M43" s="1968"/>
      <c r="N43" s="1968"/>
      <c r="O43" s="1968"/>
      <c r="P43" s="1969" t="s">
        <v>4460</v>
      </c>
      <c r="Q43" s="1947"/>
      <c r="R43" s="1908"/>
      <c r="S43" s="1908"/>
      <c r="T43" s="1908"/>
      <c r="U43" s="1908"/>
      <c r="V43" s="1908"/>
      <c r="W43" s="1909" t="s">
        <v>4442</v>
      </c>
      <c r="X43" s="1907"/>
      <c r="Y43" s="1882" t="s">
        <v>687</v>
      </c>
      <c r="Z43" s="1902"/>
      <c r="AB43" s="845"/>
      <c r="AC43" s="845"/>
      <c r="AD43" s="845"/>
      <c r="AE43" s="1758"/>
      <c r="AF43" s="1758"/>
      <c r="AG43" s="1758"/>
      <c r="AH43" s="1758"/>
      <c r="AI43" s="2016"/>
    </row>
    <row r="44" spans="11:35" ht="27.75">
      <c r="K44" s="1951"/>
      <c r="L44" s="1952"/>
      <c r="M44" s="1952"/>
      <c r="N44" s="1952"/>
      <c r="O44" s="1952"/>
      <c r="P44" s="1970" t="s">
        <v>4462</v>
      </c>
      <c r="Q44" s="1948"/>
      <c r="R44" s="1899"/>
      <c r="S44" s="1899"/>
      <c r="T44" s="1899"/>
      <c r="U44" s="1899"/>
      <c r="V44" s="1899"/>
      <c r="W44" s="1879" t="s">
        <v>4443</v>
      </c>
      <c r="X44" s="1848"/>
      <c r="Y44" s="1849" t="s">
        <v>1544</v>
      </c>
      <c r="Z44" s="1850"/>
      <c r="AB44" s="1816"/>
      <c r="AC44" s="1816"/>
      <c r="AD44" s="1816"/>
      <c r="AE44" s="1816"/>
      <c r="AF44" s="1816"/>
      <c r="AG44" s="1816"/>
      <c r="AH44" s="1816"/>
      <c r="AI44" s="1816"/>
    </row>
    <row r="45" spans="11:35" ht="27.75">
      <c r="K45" s="1951"/>
      <c r="L45" s="1952"/>
      <c r="M45" s="1952"/>
      <c r="N45" s="1952"/>
      <c r="O45" s="1952"/>
      <c r="P45" s="1970" t="s">
        <v>4461</v>
      </c>
      <c r="Q45" s="1948"/>
      <c r="R45" s="1899"/>
      <c r="S45" s="1899"/>
      <c r="T45" s="1899"/>
      <c r="U45" s="1899"/>
      <c r="V45" s="1899"/>
      <c r="W45" s="1879" t="s">
        <v>4444</v>
      </c>
      <c r="X45" s="1848"/>
      <c r="Y45" s="1849" t="s">
        <v>1290</v>
      </c>
      <c r="Z45" s="1850"/>
      <c r="AB45" s="1816"/>
      <c r="AC45" s="1816"/>
      <c r="AD45" s="1816"/>
      <c r="AE45" s="1816"/>
      <c r="AF45" s="1816"/>
      <c r="AG45" s="1816"/>
      <c r="AH45" s="1816"/>
      <c r="AI45" s="1816"/>
    </row>
    <row r="46" spans="11:35" ht="28.5" thickBot="1">
      <c r="K46" s="1953"/>
      <c r="L46" s="1954"/>
      <c r="M46" s="1954"/>
      <c r="N46" s="1954"/>
      <c r="O46" s="1954"/>
      <c r="P46" s="1971" t="s">
        <v>4463</v>
      </c>
      <c r="Q46" s="1949"/>
      <c r="R46" s="1912"/>
      <c r="S46" s="1912"/>
      <c r="T46" s="1912"/>
      <c r="U46" s="1912"/>
      <c r="V46" s="1912"/>
      <c r="W46" s="1913" t="s">
        <v>4445</v>
      </c>
      <c r="X46" s="1859"/>
      <c r="Y46" s="1860" t="s">
        <v>1291</v>
      </c>
      <c r="Z46" s="1861"/>
      <c r="AB46" s="845"/>
      <c r="AC46" s="845"/>
      <c r="AD46" s="845"/>
      <c r="AE46" s="1758"/>
      <c r="AF46" s="1758"/>
      <c r="AG46" s="1758"/>
      <c r="AH46" s="1758"/>
      <c r="AI46" s="2016"/>
    </row>
    <row r="47" spans="11:35" ht="25.5" thickBot="1">
      <c r="AB47" s="1816"/>
      <c r="AC47" s="845"/>
      <c r="AD47" s="845"/>
      <c r="AE47" s="1758"/>
      <c r="AF47" s="1758"/>
      <c r="AG47" s="1758"/>
      <c r="AH47" s="1758"/>
      <c r="AI47" s="2016"/>
    </row>
    <row r="48" spans="11:35" ht="27" thickBot="1">
      <c r="K48" s="1933"/>
      <c r="L48" s="1928"/>
      <c r="M48" s="1928"/>
      <c r="N48" s="1928"/>
      <c r="O48" s="1928"/>
      <c r="P48" s="1928" t="s">
        <v>4451</v>
      </c>
      <c r="Q48" s="1962"/>
      <c r="R48" s="1930"/>
      <c r="S48" s="1930"/>
      <c r="T48" s="1930"/>
      <c r="U48" s="1930"/>
      <c r="V48" s="1930"/>
      <c r="W48" s="1930" t="s">
        <v>4468</v>
      </c>
      <c r="X48" s="1920"/>
      <c r="Y48" s="1827" t="s">
        <v>4467</v>
      </c>
      <c r="Z48" s="1961"/>
      <c r="AB48" s="845"/>
      <c r="AC48" s="845"/>
      <c r="AD48" s="845"/>
      <c r="AE48" s="1758"/>
      <c r="AF48" s="1758"/>
      <c r="AG48" s="1758"/>
      <c r="AH48" s="1758"/>
      <c r="AI48" s="2016"/>
    </row>
    <row r="49" spans="11:35" ht="27.75">
      <c r="K49" s="1934"/>
      <c r="L49" s="1935"/>
      <c r="M49" s="1935"/>
      <c r="N49" s="1935"/>
      <c r="O49" s="1935"/>
      <c r="P49" s="1972" t="s">
        <v>4464</v>
      </c>
      <c r="Q49" s="1955"/>
      <c r="R49" s="1956"/>
      <c r="S49" s="1956"/>
      <c r="T49" s="1956"/>
      <c r="U49" s="1956"/>
      <c r="V49" s="1956"/>
      <c r="W49" s="1957" t="s">
        <v>4446</v>
      </c>
      <c r="X49" s="1848"/>
      <c r="Y49" s="1849" t="s">
        <v>1544</v>
      </c>
      <c r="Z49" s="1850"/>
      <c r="AB49" s="845"/>
      <c r="AC49" s="845"/>
      <c r="AD49" s="845"/>
      <c r="AE49" s="1758"/>
      <c r="AF49" s="1758"/>
      <c r="AG49" s="1758"/>
      <c r="AH49" s="1758"/>
      <c r="AI49" s="2016"/>
    </row>
    <row r="50" spans="11:35" ht="27.75">
      <c r="K50" s="1934"/>
      <c r="L50" s="1935"/>
      <c r="M50" s="1935"/>
      <c r="N50" s="1935"/>
      <c r="O50" s="1935"/>
      <c r="P50" s="1972" t="s">
        <v>4465</v>
      </c>
      <c r="Q50" s="1955"/>
      <c r="R50" s="1956"/>
      <c r="S50" s="1956"/>
      <c r="T50" s="1956"/>
      <c r="U50" s="1956"/>
      <c r="V50" s="1956"/>
      <c r="W50" s="1957" t="s">
        <v>4447</v>
      </c>
      <c r="X50" s="1848"/>
      <c r="Y50" s="1849" t="s">
        <v>1290</v>
      </c>
      <c r="Z50" s="1850"/>
      <c r="AB50" s="1816"/>
      <c r="AC50" s="1816"/>
      <c r="AD50" s="1816"/>
      <c r="AE50" s="1816"/>
      <c r="AF50" s="1816"/>
      <c r="AG50" s="1816"/>
      <c r="AH50" s="1816"/>
      <c r="AI50" s="1816"/>
    </row>
    <row r="51" spans="11:35" ht="28.5" thickBot="1">
      <c r="K51" s="1936"/>
      <c r="L51" s="1937"/>
      <c r="M51" s="1937"/>
      <c r="N51" s="1937"/>
      <c r="O51" s="1937"/>
      <c r="P51" s="1973" t="s">
        <v>4466</v>
      </c>
      <c r="Q51" s="1958"/>
      <c r="R51" s="1959"/>
      <c r="S51" s="1959"/>
      <c r="T51" s="1959"/>
      <c r="U51" s="1959"/>
      <c r="V51" s="1959"/>
      <c r="W51" s="1960" t="s">
        <v>4448</v>
      </c>
      <c r="X51" s="1859"/>
      <c r="Y51" s="1860" t="s">
        <v>1291</v>
      </c>
      <c r="Z51" s="1861"/>
      <c r="AB51" s="845"/>
      <c r="AC51" s="845"/>
      <c r="AD51" s="845"/>
      <c r="AE51" s="845"/>
      <c r="AF51" s="845"/>
      <c r="AG51" s="845"/>
      <c r="AH51" s="845"/>
      <c r="AI51" s="2016"/>
    </row>
    <row r="52" spans="11:35" ht="25.5" thickBot="1">
      <c r="AB52" s="845"/>
      <c r="AC52" s="845"/>
      <c r="AD52" s="845"/>
      <c r="AE52" s="1758"/>
      <c r="AF52" s="1758"/>
      <c r="AG52" s="1758"/>
      <c r="AH52" s="1758"/>
      <c r="AI52" s="2016"/>
    </row>
    <row r="53" spans="11:35" ht="25.5" thickBot="1">
      <c r="K53" s="1862"/>
      <c r="L53" s="1863"/>
      <c r="M53" s="1863"/>
      <c r="N53" s="1863"/>
      <c r="O53" s="1863"/>
      <c r="P53" s="1863"/>
      <c r="Q53" s="1863"/>
      <c r="R53" s="1863"/>
      <c r="S53" s="1863"/>
      <c r="T53" s="1863"/>
      <c r="U53" s="1863"/>
      <c r="V53" s="1863"/>
      <c r="W53" s="1863" t="s">
        <v>4468</v>
      </c>
      <c r="X53" s="1920"/>
      <c r="Y53" s="1827" t="s">
        <v>4469</v>
      </c>
      <c r="Z53" s="1961"/>
      <c r="AB53" s="1816"/>
      <c r="AC53" s="1816"/>
      <c r="AD53" s="1816"/>
      <c r="AE53" s="1816"/>
      <c r="AF53" s="1816"/>
      <c r="AG53" s="1816"/>
      <c r="AH53" s="1816"/>
      <c r="AI53" s="1816"/>
    </row>
    <row r="54" spans="11:35" ht="28.5" thickBot="1">
      <c r="K54" s="1862"/>
      <c r="L54" s="1863"/>
      <c r="M54" s="1863"/>
      <c r="N54" s="1863"/>
      <c r="O54" s="1863"/>
      <c r="P54" s="1863"/>
      <c r="Q54" s="1863"/>
      <c r="R54" s="1863"/>
      <c r="S54" s="1863"/>
      <c r="T54" s="1863"/>
      <c r="U54" s="1863"/>
      <c r="V54" s="1863"/>
      <c r="W54" s="1915" t="s">
        <v>4449</v>
      </c>
      <c r="X54" s="1920"/>
      <c r="Y54" s="1827" t="s">
        <v>1291</v>
      </c>
      <c r="Z54" s="1828"/>
    </row>
    <row r="56" spans="11:35" ht="15.75" thickBot="1">
      <c r="Y56" s="1849" t="s">
        <v>4548</v>
      </c>
    </row>
    <row r="57" spans="11:35">
      <c r="K57" s="1976"/>
      <c r="L57" s="1838"/>
      <c r="M57" s="1838"/>
      <c r="N57" s="1838"/>
      <c r="O57" s="1838"/>
      <c r="P57" s="1838"/>
      <c r="Q57" s="1838"/>
      <c r="R57" s="1838"/>
      <c r="S57" s="1838"/>
      <c r="T57" s="1838"/>
      <c r="U57" s="1838"/>
      <c r="V57" s="1838"/>
      <c r="W57" s="1839"/>
      <c r="X57" s="1976"/>
      <c r="Y57" s="1838" t="s">
        <v>4482</v>
      </c>
      <c r="Z57" s="1839"/>
    </row>
    <row r="58" spans="11:35">
      <c r="K58" s="1979"/>
      <c r="L58" s="1956"/>
      <c r="M58" s="1956"/>
      <c r="N58" s="1956"/>
      <c r="O58" s="1956"/>
      <c r="P58" s="1956"/>
      <c r="Q58" s="1956"/>
      <c r="R58" s="1956"/>
      <c r="S58" s="1956"/>
      <c r="T58" s="1956"/>
      <c r="U58" s="1956"/>
      <c r="V58" s="1956"/>
      <c r="W58" s="1980" t="s">
        <v>4470</v>
      </c>
      <c r="X58" s="1938"/>
      <c r="Y58" s="1849" t="s">
        <v>1606</v>
      </c>
      <c r="Z58" s="1850"/>
    </row>
    <row r="59" spans="11:35">
      <c r="K59" s="1979"/>
      <c r="L59" s="1956"/>
      <c r="M59" s="1956"/>
      <c r="N59" s="1956"/>
      <c r="O59" s="1956"/>
      <c r="P59" s="1956"/>
      <c r="Q59" s="1956"/>
      <c r="R59" s="1956"/>
      <c r="S59" s="1956"/>
      <c r="T59" s="1956"/>
      <c r="U59" s="1956"/>
      <c r="V59" s="1956"/>
      <c r="W59" s="1980" t="s">
        <v>4471</v>
      </c>
      <c r="X59" s="1938"/>
      <c r="Y59" s="1849" t="s">
        <v>256</v>
      </c>
      <c r="Z59" s="1850"/>
    </row>
    <row r="60" spans="11:35">
      <c r="K60" s="1979"/>
      <c r="L60" s="1956"/>
      <c r="M60" s="1956"/>
      <c r="N60" s="1956"/>
      <c r="O60" s="1956"/>
      <c r="P60" s="1956"/>
      <c r="Q60" s="1956"/>
      <c r="R60" s="1956"/>
      <c r="S60" s="1956"/>
      <c r="T60" s="1956"/>
      <c r="U60" s="1956"/>
      <c r="V60" s="1956"/>
      <c r="W60" s="1980" t="s">
        <v>4480</v>
      </c>
      <c r="X60" s="1938"/>
      <c r="Y60" s="1849" t="s">
        <v>2828</v>
      </c>
      <c r="Z60" s="1850"/>
    </row>
    <row r="61" spans="11:35">
      <c r="K61" s="1979"/>
      <c r="L61" s="1956"/>
      <c r="M61" s="1956"/>
      <c r="N61" s="1956"/>
      <c r="O61" s="1956"/>
      <c r="P61" s="1956"/>
      <c r="Q61" s="1956"/>
      <c r="R61" s="1956"/>
      <c r="S61" s="1956"/>
      <c r="T61" s="1956"/>
      <c r="U61" s="1956"/>
      <c r="V61" s="1956"/>
      <c r="W61" s="1980" t="s">
        <v>4472</v>
      </c>
      <c r="X61" s="1938"/>
      <c r="Y61" s="1849" t="s">
        <v>273</v>
      </c>
      <c r="Z61" s="1850"/>
    </row>
    <row r="62" spans="11:35">
      <c r="K62" s="1979"/>
      <c r="L62" s="1956"/>
      <c r="M62" s="1956"/>
      <c r="N62" s="1956"/>
      <c r="O62" s="1956"/>
      <c r="P62" s="1956"/>
      <c r="Q62" s="1956"/>
      <c r="R62" s="1956"/>
      <c r="S62" s="1956"/>
      <c r="T62" s="1956"/>
      <c r="U62" s="1956"/>
      <c r="V62" s="1956"/>
      <c r="W62" s="1980" t="s">
        <v>4473</v>
      </c>
      <c r="X62" s="1938"/>
      <c r="Y62" s="1849" t="s">
        <v>255</v>
      </c>
      <c r="Z62" s="1850"/>
    </row>
    <row r="63" spans="11:35">
      <c r="K63" s="1979"/>
      <c r="L63" s="1956"/>
      <c r="M63" s="1956"/>
      <c r="N63" s="1956"/>
      <c r="O63" s="1956"/>
      <c r="P63" s="1956"/>
      <c r="Q63" s="1956"/>
      <c r="R63" s="1956"/>
      <c r="S63" s="1956"/>
      <c r="T63" s="1956"/>
      <c r="U63" s="1956"/>
      <c r="V63" s="1956"/>
      <c r="W63" s="1980" t="s">
        <v>4474</v>
      </c>
      <c r="X63" s="1938"/>
      <c r="Y63" s="1849" t="s">
        <v>1608</v>
      </c>
      <c r="Z63" s="1850"/>
    </row>
    <row r="64" spans="11:35">
      <c r="K64" s="1979"/>
      <c r="L64" s="1956"/>
      <c r="M64" s="1956"/>
      <c r="N64" s="1956"/>
      <c r="O64" s="1956"/>
      <c r="P64" s="1956"/>
      <c r="Q64" s="1956"/>
      <c r="R64" s="1956"/>
      <c r="S64" s="1956"/>
      <c r="T64" s="1956"/>
      <c r="U64" s="1956"/>
      <c r="V64" s="1956"/>
      <c r="W64" s="1980" t="s">
        <v>4475</v>
      </c>
      <c r="X64" s="1938"/>
      <c r="Y64" s="1849" t="s">
        <v>1609</v>
      </c>
      <c r="Z64" s="1850"/>
    </row>
    <row r="65" spans="11:26">
      <c r="K65" s="1979"/>
      <c r="L65" s="1956"/>
      <c r="M65" s="1956"/>
      <c r="N65" s="1956"/>
      <c r="O65" s="1956"/>
      <c r="P65" s="1956"/>
      <c r="Q65" s="1956"/>
      <c r="R65" s="1956"/>
      <c r="S65" s="1956"/>
      <c r="T65" s="1956"/>
      <c r="U65" s="1956"/>
      <c r="V65" s="1956"/>
      <c r="W65" s="1980" t="s">
        <v>4476</v>
      </c>
      <c r="X65" s="1938"/>
      <c r="Y65" s="1849" t="s">
        <v>1610</v>
      </c>
      <c r="Z65" s="1850"/>
    </row>
    <row r="66" spans="11:26">
      <c r="K66" s="1979"/>
      <c r="L66" s="1956"/>
      <c r="M66" s="1956"/>
      <c r="N66" s="1956"/>
      <c r="O66" s="1956"/>
      <c r="P66" s="1956"/>
      <c r="Q66" s="1956"/>
      <c r="R66" s="1956"/>
      <c r="S66" s="1956"/>
      <c r="T66" s="1956"/>
      <c r="U66" s="1956"/>
      <c r="V66" s="1956"/>
      <c r="W66" s="1980" t="s">
        <v>4477</v>
      </c>
      <c r="X66" s="1938"/>
      <c r="Y66" s="1849" t="s">
        <v>943</v>
      </c>
      <c r="Z66" s="1850"/>
    </row>
    <row r="67" spans="11:26">
      <c r="K67" s="1979"/>
      <c r="L67" s="1956"/>
      <c r="M67" s="1956"/>
      <c r="N67" s="1956"/>
      <c r="O67" s="1956"/>
      <c r="P67" s="1956"/>
      <c r="Q67" s="1956"/>
      <c r="R67" s="1956"/>
      <c r="S67" s="1956"/>
      <c r="T67" s="1956"/>
      <c r="U67" s="1956"/>
      <c r="V67" s="1956"/>
      <c r="W67" s="1980" t="s">
        <v>4478</v>
      </c>
      <c r="X67" s="1938"/>
      <c r="Y67" s="1849" t="s">
        <v>1611</v>
      </c>
      <c r="Z67" s="1850"/>
    </row>
    <row r="68" spans="11:26">
      <c r="K68" s="1979"/>
      <c r="L68" s="1956"/>
      <c r="M68" s="1956"/>
      <c r="N68" s="1956"/>
      <c r="O68" s="1956"/>
      <c r="P68" s="1956"/>
      <c r="Q68" s="1956"/>
      <c r="R68" s="1956"/>
      <c r="S68" s="1956"/>
      <c r="T68" s="1956"/>
      <c r="U68" s="1956"/>
      <c r="V68" s="1956"/>
      <c r="W68" s="1980" t="s">
        <v>4481</v>
      </c>
      <c r="X68" s="1938"/>
      <c r="Y68" s="1849" t="s">
        <v>1612</v>
      </c>
      <c r="Z68" s="1850"/>
    </row>
    <row r="69" spans="11:26" ht="15.75" thickBot="1">
      <c r="K69" s="1981"/>
      <c r="L69" s="1959"/>
      <c r="M69" s="1959"/>
      <c r="N69" s="1959"/>
      <c r="O69" s="1959"/>
      <c r="P69" s="1959"/>
      <c r="Q69" s="1959"/>
      <c r="R69" s="1959"/>
      <c r="S69" s="1959"/>
      <c r="T69" s="1959"/>
      <c r="U69" s="1959"/>
      <c r="V69" s="1959"/>
      <c r="W69" s="1982" t="s">
        <v>4479</v>
      </c>
      <c r="X69" s="1939"/>
      <c r="Y69" s="1860" t="s">
        <v>1613</v>
      </c>
      <c r="Z69" s="1861"/>
    </row>
    <row r="70" spans="11:26">
      <c r="K70" s="1976"/>
      <c r="L70" s="1838"/>
      <c r="M70" s="1838"/>
      <c r="N70" s="1838"/>
      <c r="O70" s="1838"/>
      <c r="P70" s="1838"/>
      <c r="Q70" s="1838"/>
      <c r="R70" s="1838"/>
      <c r="S70" s="1838"/>
      <c r="T70" s="1838"/>
      <c r="U70" s="1838"/>
      <c r="V70" s="1838"/>
      <c r="W70" s="1839"/>
      <c r="X70" s="1976"/>
      <c r="Y70" s="1838" t="s">
        <v>4483</v>
      </c>
      <c r="Z70" s="1839"/>
    </row>
    <row r="71" spans="11:26">
      <c r="K71" s="1944"/>
      <c r="L71" s="1914"/>
      <c r="M71" s="1914"/>
      <c r="N71" s="1914"/>
      <c r="O71" s="1914"/>
      <c r="P71" s="1914"/>
      <c r="Q71" s="1914"/>
      <c r="R71" s="1914"/>
      <c r="S71" s="1914"/>
      <c r="T71" s="1914"/>
      <c r="U71" s="1914"/>
      <c r="V71" s="1914"/>
      <c r="W71" s="1983" t="s">
        <v>4484</v>
      </c>
      <c r="X71" s="1938"/>
      <c r="Y71" s="1849" t="s">
        <v>1606</v>
      </c>
      <c r="Z71" s="1850"/>
    </row>
    <row r="72" spans="11:26">
      <c r="K72" s="1944"/>
      <c r="L72" s="1914"/>
      <c r="M72" s="1914"/>
      <c r="N72" s="1914"/>
      <c r="O72" s="1914"/>
      <c r="P72" s="1914"/>
      <c r="Q72" s="1914"/>
      <c r="R72" s="1914"/>
      <c r="S72" s="1914"/>
      <c r="T72" s="1914"/>
      <c r="U72" s="1914"/>
      <c r="V72" s="1914"/>
      <c r="W72" s="1983" t="s">
        <v>4485</v>
      </c>
      <c r="X72" s="1938"/>
      <c r="Y72" s="1849" t="s">
        <v>256</v>
      </c>
      <c r="Z72" s="1850"/>
    </row>
    <row r="73" spans="11:26">
      <c r="K73" s="1944"/>
      <c r="L73" s="1914"/>
      <c r="M73" s="1914"/>
      <c r="N73" s="1914"/>
      <c r="O73" s="1914"/>
      <c r="P73" s="1914"/>
      <c r="Q73" s="1914"/>
      <c r="R73" s="1914"/>
      <c r="S73" s="1914"/>
      <c r="T73" s="1914"/>
      <c r="U73" s="1914"/>
      <c r="V73" s="1914"/>
      <c r="W73" s="1983" t="s">
        <v>4486</v>
      </c>
      <c r="X73" s="1938"/>
      <c r="Y73" s="1849" t="s">
        <v>2828</v>
      </c>
      <c r="Z73" s="1850"/>
    </row>
    <row r="74" spans="11:26">
      <c r="K74" s="1944"/>
      <c r="L74" s="1914"/>
      <c r="M74" s="1914"/>
      <c r="N74" s="1914"/>
      <c r="O74" s="1914"/>
      <c r="P74" s="1914"/>
      <c r="Q74" s="1914"/>
      <c r="R74" s="1914"/>
      <c r="S74" s="1914"/>
      <c r="T74" s="1914"/>
      <c r="U74" s="1914"/>
      <c r="V74" s="1914"/>
      <c r="W74" s="1983" t="s">
        <v>4487</v>
      </c>
      <c r="X74" s="1938"/>
      <c r="Y74" s="1849" t="s">
        <v>273</v>
      </c>
      <c r="Z74" s="1850"/>
    </row>
    <row r="75" spans="11:26">
      <c r="K75" s="1944"/>
      <c r="L75" s="1914"/>
      <c r="M75" s="1914"/>
      <c r="N75" s="1914"/>
      <c r="O75" s="1914"/>
      <c r="P75" s="1914"/>
      <c r="Q75" s="1914"/>
      <c r="R75" s="1914"/>
      <c r="S75" s="1914"/>
      <c r="T75" s="1914"/>
      <c r="U75" s="1914"/>
      <c r="V75" s="1914"/>
      <c r="W75" s="1983" t="s">
        <v>4488</v>
      </c>
      <c r="X75" s="1938"/>
      <c r="Y75" s="1849" t="s">
        <v>255</v>
      </c>
      <c r="Z75" s="1850"/>
    </row>
    <row r="76" spans="11:26">
      <c r="K76" s="1944"/>
      <c r="L76" s="1914"/>
      <c r="M76" s="1914"/>
      <c r="N76" s="1914"/>
      <c r="O76" s="1914"/>
      <c r="P76" s="1914"/>
      <c r="Q76" s="1914"/>
      <c r="R76" s="1914"/>
      <c r="S76" s="1914"/>
      <c r="T76" s="1914"/>
      <c r="U76" s="1914"/>
      <c r="V76" s="1914"/>
      <c r="W76" s="1983" t="s">
        <v>4489</v>
      </c>
      <c r="X76" s="1938"/>
      <c r="Y76" s="1849" t="s">
        <v>1608</v>
      </c>
      <c r="Z76" s="1850"/>
    </row>
    <row r="77" spans="11:26">
      <c r="K77" s="1944"/>
      <c r="L77" s="1914"/>
      <c r="M77" s="1914"/>
      <c r="N77" s="1914"/>
      <c r="O77" s="1914"/>
      <c r="P77" s="1914"/>
      <c r="Q77" s="1914"/>
      <c r="R77" s="1914"/>
      <c r="S77" s="1914"/>
      <c r="T77" s="1914"/>
      <c r="U77" s="1914"/>
      <c r="V77" s="1914"/>
      <c r="W77" s="1983" t="s">
        <v>4490</v>
      </c>
      <c r="X77" s="1938"/>
      <c r="Y77" s="1849" t="s">
        <v>1609</v>
      </c>
      <c r="Z77" s="1850"/>
    </row>
    <row r="78" spans="11:26">
      <c r="K78" s="1944"/>
      <c r="L78" s="1914"/>
      <c r="M78" s="1914"/>
      <c r="N78" s="1914"/>
      <c r="O78" s="1914"/>
      <c r="P78" s="1914"/>
      <c r="Q78" s="1914"/>
      <c r="R78" s="1914"/>
      <c r="S78" s="1914"/>
      <c r="T78" s="1914"/>
      <c r="U78" s="1914"/>
      <c r="V78" s="1914"/>
      <c r="W78" s="1983" t="s">
        <v>4491</v>
      </c>
      <c r="X78" s="1938"/>
      <c r="Y78" s="1849" t="s">
        <v>1610</v>
      </c>
      <c r="Z78" s="1850"/>
    </row>
    <row r="79" spans="11:26">
      <c r="K79" s="1944"/>
      <c r="L79" s="1914"/>
      <c r="M79" s="1914"/>
      <c r="N79" s="1914"/>
      <c r="O79" s="1914"/>
      <c r="P79" s="1914"/>
      <c r="Q79" s="1914"/>
      <c r="R79" s="1914"/>
      <c r="S79" s="1914"/>
      <c r="T79" s="1914"/>
      <c r="U79" s="1914"/>
      <c r="V79" s="1914"/>
      <c r="W79" s="1983" t="s">
        <v>4492</v>
      </c>
      <c r="X79" s="1938"/>
      <c r="Y79" s="1849" t="s">
        <v>943</v>
      </c>
      <c r="Z79" s="1850"/>
    </row>
    <row r="80" spans="11:26">
      <c r="K80" s="1944"/>
      <c r="L80" s="1914"/>
      <c r="M80" s="1914"/>
      <c r="N80" s="1914"/>
      <c r="O80" s="1914"/>
      <c r="P80" s="1914"/>
      <c r="Q80" s="1914"/>
      <c r="R80" s="1914"/>
      <c r="S80" s="1914"/>
      <c r="T80" s="1914"/>
      <c r="U80" s="1914"/>
      <c r="V80" s="1914"/>
      <c r="W80" s="1983" t="s">
        <v>4493</v>
      </c>
      <c r="X80" s="1938"/>
      <c r="Y80" s="1849" t="s">
        <v>1611</v>
      </c>
      <c r="Z80" s="1850"/>
    </row>
    <row r="81" spans="11:26">
      <c r="K81" s="1944"/>
      <c r="L81" s="1914"/>
      <c r="M81" s="1914"/>
      <c r="N81" s="1914"/>
      <c r="O81" s="1914"/>
      <c r="P81" s="1914"/>
      <c r="Q81" s="1914"/>
      <c r="R81" s="1914"/>
      <c r="S81" s="1914"/>
      <c r="T81" s="1914"/>
      <c r="U81" s="1914"/>
      <c r="V81" s="1914"/>
      <c r="W81" s="1983" t="s">
        <v>4494</v>
      </c>
      <c r="X81" s="1938"/>
      <c r="Y81" s="1849" t="s">
        <v>1612</v>
      </c>
      <c r="Z81" s="1850"/>
    </row>
    <row r="82" spans="11:26" ht="15.75" thickBot="1">
      <c r="K82" s="1945"/>
      <c r="L82" s="1946"/>
      <c r="M82" s="1946"/>
      <c r="N82" s="1946"/>
      <c r="O82" s="1946"/>
      <c r="P82" s="1946"/>
      <c r="Q82" s="1946"/>
      <c r="R82" s="1946"/>
      <c r="S82" s="1946"/>
      <c r="T82" s="1946"/>
      <c r="U82" s="1946"/>
      <c r="V82" s="1946"/>
      <c r="W82" s="1984" t="s">
        <v>4495</v>
      </c>
      <c r="X82" s="1939"/>
      <c r="Y82" s="1860" t="s">
        <v>1613</v>
      </c>
      <c r="Z82" s="1861"/>
    </row>
    <row r="83" spans="11:26">
      <c r="K83" s="1976"/>
      <c r="L83" s="1838"/>
      <c r="M83" s="1838"/>
      <c r="N83" s="1838"/>
      <c r="O83" s="1838"/>
      <c r="P83" s="1838"/>
      <c r="Q83" s="1838"/>
      <c r="R83" s="1838"/>
      <c r="S83" s="1838"/>
      <c r="T83" s="1838"/>
      <c r="U83" s="1838"/>
      <c r="V83" s="1838"/>
      <c r="W83" s="1839"/>
      <c r="X83" s="1976"/>
      <c r="Y83" s="1838" t="s">
        <v>4496</v>
      </c>
      <c r="Z83" s="1839"/>
    </row>
    <row r="84" spans="11:26">
      <c r="K84" s="1883"/>
      <c r="L84" s="1884"/>
      <c r="M84" s="1884"/>
      <c r="N84" s="1884"/>
      <c r="O84" s="1884"/>
      <c r="P84" s="1884"/>
      <c r="Q84" s="1884"/>
      <c r="R84" s="1884"/>
      <c r="S84" s="1884"/>
      <c r="T84" s="1884"/>
      <c r="U84" s="1884"/>
      <c r="V84" s="1884"/>
      <c r="W84" s="1985" t="s">
        <v>4497</v>
      </c>
      <c r="X84" s="1938"/>
      <c r="Y84" s="1849" t="s">
        <v>1606</v>
      </c>
      <c r="Z84" s="1850"/>
    </row>
    <row r="85" spans="11:26">
      <c r="K85" s="1883"/>
      <c r="L85" s="1884"/>
      <c r="M85" s="1884"/>
      <c r="N85" s="1884"/>
      <c r="O85" s="1884"/>
      <c r="P85" s="1884"/>
      <c r="Q85" s="1884"/>
      <c r="R85" s="1884"/>
      <c r="S85" s="1884"/>
      <c r="T85" s="1884"/>
      <c r="U85" s="1884"/>
      <c r="V85" s="1884"/>
      <c r="W85" s="1985" t="s">
        <v>4498</v>
      </c>
      <c r="X85" s="1938"/>
      <c r="Y85" s="1849" t="s">
        <v>256</v>
      </c>
      <c r="Z85" s="1850"/>
    </row>
    <row r="86" spans="11:26">
      <c r="K86" s="1883"/>
      <c r="L86" s="1884"/>
      <c r="M86" s="1884"/>
      <c r="N86" s="1884"/>
      <c r="O86" s="1884"/>
      <c r="P86" s="1884"/>
      <c r="Q86" s="1884"/>
      <c r="R86" s="1884"/>
      <c r="S86" s="1884"/>
      <c r="T86" s="1884"/>
      <c r="U86" s="1884"/>
      <c r="V86" s="1884"/>
      <c r="W86" s="1985" t="s">
        <v>4499</v>
      </c>
      <c r="X86" s="1938"/>
      <c r="Y86" s="1849" t="s">
        <v>2828</v>
      </c>
      <c r="Z86" s="1850"/>
    </row>
    <row r="87" spans="11:26">
      <c r="K87" s="1883"/>
      <c r="L87" s="1884"/>
      <c r="M87" s="1884"/>
      <c r="N87" s="1884"/>
      <c r="O87" s="1884"/>
      <c r="P87" s="1884"/>
      <c r="Q87" s="1884"/>
      <c r="R87" s="1884"/>
      <c r="S87" s="1884"/>
      <c r="T87" s="1884"/>
      <c r="U87" s="1884"/>
      <c r="V87" s="1884"/>
      <c r="W87" s="1985" t="s">
        <v>4500</v>
      </c>
      <c r="X87" s="1938"/>
      <c r="Y87" s="1849" t="s">
        <v>273</v>
      </c>
      <c r="Z87" s="1850"/>
    </row>
    <row r="88" spans="11:26">
      <c r="K88" s="1883"/>
      <c r="L88" s="1884"/>
      <c r="M88" s="1884"/>
      <c r="N88" s="1884"/>
      <c r="O88" s="1884"/>
      <c r="P88" s="1884"/>
      <c r="Q88" s="1884"/>
      <c r="R88" s="1884"/>
      <c r="S88" s="1884"/>
      <c r="T88" s="1884"/>
      <c r="U88" s="1884"/>
      <c r="V88" s="1884"/>
      <c r="W88" s="1985" t="s">
        <v>4501</v>
      </c>
      <c r="X88" s="1938"/>
      <c r="Y88" s="1849" t="s">
        <v>255</v>
      </c>
      <c r="Z88" s="1850"/>
    </row>
    <row r="89" spans="11:26">
      <c r="K89" s="1883"/>
      <c r="L89" s="1884"/>
      <c r="M89" s="1884"/>
      <c r="N89" s="1884"/>
      <c r="O89" s="1884"/>
      <c r="P89" s="1884"/>
      <c r="Q89" s="1884"/>
      <c r="R89" s="1884"/>
      <c r="S89" s="1884"/>
      <c r="T89" s="1884"/>
      <c r="U89" s="1884"/>
      <c r="V89" s="1884"/>
      <c r="W89" s="1985" t="s">
        <v>4502</v>
      </c>
      <c r="X89" s="1938"/>
      <c r="Y89" s="1849" t="s">
        <v>1608</v>
      </c>
      <c r="Z89" s="1850"/>
    </row>
    <row r="90" spans="11:26">
      <c r="K90" s="1883"/>
      <c r="L90" s="1884"/>
      <c r="M90" s="1884"/>
      <c r="N90" s="1884"/>
      <c r="O90" s="1884"/>
      <c r="P90" s="1884"/>
      <c r="Q90" s="1884"/>
      <c r="R90" s="1884"/>
      <c r="S90" s="1884"/>
      <c r="T90" s="1884"/>
      <c r="U90" s="1884"/>
      <c r="V90" s="1884"/>
      <c r="W90" s="1985" t="s">
        <v>4503</v>
      </c>
      <c r="X90" s="1938"/>
      <c r="Y90" s="1849" t="s">
        <v>1609</v>
      </c>
      <c r="Z90" s="1850"/>
    </row>
    <row r="91" spans="11:26">
      <c r="K91" s="1883"/>
      <c r="L91" s="1884"/>
      <c r="M91" s="1884"/>
      <c r="N91" s="1884"/>
      <c r="O91" s="1884"/>
      <c r="P91" s="1884"/>
      <c r="Q91" s="1884"/>
      <c r="R91" s="1884"/>
      <c r="S91" s="1884"/>
      <c r="T91" s="1884"/>
      <c r="U91" s="1884"/>
      <c r="V91" s="1884"/>
      <c r="W91" s="1985" t="s">
        <v>4504</v>
      </c>
      <c r="X91" s="1938"/>
      <c r="Y91" s="1849" t="s">
        <v>1610</v>
      </c>
      <c r="Z91" s="1850"/>
    </row>
    <row r="92" spans="11:26">
      <c r="K92" s="1883"/>
      <c r="L92" s="1884"/>
      <c r="M92" s="1884"/>
      <c r="N92" s="1884"/>
      <c r="O92" s="1884"/>
      <c r="P92" s="1884"/>
      <c r="Q92" s="1884"/>
      <c r="R92" s="1884"/>
      <c r="S92" s="1884"/>
      <c r="T92" s="1884"/>
      <c r="U92" s="1884"/>
      <c r="V92" s="1884"/>
      <c r="W92" s="1985" t="s">
        <v>4505</v>
      </c>
      <c r="X92" s="1938"/>
      <c r="Y92" s="1849" t="s">
        <v>943</v>
      </c>
      <c r="Z92" s="1850"/>
    </row>
    <row r="93" spans="11:26">
      <c r="K93" s="1883"/>
      <c r="L93" s="1884"/>
      <c r="M93" s="1884"/>
      <c r="N93" s="1884"/>
      <c r="O93" s="1884"/>
      <c r="P93" s="1884"/>
      <c r="Q93" s="1884"/>
      <c r="R93" s="1884"/>
      <c r="S93" s="1884"/>
      <c r="T93" s="1884"/>
      <c r="U93" s="1884"/>
      <c r="V93" s="1884"/>
      <c r="W93" s="1985" t="s">
        <v>4506</v>
      </c>
      <c r="X93" s="1938"/>
      <c r="Y93" s="1849" t="s">
        <v>1611</v>
      </c>
      <c r="Z93" s="1850"/>
    </row>
    <row r="94" spans="11:26">
      <c r="K94" s="1883"/>
      <c r="L94" s="1884"/>
      <c r="M94" s="1884"/>
      <c r="N94" s="1884"/>
      <c r="O94" s="1884"/>
      <c r="P94" s="1884"/>
      <c r="Q94" s="1884"/>
      <c r="R94" s="1884"/>
      <c r="S94" s="1884"/>
      <c r="T94" s="1884"/>
      <c r="U94" s="1884"/>
      <c r="V94" s="1884"/>
      <c r="W94" s="1985" t="s">
        <v>4507</v>
      </c>
      <c r="X94" s="1938"/>
      <c r="Y94" s="1849" t="s">
        <v>1612</v>
      </c>
      <c r="Z94" s="1850"/>
    </row>
    <row r="95" spans="11:26" ht="15.75" thickBot="1">
      <c r="K95" s="1886"/>
      <c r="L95" s="1887"/>
      <c r="M95" s="1887"/>
      <c r="N95" s="1887"/>
      <c r="O95" s="1887"/>
      <c r="P95" s="1887"/>
      <c r="Q95" s="1887"/>
      <c r="R95" s="1887"/>
      <c r="S95" s="1887"/>
      <c r="T95" s="1887"/>
      <c r="U95" s="1887"/>
      <c r="V95" s="1887"/>
      <c r="W95" s="1986" t="s">
        <v>4508</v>
      </c>
      <c r="X95" s="1939"/>
      <c r="Y95" s="1860" t="s">
        <v>1613</v>
      </c>
      <c r="Z95" s="1861"/>
    </row>
    <row r="96" spans="11:26">
      <c r="K96" s="1976"/>
      <c r="L96" s="1838"/>
      <c r="M96" s="1838"/>
      <c r="N96" s="1838"/>
      <c r="O96" s="1838"/>
      <c r="P96" s="1838"/>
      <c r="Q96" s="1838"/>
      <c r="R96" s="1838"/>
      <c r="S96" s="1838"/>
      <c r="T96" s="1838"/>
      <c r="U96" s="1838"/>
      <c r="V96" s="1838"/>
      <c r="W96" s="1838"/>
      <c r="X96" s="1838"/>
      <c r="Y96" s="1838" t="s">
        <v>4509</v>
      </c>
      <c r="Z96" s="1839"/>
    </row>
    <row r="97" spans="11:26">
      <c r="K97" s="1910"/>
      <c r="L97" s="1899"/>
      <c r="M97" s="1899"/>
      <c r="N97" s="1899"/>
      <c r="O97" s="1899"/>
      <c r="P97" s="1899"/>
      <c r="Q97" s="1899"/>
      <c r="R97" s="1899"/>
      <c r="S97" s="1899"/>
      <c r="T97" s="1899"/>
      <c r="U97" s="1899"/>
      <c r="V97" s="1899"/>
      <c r="W97" s="1974" t="s">
        <v>4510</v>
      </c>
      <c r="X97" s="1938"/>
      <c r="Y97" s="1849" t="s">
        <v>1606</v>
      </c>
      <c r="Z97" s="1850"/>
    </row>
    <row r="98" spans="11:26">
      <c r="K98" s="1910"/>
      <c r="L98" s="1899"/>
      <c r="M98" s="1899"/>
      <c r="N98" s="1899"/>
      <c r="O98" s="1899"/>
      <c r="P98" s="1899"/>
      <c r="Q98" s="1899"/>
      <c r="R98" s="1899"/>
      <c r="S98" s="1899"/>
      <c r="T98" s="1899"/>
      <c r="U98" s="1899"/>
      <c r="V98" s="1899"/>
      <c r="W98" s="1974" t="s">
        <v>4511</v>
      </c>
      <c r="X98" s="1938"/>
      <c r="Y98" s="1849" t="s">
        <v>256</v>
      </c>
      <c r="Z98" s="1850"/>
    </row>
    <row r="99" spans="11:26">
      <c r="K99" s="1910"/>
      <c r="L99" s="1899"/>
      <c r="M99" s="1899"/>
      <c r="N99" s="1899"/>
      <c r="O99" s="1899"/>
      <c r="P99" s="1899"/>
      <c r="Q99" s="1899"/>
      <c r="R99" s="1899"/>
      <c r="S99" s="1899"/>
      <c r="T99" s="1899"/>
      <c r="U99" s="1899"/>
      <c r="V99" s="1899"/>
      <c r="W99" s="1974" t="s">
        <v>4512</v>
      </c>
      <c r="X99" s="1938"/>
      <c r="Y99" s="1849" t="s">
        <v>2828</v>
      </c>
      <c r="Z99" s="1850"/>
    </row>
    <row r="100" spans="11:26">
      <c r="K100" s="1910"/>
      <c r="L100" s="1899"/>
      <c r="M100" s="1899"/>
      <c r="N100" s="1899"/>
      <c r="O100" s="1899"/>
      <c r="P100" s="1899"/>
      <c r="Q100" s="1899"/>
      <c r="R100" s="1899"/>
      <c r="S100" s="1899"/>
      <c r="T100" s="1899"/>
      <c r="U100" s="1899"/>
      <c r="V100" s="1899"/>
      <c r="W100" s="1974" t="s">
        <v>4513</v>
      </c>
      <c r="X100" s="1938"/>
      <c r="Y100" s="1849" t="s">
        <v>273</v>
      </c>
      <c r="Z100" s="1850"/>
    </row>
    <row r="101" spans="11:26">
      <c r="K101" s="1910"/>
      <c r="L101" s="1899"/>
      <c r="M101" s="1899"/>
      <c r="N101" s="1899"/>
      <c r="O101" s="1899"/>
      <c r="P101" s="1899"/>
      <c r="Q101" s="1899"/>
      <c r="R101" s="1899"/>
      <c r="S101" s="1899"/>
      <c r="T101" s="1899"/>
      <c r="U101" s="1899"/>
      <c r="V101" s="1899"/>
      <c r="W101" s="1974" t="s">
        <v>4514</v>
      </c>
      <c r="X101" s="1938"/>
      <c r="Y101" s="1849" t="s">
        <v>255</v>
      </c>
      <c r="Z101" s="1850"/>
    </row>
    <row r="102" spans="11:26">
      <c r="K102" s="1910"/>
      <c r="L102" s="1899"/>
      <c r="M102" s="1899"/>
      <c r="N102" s="1899"/>
      <c r="O102" s="1899"/>
      <c r="P102" s="1899"/>
      <c r="Q102" s="1899"/>
      <c r="R102" s="1899"/>
      <c r="S102" s="1899"/>
      <c r="T102" s="1899"/>
      <c r="U102" s="1899"/>
      <c r="V102" s="1899"/>
      <c r="W102" s="1974" t="s">
        <v>4515</v>
      </c>
      <c r="X102" s="1938"/>
      <c r="Y102" s="1849" t="s">
        <v>1608</v>
      </c>
      <c r="Z102" s="1850"/>
    </row>
    <row r="103" spans="11:26">
      <c r="K103" s="1910"/>
      <c r="L103" s="1899"/>
      <c r="M103" s="1899"/>
      <c r="N103" s="1899"/>
      <c r="O103" s="1899"/>
      <c r="P103" s="1899"/>
      <c r="Q103" s="1899"/>
      <c r="R103" s="1899"/>
      <c r="S103" s="1899"/>
      <c r="T103" s="1899"/>
      <c r="U103" s="1899"/>
      <c r="V103" s="1899"/>
      <c r="W103" s="1974" t="s">
        <v>4516</v>
      </c>
      <c r="X103" s="1938"/>
      <c r="Y103" s="1849" t="s">
        <v>1609</v>
      </c>
      <c r="Z103" s="1850"/>
    </row>
    <row r="104" spans="11:26">
      <c r="K104" s="1910"/>
      <c r="L104" s="1899"/>
      <c r="M104" s="1899"/>
      <c r="N104" s="1899"/>
      <c r="O104" s="1899"/>
      <c r="P104" s="1899"/>
      <c r="Q104" s="1899"/>
      <c r="R104" s="1899"/>
      <c r="S104" s="1899"/>
      <c r="T104" s="1899"/>
      <c r="U104" s="1899"/>
      <c r="V104" s="1899"/>
      <c r="W104" s="1974" t="s">
        <v>4517</v>
      </c>
      <c r="X104" s="1938"/>
      <c r="Y104" s="1849" t="s">
        <v>1610</v>
      </c>
      <c r="Z104" s="1850"/>
    </row>
    <row r="105" spans="11:26">
      <c r="K105" s="1910"/>
      <c r="L105" s="1899"/>
      <c r="M105" s="1899"/>
      <c r="N105" s="1899"/>
      <c r="O105" s="1899"/>
      <c r="P105" s="1899"/>
      <c r="Q105" s="1899"/>
      <c r="R105" s="1899"/>
      <c r="S105" s="1899"/>
      <c r="T105" s="1899"/>
      <c r="U105" s="1899"/>
      <c r="V105" s="1899"/>
      <c r="W105" s="1974" t="s">
        <v>4518</v>
      </c>
      <c r="X105" s="1938"/>
      <c r="Y105" s="1849" t="s">
        <v>943</v>
      </c>
      <c r="Z105" s="1850"/>
    </row>
    <row r="106" spans="11:26">
      <c r="K106" s="1910"/>
      <c r="L106" s="1899"/>
      <c r="M106" s="1899"/>
      <c r="N106" s="1899"/>
      <c r="O106" s="1899"/>
      <c r="P106" s="1899"/>
      <c r="Q106" s="1899"/>
      <c r="R106" s="1899"/>
      <c r="S106" s="1899"/>
      <c r="T106" s="1899"/>
      <c r="U106" s="1899"/>
      <c r="V106" s="1899"/>
      <c r="W106" s="1974" t="s">
        <v>4519</v>
      </c>
      <c r="X106" s="1938"/>
      <c r="Y106" s="1849" t="s">
        <v>1611</v>
      </c>
      <c r="Z106" s="1850"/>
    </row>
    <row r="107" spans="11:26">
      <c r="K107" s="1910"/>
      <c r="L107" s="1899"/>
      <c r="M107" s="1899"/>
      <c r="N107" s="1899"/>
      <c r="O107" s="1899"/>
      <c r="P107" s="1899"/>
      <c r="Q107" s="1899"/>
      <c r="R107" s="1899"/>
      <c r="S107" s="1899"/>
      <c r="T107" s="1899"/>
      <c r="U107" s="1899"/>
      <c r="V107" s="1899"/>
      <c r="W107" s="1974" t="s">
        <v>4520</v>
      </c>
      <c r="X107" s="1938"/>
      <c r="Y107" s="1849" t="s">
        <v>1612</v>
      </c>
      <c r="Z107" s="1850"/>
    </row>
    <row r="108" spans="11:26" ht="15.75" thickBot="1">
      <c r="K108" s="1911"/>
      <c r="L108" s="1912"/>
      <c r="M108" s="1912"/>
      <c r="N108" s="1912"/>
      <c r="O108" s="1912"/>
      <c r="P108" s="1912"/>
      <c r="Q108" s="1912"/>
      <c r="R108" s="1912"/>
      <c r="S108" s="1912"/>
      <c r="T108" s="1912"/>
      <c r="U108" s="1912"/>
      <c r="V108" s="1912"/>
      <c r="W108" s="1975" t="s">
        <v>4521</v>
      </c>
      <c r="X108" s="1939"/>
      <c r="Y108" s="1860" t="s">
        <v>1613</v>
      </c>
      <c r="Z108" s="1861"/>
    </row>
    <row r="109" spans="11:26">
      <c r="K109" s="1976"/>
      <c r="L109" s="1838"/>
      <c r="M109" s="1838"/>
      <c r="N109" s="1838"/>
      <c r="O109" s="1838"/>
      <c r="P109" s="1838"/>
      <c r="Q109" s="1838"/>
      <c r="R109" s="1838"/>
      <c r="S109" s="1838"/>
      <c r="T109" s="1838"/>
      <c r="U109" s="1838"/>
      <c r="V109" s="1838"/>
      <c r="W109" s="1839"/>
      <c r="X109" s="1976"/>
      <c r="Y109" s="1838" t="s">
        <v>4522</v>
      </c>
      <c r="Z109" s="1839"/>
    </row>
    <row r="110" spans="11:26">
      <c r="K110" s="1987"/>
      <c r="L110" s="1988"/>
      <c r="M110" s="1988"/>
      <c r="N110" s="1988"/>
      <c r="O110" s="1988"/>
      <c r="P110" s="1988"/>
      <c r="Q110" s="1988"/>
      <c r="R110" s="1988"/>
      <c r="S110" s="1988"/>
      <c r="T110" s="1988"/>
      <c r="U110" s="1988"/>
      <c r="V110" s="1988"/>
      <c r="W110" s="1989" t="s">
        <v>4523</v>
      </c>
      <c r="X110" s="1938"/>
      <c r="Y110" s="1849" t="s">
        <v>1606</v>
      </c>
      <c r="Z110" s="1850"/>
    </row>
    <row r="111" spans="11:26">
      <c r="K111" s="1987"/>
      <c r="L111" s="1988"/>
      <c r="M111" s="1988"/>
      <c r="N111" s="1988"/>
      <c r="O111" s="1988"/>
      <c r="P111" s="1988"/>
      <c r="Q111" s="1988"/>
      <c r="R111" s="1988"/>
      <c r="S111" s="1988"/>
      <c r="T111" s="1988"/>
      <c r="U111" s="1988"/>
      <c r="V111" s="1988"/>
      <c r="W111" s="1989" t="s">
        <v>4524</v>
      </c>
      <c r="X111" s="1938"/>
      <c r="Y111" s="1849" t="s">
        <v>256</v>
      </c>
      <c r="Z111" s="1850"/>
    </row>
    <row r="112" spans="11:26">
      <c r="K112" s="1987"/>
      <c r="L112" s="1988"/>
      <c r="M112" s="1988"/>
      <c r="N112" s="1988"/>
      <c r="O112" s="1988"/>
      <c r="P112" s="1988"/>
      <c r="Q112" s="1988"/>
      <c r="R112" s="1988"/>
      <c r="S112" s="1988"/>
      <c r="T112" s="1988"/>
      <c r="U112" s="1988"/>
      <c r="V112" s="1988"/>
      <c r="W112" s="1989" t="s">
        <v>4525</v>
      </c>
      <c r="X112" s="1938"/>
      <c r="Y112" s="1849" t="s">
        <v>2828</v>
      </c>
      <c r="Z112" s="1850"/>
    </row>
    <row r="113" spans="11:26">
      <c r="K113" s="1987"/>
      <c r="L113" s="1988"/>
      <c r="M113" s="1988"/>
      <c r="N113" s="1988"/>
      <c r="O113" s="1988"/>
      <c r="P113" s="1988"/>
      <c r="Q113" s="1988"/>
      <c r="R113" s="1988"/>
      <c r="S113" s="1988"/>
      <c r="T113" s="1988"/>
      <c r="U113" s="1988"/>
      <c r="V113" s="1988"/>
      <c r="W113" s="1989" t="s">
        <v>4526</v>
      </c>
      <c r="X113" s="1938"/>
      <c r="Y113" s="1849" t="s">
        <v>273</v>
      </c>
      <c r="Z113" s="1850"/>
    </row>
    <row r="114" spans="11:26">
      <c r="K114" s="1987"/>
      <c r="L114" s="1988"/>
      <c r="M114" s="1988"/>
      <c r="N114" s="1988"/>
      <c r="O114" s="1988"/>
      <c r="P114" s="1988"/>
      <c r="Q114" s="1988"/>
      <c r="R114" s="1988"/>
      <c r="S114" s="1988"/>
      <c r="T114" s="1988"/>
      <c r="U114" s="1988"/>
      <c r="V114" s="1988"/>
      <c r="W114" s="1989" t="s">
        <v>4527</v>
      </c>
      <c r="X114" s="1938"/>
      <c r="Y114" s="1849" t="s">
        <v>255</v>
      </c>
      <c r="Z114" s="1850"/>
    </row>
    <row r="115" spans="11:26">
      <c r="K115" s="1987"/>
      <c r="L115" s="1988"/>
      <c r="M115" s="1988"/>
      <c r="N115" s="1988"/>
      <c r="O115" s="1988"/>
      <c r="P115" s="1988"/>
      <c r="Q115" s="1988"/>
      <c r="R115" s="1988"/>
      <c r="S115" s="1988"/>
      <c r="T115" s="1988"/>
      <c r="U115" s="1988"/>
      <c r="V115" s="1988"/>
      <c r="W115" s="1989" t="s">
        <v>4528</v>
      </c>
      <c r="X115" s="1938"/>
      <c r="Y115" s="1849" t="s">
        <v>1608</v>
      </c>
      <c r="Z115" s="1850"/>
    </row>
    <row r="116" spans="11:26">
      <c r="K116" s="1987"/>
      <c r="L116" s="1988"/>
      <c r="M116" s="1988"/>
      <c r="N116" s="1988"/>
      <c r="O116" s="1988"/>
      <c r="P116" s="1988"/>
      <c r="Q116" s="1988"/>
      <c r="R116" s="1988"/>
      <c r="S116" s="1988"/>
      <c r="T116" s="1988"/>
      <c r="U116" s="1988"/>
      <c r="V116" s="1988"/>
      <c r="W116" s="1989" t="s">
        <v>4529</v>
      </c>
      <c r="X116" s="1938"/>
      <c r="Y116" s="1849" t="s">
        <v>1609</v>
      </c>
      <c r="Z116" s="1850"/>
    </row>
    <row r="117" spans="11:26">
      <c r="K117" s="1987"/>
      <c r="L117" s="1988"/>
      <c r="M117" s="1988"/>
      <c r="N117" s="1988"/>
      <c r="O117" s="1988"/>
      <c r="P117" s="1988"/>
      <c r="Q117" s="1988"/>
      <c r="R117" s="1988"/>
      <c r="S117" s="1988"/>
      <c r="T117" s="1988"/>
      <c r="U117" s="1988"/>
      <c r="V117" s="1988"/>
      <c r="W117" s="1989" t="s">
        <v>4530</v>
      </c>
      <c r="X117" s="1938"/>
      <c r="Y117" s="1849" t="s">
        <v>1610</v>
      </c>
      <c r="Z117" s="1850"/>
    </row>
    <row r="118" spans="11:26">
      <c r="K118" s="1987"/>
      <c r="L118" s="1988"/>
      <c r="M118" s="1988"/>
      <c r="N118" s="1988"/>
      <c r="O118" s="1988"/>
      <c r="P118" s="1988"/>
      <c r="Q118" s="1988"/>
      <c r="R118" s="1988"/>
      <c r="S118" s="1988"/>
      <c r="T118" s="1988"/>
      <c r="U118" s="1988"/>
      <c r="V118" s="1988"/>
      <c r="W118" s="1989" t="s">
        <v>4531</v>
      </c>
      <c r="X118" s="1938"/>
      <c r="Y118" s="1849" t="s">
        <v>943</v>
      </c>
      <c r="Z118" s="1850"/>
    </row>
    <row r="119" spans="11:26">
      <c r="K119" s="1987"/>
      <c r="L119" s="1988"/>
      <c r="M119" s="1988"/>
      <c r="N119" s="1988"/>
      <c r="O119" s="1988"/>
      <c r="P119" s="1988"/>
      <c r="Q119" s="1988"/>
      <c r="R119" s="1988"/>
      <c r="S119" s="1988"/>
      <c r="T119" s="1988"/>
      <c r="U119" s="1988"/>
      <c r="V119" s="1988"/>
      <c r="W119" s="1989" t="s">
        <v>4532</v>
      </c>
      <c r="X119" s="1938"/>
      <c r="Y119" s="1849" t="s">
        <v>1611</v>
      </c>
      <c r="Z119" s="1850"/>
    </row>
    <row r="120" spans="11:26">
      <c r="K120" s="1987"/>
      <c r="L120" s="1988"/>
      <c r="M120" s="1988"/>
      <c r="N120" s="1988"/>
      <c r="O120" s="1988"/>
      <c r="P120" s="1988"/>
      <c r="Q120" s="1988"/>
      <c r="R120" s="1988"/>
      <c r="S120" s="1988"/>
      <c r="T120" s="1988"/>
      <c r="U120" s="1988"/>
      <c r="V120" s="1988"/>
      <c r="W120" s="1989" t="s">
        <v>4533</v>
      </c>
      <c r="X120" s="1938"/>
      <c r="Y120" s="1849" t="s">
        <v>1612</v>
      </c>
      <c r="Z120" s="1850"/>
    </row>
    <row r="121" spans="11:26" ht="15.75" thickBot="1">
      <c r="K121" s="1990"/>
      <c r="L121" s="1991"/>
      <c r="M121" s="1991"/>
      <c r="N121" s="1991"/>
      <c r="O121" s="1991"/>
      <c r="P121" s="1991"/>
      <c r="Q121" s="1991"/>
      <c r="R121" s="1991"/>
      <c r="S121" s="1991"/>
      <c r="T121" s="1991"/>
      <c r="U121" s="1991"/>
      <c r="V121" s="1991"/>
      <c r="W121" s="1992" t="s">
        <v>4534</v>
      </c>
      <c r="X121" s="1939"/>
      <c r="Y121" s="1860" t="s">
        <v>1613</v>
      </c>
      <c r="Z121" s="1861"/>
    </row>
    <row r="122" spans="11:26">
      <c r="K122" s="1976"/>
      <c r="L122" s="1838"/>
      <c r="M122" s="1838"/>
      <c r="N122" s="1838"/>
      <c r="O122" s="1838"/>
      <c r="P122" s="1838"/>
      <c r="Q122" s="1838"/>
      <c r="R122" s="1838"/>
      <c r="S122" s="1838"/>
      <c r="T122" s="1838"/>
      <c r="U122" s="1838"/>
      <c r="V122" s="1838"/>
      <c r="W122" s="1839"/>
      <c r="X122" s="1976"/>
      <c r="Y122" s="1838" t="s">
        <v>4535</v>
      </c>
      <c r="Z122" s="1839"/>
    </row>
    <row r="123" spans="11:26">
      <c r="K123" s="1934"/>
      <c r="L123" s="1935"/>
      <c r="M123" s="1935"/>
      <c r="N123" s="1935"/>
      <c r="O123" s="1935"/>
      <c r="P123" s="1935"/>
      <c r="Q123" s="1935"/>
      <c r="R123" s="1935"/>
      <c r="S123" s="1935"/>
      <c r="T123" s="1935"/>
      <c r="U123" s="1935"/>
      <c r="V123" s="1935"/>
      <c r="W123" s="1977" t="s">
        <v>4536</v>
      </c>
      <c r="X123" s="1938"/>
      <c r="Y123" s="1849" t="s">
        <v>1606</v>
      </c>
      <c r="Z123" s="1850"/>
    </row>
    <row r="124" spans="11:26">
      <c r="K124" s="1934"/>
      <c r="L124" s="1935"/>
      <c r="M124" s="1935"/>
      <c r="N124" s="1935"/>
      <c r="O124" s="1935"/>
      <c r="P124" s="1935"/>
      <c r="Q124" s="1935"/>
      <c r="R124" s="1935"/>
      <c r="S124" s="1935"/>
      <c r="T124" s="1935"/>
      <c r="U124" s="1935"/>
      <c r="V124" s="1935"/>
      <c r="W124" s="1977" t="s">
        <v>4537</v>
      </c>
      <c r="X124" s="1938"/>
      <c r="Y124" s="1849" t="s">
        <v>256</v>
      </c>
      <c r="Z124" s="1850"/>
    </row>
    <row r="125" spans="11:26">
      <c r="K125" s="1934"/>
      <c r="L125" s="1935"/>
      <c r="M125" s="1935"/>
      <c r="N125" s="1935"/>
      <c r="O125" s="1935"/>
      <c r="P125" s="1935"/>
      <c r="Q125" s="1935"/>
      <c r="R125" s="1935"/>
      <c r="S125" s="1935"/>
      <c r="T125" s="1935"/>
      <c r="U125" s="1935"/>
      <c r="V125" s="1935"/>
      <c r="W125" s="1977" t="s">
        <v>4538</v>
      </c>
      <c r="X125" s="1938"/>
      <c r="Y125" s="1849" t="s">
        <v>2828</v>
      </c>
      <c r="Z125" s="1850"/>
    </row>
    <row r="126" spans="11:26">
      <c r="K126" s="1934"/>
      <c r="L126" s="1935"/>
      <c r="M126" s="1935"/>
      <c r="N126" s="1935"/>
      <c r="O126" s="1935"/>
      <c r="P126" s="1935"/>
      <c r="Q126" s="1935"/>
      <c r="R126" s="1935"/>
      <c r="S126" s="1935"/>
      <c r="T126" s="1935"/>
      <c r="U126" s="1935"/>
      <c r="V126" s="1935"/>
      <c r="W126" s="1977" t="s">
        <v>4539</v>
      </c>
      <c r="X126" s="1938"/>
      <c r="Y126" s="1849" t="s">
        <v>273</v>
      </c>
      <c r="Z126" s="1850"/>
    </row>
    <row r="127" spans="11:26">
      <c r="K127" s="1934"/>
      <c r="L127" s="1935"/>
      <c r="M127" s="1935"/>
      <c r="N127" s="1935"/>
      <c r="O127" s="1935"/>
      <c r="P127" s="1935"/>
      <c r="Q127" s="1935"/>
      <c r="R127" s="1935"/>
      <c r="S127" s="1935"/>
      <c r="T127" s="1935"/>
      <c r="U127" s="1935"/>
      <c r="V127" s="1935"/>
      <c r="W127" s="1977" t="s">
        <v>4540</v>
      </c>
      <c r="X127" s="1938"/>
      <c r="Y127" s="1849" t="s">
        <v>255</v>
      </c>
      <c r="Z127" s="1850"/>
    </row>
    <row r="128" spans="11:26">
      <c r="K128" s="1934"/>
      <c r="L128" s="1935"/>
      <c r="M128" s="1935"/>
      <c r="N128" s="1935"/>
      <c r="O128" s="1935"/>
      <c r="P128" s="1935"/>
      <c r="Q128" s="1935"/>
      <c r="R128" s="1935"/>
      <c r="S128" s="1935"/>
      <c r="T128" s="1935"/>
      <c r="U128" s="1935"/>
      <c r="V128" s="1935"/>
      <c r="W128" s="1977" t="s">
        <v>4541</v>
      </c>
      <c r="X128" s="1938"/>
      <c r="Y128" s="1849" t="s">
        <v>1608</v>
      </c>
      <c r="Z128" s="1850"/>
    </row>
    <row r="129" spans="11:26">
      <c r="K129" s="1934"/>
      <c r="L129" s="1935"/>
      <c r="M129" s="1935"/>
      <c r="N129" s="1935"/>
      <c r="O129" s="1935"/>
      <c r="P129" s="1935"/>
      <c r="Q129" s="1935"/>
      <c r="R129" s="1935"/>
      <c r="S129" s="1935"/>
      <c r="T129" s="1935"/>
      <c r="U129" s="1935"/>
      <c r="V129" s="1935"/>
      <c r="W129" s="1977" t="s">
        <v>4542</v>
      </c>
      <c r="X129" s="1938"/>
      <c r="Y129" s="1849" t="s">
        <v>1609</v>
      </c>
      <c r="Z129" s="1850"/>
    </row>
    <row r="130" spans="11:26">
      <c r="K130" s="1934"/>
      <c r="L130" s="1935"/>
      <c r="M130" s="1935"/>
      <c r="N130" s="1935"/>
      <c r="O130" s="1935"/>
      <c r="P130" s="1935"/>
      <c r="Q130" s="1935"/>
      <c r="R130" s="1935"/>
      <c r="S130" s="1935"/>
      <c r="T130" s="1935"/>
      <c r="U130" s="1935"/>
      <c r="V130" s="1935"/>
      <c r="W130" s="1977" t="s">
        <v>4543</v>
      </c>
      <c r="X130" s="1938"/>
      <c r="Y130" s="1849" t="s">
        <v>1610</v>
      </c>
      <c r="Z130" s="1850"/>
    </row>
    <row r="131" spans="11:26">
      <c r="K131" s="1934"/>
      <c r="L131" s="1935"/>
      <c r="M131" s="1935"/>
      <c r="N131" s="1935"/>
      <c r="O131" s="1935"/>
      <c r="P131" s="1935"/>
      <c r="Q131" s="1935"/>
      <c r="R131" s="1935"/>
      <c r="S131" s="1935"/>
      <c r="T131" s="1935"/>
      <c r="U131" s="1935"/>
      <c r="V131" s="1935"/>
      <c r="W131" s="1977" t="s">
        <v>4544</v>
      </c>
      <c r="X131" s="1938"/>
      <c r="Y131" s="1849" t="s">
        <v>943</v>
      </c>
      <c r="Z131" s="1850"/>
    </row>
    <row r="132" spans="11:26">
      <c r="K132" s="1934"/>
      <c r="L132" s="1935"/>
      <c r="M132" s="1935"/>
      <c r="N132" s="1935"/>
      <c r="O132" s="1935"/>
      <c r="P132" s="1935"/>
      <c r="Q132" s="1935"/>
      <c r="R132" s="1935"/>
      <c r="S132" s="1935"/>
      <c r="T132" s="1935"/>
      <c r="U132" s="1935"/>
      <c r="V132" s="1935"/>
      <c r="W132" s="1977" t="s">
        <v>4545</v>
      </c>
      <c r="X132" s="1938"/>
      <c r="Y132" s="1849" t="s">
        <v>1611</v>
      </c>
      <c r="Z132" s="1850"/>
    </row>
    <row r="133" spans="11:26">
      <c r="K133" s="1934"/>
      <c r="L133" s="1935"/>
      <c r="M133" s="1935"/>
      <c r="N133" s="1935"/>
      <c r="O133" s="1935"/>
      <c r="P133" s="1935"/>
      <c r="Q133" s="1935"/>
      <c r="R133" s="1935"/>
      <c r="S133" s="1935"/>
      <c r="T133" s="1935"/>
      <c r="U133" s="1935"/>
      <c r="V133" s="1935"/>
      <c r="W133" s="1977" t="s">
        <v>4546</v>
      </c>
      <c r="X133" s="1938"/>
      <c r="Y133" s="1849" t="s">
        <v>1612</v>
      </c>
      <c r="Z133" s="1850"/>
    </row>
    <row r="134" spans="11:26" ht="15.75" thickBot="1">
      <c r="K134" s="1936"/>
      <c r="L134" s="1937"/>
      <c r="M134" s="1937"/>
      <c r="N134" s="1937"/>
      <c r="O134" s="1937"/>
      <c r="P134" s="1937"/>
      <c r="Q134" s="1937"/>
      <c r="R134" s="1937"/>
      <c r="S134" s="1937"/>
      <c r="T134" s="1937"/>
      <c r="U134" s="1937"/>
      <c r="V134" s="1937"/>
      <c r="W134" s="1978" t="s">
        <v>4547</v>
      </c>
      <c r="X134" s="1939"/>
      <c r="Y134" s="1860" t="s">
        <v>1613</v>
      </c>
      <c r="Z134" s="1861"/>
    </row>
    <row r="135" spans="11:26" ht="15.75" thickBot="1"/>
    <row r="136" spans="11:26" ht="27.75">
      <c r="K136" s="1916"/>
      <c r="L136" s="1917"/>
      <c r="M136" s="1917"/>
      <c r="N136" s="1917"/>
      <c r="O136" s="1917"/>
      <c r="P136" s="1917"/>
      <c r="Q136" s="1917"/>
      <c r="R136" s="1917"/>
      <c r="S136" s="1917"/>
      <c r="T136" s="1917"/>
      <c r="U136" s="1917"/>
      <c r="V136" s="1917"/>
      <c r="W136" s="1918" t="s">
        <v>4551</v>
      </c>
      <c r="X136" s="1995"/>
      <c r="Y136" s="1943" t="s">
        <v>4549</v>
      </c>
      <c r="Z136" s="1994"/>
    </row>
    <row r="137" spans="11:26" ht="28.5" thickBot="1">
      <c r="K137" s="1919"/>
      <c r="L137" s="1889"/>
      <c r="M137" s="1889"/>
      <c r="N137" s="1889"/>
      <c r="O137" s="1889"/>
      <c r="P137" s="1889"/>
      <c r="Q137" s="1889"/>
      <c r="R137" s="1889"/>
      <c r="S137" s="1889"/>
      <c r="T137" s="1889"/>
      <c r="U137" s="1889"/>
      <c r="V137" s="1889"/>
      <c r="W137" s="1890" t="s">
        <v>4552</v>
      </c>
      <c r="X137" s="1996"/>
      <c r="Y137" s="1946" t="s">
        <v>4550</v>
      </c>
      <c r="Z137" s="1984"/>
    </row>
    <row r="138" spans="11:26" ht="15.75" thickBot="1"/>
    <row r="139" spans="11:26" ht="28.5" thickBot="1">
      <c r="K139" s="1940"/>
      <c r="L139" s="1941"/>
      <c r="M139" s="1941"/>
      <c r="N139" s="1941"/>
      <c r="O139" s="1941"/>
      <c r="P139" s="1993" t="s">
        <v>4451</v>
      </c>
      <c r="Q139" s="1931"/>
      <c r="R139" s="1931"/>
      <c r="S139" s="1931"/>
      <c r="T139" s="1931"/>
      <c r="U139" s="1931"/>
      <c r="V139" s="1931"/>
      <c r="W139" s="1932" t="s">
        <v>4450</v>
      </c>
      <c r="X139" s="1927"/>
      <c r="Y139" s="1928" t="s">
        <v>4553</v>
      </c>
      <c r="Z139" s="1929"/>
    </row>
    <row r="140" spans="11:26" ht="27.75">
      <c r="K140" s="1942"/>
      <c r="L140" s="1943"/>
      <c r="M140" s="1943"/>
      <c r="N140" s="1943"/>
      <c r="O140" s="1943"/>
      <c r="P140" s="1964" t="s">
        <v>4555</v>
      </c>
      <c r="Q140" s="1921"/>
      <c r="R140" s="1900"/>
      <c r="S140" s="1900"/>
      <c r="T140" s="1900"/>
      <c r="U140" s="1900"/>
      <c r="V140" s="1900"/>
      <c r="W140" s="1901" t="s">
        <v>4554</v>
      </c>
      <c r="X140" s="1907"/>
      <c r="Y140" s="1882" t="s">
        <v>1293</v>
      </c>
      <c r="Z140" s="1902"/>
    </row>
    <row r="141" spans="11:26" ht="27.75">
      <c r="K141" s="1944"/>
      <c r="L141" s="1914"/>
      <c r="M141" s="1914"/>
      <c r="N141" s="1914"/>
      <c r="O141" s="1914"/>
      <c r="P141" s="1965" t="s">
        <v>4557</v>
      </c>
      <c r="Q141" s="1922"/>
      <c r="R141" s="1903"/>
      <c r="S141" s="1903"/>
      <c r="T141" s="1903"/>
      <c r="U141" s="1903"/>
      <c r="V141" s="1903"/>
      <c r="W141" s="1904" t="s">
        <v>4556</v>
      </c>
      <c r="X141" s="1848"/>
      <c r="Y141" s="1849" t="s">
        <v>1292</v>
      </c>
      <c r="Z141" s="1850"/>
    </row>
    <row r="142" spans="11:26" ht="27.75">
      <c r="K142" s="1944"/>
      <c r="L142" s="1914"/>
      <c r="M142" s="1914"/>
      <c r="N142" s="1914"/>
      <c r="O142" s="1914"/>
      <c r="P142" s="1965" t="s">
        <v>4559</v>
      </c>
      <c r="Q142" s="1922"/>
      <c r="R142" s="1903"/>
      <c r="S142" s="1903"/>
      <c r="T142" s="1903"/>
      <c r="U142" s="1903"/>
      <c r="V142" s="1903"/>
      <c r="W142" s="1904" t="s">
        <v>4558</v>
      </c>
      <c r="X142" s="1848"/>
      <c r="Y142" s="1849" t="s">
        <v>687</v>
      </c>
      <c r="Z142" s="1850"/>
    </row>
    <row r="143" spans="11:26" ht="27.75">
      <c r="K143" s="1944"/>
      <c r="L143" s="1914"/>
      <c r="M143" s="1914"/>
      <c r="N143" s="1914"/>
      <c r="O143" s="1914"/>
      <c r="P143" s="1965" t="s">
        <v>4561</v>
      </c>
      <c r="Q143" s="1922"/>
      <c r="R143" s="1903"/>
      <c r="S143" s="1903"/>
      <c r="T143" s="1903"/>
      <c r="U143" s="1903"/>
      <c r="V143" s="1903"/>
      <c r="W143" s="1904" t="s">
        <v>4560</v>
      </c>
      <c r="X143" s="1848"/>
      <c r="Y143" s="1849" t="s">
        <v>1544</v>
      </c>
      <c r="Z143" s="1850"/>
    </row>
    <row r="144" spans="11:26" ht="27.75">
      <c r="K144" s="1944"/>
      <c r="L144" s="1914"/>
      <c r="M144" s="1914"/>
      <c r="N144" s="1914"/>
      <c r="O144" s="1914"/>
      <c r="P144" s="1965" t="s">
        <v>4564</v>
      </c>
      <c r="Q144" s="1922"/>
      <c r="R144" s="1903"/>
      <c r="S144" s="1903"/>
      <c r="T144" s="1903"/>
      <c r="U144" s="1903"/>
      <c r="V144" s="1903"/>
      <c r="W144" s="1904" t="s">
        <v>4562</v>
      </c>
      <c r="X144" s="1848"/>
      <c r="Y144" s="1849" t="s">
        <v>1290</v>
      </c>
      <c r="Z144" s="1850"/>
    </row>
    <row r="145" spans="11:26" ht="28.5" thickBot="1">
      <c r="K145" s="1945"/>
      <c r="L145" s="1946"/>
      <c r="M145" s="1946"/>
      <c r="N145" s="1946"/>
      <c r="O145" s="1946"/>
      <c r="P145" s="1966" t="s">
        <v>4565</v>
      </c>
      <c r="Q145" s="1923"/>
      <c r="R145" s="1905"/>
      <c r="S145" s="1905"/>
      <c r="T145" s="1905"/>
      <c r="U145" s="1905"/>
      <c r="V145" s="1905"/>
      <c r="W145" s="1906" t="s">
        <v>4563</v>
      </c>
      <c r="X145" s="1859"/>
      <c r="Y145" s="1860" t="s">
        <v>1291</v>
      </c>
      <c r="Z145" s="1861"/>
    </row>
    <row r="147" spans="11:26" ht="21.75" customHeight="1">
      <c r="Y147" s="1997"/>
      <c r="Z147" s="334" t="s">
        <v>4566</v>
      </c>
    </row>
    <row r="148" spans="11:26" ht="15.75" thickBot="1">
      <c r="Z148" s="334" t="s">
        <v>4567</v>
      </c>
    </row>
    <row r="149" spans="11:26" ht="27.75">
      <c r="K149" s="1998"/>
      <c r="L149" s="1999"/>
      <c r="M149" s="1999"/>
      <c r="N149" s="1999"/>
      <c r="O149" s="1999"/>
      <c r="P149" s="1999"/>
      <c r="Q149" s="1999"/>
      <c r="R149" s="1999"/>
      <c r="S149" s="1999"/>
      <c r="T149" s="1999"/>
      <c r="U149" s="1999"/>
      <c r="V149" s="1999"/>
      <c r="W149" s="2000" t="s">
        <v>4568</v>
      </c>
      <c r="X149" s="1882"/>
      <c r="Y149" s="1882" t="s">
        <v>1606</v>
      </c>
      <c r="Z149" s="1902"/>
    </row>
    <row r="150" spans="11:26" ht="27.75">
      <c r="K150" s="1979"/>
      <c r="L150" s="1956"/>
      <c r="M150" s="1956"/>
      <c r="N150" s="1956"/>
      <c r="O150" s="1956"/>
      <c r="P150" s="1956"/>
      <c r="Q150" s="1956"/>
      <c r="R150" s="1956"/>
      <c r="S150" s="1956"/>
      <c r="T150" s="1956"/>
      <c r="U150" s="1956"/>
      <c r="V150" s="1956"/>
      <c r="W150" s="2001" t="s">
        <v>4569</v>
      </c>
      <c r="X150" s="1849"/>
      <c r="Y150" s="1849" t="s">
        <v>256</v>
      </c>
      <c r="Z150" s="1850"/>
    </row>
    <row r="151" spans="11:26" ht="27.75">
      <c r="K151" s="1979"/>
      <c r="L151" s="1956"/>
      <c r="M151" s="1956"/>
      <c r="N151" s="1956"/>
      <c r="O151" s="1956"/>
      <c r="P151" s="1956"/>
      <c r="Q151" s="1956"/>
      <c r="R151" s="1956"/>
      <c r="S151" s="1956"/>
      <c r="T151" s="1956"/>
      <c r="U151" s="1956"/>
      <c r="V151" s="1956"/>
      <c r="W151" s="2001" t="s">
        <v>4570</v>
      </c>
      <c r="X151" s="1849"/>
      <c r="Y151" s="1849" t="s">
        <v>2828</v>
      </c>
      <c r="Z151" s="1850"/>
    </row>
    <row r="152" spans="11:26" ht="27.75">
      <c r="K152" s="1979"/>
      <c r="L152" s="1956"/>
      <c r="M152" s="1956"/>
      <c r="N152" s="1956"/>
      <c r="O152" s="1956"/>
      <c r="P152" s="1956"/>
      <c r="Q152" s="1956"/>
      <c r="R152" s="1956"/>
      <c r="S152" s="1956"/>
      <c r="T152" s="1956"/>
      <c r="U152" s="1956"/>
      <c r="V152" s="1956"/>
      <c r="W152" s="2001" t="s">
        <v>4571</v>
      </c>
      <c r="X152" s="1849"/>
      <c r="Y152" s="1849" t="s">
        <v>273</v>
      </c>
      <c r="Z152" s="1850"/>
    </row>
    <row r="153" spans="11:26" ht="27.75">
      <c r="K153" s="1979"/>
      <c r="L153" s="1956"/>
      <c r="M153" s="1956"/>
      <c r="N153" s="1956"/>
      <c r="O153" s="1956"/>
      <c r="P153" s="1956"/>
      <c r="Q153" s="1956"/>
      <c r="R153" s="1956"/>
      <c r="S153" s="1956"/>
      <c r="T153" s="1956"/>
      <c r="U153" s="1956"/>
      <c r="V153" s="1956"/>
      <c r="W153" s="2001" t="s">
        <v>4572</v>
      </c>
      <c r="X153" s="1849"/>
      <c r="Y153" s="1849" t="s">
        <v>255</v>
      </c>
      <c r="Z153" s="1850"/>
    </row>
    <row r="154" spans="11:26" ht="27.75">
      <c r="K154" s="1979"/>
      <c r="L154" s="1956"/>
      <c r="M154" s="1956"/>
      <c r="N154" s="1956"/>
      <c r="O154" s="1956"/>
      <c r="P154" s="1956"/>
      <c r="Q154" s="1956"/>
      <c r="R154" s="1956"/>
      <c r="S154" s="1956"/>
      <c r="T154" s="1956"/>
      <c r="U154" s="1956"/>
      <c r="V154" s="1956"/>
      <c r="W154" s="2001" t="s">
        <v>4573</v>
      </c>
      <c r="X154" s="1849"/>
      <c r="Y154" s="1849" t="s">
        <v>1608</v>
      </c>
      <c r="Z154" s="1850"/>
    </row>
    <row r="155" spans="11:26" ht="27.75">
      <c r="K155" s="1979"/>
      <c r="L155" s="1956"/>
      <c r="M155" s="1956"/>
      <c r="N155" s="1956"/>
      <c r="O155" s="1956"/>
      <c r="P155" s="1956"/>
      <c r="Q155" s="1956"/>
      <c r="R155" s="1956"/>
      <c r="S155" s="1956"/>
      <c r="T155" s="1956"/>
      <c r="U155" s="1956"/>
      <c r="V155" s="1956"/>
      <c r="W155" s="2001" t="s">
        <v>4574</v>
      </c>
      <c r="X155" s="1849"/>
      <c r="Y155" s="1849" t="s">
        <v>1609</v>
      </c>
      <c r="Z155" s="1850"/>
    </row>
    <row r="156" spans="11:26" ht="27.75">
      <c r="K156" s="1979"/>
      <c r="L156" s="1956"/>
      <c r="M156" s="1956"/>
      <c r="N156" s="1956"/>
      <c r="O156" s="1956"/>
      <c r="P156" s="1956"/>
      <c r="Q156" s="1956"/>
      <c r="R156" s="1956"/>
      <c r="S156" s="1956"/>
      <c r="T156" s="1956"/>
      <c r="U156" s="1956"/>
      <c r="V156" s="1956"/>
      <c r="W156" s="2001" t="s">
        <v>4575</v>
      </c>
      <c r="X156" s="1849"/>
      <c r="Y156" s="1849" t="s">
        <v>1610</v>
      </c>
      <c r="Z156" s="1850"/>
    </row>
    <row r="157" spans="11:26" ht="27.75">
      <c r="K157" s="1979"/>
      <c r="L157" s="1956"/>
      <c r="M157" s="1956"/>
      <c r="N157" s="1956"/>
      <c r="O157" s="1956"/>
      <c r="P157" s="1956"/>
      <c r="Q157" s="1956"/>
      <c r="R157" s="1956"/>
      <c r="S157" s="1956"/>
      <c r="T157" s="1956"/>
      <c r="U157" s="1956"/>
      <c r="V157" s="1956"/>
      <c r="W157" s="2001" t="s">
        <v>4576</v>
      </c>
      <c r="X157" s="1849"/>
      <c r="Y157" s="1849" t="s">
        <v>943</v>
      </c>
      <c r="Z157" s="1850"/>
    </row>
    <row r="158" spans="11:26" ht="27.75">
      <c r="K158" s="1979"/>
      <c r="L158" s="1956"/>
      <c r="M158" s="1956"/>
      <c r="N158" s="1956"/>
      <c r="O158" s="1956"/>
      <c r="P158" s="1956"/>
      <c r="Q158" s="1956"/>
      <c r="R158" s="1956"/>
      <c r="S158" s="1956"/>
      <c r="T158" s="1956"/>
      <c r="U158" s="1956"/>
      <c r="V158" s="1956"/>
      <c r="W158" s="2001" t="s">
        <v>4577</v>
      </c>
      <c r="X158" s="1849"/>
      <c r="Y158" s="1849" t="s">
        <v>1611</v>
      </c>
      <c r="Z158" s="1850"/>
    </row>
    <row r="159" spans="11:26" ht="27.75">
      <c r="K159" s="1979"/>
      <c r="L159" s="1956"/>
      <c r="M159" s="1956"/>
      <c r="N159" s="1956"/>
      <c r="O159" s="1956"/>
      <c r="P159" s="1956"/>
      <c r="Q159" s="1956"/>
      <c r="R159" s="1956"/>
      <c r="S159" s="1956"/>
      <c r="T159" s="1956"/>
      <c r="U159" s="1956"/>
      <c r="V159" s="1956"/>
      <c r="W159" s="2001" t="s">
        <v>4578</v>
      </c>
      <c r="X159" s="1849"/>
      <c r="Y159" s="1849" t="s">
        <v>1612</v>
      </c>
      <c r="Z159" s="1850"/>
    </row>
    <row r="160" spans="11:26" ht="28.5" thickBot="1">
      <c r="K160" s="1981"/>
      <c r="L160" s="1959"/>
      <c r="M160" s="1959"/>
      <c r="N160" s="1959"/>
      <c r="O160" s="1959"/>
      <c r="P160" s="1959"/>
      <c r="Q160" s="1959"/>
      <c r="R160" s="1959"/>
      <c r="S160" s="1959"/>
      <c r="T160" s="1959"/>
      <c r="U160" s="1959"/>
      <c r="V160" s="1959"/>
      <c r="W160" s="2002" t="s">
        <v>4579</v>
      </c>
      <c r="X160" s="1860"/>
      <c r="Y160" s="1860" t="s">
        <v>1613</v>
      </c>
      <c r="Z160" s="1861"/>
    </row>
    <row r="162" spans="11:35" ht="15.75" thickBot="1">
      <c r="Z162" s="334" t="s">
        <v>4580</v>
      </c>
    </row>
    <row r="163" spans="11:35" ht="27.75">
      <c r="K163" s="2004"/>
      <c r="L163" s="2005"/>
      <c r="M163" s="2005"/>
      <c r="N163" s="2005"/>
      <c r="O163" s="2005"/>
      <c r="P163" s="2005"/>
      <c r="Q163" s="2005"/>
      <c r="R163" s="2005"/>
      <c r="S163" s="2005"/>
      <c r="T163" s="2005"/>
      <c r="U163" s="2005"/>
      <c r="V163" s="2005"/>
      <c r="W163" s="2006" t="s">
        <v>4581</v>
      </c>
      <c r="X163" s="1882"/>
      <c r="Y163" s="1882" t="s">
        <v>1606</v>
      </c>
      <c r="Z163" s="1902"/>
    </row>
    <row r="164" spans="11:35" ht="27.75">
      <c r="K164" s="1987"/>
      <c r="L164" s="1988"/>
      <c r="M164" s="1988"/>
      <c r="N164" s="1988"/>
      <c r="O164" s="1988"/>
      <c r="P164" s="1988"/>
      <c r="Q164" s="1988"/>
      <c r="R164" s="1988"/>
      <c r="S164" s="1988"/>
      <c r="T164" s="1988"/>
      <c r="U164" s="1988"/>
      <c r="V164" s="1988"/>
      <c r="W164" s="2003" t="s">
        <v>4582</v>
      </c>
      <c r="X164" s="1849"/>
      <c r="Y164" s="1849" t="s">
        <v>256</v>
      </c>
      <c r="Z164" s="1850"/>
    </row>
    <row r="165" spans="11:35" ht="27.75">
      <c r="K165" s="1987"/>
      <c r="L165" s="1988"/>
      <c r="M165" s="1988"/>
      <c r="N165" s="1988"/>
      <c r="O165" s="1988"/>
      <c r="P165" s="1988"/>
      <c r="Q165" s="1988"/>
      <c r="R165" s="1988"/>
      <c r="S165" s="1988"/>
      <c r="T165" s="1988"/>
      <c r="U165" s="1988"/>
      <c r="V165" s="1988"/>
      <c r="W165" s="2003" t="s">
        <v>4583</v>
      </c>
      <c r="X165" s="1849"/>
      <c r="Y165" s="1849" t="s">
        <v>2828</v>
      </c>
      <c r="Z165" s="1850"/>
    </row>
    <row r="166" spans="11:35" ht="27.75">
      <c r="K166" s="1987"/>
      <c r="L166" s="1988"/>
      <c r="M166" s="1988"/>
      <c r="N166" s="1988"/>
      <c r="O166" s="1988"/>
      <c r="P166" s="1988"/>
      <c r="Q166" s="1988"/>
      <c r="R166" s="1988"/>
      <c r="S166" s="1988"/>
      <c r="T166" s="1988"/>
      <c r="U166" s="1988"/>
      <c r="V166" s="1988"/>
      <c r="W166" s="2003" t="s">
        <v>4584</v>
      </c>
      <c r="X166" s="1849"/>
      <c r="Y166" s="1849" t="s">
        <v>273</v>
      </c>
      <c r="Z166" s="1850"/>
    </row>
    <row r="167" spans="11:35" ht="27.75">
      <c r="K167" s="1987"/>
      <c r="L167" s="1988"/>
      <c r="M167" s="1988"/>
      <c r="N167" s="1988"/>
      <c r="O167" s="1988"/>
      <c r="P167" s="1988"/>
      <c r="Q167" s="1988"/>
      <c r="R167" s="1988"/>
      <c r="S167" s="1988"/>
      <c r="T167" s="1988"/>
      <c r="U167" s="1988"/>
      <c r="V167" s="1988"/>
      <c r="W167" s="2003" t="s">
        <v>4585</v>
      </c>
      <c r="X167" s="1849"/>
      <c r="Y167" s="1849" t="s">
        <v>255</v>
      </c>
      <c r="Z167" s="1850"/>
    </row>
    <row r="168" spans="11:35" ht="27.75">
      <c r="K168" s="1987"/>
      <c r="L168" s="1988"/>
      <c r="M168" s="1988"/>
      <c r="N168" s="1988"/>
      <c r="O168" s="1988"/>
      <c r="P168" s="1988"/>
      <c r="Q168" s="1988"/>
      <c r="R168" s="1988"/>
      <c r="S168" s="1988"/>
      <c r="T168" s="1988"/>
      <c r="U168" s="1988"/>
      <c r="V168" s="1988"/>
      <c r="W168" s="2003" t="s">
        <v>4586</v>
      </c>
      <c r="X168" s="1849"/>
      <c r="Y168" s="1849" t="s">
        <v>1608</v>
      </c>
      <c r="Z168" s="1850"/>
    </row>
    <row r="169" spans="11:35" ht="27.75">
      <c r="K169" s="1987"/>
      <c r="L169" s="1988"/>
      <c r="M169" s="1988"/>
      <c r="N169" s="1988"/>
      <c r="O169" s="1988"/>
      <c r="P169" s="1988"/>
      <c r="Q169" s="1988"/>
      <c r="R169" s="1988"/>
      <c r="S169" s="1988"/>
      <c r="T169" s="1988"/>
      <c r="U169" s="1988"/>
      <c r="V169" s="1988"/>
      <c r="W169" s="2003" t="s">
        <v>4587</v>
      </c>
      <c r="X169" s="1849"/>
      <c r="Y169" s="1849" t="s">
        <v>1609</v>
      </c>
      <c r="Z169" s="1850"/>
    </row>
    <row r="170" spans="11:35" ht="27.75">
      <c r="K170" s="1987"/>
      <c r="L170" s="1988"/>
      <c r="M170" s="1988"/>
      <c r="N170" s="1988"/>
      <c r="O170" s="1988"/>
      <c r="P170" s="1988"/>
      <c r="Q170" s="1988"/>
      <c r="R170" s="1988"/>
      <c r="S170" s="1988"/>
      <c r="T170" s="1988"/>
      <c r="U170" s="1988"/>
      <c r="V170" s="1988"/>
      <c r="W170" s="2003" t="s">
        <v>4588</v>
      </c>
      <c r="X170" s="1849"/>
      <c r="Y170" s="1849" t="s">
        <v>1610</v>
      </c>
      <c r="Z170" s="1850"/>
    </row>
    <row r="171" spans="11:35" ht="27.75">
      <c r="K171" s="1987"/>
      <c r="L171" s="1988"/>
      <c r="M171" s="1988"/>
      <c r="N171" s="1988"/>
      <c r="O171" s="1988"/>
      <c r="P171" s="1988"/>
      <c r="Q171" s="1988"/>
      <c r="R171" s="1988"/>
      <c r="S171" s="1988"/>
      <c r="T171" s="1988"/>
      <c r="U171" s="1988"/>
      <c r="V171" s="1988"/>
      <c r="W171" s="2003" t="s">
        <v>4589</v>
      </c>
      <c r="X171" s="1849"/>
      <c r="Y171" s="1849" t="s">
        <v>943</v>
      </c>
      <c r="Z171" s="1850"/>
    </row>
    <row r="172" spans="11:35" ht="27.75">
      <c r="K172" s="1987"/>
      <c r="L172" s="1988"/>
      <c r="M172" s="1988"/>
      <c r="N172" s="1988"/>
      <c r="O172" s="1988"/>
      <c r="P172" s="1988"/>
      <c r="Q172" s="1988"/>
      <c r="R172" s="1988"/>
      <c r="S172" s="1988"/>
      <c r="T172" s="1988"/>
      <c r="U172" s="1988"/>
      <c r="V172" s="1988"/>
      <c r="W172" s="2003" t="s">
        <v>4590</v>
      </c>
      <c r="X172" s="1849"/>
      <c r="Y172" s="1849" t="s">
        <v>1611</v>
      </c>
      <c r="Z172" s="1850"/>
    </row>
    <row r="173" spans="11:35" ht="27.75">
      <c r="K173" s="1987"/>
      <c r="L173" s="1988"/>
      <c r="M173" s="1988"/>
      <c r="N173" s="1988"/>
      <c r="O173" s="1988"/>
      <c r="P173" s="1988"/>
      <c r="Q173" s="1988"/>
      <c r="R173" s="1988"/>
      <c r="S173" s="1988"/>
      <c r="T173" s="1988"/>
      <c r="U173" s="1988"/>
      <c r="V173" s="1988"/>
      <c r="W173" s="2003" t="s">
        <v>4591</v>
      </c>
      <c r="X173" s="1849"/>
      <c r="Y173" s="1849" t="s">
        <v>1612</v>
      </c>
      <c r="Z173" s="1850"/>
    </row>
    <row r="174" spans="11:35" ht="28.5" thickBot="1">
      <c r="K174" s="1990"/>
      <c r="L174" s="1991"/>
      <c r="M174" s="1991"/>
      <c r="N174" s="1991"/>
      <c r="O174" s="1991"/>
      <c r="P174" s="1991"/>
      <c r="Q174" s="1991"/>
      <c r="R174" s="1991"/>
      <c r="S174" s="1991"/>
      <c r="T174" s="1991"/>
      <c r="U174" s="1991"/>
      <c r="V174" s="1991"/>
      <c r="W174" s="2007" t="s">
        <v>4592</v>
      </c>
      <c r="X174" s="1860"/>
      <c r="Y174" s="1860" t="s">
        <v>1613</v>
      </c>
      <c r="Z174" s="1861"/>
    </row>
    <row r="175" spans="11:35" ht="15.75" thickBot="1"/>
    <row r="176" spans="11:35" ht="22.5">
      <c r="AB176" s="2026" t="s">
        <v>144</v>
      </c>
      <c r="AC176" s="2009"/>
      <c r="AD176" s="2033"/>
      <c r="AE176" s="2009"/>
      <c r="AF176" s="2036"/>
      <c r="AG176" s="2031"/>
      <c r="AH176" s="2038" t="s">
        <v>4257</v>
      </c>
      <c r="AI176" s="2013"/>
    </row>
    <row r="177" spans="28:35" ht="18.75">
      <c r="AB177" s="2010" t="s">
        <v>4593</v>
      </c>
      <c r="AC177" s="2025">
        <v>1445</v>
      </c>
      <c r="AD177" s="2034" t="s">
        <v>4337</v>
      </c>
      <c r="AE177" s="2011">
        <v>6</v>
      </c>
      <c r="AF177" s="2037"/>
      <c r="AG177" s="2032"/>
      <c r="AH177" s="2039" t="s">
        <v>4595</v>
      </c>
      <c r="AI177" s="2014"/>
    </row>
    <row r="178" spans="28:35" ht="18.75">
      <c r="AB178" s="2010" t="s">
        <v>4594</v>
      </c>
      <c r="AC178" s="2025">
        <v>9</v>
      </c>
      <c r="AD178" s="2034" t="s">
        <v>166</v>
      </c>
      <c r="AE178" s="2011">
        <v>14</v>
      </c>
      <c r="AF178" s="2034" t="s">
        <v>326</v>
      </c>
      <c r="AG178" s="2011">
        <v>51.334699999999998</v>
      </c>
      <c r="AH178" s="2034" t="s">
        <v>4259</v>
      </c>
      <c r="AI178" s="2012"/>
    </row>
    <row r="179" spans="28:35" ht="19.5" thickBot="1">
      <c r="AB179" s="2027" t="s">
        <v>3543</v>
      </c>
      <c r="AC179" s="2028">
        <v>10</v>
      </c>
      <c r="AD179" s="2035" t="s">
        <v>167</v>
      </c>
      <c r="AE179" s="2029">
        <v>0</v>
      </c>
      <c r="AF179" s="2035" t="s">
        <v>177</v>
      </c>
      <c r="AG179" s="2029">
        <v>35.700000000000003</v>
      </c>
      <c r="AH179" s="2040" t="s">
        <v>4596</v>
      </c>
      <c r="AI179" s="2030"/>
    </row>
    <row r="180" spans="28:35">
      <c r="AB180" s="1520"/>
      <c r="AC180" s="1521" t="s">
        <v>3</v>
      </c>
      <c r="AD180" s="1521">
        <f>AC177</f>
        <v>1445</v>
      </c>
      <c r="AE180" s="1521" t="s">
        <v>5</v>
      </c>
      <c r="AF180" s="1521">
        <f>AC179</f>
        <v>10</v>
      </c>
      <c r="AG180" s="1521" t="s">
        <v>177</v>
      </c>
      <c r="AH180" s="1521">
        <f>AG179</f>
        <v>35.700000000000003</v>
      </c>
      <c r="AI180" s="1522"/>
    </row>
    <row r="181" spans="28:35" ht="18">
      <c r="AB181" s="1520"/>
      <c r="AC181" s="1521" t="s">
        <v>4</v>
      </c>
      <c r="AD181" s="1521">
        <f>AC178</f>
        <v>9</v>
      </c>
      <c r="AE181" s="1521" t="s">
        <v>3971</v>
      </c>
      <c r="AF181" s="1521">
        <f>AE177</f>
        <v>6</v>
      </c>
      <c r="AG181" s="1521" t="s">
        <v>3950</v>
      </c>
      <c r="AH181" s="1521">
        <f>(((AF183/60)+AF182)/60)+AF181</f>
        <v>6.2333333333333334</v>
      </c>
      <c r="AI181" s="2015"/>
    </row>
    <row r="182" spans="28:35" ht="18.75" thickBot="1">
      <c r="AB182" s="1520"/>
      <c r="AC182" s="1521" t="s">
        <v>5</v>
      </c>
      <c r="AD182" s="1521">
        <f>[1]!roz(AF180,AH182,0,0)</f>
        <v>10.251741753909366</v>
      </c>
      <c r="AE182" s="1521" t="s">
        <v>166</v>
      </c>
      <c r="AF182" s="1521">
        <f>AE178</f>
        <v>14</v>
      </c>
      <c r="AG182" s="1521" t="s">
        <v>2202</v>
      </c>
      <c r="AH182" s="1521">
        <f>[1]!saatzij(AD180,AD181,[1]!roz(AF180,AF181,AF182,AF183))</f>
        <v>6.0418020938247778</v>
      </c>
      <c r="AI182" s="2015"/>
    </row>
    <row r="183" spans="28:35" ht="15.75" thickBot="1">
      <c r="AB183" s="1520"/>
      <c r="AC183" s="1521" t="s">
        <v>377</v>
      </c>
      <c r="AD183" s="1521">
        <f>[1]!tabdilsaheb(AG178)</f>
        <v>9.598740740833335E-2</v>
      </c>
      <c r="AE183" s="1521" t="s">
        <v>167</v>
      </c>
      <c r="AF183" s="1521">
        <f>AE179</f>
        <v>0</v>
      </c>
      <c r="AG183" s="1521"/>
      <c r="AH183" s="1521"/>
      <c r="AI183" s="2017" t="s">
        <v>4246</v>
      </c>
    </row>
    <row r="184" spans="28:35" ht="24.75">
      <c r="AB184" s="2019"/>
      <c r="AC184" s="2020" t="s">
        <v>1544</v>
      </c>
      <c r="AD184" s="2020">
        <f>[1]!taqsh(AD180,AD181,AD182,AD183)</f>
        <v>4.9362154402388114E-4</v>
      </c>
      <c r="AE184" s="2021">
        <f t="shared" ref="AE184:AE191" si="0">INT(ABS(AD184))</f>
        <v>0</v>
      </c>
      <c r="AF184" s="2021">
        <f t="shared" ref="AF184:AF191" si="1">INT((ABS(AD184)-AE184)*60)</f>
        <v>0</v>
      </c>
      <c r="AG184" s="2021">
        <f t="shared" ref="AG184:AG191" si="2">INT((((ABS(AD184)-AE184)*60)-AF184)*60)</f>
        <v>1</v>
      </c>
      <c r="AH184" s="2021">
        <f t="shared" ref="AH184:AH191" si="3">INT((((((ABS(AD184)-AE184)*60)-AF184)*60)-AG184)*60)</f>
        <v>46</v>
      </c>
      <c r="AI184" s="2022" t="str">
        <f>[1]!sadnahsame(AD184)</f>
        <v>--</v>
      </c>
    </row>
    <row r="185" spans="28:35" ht="24.75">
      <c r="AB185" s="647"/>
      <c r="AC185" s="261" t="s">
        <v>849</v>
      </c>
      <c r="AD185" s="261">
        <f>[1]!taqq(AD180,AD181,AD182,AD183)</f>
        <v>123.78256737936961</v>
      </c>
      <c r="AE185" s="228">
        <f t="shared" si="0"/>
        <v>123</v>
      </c>
      <c r="AF185" s="228">
        <f t="shared" si="1"/>
        <v>46</v>
      </c>
      <c r="AG185" s="228">
        <f t="shared" si="2"/>
        <v>57</v>
      </c>
      <c r="AH185" s="228">
        <f t="shared" si="3"/>
        <v>14</v>
      </c>
      <c r="AI185" s="2023" t="str">
        <f>[1]!sadnahsame(AD185)</f>
        <v>saad</v>
      </c>
    </row>
    <row r="186" spans="28:35" ht="24.75">
      <c r="AB186" s="647"/>
      <c r="AC186" s="261" t="s">
        <v>1291</v>
      </c>
      <c r="AD186" s="261">
        <f>[1]!taqota(AD180,AD181,AD182,AD183)</f>
        <v>17.395975904758984</v>
      </c>
      <c r="AE186" s="228">
        <f t="shared" si="0"/>
        <v>17</v>
      </c>
      <c r="AF186" s="228">
        <f t="shared" si="1"/>
        <v>23</v>
      </c>
      <c r="AG186" s="228">
        <f t="shared" si="2"/>
        <v>45</v>
      </c>
      <c r="AH186" s="228">
        <f t="shared" si="3"/>
        <v>30</v>
      </c>
      <c r="AI186" s="2023" t="str">
        <f>[1]!sadnahsame(AD186)</f>
        <v>--</v>
      </c>
    </row>
    <row r="187" spans="28:35" ht="24.75">
      <c r="AB187" s="647"/>
      <c r="AC187" s="261" t="s">
        <v>1290</v>
      </c>
      <c r="AD187" s="261">
        <f>[1]!taqzohre(AD180,AD181,AD182,AD183)</f>
        <v>340.36180487672164</v>
      </c>
      <c r="AE187" s="228">
        <f t="shared" si="0"/>
        <v>340</v>
      </c>
      <c r="AF187" s="228">
        <f t="shared" si="1"/>
        <v>21</v>
      </c>
      <c r="AG187" s="228">
        <f t="shared" si="2"/>
        <v>42</v>
      </c>
      <c r="AH187" s="228">
        <f t="shared" si="3"/>
        <v>29</v>
      </c>
      <c r="AI187" s="2023" t="str">
        <f>[1]!sadnahsame(AD187)</f>
        <v>--</v>
      </c>
    </row>
    <row r="188" spans="28:35" ht="24.75">
      <c r="AB188" s="647"/>
      <c r="AC188" s="261" t="s">
        <v>687</v>
      </c>
      <c r="AD188" s="261">
        <f>[1]!taqmer(AD180,AD181,AD182,AD183)</f>
        <v>327.7278047687405</v>
      </c>
      <c r="AE188" s="228">
        <f t="shared" si="0"/>
        <v>327</v>
      </c>
      <c r="AF188" s="228">
        <f t="shared" si="1"/>
        <v>43</v>
      </c>
      <c r="AG188" s="228">
        <f t="shared" si="2"/>
        <v>40</v>
      </c>
      <c r="AH188" s="228">
        <f t="shared" si="3"/>
        <v>5</v>
      </c>
      <c r="AI188" s="2023" t="str">
        <f>[1]!sadnahsame(AD188)</f>
        <v>--</v>
      </c>
    </row>
    <row r="189" spans="28:35" ht="24.75">
      <c r="AB189" s="647"/>
      <c r="AC189" s="261" t="s">
        <v>1292</v>
      </c>
      <c r="AD189" s="261">
        <f>[1]!taqmosh(AD180,AD181,AD182,AD183)</f>
        <v>44.706674427136591</v>
      </c>
      <c r="AE189" s="228">
        <f t="shared" si="0"/>
        <v>44</v>
      </c>
      <c r="AF189" s="228">
        <f t="shared" si="1"/>
        <v>42</v>
      </c>
      <c r="AG189" s="228">
        <f t="shared" si="2"/>
        <v>24</v>
      </c>
      <c r="AH189" s="228">
        <f t="shared" si="3"/>
        <v>1</v>
      </c>
      <c r="AI189" s="2023" t="str">
        <f>[1]!sadnahsame(AD189)</f>
        <v>saad</v>
      </c>
    </row>
    <row r="190" spans="28:35" ht="24.75">
      <c r="AB190" s="1979"/>
      <c r="AC190" s="261" t="s">
        <v>1293</v>
      </c>
      <c r="AD190" s="261">
        <f>[1]!taqzohal(AD180,AD181,AD182,AD183)</f>
        <v>341.0852806672732</v>
      </c>
      <c r="AE190" s="228">
        <f t="shared" si="0"/>
        <v>341</v>
      </c>
      <c r="AF190" s="228">
        <f t="shared" si="1"/>
        <v>5</v>
      </c>
      <c r="AG190" s="228">
        <f t="shared" si="2"/>
        <v>7</v>
      </c>
      <c r="AH190" s="228">
        <f t="shared" si="3"/>
        <v>0</v>
      </c>
      <c r="AI190" s="2023" t="str">
        <f>[1]!sadnahsame(AD190)</f>
        <v>saad</v>
      </c>
    </row>
    <row r="191" spans="28:35" ht="25.5" thickBot="1">
      <c r="AB191" s="650"/>
      <c r="AC191" s="651" t="s">
        <v>799</v>
      </c>
      <c r="AD191" s="651">
        <f>[1]!rasq(AD180,AD181,AD182,AD183)</f>
        <v>16.568833100138818</v>
      </c>
      <c r="AE191" s="2018">
        <f t="shared" si="0"/>
        <v>16</v>
      </c>
      <c r="AF191" s="2018">
        <f t="shared" si="1"/>
        <v>34</v>
      </c>
      <c r="AG191" s="2018">
        <f t="shared" si="2"/>
        <v>7</v>
      </c>
      <c r="AH191" s="2018">
        <f t="shared" si="3"/>
        <v>47</v>
      </c>
      <c r="AI191" s="202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F173"/>
  <sheetViews>
    <sheetView rightToLeft="1" topLeftCell="CY1" zoomScale="98" zoomScaleNormal="98" workbookViewId="0">
      <selection activeCell="CY1" sqref="CY1"/>
    </sheetView>
  </sheetViews>
  <sheetFormatPr defaultRowHeight="21.75"/>
  <cols>
    <col min="1" max="12" width="9.140625" style="89"/>
    <col min="13" max="13" width="17" style="89" customWidth="1"/>
    <col min="14" max="47" width="9.140625" style="89"/>
    <col min="48" max="48" width="11.28515625" style="89" customWidth="1"/>
    <col min="49" max="102" width="9.140625" style="89"/>
    <col min="103" max="103" width="4.28515625" style="89" customWidth="1"/>
    <col min="104" max="104" width="12.140625" style="89" bestFit="1" customWidth="1"/>
    <col min="105" max="105" width="32" style="89" customWidth="1"/>
    <col min="106" max="111" width="9.140625" style="89"/>
    <col min="112" max="112" width="14.5703125" style="89" customWidth="1"/>
    <col min="113" max="113" width="14" style="89" bestFit="1" customWidth="1"/>
    <col min="114" max="115" width="9.140625" style="89"/>
    <col min="116" max="116" width="10.85546875" style="89" customWidth="1"/>
    <col min="117" max="117" width="13.7109375" style="89" customWidth="1"/>
    <col min="118" max="118" width="13.28515625" style="89" customWidth="1"/>
    <col min="119" max="119" width="5.7109375" style="89" customWidth="1"/>
    <col min="120" max="120" width="9.140625" style="89"/>
    <col min="121" max="121" width="8.85546875" style="89" customWidth="1"/>
    <col min="122" max="122" width="9.140625" style="89"/>
    <col min="123" max="123" width="13.5703125" style="89" customWidth="1"/>
    <col min="124" max="124" width="9.85546875" style="89" customWidth="1"/>
    <col min="125" max="125" width="6.7109375" style="89" customWidth="1"/>
    <col min="126" max="126" width="16.7109375" style="89" customWidth="1"/>
    <col min="127" max="127" width="6.140625" style="89" customWidth="1"/>
    <col min="128" max="128" width="6.5703125" style="89" customWidth="1"/>
    <col min="129" max="142" width="9.140625" style="89"/>
    <col min="143" max="143" width="11.85546875" style="89" customWidth="1"/>
    <col min="144" max="144" width="11.42578125" style="89" customWidth="1"/>
    <col min="145" max="146" width="9.140625" style="89"/>
    <col min="147" max="147" width="16.85546875" style="89" customWidth="1"/>
    <col min="148" max="148" width="13.42578125" style="89" customWidth="1"/>
    <col min="149" max="16384" width="9.140625" style="89"/>
  </cols>
  <sheetData>
    <row r="1" spans="2:188" ht="22.5" thickBot="1">
      <c r="N1" s="2056" t="s">
        <v>60</v>
      </c>
      <c r="O1" s="2057">
        <v>1442</v>
      </c>
      <c r="P1" s="2058" t="s">
        <v>5</v>
      </c>
      <c r="Q1" s="2058">
        <v>2</v>
      </c>
      <c r="DX1" s="2059"/>
      <c r="DY1" s="2059"/>
      <c r="GF1" s="89" t="s">
        <v>4346</v>
      </c>
    </row>
    <row r="2" spans="2:188" ht="27.75" thickBot="1">
      <c r="B2" s="89" t="s">
        <v>1578</v>
      </c>
      <c r="N2" s="2060" t="s">
        <v>4</v>
      </c>
      <c r="O2" s="2061">
        <v>9</v>
      </c>
      <c r="P2" s="2062" t="s">
        <v>219</v>
      </c>
      <c r="Q2" s="2062">
        <v>0</v>
      </c>
      <c r="AX2" s="89" t="s">
        <v>1624</v>
      </c>
      <c r="BL2" s="89" t="s">
        <v>1625</v>
      </c>
      <c r="BW2" s="89" t="s">
        <v>1640</v>
      </c>
      <c r="CC2" s="89">
        <f>30/7</f>
        <v>4.2857142857142856</v>
      </c>
      <c r="CF2" s="89" t="s">
        <v>1642</v>
      </c>
      <c r="CJ2" s="89" t="s">
        <v>1645</v>
      </c>
      <c r="DA2" s="2063" t="s">
        <v>144</v>
      </c>
      <c r="DB2" s="2064" t="s">
        <v>3871</v>
      </c>
      <c r="DC2" s="2064"/>
      <c r="DD2" s="2064"/>
      <c r="DE2" s="2065">
        <v>51.334699999999998</v>
      </c>
      <c r="DF2" s="2066">
        <f>INT(ABS(DE2))</f>
        <v>51</v>
      </c>
      <c r="DG2" s="2066">
        <f>INT((ABS(DE2)-DF2)*60)</f>
        <v>20</v>
      </c>
      <c r="DH2" s="2066">
        <f>INT((((ABS(DE2)-DF2)*60)-DG2)*60)</f>
        <v>4</v>
      </c>
      <c r="DI2" s="2067">
        <f>INT((((((ABS(DE2)-DF2)*60)-DG2)*60)-DH2)*60)</f>
        <v>55</v>
      </c>
      <c r="DX2" s="2068"/>
      <c r="DY2" s="2068"/>
      <c r="FQ2" s="2069"/>
      <c r="FR2" s="2070" t="s">
        <v>4357</v>
      </c>
      <c r="FS2" s="2071" t="s">
        <v>4347</v>
      </c>
      <c r="FT2" s="2072"/>
      <c r="FU2" s="2072" t="s">
        <v>4356</v>
      </c>
      <c r="FV2" s="2073" t="s">
        <v>4347</v>
      </c>
      <c r="FW2" s="2074"/>
      <c r="FX2" s="2074"/>
      <c r="FY2" s="2075" t="s">
        <v>4354</v>
      </c>
      <c r="FZ2" s="2076" t="s">
        <v>4347</v>
      </c>
      <c r="GA2" s="2077"/>
      <c r="GB2" s="2077" t="s">
        <v>4349</v>
      </c>
      <c r="GC2" s="2078" t="s">
        <v>4347</v>
      </c>
      <c r="GD2" s="2079"/>
      <c r="GE2" s="2079"/>
      <c r="GF2" s="2080"/>
    </row>
    <row r="3" spans="2:188" ht="27">
      <c r="B3" s="2081" t="s">
        <v>1579</v>
      </c>
      <c r="N3" s="2060" t="s">
        <v>5</v>
      </c>
      <c r="O3" s="2061" t="e">
        <f ca="1">[2]!roz(Q1,Q2,Q3,Q4)</f>
        <v>#NAME?</v>
      </c>
      <c r="P3" s="2062" t="s">
        <v>166</v>
      </c>
      <c r="Q3" s="2062">
        <v>0</v>
      </c>
      <c r="AA3" s="63" t="s">
        <v>1618</v>
      </c>
      <c r="AB3" s="63"/>
      <c r="AC3" s="63"/>
      <c r="AD3" s="63"/>
      <c r="AE3" s="63"/>
      <c r="AF3" s="63"/>
      <c r="AG3" s="63"/>
      <c r="AI3" s="2082" t="s">
        <v>1647</v>
      </c>
      <c r="AJ3" s="2083"/>
      <c r="AK3" s="2083"/>
      <c r="AL3" s="2084"/>
      <c r="AN3" s="2082" t="s">
        <v>1622</v>
      </c>
      <c r="AO3" s="2083"/>
      <c r="AP3" s="2083"/>
      <c r="AQ3" s="2084"/>
      <c r="AS3" s="2082" t="s">
        <v>1623</v>
      </c>
      <c r="AT3" s="2083"/>
      <c r="AU3" s="2083"/>
      <c r="AV3" s="2084"/>
      <c r="AX3" s="89" t="s">
        <v>1646</v>
      </c>
      <c r="BL3" s="2085" t="s">
        <v>1633</v>
      </c>
      <c r="BM3" s="2086" t="s">
        <v>1626</v>
      </c>
      <c r="BN3" s="2086" t="s">
        <v>1627</v>
      </c>
      <c r="BO3" s="2086" t="s">
        <v>1051</v>
      </c>
      <c r="BP3" s="2086" t="s">
        <v>1628</v>
      </c>
      <c r="BQ3" s="2086" t="s">
        <v>1629</v>
      </c>
      <c r="BR3" s="2086" t="s">
        <v>1052</v>
      </c>
      <c r="BS3" s="2086" t="s">
        <v>1630</v>
      </c>
      <c r="BT3" s="2086" t="s">
        <v>1631</v>
      </c>
      <c r="BU3" s="2087" t="s">
        <v>1632</v>
      </c>
      <c r="BW3" s="2085" t="s">
        <v>1633</v>
      </c>
      <c r="BX3" s="2088" t="s">
        <v>1634</v>
      </c>
      <c r="BY3" s="2086" t="s">
        <v>1635</v>
      </c>
      <c r="BZ3" s="2086" t="s">
        <v>1636</v>
      </c>
      <c r="CA3" s="2086" t="s">
        <v>1637</v>
      </c>
      <c r="CB3" s="2086" t="s">
        <v>1638</v>
      </c>
      <c r="CC3" s="2086" t="s">
        <v>1639</v>
      </c>
      <c r="CD3" s="2087" t="s">
        <v>1632</v>
      </c>
      <c r="CF3" s="2085" t="s">
        <v>1633</v>
      </c>
      <c r="CG3" s="2088" t="s">
        <v>1641</v>
      </c>
      <c r="CH3" s="2087" t="s">
        <v>1632</v>
      </c>
      <c r="CJ3" s="2089" t="s">
        <v>1643</v>
      </c>
      <c r="CK3" s="2090" t="s">
        <v>1644</v>
      </c>
      <c r="CL3" s="2090">
        <v>1</v>
      </c>
      <c r="CM3" s="2090">
        <v>2</v>
      </c>
      <c r="CN3" s="2090">
        <v>3</v>
      </c>
      <c r="CO3" s="2090">
        <v>4</v>
      </c>
      <c r="CP3" s="2090">
        <v>5</v>
      </c>
      <c r="CQ3" s="2090">
        <v>6</v>
      </c>
      <c r="CR3" s="2090">
        <v>7</v>
      </c>
      <c r="CS3" s="2090">
        <v>8</v>
      </c>
      <c r="CT3" s="2090">
        <v>9</v>
      </c>
      <c r="CU3" s="2090">
        <v>10</v>
      </c>
      <c r="CV3" s="2090">
        <v>11</v>
      </c>
      <c r="CW3" s="2091">
        <v>12</v>
      </c>
      <c r="DA3" s="2092"/>
      <c r="DB3" s="2093" t="s">
        <v>2202</v>
      </c>
      <c r="DC3" s="2093"/>
      <c r="DD3" s="2093"/>
      <c r="DE3" s="2094">
        <f>[1]!tabdilsaheb(DE2)</f>
        <v>9.598740740833335E-2</v>
      </c>
      <c r="DF3" s="2094"/>
      <c r="DG3" s="2094"/>
      <c r="DH3" s="2094"/>
      <c r="DI3" s="2095"/>
      <c r="DX3" s="2068"/>
      <c r="DY3" s="2068"/>
      <c r="FQ3" s="2096"/>
      <c r="FR3" s="2097"/>
      <c r="FS3" s="2097" t="s">
        <v>4348</v>
      </c>
      <c r="FT3" s="2098"/>
      <c r="FU3" s="2099"/>
      <c r="FV3" s="2099" t="s">
        <v>4348</v>
      </c>
      <c r="FW3" s="2100"/>
      <c r="FX3" s="2101"/>
      <c r="FY3" s="2100"/>
      <c r="FZ3" s="2100" t="s">
        <v>4348</v>
      </c>
      <c r="GA3" s="2102"/>
      <c r="GB3" s="2103"/>
      <c r="GC3" s="2103" t="s">
        <v>4348</v>
      </c>
      <c r="GD3" s="2104" t="s">
        <v>4351</v>
      </c>
      <c r="GE3" s="2105" t="s">
        <v>4352</v>
      </c>
      <c r="GF3" s="2106"/>
    </row>
    <row r="4" spans="2:188" ht="31.5">
      <c r="B4" s="88" t="s">
        <v>45</v>
      </c>
      <c r="C4" s="88">
        <v>1</v>
      </c>
      <c r="D4" s="88" t="s">
        <v>1580</v>
      </c>
      <c r="F4" s="63" t="s">
        <v>1559</v>
      </c>
      <c r="G4" s="63">
        <v>1</v>
      </c>
      <c r="H4" s="63" t="s">
        <v>1586</v>
      </c>
      <c r="I4" s="63"/>
      <c r="J4" s="63"/>
      <c r="K4" s="63"/>
      <c r="N4" s="2060" t="s">
        <v>393</v>
      </c>
      <c r="O4" s="2061" t="e">
        <f ca="1">[2]!mbtool(1,25,0,1)</f>
        <v>#NAME?</v>
      </c>
      <c r="P4" s="2062" t="s">
        <v>167</v>
      </c>
      <c r="Q4" s="2107">
        <v>0</v>
      </c>
      <c r="AA4" s="63" t="s">
        <v>173</v>
      </c>
      <c r="AB4" s="63"/>
      <c r="AC4" s="63"/>
      <c r="AD4" s="63"/>
      <c r="AE4" s="63"/>
      <c r="AF4" s="63"/>
      <c r="AG4" s="63"/>
      <c r="AI4" s="2108" t="s">
        <v>173</v>
      </c>
      <c r="AJ4" s="2109">
        <v>10</v>
      </c>
      <c r="AK4" s="2109">
        <v>20</v>
      </c>
      <c r="AL4" s="2110">
        <v>30</v>
      </c>
      <c r="AN4" s="2108" t="s">
        <v>173</v>
      </c>
      <c r="AO4" s="2109">
        <v>10</v>
      </c>
      <c r="AP4" s="2109">
        <v>20</v>
      </c>
      <c r="AQ4" s="2110">
        <v>30</v>
      </c>
      <c r="AS4" s="2108" t="s">
        <v>173</v>
      </c>
      <c r="AT4" s="2109">
        <v>10</v>
      </c>
      <c r="AU4" s="2109">
        <v>20</v>
      </c>
      <c r="AV4" s="2110">
        <v>30</v>
      </c>
      <c r="AX4" s="2111" t="s">
        <v>173</v>
      </c>
      <c r="AY4" s="2112">
        <v>2.5</v>
      </c>
      <c r="AZ4" s="2112">
        <f>AY4+2.5</f>
        <v>5</v>
      </c>
      <c r="BA4" s="2112">
        <f t="shared" ref="BA4:BJ4" si="0">AZ4+2.5</f>
        <v>7.5</v>
      </c>
      <c r="BB4" s="2112">
        <f t="shared" si="0"/>
        <v>10</v>
      </c>
      <c r="BC4" s="2112">
        <f t="shared" si="0"/>
        <v>12.5</v>
      </c>
      <c r="BD4" s="2112">
        <f t="shared" si="0"/>
        <v>15</v>
      </c>
      <c r="BE4" s="2112">
        <f t="shared" si="0"/>
        <v>17.5</v>
      </c>
      <c r="BF4" s="2112">
        <f t="shared" si="0"/>
        <v>20</v>
      </c>
      <c r="BG4" s="2112">
        <f t="shared" si="0"/>
        <v>22.5</v>
      </c>
      <c r="BH4" s="2112">
        <f t="shared" si="0"/>
        <v>25</v>
      </c>
      <c r="BI4" s="2112">
        <f t="shared" si="0"/>
        <v>27.5</v>
      </c>
      <c r="BJ4" s="2113">
        <f t="shared" si="0"/>
        <v>30</v>
      </c>
      <c r="BL4" s="2114" t="s">
        <v>173</v>
      </c>
      <c r="BM4" s="2059">
        <v>3.3333333999999999</v>
      </c>
      <c r="BN4" s="2059">
        <f>BM4+3.3333333</f>
        <v>6.6666667000000004</v>
      </c>
      <c r="BO4" s="2059">
        <f t="shared" ref="BO4:BU4" si="1">BN4+3.3333333</f>
        <v>10</v>
      </c>
      <c r="BP4" s="2059">
        <f t="shared" si="1"/>
        <v>13.3333333</v>
      </c>
      <c r="BQ4" s="2059">
        <f t="shared" si="1"/>
        <v>16.666666599999999</v>
      </c>
      <c r="BR4" s="2059">
        <f t="shared" si="1"/>
        <v>19.999999899999999</v>
      </c>
      <c r="BS4" s="2059">
        <f t="shared" si="1"/>
        <v>23.333333199999998</v>
      </c>
      <c r="BT4" s="2059">
        <f t="shared" si="1"/>
        <v>26.666666499999998</v>
      </c>
      <c r="BU4" s="2115">
        <f t="shared" si="1"/>
        <v>29.999999799999998</v>
      </c>
      <c r="BW4" s="2114" t="s">
        <v>173</v>
      </c>
      <c r="BX4" s="2116">
        <f>CC2</f>
        <v>4.2857142857142856</v>
      </c>
      <c r="BY4" s="2059">
        <f>BX4+BX4</f>
        <v>8.5714285714285712</v>
      </c>
      <c r="BZ4" s="2059">
        <f>BY4+BX4</f>
        <v>12.857142857142858</v>
      </c>
      <c r="CA4" s="2059">
        <f>BZ4+BX4</f>
        <v>17.142857142857142</v>
      </c>
      <c r="CB4" s="2059">
        <f>CA4+BX4</f>
        <v>21.428571428571427</v>
      </c>
      <c r="CC4" s="2059">
        <f>CB4+BX4</f>
        <v>25.714285714285712</v>
      </c>
      <c r="CD4" s="2115">
        <f>CC4+BX4</f>
        <v>29.999999999999996</v>
      </c>
      <c r="CF4" s="2114" t="s">
        <v>173</v>
      </c>
      <c r="CG4" s="2116">
        <v>15</v>
      </c>
      <c r="CH4" s="2115">
        <v>30</v>
      </c>
      <c r="CJ4" s="2088">
        <v>1</v>
      </c>
      <c r="CK4" s="2087">
        <v>5</v>
      </c>
      <c r="CL4" s="2117" t="s">
        <v>1544</v>
      </c>
      <c r="CM4" s="2118" t="s">
        <v>1290</v>
      </c>
      <c r="CN4" s="2118" t="s">
        <v>1291</v>
      </c>
      <c r="CO4" s="2118" t="s">
        <v>849</v>
      </c>
      <c r="CP4" s="2118" t="s">
        <v>1293</v>
      </c>
      <c r="CQ4" s="2118" t="s">
        <v>1292</v>
      </c>
      <c r="CR4" s="2118" t="s">
        <v>687</v>
      </c>
      <c r="CS4" s="2118" t="s">
        <v>1544</v>
      </c>
      <c r="CT4" s="2118" t="s">
        <v>1290</v>
      </c>
      <c r="CU4" s="2118" t="s">
        <v>1291</v>
      </c>
      <c r="CV4" s="2118" t="s">
        <v>849</v>
      </c>
      <c r="CW4" s="2119" t="s">
        <v>1293</v>
      </c>
      <c r="DA4" s="2120" t="s">
        <v>4013</v>
      </c>
      <c r="DB4" s="2121">
        <f>[1]!saatzij(DE5,DE6,[1]!roz(DG5,DG6,DG7,DG8))</f>
        <v>6.0318020938247443</v>
      </c>
      <c r="DC4" s="2121"/>
      <c r="DD4" s="2121"/>
      <c r="DE4" s="2121">
        <f>DB4</f>
        <v>6.0318020938247443</v>
      </c>
      <c r="DF4" s="2122">
        <f>INT(ABS(DE4))</f>
        <v>6</v>
      </c>
      <c r="DG4" s="2122">
        <f>INT((ABS(DE4)-DF4)*60)</f>
        <v>1</v>
      </c>
      <c r="DH4" s="2122">
        <f>INT((((ABS(DE4)-DF4)*60)-DG4)*60)</f>
        <v>54</v>
      </c>
      <c r="DI4" s="2123"/>
      <c r="DX4" s="2068"/>
      <c r="DY4" s="2068"/>
      <c r="FQ4" s="2124"/>
      <c r="FR4" s="2125"/>
      <c r="FS4" s="2126" t="s">
        <v>4386</v>
      </c>
      <c r="FT4" s="2127"/>
      <c r="FU4" s="2128"/>
      <c r="FV4" s="2129" t="s">
        <v>4383</v>
      </c>
      <c r="FW4" s="2130"/>
      <c r="FX4" s="2131"/>
      <c r="FY4" s="2130"/>
      <c r="FZ4" s="2132" t="s">
        <v>4380</v>
      </c>
      <c r="GA4" s="2133"/>
      <c r="GB4" s="2134"/>
      <c r="GC4" s="2135" t="s">
        <v>4387</v>
      </c>
      <c r="GD4" s="2136" t="s">
        <v>1292</v>
      </c>
      <c r="GE4" s="2137" t="s">
        <v>4350</v>
      </c>
      <c r="GF4" s="2138">
        <v>1</v>
      </c>
    </row>
    <row r="5" spans="2:188" ht="31.5">
      <c r="B5" s="88"/>
      <c r="C5" s="88"/>
      <c r="D5" s="88"/>
      <c r="F5" s="63"/>
      <c r="G5" s="63">
        <v>2</v>
      </c>
      <c r="H5" s="63" t="s">
        <v>1587</v>
      </c>
      <c r="I5" s="63"/>
      <c r="J5" s="63"/>
      <c r="K5" s="63"/>
      <c r="M5" s="89" t="s">
        <v>1616</v>
      </c>
      <c r="N5" s="2139" t="s">
        <v>1481</v>
      </c>
      <c r="O5" s="2140" t="e">
        <f ca="1">[2]!taqsh(O1,O2,O3,O4)</f>
        <v>#NAME?</v>
      </c>
      <c r="P5" s="2141" t="e">
        <f ca="1">INT(O5)+1</f>
        <v>#NAME?</v>
      </c>
      <c r="AA5" s="35" t="s">
        <v>1606</v>
      </c>
      <c r="AB5" s="35" t="s">
        <v>1619</v>
      </c>
      <c r="AC5" s="35" t="s">
        <v>1292</v>
      </c>
      <c r="AD5" s="35" t="s">
        <v>1290</v>
      </c>
      <c r="AE5" s="35" t="s">
        <v>1291</v>
      </c>
      <c r="AF5" s="35" t="s">
        <v>687</v>
      </c>
      <c r="AG5" s="35" t="s">
        <v>1293</v>
      </c>
      <c r="AI5" s="2136" t="s">
        <v>1606</v>
      </c>
      <c r="AJ5" s="2137" t="s">
        <v>687</v>
      </c>
      <c r="AK5" s="2137" t="s">
        <v>1544</v>
      </c>
      <c r="AL5" s="2142" t="s">
        <v>1290</v>
      </c>
      <c r="AN5" s="2136" t="s">
        <v>1606</v>
      </c>
      <c r="AO5" s="2137" t="s">
        <v>687</v>
      </c>
      <c r="AP5" s="2137" t="s">
        <v>1544</v>
      </c>
      <c r="AQ5" s="2142" t="s">
        <v>1292</v>
      </c>
      <c r="AS5" s="2136" t="s">
        <v>1606</v>
      </c>
      <c r="AT5" s="2137" t="s">
        <v>687</v>
      </c>
      <c r="AU5" s="2137" t="s">
        <v>1292</v>
      </c>
      <c r="AV5" s="2142" t="s">
        <v>1293</v>
      </c>
      <c r="AX5" s="2143" t="s">
        <v>1606</v>
      </c>
      <c r="AY5" s="2144" t="s">
        <v>687</v>
      </c>
      <c r="AZ5" s="2144" t="s">
        <v>1290</v>
      </c>
      <c r="BA5" s="2144" t="s">
        <v>1291</v>
      </c>
      <c r="BB5" s="2144" t="s">
        <v>849</v>
      </c>
      <c r="BC5" s="2144" t="s">
        <v>1544</v>
      </c>
      <c r="BD5" s="2144" t="s">
        <v>1291</v>
      </c>
      <c r="BE5" s="2144" t="s">
        <v>1290</v>
      </c>
      <c r="BF5" s="2144" t="s">
        <v>687</v>
      </c>
      <c r="BG5" s="2144" t="s">
        <v>1292</v>
      </c>
      <c r="BH5" s="2144" t="s">
        <v>1293</v>
      </c>
      <c r="BI5" s="2144" t="s">
        <v>1293</v>
      </c>
      <c r="BJ5" s="2145" t="s">
        <v>1292</v>
      </c>
      <c r="BL5" s="2143" t="s">
        <v>1606</v>
      </c>
      <c r="BM5" s="2146" t="s">
        <v>687</v>
      </c>
      <c r="BN5" s="2147" t="s">
        <v>1290</v>
      </c>
      <c r="BO5" s="2147" t="s">
        <v>1291</v>
      </c>
      <c r="BP5" s="2147" t="s">
        <v>849</v>
      </c>
      <c r="BQ5" s="2147" t="s">
        <v>1544</v>
      </c>
      <c r="BR5" s="2147" t="s">
        <v>1291</v>
      </c>
      <c r="BS5" s="2147" t="s">
        <v>1290</v>
      </c>
      <c r="BT5" s="2147" t="s">
        <v>687</v>
      </c>
      <c r="BU5" s="2148" t="s">
        <v>1292</v>
      </c>
      <c r="BW5" s="2143" t="s">
        <v>1606</v>
      </c>
      <c r="BX5" s="2146" t="s">
        <v>687</v>
      </c>
      <c r="BY5" s="2147" t="s">
        <v>1544</v>
      </c>
      <c r="BZ5" s="2147" t="s">
        <v>1290</v>
      </c>
      <c r="CA5" s="2147" t="s">
        <v>1291</v>
      </c>
      <c r="CB5" s="2147" t="s">
        <v>849</v>
      </c>
      <c r="CC5" s="2147" t="s">
        <v>1293</v>
      </c>
      <c r="CD5" s="2148" t="s">
        <v>1292</v>
      </c>
      <c r="CF5" s="2143" t="s">
        <v>1606</v>
      </c>
      <c r="CG5" s="2146" t="s">
        <v>1544</v>
      </c>
      <c r="CH5" s="2148" t="s">
        <v>849</v>
      </c>
      <c r="CJ5" s="2136">
        <v>2</v>
      </c>
      <c r="CK5" s="2142">
        <v>6</v>
      </c>
      <c r="CL5" s="2149" t="s">
        <v>849</v>
      </c>
      <c r="CM5" s="2150" t="s">
        <v>1293</v>
      </c>
      <c r="CN5" s="2150" t="s">
        <v>1292</v>
      </c>
      <c r="CO5" s="2150" t="s">
        <v>687</v>
      </c>
      <c r="CP5" s="2150" t="s">
        <v>1544</v>
      </c>
      <c r="CQ5" s="2150" t="s">
        <v>1290</v>
      </c>
      <c r="CR5" s="2150" t="s">
        <v>1291</v>
      </c>
      <c r="CS5" s="2150" t="s">
        <v>849</v>
      </c>
      <c r="CT5" s="2150" t="s">
        <v>1293</v>
      </c>
      <c r="CU5" s="2150" t="s">
        <v>1292</v>
      </c>
      <c r="CV5" s="2150" t="s">
        <v>687</v>
      </c>
      <c r="CW5" s="2151" t="s">
        <v>1544</v>
      </c>
      <c r="DA5" s="2152" t="s">
        <v>144</v>
      </c>
      <c r="DB5" s="2153" t="s">
        <v>3</v>
      </c>
      <c r="DC5" s="2153"/>
      <c r="DD5" s="2153"/>
      <c r="DE5" s="2153">
        <v>1445</v>
      </c>
      <c r="DF5" s="2153" t="s">
        <v>5</v>
      </c>
      <c r="DG5" s="2153">
        <v>10</v>
      </c>
      <c r="DH5" s="2153" t="s">
        <v>177</v>
      </c>
      <c r="DI5" s="2154">
        <v>35.75</v>
      </c>
      <c r="DX5" s="2068"/>
      <c r="DY5" s="2068"/>
      <c r="FQ5" s="2124"/>
      <c r="FR5" s="2125"/>
      <c r="FS5" s="2126" t="s">
        <v>4385</v>
      </c>
      <c r="FT5" s="2127"/>
      <c r="FU5" s="2128"/>
      <c r="FV5" s="2129" t="s">
        <v>4382</v>
      </c>
      <c r="FW5" s="2130"/>
      <c r="FX5" s="2131"/>
      <c r="FY5" s="2130"/>
      <c r="FZ5" s="2132" t="s">
        <v>4388</v>
      </c>
      <c r="GA5" s="2133"/>
      <c r="GB5" s="2134"/>
      <c r="GC5" s="2135" t="s">
        <v>4389</v>
      </c>
      <c r="GD5" s="2136" t="s">
        <v>687</v>
      </c>
      <c r="GE5" s="2137" t="s">
        <v>4350</v>
      </c>
      <c r="GF5" s="2138">
        <v>2</v>
      </c>
    </row>
    <row r="6" spans="2:188" ht="31.5">
      <c r="B6" s="88"/>
      <c r="C6" s="88"/>
      <c r="D6" s="88"/>
      <c r="F6" s="63"/>
      <c r="G6" s="63">
        <v>3</v>
      </c>
      <c r="H6" s="63" t="s">
        <v>1588</v>
      </c>
      <c r="I6" s="63"/>
      <c r="J6" s="63"/>
      <c r="K6" s="63"/>
      <c r="M6" s="57"/>
      <c r="N6" s="2155" t="s">
        <v>1606</v>
      </c>
      <c r="O6" s="2155" t="s">
        <v>256</v>
      </c>
      <c r="P6" s="2155" t="s">
        <v>1607</v>
      </c>
      <c r="Q6" s="2155" t="s">
        <v>273</v>
      </c>
      <c r="R6" s="2155" t="s">
        <v>255</v>
      </c>
      <c r="S6" s="2155" t="s">
        <v>1608</v>
      </c>
      <c r="T6" s="2155" t="s">
        <v>1609</v>
      </c>
      <c r="U6" s="2155" t="s">
        <v>1610</v>
      </c>
      <c r="V6" s="2155" t="s">
        <v>943</v>
      </c>
      <c r="W6" s="2155" t="s">
        <v>1611</v>
      </c>
      <c r="X6" s="2155" t="s">
        <v>1612</v>
      </c>
      <c r="Y6" s="2155" t="s">
        <v>1613</v>
      </c>
      <c r="AA6" s="35"/>
      <c r="AB6" s="35" t="s">
        <v>1620</v>
      </c>
      <c r="AC6" s="35">
        <v>6</v>
      </c>
      <c r="AD6" s="35">
        <v>12</v>
      </c>
      <c r="AE6" s="35">
        <v>20</v>
      </c>
      <c r="AF6" s="35">
        <v>25</v>
      </c>
      <c r="AG6" s="35">
        <v>30</v>
      </c>
      <c r="AI6" s="2108" t="s">
        <v>256</v>
      </c>
      <c r="AJ6" s="2109" t="s">
        <v>1291</v>
      </c>
      <c r="AK6" s="2109" t="s">
        <v>849</v>
      </c>
      <c r="AL6" s="2110" t="s">
        <v>1293</v>
      </c>
      <c r="AN6" s="2108" t="s">
        <v>256</v>
      </c>
      <c r="AO6" s="2156" t="s">
        <v>1290</v>
      </c>
      <c r="AP6" s="2156" t="s">
        <v>1291</v>
      </c>
      <c r="AQ6" s="2110" t="s">
        <v>1293</v>
      </c>
      <c r="AS6" s="2108" t="s">
        <v>256</v>
      </c>
      <c r="AT6" s="2156" t="s">
        <v>849</v>
      </c>
      <c r="AU6" s="2156" t="s">
        <v>1291</v>
      </c>
      <c r="AV6" s="2110" t="s">
        <v>1290</v>
      </c>
      <c r="AX6" s="2143" t="s">
        <v>256</v>
      </c>
      <c r="AY6" s="2144" t="s">
        <v>1290</v>
      </c>
      <c r="AZ6" s="2144" t="s">
        <v>1291</v>
      </c>
      <c r="BA6" s="2144" t="s">
        <v>849</v>
      </c>
      <c r="BB6" s="2144" t="s">
        <v>1544</v>
      </c>
      <c r="BC6" s="2144" t="s">
        <v>1291</v>
      </c>
      <c r="BD6" s="2144" t="s">
        <v>1290</v>
      </c>
      <c r="BE6" s="2144" t="s">
        <v>687</v>
      </c>
      <c r="BF6" s="2144" t="s">
        <v>1292</v>
      </c>
      <c r="BG6" s="2144" t="s">
        <v>1293</v>
      </c>
      <c r="BH6" s="2144" t="s">
        <v>1293</v>
      </c>
      <c r="BI6" s="2144" t="s">
        <v>1292</v>
      </c>
      <c r="BJ6" s="2145" t="s">
        <v>687</v>
      </c>
      <c r="BL6" s="2143" t="s">
        <v>256</v>
      </c>
      <c r="BM6" s="2157" t="s">
        <v>1293</v>
      </c>
      <c r="BN6" s="2144" t="s">
        <v>1293</v>
      </c>
      <c r="BO6" s="2144" t="s">
        <v>1292</v>
      </c>
      <c r="BP6" s="2144" t="s">
        <v>687</v>
      </c>
      <c r="BQ6" s="2144" t="s">
        <v>1290</v>
      </c>
      <c r="BR6" s="2144" t="s">
        <v>1291</v>
      </c>
      <c r="BS6" s="2144" t="s">
        <v>849</v>
      </c>
      <c r="BT6" s="2144" t="s">
        <v>1544</v>
      </c>
      <c r="BU6" s="2145" t="s">
        <v>1291</v>
      </c>
      <c r="BW6" s="2143" t="s">
        <v>256</v>
      </c>
      <c r="BX6" s="2157" t="s">
        <v>1290</v>
      </c>
      <c r="BY6" s="2144" t="s">
        <v>1291</v>
      </c>
      <c r="BZ6" s="2144" t="s">
        <v>849</v>
      </c>
      <c r="CA6" s="2144" t="s">
        <v>1293</v>
      </c>
      <c r="CB6" s="2144" t="s">
        <v>1292</v>
      </c>
      <c r="CC6" s="2144" t="s">
        <v>687</v>
      </c>
      <c r="CD6" s="2145" t="s">
        <v>1544</v>
      </c>
      <c r="CF6" s="2143" t="s">
        <v>256</v>
      </c>
      <c r="CG6" s="2157" t="s">
        <v>849</v>
      </c>
      <c r="CH6" s="2145" t="s">
        <v>1544</v>
      </c>
      <c r="CJ6" s="2136">
        <v>3</v>
      </c>
      <c r="CK6" s="2142">
        <v>7</v>
      </c>
      <c r="CL6" s="2149" t="s">
        <v>687</v>
      </c>
      <c r="CM6" s="2150" t="s">
        <v>1544</v>
      </c>
      <c r="CN6" s="2150" t="s">
        <v>1290</v>
      </c>
      <c r="CO6" s="2150" t="s">
        <v>1291</v>
      </c>
      <c r="CP6" s="2150" t="s">
        <v>849</v>
      </c>
      <c r="CQ6" s="2150" t="s">
        <v>1293</v>
      </c>
      <c r="CR6" s="2150" t="s">
        <v>1292</v>
      </c>
      <c r="CS6" s="2150" t="s">
        <v>687</v>
      </c>
      <c r="CT6" s="2150" t="s">
        <v>1544</v>
      </c>
      <c r="CU6" s="2150" t="s">
        <v>1290</v>
      </c>
      <c r="CV6" s="2150" t="s">
        <v>1291</v>
      </c>
      <c r="CW6" s="2151" t="s">
        <v>849</v>
      </c>
      <c r="DA6" s="2152"/>
      <c r="DB6" s="2153" t="s">
        <v>4</v>
      </c>
      <c r="DC6" s="2153"/>
      <c r="DD6" s="2153"/>
      <c r="DE6" s="2153">
        <v>9</v>
      </c>
      <c r="DF6" s="2153" t="s">
        <v>3971</v>
      </c>
      <c r="DG6" s="2153">
        <v>6</v>
      </c>
      <c r="DH6" s="2153" t="s">
        <v>3950</v>
      </c>
      <c r="DI6" s="2154">
        <f>(((DG8/60)+DG7)/60)+DG6</f>
        <v>6.2233333333333336</v>
      </c>
      <c r="DX6" s="2068"/>
      <c r="DY6" s="2068"/>
      <c r="FQ6" s="2124"/>
      <c r="FR6" s="2125"/>
      <c r="FS6" s="2126" t="s">
        <v>4360</v>
      </c>
      <c r="FT6" s="2127"/>
      <c r="FU6" s="2128"/>
      <c r="FV6" s="2129" t="s">
        <v>4358</v>
      </c>
      <c r="FW6" s="2130"/>
      <c r="FX6" s="2131"/>
      <c r="FY6" s="2130"/>
      <c r="FZ6" s="2132" t="s">
        <v>4381</v>
      </c>
      <c r="GA6" s="2133"/>
      <c r="GB6" s="2134"/>
      <c r="GC6" s="2135" t="s">
        <v>4353</v>
      </c>
      <c r="GD6" s="2136" t="s">
        <v>1290</v>
      </c>
      <c r="GE6" s="2137" t="s">
        <v>4350</v>
      </c>
      <c r="GF6" s="2138">
        <v>3</v>
      </c>
    </row>
    <row r="7" spans="2:188" ht="31.5">
      <c r="B7" s="88"/>
      <c r="C7" s="88"/>
      <c r="D7" s="88"/>
      <c r="F7" s="63"/>
      <c r="G7" s="63">
        <v>4</v>
      </c>
      <c r="H7" s="63" t="s">
        <v>1589</v>
      </c>
      <c r="I7" s="63"/>
      <c r="J7" s="63"/>
      <c r="K7" s="63"/>
      <c r="M7" s="57" t="s">
        <v>1614</v>
      </c>
      <c r="N7" s="88">
        <v>10</v>
      </c>
      <c r="O7" s="88">
        <v>3</v>
      </c>
      <c r="P7" s="88">
        <v>11</v>
      </c>
      <c r="Q7" s="88">
        <v>1</v>
      </c>
      <c r="R7" s="88">
        <v>3</v>
      </c>
      <c r="S7" s="88">
        <v>2</v>
      </c>
      <c r="T7" s="88">
        <v>3</v>
      </c>
      <c r="U7" s="88">
        <v>6</v>
      </c>
      <c r="V7" s="88">
        <v>13</v>
      </c>
      <c r="W7" s="88">
        <v>12</v>
      </c>
      <c r="X7" s="88">
        <v>6</v>
      </c>
      <c r="Y7" s="88">
        <v>12</v>
      </c>
      <c r="AA7" s="34" t="s">
        <v>256</v>
      </c>
      <c r="AB7" s="34" t="s">
        <v>1619</v>
      </c>
      <c r="AC7" s="34" t="s">
        <v>1290</v>
      </c>
      <c r="AD7" s="34" t="s">
        <v>1291</v>
      </c>
      <c r="AE7" s="34" t="s">
        <v>1292</v>
      </c>
      <c r="AF7" s="34" t="s">
        <v>1293</v>
      </c>
      <c r="AG7" s="34" t="s">
        <v>687</v>
      </c>
      <c r="AI7" s="2060" t="s">
        <v>1607</v>
      </c>
      <c r="AJ7" s="2158" t="s">
        <v>1292</v>
      </c>
      <c r="AK7" s="2158" t="s">
        <v>687</v>
      </c>
      <c r="AL7" s="2061" t="s">
        <v>1544</v>
      </c>
      <c r="AN7" s="2060" t="s">
        <v>1607</v>
      </c>
      <c r="AO7" s="2158" t="s">
        <v>1291</v>
      </c>
      <c r="AP7" s="2158" t="s">
        <v>1290</v>
      </c>
      <c r="AQ7" s="2061" t="s">
        <v>1293</v>
      </c>
      <c r="AS7" s="2060" t="s">
        <v>1607</v>
      </c>
      <c r="AT7" s="2158" t="s">
        <v>1544</v>
      </c>
      <c r="AU7" s="2158" t="s">
        <v>687</v>
      </c>
      <c r="AV7" s="2061" t="s">
        <v>1292</v>
      </c>
      <c r="AX7" s="2143" t="s">
        <v>1607</v>
      </c>
      <c r="AY7" s="2144" t="s">
        <v>1291</v>
      </c>
      <c r="AZ7" s="2144" t="s">
        <v>849</v>
      </c>
      <c r="BA7" s="2144" t="s">
        <v>1544</v>
      </c>
      <c r="BB7" s="2144" t="s">
        <v>1291</v>
      </c>
      <c r="BC7" s="2144" t="s">
        <v>1290</v>
      </c>
      <c r="BD7" s="2144" t="s">
        <v>687</v>
      </c>
      <c r="BE7" s="2144" t="s">
        <v>1292</v>
      </c>
      <c r="BF7" s="2144" t="s">
        <v>1293</v>
      </c>
      <c r="BG7" s="2144" t="s">
        <v>1293</v>
      </c>
      <c r="BH7" s="2144" t="s">
        <v>1292</v>
      </c>
      <c r="BI7" s="2144" t="s">
        <v>687</v>
      </c>
      <c r="BJ7" s="2145" t="s">
        <v>1290</v>
      </c>
      <c r="BL7" s="2143" t="s">
        <v>1607</v>
      </c>
      <c r="BM7" s="2157" t="s">
        <v>1290</v>
      </c>
      <c r="BN7" s="2144" t="s">
        <v>687</v>
      </c>
      <c r="BO7" s="2144" t="s">
        <v>1292</v>
      </c>
      <c r="BP7" s="2144" t="s">
        <v>1293</v>
      </c>
      <c r="BQ7" s="2144" t="s">
        <v>1293</v>
      </c>
      <c r="BR7" s="2144" t="s">
        <v>1292</v>
      </c>
      <c r="BS7" s="2144" t="s">
        <v>687</v>
      </c>
      <c r="BT7" s="2144" t="s">
        <v>1290</v>
      </c>
      <c r="BU7" s="2145" t="s">
        <v>1291</v>
      </c>
      <c r="BW7" s="2143" t="s">
        <v>1607</v>
      </c>
      <c r="BX7" s="2157" t="s">
        <v>1291</v>
      </c>
      <c r="BY7" s="2144" t="s">
        <v>849</v>
      </c>
      <c r="BZ7" s="2144" t="s">
        <v>1293</v>
      </c>
      <c r="CA7" s="2144" t="s">
        <v>1292</v>
      </c>
      <c r="CB7" s="2144" t="s">
        <v>687</v>
      </c>
      <c r="CC7" s="2144" t="s">
        <v>1544</v>
      </c>
      <c r="CD7" s="2145" t="s">
        <v>1290</v>
      </c>
      <c r="CF7" s="2143" t="s">
        <v>1607</v>
      </c>
      <c r="CG7" s="2157" t="s">
        <v>1544</v>
      </c>
      <c r="CH7" s="2145" t="s">
        <v>849</v>
      </c>
      <c r="CJ7" s="2136">
        <v>4</v>
      </c>
      <c r="CK7" s="2142">
        <v>1</v>
      </c>
      <c r="CL7" s="2149" t="s">
        <v>1291</v>
      </c>
      <c r="CM7" s="2150" t="s">
        <v>849</v>
      </c>
      <c r="CN7" s="2150" t="s">
        <v>1293</v>
      </c>
      <c r="CO7" s="2150" t="s">
        <v>1292</v>
      </c>
      <c r="CP7" s="2150" t="s">
        <v>687</v>
      </c>
      <c r="CQ7" s="2150" t="s">
        <v>1544</v>
      </c>
      <c r="CR7" s="2150" t="s">
        <v>1290</v>
      </c>
      <c r="CS7" s="2150" t="s">
        <v>1291</v>
      </c>
      <c r="CT7" s="2150" t="s">
        <v>849</v>
      </c>
      <c r="CU7" s="2150" t="s">
        <v>1293</v>
      </c>
      <c r="CV7" s="2150" t="s">
        <v>1292</v>
      </c>
      <c r="CW7" s="2151" t="s">
        <v>687</v>
      </c>
      <c r="DA7" s="2152"/>
      <c r="DB7" s="2153" t="s">
        <v>5</v>
      </c>
      <c r="DC7" s="2153"/>
      <c r="DD7" s="2153"/>
      <c r="DE7" s="2153">
        <f>[1]!roz(DG5,DB4,0,0)</f>
        <v>10.251325087242698</v>
      </c>
      <c r="DF7" s="2153" t="s">
        <v>166</v>
      </c>
      <c r="DG7" s="2153">
        <v>13</v>
      </c>
      <c r="DH7" s="2153"/>
      <c r="DI7" s="2154"/>
      <c r="DX7" s="2068"/>
      <c r="DY7" s="2068"/>
      <c r="FQ7" s="2124"/>
      <c r="FR7" s="2125"/>
      <c r="FS7" s="2126" t="s">
        <v>4361</v>
      </c>
      <c r="FT7" s="2127"/>
      <c r="FU7" s="2128"/>
      <c r="FV7" s="2129" t="s">
        <v>4359</v>
      </c>
      <c r="FW7" s="2130"/>
      <c r="FX7" s="2131"/>
      <c r="FY7" s="2130"/>
      <c r="FZ7" s="2132" t="s">
        <v>4355</v>
      </c>
      <c r="GA7" s="2133"/>
      <c r="GB7" s="2134"/>
      <c r="GC7" s="2135" t="s">
        <v>4602</v>
      </c>
      <c r="GD7" s="2136" t="s">
        <v>1291</v>
      </c>
      <c r="GE7" s="2137" t="s">
        <v>4350</v>
      </c>
      <c r="GF7" s="2138">
        <v>4</v>
      </c>
    </row>
    <row r="8" spans="2:188" ht="32.25" thickBot="1">
      <c r="B8" s="88"/>
      <c r="C8" s="88"/>
      <c r="D8" s="88"/>
      <c r="F8" s="63"/>
      <c r="G8" s="63">
        <v>5</v>
      </c>
      <c r="H8" s="63" t="s">
        <v>1590</v>
      </c>
      <c r="I8" s="63"/>
      <c r="J8" s="63"/>
      <c r="K8" s="63"/>
      <c r="M8" s="57"/>
      <c r="N8" s="88">
        <v>19</v>
      </c>
      <c r="O8" s="88">
        <v>7</v>
      </c>
      <c r="P8" s="88">
        <v>12</v>
      </c>
      <c r="Q8" s="88">
        <v>2</v>
      </c>
      <c r="R8" s="88">
        <v>5</v>
      </c>
      <c r="S8" s="88">
        <v>12</v>
      </c>
      <c r="T8" s="88">
        <v>5</v>
      </c>
      <c r="U8" s="88">
        <v>12</v>
      </c>
      <c r="V8" s="88">
        <v>20</v>
      </c>
      <c r="W8" s="88">
        <v>13</v>
      </c>
      <c r="X8" s="88">
        <v>7</v>
      </c>
      <c r="Y8" s="88">
        <v>20</v>
      </c>
      <c r="AA8" s="34"/>
      <c r="AB8" s="34" t="s">
        <v>1620</v>
      </c>
      <c r="AC8" s="34">
        <v>8</v>
      </c>
      <c r="AD8" s="34">
        <v>14</v>
      </c>
      <c r="AE8" s="34">
        <v>22</v>
      </c>
      <c r="AF8" s="34">
        <v>27</v>
      </c>
      <c r="AG8" s="34">
        <v>30</v>
      </c>
      <c r="AI8" s="2108" t="s">
        <v>273</v>
      </c>
      <c r="AJ8" s="2109" t="s">
        <v>1290</v>
      </c>
      <c r="AK8" s="2109" t="s">
        <v>1291</v>
      </c>
      <c r="AL8" s="2110" t="s">
        <v>849</v>
      </c>
      <c r="AN8" s="2108" t="s">
        <v>273</v>
      </c>
      <c r="AO8" s="2156" t="s">
        <v>849</v>
      </c>
      <c r="AP8" s="2156" t="s">
        <v>687</v>
      </c>
      <c r="AQ8" s="2110" t="s">
        <v>1292</v>
      </c>
      <c r="AS8" s="2108" t="s">
        <v>273</v>
      </c>
      <c r="AT8" s="2156" t="s">
        <v>1293</v>
      </c>
      <c r="AU8" s="2156" t="s">
        <v>849</v>
      </c>
      <c r="AV8" s="2110" t="s">
        <v>1291</v>
      </c>
      <c r="AX8" s="2143" t="s">
        <v>273</v>
      </c>
      <c r="AY8" s="2144" t="s">
        <v>849</v>
      </c>
      <c r="AZ8" s="2144" t="s">
        <v>1544</v>
      </c>
      <c r="BA8" s="2144" t="s">
        <v>1291</v>
      </c>
      <c r="BB8" s="2144" t="s">
        <v>1290</v>
      </c>
      <c r="BC8" s="2144" t="s">
        <v>687</v>
      </c>
      <c r="BD8" s="2144" t="s">
        <v>1292</v>
      </c>
      <c r="BE8" s="2144" t="s">
        <v>1293</v>
      </c>
      <c r="BF8" s="2144" t="s">
        <v>1293</v>
      </c>
      <c r="BG8" s="2144" t="s">
        <v>1292</v>
      </c>
      <c r="BH8" s="2144" t="s">
        <v>687</v>
      </c>
      <c r="BI8" s="2144" t="s">
        <v>1290</v>
      </c>
      <c r="BJ8" s="2145" t="s">
        <v>1291</v>
      </c>
      <c r="BL8" s="2143" t="s">
        <v>273</v>
      </c>
      <c r="BM8" s="2157" t="s">
        <v>849</v>
      </c>
      <c r="BN8" s="2144" t="s">
        <v>1544</v>
      </c>
      <c r="BO8" s="2144" t="s">
        <v>1291</v>
      </c>
      <c r="BP8" s="2144" t="s">
        <v>1290</v>
      </c>
      <c r="BQ8" s="2144" t="s">
        <v>687</v>
      </c>
      <c r="BR8" s="2144" t="s">
        <v>1292</v>
      </c>
      <c r="BS8" s="2144" t="s">
        <v>1293</v>
      </c>
      <c r="BT8" s="2144" t="s">
        <v>1293</v>
      </c>
      <c r="BU8" s="2145" t="s">
        <v>1292</v>
      </c>
      <c r="BW8" s="2143" t="s">
        <v>273</v>
      </c>
      <c r="BX8" s="2157" t="s">
        <v>849</v>
      </c>
      <c r="BY8" s="2144" t="s">
        <v>1293</v>
      </c>
      <c r="BZ8" s="2144" t="s">
        <v>1292</v>
      </c>
      <c r="CA8" s="2144" t="s">
        <v>687</v>
      </c>
      <c r="CB8" s="2144" t="s">
        <v>1544</v>
      </c>
      <c r="CC8" s="2144" t="s">
        <v>1290</v>
      </c>
      <c r="CD8" s="2145" t="s">
        <v>1291</v>
      </c>
      <c r="CF8" s="2143" t="s">
        <v>273</v>
      </c>
      <c r="CG8" s="2157" t="s">
        <v>849</v>
      </c>
      <c r="CH8" s="2145" t="s">
        <v>1544</v>
      </c>
      <c r="CJ8" s="2136">
        <v>5</v>
      </c>
      <c r="CK8" s="2142">
        <v>2</v>
      </c>
      <c r="CL8" s="2149" t="s">
        <v>1292</v>
      </c>
      <c r="CM8" s="2150" t="s">
        <v>687</v>
      </c>
      <c r="CN8" s="2150" t="s">
        <v>1544</v>
      </c>
      <c r="CO8" s="2150" t="s">
        <v>1290</v>
      </c>
      <c r="CP8" s="2150" t="s">
        <v>1291</v>
      </c>
      <c r="CQ8" s="2150" t="s">
        <v>849</v>
      </c>
      <c r="CR8" s="2150" t="s">
        <v>1293</v>
      </c>
      <c r="CS8" s="2150" t="s">
        <v>1292</v>
      </c>
      <c r="CT8" s="2150" t="s">
        <v>687</v>
      </c>
      <c r="CU8" s="2150" t="s">
        <v>1544</v>
      </c>
      <c r="CV8" s="2150" t="s">
        <v>1290</v>
      </c>
      <c r="CW8" s="2151" t="s">
        <v>1291</v>
      </c>
      <c r="DA8" s="2159"/>
      <c r="DB8" s="2160" t="s">
        <v>377</v>
      </c>
      <c r="DC8" s="2160"/>
      <c r="DD8" s="2160"/>
      <c r="DE8" s="2160">
        <f>DE3</f>
        <v>9.598740740833335E-2</v>
      </c>
      <c r="DF8" s="2160" t="s">
        <v>167</v>
      </c>
      <c r="DG8" s="2160">
        <v>24</v>
      </c>
      <c r="DH8" s="2160" t="s">
        <v>4261</v>
      </c>
      <c r="DI8" s="2161">
        <f>[1]!movajjeh(DE5,DE6,DG5,DI6,DE8,DI5)</f>
        <v>1</v>
      </c>
      <c r="DX8" s="2068"/>
      <c r="DY8" s="2068"/>
      <c r="FQ8" s="2124"/>
      <c r="FR8" s="2125"/>
      <c r="FS8" s="2126" t="s">
        <v>4390</v>
      </c>
      <c r="FT8" s="2127"/>
      <c r="FU8" s="2128"/>
      <c r="FV8" s="2129" t="s">
        <v>4366</v>
      </c>
      <c r="FW8" s="2130"/>
      <c r="FX8" s="2131"/>
      <c r="FY8" s="2130"/>
      <c r="FZ8" s="2132" t="s">
        <v>4364</v>
      </c>
      <c r="GA8" s="2133"/>
      <c r="GB8" s="2134"/>
      <c r="GC8" s="2135" t="s">
        <v>4384</v>
      </c>
      <c r="GD8" s="2136" t="s">
        <v>687</v>
      </c>
      <c r="GE8" s="2137" t="s">
        <v>1292</v>
      </c>
      <c r="GF8" s="2138">
        <v>5</v>
      </c>
    </row>
    <row r="9" spans="2:188" ht="32.25" thickBot="1">
      <c r="B9" s="88"/>
      <c r="C9" s="88"/>
      <c r="D9" s="88"/>
      <c r="F9" s="63"/>
      <c r="G9" s="63">
        <v>6</v>
      </c>
      <c r="H9" s="63" t="s">
        <v>1591</v>
      </c>
      <c r="I9" s="63"/>
      <c r="J9" s="63"/>
      <c r="K9" s="63"/>
      <c r="M9" s="57"/>
      <c r="N9" s="88"/>
      <c r="O9" s="88">
        <v>15</v>
      </c>
      <c r="P9" s="88">
        <v>20</v>
      </c>
      <c r="Q9" s="88">
        <v>3</v>
      </c>
      <c r="R9" s="88">
        <v>7</v>
      </c>
      <c r="S9" s="88">
        <v>15</v>
      </c>
      <c r="T9" s="88">
        <v>21</v>
      </c>
      <c r="U9" s="88">
        <v>20</v>
      </c>
      <c r="V9" s="88">
        <v>23</v>
      </c>
      <c r="W9" s="88">
        <v>14</v>
      </c>
      <c r="X9" s="88">
        <v>16</v>
      </c>
      <c r="Y9" s="88">
        <v>27</v>
      </c>
      <c r="AA9" s="35" t="s">
        <v>1607</v>
      </c>
      <c r="AB9" s="35" t="s">
        <v>1619</v>
      </c>
      <c r="AC9" s="35" t="s">
        <v>1291</v>
      </c>
      <c r="AD9" s="35" t="s">
        <v>1292</v>
      </c>
      <c r="AE9" s="35" t="s">
        <v>1290</v>
      </c>
      <c r="AF9" s="35" t="s">
        <v>687</v>
      </c>
      <c r="AG9" s="35" t="s">
        <v>1293</v>
      </c>
      <c r="AI9" s="2136" t="s">
        <v>255</v>
      </c>
      <c r="AJ9" s="2137" t="s">
        <v>1293</v>
      </c>
      <c r="AK9" s="2137" t="s">
        <v>1292</v>
      </c>
      <c r="AL9" s="2142" t="s">
        <v>687</v>
      </c>
      <c r="AN9" s="2136" t="s">
        <v>255</v>
      </c>
      <c r="AO9" s="2137" t="s">
        <v>1544</v>
      </c>
      <c r="AP9" s="2137" t="s">
        <v>1292</v>
      </c>
      <c r="AQ9" s="2142" t="s">
        <v>687</v>
      </c>
      <c r="AS9" s="2136" t="s">
        <v>255</v>
      </c>
      <c r="AT9" s="2137" t="s">
        <v>1290</v>
      </c>
      <c r="AU9" s="2137" t="s">
        <v>1544</v>
      </c>
      <c r="AV9" s="2142" t="s">
        <v>687</v>
      </c>
      <c r="AX9" s="2143" t="s">
        <v>255</v>
      </c>
      <c r="AY9" s="2144" t="s">
        <v>1544</v>
      </c>
      <c r="AZ9" s="2144" t="s">
        <v>1291</v>
      </c>
      <c r="BA9" s="2144" t="s">
        <v>1290</v>
      </c>
      <c r="BB9" s="2144" t="s">
        <v>687</v>
      </c>
      <c r="BC9" s="2144" t="s">
        <v>1292</v>
      </c>
      <c r="BD9" s="2144" t="s">
        <v>1293</v>
      </c>
      <c r="BE9" s="2144" t="s">
        <v>1293</v>
      </c>
      <c r="BF9" s="2144" t="s">
        <v>1292</v>
      </c>
      <c r="BG9" s="2144" t="s">
        <v>687</v>
      </c>
      <c r="BH9" s="2144" t="s">
        <v>1290</v>
      </c>
      <c r="BI9" s="2144" t="s">
        <v>1291</v>
      </c>
      <c r="BJ9" s="2145" t="s">
        <v>849</v>
      </c>
      <c r="BL9" s="2143" t="s">
        <v>255</v>
      </c>
      <c r="BM9" s="2157" t="s">
        <v>687</v>
      </c>
      <c r="BN9" s="2144" t="s">
        <v>1290</v>
      </c>
      <c r="BO9" s="2144" t="s">
        <v>1291</v>
      </c>
      <c r="BP9" s="2144" t="s">
        <v>849</v>
      </c>
      <c r="BQ9" s="2144" t="s">
        <v>1544</v>
      </c>
      <c r="BR9" s="2144" t="s">
        <v>1291</v>
      </c>
      <c r="BS9" s="2144" t="s">
        <v>1290</v>
      </c>
      <c r="BT9" s="2144" t="s">
        <v>687</v>
      </c>
      <c r="BU9" s="2145" t="s">
        <v>1292</v>
      </c>
      <c r="BW9" s="2143" t="s">
        <v>255</v>
      </c>
      <c r="BX9" s="2157" t="s">
        <v>1544</v>
      </c>
      <c r="BY9" s="2144" t="s">
        <v>1290</v>
      </c>
      <c r="BZ9" s="2144" t="s">
        <v>1291</v>
      </c>
      <c r="CA9" s="2144" t="s">
        <v>849</v>
      </c>
      <c r="CB9" s="2144" t="s">
        <v>1293</v>
      </c>
      <c r="CC9" s="2144" t="s">
        <v>1292</v>
      </c>
      <c r="CD9" s="2145" t="s">
        <v>687</v>
      </c>
      <c r="CF9" s="2143" t="s">
        <v>255</v>
      </c>
      <c r="CG9" s="2157" t="s">
        <v>1544</v>
      </c>
      <c r="CH9" s="2145" t="s">
        <v>849</v>
      </c>
      <c r="CJ9" s="2136">
        <v>6</v>
      </c>
      <c r="CK9" s="2142">
        <v>3</v>
      </c>
      <c r="CL9" s="2149" t="s">
        <v>1290</v>
      </c>
      <c r="CM9" s="2150" t="s">
        <v>1291</v>
      </c>
      <c r="CN9" s="2150" t="s">
        <v>849</v>
      </c>
      <c r="CO9" s="2150" t="s">
        <v>1293</v>
      </c>
      <c r="CP9" s="2150" t="s">
        <v>1292</v>
      </c>
      <c r="CQ9" s="2150" t="s">
        <v>687</v>
      </c>
      <c r="CR9" s="2150" t="s">
        <v>1544</v>
      </c>
      <c r="CS9" s="2150" t="s">
        <v>1290</v>
      </c>
      <c r="CT9" s="2150" t="s">
        <v>1291</v>
      </c>
      <c r="CU9" s="2150" t="s">
        <v>849</v>
      </c>
      <c r="CV9" s="2150" t="s">
        <v>1293</v>
      </c>
      <c r="CW9" s="2151" t="s">
        <v>1292</v>
      </c>
      <c r="DA9" s="89" t="s">
        <v>4266</v>
      </c>
      <c r="FQ9" s="2124"/>
      <c r="FR9" s="2125"/>
      <c r="FS9" s="2126" t="s">
        <v>4368</v>
      </c>
      <c r="FT9" s="2127"/>
      <c r="FU9" s="2128"/>
      <c r="FV9" s="2129" t="s">
        <v>4367</v>
      </c>
      <c r="FW9" s="2130"/>
      <c r="FX9" s="2131"/>
      <c r="FY9" s="2130"/>
      <c r="FZ9" s="2132" t="s">
        <v>4365</v>
      </c>
      <c r="GA9" s="2133"/>
      <c r="GB9" s="2134"/>
      <c r="GC9" s="2135" t="s">
        <v>4362</v>
      </c>
      <c r="GD9" s="2136" t="s">
        <v>1290</v>
      </c>
      <c r="GE9" s="2137" t="s">
        <v>1292</v>
      </c>
      <c r="GF9" s="2138">
        <v>6</v>
      </c>
    </row>
    <row r="10" spans="2:188" ht="32.25" thickBot="1">
      <c r="B10" s="88"/>
      <c r="C10" s="88"/>
      <c r="D10" s="88"/>
      <c r="F10" s="63"/>
      <c r="G10" s="63">
        <v>7</v>
      </c>
      <c r="H10" s="63" t="s">
        <v>1592</v>
      </c>
      <c r="I10" s="63"/>
      <c r="J10" s="63"/>
      <c r="K10" s="63"/>
      <c r="M10" s="57"/>
      <c r="N10" s="88"/>
      <c r="O10" s="88">
        <v>27</v>
      </c>
      <c r="P10" s="88">
        <v>21</v>
      </c>
      <c r="Q10" s="88">
        <v>14</v>
      </c>
      <c r="R10" s="88">
        <v>17</v>
      </c>
      <c r="S10" s="88">
        <v>20</v>
      </c>
      <c r="T10" s="88">
        <v>22</v>
      </c>
      <c r="U10" s="88"/>
      <c r="V10" s="88"/>
      <c r="W10" s="88">
        <v>20</v>
      </c>
      <c r="X10" s="88">
        <v>17</v>
      </c>
      <c r="Y10" s="88"/>
      <c r="AA10" s="35"/>
      <c r="AB10" s="35" t="s">
        <v>1620</v>
      </c>
      <c r="AC10" s="35">
        <v>6</v>
      </c>
      <c r="AD10" s="35">
        <v>12</v>
      </c>
      <c r="AE10" s="35">
        <v>17</v>
      </c>
      <c r="AF10" s="35">
        <v>24</v>
      </c>
      <c r="AG10" s="35">
        <v>30</v>
      </c>
      <c r="AI10" s="2108" t="s">
        <v>1608</v>
      </c>
      <c r="AJ10" s="2109" t="s">
        <v>1544</v>
      </c>
      <c r="AK10" s="2109" t="s">
        <v>1290</v>
      </c>
      <c r="AL10" s="2110" t="s">
        <v>1291</v>
      </c>
      <c r="AN10" s="2108" t="s">
        <v>1608</v>
      </c>
      <c r="AO10" s="2156" t="s">
        <v>1291</v>
      </c>
      <c r="AP10" s="2156" t="s">
        <v>1293</v>
      </c>
      <c r="AQ10" s="2110" t="s">
        <v>1290</v>
      </c>
      <c r="AS10" s="2108" t="s">
        <v>1608</v>
      </c>
      <c r="AT10" s="2156" t="s">
        <v>1292</v>
      </c>
      <c r="AU10" s="2156" t="s">
        <v>1293</v>
      </c>
      <c r="AV10" s="2110" t="s">
        <v>849</v>
      </c>
      <c r="AX10" s="2143" t="s">
        <v>1608</v>
      </c>
      <c r="AY10" s="2144" t="s">
        <v>1291</v>
      </c>
      <c r="AZ10" s="2144" t="s">
        <v>1290</v>
      </c>
      <c r="BA10" s="2144" t="s">
        <v>687</v>
      </c>
      <c r="BB10" s="2144" t="s">
        <v>1292</v>
      </c>
      <c r="BC10" s="2144" t="s">
        <v>1293</v>
      </c>
      <c r="BD10" s="2144" t="s">
        <v>1293</v>
      </c>
      <c r="BE10" s="2144" t="s">
        <v>1292</v>
      </c>
      <c r="BF10" s="2144" t="s">
        <v>687</v>
      </c>
      <c r="BG10" s="2144" t="s">
        <v>1290</v>
      </c>
      <c r="BH10" s="2144" t="s">
        <v>1291</v>
      </c>
      <c r="BI10" s="2144" t="s">
        <v>849</v>
      </c>
      <c r="BJ10" s="2145" t="s">
        <v>1544</v>
      </c>
      <c r="BL10" s="2143" t="s">
        <v>1608</v>
      </c>
      <c r="BM10" s="2157" t="s">
        <v>1293</v>
      </c>
      <c r="BN10" s="2144" t="s">
        <v>1293</v>
      </c>
      <c r="BO10" s="2144" t="s">
        <v>1292</v>
      </c>
      <c r="BP10" s="2144" t="s">
        <v>687</v>
      </c>
      <c r="BQ10" s="2144" t="s">
        <v>1290</v>
      </c>
      <c r="BR10" s="2144" t="s">
        <v>1291</v>
      </c>
      <c r="BS10" s="2144" t="s">
        <v>849</v>
      </c>
      <c r="BT10" s="2144" t="s">
        <v>1544</v>
      </c>
      <c r="BU10" s="2145" t="s">
        <v>1291</v>
      </c>
      <c r="BW10" s="2143" t="s">
        <v>1608</v>
      </c>
      <c r="BX10" s="2157" t="s">
        <v>1291</v>
      </c>
      <c r="BY10" s="2144" t="s">
        <v>849</v>
      </c>
      <c r="BZ10" s="2144" t="s">
        <v>1293</v>
      </c>
      <c r="CA10" s="2144" t="s">
        <v>1292</v>
      </c>
      <c r="CB10" s="2144" t="s">
        <v>687</v>
      </c>
      <c r="CC10" s="2144" t="s">
        <v>1544</v>
      </c>
      <c r="CD10" s="2145" t="s">
        <v>1290</v>
      </c>
      <c r="CF10" s="2143" t="s">
        <v>1608</v>
      </c>
      <c r="CG10" s="2157" t="s">
        <v>849</v>
      </c>
      <c r="CH10" s="2145" t="s">
        <v>1544</v>
      </c>
      <c r="CJ10" s="2116">
        <v>7</v>
      </c>
      <c r="CK10" s="2115">
        <v>4</v>
      </c>
      <c r="CL10" s="2162" t="s">
        <v>1293</v>
      </c>
      <c r="CM10" s="2163" t="s">
        <v>1292</v>
      </c>
      <c r="CN10" s="2163" t="s">
        <v>687</v>
      </c>
      <c r="CO10" s="2163" t="s">
        <v>1544</v>
      </c>
      <c r="CP10" s="2163" t="s">
        <v>1290</v>
      </c>
      <c r="CQ10" s="2163" t="s">
        <v>1291</v>
      </c>
      <c r="CR10" s="2163" t="s">
        <v>849</v>
      </c>
      <c r="CS10" s="2163" t="s">
        <v>1293</v>
      </c>
      <c r="CT10" s="2163" t="s">
        <v>1292</v>
      </c>
      <c r="CU10" s="2163" t="s">
        <v>687</v>
      </c>
      <c r="CV10" s="2163" t="s">
        <v>1544</v>
      </c>
      <c r="CW10" s="2164" t="s">
        <v>1290</v>
      </c>
      <c r="DA10" s="2165" t="s">
        <v>4267</v>
      </c>
      <c r="DB10" s="2166"/>
      <c r="DC10" s="2166"/>
      <c r="DD10" s="2166"/>
      <c r="DE10" s="2166"/>
      <c r="DF10" s="2166"/>
      <c r="DG10" s="2166"/>
      <c r="DH10" s="2166"/>
      <c r="DI10" s="2166"/>
      <c r="DJ10" s="2166"/>
      <c r="DK10" s="2166"/>
      <c r="DL10" s="2166"/>
      <c r="DM10" s="2166"/>
      <c r="DN10" s="2166"/>
      <c r="DO10" s="2166"/>
      <c r="DP10" s="2167"/>
      <c r="FQ10" s="2124"/>
      <c r="FR10" s="2125"/>
      <c r="FS10" s="2126" t="s">
        <v>4369</v>
      </c>
      <c r="FT10" s="2127"/>
      <c r="FU10" s="2128"/>
      <c r="FV10" s="2129" t="s">
        <v>4391</v>
      </c>
      <c r="FW10" s="2130"/>
      <c r="FX10" s="2131"/>
      <c r="FY10" s="2130"/>
      <c r="FZ10" s="2132" t="s">
        <v>4392</v>
      </c>
      <c r="GA10" s="2133"/>
      <c r="GB10" s="2134"/>
      <c r="GC10" s="2135" t="s">
        <v>4363</v>
      </c>
      <c r="GD10" s="2136" t="s">
        <v>1291</v>
      </c>
      <c r="GE10" s="2137" t="s">
        <v>1292</v>
      </c>
      <c r="GF10" s="2138">
        <v>7</v>
      </c>
    </row>
    <row r="11" spans="2:188" ht="31.5">
      <c r="B11" s="88"/>
      <c r="C11" s="88"/>
      <c r="D11" s="88"/>
      <c r="F11" s="63"/>
      <c r="G11" s="63">
        <v>8</v>
      </c>
      <c r="H11" s="63" t="s">
        <v>1593</v>
      </c>
      <c r="I11" s="63"/>
      <c r="J11" s="63"/>
      <c r="K11" s="63"/>
      <c r="M11" s="57"/>
      <c r="N11" s="88"/>
      <c r="O11" s="88">
        <v>30</v>
      </c>
      <c r="P11" s="88"/>
      <c r="Q11" s="88">
        <v>15</v>
      </c>
      <c r="R11" s="88"/>
      <c r="S11" s="88"/>
      <c r="T11" s="88"/>
      <c r="U11" s="88"/>
      <c r="V11" s="88"/>
      <c r="W11" s="88">
        <v>28</v>
      </c>
      <c r="X11" s="88">
        <v>20</v>
      </c>
      <c r="Y11" s="88"/>
      <c r="AA11" s="34" t="s">
        <v>273</v>
      </c>
      <c r="AB11" s="34" t="s">
        <v>1619</v>
      </c>
      <c r="AC11" s="34" t="s">
        <v>687</v>
      </c>
      <c r="AD11" s="34" t="s">
        <v>1290</v>
      </c>
      <c r="AE11" s="34" t="s">
        <v>1291</v>
      </c>
      <c r="AF11" s="34" t="s">
        <v>1292</v>
      </c>
      <c r="AG11" s="34" t="s">
        <v>1293</v>
      </c>
      <c r="AI11" s="2060" t="s">
        <v>1609</v>
      </c>
      <c r="AJ11" s="2158" t="s">
        <v>849</v>
      </c>
      <c r="AK11" s="2158" t="s">
        <v>1293</v>
      </c>
      <c r="AL11" s="2061" t="s">
        <v>1292</v>
      </c>
      <c r="AN11" s="2060" t="s">
        <v>1609</v>
      </c>
      <c r="AO11" s="2158" t="s">
        <v>1290</v>
      </c>
      <c r="AP11" s="2158" t="s">
        <v>1293</v>
      </c>
      <c r="AQ11" s="2061" t="s">
        <v>1291</v>
      </c>
      <c r="AS11" s="2060" t="s">
        <v>1609</v>
      </c>
      <c r="AT11" s="2158" t="s">
        <v>1291</v>
      </c>
      <c r="AU11" s="2158" t="s">
        <v>1290</v>
      </c>
      <c r="AV11" s="2061" t="s">
        <v>1544</v>
      </c>
      <c r="AX11" s="2143" t="s">
        <v>1609</v>
      </c>
      <c r="AY11" s="2144" t="s">
        <v>1290</v>
      </c>
      <c r="AZ11" s="2144" t="s">
        <v>687</v>
      </c>
      <c r="BA11" s="2144" t="s">
        <v>1292</v>
      </c>
      <c r="BB11" s="2144" t="s">
        <v>1293</v>
      </c>
      <c r="BC11" s="2144" t="s">
        <v>1293</v>
      </c>
      <c r="BD11" s="2144" t="s">
        <v>1292</v>
      </c>
      <c r="BE11" s="2144" t="s">
        <v>687</v>
      </c>
      <c r="BF11" s="2144" t="s">
        <v>1290</v>
      </c>
      <c r="BG11" s="2144" t="s">
        <v>1291</v>
      </c>
      <c r="BH11" s="2144" t="s">
        <v>849</v>
      </c>
      <c r="BI11" s="2144" t="s">
        <v>1544</v>
      </c>
      <c r="BJ11" s="2145" t="s">
        <v>1291</v>
      </c>
      <c r="BL11" s="2143" t="s">
        <v>1609</v>
      </c>
      <c r="BM11" s="2157" t="s">
        <v>1290</v>
      </c>
      <c r="BN11" s="2144" t="s">
        <v>687</v>
      </c>
      <c r="BO11" s="2144" t="s">
        <v>1292</v>
      </c>
      <c r="BP11" s="2144" t="s">
        <v>1293</v>
      </c>
      <c r="BQ11" s="2144" t="s">
        <v>1293</v>
      </c>
      <c r="BR11" s="2144" t="s">
        <v>1292</v>
      </c>
      <c r="BS11" s="2144" t="s">
        <v>687</v>
      </c>
      <c r="BT11" s="2144" t="s">
        <v>1290</v>
      </c>
      <c r="BU11" s="2145" t="s">
        <v>1291</v>
      </c>
      <c r="BW11" s="2143" t="s">
        <v>1609</v>
      </c>
      <c r="BX11" s="2157" t="s">
        <v>1290</v>
      </c>
      <c r="BY11" s="2144" t="s">
        <v>1291</v>
      </c>
      <c r="BZ11" s="2144" t="s">
        <v>849</v>
      </c>
      <c r="CA11" s="2144" t="s">
        <v>1293</v>
      </c>
      <c r="CB11" s="2144" t="s">
        <v>1292</v>
      </c>
      <c r="CC11" s="2144" t="s">
        <v>687</v>
      </c>
      <c r="CD11" s="2145" t="s">
        <v>1544</v>
      </c>
      <c r="CF11" s="2143" t="s">
        <v>1609</v>
      </c>
      <c r="CG11" s="2157" t="s">
        <v>1544</v>
      </c>
      <c r="CH11" s="2145" t="s">
        <v>849</v>
      </c>
      <c r="DA11" s="2168" t="s">
        <v>4268</v>
      </c>
      <c r="DB11" s="2169" t="s">
        <v>1372</v>
      </c>
      <c r="DC11" s="2169" t="s">
        <v>4340</v>
      </c>
      <c r="DD11" s="2169" t="s">
        <v>181</v>
      </c>
      <c r="DE11" s="2169"/>
      <c r="DF11" s="2169" t="s">
        <v>182</v>
      </c>
      <c r="DG11" s="2169"/>
      <c r="DH11" s="2169" t="s">
        <v>1959</v>
      </c>
      <c r="DI11" s="2170"/>
      <c r="DJ11" s="2170" t="s">
        <v>4278</v>
      </c>
      <c r="DK11" s="2170"/>
      <c r="DL11" s="2170" t="s">
        <v>1960</v>
      </c>
      <c r="DM11" s="2170"/>
      <c r="DN11" s="2170"/>
      <c r="DO11" s="2170"/>
      <c r="DP11" s="2171"/>
      <c r="FQ11" s="2124"/>
      <c r="FR11" s="2125"/>
      <c r="FS11" s="2126" t="s">
        <v>4375</v>
      </c>
      <c r="FT11" s="2127"/>
      <c r="FU11" s="2128"/>
      <c r="FV11" s="2129" t="s">
        <v>4373</v>
      </c>
      <c r="FW11" s="2130"/>
      <c r="FX11" s="2131"/>
      <c r="FY11" s="2130"/>
      <c r="FZ11" s="2132" t="s">
        <v>4372</v>
      </c>
      <c r="GA11" s="2133"/>
      <c r="GB11" s="2134"/>
      <c r="GC11" s="2135" t="s">
        <v>4370</v>
      </c>
      <c r="GD11" s="2136" t="s">
        <v>1290</v>
      </c>
      <c r="GE11" s="2137" t="s">
        <v>687</v>
      </c>
      <c r="GF11" s="2138">
        <v>8</v>
      </c>
    </row>
    <row r="12" spans="2:188" ht="31.5">
      <c r="B12" s="88"/>
      <c r="C12" s="88"/>
      <c r="D12" s="88"/>
      <c r="F12" s="63"/>
      <c r="G12" s="63">
        <v>9</v>
      </c>
      <c r="H12" s="63" t="s">
        <v>1594</v>
      </c>
      <c r="I12" s="63"/>
      <c r="J12" s="63"/>
      <c r="K12" s="63"/>
      <c r="M12" s="57" t="s">
        <v>1615</v>
      </c>
      <c r="N12" s="63">
        <v>6</v>
      </c>
      <c r="O12" s="63">
        <v>5</v>
      </c>
      <c r="P12" s="63">
        <v>2</v>
      </c>
      <c r="Q12" s="63">
        <v>8</v>
      </c>
      <c r="R12" s="63">
        <v>13</v>
      </c>
      <c r="S12" s="63">
        <v>7</v>
      </c>
      <c r="T12" s="63">
        <v>1</v>
      </c>
      <c r="U12" s="63">
        <v>2</v>
      </c>
      <c r="V12" s="63">
        <v>7</v>
      </c>
      <c r="W12" s="63">
        <v>3</v>
      </c>
      <c r="X12" s="63">
        <v>1</v>
      </c>
      <c r="Y12" s="63">
        <v>6</v>
      </c>
      <c r="AA12" s="34"/>
      <c r="AB12" s="34" t="s">
        <v>1620</v>
      </c>
      <c r="AC12" s="34">
        <v>7</v>
      </c>
      <c r="AD12" s="34">
        <v>13</v>
      </c>
      <c r="AE12" s="34">
        <v>19</v>
      </c>
      <c r="AF12" s="34">
        <v>26</v>
      </c>
      <c r="AG12" s="34">
        <v>30</v>
      </c>
      <c r="AI12" s="2108" t="s">
        <v>1610</v>
      </c>
      <c r="AJ12" s="2109" t="s">
        <v>687</v>
      </c>
      <c r="AK12" s="2109" t="s">
        <v>1544</v>
      </c>
      <c r="AL12" s="2110" t="s">
        <v>1290</v>
      </c>
      <c r="AN12" s="2108" t="s">
        <v>1610</v>
      </c>
      <c r="AO12" s="2156" t="s">
        <v>687</v>
      </c>
      <c r="AP12" s="2156" t="s">
        <v>1292</v>
      </c>
      <c r="AQ12" s="2110" t="s">
        <v>849</v>
      </c>
      <c r="AS12" s="2108" t="s">
        <v>1610</v>
      </c>
      <c r="AT12" s="2156" t="s">
        <v>687</v>
      </c>
      <c r="AU12" s="2156" t="s">
        <v>1292</v>
      </c>
      <c r="AV12" s="2110" t="s">
        <v>1293</v>
      </c>
      <c r="AX12" s="2143" t="s">
        <v>1610</v>
      </c>
      <c r="AY12" s="2144" t="s">
        <v>687</v>
      </c>
      <c r="AZ12" s="2144" t="s">
        <v>1292</v>
      </c>
      <c r="BA12" s="2144" t="s">
        <v>1293</v>
      </c>
      <c r="BB12" s="2144" t="s">
        <v>1293</v>
      </c>
      <c r="BC12" s="2144" t="s">
        <v>1292</v>
      </c>
      <c r="BD12" s="2144" t="s">
        <v>687</v>
      </c>
      <c r="BE12" s="2144" t="s">
        <v>1290</v>
      </c>
      <c r="BF12" s="2144" t="s">
        <v>1291</v>
      </c>
      <c r="BG12" s="2144" t="s">
        <v>849</v>
      </c>
      <c r="BH12" s="2144" t="s">
        <v>1544</v>
      </c>
      <c r="BI12" s="2144" t="s">
        <v>1291</v>
      </c>
      <c r="BJ12" s="2145" t="s">
        <v>1290</v>
      </c>
      <c r="BL12" s="2143" t="s">
        <v>1610</v>
      </c>
      <c r="BM12" s="2157" t="s">
        <v>849</v>
      </c>
      <c r="BN12" s="2144" t="s">
        <v>1544</v>
      </c>
      <c r="BO12" s="2144" t="s">
        <v>1291</v>
      </c>
      <c r="BP12" s="2144" t="s">
        <v>1290</v>
      </c>
      <c r="BQ12" s="2144" t="s">
        <v>687</v>
      </c>
      <c r="BR12" s="2144" t="s">
        <v>1292</v>
      </c>
      <c r="BS12" s="2144" t="s">
        <v>1293</v>
      </c>
      <c r="BT12" s="2144" t="s">
        <v>1293</v>
      </c>
      <c r="BU12" s="2145" t="s">
        <v>1292</v>
      </c>
      <c r="BW12" s="2143" t="s">
        <v>1610</v>
      </c>
      <c r="BX12" s="2157" t="s">
        <v>687</v>
      </c>
      <c r="BY12" s="2144" t="s">
        <v>1544</v>
      </c>
      <c r="BZ12" s="2144" t="s">
        <v>1290</v>
      </c>
      <c r="CA12" s="2144" t="s">
        <v>1291</v>
      </c>
      <c r="CB12" s="2144" t="s">
        <v>849</v>
      </c>
      <c r="CC12" s="2144" t="s">
        <v>1293</v>
      </c>
      <c r="CD12" s="2145" t="s">
        <v>1292</v>
      </c>
      <c r="CF12" s="2143" t="s">
        <v>1610</v>
      </c>
      <c r="CG12" s="2157" t="s">
        <v>849</v>
      </c>
      <c r="CH12" s="2145" t="s">
        <v>1544</v>
      </c>
      <c r="CZ12" s="89">
        <f>[1]!sahmqaib(DE5,DE6,DG5,DI6,DE8,DI5)</f>
        <v>236.97823665139728</v>
      </c>
      <c r="DA12" s="2172" t="s">
        <v>4322</v>
      </c>
      <c r="DB12" s="2173">
        <f>IF(DK12=1,[1]!tq([1]!tq(DG12-DE12)+DI12),IF(AND(DK12=2,$DI$8&lt;=12),[1]!tq([1]!tq(DG12-DE12)+DI12),[1]!tq([1]!tq(DE12-DG12)+DI12)))</f>
        <v>236.97823665139728</v>
      </c>
      <c r="DC12" s="2173">
        <f t="shared" ref="DC12:DC18" si="2">IF(AND(DB12&gt;=$EO$26,DB12&lt;$EO$27),$EN$26,IF(AND(DB12&lt;$EO$28,DB12&gt;=$EO$27),$EN$27,IF(AND(DB12&lt;$EO$29,DB12&gt;=$EO$28),$EN$28,IF(AND(DB12&lt;$EO$30,DB12&gt;=$EO$29),$EN$29,IF(AND(DB12&lt;$EO$31,DB12&gt;=$EO$30),$EN$30,IF(AND(DB12&lt;$EO$32,DB12&gt;=$EO$31),$EN$31,IF(AND(DB12&lt;$EO$33,DB12&gt;=$EO$32),$EN$32,IF(AND(DB12&lt;$EO$34,DB12&gt;=$EO$33),$EN$33,IF(AND(DB12&lt;$EO$35,DB12&gt;=$EO$34),$EN$34,IF(AND(DB12&lt;$EO$36,DB12&gt;=$EO$35),$EN$35,IF(AND(DB12&lt;$EO$37,DB12&gt;=$EO$36),$EN$36,$EN$37)))))))))))</f>
        <v>9</v>
      </c>
      <c r="DD12" s="2137" t="s">
        <v>849</v>
      </c>
      <c r="DE12" s="2174">
        <f>[1]!taqq(DE5,DE6,DE7,DE8)</f>
        <v>123.77746812797938</v>
      </c>
      <c r="DF12" s="2175" t="s">
        <v>1544</v>
      </c>
      <c r="DG12" s="2176">
        <f>[1]!taqsh(DE5,DE6,DE7,DE8)</f>
        <v>7.9599855894230132E-5</v>
      </c>
      <c r="DH12" s="2175" t="s">
        <v>279</v>
      </c>
      <c r="DI12" s="2175">
        <f>[1]!tale3(DE5,DI5,DG12,DB4)</f>
        <v>0.75562517952077002</v>
      </c>
      <c r="DJ12" s="2137" t="s">
        <v>1964</v>
      </c>
      <c r="DK12" s="2137">
        <f>IF(DJ12="مخالف",2,1)</f>
        <v>2</v>
      </c>
      <c r="DL12" s="2177" t="s">
        <v>4270</v>
      </c>
      <c r="DM12" s="2177"/>
      <c r="DN12" s="2177"/>
      <c r="DO12" s="2177"/>
      <c r="DP12" s="2178"/>
      <c r="FQ12" s="2124"/>
      <c r="FR12" s="2125"/>
      <c r="FS12" s="2126" t="s">
        <v>4393</v>
      </c>
      <c r="FT12" s="2127"/>
      <c r="FU12" s="2128"/>
      <c r="FV12" s="2129" t="s">
        <v>4374</v>
      </c>
      <c r="FW12" s="2130"/>
      <c r="FX12" s="2131"/>
      <c r="FY12" s="2130"/>
      <c r="FZ12" s="2132" t="s">
        <v>4394</v>
      </c>
      <c r="GA12" s="2133"/>
      <c r="GB12" s="2134"/>
      <c r="GC12" s="2135" t="s">
        <v>4371</v>
      </c>
      <c r="GD12" s="2136" t="s">
        <v>1291</v>
      </c>
      <c r="GE12" s="2137" t="s">
        <v>687</v>
      </c>
      <c r="GF12" s="2138">
        <v>9</v>
      </c>
    </row>
    <row r="13" spans="2:188" ht="32.25" thickBot="1">
      <c r="B13" s="88"/>
      <c r="C13" s="88"/>
      <c r="D13" s="88"/>
      <c r="F13" s="63"/>
      <c r="G13" s="63">
        <v>10</v>
      </c>
      <c r="H13" s="63" t="s">
        <v>1595</v>
      </c>
      <c r="I13" s="63"/>
      <c r="J13" s="63"/>
      <c r="K13" s="63"/>
      <c r="M13" s="57"/>
      <c r="N13" s="63">
        <v>11</v>
      </c>
      <c r="O13" s="63">
        <v>8</v>
      </c>
      <c r="P13" s="63">
        <v>13</v>
      </c>
      <c r="Q13" s="63">
        <v>12</v>
      </c>
      <c r="R13" s="63">
        <v>15</v>
      </c>
      <c r="S13" s="63">
        <v>13</v>
      </c>
      <c r="T13" s="63">
        <v>7</v>
      </c>
      <c r="U13" s="63">
        <v>10</v>
      </c>
      <c r="V13" s="63">
        <v>12</v>
      </c>
      <c r="W13" s="63">
        <v>4</v>
      </c>
      <c r="X13" s="63">
        <v>12</v>
      </c>
      <c r="Y13" s="63">
        <v>9</v>
      </c>
      <c r="AA13" s="35" t="s">
        <v>255</v>
      </c>
      <c r="AB13" s="35" t="s">
        <v>1619</v>
      </c>
      <c r="AC13" s="35" t="s">
        <v>1292</v>
      </c>
      <c r="AD13" s="35" t="s">
        <v>1290</v>
      </c>
      <c r="AE13" s="35" t="s">
        <v>1293</v>
      </c>
      <c r="AF13" s="35" t="s">
        <v>1291</v>
      </c>
      <c r="AG13" s="35" t="s">
        <v>687</v>
      </c>
      <c r="AI13" s="2136" t="s">
        <v>943</v>
      </c>
      <c r="AJ13" s="2137" t="s">
        <v>1291</v>
      </c>
      <c r="AK13" s="2137" t="s">
        <v>849</v>
      </c>
      <c r="AL13" s="2142" t="s">
        <v>1293</v>
      </c>
      <c r="AN13" s="2136" t="s">
        <v>943</v>
      </c>
      <c r="AO13" s="2137" t="s">
        <v>1292</v>
      </c>
      <c r="AP13" s="2137" t="s">
        <v>687</v>
      </c>
      <c r="AQ13" s="2142" t="s">
        <v>1544</v>
      </c>
      <c r="AS13" s="2136" t="s">
        <v>943</v>
      </c>
      <c r="AT13" s="2137" t="s">
        <v>849</v>
      </c>
      <c r="AU13" s="2137" t="s">
        <v>1291</v>
      </c>
      <c r="AV13" s="2142" t="s">
        <v>1290</v>
      </c>
      <c r="AX13" s="2143" t="s">
        <v>943</v>
      </c>
      <c r="AY13" s="2144" t="s">
        <v>1292</v>
      </c>
      <c r="AZ13" s="2144" t="s">
        <v>1293</v>
      </c>
      <c r="BA13" s="2144" t="s">
        <v>1293</v>
      </c>
      <c r="BB13" s="2144" t="s">
        <v>1292</v>
      </c>
      <c r="BC13" s="2144" t="s">
        <v>687</v>
      </c>
      <c r="BD13" s="2144" t="s">
        <v>1290</v>
      </c>
      <c r="BE13" s="2144" t="s">
        <v>1291</v>
      </c>
      <c r="BF13" s="2144" t="s">
        <v>849</v>
      </c>
      <c r="BG13" s="2144" t="s">
        <v>1544</v>
      </c>
      <c r="BH13" s="2144" t="s">
        <v>1291</v>
      </c>
      <c r="BI13" s="2144" t="s">
        <v>1290</v>
      </c>
      <c r="BJ13" s="2145" t="s">
        <v>687</v>
      </c>
      <c r="BL13" s="2143" t="s">
        <v>943</v>
      </c>
      <c r="BM13" s="2157" t="s">
        <v>687</v>
      </c>
      <c r="BN13" s="2144" t="s">
        <v>1290</v>
      </c>
      <c r="BO13" s="2144" t="s">
        <v>1291</v>
      </c>
      <c r="BP13" s="2144" t="s">
        <v>849</v>
      </c>
      <c r="BQ13" s="2144" t="s">
        <v>1544</v>
      </c>
      <c r="BR13" s="2144" t="s">
        <v>1291</v>
      </c>
      <c r="BS13" s="2144" t="s">
        <v>1290</v>
      </c>
      <c r="BT13" s="2144" t="s">
        <v>687</v>
      </c>
      <c r="BU13" s="2145" t="s">
        <v>1292</v>
      </c>
      <c r="BW13" s="2143" t="s">
        <v>943</v>
      </c>
      <c r="BX13" s="2157" t="s">
        <v>1292</v>
      </c>
      <c r="BY13" s="2144" t="s">
        <v>687</v>
      </c>
      <c r="BZ13" s="2144" t="s">
        <v>1544</v>
      </c>
      <c r="CA13" s="2144" t="s">
        <v>1290</v>
      </c>
      <c r="CB13" s="2144" t="s">
        <v>1291</v>
      </c>
      <c r="CC13" s="2144" t="s">
        <v>849</v>
      </c>
      <c r="CD13" s="2145" t="s">
        <v>1293</v>
      </c>
      <c r="CF13" s="2143" t="s">
        <v>943</v>
      </c>
      <c r="CG13" s="2157" t="s">
        <v>1544</v>
      </c>
      <c r="CH13" s="2145" t="s">
        <v>849</v>
      </c>
      <c r="CZ13" s="89">
        <f>[1]!sahmsaadat(DE5,DE6,DG5,DI6,DE8,DI5)</f>
        <v>124.53301370764424</v>
      </c>
      <c r="DA13" s="2172" t="s">
        <v>1967</v>
      </c>
      <c r="DB13" s="2173">
        <f>IF(DK13=1,[1]!tq([1]!tq(DG13-DE13)+DI13),IF(AND(DK13=2,$DI$8&lt;=12),[1]!tq([1]!tq(DG13-DE13)+DI13),[1]!tq([1]!tq(DE13-DG13)+DI13)))</f>
        <v>124.53301370764424</v>
      </c>
      <c r="DC13" s="2173">
        <f t="shared" si="2"/>
        <v>5</v>
      </c>
      <c r="DD13" s="2137" t="s">
        <v>1544</v>
      </c>
      <c r="DE13" s="2137">
        <f>DG12</f>
        <v>7.9599855894230132E-5</v>
      </c>
      <c r="DF13" s="2175" t="s">
        <v>849</v>
      </c>
      <c r="DG13" s="2175">
        <f>DE12</f>
        <v>123.77746812797938</v>
      </c>
      <c r="DH13" s="2175" t="s">
        <v>279</v>
      </c>
      <c r="DI13" s="2175">
        <f>DI12</f>
        <v>0.75562517952077002</v>
      </c>
      <c r="DJ13" s="2137" t="s">
        <v>1964</v>
      </c>
      <c r="DK13" s="2137">
        <f t="shared" ref="DK13:DK18" si="3">IF(DJ13="مخالف",2,1)</f>
        <v>2</v>
      </c>
      <c r="DL13" s="2177" t="s">
        <v>4271</v>
      </c>
      <c r="DM13" s="2177"/>
      <c r="DN13" s="2177"/>
      <c r="DO13" s="2177"/>
      <c r="DP13" s="2178"/>
      <c r="FQ13" s="2179"/>
      <c r="FR13" s="2180"/>
      <c r="FS13" s="2181" t="s">
        <v>4379</v>
      </c>
      <c r="FT13" s="2182"/>
      <c r="FU13" s="2183"/>
      <c r="FV13" s="2184" t="s">
        <v>4378</v>
      </c>
      <c r="FW13" s="2185"/>
      <c r="FX13" s="2186"/>
      <c r="FY13" s="2185"/>
      <c r="FZ13" s="2187" t="s">
        <v>4377</v>
      </c>
      <c r="GA13" s="2188"/>
      <c r="GB13" s="2189"/>
      <c r="GC13" s="2190" t="s">
        <v>4376</v>
      </c>
      <c r="GD13" s="2191" t="s">
        <v>1291</v>
      </c>
      <c r="GE13" s="2192" t="s">
        <v>1290</v>
      </c>
      <c r="GF13" s="2193">
        <v>10</v>
      </c>
    </row>
    <row r="14" spans="2:188" ht="32.25" thickBot="1">
      <c r="B14" s="88"/>
      <c r="C14" s="88"/>
      <c r="D14" s="88"/>
      <c r="F14" s="63"/>
      <c r="G14" s="63">
        <v>11</v>
      </c>
      <c r="H14" s="63" t="s">
        <v>1596</v>
      </c>
      <c r="I14" s="63"/>
      <c r="J14" s="63"/>
      <c r="K14" s="63"/>
      <c r="M14" s="57"/>
      <c r="N14" s="63">
        <v>17</v>
      </c>
      <c r="O14" s="63">
        <v>13</v>
      </c>
      <c r="P14" s="63">
        <v>17</v>
      </c>
      <c r="Q14" s="63">
        <v>16</v>
      </c>
      <c r="R14" s="63">
        <v>16</v>
      </c>
      <c r="S14" s="63">
        <v>16</v>
      </c>
      <c r="T14" s="63">
        <v>20</v>
      </c>
      <c r="U14" s="63">
        <v>17</v>
      </c>
      <c r="V14" s="63">
        <v>17</v>
      </c>
      <c r="W14" s="63">
        <v>7</v>
      </c>
      <c r="X14" s="63">
        <v>14</v>
      </c>
      <c r="Y14" s="63">
        <v>19</v>
      </c>
      <c r="AA14" s="35"/>
      <c r="AB14" s="35" t="s">
        <v>1620</v>
      </c>
      <c r="AC14" s="35">
        <v>6</v>
      </c>
      <c r="AD14" s="35">
        <v>11</v>
      </c>
      <c r="AE14" s="35">
        <v>18</v>
      </c>
      <c r="AF14" s="35">
        <v>24</v>
      </c>
      <c r="AG14" s="35">
        <v>30</v>
      </c>
      <c r="AI14" s="2108" t="s">
        <v>1611</v>
      </c>
      <c r="AJ14" s="2109" t="s">
        <v>1292</v>
      </c>
      <c r="AK14" s="2109" t="s">
        <v>687</v>
      </c>
      <c r="AL14" s="2110" t="s">
        <v>1544</v>
      </c>
      <c r="AN14" s="2108" t="s">
        <v>1611</v>
      </c>
      <c r="AO14" s="2156" t="s">
        <v>1293</v>
      </c>
      <c r="AP14" s="2156" t="s">
        <v>1290</v>
      </c>
      <c r="AQ14" s="2110" t="s">
        <v>1291</v>
      </c>
      <c r="AS14" s="2108" t="s">
        <v>1611</v>
      </c>
      <c r="AT14" s="2156" t="s">
        <v>1544</v>
      </c>
      <c r="AU14" s="2156" t="s">
        <v>687</v>
      </c>
      <c r="AV14" s="2110" t="s">
        <v>1292</v>
      </c>
      <c r="AX14" s="2143" t="s">
        <v>1611</v>
      </c>
      <c r="AY14" s="2144" t="s">
        <v>1293</v>
      </c>
      <c r="AZ14" s="2144" t="s">
        <v>1293</v>
      </c>
      <c r="BA14" s="2144" t="s">
        <v>1292</v>
      </c>
      <c r="BB14" s="2144" t="s">
        <v>687</v>
      </c>
      <c r="BC14" s="2144" t="s">
        <v>1290</v>
      </c>
      <c r="BD14" s="2144" t="s">
        <v>1291</v>
      </c>
      <c r="BE14" s="2144" t="s">
        <v>849</v>
      </c>
      <c r="BF14" s="2144" t="s">
        <v>1544</v>
      </c>
      <c r="BG14" s="2144" t="s">
        <v>1291</v>
      </c>
      <c r="BH14" s="2144" t="s">
        <v>1290</v>
      </c>
      <c r="BI14" s="2144" t="s">
        <v>687</v>
      </c>
      <c r="BJ14" s="2145" t="s">
        <v>1292</v>
      </c>
      <c r="BL14" s="2143" t="s">
        <v>1611</v>
      </c>
      <c r="BM14" s="2157" t="s">
        <v>1293</v>
      </c>
      <c r="BN14" s="2144" t="s">
        <v>1293</v>
      </c>
      <c r="BO14" s="2144" t="s">
        <v>1292</v>
      </c>
      <c r="BP14" s="2144" t="s">
        <v>687</v>
      </c>
      <c r="BQ14" s="2144" t="s">
        <v>1290</v>
      </c>
      <c r="BR14" s="2144" t="s">
        <v>1291</v>
      </c>
      <c r="BS14" s="2144" t="s">
        <v>849</v>
      </c>
      <c r="BT14" s="2144" t="s">
        <v>1544</v>
      </c>
      <c r="BU14" s="2145" t="s">
        <v>1291</v>
      </c>
      <c r="BW14" s="2143" t="s">
        <v>1611</v>
      </c>
      <c r="BX14" s="2157" t="s">
        <v>1293</v>
      </c>
      <c r="BY14" s="2144" t="s">
        <v>1292</v>
      </c>
      <c r="BZ14" s="2144" t="s">
        <v>687</v>
      </c>
      <c r="CA14" s="2144" t="s">
        <v>1544</v>
      </c>
      <c r="CB14" s="2144" t="s">
        <v>1290</v>
      </c>
      <c r="CC14" s="2144" t="s">
        <v>1291</v>
      </c>
      <c r="CD14" s="2145" t="s">
        <v>849</v>
      </c>
      <c r="CF14" s="2143" t="s">
        <v>1611</v>
      </c>
      <c r="CG14" s="2157" t="s">
        <v>849</v>
      </c>
      <c r="CH14" s="2145" t="s">
        <v>1544</v>
      </c>
      <c r="DA14" s="2172" t="s">
        <v>4323</v>
      </c>
      <c r="DB14" s="2173">
        <f>IF(DK14=1,[1]!tq([1]!tq(DG14-DE14)+DI14),IF(AND(DK14=2,$DI$8&lt;=12),[1]!tq([1]!tq(DG14-DE14)+DI14),[1]!tq([1]!tq(DE14-DG14)+DI14)))</f>
        <v>144.20340714804445</v>
      </c>
      <c r="DC14" s="2173">
        <f t="shared" si="2"/>
        <v>6</v>
      </c>
      <c r="DD14" s="2137" t="s">
        <v>1293</v>
      </c>
      <c r="DE14" s="2174">
        <f>[1]!taqzohal(DE5,DE6,DE7,DE8)</f>
        <v>341.08523173912056</v>
      </c>
      <c r="DF14" s="2175" t="s">
        <v>4269</v>
      </c>
      <c r="DG14" s="2175">
        <f>DB13</f>
        <v>124.53301370764424</v>
      </c>
      <c r="DH14" s="2175" t="s">
        <v>279</v>
      </c>
      <c r="DI14" s="2175">
        <f t="shared" ref="DI14:DI18" si="4">DI13</f>
        <v>0.75562517952077002</v>
      </c>
      <c r="DJ14" s="2137" t="s">
        <v>1964</v>
      </c>
      <c r="DK14" s="2137">
        <f t="shared" si="3"/>
        <v>2</v>
      </c>
      <c r="DL14" s="2177" t="s">
        <v>4272</v>
      </c>
      <c r="DM14" s="2177"/>
      <c r="DN14" s="2177"/>
      <c r="DO14" s="2177"/>
      <c r="DP14" s="2178"/>
      <c r="FQ14" s="2194"/>
      <c r="FR14" s="2195"/>
      <c r="FS14" s="2195"/>
      <c r="FT14" s="2195"/>
      <c r="FU14" s="2195"/>
      <c r="FV14" s="2195"/>
      <c r="FW14" s="2195"/>
      <c r="FX14" s="2195"/>
      <c r="FY14" s="2195"/>
      <c r="FZ14" s="2195"/>
      <c r="GA14" s="2195"/>
      <c r="GB14" s="2195"/>
      <c r="GC14" s="2195"/>
      <c r="GD14" s="2195"/>
      <c r="GE14" s="2195"/>
      <c r="GF14" s="2196" t="s">
        <v>4603</v>
      </c>
    </row>
    <row r="15" spans="2:188" ht="22.5" thickBot="1">
      <c r="B15" s="88"/>
      <c r="C15" s="88"/>
      <c r="D15" s="88"/>
      <c r="F15" s="63"/>
      <c r="G15" s="63">
        <v>12</v>
      </c>
      <c r="H15" s="63" t="s">
        <v>1597</v>
      </c>
      <c r="I15" s="63"/>
      <c r="J15" s="63"/>
      <c r="K15" s="63"/>
      <c r="M15" s="57"/>
      <c r="N15" s="63">
        <v>23</v>
      </c>
      <c r="O15" s="63">
        <v>18</v>
      </c>
      <c r="P15" s="63">
        <v>26</v>
      </c>
      <c r="Q15" s="63">
        <v>23</v>
      </c>
      <c r="R15" s="63">
        <v>22</v>
      </c>
      <c r="S15" s="63">
        <v>23</v>
      </c>
      <c r="T15" s="63">
        <v>30</v>
      </c>
      <c r="U15" s="63">
        <v>22</v>
      </c>
      <c r="V15" s="63">
        <v>24</v>
      </c>
      <c r="W15" s="63">
        <v>17</v>
      </c>
      <c r="X15" s="63">
        <v>23</v>
      </c>
      <c r="Y15" s="63">
        <v>24</v>
      </c>
      <c r="AA15" s="34" t="s">
        <v>1608</v>
      </c>
      <c r="AB15" s="34" t="s">
        <v>1619</v>
      </c>
      <c r="AC15" s="34" t="s">
        <v>1291</v>
      </c>
      <c r="AD15" s="34" t="s">
        <v>1290</v>
      </c>
      <c r="AE15" s="34" t="s">
        <v>1292</v>
      </c>
      <c r="AF15" s="34" t="s">
        <v>687</v>
      </c>
      <c r="AG15" s="34" t="s">
        <v>1293</v>
      </c>
      <c r="AI15" s="2060" t="s">
        <v>1612</v>
      </c>
      <c r="AJ15" s="2158" t="s">
        <v>1290</v>
      </c>
      <c r="AK15" s="2158" t="s">
        <v>1291</v>
      </c>
      <c r="AL15" s="2061" t="s">
        <v>849</v>
      </c>
      <c r="AN15" s="2060" t="s">
        <v>1612</v>
      </c>
      <c r="AO15" s="2158" t="s">
        <v>1293</v>
      </c>
      <c r="AP15" s="2158" t="s">
        <v>1291</v>
      </c>
      <c r="AQ15" s="2061" t="s">
        <v>1290</v>
      </c>
      <c r="AS15" s="2060" t="s">
        <v>1612</v>
      </c>
      <c r="AT15" s="2158" t="s">
        <v>1293</v>
      </c>
      <c r="AU15" s="2158" t="s">
        <v>849</v>
      </c>
      <c r="AV15" s="2061" t="s">
        <v>1291</v>
      </c>
      <c r="AX15" s="2143" t="s">
        <v>1612</v>
      </c>
      <c r="AY15" s="2144" t="s">
        <v>1293</v>
      </c>
      <c r="AZ15" s="2144" t="s">
        <v>1292</v>
      </c>
      <c r="BA15" s="2144" t="s">
        <v>687</v>
      </c>
      <c r="BB15" s="2144" t="s">
        <v>1290</v>
      </c>
      <c r="BC15" s="2144" t="s">
        <v>1291</v>
      </c>
      <c r="BD15" s="2144" t="s">
        <v>849</v>
      </c>
      <c r="BE15" s="2144" t="s">
        <v>1544</v>
      </c>
      <c r="BF15" s="2144" t="s">
        <v>1291</v>
      </c>
      <c r="BG15" s="2144" t="s">
        <v>1290</v>
      </c>
      <c r="BH15" s="2144" t="s">
        <v>687</v>
      </c>
      <c r="BI15" s="2144" t="s">
        <v>1292</v>
      </c>
      <c r="BJ15" s="2145" t="s">
        <v>1293</v>
      </c>
      <c r="BL15" s="2143" t="s">
        <v>1612</v>
      </c>
      <c r="BM15" s="2157" t="s">
        <v>1290</v>
      </c>
      <c r="BN15" s="2144" t="s">
        <v>687</v>
      </c>
      <c r="BO15" s="2144" t="s">
        <v>1292</v>
      </c>
      <c r="BP15" s="2144" t="s">
        <v>1293</v>
      </c>
      <c r="BQ15" s="2144" t="s">
        <v>1293</v>
      </c>
      <c r="BR15" s="2144" t="s">
        <v>1292</v>
      </c>
      <c r="BS15" s="2144" t="s">
        <v>687</v>
      </c>
      <c r="BT15" s="2144" t="s">
        <v>1290</v>
      </c>
      <c r="BU15" s="2145" t="s">
        <v>1291</v>
      </c>
      <c r="BW15" s="2143" t="s">
        <v>1612</v>
      </c>
      <c r="BX15" s="2157" t="s">
        <v>1293</v>
      </c>
      <c r="BY15" s="2144" t="s">
        <v>1292</v>
      </c>
      <c r="BZ15" s="2144" t="s">
        <v>687</v>
      </c>
      <c r="CA15" s="2144" t="s">
        <v>1544</v>
      </c>
      <c r="CB15" s="2144" t="s">
        <v>1290</v>
      </c>
      <c r="CC15" s="2144" t="s">
        <v>1291</v>
      </c>
      <c r="CD15" s="2145" t="s">
        <v>849</v>
      </c>
      <c r="CF15" s="2143" t="s">
        <v>1612</v>
      </c>
      <c r="CG15" s="2157" t="s">
        <v>1544</v>
      </c>
      <c r="CH15" s="2145" t="s">
        <v>849</v>
      </c>
      <c r="DA15" s="2172" t="s">
        <v>4324</v>
      </c>
      <c r="DB15" s="2173">
        <f>IF(DK15=1,[1]!tq([1]!tq(DG15-DE15)+DI15),IF(AND(DK15=2,$DI$8&lt;=12),[1]!tq([1]!tq(DG15-DE15)+DI15),[1]!tq([1]!tq(DE15-DG15)+DI15)))</f>
        <v>292.2613674590375</v>
      </c>
      <c r="DC15" s="2173">
        <f t="shared" si="2"/>
        <v>11</v>
      </c>
      <c r="DD15" s="2137" t="s">
        <v>1974</v>
      </c>
      <c r="DE15" s="2137">
        <f>DB17</f>
        <v>113.2008481232738</v>
      </c>
      <c r="DF15" s="2175" t="s">
        <v>1292</v>
      </c>
      <c r="DG15" s="2175">
        <f>[1]!taqmosh(DE5,DE6,DE7,DE8)</f>
        <v>44.706590402790496</v>
      </c>
      <c r="DH15" s="2175" t="s">
        <v>279</v>
      </c>
      <c r="DI15" s="2175">
        <f t="shared" si="4"/>
        <v>0.75562517952077002</v>
      </c>
      <c r="DJ15" s="2137" t="s">
        <v>1964</v>
      </c>
      <c r="DK15" s="2137">
        <f t="shared" si="3"/>
        <v>2</v>
      </c>
      <c r="DL15" s="2177" t="s">
        <v>4273</v>
      </c>
      <c r="DM15" s="2177"/>
      <c r="DN15" s="2177"/>
      <c r="DO15" s="2177"/>
      <c r="DP15" s="2178"/>
      <c r="GF15" s="89" t="s">
        <v>4398</v>
      </c>
    </row>
    <row r="16" spans="2:188" ht="22.5" thickBot="1">
      <c r="B16" s="88"/>
      <c r="C16" s="88"/>
      <c r="D16" s="88"/>
      <c r="F16" s="63"/>
      <c r="G16" s="63">
        <v>13</v>
      </c>
      <c r="H16" s="63" t="s">
        <v>1598</v>
      </c>
      <c r="I16" s="63"/>
      <c r="J16" s="63"/>
      <c r="K16" s="63"/>
      <c r="M16" s="57"/>
      <c r="N16" s="63">
        <v>29</v>
      </c>
      <c r="O16" s="63">
        <v>25</v>
      </c>
      <c r="P16" s="63">
        <v>30</v>
      </c>
      <c r="Q16" s="63">
        <v>24</v>
      </c>
      <c r="R16" s="63">
        <v>23</v>
      </c>
      <c r="S16" s="63">
        <v>25</v>
      </c>
      <c r="T16" s="63"/>
      <c r="U16" s="63">
        <v>23</v>
      </c>
      <c r="V16" s="63">
        <v>26</v>
      </c>
      <c r="W16" s="63">
        <v>22</v>
      </c>
      <c r="X16" s="63">
        <v>29</v>
      </c>
      <c r="Y16" s="63">
        <v>26</v>
      </c>
      <c r="AA16" s="34"/>
      <c r="AB16" s="34" t="s">
        <v>1620</v>
      </c>
      <c r="AC16" s="34">
        <v>7</v>
      </c>
      <c r="AD16" s="34">
        <v>17</v>
      </c>
      <c r="AE16" s="34">
        <v>21</v>
      </c>
      <c r="AF16" s="34">
        <v>28</v>
      </c>
      <c r="AG16" s="34">
        <v>30</v>
      </c>
      <c r="AI16" s="2197" t="s">
        <v>1613</v>
      </c>
      <c r="AJ16" s="2198" t="s">
        <v>1293</v>
      </c>
      <c r="AK16" s="2198" t="s">
        <v>1292</v>
      </c>
      <c r="AL16" s="2199" t="s">
        <v>687</v>
      </c>
      <c r="AN16" s="2197" t="s">
        <v>1613</v>
      </c>
      <c r="AO16" s="2198" t="s">
        <v>1292</v>
      </c>
      <c r="AP16" s="2198" t="s">
        <v>849</v>
      </c>
      <c r="AQ16" s="2199" t="s">
        <v>687</v>
      </c>
      <c r="AS16" s="2197" t="s">
        <v>1613</v>
      </c>
      <c r="AT16" s="2198" t="s">
        <v>1290</v>
      </c>
      <c r="AU16" s="2198" t="s">
        <v>1544</v>
      </c>
      <c r="AV16" s="2199" t="s">
        <v>687</v>
      </c>
      <c r="AX16" s="2114" t="s">
        <v>1613</v>
      </c>
      <c r="AY16" s="2200" t="s">
        <v>1292</v>
      </c>
      <c r="AZ16" s="2200" t="s">
        <v>687</v>
      </c>
      <c r="BA16" s="2200" t="s">
        <v>1290</v>
      </c>
      <c r="BB16" s="2200" t="s">
        <v>1291</v>
      </c>
      <c r="BC16" s="2200" t="s">
        <v>849</v>
      </c>
      <c r="BD16" s="2200" t="s">
        <v>1544</v>
      </c>
      <c r="BE16" s="2200" t="s">
        <v>1291</v>
      </c>
      <c r="BF16" s="2200" t="s">
        <v>1290</v>
      </c>
      <c r="BG16" s="2200" t="s">
        <v>687</v>
      </c>
      <c r="BH16" s="2200" t="s">
        <v>1292</v>
      </c>
      <c r="BI16" s="2200" t="s">
        <v>1293</v>
      </c>
      <c r="BJ16" s="2201" t="s">
        <v>1293</v>
      </c>
      <c r="BL16" s="2114" t="s">
        <v>1613</v>
      </c>
      <c r="BM16" s="2202" t="s">
        <v>849</v>
      </c>
      <c r="BN16" s="2200" t="s">
        <v>1544</v>
      </c>
      <c r="BO16" s="2200" t="s">
        <v>1291</v>
      </c>
      <c r="BP16" s="2200" t="s">
        <v>1290</v>
      </c>
      <c r="BQ16" s="2200" t="s">
        <v>687</v>
      </c>
      <c r="BR16" s="2200" t="s">
        <v>1292</v>
      </c>
      <c r="BS16" s="2200" t="s">
        <v>1293</v>
      </c>
      <c r="BT16" s="2200" t="s">
        <v>1293</v>
      </c>
      <c r="BU16" s="2201" t="s">
        <v>1292</v>
      </c>
      <c r="BW16" s="2114" t="s">
        <v>1613</v>
      </c>
      <c r="BX16" s="2202" t="s">
        <v>1292</v>
      </c>
      <c r="BY16" s="2200" t="s">
        <v>687</v>
      </c>
      <c r="BZ16" s="2200" t="s">
        <v>1544</v>
      </c>
      <c r="CA16" s="2200" t="s">
        <v>1290</v>
      </c>
      <c r="CB16" s="2200" t="s">
        <v>1291</v>
      </c>
      <c r="CC16" s="2200" t="s">
        <v>849</v>
      </c>
      <c r="CD16" s="2201" t="s">
        <v>1293</v>
      </c>
      <c r="CF16" s="2114" t="s">
        <v>1613</v>
      </c>
      <c r="CG16" s="2202" t="s">
        <v>849</v>
      </c>
      <c r="CH16" s="2201" t="s">
        <v>1544</v>
      </c>
      <c r="CY16" s="2156"/>
      <c r="CZ16" s="2156"/>
      <c r="DA16" s="2172" t="s">
        <v>4325</v>
      </c>
      <c r="DB16" s="2173">
        <f>IF(DK16=1,[1]!tq([1]!tq(DG16-DE16)+DI16),IF(AND(DK16=2,$DI$8&lt;=12),[1]!tq([1]!tq(DG16-DE16)+DI16),[1]!tq([1]!tq(DE16-DG16)+DI16)))</f>
        <v>157.56115836458571</v>
      </c>
      <c r="DC16" s="2173">
        <f t="shared" si="2"/>
        <v>6</v>
      </c>
      <c r="DD16" s="2137" t="s">
        <v>687</v>
      </c>
      <c r="DE16" s="2137">
        <f>[1]!taqmer(DE5,DE6,DE7,DE8)</f>
        <v>327.7274805225793</v>
      </c>
      <c r="DF16" s="2175" t="s">
        <v>4269</v>
      </c>
      <c r="DG16" s="2175">
        <f>DB13</f>
        <v>124.53301370764424</v>
      </c>
      <c r="DH16" s="2175" t="s">
        <v>279</v>
      </c>
      <c r="DI16" s="2175">
        <f t="shared" si="4"/>
        <v>0.75562517952077002</v>
      </c>
      <c r="DJ16" s="2137" t="s">
        <v>1964</v>
      </c>
      <c r="DK16" s="2137">
        <f t="shared" si="3"/>
        <v>2</v>
      </c>
      <c r="DL16" s="2177" t="s">
        <v>4274</v>
      </c>
      <c r="DM16" s="2177"/>
      <c r="DN16" s="2177"/>
      <c r="DO16" s="2177"/>
      <c r="DP16" s="2178"/>
      <c r="FQ16" s="2203"/>
      <c r="FR16" s="2070" t="s">
        <v>4357</v>
      </c>
      <c r="FS16" s="2071" t="s">
        <v>4401</v>
      </c>
      <c r="FT16" s="2072"/>
      <c r="FU16" s="2072" t="s">
        <v>4356</v>
      </c>
      <c r="FV16" s="2073" t="s">
        <v>4401</v>
      </c>
      <c r="FW16" s="2204"/>
      <c r="FX16" s="2204"/>
      <c r="FY16" s="2075" t="s">
        <v>4354</v>
      </c>
      <c r="FZ16" s="2076" t="s">
        <v>4401</v>
      </c>
      <c r="GA16" s="2205"/>
      <c r="GB16" s="2205" t="s">
        <v>4349</v>
      </c>
      <c r="GC16" s="2206" t="s">
        <v>4401</v>
      </c>
      <c r="GD16" s="2079"/>
      <c r="GE16" s="2079"/>
      <c r="GF16" s="2080"/>
    </row>
    <row r="17" spans="2:188">
      <c r="B17" s="88"/>
      <c r="C17" s="88"/>
      <c r="D17" s="88"/>
      <c r="F17" s="63"/>
      <c r="G17" s="63">
        <v>14</v>
      </c>
      <c r="H17" s="63" t="s">
        <v>1599</v>
      </c>
      <c r="I17" s="63"/>
      <c r="J17" s="63"/>
      <c r="K17" s="63"/>
      <c r="M17" s="57"/>
      <c r="N17" s="63"/>
      <c r="O17" s="63">
        <v>26</v>
      </c>
      <c r="P17" s="63"/>
      <c r="Q17" s="63">
        <v>26</v>
      </c>
      <c r="R17" s="63">
        <v>28</v>
      </c>
      <c r="S17" s="63"/>
      <c r="T17" s="63"/>
      <c r="U17" s="63">
        <v>27</v>
      </c>
      <c r="V17" s="63">
        <v>30</v>
      </c>
      <c r="W17" s="63">
        <v>24</v>
      </c>
      <c r="X17" s="63"/>
      <c r="Y17" s="63">
        <v>28</v>
      </c>
      <c r="AA17" s="35" t="s">
        <v>1609</v>
      </c>
      <c r="AB17" s="35" t="s">
        <v>1619</v>
      </c>
      <c r="AC17" s="35" t="s">
        <v>1293</v>
      </c>
      <c r="AD17" s="35" t="s">
        <v>1291</v>
      </c>
      <c r="AE17" s="35" t="s">
        <v>1292</v>
      </c>
      <c r="AF17" s="35" t="s">
        <v>1290</v>
      </c>
      <c r="AG17" s="35" t="s">
        <v>687</v>
      </c>
      <c r="CY17" s="2156"/>
      <c r="CZ17" s="2156"/>
      <c r="DA17" s="2172" t="s">
        <v>4326</v>
      </c>
      <c r="DB17" s="2173">
        <f>IF(DK17=1,[1]!tq([1]!tq(DG17-DE17)+DI17),IF(AND(DK17=2,$DI$8&lt;=12),[1]!tq([1]!tq(DG17-DE17)+DI17),[1]!tq([1]!tq(DE17-DG17)+DI17)))</f>
        <v>113.2008481232738</v>
      </c>
      <c r="DC17" s="2173">
        <f t="shared" si="2"/>
        <v>5</v>
      </c>
      <c r="DD17" s="2137" t="s">
        <v>4269</v>
      </c>
      <c r="DE17" s="2137">
        <f>DB13</f>
        <v>124.53301370764424</v>
      </c>
      <c r="DF17" s="2175" t="s">
        <v>1981</v>
      </c>
      <c r="DG17" s="2175">
        <f>DB12</f>
        <v>236.97823665139728</v>
      </c>
      <c r="DH17" s="2175" t="s">
        <v>279</v>
      </c>
      <c r="DI17" s="2175">
        <f t="shared" si="4"/>
        <v>0.75562517952077002</v>
      </c>
      <c r="DJ17" s="2137" t="s">
        <v>1964</v>
      </c>
      <c r="DK17" s="2137">
        <f t="shared" si="3"/>
        <v>2</v>
      </c>
      <c r="DL17" s="2177" t="s">
        <v>4275</v>
      </c>
      <c r="DM17" s="2177"/>
      <c r="DN17" s="2177"/>
      <c r="DO17" s="2177"/>
      <c r="DP17" s="2178"/>
      <c r="FQ17" s="2096"/>
      <c r="FR17" s="2097"/>
      <c r="FS17" s="2097" t="s">
        <v>4348</v>
      </c>
      <c r="FT17" s="2098"/>
      <c r="FU17" s="2099"/>
      <c r="FV17" s="2099" t="s">
        <v>4348</v>
      </c>
      <c r="FW17" s="2100"/>
      <c r="FX17" s="2101"/>
      <c r="FY17" s="2100"/>
      <c r="FZ17" s="2100" t="s">
        <v>4348</v>
      </c>
      <c r="GA17" s="2207"/>
      <c r="GB17" s="2208"/>
      <c r="GC17" s="2209" t="s">
        <v>4348</v>
      </c>
      <c r="GD17" s="2105"/>
      <c r="GE17" s="2105" t="s">
        <v>4397</v>
      </c>
      <c r="GF17" s="2106"/>
    </row>
    <row r="18" spans="2:188" ht="32.25" thickBot="1">
      <c r="B18" s="88"/>
      <c r="C18" s="88"/>
      <c r="D18" s="88"/>
      <c r="F18" s="63"/>
      <c r="G18" s="63">
        <v>15</v>
      </c>
      <c r="H18" s="63" t="s">
        <v>1600</v>
      </c>
      <c r="I18" s="63"/>
      <c r="J18" s="63"/>
      <c r="K18" s="63"/>
      <c r="M18" s="57"/>
      <c r="N18" s="63"/>
      <c r="O18" s="63"/>
      <c r="P18" s="63"/>
      <c r="Q18" s="63">
        <v>30</v>
      </c>
      <c r="R18" s="63"/>
      <c r="S18" s="63"/>
      <c r="T18" s="63"/>
      <c r="U18" s="63"/>
      <c r="V18" s="63"/>
      <c r="W18" s="63">
        <v>26</v>
      </c>
      <c r="X18" s="63"/>
      <c r="Y18" s="63"/>
      <c r="AA18" s="35"/>
      <c r="AB18" s="35" t="s">
        <v>1620</v>
      </c>
      <c r="AC18" s="35">
        <v>6</v>
      </c>
      <c r="AD18" s="35">
        <v>14</v>
      </c>
      <c r="AE18" s="35">
        <v>21</v>
      </c>
      <c r="AF18" s="35">
        <v>28</v>
      </c>
      <c r="AG18" s="35">
        <v>30</v>
      </c>
      <c r="AI18" s="2056" t="s">
        <v>60</v>
      </c>
      <c r="AJ18" s="2057">
        <v>1442</v>
      </c>
      <c r="AK18" s="2058" t="s">
        <v>5</v>
      </c>
      <c r="AL18" s="2058">
        <v>26</v>
      </c>
      <c r="AN18" s="2056" t="s">
        <v>60</v>
      </c>
      <c r="AO18" s="2057">
        <v>1442</v>
      </c>
      <c r="AP18" s="2058" t="s">
        <v>5</v>
      </c>
      <c r="AQ18" s="2058">
        <v>26</v>
      </c>
      <c r="AS18" s="2056" t="s">
        <v>60</v>
      </c>
      <c r="AT18" s="2057">
        <v>1442</v>
      </c>
      <c r="AU18" s="2058" t="s">
        <v>5</v>
      </c>
      <c r="AV18" s="2058">
        <v>26</v>
      </c>
      <c r="AX18" s="2056" t="s">
        <v>60</v>
      </c>
      <c r="AY18" s="2057">
        <v>1442</v>
      </c>
      <c r="AZ18" s="2058" t="s">
        <v>5</v>
      </c>
      <c r="BA18" s="2058">
        <v>26</v>
      </c>
      <c r="BB18" s="2117" t="s">
        <v>1481</v>
      </c>
      <c r="BC18" s="2119" t="e">
        <f ca="1">[2]!taqsh(AY18,AY19,AY20,AY21)</f>
        <v>#NAME?</v>
      </c>
      <c r="BM18" s="2056" t="s">
        <v>60</v>
      </c>
      <c r="BN18" s="2057">
        <v>1442</v>
      </c>
      <c r="BO18" s="2058" t="s">
        <v>5</v>
      </c>
      <c r="BP18" s="2210">
        <v>26</v>
      </c>
      <c r="BQ18" s="2117" t="s">
        <v>1481</v>
      </c>
      <c r="BR18" s="2119" t="e">
        <f ca="1">[2]!taqsh(BN18,BN19,BN20,BN21)</f>
        <v>#NAME?</v>
      </c>
      <c r="BX18" s="2056" t="s">
        <v>60</v>
      </c>
      <c r="BY18" s="2057">
        <v>1442</v>
      </c>
      <c r="BZ18" s="2058" t="s">
        <v>5</v>
      </c>
      <c r="CA18" s="2058">
        <v>26</v>
      </c>
      <c r="CB18" s="2117" t="s">
        <v>1481</v>
      </c>
      <c r="CC18" s="2119" t="e">
        <f ca="1">[2]!taqsh(BY18,BY19,BY20,BY21)</f>
        <v>#NAME?</v>
      </c>
      <c r="CF18" s="2056" t="s">
        <v>60</v>
      </c>
      <c r="CG18" s="2057">
        <v>1442</v>
      </c>
      <c r="CH18" s="2058" t="s">
        <v>5</v>
      </c>
      <c r="CI18" s="2210">
        <v>29</v>
      </c>
      <c r="CY18" s="2156"/>
      <c r="CZ18" s="2156">
        <f>0.095*60</f>
        <v>5.7</v>
      </c>
      <c r="DA18" s="2211" t="s">
        <v>4327</v>
      </c>
      <c r="DB18" s="2212">
        <f>IF(DK18=1,[1]!tq([1]!tq(DG18-DE18)+DI18),IF(AND(DK18=2,$DI$8&lt;=12),[1]!tq([1]!tq(DG18-DE18)+DI18),[1]!tq([1]!tq(DE18-DG18)+DI18)))</f>
        <v>143.44786156837958</v>
      </c>
      <c r="DC18" s="2212">
        <f t="shared" si="2"/>
        <v>6</v>
      </c>
      <c r="DD18" s="2192" t="s">
        <v>1293</v>
      </c>
      <c r="DE18" s="2192">
        <f>DE14</f>
        <v>341.08523173912056</v>
      </c>
      <c r="DF18" s="2213" t="s">
        <v>849</v>
      </c>
      <c r="DG18" s="2213">
        <f>DG13</f>
        <v>123.77746812797938</v>
      </c>
      <c r="DH18" s="2213" t="s">
        <v>279</v>
      </c>
      <c r="DI18" s="2213">
        <f t="shared" si="4"/>
        <v>0.75562517952077002</v>
      </c>
      <c r="DJ18" s="2192" t="s">
        <v>1964</v>
      </c>
      <c r="DK18" s="2192">
        <f t="shared" si="3"/>
        <v>2</v>
      </c>
      <c r="DL18" s="2214" t="s">
        <v>4276</v>
      </c>
      <c r="DM18" s="2214"/>
      <c r="DN18" s="2214"/>
      <c r="DO18" s="2214"/>
      <c r="DP18" s="2215"/>
      <c r="FQ18" s="2124"/>
      <c r="FR18" s="2125"/>
      <c r="FS18" s="2126" t="s">
        <v>4402</v>
      </c>
      <c r="FT18" s="2216"/>
      <c r="FU18" s="2217"/>
      <c r="FV18" s="2218" t="s">
        <v>4405</v>
      </c>
      <c r="FW18" s="2130"/>
      <c r="FX18" s="2130"/>
      <c r="FY18" s="2130"/>
      <c r="FZ18" s="2132" t="s">
        <v>4400</v>
      </c>
      <c r="GA18" s="2133"/>
      <c r="GB18" s="2134"/>
      <c r="GC18" s="2219" t="s">
        <v>4604</v>
      </c>
      <c r="GD18" s="2137"/>
      <c r="GE18" s="2137" t="s">
        <v>1293</v>
      </c>
      <c r="GF18" s="2138"/>
    </row>
    <row r="19" spans="2:188" ht="32.25" thickBot="1">
      <c r="B19" s="88"/>
      <c r="C19" s="88"/>
      <c r="D19" s="88"/>
      <c r="F19" s="63"/>
      <c r="G19" s="63">
        <v>16</v>
      </c>
      <c r="H19" s="63" t="s">
        <v>1601</v>
      </c>
      <c r="I19" s="63"/>
      <c r="J19" s="63"/>
      <c r="K19" s="63"/>
      <c r="M19" s="2220" t="s">
        <v>1372</v>
      </c>
      <c r="N19" s="2220" t="e">
        <f ca="1">IF(OR(P5=10,P5=19,P5=33,P5=37,P5=45,P5=57,P5=60,P5=71,P5=72,P5=80,P5=81,P5=91,P5=92,P5=93,P5=104,P5=105,P5=123,P5=125,P5=127,P5=137,P5=152,P5=162,P5=165,P5=170,P5=183,P5=185,P5=201,P5=202,P5=216,P5=222,P5=230,P5=253,P5=260,P5=263,P5=282,P5=283,P5=284,P5=290,P5=298,P5=306,P5=307,P5=316,P5=317,P5=320,P5=342,P5=350,P5=357),"سعد",IF(OR(P5=6,P5=11,P5=17,P5=23,P5=29,P5=35,P5=38,P5=43,P5=48,P5=55,P5=56,P5=62,P5=73,P5=77,P5=86,P5=90,P5=98,P5=102,P5=106,P5=113,P5=114,P5=116,P5=120,P5=133,P5=135,P5=136,P5=142,P5=143,P5=148,P5=157,P5=163,P5=166,P5=173,P5=175,P5=181,P5=187,P5=200,P5=210,P5=212,P5=220,P5=227,P5=232,P5=233,P5=237,P5=247,P5=252,P5=257,P5=264,P5=266,P5=270,P5=272,P5=273,P5=274,P5=277,P5=287,P5=292,P5=294,P5=296,P5=301,P5=312,P5=314,P5=323,P5=329,P5=336,P5=339,P5=349,P5=354,P5=356,P5=358),"نحس","لا سعد و لا نحس"))</f>
        <v>#NAME?</v>
      </c>
      <c r="O19" s="2221"/>
      <c r="AA19" s="34" t="s">
        <v>1610</v>
      </c>
      <c r="AB19" s="34" t="s">
        <v>1619</v>
      </c>
      <c r="AC19" s="34" t="s">
        <v>687</v>
      </c>
      <c r="AD19" s="34" t="s">
        <v>1290</v>
      </c>
      <c r="AE19" s="34" t="s">
        <v>1291</v>
      </c>
      <c r="AF19" s="34" t="s">
        <v>1292</v>
      </c>
      <c r="AG19" s="34" t="s">
        <v>1293</v>
      </c>
      <c r="AI19" s="2060" t="s">
        <v>4</v>
      </c>
      <c r="AJ19" s="2061">
        <v>12</v>
      </c>
      <c r="AK19" s="2062" t="s">
        <v>219</v>
      </c>
      <c r="AL19" s="2062">
        <v>21</v>
      </c>
      <c r="AN19" s="2060" t="s">
        <v>4</v>
      </c>
      <c r="AO19" s="2061">
        <v>1</v>
      </c>
      <c r="AP19" s="2062" t="s">
        <v>219</v>
      </c>
      <c r="AQ19" s="2062">
        <v>21</v>
      </c>
      <c r="AS19" s="2060" t="s">
        <v>4</v>
      </c>
      <c r="AT19" s="2061">
        <v>2</v>
      </c>
      <c r="AU19" s="2062" t="s">
        <v>219</v>
      </c>
      <c r="AV19" s="2062">
        <v>21</v>
      </c>
      <c r="AX19" s="2060" t="s">
        <v>4</v>
      </c>
      <c r="AY19" s="2061">
        <v>12</v>
      </c>
      <c r="AZ19" s="2062" t="s">
        <v>219</v>
      </c>
      <c r="BA19" s="2062">
        <v>21</v>
      </c>
      <c r="BB19" s="2149"/>
      <c r="BC19" s="2151" t="e">
        <f ca="1">INT(BC18/30)</f>
        <v>#NAME?</v>
      </c>
      <c r="BM19" s="2060" t="s">
        <v>4</v>
      </c>
      <c r="BN19" s="2061">
        <v>2</v>
      </c>
      <c r="BO19" s="2062" t="s">
        <v>219</v>
      </c>
      <c r="BP19" s="2222">
        <v>10</v>
      </c>
      <c r="BQ19" s="2162"/>
      <c r="BR19" s="2164" t="e">
        <f ca="1">IF([2]!MODd(BR18,40)&lt;=3.333333,"مریخ",IF([2]!MODd(BR18,40)&lt;=6.6666667,"زهره",IF([2]!MODd(BR18,40)&lt;=10,"عطارد",IF([2]!MODd(BR18,40)&lt;=13.333333,"قمر",IF([2]!MODd(BR18,40)&lt;=16.66666667,"شمس",IF([2]!MODd(BR18,40)&lt;=20,"عطارد",IF([2]!MODd(BR18,40)&lt;=23.3333333,"زهره",IF([2]!MODd(BR18,40)&lt;=26.6666667,"مریخ",IF([2]!MODd(BR18,40)&lt;=30,"مشتری",IF([2]!MODd(BR18,40)&lt;=33.3333333,"زحل",IF([2]!MODd(BR18,40)&lt;=36.66666667,"زحل","مشتری")))))))))))</f>
        <v>#NAME?</v>
      </c>
      <c r="BX19" s="2060" t="s">
        <v>4</v>
      </c>
      <c r="BY19" s="2061">
        <v>9</v>
      </c>
      <c r="BZ19" s="2062" t="s">
        <v>219</v>
      </c>
      <c r="CA19" s="2062">
        <v>10</v>
      </c>
      <c r="CB19" s="2149"/>
      <c r="CC19" s="2151">
        <f>30/7</f>
        <v>4.2857142857142856</v>
      </c>
      <c r="CF19" s="2060" t="s">
        <v>4</v>
      </c>
      <c r="CG19" s="2061">
        <v>3</v>
      </c>
      <c r="CH19" s="2062" t="s">
        <v>219</v>
      </c>
      <c r="CI19" s="2222">
        <v>10</v>
      </c>
      <c r="CY19" s="2156"/>
      <c r="CZ19" s="2156"/>
      <c r="FQ19" s="2124"/>
      <c r="FR19" s="2125"/>
      <c r="FS19" s="2126" t="s">
        <v>4605</v>
      </c>
      <c r="FT19" s="2127"/>
      <c r="FU19" s="2128"/>
      <c r="FV19" s="2223" t="s">
        <v>4606</v>
      </c>
      <c r="FW19" s="2130"/>
      <c r="FX19" s="2130"/>
      <c r="FY19" s="2130"/>
      <c r="FZ19" s="2132" t="s">
        <v>4607</v>
      </c>
      <c r="GA19" s="2133"/>
      <c r="GB19" s="2134"/>
      <c r="GC19" s="2219" t="s">
        <v>4608</v>
      </c>
      <c r="GD19" s="2137"/>
      <c r="GE19" s="2137" t="s">
        <v>1292</v>
      </c>
      <c r="GF19" s="2138"/>
    </row>
    <row r="20" spans="2:188" ht="32.25" thickBot="1">
      <c r="B20" s="88"/>
      <c r="C20" s="88"/>
      <c r="D20" s="88"/>
      <c r="F20" s="63"/>
      <c r="G20" s="63">
        <v>17</v>
      </c>
      <c r="H20" s="63" t="s">
        <v>1602</v>
      </c>
      <c r="I20" s="63"/>
      <c r="J20" s="63"/>
      <c r="K20" s="63"/>
      <c r="M20" s="57" t="s">
        <v>1621</v>
      </c>
      <c r="N20" s="34">
        <v>7</v>
      </c>
      <c r="O20" s="34">
        <v>7</v>
      </c>
      <c r="P20" s="2224">
        <v>6</v>
      </c>
      <c r="Q20" s="34">
        <v>2</v>
      </c>
      <c r="R20" s="34">
        <v>5</v>
      </c>
      <c r="S20" s="2224">
        <v>7</v>
      </c>
      <c r="T20" s="34">
        <v>5</v>
      </c>
      <c r="U20" s="34">
        <v>6</v>
      </c>
      <c r="V20" s="34">
        <v>2</v>
      </c>
      <c r="W20" s="34">
        <v>8</v>
      </c>
      <c r="X20" s="34">
        <v>5</v>
      </c>
      <c r="Y20" s="34">
        <v>10</v>
      </c>
      <c r="AA20" s="34"/>
      <c r="AB20" s="34" t="s">
        <v>1620</v>
      </c>
      <c r="AC20" s="34">
        <v>7</v>
      </c>
      <c r="AD20" s="34">
        <v>11</v>
      </c>
      <c r="AE20" s="34">
        <v>19</v>
      </c>
      <c r="AF20" s="34">
        <v>24</v>
      </c>
      <c r="AG20" s="34">
        <v>30</v>
      </c>
      <c r="AI20" s="2060" t="s">
        <v>5</v>
      </c>
      <c r="AJ20" s="2061" t="e">
        <f ca="1">[2]!roz(AL18,AL19,AL20,AL21)</f>
        <v>#NAME?</v>
      </c>
      <c r="AK20" s="2062" t="s">
        <v>166</v>
      </c>
      <c r="AL20" s="2062">
        <v>0</v>
      </c>
      <c r="AN20" s="2060" t="s">
        <v>5</v>
      </c>
      <c r="AO20" s="2061" t="e">
        <f ca="1">[2]!roz(AQ18,AQ19,AQ20,AQ21)</f>
        <v>#NAME?</v>
      </c>
      <c r="AP20" s="2062" t="s">
        <v>166</v>
      </c>
      <c r="AQ20" s="2062">
        <v>0</v>
      </c>
      <c r="AS20" s="2060" t="s">
        <v>5</v>
      </c>
      <c r="AT20" s="2061" t="e">
        <f ca="1">[2]!roz(AV18,AV19,AV20,AV21)</f>
        <v>#NAME?</v>
      </c>
      <c r="AU20" s="2062" t="s">
        <v>166</v>
      </c>
      <c r="AV20" s="2062">
        <v>0</v>
      </c>
      <c r="AX20" s="2060" t="s">
        <v>5</v>
      </c>
      <c r="AY20" s="2061" t="e">
        <f ca="1">[2]!roz(BA18,BA19,BA20,BA21)</f>
        <v>#NAME?</v>
      </c>
      <c r="AZ20" s="2062" t="s">
        <v>166</v>
      </c>
      <c r="BA20" s="2062">
        <v>0</v>
      </c>
      <c r="BB20" s="2149"/>
      <c r="BC20" s="2151" t="e">
        <f ca="1">[2]!MODd(BC18,30)</f>
        <v>#NAME?</v>
      </c>
      <c r="BM20" s="2060" t="s">
        <v>5</v>
      </c>
      <c r="BN20" s="2061" t="e">
        <f ca="1">[2]!roz(BP18,BP19,BP20,BP21)</f>
        <v>#NAME?</v>
      </c>
      <c r="BO20" s="2062" t="s">
        <v>166</v>
      </c>
      <c r="BP20" s="2222">
        <v>5</v>
      </c>
      <c r="BX20" s="2060" t="s">
        <v>5</v>
      </c>
      <c r="BY20" s="2061" t="e">
        <f ca="1">[2]!roz(CA18,CA19,CA20,CA21)</f>
        <v>#NAME?</v>
      </c>
      <c r="BZ20" s="2062" t="s">
        <v>166</v>
      </c>
      <c r="CA20" s="2062">
        <v>5</v>
      </c>
      <c r="CB20" s="2149"/>
      <c r="CC20" s="2151" t="e">
        <f ca="1">IF(CC18=0,0,IF([2]!MODd(CC18,30)&gt;0,[2]!MODd(CC18,30),[2]!MODd(CC18-1,30)))</f>
        <v>#NAME?</v>
      </c>
      <c r="CF20" s="2060" t="s">
        <v>5</v>
      </c>
      <c r="CG20" s="2061" t="e">
        <f ca="1">[2]!roz(CI18,CI19,CI20,CI21)</f>
        <v>#NAME?</v>
      </c>
      <c r="CH20" s="2062" t="s">
        <v>166</v>
      </c>
      <c r="CI20" s="2222">
        <v>5</v>
      </c>
      <c r="CY20" s="2156"/>
      <c r="CZ20" s="2156"/>
      <c r="DA20" s="2156" t="s">
        <v>4335</v>
      </c>
      <c r="DG20" s="2175" t="s">
        <v>4345</v>
      </c>
      <c r="FQ20" s="2124"/>
      <c r="FR20" s="2125"/>
      <c r="FS20" s="2126" t="s">
        <v>4609</v>
      </c>
      <c r="FT20" s="2127"/>
      <c r="FU20" s="2128"/>
      <c r="FV20" s="2223" t="s">
        <v>4610</v>
      </c>
      <c r="FW20" s="2130"/>
      <c r="FX20" s="2130"/>
      <c r="FY20" s="2130"/>
      <c r="FZ20" s="2132" t="s">
        <v>4409</v>
      </c>
      <c r="GA20" s="2133"/>
      <c r="GB20" s="2134"/>
      <c r="GC20" s="2219" t="s">
        <v>4408</v>
      </c>
      <c r="GD20" s="2137"/>
      <c r="GE20" s="2137" t="s">
        <v>687</v>
      </c>
      <c r="GF20" s="2138"/>
    </row>
    <row r="21" spans="2:188" ht="31.5">
      <c r="B21" s="88"/>
      <c r="C21" s="88"/>
      <c r="D21" s="88"/>
      <c r="F21" s="63"/>
      <c r="G21" s="63">
        <v>18</v>
      </c>
      <c r="H21" s="63" t="s">
        <v>1603</v>
      </c>
      <c r="I21" s="63"/>
      <c r="J21" s="63"/>
      <c r="K21" s="63"/>
      <c r="M21" s="57" t="s">
        <v>2111</v>
      </c>
      <c r="N21" s="2224">
        <v>2</v>
      </c>
      <c r="O21" s="2224">
        <v>8</v>
      </c>
      <c r="P21" s="34">
        <v>11</v>
      </c>
      <c r="Q21" s="2224">
        <v>5</v>
      </c>
      <c r="R21" s="2224">
        <v>2</v>
      </c>
      <c r="S21" s="34">
        <v>5</v>
      </c>
      <c r="T21" s="2224">
        <v>11</v>
      </c>
      <c r="U21" s="2224">
        <v>4</v>
      </c>
      <c r="V21" s="2224">
        <v>4</v>
      </c>
      <c r="W21" s="2224">
        <v>11</v>
      </c>
      <c r="X21" s="2224">
        <v>12</v>
      </c>
      <c r="Y21" s="2224">
        <v>10</v>
      </c>
      <c r="AA21" s="35" t="s">
        <v>943</v>
      </c>
      <c r="AB21" s="35" t="s">
        <v>1619</v>
      </c>
      <c r="AC21" s="35" t="s">
        <v>1292</v>
      </c>
      <c r="AD21" s="35" t="s">
        <v>1290</v>
      </c>
      <c r="AE21" s="35" t="s">
        <v>1291</v>
      </c>
      <c r="AF21" s="35" t="s">
        <v>1293</v>
      </c>
      <c r="AG21" s="35" t="s">
        <v>687</v>
      </c>
      <c r="AI21" s="2225" t="s">
        <v>393</v>
      </c>
      <c r="AJ21" s="2226" t="e">
        <f ca="1">[2]!mbtool(1,25,0,1)</f>
        <v>#NAME?</v>
      </c>
      <c r="AK21" s="2107" t="s">
        <v>167</v>
      </c>
      <c r="AL21" s="2107">
        <v>0</v>
      </c>
      <c r="AN21" s="2225" t="s">
        <v>393</v>
      </c>
      <c r="AO21" s="2226" t="e">
        <f ca="1">[2]!mbtool(1,25,0,1)</f>
        <v>#NAME?</v>
      </c>
      <c r="AP21" s="2107" t="s">
        <v>167</v>
      </c>
      <c r="AQ21" s="2107">
        <v>0</v>
      </c>
      <c r="AS21" s="2225" t="s">
        <v>393</v>
      </c>
      <c r="AT21" s="2226" t="e">
        <f ca="1">[2]!mbtool(1,25,0,1)</f>
        <v>#NAME?</v>
      </c>
      <c r="AU21" s="2107" t="s">
        <v>167</v>
      </c>
      <c r="AV21" s="2107">
        <v>0</v>
      </c>
      <c r="AX21" s="2225" t="s">
        <v>393</v>
      </c>
      <c r="AY21" s="2226" t="e">
        <f ca="1">[2]!mbtool(1,25,0,1)</f>
        <v>#NAME?</v>
      </c>
      <c r="AZ21" s="2107" t="s">
        <v>167</v>
      </c>
      <c r="BA21" s="2107">
        <v>0</v>
      </c>
      <c r="BB21" s="2149"/>
      <c r="BC21" s="2151" t="e">
        <f ca="1">IF(BC19=0,BC20,IF(BC19=1,BC18-27.5,IF(BC19=2,BC18-(2*27.5),IF(BC19=3,BC18-(3*27.5),IF(BC19=4,BC18-(4*27.5),IF(BC19=5,BC18-(5*27.5),IF(BC19=6,BC18-(6*27.5),IF(BC19=7,BC18-(7*27.5),IF(BC19=8,BC18-(8*27.5),IF(BC19=9,BC18-(9*27.5),IF(BC19=10,BC18-(10*27.5),BC18-(11*27.5))))))))))))</f>
        <v>#NAME?</v>
      </c>
      <c r="BM21" s="2225" t="s">
        <v>393</v>
      </c>
      <c r="BN21" s="2226" t="e">
        <f ca="1">[2]!mbtool(1,25,0,1)</f>
        <v>#NAME?</v>
      </c>
      <c r="BO21" s="2107" t="s">
        <v>167</v>
      </c>
      <c r="BP21" s="2227">
        <v>2</v>
      </c>
      <c r="BX21" s="2225" t="s">
        <v>393</v>
      </c>
      <c r="BY21" s="2226" t="e">
        <f ca="1">[2]!mbtool(1,25,0,1)</f>
        <v>#NAME?</v>
      </c>
      <c r="BZ21" s="2107" t="s">
        <v>167</v>
      </c>
      <c r="CA21" s="2107">
        <v>2</v>
      </c>
      <c r="CB21" s="2149"/>
      <c r="CC21" s="2151" t="e">
        <f ca="1">INT(CC18/30)</f>
        <v>#NAME?</v>
      </c>
      <c r="CF21" s="2225" t="s">
        <v>393</v>
      </c>
      <c r="CG21" s="2226" t="e">
        <f ca="1">[2]!mbtool(1,25,0,1)</f>
        <v>#NAME?</v>
      </c>
      <c r="CH21" s="2107" t="s">
        <v>167</v>
      </c>
      <c r="CI21" s="2227">
        <v>2</v>
      </c>
      <c r="CY21" s="2156"/>
      <c r="CZ21" s="2156"/>
      <c r="DA21" s="2228" t="s">
        <v>1988</v>
      </c>
      <c r="DB21" s="2229"/>
      <c r="DC21" s="2229"/>
      <c r="DD21" s="2229"/>
      <c r="DE21" s="2229"/>
      <c r="DF21" s="2229"/>
      <c r="DG21" s="2229"/>
      <c r="DH21" s="2229"/>
      <c r="DI21" s="2229"/>
      <c r="DJ21" s="2229"/>
      <c r="DK21" s="2229"/>
      <c r="DL21" s="2229"/>
      <c r="DM21" s="2229"/>
      <c r="DN21" s="2487" t="s">
        <v>1537</v>
      </c>
      <c r="DO21" s="2261" t="s">
        <v>275</v>
      </c>
      <c r="DP21" s="2261" t="s">
        <v>1481</v>
      </c>
      <c r="DQ21" s="2261" t="s">
        <v>172</v>
      </c>
      <c r="DR21" s="2488" t="s">
        <v>166</v>
      </c>
      <c r="DS21" s="2177" t="s">
        <v>4342</v>
      </c>
      <c r="EF21" s="2230" t="s">
        <v>60</v>
      </c>
      <c r="EG21" s="2231">
        <f>DE5</f>
        <v>1445</v>
      </c>
      <c r="EH21" s="2232">
        <f>DI6</f>
        <v>6.2233333333333336</v>
      </c>
      <c r="EI21" s="2232"/>
      <c r="EJ21" s="2233"/>
      <c r="EK21" s="2234">
        <v>365.24220026363002</v>
      </c>
      <c r="EL21" s="2234"/>
      <c r="EM21" s="2235">
        <f>[1]!troozv(EG21,EG22,INT(EG23))</f>
        <v>511951</v>
      </c>
      <c r="EN21" s="2514" t="s">
        <v>4651</v>
      </c>
      <c r="EO21" s="2515">
        <v>1400</v>
      </c>
      <c r="FQ21" s="2124"/>
      <c r="FR21" s="2125"/>
      <c r="FS21" s="2126" t="s">
        <v>4611</v>
      </c>
      <c r="FT21" s="2127"/>
      <c r="FU21" s="2128"/>
      <c r="FV21" s="2223" t="s">
        <v>4612</v>
      </c>
      <c r="FW21" s="2130"/>
      <c r="FX21" s="2130"/>
      <c r="FY21" s="2130"/>
      <c r="FZ21" s="2132" t="s">
        <v>4413</v>
      </c>
      <c r="GA21" s="2133"/>
      <c r="GB21" s="2134"/>
      <c r="GC21" s="2219" t="s">
        <v>4613</v>
      </c>
      <c r="GD21" s="2137"/>
      <c r="GE21" s="2137" t="s">
        <v>1290</v>
      </c>
      <c r="GF21" s="2138"/>
    </row>
    <row r="22" spans="2:188" ht="32.25" thickBot="1">
      <c r="B22" s="88"/>
      <c r="C22" s="88"/>
      <c r="D22" s="88"/>
      <c r="F22" s="63"/>
      <c r="G22" s="63">
        <v>19</v>
      </c>
      <c r="H22" s="63" t="s">
        <v>1604</v>
      </c>
      <c r="I22" s="63"/>
      <c r="J22" s="63"/>
      <c r="K22" s="63"/>
      <c r="M22" s="57"/>
      <c r="N22" s="34">
        <v>6</v>
      </c>
      <c r="O22" s="34">
        <v>15</v>
      </c>
      <c r="P22" s="2224">
        <v>6</v>
      </c>
      <c r="Q22" s="34">
        <v>6</v>
      </c>
      <c r="R22" s="34">
        <v>6</v>
      </c>
      <c r="S22" s="2224">
        <v>8</v>
      </c>
      <c r="T22" s="34">
        <v>7</v>
      </c>
      <c r="U22" s="34">
        <v>9</v>
      </c>
      <c r="V22" s="34">
        <v>7</v>
      </c>
      <c r="W22" s="34">
        <v>5</v>
      </c>
      <c r="X22" s="34">
        <v>6</v>
      </c>
      <c r="Y22" s="34">
        <v>3</v>
      </c>
      <c r="AA22" s="35"/>
      <c r="AB22" s="35" t="s">
        <v>1620</v>
      </c>
      <c r="AC22" s="35">
        <v>12</v>
      </c>
      <c r="AD22" s="35">
        <v>17</v>
      </c>
      <c r="AE22" s="35">
        <v>21</v>
      </c>
      <c r="AF22" s="35">
        <v>26</v>
      </c>
      <c r="AG22" s="35">
        <v>30</v>
      </c>
      <c r="AJ22" s="89" t="e">
        <f ca="1">[2]!taqsh(AJ18,AJ19,AJ20,AJ21)</f>
        <v>#NAME?</v>
      </c>
      <c r="AO22" s="89" t="e">
        <f ca="1">[2]!taqsh(AO18,AO19,AO20,AO21)</f>
        <v>#NAME?</v>
      </c>
      <c r="AT22" s="89" t="e">
        <f ca="1">[2]!taqsh(AT18,AT19,AT20,AT21)</f>
        <v>#NAME?</v>
      </c>
      <c r="BB22" s="2162"/>
      <c r="BC22" s="2164" t="e">
        <f ca="1">IF(BC21&lt;=2.5,"مریخ",IF(BC21&lt;=2*2.5,"زهره",IF(BC21&lt;=3*2.5,"عطارد",IF(BC21&lt;=4*2.5,"قمر",IF(BC21&lt;=5*2.5,"شمس",IF(BC21&lt;=6*2.5,"عطارد",IF(BC21&lt;=7*2.5,"زهره",IF(BC21&lt;=8*2.5,"مریخ",IF(BC21&lt;=9*2.5,"مشتری",IF(BC21&lt;=10*2.5,"زحل",IF(BC21&lt;=11*2.5,"زحل","مشتری")))))))))))</f>
        <v>#NAME?</v>
      </c>
      <c r="CB22" s="2149"/>
      <c r="CC22" s="2151" t="e">
        <f ca="1">IF(CC20&lt;=CC19,1,IF(CC20&lt;=CC19*2,2,IF(CC20&lt;=CC19*3,3,IF(CC20&lt;=CC19*4,4,IF(CC20&lt;=CC19*5,5,IF(CC20&lt;=CC19*6,6,7))))))</f>
        <v>#NAME?</v>
      </c>
      <c r="CF22" s="2117" t="s">
        <v>1481</v>
      </c>
      <c r="CG22" s="2119" t="e">
        <f ca="1">[2]!taqsh(CG18,CG19,CG20,CG21)</f>
        <v>#NAME?</v>
      </c>
      <c r="CY22" s="2156"/>
      <c r="CZ22" s="2156"/>
      <c r="DA22" s="2236" t="s">
        <v>4277</v>
      </c>
      <c r="DB22" s="2237" t="s">
        <v>1372</v>
      </c>
      <c r="DC22" s="2112" t="s">
        <v>172</v>
      </c>
      <c r="DD22" s="2112" t="s">
        <v>166</v>
      </c>
      <c r="DE22" s="2112" t="s">
        <v>4340</v>
      </c>
      <c r="DF22" s="2238" t="s">
        <v>181</v>
      </c>
      <c r="DG22" s="2238"/>
      <c r="DH22" s="2239" t="s">
        <v>182</v>
      </c>
      <c r="DI22" s="2239"/>
      <c r="DJ22" s="2090" t="s">
        <v>1959</v>
      </c>
      <c r="DK22" s="2090"/>
      <c r="DL22" s="2238" t="s">
        <v>4278</v>
      </c>
      <c r="DM22" s="2238"/>
      <c r="DN22" s="2489" t="s">
        <v>1544</v>
      </c>
      <c r="DO22" s="2490">
        <v>0</v>
      </c>
      <c r="DP22" s="2494">
        <f>[1]!taqsh(DE5,DE6,DE7,DE8)</f>
        <v>7.9599855894230132E-5</v>
      </c>
      <c r="DQ22" s="2491">
        <f>INT(ABS(DG12))</f>
        <v>0</v>
      </c>
      <c r="DR22" s="2492">
        <f>INT((ABS(DG12)-DQ22)*60)</f>
        <v>0</v>
      </c>
      <c r="DS22" s="88">
        <f t="shared" ref="DS22:DS31" si="5">IF(AND(DP22&gt;=$EO$26,DP22&lt;$EO$27),$EN$26,IF(AND(DP22&lt;$EO$28,DP22&gt;=$EO$27),$EN$27,IF(AND(DP22&lt;$EO$29,DP22&gt;=$EO$28),$EN$28,IF(AND(DP22&lt;$EO$30,DP22&gt;=$EO$29),$EN$29,IF(AND(DP22&lt;$EO$31,DP22&gt;=$EO$30),$EN$30,IF(AND(DP22&lt;$EO$32,DP22&gt;=$EO$31),$EN$31,IF(AND(DP22&lt;$EO$33,DP22&gt;=$EO$32),$EN$32,IF(AND(DP22&lt;$EO$34,DP22&gt;=$EO$33),$EN$33,IF(AND(DP22&lt;$EO$35,DP22&gt;=$EO$34),$EN$34,IF(AND(DP22&lt;$EO$36,DP22&gt;=$EO$35),$EN$35,IF(AND(DP22&lt;$EO$37,DP22&gt;=$EO$36),$EN$36,$EN$37)))))))))))</f>
        <v>1</v>
      </c>
      <c r="EF22" s="2240" t="s">
        <v>4</v>
      </c>
      <c r="EG22" s="2142">
        <f>DE6</f>
        <v>9</v>
      </c>
      <c r="EH22" s="2137"/>
      <c r="EI22" s="2137"/>
      <c r="EJ22" s="2241"/>
      <c r="EK22" s="2177" t="s">
        <v>1383</v>
      </c>
      <c r="EL22" s="2177"/>
      <c r="EM22" s="2178">
        <f>(EM21+119)/EK21</f>
        <v>1402.0011916213143</v>
      </c>
      <c r="EN22" s="2516" t="s">
        <v>4648</v>
      </c>
      <c r="EO22" s="2517">
        <v>5</v>
      </c>
      <c r="FQ22" s="2179"/>
      <c r="FR22" s="2180"/>
      <c r="FS22" s="2181" t="s">
        <v>4418</v>
      </c>
      <c r="FT22" s="2182"/>
      <c r="FU22" s="2183"/>
      <c r="FV22" s="2242" t="s">
        <v>4419</v>
      </c>
      <c r="FW22" s="2185"/>
      <c r="FX22" s="2185"/>
      <c r="FY22" s="2185"/>
      <c r="FZ22" s="2187" t="s">
        <v>4614</v>
      </c>
      <c r="GA22" s="2188"/>
      <c r="GB22" s="2189"/>
      <c r="GC22" s="2243" t="s">
        <v>4615</v>
      </c>
      <c r="GD22" s="2192"/>
      <c r="GE22" s="2192" t="s">
        <v>1291</v>
      </c>
      <c r="GF22" s="2193"/>
    </row>
    <row r="23" spans="2:188" ht="27">
      <c r="B23" s="88"/>
      <c r="C23" s="88"/>
      <c r="D23" s="88"/>
      <c r="F23" s="63"/>
      <c r="G23" s="63">
        <v>20</v>
      </c>
      <c r="H23" s="63" t="s">
        <v>1605</v>
      </c>
      <c r="I23" s="63"/>
      <c r="J23" s="63"/>
      <c r="K23" s="63"/>
      <c r="M23" s="2244"/>
      <c r="N23" s="2224">
        <v>7</v>
      </c>
      <c r="O23" s="34"/>
      <c r="P23" s="34">
        <v>4</v>
      </c>
      <c r="Q23" s="2224">
        <v>2</v>
      </c>
      <c r="R23" s="2224">
        <v>10</v>
      </c>
      <c r="S23" s="34">
        <v>10</v>
      </c>
      <c r="T23" s="2224">
        <v>7</v>
      </c>
      <c r="U23" s="2224">
        <v>8</v>
      </c>
      <c r="V23" s="2224">
        <v>12</v>
      </c>
      <c r="W23" s="2224">
        <v>6</v>
      </c>
      <c r="X23" s="2224">
        <v>7</v>
      </c>
      <c r="Y23" s="2224">
        <v>5</v>
      </c>
      <c r="AA23" s="34" t="s">
        <v>1611</v>
      </c>
      <c r="AB23" s="34" t="s">
        <v>1619</v>
      </c>
      <c r="AC23" s="34" t="s">
        <v>1291</v>
      </c>
      <c r="AD23" s="34" t="s">
        <v>1292</v>
      </c>
      <c r="AE23" s="34" t="s">
        <v>1290</v>
      </c>
      <c r="AF23" s="34" t="s">
        <v>1293</v>
      </c>
      <c r="AG23" s="34" t="s">
        <v>687</v>
      </c>
      <c r="AJ23" s="89" t="e">
        <f ca="1">[2]!MODd(AJ22,70)</f>
        <v>#NAME?</v>
      </c>
      <c r="AO23" s="89" t="e">
        <f ca="1">IF(AO22&lt;=10,"مریخ",IF(AO22&lt;=20,"شمس",IF(AO22&lt;=30,"مشتری",IF(AO22&lt;=40,"زهره",IF(AO22&lt;=50,"عطارد",IF(AO22&lt;=60,"زحل",IF(AO22&lt;=70,"عطارد",IF(AO22&lt;=80,"زهره",IF(AO22&lt;=90,"زحل",IF(AO22&lt;=100,"قمر",IF(AO22&lt;=110,"مریخ",IF(AO22&lt;=120,"مشتری",IF(AO22&lt;=130,"شمس",IF(AO22&lt;=140,"مشتری",IF(AO22&lt;=150,"مریخ",IF(AO22&lt;=160,"عطارد",IF(AO22&lt;=170,"زحل",IF(AO22&lt;=180,"زهره",IF(AO22&lt;=190,"زهره",IF(AO22&lt;=200,"زحل",IF(AO22&lt;=210,"عطارد",IF(AO22&lt;=220,"مریخ",IF(AO22&lt;=230,"مشتری",IF(AO22&lt;=240,"قمر",IF(AO22&lt;=250,"مشتری",IF(AO22&lt;=260,"مریخ",IF(AO22&lt;=270,"شمس",IF(AO22&lt;=280,"زحل",IF(AO22&lt;=290,"زهره",IF(AO22&lt;=300,"عطارد",IF(AO22&lt;=310,"زحل",IF(AO22&lt;=320,"عطارد",IF(AO22&lt;=330,"زهره",IF(AO22&lt;=340,"مشتری",IF(AO22&lt;=350,"قمر",IF(AO22&lt;=360,"مریخ","خطا"))))))))))))))))))))))))))))))))))))</f>
        <v>#NAME?</v>
      </c>
      <c r="AT23" s="89" t="e">
        <f ca="1">[2]!MODd(AT22,70)</f>
        <v>#NAME?</v>
      </c>
      <c r="CB23" s="2149"/>
      <c r="CC23" s="2151" t="e">
        <f ca="1">IF(CC21=0,CC22,IF(CC21=1,CC22-5,IF(CC21=2,CC22-4,IF(CC21=3,CC22-3,IF(CC21=4,CC22-6,IF(CC21=5,CC22-4,IF(CC21=6,CC22-5,IF(CC21=7,CC22-0,IF(CC21=8,CC22-1,IF(CC21=9,CC22-2,IF(CC21=10,CC22-2,CC22-1)))))))))))</f>
        <v>#NAME?</v>
      </c>
      <c r="CF23" s="2149"/>
      <c r="CG23" s="2151" t="e">
        <f ca="1">INT(CG22/15)+1</f>
        <v>#NAME?</v>
      </c>
      <c r="DA23" s="2245" t="s">
        <v>1994</v>
      </c>
      <c r="DB23" s="2173">
        <f>IF(DM23=1,[1]!tq([1]!tq(DI23-DG23)+DK23),IF(AND(DM23=2,$DI$8&lt;=12),[1]!tq([1]!tq(DI23-DG23)+DK23),[1]!tq([1]!tq(DG23-DI23)+DK23)))</f>
        <v>156.80561278492084</v>
      </c>
      <c r="DC23" s="2246">
        <f t="shared" ref="DC23" si="6">INT(ABS(DB23))</f>
        <v>156</v>
      </c>
      <c r="DD23" s="2246">
        <f>INT((ABS(DB23)-DC23)*60)</f>
        <v>48</v>
      </c>
      <c r="DE23" s="2173">
        <f t="shared" ref="DE23:DE47" si="7">IF(AND(DB23&gt;=$EO$26,DB23&lt;$EO$27),$EN$26,IF(AND(DB23&lt;$EO$28,DB23&gt;=$EO$27),$EN$27,IF(AND(DB23&lt;$EO$29,DB23&gt;=$EO$28),$EN$28,IF(AND(DB23&lt;$EO$30,DB23&gt;=$EO$29),$EN$29,IF(AND(DB23&lt;$EO$31,DB23&gt;=$EO$30),$EN$30,IF(AND(DB23&lt;$EO$32,DB23&gt;=$EO$31),$EN$31,IF(AND(DB23&lt;$EO$33,DB23&gt;=$EO$32),$EN$32,IF(AND(DB23&lt;$EO$34,DB23&gt;=$EO$33),$EN$33,IF(AND(DB23&lt;$EO$35,DB23&gt;=$EO$34),$EN$34,IF(AND(DB23&lt;$EO$36,DB23&gt;=$EO$35),$EN$35,IF(AND(DB23&lt;$EO$37,DB23&gt;=$EO$36),$EN$36,$EN$37)))))))))))</f>
        <v>6</v>
      </c>
      <c r="DF23" s="2062" t="s">
        <v>687</v>
      </c>
      <c r="DG23" s="2062">
        <f>DP26</f>
        <v>327.7274805225793</v>
      </c>
      <c r="DH23" s="2177" t="s">
        <v>849</v>
      </c>
      <c r="DI23" s="2177">
        <f>DG13</f>
        <v>123.77746812797938</v>
      </c>
      <c r="DJ23" s="2137" t="s">
        <v>279</v>
      </c>
      <c r="DK23" s="2137">
        <f>DI12</f>
        <v>0.75562517952077002</v>
      </c>
      <c r="DL23" s="2062" t="s">
        <v>1964</v>
      </c>
      <c r="DM23" s="2062">
        <f t="shared" ref="DM23:DM86" si="8">IF(DL23="مخالف",2,1)</f>
        <v>2</v>
      </c>
      <c r="DN23" s="2489" t="s">
        <v>849</v>
      </c>
      <c r="DO23" s="2490"/>
      <c r="DP23" s="2494">
        <f>[1]!taqq(DE5,DE6,DE7,DE8)</f>
        <v>123.77746812797938</v>
      </c>
      <c r="DQ23" s="2491">
        <f>INT(ABS(DP23))</f>
        <v>123</v>
      </c>
      <c r="DR23" s="2492">
        <f>INT((ABS(DP23)-DQ23)*60)</f>
        <v>46</v>
      </c>
      <c r="DS23" s="88">
        <f t="shared" si="5"/>
        <v>5</v>
      </c>
      <c r="EF23" s="2240" t="s">
        <v>5</v>
      </c>
      <c r="EG23" s="2142">
        <f>DE7</f>
        <v>10.251325087242698</v>
      </c>
      <c r="EH23" s="2232" t="s">
        <v>177</v>
      </c>
      <c r="EI23" s="2232">
        <f>DI5</f>
        <v>35.75</v>
      </c>
      <c r="EJ23" s="2241" t="s">
        <v>378</v>
      </c>
      <c r="EK23" s="2177">
        <f>[1]!taqsh(EG21,EG22,EG23,EG24)</f>
        <v>7.9599855894230132E-5</v>
      </c>
      <c r="EL23" s="2177"/>
      <c r="EM23" s="2178"/>
      <c r="EN23" s="2516" t="s">
        <v>4649</v>
      </c>
      <c r="EO23" s="2517">
        <v>3</v>
      </c>
    </row>
    <row r="24" spans="2:188" ht="27.75" thickBot="1">
      <c r="B24" s="88"/>
      <c r="C24" s="88">
        <v>2</v>
      </c>
      <c r="D24" s="88" t="s">
        <v>1581</v>
      </c>
      <c r="M24" s="2244"/>
      <c r="N24" s="34">
        <v>8</v>
      </c>
      <c r="O24" s="34"/>
      <c r="P24" s="2224">
        <v>3</v>
      </c>
      <c r="Q24" s="34">
        <v>11</v>
      </c>
      <c r="R24" s="34">
        <v>7</v>
      </c>
      <c r="S24" s="34"/>
      <c r="T24" s="34"/>
      <c r="U24" s="34">
        <v>3</v>
      </c>
      <c r="V24" s="34">
        <v>5</v>
      </c>
      <c r="W24" s="34"/>
      <c r="X24" s="34"/>
      <c r="Y24" s="34">
        <v>2</v>
      </c>
      <c r="AA24" s="34"/>
      <c r="AB24" s="34" t="s">
        <v>1620</v>
      </c>
      <c r="AC24" s="34">
        <v>7</v>
      </c>
      <c r="AD24" s="34">
        <v>14</v>
      </c>
      <c r="AE24" s="34">
        <v>22</v>
      </c>
      <c r="AF24" s="34">
        <v>26</v>
      </c>
      <c r="AG24" s="34">
        <v>30</v>
      </c>
      <c r="AJ24" s="89" t="e">
        <f ca="1">IF(AJ23&lt;=10,"مریخ",IF(AJ23&lt;=20,"شمس",IF(AJ23&lt;=30,"زهره",IF(AJ23&lt;=40,"عطارد",IF(AJ23&lt;=50,"قمر",IF(AJ23&lt;=60,"زحل","مشتری"))))))</f>
        <v>#NAME?</v>
      </c>
      <c r="AT24" s="89" t="e">
        <f ca="1">IF(AT23&lt;=10,"مریخ",IF(AT23&lt;=20,"مشتری",IF(AT23&lt;=30,"زحل",IF(AT23&lt;=40,"قمر",IF(AT23&lt;=50,"عطارد",IF(AT23&lt;=60,"زهره","شمس"))))))</f>
        <v>#NAME?</v>
      </c>
      <c r="CB24" s="2149"/>
      <c r="CC24" s="2151" t="e">
        <f ca="1">IF(CC23&gt;0,CC23,CC23+7)</f>
        <v>#NAME?</v>
      </c>
      <c r="CF24" s="2162"/>
      <c r="CG24" s="2164" t="e">
        <f ca="1">IF(OR(CG23=1,CG23=4,CG23=5,CG23=8,CG23=9,CG23=12,CG23=13,CG23=16,CG23=17,CG23=20,CG23=21,CG23=24),"شمس","قمر")</f>
        <v>#NAME?</v>
      </c>
      <c r="DA24" s="2245" t="s">
        <v>1996</v>
      </c>
      <c r="DB24" s="2173">
        <f>IF(DM24=1,[1]!tq([1]!tq(DI24-DG24)+DK24),IF(AND(DM24=2,$DI$8&lt;=12),[1]!tq([1]!tq(DI24-DG24)+DK24),[1]!tq([1]!tq(DG24-DI24)+DK24)))</f>
        <v>143.44786156837958</v>
      </c>
      <c r="DC24" s="2246">
        <f t="shared" ref="DC24:DC87" si="9">INT(ABS(DB24))</f>
        <v>143</v>
      </c>
      <c r="DD24" s="2246">
        <f t="shared" ref="DD24:DD87" si="10">INT((ABS(DB24)-DC24)*60)</f>
        <v>26</v>
      </c>
      <c r="DE24" s="2173">
        <f t="shared" si="7"/>
        <v>6</v>
      </c>
      <c r="DF24" s="2062" t="s">
        <v>1293</v>
      </c>
      <c r="DG24" s="2062">
        <f>DE18</f>
        <v>341.08523173912056</v>
      </c>
      <c r="DH24" s="2177" t="s">
        <v>849</v>
      </c>
      <c r="DI24" s="2177">
        <f>DI23</f>
        <v>123.77746812797938</v>
      </c>
      <c r="DJ24" s="2137" t="s">
        <v>279</v>
      </c>
      <c r="DK24" s="2137">
        <f>DK23</f>
        <v>0.75562517952077002</v>
      </c>
      <c r="DL24" s="2062" t="s">
        <v>1997</v>
      </c>
      <c r="DM24" s="2062">
        <f t="shared" si="8"/>
        <v>1</v>
      </c>
      <c r="DN24" s="2489" t="s">
        <v>1291</v>
      </c>
      <c r="DO24" s="2490"/>
      <c r="DP24" s="2508">
        <f>[1]!taqota(DE5,DE6,DE7,DE8)</f>
        <v>17.395377385733344</v>
      </c>
      <c r="DQ24" s="2491">
        <f t="shared" ref="DQ24:DQ29" si="11">INT(ABS(DP24))</f>
        <v>17</v>
      </c>
      <c r="DR24" s="2492">
        <f t="shared" ref="DR24:DR29" si="12">INT((ABS(DP24)-DQ24)*60)</f>
        <v>23</v>
      </c>
      <c r="DS24" s="88">
        <f t="shared" si="5"/>
        <v>2</v>
      </c>
      <c r="EF24" s="2247" t="s">
        <v>393</v>
      </c>
      <c r="EG24" s="2248">
        <f>DE8</f>
        <v>9.598740740833335E-2</v>
      </c>
      <c r="EH24" s="2192"/>
      <c r="EI24" s="2192"/>
      <c r="EJ24" s="2249" t="s">
        <v>279</v>
      </c>
      <c r="EK24" s="2214">
        <f>[1]!tale3(EG21,EI23,EK23,DB4)</f>
        <v>0.75562517952077002</v>
      </c>
      <c r="EL24" s="2250">
        <f t="shared" ref="EL24" si="13">INT(ABS(EK24))</f>
        <v>0</v>
      </c>
      <c r="EM24" s="2251">
        <f t="shared" ref="EM24" si="14">INT((ABS(EK24)-EL24)*60)</f>
        <v>45</v>
      </c>
      <c r="EN24" s="2518" t="s">
        <v>4650</v>
      </c>
      <c r="EO24" s="2519">
        <v>0</v>
      </c>
      <c r="EP24" s="89" t="s">
        <v>3961</v>
      </c>
      <c r="EY24" s="89" t="s">
        <v>4660</v>
      </c>
      <c r="GF24" s="1878" t="s">
        <v>4420</v>
      </c>
    </row>
    <row r="25" spans="2:188" ht="32.25" thickBot="1">
      <c r="B25" s="88"/>
      <c r="C25" s="88">
        <v>3</v>
      </c>
      <c r="D25" s="88" t="s">
        <v>1582</v>
      </c>
      <c r="M25" s="2244"/>
      <c r="N25" s="34"/>
      <c r="O25" s="34"/>
      <c r="P25" s="34"/>
      <c r="Q25" s="2224">
        <v>4</v>
      </c>
      <c r="R25" s="34"/>
      <c r="S25" s="34"/>
      <c r="T25" s="34"/>
      <c r="U25" s="34"/>
      <c r="V25" s="34"/>
      <c r="W25" s="34"/>
      <c r="X25" s="34"/>
      <c r="Y25" s="34"/>
      <c r="AA25" s="35" t="s">
        <v>1612</v>
      </c>
      <c r="AB25" s="35" t="s">
        <v>1619</v>
      </c>
      <c r="AC25" s="35" t="s">
        <v>1291</v>
      </c>
      <c r="AD25" s="35" t="s">
        <v>1290</v>
      </c>
      <c r="AE25" s="35" t="s">
        <v>1292</v>
      </c>
      <c r="AF25" s="35" t="s">
        <v>687</v>
      </c>
      <c r="AG25" s="35" t="s">
        <v>1293</v>
      </c>
      <c r="CB25" s="2162"/>
      <c r="CC25" s="2164" t="e">
        <f ca="1">IF(CC24=1,"مریخ",IF(CC24=2,"شمس",IF(CC24=3,"زهره",IF(CC24=4,"عطارد",IF(CC24=5,"قمر",IF(CC24=6,"زحل",IF(CC24=7,"مشتری","خطا")))))))</f>
        <v>#NAME?</v>
      </c>
      <c r="DA25" s="2245" t="s">
        <v>2001</v>
      </c>
      <c r="DB25" s="2173">
        <f>IF(DM25=1,[1]!tq([1]!tq(DI25-DG25)+DK25),IF(AND(DM25=2,$DI$8&lt;=12),[1]!tq([1]!tq(DI25-DG25)+DK25),[1]!tq([1]!tq(DG25-DI25)+DK25)))</f>
        <v>0.75562517952077002</v>
      </c>
      <c r="DC25" s="2246">
        <f t="shared" si="9"/>
        <v>0</v>
      </c>
      <c r="DD25" s="2246">
        <f t="shared" si="10"/>
        <v>45</v>
      </c>
      <c r="DE25" s="2173">
        <f t="shared" si="7"/>
        <v>1</v>
      </c>
      <c r="DF25" s="2153" t="s">
        <v>2002</v>
      </c>
      <c r="DG25" s="2153"/>
      <c r="DH25" s="2153" t="s">
        <v>2003</v>
      </c>
      <c r="DI25" s="2153"/>
      <c r="DJ25" s="2137" t="s">
        <v>279</v>
      </c>
      <c r="DK25" s="2137">
        <f t="shared" ref="DK25:DK33" si="15">DK24</f>
        <v>0.75562517952077002</v>
      </c>
      <c r="DL25" s="2062" t="s">
        <v>1997</v>
      </c>
      <c r="DM25" s="2062">
        <f t="shared" si="8"/>
        <v>1</v>
      </c>
      <c r="DN25" s="2489" t="s">
        <v>1290</v>
      </c>
      <c r="DO25" s="2490"/>
      <c r="DP25" s="2508">
        <f>[1]!taqzohre(DE5,DE6,DE7,DE8)</f>
        <v>340.36128968236801</v>
      </c>
      <c r="DQ25" s="2491">
        <f t="shared" si="11"/>
        <v>340</v>
      </c>
      <c r="DR25" s="2492">
        <f t="shared" si="12"/>
        <v>21</v>
      </c>
      <c r="DS25" s="88">
        <f t="shared" si="5"/>
        <v>12</v>
      </c>
      <c r="EF25" s="2228" t="s">
        <v>4329</v>
      </c>
      <c r="EG25" s="2229"/>
      <c r="EH25" s="2252" t="s">
        <v>1648</v>
      </c>
      <c r="EI25" s="2513" t="s">
        <v>4338</v>
      </c>
      <c r="EJ25" s="2164" t="s">
        <v>4331</v>
      </c>
      <c r="EK25" s="2202" t="s">
        <v>839</v>
      </c>
      <c r="EL25" s="2200"/>
      <c r="EM25" s="2201" t="s">
        <v>3957</v>
      </c>
      <c r="EN25" s="2253" t="s">
        <v>4334</v>
      </c>
      <c r="EO25" s="2254" t="s">
        <v>4333</v>
      </c>
      <c r="EP25" s="2255" t="s">
        <v>1544</v>
      </c>
      <c r="EQ25" s="2255" t="s">
        <v>849</v>
      </c>
      <c r="ER25" s="2255" t="s">
        <v>1291</v>
      </c>
      <c r="ES25" s="2255" t="s">
        <v>1290</v>
      </c>
      <c r="ET25" s="2255" t="s">
        <v>687</v>
      </c>
      <c r="EU25" s="2255" t="s">
        <v>1292</v>
      </c>
      <c r="EV25" s="2255" t="s">
        <v>1293</v>
      </c>
      <c r="EW25" s="2255" t="s">
        <v>1981</v>
      </c>
      <c r="EX25" s="2255" t="s">
        <v>1970</v>
      </c>
      <c r="EY25" s="2254" t="s">
        <v>4656</v>
      </c>
      <c r="EZ25" s="2254" t="s">
        <v>4657</v>
      </c>
      <c r="FA25" s="2254" t="s">
        <v>4659</v>
      </c>
      <c r="FB25" s="2254" t="s">
        <v>4658</v>
      </c>
      <c r="FC25" s="2254" t="s">
        <v>1727</v>
      </c>
      <c r="FD25" s="2254" t="s">
        <v>1728</v>
      </c>
      <c r="FE25" s="2254" t="s">
        <v>4661</v>
      </c>
      <c r="FF25" s="2254" t="s">
        <v>1740</v>
      </c>
      <c r="FG25" s="2254" t="s">
        <v>1749</v>
      </c>
      <c r="FH25" s="2254" t="s">
        <v>4662</v>
      </c>
      <c r="FI25" s="2254" t="s">
        <v>1753</v>
      </c>
      <c r="FQ25" s="2257"/>
      <c r="FR25" s="2258"/>
      <c r="FS25" s="2258"/>
      <c r="FT25" s="2258"/>
      <c r="FU25" s="2258"/>
      <c r="FV25" s="2259" t="s">
        <v>4423</v>
      </c>
      <c r="FW25" s="2260"/>
      <c r="FX25" s="2261"/>
      <c r="FY25" s="2261"/>
      <c r="FZ25" s="2261"/>
      <c r="GA25" s="2261"/>
      <c r="GB25" s="2261"/>
      <c r="GC25" s="2262" t="s">
        <v>4422</v>
      </c>
      <c r="GD25" s="2104"/>
      <c r="GE25" s="2105" t="s">
        <v>4421</v>
      </c>
      <c r="GF25" s="2106"/>
    </row>
    <row r="26" spans="2:188" ht="32.25" thickBot="1">
      <c r="B26" s="88"/>
      <c r="C26" s="88">
        <v>4</v>
      </c>
      <c r="D26" s="88" t="s">
        <v>1583</v>
      </c>
      <c r="M26" s="2263" t="s">
        <v>1372</v>
      </c>
      <c r="N26" s="2221" t="e">
        <f ca="1">IF(OR(O5&lt;7,AND(O5&gt;9,O5&lt;=15),AND(O5&gt;22,O5&lt;=37),AND(O5&gt;45,O5&lt;=60),AND(O5&gt;66,O5&lt;=77),AND(O5&gt;83,O5&lt;=87),AND(O5&gt;90,O5&lt;=92),AND(O5&gt;97,O5&lt;=103),AND(O5&gt;105,O5&lt;=116),AND(O5&gt;120,O5&lt;=125),AND(O5&gt;127,O5&lt;=133),AND(O5&gt;43,O5&lt;=150),AND(O5&gt;157,O5&lt;=162),AND(O5&gt;70,O5&lt;=185),AND(O5&gt;196,O5&lt;=203),AND(O5&gt;210,O5&lt;=216),AND(O5&gt;220,O5&lt;=229),AND(O5&gt;237,O5&lt;=242),AND(O5&gt;246,O5&lt;=253),AND(O5&gt;265,O5&lt;=278),AND(O5&gt;289,O5&lt;=294),AND(O5&gt;300,O5&lt;=305),AND(O5&gt;317,O5&lt;=323),AND(O5&gt;330,O5&lt;=340),AND(O5&gt;350,O5&lt;=353),AND(O5&gt;358,O5&lt;=360),),"مذکر","مونث")</f>
        <v>#NAME?</v>
      </c>
      <c r="AA26" s="35"/>
      <c r="AB26" s="35" t="s">
        <v>1620</v>
      </c>
      <c r="AC26" s="35">
        <v>7</v>
      </c>
      <c r="AD26" s="35">
        <v>13</v>
      </c>
      <c r="AE26" s="35">
        <v>20</v>
      </c>
      <c r="AF26" s="35">
        <v>25</v>
      </c>
      <c r="AG26" s="35">
        <v>30</v>
      </c>
      <c r="AS26" s="89" t="s">
        <v>1658</v>
      </c>
      <c r="AT26" s="89" t="s">
        <v>1681</v>
      </c>
      <c r="BC26" s="2144" t="s">
        <v>1682</v>
      </c>
      <c r="DA26" s="2245" t="s">
        <v>2006</v>
      </c>
      <c r="DB26" s="2173">
        <f>IF(DM26=1,[1]!tq([1]!tq(DI26-DG26)+DK26),IF(AND(DM26=2,$DI$8&lt;=12),[1]!tq([1]!tq(DI26-DG26)+DK26),[1]!tq([1]!tq(DG26-DI26)+DK26)))</f>
        <v>0.75562517952077002</v>
      </c>
      <c r="DC26" s="2246">
        <f t="shared" si="9"/>
        <v>0</v>
      </c>
      <c r="DD26" s="2246">
        <f t="shared" si="10"/>
        <v>45</v>
      </c>
      <c r="DE26" s="2173">
        <f t="shared" si="7"/>
        <v>1</v>
      </c>
      <c r="DF26" s="2153" t="s">
        <v>2007</v>
      </c>
      <c r="DG26" s="2153"/>
      <c r="DH26" s="2153" t="s">
        <v>2003</v>
      </c>
      <c r="DI26" s="2153"/>
      <c r="DJ26" s="2137" t="s">
        <v>279</v>
      </c>
      <c r="DK26" s="2137">
        <f t="shared" si="15"/>
        <v>0.75562517952077002</v>
      </c>
      <c r="DL26" s="2062" t="s">
        <v>1997</v>
      </c>
      <c r="DM26" s="2062">
        <f t="shared" si="8"/>
        <v>1</v>
      </c>
      <c r="DN26" s="2489" t="s">
        <v>687</v>
      </c>
      <c r="DO26" s="2490"/>
      <c r="DP26" s="2508">
        <f>[1]!taqmer(DE5,DE6,DE7,DE8)</f>
        <v>327.7274805225793</v>
      </c>
      <c r="DQ26" s="2491">
        <f t="shared" si="11"/>
        <v>327</v>
      </c>
      <c r="DR26" s="2492">
        <f t="shared" si="12"/>
        <v>43</v>
      </c>
      <c r="DS26" s="88">
        <f t="shared" si="5"/>
        <v>12</v>
      </c>
      <c r="EF26" s="2264" t="s">
        <v>2235</v>
      </c>
      <c r="EG26" s="2147">
        <f>EK24</f>
        <v>0.75562517952077002</v>
      </c>
      <c r="EH26" s="2117">
        <v>1</v>
      </c>
      <c r="EI26" s="79"/>
      <c r="EJ26" s="2118">
        <f>EG26</f>
        <v>0.75562517952077002</v>
      </c>
      <c r="EK26" s="2265">
        <f>IF(EJ26-EJ37&gt;=0,EJ26-EJ37,EJ26-EJ37+360)</f>
        <v>32.286781424143953</v>
      </c>
      <c r="EL26" s="2147">
        <f>EK26/2</f>
        <v>16.143390712071977</v>
      </c>
      <c r="EM26" s="2145">
        <f>IF(EL26+EJ37&lt;=360,EL26+EJ37,EL26+EJ37-360)</f>
        <v>344.61223446744884</v>
      </c>
      <c r="EN26" s="34">
        <f t="shared" ref="EN26:EN37" si="16">IF(EO26=EM$26,EH$26,IF(EO26=EM$27,EH$27,IF(EO26=EM$28,EH$28,IF(EO26=EM$29,EH$29,IF(EO26=EM$30,EH$30,IF(EO26=EM$31,EH$31,IF(EO26=EM$32,EH$32,IF(EO26=EM$33,EH$33,IF(EO26=EM$34,EH$34,IF(EO26=EM$35,EH$35,IF(EO26=EM$36,EH$36,EH$37)))))))))))</f>
        <v>2</v>
      </c>
      <c r="EO26" s="2158">
        <f t="shared" ref="EO26:EO37" si="17">SMALL(EM$26:EM$37,EH26)</f>
        <v>16.790114304200664</v>
      </c>
      <c r="EP26" s="2266" t="str">
        <f t="shared" ref="EP26:EP36" si="18">IF(AND(DP$22&lt;EO27,DP$22&gt;=EO26),"شمس","--")</f>
        <v>--</v>
      </c>
      <c r="EQ26" s="2266" t="str">
        <f t="shared" ref="EQ26:EQ36" si="19">IF(AND(DP$23&lt;EO27,DP$23&gt;=EO26),"قمر","--")</f>
        <v>--</v>
      </c>
      <c r="ER26" s="2266" t="str">
        <f t="shared" ref="ER26:ER36" si="20">IF(AND(DP$24&lt;EO27,DP$24&gt;=EO26),"عطارد","--")</f>
        <v>عطارد</v>
      </c>
      <c r="ES26" s="2256" t="str">
        <f t="shared" ref="ES26:ES36" si="21">IF(AND(DP$25&lt;EO27,DP$25&gt;=EO26),"زهره","--")</f>
        <v>--</v>
      </c>
      <c r="ET26" s="2266" t="str">
        <f t="shared" ref="ET26:ET36" si="22">IF(AND(DP$26&lt;EO27,DP$26&gt;EO26),"مریخ","--")</f>
        <v>--</v>
      </c>
      <c r="EU26" s="2266" t="str">
        <f t="shared" ref="EU26:EU36" si="23">IF(AND(DP$27&lt;EO27,DP$27&gt;EO26),"مشتری","--")</f>
        <v>مشتری</v>
      </c>
      <c r="EV26" s="2266" t="str">
        <f t="shared" ref="EV26:EV36" si="24">IF(AND(DP$28&lt;EO27,DP$28&gt;EO26),"زحل","--")</f>
        <v>--</v>
      </c>
      <c r="EW26" s="2266" t="str">
        <f t="shared" ref="EW26:EW37" si="25">IF(AND(DP$30&lt;EO27,DP$30&gt;EO26),"سهم الغیب","--")</f>
        <v>--</v>
      </c>
      <c r="EX26" s="2266" t="str">
        <f t="shared" ref="EX26:EX37" si="26">IF(AND(DP$31&lt;EO27,DP$31&gt;EO26),"سهم السعاده","--")</f>
        <v>--</v>
      </c>
      <c r="EY26" s="34" t="str">
        <f>[1]!esmbaytame(EN26)</f>
        <v>bayt-mal</v>
      </c>
      <c r="EZ26" s="34" t="str">
        <f>[1]!vatadame(EN26)</f>
        <v>maiel</v>
      </c>
      <c r="FA26" s="34" t="str">
        <f>[1]!nazerame(EN26)</f>
        <v>saqet</v>
      </c>
      <c r="FB26" s="34" t="str">
        <f>[1]!saaedame(EN26)</f>
        <v>saaed</v>
      </c>
      <c r="FC26" s="34" t="str">
        <f>[1]!qovvatame(EN26)</f>
        <v>qovvat-moshtari</v>
      </c>
      <c r="FD26" s="34" t="str">
        <f>[1]!zaefame(EN26)</f>
        <v>zaef-zohal</v>
      </c>
      <c r="FE26" s="34" t="str">
        <f>[1]!Aezaaame(EN26)</f>
        <v>gardan-holgoom</v>
      </c>
      <c r="FF26" s="34" t="str">
        <f>[1]!Jehatame(EN26)</f>
        <v>jonooby-sharqy</v>
      </c>
      <c r="FG26" s="34" t="str">
        <f>[1]!Tazkirboyootame(EN26)</f>
        <v>moannas</v>
      </c>
      <c r="FH26" s="34" t="str">
        <f>[1]!Tazkirarbaeame(EN26)</f>
        <v>moannas</v>
      </c>
      <c r="FI26" s="34" t="str">
        <f>[1]!Amzajame(EN26)</f>
        <v>--</v>
      </c>
      <c r="FQ26" s="2267"/>
      <c r="FR26" s="2268"/>
      <c r="FS26" s="2268"/>
      <c r="FT26" s="2268"/>
      <c r="FU26" s="2268"/>
      <c r="FV26" s="2269" t="s">
        <v>4425</v>
      </c>
      <c r="FW26" s="2270"/>
      <c r="FX26" s="2173"/>
      <c r="FY26" s="2173"/>
      <c r="FZ26" s="2173"/>
      <c r="GA26" s="2173"/>
      <c r="GB26" s="2173"/>
      <c r="GC26" s="2271" t="s">
        <v>4424</v>
      </c>
      <c r="GD26" s="2136"/>
      <c r="GE26" s="2137" t="s">
        <v>1293</v>
      </c>
      <c r="GF26" s="2138"/>
    </row>
    <row r="27" spans="2:188" ht="31.5">
      <c r="B27" s="88"/>
      <c r="C27" s="88">
        <v>5</v>
      </c>
      <c r="D27" s="88" t="s">
        <v>1584</v>
      </c>
      <c r="M27" s="2244" t="s">
        <v>1617</v>
      </c>
      <c r="N27" s="99">
        <v>6</v>
      </c>
      <c r="O27" s="99">
        <v>5</v>
      </c>
      <c r="P27" s="99">
        <v>2</v>
      </c>
      <c r="Q27" s="99">
        <v>12</v>
      </c>
      <c r="R27" s="99">
        <v>4</v>
      </c>
      <c r="S27" s="99">
        <v>8</v>
      </c>
      <c r="T27" s="99">
        <v>1</v>
      </c>
      <c r="U27" s="99">
        <v>9</v>
      </c>
      <c r="V27" s="99">
        <v>7</v>
      </c>
      <c r="W27" s="99">
        <v>7</v>
      </c>
      <c r="X27" s="99">
        <v>1</v>
      </c>
      <c r="Y27" s="99">
        <v>4</v>
      </c>
      <c r="AA27" s="34" t="s">
        <v>1613</v>
      </c>
      <c r="AB27" s="34" t="s">
        <v>1619</v>
      </c>
      <c r="AC27" s="34" t="s">
        <v>1290</v>
      </c>
      <c r="AD27" s="34" t="s">
        <v>1292</v>
      </c>
      <c r="AE27" s="34" t="s">
        <v>1291</v>
      </c>
      <c r="AF27" s="34" t="s">
        <v>687</v>
      </c>
      <c r="AG27" s="34" t="s">
        <v>1293</v>
      </c>
      <c r="AS27" s="2272" t="s">
        <v>1650</v>
      </c>
      <c r="AT27" s="2089" t="s">
        <v>1657</v>
      </c>
      <c r="AU27" s="2090"/>
      <c r="AV27" s="2091"/>
      <c r="AW27" s="2273" t="s">
        <v>1655</v>
      </c>
      <c r="AX27" s="2238"/>
      <c r="AY27" s="2274"/>
      <c r="AZ27" s="2275" t="s">
        <v>1656</v>
      </c>
      <c r="BA27" s="2276"/>
      <c r="BB27" s="2277"/>
      <c r="BC27" s="2278" t="s">
        <v>1671</v>
      </c>
      <c r="BD27" s="2278" t="s">
        <v>1672</v>
      </c>
      <c r="BE27" s="2279" t="s">
        <v>1673</v>
      </c>
      <c r="BF27" s="2280"/>
      <c r="BG27" s="2280"/>
      <c r="BH27" s="2281"/>
      <c r="DA27" s="2245" t="s">
        <v>2009</v>
      </c>
      <c r="DB27" s="2173">
        <f>IF(DM27=1,[1]!tq([1]!tq(DI27-DG27)+DK27),IF(AND(DM27=2,$DI$8&lt;=12),[1]!tq([1]!tq(DI27-DG27)+DK27),[1]!tq([1]!tq(DG27-DI27)+DK27)))</f>
        <v>64.376983843190686</v>
      </c>
      <c r="DC27" s="2246">
        <f t="shared" si="9"/>
        <v>64</v>
      </c>
      <c r="DD27" s="2246">
        <f t="shared" si="10"/>
        <v>22</v>
      </c>
      <c r="DE27" s="2173">
        <f t="shared" si="7"/>
        <v>3</v>
      </c>
      <c r="DF27" s="2062" t="s">
        <v>1293</v>
      </c>
      <c r="DG27" s="2062">
        <f>DG24</f>
        <v>341.08523173912056</v>
      </c>
      <c r="DH27" s="2177" t="s">
        <v>1292</v>
      </c>
      <c r="DI27" s="2177">
        <f>DG15</f>
        <v>44.706590402790496</v>
      </c>
      <c r="DJ27" s="2137" t="s">
        <v>279</v>
      </c>
      <c r="DK27" s="2137">
        <f t="shared" si="15"/>
        <v>0.75562517952077002</v>
      </c>
      <c r="DL27" s="2062" t="s">
        <v>1997</v>
      </c>
      <c r="DM27" s="2062">
        <f t="shared" si="8"/>
        <v>1</v>
      </c>
      <c r="DN27" s="2489" t="s">
        <v>1292</v>
      </c>
      <c r="DO27" s="2490"/>
      <c r="DP27" s="2508">
        <f>[1]!taqmosh(DE5,DE6,DE7,DE8)</f>
        <v>44.706590402790496</v>
      </c>
      <c r="DQ27" s="2491">
        <f t="shared" si="11"/>
        <v>44</v>
      </c>
      <c r="DR27" s="2492">
        <f t="shared" si="12"/>
        <v>42</v>
      </c>
      <c r="DS27" s="88">
        <f t="shared" si="5"/>
        <v>2</v>
      </c>
      <c r="EF27" s="2282" t="s">
        <v>2234</v>
      </c>
      <c r="EG27" s="2144">
        <f>[1]!ba(EG26+180)</f>
        <v>180.75562517952076</v>
      </c>
      <c r="EH27" s="2149">
        <v>2</v>
      </c>
      <c r="EI27" s="79" t="s">
        <v>1292</v>
      </c>
      <c r="EJ27" s="2150">
        <f>EG43</f>
        <v>32.824603428880557</v>
      </c>
      <c r="EK27" s="2283">
        <f t="shared" ref="EK27:EK37" si="27">IF(EJ27-EJ26&gt;=0,EJ27-EJ26,EJ27-EJ26+360)</f>
        <v>32.068978249359787</v>
      </c>
      <c r="EL27" s="2144">
        <f>EK27/2</f>
        <v>16.034489124679894</v>
      </c>
      <c r="EM27" s="2145">
        <f t="shared" ref="EM27:EM37" si="28">IF(EL27+EJ26&lt;=360,EL27+EJ26,EL27+EJ26-360)</f>
        <v>16.790114304200664</v>
      </c>
      <c r="EN27" s="34">
        <f t="shared" si="16"/>
        <v>3</v>
      </c>
      <c r="EO27" s="2158">
        <f t="shared" si="17"/>
        <v>47.717875106842541</v>
      </c>
      <c r="EP27" s="2266" t="str">
        <f t="shared" si="18"/>
        <v>--</v>
      </c>
      <c r="EQ27" s="2266" t="str">
        <f t="shared" si="19"/>
        <v>--</v>
      </c>
      <c r="ER27" s="2266" t="str">
        <f t="shared" si="20"/>
        <v>--</v>
      </c>
      <c r="ES27" s="2256" t="str">
        <f t="shared" si="21"/>
        <v>--</v>
      </c>
      <c r="ET27" s="2266" t="str">
        <f t="shared" si="22"/>
        <v>--</v>
      </c>
      <c r="EU27" s="2266" t="str">
        <f t="shared" si="23"/>
        <v>--</v>
      </c>
      <c r="EV27" s="2266" t="str">
        <f t="shared" si="24"/>
        <v>--</v>
      </c>
      <c r="EW27" s="2266" t="str">
        <f t="shared" si="25"/>
        <v>--</v>
      </c>
      <c r="EX27" s="2266" t="str">
        <f t="shared" si="26"/>
        <v>--</v>
      </c>
      <c r="EY27" s="34" t="str">
        <f>[1]!esmbaytame(EN27)</f>
        <v>bayt-ekhvah</v>
      </c>
      <c r="EZ27" s="34" t="str">
        <f>[1]!vatadame(EN27)</f>
        <v>zaiel</v>
      </c>
      <c r="FA27" s="34" t="str">
        <f>[1]!nazerame(EN27)</f>
        <v>nazer</v>
      </c>
      <c r="FB27" s="34" t="str">
        <f>[1]!saaedame(EN27)</f>
        <v>saaed</v>
      </c>
      <c r="FC27" s="34" t="str">
        <f>[1]!qovvatame(EN27)</f>
        <v>qovvat-merrikh</v>
      </c>
      <c r="FD27" s="34" t="str">
        <f>[1]!zaefame(EN27)</f>
        <v>zaef-otared</v>
      </c>
      <c r="FE27" s="34" t="str">
        <f>[1]!Aezaaame(EN27)</f>
        <v>bazoo-dast</v>
      </c>
      <c r="FF27" s="34" t="str">
        <f>[1]!Jehatame(EN27)</f>
        <v>jonooby-sharqy</v>
      </c>
      <c r="FG27" s="34" t="str">
        <f>[1]!Tazkirboyootame(EN27)</f>
        <v>mozakkar</v>
      </c>
      <c r="FH27" s="34" t="str">
        <f>[1]!Tazkirarbaeame(EN27)</f>
        <v>moannas</v>
      </c>
      <c r="FI27" s="34" t="str">
        <f>[1]!Amzajame(EN27)</f>
        <v>qamar-shams</v>
      </c>
      <c r="FQ27" s="2267"/>
      <c r="FR27" s="2268"/>
      <c r="FS27" s="2268"/>
      <c r="FT27" s="2268"/>
      <c r="FU27" s="2268"/>
      <c r="FV27" s="2269" t="s">
        <v>4427</v>
      </c>
      <c r="FW27" s="2270"/>
      <c r="FX27" s="2173"/>
      <c r="FY27" s="2173"/>
      <c r="FZ27" s="2173"/>
      <c r="GA27" s="2173"/>
      <c r="GB27" s="2173"/>
      <c r="GC27" s="2271" t="s">
        <v>4426</v>
      </c>
      <c r="GD27" s="2136"/>
      <c r="GE27" s="2137" t="s">
        <v>1292</v>
      </c>
      <c r="GF27" s="2138"/>
    </row>
    <row r="28" spans="2:188" ht="31.5">
      <c r="B28" s="88"/>
      <c r="C28" s="88">
        <v>6</v>
      </c>
      <c r="D28" s="88" t="s">
        <v>1585</v>
      </c>
      <c r="M28" s="2244"/>
      <c r="N28" s="99">
        <v>11</v>
      </c>
      <c r="O28" s="99">
        <v>13</v>
      </c>
      <c r="P28" s="99">
        <v>13</v>
      </c>
      <c r="Q28" s="99">
        <v>17</v>
      </c>
      <c r="R28" s="99">
        <v>13</v>
      </c>
      <c r="S28" s="99">
        <v>13</v>
      </c>
      <c r="T28" s="99">
        <v>7</v>
      </c>
      <c r="U28" s="99">
        <v>10</v>
      </c>
      <c r="V28" s="99">
        <v>12</v>
      </c>
      <c r="W28" s="99">
        <v>22</v>
      </c>
      <c r="X28" s="99">
        <v>12</v>
      </c>
      <c r="Y28" s="99">
        <v>9</v>
      </c>
      <c r="AA28" s="34"/>
      <c r="AB28" s="34" t="s">
        <v>1620</v>
      </c>
      <c r="AC28" s="34">
        <v>12</v>
      </c>
      <c r="AD28" s="34">
        <v>16</v>
      </c>
      <c r="AE28" s="34">
        <v>19</v>
      </c>
      <c r="AF28" s="34">
        <v>28</v>
      </c>
      <c r="AG28" s="34">
        <v>30</v>
      </c>
      <c r="AS28" s="2284" t="s">
        <v>1651</v>
      </c>
      <c r="AT28" s="2285" t="s">
        <v>1606</v>
      </c>
      <c r="AU28" s="2286" t="s">
        <v>255</v>
      </c>
      <c r="AV28" s="2287" t="s">
        <v>943</v>
      </c>
      <c r="AW28" s="2056" t="s">
        <v>1544</v>
      </c>
      <c r="AX28" s="2288" t="s">
        <v>1292</v>
      </c>
      <c r="AY28" s="2057" t="s">
        <v>1293</v>
      </c>
      <c r="AZ28" s="2289" t="s">
        <v>1292</v>
      </c>
      <c r="BA28" s="2290" t="s">
        <v>1544</v>
      </c>
      <c r="BB28" s="2291" t="s">
        <v>1293</v>
      </c>
      <c r="BC28" s="2292" t="s">
        <v>1659</v>
      </c>
      <c r="BD28" s="2292" t="s">
        <v>1660</v>
      </c>
      <c r="BE28" s="2293" t="s">
        <v>1667</v>
      </c>
      <c r="BF28" s="2268"/>
      <c r="BG28" s="2268"/>
      <c r="BH28" s="2294"/>
      <c r="DA28" s="2245" t="s">
        <v>2011</v>
      </c>
      <c r="DB28" s="2173">
        <f>IF(DM28=1,[1]!tq([1]!tq(DI28-DG28)+DK28),IF(AND(DM28=2,$DI$8&lt;=12),[1]!tq([1]!tq(DI28-DG28)+DK28),[1]!tq([1]!tq(DG28-DI28)+DK28)))</f>
        <v>217.3394467339094</v>
      </c>
      <c r="DC28" s="2246">
        <f t="shared" si="9"/>
        <v>217</v>
      </c>
      <c r="DD28" s="2246">
        <f t="shared" si="10"/>
        <v>20</v>
      </c>
      <c r="DE28" s="2173">
        <f t="shared" si="7"/>
        <v>8</v>
      </c>
      <c r="DF28" s="2062" t="s">
        <v>849</v>
      </c>
      <c r="DG28" s="2062">
        <f>DI23</f>
        <v>123.77746812797938</v>
      </c>
      <c r="DH28" s="2177" t="s">
        <v>1290</v>
      </c>
      <c r="DI28" s="2177">
        <f>DP25</f>
        <v>340.36128968236801</v>
      </c>
      <c r="DJ28" s="2137" t="s">
        <v>279</v>
      </c>
      <c r="DK28" s="2137">
        <f t="shared" si="15"/>
        <v>0.75562517952077002</v>
      </c>
      <c r="DL28" s="2062" t="s">
        <v>1997</v>
      </c>
      <c r="DM28" s="2062">
        <f t="shared" si="8"/>
        <v>1</v>
      </c>
      <c r="DN28" s="2489" t="s">
        <v>1293</v>
      </c>
      <c r="DO28" s="2490"/>
      <c r="DP28" s="2494">
        <f>[1]!taqzohal(DE5,DE6,DE7,DE8)</f>
        <v>341.08523173912056</v>
      </c>
      <c r="DQ28" s="2491">
        <f t="shared" si="11"/>
        <v>341</v>
      </c>
      <c r="DR28" s="2492">
        <f t="shared" si="12"/>
        <v>5</v>
      </c>
      <c r="DS28" s="88">
        <f t="shared" si="5"/>
        <v>12</v>
      </c>
      <c r="EF28" s="2282" t="s">
        <v>2213</v>
      </c>
      <c r="EG28" s="2144">
        <f>[1]!ml(EG21,EG26)</f>
        <v>0.3003875107586777</v>
      </c>
      <c r="EH28" s="2149">
        <v>3</v>
      </c>
      <c r="EI28" s="79" t="s">
        <v>687</v>
      </c>
      <c r="EJ28" s="2150">
        <f>EG47</f>
        <v>62.611146784804525</v>
      </c>
      <c r="EK28" s="2283">
        <f t="shared" si="27"/>
        <v>29.786543355923968</v>
      </c>
      <c r="EL28" s="2144">
        <f t="shared" ref="EL28:EL37" si="29">EK28/2</f>
        <v>14.893271677961984</v>
      </c>
      <c r="EM28" s="2145">
        <f t="shared" si="28"/>
        <v>47.717875106842541</v>
      </c>
      <c r="EN28" s="34">
        <f t="shared" si="16"/>
        <v>4</v>
      </c>
      <c r="EO28" s="2158">
        <f t="shared" si="17"/>
        <v>76.524465602003261</v>
      </c>
      <c r="EP28" s="2266" t="str">
        <f t="shared" si="18"/>
        <v>--</v>
      </c>
      <c r="EQ28" s="2266" t="str">
        <f t="shared" si="19"/>
        <v>--</v>
      </c>
      <c r="ER28" s="2266" t="str">
        <f t="shared" si="20"/>
        <v>--</v>
      </c>
      <c r="ES28" s="2256" t="str">
        <f t="shared" si="21"/>
        <v>--</v>
      </c>
      <c r="ET28" s="2266" t="str">
        <f t="shared" si="22"/>
        <v>--</v>
      </c>
      <c r="EU28" s="2266" t="str">
        <f t="shared" si="23"/>
        <v>--</v>
      </c>
      <c r="EV28" s="2266" t="str">
        <f t="shared" si="24"/>
        <v>--</v>
      </c>
      <c r="EW28" s="2266" t="str">
        <f t="shared" si="25"/>
        <v>--</v>
      </c>
      <c r="EX28" s="2266" t="str">
        <f t="shared" si="26"/>
        <v>--</v>
      </c>
      <c r="EY28" s="34" t="str">
        <f>[1]!esmbaytame(EN28)</f>
        <v>bayt-abaa</v>
      </c>
      <c r="EZ28" s="34" t="str">
        <f>[1]!vatadame(EN28)</f>
        <v>vatad-rabea</v>
      </c>
      <c r="FA28" s="34" t="str">
        <f>[1]!nazerame(EN28)</f>
        <v>nazer</v>
      </c>
      <c r="FB28" s="34" t="str">
        <f>[1]!saaedame(EN28)</f>
        <v>habet</v>
      </c>
      <c r="FC28" s="34" t="str">
        <f>[1]!qovvatame(EN28)</f>
        <v>qovvat-qamar</v>
      </c>
      <c r="FD28" s="34" t="str">
        <f>[1]!zaefame(EN28)</f>
        <v>zaef-shams</v>
      </c>
      <c r="FE28" s="34" t="str">
        <f>[1]!Aezaaame(EN28)</f>
        <v>sine-meade</v>
      </c>
      <c r="FF28" s="34" t="str">
        <f>[1]!Jehatame(EN28)</f>
        <v>jonoob</v>
      </c>
      <c r="FG28" s="34" t="str">
        <f>[1]!Tazkirboyootame(EN28)</f>
        <v>moannas</v>
      </c>
      <c r="FH28" s="34" t="str">
        <f>[1]!Tazkirarbaeame(EN28)</f>
        <v>moannas</v>
      </c>
      <c r="FI28" s="34" t="str">
        <f>[1]!Amzajame(EN28)</f>
        <v>--</v>
      </c>
      <c r="FQ28" s="2267"/>
      <c r="FR28" s="2268"/>
      <c r="FS28" s="2268"/>
      <c r="FT28" s="2268"/>
      <c r="FU28" s="2268"/>
      <c r="FV28" s="2269" t="s">
        <v>4429</v>
      </c>
      <c r="FW28" s="2270"/>
      <c r="FX28" s="2173"/>
      <c r="FY28" s="2173"/>
      <c r="FZ28" s="2173"/>
      <c r="GA28" s="2173"/>
      <c r="GB28" s="2173"/>
      <c r="GC28" s="2271" t="s">
        <v>4428</v>
      </c>
      <c r="GD28" s="2136"/>
      <c r="GE28" s="2137" t="s">
        <v>687</v>
      </c>
      <c r="GF28" s="2138"/>
    </row>
    <row r="29" spans="2:188" ht="31.5">
      <c r="M29" s="2244"/>
      <c r="N29" s="99">
        <v>17</v>
      </c>
      <c r="O29" s="99">
        <v>18</v>
      </c>
      <c r="P29" s="99">
        <v>17</v>
      </c>
      <c r="Q29" s="99">
        <v>23</v>
      </c>
      <c r="R29" s="99">
        <v>15</v>
      </c>
      <c r="S29" s="99">
        <v>16</v>
      </c>
      <c r="T29" s="99">
        <v>20</v>
      </c>
      <c r="U29" s="99">
        <v>17</v>
      </c>
      <c r="V29" s="99">
        <v>15</v>
      </c>
      <c r="W29" s="99">
        <v>24</v>
      </c>
      <c r="X29" s="99">
        <v>14</v>
      </c>
      <c r="Y29" s="99">
        <v>10</v>
      </c>
      <c r="AS29" s="2295" t="s">
        <v>1652</v>
      </c>
      <c r="AT29" s="2296" t="s">
        <v>256</v>
      </c>
      <c r="AU29" s="2177" t="s">
        <v>1608</v>
      </c>
      <c r="AV29" s="2297" t="s">
        <v>1611</v>
      </c>
      <c r="AW29" s="2060" t="s">
        <v>1290</v>
      </c>
      <c r="AX29" s="2158" t="s">
        <v>849</v>
      </c>
      <c r="AY29" s="2061" t="s">
        <v>687</v>
      </c>
      <c r="AZ29" s="2298" t="s">
        <v>849</v>
      </c>
      <c r="BA29" s="2153" t="s">
        <v>1290</v>
      </c>
      <c r="BB29" s="2299" t="s">
        <v>687</v>
      </c>
      <c r="BC29" s="2292" t="s">
        <v>1661</v>
      </c>
      <c r="BD29" s="2292" t="s">
        <v>1664</v>
      </c>
      <c r="BE29" s="2293" t="s">
        <v>1668</v>
      </c>
      <c r="BF29" s="2268"/>
      <c r="BG29" s="2268"/>
      <c r="BH29" s="2294"/>
      <c r="DA29" s="2245" t="s">
        <v>2014</v>
      </c>
      <c r="DB29" s="2173">
        <f>IF(DM29=1,[1]!tq([1]!tq(DI29-DG29)+DK29),IF(AND(DM29=2,$DI$8&lt;=12),[1]!tq([1]!tq(DI29-DG29)+DK29),[1]!tq([1]!tq(DG29-DI29)+DK29)))</f>
        <v>328.4830261022442</v>
      </c>
      <c r="DC29" s="2246">
        <f t="shared" si="9"/>
        <v>328</v>
      </c>
      <c r="DD29" s="2246">
        <f t="shared" si="10"/>
        <v>28</v>
      </c>
      <c r="DE29" s="2173">
        <f t="shared" si="7"/>
        <v>12</v>
      </c>
      <c r="DF29" s="2062" t="s">
        <v>1544</v>
      </c>
      <c r="DG29" s="2062">
        <f>DE13</f>
        <v>7.9599855894230132E-5</v>
      </c>
      <c r="DH29" s="2177" t="s">
        <v>687</v>
      </c>
      <c r="DI29" s="2177">
        <f>DG23</f>
        <v>327.7274805225793</v>
      </c>
      <c r="DJ29" s="2137" t="s">
        <v>279</v>
      </c>
      <c r="DK29" s="2137">
        <f t="shared" si="15"/>
        <v>0.75562517952077002</v>
      </c>
      <c r="DL29" s="2062" t="s">
        <v>1997</v>
      </c>
      <c r="DM29" s="2062">
        <f t="shared" si="8"/>
        <v>1</v>
      </c>
      <c r="DN29" s="2489" t="s">
        <v>799</v>
      </c>
      <c r="DO29" s="2173"/>
      <c r="DP29" s="2494">
        <f>[1]!rasq(DE5,DE6,DE7,DE8)</f>
        <v>16.568855160209523</v>
      </c>
      <c r="DQ29" s="2491">
        <f t="shared" si="11"/>
        <v>16</v>
      </c>
      <c r="DR29" s="2492">
        <f t="shared" si="12"/>
        <v>34</v>
      </c>
      <c r="DS29" s="88">
        <f t="shared" si="5"/>
        <v>1</v>
      </c>
      <c r="EF29" s="2282" t="s">
        <v>2212</v>
      </c>
      <c r="EG29" s="2144">
        <f>[1]!qsn(EG28,EI23)</f>
        <v>180.43250111829391</v>
      </c>
      <c r="EH29" s="2149">
        <v>4</v>
      </c>
      <c r="EI29" s="79" t="s">
        <v>1544</v>
      </c>
      <c r="EJ29" s="2150">
        <f>EG32</f>
        <v>90.437784419201989</v>
      </c>
      <c r="EK29" s="2283">
        <f t="shared" si="27"/>
        <v>27.826637634397464</v>
      </c>
      <c r="EL29" s="2144">
        <f t="shared" si="29"/>
        <v>13.913318817198732</v>
      </c>
      <c r="EM29" s="2145">
        <f t="shared" si="28"/>
        <v>76.524465602003261</v>
      </c>
      <c r="EN29" s="34">
        <f t="shared" si="16"/>
        <v>5</v>
      </c>
      <c r="EO29" s="2158">
        <f t="shared" si="17"/>
        <v>104.43797523390224</v>
      </c>
      <c r="EP29" s="2266" t="str">
        <f t="shared" si="18"/>
        <v>--</v>
      </c>
      <c r="EQ29" s="2266" t="str">
        <f t="shared" si="19"/>
        <v>قمر</v>
      </c>
      <c r="ER29" s="2266" t="str">
        <f t="shared" si="20"/>
        <v>--</v>
      </c>
      <c r="ES29" s="2256" t="str">
        <f t="shared" si="21"/>
        <v>--</v>
      </c>
      <c r="ET29" s="2266" t="str">
        <f t="shared" si="22"/>
        <v>--</v>
      </c>
      <c r="EU29" s="2266" t="str">
        <f t="shared" si="23"/>
        <v>--</v>
      </c>
      <c r="EV29" s="2266" t="str">
        <f t="shared" si="24"/>
        <v>--</v>
      </c>
      <c r="EW29" s="2266" t="str">
        <f t="shared" si="25"/>
        <v>--</v>
      </c>
      <c r="EX29" s="2266" t="str">
        <f t="shared" si="26"/>
        <v>سهم السعاده</v>
      </c>
      <c r="EY29" s="34" t="str">
        <f>[1]!esmbaytame(EN29)</f>
        <v>bayt-avlad</v>
      </c>
      <c r="EZ29" s="34" t="str">
        <f>[1]!vatadame(EN29)</f>
        <v>maiel</v>
      </c>
      <c r="FA29" s="34" t="str">
        <f>[1]!nazerame(EN29)</f>
        <v>nazer</v>
      </c>
      <c r="FB29" s="34" t="str">
        <f>[1]!saaedame(EN29)</f>
        <v>habet</v>
      </c>
      <c r="FC29" s="34" t="str">
        <f>[1]!qovvatame(EN29)</f>
        <v>--</v>
      </c>
      <c r="FD29" s="34" t="str">
        <f>[1]!zaefame(EN29)</f>
        <v>--</v>
      </c>
      <c r="FE29" s="34" t="str">
        <f>[1]!Aezaaame(EN29)</f>
        <v>hejamtgah-posht</v>
      </c>
      <c r="FF29" s="34" t="str">
        <f>[1]!Jehatame(EN29)</f>
        <v>jonooby-qarby</v>
      </c>
      <c r="FG29" s="34" t="str">
        <f>[1]!Tazkirboyootame(EN29)</f>
        <v>mozakkar</v>
      </c>
      <c r="FH29" s="34" t="str">
        <f>[1]!Tazkirarbaeame(EN29)</f>
        <v>mozakkar</v>
      </c>
      <c r="FI29" s="34" t="str">
        <f>[1]!Amzajame(EN29)</f>
        <v>zohre-moshtary</v>
      </c>
      <c r="FQ29" s="2267"/>
      <c r="FR29" s="2268"/>
      <c r="FS29" s="2268"/>
      <c r="FT29" s="2268"/>
      <c r="FU29" s="2268"/>
      <c r="FV29" s="2269" t="s">
        <v>4431</v>
      </c>
      <c r="FW29" s="2270"/>
      <c r="FX29" s="2173"/>
      <c r="FY29" s="2173"/>
      <c r="FZ29" s="2173"/>
      <c r="GA29" s="2173"/>
      <c r="GB29" s="2173"/>
      <c r="GC29" s="2271" t="s">
        <v>4430</v>
      </c>
      <c r="GD29" s="2136"/>
      <c r="GE29" s="2137" t="s">
        <v>1544</v>
      </c>
      <c r="GF29" s="2138"/>
    </row>
    <row r="30" spans="2:188" ht="31.5">
      <c r="M30" s="2244"/>
      <c r="N30" s="99">
        <v>23</v>
      </c>
      <c r="O30" s="99">
        <v>24</v>
      </c>
      <c r="P30" s="99">
        <v>26</v>
      </c>
      <c r="Q30" s="99">
        <v>26</v>
      </c>
      <c r="R30" s="99">
        <v>22</v>
      </c>
      <c r="S30" s="99">
        <v>21</v>
      </c>
      <c r="T30" s="99">
        <v>30</v>
      </c>
      <c r="U30" s="99">
        <v>22</v>
      </c>
      <c r="V30" s="99">
        <v>24</v>
      </c>
      <c r="W30" s="99">
        <v>27</v>
      </c>
      <c r="X30" s="99">
        <v>13</v>
      </c>
      <c r="Y30" s="99">
        <v>24</v>
      </c>
      <c r="AS30" s="2295" t="s">
        <v>1653</v>
      </c>
      <c r="AT30" s="2296" t="s">
        <v>1607</v>
      </c>
      <c r="AU30" s="2177" t="s">
        <v>1609</v>
      </c>
      <c r="AV30" s="2297" t="s">
        <v>1612</v>
      </c>
      <c r="AW30" s="2060" t="s">
        <v>1293</v>
      </c>
      <c r="AX30" s="2158" t="s">
        <v>1291</v>
      </c>
      <c r="AY30" s="2061" t="s">
        <v>1292</v>
      </c>
      <c r="AZ30" s="2298" t="s">
        <v>1291</v>
      </c>
      <c r="BA30" s="2153" t="s">
        <v>1293</v>
      </c>
      <c r="BB30" s="2299" t="s">
        <v>1292</v>
      </c>
      <c r="BC30" s="2292" t="s">
        <v>1662</v>
      </c>
      <c r="BD30" s="2292" t="s">
        <v>1665</v>
      </c>
      <c r="BE30" s="2293" t="s">
        <v>1669</v>
      </c>
      <c r="BF30" s="2268"/>
      <c r="BG30" s="2268"/>
      <c r="BH30" s="2294"/>
      <c r="DA30" s="2245" t="s">
        <v>2016</v>
      </c>
      <c r="DB30" s="2173">
        <f>IF(DM30=1,[1]!tq([1]!tq(DI30-DG30)+DK30),IF(AND(DM30=2,$DI$8&lt;=12),[1]!tq([1]!tq(DI30-DG30)+DK30),[1]!tq([1]!tq(DG30-DI30)+DK30)))</f>
        <v>343.36024779378744</v>
      </c>
      <c r="DC30" s="2246">
        <f t="shared" si="9"/>
        <v>343</v>
      </c>
      <c r="DD30" s="2246">
        <f t="shared" si="10"/>
        <v>21</v>
      </c>
      <c r="DE30" s="2173">
        <f t="shared" si="7"/>
        <v>12</v>
      </c>
      <c r="DF30" s="2062" t="s">
        <v>1291</v>
      </c>
      <c r="DG30" s="2062">
        <f>DP24</f>
        <v>17.395377385733344</v>
      </c>
      <c r="DH30" s="2153" t="s">
        <v>4328</v>
      </c>
      <c r="DI30" s="2153"/>
      <c r="DJ30" s="2137" t="s">
        <v>279</v>
      </c>
      <c r="DK30" s="2137">
        <f t="shared" si="15"/>
        <v>0.75562517952077002</v>
      </c>
      <c r="DL30" s="2062" t="s">
        <v>1997</v>
      </c>
      <c r="DM30" s="2062">
        <f t="shared" si="8"/>
        <v>1</v>
      </c>
      <c r="DN30" s="2489" t="s">
        <v>1981</v>
      </c>
      <c r="DO30" s="2173"/>
      <c r="DP30" s="2494">
        <f>DB12</f>
        <v>236.97823665139728</v>
      </c>
      <c r="DQ30" s="2491">
        <f t="shared" ref="DQ30:DQ31" si="30">INT(ABS(DP30))</f>
        <v>236</v>
      </c>
      <c r="DR30" s="2492">
        <f t="shared" ref="DR30:DR31" si="31">INT((ABS(DP30)-DQ30)*60)</f>
        <v>58</v>
      </c>
      <c r="DS30" s="88">
        <f t="shared" si="5"/>
        <v>9</v>
      </c>
      <c r="EF30" s="2282" t="s">
        <v>2214</v>
      </c>
      <c r="EG30" s="2144">
        <f>EG29/6</f>
        <v>30.072083519715651</v>
      </c>
      <c r="EH30" s="2149">
        <v>5</v>
      </c>
      <c r="EI30" s="79" t="s">
        <v>1290</v>
      </c>
      <c r="EJ30" s="2150">
        <f>EG37</f>
        <v>118.43816604860248</v>
      </c>
      <c r="EK30" s="2283">
        <f t="shared" si="27"/>
        <v>28.000381629400493</v>
      </c>
      <c r="EL30" s="2144">
        <f t="shared" si="29"/>
        <v>14.000190814700247</v>
      </c>
      <c r="EM30" s="2145">
        <f t="shared" si="28"/>
        <v>104.43797523390224</v>
      </c>
      <c r="EN30" s="34">
        <f t="shared" si="16"/>
        <v>6</v>
      </c>
      <c r="EO30" s="2158">
        <f t="shared" si="17"/>
        <v>133.45350490198967</v>
      </c>
      <c r="EP30" s="2266" t="str">
        <f t="shared" si="18"/>
        <v>--</v>
      </c>
      <c r="EQ30" s="2266" t="str">
        <f t="shared" si="19"/>
        <v>--</v>
      </c>
      <c r="ER30" s="2266" t="str">
        <f t="shared" si="20"/>
        <v>--</v>
      </c>
      <c r="ES30" s="2256" t="str">
        <f t="shared" si="21"/>
        <v>--</v>
      </c>
      <c r="ET30" s="2266" t="str">
        <f t="shared" si="22"/>
        <v>--</v>
      </c>
      <c r="EU30" s="2266" t="str">
        <f t="shared" si="23"/>
        <v>--</v>
      </c>
      <c r="EV30" s="2266" t="str">
        <f t="shared" si="24"/>
        <v>--</v>
      </c>
      <c r="EW30" s="2266" t="str">
        <f t="shared" si="25"/>
        <v>--</v>
      </c>
      <c r="EX30" s="2266" t="str">
        <f t="shared" si="26"/>
        <v>--</v>
      </c>
      <c r="EY30" s="34" t="str">
        <f>[1]!esmbaytame(EN30)</f>
        <v>bayt-abd</v>
      </c>
      <c r="EZ30" s="34" t="str">
        <f>[1]!vatadame(EN30)</f>
        <v>zaiel</v>
      </c>
      <c r="FA30" s="34" t="str">
        <f>[1]!nazerame(EN30)</f>
        <v>saqet</v>
      </c>
      <c r="FB30" s="34" t="str">
        <f>[1]!saaedame(EN30)</f>
        <v>habet</v>
      </c>
      <c r="FC30" s="34" t="str">
        <f>[1]!qovvatame(EN30)</f>
        <v>--</v>
      </c>
      <c r="FD30" s="34" t="str">
        <f>[1]!zaefame(EN30)</f>
        <v>--</v>
      </c>
      <c r="FE30" s="34" t="str">
        <f>[1]!Aezaaame(EN30)</f>
        <v>shekam-naf</v>
      </c>
      <c r="FF30" s="34" t="str">
        <f>[1]!Jehatame(EN30)</f>
        <v>jonooby-qarby</v>
      </c>
      <c r="FG30" s="34" t="str">
        <f>[1]!Tazkirboyootame(EN30)</f>
        <v>moannas</v>
      </c>
      <c r="FH30" s="34" t="str">
        <f>[1]!Tazkirarbaeame(EN30)</f>
        <v>mozakkar</v>
      </c>
      <c r="FI30" s="34" t="str">
        <f>[1]!Amzajame(EN30)</f>
        <v>merikh-zohal</v>
      </c>
      <c r="FQ30" s="2267"/>
      <c r="FR30" s="2268"/>
      <c r="FS30" s="2268"/>
      <c r="FT30" s="2268"/>
      <c r="FU30" s="2268"/>
      <c r="FV30" s="2269" t="s">
        <v>4433</v>
      </c>
      <c r="FW30" s="2270"/>
      <c r="FX30" s="2173"/>
      <c r="FY30" s="2173"/>
      <c r="FZ30" s="2173"/>
      <c r="GA30" s="2173"/>
      <c r="GB30" s="2173"/>
      <c r="GC30" s="2271" t="s">
        <v>4432</v>
      </c>
      <c r="GD30" s="2136"/>
      <c r="GE30" s="2137" t="s">
        <v>1290</v>
      </c>
      <c r="GF30" s="2138"/>
    </row>
    <row r="31" spans="2:188" ht="32.25" thickBot="1">
      <c r="M31" s="2244"/>
      <c r="N31" s="99">
        <v>29</v>
      </c>
      <c r="O31" s="99">
        <v>25</v>
      </c>
      <c r="P31" s="99">
        <v>30</v>
      </c>
      <c r="Q31" s="99">
        <v>30</v>
      </c>
      <c r="R31" s="99">
        <v>23</v>
      </c>
      <c r="S31" s="99">
        <v>25</v>
      </c>
      <c r="T31" s="99"/>
      <c r="U31" s="99">
        <v>23</v>
      </c>
      <c r="V31" s="99">
        <v>27</v>
      </c>
      <c r="W31" s="99"/>
      <c r="X31" s="99">
        <v>29</v>
      </c>
      <c r="Y31" s="99">
        <v>26</v>
      </c>
      <c r="AS31" s="2300" t="s">
        <v>1654</v>
      </c>
      <c r="AT31" s="2301" t="s">
        <v>273</v>
      </c>
      <c r="AU31" s="2170" t="s">
        <v>1610</v>
      </c>
      <c r="AV31" s="2302" t="s">
        <v>1613</v>
      </c>
      <c r="AW31" s="2225" t="s">
        <v>1290</v>
      </c>
      <c r="AX31" s="2254" t="s">
        <v>687</v>
      </c>
      <c r="AY31" s="2226" t="s">
        <v>849</v>
      </c>
      <c r="AZ31" s="2303" t="s">
        <v>687</v>
      </c>
      <c r="BA31" s="2121" t="s">
        <v>1290</v>
      </c>
      <c r="BB31" s="2304" t="s">
        <v>849</v>
      </c>
      <c r="BC31" s="2305" t="s">
        <v>1663</v>
      </c>
      <c r="BD31" s="2305" t="s">
        <v>1666</v>
      </c>
      <c r="BE31" s="2306" t="s">
        <v>1670</v>
      </c>
      <c r="BF31" s="2307"/>
      <c r="BG31" s="2307"/>
      <c r="BH31" s="2308"/>
      <c r="DA31" s="2245" t="s">
        <v>4279</v>
      </c>
      <c r="DB31" s="2173">
        <f>IF(DM31=1,[1]!tq([1]!tq(DI31-DG31)+DK31),IF(AND(DM31=2,$DI$8&lt;=12),[1]!tq([1]!tq(DI31-DG31)+DK31),[1]!tq([1]!tq(DG31-DI31)+DK31)))</f>
        <v>218.06338879066195</v>
      </c>
      <c r="DC31" s="2246">
        <f t="shared" si="9"/>
        <v>218</v>
      </c>
      <c r="DD31" s="2246">
        <f t="shared" si="10"/>
        <v>3</v>
      </c>
      <c r="DE31" s="2173">
        <f t="shared" si="7"/>
        <v>8</v>
      </c>
      <c r="DF31" s="2062" t="s">
        <v>849</v>
      </c>
      <c r="DG31" s="2062">
        <f>DG28</f>
        <v>123.77746812797938</v>
      </c>
      <c r="DH31" s="2177" t="s">
        <v>1293</v>
      </c>
      <c r="DI31" s="2177">
        <f>DG24</f>
        <v>341.08523173912056</v>
      </c>
      <c r="DJ31" s="2137" t="s">
        <v>279</v>
      </c>
      <c r="DK31" s="2137">
        <f t="shared" si="15"/>
        <v>0.75562517952077002</v>
      </c>
      <c r="DL31" s="2062" t="s">
        <v>1964</v>
      </c>
      <c r="DM31" s="2062">
        <f t="shared" si="8"/>
        <v>2</v>
      </c>
      <c r="DN31" s="2489" t="s">
        <v>1970</v>
      </c>
      <c r="DO31" s="2173"/>
      <c r="DP31" s="2494">
        <f>DB13</f>
        <v>124.53301370764424</v>
      </c>
      <c r="DQ31" s="2491">
        <f t="shared" si="30"/>
        <v>124</v>
      </c>
      <c r="DR31" s="2492">
        <f t="shared" si="31"/>
        <v>31</v>
      </c>
      <c r="DS31" s="88">
        <f t="shared" si="5"/>
        <v>5</v>
      </c>
      <c r="EF31" s="2282" t="s">
        <v>2233</v>
      </c>
      <c r="EG31" s="2144">
        <f>[1]!asher2(EG21,EG22,EG23,EG24,EI23)</f>
        <v>270.43778441920199</v>
      </c>
      <c r="EH31" s="2149">
        <v>6</v>
      </c>
      <c r="EI31" s="79" t="s">
        <v>1291</v>
      </c>
      <c r="EJ31" s="2150">
        <f>EG41</f>
        <v>148.46884375537684</v>
      </c>
      <c r="EK31" s="2283">
        <f t="shared" si="27"/>
        <v>30.030677706774355</v>
      </c>
      <c r="EL31" s="2144">
        <f t="shared" si="29"/>
        <v>15.015338853387178</v>
      </c>
      <c r="EM31" s="2145">
        <f t="shared" si="28"/>
        <v>133.45350490198967</v>
      </c>
      <c r="EN31" s="34">
        <f t="shared" si="16"/>
        <v>7</v>
      </c>
      <c r="EO31" s="2158">
        <f t="shared" si="17"/>
        <v>164.61223446744879</v>
      </c>
      <c r="EP31" s="2266" t="str">
        <f t="shared" si="18"/>
        <v>--</v>
      </c>
      <c r="EQ31" s="2266" t="str">
        <f t="shared" si="19"/>
        <v>--</v>
      </c>
      <c r="ER31" s="2266" t="str">
        <f t="shared" si="20"/>
        <v>--</v>
      </c>
      <c r="ES31" s="2256" t="str">
        <f t="shared" si="21"/>
        <v>--</v>
      </c>
      <c r="ET31" s="2266" t="str">
        <f t="shared" si="22"/>
        <v>--</v>
      </c>
      <c r="EU31" s="2266" t="str">
        <f t="shared" si="23"/>
        <v>--</v>
      </c>
      <c r="EV31" s="2266" t="str">
        <f t="shared" si="24"/>
        <v>--</v>
      </c>
      <c r="EW31" s="2266" t="str">
        <f t="shared" si="25"/>
        <v>--</v>
      </c>
      <c r="EX31" s="2266" t="str">
        <f t="shared" si="26"/>
        <v>--</v>
      </c>
      <c r="EY31" s="34" t="str">
        <f>[1]!esmbaytame(EN31)</f>
        <v>bayt-azdad</v>
      </c>
      <c r="EZ31" s="34" t="str">
        <f>[1]!vatadame(EN31)</f>
        <v>vatad-sabea</v>
      </c>
      <c r="FA31" s="34" t="str">
        <f>[1]!nazerame(EN31)</f>
        <v>nazer</v>
      </c>
      <c r="FB31" s="34" t="str">
        <f>[1]!saaedame(EN31)</f>
        <v>habet</v>
      </c>
      <c r="FC31" s="34" t="str">
        <f>[1]!qovvatame(EN31)</f>
        <v>qovvat-zohreh</v>
      </c>
      <c r="FD31" s="34" t="str">
        <f>[1]!zaefame(EN31)</f>
        <v>--</v>
      </c>
      <c r="FE31" s="34" t="str">
        <f>[1]!Aezaaame(EN31)</f>
        <v>zirnaf-sorain</v>
      </c>
      <c r="FF31" s="34" t="str">
        <f>[1]!Jehatame(EN31)</f>
        <v>maqreb</v>
      </c>
      <c r="FG31" s="34" t="str">
        <f>[1]!Tazkirboyootame(EN31)</f>
        <v>mozakkar</v>
      </c>
      <c r="FH31" s="34" t="str">
        <f>[1]!Tazkirarbaeame(EN31)</f>
        <v>mozakkar</v>
      </c>
      <c r="FI31" s="34" t="str">
        <f>[1]!Amzajame(EN31)</f>
        <v>otared</v>
      </c>
      <c r="FQ31" s="2309"/>
      <c r="FR31" s="2310"/>
      <c r="FS31" s="2310"/>
      <c r="FT31" s="2310"/>
      <c r="FU31" s="2310"/>
      <c r="FV31" s="2311" t="s">
        <v>4435</v>
      </c>
      <c r="FW31" s="2312"/>
      <c r="FX31" s="2212"/>
      <c r="FY31" s="2212"/>
      <c r="FZ31" s="2212"/>
      <c r="GA31" s="2212"/>
      <c r="GB31" s="2212"/>
      <c r="GC31" s="2313" t="s">
        <v>4434</v>
      </c>
      <c r="GD31" s="2191"/>
      <c r="GE31" s="2192" t="s">
        <v>1291</v>
      </c>
      <c r="GF31" s="2193"/>
    </row>
    <row r="32" spans="2:188" ht="27.75" thickBot="1">
      <c r="M32" s="2244"/>
      <c r="N32" s="99"/>
      <c r="O32" s="99">
        <v>25</v>
      </c>
      <c r="P32" s="99"/>
      <c r="Q32" s="99"/>
      <c r="R32" s="99">
        <v>28</v>
      </c>
      <c r="S32" s="99"/>
      <c r="T32" s="99"/>
      <c r="U32" s="99">
        <v>27</v>
      </c>
      <c r="V32" s="99">
        <v>30</v>
      </c>
      <c r="W32" s="99"/>
      <c r="X32" s="99"/>
      <c r="Y32" s="99">
        <v>28</v>
      </c>
      <c r="DA32" s="2245" t="s">
        <v>2021</v>
      </c>
      <c r="DB32" s="2173">
        <f>IF(DM32=1,[1]!tq([1]!tq(DI32-DG32)+DK32),IF(AND(DM32=2,$DI$8&lt;=12),[1]!tq([1]!tq(DI32-DG32)+DK32),[1]!tq([1]!tq(DG32-DI32)+DK32)))</f>
        <v>324.445479532908</v>
      </c>
      <c r="DC32" s="2246">
        <f t="shared" si="9"/>
        <v>324</v>
      </c>
      <c r="DD32" s="2246">
        <f t="shared" si="10"/>
        <v>26</v>
      </c>
      <c r="DE32" s="2173">
        <f t="shared" si="7"/>
        <v>12</v>
      </c>
      <c r="DF32" s="2062" t="s">
        <v>1291</v>
      </c>
      <c r="DG32" s="2062">
        <f>DG30</f>
        <v>17.395377385733344</v>
      </c>
      <c r="DH32" s="2177" t="s">
        <v>1293</v>
      </c>
      <c r="DI32" s="2177">
        <f>DI31</f>
        <v>341.08523173912056</v>
      </c>
      <c r="DJ32" s="2137" t="s">
        <v>279</v>
      </c>
      <c r="DK32" s="2137">
        <f t="shared" si="15"/>
        <v>0.75562517952077002</v>
      </c>
      <c r="DL32" s="2062" t="s">
        <v>1964</v>
      </c>
      <c r="DM32" s="2062">
        <f t="shared" si="8"/>
        <v>2</v>
      </c>
      <c r="DN32" s="2489" t="s">
        <v>1513</v>
      </c>
      <c r="DO32" s="2173"/>
      <c r="DP32" s="2494">
        <f>[1]!tasaazam(DE5,DE6,DE7,DE8)</f>
        <v>185.43079783462315</v>
      </c>
      <c r="DQ32" s="2491">
        <f t="shared" ref="DQ32" si="32">INT(ABS(DP32))</f>
        <v>185</v>
      </c>
      <c r="DR32" s="2492">
        <f t="shared" ref="DR32" si="33">INT((ABS(DP32)-DQ32)*60)</f>
        <v>25</v>
      </c>
      <c r="DS32" s="88">
        <f t="shared" ref="DS32:DS33" si="34">IF(AND(DP32&gt;=$EO$26,DP32&lt;$EO$27),$EN$26,IF(AND(DP32&lt;$EO$28,DP32&gt;=$EO$27),$EN$27,IF(AND(DP32&lt;$EO$29,DP32&gt;=$EO$28),$EN$28,IF(AND(DP32&lt;$EO$30,DP32&gt;=$EO$29),$EN$29,IF(AND(DP32&lt;$EO$31,DP32&gt;=$EO$30),$EN$30,IF(AND(DP32&lt;$EO$32,DP32&gt;=$EO$31),$EN$31,IF(AND(DP32&lt;$EO$33,DP32&gt;=$EO$32),$EN$32,IF(AND(DP32&lt;$EO$34,DP32&gt;=$EO$33),$EN$33,IF(AND(DP32&lt;$EO$35,DP32&gt;=$EO$34),$EN$34,IF(AND(DP32&lt;$EO$36,DP32&gt;=$EO$35),$EN$35,IF(AND(DP32&lt;$EO$37,DP32&gt;=$EO$36),$EN$36,$EN$37)))))))))))</f>
        <v>7</v>
      </c>
      <c r="EF32" s="2282" t="s">
        <v>2232</v>
      </c>
      <c r="EG32" s="2144">
        <f>[1]!tq(EG31+180)</f>
        <v>90.437784419201989</v>
      </c>
      <c r="EH32" s="2149">
        <v>7</v>
      </c>
      <c r="EI32" s="79" t="s">
        <v>849</v>
      </c>
      <c r="EJ32" s="2150">
        <f>EG27</f>
        <v>180.75562517952076</v>
      </c>
      <c r="EK32" s="2283">
        <f t="shared" si="27"/>
        <v>32.286781424143925</v>
      </c>
      <c r="EL32" s="2144">
        <f t="shared" si="29"/>
        <v>16.143390712071962</v>
      </c>
      <c r="EM32" s="2145">
        <f t="shared" si="28"/>
        <v>164.61223446744879</v>
      </c>
      <c r="EN32" s="34">
        <f t="shared" si="16"/>
        <v>8</v>
      </c>
      <c r="EO32" s="2158">
        <f t="shared" si="17"/>
        <v>196.79011430420064</v>
      </c>
      <c r="EP32" s="2266" t="str">
        <f t="shared" si="18"/>
        <v>--</v>
      </c>
      <c r="EQ32" s="2266" t="str">
        <f t="shared" si="19"/>
        <v>--</v>
      </c>
      <c r="ER32" s="2266" t="str">
        <f t="shared" si="20"/>
        <v>--</v>
      </c>
      <c r="ES32" s="2256" t="str">
        <f t="shared" si="21"/>
        <v>--</v>
      </c>
      <c r="ET32" s="2266" t="str">
        <f t="shared" si="22"/>
        <v>--</v>
      </c>
      <c r="EU32" s="2266" t="str">
        <f t="shared" si="23"/>
        <v>--</v>
      </c>
      <c r="EV32" s="2266" t="str">
        <f t="shared" si="24"/>
        <v>--</v>
      </c>
      <c r="EW32" s="2266" t="str">
        <f t="shared" si="25"/>
        <v>--</v>
      </c>
      <c r="EX32" s="2266" t="str">
        <f t="shared" si="26"/>
        <v>--</v>
      </c>
      <c r="EY32" s="34" t="str">
        <f>[1]!esmbaytame(EN32)</f>
        <v>bayt-javf</v>
      </c>
      <c r="EZ32" s="34" t="str">
        <f>[1]!vatadame(EN32)</f>
        <v>maiel</v>
      </c>
      <c r="FA32" s="34" t="str">
        <f>[1]!nazerame(EN32)</f>
        <v>saqet</v>
      </c>
      <c r="FB32" s="34" t="str">
        <f>[1]!saaedame(EN32)</f>
        <v>habet</v>
      </c>
      <c r="FC32" s="34" t="str">
        <f>[1]!qovvatame(EN32)</f>
        <v>qovvat-zohal</v>
      </c>
      <c r="FD32" s="34" t="str">
        <f>[1]!zaefame(EN32)</f>
        <v>zaef-moshtari</v>
      </c>
      <c r="FE32" s="34" t="str">
        <f>[1]!Aezaaame(EN32)</f>
        <v>alat shahvat-rahem</v>
      </c>
      <c r="FF32" s="34" t="str">
        <f>[1]!Jehatame(EN32)</f>
        <v>shomaly-qarby</v>
      </c>
      <c r="FG32" s="34" t="str">
        <f>[1]!Tazkirboyootame(EN32)</f>
        <v>moannas</v>
      </c>
      <c r="FH32" s="34" t="str">
        <f>[1]!Tazkirarbaeame(EN32)</f>
        <v>moannas</v>
      </c>
      <c r="FI32" s="34" t="str">
        <f>[1]!Amzajame(EN32)</f>
        <v>--</v>
      </c>
    </row>
    <row r="33" spans="13:188" ht="27.75" thickBot="1">
      <c r="M33" s="2263" t="s">
        <v>1372</v>
      </c>
      <c r="N33" s="2221" t="e">
        <f ca="1">IF(OR(P5=6,P5=11,P5=17,P5=23,P5=29,P5=35,P5=43,P5=48,P5=54,P5=55,P5=56,P5=62,P5=73,P5=77,P5=86,P5=90,P5=102,P5=107,P5=113,P5=116,P5=120,P5=124,P5=133,P5=135,P5=142,P5=143,P5=148,P5=158,P5=163,P5=166,P5=171,P5=175,P5=181,P5=187,P5=200,P5=210,P5=219,P5=220,P5=227,P5=232,P5=233,P5=237,P5=247,P5=252,P5=264,P5=267,P5=270,P5=277,P5=292,P5=294,P5=297,P5=301,P5=312,P5=314,P5=323,P5=329,P5=334,P5=339,P5=340,P5=354,P5=356,P5=358),"بئر","لا بئر")</f>
        <v>#NAME?</v>
      </c>
      <c r="AS33" s="2295" t="s">
        <v>1682</v>
      </c>
      <c r="DA33" s="2245" t="s">
        <v>4280</v>
      </c>
      <c r="DB33" s="2173">
        <f>IF(DM33=1,[1]!tq([1]!tq(DI33-DG33)+DK33),IF(AND(DM33=2,$DI$8&lt;=12),[1]!tq([1]!tq(DI33-DG33)+DK33),[1]!tq([1]!tq(DG33-DI33)+DK33)))</f>
        <v>341.84077731878546</v>
      </c>
      <c r="DC33" s="2246">
        <f t="shared" si="9"/>
        <v>341</v>
      </c>
      <c r="DD33" s="2246">
        <f t="shared" si="10"/>
        <v>50</v>
      </c>
      <c r="DE33" s="2173">
        <f t="shared" si="7"/>
        <v>12</v>
      </c>
      <c r="DF33" s="2062" t="s">
        <v>1544</v>
      </c>
      <c r="DG33" s="2062">
        <f>DG29</f>
        <v>7.9599855894230132E-5</v>
      </c>
      <c r="DH33" s="2177" t="s">
        <v>1293</v>
      </c>
      <c r="DI33" s="2177">
        <f>DI32</f>
        <v>341.08523173912056</v>
      </c>
      <c r="DJ33" s="2137" t="s">
        <v>279</v>
      </c>
      <c r="DK33" s="2137">
        <f t="shared" si="15"/>
        <v>0.75562517952077002</v>
      </c>
      <c r="DL33" s="2062" t="s">
        <v>1997</v>
      </c>
      <c r="DM33" s="2062">
        <f t="shared" si="8"/>
        <v>1</v>
      </c>
      <c r="DN33" s="2270" t="s">
        <v>4646</v>
      </c>
      <c r="DO33" s="2155"/>
      <c r="DP33" s="2155" t="str">
        <f>[1]!sahebborjame(DP32)</f>
        <v>zohreh</v>
      </c>
      <c r="DQ33" s="2155"/>
      <c r="DR33" s="2155"/>
      <c r="DS33" s="88">
        <f t="shared" si="34"/>
        <v>1</v>
      </c>
      <c r="EF33" s="2282" t="s">
        <v>2215</v>
      </c>
      <c r="EG33" s="2144">
        <f>[1]!mtb(EG21,EG26,EI23)</f>
        <v>0.47710444370365179</v>
      </c>
      <c r="EH33" s="2149">
        <v>8</v>
      </c>
      <c r="EI33" s="79" t="s">
        <v>1293</v>
      </c>
      <c r="EJ33" s="2150">
        <f>EG45</f>
        <v>212.82460342888055</v>
      </c>
      <c r="EK33" s="2283">
        <f t="shared" si="27"/>
        <v>32.068978249359787</v>
      </c>
      <c r="EL33" s="2144">
        <f t="shared" si="29"/>
        <v>16.034489124679894</v>
      </c>
      <c r="EM33" s="2145">
        <f t="shared" si="28"/>
        <v>196.79011430420064</v>
      </c>
      <c r="EN33" s="34">
        <f t="shared" si="16"/>
        <v>9</v>
      </c>
      <c r="EO33" s="2158">
        <f t="shared" si="17"/>
        <v>227.71787510684251</v>
      </c>
      <c r="EP33" s="2266" t="str">
        <f t="shared" si="18"/>
        <v>--</v>
      </c>
      <c r="EQ33" s="2266" t="str">
        <f t="shared" si="19"/>
        <v>--</v>
      </c>
      <c r="ER33" s="2266" t="str">
        <f t="shared" si="20"/>
        <v>--</v>
      </c>
      <c r="ES33" s="2256" t="str">
        <f t="shared" si="21"/>
        <v>--</v>
      </c>
      <c r="ET33" s="2266" t="str">
        <f t="shared" si="22"/>
        <v>--</v>
      </c>
      <c r="EU33" s="2266" t="str">
        <f t="shared" si="23"/>
        <v>--</v>
      </c>
      <c r="EV33" s="2266" t="str">
        <f t="shared" si="24"/>
        <v>--</v>
      </c>
      <c r="EW33" s="2266" t="str">
        <f t="shared" si="25"/>
        <v>سهم الغیب</v>
      </c>
      <c r="EX33" s="2266" t="str">
        <f t="shared" si="26"/>
        <v>--</v>
      </c>
      <c r="EY33" s="34" t="str">
        <f>[1]!esmbaytame(EN33)</f>
        <v>bayt-sfar</v>
      </c>
      <c r="EZ33" s="34" t="str">
        <f>[1]!vatadame(EN33)</f>
        <v>zaiel</v>
      </c>
      <c r="FA33" s="34" t="str">
        <f>[1]!nazerame(EN33)</f>
        <v>nazer</v>
      </c>
      <c r="FB33" s="34" t="str">
        <f>[1]!saaedame(EN33)</f>
        <v>habet</v>
      </c>
      <c r="FC33" s="34" t="str">
        <f>[1]!qovvatame(EN33)</f>
        <v>qovvat-otared</v>
      </c>
      <c r="FD33" s="34" t="str">
        <f>[1]!zaefame(EN33)</f>
        <v>zaef-merrikh</v>
      </c>
      <c r="FE33" s="34" t="str">
        <f>[1]!Aezaaame(EN33)</f>
        <v>ranha-asab an</v>
      </c>
      <c r="FF33" s="34" t="str">
        <f>[1]!Jehatame(EN33)</f>
        <v>shomaly-qarby</v>
      </c>
      <c r="FG33" s="34" t="str">
        <f>[1]!Tazkirboyootame(EN33)</f>
        <v>mozakkar</v>
      </c>
      <c r="FH33" s="34" t="str">
        <f>[1]!Tazkirarbaeame(EN33)</f>
        <v>moannas</v>
      </c>
      <c r="FI33" s="34" t="str">
        <f>[1]!Amzajame(EN33)</f>
        <v>shams-qamar</v>
      </c>
      <c r="GF33" s="1878" t="s">
        <v>4436</v>
      </c>
    </row>
    <row r="34" spans="13:188" ht="32.25" thickBot="1">
      <c r="AS34" s="2314"/>
      <c r="AT34" s="2315"/>
      <c r="AU34" s="2315"/>
      <c r="AV34" s="2316" t="s">
        <v>1685</v>
      </c>
      <c r="AW34" s="2317" t="s">
        <v>1606</v>
      </c>
      <c r="DA34" s="2245" t="s">
        <v>2027</v>
      </c>
      <c r="DB34" s="2173">
        <f>IF(DM34=1,[1]!tq([1]!tq(DI34-DG34)+DK34),IF(AND(DM34=2,$DI$8&lt;=12),[1]!tq([1]!tq(DI34-DG34)+DK34),[1]!tq([1]!tq(DG34-DI34)+DK34)))</f>
        <v>156.05006720525597</v>
      </c>
      <c r="DC34" s="2246">
        <f t="shared" si="9"/>
        <v>156</v>
      </c>
      <c r="DD34" s="2246">
        <f t="shared" si="10"/>
        <v>3</v>
      </c>
      <c r="DE34" s="2173">
        <f t="shared" si="7"/>
        <v>6</v>
      </c>
      <c r="DF34" s="2062" t="s">
        <v>687</v>
      </c>
      <c r="DG34" s="2062">
        <f>DG23</f>
        <v>327.7274805225793</v>
      </c>
      <c r="DH34" s="2177" t="s">
        <v>849</v>
      </c>
      <c r="DI34" s="2177">
        <f>DI23</f>
        <v>123.77746812797938</v>
      </c>
      <c r="DJ34" s="2137" t="s">
        <v>1544</v>
      </c>
      <c r="DK34" s="2137">
        <f>DG12</f>
        <v>7.9599855894230132E-5</v>
      </c>
      <c r="DL34" s="2062" t="s">
        <v>1997</v>
      </c>
      <c r="DM34" s="2062">
        <f t="shared" si="8"/>
        <v>1</v>
      </c>
      <c r="DN34" s="2489" t="s">
        <v>1514</v>
      </c>
      <c r="DO34" s="2173"/>
      <c r="DP34" s="2494">
        <f>[1]!tasakbar(DE5,DE6,DE7,DE8)</f>
        <v>54.307978346231494</v>
      </c>
      <c r="DQ34" s="2491">
        <f>INT(ABS(DP34))</f>
        <v>54</v>
      </c>
      <c r="DR34" s="2492">
        <f>INT((ABS(DP34)-DQ34)*60)</f>
        <v>18</v>
      </c>
      <c r="DS34" s="88"/>
      <c r="EF34" s="2282" t="s">
        <v>2216</v>
      </c>
      <c r="EG34" s="2144">
        <f>[1]!ba(EG30+EG33)</f>
        <v>30.549187963419303</v>
      </c>
      <c r="EH34" s="2149">
        <v>9</v>
      </c>
      <c r="EI34" s="79" t="s">
        <v>1292</v>
      </c>
      <c r="EJ34" s="2150">
        <f>EG49</f>
        <v>242.61114678480448</v>
      </c>
      <c r="EK34" s="2283">
        <f t="shared" si="27"/>
        <v>29.786543355923925</v>
      </c>
      <c r="EL34" s="2144">
        <f t="shared" si="29"/>
        <v>14.893271677961962</v>
      </c>
      <c r="EM34" s="2145">
        <f t="shared" si="28"/>
        <v>227.71787510684251</v>
      </c>
      <c r="EN34" s="34">
        <f t="shared" si="16"/>
        <v>10</v>
      </c>
      <c r="EO34" s="2158">
        <f t="shared" si="17"/>
        <v>256.52446560200326</v>
      </c>
      <c r="EP34" s="2266" t="str">
        <f t="shared" si="18"/>
        <v>--</v>
      </c>
      <c r="EQ34" s="2266" t="str">
        <f t="shared" si="19"/>
        <v>--</v>
      </c>
      <c r="ER34" s="2266" t="str">
        <f t="shared" si="20"/>
        <v>--</v>
      </c>
      <c r="ES34" s="2256" t="str">
        <f t="shared" si="21"/>
        <v>--</v>
      </c>
      <c r="ET34" s="2266" t="str">
        <f t="shared" si="22"/>
        <v>--</v>
      </c>
      <c r="EU34" s="2266" t="str">
        <f t="shared" si="23"/>
        <v>--</v>
      </c>
      <c r="EV34" s="2266" t="str">
        <f t="shared" si="24"/>
        <v>--</v>
      </c>
      <c r="EW34" s="2266" t="str">
        <f t="shared" si="25"/>
        <v>--</v>
      </c>
      <c r="EX34" s="2266" t="str">
        <f t="shared" si="26"/>
        <v>--</v>
      </c>
      <c r="EY34" s="34" t="str">
        <f>[1]!esmbaytame(EN34)</f>
        <v>bayt-amal</v>
      </c>
      <c r="EZ34" s="34" t="str">
        <f>[1]!vatadame(EN34)</f>
        <v>vatad-asher</v>
      </c>
      <c r="FA34" s="34" t="str">
        <f>[1]!nazerame(EN34)</f>
        <v>nazer</v>
      </c>
      <c r="FB34" s="34" t="str">
        <f>[1]!saaedame(EN34)</f>
        <v>saaed</v>
      </c>
      <c r="FC34" s="34" t="str">
        <f>[1]!qovvatame(EN34)</f>
        <v>qovvat-shams</v>
      </c>
      <c r="FD34" s="34" t="str">
        <f>[1]!zaefame(EN34)</f>
        <v>zaef-qamar</v>
      </c>
      <c r="FE34" s="34" t="str">
        <f>[1]!Aezaaame(EN34)</f>
        <v>zanoo-payvandan</v>
      </c>
      <c r="FF34" s="34" t="str">
        <f>[1]!Jehatame(EN34)</f>
        <v>shomal</v>
      </c>
      <c r="FG34" s="34" t="str">
        <f>[1]!Tazkirboyootame(EN34)</f>
        <v>moannas</v>
      </c>
      <c r="FH34" s="34" t="str">
        <f>[1]!Tazkirarbaeame(EN34)</f>
        <v>moannas</v>
      </c>
      <c r="FI34" s="34" t="str">
        <f>[1]!Amzajame(EN34)</f>
        <v>--</v>
      </c>
      <c r="FQ34" s="2165"/>
      <c r="FR34" s="2166"/>
      <c r="FS34" s="2166"/>
      <c r="FT34" s="2166"/>
      <c r="FU34" s="2166"/>
      <c r="FV34" s="2318" t="s">
        <v>4451</v>
      </c>
      <c r="FW34" s="2319"/>
      <c r="FX34" s="2319"/>
      <c r="FY34" s="2319"/>
      <c r="FZ34" s="2319"/>
      <c r="GA34" s="2319"/>
      <c r="GB34" s="2319"/>
      <c r="GC34" s="2320" t="s">
        <v>4450</v>
      </c>
      <c r="GD34" s="2321"/>
      <c r="GE34" s="2322" t="s">
        <v>4454</v>
      </c>
      <c r="GF34" s="2323"/>
    </row>
    <row r="35" spans="13:188" ht="31.5">
      <c r="AS35" s="2324"/>
      <c r="AT35" s="2325" t="s">
        <v>1692</v>
      </c>
      <c r="AU35" s="2325"/>
      <c r="AV35" s="2326" t="s">
        <v>1686</v>
      </c>
      <c r="AW35" s="2327" t="s">
        <v>256</v>
      </c>
      <c r="DA35" s="2245" t="s">
        <v>4281</v>
      </c>
      <c r="DB35" s="2173">
        <f>IF(DM35=1,[1]!tq([1]!tq(DI35-DG35)+DK35),IF(AND(DM35=2,$DI$8&lt;=12),[1]!tq([1]!tq(DI35-DG35)+DK35),[1]!tq([1]!tq(DG35-DI35)+DK35)))</f>
        <v>45.462135982455372</v>
      </c>
      <c r="DC35" s="2246">
        <f t="shared" si="9"/>
        <v>45</v>
      </c>
      <c r="DD35" s="2246">
        <f t="shared" si="10"/>
        <v>27</v>
      </c>
      <c r="DE35" s="2173">
        <f t="shared" si="7"/>
        <v>2</v>
      </c>
      <c r="DF35" s="2062" t="s">
        <v>1544</v>
      </c>
      <c r="DG35" s="2062">
        <f>DG29</f>
        <v>7.9599855894230132E-5</v>
      </c>
      <c r="DH35" s="2177" t="s">
        <v>1292</v>
      </c>
      <c r="DI35" s="2177">
        <f>DI27</f>
        <v>44.706590402790496</v>
      </c>
      <c r="DJ35" s="2137" t="s">
        <v>279</v>
      </c>
      <c r="DK35" s="2137">
        <f>DK33</f>
        <v>0.75562517952077002</v>
      </c>
      <c r="DL35" s="2062" t="s">
        <v>1964</v>
      </c>
      <c r="DM35" s="2062">
        <f t="shared" si="8"/>
        <v>2</v>
      </c>
      <c r="DN35" s="2489" t="s">
        <v>1515</v>
      </c>
      <c r="DO35" s="2173"/>
      <c r="DP35" s="2494">
        <f>[1]!tasavsat(DE5,DE6,DE7,DE8)</f>
        <v>183.07978346231539</v>
      </c>
      <c r="DQ35" s="2491">
        <f>INT(ABS(DP35))</f>
        <v>183</v>
      </c>
      <c r="DR35" s="2492">
        <f>INT((ABS(DP35)-DQ35)*60)</f>
        <v>4</v>
      </c>
      <c r="EF35" s="2282" t="s">
        <v>2231</v>
      </c>
      <c r="EG35" s="2144">
        <f>[1]!tl(EG21,IF(EG34-90&gt;0,EG34-90,EG34-90+360))</f>
        <v>298.43816604860245</v>
      </c>
      <c r="EH35" s="2149">
        <v>10</v>
      </c>
      <c r="EI35" s="79" t="s">
        <v>687</v>
      </c>
      <c r="EJ35" s="2150">
        <f>EG31</f>
        <v>270.43778441920199</v>
      </c>
      <c r="EK35" s="2283">
        <f t="shared" si="27"/>
        <v>27.826637634397514</v>
      </c>
      <c r="EL35" s="2144">
        <f t="shared" si="29"/>
        <v>13.913318817198757</v>
      </c>
      <c r="EM35" s="2145">
        <f t="shared" si="28"/>
        <v>256.52446560200326</v>
      </c>
      <c r="EN35" s="34">
        <f t="shared" si="16"/>
        <v>11</v>
      </c>
      <c r="EO35" s="2158">
        <f t="shared" si="17"/>
        <v>284.43797523390219</v>
      </c>
      <c r="EP35" s="2266" t="str">
        <f t="shared" si="18"/>
        <v>--</v>
      </c>
      <c r="EQ35" s="2266" t="str">
        <f t="shared" si="19"/>
        <v>--</v>
      </c>
      <c r="ER35" s="2266" t="str">
        <f t="shared" si="20"/>
        <v>--</v>
      </c>
      <c r="ES35" s="2256" t="str">
        <f t="shared" si="21"/>
        <v>--</v>
      </c>
      <c r="ET35" s="2266" t="str">
        <f t="shared" si="22"/>
        <v>--</v>
      </c>
      <c r="EU35" s="2266" t="str">
        <f t="shared" si="23"/>
        <v>--</v>
      </c>
      <c r="EV35" s="2266" t="str">
        <f t="shared" si="24"/>
        <v>--</v>
      </c>
      <c r="EW35" s="2266" t="str">
        <f t="shared" si="25"/>
        <v>--</v>
      </c>
      <c r="EX35" s="2266" t="str">
        <f t="shared" si="26"/>
        <v>--</v>
      </c>
      <c r="EY35" s="34" t="str">
        <f>[1]!esmbaytame(EN35)</f>
        <v>bayt-rajaa</v>
      </c>
      <c r="EZ35" s="34" t="str">
        <f>[1]!vatadame(EN35)</f>
        <v>maiel</v>
      </c>
      <c r="FA35" s="34" t="str">
        <f>[1]!nazerame(EN35)</f>
        <v>nazer</v>
      </c>
      <c r="FB35" s="34" t="str">
        <f>[1]!saaedame(EN35)</f>
        <v>saaed</v>
      </c>
      <c r="FC35" s="34" t="str">
        <f>[1]!qovvatame(EN35)</f>
        <v>--</v>
      </c>
      <c r="FD35" s="34" t="str">
        <f>[1]!zaefame(EN35)</f>
        <v>--</v>
      </c>
      <c r="FE35" s="34" t="str">
        <f>[1]!Aezaaame(EN35)</f>
        <v>saghpa</v>
      </c>
      <c r="FF35" s="34" t="str">
        <f>[1]!Jehatame(EN35)</f>
        <v>shomaly-sharqy</v>
      </c>
      <c r="FG35" s="34" t="str">
        <f>[1]!Tazkirboyootame(EN35)</f>
        <v>mozakkar</v>
      </c>
      <c r="FH35" s="34" t="str">
        <f>[1]!Tazkirarbaeame(EN35)</f>
        <v>mozakkar</v>
      </c>
      <c r="FI35" s="34" t="str">
        <f>[1]!Amzajame(EN35)</f>
        <v>moshtary-zohre</v>
      </c>
      <c r="FQ35" s="2233"/>
      <c r="FR35" s="2234"/>
      <c r="FS35" s="2234"/>
      <c r="FT35" s="2234"/>
      <c r="FU35" s="2234"/>
      <c r="FV35" s="2328" t="s">
        <v>4616</v>
      </c>
      <c r="FW35" s="2329"/>
      <c r="FX35" s="2330"/>
      <c r="FY35" s="2330"/>
      <c r="FZ35" s="2330"/>
      <c r="GA35" s="2330"/>
      <c r="GB35" s="2330"/>
      <c r="GC35" s="2331" t="s">
        <v>4437</v>
      </c>
      <c r="GD35" s="2332"/>
      <c r="GE35" s="2232" t="s">
        <v>1292</v>
      </c>
      <c r="GF35" s="2333"/>
    </row>
    <row r="36" spans="13:188" ht="31.5">
      <c r="AS36" s="2324" t="s">
        <v>117</v>
      </c>
      <c r="AT36" s="2325" t="s">
        <v>1693</v>
      </c>
      <c r="AU36" s="2325"/>
      <c r="AV36" s="2334"/>
      <c r="AW36" s="2335" t="s">
        <v>1683</v>
      </c>
      <c r="DA36" s="2245" t="s">
        <v>4287</v>
      </c>
      <c r="DB36" s="2173">
        <f>IF(DM36=1,[1]!tq([1]!tq(DI36-DG36)+DK36),IF(AND(DM36=2,$DI$8&lt;=12),[1]!tq([1]!tq(DI36-DG36)+DK36),[1]!tq([1]!tq(DG36-DI36)+DK36)))</f>
        <v>281.6847474543319</v>
      </c>
      <c r="DC36" s="2246">
        <f t="shared" si="9"/>
        <v>281</v>
      </c>
      <c r="DD36" s="2246">
        <f t="shared" si="10"/>
        <v>41</v>
      </c>
      <c r="DE36" s="2173">
        <f t="shared" si="7"/>
        <v>10</v>
      </c>
      <c r="DF36" s="2062" t="s">
        <v>849</v>
      </c>
      <c r="DG36" s="2062">
        <f>DG31</f>
        <v>123.77746812797938</v>
      </c>
      <c r="DH36" s="2177" t="s">
        <v>1292</v>
      </c>
      <c r="DI36" s="2177">
        <f>DI35</f>
        <v>44.706590402790496</v>
      </c>
      <c r="DJ36" s="2137" t="s">
        <v>279</v>
      </c>
      <c r="DK36" s="2137">
        <f>DK35</f>
        <v>0.75562517952077002</v>
      </c>
      <c r="DL36" s="2062" t="s">
        <v>1964</v>
      </c>
      <c r="DM36" s="2062">
        <f t="shared" si="8"/>
        <v>2</v>
      </c>
      <c r="DN36" s="2489" t="s">
        <v>1516</v>
      </c>
      <c r="DO36" s="2173"/>
      <c r="DP36" s="2494">
        <f>[1]!tasasqar(DE5,DE6,DE7,DE8)</f>
        <v>30.797834623139352</v>
      </c>
      <c r="DQ36" s="2491">
        <f>INT(ABS(DP36))</f>
        <v>30</v>
      </c>
      <c r="DR36" s="2492">
        <f>INT((ABS(DP36)-DQ36)*60)</f>
        <v>47</v>
      </c>
      <c r="EF36" s="2282" t="s">
        <v>2217</v>
      </c>
      <c r="EG36" s="2144">
        <f>[1]!ba(EG34+180-90)</f>
        <v>120.54918796341931</v>
      </c>
      <c r="EH36" s="2149">
        <v>11</v>
      </c>
      <c r="EI36" s="79" t="s">
        <v>1290</v>
      </c>
      <c r="EJ36" s="2150">
        <f>EG35</f>
        <v>298.43816604860245</v>
      </c>
      <c r="EK36" s="2283">
        <f t="shared" si="27"/>
        <v>28.000381629400465</v>
      </c>
      <c r="EL36" s="2144">
        <f t="shared" si="29"/>
        <v>14.000190814700233</v>
      </c>
      <c r="EM36" s="2145">
        <f t="shared" si="28"/>
        <v>284.43797523390219</v>
      </c>
      <c r="EN36" s="34">
        <f t="shared" si="16"/>
        <v>12</v>
      </c>
      <c r="EO36" s="2158">
        <f t="shared" si="17"/>
        <v>313.45350490198962</v>
      </c>
      <c r="EP36" s="2266" t="str">
        <f t="shared" si="18"/>
        <v>--</v>
      </c>
      <c r="EQ36" s="2266" t="str">
        <f t="shared" si="19"/>
        <v>--</v>
      </c>
      <c r="ER36" s="2266" t="str">
        <f t="shared" si="20"/>
        <v>--</v>
      </c>
      <c r="ES36" s="2256" t="str">
        <f t="shared" si="21"/>
        <v>زهره</v>
      </c>
      <c r="ET36" s="2266" t="str">
        <f t="shared" si="22"/>
        <v>مریخ</v>
      </c>
      <c r="EU36" s="2266" t="str">
        <f t="shared" si="23"/>
        <v>--</v>
      </c>
      <c r="EV36" s="2266" t="str">
        <f t="shared" si="24"/>
        <v>زحل</v>
      </c>
      <c r="EW36" s="2266" t="str">
        <f t="shared" si="25"/>
        <v>--</v>
      </c>
      <c r="EX36" s="2266" t="str">
        <f t="shared" si="26"/>
        <v>--</v>
      </c>
      <c r="EY36" s="34" t="str">
        <f>[1]!esmbaytame(EN36)</f>
        <v>bayt-aedaa</v>
      </c>
      <c r="EZ36" s="34" t="str">
        <f>[1]!vatadame(EN36)</f>
        <v>zaiel</v>
      </c>
      <c r="FA36" s="34" t="str">
        <f>[1]!nazerame(EN36)</f>
        <v>saqet</v>
      </c>
      <c r="FB36" s="34" t="str">
        <f>[1]!saaedame(EN36)</f>
        <v>saaed</v>
      </c>
      <c r="FC36" s="34" t="str">
        <f>[1]!qovvatame(EN36)</f>
        <v>--</v>
      </c>
      <c r="FD36" s="34" t="str">
        <f>[1]!zaefame(EN36)</f>
        <v>--</v>
      </c>
      <c r="FE36" s="34" t="str">
        <f>[1]!Aezaaame(EN36)</f>
        <v>gadam</v>
      </c>
      <c r="FF36" s="34" t="str">
        <f>[1]!Jehatame(EN36)</f>
        <v>shomaly-sharqy</v>
      </c>
      <c r="FG36" s="34" t="str">
        <f>[1]!Tazkirboyootame(EN36)</f>
        <v>moannas</v>
      </c>
      <c r="FH36" s="34" t="str">
        <f>[1]!Tazkirarbaeame(EN36)</f>
        <v>mozakkar</v>
      </c>
      <c r="FI36" s="34" t="str">
        <f>[1]!Amzajame(EN36)</f>
        <v>zohal-merikh</v>
      </c>
      <c r="FQ36" s="2241"/>
      <c r="FR36" s="2177"/>
      <c r="FS36" s="2177"/>
      <c r="FT36" s="2177"/>
      <c r="FU36" s="2177"/>
      <c r="FV36" s="2336" t="s">
        <v>4456</v>
      </c>
      <c r="FW36" s="2337"/>
      <c r="FX36" s="2338"/>
      <c r="FY36" s="2338"/>
      <c r="FZ36" s="2338"/>
      <c r="GA36" s="2338"/>
      <c r="GB36" s="2338"/>
      <c r="GC36" s="2339" t="s">
        <v>4438</v>
      </c>
      <c r="GD36" s="2136"/>
      <c r="GE36" s="2137" t="s">
        <v>687</v>
      </c>
      <c r="GF36" s="2138"/>
    </row>
    <row r="37" spans="13:188" ht="31.5">
      <c r="AS37" s="2324"/>
      <c r="AT37" s="2325" t="s">
        <v>1694</v>
      </c>
      <c r="AU37" s="2325"/>
      <c r="AV37" s="2056" t="s">
        <v>1687</v>
      </c>
      <c r="AW37" s="2340" t="s">
        <v>273</v>
      </c>
      <c r="DA37" s="2245" t="s">
        <v>4288</v>
      </c>
      <c r="DB37" s="2173">
        <f>IF(DM37=1,[1]!tq([1]!tq(DI37-DG37)+DK37),IF(AND(DM37=2,$DI$8&lt;=12),[1]!tq([1]!tq(DI37-DG37)+DK37),[1]!tq([1]!tq(DG37-DI37)+DK37)))</f>
        <v>297.13426651585087</v>
      </c>
      <c r="DC37" s="2246">
        <f t="shared" si="9"/>
        <v>297</v>
      </c>
      <c r="DD37" s="2246">
        <f t="shared" si="10"/>
        <v>8</v>
      </c>
      <c r="DE37" s="2173">
        <f t="shared" si="7"/>
        <v>11</v>
      </c>
      <c r="DF37" s="2062" t="s">
        <v>1292</v>
      </c>
      <c r="DG37" s="2062">
        <f>DI27</f>
        <v>44.706590402790496</v>
      </c>
      <c r="DH37" s="2177" t="s">
        <v>1293</v>
      </c>
      <c r="DI37" s="2177">
        <f>DG27</f>
        <v>341.08523173912056</v>
      </c>
      <c r="DJ37" s="2137" t="s">
        <v>279</v>
      </c>
      <c r="DK37" s="2137">
        <f t="shared" ref="DK37:DK47" si="35">DK36</f>
        <v>0.75562517952077002</v>
      </c>
      <c r="DL37" s="2062" t="s">
        <v>1964</v>
      </c>
      <c r="DM37" s="2062">
        <f t="shared" si="8"/>
        <v>2</v>
      </c>
      <c r="DN37" s="2493" t="s">
        <v>1527</v>
      </c>
      <c r="DO37" s="2173"/>
      <c r="DP37" s="2508">
        <f>[1]!entaazam(DE5,DE6,DE7,DE8)</f>
        <v>162.92393487661349</v>
      </c>
      <c r="DQ37" s="2491">
        <f>INT(ABS(DP37))</f>
        <v>162</v>
      </c>
      <c r="DR37" s="2492">
        <f>INT((ABS(DP37)-DQ37)*60)</f>
        <v>55</v>
      </c>
      <c r="EF37" s="2282" t="s">
        <v>2230</v>
      </c>
      <c r="EG37" s="2144">
        <f>[1]!tl(EG21,EG36)</f>
        <v>118.43816604860248</v>
      </c>
      <c r="EH37" s="2149">
        <v>12</v>
      </c>
      <c r="EI37" s="79"/>
      <c r="EJ37" s="2150">
        <f>EG39</f>
        <v>328.46884375537684</v>
      </c>
      <c r="EK37" s="2341">
        <f t="shared" si="27"/>
        <v>30.030677706774384</v>
      </c>
      <c r="EL37" s="2200">
        <f t="shared" si="29"/>
        <v>15.015338853387192</v>
      </c>
      <c r="EM37" s="2145">
        <f t="shared" si="28"/>
        <v>313.45350490198962</v>
      </c>
      <c r="EN37" s="34">
        <f t="shared" si="16"/>
        <v>1</v>
      </c>
      <c r="EO37" s="2158">
        <f t="shared" si="17"/>
        <v>344.61223446744884</v>
      </c>
      <c r="EP37" s="2266" t="str">
        <f>IF(OR(DP22&lt;EO26,DP22&gt;=EO37),"شمس","--")</f>
        <v>شمس</v>
      </c>
      <c r="EQ37" s="2266" t="str">
        <f>IF(OR(DP23&lt;EO26,DP23&gt;=EO37),"قمر","--")</f>
        <v>--</v>
      </c>
      <c r="ER37" s="2266" t="str">
        <f>IF(OR(DP24&lt;EO26,DP24&gt;EO37),"عطارد","--")</f>
        <v>--</v>
      </c>
      <c r="ES37" s="2256" t="str">
        <f>IF(OR(DP25&lt;EO26,DP25&gt;EO37),"زهره","--")</f>
        <v>--</v>
      </c>
      <c r="ET37" s="2266" t="str">
        <f>IF(OR(DP26&lt;EO26,DP26&gt;EO37),"مریخ","--")</f>
        <v>--</v>
      </c>
      <c r="EU37" s="2266" t="str">
        <f>IF(OR(DP27&lt;EO26,DP27&gt;EO37),"مشتری","--")</f>
        <v>--</v>
      </c>
      <c r="EV37" s="2266" t="str">
        <f>IF(OR(DP28&lt;EO26,DP28&gt;EO37),"زحل","--")</f>
        <v>--</v>
      </c>
      <c r="EW37" s="2266" t="str">
        <f t="shared" si="25"/>
        <v>--</v>
      </c>
      <c r="EX37" s="2266" t="str">
        <f t="shared" si="26"/>
        <v>--</v>
      </c>
      <c r="EY37" s="34" t="str">
        <f>[1]!esmbaytame(EN37)</f>
        <v>bayt-hayat</v>
      </c>
      <c r="EZ37" s="34" t="str">
        <f>[1]!vatadame(EN37)</f>
        <v>vatad-talea</v>
      </c>
      <c r="FA37" s="34" t="str">
        <f>[1]!nazerame(EN37)</f>
        <v>--</v>
      </c>
      <c r="FB37" s="34" t="str">
        <f>[1]!saaedame(EN37)</f>
        <v>saaed</v>
      </c>
      <c r="FC37" s="34" t="str">
        <f>[1]!qovvatame(EN37)</f>
        <v>--</v>
      </c>
      <c r="FD37" s="34" t="str">
        <f>[1]!zaefame(EN37)</f>
        <v>zaef-zohreh</v>
      </c>
      <c r="FE37" s="34" t="str">
        <f>[1]!Aezaaame(EN37)</f>
        <v>sar-rooy</v>
      </c>
      <c r="FF37" s="34" t="str">
        <f>[1]!Jehatame(EN37)</f>
        <v>mashreq</v>
      </c>
      <c r="FG37" s="34" t="str">
        <f>[1]!Tazkirboyootame(EN37)</f>
        <v>mozakkar</v>
      </c>
      <c r="FH37" s="34" t="str">
        <f>[1]!Tazkirarbaeame(EN37)</f>
        <v>mozakkar</v>
      </c>
      <c r="FI37" s="34" t="str">
        <f>[1]!Amzajame(EN37)</f>
        <v>otared</v>
      </c>
      <c r="FQ37" s="2241"/>
      <c r="FR37" s="2177"/>
      <c r="FS37" s="2177"/>
      <c r="FT37" s="2177"/>
      <c r="FU37" s="2177"/>
      <c r="FV37" s="2336" t="s">
        <v>4457</v>
      </c>
      <c r="FW37" s="2337"/>
      <c r="FX37" s="2338"/>
      <c r="FY37" s="2338"/>
      <c r="FZ37" s="2338"/>
      <c r="GA37" s="2338"/>
      <c r="GB37" s="2338"/>
      <c r="GC37" s="2339" t="s">
        <v>4439</v>
      </c>
      <c r="GD37" s="2136"/>
      <c r="GE37" s="2137" t="s">
        <v>1544</v>
      </c>
      <c r="GF37" s="2138"/>
    </row>
    <row r="38" spans="13:188" ht="31.5">
      <c r="AS38" s="2324"/>
      <c r="AT38" s="2325"/>
      <c r="AU38" s="2325"/>
      <c r="AV38" s="2060" t="s">
        <v>1688</v>
      </c>
      <c r="AW38" s="2342" t="s">
        <v>255</v>
      </c>
      <c r="DA38" s="2245" t="s">
        <v>4289</v>
      </c>
      <c r="DB38" s="2173">
        <f>IF(DM38=1,[1]!tq([1]!tq(DI38-DG38)+DK38),IF(AND(DM38=2,$DI$8&lt;=12),[1]!tq([1]!tq(DI38-DG38)+DK38),[1]!tq([1]!tq(DG38-DI38)+DK38)))</f>
        <v>296.41032445909832</v>
      </c>
      <c r="DC38" s="2246">
        <f t="shared" si="9"/>
        <v>296</v>
      </c>
      <c r="DD38" s="2246">
        <f t="shared" si="10"/>
        <v>24</v>
      </c>
      <c r="DE38" s="2173">
        <f t="shared" si="7"/>
        <v>11</v>
      </c>
      <c r="DF38" s="2062" t="s">
        <v>1292</v>
      </c>
      <c r="DG38" s="2062">
        <f>DG37</f>
        <v>44.706590402790496</v>
      </c>
      <c r="DH38" s="2177" t="s">
        <v>1290</v>
      </c>
      <c r="DI38" s="2177">
        <f>DP25</f>
        <v>340.36128968236801</v>
      </c>
      <c r="DJ38" s="2137" t="s">
        <v>279</v>
      </c>
      <c r="DK38" s="2137">
        <f t="shared" si="35"/>
        <v>0.75562517952077002</v>
      </c>
      <c r="DL38" s="2062" t="s">
        <v>1964</v>
      </c>
      <c r="DM38" s="2062">
        <f t="shared" si="8"/>
        <v>2</v>
      </c>
      <c r="DN38" s="2270" t="s">
        <v>4647</v>
      </c>
      <c r="DO38" s="2173"/>
      <c r="DP38" s="2173" t="str">
        <f>[1]!sahebborjame(DP37)</f>
        <v>otared</v>
      </c>
      <c r="DQ38" s="2173"/>
      <c r="DR38" s="2520"/>
      <c r="EF38" s="2282" t="s">
        <v>2218</v>
      </c>
      <c r="EG38" s="2144">
        <f>IF(EG34+EG30-90&gt;0,EG34+EG30-90,EG34+EG30-90+360)</f>
        <v>330.62127148313493</v>
      </c>
      <c r="EH38" s="2343"/>
      <c r="EI38" s="2343"/>
      <c r="EJ38" s="2344"/>
      <c r="EK38" s="2344"/>
      <c r="EL38" s="2345"/>
      <c r="FQ38" s="2241"/>
      <c r="FR38" s="2177"/>
      <c r="FS38" s="2177"/>
      <c r="FT38" s="2177"/>
      <c r="FU38" s="2177"/>
      <c r="FV38" s="2336" t="s">
        <v>4458</v>
      </c>
      <c r="FW38" s="2337"/>
      <c r="FX38" s="2338"/>
      <c r="FY38" s="2338"/>
      <c r="FZ38" s="2338"/>
      <c r="GA38" s="2338"/>
      <c r="GB38" s="2338"/>
      <c r="GC38" s="2339" t="s">
        <v>4440</v>
      </c>
      <c r="GD38" s="2136"/>
      <c r="GE38" s="2137" t="s">
        <v>1290</v>
      </c>
      <c r="GF38" s="2138"/>
    </row>
    <row r="39" spans="13:188" ht="32.25" thickBot="1">
      <c r="AS39" s="2324"/>
      <c r="AT39" s="2325"/>
      <c r="AU39" s="2325"/>
      <c r="AV39" s="2060"/>
      <c r="AW39" s="2342" t="s">
        <v>1608</v>
      </c>
      <c r="DA39" s="2245" t="s">
        <v>4290</v>
      </c>
      <c r="DB39" s="2173">
        <f>IF(DM39=1,[1]!tq([1]!tq(DI39-DG39)+DK39),IF(AND(DM39=2,$DI$8&lt;=12),[1]!tq([1]!tq(DI39-DG39)+DK39),[1]!tq([1]!tq(DG39-DI39)+DK39)))</f>
        <v>323.72153747615545</v>
      </c>
      <c r="DC39" s="2246">
        <f t="shared" si="9"/>
        <v>323</v>
      </c>
      <c r="DD39" s="2246">
        <f t="shared" si="10"/>
        <v>43</v>
      </c>
      <c r="DE39" s="2173">
        <f t="shared" si="7"/>
        <v>12</v>
      </c>
      <c r="DF39" s="2062" t="s">
        <v>1291</v>
      </c>
      <c r="DG39" s="2062">
        <f>DI40</f>
        <v>17.395377385733344</v>
      </c>
      <c r="DH39" s="2177" t="s">
        <v>1290</v>
      </c>
      <c r="DI39" s="2177">
        <f>DI38</f>
        <v>340.36128968236801</v>
      </c>
      <c r="DJ39" s="2137" t="s">
        <v>279</v>
      </c>
      <c r="DK39" s="2137">
        <f t="shared" si="35"/>
        <v>0.75562517952077002</v>
      </c>
      <c r="DL39" s="2062" t="s">
        <v>1964</v>
      </c>
      <c r="DM39" s="2062">
        <f t="shared" si="8"/>
        <v>2</v>
      </c>
      <c r="DN39" s="2493" t="s">
        <v>1528</v>
      </c>
      <c r="DO39" s="2173"/>
      <c r="DP39" s="2494">
        <f>[1]!entakbar(DE5,DE6,DE7,DE8)</f>
        <v>189.23934876613492</v>
      </c>
      <c r="DQ39" s="2491">
        <f>INT(ABS(DP39))</f>
        <v>189</v>
      </c>
      <c r="DR39" s="2492">
        <f>INT((ABS(DP39)-DQ39)*60)</f>
        <v>14</v>
      </c>
      <c r="EF39" s="2282" t="s">
        <v>2229</v>
      </c>
      <c r="EG39" s="2144">
        <f>[1]!tl(EG21,EG38)</f>
        <v>328.46884375537684</v>
      </c>
      <c r="EH39" s="2343"/>
      <c r="EI39" s="2343"/>
      <c r="EJ39" s="2344"/>
      <c r="EK39" s="2344"/>
      <c r="EL39" s="2345"/>
      <c r="FQ39" s="2249"/>
      <c r="FR39" s="2214"/>
      <c r="FS39" s="2214"/>
      <c r="FT39" s="2214"/>
      <c r="FU39" s="2214"/>
      <c r="FV39" s="2346" t="s">
        <v>4459</v>
      </c>
      <c r="FW39" s="2347"/>
      <c r="FX39" s="2348"/>
      <c r="FY39" s="2348"/>
      <c r="FZ39" s="2348"/>
      <c r="GA39" s="2348"/>
      <c r="GB39" s="2348"/>
      <c r="GC39" s="2349" t="s">
        <v>4617</v>
      </c>
      <c r="GD39" s="2191"/>
      <c r="GE39" s="2192" t="s">
        <v>1291</v>
      </c>
      <c r="GF39" s="2193"/>
    </row>
    <row r="40" spans="13:188" ht="27.75" thickBot="1">
      <c r="AS40" s="2350"/>
      <c r="AT40" s="2351"/>
      <c r="AU40" s="2351"/>
      <c r="AV40" s="2332" t="s">
        <v>1687</v>
      </c>
      <c r="AW40" s="2333" t="s">
        <v>1609</v>
      </c>
      <c r="DA40" s="2245" t="s">
        <v>4291</v>
      </c>
      <c r="DB40" s="2173">
        <f>IF(DM40=1,[1]!tq([1]!tq(DI40-DG40)+DK40),IF(AND(DM40=2,$DI$8&lt;=12),[1]!tq([1]!tq(DI40-DG40)+DK40),[1]!tq([1]!tq(DG40-DI40)+DK40)))</f>
        <v>37.789712882886114</v>
      </c>
      <c r="DC40" s="2246">
        <f t="shared" si="9"/>
        <v>37</v>
      </c>
      <c r="DD40" s="2246">
        <f t="shared" si="10"/>
        <v>47</v>
      </c>
      <c r="DE40" s="2173">
        <f t="shared" si="7"/>
        <v>2</v>
      </c>
      <c r="DF40" s="2062" t="s">
        <v>1290</v>
      </c>
      <c r="DG40" s="2062">
        <f>DI28</f>
        <v>340.36128968236801</v>
      </c>
      <c r="DH40" s="2177" t="s">
        <v>1291</v>
      </c>
      <c r="DI40" s="2177">
        <f>DG30</f>
        <v>17.395377385733344</v>
      </c>
      <c r="DJ40" s="2137" t="s">
        <v>279</v>
      </c>
      <c r="DK40" s="2137">
        <f t="shared" si="35"/>
        <v>0.75562517952077002</v>
      </c>
      <c r="DL40" s="2062" t="s">
        <v>1964</v>
      </c>
      <c r="DM40" s="2062">
        <f t="shared" si="8"/>
        <v>2</v>
      </c>
      <c r="DN40" s="2155" t="s">
        <v>4652</v>
      </c>
      <c r="DO40" s="2155"/>
      <c r="DP40" s="2173" t="str">
        <f>[1]!sahebborjame(DP39)</f>
        <v>zohreh</v>
      </c>
      <c r="DQ40" s="2155"/>
      <c r="DR40" s="2155"/>
      <c r="EF40" s="2282" t="s">
        <v>2219</v>
      </c>
      <c r="EG40" s="2144">
        <f>[1]!ba(EG38+180)</f>
        <v>150.62127148313493</v>
      </c>
      <c r="EH40" s="2343"/>
      <c r="EI40" s="2343"/>
      <c r="EJ40" s="2344"/>
      <c r="EK40" s="2344"/>
      <c r="EL40" s="2345"/>
    </row>
    <row r="41" spans="13:188" ht="32.25" thickBot="1">
      <c r="AS41" s="2352"/>
      <c r="AT41" s="2353" t="s">
        <v>1691</v>
      </c>
      <c r="AU41" s="2353"/>
      <c r="AV41" s="2136" t="s">
        <v>1688</v>
      </c>
      <c r="AW41" s="2138" t="s">
        <v>1684</v>
      </c>
      <c r="DA41" s="2245" t="s">
        <v>4292</v>
      </c>
      <c r="DB41" s="2173">
        <f>IF(DM41=1,[1]!tq([1]!tq(DI41-DG41)+DK41),IF(AND(DM41=2,$DI$8&lt;=12),[1]!tq([1]!tq(DI41-DG41)+DK41),[1]!tq([1]!tq(DG41-DI41)+DK41)))</f>
        <v>236.97823665139728</v>
      </c>
      <c r="DC41" s="2246">
        <f t="shared" si="9"/>
        <v>236</v>
      </c>
      <c r="DD41" s="2246">
        <f t="shared" si="10"/>
        <v>58</v>
      </c>
      <c r="DE41" s="2173">
        <f t="shared" si="7"/>
        <v>9</v>
      </c>
      <c r="DF41" s="2062" t="s">
        <v>849</v>
      </c>
      <c r="DG41" s="2062">
        <f>DG36</f>
        <v>123.77746812797938</v>
      </c>
      <c r="DH41" s="2177" t="s">
        <v>1544</v>
      </c>
      <c r="DI41" s="2177">
        <f>DG35</f>
        <v>7.9599855894230132E-5</v>
      </c>
      <c r="DJ41" s="2137" t="s">
        <v>279</v>
      </c>
      <c r="DK41" s="2137">
        <f t="shared" si="35"/>
        <v>0.75562517952077002</v>
      </c>
      <c r="DL41" s="2062" t="s">
        <v>1964</v>
      </c>
      <c r="DM41" s="2062">
        <f t="shared" si="8"/>
        <v>2</v>
      </c>
      <c r="DN41" s="2493" t="s">
        <v>1529</v>
      </c>
      <c r="DO41" s="2173"/>
      <c r="DP41" s="2494">
        <f>[1]!entavsat(DE5,DE6,DE7,DE8)</f>
        <v>92.393487661349354</v>
      </c>
      <c r="DQ41" s="2491">
        <f>INT(ABS(DP41))</f>
        <v>92</v>
      </c>
      <c r="DR41" s="2492">
        <f>INT((ABS(DP41)-DQ41)*60)</f>
        <v>23</v>
      </c>
      <c r="EF41" s="2282" t="s">
        <v>2228</v>
      </c>
      <c r="EG41" s="2144">
        <f>[1]!tl(EG21,EG40)</f>
        <v>148.46884375537684</v>
      </c>
      <c r="EH41" s="2343"/>
      <c r="EI41" s="2343"/>
      <c r="EJ41" s="2109"/>
      <c r="EK41" s="2109"/>
      <c r="EL41" s="2354"/>
      <c r="FQ41" s="2355"/>
      <c r="FR41" s="2356"/>
      <c r="FS41" s="2356"/>
      <c r="FT41" s="2356"/>
      <c r="FU41" s="2356"/>
      <c r="FV41" s="2356" t="s">
        <v>4451</v>
      </c>
      <c r="FW41" s="2357"/>
      <c r="FX41" s="2358"/>
      <c r="FY41" s="2358"/>
      <c r="FZ41" s="2358"/>
      <c r="GA41" s="2358"/>
      <c r="GB41" s="2358"/>
      <c r="GC41" s="2359" t="s">
        <v>4453</v>
      </c>
      <c r="GD41" s="2360"/>
      <c r="GE41" s="2079" t="s">
        <v>4452</v>
      </c>
      <c r="GF41" s="2080"/>
    </row>
    <row r="42" spans="13:188" ht="31.5">
      <c r="AS42" s="2352" t="s">
        <v>117</v>
      </c>
      <c r="AT42" s="2353" t="s">
        <v>1690</v>
      </c>
      <c r="AU42" s="2353"/>
      <c r="AV42" s="2116"/>
      <c r="AW42" s="2361" t="s">
        <v>943</v>
      </c>
      <c r="DA42" s="2245" t="s">
        <v>2044</v>
      </c>
      <c r="DB42" s="2173">
        <f>IF(DM42=1,[1]!tq([1]!tq(DI42-DG42)+DK42),IF(AND(DM42=2,$DI$8&lt;=12),[1]!tq([1]!tq(DI42-DG42)+DK42),[1]!tq([1]!tq(DG42-DI42)+DK42)))</f>
        <v>156.80561278492084</v>
      </c>
      <c r="DC42" s="2246">
        <f t="shared" si="9"/>
        <v>156</v>
      </c>
      <c r="DD42" s="2246">
        <f t="shared" si="10"/>
        <v>48</v>
      </c>
      <c r="DE42" s="2173">
        <f t="shared" si="7"/>
        <v>6</v>
      </c>
      <c r="DF42" s="2062" t="s">
        <v>687</v>
      </c>
      <c r="DG42" s="2062">
        <f>DG34</f>
        <v>327.7274805225793</v>
      </c>
      <c r="DH42" s="2177" t="s">
        <v>849</v>
      </c>
      <c r="DI42" s="2177">
        <f>DI34</f>
        <v>123.77746812797938</v>
      </c>
      <c r="DJ42" s="2137" t="s">
        <v>279</v>
      </c>
      <c r="DK42" s="2137">
        <f t="shared" si="35"/>
        <v>0.75562517952077002</v>
      </c>
      <c r="DL42" s="2062" t="s">
        <v>1964</v>
      </c>
      <c r="DM42" s="2062">
        <f t="shared" si="8"/>
        <v>2</v>
      </c>
      <c r="DN42" s="2155" t="s">
        <v>4653</v>
      </c>
      <c r="DO42" s="2155"/>
      <c r="DP42" s="2173" t="str">
        <f>[1]!sahebborjame(DP41)</f>
        <v>qomar</v>
      </c>
      <c r="DQ42" s="2155"/>
      <c r="DR42" s="2155"/>
      <c r="EF42" s="2282" t="s">
        <v>2220</v>
      </c>
      <c r="EG42" s="2144">
        <f>[1]!ba(EG38+60)</f>
        <v>30.621271483134933</v>
      </c>
      <c r="EH42" s="2343"/>
      <c r="EI42" s="2343"/>
      <c r="EJ42" s="2109"/>
      <c r="EK42" s="2109"/>
      <c r="EL42" s="2354"/>
      <c r="FQ42" s="2362"/>
      <c r="FR42" s="2363"/>
      <c r="FS42" s="2363"/>
      <c r="FT42" s="2363"/>
      <c r="FU42" s="2363"/>
      <c r="FV42" s="2364" t="s">
        <v>4460</v>
      </c>
      <c r="FW42" s="2365"/>
      <c r="FX42" s="2366"/>
      <c r="FY42" s="2366"/>
      <c r="FZ42" s="2366"/>
      <c r="GA42" s="2366"/>
      <c r="GB42" s="2366"/>
      <c r="GC42" s="2367" t="s">
        <v>4442</v>
      </c>
      <c r="GD42" s="2332"/>
      <c r="GE42" s="2232" t="s">
        <v>687</v>
      </c>
      <c r="GF42" s="2333"/>
    </row>
    <row r="43" spans="13:188" ht="31.5">
      <c r="AS43" s="2352"/>
      <c r="AT43" s="2353" t="s">
        <v>1689</v>
      </c>
      <c r="AU43" s="2353"/>
      <c r="AV43" s="2285" t="s">
        <v>1685</v>
      </c>
      <c r="AW43" s="2368" t="s">
        <v>1611</v>
      </c>
      <c r="DA43" s="2245" t="s">
        <v>2046</v>
      </c>
      <c r="DB43" s="2173">
        <f>IF(DM43=1,[1]!tq([1]!tq(DI43-DG43)+DK43),IF(AND(DM43=2,$DI$8&lt;=12),[1]!tq([1]!tq(DI43-DG43)+DK43),[1]!tq([1]!tq(DG43-DI43)+DK43)))</f>
        <v>1.4795672362733185</v>
      </c>
      <c r="DC43" s="2246">
        <f t="shared" si="9"/>
        <v>1</v>
      </c>
      <c r="DD43" s="2246">
        <f t="shared" si="10"/>
        <v>28</v>
      </c>
      <c r="DE43" s="2173">
        <f t="shared" si="7"/>
        <v>1</v>
      </c>
      <c r="DF43" s="2062" t="s">
        <v>1290</v>
      </c>
      <c r="DG43" s="2062">
        <f>DI39</f>
        <v>340.36128968236801</v>
      </c>
      <c r="DH43" s="2177" t="s">
        <v>1293</v>
      </c>
      <c r="DI43" s="2177">
        <f>DI37</f>
        <v>341.08523173912056</v>
      </c>
      <c r="DJ43" s="2137" t="s">
        <v>279</v>
      </c>
      <c r="DK43" s="2137">
        <f t="shared" si="35"/>
        <v>0.75562517952077002</v>
      </c>
      <c r="DL43" s="2062" t="s">
        <v>1964</v>
      </c>
      <c r="DM43" s="2062">
        <f t="shared" si="8"/>
        <v>2</v>
      </c>
      <c r="DN43" s="2493" t="s">
        <v>1530</v>
      </c>
      <c r="DO43" s="2173"/>
      <c r="DP43" s="2494">
        <f>[1]!entasqar(DE5,DE6,DE7,DE8)</f>
        <v>203.93487661349343</v>
      </c>
      <c r="DQ43" s="2491">
        <f>INT(ABS(DP43))</f>
        <v>203</v>
      </c>
      <c r="DR43" s="2492">
        <f>INT((ABS(DP43)-DQ43)*60)</f>
        <v>56</v>
      </c>
      <c r="EF43" s="2282" t="s">
        <v>2227</v>
      </c>
      <c r="EG43" s="2144">
        <f>[1]!tl(EG21,EG42)</f>
        <v>32.824603428880557</v>
      </c>
      <c r="EH43" s="2343"/>
      <c r="EI43" s="2343"/>
      <c r="EJ43" s="2109"/>
      <c r="EK43" s="2109"/>
      <c r="EL43" s="2354"/>
      <c r="FQ43" s="2369"/>
      <c r="FR43" s="2062"/>
      <c r="FS43" s="2062"/>
      <c r="FT43" s="2062"/>
      <c r="FU43" s="2062"/>
      <c r="FV43" s="2370" t="s">
        <v>4618</v>
      </c>
      <c r="FW43" s="2157"/>
      <c r="FX43" s="2144"/>
      <c r="FY43" s="2144"/>
      <c r="FZ43" s="2144"/>
      <c r="GA43" s="2144"/>
      <c r="GB43" s="2144"/>
      <c r="GC43" s="2371" t="s">
        <v>4443</v>
      </c>
      <c r="GD43" s="2136"/>
      <c r="GE43" s="2137" t="s">
        <v>1544</v>
      </c>
      <c r="GF43" s="2138"/>
    </row>
    <row r="44" spans="13:188" ht="31.5">
      <c r="AS44" s="2352"/>
      <c r="AT44" s="2353"/>
      <c r="AU44" s="2353"/>
      <c r="AV44" s="2296" t="s">
        <v>1686</v>
      </c>
      <c r="AW44" s="2178" t="s">
        <v>1612</v>
      </c>
      <c r="DA44" s="2245" t="s">
        <v>2048</v>
      </c>
      <c r="DB44" s="2173">
        <f>IF(DM44=1,[1]!tq([1]!tq(DI44-DG44)+DK44),IF(AND(DM44=2,$DI$8&lt;=12),[1]!tq([1]!tq(DI44-DG44)+DK44),[1]!tq([1]!tq(DG44-DI44)+DK44)))</f>
        <v>45.462135982455372</v>
      </c>
      <c r="DC44" s="2246">
        <f t="shared" si="9"/>
        <v>45</v>
      </c>
      <c r="DD44" s="2246">
        <f t="shared" si="10"/>
        <v>27</v>
      </c>
      <c r="DE44" s="2173">
        <f t="shared" si="7"/>
        <v>2</v>
      </c>
      <c r="DF44" s="2062" t="s">
        <v>1544</v>
      </c>
      <c r="DG44" s="2062">
        <f>DG33</f>
        <v>7.9599855894230132E-5</v>
      </c>
      <c r="DH44" s="2177" t="s">
        <v>1292</v>
      </c>
      <c r="DI44" s="2177">
        <f>DI36</f>
        <v>44.706590402790496</v>
      </c>
      <c r="DJ44" s="2137" t="s">
        <v>279</v>
      </c>
      <c r="DK44" s="2137">
        <f t="shared" si="35"/>
        <v>0.75562517952077002</v>
      </c>
      <c r="DL44" s="2062" t="s">
        <v>1964</v>
      </c>
      <c r="DM44" s="2327">
        <f t="shared" si="8"/>
        <v>2</v>
      </c>
      <c r="DN44" s="2493" t="s">
        <v>4597</v>
      </c>
      <c r="DO44" s="2173"/>
      <c r="DP44" s="2494" t="str">
        <f>[1]!farasqarame(EM22)</f>
        <v>shams</v>
      </c>
      <c r="DQ44" s="2173"/>
      <c r="DR44" s="2495"/>
      <c r="EF44" s="2282" t="s">
        <v>2221</v>
      </c>
      <c r="EG44" s="2144">
        <f>[1]!ba(EG42+180)</f>
        <v>210.62127148313493</v>
      </c>
      <c r="EH44" s="2343"/>
      <c r="EI44" s="2343"/>
      <c r="EJ44" s="2109"/>
      <c r="EK44" s="2109"/>
      <c r="EL44" s="2354"/>
      <c r="FQ44" s="2369"/>
      <c r="FR44" s="2062"/>
      <c r="FS44" s="2062"/>
      <c r="FT44" s="2062"/>
      <c r="FU44" s="2062"/>
      <c r="FV44" s="2370" t="s">
        <v>4461</v>
      </c>
      <c r="FW44" s="2157"/>
      <c r="FX44" s="2144"/>
      <c r="FY44" s="2144"/>
      <c r="FZ44" s="2144"/>
      <c r="GA44" s="2144"/>
      <c r="GB44" s="2144"/>
      <c r="GC44" s="2371" t="s">
        <v>4444</v>
      </c>
      <c r="GD44" s="2136"/>
      <c r="GE44" s="2137" t="s">
        <v>1290</v>
      </c>
      <c r="GF44" s="2138"/>
    </row>
    <row r="45" spans="13:188" ht="32.25" thickBot="1">
      <c r="AS45" s="2372"/>
      <c r="AT45" s="2373"/>
      <c r="AU45" s="2373"/>
      <c r="AV45" s="2374"/>
      <c r="AW45" s="2215" t="s">
        <v>1613</v>
      </c>
      <c r="DA45" s="2245" t="s">
        <v>2051</v>
      </c>
      <c r="DB45" s="2173">
        <f>IF(DM45=1,[1]!tq([1]!tq(DI45-DG45)+DK45),IF(AND(DM45=2,$DI$8&lt;=12),[1]!tq([1]!tq(DI45-DG45)+DK45),[1]!tq([1]!tq(DG45-DI45)+DK45)))</f>
        <v>281.6847474543319</v>
      </c>
      <c r="DC45" s="2246">
        <f t="shared" si="9"/>
        <v>281</v>
      </c>
      <c r="DD45" s="2246">
        <f t="shared" si="10"/>
        <v>41</v>
      </c>
      <c r="DE45" s="2173">
        <f t="shared" si="7"/>
        <v>10</v>
      </c>
      <c r="DF45" s="2062" t="s">
        <v>849</v>
      </c>
      <c r="DG45" s="2062">
        <f>DG41</f>
        <v>123.77746812797938</v>
      </c>
      <c r="DH45" s="2177" t="s">
        <v>1292</v>
      </c>
      <c r="DI45" s="2177">
        <f>DI44</f>
        <v>44.706590402790496</v>
      </c>
      <c r="DJ45" s="2137" t="s">
        <v>279</v>
      </c>
      <c r="DK45" s="2137">
        <f t="shared" si="35"/>
        <v>0.75562517952077002</v>
      </c>
      <c r="DL45" s="2062" t="s">
        <v>1964</v>
      </c>
      <c r="DM45" s="2327">
        <f t="shared" si="8"/>
        <v>2</v>
      </c>
      <c r="DN45" s="2493" t="s">
        <v>1546</v>
      </c>
      <c r="DO45" s="2173"/>
      <c r="DP45" s="2494">
        <f>[1]!fardaravsat(EM22)</f>
        <v>6</v>
      </c>
      <c r="DQ45" s="2173"/>
      <c r="DR45" s="2495"/>
      <c r="EF45" s="2282" t="s">
        <v>2226</v>
      </c>
      <c r="EG45" s="2144">
        <f>[1]!tl(EG21,EG44)</f>
        <v>212.82460342888055</v>
      </c>
      <c r="EH45" s="2343"/>
      <c r="EI45" s="2343"/>
      <c r="EJ45" s="2109"/>
      <c r="EK45" s="2109"/>
      <c r="EL45" s="2354"/>
      <c r="FQ45" s="2375"/>
      <c r="FR45" s="2376"/>
      <c r="FS45" s="2376"/>
      <c r="FT45" s="2376"/>
      <c r="FU45" s="2376"/>
      <c r="FV45" s="2377" t="s">
        <v>4463</v>
      </c>
      <c r="FW45" s="2378"/>
      <c r="FX45" s="2379"/>
      <c r="FY45" s="2379"/>
      <c r="FZ45" s="2379"/>
      <c r="GA45" s="2379"/>
      <c r="GB45" s="2379"/>
      <c r="GC45" s="2380" t="s">
        <v>4445</v>
      </c>
      <c r="GD45" s="2191"/>
      <c r="GE45" s="2192" t="s">
        <v>1291</v>
      </c>
      <c r="GF45" s="2193"/>
    </row>
    <row r="46" spans="13:188" ht="27.75" thickBot="1">
      <c r="DA46" s="2245" t="s">
        <v>2053</v>
      </c>
      <c r="DB46" s="2173">
        <f>IF(DM46=1,[1]!tq([1]!tq(DI46-DG46)+DK46),IF(AND(DM46=2,$DI$8&lt;=12),[1]!tq([1]!tq(DI46-DG46)+DK46),[1]!tq([1]!tq(DG46-DI46)+DK46)))</f>
        <v>217.3394467339094</v>
      </c>
      <c r="DC46" s="2246">
        <f t="shared" si="9"/>
        <v>217</v>
      </c>
      <c r="DD46" s="2246">
        <f t="shared" si="10"/>
        <v>20</v>
      </c>
      <c r="DE46" s="2173">
        <f t="shared" si="7"/>
        <v>8</v>
      </c>
      <c r="DF46" s="2062" t="s">
        <v>849</v>
      </c>
      <c r="DG46" s="2062">
        <f>DG45</f>
        <v>123.77746812797938</v>
      </c>
      <c r="DH46" s="2177" t="s">
        <v>1290</v>
      </c>
      <c r="DI46" s="2177">
        <f>DG43</f>
        <v>340.36128968236801</v>
      </c>
      <c r="DJ46" s="2137" t="s">
        <v>279</v>
      </c>
      <c r="DK46" s="2137">
        <f t="shared" si="35"/>
        <v>0.75562517952077002</v>
      </c>
      <c r="DL46" s="2062" t="s">
        <v>1964</v>
      </c>
      <c r="DM46" s="2327">
        <f t="shared" si="8"/>
        <v>2</v>
      </c>
      <c r="DN46" s="2173" t="s">
        <v>4598</v>
      </c>
      <c r="DO46" s="2173"/>
      <c r="DP46" s="2494" t="str">
        <f>[1]!fdavsatame(DP45)</f>
        <v>zanab</v>
      </c>
      <c r="DQ46" s="2173"/>
      <c r="DR46" s="2173"/>
      <c r="EF46" s="2282" t="s">
        <v>2222</v>
      </c>
      <c r="EG46" s="2144">
        <f>[1]!ba(EG34+120)</f>
        <v>150.54918796341931</v>
      </c>
      <c r="EH46" s="2343"/>
      <c r="EI46" s="2343"/>
      <c r="EJ46" s="2109"/>
      <c r="EK46" s="2109"/>
      <c r="EL46" s="2354"/>
    </row>
    <row r="47" spans="13:188" ht="32.25" thickBot="1">
      <c r="DA47" s="2245" t="s">
        <v>4293</v>
      </c>
      <c r="DB47" s="2173">
        <f>IF(DM47=1,[1]!tq([1]!tq(DI47-DG47)+DK47),IF(AND(DM47=2,$DI$8&lt;=12),[1]!tq([1]!tq(DI47-DG47)+DK47),[1]!tq([1]!tq(DG47-DI47)+DK47)))</f>
        <v>45.462135982455372</v>
      </c>
      <c r="DC47" s="2246">
        <f t="shared" si="9"/>
        <v>45</v>
      </c>
      <c r="DD47" s="2246">
        <f t="shared" si="10"/>
        <v>27</v>
      </c>
      <c r="DE47" s="2173">
        <f t="shared" si="7"/>
        <v>2</v>
      </c>
      <c r="DF47" s="2062" t="s">
        <v>1544</v>
      </c>
      <c r="DG47" s="2062">
        <f>DG44</f>
        <v>7.9599855894230132E-5</v>
      </c>
      <c r="DH47" s="2177" t="s">
        <v>1292</v>
      </c>
      <c r="DI47" s="2177">
        <f>DI45</f>
        <v>44.706590402790496</v>
      </c>
      <c r="DJ47" s="2137" t="s">
        <v>279</v>
      </c>
      <c r="DK47" s="2137">
        <f t="shared" si="35"/>
        <v>0.75562517952077002</v>
      </c>
      <c r="DL47" s="2062" t="s">
        <v>1964</v>
      </c>
      <c r="DM47" s="2327">
        <f t="shared" si="8"/>
        <v>2</v>
      </c>
      <c r="DN47" s="2493" t="s">
        <v>1541</v>
      </c>
      <c r="DO47" s="2155"/>
      <c r="DP47" s="2496">
        <f>[1]!fardarakbar(EG21,EG22,EG23)</f>
        <v>46.36363636363636</v>
      </c>
      <c r="DQ47" s="2155"/>
      <c r="DR47" s="2155"/>
      <c r="EF47" s="2282" t="s">
        <v>2225</v>
      </c>
      <c r="EG47" s="2144">
        <f>[1]!tl(EG21,IF(EG46-90&gt;0,EG46-90,EG46-90+360))</f>
        <v>62.611146784804525</v>
      </c>
      <c r="EH47" s="2343"/>
      <c r="EI47" s="2343"/>
      <c r="EJ47" s="2109"/>
      <c r="EK47" s="2109"/>
      <c r="EL47" s="2354"/>
      <c r="FQ47" s="2381"/>
      <c r="FR47" s="2322"/>
      <c r="FS47" s="2322"/>
      <c r="FT47" s="2322"/>
      <c r="FU47" s="2322"/>
      <c r="FV47" s="2322" t="s">
        <v>4451</v>
      </c>
      <c r="FW47" s="2382"/>
      <c r="FX47" s="2383"/>
      <c r="FY47" s="2383"/>
      <c r="FZ47" s="2383"/>
      <c r="GA47" s="2383"/>
      <c r="GB47" s="2383"/>
      <c r="GC47" s="2383" t="s">
        <v>4468</v>
      </c>
      <c r="GD47" s="2360"/>
      <c r="GE47" s="2079" t="s">
        <v>4467</v>
      </c>
      <c r="GF47" s="2384"/>
    </row>
    <row r="48" spans="13:188" ht="32.25" thickBot="1">
      <c r="DA48" s="2381" t="s">
        <v>4282</v>
      </c>
      <c r="DB48" s="2385"/>
      <c r="DC48" s="2497"/>
      <c r="DD48" s="2497"/>
      <c r="DE48" s="2385"/>
      <c r="DF48" s="2356"/>
      <c r="DG48" s="2356"/>
      <c r="DH48" s="2166"/>
      <c r="DI48" s="2166"/>
      <c r="DJ48" s="2079"/>
      <c r="DK48" s="2079"/>
      <c r="DL48" s="2356"/>
      <c r="DM48" s="2386"/>
      <c r="DN48" s="2493" t="s">
        <v>4600</v>
      </c>
      <c r="DO48" s="2155"/>
      <c r="DP48" s="2496" t="str">
        <f>[1]!bjfardakbame(EG21,EG22,EG23)</f>
        <v>sor</v>
      </c>
      <c r="DQ48" s="2155"/>
      <c r="DR48" s="2155"/>
      <c r="EF48" s="2282" t="s">
        <v>2223</v>
      </c>
      <c r="EG48" s="2144">
        <f>[1]!ba(EG46+180)</f>
        <v>330.54918796341929</v>
      </c>
      <c r="EH48" s="2343"/>
      <c r="EI48" s="2343"/>
      <c r="EJ48" s="2109"/>
      <c r="EK48" s="2109"/>
      <c r="EL48" s="2354"/>
      <c r="FQ48" s="2245"/>
      <c r="FR48" s="2150"/>
      <c r="FS48" s="2150"/>
      <c r="FT48" s="2150"/>
      <c r="FU48" s="2150"/>
      <c r="FV48" s="2387" t="s">
        <v>4464</v>
      </c>
      <c r="FW48" s="2060"/>
      <c r="FX48" s="2158"/>
      <c r="FY48" s="2158"/>
      <c r="FZ48" s="2158"/>
      <c r="GA48" s="2158"/>
      <c r="GB48" s="2158"/>
      <c r="GC48" s="2388" t="s">
        <v>4446</v>
      </c>
      <c r="GD48" s="2136"/>
      <c r="GE48" s="2137" t="s">
        <v>1544</v>
      </c>
      <c r="GF48" s="2138"/>
    </row>
    <row r="49" spans="105:188" ht="32.25" thickBot="1">
      <c r="DA49" s="2236" t="s">
        <v>4277</v>
      </c>
      <c r="DB49" s="2237" t="s">
        <v>4343</v>
      </c>
      <c r="DC49" s="2498"/>
      <c r="DD49" s="2498"/>
      <c r="DE49" s="2237" t="s">
        <v>4340</v>
      </c>
      <c r="DF49" s="2107" t="s">
        <v>181</v>
      </c>
      <c r="DG49" s="2107"/>
      <c r="DH49" s="2170" t="s">
        <v>182</v>
      </c>
      <c r="DI49" s="2170"/>
      <c r="DJ49" s="2059" t="s">
        <v>1959</v>
      </c>
      <c r="DK49" s="2059"/>
      <c r="DL49" s="2107" t="s">
        <v>4278</v>
      </c>
      <c r="DM49" s="2335"/>
      <c r="DN49" s="2155" t="s">
        <v>4654</v>
      </c>
      <c r="DO49" s="2155"/>
      <c r="DP49" s="2173" t="str">
        <f>[1]!sahebborjame(DP47)</f>
        <v>zohreh</v>
      </c>
      <c r="DQ49" s="2155"/>
      <c r="DR49" s="2155"/>
      <c r="EF49" s="2392" t="s">
        <v>2224</v>
      </c>
      <c r="EG49" s="2379">
        <f>[1]!tl(EG21,IF(EG48-90&gt;0,EG48-90,EG48-90+360))</f>
        <v>242.61114678480448</v>
      </c>
      <c r="EH49" s="2393"/>
      <c r="EI49" s="2393"/>
      <c r="EJ49" s="2394"/>
      <c r="EK49" s="2394"/>
      <c r="EL49" s="2395"/>
      <c r="FQ49" s="2245"/>
      <c r="FR49" s="2150"/>
      <c r="FS49" s="2150"/>
      <c r="FT49" s="2150"/>
      <c r="FU49" s="2150"/>
      <c r="FV49" s="2387" t="s">
        <v>4619</v>
      </c>
      <c r="FW49" s="2060"/>
      <c r="FX49" s="2158"/>
      <c r="FY49" s="2158"/>
      <c r="FZ49" s="2158"/>
      <c r="GA49" s="2158"/>
      <c r="GB49" s="2158"/>
      <c r="GC49" s="2388" t="s">
        <v>4447</v>
      </c>
      <c r="GD49" s="2136"/>
      <c r="GE49" s="2137" t="s">
        <v>1290</v>
      </c>
      <c r="GF49" s="2138"/>
    </row>
    <row r="50" spans="105:188" ht="32.25" thickBot="1">
      <c r="DA50" s="2245" t="s">
        <v>1995</v>
      </c>
      <c r="DB50" s="2173">
        <f>IF(DM50=1,[1]!tq([1]!tq(DI50-DG50)+DK50),IF(AND(DM50=2,$DI$8&lt;=12),[1]!tq([1]!tq(DI50-DG50)+DK50),[1]!tq([1]!tq(DG50-DI50)+DK50)))</f>
        <v>297.13426651585087</v>
      </c>
      <c r="DC50" s="2246">
        <f t="shared" si="9"/>
        <v>297</v>
      </c>
      <c r="DD50" s="2246">
        <f t="shared" si="10"/>
        <v>8</v>
      </c>
      <c r="DE50" s="2173">
        <f t="shared" ref="DE50:DE81" si="36">IF(AND(DB50&gt;=$EO$26,DB50&lt;$EO$27),$EN$26,IF(AND(DB50&lt;$EO$28,DB50&gt;=$EO$27),$EN$27,IF(AND(DB50&lt;$EO$29,DB50&gt;=$EO$28),$EN$28,IF(AND(DB50&lt;$EO$30,DB50&gt;=$EO$29),$EN$29,IF(AND(DB50&lt;$EO$31,DB50&gt;=$EO$30),$EN$30,IF(AND(DB50&lt;$EO$32,DB50&gt;=$EO$31),$EN$31,IF(AND(DB50&lt;$EO$33,DB50&gt;=$EO$32),$EN$32,IF(AND(DB50&lt;$EO$34,DB50&gt;=$EO$33),$EN$33,IF(AND(DB50&lt;$EO$35,DB50&gt;=$EO$34),$EN$34,IF(AND(DB50&lt;$EO$36,DB50&gt;=$EO$35),$EN$35,IF(AND(DB50&lt;$EO$37,DB50&gt;=$EO$36),$EN$36,$EN$37)))))))))))</f>
        <v>11</v>
      </c>
      <c r="DF50" s="2062" t="s">
        <v>1292</v>
      </c>
      <c r="DG50" s="2062">
        <f>DI47</f>
        <v>44.706590402790496</v>
      </c>
      <c r="DH50" s="2177" t="s">
        <v>1293</v>
      </c>
      <c r="DI50" s="2177">
        <f>DI43</f>
        <v>341.08523173912056</v>
      </c>
      <c r="DJ50" s="2137" t="s">
        <v>279</v>
      </c>
      <c r="DK50" s="2137">
        <f>DK47</f>
        <v>0.75562517952077002</v>
      </c>
      <c r="DL50" s="2062" t="s">
        <v>1964</v>
      </c>
      <c r="DM50" s="2327">
        <f t="shared" si="8"/>
        <v>2</v>
      </c>
      <c r="DN50" s="2493" t="s">
        <v>1540</v>
      </c>
      <c r="DO50" s="2155"/>
      <c r="DP50" s="2496">
        <f>[1]!fardaazam(EG21,EG22,EG23)</f>
        <v>1.9999999919999998</v>
      </c>
      <c r="DQ50" s="2155"/>
      <c r="DR50" s="2155"/>
      <c r="FQ50" s="2396"/>
      <c r="FR50" s="2397"/>
      <c r="FS50" s="2397"/>
      <c r="FT50" s="2397"/>
      <c r="FU50" s="2397"/>
      <c r="FV50" s="2398" t="s">
        <v>4466</v>
      </c>
      <c r="FW50" s="2399"/>
      <c r="FX50" s="2400"/>
      <c r="FY50" s="2400"/>
      <c r="FZ50" s="2400"/>
      <c r="GA50" s="2400"/>
      <c r="GB50" s="2400"/>
      <c r="GC50" s="2401" t="s">
        <v>4448</v>
      </c>
      <c r="GD50" s="2191"/>
      <c r="GE50" s="2192" t="s">
        <v>1291</v>
      </c>
      <c r="GF50" s="2193"/>
    </row>
    <row r="51" spans="105:188" ht="27.75" thickBot="1">
      <c r="DA51" s="2245" t="s">
        <v>1998</v>
      </c>
      <c r="DB51" s="2173">
        <f>IF(DM51=1,[1]!tq([1]!tq(DI51-DG51)+DK51),IF(AND(DM51=2,$DI$8&lt;=12),[1]!tq([1]!tq(DI51-DG51)+DK51),[1]!tq([1]!tq(DG51-DI51)+DK51)))</f>
        <v>348.87363820561086</v>
      </c>
      <c r="DC51" s="2246">
        <f t="shared" si="9"/>
        <v>348</v>
      </c>
      <c r="DD51" s="2246">
        <f t="shared" si="10"/>
        <v>52</v>
      </c>
      <c r="DE51" s="2173">
        <f t="shared" si="36"/>
        <v>1</v>
      </c>
      <c r="DF51" s="2153" t="s">
        <v>1999</v>
      </c>
      <c r="DG51" s="2153">
        <f>DP27</f>
        <v>44.706590402790496</v>
      </c>
      <c r="DH51" s="2153" t="s">
        <v>2000</v>
      </c>
      <c r="DI51" s="2153">
        <f>EJ27</f>
        <v>32.824603428880557</v>
      </c>
      <c r="DJ51" s="2137" t="s">
        <v>279</v>
      </c>
      <c r="DK51" s="2137">
        <f>DK50</f>
        <v>0.75562517952077002</v>
      </c>
      <c r="DL51" s="2062" t="s">
        <v>1964</v>
      </c>
      <c r="DM51" s="2327">
        <f t="shared" si="8"/>
        <v>2</v>
      </c>
      <c r="DN51" s="2493" t="s">
        <v>4601</v>
      </c>
      <c r="DO51" s="2155"/>
      <c r="DP51" s="2496" t="str">
        <f>[1]!borjfardaazame(EG21,EG22,EG23)</f>
        <v>hoot</v>
      </c>
      <c r="DQ51" s="2155"/>
      <c r="DR51" s="2155"/>
    </row>
    <row r="52" spans="105:188" ht="32.25" thickBot="1">
      <c r="DA52" s="2245" t="s">
        <v>4283</v>
      </c>
      <c r="DB52" s="2173">
        <f>IF(DM52=1,[1]!tq([1]!tq(DI52-DG52)+DK52),IF(AND(DM52=2,$DI$8&lt;=12),[1]!tq([1]!tq(DI52-DG52)+DK52),[1]!tq([1]!tq(DG52-DI52)+DK52)))</f>
        <v>37.065770826133566</v>
      </c>
      <c r="DC52" s="2246">
        <f t="shared" si="9"/>
        <v>37</v>
      </c>
      <c r="DD52" s="2246">
        <f t="shared" si="10"/>
        <v>3</v>
      </c>
      <c r="DE52" s="2173">
        <f t="shared" si="36"/>
        <v>2</v>
      </c>
      <c r="DF52" s="2062" t="s">
        <v>1293</v>
      </c>
      <c r="DG52" s="2062">
        <f>DI43</f>
        <v>341.08523173912056</v>
      </c>
      <c r="DH52" s="2177" t="s">
        <v>1291</v>
      </c>
      <c r="DI52" s="2177">
        <f>DG53</f>
        <v>17.395377385733344</v>
      </c>
      <c r="DJ52" s="2137" t="s">
        <v>279</v>
      </c>
      <c r="DK52" s="2137">
        <f t="shared" ref="DK52:DK77" si="37">DK51</f>
        <v>0.75562517952077002</v>
      </c>
      <c r="DL52" s="2062" t="s">
        <v>2005</v>
      </c>
      <c r="DM52" s="2327">
        <f t="shared" si="8"/>
        <v>1</v>
      </c>
      <c r="DN52" s="2493" t="s">
        <v>4655</v>
      </c>
      <c r="DO52" s="2155"/>
      <c r="DP52" s="2496" t="str">
        <f>[1]!kokabfardaazame(EG21,EG22,EG23)</f>
        <v>zohre</v>
      </c>
      <c r="DQ52" s="2155"/>
      <c r="DR52" s="2155"/>
      <c r="FQ52" s="2194"/>
      <c r="FR52" s="2195"/>
      <c r="FS52" s="2195"/>
      <c r="FT52" s="2195"/>
      <c r="FU52" s="2195"/>
      <c r="FV52" s="2195"/>
      <c r="FW52" s="2195"/>
      <c r="FX52" s="2195"/>
      <c r="FY52" s="2195"/>
      <c r="FZ52" s="2195"/>
      <c r="GA52" s="2195"/>
      <c r="GB52" s="2195"/>
      <c r="GC52" s="2195" t="s">
        <v>4468</v>
      </c>
      <c r="GD52" s="2360"/>
      <c r="GE52" s="2079" t="s">
        <v>4469</v>
      </c>
      <c r="GF52" s="2384"/>
    </row>
    <row r="53" spans="105:188" ht="32.25" thickBot="1">
      <c r="DA53" s="2245" t="s">
        <v>2008</v>
      </c>
      <c r="DB53" s="2173">
        <f>IF(DM53=1,[1]!tq([1]!tq(DI53-DG53)+DK53),IF(AND(DM53=2,$DI$8&lt;=12),[1]!tq([1]!tq(DI53-DG53)+DK53),[1]!tq([1]!tq(DG53-DI53)+DK53)))</f>
        <v>324.445479532908</v>
      </c>
      <c r="DC53" s="2246">
        <f t="shared" si="9"/>
        <v>324</v>
      </c>
      <c r="DD53" s="2246">
        <f t="shared" si="10"/>
        <v>26</v>
      </c>
      <c r="DE53" s="2173">
        <f t="shared" si="36"/>
        <v>12</v>
      </c>
      <c r="DF53" s="2062" t="s">
        <v>1291</v>
      </c>
      <c r="DG53" s="2062">
        <f>DG39</f>
        <v>17.395377385733344</v>
      </c>
      <c r="DH53" s="2177" t="s">
        <v>1293</v>
      </c>
      <c r="DI53" s="2177">
        <f>DI43</f>
        <v>341.08523173912056</v>
      </c>
      <c r="DJ53" s="2137" t="s">
        <v>279</v>
      </c>
      <c r="DK53" s="2137">
        <f t="shared" si="37"/>
        <v>0.75562517952077002</v>
      </c>
      <c r="DL53" s="2062" t="s">
        <v>2005</v>
      </c>
      <c r="DM53" s="2327">
        <f t="shared" si="8"/>
        <v>1</v>
      </c>
      <c r="DN53" s="2155" t="s">
        <v>4641</v>
      </c>
      <c r="DO53" s="2155"/>
      <c r="DP53" s="2496" t="str">
        <f>[1]!atayaame(EM22)</f>
        <v>zohre</v>
      </c>
      <c r="DQ53" s="2155"/>
      <c r="DR53" s="2155"/>
      <c r="FQ53" s="2194"/>
      <c r="FR53" s="2195"/>
      <c r="FS53" s="2195"/>
      <c r="FT53" s="2195"/>
      <c r="FU53" s="2195"/>
      <c r="FV53" s="2195"/>
      <c r="FW53" s="2195"/>
      <c r="FX53" s="2195"/>
      <c r="FY53" s="2195"/>
      <c r="FZ53" s="2195"/>
      <c r="GA53" s="2195"/>
      <c r="GB53" s="2195"/>
      <c r="GC53" s="2402" t="s">
        <v>4449</v>
      </c>
      <c r="GD53" s="2360"/>
      <c r="GE53" s="2079" t="s">
        <v>1291</v>
      </c>
      <c r="GF53" s="2080"/>
    </row>
    <row r="54" spans="105:188" ht="27">
      <c r="DA54" s="2245" t="s">
        <v>4284</v>
      </c>
      <c r="DB54" s="2173">
        <f>IF(DM54=1,[1]!tq([1]!tq(DI54-DG54)+DK54),IF(AND(DM54=2,$DI$8&lt;=12),[1]!tq([1]!tq(DI54-DG54)+DK54),[1]!tq([1]!tq(DG54-DI54)+DK54)))</f>
        <v>311.08772831636674</v>
      </c>
      <c r="DC54" s="2246">
        <f t="shared" si="9"/>
        <v>311</v>
      </c>
      <c r="DD54" s="2246">
        <f t="shared" si="10"/>
        <v>5</v>
      </c>
      <c r="DE54" s="2173">
        <f t="shared" si="36"/>
        <v>11</v>
      </c>
      <c r="DF54" s="2062" t="s">
        <v>1291</v>
      </c>
      <c r="DG54" s="2062">
        <f>DG53</f>
        <v>17.395377385733344</v>
      </c>
      <c r="DH54" s="2177" t="s">
        <v>687</v>
      </c>
      <c r="DI54" s="2177">
        <f>DG34</f>
        <v>327.7274805225793</v>
      </c>
      <c r="DJ54" s="2137" t="s">
        <v>279</v>
      </c>
      <c r="DK54" s="2137">
        <f t="shared" si="37"/>
        <v>0.75562517952077002</v>
      </c>
      <c r="DL54" s="2062" t="s">
        <v>1964</v>
      </c>
      <c r="DM54" s="2327">
        <f t="shared" si="8"/>
        <v>2</v>
      </c>
      <c r="DN54" s="2155" t="s">
        <v>4640</v>
      </c>
      <c r="DO54" s="2155"/>
      <c r="DP54" s="2496" t="str">
        <f>[1]!fasladvarame(EM22)</f>
        <v>fasl 2</v>
      </c>
      <c r="DQ54" s="2155"/>
      <c r="DR54" s="2155"/>
    </row>
    <row r="55" spans="105:188" ht="27.75" thickBot="1">
      <c r="DA55" s="2245" t="s">
        <v>2012</v>
      </c>
      <c r="DB55" s="2173">
        <f>IF(DM55=1,[1]!tq([1]!tq(DI55-DG55)+DK55),IF(AND(DM55=2,$DI$8&lt;=12),[1]!tq([1]!tq(DI55-DG55)+DK55),[1]!tq([1]!tq(DG55-DI55)+DK55)))</f>
        <v>19.670393440400211</v>
      </c>
      <c r="DC55" s="2246">
        <f t="shared" si="9"/>
        <v>19</v>
      </c>
      <c r="DD55" s="2246">
        <f t="shared" si="10"/>
        <v>40</v>
      </c>
      <c r="DE55" s="2173">
        <f t="shared" si="36"/>
        <v>2</v>
      </c>
      <c r="DF55" s="2062" t="s">
        <v>1293</v>
      </c>
      <c r="DG55" s="2062">
        <f>DI53</f>
        <v>341.08523173912056</v>
      </c>
      <c r="DH55" s="2153" t="s">
        <v>4336</v>
      </c>
      <c r="DI55" s="2153"/>
      <c r="DJ55" s="2137" t="s">
        <v>279</v>
      </c>
      <c r="DK55" s="2137">
        <f t="shared" si="37"/>
        <v>0.75562517952077002</v>
      </c>
      <c r="DL55" s="2062" t="s">
        <v>2005</v>
      </c>
      <c r="DM55" s="2327">
        <f t="shared" si="8"/>
        <v>1</v>
      </c>
      <c r="DN55" s="2155" t="s">
        <v>4639</v>
      </c>
      <c r="DO55" s="2155"/>
      <c r="DP55" s="2496">
        <f>[1]!saladvarame(EM22)</f>
        <v>170.42858162131415</v>
      </c>
      <c r="DQ55" s="2155"/>
      <c r="DR55" s="2155"/>
      <c r="GE55" s="2137" t="s">
        <v>4548</v>
      </c>
    </row>
    <row r="56" spans="105:188" ht="27">
      <c r="DA56" s="2245" t="s">
        <v>2015</v>
      </c>
      <c r="DB56" s="2173">
        <f>IF(DM56=1,[1]!tq([1]!tq(DI56-DG56)+DK56),IF(AND(DM56=2,$DI$8&lt;=12),[1]!tq([1]!tq(DI56-DG56)+DK56),[1]!tq([1]!tq(DG56-DI56)+DK56)))</f>
        <v>296.41032445909832</v>
      </c>
      <c r="DC56" s="2246">
        <f t="shared" si="9"/>
        <v>296</v>
      </c>
      <c r="DD56" s="2246">
        <f t="shared" si="10"/>
        <v>24</v>
      </c>
      <c r="DE56" s="2173">
        <f t="shared" si="36"/>
        <v>11</v>
      </c>
      <c r="DF56" s="2062" t="s">
        <v>1292</v>
      </c>
      <c r="DG56" s="2062">
        <f>DG50</f>
        <v>44.706590402790496</v>
      </c>
      <c r="DH56" s="2177" t="s">
        <v>1290</v>
      </c>
      <c r="DI56" s="2177">
        <f>DI46</f>
        <v>340.36128968236801</v>
      </c>
      <c r="DJ56" s="2137" t="s">
        <v>279</v>
      </c>
      <c r="DK56" s="2137">
        <f t="shared" si="37"/>
        <v>0.75562517952077002</v>
      </c>
      <c r="DL56" s="2062" t="s">
        <v>1964</v>
      </c>
      <c r="DM56" s="2327">
        <f t="shared" si="8"/>
        <v>2</v>
      </c>
      <c r="DN56" s="2155" t="s">
        <v>4642</v>
      </c>
      <c r="DO56" s="2155"/>
      <c r="DP56" s="2496" t="e">
        <f>[1]!darageqesmat(EO21,EO22,EO23,EG21,EG22,EG23,EG24,EI23,DO22,EO24)</f>
        <v>#VALUE!</v>
      </c>
      <c r="DQ56" s="2155"/>
      <c r="DR56" s="2155"/>
      <c r="FQ56" s="2403"/>
      <c r="FR56" s="2105"/>
      <c r="FS56" s="2105"/>
      <c r="FT56" s="2105"/>
      <c r="FU56" s="2105"/>
      <c r="FV56" s="2105"/>
      <c r="FW56" s="2105"/>
      <c r="FX56" s="2105"/>
      <c r="FY56" s="2105"/>
      <c r="FZ56" s="2105"/>
      <c r="GA56" s="2105"/>
      <c r="GB56" s="2105"/>
      <c r="GC56" s="2106"/>
      <c r="GD56" s="2403"/>
      <c r="GE56" s="2105" t="s">
        <v>4482</v>
      </c>
      <c r="GF56" s="2106"/>
    </row>
    <row r="57" spans="105:188" ht="27">
      <c r="DA57" s="2245" t="s">
        <v>2018</v>
      </c>
      <c r="DB57" s="2173">
        <f>IF(DM57=1,[1]!tq([1]!tq(DI57-DG57)+DK57),IF(AND(DM57=2,$DI$8&lt;=12),[1]!tq([1]!tq(DI57-DG57)+DK57),[1]!tq([1]!tq(DG57-DI57)+DK57)))</f>
        <v>311.08772831636674</v>
      </c>
      <c r="DC57" s="2246">
        <f t="shared" si="9"/>
        <v>311</v>
      </c>
      <c r="DD57" s="2246">
        <f t="shared" si="10"/>
        <v>5</v>
      </c>
      <c r="DE57" s="2173">
        <f t="shared" si="36"/>
        <v>11</v>
      </c>
      <c r="DF57" s="2062" t="s">
        <v>1291</v>
      </c>
      <c r="DG57" s="2062">
        <f>DG54</f>
        <v>17.395377385733344</v>
      </c>
      <c r="DH57" s="2177" t="s">
        <v>687</v>
      </c>
      <c r="DI57" s="2177">
        <f>DI54</f>
        <v>327.7274805225793</v>
      </c>
      <c r="DJ57" s="2137" t="s">
        <v>279</v>
      </c>
      <c r="DK57" s="2137">
        <f t="shared" si="37"/>
        <v>0.75562517952077002</v>
      </c>
      <c r="DL57" s="2062" t="s">
        <v>2005</v>
      </c>
      <c r="DM57" s="2327">
        <f t="shared" si="8"/>
        <v>1</v>
      </c>
      <c r="DN57" s="2155" t="s">
        <v>4644</v>
      </c>
      <c r="DO57" s="2155"/>
      <c r="DP57" s="2155" t="e">
        <f>[1]!qasemame(DP56)</f>
        <v>#VALUE!</v>
      </c>
      <c r="DQ57" s="2155"/>
      <c r="DR57" s="2155"/>
      <c r="FQ57" s="2404"/>
      <c r="FR57" s="2158"/>
      <c r="FS57" s="2158"/>
      <c r="FT57" s="2158"/>
      <c r="FU57" s="2158"/>
      <c r="FV57" s="2158"/>
      <c r="FW57" s="2158"/>
      <c r="FX57" s="2158"/>
      <c r="FY57" s="2158"/>
      <c r="FZ57" s="2158"/>
      <c r="GA57" s="2158"/>
      <c r="GB57" s="2158"/>
      <c r="GC57" s="2342" t="s">
        <v>4470</v>
      </c>
      <c r="GD57" s="2240"/>
      <c r="GE57" s="2137" t="s">
        <v>1606</v>
      </c>
      <c r="GF57" s="2138"/>
    </row>
    <row r="58" spans="105:188" ht="27">
      <c r="DA58" s="2245" t="s">
        <v>2020</v>
      </c>
      <c r="DB58" s="2173">
        <f>IF(DM58=1,[1]!tq([1]!tq(DI58-DG58)+DK58),IF(AND(DM58=2,$DI$8&lt;=12),[1]!tq([1]!tq(DI58-DG58)+DK58),[1]!tq([1]!tq(DG58-DI58)+DK58)))</f>
        <v>124.53301370764424</v>
      </c>
      <c r="DC58" s="2246">
        <f t="shared" si="9"/>
        <v>124</v>
      </c>
      <c r="DD58" s="2246">
        <f t="shared" si="10"/>
        <v>31</v>
      </c>
      <c r="DE58" s="2173">
        <f t="shared" si="36"/>
        <v>5</v>
      </c>
      <c r="DF58" s="2062" t="s">
        <v>1544</v>
      </c>
      <c r="DG58" s="2062">
        <f>DG47</f>
        <v>7.9599855894230132E-5</v>
      </c>
      <c r="DH58" s="2177" t="s">
        <v>849</v>
      </c>
      <c r="DI58" s="2177">
        <f>DI42</f>
        <v>123.77746812797938</v>
      </c>
      <c r="DJ58" s="2137" t="s">
        <v>279</v>
      </c>
      <c r="DK58" s="2137">
        <f t="shared" si="37"/>
        <v>0.75562517952077002</v>
      </c>
      <c r="DL58" s="2062" t="s">
        <v>2005</v>
      </c>
      <c r="DM58" s="2327">
        <f t="shared" si="8"/>
        <v>1</v>
      </c>
      <c r="DN58" s="2155" t="s">
        <v>4635</v>
      </c>
      <c r="DO58" s="2155"/>
      <c r="DP58" s="2496">
        <f>[1]!mozeentehsanavi(DE5,DE6,DE7,DE8)</f>
        <v>240.34131029297356</v>
      </c>
      <c r="DQ58" s="2155"/>
      <c r="DR58" s="2155"/>
      <c r="FQ58" s="2404"/>
      <c r="FR58" s="2158"/>
      <c r="FS58" s="2158"/>
      <c r="FT58" s="2158"/>
      <c r="FU58" s="2158"/>
      <c r="FV58" s="2158"/>
      <c r="FW58" s="2158"/>
      <c r="FX58" s="2158"/>
      <c r="FY58" s="2158"/>
      <c r="FZ58" s="2158"/>
      <c r="GA58" s="2158"/>
      <c r="GB58" s="2158"/>
      <c r="GC58" s="2342" t="s">
        <v>4471</v>
      </c>
      <c r="GD58" s="2240"/>
      <c r="GE58" s="2137" t="s">
        <v>256</v>
      </c>
      <c r="GF58" s="2138"/>
    </row>
    <row r="59" spans="105:188" ht="27">
      <c r="DA59" s="2245" t="s">
        <v>2022</v>
      </c>
      <c r="DB59" s="2173">
        <f>IF(DM59=1,[1]!tq([1]!tq(DI59-DG59)+DK59),IF(AND(DM59=2,$DI$8&lt;=12),[1]!tq([1]!tq(DI59-DG59)+DK59),[1]!tq([1]!tq(DG59-DI59)+DK59)))</f>
        <v>77.734735059731946</v>
      </c>
      <c r="DC59" s="2246">
        <f t="shared" si="9"/>
        <v>77</v>
      </c>
      <c r="DD59" s="2246">
        <f t="shared" si="10"/>
        <v>44</v>
      </c>
      <c r="DE59" s="2173">
        <f t="shared" si="36"/>
        <v>4</v>
      </c>
      <c r="DF59" s="2062" t="s">
        <v>687</v>
      </c>
      <c r="DG59" s="2062">
        <f>DI54</f>
        <v>327.7274805225793</v>
      </c>
      <c r="DH59" s="2177" t="s">
        <v>1292</v>
      </c>
      <c r="DI59" s="2177">
        <f>DG50</f>
        <v>44.706590402790496</v>
      </c>
      <c r="DJ59" s="2137" t="s">
        <v>279</v>
      </c>
      <c r="DK59" s="2137">
        <f t="shared" si="37"/>
        <v>0.75562517952077002</v>
      </c>
      <c r="DL59" s="2062" t="s">
        <v>1964</v>
      </c>
      <c r="DM59" s="2327">
        <f t="shared" si="8"/>
        <v>2</v>
      </c>
      <c r="DN59" s="2155" t="s">
        <v>4636</v>
      </c>
      <c r="DO59" s="2155"/>
      <c r="DP59" s="2496">
        <f>[1]!mozeentehshohoori(DE5,DE6,DE7,DE8)</f>
        <v>0.80096736280216874</v>
      </c>
      <c r="DQ59" s="2155"/>
      <c r="DR59" s="2155"/>
      <c r="FQ59" s="2404"/>
      <c r="FR59" s="2158"/>
      <c r="FS59" s="2158"/>
      <c r="FT59" s="2158"/>
      <c r="FU59" s="2158"/>
      <c r="FV59" s="2158"/>
      <c r="FW59" s="2158"/>
      <c r="FX59" s="2158"/>
      <c r="FY59" s="2158"/>
      <c r="FZ59" s="2158"/>
      <c r="GA59" s="2158"/>
      <c r="GB59" s="2158"/>
      <c r="GC59" s="2342" t="s">
        <v>4480</v>
      </c>
      <c r="GD59" s="2240"/>
      <c r="GE59" s="2137" t="s">
        <v>2828</v>
      </c>
      <c r="GF59" s="2138"/>
    </row>
    <row r="60" spans="105:188" ht="27">
      <c r="DA60" s="2245" t="s">
        <v>2024</v>
      </c>
      <c r="DB60" s="2173">
        <f>IF(DM60=1,[1]!tq([1]!tq(DI60-DG60)+DK60),IF(AND(DM60=2,$DI$8&lt;=12),[1]!tq([1]!tq(DI60-DG60)+DK60),[1]!tq([1]!tq(DG60-DI60)+DK60)))</f>
        <v>198.66018156153476</v>
      </c>
      <c r="DC60" s="2246">
        <f t="shared" si="9"/>
        <v>198</v>
      </c>
      <c r="DD60" s="2246">
        <f t="shared" si="10"/>
        <v>39</v>
      </c>
      <c r="DE60" s="2173">
        <f t="shared" si="36"/>
        <v>8</v>
      </c>
      <c r="DF60" s="2153" t="s">
        <v>4309</v>
      </c>
      <c r="DG60" s="2153">
        <f>DP27</f>
        <v>44.706590402790496</v>
      </c>
      <c r="DH60" s="2153" t="s">
        <v>4286</v>
      </c>
      <c r="DI60" s="2153">
        <f>EJ34</f>
        <v>242.61114678480448</v>
      </c>
      <c r="DJ60" s="2137" t="s">
        <v>279</v>
      </c>
      <c r="DK60" s="2137">
        <f t="shared" si="37"/>
        <v>0.75562517952077002</v>
      </c>
      <c r="DL60" s="2062" t="s">
        <v>2005</v>
      </c>
      <c r="DM60" s="2327">
        <f t="shared" si="8"/>
        <v>1</v>
      </c>
      <c r="DN60" s="2155" t="s">
        <v>4638</v>
      </c>
      <c r="DO60" s="2155"/>
      <c r="DP60" s="2496">
        <f>[1]!hesayamsanavi(DE5,DE6,DE7,DE8)</f>
        <v>0.34131029297356008</v>
      </c>
      <c r="DQ60" s="2155"/>
      <c r="DR60" s="2155"/>
      <c r="FQ60" s="2404"/>
      <c r="FR60" s="2158"/>
      <c r="FS60" s="2158"/>
      <c r="FT60" s="2158"/>
      <c r="FU60" s="2158"/>
      <c r="FV60" s="2158"/>
      <c r="FW60" s="2158"/>
      <c r="FX60" s="2158"/>
      <c r="FY60" s="2158"/>
      <c r="FZ60" s="2158"/>
      <c r="GA60" s="2158"/>
      <c r="GB60" s="2158"/>
      <c r="GC60" s="2342" t="s">
        <v>4472</v>
      </c>
      <c r="GD60" s="2240"/>
      <c r="GE60" s="2137" t="s">
        <v>273</v>
      </c>
      <c r="GF60" s="2138"/>
    </row>
    <row r="61" spans="105:188" ht="27">
      <c r="DA61" s="2245" t="s">
        <v>4285</v>
      </c>
      <c r="DB61" s="2173">
        <f>IF(DM61=1,[1]!tq([1]!tq(DI61-DG61)+DK61),IF(AND(DM61=2,$DI$8&lt;=12),[1]!tq([1]!tq(DI61-DG61)+DK61),[1]!tq([1]!tq(DG61-DI61)+DK61)))</f>
        <v>254.37353443727474</v>
      </c>
      <c r="DC61" s="2246">
        <f t="shared" si="9"/>
        <v>254</v>
      </c>
      <c r="DD61" s="2246">
        <f t="shared" si="10"/>
        <v>22</v>
      </c>
      <c r="DE61" s="2173">
        <f t="shared" si="36"/>
        <v>9</v>
      </c>
      <c r="DF61" s="2062" t="s">
        <v>849</v>
      </c>
      <c r="DG61" s="2062">
        <f>DI58</f>
        <v>123.77746812797938</v>
      </c>
      <c r="DH61" s="2177" t="s">
        <v>1291</v>
      </c>
      <c r="DI61" s="2177">
        <f>DI52</f>
        <v>17.395377385733344</v>
      </c>
      <c r="DJ61" s="2137" t="s">
        <v>279</v>
      </c>
      <c r="DK61" s="2137">
        <f t="shared" si="37"/>
        <v>0.75562517952077002</v>
      </c>
      <c r="DL61" s="2062" t="s">
        <v>1964</v>
      </c>
      <c r="DM61" s="2327">
        <f t="shared" si="8"/>
        <v>2</v>
      </c>
      <c r="DN61" s="2155" t="s">
        <v>4637</v>
      </c>
      <c r="DO61" s="2155"/>
      <c r="DP61" s="2496">
        <f>[1]!hesayamshoori(DE5,DE6,DE7,DE8)</f>
        <v>0.80096736280216874</v>
      </c>
      <c r="DQ61" s="2155"/>
      <c r="DR61" s="2155"/>
      <c r="FQ61" s="2404"/>
      <c r="FR61" s="2158"/>
      <c r="FS61" s="2158"/>
      <c r="FT61" s="2158"/>
      <c r="FU61" s="2158"/>
      <c r="FV61" s="2158"/>
      <c r="FW61" s="2158"/>
      <c r="FX61" s="2158"/>
      <c r="FY61" s="2158"/>
      <c r="FZ61" s="2158"/>
      <c r="GA61" s="2158"/>
      <c r="GB61" s="2158"/>
      <c r="GC61" s="2342" t="s">
        <v>4473</v>
      </c>
      <c r="GD61" s="2240"/>
      <c r="GE61" s="2137" t="s">
        <v>255</v>
      </c>
      <c r="GF61" s="2138"/>
    </row>
    <row r="62" spans="105:188" ht="27">
      <c r="DA62" s="2245" t="s">
        <v>2030</v>
      </c>
      <c r="DB62" s="2173">
        <f>IF(DM62=1,[1]!tq([1]!tq(DI62-DG62)+DK62),IF(AND(DM62=2,$DI$8&lt;=12),[1]!tq([1]!tq(DI62-DG62)+DK62),[1]!tq([1]!tq(DG62-DI62)+DK62)))</f>
        <v>3.1683122768242811E-2</v>
      </c>
      <c r="DC62" s="2246">
        <f t="shared" si="9"/>
        <v>0</v>
      </c>
      <c r="DD62" s="2246">
        <f t="shared" si="10"/>
        <v>1</v>
      </c>
      <c r="DE62" s="2173">
        <f t="shared" si="36"/>
        <v>1</v>
      </c>
      <c r="DF62" s="2062" t="s">
        <v>1293</v>
      </c>
      <c r="DG62" s="2062">
        <f>DG55</f>
        <v>341.08523173912056</v>
      </c>
      <c r="DH62" s="2177" t="s">
        <v>1290</v>
      </c>
      <c r="DI62" s="2177">
        <f>DI56</f>
        <v>340.36128968236801</v>
      </c>
      <c r="DJ62" s="2137" t="s">
        <v>279</v>
      </c>
      <c r="DK62" s="2137">
        <f t="shared" si="37"/>
        <v>0.75562517952077002</v>
      </c>
      <c r="DL62" s="2062" t="s">
        <v>1964</v>
      </c>
      <c r="DM62" s="2327">
        <f t="shared" si="8"/>
        <v>2</v>
      </c>
      <c r="FQ62" s="2404"/>
      <c r="FR62" s="2158"/>
      <c r="FS62" s="2158"/>
      <c r="FT62" s="2158"/>
      <c r="FU62" s="2158"/>
      <c r="FV62" s="2158"/>
      <c r="FW62" s="2158"/>
      <c r="FX62" s="2158"/>
      <c r="FY62" s="2158"/>
      <c r="FZ62" s="2158"/>
      <c r="GA62" s="2158"/>
      <c r="GB62" s="2158"/>
      <c r="GC62" s="2342" t="s">
        <v>4474</v>
      </c>
      <c r="GD62" s="2240"/>
      <c r="GE62" s="2137" t="s">
        <v>1608</v>
      </c>
      <c r="GF62" s="2138"/>
    </row>
    <row r="63" spans="105:188" ht="27">
      <c r="DA63" s="2245" t="s">
        <v>2032</v>
      </c>
      <c r="DB63" s="2173">
        <f>IF(DM63=1,[1]!tq([1]!tq(DI63-DG63)+DK63),IF(AND(DM63=2,$DI$8&lt;=12),[1]!tq([1]!tq(DI63-DG63)+DK63),[1]!tq([1]!tq(DG63-DI63)+DK63)))</f>
        <v>348.12181601973208</v>
      </c>
      <c r="DC63" s="2246">
        <f t="shared" si="9"/>
        <v>348</v>
      </c>
      <c r="DD63" s="2246">
        <f t="shared" si="10"/>
        <v>7</v>
      </c>
      <c r="DE63" s="2173">
        <f t="shared" si="36"/>
        <v>1</v>
      </c>
      <c r="DF63" s="2062" t="s">
        <v>1290</v>
      </c>
      <c r="DG63" s="2062">
        <f>DI56</f>
        <v>340.36128968236801</v>
      </c>
      <c r="DH63" s="2177" t="s">
        <v>687</v>
      </c>
      <c r="DI63" s="2177">
        <f>DI54</f>
        <v>327.7274805225793</v>
      </c>
      <c r="DJ63" s="2137" t="s">
        <v>279</v>
      </c>
      <c r="DK63" s="2137">
        <f t="shared" si="37"/>
        <v>0.75562517952077002</v>
      </c>
      <c r="DL63" s="2062" t="s">
        <v>1964</v>
      </c>
      <c r="DM63" s="2327">
        <f t="shared" si="8"/>
        <v>2</v>
      </c>
      <c r="FQ63" s="2404"/>
      <c r="FR63" s="2158"/>
      <c r="FS63" s="2158"/>
      <c r="FT63" s="2158"/>
      <c r="FU63" s="2158"/>
      <c r="FV63" s="2158"/>
      <c r="FW63" s="2158"/>
      <c r="FX63" s="2158"/>
      <c r="FY63" s="2158"/>
      <c r="FZ63" s="2158"/>
      <c r="GA63" s="2158"/>
      <c r="GB63" s="2158"/>
      <c r="GC63" s="2342" t="s">
        <v>4475</v>
      </c>
      <c r="GD63" s="2240"/>
      <c r="GE63" s="2137" t="s">
        <v>1609</v>
      </c>
      <c r="GF63" s="2138"/>
    </row>
    <row r="64" spans="105:188" ht="27">
      <c r="DA64" s="2245" t="s">
        <v>2035</v>
      </c>
      <c r="DB64" s="2173">
        <f>IF(DM64=1,[1]!tq([1]!tq(DI64-DG64)+DK64),IF(AND(DM64=2,$DI$8&lt;=12),[1]!tq([1]!tq(DI64-DG64)+DK64),[1]!tq([1]!tq(DG64-DI64)+DK64)))</f>
        <v>341.84077731878546</v>
      </c>
      <c r="DC64" s="2246">
        <f t="shared" si="9"/>
        <v>341</v>
      </c>
      <c r="DD64" s="2246">
        <f t="shared" si="10"/>
        <v>50</v>
      </c>
      <c r="DE64" s="2173">
        <f t="shared" si="36"/>
        <v>12</v>
      </c>
      <c r="DF64" s="2062" t="s">
        <v>1544</v>
      </c>
      <c r="DG64" s="2062">
        <f>DG58</f>
        <v>7.9599855894230132E-5</v>
      </c>
      <c r="DH64" s="2177" t="s">
        <v>1293</v>
      </c>
      <c r="DI64" s="2177">
        <f>DG55</f>
        <v>341.08523173912056</v>
      </c>
      <c r="DJ64" s="2137" t="s">
        <v>279</v>
      </c>
      <c r="DK64" s="2137">
        <f t="shared" si="37"/>
        <v>0.75562517952077002</v>
      </c>
      <c r="DL64" s="2062" t="s">
        <v>1964</v>
      </c>
      <c r="DM64" s="2327">
        <f t="shared" si="8"/>
        <v>2</v>
      </c>
      <c r="FQ64" s="2404"/>
      <c r="FR64" s="2158"/>
      <c r="FS64" s="2158"/>
      <c r="FT64" s="2158"/>
      <c r="FU64" s="2158"/>
      <c r="FV64" s="2158"/>
      <c r="FW64" s="2158"/>
      <c r="FX64" s="2158"/>
      <c r="FY64" s="2158"/>
      <c r="FZ64" s="2158"/>
      <c r="GA64" s="2158"/>
      <c r="GB64" s="2158"/>
      <c r="GC64" s="2342" t="s">
        <v>4476</v>
      </c>
      <c r="GD64" s="2240"/>
      <c r="GE64" s="2137" t="s">
        <v>1610</v>
      </c>
      <c r="GF64" s="2138"/>
    </row>
    <row r="65" spans="104:188" ht="27">
      <c r="DA65" s="2245" t="s">
        <v>2037</v>
      </c>
      <c r="DB65" s="2173">
        <f>IF(DM65=1,[1]!tq([1]!tq(DI65-DG65)+DK65),IF(AND(DM65=2,$DI$8&lt;=12),[1]!tq([1]!tq(DI65-DG65)+DK65),[1]!tq([1]!tq(DG65-DI65)+DK65)))</f>
        <v>217.3394467339094</v>
      </c>
      <c r="DC65" s="2246">
        <f t="shared" si="9"/>
        <v>217</v>
      </c>
      <c r="DD65" s="2246">
        <f t="shared" si="10"/>
        <v>20</v>
      </c>
      <c r="DE65" s="2173">
        <f t="shared" si="36"/>
        <v>8</v>
      </c>
      <c r="DF65" s="2062" t="s">
        <v>849</v>
      </c>
      <c r="DG65" s="2062">
        <f>DG61</f>
        <v>123.77746812797938</v>
      </c>
      <c r="DH65" s="2177" t="s">
        <v>1290</v>
      </c>
      <c r="DI65" s="2177">
        <f>DI62</f>
        <v>340.36128968236801</v>
      </c>
      <c r="DJ65" s="2137" t="s">
        <v>279</v>
      </c>
      <c r="DK65" s="2137">
        <f t="shared" si="37"/>
        <v>0.75562517952077002</v>
      </c>
      <c r="DL65" s="2062" t="s">
        <v>1964</v>
      </c>
      <c r="DM65" s="2327">
        <f t="shared" si="8"/>
        <v>2</v>
      </c>
      <c r="FQ65" s="2404"/>
      <c r="FR65" s="2158"/>
      <c r="FS65" s="2158"/>
      <c r="FT65" s="2158"/>
      <c r="FU65" s="2158"/>
      <c r="FV65" s="2158"/>
      <c r="FW65" s="2158"/>
      <c r="FX65" s="2158"/>
      <c r="FY65" s="2158"/>
      <c r="FZ65" s="2158"/>
      <c r="GA65" s="2158"/>
      <c r="GB65" s="2158"/>
      <c r="GC65" s="2342" t="s">
        <v>4477</v>
      </c>
      <c r="GD65" s="2240"/>
      <c r="GE65" s="2137" t="s">
        <v>943</v>
      </c>
      <c r="GF65" s="2138"/>
    </row>
    <row r="66" spans="104:188" ht="27">
      <c r="DA66" s="2245" t="s">
        <v>2039</v>
      </c>
      <c r="DB66" s="2173">
        <f>IF(DM66=1,[1]!tq([1]!tq(DI66-DG66)+DK66),IF(AND(DM66=2,$DI$8&lt;=12),[1]!tq([1]!tq(DI66-DG66)+DK66),[1]!tq([1]!tq(DG66-DI66)+DK66)))</f>
        <v>254.37353443727474</v>
      </c>
      <c r="DC66" s="2246">
        <f t="shared" si="9"/>
        <v>254</v>
      </c>
      <c r="DD66" s="2246">
        <f t="shared" si="10"/>
        <v>22</v>
      </c>
      <c r="DE66" s="2173">
        <f t="shared" si="36"/>
        <v>9</v>
      </c>
      <c r="DF66" s="2062" t="s">
        <v>849</v>
      </c>
      <c r="DG66" s="2062">
        <f>DG65</f>
        <v>123.77746812797938</v>
      </c>
      <c r="DH66" s="2177" t="s">
        <v>1291</v>
      </c>
      <c r="DI66" s="2177">
        <f>DI52</f>
        <v>17.395377385733344</v>
      </c>
      <c r="DJ66" s="2137" t="s">
        <v>279</v>
      </c>
      <c r="DK66" s="2137">
        <f t="shared" si="37"/>
        <v>0.75562517952077002</v>
      </c>
      <c r="DL66" s="2062" t="s">
        <v>1964</v>
      </c>
      <c r="DM66" s="2327">
        <f t="shared" si="8"/>
        <v>2</v>
      </c>
      <c r="FQ66" s="2404"/>
      <c r="FR66" s="2158"/>
      <c r="FS66" s="2158"/>
      <c r="FT66" s="2158"/>
      <c r="FU66" s="2158"/>
      <c r="FV66" s="2158"/>
      <c r="FW66" s="2158"/>
      <c r="FX66" s="2158"/>
      <c r="FY66" s="2158"/>
      <c r="FZ66" s="2158"/>
      <c r="GA66" s="2158"/>
      <c r="GB66" s="2158"/>
      <c r="GC66" s="2342" t="s">
        <v>4478</v>
      </c>
      <c r="GD66" s="2240"/>
      <c r="GE66" s="2137" t="s">
        <v>1611</v>
      </c>
      <c r="GF66" s="2138"/>
    </row>
    <row r="67" spans="104:188" ht="27">
      <c r="DA67" s="2245" t="s">
        <v>2041</v>
      </c>
      <c r="DB67" s="2173">
        <f>IF(DM67=1,[1]!tq([1]!tq(DI67-DG67)+DK67),IF(AND(DM67=2,$DI$8&lt;=12),[1]!tq([1]!tq(DI67-DG67)+DK67),[1]!tq([1]!tq(DG67-DI67)+DK67)))</f>
        <v>77.734735059731946</v>
      </c>
      <c r="DC67" s="2246">
        <f t="shared" si="9"/>
        <v>77</v>
      </c>
      <c r="DD67" s="2246">
        <f t="shared" si="10"/>
        <v>44</v>
      </c>
      <c r="DE67" s="2173">
        <f t="shared" si="36"/>
        <v>4</v>
      </c>
      <c r="DF67" s="2062" t="s">
        <v>687</v>
      </c>
      <c r="DG67" s="2062">
        <f>DG59</f>
        <v>327.7274805225793</v>
      </c>
      <c r="DH67" s="2177" t="s">
        <v>1292</v>
      </c>
      <c r="DI67" s="2177">
        <f>DI59</f>
        <v>44.706590402790496</v>
      </c>
      <c r="DJ67" s="2137" t="s">
        <v>279</v>
      </c>
      <c r="DK67" s="2137">
        <f t="shared" si="37"/>
        <v>0.75562517952077002</v>
      </c>
      <c r="DL67" s="2062" t="s">
        <v>1964</v>
      </c>
      <c r="DM67" s="2327">
        <f t="shared" si="8"/>
        <v>2</v>
      </c>
      <c r="FQ67" s="2404"/>
      <c r="FR67" s="2158"/>
      <c r="FS67" s="2158"/>
      <c r="FT67" s="2158"/>
      <c r="FU67" s="2158"/>
      <c r="FV67" s="2158"/>
      <c r="FW67" s="2158"/>
      <c r="FX67" s="2158"/>
      <c r="FY67" s="2158"/>
      <c r="FZ67" s="2158"/>
      <c r="GA67" s="2158"/>
      <c r="GB67" s="2158"/>
      <c r="GC67" s="2342" t="s">
        <v>4481</v>
      </c>
      <c r="GD67" s="2240"/>
      <c r="GE67" s="2137" t="s">
        <v>1612</v>
      </c>
      <c r="GF67" s="2138"/>
    </row>
    <row r="68" spans="104:188" ht="27.75" thickBot="1">
      <c r="DA68" s="2245" t="s">
        <v>4294</v>
      </c>
      <c r="DB68" s="2173">
        <f>IF(DM68=1,[1]!tq([1]!tq(DI68-DG68)+DK68),IF(AND(DM68=2,$DI$8&lt;=12),[1]!tq([1]!tq(DI68-DG68)+DK68),[1]!tq([1]!tq(DG68-DI68)+DK68)))</f>
        <v>107.13771592176681</v>
      </c>
      <c r="DC68" s="2246">
        <f t="shared" si="9"/>
        <v>107</v>
      </c>
      <c r="DD68" s="2246">
        <f t="shared" si="10"/>
        <v>8</v>
      </c>
      <c r="DE68" s="2173">
        <f t="shared" si="36"/>
        <v>5</v>
      </c>
      <c r="DF68" s="2062" t="s">
        <v>1291</v>
      </c>
      <c r="DG68" s="2062">
        <f>DG57</f>
        <v>17.395377385733344</v>
      </c>
      <c r="DH68" s="2177" t="s">
        <v>849</v>
      </c>
      <c r="DI68" s="2177">
        <f>DG66</f>
        <v>123.77746812797938</v>
      </c>
      <c r="DJ68" s="2137" t="s">
        <v>279</v>
      </c>
      <c r="DK68" s="2137">
        <f t="shared" si="37"/>
        <v>0.75562517952077002</v>
      </c>
      <c r="DL68" s="2062" t="s">
        <v>1964</v>
      </c>
      <c r="DM68" s="2327">
        <f t="shared" si="8"/>
        <v>2</v>
      </c>
      <c r="FQ68" s="2405"/>
      <c r="FR68" s="2400"/>
      <c r="FS68" s="2400"/>
      <c r="FT68" s="2400"/>
      <c r="FU68" s="2400"/>
      <c r="FV68" s="2400"/>
      <c r="FW68" s="2400"/>
      <c r="FX68" s="2400"/>
      <c r="FY68" s="2400"/>
      <c r="FZ68" s="2400"/>
      <c r="GA68" s="2400"/>
      <c r="GB68" s="2400"/>
      <c r="GC68" s="2406" t="s">
        <v>4479</v>
      </c>
      <c r="GD68" s="2247"/>
      <c r="GE68" s="2192" t="s">
        <v>1613</v>
      </c>
      <c r="GF68" s="2193"/>
    </row>
    <row r="69" spans="104:188" ht="27">
      <c r="DA69" s="2245" t="s">
        <v>4295</v>
      </c>
      <c r="DB69" s="2173">
        <f>IF(DM69=1,[1]!tq([1]!tq(DI69-DG69)+DK69),IF(AND(DM69=2,$DI$8&lt;=12),[1]!tq([1]!tq(DI69-DG69)+DK69),[1]!tq([1]!tq(DG69-DI69)+DK69)))</f>
        <v>341.84077731878546</v>
      </c>
      <c r="DC69" s="2246">
        <f t="shared" si="9"/>
        <v>341</v>
      </c>
      <c r="DD69" s="2246">
        <f t="shared" si="10"/>
        <v>50</v>
      </c>
      <c r="DE69" s="2173">
        <f t="shared" si="36"/>
        <v>12</v>
      </c>
      <c r="DF69" s="2062" t="s">
        <v>1544</v>
      </c>
      <c r="DG69" s="2062">
        <f>DG58</f>
        <v>7.9599855894230132E-5</v>
      </c>
      <c r="DH69" s="2177" t="s">
        <v>1293</v>
      </c>
      <c r="DI69" s="2177">
        <f>DI64</f>
        <v>341.08523173912056</v>
      </c>
      <c r="DJ69" s="2137" t="s">
        <v>279</v>
      </c>
      <c r="DK69" s="2137">
        <f t="shared" si="37"/>
        <v>0.75562517952077002</v>
      </c>
      <c r="DL69" s="2062" t="s">
        <v>1964</v>
      </c>
      <c r="DM69" s="2327">
        <f t="shared" si="8"/>
        <v>2</v>
      </c>
      <c r="FQ69" s="2403"/>
      <c r="FR69" s="2105"/>
      <c r="FS69" s="2105"/>
      <c r="FT69" s="2105"/>
      <c r="FU69" s="2105"/>
      <c r="FV69" s="2105"/>
      <c r="FW69" s="2105"/>
      <c r="FX69" s="2105"/>
      <c r="FY69" s="2105"/>
      <c r="FZ69" s="2105"/>
      <c r="GA69" s="2105"/>
      <c r="GB69" s="2105"/>
      <c r="GC69" s="2106"/>
      <c r="GD69" s="2403"/>
      <c r="GE69" s="2105" t="s">
        <v>4483</v>
      </c>
      <c r="GF69" s="2106"/>
    </row>
    <row r="70" spans="104:188" ht="27">
      <c r="DA70" s="2245" t="s">
        <v>2047</v>
      </c>
      <c r="DB70" s="2173">
        <f>IF(DM70=1,[1]!tq([1]!tq(DI70-DG70)+DK70),IF(AND(DM70=2,$DI$8&lt;=12),[1]!tq([1]!tq(DI70-DG70)+DK70),[1]!tq([1]!tq(DG70-DI70)+DK70)))</f>
        <v>144.17180362513213</v>
      </c>
      <c r="DC70" s="2246">
        <f t="shared" si="9"/>
        <v>144</v>
      </c>
      <c r="DD70" s="2246">
        <f t="shared" si="10"/>
        <v>10</v>
      </c>
      <c r="DE70" s="2173">
        <f t="shared" si="36"/>
        <v>6</v>
      </c>
      <c r="DF70" s="2062" t="s">
        <v>1290</v>
      </c>
      <c r="DG70" s="2062">
        <f>DG63</f>
        <v>340.36128968236801</v>
      </c>
      <c r="DH70" s="2177" t="s">
        <v>849</v>
      </c>
      <c r="DI70" s="2177">
        <f>DI68</f>
        <v>123.77746812797938</v>
      </c>
      <c r="DJ70" s="2137" t="s">
        <v>279</v>
      </c>
      <c r="DK70" s="2137">
        <f t="shared" si="37"/>
        <v>0.75562517952077002</v>
      </c>
      <c r="DL70" s="2062" t="s">
        <v>1964</v>
      </c>
      <c r="DM70" s="2327">
        <f t="shared" si="8"/>
        <v>2</v>
      </c>
      <c r="FQ70" s="2241"/>
      <c r="FR70" s="2177"/>
      <c r="FS70" s="2177"/>
      <c r="FT70" s="2177"/>
      <c r="FU70" s="2177"/>
      <c r="FV70" s="2177"/>
      <c r="FW70" s="2177"/>
      <c r="FX70" s="2177"/>
      <c r="FY70" s="2177"/>
      <c r="FZ70" s="2177"/>
      <c r="GA70" s="2177"/>
      <c r="GB70" s="2177"/>
      <c r="GC70" s="2178" t="s">
        <v>4484</v>
      </c>
      <c r="GD70" s="2240"/>
      <c r="GE70" s="2137" t="s">
        <v>1606</v>
      </c>
      <c r="GF70" s="2138"/>
    </row>
    <row r="71" spans="104:188" ht="27">
      <c r="DA71" s="2245" t="s">
        <v>2049</v>
      </c>
      <c r="DB71" s="2173">
        <f>IF(DM71=1,[1]!tq([1]!tq(DI71-DG71)+DK71),IF(AND(DM71=2,$DI$8&lt;=12),[1]!tq([1]!tq(DI71-DG71)+DK71),[1]!tq([1]!tq(DG71-DI71)+DK71)))</f>
        <v>280.92920187466706</v>
      </c>
      <c r="DC71" s="2246">
        <f t="shared" si="9"/>
        <v>280</v>
      </c>
      <c r="DD71" s="2246">
        <f t="shared" si="10"/>
        <v>55</v>
      </c>
      <c r="DE71" s="2173">
        <f t="shared" si="36"/>
        <v>10</v>
      </c>
      <c r="DF71" s="2062" t="s">
        <v>2050</v>
      </c>
      <c r="DG71" s="2062">
        <f>DI73</f>
        <v>124.53301370764424</v>
      </c>
      <c r="DH71" s="2177" t="s">
        <v>1292</v>
      </c>
      <c r="DI71" s="2177">
        <f>DI59</f>
        <v>44.706590402790496</v>
      </c>
      <c r="DJ71" s="2137" t="s">
        <v>279</v>
      </c>
      <c r="DK71" s="2137">
        <f t="shared" si="37"/>
        <v>0.75562517952077002</v>
      </c>
      <c r="DL71" s="2062" t="s">
        <v>1964</v>
      </c>
      <c r="DM71" s="2327">
        <f t="shared" si="8"/>
        <v>2</v>
      </c>
      <c r="FQ71" s="2241"/>
      <c r="FR71" s="2177"/>
      <c r="FS71" s="2177"/>
      <c r="FT71" s="2177"/>
      <c r="FU71" s="2177"/>
      <c r="FV71" s="2177"/>
      <c r="FW71" s="2177"/>
      <c r="FX71" s="2177"/>
      <c r="FY71" s="2177"/>
      <c r="FZ71" s="2177"/>
      <c r="GA71" s="2177"/>
      <c r="GB71" s="2177"/>
      <c r="GC71" s="2178" t="s">
        <v>4485</v>
      </c>
      <c r="GD71" s="2240"/>
      <c r="GE71" s="2137" t="s">
        <v>256</v>
      </c>
      <c r="GF71" s="2138"/>
    </row>
    <row r="72" spans="104:188" ht="27">
      <c r="DA72" s="2245" t="s">
        <v>4296</v>
      </c>
      <c r="DB72" s="2173">
        <f>IF(DM72=1,[1]!tq([1]!tq(DI72-DG72)+DK72),IF(AND(DM72=2,$DI$8&lt;=12),[1]!tq([1]!tq(DI72-DG72)+DK72),[1]!tq([1]!tq(DG72-DI72)+DK72)))</f>
        <v>37.065770826133566</v>
      </c>
      <c r="DC72" s="2246">
        <f t="shared" si="9"/>
        <v>37</v>
      </c>
      <c r="DD72" s="2246">
        <f t="shared" si="10"/>
        <v>3</v>
      </c>
      <c r="DE72" s="2173">
        <f t="shared" si="36"/>
        <v>2</v>
      </c>
      <c r="DF72" s="2062" t="s">
        <v>1293</v>
      </c>
      <c r="DG72" s="2062">
        <f>DG62</f>
        <v>341.08523173912056</v>
      </c>
      <c r="DH72" s="2177" t="s">
        <v>1291</v>
      </c>
      <c r="DI72" s="2177">
        <f>DI66</f>
        <v>17.395377385733344</v>
      </c>
      <c r="DJ72" s="2137" t="s">
        <v>279</v>
      </c>
      <c r="DK72" s="2137">
        <f t="shared" si="37"/>
        <v>0.75562517952077002</v>
      </c>
      <c r="DL72" s="2062" t="s">
        <v>1964</v>
      </c>
      <c r="DM72" s="2327">
        <f t="shared" si="8"/>
        <v>2</v>
      </c>
      <c r="FQ72" s="2241"/>
      <c r="FR72" s="2177"/>
      <c r="FS72" s="2177"/>
      <c r="FT72" s="2177"/>
      <c r="FU72" s="2177"/>
      <c r="FV72" s="2177"/>
      <c r="FW72" s="2177"/>
      <c r="FX72" s="2177"/>
      <c r="FY72" s="2177"/>
      <c r="FZ72" s="2177"/>
      <c r="GA72" s="2177"/>
      <c r="GB72" s="2177"/>
      <c r="GC72" s="2178" t="s">
        <v>4486</v>
      </c>
      <c r="GD72" s="2240"/>
      <c r="GE72" s="2137" t="s">
        <v>2828</v>
      </c>
      <c r="GF72" s="2138"/>
    </row>
    <row r="73" spans="104:188" ht="27">
      <c r="DA73" s="2245" t="s">
        <v>2054</v>
      </c>
      <c r="DB73" s="2173">
        <f>IF(DM73=1,[1]!tq([1]!tq(DI73-DG73)+DK73),IF(AND(DM73=2,$DI$8&lt;=12),[1]!tq([1]!tq(DI73-DG73)+DK73),[1]!tq([1]!tq(DG73-DI73)+DK73)))</f>
        <v>248.31040223576773</v>
      </c>
      <c r="DC73" s="2246">
        <f t="shared" si="9"/>
        <v>248</v>
      </c>
      <c r="DD73" s="2246">
        <f t="shared" si="10"/>
        <v>18</v>
      </c>
      <c r="DE73" s="2173">
        <f t="shared" si="36"/>
        <v>9</v>
      </c>
      <c r="DF73" s="2062" t="s">
        <v>2055</v>
      </c>
      <c r="DG73" s="2062">
        <f>DG80</f>
        <v>236.97823665139728</v>
      </c>
      <c r="DH73" s="2177" t="s">
        <v>2050</v>
      </c>
      <c r="DI73" s="2177">
        <f>DI80</f>
        <v>124.53301370764424</v>
      </c>
      <c r="DJ73" s="2137" t="s">
        <v>279</v>
      </c>
      <c r="DK73" s="2137">
        <f t="shared" si="37"/>
        <v>0.75562517952077002</v>
      </c>
      <c r="DL73" s="2062" t="s">
        <v>1964</v>
      </c>
      <c r="DM73" s="2327">
        <f t="shared" si="8"/>
        <v>2</v>
      </c>
      <c r="FQ73" s="2241"/>
      <c r="FR73" s="2177"/>
      <c r="FS73" s="2177"/>
      <c r="FT73" s="2177"/>
      <c r="FU73" s="2177"/>
      <c r="FV73" s="2177"/>
      <c r="FW73" s="2177"/>
      <c r="FX73" s="2177"/>
      <c r="FY73" s="2177"/>
      <c r="FZ73" s="2177"/>
      <c r="GA73" s="2177"/>
      <c r="GB73" s="2177"/>
      <c r="GC73" s="2178" t="s">
        <v>4487</v>
      </c>
      <c r="GD73" s="2240"/>
      <c r="GE73" s="2137" t="s">
        <v>273</v>
      </c>
      <c r="GF73" s="2138"/>
    </row>
    <row r="74" spans="104:188" ht="27">
      <c r="DA74" s="2245" t="s">
        <v>4297</v>
      </c>
      <c r="DB74" s="2173">
        <f>IF(DM74=1,[1]!tq([1]!tq(DI74-DG74)+DK74),IF(AND(DM74=2,$DI$8&lt;=12),[1]!tq([1]!tq(DI74-DG74)+DK74),[1]!tq([1]!tq(DG74-DI74)+DK74)))</f>
        <v>33.580149008545433</v>
      </c>
      <c r="DC74" s="2246">
        <f t="shared" si="9"/>
        <v>33</v>
      </c>
      <c r="DD74" s="2246">
        <f t="shared" si="10"/>
        <v>34</v>
      </c>
      <c r="DE74" s="2173">
        <f t="shared" si="36"/>
        <v>2</v>
      </c>
      <c r="DF74" s="2062" t="s">
        <v>1544</v>
      </c>
      <c r="DG74" s="2062">
        <f>DG69</f>
        <v>7.9599855894230132E-5</v>
      </c>
      <c r="DH74" s="2177" t="s">
        <v>2058</v>
      </c>
      <c r="DI74" s="2177">
        <f>EJ27</f>
        <v>32.824603428880557</v>
      </c>
      <c r="DJ74" s="2137" t="s">
        <v>279</v>
      </c>
      <c r="DK74" s="2137">
        <f t="shared" si="37"/>
        <v>0.75562517952077002</v>
      </c>
      <c r="DL74" s="2062" t="s">
        <v>1964</v>
      </c>
      <c r="DM74" s="2327">
        <f t="shared" si="8"/>
        <v>2</v>
      </c>
      <c r="FQ74" s="2241"/>
      <c r="FR74" s="2177"/>
      <c r="FS74" s="2177"/>
      <c r="FT74" s="2177"/>
      <c r="FU74" s="2177"/>
      <c r="FV74" s="2177"/>
      <c r="FW74" s="2177"/>
      <c r="FX74" s="2177"/>
      <c r="FY74" s="2177"/>
      <c r="FZ74" s="2177"/>
      <c r="GA74" s="2177"/>
      <c r="GB74" s="2177"/>
      <c r="GC74" s="2178" t="s">
        <v>4488</v>
      </c>
      <c r="GD74" s="2240"/>
      <c r="GE74" s="2137" t="s">
        <v>255</v>
      </c>
      <c r="GF74" s="2138"/>
    </row>
    <row r="75" spans="104:188" ht="27">
      <c r="DA75" s="2245" t="s">
        <v>2059</v>
      </c>
      <c r="DB75" s="2173">
        <f>IF(DM75=1,[1]!tq([1]!tq(DI75-DG75)+DK75),IF(AND(DM75=2,$DI$8&lt;=12),[1]!tq([1]!tq(DI75-DG75)+DK75),[1]!tq([1]!tq(DG75-DI75)+DK75)))</f>
        <v>347.39787396297953</v>
      </c>
      <c r="DC75" s="2246">
        <f t="shared" si="9"/>
        <v>347</v>
      </c>
      <c r="DD75" s="2246">
        <f t="shared" si="10"/>
        <v>23</v>
      </c>
      <c r="DE75" s="2173">
        <f t="shared" si="36"/>
        <v>1</v>
      </c>
      <c r="DF75" s="2062" t="s">
        <v>1293</v>
      </c>
      <c r="DG75" s="2062">
        <f>DG62</f>
        <v>341.08523173912056</v>
      </c>
      <c r="DH75" s="2177" t="s">
        <v>687</v>
      </c>
      <c r="DI75" s="2177">
        <f>DI63</f>
        <v>327.7274805225793</v>
      </c>
      <c r="DJ75" s="2137" t="s">
        <v>279</v>
      </c>
      <c r="DK75" s="2137">
        <f t="shared" si="37"/>
        <v>0.75562517952077002</v>
      </c>
      <c r="DL75" s="2062" t="s">
        <v>1964</v>
      </c>
      <c r="DM75" s="2327">
        <f t="shared" si="8"/>
        <v>2</v>
      </c>
      <c r="FQ75" s="2241"/>
      <c r="FR75" s="2177"/>
      <c r="FS75" s="2177"/>
      <c r="FT75" s="2177"/>
      <c r="FU75" s="2177"/>
      <c r="FV75" s="2177"/>
      <c r="FW75" s="2177"/>
      <c r="FX75" s="2177"/>
      <c r="FY75" s="2177"/>
      <c r="FZ75" s="2177"/>
      <c r="GA75" s="2177"/>
      <c r="GB75" s="2177"/>
      <c r="GC75" s="2178" t="s">
        <v>4489</v>
      </c>
      <c r="GD75" s="2240"/>
      <c r="GE75" s="2137" t="s">
        <v>1608</v>
      </c>
      <c r="GF75" s="2138"/>
    </row>
    <row r="76" spans="104:188" ht="27">
      <c r="DA76" s="2245" t="s">
        <v>2061</v>
      </c>
      <c r="DB76" s="2173">
        <f>IF(DM76=1,[1]!tq([1]!tq(DI76-DG76)+DK76),IF(AND(DM76=2,$DI$8&lt;=12),[1]!tq([1]!tq(DI76-DG76)+DK76),[1]!tq([1]!tq(DG76-DI76)+DK76)))</f>
        <v>19.670393440400211</v>
      </c>
      <c r="DC76" s="2246">
        <f t="shared" si="9"/>
        <v>19</v>
      </c>
      <c r="DD76" s="2246">
        <f t="shared" si="10"/>
        <v>40</v>
      </c>
      <c r="DE76" s="2173">
        <f t="shared" si="36"/>
        <v>2</v>
      </c>
      <c r="DF76" s="2062" t="s">
        <v>1293</v>
      </c>
      <c r="DG76" s="2062">
        <f>DG75</f>
        <v>341.08523173912056</v>
      </c>
      <c r="DH76" s="2153" t="s">
        <v>4332</v>
      </c>
      <c r="DI76" s="2153"/>
      <c r="DJ76" s="2137" t="s">
        <v>279</v>
      </c>
      <c r="DK76" s="2137">
        <f t="shared" si="37"/>
        <v>0.75562517952077002</v>
      </c>
      <c r="DL76" s="2062" t="s">
        <v>1964</v>
      </c>
      <c r="DM76" s="2327">
        <f t="shared" si="8"/>
        <v>2</v>
      </c>
      <c r="FQ76" s="2241"/>
      <c r="FR76" s="2177"/>
      <c r="FS76" s="2177"/>
      <c r="FT76" s="2177"/>
      <c r="FU76" s="2177"/>
      <c r="FV76" s="2177"/>
      <c r="FW76" s="2177"/>
      <c r="FX76" s="2177"/>
      <c r="FY76" s="2177"/>
      <c r="FZ76" s="2177"/>
      <c r="GA76" s="2177"/>
      <c r="GB76" s="2177"/>
      <c r="GC76" s="2178" t="s">
        <v>4490</v>
      </c>
      <c r="GD76" s="2240"/>
      <c r="GE76" s="2137" t="s">
        <v>1609</v>
      </c>
      <c r="GF76" s="2138"/>
    </row>
    <row r="77" spans="104:188" ht="27">
      <c r="DA77" s="2245" t="s">
        <v>4298</v>
      </c>
      <c r="DB77" s="2173">
        <f>IF(DM77=1,[1]!tq([1]!tq(DI77-DG77)+DK77),IF(AND(DM77=2,$DI$8&lt;=12),[1]!tq([1]!tq(DI77-DG77)+DK77),[1]!tq([1]!tq(DG77-DI77)+DK77)))</f>
        <v>156.80561278492084</v>
      </c>
      <c r="DC77" s="2246">
        <f t="shared" si="9"/>
        <v>156</v>
      </c>
      <c r="DD77" s="2246">
        <f t="shared" si="10"/>
        <v>48</v>
      </c>
      <c r="DE77" s="2173">
        <f t="shared" si="36"/>
        <v>6</v>
      </c>
      <c r="DF77" s="2062" t="s">
        <v>687</v>
      </c>
      <c r="DG77" s="2062">
        <f>DG67</f>
        <v>327.7274805225793</v>
      </c>
      <c r="DH77" s="2177" t="s">
        <v>849</v>
      </c>
      <c r="DI77" s="2177">
        <f>DI70</f>
        <v>123.77746812797938</v>
      </c>
      <c r="DJ77" s="2137" t="s">
        <v>279</v>
      </c>
      <c r="DK77" s="2137">
        <f t="shared" si="37"/>
        <v>0.75562517952077002</v>
      </c>
      <c r="DL77" s="2062" t="s">
        <v>1964</v>
      </c>
      <c r="DM77" s="2327">
        <f t="shared" si="8"/>
        <v>2</v>
      </c>
      <c r="FQ77" s="2241"/>
      <c r="FR77" s="2177"/>
      <c r="FS77" s="2177"/>
      <c r="FT77" s="2177"/>
      <c r="FU77" s="2177"/>
      <c r="FV77" s="2177"/>
      <c r="FW77" s="2177"/>
      <c r="FX77" s="2177"/>
      <c r="FY77" s="2177"/>
      <c r="FZ77" s="2177"/>
      <c r="GA77" s="2177"/>
      <c r="GB77" s="2177"/>
      <c r="GC77" s="2178" t="s">
        <v>4491</v>
      </c>
      <c r="GD77" s="2240"/>
      <c r="GE77" s="2137" t="s">
        <v>1610</v>
      </c>
      <c r="GF77" s="2138"/>
    </row>
    <row r="78" spans="104:188" ht="27">
      <c r="CZ78" s="89">
        <f>[1]!sahmolhavadeth(DE5,DE6,DE7,DE8)</f>
        <v>104.86262026724404</v>
      </c>
      <c r="DA78" s="2538" t="s">
        <v>2065</v>
      </c>
      <c r="DB78" s="2173">
        <f>IF(DM78=1,[1]!tq([1]!tq(DI78-DG78)+DK78),IF(AND(DM78=2,$DI$8&lt;=12),[1]!tq([1]!tq(DI78-DG78)+DK78),[1]!tq([1]!tq(DG78-DI78)+DK78)))</f>
        <v>104.86262026724404</v>
      </c>
      <c r="DC78" s="2246">
        <f t="shared" si="9"/>
        <v>104</v>
      </c>
      <c r="DD78" s="2246">
        <f t="shared" si="10"/>
        <v>51</v>
      </c>
      <c r="DE78" s="2173">
        <f t="shared" si="36"/>
        <v>5</v>
      </c>
      <c r="DF78" s="2062" t="s">
        <v>1544</v>
      </c>
      <c r="DG78" s="2062">
        <f>DG64</f>
        <v>7.9599855894230132E-5</v>
      </c>
      <c r="DH78" s="2177" t="s">
        <v>1293</v>
      </c>
      <c r="DI78" s="2177">
        <f>DI69</f>
        <v>341.08523173912056</v>
      </c>
      <c r="DJ78" s="2137" t="s">
        <v>849</v>
      </c>
      <c r="DK78" s="2137">
        <f>DI77</f>
        <v>123.77746812797938</v>
      </c>
      <c r="DL78" s="2062" t="s">
        <v>2005</v>
      </c>
      <c r="DM78" s="2327">
        <f t="shared" si="8"/>
        <v>1</v>
      </c>
      <c r="FQ78" s="2241"/>
      <c r="FR78" s="2177"/>
      <c r="FS78" s="2177"/>
      <c r="FT78" s="2177"/>
      <c r="FU78" s="2177"/>
      <c r="FV78" s="2177"/>
      <c r="FW78" s="2177"/>
      <c r="FX78" s="2177"/>
      <c r="FY78" s="2177"/>
      <c r="FZ78" s="2177"/>
      <c r="GA78" s="2177"/>
      <c r="GB78" s="2177"/>
      <c r="GC78" s="2178" t="s">
        <v>4492</v>
      </c>
      <c r="GD78" s="2240"/>
      <c r="GE78" s="2137" t="s">
        <v>943</v>
      </c>
      <c r="GF78" s="2138"/>
    </row>
    <row r="79" spans="104:188" ht="27">
      <c r="DA79" s="2245" t="s">
        <v>2067</v>
      </c>
      <c r="DB79" s="2173">
        <f>IF(DM79=1,[1]!tq([1]!tq(DI79-DG79)+DK79),IF(AND(DM79=2,$DI$8&lt;=12),[1]!tq([1]!tq(DI79-DG79)+DK79),[1]!tq([1]!tq(DG79-DI79)+DK79)))</f>
        <v>297.13426651585087</v>
      </c>
      <c r="DC79" s="2246">
        <f t="shared" si="9"/>
        <v>297</v>
      </c>
      <c r="DD79" s="2246">
        <f t="shared" si="10"/>
        <v>8</v>
      </c>
      <c r="DE79" s="2173">
        <f t="shared" si="36"/>
        <v>11</v>
      </c>
      <c r="DF79" s="2062" t="s">
        <v>1292</v>
      </c>
      <c r="DG79" s="2062">
        <f>DI67</f>
        <v>44.706590402790496</v>
      </c>
      <c r="DH79" s="2177" t="s">
        <v>1293</v>
      </c>
      <c r="DI79" s="2177">
        <f>DI78</f>
        <v>341.08523173912056</v>
      </c>
      <c r="DJ79" s="2137" t="s">
        <v>279</v>
      </c>
      <c r="DK79" s="2137">
        <f>DK77</f>
        <v>0.75562517952077002</v>
      </c>
      <c r="DL79" s="2062" t="s">
        <v>1964</v>
      </c>
      <c r="DM79" s="2327">
        <f t="shared" si="8"/>
        <v>2</v>
      </c>
      <c r="FQ79" s="2241"/>
      <c r="FR79" s="2177"/>
      <c r="FS79" s="2177"/>
      <c r="FT79" s="2177"/>
      <c r="FU79" s="2177"/>
      <c r="FV79" s="2177"/>
      <c r="FW79" s="2177"/>
      <c r="FX79" s="2177"/>
      <c r="FY79" s="2177"/>
      <c r="FZ79" s="2177"/>
      <c r="GA79" s="2177"/>
      <c r="GB79" s="2177"/>
      <c r="GC79" s="2178" t="s">
        <v>4493</v>
      </c>
      <c r="GD79" s="2240"/>
      <c r="GE79" s="2137" t="s">
        <v>1611</v>
      </c>
      <c r="GF79" s="2138"/>
    </row>
    <row r="80" spans="104:188" ht="27">
      <c r="DA80" s="2245" t="s">
        <v>2069</v>
      </c>
      <c r="DB80" s="2173">
        <f>IF(DM80=1,[1]!tq([1]!tq(DI80-DG80)+DK80),IF(AND(DM80=2,$DI$8&lt;=12),[1]!tq([1]!tq(DI80-DG80)+DK80),[1]!tq([1]!tq(DG80-DI80)+DK80)))</f>
        <v>248.31040223576773</v>
      </c>
      <c r="DC80" s="2246">
        <f t="shared" si="9"/>
        <v>248</v>
      </c>
      <c r="DD80" s="2246">
        <f t="shared" si="10"/>
        <v>18</v>
      </c>
      <c r="DE80" s="2173">
        <f t="shared" si="36"/>
        <v>9</v>
      </c>
      <c r="DF80" s="2062" t="s">
        <v>2055</v>
      </c>
      <c r="DG80" s="2062">
        <f>DB12</f>
        <v>236.97823665139728</v>
      </c>
      <c r="DH80" s="2177" t="s">
        <v>2050</v>
      </c>
      <c r="DI80" s="2177">
        <f>DB13</f>
        <v>124.53301370764424</v>
      </c>
      <c r="DJ80" s="2137" t="s">
        <v>279</v>
      </c>
      <c r="DK80" s="2137">
        <f>DK79</f>
        <v>0.75562517952077002</v>
      </c>
      <c r="DL80" s="2062" t="s">
        <v>1964</v>
      </c>
      <c r="DM80" s="2327">
        <f t="shared" si="8"/>
        <v>2</v>
      </c>
      <c r="FQ80" s="2241"/>
      <c r="FR80" s="2177"/>
      <c r="FS80" s="2177"/>
      <c r="FT80" s="2177"/>
      <c r="FU80" s="2177"/>
      <c r="FV80" s="2177"/>
      <c r="FW80" s="2177"/>
      <c r="FX80" s="2177"/>
      <c r="FY80" s="2177"/>
      <c r="FZ80" s="2177"/>
      <c r="GA80" s="2177"/>
      <c r="GB80" s="2177"/>
      <c r="GC80" s="2178" t="s">
        <v>4494</v>
      </c>
      <c r="GD80" s="2240"/>
      <c r="GE80" s="2137" t="s">
        <v>1612</v>
      </c>
      <c r="GF80" s="2138"/>
    </row>
    <row r="81" spans="105:188" ht="27.75" thickBot="1">
      <c r="DA81" s="2245" t="s">
        <v>4299</v>
      </c>
      <c r="DB81" s="2173">
        <f>IF(DM81=1,[1]!tq([1]!tq(DI81-DG81)+DK81),IF(AND(DM81=2,$DI$8&lt;=12),[1]!tq([1]!tq(DI81-DG81)+DK81),[1]!tq([1]!tq(DG81-DI81)+DK81)))</f>
        <v>347.39787396297953</v>
      </c>
      <c r="DC81" s="2246">
        <f t="shared" si="9"/>
        <v>347</v>
      </c>
      <c r="DD81" s="2246">
        <f t="shared" si="10"/>
        <v>23</v>
      </c>
      <c r="DE81" s="2173">
        <f t="shared" si="36"/>
        <v>1</v>
      </c>
      <c r="DF81" s="2062" t="s">
        <v>1293</v>
      </c>
      <c r="DG81" s="2062">
        <f>DG72</f>
        <v>341.08523173912056</v>
      </c>
      <c r="DH81" s="2177" t="s">
        <v>687</v>
      </c>
      <c r="DI81" s="2177">
        <f>DI75</f>
        <v>327.7274805225793</v>
      </c>
      <c r="DJ81" s="2137" t="s">
        <v>279</v>
      </c>
      <c r="DK81" s="2137">
        <f t="shared" ref="DK81:DK85" si="38">DK80</f>
        <v>0.75562517952077002</v>
      </c>
      <c r="DL81" s="2062" t="s">
        <v>1964</v>
      </c>
      <c r="DM81" s="2327">
        <f t="shared" si="8"/>
        <v>2</v>
      </c>
      <c r="FQ81" s="2249"/>
      <c r="FR81" s="2214"/>
      <c r="FS81" s="2214"/>
      <c r="FT81" s="2214"/>
      <c r="FU81" s="2214"/>
      <c r="FV81" s="2214"/>
      <c r="FW81" s="2214"/>
      <c r="FX81" s="2214"/>
      <c r="FY81" s="2214"/>
      <c r="FZ81" s="2214"/>
      <c r="GA81" s="2214"/>
      <c r="GB81" s="2214"/>
      <c r="GC81" s="2215" t="s">
        <v>4495</v>
      </c>
      <c r="GD81" s="2247"/>
      <c r="GE81" s="2192" t="s">
        <v>1613</v>
      </c>
      <c r="GF81" s="2193"/>
    </row>
    <row r="82" spans="105:188" ht="27">
      <c r="DA82" s="2245" t="s">
        <v>4300</v>
      </c>
      <c r="DB82" s="2173">
        <f>IF(DM82=1,[1]!tq([1]!tq(DI82-DG82)+DK82),IF(AND(DM82=2,$DI$8&lt;=12),[1]!tq([1]!tq(DI82-DG82)+DK82),[1]!tq([1]!tq(DG82-DI82)+DK82)))</f>
        <v>124.53309330750014</v>
      </c>
      <c r="DC82" s="2246">
        <f t="shared" si="9"/>
        <v>124</v>
      </c>
      <c r="DD82" s="2246">
        <f t="shared" si="10"/>
        <v>31</v>
      </c>
      <c r="DE82" s="2173">
        <f t="shared" ref="DE82:DE98" si="39">IF(AND(DB82&gt;=$EO$26,DB82&lt;$EO$27),$EN$26,IF(AND(DB82&lt;$EO$28,DB82&gt;=$EO$27),$EN$27,IF(AND(DB82&lt;$EO$29,DB82&gt;=$EO$28),$EN$28,IF(AND(DB82&lt;$EO$30,DB82&gt;=$EO$29),$EN$29,IF(AND(DB82&lt;$EO$31,DB82&gt;=$EO$30),$EN$30,IF(AND(DB82&lt;$EO$32,DB82&gt;=$EO$31),$EN$31,IF(AND(DB82&lt;$EO$33,DB82&gt;=$EO$32),$EN$32,IF(AND(DB82&lt;$EO$34,DB82&gt;=$EO$33),$EN$33,IF(AND(DB82&lt;$EO$35,DB82&gt;=$EO$34),$EN$34,IF(AND(DB82&lt;$EO$36,DB82&gt;=$EO$35),$EN$35,IF(AND(DB82&lt;$EO$37,DB82&gt;=$EO$36),$EN$36,$EN$37)))))))))))</f>
        <v>5</v>
      </c>
      <c r="DF82" s="2153" t="s">
        <v>4339</v>
      </c>
      <c r="DG82" s="2153"/>
      <c r="DH82" s="2177" t="s">
        <v>849</v>
      </c>
      <c r="DI82" s="2177">
        <f>DI77</f>
        <v>123.77746812797938</v>
      </c>
      <c r="DJ82" s="2137" t="s">
        <v>279</v>
      </c>
      <c r="DK82" s="2137">
        <f t="shared" si="38"/>
        <v>0.75562517952077002</v>
      </c>
      <c r="DL82" s="2062" t="s">
        <v>1964</v>
      </c>
      <c r="DM82" s="2327">
        <f t="shared" si="8"/>
        <v>2</v>
      </c>
      <c r="FQ82" s="2403"/>
      <c r="FR82" s="2105"/>
      <c r="FS82" s="2105"/>
      <c r="FT82" s="2105"/>
      <c r="FU82" s="2105"/>
      <c r="FV82" s="2105"/>
      <c r="FW82" s="2105"/>
      <c r="FX82" s="2105"/>
      <c r="FY82" s="2105"/>
      <c r="FZ82" s="2105"/>
      <c r="GA82" s="2105"/>
      <c r="GB82" s="2105"/>
      <c r="GC82" s="2106"/>
      <c r="GD82" s="2403"/>
      <c r="GE82" s="2105" t="s">
        <v>4496</v>
      </c>
      <c r="GF82" s="2106"/>
    </row>
    <row r="83" spans="105:188" ht="27">
      <c r="DA83" s="2245" t="s">
        <v>2076</v>
      </c>
      <c r="DB83" s="2173">
        <f>IF(DM83=1,[1]!tq([1]!tq(DI83-DG83)+DK83),IF(AND(DM83=2,$DI$8&lt;=12),[1]!tq([1]!tq(DI83-DG83)+DK83),[1]!tq([1]!tq(DG83-DI83)+DK83)))</f>
        <v>33.028224256797365</v>
      </c>
      <c r="DC83" s="2246">
        <f t="shared" si="9"/>
        <v>33</v>
      </c>
      <c r="DD83" s="2246">
        <f t="shared" si="10"/>
        <v>1</v>
      </c>
      <c r="DE83" s="2173">
        <f t="shared" si="39"/>
        <v>2</v>
      </c>
      <c r="DF83" s="2062" t="s">
        <v>687</v>
      </c>
      <c r="DG83" s="2062">
        <f>DI75</f>
        <v>327.7274805225793</v>
      </c>
      <c r="DH83" s="2177" t="s">
        <v>1544</v>
      </c>
      <c r="DI83" s="2177">
        <f>DG74</f>
        <v>7.9599855894230132E-5</v>
      </c>
      <c r="DJ83" s="2137" t="s">
        <v>279</v>
      </c>
      <c r="DK83" s="2137">
        <f t="shared" si="38"/>
        <v>0.75562517952077002</v>
      </c>
      <c r="DL83" s="2062" t="s">
        <v>1964</v>
      </c>
      <c r="DM83" s="2327">
        <f t="shared" si="8"/>
        <v>2</v>
      </c>
      <c r="FQ83" s="2267"/>
      <c r="FR83" s="2268"/>
      <c r="FS83" s="2268"/>
      <c r="FT83" s="2268"/>
      <c r="FU83" s="2268"/>
      <c r="FV83" s="2268"/>
      <c r="FW83" s="2268"/>
      <c r="FX83" s="2268"/>
      <c r="FY83" s="2268"/>
      <c r="FZ83" s="2268"/>
      <c r="GA83" s="2268"/>
      <c r="GB83" s="2268"/>
      <c r="GC83" s="2407" t="s">
        <v>4497</v>
      </c>
      <c r="GD83" s="2240"/>
      <c r="GE83" s="2137" t="s">
        <v>1606</v>
      </c>
      <c r="GF83" s="2138"/>
    </row>
    <row r="84" spans="105:188" ht="27">
      <c r="DA84" s="2245" t="s">
        <v>4301</v>
      </c>
      <c r="DB84" s="2173">
        <f>IF(DM84=1,[1]!tq([1]!tq(DI84-DG84)+DK84),IF(AND(DM84=2,$DI$8&lt;=12),[1]!tq([1]!tq(DI84-DG84)+DK84),[1]!tq([1]!tq(DG84-DI84)+DK84)))</f>
        <v>50.423522042674826</v>
      </c>
      <c r="DC84" s="2246">
        <f t="shared" si="9"/>
        <v>50</v>
      </c>
      <c r="DD84" s="2246">
        <f t="shared" si="10"/>
        <v>25</v>
      </c>
      <c r="DE84" s="2173">
        <f t="shared" si="39"/>
        <v>3</v>
      </c>
      <c r="DF84" s="2062" t="s">
        <v>687</v>
      </c>
      <c r="DG84" s="2062">
        <f>DG83</f>
        <v>327.7274805225793</v>
      </c>
      <c r="DH84" s="2177" t="s">
        <v>1291</v>
      </c>
      <c r="DI84" s="2177">
        <f>DI72</f>
        <v>17.395377385733344</v>
      </c>
      <c r="DJ84" s="2137" t="s">
        <v>279</v>
      </c>
      <c r="DK84" s="2137">
        <f t="shared" si="38"/>
        <v>0.75562517952077002</v>
      </c>
      <c r="DL84" s="2062" t="s">
        <v>1964</v>
      </c>
      <c r="DM84" s="2327">
        <f t="shared" si="8"/>
        <v>2</v>
      </c>
      <c r="FQ84" s="2267"/>
      <c r="FR84" s="2268"/>
      <c r="FS84" s="2268"/>
      <c r="FT84" s="2268"/>
      <c r="FU84" s="2268"/>
      <c r="FV84" s="2268"/>
      <c r="FW84" s="2268"/>
      <c r="FX84" s="2268"/>
      <c r="FY84" s="2268"/>
      <c r="FZ84" s="2268"/>
      <c r="GA84" s="2268"/>
      <c r="GB84" s="2268"/>
      <c r="GC84" s="2407" t="s">
        <v>4498</v>
      </c>
      <c r="GD84" s="2240"/>
      <c r="GE84" s="2137" t="s">
        <v>256</v>
      </c>
      <c r="GF84" s="2138"/>
    </row>
    <row r="85" spans="105:188" ht="27">
      <c r="DA85" s="2245" t="s">
        <v>4302</v>
      </c>
      <c r="DB85" s="2173">
        <f>IF(DM85=1,[1]!tq([1]!tq(DI85-DG85)+DK85),IF(AND(DM85=2,$DI$8&lt;=12),[1]!tq([1]!tq(DI85-DG85)+DK85),[1]!tq([1]!tq(DG85-DI85)+DK85)))</f>
        <v>355.03869353963648</v>
      </c>
      <c r="DC85" s="2246">
        <f t="shared" si="9"/>
        <v>355</v>
      </c>
      <c r="DD85" s="2246">
        <f t="shared" si="10"/>
        <v>2</v>
      </c>
      <c r="DE85" s="2173">
        <f t="shared" si="39"/>
        <v>1</v>
      </c>
      <c r="DF85" s="2062" t="s">
        <v>4308</v>
      </c>
      <c r="DG85" s="2062">
        <f>DB84</f>
        <v>50.423522042674826</v>
      </c>
      <c r="DH85" s="2177" t="s">
        <v>1292</v>
      </c>
      <c r="DI85" s="2177">
        <f>DI71</f>
        <v>44.706590402790496</v>
      </c>
      <c r="DJ85" s="2137" t="s">
        <v>279</v>
      </c>
      <c r="DK85" s="2137">
        <f t="shared" si="38"/>
        <v>0.75562517952077002</v>
      </c>
      <c r="DL85" s="2062" t="s">
        <v>1964</v>
      </c>
      <c r="DM85" s="2327">
        <f t="shared" si="8"/>
        <v>2</v>
      </c>
      <c r="FQ85" s="2267"/>
      <c r="FR85" s="2268"/>
      <c r="FS85" s="2268"/>
      <c r="FT85" s="2268"/>
      <c r="FU85" s="2268"/>
      <c r="FV85" s="2268"/>
      <c r="FW85" s="2268"/>
      <c r="FX85" s="2268"/>
      <c r="FY85" s="2268"/>
      <c r="FZ85" s="2268"/>
      <c r="GA85" s="2268"/>
      <c r="GB85" s="2268"/>
      <c r="GC85" s="2407" t="s">
        <v>4499</v>
      </c>
      <c r="GD85" s="2240"/>
      <c r="GE85" s="2137" t="s">
        <v>2828</v>
      </c>
      <c r="GF85" s="2138"/>
    </row>
    <row r="86" spans="105:188" ht="27">
      <c r="DA86" s="2245" t="s">
        <v>2081</v>
      </c>
      <c r="DB86" s="2173">
        <f>IF(DM86=1,[1]!tq([1]!tq(DI86-DG86)+DK86),IF(AND(DM86=2,$DI$8&lt;=12),[1]!tq([1]!tq(DI86-DG86)+DK86),[1]!tq([1]!tq(DG86-DI86)+DK86)))</f>
        <v>359.99992040014411</v>
      </c>
      <c r="DC86" s="2246">
        <f t="shared" si="9"/>
        <v>359</v>
      </c>
      <c r="DD86" s="2246">
        <f t="shared" si="10"/>
        <v>59</v>
      </c>
      <c r="DE86" s="2173">
        <f t="shared" si="39"/>
        <v>1</v>
      </c>
      <c r="DF86" s="2062" t="s">
        <v>1544</v>
      </c>
      <c r="DG86" s="2062">
        <f>DI83</f>
        <v>7.9599855894230132E-5</v>
      </c>
      <c r="DH86" s="2153" t="s">
        <v>4310</v>
      </c>
      <c r="DI86" s="2153"/>
      <c r="DJ86" s="2153" t="s">
        <v>4311</v>
      </c>
      <c r="DK86" s="2153"/>
      <c r="DL86" s="2062" t="s">
        <v>2005</v>
      </c>
      <c r="DM86" s="2327">
        <f t="shared" si="8"/>
        <v>1</v>
      </c>
      <c r="FQ86" s="2267"/>
      <c r="FR86" s="2268"/>
      <c r="FS86" s="2268"/>
      <c r="FT86" s="2268"/>
      <c r="FU86" s="2268"/>
      <c r="FV86" s="2268"/>
      <c r="FW86" s="2268"/>
      <c r="FX86" s="2268"/>
      <c r="FY86" s="2268"/>
      <c r="FZ86" s="2268"/>
      <c r="GA86" s="2268"/>
      <c r="GB86" s="2268"/>
      <c r="GC86" s="2407" t="s">
        <v>4500</v>
      </c>
      <c r="GD86" s="2240"/>
      <c r="GE86" s="2137" t="s">
        <v>273</v>
      </c>
      <c r="GF86" s="2138"/>
    </row>
    <row r="87" spans="105:188" ht="27">
      <c r="DA87" s="2245" t="s">
        <v>4303</v>
      </c>
      <c r="DB87" s="2173">
        <f>IF(DM87=1,[1]!tq([1]!tq(DI87-DG87)+DK87),IF(AND(DM87=2,$DI$8&lt;=12),[1]!tq([1]!tq(DI87-DG87)+DK87),[1]!tq([1]!tq(DG87-DI87)+DK87)))</f>
        <v>81.016736049403264</v>
      </c>
      <c r="DC87" s="2246">
        <f t="shared" si="9"/>
        <v>81</v>
      </c>
      <c r="DD87" s="2246">
        <f t="shared" si="10"/>
        <v>1</v>
      </c>
      <c r="DE87" s="2173">
        <f t="shared" si="39"/>
        <v>4</v>
      </c>
      <c r="DF87" s="2062" t="s">
        <v>1293</v>
      </c>
      <c r="DG87" s="2062">
        <f>DK88</f>
        <v>341.08523173912056</v>
      </c>
      <c r="DH87" s="2177" t="s">
        <v>1292</v>
      </c>
      <c r="DI87" s="2177">
        <f>DG79</f>
        <v>44.706590402790496</v>
      </c>
      <c r="DJ87" s="2137" t="s">
        <v>1291</v>
      </c>
      <c r="DK87" s="2137">
        <f>DI84</f>
        <v>17.395377385733344</v>
      </c>
      <c r="DL87" s="2062" t="s">
        <v>1964</v>
      </c>
      <c r="DM87" s="2327">
        <f t="shared" ref="DM87:DM110" si="40">IF(DL87="مخالف",2,1)</f>
        <v>2</v>
      </c>
      <c r="FQ87" s="2267"/>
      <c r="FR87" s="2268"/>
      <c r="FS87" s="2268"/>
      <c r="FT87" s="2268"/>
      <c r="FU87" s="2268"/>
      <c r="FV87" s="2268"/>
      <c r="FW87" s="2268"/>
      <c r="FX87" s="2268"/>
      <c r="FY87" s="2268"/>
      <c r="FZ87" s="2268"/>
      <c r="GA87" s="2268"/>
      <c r="GB87" s="2268"/>
      <c r="GC87" s="2407" t="s">
        <v>4501</v>
      </c>
      <c r="GD87" s="2240"/>
      <c r="GE87" s="2137" t="s">
        <v>255</v>
      </c>
      <c r="GF87" s="2138"/>
    </row>
    <row r="88" spans="105:188" ht="27">
      <c r="DA88" s="2245" t="s">
        <v>2087</v>
      </c>
      <c r="DB88" s="2173">
        <f>IF(DM88=1,[1]!tq([1]!tq(DI88-DG88)+DK88),IF(AND(DM88=2,$DI$8&lt;=12),[1]!tq([1]!tq(DI88-DG88)+DK88),[1]!tq([1]!tq(DG88-DI88)+DK88)))</f>
        <v>223.69637852392498</v>
      </c>
      <c r="DC88" s="2246">
        <f t="shared" ref="DC88:DC110" si="41">INT(ABS(DB88))</f>
        <v>223</v>
      </c>
      <c r="DD88" s="2246">
        <f t="shared" ref="DD88:DD110" si="42">INT((ABS(DB88)-DC88)*60)</f>
        <v>41</v>
      </c>
      <c r="DE88" s="2173">
        <f t="shared" si="39"/>
        <v>8</v>
      </c>
      <c r="DF88" s="2153" t="s">
        <v>4309</v>
      </c>
      <c r="DG88" s="2153"/>
      <c r="DH88" s="2177" t="s">
        <v>4312</v>
      </c>
      <c r="DI88" s="2177">
        <f>EJ34</f>
        <v>242.61114678480448</v>
      </c>
      <c r="DJ88" s="2137" t="s">
        <v>1293</v>
      </c>
      <c r="DK88" s="2137">
        <f>DG81</f>
        <v>341.08523173912056</v>
      </c>
      <c r="DL88" s="2062" t="s">
        <v>2005</v>
      </c>
      <c r="DM88" s="2327">
        <f t="shared" si="40"/>
        <v>1</v>
      </c>
      <c r="FQ88" s="2267"/>
      <c r="FR88" s="2268"/>
      <c r="FS88" s="2268"/>
      <c r="FT88" s="2268"/>
      <c r="FU88" s="2268"/>
      <c r="FV88" s="2268"/>
      <c r="FW88" s="2268"/>
      <c r="FX88" s="2268"/>
      <c r="FY88" s="2268"/>
      <c r="FZ88" s="2268"/>
      <c r="GA88" s="2268"/>
      <c r="GB88" s="2268"/>
      <c r="GC88" s="2407" t="s">
        <v>4502</v>
      </c>
      <c r="GD88" s="2240"/>
      <c r="GE88" s="2137" t="s">
        <v>1608</v>
      </c>
      <c r="GF88" s="2138"/>
    </row>
    <row r="89" spans="105:188" ht="27">
      <c r="DA89" s="2245" t="s">
        <v>4304</v>
      </c>
      <c r="DB89" s="2173">
        <f>IF(DM89=1,[1]!tq([1]!tq(DI89-DG89)+DK89),IF(AND(DM89=2,$DI$8&lt;=12),[1]!tq([1]!tq(DI89-DG89)+DK89),[1]!tq([1]!tq(DG89-DI89)+DK89)))</f>
        <v>143.44786156837958</v>
      </c>
      <c r="DC89" s="2246">
        <f t="shared" si="41"/>
        <v>143</v>
      </c>
      <c r="DD89" s="2246">
        <f t="shared" si="42"/>
        <v>26</v>
      </c>
      <c r="DE89" s="2173">
        <f t="shared" si="39"/>
        <v>6</v>
      </c>
      <c r="DF89" s="2062" t="s">
        <v>1293</v>
      </c>
      <c r="DG89" s="2062">
        <f>DG87</f>
        <v>341.08523173912056</v>
      </c>
      <c r="DH89" s="2177" t="s">
        <v>849</v>
      </c>
      <c r="DI89" s="2177">
        <f>DI82</f>
        <v>123.77746812797938</v>
      </c>
      <c r="DJ89" s="2137" t="s">
        <v>279</v>
      </c>
      <c r="DK89" s="2137">
        <f>DK85</f>
        <v>0.75562517952077002</v>
      </c>
      <c r="DL89" s="2062" t="s">
        <v>1964</v>
      </c>
      <c r="DM89" s="2327">
        <f t="shared" si="40"/>
        <v>2</v>
      </c>
      <c r="FQ89" s="2267"/>
      <c r="FR89" s="2268"/>
      <c r="FS89" s="2268"/>
      <c r="FT89" s="2268"/>
      <c r="FU89" s="2268"/>
      <c r="FV89" s="2268"/>
      <c r="FW89" s="2268"/>
      <c r="FX89" s="2268"/>
      <c r="FY89" s="2268"/>
      <c r="FZ89" s="2268"/>
      <c r="GA89" s="2268"/>
      <c r="GB89" s="2268"/>
      <c r="GC89" s="2407" t="s">
        <v>4503</v>
      </c>
      <c r="GD89" s="2240"/>
      <c r="GE89" s="2137" t="s">
        <v>1609</v>
      </c>
      <c r="GF89" s="2138"/>
    </row>
    <row r="90" spans="105:188" ht="27">
      <c r="DA90" s="2245" t="s">
        <v>4305</v>
      </c>
      <c r="DB90" s="2173">
        <f>IF(DM90=1,[1]!tq([1]!tq(DI90-DG90)+DK90),IF(AND(DM90=2,$DI$8&lt;=12),[1]!tq([1]!tq(DI90-DG90)+DK90),[1]!tq([1]!tq(DG90-DI90)+DK90)))</f>
        <v>254.37353443727474</v>
      </c>
      <c r="DC90" s="2246">
        <f t="shared" si="41"/>
        <v>254</v>
      </c>
      <c r="DD90" s="2246">
        <f t="shared" si="42"/>
        <v>22</v>
      </c>
      <c r="DE90" s="2173">
        <f t="shared" si="39"/>
        <v>9</v>
      </c>
      <c r="DF90" s="2062" t="s">
        <v>849</v>
      </c>
      <c r="DG90" s="2062">
        <f>DI89</f>
        <v>123.77746812797938</v>
      </c>
      <c r="DH90" s="2177" t="s">
        <v>1291</v>
      </c>
      <c r="DI90" s="2177">
        <f>DI84</f>
        <v>17.395377385733344</v>
      </c>
      <c r="DJ90" s="2137" t="s">
        <v>279</v>
      </c>
      <c r="DK90" s="2137">
        <f>DK89</f>
        <v>0.75562517952077002</v>
      </c>
      <c r="DL90" s="2062" t="s">
        <v>1964</v>
      </c>
      <c r="DM90" s="2327">
        <f t="shared" si="40"/>
        <v>2</v>
      </c>
      <c r="FQ90" s="2267"/>
      <c r="FR90" s="2268"/>
      <c r="FS90" s="2268"/>
      <c r="FT90" s="2268"/>
      <c r="FU90" s="2268"/>
      <c r="FV90" s="2268"/>
      <c r="FW90" s="2268"/>
      <c r="FX90" s="2268"/>
      <c r="FY90" s="2268"/>
      <c r="FZ90" s="2268"/>
      <c r="GA90" s="2268"/>
      <c r="GB90" s="2268"/>
      <c r="GC90" s="2407" t="s">
        <v>4504</v>
      </c>
      <c r="GD90" s="2240"/>
      <c r="GE90" s="2137" t="s">
        <v>1610</v>
      </c>
      <c r="GF90" s="2138"/>
    </row>
    <row r="91" spans="105:188" ht="27">
      <c r="DA91" s="2245" t="s">
        <v>2091</v>
      </c>
      <c r="DB91" s="2173">
        <f>IF(DM91=1,[1]!tq([1]!tq(DI91-DG91)+DK91),IF(AND(DM91=2,$DI$8&lt;=12),[1]!tq([1]!tq(DI91-DG91)+DK91),[1]!tq([1]!tq(DG91-DI91)+DK91)))</f>
        <v>142.69223638885882</v>
      </c>
      <c r="DC91" s="2246">
        <f t="shared" si="41"/>
        <v>142</v>
      </c>
      <c r="DD91" s="2246">
        <f t="shared" si="42"/>
        <v>41</v>
      </c>
      <c r="DE91" s="2173">
        <f t="shared" si="39"/>
        <v>6</v>
      </c>
      <c r="DF91" s="2062" t="s">
        <v>1293</v>
      </c>
      <c r="DG91" s="2062">
        <f>DG89</f>
        <v>341.08523173912056</v>
      </c>
      <c r="DH91" s="2177" t="s">
        <v>849</v>
      </c>
      <c r="DI91" s="2177">
        <f>DI89</f>
        <v>123.77746812797938</v>
      </c>
      <c r="DJ91" s="2153" t="s">
        <v>4316</v>
      </c>
      <c r="DK91" s="2153"/>
      <c r="DL91" s="2062" t="s">
        <v>2005</v>
      </c>
      <c r="DM91" s="2327">
        <f t="shared" si="40"/>
        <v>1</v>
      </c>
      <c r="FQ91" s="2267"/>
      <c r="FR91" s="2268"/>
      <c r="FS91" s="2268"/>
      <c r="FT91" s="2268"/>
      <c r="FU91" s="2268"/>
      <c r="FV91" s="2268"/>
      <c r="FW91" s="2268"/>
      <c r="FX91" s="2268"/>
      <c r="FY91" s="2268"/>
      <c r="FZ91" s="2268"/>
      <c r="GA91" s="2268"/>
      <c r="GB91" s="2268"/>
      <c r="GC91" s="2407" t="s">
        <v>4505</v>
      </c>
      <c r="GD91" s="2240"/>
      <c r="GE91" s="2137" t="s">
        <v>943</v>
      </c>
      <c r="GF91" s="2138"/>
    </row>
    <row r="92" spans="105:188" ht="27">
      <c r="DA92" s="2245" t="s">
        <v>2093</v>
      </c>
      <c r="DB92" s="2173">
        <f>IF(DM92=1,[1]!tq([1]!tq(DI92-DG92)+DK92),IF(AND(DM92=2,$DI$8&lt;=12),[1]!tq([1]!tq(DI92-DG92)+DK92),[1]!tq([1]!tq(DG92-DI92)+DK92)))</f>
        <v>19.46685221233929</v>
      </c>
      <c r="DC92" s="2246">
        <f t="shared" si="41"/>
        <v>19</v>
      </c>
      <c r="DD92" s="2246">
        <f t="shared" si="42"/>
        <v>28</v>
      </c>
      <c r="DE92" s="2173">
        <f t="shared" si="39"/>
        <v>2</v>
      </c>
      <c r="DF92" s="2062" t="s">
        <v>1293</v>
      </c>
      <c r="DG92" s="2062">
        <f>DG91</f>
        <v>341.08523173912056</v>
      </c>
      <c r="DH92" s="2177" t="s">
        <v>4313</v>
      </c>
      <c r="DI92" s="2177">
        <f>EJ27</f>
        <v>32.824603428880557</v>
      </c>
      <c r="DJ92" s="2137" t="s">
        <v>687</v>
      </c>
      <c r="DK92" s="2137">
        <f>DI81</f>
        <v>327.7274805225793</v>
      </c>
      <c r="DL92" s="2062" t="s">
        <v>2005</v>
      </c>
      <c r="DM92" s="2327">
        <f t="shared" si="40"/>
        <v>1</v>
      </c>
      <c r="FQ92" s="2267"/>
      <c r="FR92" s="2268"/>
      <c r="FS92" s="2268"/>
      <c r="FT92" s="2268"/>
      <c r="FU92" s="2268"/>
      <c r="FV92" s="2268"/>
      <c r="FW92" s="2268"/>
      <c r="FX92" s="2268"/>
      <c r="FY92" s="2268"/>
      <c r="FZ92" s="2268"/>
      <c r="GA92" s="2268"/>
      <c r="GB92" s="2268"/>
      <c r="GC92" s="2407" t="s">
        <v>4506</v>
      </c>
      <c r="GD92" s="2240"/>
      <c r="GE92" s="2137" t="s">
        <v>1611</v>
      </c>
      <c r="GF92" s="2138"/>
    </row>
    <row r="93" spans="105:188" ht="27">
      <c r="DA93" s="2245" t="s">
        <v>2095</v>
      </c>
      <c r="DB93" s="2173">
        <f>IF(DM93=1,[1]!tq([1]!tq(DI93-DG93)+DK93),IF(AND(DM93=2,$DI$8&lt;=12),[1]!tq([1]!tq(DI93-DG93)+DK93),[1]!tq([1]!tq(DG93-DI93)+DK93)))</f>
        <v>77.080033202660729</v>
      </c>
      <c r="DC93" s="2246">
        <f t="shared" si="41"/>
        <v>77</v>
      </c>
      <c r="DD93" s="2246">
        <f t="shared" si="42"/>
        <v>4</v>
      </c>
      <c r="DE93" s="2173">
        <f t="shared" si="39"/>
        <v>4</v>
      </c>
      <c r="DF93" s="2062" t="s">
        <v>1293</v>
      </c>
      <c r="DG93" s="2062">
        <f>DG92</f>
        <v>341.08523173912056</v>
      </c>
      <c r="DH93" s="2153" t="s">
        <v>4314</v>
      </c>
      <c r="DI93" s="2153">
        <f>EJ29</f>
        <v>90.437784419201989</v>
      </c>
      <c r="DJ93" s="2137" t="s">
        <v>687</v>
      </c>
      <c r="DK93" s="2137">
        <f>DK92</f>
        <v>327.7274805225793</v>
      </c>
      <c r="DL93" s="2062" t="s">
        <v>2005</v>
      </c>
      <c r="DM93" s="2327">
        <f t="shared" si="40"/>
        <v>1</v>
      </c>
      <c r="FQ93" s="2267"/>
      <c r="FR93" s="2268"/>
      <c r="FS93" s="2268"/>
      <c r="FT93" s="2268"/>
      <c r="FU93" s="2268"/>
      <c r="FV93" s="2268"/>
      <c r="FW93" s="2268"/>
      <c r="FX93" s="2268"/>
      <c r="FY93" s="2268"/>
      <c r="FZ93" s="2268"/>
      <c r="GA93" s="2268"/>
      <c r="GB93" s="2268"/>
      <c r="GC93" s="2407" t="s">
        <v>4507</v>
      </c>
      <c r="GD93" s="2240"/>
      <c r="GE93" s="2137" t="s">
        <v>1612</v>
      </c>
      <c r="GF93" s="2138"/>
    </row>
    <row r="94" spans="105:188" ht="27.75" thickBot="1">
      <c r="DA94" s="2245" t="s">
        <v>2097</v>
      </c>
      <c r="DB94" s="2173">
        <f>IF(DM94=1,[1]!tq([1]!tq(DI94-DG94)+DK94),IF(AND(DM94=2,$DI$8&lt;=12),[1]!tq([1]!tq(DI94-DG94)+DK94),[1]!tq([1]!tq(DG94-DI94)+DK94)))</f>
        <v>236.87625249734907</v>
      </c>
      <c r="DC94" s="2246">
        <f t="shared" si="41"/>
        <v>236</v>
      </c>
      <c r="DD94" s="2246">
        <f t="shared" si="42"/>
        <v>52</v>
      </c>
      <c r="DE94" s="2173">
        <f t="shared" si="39"/>
        <v>9</v>
      </c>
      <c r="DF94" s="2062" t="s">
        <v>1544</v>
      </c>
      <c r="DG94" s="2062">
        <f>DG86</f>
        <v>7.9599855894230132E-5</v>
      </c>
      <c r="DH94" s="2153" t="s">
        <v>2098</v>
      </c>
      <c r="DI94" s="2153">
        <f>EJ30</f>
        <v>118.43816604860248</v>
      </c>
      <c r="DJ94" s="2137" t="s">
        <v>4317</v>
      </c>
      <c r="DK94" s="2137">
        <f>EJ30</f>
        <v>118.43816604860248</v>
      </c>
      <c r="DL94" s="2062" t="s">
        <v>2005</v>
      </c>
      <c r="DM94" s="2327">
        <f t="shared" si="40"/>
        <v>1</v>
      </c>
      <c r="FQ94" s="2309"/>
      <c r="FR94" s="2310"/>
      <c r="FS94" s="2310"/>
      <c r="FT94" s="2310"/>
      <c r="FU94" s="2310"/>
      <c r="FV94" s="2310"/>
      <c r="FW94" s="2310"/>
      <c r="FX94" s="2310"/>
      <c r="FY94" s="2310"/>
      <c r="FZ94" s="2310"/>
      <c r="GA94" s="2310"/>
      <c r="GB94" s="2310"/>
      <c r="GC94" s="2408" t="s">
        <v>4508</v>
      </c>
      <c r="GD94" s="2247"/>
      <c r="GE94" s="2192" t="s">
        <v>1613</v>
      </c>
      <c r="GF94" s="2193"/>
    </row>
    <row r="95" spans="105:188" ht="27">
      <c r="DA95" s="2245" t="s">
        <v>4306</v>
      </c>
      <c r="DB95" s="2173">
        <f>IF(DM95=1,[1]!tq([1]!tq(DI95-DG95)+DK95),IF(AND(DM95=2,$DI$8&lt;=12),[1]!tq([1]!tq(DI95-DG95)+DK95),[1]!tq([1]!tq(DG95-DI95)+DK95)))</f>
        <v>135.45583427397253</v>
      </c>
      <c r="DC95" s="2246">
        <f t="shared" si="41"/>
        <v>135</v>
      </c>
      <c r="DD95" s="2246">
        <f t="shared" si="42"/>
        <v>27</v>
      </c>
      <c r="DE95" s="2173">
        <f t="shared" si="39"/>
        <v>6</v>
      </c>
      <c r="DF95" s="2062" t="s">
        <v>2055</v>
      </c>
      <c r="DG95" s="2062">
        <f>DG80</f>
        <v>236.97823665139728</v>
      </c>
      <c r="DH95" s="2177" t="s">
        <v>687</v>
      </c>
      <c r="DI95" s="2177">
        <f>DI81</f>
        <v>327.7274805225793</v>
      </c>
      <c r="DJ95" s="2137" t="s">
        <v>1292</v>
      </c>
      <c r="DK95" s="2137">
        <f>DI85</f>
        <v>44.706590402790496</v>
      </c>
      <c r="DL95" s="2062" t="s">
        <v>2005</v>
      </c>
      <c r="DM95" s="2327">
        <f t="shared" si="40"/>
        <v>1</v>
      </c>
      <c r="FQ95" s="2403"/>
      <c r="FR95" s="2105"/>
      <c r="FS95" s="2105"/>
      <c r="FT95" s="2105"/>
      <c r="FU95" s="2105"/>
      <c r="FV95" s="2105"/>
      <c r="FW95" s="2105"/>
      <c r="FX95" s="2105"/>
      <c r="FY95" s="2105"/>
      <c r="FZ95" s="2105"/>
      <c r="GA95" s="2105"/>
      <c r="GB95" s="2105"/>
      <c r="GC95" s="2105"/>
      <c r="GD95" s="2105"/>
      <c r="GE95" s="2105" t="s">
        <v>4509</v>
      </c>
      <c r="GF95" s="2106"/>
    </row>
    <row r="96" spans="105:188" ht="27">
      <c r="DA96" s="2245" t="s">
        <v>2102</v>
      </c>
      <c r="DB96" s="2173">
        <f>IF(DM96=1,[1]!tq([1]!tq(DI96-DG96)+DK96),IF(AND(DM96=2,$DI$8&lt;=12),[1]!tq([1]!tq(DI96-DG96)+DK96),[1]!tq([1]!tq(DG96-DI96)+DK96)))</f>
        <v>257.08003320266073</v>
      </c>
      <c r="DC96" s="2246">
        <f t="shared" si="41"/>
        <v>257</v>
      </c>
      <c r="DD96" s="2246">
        <f t="shared" si="42"/>
        <v>4</v>
      </c>
      <c r="DE96" s="2173">
        <f t="shared" si="39"/>
        <v>10</v>
      </c>
      <c r="DF96" s="2062" t="s">
        <v>1293</v>
      </c>
      <c r="DG96" s="2062">
        <f>DG92</f>
        <v>341.08523173912056</v>
      </c>
      <c r="DH96" s="2177" t="s">
        <v>687</v>
      </c>
      <c r="DI96" s="2177">
        <f>DI95</f>
        <v>327.7274805225793</v>
      </c>
      <c r="DJ96" s="2137" t="s">
        <v>2103</v>
      </c>
      <c r="DK96" s="2137">
        <f>EJ35</f>
        <v>270.43778441920199</v>
      </c>
      <c r="DL96" s="2062" t="s">
        <v>2005</v>
      </c>
      <c r="DM96" s="2327">
        <f t="shared" si="40"/>
        <v>1</v>
      </c>
      <c r="FQ96" s="2282"/>
      <c r="FR96" s="2144"/>
      <c r="FS96" s="2144"/>
      <c r="FT96" s="2144"/>
      <c r="FU96" s="2144"/>
      <c r="FV96" s="2144"/>
      <c r="FW96" s="2144"/>
      <c r="FX96" s="2144"/>
      <c r="FY96" s="2144"/>
      <c r="FZ96" s="2144"/>
      <c r="GA96" s="2144"/>
      <c r="GB96" s="2144"/>
      <c r="GC96" s="2409" t="s">
        <v>4510</v>
      </c>
      <c r="GD96" s="2240"/>
      <c r="GE96" s="2137" t="s">
        <v>1606</v>
      </c>
      <c r="GF96" s="2138"/>
    </row>
    <row r="97" spans="105:188" ht="27">
      <c r="DA97" s="2245" t="s">
        <v>2104</v>
      </c>
      <c r="DB97" s="2173">
        <f>IF(DM97=1,[1]!tq([1]!tq(DI97-DG97)+DK97),IF(AND(DM97=2,$DI$8&lt;=12),[1]!tq([1]!tq(DI97-DG97)+DK97),[1]!tq([1]!tq(DG97-DI97)+DK97)))</f>
        <v>254.37353443727474</v>
      </c>
      <c r="DC97" s="2246">
        <f t="shared" si="41"/>
        <v>254</v>
      </c>
      <c r="DD97" s="2246">
        <f t="shared" si="42"/>
        <v>22</v>
      </c>
      <c r="DE97" s="2173">
        <f t="shared" si="39"/>
        <v>9</v>
      </c>
      <c r="DF97" s="2062" t="s">
        <v>849</v>
      </c>
      <c r="DG97" s="2062">
        <f>DG90</f>
        <v>123.77746812797938</v>
      </c>
      <c r="DH97" s="2177" t="s">
        <v>1291</v>
      </c>
      <c r="DI97" s="2177">
        <f>DI84</f>
        <v>17.395377385733344</v>
      </c>
      <c r="DJ97" s="2137" t="s">
        <v>279</v>
      </c>
      <c r="DK97" s="2137">
        <f>DK90</f>
        <v>0.75562517952077002</v>
      </c>
      <c r="DL97" s="2062" t="s">
        <v>1964</v>
      </c>
      <c r="DM97" s="2327">
        <f t="shared" si="40"/>
        <v>2</v>
      </c>
      <c r="FQ97" s="2282"/>
      <c r="FR97" s="2144"/>
      <c r="FS97" s="2144"/>
      <c r="FT97" s="2144"/>
      <c r="FU97" s="2144"/>
      <c r="FV97" s="2144"/>
      <c r="FW97" s="2144"/>
      <c r="FX97" s="2144"/>
      <c r="FY97" s="2144"/>
      <c r="FZ97" s="2144"/>
      <c r="GA97" s="2144"/>
      <c r="GB97" s="2144"/>
      <c r="GC97" s="2409" t="s">
        <v>4511</v>
      </c>
      <c r="GD97" s="2240"/>
      <c r="GE97" s="2137" t="s">
        <v>256</v>
      </c>
      <c r="GF97" s="2138"/>
    </row>
    <row r="98" spans="105:188" ht="27.75" thickBot="1">
      <c r="DA98" s="2245" t="s">
        <v>4307</v>
      </c>
      <c r="DB98" s="2173">
        <f>IF(DM98=1,[1]!tq([1]!tq(DI98-DG98)+DK98),IF(AND(DM98=2,$DI$8&lt;=12),[1]!tq([1]!tq(DI98-DG98)+DK98),[1]!tq([1]!tq(DG98-DI98)+DK98)))</f>
        <v>0.7555455796648971</v>
      </c>
      <c r="DC98" s="2246">
        <f t="shared" si="41"/>
        <v>0</v>
      </c>
      <c r="DD98" s="2246">
        <f t="shared" si="42"/>
        <v>45</v>
      </c>
      <c r="DE98" s="2173">
        <f t="shared" si="39"/>
        <v>1</v>
      </c>
      <c r="DF98" s="2062" t="s">
        <v>1544</v>
      </c>
      <c r="DG98" s="2062">
        <f>DG94</f>
        <v>7.9599855894230132E-5</v>
      </c>
      <c r="DH98" s="2153" t="s">
        <v>4315</v>
      </c>
      <c r="DI98" s="2153"/>
      <c r="DJ98" s="2137" t="s">
        <v>279</v>
      </c>
      <c r="DK98" s="2137">
        <f>DK89</f>
        <v>0.75562517952077002</v>
      </c>
      <c r="DL98" s="2062" t="s">
        <v>1964</v>
      </c>
      <c r="DM98" s="2327">
        <f t="shared" si="40"/>
        <v>2</v>
      </c>
      <c r="FQ98" s="2282"/>
      <c r="FR98" s="2144"/>
      <c r="FS98" s="2144"/>
      <c r="FT98" s="2144"/>
      <c r="FU98" s="2144"/>
      <c r="FV98" s="2144"/>
      <c r="FW98" s="2144"/>
      <c r="FX98" s="2144"/>
      <c r="FY98" s="2144"/>
      <c r="FZ98" s="2144"/>
      <c r="GA98" s="2144"/>
      <c r="GB98" s="2144"/>
      <c r="GC98" s="2409" t="s">
        <v>4512</v>
      </c>
      <c r="GD98" s="2240"/>
      <c r="GE98" s="2137" t="s">
        <v>2828</v>
      </c>
      <c r="GF98" s="2138"/>
    </row>
    <row r="99" spans="105:188" ht="27.75" thickBot="1">
      <c r="DA99" s="2381" t="s">
        <v>2060</v>
      </c>
      <c r="DB99" s="2385"/>
      <c r="DC99" s="2497">
        <f t="shared" si="41"/>
        <v>0</v>
      </c>
      <c r="DD99" s="2497">
        <f t="shared" si="42"/>
        <v>0</v>
      </c>
      <c r="DE99" s="2385"/>
      <c r="DF99" s="2356"/>
      <c r="DG99" s="2356"/>
      <c r="DH99" s="2166"/>
      <c r="DI99" s="2166"/>
      <c r="DJ99" s="2079"/>
      <c r="DK99" s="2079"/>
      <c r="DL99" s="2356"/>
      <c r="DM99" s="2386"/>
      <c r="FQ99" s="2282"/>
      <c r="FR99" s="2144"/>
      <c r="FS99" s="2144"/>
      <c r="FT99" s="2144"/>
      <c r="FU99" s="2144"/>
      <c r="FV99" s="2144"/>
      <c r="FW99" s="2144"/>
      <c r="FX99" s="2144"/>
      <c r="FY99" s="2144"/>
      <c r="FZ99" s="2144"/>
      <c r="GA99" s="2144"/>
      <c r="GB99" s="2144"/>
      <c r="GC99" s="2409" t="s">
        <v>4513</v>
      </c>
      <c r="GD99" s="2240"/>
      <c r="GE99" s="2137" t="s">
        <v>273</v>
      </c>
      <c r="GF99" s="2138"/>
    </row>
    <row r="100" spans="105:188" ht="27">
      <c r="DA100" s="2389" t="s">
        <v>4277</v>
      </c>
      <c r="DB100" s="2261"/>
      <c r="DC100" s="2498">
        <f t="shared" si="41"/>
        <v>0</v>
      </c>
      <c r="DD100" s="2498">
        <f t="shared" si="42"/>
        <v>0</v>
      </c>
      <c r="DE100" s="2261" t="s">
        <v>4340</v>
      </c>
      <c r="DF100" s="2390" t="s">
        <v>181</v>
      </c>
      <c r="DG100" s="2390"/>
      <c r="DH100" s="2169" t="s">
        <v>182</v>
      </c>
      <c r="DI100" s="2169"/>
      <c r="DJ100" s="2105" t="s">
        <v>1959</v>
      </c>
      <c r="DK100" s="2105"/>
      <c r="DL100" s="2390" t="s">
        <v>4278</v>
      </c>
      <c r="DM100" s="2391"/>
      <c r="FQ100" s="2282"/>
      <c r="FR100" s="2144"/>
      <c r="FS100" s="2144"/>
      <c r="FT100" s="2144"/>
      <c r="FU100" s="2144"/>
      <c r="FV100" s="2144"/>
      <c r="FW100" s="2144"/>
      <c r="FX100" s="2144"/>
      <c r="FY100" s="2144"/>
      <c r="FZ100" s="2144"/>
      <c r="GA100" s="2144"/>
      <c r="GB100" s="2144"/>
      <c r="GC100" s="2409" t="s">
        <v>4514</v>
      </c>
      <c r="GD100" s="2240"/>
      <c r="GE100" s="2137" t="s">
        <v>255</v>
      </c>
      <c r="GF100" s="2138"/>
    </row>
    <row r="101" spans="105:188" ht="27">
      <c r="DA101" s="2245" t="s">
        <v>2064</v>
      </c>
      <c r="DB101" s="2173">
        <f>IF(DM101=1,[1]!tq([1]!tq(DI101-DG101)+DK101),IF(AND(DM101=2,$DI$8&lt;=12),[1]!tq([1]!tq(DI101-DG101)+DK101),[1]!tq([1]!tq(DG101-DI101)+DK101)))</f>
        <v>323.72153747615545</v>
      </c>
      <c r="DC101" s="2246">
        <f t="shared" si="41"/>
        <v>323</v>
      </c>
      <c r="DD101" s="2246">
        <f t="shared" si="42"/>
        <v>43</v>
      </c>
      <c r="DE101" s="2173">
        <f t="shared" ref="DE101:DE110" si="43">IF(AND(DB101&gt;=$EO$26,DB101&lt;$EO$27),$EN$26,IF(AND(DB101&lt;$EO$28,DB101&gt;=$EO$27),$EN$27,IF(AND(DB101&lt;$EO$29,DB101&gt;=$EO$28),$EN$28,IF(AND(DB101&lt;$EO$30,DB101&gt;=$EO$29),$EN$29,IF(AND(DB101&lt;$EO$31,DB101&gt;=$EO$30),$EN$30,IF(AND(DB101&lt;$EO$32,DB101&gt;=$EO$31),$EN$31,IF(AND(DB101&lt;$EO$33,DB101&gt;=$EO$32),$EN$32,IF(AND(DB101&lt;$EO$34,DB101&gt;=$EO$33),$EN$33,IF(AND(DB101&lt;$EO$35,DB101&gt;=$EO$34),$EN$34,IF(AND(DB101&lt;$EO$36,DB101&gt;=$EO$35),$EN$35,IF(AND(DB101&lt;$EO$37,DB101&gt;=$EO$36),$EN$36,$EN$37)))))))))))</f>
        <v>12</v>
      </c>
      <c r="DF101" s="2062" t="s">
        <v>1291</v>
      </c>
      <c r="DG101" s="2062">
        <f>DI84</f>
        <v>17.395377385733344</v>
      </c>
      <c r="DH101" s="2177" t="s">
        <v>1290</v>
      </c>
      <c r="DI101" s="2177">
        <f>DI65</f>
        <v>340.36128968236801</v>
      </c>
      <c r="DJ101" s="2137" t="s">
        <v>279</v>
      </c>
      <c r="DK101" s="2137">
        <f>DK98</f>
        <v>0.75562517952077002</v>
      </c>
      <c r="DL101" s="2062" t="s">
        <v>1964</v>
      </c>
      <c r="DM101" s="2327">
        <f t="shared" si="40"/>
        <v>2</v>
      </c>
      <c r="FQ101" s="2282"/>
      <c r="FR101" s="2144"/>
      <c r="FS101" s="2144"/>
      <c r="FT101" s="2144"/>
      <c r="FU101" s="2144"/>
      <c r="FV101" s="2144"/>
      <c r="FW101" s="2144"/>
      <c r="FX101" s="2144"/>
      <c r="FY101" s="2144"/>
      <c r="FZ101" s="2144"/>
      <c r="GA101" s="2144"/>
      <c r="GB101" s="2144"/>
      <c r="GC101" s="2409" t="s">
        <v>4515</v>
      </c>
      <c r="GD101" s="2240"/>
      <c r="GE101" s="2137" t="s">
        <v>1608</v>
      </c>
      <c r="GF101" s="2138"/>
    </row>
    <row r="102" spans="105:188" ht="27">
      <c r="DA102" s="2245" t="s">
        <v>2066</v>
      </c>
      <c r="DB102" s="2173">
        <f>IF(DM102=1,[1]!tq([1]!tq(DI102-DG102)+DK102),IF(AND(DM102=2,$DI$8&lt;=12),[1]!tq([1]!tq(DI102-DG102)+DK102),[1]!tq([1]!tq(DG102-DI102)+DK102)))</f>
        <v>311.08772831636674</v>
      </c>
      <c r="DC102" s="2246">
        <f t="shared" si="41"/>
        <v>311</v>
      </c>
      <c r="DD102" s="2246">
        <f t="shared" si="42"/>
        <v>5</v>
      </c>
      <c r="DE102" s="2173">
        <f t="shared" si="43"/>
        <v>11</v>
      </c>
      <c r="DF102" s="2062" t="s">
        <v>1291</v>
      </c>
      <c r="DG102" s="2062">
        <f>DG101</f>
        <v>17.395377385733344</v>
      </c>
      <c r="DH102" s="2177" t="s">
        <v>687</v>
      </c>
      <c r="DI102" s="2177">
        <f>DI96</f>
        <v>327.7274805225793</v>
      </c>
      <c r="DJ102" s="2137" t="s">
        <v>279</v>
      </c>
      <c r="DK102" s="2137">
        <f>DK101</f>
        <v>0.75562517952077002</v>
      </c>
      <c r="DL102" s="2062" t="s">
        <v>1964</v>
      </c>
      <c r="DM102" s="2327">
        <f t="shared" si="40"/>
        <v>2</v>
      </c>
      <c r="FQ102" s="2282"/>
      <c r="FR102" s="2144"/>
      <c r="FS102" s="2144"/>
      <c r="FT102" s="2144"/>
      <c r="FU102" s="2144"/>
      <c r="FV102" s="2144"/>
      <c r="FW102" s="2144"/>
      <c r="FX102" s="2144"/>
      <c r="FY102" s="2144"/>
      <c r="FZ102" s="2144"/>
      <c r="GA102" s="2144"/>
      <c r="GB102" s="2144"/>
      <c r="GC102" s="2409" t="s">
        <v>4516</v>
      </c>
      <c r="GD102" s="2240"/>
      <c r="GE102" s="2137" t="s">
        <v>1609</v>
      </c>
      <c r="GF102" s="2138"/>
    </row>
    <row r="103" spans="105:188" ht="27">
      <c r="DA103" s="2245" t="s">
        <v>4318</v>
      </c>
      <c r="DB103" s="2173">
        <f>IF(DM103=1,[1]!tq([1]!tq(DI103-DG103)+DK103),IF(AND(DM103=2,$DI$8&lt;=12),[1]!tq([1]!tq(DI103-DG103)+DK103),[1]!tq([1]!tq(DG103-DI103)+DK103)))</f>
        <v>45.462135982455372</v>
      </c>
      <c r="DC103" s="2246">
        <f t="shared" si="41"/>
        <v>45</v>
      </c>
      <c r="DD103" s="2246">
        <f t="shared" si="42"/>
        <v>27</v>
      </c>
      <c r="DE103" s="2173">
        <f t="shared" si="43"/>
        <v>2</v>
      </c>
      <c r="DF103" s="2062" t="s">
        <v>1544</v>
      </c>
      <c r="DG103" s="2062">
        <f>DG98</f>
        <v>7.9599855894230132E-5</v>
      </c>
      <c r="DH103" s="2177" t="s">
        <v>1292</v>
      </c>
      <c r="DI103" s="2177">
        <f>DI87</f>
        <v>44.706590402790496</v>
      </c>
      <c r="DJ103" s="2137" t="s">
        <v>279</v>
      </c>
      <c r="DK103" s="2137">
        <f t="shared" ref="DK103:DK108" si="44">DK102</f>
        <v>0.75562517952077002</v>
      </c>
      <c r="DL103" s="2062" t="s">
        <v>2005</v>
      </c>
      <c r="DM103" s="2327">
        <f t="shared" si="40"/>
        <v>1</v>
      </c>
      <c r="FQ103" s="2282"/>
      <c r="FR103" s="2144"/>
      <c r="FS103" s="2144"/>
      <c r="FT103" s="2144"/>
      <c r="FU103" s="2144"/>
      <c r="FV103" s="2144"/>
      <c r="FW103" s="2144"/>
      <c r="FX103" s="2144"/>
      <c r="FY103" s="2144"/>
      <c r="FZ103" s="2144"/>
      <c r="GA103" s="2144"/>
      <c r="GB103" s="2144"/>
      <c r="GC103" s="2409" t="s">
        <v>4517</v>
      </c>
      <c r="GD103" s="2240"/>
      <c r="GE103" s="2137" t="s">
        <v>1610</v>
      </c>
      <c r="GF103" s="2138"/>
    </row>
    <row r="104" spans="105:188" ht="27">
      <c r="DA104" s="2245" t="s">
        <v>2070</v>
      </c>
      <c r="DB104" s="2173">
        <f>IF(DM104=1,[1]!tq([1]!tq(DI104-DG104)+DK104),IF(AND(DM104=2,$DI$8&lt;=12),[1]!tq([1]!tq(DI104-DG104)+DK104),[1]!tq([1]!tq(DG104-DI104)+DK104)))</f>
        <v>328.4830261022442</v>
      </c>
      <c r="DC104" s="2246">
        <f t="shared" si="41"/>
        <v>328</v>
      </c>
      <c r="DD104" s="2246">
        <f t="shared" si="42"/>
        <v>28</v>
      </c>
      <c r="DE104" s="2173">
        <f t="shared" si="43"/>
        <v>12</v>
      </c>
      <c r="DF104" s="2062" t="s">
        <v>1544</v>
      </c>
      <c r="DG104" s="2062">
        <f>DG103</f>
        <v>7.9599855894230132E-5</v>
      </c>
      <c r="DH104" s="2177" t="s">
        <v>687</v>
      </c>
      <c r="DI104" s="2177">
        <f>DI102</f>
        <v>327.7274805225793</v>
      </c>
      <c r="DJ104" s="2137" t="s">
        <v>279</v>
      </c>
      <c r="DK104" s="2137">
        <f t="shared" si="44"/>
        <v>0.75562517952077002</v>
      </c>
      <c r="DL104" s="2062" t="s">
        <v>2005</v>
      </c>
      <c r="DM104" s="2327">
        <f t="shared" si="40"/>
        <v>1</v>
      </c>
      <c r="FQ104" s="2282"/>
      <c r="FR104" s="2144"/>
      <c r="FS104" s="2144"/>
      <c r="FT104" s="2144"/>
      <c r="FU104" s="2144"/>
      <c r="FV104" s="2144"/>
      <c r="FW104" s="2144"/>
      <c r="FX104" s="2144"/>
      <c r="FY104" s="2144"/>
      <c r="FZ104" s="2144"/>
      <c r="GA104" s="2144"/>
      <c r="GB104" s="2144"/>
      <c r="GC104" s="2409" t="s">
        <v>4518</v>
      </c>
      <c r="GD104" s="2240"/>
      <c r="GE104" s="2137" t="s">
        <v>943</v>
      </c>
      <c r="GF104" s="2138"/>
    </row>
    <row r="105" spans="105:188" ht="27">
      <c r="DA105" s="2245" t="s">
        <v>4319</v>
      </c>
      <c r="DB105" s="2173">
        <f>IF(DM105=1,[1]!tq([1]!tq(DI105-DG105)+DK105),IF(AND(DM105=2,$DI$8&lt;=12),[1]!tq([1]!tq(DI105-DG105)+DK105),[1]!tq([1]!tq(DG105-DI105)+DK105)))</f>
        <v>45.462135982455372</v>
      </c>
      <c r="DC105" s="2246">
        <f t="shared" si="41"/>
        <v>45</v>
      </c>
      <c r="DD105" s="2246">
        <f t="shared" si="42"/>
        <v>27</v>
      </c>
      <c r="DE105" s="2173">
        <f t="shared" si="43"/>
        <v>2</v>
      </c>
      <c r="DF105" s="2062" t="s">
        <v>1544</v>
      </c>
      <c r="DG105" s="2062">
        <f>DG104</f>
        <v>7.9599855894230132E-5</v>
      </c>
      <c r="DH105" s="2177" t="s">
        <v>1292</v>
      </c>
      <c r="DI105" s="2177">
        <f>DI103</f>
        <v>44.706590402790496</v>
      </c>
      <c r="DJ105" s="2137" t="s">
        <v>279</v>
      </c>
      <c r="DK105" s="2137">
        <f t="shared" si="44"/>
        <v>0.75562517952077002</v>
      </c>
      <c r="DL105" s="2062" t="s">
        <v>1964</v>
      </c>
      <c r="DM105" s="2327">
        <f t="shared" si="40"/>
        <v>2</v>
      </c>
      <c r="FQ105" s="2282"/>
      <c r="FR105" s="2144"/>
      <c r="FS105" s="2144"/>
      <c r="FT105" s="2144"/>
      <c r="FU105" s="2144"/>
      <c r="FV105" s="2144"/>
      <c r="FW105" s="2144"/>
      <c r="FX105" s="2144"/>
      <c r="FY105" s="2144"/>
      <c r="FZ105" s="2144"/>
      <c r="GA105" s="2144"/>
      <c r="GB105" s="2144"/>
      <c r="GC105" s="2409" t="s">
        <v>4519</v>
      </c>
      <c r="GD105" s="2240"/>
      <c r="GE105" s="2137" t="s">
        <v>1611</v>
      </c>
      <c r="GF105" s="2138"/>
    </row>
    <row r="106" spans="105:188" ht="27">
      <c r="DA106" s="2245" t="s">
        <v>2075</v>
      </c>
      <c r="DB106" s="2173">
        <f>IF(DM106=1,[1]!tq([1]!tq(DI106-DG106)+DK106),IF(AND(DM106=2,$DI$8&lt;=12),[1]!tq([1]!tq(DI106-DG106)+DK106),[1]!tq([1]!tq(DG106-DI106)+DK106)))</f>
        <v>45.462135982455372</v>
      </c>
      <c r="DC106" s="2246">
        <f t="shared" si="41"/>
        <v>45</v>
      </c>
      <c r="DD106" s="2246">
        <f t="shared" si="42"/>
        <v>27</v>
      </c>
      <c r="DE106" s="2173">
        <f t="shared" si="43"/>
        <v>2</v>
      </c>
      <c r="DF106" s="2062" t="s">
        <v>1544</v>
      </c>
      <c r="DG106" s="2062">
        <f>DG105</f>
        <v>7.9599855894230132E-5</v>
      </c>
      <c r="DH106" s="2177" t="s">
        <v>1292</v>
      </c>
      <c r="DI106" s="2177">
        <f>DI105</f>
        <v>44.706590402790496</v>
      </c>
      <c r="DJ106" s="2137" t="s">
        <v>279</v>
      </c>
      <c r="DK106" s="2137">
        <f t="shared" si="44"/>
        <v>0.75562517952077002</v>
      </c>
      <c r="DL106" s="2062" t="s">
        <v>1964</v>
      </c>
      <c r="DM106" s="2327">
        <f t="shared" si="40"/>
        <v>2</v>
      </c>
      <c r="FQ106" s="2282"/>
      <c r="FR106" s="2144"/>
      <c r="FS106" s="2144"/>
      <c r="FT106" s="2144"/>
      <c r="FU106" s="2144"/>
      <c r="FV106" s="2144"/>
      <c r="FW106" s="2144"/>
      <c r="FX106" s="2144"/>
      <c r="FY106" s="2144"/>
      <c r="FZ106" s="2144"/>
      <c r="GA106" s="2144"/>
      <c r="GB106" s="2144"/>
      <c r="GC106" s="2409" t="s">
        <v>4520</v>
      </c>
      <c r="GD106" s="2240"/>
      <c r="GE106" s="2137" t="s">
        <v>1612</v>
      </c>
      <c r="GF106" s="2138"/>
    </row>
    <row r="107" spans="105:188" ht="27.75" thickBot="1">
      <c r="DA107" s="2245" t="s">
        <v>4294</v>
      </c>
      <c r="DB107" s="2173">
        <f>IF(DM107=1,[1]!tq([1]!tq(DI107-DG107)+DK107),IF(AND(DM107=2,$DI$8&lt;=12),[1]!tq([1]!tq(DI107-DG107)+DK107),[1]!tq([1]!tq(DG107-DI107)+DK107)))</f>
        <v>107.13771592176681</v>
      </c>
      <c r="DC107" s="2246">
        <f t="shared" si="41"/>
        <v>107</v>
      </c>
      <c r="DD107" s="2246">
        <f t="shared" si="42"/>
        <v>8</v>
      </c>
      <c r="DE107" s="2173">
        <f t="shared" si="43"/>
        <v>5</v>
      </c>
      <c r="DF107" s="2062" t="s">
        <v>1291</v>
      </c>
      <c r="DG107" s="2062">
        <f>DG102</f>
        <v>17.395377385733344</v>
      </c>
      <c r="DH107" s="2177" t="s">
        <v>849</v>
      </c>
      <c r="DI107" s="2177">
        <f>DG97</f>
        <v>123.77746812797938</v>
      </c>
      <c r="DJ107" s="2137" t="s">
        <v>279</v>
      </c>
      <c r="DK107" s="2137">
        <f t="shared" si="44"/>
        <v>0.75562517952077002</v>
      </c>
      <c r="DL107" s="2062" t="s">
        <v>1964</v>
      </c>
      <c r="DM107" s="2327">
        <f t="shared" si="40"/>
        <v>2</v>
      </c>
      <c r="FQ107" s="2392"/>
      <c r="FR107" s="2379"/>
      <c r="FS107" s="2379"/>
      <c r="FT107" s="2379"/>
      <c r="FU107" s="2379"/>
      <c r="FV107" s="2379"/>
      <c r="FW107" s="2379"/>
      <c r="FX107" s="2379"/>
      <c r="FY107" s="2379"/>
      <c r="FZ107" s="2379"/>
      <c r="GA107" s="2379"/>
      <c r="GB107" s="2379"/>
      <c r="GC107" s="2410" t="s">
        <v>4521</v>
      </c>
      <c r="GD107" s="2247"/>
      <c r="GE107" s="2192" t="s">
        <v>1613</v>
      </c>
      <c r="GF107" s="2193"/>
    </row>
    <row r="108" spans="105:188" ht="27">
      <c r="DA108" s="2245" t="s">
        <v>2041</v>
      </c>
      <c r="DB108" s="2173">
        <f>IF(DM108=1,[1]!tq([1]!tq(DI108-DG108)+DK108),IF(AND(DM108=2,$DI$8&lt;=12),[1]!tq([1]!tq(DI108-DG108)+DK108),[1]!tq([1]!tq(DG108-DI108)+DK108)))</f>
        <v>50.423522042674826</v>
      </c>
      <c r="DC108" s="2246">
        <f t="shared" si="41"/>
        <v>50</v>
      </c>
      <c r="DD108" s="2246">
        <f t="shared" si="42"/>
        <v>25</v>
      </c>
      <c r="DE108" s="2173">
        <f t="shared" si="43"/>
        <v>3</v>
      </c>
      <c r="DF108" s="2062" t="s">
        <v>687</v>
      </c>
      <c r="DG108" s="2062">
        <f>DI96</f>
        <v>327.7274805225793</v>
      </c>
      <c r="DH108" s="2177" t="s">
        <v>1291</v>
      </c>
      <c r="DI108" s="2177">
        <f>DG102</f>
        <v>17.395377385733344</v>
      </c>
      <c r="DJ108" s="2137" t="s">
        <v>279</v>
      </c>
      <c r="DK108" s="2137">
        <f t="shared" si="44"/>
        <v>0.75562517952077002</v>
      </c>
      <c r="DL108" s="2062" t="s">
        <v>2005</v>
      </c>
      <c r="DM108" s="2327">
        <f t="shared" si="40"/>
        <v>1</v>
      </c>
      <c r="FQ108" s="2403"/>
      <c r="FR108" s="2105"/>
      <c r="FS108" s="2105"/>
      <c r="FT108" s="2105"/>
      <c r="FU108" s="2105"/>
      <c r="FV108" s="2105"/>
      <c r="FW108" s="2105"/>
      <c r="FX108" s="2105"/>
      <c r="FY108" s="2105"/>
      <c r="FZ108" s="2105"/>
      <c r="GA108" s="2105"/>
      <c r="GB108" s="2105"/>
      <c r="GC108" s="2106"/>
      <c r="GD108" s="2403"/>
      <c r="GE108" s="2105" t="s">
        <v>4522</v>
      </c>
      <c r="GF108" s="2106"/>
    </row>
    <row r="109" spans="105:188" ht="27">
      <c r="DA109" s="2245" t="s">
        <v>2080</v>
      </c>
      <c r="DB109" s="2173">
        <f>IF(DM109=1,[1]!tq([1]!tq(DI109-DG109)+DK109),IF(AND(DM109=2,$DI$8&lt;=12),[1]!tq([1]!tq(DI109-DG109)+DK109),[1]!tq([1]!tq(DG109-DI109)+DK109)))</f>
        <v>25.791742542055147</v>
      </c>
      <c r="DC109" s="2246">
        <f t="shared" si="41"/>
        <v>25</v>
      </c>
      <c r="DD109" s="2246">
        <f t="shared" si="42"/>
        <v>47</v>
      </c>
      <c r="DE109" s="2173">
        <f t="shared" si="43"/>
        <v>2</v>
      </c>
      <c r="DF109" s="2062" t="s">
        <v>1544</v>
      </c>
      <c r="DG109" s="2062">
        <f>DG104</f>
        <v>7.9599855894230132E-5</v>
      </c>
      <c r="DH109" s="2177" t="s">
        <v>1292</v>
      </c>
      <c r="DI109" s="2177">
        <f>DI106</f>
        <v>44.706590402790496</v>
      </c>
      <c r="DJ109" s="2137" t="s">
        <v>1293</v>
      </c>
      <c r="DK109" s="2137">
        <f>DI110</f>
        <v>341.08523173912056</v>
      </c>
      <c r="DL109" s="2062" t="s">
        <v>2005</v>
      </c>
      <c r="DM109" s="2327">
        <f t="shared" si="40"/>
        <v>1</v>
      </c>
      <c r="FQ109" s="2411"/>
      <c r="FR109" s="2412"/>
      <c r="FS109" s="2412"/>
      <c r="FT109" s="2412"/>
      <c r="FU109" s="2412"/>
      <c r="FV109" s="2412"/>
      <c r="FW109" s="2412"/>
      <c r="FX109" s="2412"/>
      <c r="FY109" s="2412"/>
      <c r="FZ109" s="2412"/>
      <c r="GA109" s="2412"/>
      <c r="GB109" s="2412"/>
      <c r="GC109" s="2413" t="s">
        <v>4523</v>
      </c>
      <c r="GD109" s="2240"/>
      <c r="GE109" s="2137" t="s">
        <v>1606</v>
      </c>
      <c r="GF109" s="2138"/>
    </row>
    <row r="110" spans="105:188" ht="27.75" thickBot="1">
      <c r="DA110" s="2396" t="s">
        <v>2084</v>
      </c>
      <c r="DB110" s="2212">
        <f>IF(DM110=1,[1]!tq([1]!tq(DI110-DG110)+DK110),IF(AND(DM110=2,$DI$8&lt;=12),[1]!tq([1]!tq(DI110-DG110)+DK110),[1]!tq([1]!tq(DG110-DI110)+DK110)))</f>
        <v>78.307763611141183</v>
      </c>
      <c r="DC110" s="2499">
        <f t="shared" si="41"/>
        <v>78</v>
      </c>
      <c r="DD110" s="2499">
        <f t="shared" si="42"/>
        <v>18</v>
      </c>
      <c r="DE110" s="2212">
        <f t="shared" si="43"/>
        <v>4</v>
      </c>
      <c r="DF110" s="2376" t="s">
        <v>849</v>
      </c>
      <c r="DG110" s="2376">
        <f>DG97</f>
        <v>123.77746812797938</v>
      </c>
      <c r="DH110" s="2214" t="s">
        <v>1293</v>
      </c>
      <c r="DI110" s="2214">
        <f>DG96</f>
        <v>341.08523173912056</v>
      </c>
      <c r="DJ110" s="2192" t="s">
        <v>2085</v>
      </c>
      <c r="DK110" s="2192">
        <v>221</v>
      </c>
      <c r="DL110" s="2376" t="s">
        <v>2005</v>
      </c>
      <c r="DM110" s="2414">
        <f t="shared" si="40"/>
        <v>1</v>
      </c>
      <c r="FQ110" s="2411"/>
      <c r="FR110" s="2412"/>
      <c r="FS110" s="2412"/>
      <c r="FT110" s="2412"/>
      <c r="FU110" s="2412"/>
      <c r="FV110" s="2412"/>
      <c r="FW110" s="2412"/>
      <c r="FX110" s="2412"/>
      <c r="FY110" s="2412"/>
      <c r="FZ110" s="2412"/>
      <c r="GA110" s="2412"/>
      <c r="GB110" s="2412"/>
      <c r="GC110" s="2413" t="s">
        <v>4524</v>
      </c>
      <c r="GD110" s="2240"/>
      <c r="GE110" s="2137" t="s">
        <v>256</v>
      </c>
      <c r="GF110" s="2138"/>
    </row>
    <row r="111" spans="105:188">
      <c r="FQ111" s="2411"/>
      <c r="FR111" s="2412"/>
      <c r="FS111" s="2412"/>
      <c r="FT111" s="2412"/>
      <c r="FU111" s="2412"/>
      <c r="FV111" s="2412"/>
      <c r="FW111" s="2412"/>
      <c r="FX111" s="2412"/>
      <c r="FY111" s="2412"/>
      <c r="FZ111" s="2412"/>
      <c r="GA111" s="2412"/>
      <c r="GB111" s="2412"/>
      <c r="GC111" s="2413" t="s">
        <v>4525</v>
      </c>
      <c r="GD111" s="2240"/>
      <c r="GE111" s="2137" t="s">
        <v>2828</v>
      </c>
      <c r="GF111" s="2138"/>
    </row>
    <row r="112" spans="105:188">
      <c r="FQ112" s="2411"/>
      <c r="FR112" s="2412"/>
      <c r="FS112" s="2412"/>
      <c r="FT112" s="2412"/>
      <c r="FU112" s="2412"/>
      <c r="FV112" s="2412"/>
      <c r="FW112" s="2412"/>
      <c r="FX112" s="2412"/>
      <c r="FY112" s="2412"/>
      <c r="FZ112" s="2412"/>
      <c r="GA112" s="2412"/>
      <c r="GB112" s="2412"/>
      <c r="GC112" s="2413" t="s">
        <v>4526</v>
      </c>
      <c r="GD112" s="2240"/>
      <c r="GE112" s="2137" t="s">
        <v>273</v>
      </c>
      <c r="GF112" s="2138"/>
    </row>
    <row r="113" spans="173:188">
      <c r="FQ113" s="2411"/>
      <c r="FR113" s="2412"/>
      <c r="FS113" s="2412"/>
      <c r="FT113" s="2412"/>
      <c r="FU113" s="2412"/>
      <c r="FV113" s="2412"/>
      <c r="FW113" s="2412"/>
      <c r="FX113" s="2412"/>
      <c r="FY113" s="2412"/>
      <c r="FZ113" s="2412"/>
      <c r="GA113" s="2412"/>
      <c r="GB113" s="2412"/>
      <c r="GC113" s="2413" t="s">
        <v>4527</v>
      </c>
      <c r="GD113" s="2240"/>
      <c r="GE113" s="2137" t="s">
        <v>255</v>
      </c>
      <c r="GF113" s="2138"/>
    </row>
    <row r="114" spans="173:188">
      <c r="FQ114" s="2411"/>
      <c r="FR114" s="2412"/>
      <c r="FS114" s="2412"/>
      <c r="FT114" s="2412"/>
      <c r="FU114" s="2412"/>
      <c r="FV114" s="2412"/>
      <c r="FW114" s="2412"/>
      <c r="FX114" s="2412"/>
      <c r="FY114" s="2412"/>
      <c r="FZ114" s="2412"/>
      <c r="GA114" s="2412"/>
      <c r="GB114" s="2412"/>
      <c r="GC114" s="2413" t="s">
        <v>4528</v>
      </c>
      <c r="GD114" s="2240"/>
      <c r="GE114" s="2137" t="s">
        <v>1608</v>
      </c>
      <c r="GF114" s="2138"/>
    </row>
    <row r="115" spans="173:188">
      <c r="FQ115" s="2411"/>
      <c r="FR115" s="2412"/>
      <c r="FS115" s="2412"/>
      <c r="FT115" s="2412"/>
      <c r="FU115" s="2412"/>
      <c r="FV115" s="2412"/>
      <c r="FW115" s="2412"/>
      <c r="FX115" s="2412"/>
      <c r="FY115" s="2412"/>
      <c r="FZ115" s="2412"/>
      <c r="GA115" s="2412"/>
      <c r="GB115" s="2412"/>
      <c r="GC115" s="2413" t="s">
        <v>4529</v>
      </c>
      <c r="GD115" s="2240"/>
      <c r="GE115" s="2137" t="s">
        <v>1609</v>
      </c>
      <c r="GF115" s="2138"/>
    </row>
    <row r="116" spans="173:188">
      <c r="FQ116" s="2411"/>
      <c r="FR116" s="2412"/>
      <c r="FS116" s="2412"/>
      <c r="FT116" s="2412"/>
      <c r="FU116" s="2412"/>
      <c r="FV116" s="2412"/>
      <c r="FW116" s="2412"/>
      <c r="FX116" s="2412"/>
      <c r="FY116" s="2412"/>
      <c r="FZ116" s="2412"/>
      <c r="GA116" s="2412"/>
      <c r="GB116" s="2412"/>
      <c r="GC116" s="2413" t="s">
        <v>4530</v>
      </c>
      <c r="GD116" s="2240"/>
      <c r="GE116" s="2137" t="s">
        <v>1610</v>
      </c>
      <c r="GF116" s="2138"/>
    </row>
    <row r="117" spans="173:188">
      <c r="FQ117" s="2411"/>
      <c r="FR117" s="2412"/>
      <c r="FS117" s="2412"/>
      <c r="FT117" s="2412"/>
      <c r="FU117" s="2412"/>
      <c r="FV117" s="2412"/>
      <c r="FW117" s="2412"/>
      <c r="FX117" s="2412"/>
      <c r="FY117" s="2412"/>
      <c r="FZ117" s="2412"/>
      <c r="GA117" s="2412"/>
      <c r="GB117" s="2412"/>
      <c r="GC117" s="2413" t="s">
        <v>4531</v>
      </c>
      <c r="GD117" s="2240"/>
      <c r="GE117" s="2137" t="s">
        <v>943</v>
      </c>
      <c r="GF117" s="2138"/>
    </row>
    <row r="118" spans="173:188">
      <c r="FQ118" s="2411"/>
      <c r="FR118" s="2412"/>
      <c r="FS118" s="2412"/>
      <c r="FT118" s="2412"/>
      <c r="FU118" s="2412"/>
      <c r="FV118" s="2412"/>
      <c r="FW118" s="2412"/>
      <c r="FX118" s="2412"/>
      <c r="FY118" s="2412"/>
      <c r="FZ118" s="2412"/>
      <c r="GA118" s="2412"/>
      <c r="GB118" s="2412"/>
      <c r="GC118" s="2413" t="s">
        <v>4532</v>
      </c>
      <c r="GD118" s="2240"/>
      <c r="GE118" s="2137" t="s">
        <v>1611</v>
      </c>
      <c r="GF118" s="2138"/>
    </row>
    <row r="119" spans="173:188">
      <c r="FQ119" s="2411"/>
      <c r="FR119" s="2412"/>
      <c r="FS119" s="2412"/>
      <c r="FT119" s="2412"/>
      <c r="FU119" s="2412"/>
      <c r="FV119" s="2412"/>
      <c r="FW119" s="2412"/>
      <c r="FX119" s="2412"/>
      <c r="FY119" s="2412"/>
      <c r="FZ119" s="2412"/>
      <c r="GA119" s="2412"/>
      <c r="GB119" s="2412"/>
      <c r="GC119" s="2413" t="s">
        <v>4533</v>
      </c>
      <c r="GD119" s="2240"/>
      <c r="GE119" s="2137" t="s">
        <v>1612</v>
      </c>
      <c r="GF119" s="2138"/>
    </row>
    <row r="120" spans="173:188" ht="22.5" thickBot="1">
      <c r="FQ120" s="2415"/>
      <c r="FR120" s="2416"/>
      <c r="FS120" s="2416"/>
      <c r="FT120" s="2416"/>
      <c r="FU120" s="2416"/>
      <c r="FV120" s="2416"/>
      <c r="FW120" s="2416"/>
      <c r="FX120" s="2416"/>
      <c r="FY120" s="2416"/>
      <c r="FZ120" s="2416"/>
      <c r="GA120" s="2416"/>
      <c r="GB120" s="2416"/>
      <c r="GC120" s="2417" t="s">
        <v>4534</v>
      </c>
      <c r="GD120" s="2247"/>
      <c r="GE120" s="2192" t="s">
        <v>1613</v>
      </c>
      <c r="GF120" s="2193"/>
    </row>
    <row r="121" spans="173:188">
      <c r="FQ121" s="2403"/>
      <c r="FR121" s="2105"/>
      <c r="FS121" s="2105"/>
      <c r="FT121" s="2105"/>
      <c r="FU121" s="2105"/>
      <c r="FV121" s="2105"/>
      <c r="FW121" s="2105"/>
      <c r="FX121" s="2105"/>
      <c r="FY121" s="2105"/>
      <c r="FZ121" s="2105"/>
      <c r="GA121" s="2105"/>
      <c r="GB121" s="2105"/>
      <c r="GC121" s="2106"/>
      <c r="GD121" s="2403"/>
      <c r="GE121" s="2105" t="s">
        <v>4535</v>
      </c>
      <c r="GF121" s="2106"/>
    </row>
    <row r="122" spans="173:188">
      <c r="FQ122" s="2245"/>
      <c r="FR122" s="2150"/>
      <c r="FS122" s="2150"/>
      <c r="FT122" s="2150"/>
      <c r="FU122" s="2150"/>
      <c r="FV122" s="2150"/>
      <c r="FW122" s="2150"/>
      <c r="FX122" s="2150"/>
      <c r="FY122" s="2150"/>
      <c r="FZ122" s="2150"/>
      <c r="GA122" s="2150"/>
      <c r="GB122" s="2150"/>
      <c r="GC122" s="2418" t="s">
        <v>4536</v>
      </c>
      <c r="GD122" s="2240"/>
      <c r="GE122" s="2137" t="s">
        <v>1606</v>
      </c>
      <c r="GF122" s="2138"/>
    </row>
    <row r="123" spans="173:188">
      <c r="FQ123" s="2245"/>
      <c r="FR123" s="2150"/>
      <c r="FS123" s="2150"/>
      <c r="FT123" s="2150"/>
      <c r="FU123" s="2150"/>
      <c r="FV123" s="2150"/>
      <c r="FW123" s="2150"/>
      <c r="FX123" s="2150"/>
      <c r="FY123" s="2150"/>
      <c r="FZ123" s="2150"/>
      <c r="GA123" s="2150"/>
      <c r="GB123" s="2150"/>
      <c r="GC123" s="2418" t="s">
        <v>4537</v>
      </c>
      <c r="GD123" s="2240"/>
      <c r="GE123" s="2137" t="s">
        <v>256</v>
      </c>
      <c r="GF123" s="2138"/>
    </row>
    <row r="124" spans="173:188">
      <c r="FQ124" s="2245"/>
      <c r="FR124" s="2150"/>
      <c r="FS124" s="2150"/>
      <c r="FT124" s="2150"/>
      <c r="FU124" s="2150"/>
      <c r="FV124" s="2150"/>
      <c r="FW124" s="2150"/>
      <c r="FX124" s="2150"/>
      <c r="FY124" s="2150"/>
      <c r="FZ124" s="2150"/>
      <c r="GA124" s="2150"/>
      <c r="GB124" s="2150"/>
      <c r="GC124" s="2418" t="s">
        <v>4538</v>
      </c>
      <c r="GD124" s="2240"/>
      <c r="GE124" s="2137" t="s">
        <v>2828</v>
      </c>
      <c r="GF124" s="2138"/>
    </row>
    <row r="125" spans="173:188">
      <c r="FQ125" s="2245"/>
      <c r="FR125" s="2150"/>
      <c r="FS125" s="2150"/>
      <c r="FT125" s="2150"/>
      <c r="FU125" s="2150"/>
      <c r="FV125" s="2150"/>
      <c r="FW125" s="2150"/>
      <c r="FX125" s="2150"/>
      <c r="FY125" s="2150"/>
      <c r="FZ125" s="2150"/>
      <c r="GA125" s="2150"/>
      <c r="GB125" s="2150"/>
      <c r="GC125" s="2418" t="s">
        <v>4539</v>
      </c>
      <c r="GD125" s="2240"/>
      <c r="GE125" s="2137" t="s">
        <v>273</v>
      </c>
      <c r="GF125" s="2138"/>
    </row>
    <row r="126" spans="173:188">
      <c r="FQ126" s="2245"/>
      <c r="FR126" s="2150"/>
      <c r="FS126" s="2150"/>
      <c r="FT126" s="2150"/>
      <c r="FU126" s="2150"/>
      <c r="FV126" s="2150"/>
      <c r="FW126" s="2150"/>
      <c r="FX126" s="2150"/>
      <c r="FY126" s="2150"/>
      <c r="FZ126" s="2150"/>
      <c r="GA126" s="2150"/>
      <c r="GB126" s="2150"/>
      <c r="GC126" s="2418" t="s">
        <v>4540</v>
      </c>
      <c r="GD126" s="2240"/>
      <c r="GE126" s="2137" t="s">
        <v>255</v>
      </c>
      <c r="GF126" s="2138"/>
    </row>
    <row r="127" spans="173:188">
      <c r="FQ127" s="2245"/>
      <c r="FR127" s="2150"/>
      <c r="FS127" s="2150"/>
      <c r="FT127" s="2150"/>
      <c r="FU127" s="2150"/>
      <c r="FV127" s="2150"/>
      <c r="FW127" s="2150"/>
      <c r="FX127" s="2150"/>
      <c r="FY127" s="2150"/>
      <c r="FZ127" s="2150"/>
      <c r="GA127" s="2150"/>
      <c r="GB127" s="2150"/>
      <c r="GC127" s="2418" t="s">
        <v>4541</v>
      </c>
      <c r="GD127" s="2240"/>
      <c r="GE127" s="2137" t="s">
        <v>1608</v>
      </c>
      <c r="GF127" s="2138"/>
    </row>
    <row r="128" spans="173:188">
      <c r="FQ128" s="2245"/>
      <c r="FR128" s="2150"/>
      <c r="FS128" s="2150"/>
      <c r="FT128" s="2150"/>
      <c r="FU128" s="2150"/>
      <c r="FV128" s="2150"/>
      <c r="FW128" s="2150"/>
      <c r="FX128" s="2150"/>
      <c r="FY128" s="2150"/>
      <c r="FZ128" s="2150"/>
      <c r="GA128" s="2150"/>
      <c r="GB128" s="2150"/>
      <c r="GC128" s="2418" t="s">
        <v>4542</v>
      </c>
      <c r="GD128" s="2240"/>
      <c r="GE128" s="2137" t="s">
        <v>1609</v>
      </c>
      <c r="GF128" s="2138"/>
    </row>
    <row r="129" spans="173:188">
      <c r="FQ129" s="2245"/>
      <c r="FR129" s="2150"/>
      <c r="FS129" s="2150"/>
      <c r="FT129" s="2150"/>
      <c r="FU129" s="2150"/>
      <c r="FV129" s="2150"/>
      <c r="FW129" s="2150"/>
      <c r="FX129" s="2150"/>
      <c r="FY129" s="2150"/>
      <c r="FZ129" s="2150"/>
      <c r="GA129" s="2150"/>
      <c r="GB129" s="2150"/>
      <c r="GC129" s="2418" t="s">
        <v>4543</v>
      </c>
      <c r="GD129" s="2240"/>
      <c r="GE129" s="2137" t="s">
        <v>1610</v>
      </c>
      <c r="GF129" s="2138"/>
    </row>
    <row r="130" spans="173:188">
      <c r="FQ130" s="2245"/>
      <c r="FR130" s="2150"/>
      <c r="FS130" s="2150"/>
      <c r="FT130" s="2150"/>
      <c r="FU130" s="2150"/>
      <c r="FV130" s="2150"/>
      <c r="FW130" s="2150"/>
      <c r="FX130" s="2150"/>
      <c r="FY130" s="2150"/>
      <c r="FZ130" s="2150"/>
      <c r="GA130" s="2150"/>
      <c r="GB130" s="2150"/>
      <c r="GC130" s="2418" t="s">
        <v>4544</v>
      </c>
      <c r="GD130" s="2240"/>
      <c r="GE130" s="2137" t="s">
        <v>943</v>
      </c>
      <c r="GF130" s="2138"/>
    </row>
    <row r="131" spans="173:188">
      <c r="FQ131" s="2245"/>
      <c r="FR131" s="2150"/>
      <c r="FS131" s="2150"/>
      <c r="FT131" s="2150"/>
      <c r="FU131" s="2150"/>
      <c r="FV131" s="2150"/>
      <c r="FW131" s="2150"/>
      <c r="FX131" s="2150"/>
      <c r="FY131" s="2150"/>
      <c r="FZ131" s="2150"/>
      <c r="GA131" s="2150"/>
      <c r="GB131" s="2150"/>
      <c r="GC131" s="2418" t="s">
        <v>4545</v>
      </c>
      <c r="GD131" s="2240"/>
      <c r="GE131" s="2137" t="s">
        <v>1611</v>
      </c>
      <c r="GF131" s="2138"/>
    </row>
    <row r="132" spans="173:188">
      <c r="FQ132" s="2245"/>
      <c r="FR132" s="2150"/>
      <c r="FS132" s="2150"/>
      <c r="FT132" s="2150"/>
      <c r="FU132" s="2150"/>
      <c r="FV132" s="2150"/>
      <c r="FW132" s="2150"/>
      <c r="FX132" s="2150"/>
      <c r="FY132" s="2150"/>
      <c r="FZ132" s="2150"/>
      <c r="GA132" s="2150"/>
      <c r="GB132" s="2150"/>
      <c r="GC132" s="2418" t="s">
        <v>4546</v>
      </c>
      <c r="GD132" s="2240"/>
      <c r="GE132" s="2137" t="s">
        <v>1612</v>
      </c>
      <c r="GF132" s="2138"/>
    </row>
    <row r="133" spans="173:188" ht="22.5" thickBot="1">
      <c r="FQ133" s="2396"/>
      <c r="FR133" s="2397"/>
      <c r="FS133" s="2397"/>
      <c r="FT133" s="2397"/>
      <c r="FU133" s="2397"/>
      <c r="FV133" s="2397"/>
      <c r="FW133" s="2397"/>
      <c r="FX133" s="2397"/>
      <c r="FY133" s="2397"/>
      <c r="FZ133" s="2397"/>
      <c r="GA133" s="2397"/>
      <c r="GB133" s="2397"/>
      <c r="GC133" s="2419" t="s">
        <v>4547</v>
      </c>
      <c r="GD133" s="2247"/>
      <c r="GE133" s="2192" t="s">
        <v>1613</v>
      </c>
      <c r="GF133" s="2193"/>
    </row>
    <row r="134" spans="173:188" ht="22.5" thickBot="1"/>
    <row r="135" spans="173:188" ht="31.5">
      <c r="FQ135" s="2420"/>
      <c r="FR135" s="2421"/>
      <c r="FS135" s="2421"/>
      <c r="FT135" s="2421"/>
      <c r="FU135" s="2421"/>
      <c r="FV135" s="2421"/>
      <c r="FW135" s="2421"/>
      <c r="FX135" s="2421"/>
      <c r="FY135" s="2421"/>
      <c r="FZ135" s="2421"/>
      <c r="GA135" s="2421"/>
      <c r="GB135" s="2421"/>
      <c r="GC135" s="2422" t="s">
        <v>4551</v>
      </c>
      <c r="GD135" s="2423"/>
      <c r="GE135" s="2234" t="s">
        <v>4549</v>
      </c>
      <c r="GF135" s="2235"/>
    </row>
    <row r="136" spans="173:188" ht="32.25" thickBot="1">
      <c r="FQ136" s="2424"/>
      <c r="FR136" s="2212"/>
      <c r="FS136" s="2212"/>
      <c r="FT136" s="2212"/>
      <c r="FU136" s="2212"/>
      <c r="FV136" s="2212"/>
      <c r="FW136" s="2212"/>
      <c r="FX136" s="2212"/>
      <c r="FY136" s="2212"/>
      <c r="FZ136" s="2212"/>
      <c r="GA136" s="2212"/>
      <c r="GB136" s="2212"/>
      <c r="GC136" s="2313" t="s">
        <v>4552</v>
      </c>
      <c r="GD136" s="2374"/>
      <c r="GE136" s="2214" t="s">
        <v>4550</v>
      </c>
      <c r="GF136" s="2215"/>
    </row>
    <row r="137" spans="173:188" ht="22.5" thickBot="1"/>
    <row r="138" spans="173:188" ht="32.25" thickBot="1">
      <c r="FQ138" s="2165"/>
      <c r="FR138" s="2166"/>
      <c r="FS138" s="2166"/>
      <c r="FT138" s="2166"/>
      <c r="FU138" s="2166"/>
      <c r="FV138" s="2318" t="s">
        <v>4451</v>
      </c>
      <c r="FW138" s="2319"/>
      <c r="FX138" s="2319"/>
      <c r="FY138" s="2319"/>
      <c r="FZ138" s="2319"/>
      <c r="GA138" s="2319"/>
      <c r="GB138" s="2319"/>
      <c r="GC138" s="2320" t="s">
        <v>4450</v>
      </c>
      <c r="GD138" s="2321"/>
      <c r="GE138" s="2322" t="s">
        <v>4553</v>
      </c>
      <c r="GF138" s="2323"/>
    </row>
    <row r="139" spans="173:188" ht="31.5">
      <c r="FQ139" s="2233"/>
      <c r="FR139" s="2234"/>
      <c r="FS139" s="2234"/>
      <c r="FT139" s="2234"/>
      <c r="FU139" s="2234"/>
      <c r="FV139" s="2328" t="s">
        <v>4555</v>
      </c>
      <c r="FW139" s="2329"/>
      <c r="FX139" s="2330"/>
      <c r="FY139" s="2330"/>
      <c r="FZ139" s="2330"/>
      <c r="GA139" s="2330"/>
      <c r="GB139" s="2330"/>
      <c r="GC139" s="2331" t="s">
        <v>4554</v>
      </c>
      <c r="GD139" s="2332"/>
      <c r="GE139" s="2232" t="s">
        <v>1293</v>
      </c>
      <c r="GF139" s="2333"/>
    </row>
    <row r="140" spans="173:188" ht="31.5">
      <c r="FQ140" s="2241"/>
      <c r="FR140" s="2177"/>
      <c r="FS140" s="2177"/>
      <c r="FT140" s="2177"/>
      <c r="FU140" s="2177"/>
      <c r="FV140" s="2336" t="s">
        <v>4557</v>
      </c>
      <c r="FW140" s="2337"/>
      <c r="FX140" s="2338"/>
      <c r="FY140" s="2338"/>
      <c r="FZ140" s="2338"/>
      <c r="GA140" s="2338"/>
      <c r="GB140" s="2338"/>
      <c r="GC140" s="2339" t="s">
        <v>4556</v>
      </c>
      <c r="GD140" s="2136"/>
      <c r="GE140" s="2137" t="s">
        <v>1292</v>
      </c>
      <c r="GF140" s="2138"/>
    </row>
    <row r="141" spans="173:188" ht="31.5">
      <c r="FQ141" s="2241"/>
      <c r="FR141" s="2177"/>
      <c r="FS141" s="2177"/>
      <c r="FT141" s="2177"/>
      <c r="FU141" s="2177"/>
      <c r="FV141" s="2336" t="s">
        <v>4559</v>
      </c>
      <c r="FW141" s="2337"/>
      <c r="FX141" s="2338"/>
      <c r="FY141" s="2338"/>
      <c r="FZ141" s="2338"/>
      <c r="GA141" s="2338"/>
      <c r="GB141" s="2338"/>
      <c r="GC141" s="2339" t="s">
        <v>4558</v>
      </c>
      <c r="GD141" s="2136"/>
      <c r="GE141" s="2137" t="s">
        <v>687</v>
      </c>
      <c r="GF141" s="2138"/>
    </row>
    <row r="142" spans="173:188" ht="31.5">
      <c r="FQ142" s="2241"/>
      <c r="FR142" s="2177"/>
      <c r="FS142" s="2177"/>
      <c r="FT142" s="2177"/>
      <c r="FU142" s="2177"/>
      <c r="FV142" s="2336" t="s">
        <v>4561</v>
      </c>
      <c r="FW142" s="2337"/>
      <c r="FX142" s="2338"/>
      <c r="FY142" s="2338"/>
      <c r="FZ142" s="2338"/>
      <c r="GA142" s="2338"/>
      <c r="GB142" s="2338"/>
      <c r="GC142" s="2339" t="s">
        <v>4560</v>
      </c>
      <c r="GD142" s="2136"/>
      <c r="GE142" s="2137" t="s">
        <v>1544</v>
      </c>
      <c r="GF142" s="2138"/>
    </row>
    <row r="143" spans="173:188" ht="31.5">
      <c r="FQ143" s="2241"/>
      <c r="FR143" s="2177"/>
      <c r="FS143" s="2177"/>
      <c r="FT143" s="2177"/>
      <c r="FU143" s="2177"/>
      <c r="FV143" s="2336" t="s">
        <v>4564</v>
      </c>
      <c r="FW143" s="2337"/>
      <c r="FX143" s="2338"/>
      <c r="FY143" s="2338"/>
      <c r="FZ143" s="2338"/>
      <c r="GA143" s="2338"/>
      <c r="GB143" s="2338"/>
      <c r="GC143" s="2339" t="s">
        <v>4562</v>
      </c>
      <c r="GD143" s="2136"/>
      <c r="GE143" s="2137" t="s">
        <v>1290</v>
      </c>
      <c r="GF143" s="2138"/>
    </row>
    <row r="144" spans="173:188" ht="32.25" thickBot="1">
      <c r="FQ144" s="2249"/>
      <c r="FR144" s="2214"/>
      <c r="FS144" s="2214"/>
      <c r="FT144" s="2214"/>
      <c r="FU144" s="2214"/>
      <c r="FV144" s="2346" t="s">
        <v>4565</v>
      </c>
      <c r="FW144" s="2347"/>
      <c r="FX144" s="2348"/>
      <c r="FY144" s="2348"/>
      <c r="FZ144" s="2348"/>
      <c r="GA144" s="2348"/>
      <c r="GB144" s="2348"/>
      <c r="GC144" s="2349" t="s">
        <v>4620</v>
      </c>
      <c r="GD144" s="2191"/>
      <c r="GE144" s="2192" t="s">
        <v>1291</v>
      </c>
      <c r="GF144" s="2193"/>
    </row>
    <row r="146" spans="173:188" ht="31.5">
      <c r="GE146" s="2425"/>
      <c r="GF146" s="89" t="s">
        <v>4566</v>
      </c>
    </row>
    <row r="147" spans="173:188" ht="22.5" thickBot="1">
      <c r="GF147" s="89" t="s">
        <v>4567</v>
      </c>
    </row>
    <row r="148" spans="173:188" ht="31.5">
      <c r="FQ148" s="2426"/>
      <c r="FR148" s="2427"/>
      <c r="FS148" s="2427"/>
      <c r="FT148" s="2427"/>
      <c r="FU148" s="2427"/>
      <c r="FV148" s="2427"/>
      <c r="FW148" s="2427"/>
      <c r="FX148" s="2427"/>
      <c r="FY148" s="2427"/>
      <c r="FZ148" s="2427"/>
      <c r="GA148" s="2427"/>
      <c r="GB148" s="2427"/>
      <c r="GC148" s="2428" t="s">
        <v>4568</v>
      </c>
      <c r="GD148" s="2232"/>
      <c r="GE148" s="2232" t="s">
        <v>1606</v>
      </c>
      <c r="GF148" s="2333"/>
    </row>
    <row r="149" spans="173:188" ht="31.5">
      <c r="FQ149" s="2404"/>
      <c r="FR149" s="2158"/>
      <c r="FS149" s="2158"/>
      <c r="FT149" s="2158"/>
      <c r="FU149" s="2158"/>
      <c r="FV149" s="2158"/>
      <c r="FW149" s="2158"/>
      <c r="FX149" s="2158"/>
      <c r="FY149" s="2158"/>
      <c r="FZ149" s="2158"/>
      <c r="GA149" s="2158"/>
      <c r="GB149" s="2158"/>
      <c r="GC149" s="2429" t="s">
        <v>4621</v>
      </c>
      <c r="GD149" s="2137"/>
      <c r="GE149" s="2137" t="s">
        <v>256</v>
      </c>
      <c r="GF149" s="2138"/>
    </row>
    <row r="150" spans="173:188" ht="31.5">
      <c r="FQ150" s="2404"/>
      <c r="FR150" s="2158"/>
      <c r="FS150" s="2158"/>
      <c r="FT150" s="2158"/>
      <c r="FU150" s="2158"/>
      <c r="FV150" s="2158"/>
      <c r="FW150" s="2158"/>
      <c r="FX150" s="2158"/>
      <c r="FY150" s="2158"/>
      <c r="FZ150" s="2158"/>
      <c r="GA150" s="2158"/>
      <c r="GB150" s="2158"/>
      <c r="GC150" s="2429" t="s">
        <v>4570</v>
      </c>
      <c r="GD150" s="2137"/>
      <c r="GE150" s="2137" t="s">
        <v>2828</v>
      </c>
      <c r="GF150" s="2138"/>
    </row>
    <row r="151" spans="173:188" ht="31.5">
      <c r="FQ151" s="2404"/>
      <c r="FR151" s="2158"/>
      <c r="FS151" s="2158"/>
      <c r="FT151" s="2158"/>
      <c r="FU151" s="2158"/>
      <c r="FV151" s="2158"/>
      <c r="FW151" s="2158"/>
      <c r="FX151" s="2158"/>
      <c r="FY151" s="2158"/>
      <c r="FZ151" s="2158"/>
      <c r="GA151" s="2158"/>
      <c r="GB151" s="2158"/>
      <c r="GC151" s="2429" t="s">
        <v>4571</v>
      </c>
      <c r="GD151" s="2137"/>
      <c r="GE151" s="2137" t="s">
        <v>273</v>
      </c>
      <c r="GF151" s="2138"/>
    </row>
    <row r="152" spans="173:188" ht="31.5">
      <c r="FQ152" s="2404"/>
      <c r="FR152" s="2158"/>
      <c r="FS152" s="2158"/>
      <c r="FT152" s="2158"/>
      <c r="FU152" s="2158"/>
      <c r="FV152" s="2158"/>
      <c r="FW152" s="2158"/>
      <c r="FX152" s="2158"/>
      <c r="FY152" s="2158"/>
      <c r="FZ152" s="2158"/>
      <c r="GA152" s="2158"/>
      <c r="GB152" s="2158"/>
      <c r="GC152" s="2429" t="s">
        <v>4572</v>
      </c>
      <c r="GD152" s="2137"/>
      <c r="GE152" s="2137" t="s">
        <v>255</v>
      </c>
      <c r="GF152" s="2138"/>
    </row>
    <row r="153" spans="173:188" ht="31.5">
      <c r="FQ153" s="2404"/>
      <c r="FR153" s="2158"/>
      <c r="FS153" s="2158"/>
      <c r="FT153" s="2158"/>
      <c r="FU153" s="2158"/>
      <c r="FV153" s="2158"/>
      <c r="FW153" s="2158"/>
      <c r="FX153" s="2158"/>
      <c r="FY153" s="2158"/>
      <c r="FZ153" s="2158"/>
      <c r="GA153" s="2158"/>
      <c r="GB153" s="2158"/>
      <c r="GC153" s="2429" t="s">
        <v>4622</v>
      </c>
      <c r="GD153" s="2137"/>
      <c r="GE153" s="2137" t="s">
        <v>1608</v>
      </c>
      <c r="GF153" s="2138"/>
    </row>
    <row r="154" spans="173:188" ht="31.5">
      <c r="FQ154" s="2404"/>
      <c r="FR154" s="2158"/>
      <c r="FS154" s="2158"/>
      <c r="FT154" s="2158"/>
      <c r="FU154" s="2158"/>
      <c r="FV154" s="2158"/>
      <c r="FW154" s="2158"/>
      <c r="FX154" s="2158"/>
      <c r="FY154" s="2158"/>
      <c r="FZ154" s="2158"/>
      <c r="GA154" s="2158"/>
      <c r="GB154" s="2158"/>
      <c r="GC154" s="2429" t="s">
        <v>4574</v>
      </c>
      <c r="GD154" s="2137"/>
      <c r="GE154" s="2137" t="s">
        <v>1609</v>
      </c>
      <c r="GF154" s="2138"/>
    </row>
    <row r="155" spans="173:188" ht="31.5">
      <c r="FQ155" s="2404"/>
      <c r="FR155" s="2158"/>
      <c r="FS155" s="2158"/>
      <c r="FT155" s="2158"/>
      <c r="FU155" s="2158"/>
      <c r="FV155" s="2158"/>
      <c r="FW155" s="2158"/>
      <c r="FX155" s="2158"/>
      <c r="FY155" s="2158"/>
      <c r="FZ155" s="2158"/>
      <c r="GA155" s="2158"/>
      <c r="GB155" s="2158"/>
      <c r="GC155" s="2429" t="s">
        <v>4623</v>
      </c>
      <c r="GD155" s="2137"/>
      <c r="GE155" s="2137" t="s">
        <v>1610</v>
      </c>
      <c r="GF155" s="2138"/>
    </row>
    <row r="156" spans="173:188" ht="31.5">
      <c r="FQ156" s="2404"/>
      <c r="FR156" s="2158"/>
      <c r="FS156" s="2158"/>
      <c r="FT156" s="2158"/>
      <c r="FU156" s="2158"/>
      <c r="FV156" s="2158"/>
      <c r="FW156" s="2158"/>
      <c r="FX156" s="2158"/>
      <c r="FY156" s="2158"/>
      <c r="FZ156" s="2158"/>
      <c r="GA156" s="2158"/>
      <c r="GB156" s="2158"/>
      <c r="GC156" s="2429" t="s">
        <v>4576</v>
      </c>
      <c r="GD156" s="2137"/>
      <c r="GE156" s="2137" t="s">
        <v>943</v>
      </c>
      <c r="GF156" s="2138"/>
    </row>
    <row r="157" spans="173:188" ht="31.5">
      <c r="FQ157" s="2404"/>
      <c r="FR157" s="2158"/>
      <c r="FS157" s="2158"/>
      <c r="FT157" s="2158"/>
      <c r="FU157" s="2158"/>
      <c r="FV157" s="2158"/>
      <c r="FW157" s="2158"/>
      <c r="FX157" s="2158"/>
      <c r="FY157" s="2158"/>
      <c r="FZ157" s="2158"/>
      <c r="GA157" s="2158"/>
      <c r="GB157" s="2158"/>
      <c r="GC157" s="2429" t="s">
        <v>4577</v>
      </c>
      <c r="GD157" s="2137"/>
      <c r="GE157" s="2137" t="s">
        <v>1611</v>
      </c>
      <c r="GF157" s="2138"/>
    </row>
    <row r="158" spans="173:188" ht="31.5">
      <c r="FQ158" s="2404"/>
      <c r="FR158" s="2158"/>
      <c r="FS158" s="2158"/>
      <c r="FT158" s="2158"/>
      <c r="FU158" s="2158"/>
      <c r="FV158" s="2158"/>
      <c r="FW158" s="2158"/>
      <c r="FX158" s="2158"/>
      <c r="FY158" s="2158"/>
      <c r="FZ158" s="2158"/>
      <c r="GA158" s="2158"/>
      <c r="GB158" s="2158"/>
      <c r="GC158" s="2429" t="s">
        <v>4624</v>
      </c>
      <c r="GD158" s="2137"/>
      <c r="GE158" s="2137" t="s">
        <v>1612</v>
      </c>
      <c r="GF158" s="2138"/>
    </row>
    <row r="159" spans="173:188" ht="32.25" thickBot="1">
      <c r="FQ159" s="2405"/>
      <c r="FR159" s="2400"/>
      <c r="FS159" s="2400"/>
      <c r="FT159" s="2400"/>
      <c r="FU159" s="2400"/>
      <c r="FV159" s="2400"/>
      <c r="FW159" s="2400"/>
      <c r="FX159" s="2400"/>
      <c r="FY159" s="2400"/>
      <c r="FZ159" s="2400"/>
      <c r="GA159" s="2400"/>
      <c r="GB159" s="2400"/>
      <c r="GC159" s="2430" t="s">
        <v>4579</v>
      </c>
      <c r="GD159" s="2192"/>
      <c r="GE159" s="2192" t="s">
        <v>1613</v>
      </c>
      <c r="GF159" s="2193"/>
    </row>
    <row r="161" spans="173:188" ht="22.5" thickBot="1">
      <c r="GF161" s="89" t="s">
        <v>4580</v>
      </c>
    </row>
    <row r="162" spans="173:188" ht="31.5">
      <c r="FQ162" s="2431"/>
      <c r="FR162" s="2432"/>
      <c r="FS162" s="2432"/>
      <c r="FT162" s="2432"/>
      <c r="FU162" s="2432"/>
      <c r="FV162" s="2432"/>
      <c r="FW162" s="2432"/>
      <c r="FX162" s="2432"/>
      <c r="FY162" s="2432"/>
      <c r="FZ162" s="2432"/>
      <c r="GA162" s="2432"/>
      <c r="GB162" s="2432"/>
      <c r="GC162" s="2433" t="s">
        <v>4581</v>
      </c>
      <c r="GD162" s="2232"/>
      <c r="GE162" s="2232" t="s">
        <v>1606</v>
      </c>
      <c r="GF162" s="2333"/>
    </row>
    <row r="163" spans="173:188" ht="31.5">
      <c r="FQ163" s="2411"/>
      <c r="FR163" s="2412"/>
      <c r="FS163" s="2412"/>
      <c r="FT163" s="2412"/>
      <c r="FU163" s="2412"/>
      <c r="FV163" s="2412"/>
      <c r="FW163" s="2412"/>
      <c r="FX163" s="2412"/>
      <c r="FY163" s="2412"/>
      <c r="FZ163" s="2412"/>
      <c r="GA163" s="2412"/>
      <c r="GB163" s="2412"/>
      <c r="GC163" s="2434" t="s">
        <v>4625</v>
      </c>
      <c r="GD163" s="2137"/>
      <c r="GE163" s="2137" t="s">
        <v>256</v>
      </c>
      <c r="GF163" s="2138"/>
    </row>
    <row r="164" spans="173:188" ht="31.5">
      <c r="FQ164" s="2411"/>
      <c r="FR164" s="2412"/>
      <c r="FS164" s="2412"/>
      <c r="FT164" s="2412"/>
      <c r="FU164" s="2412"/>
      <c r="FV164" s="2412"/>
      <c r="FW164" s="2412"/>
      <c r="FX164" s="2412"/>
      <c r="FY164" s="2412"/>
      <c r="FZ164" s="2412"/>
      <c r="GA164" s="2412"/>
      <c r="GB164" s="2412"/>
      <c r="GC164" s="2434" t="s">
        <v>4583</v>
      </c>
      <c r="GD164" s="2137"/>
      <c r="GE164" s="2137" t="s">
        <v>2828</v>
      </c>
      <c r="GF164" s="2138"/>
    </row>
    <row r="165" spans="173:188" ht="31.5">
      <c r="FQ165" s="2411"/>
      <c r="FR165" s="2412"/>
      <c r="FS165" s="2412"/>
      <c r="FT165" s="2412"/>
      <c r="FU165" s="2412"/>
      <c r="FV165" s="2412"/>
      <c r="FW165" s="2412"/>
      <c r="FX165" s="2412"/>
      <c r="FY165" s="2412"/>
      <c r="FZ165" s="2412"/>
      <c r="GA165" s="2412"/>
      <c r="GB165" s="2412"/>
      <c r="GC165" s="2434" t="s">
        <v>4584</v>
      </c>
      <c r="GD165" s="2137"/>
      <c r="GE165" s="2137" t="s">
        <v>273</v>
      </c>
      <c r="GF165" s="2138"/>
    </row>
    <row r="166" spans="173:188" ht="31.5">
      <c r="FQ166" s="2411"/>
      <c r="FR166" s="2412"/>
      <c r="FS166" s="2412"/>
      <c r="FT166" s="2412"/>
      <c r="FU166" s="2412"/>
      <c r="FV166" s="2412"/>
      <c r="FW166" s="2412"/>
      <c r="FX166" s="2412"/>
      <c r="FY166" s="2412"/>
      <c r="FZ166" s="2412"/>
      <c r="GA166" s="2412"/>
      <c r="GB166" s="2412"/>
      <c r="GC166" s="2434" t="s">
        <v>4585</v>
      </c>
      <c r="GD166" s="2137"/>
      <c r="GE166" s="2137" t="s">
        <v>255</v>
      </c>
      <c r="GF166" s="2138"/>
    </row>
    <row r="167" spans="173:188" ht="31.5">
      <c r="FQ167" s="2411"/>
      <c r="FR167" s="2412"/>
      <c r="FS167" s="2412"/>
      <c r="FT167" s="2412"/>
      <c r="FU167" s="2412"/>
      <c r="FV167" s="2412"/>
      <c r="FW167" s="2412"/>
      <c r="FX167" s="2412"/>
      <c r="FY167" s="2412"/>
      <c r="FZ167" s="2412"/>
      <c r="GA167" s="2412"/>
      <c r="GB167" s="2412"/>
      <c r="GC167" s="2434" t="s">
        <v>4626</v>
      </c>
      <c r="GD167" s="2137"/>
      <c r="GE167" s="2137" t="s">
        <v>1608</v>
      </c>
      <c r="GF167" s="2138"/>
    </row>
    <row r="168" spans="173:188" ht="31.5">
      <c r="FQ168" s="2411"/>
      <c r="FR168" s="2412"/>
      <c r="FS168" s="2412"/>
      <c r="FT168" s="2412"/>
      <c r="FU168" s="2412"/>
      <c r="FV168" s="2412"/>
      <c r="FW168" s="2412"/>
      <c r="FX168" s="2412"/>
      <c r="FY168" s="2412"/>
      <c r="FZ168" s="2412"/>
      <c r="GA168" s="2412"/>
      <c r="GB168" s="2412"/>
      <c r="GC168" s="2434" t="s">
        <v>4587</v>
      </c>
      <c r="GD168" s="2137"/>
      <c r="GE168" s="2137" t="s">
        <v>1609</v>
      </c>
      <c r="GF168" s="2138"/>
    </row>
    <row r="169" spans="173:188" ht="31.5">
      <c r="FQ169" s="2411"/>
      <c r="FR169" s="2412"/>
      <c r="FS169" s="2412"/>
      <c r="FT169" s="2412"/>
      <c r="FU169" s="2412"/>
      <c r="FV169" s="2412"/>
      <c r="FW169" s="2412"/>
      <c r="FX169" s="2412"/>
      <c r="FY169" s="2412"/>
      <c r="FZ169" s="2412"/>
      <c r="GA169" s="2412"/>
      <c r="GB169" s="2412"/>
      <c r="GC169" s="2434" t="s">
        <v>4588</v>
      </c>
      <c r="GD169" s="2137"/>
      <c r="GE169" s="2137" t="s">
        <v>1610</v>
      </c>
      <c r="GF169" s="2138"/>
    </row>
    <row r="170" spans="173:188" ht="31.5">
      <c r="FQ170" s="2411"/>
      <c r="FR170" s="2412"/>
      <c r="FS170" s="2412"/>
      <c r="FT170" s="2412"/>
      <c r="FU170" s="2412"/>
      <c r="FV170" s="2412"/>
      <c r="FW170" s="2412"/>
      <c r="FX170" s="2412"/>
      <c r="FY170" s="2412"/>
      <c r="FZ170" s="2412"/>
      <c r="GA170" s="2412"/>
      <c r="GB170" s="2412"/>
      <c r="GC170" s="2434" t="s">
        <v>4589</v>
      </c>
      <c r="GD170" s="2137"/>
      <c r="GE170" s="2137" t="s">
        <v>943</v>
      </c>
      <c r="GF170" s="2138"/>
    </row>
    <row r="171" spans="173:188" ht="31.5">
      <c r="FQ171" s="2411"/>
      <c r="FR171" s="2412"/>
      <c r="FS171" s="2412"/>
      <c r="FT171" s="2412"/>
      <c r="FU171" s="2412"/>
      <c r="FV171" s="2412"/>
      <c r="FW171" s="2412"/>
      <c r="FX171" s="2412"/>
      <c r="FY171" s="2412"/>
      <c r="FZ171" s="2412"/>
      <c r="GA171" s="2412"/>
      <c r="GB171" s="2412"/>
      <c r="GC171" s="2434" t="s">
        <v>4590</v>
      </c>
      <c r="GD171" s="2137"/>
      <c r="GE171" s="2137" t="s">
        <v>1611</v>
      </c>
      <c r="GF171" s="2138"/>
    </row>
    <row r="172" spans="173:188" ht="31.5">
      <c r="FQ172" s="2411"/>
      <c r="FR172" s="2412"/>
      <c r="FS172" s="2412"/>
      <c r="FT172" s="2412"/>
      <c r="FU172" s="2412"/>
      <c r="FV172" s="2412"/>
      <c r="FW172" s="2412"/>
      <c r="FX172" s="2412"/>
      <c r="FY172" s="2412"/>
      <c r="FZ172" s="2412"/>
      <c r="GA172" s="2412"/>
      <c r="GB172" s="2412"/>
      <c r="GC172" s="2434" t="s">
        <v>4627</v>
      </c>
      <c r="GD172" s="2137"/>
      <c r="GE172" s="2137" t="s">
        <v>1612</v>
      </c>
      <c r="GF172" s="2138"/>
    </row>
    <row r="173" spans="173:188" ht="32.25" thickBot="1">
      <c r="FQ173" s="2415"/>
      <c r="FR173" s="2416"/>
      <c r="FS173" s="2416"/>
      <c r="FT173" s="2416"/>
      <c r="FU173" s="2416"/>
      <c r="FV173" s="2416"/>
      <c r="FW173" s="2416"/>
      <c r="FX173" s="2416"/>
      <c r="FY173" s="2416"/>
      <c r="FZ173" s="2416"/>
      <c r="GA173" s="2416"/>
      <c r="GB173" s="2416"/>
      <c r="GC173" s="2435" t="s">
        <v>4592</v>
      </c>
      <c r="GD173" s="2192"/>
      <c r="GE173" s="2192" t="s">
        <v>1613</v>
      </c>
      <c r="GF173" s="219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ET328"/>
  <sheetViews>
    <sheetView rightToLeft="1" zoomScale="71" zoomScaleNormal="71" workbookViewId="0"/>
  </sheetViews>
  <sheetFormatPr defaultRowHeight="15"/>
  <sheetData>
    <row r="2" spans="1:150" ht="28.5">
      <c r="A2" s="328"/>
      <c r="B2" s="328"/>
      <c r="C2" s="328"/>
      <c r="D2" s="328"/>
      <c r="E2" s="372" t="s">
        <v>1756</v>
      </c>
      <c r="F2" s="373"/>
      <c r="G2" s="374"/>
      <c r="H2" s="374"/>
      <c r="I2" s="374"/>
      <c r="J2" s="340"/>
      <c r="K2" s="340"/>
      <c r="L2" s="327"/>
      <c r="M2" s="327"/>
      <c r="N2" s="327"/>
      <c r="O2" s="327"/>
      <c r="P2" s="327"/>
      <c r="Q2" s="327"/>
      <c r="R2" s="327"/>
      <c r="S2" s="327"/>
      <c r="T2" s="327"/>
      <c r="U2" s="327"/>
      <c r="V2" s="327"/>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327"/>
      <c r="AY2" s="327"/>
      <c r="AZ2" s="327"/>
      <c r="BA2" s="327"/>
      <c r="BB2" s="327"/>
      <c r="BC2" s="327"/>
      <c r="BD2" s="327"/>
      <c r="BE2" s="327"/>
      <c r="BF2" s="327"/>
      <c r="BG2" s="327"/>
      <c r="BH2" s="327"/>
      <c r="BI2" s="327"/>
      <c r="BJ2" s="327"/>
      <c r="BK2" s="327"/>
      <c r="BL2" s="327"/>
      <c r="BM2" s="327"/>
      <c r="BN2" s="327"/>
      <c r="BO2" s="327"/>
      <c r="BP2" s="327"/>
      <c r="BQ2" s="327"/>
      <c r="BR2" s="327"/>
      <c r="BS2" s="327"/>
      <c r="BT2" s="327"/>
      <c r="BU2" s="327"/>
      <c r="BV2" s="327"/>
      <c r="BW2" s="327"/>
      <c r="BX2" s="327"/>
      <c r="BY2" s="327"/>
      <c r="BZ2" s="327"/>
      <c r="CA2" s="327"/>
      <c r="CB2" s="327"/>
      <c r="CC2" s="327"/>
      <c r="CD2" s="327"/>
      <c r="CE2" s="327"/>
      <c r="CF2" s="327"/>
      <c r="CG2" s="327"/>
      <c r="CH2" s="327"/>
      <c r="CI2" s="327"/>
      <c r="CJ2" s="327"/>
      <c r="CK2" s="327"/>
      <c r="CL2" s="327"/>
      <c r="CM2" s="327"/>
      <c r="CN2" s="327"/>
      <c r="CO2" s="327"/>
      <c r="CP2" s="327"/>
      <c r="CQ2" s="327"/>
      <c r="CR2" s="327"/>
      <c r="CS2" s="327"/>
      <c r="CT2" s="327"/>
      <c r="CU2" s="327"/>
      <c r="CV2" s="327"/>
      <c r="CW2" s="327"/>
      <c r="CX2" s="327"/>
      <c r="CY2" s="327"/>
      <c r="CZ2" s="327"/>
      <c r="DA2" s="327"/>
      <c r="DB2" s="327"/>
      <c r="DC2" s="327"/>
      <c r="DD2" s="327"/>
      <c r="DE2" s="327"/>
      <c r="DF2" s="327"/>
      <c r="DG2" s="327"/>
      <c r="DH2" s="327"/>
      <c r="DI2" s="327"/>
      <c r="DJ2" s="327"/>
      <c r="DK2" s="327"/>
      <c r="DL2" s="327"/>
      <c r="DM2" s="327"/>
      <c r="DN2" s="327"/>
      <c r="DO2" s="327"/>
      <c r="DP2" s="327"/>
      <c r="DQ2" s="327"/>
      <c r="DR2" s="327"/>
      <c r="DS2" s="327"/>
      <c r="DT2" s="327"/>
      <c r="DU2" s="327"/>
      <c r="DV2" s="327"/>
      <c r="DW2" s="327"/>
      <c r="DX2" s="327"/>
      <c r="DY2" s="327"/>
      <c r="DZ2" s="327"/>
      <c r="EA2" s="327"/>
      <c r="EB2" s="327"/>
      <c r="EC2" s="327"/>
      <c r="ED2" s="327"/>
      <c r="EE2" s="327"/>
      <c r="EF2" s="327"/>
      <c r="EG2" s="327"/>
      <c r="EH2" s="327"/>
      <c r="EI2" s="327"/>
      <c r="EJ2" s="327"/>
      <c r="EK2" s="327"/>
      <c r="EL2" s="327"/>
      <c r="EM2" s="327"/>
      <c r="EN2" s="327"/>
      <c r="EO2" s="327"/>
      <c r="EP2" s="327"/>
      <c r="EQ2" s="327"/>
      <c r="ER2" s="327"/>
      <c r="ES2" s="327"/>
      <c r="ET2" s="327"/>
    </row>
    <row r="3" spans="1:150" ht="25.5">
      <c r="A3" s="327"/>
      <c r="B3" s="327"/>
      <c r="C3" s="327"/>
      <c r="D3" s="327"/>
      <c r="E3" s="376" t="s">
        <v>1757</v>
      </c>
      <c r="F3" s="339"/>
      <c r="G3" s="327"/>
      <c r="H3" s="327"/>
      <c r="I3" s="327"/>
      <c r="J3" s="327"/>
      <c r="K3" s="327"/>
      <c r="L3" s="327"/>
      <c r="M3" s="327"/>
      <c r="N3" s="327"/>
      <c r="O3" s="327"/>
      <c r="P3" s="327"/>
      <c r="Q3" s="327"/>
      <c r="R3" s="327"/>
      <c r="S3" s="327"/>
      <c r="T3" s="327"/>
      <c r="U3" s="327"/>
      <c r="V3" s="327"/>
      <c r="W3" s="327"/>
      <c r="X3" s="327"/>
      <c r="Y3" s="327"/>
      <c r="Z3" s="327"/>
      <c r="AA3" s="327"/>
      <c r="AB3" s="327"/>
      <c r="AC3" s="327" t="s">
        <v>1416</v>
      </c>
      <c r="AD3" s="327"/>
      <c r="AE3" s="327"/>
      <c r="AF3" s="327"/>
      <c r="AG3" s="327"/>
      <c r="AH3" s="327"/>
      <c r="AI3" s="327"/>
      <c r="AJ3" s="327"/>
      <c r="AK3" s="327"/>
      <c r="AL3" s="327"/>
      <c r="AM3" s="327"/>
      <c r="AN3" s="327"/>
      <c r="AO3" s="327"/>
      <c r="AP3" s="327"/>
      <c r="AQ3" s="327"/>
      <c r="AR3" s="327"/>
      <c r="AS3" s="327"/>
      <c r="AT3" s="327"/>
      <c r="AU3" s="327"/>
      <c r="AV3" s="327"/>
      <c r="AW3" s="327"/>
      <c r="AX3" s="327"/>
      <c r="AY3" s="327"/>
      <c r="AZ3" s="327"/>
      <c r="BA3" s="327"/>
      <c r="BB3" s="327"/>
      <c r="BC3" s="327"/>
      <c r="BD3" s="327"/>
      <c r="BE3" s="327"/>
      <c r="BF3" s="327"/>
      <c r="BG3" s="327"/>
      <c r="BH3" s="327"/>
      <c r="BI3" s="327"/>
      <c r="BJ3" s="327"/>
      <c r="BK3" s="327"/>
      <c r="BL3" s="327"/>
      <c r="BM3" s="327"/>
      <c r="BN3" s="327"/>
      <c r="BO3" s="327"/>
      <c r="BP3" s="327"/>
      <c r="BQ3" s="327"/>
      <c r="BR3" s="327"/>
      <c r="BS3" s="327"/>
      <c r="BT3" s="327"/>
      <c r="BU3" s="327"/>
      <c r="BV3" s="327"/>
      <c r="BW3" s="327"/>
      <c r="BX3" s="327"/>
      <c r="BY3" s="327"/>
      <c r="BZ3" s="327"/>
      <c r="CA3" s="327"/>
      <c r="CB3" s="327"/>
      <c r="CC3" s="327"/>
      <c r="CD3" s="327"/>
      <c r="CE3" s="327"/>
      <c r="CF3" s="327"/>
      <c r="CG3" s="327"/>
      <c r="CH3" s="327"/>
      <c r="CI3" s="327"/>
      <c r="CJ3" s="327"/>
      <c r="CK3" s="327"/>
      <c r="CL3" s="327"/>
      <c r="CM3" s="327"/>
      <c r="CN3" s="327"/>
      <c r="CO3" s="327"/>
      <c r="CP3" s="327"/>
      <c r="CQ3" s="327"/>
      <c r="CR3" s="327"/>
      <c r="CS3" s="327"/>
      <c r="CT3" s="327"/>
      <c r="CU3" s="327"/>
      <c r="CV3" s="327"/>
      <c r="CW3" s="327"/>
      <c r="CX3" s="327"/>
      <c r="CY3" s="327"/>
      <c r="CZ3" s="327"/>
      <c r="DA3" s="327"/>
      <c r="DB3" s="327"/>
      <c r="DC3" s="327"/>
      <c r="DD3" s="327"/>
      <c r="DE3" s="327"/>
      <c r="DF3" s="327"/>
      <c r="DG3" s="327"/>
      <c r="DH3" s="327"/>
      <c r="DI3" s="327"/>
      <c r="DJ3" s="327"/>
      <c r="DK3" s="327"/>
      <c r="DL3" s="327"/>
      <c r="DM3" s="327"/>
      <c r="DN3" s="327"/>
      <c r="DO3" s="327"/>
      <c r="DP3" s="327"/>
      <c r="DQ3" s="327"/>
      <c r="DR3" s="327"/>
      <c r="DS3" s="327"/>
      <c r="DT3" s="327"/>
      <c r="DU3" s="327"/>
      <c r="DV3" s="327"/>
      <c r="DW3" s="327"/>
      <c r="DX3" s="327"/>
      <c r="DY3" s="327"/>
      <c r="DZ3" s="327"/>
      <c r="EA3" s="327"/>
      <c r="EB3" s="327"/>
      <c r="EC3" s="327"/>
      <c r="ED3" s="327"/>
      <c r="EE3" s="327"/>
      <c r="EF3" s="327"/>
      <c r="EG3" s="327"/>
      <c r="EH3" s="327"/>
      <c r="EI3" s="327"/>
      <c r="EJ3" s="327"/>
      <c r="EK3" s="327"/>
      <c r="EL3" s="327"/>
      <c r="EM3" s="327"/>
      <c r="EN3" s="327"/>
      <c r="EO3" s="327"/>
      <c r="EP3" s="327"/>
      <c r="EQ3" s="327"/>
      <c r="ER3" s="327"/>
      <c r="ES3" s="327"/>
      <c r="ET3" s="327"/>
    </row>
    <row r="4" spans="1:150" ht="20.25">
      <c r="A4" s="327"/>
      <c r="B4" s="327"/>
      <c r="C4" s="327"/>
      <c r="D4" s="327"/>
      <c r="E4" s="327"/>
      <c r="F4" s="350" t="s">
        <v>1758</v>
      </c>
      <c r="G4" s="348"/>
      <c r="H4" s="348"/>
      <c r="I4" s="348"/>
      <c r="J4" s="348"/>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A4" s="327"/>
      <c r="BB4" s="327"/>
      <c r="BC4" s="327"/>
      <c r="BD4" s="327"/>
      <c r="BE4" s="327"/>
      <c r="BF4" s="327"/>
      <c r="BG4" s="327"/>
      <c r="BH4" s="327"/>
      <c r="BI4" s="327"/>
      <c r="BJ4" s="327"/>
      <c r="BK4" s="327"/>
      <c r="BL4" s="327"/>
      <c r="BM4" s="327"/>
      <c r="BN4" s="327"/>
      <c r="BO4" s="327"/>
      <c r="BP4" s="327"/>
      <c r="BQ4" s="327"/>
      <c r="BR4" s="327"/>
      <c r="BS4" s="327"/>
      <c r="BT4" s="327"/>
      <c r="BU4" s="327"/>
      <c r="BV4" s="327"/>
      <c r="DO4" s="327"/>
    </row>
    <row r="5" spans="1:150" ht="20.25">
      <c r="A5" s="327"/>
      <c r="B5" s="329"/>
      <c r="C5" s="359" t="s">
        <v>1761</v>
      </c>
      <c r="D5" s="360"/>
      <c r="E5" s="360"/>
      <c r="F5" s="360"/>
      <c r="G5" s="360"/>
      <c r="H5" s="360"/>
      <c r="I5" s="360"/>
      <c r="J5" s="360"/>
      <c r="K5" s="360"/>
      <c r="L5" s="360"/>
      <c r="M5" s="327"/>
      <c r="N5" s="327"/>
      <c r="O5" s="327"/>
      <c r="BV5" s="327"/>
      <c r="DO5" s="327"/>
    </row>
    <row r="6" spans="1:150">
      <c r="A6" s="327"/>
      <c r="B6" s="342">
        <v>1</v>
      </c>
      <c r="C6" s="355" t="s">
        <v>1770</v>
      </c>
      <c r="D6" s="353"/>
      <c r="E6" s="337"/>
      <c r="F6" s="337"/>
      <c r="G6" s="353"/>
      <c r="H6" s="337"/>
      <c r="I6" s="337"/>
      <c r="J6" s="337"/>
      <c r="K6" s="337"/>
      <c r="L6" s="337"/>
      <c r="M6" s="337"/>
      <c r="N6" s="337"/>
      <c r="O6" s="337"/>
      <c r="BV6" s="331"/>
      <c r="DO6" s="327"/>
    </row>
    <row r="7" spans="1:150">
      <c r="A7" s="327"/>
      <c r="B7" s="342">
        <v>2</v>
      </c>
      <c r="C7" s="356" t="s">
        <v>1779</v>
      </c>
      <c r="D7" s="337"/>
      <c r="E7" s="337"/>
      <c r="F7" s="354"/>
      <c r="G7" s="337"/>
      <c r="H7" s="337"/>
      <c r="I7" s="337"/>
      <c r="J7" s="337"/>
      <c r="K7" s="337"/>
      <c r="L7" s="337"/>
      <c r="M7" s="337"/>
      <c r="N7" s="337"/>
      <c r="O7" s="337"/>
      <c r="BV7" s="331"/>
      <c r="DO7" s="327"/>
    </row>
    <row r="8" spans="1:150">
      <c r="A8" s="327"/>
      <c r="B8" s="342">
        <v>3</v>
      </c>
      <c r="C8" s="357" t="s">
        <v>1788</v>
      </c>
      <c r="D8" s="358" t="s">
        <v>1789</v>
      </c>
      <c r="E8" s="357"/>
      <c r="F8" s="357"/>
      <c r="G8" s="357"/>
      <c r="H8" s="357"/>
      <c r="I8" s="357"/>
      <c r="J8" s="357"/>
      <c r="K8" s="357"/>
      <c r="L8" s="357"/>
      <c r="M8" s="357"/>
      <c r="N8" s="357"/>
      <c r="O8" s="357"/>
      <c r="BV8" s="331"/>
      <c r="DO8" s="327"/>
    </row>
    <row r="9" spans="1:150">
      <c r="A9" s="327"/>
      <c r="B9" s="342">
        <v>4</v>
      </c>
      <c r="C9" s="356" t="s">
        <v>1798</v>
      </c>
      <c r="D9" s="356" t="s">
        <v>1799</v>
      </c>
      <c r="E9" s="356"/>
      <c r="F9" s="356"/>
      <c r="G9" s="356"/>
      <c r="H9" s="356"/>
      <c r="I9" s="356"/>
      <c r="J9" s="356"/>
      <c r="K9" s="356"/>
      <c r="L9" s="356"/>
      <c r="M9" s="356"/>
      <c r="N9" s="356"/>
      <c r="O9" s="356"/>
      <c r="BV9" s="331"/>
      <c r="DO9" s="327"/>
    </row>
    <row r="10" spans="1:150">
      <c r="A10" s="327"/>
      <c r="B10" s="342">
        <v>5</v>
      </c>
      <c r="C10" s="357" t="s">
        <v>1807</v>
      </c>
      <c r="D10" s="357" t="s">
        <v>1808</v>
      </c>
      <c r="E10" s="357"/>
      <c r="F10" s="357"/>
      <c r="G10" s="357"/>
      <c r="H10" s="357"/>
      <c r="I10" s="357"/>
      <c r="J10" s="357"/>
      <c r="K10" s="357"/>
      <c r="L10" s="337"/>
      <c r="M10" s="337"/>
      <c r="N10" s="337"/>
      <c r="O10" s="337"/>
      <c r="BV10" s="331"/>
      <c r="DO10" s="327"/>
    </row>
    <row r="11" spans="1:150">
      <c r="A11" s="327"/>
      <c r="B11" s="327"/>
      <c r="C11" s="327"/>
      <c r="D11" s="327"/>
      <c r="E11" s="327"/>
      <c r="F11" s="327"/>
      <c r="G11" s="327"/>
      <c r="H11" s="327"/>
      <c r="I11" s="327"/>
      <c r="J11" s="327"/>
      <c r="K11" s="327"/>
      <c r="L11" s="327"/>
      <c r="M11" s="327"/>
      <c r="N11" s="327"/>
      <c r="O11" s="327"/>
      <c r="BV11" s="331"/>
      <c r="DO11" s="327"/>
    </row>
    <row r="12" spans="1:150" ht="20.25">
      <c r="A12" s="327"/>
      <c r="B12" s="327"/>
      <c r="C12" s="350" t="s">
        <v>1762</v>
      </c>
      <c r="D12" s="365"/>
      <c r="E12" s="348"/>
      <c r="F12" s="348"/>
      <c r="G12" s="348"/>
      <c r="H12" s="348"/>
      <c r="I12" s="348"/>
      <c r="J12" s="348"/>
      <c r="K12" s="348"/>
      <c r="L12" s="348"/>
      <c r="M12" s="327"/>
      <c r="N12" s="327"/>
      <c r="O12" s="327"/>
      <c r="BV12" s="331"/>
      <c r="DO12" s="327"/>
    </row>
    <row r="13" spans="1:150">
      <c r="A13" s="327"/>
      <c r="B13" s="342">
        <v>1</v>
      </c>
      <c r="C13" s="357" t="s">
        <v>1771</v>
      </c>
      <c r="D13" s="334"/>
      <c r="E13" s="334"/>
      <c r="F13" s="334"/>
      <c r="G13" s="334"/>
      <c r="H13" s="334"/>
      <c r="I13" s="334"/>
      <c r="J13" s="334"/>
      <c r="K13" s="334"/>
      <c r="L13" s="334"/>
      <c r="M13" s="334"/>
      <c r="N13" s="327"/>
      <c r="O13" s="327"/>
      <c r="BV13" s="331"/>
      <c r="DO13" s="327"/>
    </row>
    <row r="14" spans="1:150">
      <c r="A14" s="327"/>
      <c r="B14" s="342">
        <v>2</v>
      </c>
      <c r="C14" s="338" t="s">
        <v>1780</v>
      </c>
      <c r="D14" s="338"/>
      <c r="E14" s="334"/>
      <c r="F14" s="334"/>
      <c r="G14" s="334"/>
      <c r="H14" s="334"/>
      <c r="I14" s="334"/>
      <c r="J14" s="334"/>
      <c r="K14" s="334"/>
      <c r="L14" s="334"/>
      <c r="M14" s="334"/>
      <c r="N14" s="327"/>
      <c r="O14" s="327"/>
      <c r="BV14" s="331"/>
      <c r="DO14" s="327"/>
      <c r="DP14" s="327"/>
      <c r="DQ14" s="327"/>
      <c r="DR14" s="327"/>
      <c r="DS14" s="327"/>
      <c r="DT14" s="327"/>
      <c r="DU14" s="327"/>
      <c r="DV14" s="327"/>
      <c r="DW14" s="327"/>
      <c r="DX14" s="327"/>
      <c r="DY14" s="327"/>
      <c r="DZ14" s="327"/>
      <c r="EA14" s="327"/>
      <c r="EB14" s="327"/>
      <c r="EC14" s="327"/>
      <c r="ED14" s="327"/>
      <c r="EE14" s="327"/>
      <c r="EF14" s="327"/>
      <c r="EG14" s="327"/>
      <c r="EH14" s="327"/>
      <c r="EI14" s="327"/>
      <c r="EJ14" s="327"/>
      <c r="EK14" s="327"/>
      <c r="EL14" s="327"/>
      <c r="EM14" s="327"/>
      <c r="EN14" s="327"/>
      <c r="EO14" s="327"/>
      <c r="EP14" s="327"/>
      <c r="EQ14" s="327"/>
      <c r="ER14" s="327"/>
      <c r="ES14" s="327"/>
      <c r="ET14" s="327"/>
    </row>
    <row r="15" spans="1:150">
      <c r="A15" s="327"/>
      <c r="B15" s="342">
        <v>3</v>
      </c>
      <c r="C15" s="357" t="s">
        <v>1790</v>
      </c>
      <c r="D15" s="357"/>
      <c r="E15" s="357"/>
      <c r="F15" s="357"/>
      <c r="G15" s="357"/>
      <c r="H15" s="357"/>
      <c r="I15" s="334"/>
      <c r="J15" s="334"/>
      <c r="K15" s="334"/>
      <c r="L15" s="334"/>
      <c r="M15" s="334"/>
      <c r="N15" s="327"/>
      <c r="O15" s="327"/>
      <c r="BV15" s="331"/>
      <c r="DO15" s="327"/>
      <c r="DP15" s="327"/>
      <c r="DQ15" s="327"/>
      <c r="DR15" s="327"/>
      <c r="DS15" s="327"/>
      <c r="DT15" s="327"/>
      <c r="DU15" s="327"/>
      <c r="DV15" s="327"/>
      <c r="DW15" s="327"/>
      <c r="DX15" s="327"/>
      <c r="DY15" s="327"/>
      <c r="DZ15" s="327"/>
      <c r="EA15" s="327"/>
      <c r="EB15" s="327"/>
      <c r="EC15" s="327"/>
      <c r="ED15" s="327"/>
      <c r="EE15" s="327"/>
      <c r="EF15" s="327"/>
      <c r="EG15" s="327"/>
      <c r="EH15" s="327"/>
      <c r="EI15" s="327"/>
      <c r="EJ15" s="327"/>
      <c r="EK15" s="327"/>
      <c r="EL15" s="327"/>
      <c r="EM15" s="327"/>
      <c r="EN15" s="327"/>
      <c r="EO15" s="327"/>
      <c r="EP15" s="327"/>
      <c r="EQ15" s="327"/>
      <c r="ER15" s="327"/>
      <c r="ES15" s="327"/>
      <c r="ET15" s="327"/>
    </row>
    <row r="16" spans="1:150">
      <c r="A16" s="327"/>
      <c r="B16" s="342">
        <v>4</v>
      </c>
      <c r="C16" s="338" t="s">
        <v>1800</v>
      </c>
      <c r="D16" s="338"/>
      <c r="E16" s="338"/>
      <c r="F16" s="338"/>
      <c r="G16" s="338"/>
      <c r="H16" s="334"/>
      <c r="I16" s="334"/>
      <c r="J16" s="334"/>
      <c r="K16" s="334"/>
      <c r="L16" s="334"/>
      <c r="M16" s="334"/>
      <c r="N16" s="327"/>
      <c r="O16" s="327"/>
      <c r="BV16" s="331"/>
      <c r="DO16" s="327"/>
      <c r="DP16" s="327"/>
      <c r="DQ16" s="327"/>
      <c r="DR16" s="327"/>
      <c r="DS16" s="327"/>
      <c r="DT16" s="327"/>
      <c r="DU16" s="327"/>
      <c r="DV16" s="327"/>
      <c r="DW16" s="327"/>
      <c r="DX16" s="327"/>
      <c r="DY16" s="327"/>
      <c r="DZ16" s="327"/>
      <c r="EA16" s="327"/>
      <c r="EB16" s="327"/>
      <c r="EC16" s="327"/>
      <c r="ED16" s="327"/>
      <c r="EE16" s="327"/>
      <c r="EF16" s="327"/>
      <c r="EG16" s="327"/>
      <c r="EH16" s="327"/>
      <c r="EI16" s="327"/>
      <c r="EJ16" s="327"/>
      <c r="EK16" s="327"/>
      <c r="EL16" s="327"/>
      <c r="EM16" s="327"/>
      <c r="EN16" s="327"/>
      <c r="EO16" s="327"/>
      <c r="EP16" s="327"/>
      <c r="EQ16" s="327"/>
      <c r="ER16" s="327"/>
      <c r="ES16" s="327"/>
      <c r="ET16" s="327"/>
    </row>
    <row r="17" spans="1:139">
      <c r="A17" s="327"/>
      <c r="B17" s="342"/>
      <c r="C17" s="339">
        <v>1</v>
      </c>
      <c r="D17" s="357" t="s">
        <v>1809</v>
      </c>
      <c r="E17" s="357"/>
      <c r="F17" s="357"/>
      <c r="G17" s="357"/>
      <c r="H17" s="357"/>
      <c r="I17" s="357"/>
      <c r="J17" s="357"/>
      <c r="K17" s="357"/>
      <c r="L17" s="357"/>
      <c r="M17" s="357"/>
      <c r="N17" s="345"/>
      <c r="O17" s="327"/>
      <c r="P17" s="327"/>
      <c r="Q17" s="327"/>
      <c r="R17" s="327"/>
      <c r="S17" s="327"/>
      <c r="T17" s="327"/>
      <c r="U17" s="327"/>
      <c r="V17" s="327"/>
      <c r="W17" s="327"/>
      <c r="X17" s="327"/>
      <c r="Y17" s="327"/>
      <c r="Z17" s="327"/>
      <c r="AA17" s="327"/>
      <c r="AB17" s="327"/>
      <c r="BV17" s="331"/>
      <c r="DO17" s="327"/>
      <c r="DP17" s="327"/>
      <c r="DQ17" s="327"/>
      <c r="DR17" s="327"/>
      <c r="DS17" s="327"/>
      <c r="DT17" s="327"/>
      <c r="DU17" s="327"/>
      <c r="DV17" s="327"/>
      <c r="DW17" s="327"/>
      <c r="DX17" s="327"/>
      <c r="DY17" s="327"/>
      <c r="DZ17" s="327"/>
      <c r="EA17" s="327"/>
      <c r="EB17" s="327"/>
      <c r="EC17" s="327"/>
      <c r="ED17" s="327"/>
      <c r="EE17" s="327"/>
      <c r="EF17" s="327"/>
      <c r="EG17" s="327"/>
      <c r="EH17" s="327"/>
      <c r="EI17" s="327"/>
    </row>
    <row r="18" spans="1:139">
      <c r="A18" s="327"/>
      <c r="B18" s="342"/>
      <c r="C18" s="339">
        <v>2</v>
      </c>
      <c r="D18" s="338" t="s">
        <v>1816</v>
      </c>
      <c r="E18" s="338"/>
      <c r="F18" s="338"/>
      <c r="G18" s="338"/>
      <c r="H18" s="338"/>
      <c r="I18" s="338"/>
      <c r="J18" s="338"/>
      <c r="K18" s="338"/>
      <c r="L18" s="338"/>
      <c r="M18" s="338"/>
      <c r="N18" s="340"/>
      <c r="O18" s="327"/>
      <c r="P18" s="327"/>
      <c r="Q18" s="327"/>
      <c r="R18" s="327"/>
      <c r="S18" s="327"/>
      <c r="T18" s="327"/>
      <c r="U18" s="327"/>
      <c r="V18" s="327"/>
      <c r="W18" s="327"/>
      <c r="X18" s="327"/>
      <c r="Y18" s="327"/>
      <c r="Z18" s="327"/>
      <c r="AA18" s="327"/>
      <c r="AB18" s="327"/>
      <c r="BV18" s="331"/>
      <c r="DO18" s="327"/>
      <c r="DP18" s="327"/>
      <c r="DQ18" s="327"/>
      <c r="DR18" s="327"/>
      <c r="DS18" s="327"/>
      <c r="DT18" s="327"/>
      <c r="DU18" s="327"/>
      <c r="DV18" s="327"/>
      <c r="DW18" s="327"/>
      <c r="DX18" s="327"/>
      <c r="DY18" s="327"/>
      <c r="DZ18" s="327"/>
      <c r="EA18" s="327"/>
      <c r="EB18" s="327"/>
      <c r="EC18" s="327"/>
      <c r="ED18" s="327"/>
      <c r="EE18" s="327"/>
      <c r="EF18" s="327"/>
      <c r="EG18" s="327"/>
      <c r="EH18" s="327"/>
      <c r="EI18" s="327"/>
    </row>
    <row r="19" spans="1:139">
      <c r="A19" s="327"/>
      <c r="B19" s="342"/>
      <c r="C19" s="339">
        <v>3</v>
      </c>
      <c r="D19" s="357" t="s">
        <v>1821</v>
      </c>
      <c r="E19" s="357"/>
      <c r="F19" s="357"/>
      <c r="G19" s="357"/>
      <c r="H19" s="357"/>
      <c r="I19" s="357"/>
      <c r="J19" s="357"/>
      <c r="K19" s="357"/>
      <c r="L19" s="357"/>
      <c r="M19" s="357"/>
      <c r="N19" s="327"/>
      <c r="O19" s="327"/>
      <c r="P19" s="327"/>
      <c r="Q19" s="327"/>
      <c r="R19" s="327"/>
      <c r="S19" s="327"/>
      <c r="T19" s="327"/>
      <c r="U19" s="327"/>
      <c r="V19" s="327"/>
      <c r="W19" s="327"/>
      <c r="X19" s="327"/>
      <c r="Y19" s="327"/>
      <c r="Z19" s="327"/>
      <c r="AA19" s="327"/>
      <c r="AB19" s="327"/>
      <c r="BV19" s="331"/>
      <c r="DO19" s="327"/>
      <c r="DP19" s="327"/>
      <c r="DQ19" s="327"/>
      <c r="DR19" s="327"/>
      <c r="DS19" s="327"/>
      <c r="DT19" s="327"/>
      <c r="DU19" s="327"/>
      <c r="DV19" s="327"/>
      <c r="DW19" s="327"/>
      <c r="DX19" s="327"/>
      <c r="DY19" s="327"/>
      <c r="DZ19" s="327"/>
      <c r="EA19" s="327"/>
      <c r="EB19" s="327"/>
      <c r="EC19" s="327"/>
      <c r="ED19" s="327"/>
      <c r="EE19" s="327"/>
      <c r="EF19" s="327"/>
      <c r="EG19" s="327"/>
      <c r="EH19" s="327"/>
      <c r="EI19" s="327"/>
    </row>
    <row r="20" spans="1:139">
      <c r="A20" s="327"/>
      <c r="B20" s="342"/>
      <c r="C20" s="339">
        <v>4</v>
      </c>
      <c r="D20" s="338" t="s">
        <v>1827</v>
      </c>
      <c r="E20" s="338"/>
      <c r="F20" s="338"/>
      <c r="G20" s="338"/>
      <c r="H20" s="338"/>
      <c r="I20" s="338"/>
      <c r="J20" s="338"/>
      <c r="K20" s="338"/>
      <c r="L20" s="334"/>
      <c r="M20" s="334"/>
      <c r="N20" s="327"/>
      <c r="O20" s="327"/>
      <c r="P20" s="327"/>
      <c r="Q20" s="327"/>
      <c r="R20" s="327"/>
      <c r="S20" s="327"/>
      <c r="T20" s="327"/>
      <c r="U20" s="327"/>
      <c r="V20" s="327"/>
      <c r="W20" s="327"/>
      <c r="X20" s="327"/>
      <c r="Y20" s="327"/>
      <c r="Z20" s="327"/>
      <c r="AA20" s="327"/>
      <c r="AB20" s="327"/>
      <c r="BV20" s="331"/>
      <c r="DO20" s="327"/>
      <c r="DP20" s="327"/>
      <c r="DQ20" s="327"/>
      <c r="DR20" s="327"/>
      <c r="DS20" s="327"/>
      <c r="DT20" s="327"/>
      <c r="DU20" s="327"/>
      <c r="DV20" s="327"/>
      <c r="DW20" s="327"/>
      <c r="DX20" s="327"/>
      <c r="DY20" s="327"/>
      <c r="DZ20" s="327"/>
      <c r="EA20" s="327"/>
      <c r="EB20" s="327"/>
      <c r="EC20" s="327"/>
      <c r="ED20" s="327"/>
      <c r="EE20" s="327"/>
      <c r="EF20" s="327"/>
      <c r="EG20" s="327"/>
      <c r="EH20" s="327"/>
      <c r="EI20" s="327"/>
    </row>
    <row r="21" spans="1:139">
      <c r="A21" s="327"/>
      <c r="B21" s="342">
        <v>5</v>
      </c>
      <c r="C21" s="357" t="s">
        <v>1832</v>
      </c>
      <c r="D21" s="357" t="s">
        <v>1833</v>
      </c>
      <c r="E21" s="357"/>
      <c r="F21" s="357"/>
      <c r="G21" s="357"/>
      <c r="H21" s="357"/>
      <c r="I21" s="357"/>
      <c r="J21" s="357"/>
      <c r="K21" s="357"/>
      <c r="L21" s="357"/>
      <c r="M21" s="357"/>
      <c r="N21" s="345"/>
      <c r="O21" s="327"/>
      <c r="P21" s="327"/>
      <c r="Q21" s="327"/>
      <c r="R21" s="327"/>
      <c r="S21" s="327"/>
      <c r="T21" s="327"/>
      <c r="U21" s="327"/>
      <c r="V21" s="327"/>
      <c r="W21" s="327"/>
      <c r="X21" s="327"/>
      <c r="Y21" s="327"/>
      <c r="Z21" s="327"/>
      <c r="AA21" s="327"/>
      <c r="AB21" s="327"/>
      <c r="BV21" s="331"/>
      <c r="DO21" s="327"/>
      <c r="DP21" s="327"/>
      <c r="DQ21" s="327"/>
      <c r="DR21" s="327"/>
      <c r="DS21" s="327"/>
      <c r="DT21" s="327"/>
      <c r="DU21" s="327"/>
      <c r="DV21" s="327"/>
      <c r="DW21" s="327"/>
      <c r="DX21" s="327"/>
      <c r="DY21" s="327"/>
      <c r="DZ21" s="327"/>
      <c r="EA21" s="327"/>
      <c r="EB21" s="327"/>
      <c r="EC21" s="327"/>
      <c r="ED21" s="327"/>
      <c r="EE21" s="327"/>
      <c r="EF21" s="327"/>
      <c r="EG21" s="327"/>
      <c r="EH21" s="327"/>
      <c r="EI21" s="327"/>
    </row>
    <row r="22" spans="1:139">
      <c r="A22" s="327"/>
      <c r="B22" s="342">
        <v>6</v>
      </c>
      <c r="C22" s="338" t="s">
        <v>1837</v>
      </c>
      <c r="D22" s="338" t="s">
        <v>1838</v>
      </c>
      <c r="E22" s="338"/>
      <c r="F22" s="338"/>
      <c r="G22" s="338"/>
      <c r="H22" s="338"/>
      <c r="I22" s="338"/>
      <c r="J22" s="338"/>
      <c r="K22" s="338"/>
      <c r="L22" s="338"/>
      <c r="M22" s="338"/>
      <c r="N22" s="340"/>
      <c r="O22" s="327"/>
      <c r="P22" s="327"/>
      <c r="Q22" s="327"/>
      <c r="R22" s="327"/>
      <c r="S22" s="327"/>
      <c r="T22" s="327"/>
      <c r="U22" s="327"/>
      <c r="V22" s="327"/>
      <c r="W22" s="327"/>
      <c r="X22" s="327"/>
      <c r="Y22" s="327"/>
      <c r="Z22" s="327"/>
      <c r="AA22" s="327"/>
      <c r="AB22" s="327"/>
      <c r="BV22" s="331"/>
      <c r="DO22" s="327"/>
      <c r="DP22" s="327"/>
      <c r="DQ22" s="327"/>
      <c r="DR22" s="327"/>
      <c r="DS22" s="327"/>
      <c r="DT22" s="327"/>
      <c r="DU22" s="327"/>
      <c r="DV22" s="327"/>
      <c r="DW22" s="327"/>
      <c r="DX22" s="327"/>
      <c r="DY22" s="327"/>
      <c r="DZ22" s="327"/>
      <c r="EA22" s="327"/>
      <c r="EB22" s="327"/>
      <c r="EC22" s="327"/>
      <c r="ED22" s="327"/>
      <c r="EE22" s="327"/>
      <c r="EF22" s="327"/>
      <c r="EG22" s="327"/>
      <c r="EH22" s="327"/>
      <c r="EI22" s="327"/>
    </row>
    <row r="23" spans="1:139">
      <c r="A23" s="327"/>
      <c r="B23" s="342">
        <v>7</v>
      </c>
      <c r="C23" s="357" t="s">
        <v>1843</v>
      </c>
      <c r="D23" s="357"/>
      <c r="E23" s="357"/>
      <c r="F23" s="357"/>
      <c r="G23" s="357"/>
      <c r="H23" s="357"/>
      <c r="I23" s="357"/>
      <c r="J23" s="357"/>
      <c r="K23" s="357"/>
      <c r="L23" s="334"/>
      <c r="M23" s="334"/>
      <c r="N23" s="327"/>
      <c r="O23" s="327"/>
      <c r="P23" s="327"/>
      <c r="Q23" s="327"/>
      <c r="R23" s="327"/>
      <c r="S23" s="327"/>
      <c r="T23" s="327"/>
      <c r="U23" s="327"/>
      <c r="V23" s="327"/>
      <c r="W23" s="327"/>
      <c r="X23" s="327"/>
      <c r="Y23" s="327"/>
      <c r="Z23" s="327"/>
      <c r="AA23" s="327"/>
      <c r="AB23" s="327"/>
      <c r="BV23" s="331"/>
      <c r="DO23" s="327"/>
      <c r="DP23" s="327"/>
      <c r="DQ23" s="327"/>
      <c r="DR23" s="327"/>
      <c r="DS23" s="327"/>
      <c r="DT23" s="327"/>
      <c r="DU23" s="327"/>
      <c r="DV23" s="327"/>
      <c r="DW23" s="327"/>
      <c r="DX23" s="327"/>
      <c r="DY23" s="327"/>
      <c r="DZ23" s="327"/>
      <c r="EA23" s="327"/>
      <c r="EB23" s="327"/>
      <c r="EC23" s="327"/>
      <c r="ED23" s="327"/>
      <c r="EE23" s="327"/>
      <c r="EF23" s="327"/>
      <c r="EG23" s="327"/>
      <c r="EH23" s="327"/>
      <c r="EI23" s="327"/>
    </row>
    <row r="24" spans="1:139">
      <c r="A24" s="327"/>
      <c r="B24" s="327"/>
      <c r="C24" s="327"/>
      <c r="D24" s="327"/>
      <c r="E24" s="327"/>
      <c r="F24" s="327"/>
      <c r="G24" s="327"/>
      <c r="H24" s="327"/>
      <c r="I24" s="327"/>
      <c r="J24" s="327"/>
      <c r="K24" s="327"/>
      <c r="L24" s="327"/>
      <c r="M24" s="327"/>
      <c r="N24" s="327"/>
      <c r="O24" s="327"/>
      <c r="P24" s="327"/>
      <c r="Q24" s="327"/>
      <c r="R24" s="327"/>
      <c r="S24" s="327"/>
      <c r="T24" s="327"/>
      <c r="U24" s="327"/>
      <c r="V24" s="327"/>
      <c r="W24" s="327"/>
      <c r="X24" s="327"/>
      <c r="Y24" s="327"/>
      <c r="Z24" s="327"/>
      <c r="AA24" s="327"/>
      <c r="AB24" s="327"/>
      <c r="BV24" s="331"/>
      <c r="DO24" s="327"/>
      <c r="DP24" s="327"/>
      <c r="DQ24" s="327"/>
      <c r="DR24" s="327"/>
      <c r="DS24" s="327"/>
      <c r="DT24" s="327"/>
      <c r="DU24" s="327"/>
      <c r="DV24" s="327"/>
      <c r="DW24" s="327"/>
      <c r="DX24" s="327"/>
      <c r="DY24" s="327"/>
      <c r="DZ24" s="327"/>
      <c r="EA24" s="327"/>
      <c r="EB24" s="327"/>
      <c r="EC24" s="327"/>
      <c r="ED24" s="327"/>
      <c r="EE24" s="327"/>
      <c r="EF24" s="327"/>
      <c r="EG24" s="327"/>
      <c r="EH24" s="327"/>
      <c r="EI24" s="327"/>
    </row>
    <row r="25" spans="1:139" ht="20.25">
      <c r="A25" s="327"/>
      <c r="B25" s="330"/>
      <c r="C25" s="351" t="s">
        <v>1763</v>
      </c>
      <c r="D25" s="352"/>
      <c r="E25" s="352"/>
      <c r="F25" s="352"/>
      <c r="G25" s="352"/>
      <c r="H25" s="352"/>
      <c r="I25" s="352"/>
      <c r="J25" s="352"/>
      <c r="K25" s="352"/>
      <c r="L25" s="352"/>
      <c r="M25" s="327"/>
      <c r="N25" s="327"/>
      <c r="O25" s="327"/>
      <c r="P25" s="327"/>
      <c r="Q25" s="327"/>
      <c r="R25" s="327"/>
      <c r="S25" s="327"/>
      <c r="T25" s="327"/>
      <c r="U25" s="327"/>
      <c r="V25" s="327"/>
      <c r="W25" s="327"/>
      <c r="X25" s="327"/>
      <c r="Y25" s="327"/>
      <c r="Z25" s="327"/>
      <c r="AA25" s="327"/>
      <c r="AB25" s="327"/>
      <c r="AC25" s="327"/>
      <c r="AD25" s="327"/>
      <c r="AE25" s="327"/>
      <c r="AF25" s="327"/>
      <c r="AG25" s="327"/>
      <c r="AH25" s="327"/>
      <c r="AI25" s="327"/>
      <c r="AJ25" s="327"/>
      <c r="AK25" s="327"/>
      <c r="AL25" s="327"/>
      <c r="AM25" s="327"/>
      <c r="AN25" s="327"/>
      <c r="AO25" s="327"/>
      <c r="AP25" s="327"/>
      <c r="AQ25" s="327"/>
      <c r="AR25" s="327"/>
      <c r="AS25" s="327"/>
      <c r="AT25" s="327"/>
      <c r="BV25" s="327"/>
      <c r="DO25" s="327"/>
      <c r="DP25" s="327"/>
      <c r="DQ25" s="327"/>
      <c r="DR25" s="327"/>
      <c r="DS25" s="327"/>
      <c r="DT25" s="327"/>
      <c r="DU25" s="327"/>
      <c r="DV25" s="327"/>
      <c r="DW25" s="327"/>
      <c r="DX25" s="327"/>
      <c r="DY25" s="327"/>
      <c r="DZ25" s="327"/>
      <c r="EA25" s="327"/>
      <c r="EB25" s="327"/>
      <c r="EC25" s="327"/>
      <c r="ED25" s="327"/>
      <c r="EE25" s="327"/>
      <c r="EF25" s="327"/>
      <c r="EG25" s="327"/>
      <c r="EH25" s="327"/>
      <c r="EI25" s="327"/>
    </row>
    <row r="26" spans="1:139">
      <c r="A26" s="327"/>
      <c r="B26" s="342">
        <v>1</v>
      </c>
      <c r="C26" s="339" t="s">
        <v>1772</v>
      </c>
      <c r="D26" s="339"/>
      <c r="E26" s="339"/>
      <c r="F26" s="334"/>
      <c r="G26" s="334"/>
      <c r="H26" s="334"/>
      <c r="I26" s="334"/>
      <c r="J26" s="334"/>
      <c r="K26" s="334"/>
      <c r="L26" s="334"/>
      <c r="M26" s="334"/>
      <c r="N26" s="334"/>
      <c r="O26" s="334"/>
      <c r="P26" s="334"/>
      <c r="Q26" s="334"/>
      <c r="R26" s="334"/>
      <c r="S26" s="334"/>
      <c r="T26" s="334"/>
      <c r="U26" s="334"/>
      <c r="V26" s="334"/>
      <c r="W26" s="334"/>
      <c r="X26" s="334"/>
      <c r="Y26" s="334"/>
      <c r="Z26" s="334"/>
      <c r="AA26" s="334"/>
      <c r="AB26" s="334"/>
      <c r="AC26" s="334"/>
      <c r="AD26" s="334"/>
      <c r="AE26" s="334"/>
      <c r="AF26" s="334"/>
      <c r="AG26" s="334"/>
      <c r="AH26" s="334"/>
      <c r="AI26" s="334"/>
      <c r="AJ26" s="334"/>
      <c r="AK26" s="334"/>
      <c r="AL26" s="334"/>
      <c r="AM26" s="334"/>
      <c r="AN26" s="334"/>
      <c r="AO26" s="334"/>
      <c r="AP26" s="334"/>
      <c r="AQ26" s="334"/>
      <c r="AR26" s="334"/>
      <c r="AS26" s="334"/>
      <c r="AT26" s="334"/>
      <c r="BV26" s="327"/>
      <c r="BW26" s="327"/>
      <c r="BX26" s="327"/>
      <c r="BY26" s="327"/>
      <c r="BZ26" s="327"/>
      <c r="CA26" s="327"/>
      <c r="CB26" s="327"/>
      <c r="CC26" s="327"/>
      <c r="CD26" s="327"/>
      <c r="CE26" s="327"/>
      <c r="CF26" s="327"/>
      <c r="CG26" s="327"/>
      <c r="CH26" s="327"/>
      <c r="CI26" s="327"/>
      <c r="CJ26" s="327"/>
      <c r="CK26" s="327"/>
      <c r="CL26" s="327"/>
      <c r="CM26" s="327"/>
      <c r="CN26" s="327"/>
      <c r="CO26" s="327"/>
      <c r="CP26" s="327"/>
      <c r="CQ26" s="327"/>
      <c r="CR26" s="327"/>
      <c r="CS26" s="327"/>
      <c r="CT26" s="327"/>
      <c r="CU26" s="327"/>
      <c r="CV26" s="327"/>
      <c r="CW26" s="327"/>
      <c r="CX26" s="327"/>
      <c r="CY26" s="327"/>
      <c r="CZ26" s="327"/>
      <c r="DA26" s="327"/>
      <c r="DB26" s="327"/>
      <c r="DC26" s="327"/>
      <c r="DD26" s="327"/>
      <c r="DE26" s="327"/>
      <c r="DF26" s="327"/>
      <c r="DG26" s="327"/>
      <c r="DH26" s="327"/>
      <c r="DI26" s="327"/>
      <c r="DJ26" s="327"/>
      <c r="DK26" s="327"/>
      <c r="DL26" s="327"/>
      <c r="DM26" s="327"/>
      <c r="DN26" s="327"/>
      <c r="DO26" s="327"/>
      <c r="DP26" s="327"/>
      <c r="DQ26" s="327"/>
      <c r="DR26" s="327"/>
      <c r="DS26" s="327"/>
      <c r="DT26" s="327"/>
      <c r="DU26" s="327"/>
      <c r="DV26" s="327"/>
      <c r="DW26" s="327"/>
      <c r="DX26" s="327"/>
      <c r="DY26" s="327"/>
      <c r="DZ26" s="327"/>
      <c r="EA26" s="327"/>
      <c r="EB26" s="327"/>
      <c r="EC26" s="327"/>
      <c r="ED26" s="327"/>
      <c r="EE26" s="327"/>
      <c r="EF26" s="327"/>
      <c r="EG26" s="327"/>
      <c r="EH26" s="327"/>
      <c r="EI26" s="327"/>
    </row>
    <row r="27" spans="1:139">
      <c r="A27" s="327"/>
      <c r="B27" s="342">
        <v>2</v>
      </c>
      <c r="C27" s="338" t="s">
        <v>1781</v>
      </c>
      <c r="D27" s="338"/>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c r="AD27" s="334"/>
      <c r="AE27" s="334"/>
      <c r="AF27" s="334"/>
      <c r="AG27" s="334"/>
      <c r="AH27" s="334"/>
      <c r="AI27" s="334"/>
      <c r="AJ27" s="334"/>
      <c r="AK27" s="334"/>
      <c r="AL27" s="334"/>
      <c r="AM27" s="334"/>
      <c r="AN27" s="334"/>
      <c r="AO27" s="334"/>
      <c r="AP27" s="334"/>
      <c r="AQ27" s="334"/>
      <c r="AR27" s="334"/>
      <c r="AS27" s="334"/>
      <c r="AT27" s="334"/>
      <c r="BV27" s="327"/>
      <c r="BW27" s="327"/>
      <c r="BX27" s="327"/>
      <c r="BY27" s="327"/>
      <c r="BZ27" s="327"/>
      <c r="CA27" s="327"/>
      <c r="CB27" s="327"/>
      <c r="CC27" s="327"/>
      <c r="CD27" s="327"/>
      <c r="CE27" s="327"/>
      <c r="CF27" s="327"/>
      <c r="CG27" s="327"/>
      <c r="CH27" s="327"/>
      <c r="CI27" s="327"/>
      <c r="CJ27" s="327"/>
      <c r="CK27" s="327"/>
      <c r="CL27" s="327"/>
      <c r="CM27" s="327"/>
      <c r="CN27" s="327"/>
      <c r="CO27" s="327"/>
      <c r="CP27" s="327"/>
      <c r="CQ27" s="327"/>
      <c r="CR27" s="327"/>
      <c r="CS27" s="327"/>
      <c r="CT27" s="327"/>
      <c r="CU27" s="327"/>
      <c r="CV27" s="327"/>
      <c r="CW27" s="327"/>
      <c r="CX27" s="327"/>
      <c r="CY27" s="327"/>
      <c r="CZ27" s="327"/>
      <c r="DA27" s="327"/>
      <c r="DB27" s="327"/>
      <c r="DC27" s="327"/>
      <c r="DD27" s="327"/>
      <c r="DE27" s="327"/>
      <c r="DF27" s="327"/>
      <c r="DG27" s="327"/>
      <c r="DH27" s="327"/>
      <c r="DI27" s="327"/>
      <c r="DJ27" s="327"/>
      <c r="DK27" s="327"/>
      <c r="DL27" s="327"/>
      <c r="DM27" s="327"/>
      <c r="DN27" s="327"/>
      <c r="DO27" s="327"/>
      <c r="DP27" s="327"/>
      <c r="DQ27" s="327"/>
      <c r="DR27" s="327"/>
      <c r="DS27" s="327"/>
      <c r="DT27" s="327"/>
      <c r="DU27" s="327"/>
      <c r="DV27" s="327"/>
      <c r="DW27" s="327"/>
      <c r="DX27" s="327"/>
      <c r="DY27" s="327"/>
      <c r="DZ27" s="327"/>
      <c r="EA27" s="327"/>
      <c r="EB27" s="327"/>
      <c r="EC27" s="327"/>
      <c r="ED27" s="327"/>
      <c r="EE27" s="327"/>
      <c r="EF27" s="327"/>
      <c r="EG27" s="327"/>
      <c r="EH27" s="327"/>
      <c r="EI27" s="327"/>
    </row>
    <row r="28" spans="1:139">
      <c r="B28" s="342">
        <v>3</v>
      </c>
      <c r="C28" s="339" t="s">
        <v>1791</v>
      </c>
      <c r="D28" s="339"/>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c r="AD28" s="334"/>
      <c r="AE28" s="334"/>
      <c r="AF28" s="334"/>
      <c r="AG28" s="334"/>
      <c r="AH28" s="334"/>
      <c r="AI28" s="334"/>
      <c r="AJ28" s="334"/>
      <c r="AK28" s="334"/>
      <c r="AL28" s="334"/>
      <c r="AM28" s="334"/>
      <c r="AN28" s="334"/>
      <c r="AO28" s="334"/>
      <c r="AP28" s="334"/>
      <c r="AQ28" s="334"/>
      <c r="AR28" s="334"/>
      <c r="AS28" s="334"/>
      <c r="AT28" s="334"/>
    </row>
    <row r="29" spans="1:139">
      <c r="B29" s="342">
        <v>4</v>
      </c>
      <c r="C29" s="338" t="s">
        <v>1801</v>
      </c>
      <c r="D29" s="338"/>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c r="AD29" s="334"/>
      <c r="AE29" s="334"/>
      <c r="AF29" s="334"/>
      <c r="AG29" s="334"/>
      <c r="AH29" s="334"/>
      <c r="AI29" s="334"/>
      <c r="AJ29" s="334"/>
      <c r="AK29" s="334"/>
      <c r="AL29" s="334"/>
      <c r="AM29" s="334"/>
      <c r="AN29" s="334"/>
      <c r="AO29" s="334"/>
      <c r="AP29" s="334"/>
      <c r="AQ29" s="334"/>
      <c r="AR29" s="334"/>
      <c r="AS29" s="334"/>
      <c r="AT29" s="334"/>
    </row>
    <row r="30" spans="1:139">
      <c r="B30" s="342">
        <v>5</v>
      </c>
      <c r="C30" s="339" t="s">
        <v>1810</v>
      </c>
      <c r="D30" s="339"/>
      <c r="E30" s="339"/>
      <c r="F30" s="334"/>
      <c r="G30" s="334"/>
      <c r="H30" s="334"/>
      <c r="I30" s="334"/>
      <c r="J30" s="334"/>
      <c r="K30" s="334"/>
      <c r="L30" s="334"/>
      <c r="M30" s="334"/>
      <c r="N30" s="334"/>
      <c r="O30" s="334"/>
      <c r="P30" s="334"/>
      <c r="Q30" s="334"/>
      <c r="R30" s="334"/>
      <c r="S30" s="334"/>
      <c r="T30" s="334"/>
      <c r="U30" s="334"/>
      <c r="V30" s="334"/>
      <c r="W30" s="334"/>
      <c r="X30" s="334"/>
      <c r="Y30" s="334"/>
      <c r="Z30" s="334"/>
      <c r="AA30" s="334"/>
      <c r="AB30" s="334"/>
      <c r="AC30" s="334"/>
      <c r="AD30" s="334"/>
      <c r="AE30" s="334"/>
      <c r="AF30" s="334"/>
      <c r="AG30" s="334"/>
      <c r="AH30" s="334"/>
      <c r="AI30" s="334"/>
      <c r="AJ30" s="334"/>
      <c r="AK30" s="334"/>
      <c r="AL30" s="334"/>
      <c r="AM30" s="334"/>
      <c r="AN30" s="334"/>
      <c r="AO30" s="334"/>
      <c r="AP30" s="334"/>
      <c r="AQ30" s="334"/>
      <c r="AR30" s="334"/>
      <c r="AS30" s="334"/>
      <c r="AT30" s="334"/>
    </row>
    <row r="31" spans="1:139">
      <c r="B31" s="342">
        <v>6</v>
      </c>
      <c r="C31" s="338" t="s">
        <v>552</v>
      </c>
      <c r="D31" s="338"/>
      <c r="E31" s="334"/>
      <c r="F31" s="334"/>
      <c r="G31" s="334"/>
      <c r="H31" s="334"/>
      <c r="I31" s="334"/>
      <c r="J31" s="334"/>
      <c r="K31" s="334"/>
      <c r="L31" s="334"/>
      <c r="M31" s="334"/>
      <c r="N31" s="334"/>
      <c r="O31" s="334"/>
      <c r="P31" s="334"/>
      <c r="Q31" s="334"/>
      <c r="R31" s="334"/>
      <c r="S31" s="334"/>
      <c r="T31" s="334"/>
      <c r="U31" s="334"/>
      <c r="V31" s="334"/>
      <c r="W31" s="334"/>
      <c r="X31" s="334"/>
      <c r="Y31" s="334"/>
      <c r="Z31" s="334"/>
      <c r="AA31" s="334"/>
      <c r="AB31" s="334"/>
      <c r="AC31" s="334"/>
      <c r="AD31" s="334"/>
      <c r="AE31" s="334"/>
      <c r="AF31" s="334"/>
      <c r="AG31" s="334"/>
      <c r="AH31" s="334"/>
      <c r="AI31" s="334"/>
      <c r="AJ31" s="334"/>
      <c r="AK31" s="334"/>
      <c r="AL31" s="334"/>
      <c r="AM31" s="334"/>
      <c r="AN31" s="334"/>
      <c r="AO31" s="334"/>
      <c r="AP31" s="334"/>
      <c r="AQ31" s="334"/>
      <c r="AR31" s="334"/>
      <c r="AS31" s="334"/>
      <c r="AT31" s="334"/>
    </row>
    <row r="32" spans="1:139">
      <c r="B32" s="342">
        <v>7</v>
      </c>
      <c r="C32" s="339" t="s">
        <v>1822</v>
      </c>
      <c r="D32" s="339"/>
      <c r="E32" s="334"/>
      <c r="F32" s="334"/>
      <c r="G32" s="334"/>
      <c r="H32" s="334"/>
      <c r="I32" s="334"/>
      <c r="J32" s="334"/>
      <c r="K32" s="334"/>
      <c r="L32" s="334"/>
      <c r="M32" s="334"/>
      <c r="N32" s="334"/>
      <c r="O32" s="334"/>
      <c r="P32" s="334"/>
      <c r="Q32" s="334"/>
      <c r="R32" s="334"/>
      <c r="S32" s="334"/>
      <c r="T32" s="334"/>
      <c r="U32" s="334"/>
      <c r="V32" s="334"/>
      <c r="W32" s="334"/>
      <c r="X32" s="334"/>
      <c r="Y32" s="334"/>
      <c r="Z32" s="334"/>
      <c r="AA32" s="334"/>
      <c r="AB32" s="334"/>
      <c r="AC32" s="334"/>
      <c r="AD32" s="334"/>
      <c r="AE32" s="334"/>
      <c r="AF32" s="334"/>
      <c r="AG32" s="334"/>
      <c r="AH32" s="334"/>
      <c r="AI32" s="334"/>
      <c r="AJ32" s="334"/>
      <c r="AK32" s="334"/>
      <c r="AL32" s="334"/>
      <c r="AM32" s="334"/>
      <c r="AN32" s="334"/>
      <c r="AO32" s="334"/>
      <c r="AP32" s="334"/>
      <c r="AQ32" s="334"/>
      <c r="AR32" s="334"/>
      <c r="AS32" s="334"/>
      <c r="AT32" s="334"/>
    </row>
    <row r="33" spans="2:46">
      <c r="B33" s="342">
        <v>8</v>
      </c>
      <c r="C33" s="338" t="s">
        <v>1828</v>
      </c>
      <c r="D33" s="338"/>
      <c r="E33" s="338"/>
      <c r="F33" s="338"/>
      <c r="G33" s="338"/>
      <c r="H33" s="334"/>
      <c r="I33" s="334"/>
      <c r="J33" s="334"/>
      <c r="K33" s="334"/>
      <c r="L33" s="334"/>
      <c r="M33" s="334"/>
      <c r="N33" s="334"/>
      <c r="O33" s="334"/>
      <c r="P33" s="334"/>
      <c r="Q33" s="334"/>
      <c r="R33" s="334"/>
      <c r="S33" s="334"/>
      <c r="T33" s="334"/>
      <c r="U33" s="334"/>
      <c r="V33" s="334"/>
      <c r="W33" s="334"/>
      <c r="X33" s="334"/>
      <c r="Y33" s="334"/>
      <c r="Z33" s="334"/>
      <c r="AA33" s="334"/>
      <c r="AB33" s="334"/>
      <c r="AC33" s="334"/>
      <c r="AD33" s="334"/>
      <c r="AE33" s="334"/>
      <c r="AF33" s="334"/>
      <c r="AG33" s="334"/>
      <c r="AH33" s="334"/>
      <c r="AI33" s="334"/>
      <c r="AJ33" s="334"/>
      <c r="AK33" s="334"/>
      <c r="AL33" s="334"/>
      <c r="AM33" s="334"/>
      <c r="AN33" s="334"/>
      <c r="AO33" s="334"/>
      <c r="AP33" s="334"/>
      <c r="AQ33" s="334"/>
      <c r="AR33" s="334"/>
      <c r="AS33" s="334"/>
      <c r="AT33" s="334"/>
    </row>
    <row r="34" spans="2:46">
      <c r="B34" s="342">
        <v>9</v>
      </c>
      <c r="C34" s="339" t="s">
        <v>1834</v>
      </c>
      <c r="D34" s="339"/>
      <c r="E34" s="339"/>
      <c r="F34" s="339"/>
      <c r="G34" s="339"/>
      <c r="H34" s="339"/>
      <c r="I34" s="339"/>
      <c r="J34" s="339"/>
      <c r="K34" s="339"/>
      <c r="L34" s="339"/>
      <c r="M34" s="339"/>
      <c r="N34" s="339"/>
      <c r="O34" s="339"/>
      <c r="P34" s="339"/>
      <c r="Q34" s="339"/>
      <c r="R34" s="339"/>
      <c r="S34" s="334"/>
      <c r="T34" s="334"/>
      <c r="U34" s="334"/>
      <c r="V34" s="334"/>
      <c r="W34" s="334"/>
      <c r="X34" s="334"/>
      <c r="Y34" s="334"/>
      <c r="Z34" s="334"/>
      <c r="AA34" s="334"/>
      <c r="AB34" s="334"/>
      <c r="AC34" s="334"/>
      <c r="AD34" s="334"/>
      <c r="AE34" s="334"/>
      <c r="AF34" s="334"/>
      <c r="AG34" s="334"/>
      <c r="AH34" s="334"/>
      <c r="AI34" s="334"/>
      <c r="AJ34" s="334"/>
      <c r="AK34" s="334"/>
      <c r="AL34" s="334"/>
      <c r="AM34" s="334"/>
      <c r="AN34" s="334"/>
      <c r="AO34" s="334"/>
      <c r="AP34" s="334"/>
      <c r="AQ34" s="334"/>
      <c r="AR34" s="334"/>
      <c r="AS34" s="334"/>
      <c r="AT34" s="334"/>
    </row>
    <row r="35" spans="2:46">
      <c r="B35" s="342">
        <v>10</v>
      </c>
      <c r="C35" s="338" t="s">
        <v>1839</v>
      </c>
      <c r="D35" s="338"/>
      <c r="E35" s="338"/>
      <c r="F35" s="338"/>
      <c r="G35" s="338"/>
      <c r="H35" s="338"/>
      <c r="I35" s="338"/>
      <c r="J35" s="338"/>
      <c r="K35" s="338"/>
      <c r="L35" s="338"/>
      <c r="M35" s="338"/>
      <c r="N35" s="338"/>
      <c r="O35" s="338"/>
      <c r="P35" s="338"/>
      <c r="Q35" s="338"/>
      <c r="R35" s="338"/>
      <c r="S35" s="338"/>
      <c r="T35" s="338"/>
      <c r="U35" s="334"/>
      <c r="V35" s="334"/>
      <c r="W35" s="334"/>
      <c r="X35" s="334"/>
      <c r="Y35" s="334"/>
      <c r="Z35" s="334"/>
      <c r="AA35" s="334"/>
      <c r="AB35" s="334"/>
      <c r="AC35" s="334"/>
      <c r="AD35" s="334"/>
      <c r="AE35" s="334"/>
      <c r="AF35" s="334"/>
      <c r="AG35" s="334"/>
      <c r="AH35" s="334"/>
      <c r="AI35" s="334"/>
      <c r="AJ35" s="334"/>
      <c r="AK35" s="334"/>
      <c r="AL35" s="334"/>
      <c r="AM35" s="334"/>
      <c r="AN35" s="334"/>
      <c r="AO35" s="334"/>
      <c r="AP35" s="334"/>
      <c r="AQ35" s="334"/>
      <c r="AR35" s="334"/>
      <c r="AS35" s="334"/>
      <c r="AT35" s="334"/>
    </row>
    <row r="36" spans="2:46">
      <c r="B36" s="342">
        <v>11</v>
      </c>
      <c r="C36" s="339" t="s">
        <v>1844</v>
      </c>
      <c r="D36" s="339"/>
      <c r="E36" s="339"/>
      <c r="F36" s="339"/>
      <c r="G36" s="339"/>
      <c r="H36" s="334"/>
      <c r="I36" s="334"/>
      <c r="J36" s="334"/>
      <c r="K36" s="334"/>
      <c r="L36" s="334"/>
      <c r="M36" s="334"/>
      <c r="N36" s="334"/>
      <c r="O36" s="334"/>
      <c r="P36" s="334"/>
      <c r="Q36" s="334"/>
      <c r="R36" s="334"/>
      <c r="S36" s="334"/>
      <c r="T36" s="334"/>
      <c r="U36" s="334"/>
      <c r="V36" s="334"/>
      <c r="W36" s="334"/>
      <c r="X36" s="334"/>
      <c r="Y36" s="334"/>
      <c r="Z36" s="334"/>
      <c r="AA36" s="334"/>
      <c r="AB36" s="334"/>
      <c r="AC36" s="334"/>
      <c r="AD36" s="334"/>
      <c r="AE36" s="334"/>
      <c r="AF36" s="334"/>
      <c r="AG36" s="334"/>
      <c r="AH36" s="334"/>
      <c r="AI36" s="334"/>
      <c r="AJ36" s="334"/>
      <c r="AK36" s="334"/>
      <c r="AL36" s="334"/>
      <c r="AM36" s="334"/>
      <c r="AN36" s="334"/>
      <c r="AO36" s="334"/>
      <c r="AP36" s="334"/>
      <c r="AQ36" s="334"/>
      <c r="AR36" s="334"/>
      <c r="AS36" s="334"/>
      <c r="AT36" s="334"/>
    </row>
    <row r="37" spans="2:46">
      <c r="B37" s="342">
        <v>12</v>
      </c>
      <c r="C37" s="338" t="s">
        <v>1847</v>
      </c>
      <c r="D37" s="338"/>
      <c r="E37" s="338"/>
      <c r="F37" s="338"/>
      <c r="G37" s="338"/>
      <c r="H37" s="338"/>
      <c r="I37" s="338"/>
      <c r="J37" s="338"/>
      <c r="K37" s="338"/>
      <c r="L37" s="334"/>
      <c r="M37" s="334"/>
      <c r="N37" s="334"/>
      <c r="O37" s="334"/>
      <c r="P37" s="334"/>
      <c r="Q37" s="334"/>
      <c r="R37" s="334"/>
      <c r="S37" s="334"/>
      <c r="T37" s="334"/>
      <c r="U37" s="334"/>
      <c r="V37" s="334"/>
      <c r="W37" s="334"/>
      <c r="X37" s="334"/>
      <c r="Y37" s="334"/>
      <c r="Z37" s="334"/>
      <c r="AA37" s="334"/>
      <c r="AB37" s="334"/>
      <c r="AC37" s="334"/>
      <c r="AD37" s="334"/>
      <c r="AE37" s="334"/>
      <c r="AF37" s="334"/>
      <c r="AG37" s="334"/>
      <c r="AH37" s="334"/>
      <c r="AI37" s="334"/>
      <c r="AJ37" s="334"/>
      <c r="AK37" s="334"/>
      <c r="AL37" s="334"/>
      <c r="AM37" s="334"/>
      <c r="AN37" s="334"/>
      <c r="AO37" s="334"/>
      <c r="AP37" s="334"/>
      <c r="AQ37" s="334"/>
      <c r="AR37" s="334"/>
      <c r="AS37" s="334"/>
      <c r="AT37" s="334"/>
    </row>
    <row r="38" spans="2:46">
      <c r="B38" s="342">
        <v>13</v>
      </c>
      <c r="C38" s="339" t="s">
        <v>1850</v>
      </c>
      <c r="D38" s="339"/>
      <c r="E38" s="339"/>
      <c r="F38" s="339"/>
      <c r="G38" s="339"/>
      <c r="H38" s="339"/>
      <c r="I38" s="339"/>
      <c r="J38" s="339"/>
      <c r="K38" s="339"/>
      <c r="L38" s="339"/>
      <c r="M38" s="339"/>
      <c r="N38" s="334"/>
      <c r="O38" s="334"/>
      <c r="P38" s="334"/>
      <c r="Q38" s="334"/>
      <c r="R38" s="334"/>
      <c r="S38" s="334"/>
      <c r="T38" s="334"/>
      <c r="U38" s="334"/>
      <c r="V38" s="334"/>
      <c r="W38" s="334"/>
      <c r="X38" s="334"/>
      <c r="Y38" s="334"/>
      <c r="Z38" s="334"/>
      <c r="AA38" s="334"/>
      <c r="AB38" s="334"/>
      <c r="AC38" s="334"/>
      <c r="AD38" s="334"/>
      <c r="AE38" s="334"/>
      <c r="AF38" s="334"/>
      <c r="AG38" s="334"/>
      <c r="AH38" s="334"/>
      <c r="AI38" s="334"/>
      <c r="AJ38" s="334"/>
      <c r="AK38" s="334"/>
      <c r="AL38" s="334"/>
      <c r="AM38" s="334"/>
      <c r="AN38" s="334"/>
      <c r="AO38" s="334"/>
      <c r="AP38" s="334"/>
      <c r="AQ38" s="334"/>
      <c r="AR38" s="334"/>
      <c r="AS38" s="334"/>
      <c r="AT38" s="334"/>
    </row>
    <row r="39" spans="2:46">
      <c r="B39" s="342">
        <v>14</v>
      </c>
      <c r="C39" s="338" t="s">
        <v>1853</v>
      </c>
      <c r="D39" s="338"/>
      <c r="E39" s="334"/>
      <c r="F39" s="334"/>
      <c r="G39" s="334"/>
      <c r="H39" s="334"/>
      <c r="I39" s="334"/>
      <c r="J39" s="334"/>
      <c r="K39" s="334"/>
      <c r="L39" s="334"/>
      <c r="M39" s="334"/>
      <c r="N39" s="334"/>
      <c r="O39" s="334"/>
      <c r="P39" s="334"/>
      <c r="Q39" s="334"/>
      <c r="R39" s="334"/>
      <c r="S39" s="334"/>
      <c r="T39" s="334"/>
      <c r="U39" s="334"/>
      <c r="V39" s="334"/>
      <c r="W39" s="334"/>
      <c r="X39" s="334"/>
      <c r="Y39" s="334"/>
      <c r="Z39" s="334"/>
      <c r="AA39" s="334"/>
      <c r="AB39" s="334"/>
      <c r="AC39" s="334"/>
      <c r="AD39" s="334"/>
      <c r="AE39" s="334"/>
      <c r="AF39" s="334"/>
      <c r="AG39" s="334"/>
      <c r="AH39" s="334"/>
      <c r="AI39" s="334"/>
      <c r="AJ39" s="334"/>
      <c r="AK39" s="334"/>
      <c r="AL39" s="334"/>
      <c r="AM39" s="334"/>
      <c r="AN39" s="334"/>
      <c r="AO39" s="334"/>
      <c r="AP39" s="334"/>
      <c r="AQ39" s="334"/>
      <c r="AR39" s="334"/>
      <c r="AS39" s="334"/>
      <c r="AT39" s="334"/>
    </row>
    <row r="40" spans="2:46">
      <c r="B40" s="342">
        <v>15</v>
      </c>
      <c r="C40" s="339" t="s">
        <v>1856</v>
      </c>
      <c r="D40" s="339"/>
      <c r="E40" s="334"/>
      <c r="F40" s="334"/>
      <c r="G40" s="334"/>
      <c r="H40" s="334"/>
      <c r="I40" s="334"/>
      <c r="J40" s="334"/>
      <c r="K40" s="334"/>
      <c r="L40" s="334"/>
      <c r="M40" s="334"/>
      <c r="N40" s="334"/>
      <c r="O40" s="334"/>
      <c r="P40" s="334"/>
      <c r="Q40" s="334"/>
      <c r="R40" s="334"/>
      <c r="S40" s="334"/>
      <c r="T40" s="334"/>
      <c r="U40" s="334"/>
      <c r="V40" s="334"/>
      <c r="W40" s="334"/>
      <c r="X40" s="334"/>
      <c r="Y40" s="334"/>
      <c r="Z40" s="334"/>
      <c r="AA40" s="334"/>
      <c r="AB40" s="334"/>
      <c r="AC40" s="334"/>
      <c r="AD40" s="334"/>
      <c r="AE40" s="334"/>
      <c r="AF40" s="334"/>
      <c r="AG40" s="334"/>
      <c r="AH40" s="334"/>
      <c r="AI40" s="334"/>
      <c r="AJ40" s="334"/>
      <c r="AK40" s="334"/>
      <c r="AL40" s="334"/>
      <c r="AM40" s="334"/>
      <c r="AN40" s="334"/>
      <c r="AO40" s="334"/>
      <c r="AP40" s="334"/>
      <c r="AQ40" s="334"/>
      <c r="AR40" s="334"/>
      <c r="AS40" s="334"/>
      <c r="AT40" s="334"/>
    </row>
    <row r="41" spans="2:46">
      <c r="B41" s="342">
        <v>16</v>
      </c>
      <c r="C41" s="338" t="s">
        <v>1859</v>
      </c>
      <c r="D41" s="338"/>
      <c r="E41" s="338"/>
      <c r="F41" s="334"/>
      <c r="G41" s="334"/>
      <c r="H41" s="334"/>
      <c r="I41" s="334"/>
      <c r="J41" s="334"/>
      <c r="K41" s="334"/>
      <c r="L41" s="334"/>
      <c r="M41" s="334"/>
      <c r="N41" s="334"/>
      <c r="O41" s="334"/>
      <c r="P41" s="334"/>
      <c r="Q41" s="334"/>
      <c r="R41" s="334"/>
      <c r="S41" s="334"/>
      <c r="T41" s="334"/>
      <c r="U41" s="334"/>
      <c r="V41" s="334"/>
      <c r="W41" s="334"/>
      <c r="X41" s="334"/>
      <c r="Y41" s="334"/>
      <c r="Z41" s="334"/>
      <c r="AA41" s="334"/>
      <c r="AB41" s="334"/>
      <c r="AC41" s="334"/>
      <c r="AD41" s="334"/>
      <c r="AE41" s="334"/>
      <c r="AF41" s="334"/>
      <c r="AG41" s="334"/>
      <c r="AH41" s="334"/>
      <c r="AI41" s="334"/>
      <c r="AJ41" s="334"/>
      <c r="AK41" s="334"/>
      <c r="AL41" s="334"/>
      <c r="AM41" s="334"/>
      <c r="AN41" s="334"/>
      <c r="AO41" s="334"/>
      <c r="AP41" s="334"/>
      <c r="AQ41" s="334"/>
      <c r="AR41" s="334"/>
      <c r="AS41" s="334"/>
      <c r="AT41" s="334"/>
    </row>
    <row r="42" spans="2:46">
      <c r="B42" s="342">
        <v>17</v>
      </c>
      <c r="C42" s="339" t="s">
        <v>1861</v>
      </c>
      <c r="D42" s="339"/>
      <c r="E42" s="339"/>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c r="AD42" s="334"/>
      <c r="AE42" s="334"/>
      <c r="AF42" s="334"/>
      <c r="AG42" s="334"/>
      <c r="AH42" s="334"/>
      <c r="AI42" s="334"/>
      <c r="AJ42" s="334"/>
      <c r="AK42" s="334"/>
      <c r="AL42" s="334"/>
      <c r="AM42" s="334"/>
      <c r="AN42" s="334"/>
      <c r="AO42" s="334"/>
      <c r="AP42" s="334"/>
      <c r="AQ42" s="334"/>
      <c r="AR42" s="334"/>
      <c r="AS42" s="334"/>
      <c r="AT42" s="334"/>
    </row>
    <row r="43" spans="2:46">
      <c r="B43" s="342">
        <v>18</v>
      </c>
      <c r="C43" s="338" t="s">
        <v>1864</v>
      </c>
      <c r="D43" s="338"/>
      <c r="E43" s="338"/>
      <c r="F43" s="338"/>
      <c r="G43" s="338"/>
      <c r="H43" s="338"/>
      <c r="I43" s="338"/>
      <c r="J43" s="338"/>
      <c r="K43" s="338"/>
      <c r="L43" s="338"/>
      <c r="M43" s="338"/>
      <c r="N43" s="338"/>
      <c r="O43" s="338"/>
      <c r="P43" s="338"/>
      <c r="Q43" s="338"/>
      <c r="R43" s="338"/>
      <c r="S43" s="338"/>
      <c r="T43" s="338"/>
      <c r="U43" s="338"/>
      <c r="V43" s="338"/>
      <c r="W43" s="338"/>
      <c r="X43" s="338"/>
      <c r="Y43" s="338"/>
      <c r="Z43" s="338"/>
      <c r="AA43" s="338"/>
      <c r="AB43" s="338"/>
      <c r="AC43" s="338"/>
      <c r="AD43" s="338"/>
      <c r="AE43" s="338"/>
      <c r="AF43" s="338"/>
      <c r="AG43" s="338"/>
      <c r="AH43" s="338"/>
      <c r="AI43" s="338"/>
      <c r="AJ43" s="338"/>
      <c r="AK43" s="338"/>
      <c r="AL43" s="338"/>
      <c r="AM43" s="338"/>
      <c r="AN43" s="338"/>
      <c r="AO43" s="338"/>
      <c r="AP43" s="338"/>
      <c r="AQ43" s="338"/>
      <c r="AR43" s="338"/>
      <c r="AS43" s="338"/>
      <c r="AT43" s="338"/>
    </row>
    <row r="44" spans="2:46">
      <c r="B44" s="342">
        <v>19</v>
      </c>
      <c r="C44" s="339" t="s">
        <v>1865</v>
      </c>
      <c r="D44" s="339"/>
      <c r="E44" s="339"/>
      <c r="F44" s="339"/>
      <c r="G44" s="339"/>
      <c r="H44" s="339"/>
      <c r="I44" s="339"/>
      <c r="J44" s="339"/>
      <c r="K44" s="339"/>
      <c r="L44" s="339"/>
      <c r="M44" s="339"/>
      <c r="N44" s="339"/>
      <c r="O44" s="339"/>
      <c r="P44" s="334"/>
      <c r="Q44" s="334"/>
      <c r="R44" s="334"/>
      <c r="S44" s="334"/>
      <c r="T44" s="334"/>
      <c r="U44" s="334"/>
      <c r="V44" s="334"/>
      <c r="W44" s="334"/>
      <c r="X44" s="334"/>
      <c r="Y44" s="334"/>
      <c r="Z44" s="334"/>
      <c r="AA44" s="334"/>
      <c r="AB44" s="334"/>
      <c r="AC44" s="334"/>
      <c r="AD44" s="334"/>
      <c r="AE44" s="334"/>
      <c r="AF44" s="334"/>
      <c r="AG44" s="334"/>
      <c r="AH44" s="334"/>
      <c r="AI44" s="334"/>
      <c r="AJ44" s="334"/>
      <c r="AK44" s="334"/>
      <c r="AL44" s="334"/>
      <c r="AM44" s="334"/>
      <c r="AN44" s="334"/>
      <c r="AO44" s="334"/>
      <c r="AP44" s="334"/>
      <c r="AQ44" s="334"/>
      <c r="AR44" s="334"/>
      <c r="AS44" s="334"/>
      <c r="AT44" s="334"/>
    </row>
    <row r="45" spans="2:46">
      <c r="B45" s="342">
        <v>20</v>
      </c>
      <c r="C45" s="338" t="s">
        <v>1866</v>
      </c>
      <c r="D45" s="338"/>
      <c r="E45" s="338"/>
      <c r="F45" s="338"/>
      <c r="G45" s="338"/>
      <c r="H45" s="338"/>
      <c r="I45" s="338"/>
      <c r="J45" s="338"/>
      <c r="K45" s="338"/>
      <c r="L45" s="338"/>
      <c r="M45" s="338"/>
      <c r="N45" s="338"/>
      <c r="O45" s="338"/>
      <c r="P45" s="338"/>
      <c r="Q45" s="338"/>
      <c r="R45" s="334"/>
      <c r="S45" s="334"/>
      <c r="T45" s="334"/>
      <c r="U45" s="334"/>
      <c r="V45" s="334"/>
      <c r="W45" s="334"/>
      <c r="X45" s="334"/>
      <c r="Y45" s="334"/>
      <c r="Z45" s="334"/>
      <c r="AA45" s="334"/>
      <c r="AB45" s="334"/>
      <c r="AC45" s="334"/>
      <c r="AD45" s="334"/>
      <c r="AE45" s="334"/>
      <c r="AF45" s="334"/>
      <c r="AG45" s="334"/>
      <c r="AH45" s="334"/>
      <c r="AI45" s="334"/>
      <c r="AJ45" s="334"/>
      <c r="AK45" s="334"/>
      <c r="AL45" s="334"/>
      <c r="AM45" s="334"/>
      <c r="AN45" s="334"/>
      <c r="AO45" s="334"/>
      <c r="AP45" s="334"/>
      <c r="AQ45" s="334"/>
      <c r="AR45" s="334"/>
      <c r="AS45" s="334"/>
      <c r="AT45" s="334"/>
    </row>
    <row r="46" spans="2:46">
      <c r="B46" s="342">
        <v>21</v>
      </c>
      <c r="C46" s="338" t="s">
        <v>1867</v>
      </c>
      <c r="D46" s="338"/>
      <c r="E46" s="338"/>
      <c r="F46" s="338"/>
      <c r="G46" s="338"/>
      <c r="H46" s="338"/>
      <c r="I46" s="334"/>
      <c r="J46" s="334"/>
      <c r="K46" s="334"/>
      <c r="L46" s="334"/>
      <c r="M46" s="334"/>
      <c r="N46" s="334"/>
      <c r="O46" s="334"/>
      <c r="P46" s="334"/>
      <c r="Q46" s="334"/>
      <c r="R46" s="334"/>
      <c r="S46" s="334"/>
      <c r="T46" s="334"/>
      <c r="U46" s="334"/>
      <c r="V46" s="334"/>
      <c r="W46" s="334"/>
      <c r="X46" s="334"/>
      <c r="Y46" s="334"/>
      <c r="Z46" s="334"/>
      <c r="AA46" s="334"/>
      <c r="AB46" s="334"/>
      <c r="AC46" s="334"/>
      <c r="AD46" s="334"/>
      <c r="AE46" s="334"/>
      <c r="AF46" s="334"/>
      <c r="AG46" s="334"/>
      <c r="AH46" s="334"/>
      <c r="AI46" s="334"/>
      <c r="AJ46" s="334"/>
      <c r="AK46" s="334"/>
      <c r="AL46" s="334"/>
      <c r="AM46" s="334"/>
      <c r="AN46" s="334"/>
      <c r="AO46" s="334"/>
      <c r="AP46" s="334"/>
      <c r="AQ46" s="334"/>
      <c r="AR46" s="334"/>
      <c r="AS46" s="334"/>
      <c r="AT46" s="334"/>
    </row>
    <row r="47" spans="2:46">
      <c r="B47" s="342">
        <v>22</v>
      </c>
      <c r="C47" s="339" t="s">
        <v>1868</v>
      </c>
      <c r="D47" s="339"/>
      <c r="E47" s="339"/>
      <c r="F47" s="334"/>
      <c r="G47" s="334"/>
      <c r="H47" s="334"/>
      <c r="I47" s="334"/>
      <c r="J47" s="334"/>
      <c r="K47" s="334"/>
      <c r="L47" s="334"/>
      <c r="M47" s="334"/>
      <c r="N47" s="334"/>
      <c r="O47" s="334"/>
      <c r="P47" s="334"/>
      <c r="Q47" s="334"/>
      <c r="R47" s="334"/>
      <c r="S47" s="334"/>
      <c r="T47" s="334"/>
      <c r="U47" s="334"/>
      <c r="V47" s="334"/>
      <c r="W47" s="334"/>
      <c r="X47" s="334"/>
      <c r="Y47" s="334"/>
      <c r="Z47" s="334"/>
      <c r="AA47" s="334"/>
      <c r="AB47" s="334"/>
      <c r="AC47" s="334"/>
      <c r="AD47" s="334"/>
      <c r="AE47" s="334"/>
      <c r="AF47" s="334"/>
      <c r="AG47" s="334"/>
      <c r="AH47" s="334"/>
      <c r="AI47" s="334"/>
      <c r="AJ47" s="334"/>
      <c r="AK47" s="334"/>
      <c r="AL47" s="334"/>
      <c r="AM47" s="334"/>
      <c r="AN47" s="334"/>
      <c r="AO47" s="334"/>
      <c r="AP47" s="334"/>
      <c r="AQ47" s="334"/>
      <c r="AR47" s="334"/>
      <c r="AS47" s="334"/>
      <c r="AT47" s="334"/>
    </row>
    <row r="51" spans="2:45" ht="20.25">
      <c r="B51" s="327"/>
      <c r="C51" s="344" t="s">
        <v>1759</v>
      </c>
      <c r="D51" s="344"/>
      <c r="E51" s="345"/>
      <c r="F51" s="345"/>
      <c r="G51" s="345"/>
      <c r="H51" s="345"/>
      <c r="I51" s="327"/>
      <c r="J51" s="327"/>
      <c r="K51" s="327"/>
      <c r="L51" s="327"/>
      <c r="M51" s="327"/>
      <c r="N51" s="327"/>
      <c r="O51" s="327"/>
      <c r="P51" s="327"/>
      <c r="Q51" s="327"/>
      <c r="R51" s="327"/>
      <c r="S51" s="327"/>
      <c r="T51" s="327"/>
      <c r="U51" s="327"/>
      <c r="V51" s="327"/>
      <c r="W51" s="327"/>
      <c r="X51" s="327"/>
      <c r="Y51" s="327"/>
      <c r="Z51" s="327"/>
      <c r="AA51" s="327"/>
      <c r="AB51" s="327"/>
      <c r="AC51" s="327"/>
      <c r="AD51" s="327"/>
      <c r="AE51" s="327"/>
      <c r="AF51" s="327"/>
      <c r="AG51" s="327"/>
      <c r="AH51" s="327"/>
      <c r="AI51" s="327"/>
      <c r="AJ51" s="327"/>
      <c r="AK51" s="327"/>
      <c r="AL51" s="327"/>
      <c r="AM51" s="327"/>
      <c r="AN51" s="327"/>
      <c r="AO51" s="327"/>
      <c r="AP51" s="327"/>
      <c r="AQ51" s="327"/>
      <c r="AR51" s="327"/>
      <c r="AS51" s="327"/>
    </row>
    <row r="52" spans="2:45" ht="20.25">
      <c r="B52" s="327"/>
      <c r="C52" s="347" t="s">
        <v>1764</v>
      </c>
      <c r="D52" s="347"/>
      <c r="E52" s="348"/>
      <c r="F52" s="348"/>
      <c r="G52" s="348"/>
      <c r="H52" s="348"/>
    </row>
    <row r="53" spans="2:45">
      <c r="B53" s="349">
        <v>1</v>
      </c>
      <c r="C53" s="339" t="s">
        <v>1773</v>
      </c>
      <c r="D53" s="339"/>
      <c r="E53" s="327"/>
      <c r="F53" s="327"/>
      <c r="G53" s="327"/>
      <c r="H53" s="327"/>
    </row>
    <row r="54" spans="2:45">
      <c r="B54" s="349">
        <v>2</v>
      </c>
      <c r="C54" s="340" t="s">
        <v>1782</v>
      </c>
      <c r="D54" s="340"/>
      <c r="E54" s="340"/>
      <c r="F54" s="340"/>
      <c r="G54" s="340"/>
      <c r="H54" s="327"/>
    </row>
    <row r="55" spans="2:45">
      <c r="B55" s="349">
        <v>3</v>
      </c>
      <c r="C55" s="341" t="s">
        <v>1792</v>
      </c>
      <c r="D55" s="341"/>
      <c r="E55" s="327"/>
      <c r="F55" s="327"/>
      <c r="G55" s="327"/>
      <c r="H55" s="327"/>
    </row>
    <row r="56" spans="2:45">
      <c r="B56" s="349">
        <v>4</v>
      </c>
      <c r="C56" s="340" t="s">
        <v>1802</v>
      </c>
      <c r="D56" s="340"/>
      <c r="E56" s="340"/>
      <c r="F56" s="340"/>
      <c r="G56" s="327"/>
      <c r="H56" s="327"/>
    </row>
    <row r="57" spans="2:45">
      <c r="B57" s="349">
        <v>5</v>
      </c>
      <c r="C57" s="341" t="s">
        <v>1811</v>
      </c>
      <c r="D57" s="341"/>
      <c r="E57" s="327"/>
      <c r="F57" s="327"/>
      <c r="G57" s="327"/>
      <c r="H57" s="327"/>
    </row>
    <row r="58" spans="2:45">
      <c r="B58" s="349">
        <v>6</v>
      </c>
      <c r="C58" s="340" t="s">
        <v>1817</v>
      </c>
      <c r="D58" s="340"/>
      <c r="E58" s="327"/>
      <c r="F58" s="327"/>
      <c r="G58" s="327"/>
      <c r="H58" s="327"/>
    </row>
    <row r="59" spans="2:45">
      <c r="B59" s="349">
        <v>7</v>
      </c>
      <c r="C59" s="341" t="s">
        <v>1823</v>
      </c>
      <c r="D59" s="341"/>
      <c r="E59" s="341"/>
      <c r="F59" s="327"/>
      <c r="G59" s="327"/>
      <c r="H59" s="327"/>
    </row>
    <row r="60" spans="2:45">
      <c r="B60" s="349">
        <v>8</v>
      </c>
      <c r="C60" s="340" t="s">
        <v>1829</v>
      </c>
      <c r="D60" s="340"/>
      <c r="E60" s="327"/>
      <c r="F60" s="327"/>
      <c r="G60" s="327"/>
      <c r="H60" s="327"/>
    </row>
    <row r="61" spans="2:45">
      <c r="B61" s="349">
        <v>9</v>
      </c>
      <c r="C61" s="341" t="s">
        <v>1835</v>
      </c>
      <c r="D61" s="341"/>
      <c r="E61" s="341"/>
      <c r="F61" s="341"/>
      <c r="G61" s="341"/>
      <c r="H61" s="327"/>
    </row>
    <row r="62" spans="2:45">
      <c r="B62" s="349">
        <v>10</v>
      </c>
      <c r="C62" s="340" t="s">
        <v>1840</v>
      </c>
      <c r="D62" s="340"/>
      <c r="E62" s="327"/>
      <c r="F62" s="327"/>
      <c r="G62" s="327"/>
      <c r="H62" s="327"/>
    </row>
    <row r="63" spans="2:45">
      <c r="B63" s="327"/>
      <c r="C63" s="327"/>
      <c r="D63" s="327"/>
      <c r="E63" s="327"/>
      <c r="F63" s="327"/>
      <c r="G63" s="327"/>
      <c r="H63" s="327"/>
    </row>
    <row r="64" spans="2:45">
      <c r="B64" s="327"/>
      <c r="C64" s="327"/>
      <c r="D64" s="327"/>
      <c r="E64" s="327"/>
      <c r="F64" s="327"/>
      <c r="G64" s="327"/>
      <c r="H64" s="327"/>
    </row>
    <row r="65" spans="2:45">
      <c r="B65" s="327"/>
      <c r="C65" s="327"/>
      <c r="D65" s="327"/>
      <c r="E65" s="327"/>
      <c r="F65" s="327"/>
      <c r="G65" s="327"/>
      <c r="H65" s="327"/>
    </row>
    <row r="66" spans="2:45" ht="20.25">
      <c r="B66" s="347" t="s">
        <v>1765</v>
      </c>
      <c r="C66" s="347"/>
      <c r="D66" s="347"/>
      <c r="E66" s="348"/>
      <c r="F66" s="348"/>
      <c r="G66" s="348"/>
      <c r="H66" s="348"/>
      <c r="I66" s="348"/>
      <c r="J66" s="348"/>
      <c r="K66" s="327"/>
    </row>
    <row r="67" spans="2:45">
      <c r="B67" s="342">
        <v>1</v>
      </c>
      <c r="C67" s="345" t="s">
        <v>1774</v>
      </c>
      <c r="D67" s="345"/>
      <c r="E67" s="345"/>
      <c r="F67" s="345"/>
      <c r="G67" s="345"/>
      <c r="H67" s="327"/>
      <c r="I67" s="327"/>
      <c r="J67" s="327"/>
      <c r="K67" s="327"/>
    </row>
    <row r="68" spans="2:45">
      <c r="B68" s="342">
        <v>2</v>
      </c>
      <c r="C68" s="341" t="s">
        <v>1783</v>
      </c>
      <c r="D68" s="341"/>
      <c r="E68" s="341"/>
      <c r="F68" s="327"/>
      <c r="G68" s="327"/>
      <c r="H68" s="327"/>
      <c r="I68" s="327"/>
      <c r="J68" s="327"/>
      <c r="K68" s="327"/>
    </row>
    <row r="69" spans="2:45">
      <c r="B69" s="342">
        <v>3</v>
      </c>
      <c r="C69" s="362" t="s">
        <v>1793</v>
      </c>
      <c r="D69" s="362"/>
      <c r="E69" s="327"/>
      <c r="F69" s="327"/>
      <c r="G69" s="327"/>
      <c r="H69" s="327"/>
      <c r="I69" s="327"/>
      <c r="J69" s="327"/>
      <c r="K69" s="327"/>
    </row>
    <row r="70" spans="2:45">
      <c r="B70" s="342">
        <v>4</v>
      </c>
      <c r="C70" s="341" t="s">
        <v>1803</v>
      </c>
      <c r="D70" s="341"/>
      <c r="E70" s="341"/>
      <c r="F70" s="341"/>
      <c r="G70" s="341"/>
      <c r="H70" s="341"/>
      <c r="I70" s="327"/>
      <c r="J70" s="327"/>
      <c r="K70" s="327"/>
    </row>
    <row r="71" spans="2:45">
      <c r="B71" s="342">
        <v>5</v>
      </c>
      <c r="C71" s="362" t="s">
        <v>1812</v>
      </c>
      <c r="D71" s="362"/>
      <c r="E71" s="362"/>
      <c r="F71" s="362"/>
      <c r="G71" s="362"/>
      <c r="H71" s="327"/>
      <c r="I71" s="327"/>
      <c r="J71" s="327"/>
      <c r="K71" s="327"/>
      <c r="L71" s="327"/>
      <c r="M71" s="327"/>
      <c r="N71" s="327"/>
      <c r="O71" s="327"/>
      <c r="P71" s="327"/>
      <c r="Q71" s="327"/>
      <c r="R71" s="327"/>
      <c r="S71" s="327"/>
      <c r="T71" s="327"/>
      <c r="U71" s="327"/>
      <c r="V71" s="327"/>
      <c r="W71" s="327"/>
      <c r="X71" s="327"/>
      <c r="Y71" s="327"/>
      <c r="Z71" s="327"/>
      <c r="AA71" s="327"/>
      <c r="AB71" s="327"/>
      <c r="AC71" s="327"/>
      <c r="AD71" s="327"/>
      <c r="AE71" s="327"/>
      <c r="AF71" s="327"/>
      <c r="AG71" s="327"/>
      <c r="AH71" s="327"/>
      <c r="AI71" s="327"/>
      <c r="AJ71" s="327"/>
      <c r="AK71" s="327"/>
      <c r="AL71" s="327"/>
      <c r="AM71" s="327"/>
      <c r="AN71" s="327"/>
      <c r="AO71" s="327"/>
      <c r="AP71" s="327"/>
      <c r="AQ71" s="327"/>
      <c r="AR71" s="327"/>
      <c r="AS71" s="327"/>
    </row>
    <row r="72" spans="2:45">
      <c r="B72" s="342">
        <v>6</v>
      </c>
      <c r="C72" s="341" t="s">
        <v>1818</v>
      </c>
      <c r="D72" s="341"/>
      <c r="E72" s="327"/>
      <c r="F72" s="327"/>
      <c r="G72" s="327"/>
      <c r="H72" s="327"/>
      <c r="I72" s="327"/>
      <c r="J72" s="327"/>
      <c r="K72" s="327"/>
      <c r="L72" s="327"/>
      <c r="M72" s="327"/>
      <c r="N72" s="327"/>
      <c r="O72" s="327"/>
      <c r="P72" s="327"/>
      <c r="Q72" s="327"/>
      <c r="R72" s="327"/>
      <c r="S72" s="327"/>
      <c r="T72" s="327"/>
      <c r="U72" s="327"/>
      <c r="V72" s="327"/>
      <c r="W72" s="327"/>
      <c r="X72" s="327"/>
      <c r="Y72" s="327"/>
      <c r="Z72" s="327"/>
      <c r="AA72" s="327"/>
      <c r="AB72" s="327"/>
      <c r="AC72" s="327"/>
      <c r="AD72" s="327"/>
      <c r="AE72" s="327"/>
      <c r="AF72" s="327"/>
      <c r="AG72" s="327"/>
      <c r="AH72" s="327"/>
      <c r="AI72" s="327"/>
      <c r="AJ72" s="327"/>
      <c r="AK72" s="327"/>
      <c r="AL72" s="327"/>
      <c r="AM72" s="327"/>
      <c r="AN72" s="327"/>
      <c r="AO72" s="327"/>
      <c r="AP72" s="327"/>
      <c r="AQ72" s="327"/>
      <c r="AR72" s="327"/>
      <c r="AS72" s="327"/>
    </row>
    <row r="73" spans="2:45">
      <c r="B73" s="342">
        <v>7</v>
      </c>
      <c r="C73" s="375" t="s">
        <v>1824</v>
      </c>
      <c r="D73" s="375"/>
      <c r="E73" s="375"/>
      <c r="F73" s="375"/>
      <c r="G73" s="375"/>
      <c r="H73" s="375"/>
      <c r="I73" s="327"/>
      <c r="J73" s="327"/>
      <c r="K73" s="327"/>
    </row>
    <row r="74" spans="2:45">
      <c r="B74" s="342">
        <v>8</v>
      </c>
      <c r="C74" s="341" t="s">
        <v>1830</v>
      </c>
      <c r="D74" s="341"/>
      <c r="E74" s="341"/>
      <c r="F74" s="341"/>
      <c r="G74" s="341"/>
      <c r="H74" s="341"/>
      <c r="I74" s="327"/>
      <c r="J74" s="327"/>
      <c r="K74" s="327"/>
    </row>
    <row r="75" spans="2:45">
      <c r="B75" s="342">
        <v>9</v>
      </c>
      <c r="C75" s="362" t="s">
        <v>1614</v>
      </c>
      <c r="D75" s="327"/>
      <c r="E75" s="327"/>
      <c r="F75" s="327"/>
      <c r="G75" s="327"/>
      <c r="H75" s="327"/>
      <c r="I75" s="327"/>
      <c r="J75" s="327"/>
      <c r="K75" s="327"/>
    </row>
    <row r="76" spans="2:45">
      <c r="B76" s="342">
        <v>10</v>
      </c>
      <c r="C76" s="341" t="s">
        <v>1841</v>
      </c>
      <c r="D76" s="341"/>
      <c r="E76" s="327"/>
      <c r="F76" s="327"/>
      <c r="G76" s="327"/>
      <c r="H76" s="327"/>
      <c r="I76" s="327"/>
      <c r="J76" s="327"/>
      <c r="K76" s="327"/>
    </row>
    <row r="77" spans="2:45">
      <c r="B77" s="342">
        <v>11</v>
      </c>
      <c r="C77" s="362" t="s">
        <v>1845</v>
      </c>
      <c r="D77" s="362"/>
      <c r="E77" s="362"/>
      <c r="F77" s="327"/>
      <c r="G77" s="327"/>
      <c r="H77" s="327"/>
      <c r="I77" s="327"/>
      <c r="J77" s="327"/>
      <c r="K77" s="327"/>
    </row>
    <row r="78" spans="2:45">
      <c r="B78" s="342">
        <v>12</v>
      </c>
      <c r="C78" s="341" t="s">
        <v>1848</v>
      </c>
      <c r="D78" s="341"/>
      <c r="E78" s="327"/>
      <c r="F78" s="327"/>
      <c r="G78" s="327"/>
      <c r="H78" s="327"/>
      <c r="I78" s="327"/>
      <c r="J78" s="327"/>
      <c r="K78" s="327"/>
    </row>
    <row r="79" spans="2:45">
      <c r="B79" s="342">
        <v>13</v>
      </c>
      <c r="C79" s="362" t="s">
        <v>1851</v>
      </c>
      <c r="D79" s="362"/>
      <c r="E79" s="362"/>
      <c r="F79" s="327"/>
      <c r="G79" s="327"/>
      <c r="H79" s="327"/>
      <c r="I79" s="327"/>
      <c r="J79" s="327"/>
      <c r="K79" s="327"/>
    </row>
    <row r="80" spans="2:45">
      <c r="B80" s="342">
        <v>14</v>
      </c>
      <c r="C80" s="341" t="s">
        <v>1854</v>
      </c>
      <c r="D80" s="327"/>
      <c r="E80" s="327"/>
      <c r="F80" s="327"/>
      <c r="G80" s="327"/>
      <c r="H80" s="327"/>
      <c r="I80" s="327"/>
      <c r="J80" s="327"/>
      <c r="K80" s="327"/>
    </row>
    <row r="81" spans="2:28">
      <c r="B81" s="342">
        <v>15</v>
      </c>
      <c r="C81" s="362" t="s">
        <v>1857</v>
      </c>
      <c r="D81" s="327"/>
      <c r="E81" s="327"/>
      <c r="F81" s="327"/>
      <c r="G81" s="327"/>
      <c r="H81" s="327"/>
      <c r="I81" s="327"/>
      <c r="J81" s="327"/>
      <c r="K81" s="327"/>
    </row>
    <row r="82" spans="2:28">
      <c r="B82" s="342">
        <v>16</v>
      </c>
      <c r="C82" s="341" t="s">
        <v>1819</v>
      </c>
      <c r="D82" s="341"/>
      <c r="E82" s="327"/>
      <c r="F82" s="327"/>
      <c r="G82" s="327"/>
      <c r="H82" s="327"/>
      <c r="I82" s="327"/>
      <c r="J82" s="327"/>
      <c r="K82" s="327"/>
    </row>
    <row r="83" spans="2:28">
      <c r="B83" s="342">
        <v>17</v>
      </c>
      <c r="C83" s="362" t="s">
        <v>1862</v>
      </c>
      <c r="D83" s="327"/>
      <c r="E83" s="327"/>
      <c r="F83" s="327"/>
      <c r="G83" s="327"/>
      <c r="H83" s="327"/>
      <c r="I83" s="327"/>
      <c r="J83" s="327"/>
      <c r="K83" s="327"/>
    </row>
    <row r="84" spans="2:28">
      <c r="B84" s="327"/>
      <c r="C84" s="327"/>
      <c r="D84" s="327"/>
      <c r="E84" s="327"/>
      <c r="F84" s="327"/>
      <c r="G84" s="327"/>
      <c r="H84" s="327"/>
      <c r="I84" s="327"/>
      <c r="J84" s="327"/>
      <c r="K84" s="327"/>
    </row>
    <row r="86" spans="2:28" ht="20.25">
      <c r="B86" s="347" t="s">
        <v>1766</v>
      </c>
      <c r="C86" s="347"/>
      <c r="D86" s="347"/>
      <c r="E86" s="347"/>
      <c r="F86" s="347"/>
      <c r="G86" s="347"/>
      <c r="H86" s="347"/>
      <c r="I86" s="348"/>
      <c r="J86" s="348"/>
      <c r="K86" s="327"/>
      <c r="L86" s="327"/>
      <c r="M86" s="327"/>
      <c r="N86" s="327"/>
      <c r="O86" s="327"/>
      <c r="P86" s="327"/>
      <c r="Q86" s="327"/>
      <c r="R86" s="327"/>
      <c r="S86" s="327"/>
      <c r="T86" s="327"/>
      <c r="U86" s="327"/>
      <c r="V86" s="327"/>
      <c r="W86" s="327"/>
      <c r="X86" s="327"/>
      <c r="Y86" s="327"/>
      <c r="Z86" s="327"/>
      <c r="AA86" s="327"/>
      <c r="AB86" s="327"/>
    </row>
    <row r="87" spans="2:28">
      <c r="B87" s="342">
        <v>1</v>
      </c>
      <c r="C87" s="340" t="s">
        <v>1775</v>
      </c>
      <c r="D87" s="327"/>
      <c r="E87" s="327"/>
      <c r="F87" s="327"/>
      <c r="G87" s="327"/>
      <c r="H87" s="327"/>
      <c r="I87" s="327"/>
      <c r="J87" s="327"/>
      <c r="K87" s="327"/>
      <c r="L87" s="327"/>
      <c r="M87" s="327"/>
      <c r="N87" s="327"/>
      <c r="O87" s="327"/>
      <c r="P87" s="327"/>
      <c r="Q87" s="327"/>
      <c r="R87" s="327"/>
      <c r="S87" s="327"/>
      <c r="T87" s="327"/>
      <c r="U87" s="327"/>
      <c r="V87" s="327"/>
      <c r="W87" s="327"/>
      <c r="X87" s="327"/>
      <c r="Y87" s="327"/>
      <c r="Z87" s="327"/>
      <c r="AA87" s="327"/>
      <c r="AB87" s="327"/>
    </row>
    <row r="88" spans="2:28">
      <c r="B88" s="342">
        <v>2</v>
      </c>
      <c r="C88" s="341" t="s">
        <v>1784</v>
      </c>
      <c r="D88" s="327"/>
      <c r="E88" s="327"/>
      <c r="F88" s="327"/>
      <c r="G88" s="327"/>
      <c r="H88" s="327"/>
      <c r="I88" s="327"/>
      <c r="J88" s="327"/>
      <c r="K88" s="327"/>
      <c r="L88" s="327"/>
      <c r="M88" s="327"/>
      <c r="N88" s="327"/>
      <c r="O88" s="327"/>
      <c r="P88" s="327"/>
      <c r="Q88" s="327"/>
      <c r="R88" s="327"/>
      <c r="S88" s="327"/>
      <c r="T88" s="327"/>
      <c r="U88" s="327"/>
      <c r="V88" s="327"/>
      <c r="W88" s="327"/>
      <c r="X88" s="327"/>
      <c r="Y88" s="327"/>
      <c r="Z88" s="327"/>
      <c r="AA88" s="327"/>
      <c r="AB88" s="327"/>
    </row>
    <row r="89" spans="2:28">
      <c r="B89" s="342">
        <v>3</v>
      </c>
      <c r="C89" s="340" t="s">
        <v>1794</v>
      </c>
      <c r="D89" s="340"/>
      <c r="E89" s="340"/>
      <c r="F89" s="340"/>
      <c r="G89" s="340"/>
      <c r="H89" s="340"/>
      <c r="I89" s="340"/>
      <c r="J89" s="340"/>
      <c r="K89" s="340"/>
      <c r="L89" s="340"/>
      <c r="M89" s="340"/>
      <c r="N89" s="340"/>
      <c r="O89" s="327"/>
      <c r="P89" s="327"/>
      <c r="Q89" s="327"/>
      <c r="R89" s="327"/>
      <c r="S89" s="327"/>
      <c r="T89" s="327"/>
      <c r="U89" s="327"/>
      <c r="V89" s="327"/>
      <c r="W89" s="327"/>
      <c r="X89" s="327"/>
      <c r="Y89" s="327"/>
      <c r="Z89" s="327"/>
      <c r="AA89" s="327"/>
      <c r="AB89" s="327"/>
    </row>
    <row r="90" spans="2:28">
      <c r="B90" s="342">
        <v>4</v>
      </c>
      <c r="C90" s="341" t="s">
        <v>1804</v>
      </c>
      <c r="D90" s="341"/>
      <c r="E90" s="341"/>
      <c r="F90" s="341"/>
      <c r="G90" s="327"/>
      <c r="H90" s="327"/>
      <c r="I90" s="327"/>
      <c r="J90" s="327"/>
      <c r="K90" s="327"/>
      <c r="L90" s="327"/>
      <c r="M90" s="327"/>
      <c r="N90" s="327"/>
      <c r="O90" s="327"/>
      <c r="P90" s="327"/>
      <c r="Q90" s="327"/>
      <c r="R90" s="327"/>
      <c r="S90" s="327"/>
      <c r="T90" s="327"/>
      <c r="U90" s="327"/>
      <c r="V90" s="327"/>
      <c r="W90" s="327"/>
      <c r="X90" s="327"/>
      <c r="Y90" s="327"/>
      <c r="Z90" s="327"/>
      <c r="AA90" s="327"/>
      <c r="AB90" s="327"/>
    </row>
    <row r="91" spans="2:28">
      <c r="B91" s="342">
        <v>5</v>
      </c>
      <c r="C91" s="340" t="s">
        <v>1813</v>
      </c>
      <c r="D91" s="340"/>
      <c r="E91" s="327"/>
      <c r="F91" s="327"/>
      <c r="G91" s="327"/>
      <c r="H91" s="327"/>
      <c r="I91" s="327"/>
      <c r="J91" s="327"/>
      <c r="K91" s="327"/>
      <c r="L91" s="327"/>
      <c r="M91" s="327"/>
      <c r="N91" s="327"/>
      <c r="O91" s="327"/>
      <c r="P91" s="327"/>
      <c r="Q91" s="327"/>
      <c r="R91" s="327"/>
      <c r="S91" s="327"/>
      <c r="T91" s="327"/>
      <c r="U91" s="327"/>
      <c r="V91" s="327"/>
      <c r="W91" s="327"/>
      <c r="X91" s="327"/>
      <c r="Y91" s="327"/>
      <c r="Z91" s="327"/>
      <c r="AA91" s="327"/>
      <c r="AB91" s="327"/>
    </row>
    <row r="92" spans="2:28">
      <c r="B92" s="342">
        <v>6</v>
      </c>
      <c r="C92" s="341" t="s">
        <v>1819</v>
      </c>
      <c r="D92" s="341"/>
      <c r="E92" s="327"/>
      <c r="F92" s="327"/>
      <c r="G92" s="327"/>
      <c r="H92" s="327"/>
      <c r="I92" s="327"/>
      <c r="J92" s="327"/>
      <c r="K92" s="327"/>
      <c r="L92" s="327"/>
      <c r="M92" s="327"/>
      <c r="N92" s="327"/>
      <c r="O92" s="327"/>
      <c r="P92" s="327"/>
      <c r="Q92" s="327"/>
      <c r="R92" s="327"/>
      <c r="S92" s="327"/>
      <c r="T92" s="327"/>
      <c r="U92" s="327"/>
      <c r="V92" s="327"/>
      <c r="W92" s="327"/>
      <c r="X92" s="327"/>
      <c r="Y92" s="327"/>
      <c r="Z92" s="327"/>
      <c r="AA92" s="327"/>
      <c r="AB92" s="327"/>
    </row>
    <row r="93" spans="2:28">
      <c r="B93" s="342">
        <v>7</v>
      </c>
      <c r="C93" s="340" t="s">
        <v>1825</v>
      </c>
      <c r="D93" s="340"/>
      <c r="E93" s="340"/>
      <c r="F93" s="340"/>
      <c r="G93" s="340"/>
      <c r="H93" s="340"/>
      <c r="I93" s="340"/>
      <c r="J93" s="340"/>
      <c r="K93" s="340"/>
      <c r="L93" s="340"/>
      <c r="M93" s="340"/>
      <c r="N93" s="340"/>
      <c r="O93" s="340"/>
      <c r="P93" s="340"/>
      <c r="Q93" s="340"/>
      <c r="R93" s="340"/>
      <c r="S93" s="340"/>
      <c r="T93" s="327"/>
      <c r="U93" s="327"/>
      <c r="V93" s="327"/>
      <c r="W93" s="327"/>
      <c r="X93" s="327"/>
      <c r="Y93" s="327"/>
      <c r="Z93" s="327"/>
      <c r="AA93" s="327"/>
      <c r="AB93" s="327"/>
    </row>
    <row r="94" spans="2:28">
      <c r="B94" s="342">
        <v>8</v>
      </c>
      <c r="C94" s="341" t="s">
        <v>1831</v>
      </c>
      <c r="D94" s="327"/>
      <c r="E94" s="327"/>
      <c r="F94" s="327"/>
      <c r="G94" s="327"/>
      <c r="H94" s="327"/>
      <c r="I94" s="327"/>
      <c r="J94" s="327"/>
      <c r="K94" s="327"/>
      <c r="L94" s="327"/>
      <c r="M94" s="327"/>
      <c r="N94" s="327"/>
      <c r="O94" s="327"/>
      <c r="P94" s="327"/>
      <c r="Q94" s="327"/>
      <c r="R94" s="327"/>
      <c r="S94" s="327"/>
      <c r="T94" s="327"/>
      <c r="U94" s="327"/>
      <c r="V94" s="327"/>
      <c r="W94" s="327"/>
      <c r="X94" s="327"/>
      <c r="Y94" s="327"/>
      <c r="Z94" s="327"/>
      <c r="AA94" s="327"/>
      <c r="AB94" s="327"/>
    </row>
    <row r="95" spans="2:28">
      <c r="B95" s="342">
        <v>9</v>
      </c>
      <c r="C95" s="340" t="s">
        <v>1836</v>
      </c>
      <c r="D95" s="340"/>
      <c r="E95" s="340"/>
      <c r="F95" s="340"/>
      <c r="G95" s="340"/>
      <c r="H95" s="340"/>
      <c r="I95" s="340"/>
      <c r="J95" s="340"/>
      <c r="K95" s="340"/>
      <c r="L95" s="340"/>
      <c r="M95" s="340"/>
      <c r="N95" s="340"/>
      <c r="O95" s="340"/>
      <c r="P95" s="340"/>
      <c r="Q95" s="340"/>
      <c r="R95" s="340"/>
      <c r="S95" s="340"/>
      <c r="T95" s="340"/>
      <c r="U95" s="340"/>
      <c r="V95" s="340"/>
      <c r="W95" s="340"/>
      <c r="X95" s="340"/>
      <c r="Y95" s="340"/>
      <c r="Z95" s="340"/>
      <c r="AA95" s="340"/>
      <c r="AB95" s="340"/>
    </row>
    <row r="96" spans="2:28">
      <c r="B96" s="342">
        <v>10</v>
      </c>
      <c r="C96" s="341" t="s">
        <v>1842</v>
      </c>
      <c r="D96" s="341"/>
      <c r="E96" s="341"/>
      <c r="F96" s="341"/>
      <c r="G96" s="341"/>
      <c r="H96" s="341"/>
      <c r="I96" s="341"/>
      <c r="J96" s="341"/>
      <c r="K96" s="341"/>
      <c r="L96" s="341"/>
      <c r="M96" s="341"/>
      <c r="N96" s="341"/>
      <c r="O96" s="327"/>
      <c r="P96" s="327"/>
      <c r="Q96" s="327"/>
      <c r="R96" s="327"/>
      <c r="S96" s="327"/>
      <c r="T96" s="327"/>
      <c r="U96" s="327"/>
      <c r="V96" s="327"/>
      <c r="W96" s="327"/>
      <c r="X96" s="327"/>
      <c r="Y96" s="327"/>
      <c r="Z96" s="327"/>
      <c r="AA96" s="327"/>
      <c r="AB96" s="327"/>
    </row>
    <row r="97" spans="2:139">
      <c r="B97" s="342">
        <v>11</v>
      </c>
      <c r="C97" s="340" t="s">
        <v>1846</v>
      </c>
      <c r="D97" s="340"/>
      <c r="E97" s="340"/>
      <c r="F97" s="340"/>
      <c r="G97" s="340"/>
      <c r="H97" s="340"/>
      <c r="I97" s="340"/>
      <c r="J97" s="340"/>
      <c r="K97" s="340"/>
      <c r="L97" s="340"/>
      <c r="M97" s="340"/>
      <c r="N97" s="340"/>
      <c r="O97" s="340"/>
      <c r="P97" s="340"/>
      <c r="Q97" s="340"/>
      <c r="R97" s="340"/>
      <c r="S97" s="340"/>
      <c r="T97" s="340"/>
      <c r="U97" s="327"/>
      <c r="V97" s="327"/>
      <c r="W97" s="327"/>
      <c r="X97" s="327"/>
      <c r="Y97" s="327"/>
      <c r="Z97" s="327"/>
      <c r="AA97" s="327"/>
      <c r="AB97" s="327"/>
    </row>
    <row r="98" spans="2:139">
      <c r="B98" s="342">
        <v>12</v>
      </c>
      <c r="C98" s="341" t="s">
        <v>1849</v>
      </c>
      <c r="D98" s="341"/>
      <c r="E98" s="341"/>
      <c r="F98" s="327"/>
      <c r="G98" s="327"/>
      <c r="H98" s="327"/>
      <c r="I98" s="327"/>
      <c r="J98" s="327"/>
      <c r="K98" s="327"/>
      <c r="L98" s="327"/>
      <c r="M98" s="327"/>
      <c r="N98" s="327"/>
      <c r="O98" s="327"/>
      <c r="P98" s="327"/>
      <c r="Q98" s="327"/>
      <c r="R98" s="327"/>
      <c r="S98" s="327"/>
      <c r="T98" s="327"/>
      <c r="U98" s="327"/>
      <c r="V98" s="327"/>
      <c r="W98" s="327"/>
      <c r="X98" s="327"/>
      <c r="Y98" s="327"/>
      <c r="Z98" s="327"/>
      <c r="AA98" s="327"/>
      <c r="AB98" s="327"/>
    </row>
    <row r="99" spans="2:139">
      <c r="B99" s="342">
        <v>13</v>
      </c>
      <c r="C99" s="340" t="s">
        <v>1852</v>
      </c>
      <c r="D99" s="340"/>
      <c r="E99" s="340"/>
      <c r="F99" s="340"/>
      <c r="G99" s="340"/>
      <c r="H99" s="340"/>
      <c r="I99" s="340"/>
      <c r="J99" s="340"/>
      <c r="K99" s="340"/>
      <c r="L99" s="340"/>
      <c r="M99" s="327"/>
      <c r="N99" s="327"/>
      <c r="O99" s="327"/>
      <c r="P99" s="327"/>
      <c r="Q99" s="327"/>
      <c r="R99" s="327"/>
      <c r="S99" s="327"/>
      <c r="T99" s="327"/>
      <c r="U99" s="327"/>
      <c r="V99" s="327"/>
      <c r="W99" s="327"/>
      <c r="X99" s="327"/>
      <c r="Y99" s="327"/>
      <c r="Z99" s="327"/>
      <c r="AA99" s="327"/>
      <c r="AB99" s="327"/>
    </row>
    <row r="100" spans="2:139">
      <c r="B100" s="342">
        <v>14</v>
      </c>
      <c r="C100" s="341" t="s">
        <v>1855</v>
      </c>
      <c r="D100" s="341"/>
      <c r="E100" s="341"/>
      <c r="F100" s="341"/>
      <c r="G100" s="341"/>
      <c r="H100" s="327"/>
      <c r="I100" s="327"/>
      <c r="J100" s="327"/>
      <c r="K100" s="327"/>
      <c r="L100" s="327"/>
      <c r="M100" s="327"/>
      <c r="N100" s="327"/>
      <c r="O100" s="327"/>
      <c r="P100" s="327"/>
      <c r="Q100" s="327"/>
      <c r="R100" s="327"/>
      <c r="S100" s="327"/>
      <c r="T100" s="327"/>
      <c r="U100" s="327"/>
      <c r="V100" s="327"/>
      <c r="W100" s="327"/>
      <c r="X100" s="327"/>
      <c r="Y100" s="327"/>
      <c r="Z100" s="327"/>
      <c r="AA100" s="327"/>
      <c r="AB100" s="327"/>
    </row>
    <row r="101" spans="2:139">
      <c r="B101" s="342">
        <v>15</v>
      </c>
      <c r="C101" s="340" t="s">
        <v>1858</v>
      </c>
      <c r="D101" s="327"/>
      <c r="E101" s="327"/>
      <c r="F101" s="327"/>
      <c r="G101" s="327"/>
      <c r="H101" s="327"/>
      <c r="I101" s="327"/>
      <c r="J101" s="327"/>
      <c r="K101" s="327"/>
      <c r="L101" s="327"/>
      <c r="M101" s="327"/>
      <c r="N101" s="327"/>
      <c r="O101" s="327"/>
      <c r="P101" s="327"/>
      <c r="Q101" s="327"/>
      <c r="R101" s="327"/>
      <c r="S101" s="327"/>
      <c r="T101" s="327"/>
      <c r="U101" s="327"/>
      <c r="V101" s="327"/>
      <c r="W101" s="327"/>
      <c r="X101" s="327"/>
      <c r="Y101" s="327"/>
      <c r="Z101" s="327"/>
      <c r="AA101" s="327"/>
      <c r="AB101" s="327"/>
      <c r="DN101" s="327"/>
      <c r="DO101" s="327"/>
      <c r="DP101" s="327"/>
      <c r="DQ101" s="327"/>
      <c r="DR101" s="327"/>
      <c r="DS101" s="327"/>
      <c r="DT101" s="327"/>
      <c r="DU101" s="327"/>
      <c r="DV101" s="327"/>
      <c r="DW101" s="327"/>
      <c r="DX101" s="327"/>
      <c r="DY101" s="327"/>
      <c r="DZ101" s="327"/>
      <c r="EA101" s="327"/>
      <c r="EB101" s="327"/>
      <c r="EC101" s="327"/>
      <c r="ED101" s="327"/>
      <c r="EE101" s="327"/>
      <c r="EF101" s="327"/>
      <c r="EG101" s="327"/>
      <c r="EH101" s="327"/>
      <c r="EI101" s="327"/>
    </row>
    <row r="102" spans="2:139">
      <c r="B102" s="342">
        <v>16</v>
      </c>
      <c r="C102" s="341" t="s">
        <v>1860</v>
      </c>
      <c r="D102" s="327"/>
      <c r="E102" s="327"/>
      <c r="F102" s="327"/>
      <c r="G102" s="327"/>
      <c r="H102" s="327"/>
      <c r="I102" s="327"/>
      <c r="J102" s="327"/>
      <c r="K102" s="327"/>
      <c r="L102" s="327"/>
      <c r="M102" s="327"/>
      <c r="N102" s="327"/>
      <c r="O102" s="327"/>
      <c r="P102" s="327"/>
      <c r="Q102" s="327"/>
      <c r="R102" s="327"/>
      <c r="S102" s="327"/>
      <c r="T102" s="327"/>
      <c r="U102" s="327"/>
      <c r="V102" s="327"/>
      <c r="W102" s="327"/>
      <c r="X102" s="327"/>
      <c r="Y102" s="327"/>
      <c r="Z102" s="327"/>
      <c r="AA102" s="327"/>
      <c r="AB102" s="327"/>
      <c r="DN102" s="327"/>
      <c r="DO102" s="327"/>
      <c r="DP102" s="327"/>
      <c r="DQ102" s="327"/>
      <c r="DR102" s="327"/>
      <c r="DS102" s="327"/>
      <c r="DT102" s="327"/>
      <c r="DU102" s="327"/>
      <c r="DV102" s="327"/>
      <c r="DW102" s="327"/>
      <c r="DX102" s="327"/>
      <c r="DY102" s="327"/>
      <c r="DZ102" s="327"/>
      <c r="EA102" s="327"/>
      <c r="EB102" s="327"/>
      <c r="EC102" s="327"/>
      <c r="ED102" s="327"/>
      <c r="EE102" s="327"/>
      <c r="EF102" s="327"/>
      <c r="EG102" s="327"/>
      <c r="EH102" s="327"/>
      <c r="EI102" s="327"/>
    </row>
    <row r="103" spans="2:139">
      <c r="B103" s="342">
        <v>17</v>
      </c>
      <c r="C103" s="340" t="s">
        <v>1863</v>
      </c>
      <c r="D103" s="327"/>
      <c r="E103" s="327"/>
      <c r="F103" s="327"/>
      <c r="G103" s="327"/>
      <c r="H103" s="327"/>
      <c r="I103" s="327"/>
      <c r="J103" s="327"/>
      <c r="K103" s="327"/>
      <c r="L103" s="327"/>
      <c r="M103" s="327"/>
      <c r="N103" s="327"/>
      <c r="O103" s="327"/>
      <c r="P103" s="327"/>
      <c r="Q103" s="327"/>
      <c r="R103" s="327"/>
      <c r="S103" s="327"/>
      <c r="T103" s="327"/>
      <c r="U103" s="327"/>
      <c r="V103" s="327"/>
      <c r="W103" s="327"/>
      <c r="X103" s="327"/>
      <c r="Y103" s="327"/>
      <c r="Z103" s="327"/>
      <c r="AA103" s="327"/>
      <c r="AB103" s="327"/>
      <c r="DN103" s="352"/>
      <c r="DO103" s="327"/>
    </row>
    <row r="104" spans="2:139">
      <c r="B104" s="327"/>
      <c r="C104" s="327"/>
      <c r="D104" s="327"/>
      <c r="E104" s="327"/>
      <c r="F104" s="327"/>
      <c r="G104" s="327"/>
      <c r="H104" s="327"/>
      <c r="I104" s="327"/>
      <c r="J104" s="327"/>
      <c r="K104" s="327"/>
      <c r="L104" s="327"/>
      <c r="M104" s="327"/>
      <c r="N104" s="327"/>
      <c r="O104" s="327"/>
      <c r="P104" s="327"/>
      <c r="Q104" s="327"/>
      <c r="R104" s="327"/>
      <c r="S104" s="327"/>
      <c r="T104" s="327"/>
      <c r="U104" s="327"/>
      <c r="V104" s="327"/>
      <c r="W104" s="327"/>
      <c r="X104" s="327"/>
      <c r="Y104" s="327"/>
      <c r="Z104" s="327"/>
      <c r="AA104" s="327"/>
      <c r="AB104" s="327"/>
      <c r="DN104" s="327"/>
      <c r="DO104" s="327"/>
    </row>
    <row r="105" spans="2:139">
      <c r="DN105" s="327"/>
      <c r="DO105" s="327"/>
    </row>
    <row r="106" spans="2:139">
      <c r="DN106" s="327"/>
      <c r="DO106" s="327"/>
    </row>
    <row r="107" spans="2:139">
      <c r="DN107" s="327"/>
      <c r="DO107" s="327"/>
      <c r="EA107" s="327"/>
      <c r="EB107" s="327"/>
    </row>
    <row r="108" spans="2:139" ht="23.25">
      <c r="B108" s="327"/>
      <c r="C108" s="333" t="s">
        <v>1760</v>
      </c>
      <c r="D108" s="333"/>
      <c r="E108" s="333"/>
      <c r="F108" s="327"/>
      <c r="G108" s="327"/>
      <c r="H108" s="327"/>
      <c r="I108" s="327"/>
      <c r="J108" s="327"/>
      <c r="K108" s="327"/>
      <c r="L108" s="327"/>
      <c r="M108" s="327"/>
      <c r="N108" s="327"/>
      <c r="O108" s="327"/>
      <c r="P108" s="327"/>
      <c r="Q108" s="327"/>
      <c r="R108" s="327"/>
      <c r="S108" s="327"/>
      <c r="T108" s="327"/>
      <c r="U108" s="327"/>
      <c r="V108" s="327"/>
      <c r="W108" s="327"/>
      <c r="X108" s="327"/>
      <c r="Y108" s="327"/>
      <c r="Z108" s="327"/>
      <c r="AA108" s="327"/>
      <c r="AB108" s="327"/>
      <c r="AC108" s="327"/>
      <c r="AD108" s="327"/>
      <c r="AE108" s="327"/>
      <c r="AF108" s="327"/>
      <c r="DN108" s="327"/>
      <c r="DO108" s="327"/>
      <c r="EA108" s="327"/>
      <c r="EB108" s="327"/>
    </row>
    <row r="109" spans="2:139" ht="20.25">
      <c r="B109" s="327"/>
      <c r="C109" s="347" t="s">
        <v>1767</v>
      </c>
      <c r="D109" s="347"/>
      <c r="E109" s="347"/>
      <c r="F109" s="347"/>
      <c r="G109" s="347"/>
      <c r="H109" s="347"/>
      <c r="I109" s="347"/>
      <c r="J109" s="348"/>
      <c r="K109" s="327"/>
      <c r="DN109" s="327"/>
      <c r="DO109" s="327"/>
      <c r="EA109" s="327"/>
      <c r="EB109" s="327"/>
    </row>
    <row r="110" spans="2:139">
      <c r="B110" s="342">
        <v>1</v>
      </c>
      <c r="C110" s="363" t="s">
        <v>1776</v>
      </c>
      <c r="D110" s="363"/>
      <c r="E110" s="327"/>
      <c r="F110" s="327"/>
      <c r="G110" s="327"/>
      <c r="H110" s="327"/>
      <c r="I110" s="327"/>
      <c r="J110" s="327"/>
      <c r="K110" s="327"/>
      <c r="DN110" s="327"/>
      <c r="DO110" s="327"/>
      <c r="EA110" s="327"/>
      <c r="EB110" s="327"/>
    </row>
    <row r="111" spans="2:139">
      <c r="B111" s="342">
        <v>2</v>
      </c>
      <c r="C111" s="340" t="s">
        <v>1785</v>
      </c>
      <c r="D111" s="327"/>
      <c r="E111" s="327"/>
      <c r="F111" s="327"/>
      <c r="G111" s="327"/>
      <c r="H111" s="327"/>
      <c r="I111" s="327"/>
      <c r="J111" s="327"/>
      <c r="K111" s="327"/>
      <c r="DN111" s="327"/>
      <c r="DO111" s="327"/>
      <c r="EA111" s="327"/>
      <c r="EB111" s="327"/>
    </row>
    <row r="112" spans="2:139">
      <c r="B112" s="342">
        <v>3</v>
      </c>
      <c r="C112" s="363" t="s">
        <v>1795</v>
      </c>
      <c r="D112" s="363"/>
      <c r="E112" s="327"/>
      <c r="F112" s="327"/>
      <c r="G112" s="327"/>
      <c r="H112" s="327"/>
      <c r="I112" s="327"/>
      <c r="J112" s="327"/>
      <c r="K112" s="327"/>
      <c r="DN112" s="327"/>
      <c r="DO112" s="327"/>
      <c r="EA112" s="327"/>
      <c r="EB112" s="327"/>
    </row>
    <row r="113" spans="2:132">
      <c r="B113" s="327"/>
      <c r="C113" s="327"/>
      <c r="D113" s="327"/>
      <c r="E113" s="327"/>
      <c r="F113" s="327"/>
      <c r="G113" s="327"/>
      <c r="H113" s="327"/>
      <c r="I113" s="327"/>
      <c r="J113" s="327"/>
      <c r="K113" s="327"/>
      <c r="DN113" s="327"/>
      <c r="DO113" s="327"/>
      <c r="EA113" s="327"/>
      <c r="EB113" s="327"/>
    </row>
    <row r="114" spans="2:132">
      <c r="B114" s="327"/>
      <c r="C114" s="327"/>
      <c r="D114" s="327"/>
      <c r="E114" s="327"/>
      <c r="F114" s="327"/>
      <c r="G114" s="327"/>
      <c r="H114" s="327"/>
      <c r="I114" s="327"/>
      <c r="J114" s="327"/>
      <c r="K114" s="327"/>
      <c r="DN114" s="327"/>
      <c r="DO114" s="327"/>
      <c r="EA114" s="327"/>
      <c r="EB114" s="327"/>
    </row>
    <row r="115" spans="2:132">
      <c r="B115" s="327"/>
      <c r="C115" s="327"/>
      <c r="D115" s="327"/>
      <c r="E115" s="327"/>
      <c r="F115" s="327"/>
      <c r="G115" s="327"/>
      <c r="H115" s="327"/>
      <c r="I115" s="327"/>
      <c r="J115" s="327"/>
      <c r="K115" s="327"/>
      <c r="V115" s="327"/>
      <c r="W115" s="327"/>
      <c r="X115" s="327"/>
      <c r="Y115" s="327"/>
      <c r="Z115" s="327"/>
      <c r="AA115" s="327"/>
      <c r="AB115" s="327"/>
      <c r="AC115" s="327"/>
      <c r="AD115" s="327"/>
      <c r="AE115" s="327"/>
      <c r="AF115" s="327"/>
      <c r="DN115" s="327"/>
      <c r="DO115" s="327"/>
      <c r="EA115" s="327"/>
      <c r="EB115" s="327"/>
    </row>
    <row r="116" spans="2:132" ht="20.25">
      <c r="B116" s="327"/>
      <c r="C116" s="347" t="s">
        <v>1768</v>
      </c>
      <c r="D116" s="347"/>
      <c r="E116" s="347"/>
      <c r="F116" s="347"/>
      <c r="G116" s="347"/>
      <c r="H116" s="347"/>
      <c r="I116" s="347"/>
      <c r="J116" s="348"/>
      <c r="K116" s="348"/>
      <c r="V116" s="327"/>
      <c r="W116" s="327"/>
      <c r="X116" s="327"/>
      <c r="Y116" s="327"/>
      <c r="Z116" s="327"/>
      <c r="AA116" s="327"/>
      <c r="AB116" s="327"/>
      <c r="AC116" s="327"/>
      <c r="AD116" s="327"/>
      <c r="AE116" s="327"/>
      <c r="AF116" s="327"/>
      <c r="DN116" s="327"/>
      <c r="DO116" s="327"/>
      <c r="EA116" s="327"/>
      <c r="EB116" s="327"/>
    </row>
    <row r="117" spans="2:132">
      <c r="B117" s="342">
        <v>1</v>
      </c>
      <c r="C117" s="340" t="s">
        <v>1777</v>
      </c>
      <c r="D117" s="327"/>
      <c r="E117" s="327"/>
      <c r="F117" s="327"/>
      <c r="G117" s="327"/>
      <c r="H117" s="327"/>
      <c r="I117" s="327"/>
      <c r="J117" s="327"/>
      <c r="K117" s="327"/>
      <c r="L117" s="327"/>
      <c r="M117" s="327"/>
      <c r="N117" s="327"/>
      <c r="O117" s="327"/>
      <c r="P117" s="327"/>
      <c r="Q117" s="327"/>
      <c r="R117" s="327"/>
      <c r="S117" s="327"/>
      <c r="T117" s="327"/>
      <c r="U117" s="327"/>
      <c r="V117" s="327"/>
      <c r="W117" s="327"/>
      <c r="X117" s="327"/>
      <c r="Y117" s="327"/>
      <c r="Z117" s="327"/>
      <c r="AA117" s="327"/>
      <c r="AB117" s="327"/>
      <c r="AC117" s="327"/>
      <c r="AD117" s="327"/>
      <c r="AE117" s="327"/>
      <c r="AF117" s="327"/>
      <c r="DN117" s="327"/>
      <c r="DO117" s="327"/>
      <c r="EA117" s="327"/>
      <c r="EB117" s="327"/>
    </row>
    <row r="118" spans="2:132">
      <c r="B118" s="342">
        <v>2</v>
      </c>
      <c r="C118" s="345" t="s">
        <v>1786</v>
      </c>
      <c r="D118" s="327"/>
      <c r="E118" s="327"/>
      <c r="F118" s="327"/>
      <c r="G118" s="327"/>
      <c r="H118" s="327"/>
      <c r="I118" s="327"/>
      <c r="J118" s="327"/>
      <c r="K118" s="327"/>
      <c r="DN118" s="327"/>
      <c r="DO118" s="327"/>
      <c r="EA118" s="327"/>
      <c r="EB118" s="327"/>
    </row>
    <row r="119" spans="2:132">
      <c r="B119" s="342">
        <v>3</v>
      </c>
      <c r="C119" s="340" t="s">
        <v>1796</v>
      </c>
      <c r="D119" s="340"/>
      <c r="E119" s="327"/>
      <c r="F119" s="327"/>
      <c r="G119" s="327"/>
      <c r="H119" s="327"/>
      <c r="I119" s="327"/>
      <c r="J119" s="327"/>
      <c r="K119" s="327"/>
      <c r="DN119" s="327"/>
      <c r="DO119" s="327"/>
      <c r="EA119" s="327"/>
      <c r="EB119" s="327"/>
    </row>
    <row r="120" spans="2:132">
      <c r="B120" s="342">
        <v>4</v>
      </c>
      <c r="C120" s="345" t="s">
        <v>1805</v>
      </c>
      <c r="D120" s="345"/>
      <c r="E120" s="345"/>
      <c r="F120" s="345"/>
      <c r="G120" s="327"/>
      <c r="H120" s="327"/>
      <c r="I120" s="327"/>
      <c r="J120" s="327"/>
      <c r="K120" s="327"/>
    </row>
    <row r="121" spans="2:132">
      <c r="B121" s="342">
        <v>5</v>
      </c>
      <c r="C121" s="340" t="s">
        <v>1814</v>
      </c>
      <c r="D121" s="340"/>
      <c r="E121" s="340"/>
      <c r="F121" s="327"/>
      <c r="G121" s="327"/>
      <c r="H121" s="327"/>
      <c r="I121" s="327"/>
      <c r="J121" s="327"/>
      <c r="K121" s="327"/>
    </row>
    <row r="122" spans="2:132">
      <c r="B122" s="342">
        <v>6</v>
      </c>
      <c r="C122" s="345" t="s">
        <v>1820</v>
      </c>
      <c r="D122" s="345"/>
      <c r="E122" s="327"/>
      <c r="F122" s="327"/>
      <c r="G122" s="327"/>
      <c r="H122" s="327"/>
      <c r="I122" s="327"/>
      <c r="J122" s="327"/>
      <c r="K122" s="327"/>
    </row>
    <row r="123" spans="2:132">
      <c r="B123" s="342">
        <v>7</v>
      </c>
      <c r="C123" s="340" t="s">
        <v>1826</v>
      </c>
      <c r="D123" s="340"/>
      <c r="E123" s="327"/>
      <c r="F123" s="327"/>
      <c r="G123" s="327"/>
      <c r="H123" s="327"/>
      <c r="I123" s="327"/>
      <c r="J123" s="327"/>
      <c r="K123" s="327"/>
    </row>
    <row r="127" spans="2:132" ht="20.25">
      <c r="B127" s="327"/>
      <c r="C127" s="347" t="s">
        <v>1769</v>
      </c>
      <c r="D127" s="347"/>
      <c r="E127" s="347"/>
      <c r="F127" s="347"/>
      <c r="G127" s="347"/>
      <c r="H127" s="347"/>
      <c r="I127" s="347"/>
      <c r="J127" s="347"/>
      <c r="K127" s="348"/>
      <c r="L127" s="348"/>
    </row>
    <row r="128" spans="2:132">
      <c r="B128" s="342">
        <v>1</v>
      </c>
      <c r="C128" s="341" t="s">
        <v>1778</v>
      </c>
      <c r="D128" s="341"/>
      <c r="E128" s="341"/>
      <c r="F128" s="341"/>
      <c r="G128" s="341"/>
      <c r="H128" s="341"/>
      <c r="I128" s="341"/>
      <c r="J128" s="341"/>
      <c r="K128" s="341"/>
      <c r="L128" s="341"/>
    </row>
    <row r="129" spans="2:13">
      <c r="B129" s="342">
        <v>2</v>
      </c>
      <c r="C129" s="363" t="s">
        <v>1787</v>
      </c>
      <c r="D129" s="327"/>
      <c r="E129" s="327"/>
      <c r="F129" s="327"/>
      <c r="G129" s="327"/>
      <c r="H129" s="327"/>
      <c r="I129" s="327"/>
      <c r="J129" s="327"/>
      <c r="K129" s="327"/>
      <c r="L129" s="327"/>
    </row>
    <row r="130" spans="2:13">
      <c r="B130" s="342">
        <v>3</v>
      </c>
      <c r="C130" s="341" t="s">
        <v>1797</v>
      </c>
      <c r="D130" s="341"/>
      <c r="E130" s="327"/>
      <c r="F130" s="327"/>
      <c r="G130" s="327"/>
      <c r="H130" s="327"/>
      <c r="I130" s="327"/>
      <c r="J130" s="327"/>
      <c r="K130" s="327"/>
      <c r="L130" s="327"/>
    </row>
    <row r="131" spans="2:13">
      <c r="B131" s="342">
        <v>4</v>
      </c>
      <c r="C131" s="363" t="s">
        <v>1806</v>
      </c>
      <c r="D131" s="363"/>
      <c r="E131" s="327"/>
      <c r="F131" s="327"/>
      <c r="G131" s="327"/>
      <c r="H131" s="327"/>
      <c r="I131" s="327"/>
      <c r="J131" s="327"/>
      <c r="K131" s="327"/>
      <c r="L131" s="327"/>
    </row>
    <row r="132" spans="2:13">
      <c r="B132" s="342">
        <v>5</v>
      </c>
      <c r="C132" s="341" t="s">
        <v>1815</v>
      </c>
      <c r="D132" s="341"/>
      <c r="E132" s="327"/>
      <c r="F132" s="327"/>
      <c r="G132" s="327"/>
      <c r="H132" s="327"/>
      <c r="I132" s="327"/>
      <c r="J132" s="327"/>
      <c r="K132" s="327"/>
      <c r="L132" s="327"/>
    </row>
    <row r="138" spans="2:13" ht="27">
      <c r="B138" s="336"/>
      <c r="C138" s="327"/>
      <c r="D138" s="327"/>
      <c r="E138" s="371" t="s">
        <v>1869</v>
      </c>
      <c r="F138" s="371"/>
      <c r="G138" s="345"/>
      <c r="H138" s="327"/>
      <c r="I138" s="327"/>
      <c r="J138" s="327"/>
      <c r="K138" s="327"/>
      <c r="L138" s="327"/>
      <c r="M138" s="327"/>
    </row>
    <row r="139" spans="2:13" ht="20.25">
      <c r="B139" s="327"/>
      <c r="C139" s="327"/>
      <c r="D139" s="327"/>
      <c r="E139" s="350" t="s">
        <v>1870</v>
      </c>
      <c r="F139" s="348"/>
      <c r="G139" s="348"/>
      <c r="H139" s="348"/>
      <c r="I139" s="348"/>
      <c r="J139" s="327"/>
      <c r="K139" s="327"/>
      <c r="L139" s="327"/>
      <c r="M139" s="327"/>
    </row>
    <row r="140" spans="2:13" ht="20.25">
      <c r="B140" s="327"/>
      <c r="C140" s="351" t="s">
        <v>1873</v>
      </c>
      <c r="D140" s="352"/>
      <c r="E140" s="352"/>
      <c r="F140" s="352"/>
      <c r="G140" s="352"/>
      <c r="H140" s="352"/>
      <c r="I140" s="352"/>
      <c r="J140" s="352"/>
      <c r="K140" s="352"/>
      <c r="L140" s="352"/>
      <c r="M140" s="327"/>
    </row>
    <row r="141" spans="2:13">
      <c r="B141" s="342">
        <v>1</v>
      </c>
      <c r="C141" s="363" t="s">
        <v>1882</v>
      </c>
      <c r="D141" s="327"/>
      <c r="E141" s="327"/>
      <c r="F141" s="327"/>
      <c r="G141" s="327"/>
      <c r="H141" s="327"/>
      <c r="I141" s="327"/>
      <c r="J141" s="327"/>
      <c r="K141" s="327"/>
      <c r="L141" s="327"/>
      <c r="M141" s="327"/>
    </row>
    <row r="142" spans="2:13">
      <c r="B142" s="342">
        <v>2</v>
      </c>
      <c r="C142" s="341" t="s">
        <v>1891</v>
      </c>
      <c r="D142" s="327"/>
      <c r="E142" s="327"/>
      <c r="F142" s="327"/>
      <c r="G142" s="327"/>
      <c r="H142" s="327"/>
      <c r="I142" s="327"/>
      <c r="J142" s="327"/>
      <c r="K142" s="327"/>
      <c r="L142" s="327"/>
      <c r="M142" s="327"/>
    </row>
    <row r="143" spans="2:13">
      <c r="B143" s="342">
        <v>3</v>
      </c>
      <c r="C143" s="363" t="s">
        <v>1900</v>
      </c>
      <c r="D143" s="327"/>
      <c r="E143" s="327"/>
      <c r="F143" s="327"/>
      <c r="G143" s="327"/>
      <c r="H143" s="327"/>
      <c r="I143" s="327"/>
      <c r="J143" s="327"/>
      <c r="K143" s="327"/>
      <c r="L143" s="327"/>
      <c r="M143" s="327"/>
    </row>
    <row r="144" spans="2:13">
      <c r="B144" s="342">
        <v>4</v>
      </c>
      <c r="C144" s="341" t="s">
        <v>1908</v>
      </c>
      <c r="D144" s="327"/>
      <c r="E144" s="327"/>
      <c r="F144" s="327"/>
      <c r="G144" s="327"/>
      <c r="H144" s="327"/>
      <c r="I144" s="327"/>
      <c r="J144" s="327"/>
      <c r="K144" s="327"/>
      <c r="L144" s="327"/>
      <c r="M144" s="327"/>
    </row>
    <row r="145" spans="1:117">
      <c r="B145" s="342">
        <v>5</v>
      </c>
      <c r="C145" s="363" t="s">
        <v>1916</v>
      </c>
      <c r="D145" s="327"/>
      <c r="E145" s="327"/>
      <c r="F145" s="327"/>
      <c r="G145" s="327"/>
      <c r="H145" s="327"/>
      <c r="I145" s="327"/>
      <c r="J145" s="327"/>
      <c r="K145" s="327"/>
      <c r="L145" s="327"/>
      <c r="M145" s="327"/>
    </row>
    <row r="146" spans="1:117">
      <c r="B146" s="342">
        <v>6</v>
      </c>
      <c r="C146" s="341" t="s">
        <v>1924</v>
      </c>
      <c r="D146" s="327"/>
      <c r="E146" s="327"/>
      <c r="F146" s="327"/>
      <c r="G146" s="327"/>
      <c r="H146" s="327"/>
      <c r="I146" s="327"/>
      <c r="J146" s="327"/>
      <c r="K146" s="327"/>
      <c r="L146" s="327"/>
      <c r="M146" s="327"/>
    </row>
    <row r="147" spans="1:117">
      <c r="B147" s="342">
        <v>7</v>
      </c>
      <c r="C147" s="363" t="s">
        <v>1931</v>
      </c>
      <c r="D147" s="363"/>
      <c r="E147" s="327"/>
      <c r="F147" s="327"/>
      <c r="G147" s="327"/>
      <c r="H147" s="327"/>
      <c r="I147" s="327"/>
      <c r="J147" s="327"/>
      <c r="K147" s="327"/>
      <c r="L147" s="327"/>
      <c r="M147" s="327"/>
    </row>
    <row r="150" spans="1:117" ht="20.25">
      <c r="B150" s="327"/>
      <c r="C150" s="350" t="s">
        <v>1874</v>
      </c>
      <c r="D150" s="365"/>
      <c r="E150" s="348"/>
      <c r="F150" s="348"/>
      <c r="G150" s="348"/>
      <c r="H150" s="348"/>
      <c r="I150" s="348"/>
      <c r="J150" s="348"/>
      <c r="K150" s="348"/>
      <c r="L150" s="327"/>
    </row>
    <row r="151" spans="1:117" ht="27">
      <c r="A151" s="335"/>
      <c r="B151" s="342">
        <v>1</v>
      </c>
      <c r="C151" s="340" t="s">
        <v>1883</v>
      </c>
      <c r="D151" s="327"/>
      <c r="E151" s="327"/>
      <c r="F151" s="327"/>
      <c r="G151" s="327"/>
      <c r="H151" s="327"/>
      <c r="I151" s="327"/>
      <c r="J151" s="327"/>
      <c r="K151" s="327"/>
      <c r="L151" s="327"/>
      <c r="N151" s="327"/>
      <c r="O151" s="327"/>
      <c r="P151" s="327"/>
      <c r="Q151" s="327"/>
      <c r="R151" s="327"/>
      <c r="S151" s="327"/>
      <c r="T151" s="327"/>
      <c r="U151" s="327"/>
      <c r="V151" s="327"/>
      <c r="W151" s="327"/>
      <c r="X151" s="327"/>
      <c r="Y151" s="327"/>
      <c r="Z151" s="327"/>
      <c r="AA151" s="327"/>
      <c r="AB151" s="327"/>
      <c r="AC151" s="327"/>
      <c r="AD151" s="327"/>
      <c r="AE151" s="327"/>
      <c r="AF151" s="327"/>
      <c r="AG151" s="327"/>
      <c r="AH151" s="327"/>
      <c r="AI151" s="327"/>
      <c r="AJ151" s="327"/>
      <c r="AK151" s="327"/>
      <c r="AL151" s="327"/>
      <c r="AM151" s="327"/>
      <c r="AN151" s="327"/>
      <c r="AO151" s="327"/>
      <c r="AP151" s="327"/>
      <c r="AQ151" s="327"/>
      <c r="AR151" s="327"/>
      <c r="AS151" s="327"/>
      <c r="AT151" s="327"/>
      <c r="AU151" s="327"/>
      <c r="AV151" s="327"/>
      <c r="AW151" s="327"/>
      <c r="AX151" s="327"/>
      <c r="AY151" s="327"/>
      <c r="AZ151" s="327"/>
      <c r="BA151" s="327"/>
      <c r="BB151" s="327"/>
      <c r="BC151" s="327"/>
      <c r="BD151" s="327"/>
      <c r="BE151" s="327"/>
      <c r="BF151" s="327"/>
      <c r="BG151" s="327"/>
      <c r="BH151" s="327"/>
      <c r="BI151" s="327"/>
      <c r="BJ151" s="327"/>
      <c r="BK151" s="327"/>
      <c r="BL151" s="327"/>
      <c r="BM151" s="327"/>
      <c r="BN151" s="327"/>
      <c r="BO151" s="327"/>
      <c r="BP151" s="327"/>
      <c r="BQ151" s="327"/>
      <c r="BR151" s="327"/>
      <c r="BS151" s="327"/>
      <c r="BT151" s="327"/>
      <c r="BU151" s="327"/>
      <c r="BV151" s="327"/>
      <c r="BW151" s="327"/>
      <c r="BX151" s="327"/>
      <c r="BY151" s="332"/>
      <c r="BZ151" s="332"/>
      <c r="CA151" s="327"/>
      <c r="CB151" s="327"/>
      <c r="CC151" s="327"/>
      <c r="CD151" s="327"/>
      <c r="CE151" s="327"/>
      <c r="CF151" s="327"/>
      <c r="CG151" s="327"/>
      <c r="CH151" s="327"/>
      <c r="CI151" s="327"/>
      <c r="CJ151" s="327"/>
      <c r="CK151" s="327"/>
      <c r="CL151" s="327"/>
      <c r="CM151" s="327"/>
      <c r="CN151" s="327"/>
      <c r="CO151" s="327"/>
      <c r="CP151" s="327"/>
      <c r="CQ151" s="327"/>
      <c r="CR151" s="327"/>
      <c r="CS151" s="327"/>
      <c r="CT151" s="327"/>
      <c r="CU151" s="327"/>
      <c r="CV151" s="327"/>
      <c r="CW151" s="327"/>
      <c r="CX151" s="327"/>
      <c r="CY151" s="327"/>
      <c r="CZ151" s="327"/>
      <c r="DA151" s="327"/>
      <c r="DB151" s="327"/>
      <c r="DC151" s="327"/>
      <c r="DD151" s="327"/>
      <c r="DE151" s="327"/>
      <c r="DF151" s="327"/>
      <c r="DG151" s="327"/>
      <c r="DH151" s="327"/>
      <c r="DI151" s="327"/>
      <c r="DJ151" s="327"/>
      <c r="DK151" s="327"/>
      <c r="DL151" s="327"/>
      <c r="DM151" s="327"/>
    </row>
    <row r="152" spans="1:117">
      <c r="A152" s="327"/>
      <c r="B152" s="342">
        <v>2</v>
      </c>
      <c r="C152" s="341" t="s">
        <v>1892</v>
      </c>
      <c r="D152" s="327"/>
      <c r="E152" s="327"/>
      <c r="F152" s="327"/>
      <c r="G152" s="327"/>
      <c r="H152" s="327"/>
      <c r="I152" s="327"/>
      <c r="J152" s="327"/>
      <c r="K152" s="327"/>
      <c r="L152" s="327"/>
      <c r="N152" s="327"/>
      <c r="O152" s="327"/>
      <c r="P152" s="327"/>
      <c r="Q152" s="327"/>
      <c r="R152" s="327"/>
      <c r="S152" s="327"/>
      <c r="T152" s="327"/>
      <c r="U152" s="327"/>
      <c r="V152" s="327"/>
      <c r="W152" s="327"/>
      <c r="X152" s="327"/>
      <c r="Y152" s="327"/>
      <c r="Z152" s="327"/>
      <c r="AA152" s="327"/>
      <c r="AB152" s="327"/>
      <c r="AC152" s="327"/>
      <c r="AD152" s="327"/>
      <c r="AE152" s="327"/>
      <c r="AF152" s="327"/>
      <c r="AG152" s="327"/>
      <c r="AH152" s="327"/>
      <c r="AI152" s="327"/>
      <c r="AJ152" s="327"/>
      <c r="AK152" s="327"/>
      <c r="AL152" s="327"/>
      <c r="AM152" s="327"/>
      <c r="AN152" s="327"/>
      <c r="AO152" s="327"/>
      <c r="AP152" s="327"/>
      <c r="AQ152" s="327"/>
      <c r="AR152" s="327"/>
      <c r="AS152" s="327"/>
      <c r="AT152" s="327"/>
      <c r="AU152" s="327"/>
      <c r="AV152" s="327"/>
      <c r="AW152" s="327"/>
      <c r="AX152" s="327"/>
      <c r="AY152" s="327"/>
      <c r="AZ152" s="327"/>
      <c r="BA152" s="327"/>
      <c r="BB152" s="327"/>
      <c r="BC152" s="327"/>
      <c r="BD152" s="327"/>
      <c r="BE152" s="327"/>
      <c r="BF152" s="327"/>
      <c r="BG152" s="327"/>
      <c r="BH152" s="327"/>
      <c r="BI152" s="327"/>
      <c r="BJ152" s="327"/>
      <c r="BK152" s="327"/>
      <c r="BL152" s="327"/>
      <c r="BM152" s="327"/>
      <c r="BN152" s="327"/>
      <c r="BO152" s="327"/>
      <c r="BP152" s="327"/>
      <c r="BQ152" s="327"/>
      <c r="BR152" s="327"/>
      <c r="BS152" s="327"/>
      <c r="BT152" s="327"/>
      <c r="BU152" s="327"/>
      <c r="BV152" s="327"/>
      <c r="CL152" s="327"/>
      <c r="CM152" s="327"/>
      <c r="CN152" s="327"/>
      <c r="CO152" s="327"/>
      <c r="CP152" s="327"/>
      <c r="CQ152" s="327"/>
      <c r="CR152" s="327"/>
      <c r="CS152" s="327"/>
      <c r="CT152" s="327"/>
      <c r="CU152" s="327"/>
      <c r="CV152" s="327"/>
      <c r="CW152" s="327"/>
      <c r="CX152" s="327"/>
      <c r="CY152" s="327"/>
      <c r="CZ152" s="327"/>
      <c r="DA152" s="327"/>
      <c r="DB152" s="327"/>
      <c r="DC152" s="327"/>
      <c r="DD152" s="327"/>
    </row>
    <row r="153" spans="1:117">
      <c r="A153" s="327"/>
      <c r="B153" s="342">
        <v>3</v>
      </c>
      <c r="C153" s="340" t="s">
        <v>1901</v>
      </c>
      <c r="D153" s="327"/>
      <c r="E153" s="327"/>
      <c r="F153" s="327"/>
      <c r="G153" s="327"/>
      <c r="H153" s="327"/>
      <c r="I153" s="327"/>
      <c r="J153" s="327"/>
      <c r="K153" s="327"/>
      <c r="L153" s="327"/>
      <c r="N153" s="327"/>
      <c r="O153" s="327"/>
      <c r="AA153" s="327"/>
      <c r="AB153" s="327"/>
      <c r="BV153" s="327"/>
    </row>
    <row r="154" spans="1:117">
      <c r="A154" s="327"/>
      <c r="B154" s="342">
        <v>4</v>
      </c>
      <c r="C154" s="341" t="s">
        <v>1909</v>
      </c>
      <c r="D154" s="341"/>
      <c r="E154" s="327"/>
      <c r="F154" s="327"/>
      <c r="G154" s="327"/>
      <c r="H154" s="327"/>
      <c r="I154" s="327"/>
      <c r="J154" s="327"/>
      <c r="K154" s="327"/>
      <c r="L154" s="327"/>
      <c r="N154" s="327"/>
      <c r="O154" s="327"/>
      <c r="AA154" s="327"/>
      <c r="AB154" s="327"/>
      <c r="BV154" s="327"/>
    </row>
    <row r="155" spans="1:117">
      <c r="A155" s="327"/>
      <c r="B155" s="342">
        <v>5</v>
      </c>
      <c r="C155" s="340" t="s">
        <v>1917</v>
      </c>
      <c r="D155" s="340"/>
      <c r="E155" s="340"/>
      <c r="F155" s="340"/>
      <c r="G155" s="327"/>
      <c r="H155" s="327"/>
      <c r="I155" s="327"/>
      <c r="J155" s="327"/>
      <c r="K155" s="327"/>
      <c r="L155" s="327"/>
      <c r="N155" s="327"/>
      <c r="O155" s="327"/>
      <c r="AA155" s="327"/>
      <c r="AB155" s="327"/>
      <c r="BV155" s="327"/>
    </row>
    <row r="156" spans="1:117">
      <c r="A156" s="327"/>
      <c r="B156" s="342">
        <v>6</v>
      </c>
      <c r="C156" s="341" t="s">
        <v>1925</v>
      </c>
      <c r="D156" s="341"/>
      <c r="E156" s="327"/>
      <c r="F156" s="327"/>
      <c r="G156" s="327"/>
      <c r="H156" s="327"/>
      <c r="I156" s="327"/>
      <c r="J156" s="327"/>
      <c r="K156" s="327"/>
      <c r="L156" s="327"/>
      <c r="N156" s="327"/>
      <c r="O156" s="327"/>
      <c r="AA156" s="327"/>
      <c r="AB156" s="327"/>
      <c r="BV156" s="327"/>
    </row>
    <row r="157" spans="1:117">
      <c r="A157" s="327"/>
      <c r="B157" s="327"/>
      <c r="C157" s="327"/>
      <c r="D157" s="327"/>
      <c r="E157" s="327"/>
      <c r="F157" s="327"/>
      <c r="G157" s="327"/>
      <c r="H157" s="327"/>
      <c r="I157" s="327"/>
      <c r="J157" s="327"/>
      <c r="K157" s="327"/>
      <c r="L157" s="327"/>
      <c r="N157" s="327"/>
      <c r="O157" s="327"/>
      <c r="AA157" s="327"/>
      <c r="AB157" s="327"/>
      <c r="BV157" s="327"/>
    </row>
    <row r="158" spans="1:117">
      <c r="A158" s="327"/>
      <c r="N158" s="327"/>
      <c r="O158" s="327"/>
      <c r="AA158" s="327"/>
      <c r="AB158" s="327"/>
      <c r="BV158" s="327"/>
    </row>
    <row r="159" spans="1:117">
      <c r="A159" s="327"/>
      <c r="N159" s="327"/>
      <c r="O159" s="327"/>
      <c r="AA159" s="327"/>
      <c r="AB159" s="327"/>
      <c r="BV159" s="327"/>
      <c r="DE159" s="327"/>
      <c r="DF159" s="327"/>
      <c r="DG159" s="327"/>
      <c r="DH159" s="327"/>
      <c r="DI159" s="327"/>
      <c r="DJ159" s="327"/>
      <c r="DK159" s="327"/>
      <c r="DL159" s="327"/>
      <c r="DM159" s="327"/>
    </row>
    <row r="160" spans="1:117">
      <c r="A160" s="327"/>
      <c r="N160" s="327"/>
      <c r="O160" s="327"/>
      <c r="AA160" s="327"/>
      <c r="AB160" s="327"/>
      <c r="BV160" s="327"/>
      <c r="DE160" s="327"/>
      <c r="DF160" s="327"/>
      <c r="DG160" s="327"/>
      <c r="DH160" s="327"/>
      <c r="DI160" s="327"/>
      <c r="DJ160" s="327"/>
      <c r="DK160" s="327"/>
      <c r="DL160" s="327"/>
      <c r="DM160" s="327"/>
    </row>
    <row r="161" spans="1:117" ht="20.25">
      <c r="A161" s="327"/>
      <c r="B161" s="327"/>
      <c r="C161" s="350" t="s">
        <v>1875</v>
      </c>
      <c r="D161" s="348"/>
      <c r="E161" s="348"/>
      <c r="F161" s="348"/>
      <c r="G161" s="348"/>
      <c r="H161" s="348"/>
      <c r="I161" s="348"/>
      <c r="J161" s="348"/>
      <c r="K161" s="348"/>
      <c r="L161" s="348"/>
      <c r="M161" s="348"/>
      <c r="N161" s="327"/>
      <c r="O161" s="327"/>
      <c r="P161" s="327"/>
      <c r="Q161" s="327"/>
      <c r="R161" s="327"/>
      <c r="S161" s="327"/>
      <c r="T161" s="327"/>
      <c r="U161" s="327"/>
      <c r="V161" s="327"/>
      <c r="W161" s="327"/>
      <c r="X161" s="327"/>
      <c r="Y161" s="327"/>
      <c r="Z161" s="327"/>
      <c r="AA161" s="327"/>
      <c r="AB161" s="327"/>
      <c r="AC161" s="327"/>
      <c r="AD161" s="327"/>
      <c r="AE161" s="327"/>
      <c r="AF161" s="327"/>
      <c r="AG161" s="327"/>
      <c r="AH161" s="327"/>
      <c r="AI161" s="327"/>
      <c r="AJ161" s="327"/>
      <c r="AK161" s="327"/>
      <c r="AL161" s="327"/>
      <c r="AM161" s="327"/>
      <c r="AN161" s="327"/>
      <c r="AO161" s="327"/>
      <c r="AP161" s="327"/>
      <c r="AQ161" s="327"/>
      <c r="AR161" s="327"/>
      <c r="AS161" s="327"/>
      <c r="AT161" s="327"/>
      <c r="BV161" s="327"/>
      <c r="DE161" s="327"/>
      <c r="DF161" s="327"/>
      <c r="DG161" s="327"/>
      <c r="DH161" s="327"/>
      <c r="DI161" s="327"/>
      <c r="DJ161" s="327"/>
      <c r="DK161" s="327"/>
      <c r="DL161" s="327"/>
      <c r="DM161" s="327"/>
    </row>
    <row r="162" spans="1:117">
      <c r="A162" s="327"/>
      <c r="B162" s="342">
        <v>1</v>
      </c>
      <c r="C162" s="340" t="s">
        <v>1884</v>
      </c>
      <c r="D162" s="340"/>
      <c r="E162" s="327"/>
      <c r="F162" s="327"/>
      <c r="G162" s="327"/>
      <c r="H162" s="327"/>
      <c r="I162" s="327"/>
      <c r="J162" s="327"/>
      <c r="K162" s="327"/>
      <c r="L162" s="327"/>
      <c r="M162" s="327"/>
      <c r="N162" s="327"/>
      <c r="O162" s="327"/>
      <c r="P162" s="327"/>
      <c r="Q162" s="327"/>
      <c r="R162" s="327"/>
      <c r="S162" s="327"/>
      <c r="T162" s="327"/>
      <c r="U162" s="327"/>
      <c r="V162" s="327"/>
      <c r="W162" s="327"/>
      <c r="X162" s="327"/>
      <c r="Y162" s="327"/>
      <c r="Z162" s="327"/>
      <c r="AA162" s="327"/>
      <c r="AB162" s="327"/>
      <c r="AC162" s="327"/>
      <c r="AD162" s="327"/>
      <c r="AE162" s="327"/>
      <c r="AF162" s="327"/>
      <c r="AG162" s="327"/>
      <c r="AH162" s="327"/>
      <c r="AI162" s="327"/>
      <c r="AJ162" s="327"/>
      <c r="AK162" s="327"/>
      <c r="AL162" s="327"/>
      <c r="AM162" s="327"/>
      <c r="AN162" s="327"/>
      <c r="AO162" s="327"/>
      <c r="AP162" s="327"/>
      <c r="AQ162" s="327"/>
      <c r="AR162" s="327"/>
      <c r="AS162" s="327"/>
      <c r="AT162" s="327"/>
      <c r="BV162" s="327"/>
      <c r="DE162" s="327"/>
      <c r="DF162" s="327"/>
      <c r="DG162" s="327"/>
      <c r="DH162" s="327"/>
      <c r="DI162" s="327"/>
      <c r="DJ162" s="327"/>
      <c r="DK162" s="327"/>
      <c r="DL162" s="327"/>
      <c r="DM162" s="327"/>
    </row>
    <row r="163" spans="1:117">
      <c r="A163" s="327"/>
      <c r="B163" s="342">
        <v>2</v>
      </c>
      <c r="C163" s="341" t="s">
        <v>1893</v>
      </c>
      <c r="D163" s="341"/>
      <c r="E163" s="327"/>
      <c r="F163" s="327"/>
      <c r="G163" s="327"/>
      <c r="H163" s="327"/>
      <c r="I163" s="327"/>
      <c r="J163" s="327"/>
      <c r="K163" s="327"/>
      <c r="L163" s="327"/>
      <c r="M163" s="327"/>
      <c r="N163" s="327"/>
      <c r="O163" s="327"/>
      <c r="P163" s="327"/>
      <c r="Q163" s="327"/>
      <c r="R163" s="327"/>
      <c r="S163" s="327"/>
      <c r="T163" s="327"/>
      <c r="U163" s="327"/>
      <c r="V163" s="327"/>
      <c r="W163" s="327"/>
      <c r="X163" s="327"/>
      <c r="Y163" s="327"/>
      <c r="Z163" s="327"/>
      <c r="AA163" s="327"/>
      <c r="AB163" s="327"/>
      <c r="AC163" s="327"/>
      <c r="AD163" s="327"/>
      <c r="AE163" s="327"/>
      <c r="AF163" s="327"/>
      <c r="AG163" s="327"/>
      <c r="AH163" s="327"/>
      <c r="AI163" s="327"/>
      <c r="AJ163" s="327"/>
      <c r="AK163" s="327"/>
      <c r="AL163" s="327"/>
      <c r="AM163" s="327"/>
      <c r="AN163" s="327"/>
      <c r="AO163" s="327"/>
      <c r="AP163" s="327"/>
      <c r="AQ163" s="327"/>
      <c r="AR163" s="327"/>
      <c r="AS163" s="327"/>
      <c r="AT163" s="327"/>
      <c r="BV163" s="327"/>
      <c r="DE163" s="327"/>
      <c r="DF163" s="327"/>
      <c r="DG163" s="327"/>
      <c r="DH163" s="327"/>
      <c r="DI163" s="327"/>
      <c r="DJ163" s="327"/>
      <c r="DK163" s="327"/>
      <c r="DL163" s="327"/>
      <c r="DM163" s="327"/>
    </row>
    <row r="164" spans="1:117">
      <c r="A164" s="327"/>
      <c r="B164" s="342">
        <v>3</v>
      </c>
      <c r="C164" s="340" t="s">
        <v>965</v>
      </c>
      <c r="D164" s="327"/>
      <c r="E164" s="327"/>
      <c r="F164" s="327"/>
      <c r="G164" s="327"/>
      <c r="H164" s="327"/>
      <c r="I164" s="327"/>
      <c r="J164" s="327"/>
      <c r="K164" s="327"/>
      <c r="L164" s="327"/>
      <c r="M164" s="327"/>
      <c r="N164" s="327"/>
      <c r="O164" s="327"/>
      <c r="P164" s="327"/>
      <c r="Q164" s="327"/>
      <c r="R164" s="327"/>
      <c r="S164" s="327"/>
      <c r="T164" s="327"/>
      <c r="U164" s="327"/>
      <c r="V164" s="327"/>
      <c r="W164" s="327"/>
      <c r="X164" s="327"/>
      <c r="Y164" s="327"/>
      <c r="Z164" s="327"/>
      <c r="AA164" s="327"/>
      <c r="AB164" s="327"/>
      <c r="AC164" s="327"/>
      <c r="AD164" s="327"/>
      <c r="AE164" s="327"/>
      <c r="AF164" s="327"/>
      <c r="AG164" s="327"/>
      <c r="AH164" s="327"/>
      <c r="AI164" s="327"/>
      <c r="AJ164" s="327"/>
      <c r="AK164" s="327"/>
      <c r="AL164" s="327"/>
      <c r="AM164" s="327"/>
      <c r="AN164" s="327"/>
      <c r="AO164" s="327"/>
      <c r="AP164" s="327"/>
      <c r="AQ164" s="327"/>
      <c r="AR164" s="327"/>
      <c r="AS164" s="327"/>
      <c r="AT164" s="327"/>
      <c r="BV164" s="327"/>
      <c r="CR164" s="327"/>
      <c r="CS164" s="327"/>
      <c r="CT164" s="327"/>
      <c r="CU164" s="327"/>
      <c r="CV164" s="327"/>
      <c r="CW164" s="327"/>
      <c r="CX164" s="327"/>
      <c r="CY164" s="327"/>
      <c r="CZ164" s="327"/>
      <c r="DA164" s="327"/>
      <c r="DB164" s="327"/>
      <c r="DC164" s="327"/>
      <c r="DD164" s="327"/>
      <c r="DE164" s="327"/>
      <c r="DF164" s="327"/>
      <c r="DG164" s="327"/>
      <c r="DH164" s="327"/>
      <c r="DI164" s="327"/>
      <c r="DJ164" s="327"/>
      <c r="DK164" s="327"/>
      <c r="DL164" s="327"/>
      <c r="DM164" s="327"/>
    </row>
    <row r="165" spans="1:117">
      <c r="B165" s="342">
        <v>4</v>
      </c>
      <c r="C165" s="341" t="s">
        <v>1910</v>
      </c>
      <c r="D165" s="327"/>
      <c r="E165" s="327"/>
      <c r="F165" s="327"/>
      <c r="G165" s="327"/>
      <c r="H165" s="327"/>
      <c r="I165" s="327"/>
      <c r="J165" s="327"/>
      <c r="K165" s="327"/>
      <c r="L165" s="327"/>
      <c r="M165" s="327"/>
      <c r="N165" s="327"/>
      <c r="O165" s="327"/>
      <c r="P165" s="327"/>
      <c r="Q165" s="327"/>
      <c r="R165" s="327"/>
      <c r="S165" s="327"/>
      <c r="T165" s="327"/>
      <c r="U165" s="327"/>
      <c r="V165" s="327"/>
      <c r="W165" s="327"/>
      <c r="X165" s="327"/>
      <c r="Y165" s="327"/>
      <c r="Z165" s="327"/>
      <c r="AA165" s="327"/>
      <c r="AB165" s="327"/>
      <c r="AC165" s="327"/>
      <c r="AD165" s="327"/>
      <c r="AE165" s="327"/>
      <c r="AF165" s="327"/>
      <c r="AG165" s="327"/>
      <c r="AH165" s="327"/>
      <c r="AI165" s="327"/>
      <c r="AJ165" s="327"/>
      <c r="AK165" s="327"/>
      <c r="AL165" s="327"/>
      <c r="AM165" s="327"/>
      <c r="AN165" s="327"/>
      <c r="AO165" s="327"/>
      <c r="AP165" s="327"/>
      <c r="AQ165" s="327"/>
      <c r="AR165" s="327"/>
      <c r="AS165" s="327"/>
      <c r="AT165" s="327"/>
      <c r="BV165" s="327"/>
      <c r="CR165" s="368"/>
      <c r="CS165" s="327"/>
      <c r="CT165" s="327"/>
      <c r="CU165" s="327"/>
      <c r="CV165" s="327"/>
      <c r="CW165" s="327"/>
      <c r="CX165" s="327"/>
      <c r="CY165" s="327"/>
      <c r="CZ165" s="327"/>
      <c r="DA165" s="327"/>
      <c r="DB165" s="327"/>
      <c r="DC165" s="327"/>
      <c r="DD165" s="327"/>
      <c r="DE165" s="327"/>
      <c r="DF165" s="327"/>
      <c r="DG165" s="327"/>
      <c r="DH165" s="327"/>
      <c r="DI165" s="327"/>
      <c r="DJ165" s="327"/>
      <c r="DK165" s="327"/>
      <c r="DL165" s="327"/>
      <c r="DM165" s="327"/>
    </row>
    <row r="166" spans="1:117">
      <c r="B166" s="342">
        <v>5</v>
      </c>
      <c r="C166" s="340" t="s">
        <v>1918</v>
      </c>
      <c r="D166" s="327"/>
      <c r="E166" s="327"/>
      <c r="F166" s="327"/>
      <c r="G166" s="327"/>
      <c r="H166" s="327"/>
      <c r="I166" s="327"/>
      <c r="J166" s="327"/>
      <c r="K166" s="327"/>
      <c r="L166" s="327"/>
      <c r="M166" s="327"/>
      <c r="N166" s="327"/>
      <c r="O166" s="327"/>
      <c r="P166" s="327"/>
      <c r="Q166" s="327"/>
      <c r="R166" s="327"/>
      <c r="S166" s="327"/>
      <c r="T166" s="327"/>
      <c r="U166" s="327"/>
      <c r="V166" s="327"/>
      <c r="W166" s="327"/>
      <c r="X166" s="327"/>
      <c r="Y166" s="327"/>
      <c r="Z166" s="327"/>
      <c r="AA166" s="327"/>
      <c r="AB166" s="327"/>
      <c r="AC166" s="327"/>
      <c r="AD166" s="327"/>
      <c r="AE166" s="327"/>
      <c r="AF166" s="327"/>
      <c r="AG166" s="327"/>
      <c r="AH166" s="327"/>
      <c r="AI166" s="327"/>
      <c r="AJ166" s="327"/>
      <c r="AK166" s="327"/>
      <c r="AL166" s="327"/>
      <c r="AM166" s="327"/>
      <c r="AN166" s="327"/>
      <c r="AO166" s="327"/>
      <c r="AP166" s="327"/>
      <c r="AQ166" s="327"/>
      <c r="AR166" s="327"/>
      <c r="AS166" s="327"/>
      <c r="AT166" s="327"/>
      <c r="BV166" s="327"/>
      <c r="CR166" s="340"/>
      <c r="CS166" s="340"/>
      <c r="CT166" s="340"/>
      <c r="CU166" s="327"/>
      <c r="CV166" s="327"/>
      <c r="CW166" s="327"/>
      <c r="CX166" s="327"/>
      <c r="CY166" s="327"/>
      <c r="CZ166" s="327"/>
      <c r="DA166" s="327"/>
      <c r="DB166" s="327"/>
      <c r="DC166" s="327"/>
      <c r="DD166" s="327"/>
      <c r="DE166" s="327"/>
      <c r="DF166" s="327"/>
      <c r="DG166" s="327"/>
      <c r="DH166" s="327"/>
      <c r="DI166" s="327"/>
      <c r="DJ166" s="327"/>
      <c r="DK166" s="327"/>
      <c r="DL166" s="327"/>
      <c r="DM166" s="327"/>
    </row>
    <row r="167" spans="1:117">
      <c r="B167" s="342">
        <v>6</v>
      </c>
      <c r="C167" s="341" t="s">
        <v>1926</v>
      </c>
      <c r="D167" s="341"/>
      <c r="E167" s="327"/>
      <c r="F167" s="327"/>
      <c r="G167" s="327"/>
      <c r="H167" s="327"/>
      <c r="I167" s="327"/>
      <c r="J167" s="327"/>
      <c r="K167" s="327"/>
      <c r="L167" s="327"/>
      <c r="M167" s="327"/>
      <c r="N167" s="327"/>
      <c r="O167" s="327"/>
      <c r="P167" s="327"/>
      <c r="Q167" s="327"/>
      <c r="R167" s="327"/>
      <c r="S167" s="327"/>
      <c r="T167" s="327"/>
      <c r="U167" s="327"/>
      <c r="V167" s="327"/>
      <c r="W167" s="327"/>
      <c r="X167" s="327"/>
      <c r="Y167" s="327"/>
      <c r="Z167" s="327"/>
      <c r="AA167" s="327"/>
      <c r="AB167" s="327"/>
      <c r="AC167" s="327"/>
      <c r="AD167" s="327"/>
      <c r="AE167" s="327"/>
      <c r="AF167" s="327"/>
      <c r="AG167" s="327"/>
      <c r="AH167" s="327"/>
      <c r="AI167" s="327"/>
      <c r="AJ167" s="327"/>
      <c r="AK167" s="327"/>
      <c r="AL167" s="327"/>
      <c r="AM167" s="327"/>
      <c r="AN167" s="327"/>
      <c r="AO167" s="327"/>
      <c r="AP167" s="327"/>
      <c r="AQ167" s="327"/>
      <c r="AR167" s="327"/>
      <c r="AS167" s="327"/>
      <c r="AT167" s="327"/>
      <c r="BV167" s="327"/>
      <c r="CL167" s="327"/>
      <c r="CM167" s="327"/>
      <c r="CN167" s="327"/>
      <c r="CO167" s="327"/>
      <c r="CP167" s="327"/>
      <c r="CQ167" s="327"/>
      <c r="CR167" s="327"/>
      <c r="CS167" s="327"/>
      <c r="CT167" s="327"/>
      <c r="CU167" s="327"/>
      <c r="CV167" s="327"/>
      <c r="CW167" s="327"/>
      <c r="CX167" s="327"/>
      <c r="CY167" s="327"/>
      <c r="CZ167" s="327"/>
      <c r="DA167" s="327"/>
      <c r="DB167" s="327"/>
      <c r="DC167" s="327"/>
      <c r="DD167" s="327"/>
      <c r="DE167" s="327"/>
      <c r="DF167" s="327"/>
      <c r="DG167" s="327"/>
      <c r="DH167" s="327"/>
      <c r="DI167" s="327"/>
      <c r="DJ167" s="327"/>
      <c r="DK167" s="327"/>
      <c r="DL167" s="327"/>
      <c r="DM167" s="327"/>
    </row>
    <row r="168" spans="1:117">
      <c r="B168" s="342">
        <v>7</v>
      </c>
      <c r="C168" s="340" t="s">
        <v>1932</v>
      </c>
      <c r="D168" s="340"/>
      <c r="E168" s="327"/>
      <c r="F168" s="327"/>
      <c r="G168" s="327"/>
      <c r="H168" s="327"/>
      <c r="I168" s="327"/>
      <c r="J168" s="327"/>
      <c r="K168" s="327"/>
      <c r="L168" s="327"/>
      <c r="M168" s="327"/>
      <c r="N168" s="327"/>
      <c r="O168" s="327"/>
      <c r="P168" s="327"/>
      <c r="Q168" s="327"/>
      <c r="R168" s="327"/>
      <c r="S168" s="327"/>
      <c r="T168" s="327"/>
      <c r="U168" s="327"/>
      <c r="V168" s="327"/>
      <c r="W168" s="327"/>
      <c r="X168" s="327"/>
      <c r="Y168" s="327"/>
      <c r="Z168" s="327"/>
      <c r="AA168" s="327"/>
      <c r="AB168" s="327"/>
      <c r="AC168" s="327"/>
      <c r="AD168" s="327"/>
      <c r="AE168" s="327"/>
      <c r="AF168" s="327"/>
      <c r="AG168" s="327"/>
      <c r="AH168" s="327"/>
      <c r="AI168" s="327"/>
      <c r="AJ168" s="327"/>
      <c r="AK168" s="327"/>
      <c r="AL168" s="327"/>
      <c r="AM168" s="327"/>
      <c r="AN168" s="327"/>
      <c r="AO168" s="327"/>
      <c r="AP168" s="327"/>
      <c r="AQ168" s="327"/>
      <c r="AR168" s="327"/>
      <c r="AS168" s="327"/>
      <c r="AT168" s="327"/>
      <c r="BV168" s="327"/>
      <c r="CL168" s="327"/>
      <c r="CM168" s="327"/>
      <c r="CN168" s="327"/>
      <c r="CO168" s="327"/>
      <c r="CP168" s="327"/>
      <c r="CQ168" s="327"/>
      <c r="CR168" s="327"/>
      <c r="CS168" s="327"/>
      <c r="CT168" s="327"/>
      <c r="CU168" s="327"/>
      <c r="CV168" s="327"/>
      <c r="CW168" s="327"/>
      <c r="CX168" s="327"/>
      <c r="CY168" s="327"/>
      <c r="CZ168" s="327"/>
      <c r="DA168" s="327"/>
      <c r="DB168" s="327"/>
      <c r="DC168" s="327"/>
      <c r="DD168" s="327"/>
      <c r="DE168" s="327"/>
      <c r="DF168" s="327"/>
      <c r="DG168" s="327"/>
      <c r="DH168" s="327"/>
      <c r="DI168" s="327"/>
      <c r="DJ168" s="327"/>
      <c r="DK168" s="327"/>
      <c r="DL168" s="327"/>
      <c r="DM168" s="327"/>
    </row>
    <row r="169" spans="1:117">
      <c r="B169" s="342">
        <v>8</v>
      </c>
      <c r="C169" s="341" t="s">
        <v>1937</v>
      </c>
      <c r="D169" s="341"/>
      <c r="E169" s="341"/>
      <c r="F169" s="341"/>
      <c r="G169" s="341"/>
      <c r="H169" s="341"/>
      <c r="I169" s="341"/>
      <c r="J169" s="341"/>
      <c r="K169" s="341"/>
      <c r="L169" s="327"/>
      <c r="M169" s="327"/>
      <c r="N169" s="327"/>
      <c r="O169" s="327"/>
      <c r="P169" s="327"/>
      <c r="Q169" s="327"/>
      <c r="R169" s="327"/>
      <c r="S169" s="327"/>
      <c r="T169" s="327"/>
      <c r="U169" s="327"/>
      <c r="V169" s="327"/>
      <c r="W169" s="327"/>
      <c r="X169" s="327"/>
      <c r="Y169" s="327"/>
      <c r="Z169" s="327"/>
      <c r="AA169" s="327"/>
      <c r="AB169" s="327"/>
      <c r="AC169" s="327"/>
      <c r="AD169" s="327"/>
      <c r="AE169" s="327"/>
      <c r="AF169" s="327"/>
      <c r="AG169" s="327"/>
      <c r="AH169" s="327"/>
      <c r="AI169" s="327"/>
      <c r="AJ169" s="327"/>
      <c r="AK169" s="327"/>
      <c r="AL169" s="327"/>
      <c r="AM169" s="327"/>
      <c r="AN169" s="327"/>
      <c r="AO169" s="327"/>
      <c r="AP169" s="327"/>
      <c r="AQ169" s="327"/>
      <c r="AR169" s="327"/>
      <c r="AS169" s="327"/>
      <c r="AT169" s="327"/>
      <c r="BV169" s="327"/>
      <c r="CL169" s="327"/>
      <c r="CM169" s="327"/>
      <c r="CN169" s="327"/>
      <c r="CO169" s="327"/>
      <c r="CP169" s="327"/>
      <c r="CQ169" s="327"/>
      <c r="CR169" s="327"/>
      <c r="CS169" s="327"/>
      <c r="CT169" s="327"/>
      <c r="CU169" s="327"/>
      <c r="CV169" s="327"/>
      <c r="CW169" s="327"/>
      <c r="CX169" s="327"/>
      <c r="CY169" s="327"/>
      <c r="CZ169" s="327"/>
      <c r="DA169" s="327"/>
      <c r="DB169" s="327"/>
      <c r="DC169" s="327"/>
      <c r="DD169" s="327"/>
      <c r="DE169" s="327"/>
      <c r="DF169" s="327"/>
      <c r="DG169" s="327"/>
      <c r="DH169" s="327"/>
      <c r="DI169" s="327"/>
      <c r="DJ169" s="327"/>
      <c r="DK169" s="327"/>
      <c r="DL169" s="327"/>
      <c r="DM169" s="327"/>
    </row>
    <row r="170" spans="1:117">
      <c r="B170" s="342">
        <v>9</v>
      </c>
      <c r="C170" s="340" t="s">
        <v>1942</v>
      </c>
      <c r="D170" s="340"/>
      <c r="E170" s="340"/>
      <c r="F170" s="340"/>
      <c r="G170" s="340"/>
      <c r="H170" s="340"/>
      <c r="I170" s="340"/>
      <c r="J170" s="340"/>
      <c r="K170" s="340"/>
      <c r="L170" s="340"/>
      <c r="M170" s="340"/>
      <c r="N170" s="340"/>
      <c r="O170" s="327"/>
      <c r="P170" s="327"/>
      <c r="Q170" s="327"/>
      <c r="R170" s="327"/>
      <c r="S170" s="327"/>
      <c r="T170" s="327"/>
      <c r="U170" s="327"/>
      <c r="V170" s="327"/>
      <c r="W170" s="327"/>
      <c r="X170" s="327"/>
      <c r="Y170" s="327"/>
      <c r="Z170" s="327"/>
      <c r="AA170" s="327"/>
      <c r="AB170" s="327"/>
      <c r="AC170" s="327"/>
      <c r="AD170" s="327"/>
      <c r="AE170" s="327"/>
      <c r="AF170" s="327"/>
      <c r="AG170" s="327"/>
      <c r="AH170" s="327"/>
      <c r="AI170" s="327"/>
      <c r="AJ170" s="327"/>
      <c r="AK170" s="327"/>
      <c r="AL170" s="327"/>
      <c r="AM170" s="327"/>
      <c r="AN170" s="327"/>
      <c r="AO170" s="327"/>
      <c r="AP170" s="327"/>
      <c r="AQ170" s="327"/>
      <c r="AR170" s="327"/>
      <c r="AS170" s="327"/>
      <c r="AT170" s="327"/>
    </row>
    <row r="171" spans="1:117">
      <c r="B171" s="342">
        <v>10</v>
      </c>
      <c r="C171" s="341" t="s">
        <v>1947</v>
      </c>
      <c r="D171" s="341"/>
      <c r="E171" s="341"/>
      <c r="F171" s="327"/>
      <c r="G171" s="327"/>
      <c r="H171" s="327"/>
      <c r="I171" s="327"/>
      <c r="J171" s="327"/>
      <c r="K171" s="327"/>
      <c r="L171" s="327"/>
      <c r="M171" s="327"/>
      <c r="N171" s="327"/>
      <c r="O171" s="327"/>
      <c r="P171" s="327"/>
      <c r="Q171" s="327"/>
      <c r="R171" s="327"/>
      <c r="S171" s="327"/>
      <c r="T171" s="327"/>
      <c r="U171" s="327"/>
      <c r="V171" s="327"/>
      <c r="W171" s="327"/>
      <c r="X171" s="327"/>
      <c r="Y171" s="327"/>
      <c r="Z171" s="327"/>
      <c r="AA171" s="327"/>
      <c r="AB171" s="327"/>
      <c r="AC171" s="327"/>
      <c r="AD171" s="327"/>
      <c r="AE171" s="327"/>
      <c r="AF171" s="327"/>
      <c r="AG171" s="327"/>
      <c r="AH171" s="327"/>
      <c r="AI171" s="327"/>
      <c r="AJ171" s="327"/>
      <c r="AK171" s="327"/>
      <c r="AL171" s="327"/>
      <c r="AM171" s="327"/>
      <c r="AN171" s="327"/>
      <c r="AO171" s="327"/>
      <c r="AP171" s="327"/>
      <c r="AQ171" s="327"/>
      <c r="AR171" s="327"/>
      <c r="AS171" s="327"/>
      <c r="AT171" s="327"/>
    </row>
    <row r="172" spans="1:117">
      <c r="B172" s="342">
        <v>11</v>
      </c>
      <c r="C172" s="340" t="s">
        <v>1950</v>
      </c>
      <c r="D172" s="340"/>
      <c r="E172" s="327"/>
      <c r="F172" s="327"/>
      <c r="G172" s="327"/>
      <c r="H172" s="327"/>
      <c r="I172" s="327"/>
      <c r="J172" s="327"/>
      <c r="K172" s="327"/>
      <c r="L172" s="327"/>
      <c r="M172" s="327"/>
      <c r="N172" s="327"/>
      <c r="O172" s="327"/>
      <c r="P172" s="327"/>
      <c r="Q172" s="327"/>
      <c r="R172" s="327"/>
      <c r="S172" s="327"/>
      <c r="T172" s="327"/>
      <c r="U172" s="327"/>
      <c r="V172" s="327"/>
      <c r="W172" s="327"/>
      <c r="X172" s="327"/>
      <c r="Y172" s="327"/>
      <c r="Z172" s="327"/>
      <c r="AA172" s="327"/>
      <c r="AB172" s="327"/>
      <c r="AC172" s="327"/>
      <c r="AD172" s="327"/>
      <c r="AE172" s="327"/>
      <c r="AF172" s="327"/>
      <c r="AG172" s="327"/>
      <c r="AH172" s="327"/>
      <c r="AI172" s="327"/>
      <c r="AJ172" s="327"/>
      <c r="AK172" s="327"/>
      <c r="AL172" s="327"/>
      <c r="AM172" s="327"/>
      <c r="AN172" s="327"/>
      <c r="AO172" s="327"/>
      <c r="AP172" s="327"/>
      <c r="AQ172" s="327"/>
      <c r="AR172" s="327"/>
      <c r="AS172" s="327"/>
      <c r="AT172" s="327"/>
    </row>
    <row r="173" spans="1:117">
      <c r="B173" s="342">
        <v>12</v>
      </c>
      <c r="C173" s="341" t="s">
        <v>1952</v>
      </c>
      <c r="D173" s="341"/>
      <c r="E173" s="341"/>
      <c r="F173" s="327"/>
      <c r="G173" s="327"/>
      <c r="H173" s="327"/>
      <c r="I173" s="327"/>
      <c r="J173" s="327"/>
      <c r="K173" s="327"/>
      <c r="L173" s="327"/>
      <c r="M173" s="327"/>
      <c r="N173" s="327"/>
      <c r="O173" s="327"/>
      <c r="P173" s="327"/>
      <c r="Q173" s="327"/>
      <c r="R173" s="327"/>
      <c r="S173" s="327"/>
      <c r="T173" s="327"/>
      <c r="U173" s="327"/>
      <c r="V173" s="327"/>
      <c r="W173" s="327"/>
      <c r="X173" s="327"/>
      <c r="Y173" s="327"/>
      <c r="Z173" s="327"/>
      <c r="AA173" s="327"/>
      <c r="AB173" s="327"/>
      <c r="AC173" s="327"/>
      <c r="AD173" s="327"/>
      <c r="AE173" s="327"/>
      <c r="AF173" s="327"/>
      <c r="AG173" s="327"/>
      <c r="AH173" s="327"/>
      <c r="AI173" s="327"/>
      <c r="AJ173" s="327"/>
      <c r="AK173" s="327"/>
      <c r="AL173" s="327"/>
      <c r="AM173" s="327"/>
      <c r="AN173" s="327"/>
      <c r="AO173" s="327"/>
      <c r="AP173" s="327"/>
      <c r="AQ173" s="327"/>
      <c r="AR173" s="327"/>
      <c r="AS173" s="327"/>
      <c r="AT173" s="327"/>
    </row>
    <row r="174" spans="1:117">
      <c r="B174" s="342">
        <v>13</v>
      </c>
      <c r="C174" s="340" t="s">
        <v>1955</v>
      </c>
      <c r="D174" s="340"/>
      <c r="E174" s="340"/>
      <c r="F174" s="340"/>
      <c r="G174" s="340"/>
      <c r="H174" s="340"/>
      <c r="I174" s="340"/>
      <c r="J174" s="340"/>
      <c r="K174" s="340"/>
      <c r="L174" s="340"/>
      <c r="M174" s="340"/>
      <c r="N174" s="340"/>
      <c r="O174" s="340"/>
      <c r="P174" s="340"/>
      <c r="Q174" s="340"/>
      <c r="R174" s="340"/>
      <c r="S174" s="340"/>
      <c r="T174" s="340"/>
      <c r="U174" s="340"/>
      <c r="V174" s="340"/>
      <c r="W174" s="340"/>
      <c r="X174" s="340"/>
      <c r="Y174" s="327"/>
      <c r="Z174" s="327"/>
      <c r="AA174" s="327"/>
      <c r="AB174" s="327"/>
      <c r="AC174" s="327"/>
      <c r="AD174" s="327"/>
      <c r="AE174" s="327"/>
      <c r="AF174" s="327"/>
      <c r="AG174" s="327"/>
      <c r="AH174" s="327"/>
      <c r="AI174" s="327"/>
      <c r="AJ174" s="327"/>
      <c r="AK174" s="327"/>
      <c r="AL174" s="327"/>
      <c r="AM174" s="327"/>
      <c r="AN174" s="327"/>
      <c r="AO174" s="327"/>
      <c r="AP174" s="327"/>
      <c r="AQ174" s="327"/>
      <c r="AR174" s="327"/>
      <c r="AS174" s="327"/>
      <c r="AT174" s="327"/>
    </row>
    <row r="175" spans="1:117">
      <c r="B175" s="342"/>
      <c r="C175" s="340" t="s">
        <v>1961</v>
      </c>
      <c r="D175" s="340"/>
      <c r="E175" s="340"/>
      <c r="F175" s="340"/>
      <c r="G175" s="340" t="s">
        <v>1962</v>
      </c>
      <c r="H175" s="340"/>
      <c r="I175" s="340"/>
      <c r="J175" s="340"/>
      <c r="K175" s="340"/>
      <c r="L175" s="340"/>
      <c r="M175" s="340"/>
      <c r="N175" s="340"/>
      <c r="O175" s="340"/>
      <c r="P175" s="340"/>
      <c r="Q175" s="340"/>
      <c r="R175" s="340"/>
      <c r="S175" s="340"/>
      <c r="T175" s="327"/>
      <c r="U175" s="327"/>
      <c r="V175" s="327"/>
      <c r="W175" s="327"/>
      <c r="X175" s="327"/>
      <c r="Y175" s="327"/>
      <c r="Z175" s="327"/>
      <c r="AA175" s="327"/>
      <c r="AB175" s="327"/>
      <c r="AC175" s="327"/>
      <c r="AD175" s="327"/>
      <c r="AE175" s="327"/>
      <c r="AF175" s="327"/>
      <c r="AG175" s="327"/>
      <c r="AH175" s="327"/>
      <c r="AI175" s="327"/>
      <c r="AJ175" s="327"/>
      <c r="AK175" s="327"/>
      <c r="AL175" s="327"/>
      <c r="AM175" s="327"/>
      <c r="AN175" s="327"/>
      <c r="AO175" s="327"/>
      <c r="AP175" s="327"/>
      <c r="AQ175" s="327"/>
      <c r="AR175" s="327"/>
      <c r="AS175" s="327"/>
      <c r="AT175" s="327"/>
    </row>
    <row r="176" spans="1:117">
      <c r="B176" s="342">
        <v>14</v>
      </c>
      <c r="C176" s="341" t="s">
        <v>1966</v>
      </c>
      <c r="D176" s="341"/>
      <c r="E176" s="341"/>
      <c r="F176" s="341"/>
      <c r="G176" s="341"/>
      <c r="H176" s="341"/>
      <c r="I176" s="341"/>
      <c r="J176" s="341"/>
      <c r="K176" s="341"/>
      <c r="L176" s="341"/>
      <c r="M176" s="341"/>
      <c r="N176" s="341"/>
      <c r="O176" s="341"/>
      <c r="P176" s="341"/>
      <c r="Q176" s="341"/>
      <c r="R176" s="341"/>
      <c r="S176" s="341"/>
      <c r="T176" s="341"/>
      <c r="U176" s="341"/>
      <c r="V176" s="341"/>
      <c r="W176" s="341"/>
      <c r="X176" s="341"/>
      <c r="Y176" s="341"/>
      <c r="Z176" s="341"/>
      <c r="AA176" s="341"/>
      <c r="AB176" s="341"/>
      <c r="AC176" s="341"/>
      <c r="AD176" s="341"/>
      <c r="AE176" s="341"/>
      <c r="AF176" s="341"/>
      <c r="AG176" s="341"/>
      <c r="AH176" s="341"/>
      <c r="AI176" s="341"/>
      <c r="AJ176" s="341"/>
      <c r="AK176" s="341"/>
      <c r="AL176" s="341"/>
      <c r="AM176" s="341"/>
      <c r="AN176" s="341"/>
      <c r="AO176" s="341"/>
      <c r="AP176" s="341"/>
      <c r="AQ176" s="341"/>
      <c r="AR176" s="341"/>
      <c r="AS176" s="341"/>
      <c r="AT176" s="341"/>
    </row>
    <row r="177" spans="2:57">
      <c r="B177" s="342"/>
      <c r="C177" s="327"/>
      <c r="D177" s="327"/>
      <c r="E177" s="327"/>
      <c r="F177" s="327"/>
      <c r="G177" s="327"/>
      <c r="H177" s="327"/>
      <c r="I177" s="327"/>
      <c r="J177" s="327"/>
      <c r="K177" s="327"/>
      <c r="L177" s="327"/>
      <c r="M177" s="327"/>
      <c r="N177" s="327"/>
      <c r="O177" s="327"/>
      <c r="P177" s="327"/>
      <c r="Q177" s="327"/>
      <c r="R177" s="327"/>
      <c r="S177" s="327"/>
      <c r="T177" s="327"/>
      <c r="U177" s="327"/>
      <c r="V177" s="327"/>
      <c r="W177" s="327"/>
      <c r="X177" s="327"/>
      <c r="Y177" s="327"/>
      <c r="Z177" s="327"/>
      <c r="AA177" s="327"/>
      <c r="AB177" s="327"/>
      <c r="AC177" s="327"/>
      <c r="AD177" s="327"/>
      <c r="AE177" s="327"/>
      <c r="AF177" s="327"/>
      <c r="AG177" s="327"/>
      <c r="AH177" s="327"/>
      <c r="AI177" s="327"/>
      <c r="AJ177" s="327"/>
      <c r="AK177" s="327"/>
      <c r="AL177" s="327"/>
      <c r="AM177" s="327"/>
      <c r="AN177" s="327"/>
      <c r="AO177" s="327"/>
      <c r="AP177" s="327"/>
      <c r="AQ177" s="327"/>
      <c r="AR177" s="327"/>
      <c r="AS177" s="327"/>
      <c r="AT177" s="327"/>
    </row>
    <row r="178" spans="2:57">
      <c r="B178" s="342">
        <v>15</v>
      </c>
      <c r="C178" s="340" t="s">
        <v>1972</v>
      </c>
      <c r="D178" s="340"/>
      <c r="E178" s="340"/>
      <c r="F178" s="340"/>
      <c r="G178" s="340"/>
      <c r="H178" s="340"/>
      <c r="I178" s="340"/>
      <c r="J178" s="340"/>
      <c r="K178" s="340"/>
      <c r="L178" s="340"/>
      <c r="M178" s="340"/>
      <c r="N178" s="340"/>
      <c r="O178" s="340"/>
      <c r="P178" s="340"/>
      <c r="Q178" s="340"/>
      <c r="R178" s="340"/>
      <c r="S178" s="340"/>
      <c r="T178" s="340"/>
      <c r="U178" s="340"/>
      <c r="V178" s="340"/>
      <c r="W178" s="340"/>
      <c r="X178" s="340"/>
      <c r="Y178" s="327"/>
      <c r="Z178" s="327"/>
      <c r="AA178" s="327"/>
      <c r="AB178" s="327"/>
      <c r="AC178" s="327"/>
      <c r="AD178" s="327"/>
    </row>
    <row r="179" spans="2:57">
      <c r="B179" s="342">
        <v>16</v>
      </c>
      <c r="C179" s="341" t="s">
        <v>1976</v>
      </c>
      <c r="D179" s="341"/>
      <c r="E179" s="341"/>
      <c r="F179" s="341"/>
      <c r="G179" s="341"/>
      <c r="H179" s="341"/>
      <c r="I179" s="341"/>
      <c r="J179" s="341"/>
      <c r="K179" s="341"/>
      <c r="L179" s="341"/>
      <c r="M179" s="341"/>
      <c r="N179" s="341"/>
      <c r="O179" s="341"/>
      <c r="P179" s="341"/>
      <c r="Q179" s="341"/>
      <c r="R179" s="341"/>
      <c r="S179" s="341"/>
      <c r="T179" s="341"/>
      <c r="U179" s="341"/>
      <c r="V179" s="341"/>
      <c r="W179" s="341"/>
      <c r="X179" s="341"/>
      <c r="Y179" s="341"/>
      <c r="Z179" s="341"/>
      <c r="AA179" s="327"/>
      <c r="AB179" s="327"/>
      <c r="AC179" s="327"/>
      <c r="AD179" s="327"/>
    </row>
    <row r="180" spans="2:57">
      <c r="B180" s="342">
        <v>17</v>
      </c>
      <c r="C180" s="340" t="s">
        <v>1979</v>
      </c>
      <c r="D180" s="340"/>
      <c r="E180" s="340"/>
      <c r="F180" s="327"/>
      <c r="G180" s="327"/>
      <c r="H180" s="327"/>
      <c r="I180" s="327"/>
      <c r="J180" s="327"/>
      <c r="K180" s="327"/>
      <c r="L180" s="327"/>
      <c r="M180" s="327"/>
      <c r="N180" s="327"/>
      <c r="O180" s="327"/>
      <c r="P180" s="327"/>
      <c r="Q180" s="327"/>
      <c r="R180" s="327"/>
      <c r="S180" s="327"/>
      <c r="T180" s="327"/>
      <c r="U180" s="327"/>
      <c r="V180" s="327"/>
      <c r="W180" s="327"/>
      <c r="X180" s="327"/>
      <c r="Y180" s="327"/>
      <c r="Z180" s="327"/>
      <c r="AA180" s="327"/>
      <c r="AB180" s="327"/>
      <c r="AC180" s="327"/>
      <c r="AD180" s="327"/>
      <c r="AU180" s="327"/>
      <c r="AV180" s="327"/>
      <c r="AW180" s="327"/>
      <c r="AX180" s="327"/>
      <c r="AY180" s="327"/>
      <c r="AZ180" s="327"/>
      <c r="BA180" s="327"/>
      <c r="BB180" s="327"/>
      <c r="BC180" s="327"/>
      <c r="BD180" s="327"/>
      <c r="BE180" s="327"/>
    </row>
    <row r="181" spans="2:57">
      <c r="B181" s="342">
        <v>18</v>
      </c>
      <c r="C181" s="341" t="s">
        <v>1983</v>
      </c>
      <c r="D181" s="341"/>
      <c r="E181" s="341"/>
      <c r="F181" s="341"/>
      <c r="G181" s="341"/>
      <c r="H181" s="341"/>
      <c r="I181" s="341"/>
      <c r="J181" s="327"/>
      <c r="K181" s="327"/>
      <c r="L181" s="327"/>
      <c r="M181" s="327"/>
      <c r="N181" s="327"/>
      <c r="O181" s="327"/>
      <c r="P181" s="327"/>
      <c r="Q181" s="327"/>
      <c r="R181" s="327"/>
      <c r="S181" s="327"/>
      <c r="T181" s="327"/>
      <c r="U181" s="327"/>
      <c r="V181" s="327"/>
      <c r="W181" s="327"/>
      <c r="X181" s="327"/>
      <c r="Y181" s="327"/>
      <c r="Z181" s="327"/>
      <c r="AA181" s="327"/>
      <c r="AB181" s="327"/>
      <c r="AC181" s="327"/>
      <c r="AD181" s="327"/>
      <c r="AU181" s="327"/>
      <c r="AV181" s="327"/>
      <c r="AW181" s="327"/>
      <c r="AX181" s="327"/>
      <c r="AY181" s="327"/>
      <c r="AZ181" s="327"/>
      <c r="BA181" s="327"/>
      <c r="BB181" s="327"/>
      <c r="BC181" s="327"/>
      <c r="BD181" s="327"/>
      <c r="BE181" s="327"/>
    </row>
    <row r="182" spans="2:57">
      <c r="B182" s="342">
        <v>19</v>
      </c>
      <c r="C182" s="340" t="s">
        <v>1986</v>
      </c>
      <c r="D182" s="327"/>
      <c r="E182" s="327"/>
      <c r="F182" s="327"/>
      <c r="G182" s="327"/>
      <c r="H182" s="327"/>
      <c r="I182" s="327"/>
      <c r="J182" s="327"/>
      <c r="K182" s="327"/>
      <c r="L182" s="327"/>
      <c r="M182" s="327"/>
      <c r="N182" s="327"/>
      <c r="O182" s="327"/>
      <c r="P182" s="327"/>
      <c r="Q182" s="327"/>
      <c r="R182" s="327"/>
      <c r="S182" s="327"/>
      <c r="T182" s="327"/>
      <c r="U182" s="327"/>
      <c r="V182" s="327"/>
      <c r="W182" s="327"/>
      <c r="X182" s="327"/>
      <c r="Y182" s="327"/>
      <c r="Z182" s="327"/>
      <c r="AA182" s="327"/>
      <c r="AB182" s="327"/>
      <c r="AC182" s="327"/>
      <c r="AD182" s="327"/>
      <c r="AU182" s="327"/>
      <c r="AV182" s="327"/>
      <c r="AW182" s="327"/>
      <c r="AX182" s="327"/>
      <c r="AY182" s="327"/>
      <c r="AZ182" s="327"/>
      <c r="BA182" s="327"/>
      <c r="BB182" s="327"/>
      <c r="BC182" s="327"/>
      <c r="BD182" s="327"/>
      <c r="BE182" s="327"/>
    </row>
    <row r="183" spans="2:57">
      <c r="B183" s="342">
        <v>20</v>
      </c>
      <c r="C183" s="341" t="s">
        <v>1987</v>
      </c>
      <c r="D183" s="341"/>
      <c r="E183" s="341"/>
      <c r="F183" s="341"/>
      <c r="G183" s="341"/>
      <c r="H183" s="341"/>
      <c r="I183" s="341"/>
      <c r="J183" s="341"/>
      <c r="K183" s="341"/>
      <c r="L183" s="341"/>
      <c r="M183" s="341"/>
      <c r="N183" s="341"/>
      <c r="O183" s="341"/>
      <c r="P183" s="341"/>
      <c r="Q183" s="341"/>
      <c r="R183" s="341"/>
      <c r="S183" s="341"/>
      <c r="T183" s="341"/>
      <c r="U183" s="341"/>
      <c r="V183" s="341"/>
      <c r="W183" s="327"/>
      <c r="X183" s="327"/>
      <c r="Y183" s="327"/>
      <c r="Z183" s="327"/>
      <c r="AA183" s="327"/>
      <c r="AB183" s="327"/>
      <c r="AC183" s="327"/>
      <c r="AD183" s="327"/>
      <c r="AU183" s="327"/>
      <c r="AV183" s="327"/>
      <c r="AW183" s="327"/>
      <c r="AX183" s="327"/>
      <c r="AY183" s="327"/>
      <c r="AZ183" s="327"/>
      <c r="BA183" s="327"/>
      <c r="BB183" s="327"/>
      <c r="BC183" s="327"/>
      <c r="BD183" s="327"/>
      <c r="BE183" s="327"/>
    </row>
    <row r="184" spans="2:57">
      <c r="B184" s="342">
        <v>21</v>
      </c>
      <c r="C184" s="340" t="s">
        <v>1990</v>
      </c>
      <c r="D184" s="340"/>
      <c r="E184" s="327"/>
      <c r="F184" s="327"/>
      <c r="G184" s="327"/>
      <c r="H184" s="327"/>
      <c r="I184" s="327"/>
      <c r="J184" s="327"/>
      <c r="K184" s="327"/>
      <c r="L184" s="327"/>
      <c r="M184" s="327"/>
      <c r="N184" s="327"/>
      <c r="O184" s="327"/>
      <c r="P184" s="327"/>
      <c r="Q184" s="327"/>
      <c r="R184" s="327"/>
      <c r="S184" s="327"/>
      <c r="T184" s="327"/>
      <c r="U184" s="327"/>
      <c r="V184" s="327"/>
      <c r="W184" s="327"/>
      <c r="X184" s="327"/>
      <c r="Y184" s="327"/>
      <c r="Z184" s="327"/>
      <c r="AA184" s="327"/>
      <c r="AB184" s="327"/>
      <c r="AC184" s="327"/>
      <c r="AD184" s="327"/>
      <c r="AU184" s="327"/>
      <c r="AV184" s="327"/>
      <c r="AW184" s="327"/>
      <c r="AX184" s="327"/>
      <c r="AY184" s="327"/>
      <c r="AZ184" s="327"/>
      <c r="BA184" s="327"/>
      <c r="BB184" s="327"/>
      <c r="BC184" s="327"/>
      <c r="BD184" s="327"/>
      <c r="BE184" s="327"/>
    </row>
    <row r="185" spans="2:57">
      <c r="B185" s="342">
        <v>22</v>
      </c>
      <c r="C185" s="341" t="s">
        <v>1993</v>
      </c>
      <c r="D185" s="341"/>
      <c r="E185" s="341"/>
      <c r="F185" s="341"/>
      <c r="G185" s="341"/>
      <c r="H185" s="341"/>
      <c r="I185" s="341"/>
      <c r="J185" s="341"/>
      <c r="K185" s="341"/>
      <c r="L185" s="341"/>
      <c r="M185" s="341"/>
      <c r="N185" s="341"/>
      <c r="O185" s="341"/>
      <c r="P185" s="341"/>
      <c r="Q185" s="341"/>
      <c r="R185" s="341"/>
      <c r="S185" s="341"/>
      <c r="T185" s="341"/>
      <c r="U185" s="341"/>
      <c r="V185" s="341"/>
      <c r="W185" s="341"/>
      <c r="X185" s="341"/>
      <c r="Y185" s="341"/>
      <c r="Z185" s="341"/>
      <c r="AA185" s="341"/>
      <c r="AB185" s="341"/>
      <c r="AC185" s="341"/>
      <c r="AD185" s="341"/>
      <c r="AY185" s="327"/>
      <c r="AZ185" s="327"/>
      <c r="BA185" s="327"/>
      <c r="BB185" s="327"/>
      <c r="BC185" s="327"/>
      <c r="BD185" s="327"/>
      <c r="BE185" s="327"/>
    </row>
    <row r="186" spans="2:57">
      <c r="B186" s="327"/>
      <c r="C186" s="327"/>
      <c r="D186" s="327"/>
      <c r="E186" s="327"/>
      <c r="F186" s="327"/>
      <c r="G186" s="327"/>
      <c r="H186" s="327"/>
      <c r="I186" s="327"/>
      <c r="J186" s="327"/>
      <c r="K186" s="327"/>
      <c r="L186" s="327"/>
      <c r="M186" s="327"/>
      <c r="N186" s="327"/>
      <c r="O186" s="327"/>
      <c r="P186" s="327"/>
      <c r="Q186" s="327"/>
      <c r="R186" s="327"/>
      <c r="S186" s="327"/>
      <c r="T186" s="327"/>
      <c r="U186" s="327"/>
      <c r="V186" s="327"/>
      <c r="W186" s="327"/>
      <c r="X186" s="327"/>
      <c r="Y186" s="327"/>
      <c r="Z186" s="327"/>
      <c r="AA186" s="327"/>
      <c r="AB186" s="327"/>
      <c r="AC186" s="327"/>
      <c r="AD186" s="327"/>
    </row>
    <row r="187" spans="2:57">
      <c r="B187" s="327"/>
      <c r="C187" s="327"/>
      <c r="D187" s="327"/>
      <c r="E187" s="327"/>
      <c r="F187" s="327"/>
      <c r="G187" s="327"/>
      <c r="H187" s="327"/>
      <c r="I187" s="327"/>
      <c r="J187" s="327"/>
      <c r="K187" s="327"/>
      <c r="L187" s="327"/>
      <c r="M187" s="327"/>
      <c r="N187" s="327"/>
      <c r="O187" s="327"/>
      <c r="P187" s="327"/>
      <c r="Q187" s="327"/>
      <c r="R187" s="327"/>
      <c r="S187" s="327"/>
      <c r="T187" s="327"/>
      <c r="U187" s="327"/>
      <c r="V187" s="327"/>
      <c r="W187" s="327"/>
      <c r="X187" s="327"/>
      <c r="Y187" s="327"/>
      <c r="Z187" s="327"/>
      <c r="AA187" s="327"/>
      <c r="AB187" s="327"/>
      <c r="AC187" s="327"/>
      <c r="AD187" s="327"/>
    </row>
    <row r="189" spans="2:57" ht="20.25">
      <c r="B189" s="327"/>
      <c r="C189" s="332"/>
      <c r="D189" s="366" t="s">
        <v>1871</v>
      </c>
      <c r="E189" s="366"/>
      <c r="F189" s="361"/>
      <c r="G189" s="361"/>
      <c r="H189" s="361"/>
      <c r="I189" s="327"/>
      <c r="J189" s="327"/>
      <c r="K189" s="327"/>
      <c r="L189" s="327"/>
      <c r="M189" s="327"/>
      <c r="N189" s="327"/>
      <c r="O189" s="327"/>
      <c r="P189" s="327"/>
    </row>
    <row r="190" spans="2:57" ht="20.25">
      <c r="B190" s="327"/>
      <c r="C190" s="367" t="s">
        <v>1876</v>
      </c>
      <c r="D190" s="367"/>
      <c r="E190" s="364"/>
      <c r="F190" s="364"/>
      <c r="G190" s="364"/>
      <c r="H190" s="364"/>
      <c r="I190" s="364"/>
      <c r="J190" s="327"/>
    </row>
    <row r="191" spans="2:57">
      <c r="B191" s="342">
        <v>1</v>
      </c>
      <c r="C191" s="346" t="s">
        <v>1885</v>
      </c>
      <c r="D191" s="346"/>
      <c r="E191" s="327"/>
      <c r="F191" s="327"/>
      <c r="G191" s="327"/>
      <c r="H191" s="327"/>
      <c r="I191" s="327"/>
      <c r="J191" s="327"/>
    </row>
    <row r="192" spans="2:57">
      <c r="B192" s="342">
        <v>2</v>
      </c>
      <c r="C192" s="352" t="s">
        <v>1894</v>
      </c>
      <c r="D192" s="327"/>
      <c r="E192" s="327"/>
      <c r="F192" s="327"/>
      <c r="G192" s="327"/>
      <c r="H192" s="327"/>
      <c r="I192" s="327"/>
      <c r="J192" s="327"/>
    </row>
    <row r="193" spans="2:16">
      <c r="B193" s="342">
        <v>3</v>
      </c>
      <c r="C193" s="346" t="s">
        <v>1902</v>
      </c>
      <c r="D193" s="346"/>
      <c r="E193" s="327"/>
      <c r="F193" s="327"/>
      <c r="G193" s="327"/>
      <c r="H193" s="327"/>
      <c r="I193" s="327"/>
      <c r="J193" s="327"/>
    </row>
    <row r="194" spans="2:16">
      <c r="B194" s="342">
        <v>4</v>
      </c>
      <c r="C194" s="352" t="s">
        <v>1911</v>
      </c>
      <c r="D194" s="352"/>
      <c r="E194" s="327"/>
      <c r="F194" s="327"/>
      <c r="G194" s="327"/>
      <c r="H194" s="327"/>
      <c r="I194" s="327"/>
      <c r="J194" s="327"/>
    </row>
    <row r="195" spans="2:16">
      <c r="B195" s="342">
        <v>5</v>
      </c>
      <c r="C195" s="346" t="s">
        <v>1919</v>
      </c>
      <c r="D195" s="346"/>
      <c r="E195" s="327"/>
      <c r="F195" s="327"/>
      <c r="G195" s="327"/>
      <c r="H195" s="327"/>
      <c r="I195" s="327"/>
      <c r="J195" s="327"/>
    </row>
    <row r="196" spans="2:16">
      <c r="B196" s="342">
        <v>6</v>
      </c>
      <c r="C196" s="352" t="s">
        <v>1927</v>
      </c>
      <c r="D196" s="352"/>
      <c r="E196" s="327"/>
      <c r="F196" s="327"/>
      <c r="G196" s="327"/>
      <c r="H196" s="327"/>
      <c r="I196" s="327"/>
      <c r="J196" s="327"/>
    </row>
    <row r="197" spans="2:16">
      <c r="B197" s="342">
        <v>7</v>
      </c>
      <c r="C197" s="346" t="s">
        <v>1933</v>
      </c>
      <c r="D197" s="346"/>
      <c r="E197" s="346"/>
      <c r="F197" s="346"/>
      <c r="G197" s="327"/>
      <c r="H197" s="327"/>
      <c r="I197" s="327"/>
      <c r="J197" s="327"/>
    </row>
    <row r="198" spans="2:16">
      <c r="B198" s="342">
        <v>8</v>
      </c>
      <c r="C198" s="352" t="s">
        <v>1938</v>
      </c>
      <c r="D198" s="352"/>
      <c r="E198" s="327"/>
      <c r="F198" s="327"/>
      <c r="G198" s="327"/>
      <c r="H198" s="327"/>
      <c r="I198" s="327"/>
      <c r="J198" s="327"/>
    </row>
    <row r="199" spans="2:16">
      <c r="B199" s="342">
        <v>9</v>
      </c>
      <c r="C199" s="346" t="s">
        <v>1943</v>
      </c>
      <c r="D199" s="346"/>
      <c r="E199" s="346"/>
      <c r="F199" s="346"/>
      <c r="G199" s="346"/>
      <c r="H199" s="346"/>
      <c r="I199" s="327"/>
      <c r="J199" s="327"/>
    </row>
    <row r="200" spans="2:16">
      <c r="B200" s="327"/>
      <c r="C200" s="327"/>
      <c r="D200" s="327"/>
      <c r="E200" s="327"/>
      <c r="F200" s="327"/>
      <c r="G200" s="327"/>
      <c r="H200" s="327"/>
      <c r="I200" s="327"/>
      <c r="J200" s="327"/>
    </row>
    <row r="201" spans="2:16">
      <c r="B201" s="327"/>
      <c r="C201" s="327"/>
      <c r="D201" s="327"/>
      <c r="E201" s="327"/>
      <c r="F201" s="327"/>
      <c r="G201" s="327"/>
      <c r="H201" s="327"/>
      <c r="I201" s="327"/>
      <c r="J201" s="327"/>
    </row>
    <row r="202" spans="2:16">
      <c r="B202" s="327"/>
      <c r="C202" s="327"/>
      <c r="D202" s="327"/>
      <c r="E202" s="327"/>
      <c r="F202" s="327"/>
      <c r="G202" s="327"/>
      <c r="H202" s="327"/>
      <c r="I202" s="327"/>
      <c r="J202" s="327"/>
    </row>
    <row r="203" spans="2:16" ht="20.25">
      <c r="B203" s="327"/>
      <c r="C203" s="347" t="s">
        <v>1877</v>
      </c>
      <c r="D203" s="347"/>
      <c r="E203" s="347"/>
      <c r="F203" s="348"/>
      <c r="G203" s="348"/>
      <c r="H203" s="348"/>
      <c r="I203" s="348"/>
      <c r="J203" s="348"/>
      <c r="K203" s="348"/>
      <c r="L203" s="348"/>
      <c r="M203" s="327"/>
    </row>
    <row r="204" spans="2:16">
      <c r="B204" s="342">
        <v>1</v>
      </c>
      <c r="C204" s="340" t="s">
        <v>1886</v>
      </c>
      <c r="D204" s="340"/>
      <c r="E204" s="340"/>
      <c r="F204" s="327"/>
      <c r="G204" s="327"/>
      <c r="H204" s="327"/>
      <c r="I204" s="327"/>
      <c r="J204" s="327"/>
      <c r="K204" s="327"/>
      <c r="L204" s="327"/>
      <c r="M204" s="327"/>
      <c r="N204" s="327"/>
      <c r="O204" s="327"/>
      <c r="P204" s="327"/>
    </row>
    <row r="205" spans="2:16">
      <c r="B205" s="342">
        <v>2</v>
      </c>
      <c r="C205" s="368" t="s">
        <v>1895</v>
      </c>
      <c r="D205" s="327"/>
      <c r="E205" s="327"/>
      <c r="F205" s="327"/>
      <c r="G205" s="327"/>
      <c r="H205" s="327"/>
      <c r="I205" s="327"/>
      <c r="J205" s="327"/>
      <c r="K205" s="327"/>
      <c r="L205" s="327"/>
      <c r="M205" s="327"/>
      <c r="N205" s="327"/>
      <c r="O205" s="327"/>
      <c r="P205" s="327"/>
    </row>
    <row r="206" spans="2:16">
      <c r="B206" s="342">
        <v>3</v>
      </c>
      <c r="C206" s="340" t="s">
        <v>1903</v>
      </c>
      <c r="D206" s="340"/>
      <c r="E206" s="340"/>
      <c r="F206" s="340"/>
      <c r="G206" s="340"/>
      <c r="H206" s="327"/>
      <c r="I206" s="327"/>
      <c r="J206" s="327"/>
      <c r="K206" s="327"/>
      <c r="L206" s="327"/>
      <c r="M206" s="327"/>
      <c r="N206" s="327"/>
      <c r="O206" s="327"/>
      <c r="P206" s="327"/>
    </row>
    <row r="207" spans="2:16">
      <c r="B207" s="342">
        <v>4</v>
      </c>
      <c r="C207" s="368" t="s">
        <v>1912</v>
      </c>
      <c r="D207" s="368"/>
      <c r="E207" s="368"/>
      <c r="F207" s="368"/>
      <c r="G207" s="368"/>
      <c r="H207" s="327"/>
      <c r="I207" s="327"/>
      <c r="J207" s="327"/>
      <c r="K207" s="327"/>
      <c r="L207" s="327"/>
      <c r="M207" s="327"/>
    </row>
    <row r="208" spans="2:16">
      <c r="B208" s="342">
        <v>5</v>
      </c>
      <c r="C208" s="340" t="s">
        <v>1920</v>
      </c>
      <c r="D208" s="340"/>
      <c r="E208" s="340"/>
      <c r="F208" s="340"/>
      <c r="G208" s="340"/>
      <c r="H208" s="327"/>
      <c r="I208" s="327"/>
      <c r="J208" s="327"/>
      <c r="K208" s="327"/>
      <c r="L208" s="327"/>
      <c r="M208" s="327"/>
    </row>
    <row r="209" spans="2:14">
      <c r="B209" s="342">
        <v>6</v>
      </c>
      <c r="C209" s="368" t="s">
        <v>1928</v>
      </c>
      <c r="D209" s="368"/>
      <c r="E209" s="368"/>
      <c r="F209" s="327"/>
      <c r="G209" s="327"/>
      <c r="H209" s="327"/>
      <c r="I209" s="327"/>
      <c r="J209" s="327"/>
      <c r="K209" s="327"/>
      <c r="L209" s="327"/>
      <c r="M209" s="327"/>
    </row>
    <row r="210" spans="2:14">
      <c r="B210" s="342">
        <v>7</v>
      </c>
      <c r="C210" s="340" t="s">
        <v>1934</v>
      </c>
      <c r="D210" s="340"/>
      <c r="E210" s="340"/>
      <c r="F210" s="340"/>
      <c r="G210" s="327"/>
      <c r="H210" s="327"/>
      <c r="I210" s="327"/>
      <c r="J210" s="327"/>
      <c r="K210" s="327"/>
      <c r="L210" s="327"/>
      <c r="M210" s="327"/>
    </row>
    <row r="211" spans="2:14">
      <c r="B211" s="342">
        <v>8</v>
      </c>
      <c r="C211" s="368" t="s">
        <v>1939</v>
      </c>
      <c r="D211" s="327"/>
      <c r="E211" s="327"/>
      <c r="F211" s="327"/>
      <c r="G211" s="327"/>
      <c r="H211" s="327"/>
      <c r="I211" s="327"/>
      <c r="J211" s="327"/>
      <c r="K211" s="327"/>
      <c r="L211" s="327"/>
      <c r="M211" s="327"/>
    </row>
    <row r="212" spans="2:14">
      <c r="B212" s="342">
        <v>9</v>
      </c>
      <c r="C212" s="340" t="s">
        <v>1944</v>
      </c>
      <c r="D212" s="340"/>
      <c r="E212" s="327"/>
      <c r="F212" s="327"/>
      <c r="G212" s="327"/>
      <c r="H212" s="327"/>
      <c r="I212" s="327"/>
      <c r="J212" s="327"/>
      <c r="K212" s="327"/>
      <c r="L212" s="327"/>
      <c r="M212" s="327"/>
    </row>
    <row r="213" spans="2:14">
      <c r="B213" s="342">
        <v>10</v>
      </c>
      <c r="C213" s="368" t="s">
        <v>1948</v>
      </c>
      <c r="D213" s="368"/>
      <c r="E213" s="368"/>
      <c r="F213" s="327"/>
      <c r="G213" s="327"/>
      <c r="H213" s="327"/>
      <c r="I213" s="327"/>
      <c r="J213" s="327"/>
      <c r="K213" s="327"/>
      <c r="L213" s="327"/>
      <c r="M213" s="327"/>
    </row>
    <row r="214" spans="2:14">
      <c r="B214" s="342">
        <v>11</v>
      </c>
      <c r="C214" s="340" t="s">
        <v>1951</v>
      </c>
      <c r="D214" s="340"/>
      <c r="E214" s="340"/>
      <c r="F214" s="340"/>
      <c r="G214" s="340"/>
      <c r="H214" s="340"/>
      <c r="I214" s="327"/>
      <c r="J214" s="327"/>
      <c r="K214" s="327"/>
      <c r="L214" s="327"/>
      <c r="M214" s="327"/>
    </row>
    <row r="215" spans="2:14">
      <c r="B215" s="342">
        <v>12</v>
      </c>
      <c r="C215" s="368" t="s">
        <v>1953</v>
      </c>
      <c r="D215" s="368"/>
      <c r="E215" s="368"/>
      <c r="F215" s="368"/>
      <c r="G215" s="368"/>
      <c r="H215" s="368"/>
      <c r="I215" s="368"/>
      <c r="J215" s="368"/>
      <c r="K215" s="368"/>
      <c r="L215" s="368"/>
      <c r="M215" s="368"/>
    </row>
    <row r="216" spans="2:14">
      <c r="B216" s="342">
        <v>13</v>
      </c>
      <c r="C216" s="340" t="s">
        <v>1956</v>
      </c>
      <c r="D216" s="340"/>
      <c r="E216" s="340"/>
      <c r="F216" s="340"/>
      <c r="G216" s="340"/>
      <c r="H216" s="340"/>
      <c r="I216" s="340"/>
      <c r="J216" s="340"/>
      <c r="K216" s="340"/>
      <c r="L216" s="340"/>
      <c r="M216" s="340"/>
    </row>
    <row r="220" spans="2:14" ht="20.25">
      <c r="B220" s="327"/>
      <c r="C220" s="347" t="s">
        <v>1878</v>
      </c>
      <c r="D220" s="347"/>
      <c r="E220" s="347"/>
      <c r="F220" s="347"/>
      <c r="G220" s="347"/>
      <c r="H220" s="347"/>
      <c r="I220" s="347"/>
      <c r="J220" s="348"/>
      <c r="K220" s="348"/>
      <c r="L220" s="348"/>
      <c r="M220" s="327"/>
      <c r="N220" s="327"/>
    </row>
    <row r="221" spans="2:14">
      <c r="B221" s="342">
        <v>1</v>
      </c>
      <c r="C221" s="363" t="s">
        <v>1887</v>
      </c>
      <c r="D221" s="363"/>
      <c r="E221" s="327"/>
      <c r="F221" s="327"/>
      <c r="G221" s="327"/>
      <c r="H221" s="327"/>
      <c r="I221" s="327"/>
      <c r="J221" s="327"/>
      <c r="K221" s="327"/>
      <c r="L221" s="327"/>
      <c r="M221" s="327"/>
      <c r="N221" s="327"/>
    </row>
    <row r="222" spans="2:14">
      <c r="B222" s="342">
        <v>2</v>
      </c>
      <c r="C222" s="340" t="s">
        <v>1896</v>
      </c>
      <c r="D222" s="327"/>
      <c r="E222" s="327"/>
      <c r="F222" s="327"/>
      <c r="G222" s="327"/>
      <c r="H222" s="327"/>
      <c r="I222" s="327"/>
      <c r="J222" s="327"/>
      <c r="K222" s="327"/>
      <c r="L222" s="327"/>
      <c r="M222" s="327"/>
      <c r="N222" s="327"/>
    </row>
    <row r="223" spans="2:14">
      <c r="B223" s="342">
        <v>3</v>
      </c>
      <c r="C223" s="363" t="s">
        <v>1904</v>
      </c>
      <c r="D223" s="363"/>
      <c r="E223" s="363"/>
      <c r="F223" s="363"/>
      <c r="G223" s="363"/>
      <c r="H223" s="363"/>
      <c r="I223" s="363"/>
      <c r="J223" s="363"/>
      <c r="K223" s="363"/>
      <c r="L223" s="363"/>
      <c r="M223" s="363"/>
      <c r="N223" s="363"/>
    </row>
    <row r="224" spans="2:14">
      <c r="B224" s="342">
        <v>4</v>
      </c>
      <c r="C224" s="340" t="s">
        <v>1913</v>
      </c>
      <c r="D224" s="340"/>
      <c r="E224" s="340"/>
      <c r="F224" s="340"/>
      <c r="G224" s="327"/>
      <c r="H224" s="327"/>
      <c r="I224" s="327"/>
      <c r="J224" s="327"/>
      <c r="K224" s="327"/>
      <c r="L224" s="327"/>
      <c r="M224" s="327"/>
      <c r="N224" s="327"/>
    </row>
    <row r="225" spans="2:14">
      <c r="B225" s="342">
        <v>5</v>
      </c>
      <c r="C225" s="363" t="s">
        <v>1921</v>
      </c>
      <c r="D225" s="327"/>
      <c r="E225" s="327"/>
      <c r="F225" s="327"/>
      <c r="G225" s="327"/>
      <c r="H225" s="327"/>
      <c r="I225" s="327"/>
      <c r="J225" s="327"/>
      <c r="K225" s="327"/>
      <c r="L225" s="327"/>
      <c r="M225" s="327"/>
      <c r="N225" s="327"/>
    </row>
    <row r="226" spans="2:14">
      <c r="B226" s="342">
        <v>6</v>
      </c>
      <c r="C226" s="340" t="s">
        <v>1929</v>
      </c>
      <c r="D226" s="340"/>
      <c r="E226" s="327"/>
      <c r="F226" s="327"/>
      <c r="G226" s="327"/>
      <c r="H226" s="327"/>
      <c r="I226" s="327"/>
      <c r="J226" s="327"/>
      <c r="K226" s="327"/>
      <c r="L226" s="327"/>
      <c r="M226" s="327"/>
      <c r="N226" s="327"/>
    </row>
    <row r="227" spans="2:14">
      <c r="B227" s="342">
        <v>7</v>
      </c>
      <c r="C227" s="363" t="s">
        <v>1935</v>
      </c>
      <c r="D227" s="363"/>
      <c r="E227" s="363"/>
      <c r="F227" s="363"/>
      <c r="G227" s="363"/>
      <c r="H227" s="327"/>
      <c r="I227" s="327"/>
      <c r="J227" s="327"/>
      <c r="K227" s="327"/>
      <c r="L227" s="327"/>
      <c r="M227" s="327"/>
      <c r="N227" s="327"/>
    </row>
    <row r="228" spans="2:14">
      <c r="B228" s="342">
        <v>8</v>
      </c>
      <c r="C228" s="340" t="s">
        <v>1940</v>
      </c>
      <c r="D228" s="340"/>
      <c r="E228" s="327"/>
      <c r="F228" s="327"/>
      <c r="G228" s="327"/>
      <c r="H228" s="327"/>
      <c r="I228" s="327"/>
      <c r="J228" s="327"/>
      <c r="K228" s="327"/>
      <c r="L228" s="327"/>
      <c r="M228" s="327"/>
      <c r="N228" s="327"/>
    </row>
    <row r="229" spans="2:14">
      <c r="B229" s="342">
        <v>9</v>
      </c>
      <c r="C229" s="363" t="s">
        <v>1945</v>
      </c>
      <c r="D229" s="363"/>
      <c r="E229" s="327"/>
      <c r="F229" s="327"/>
      <c r="G229" s="327"/>
      <c r="H229" s="327"/>
      <c r="I229" s="327"/>
      <c r="J229" s="327"/>
      <c r="K229" s="327"/>
      <c r="L229" s="327"/>
      <c r="M229" s="327"/>
      <c r="N229" s="327"/>
    </row>
    <row r="230" spans="2:14">
      <c r="B230" s="342">
        <v>10</v>
      </c>
      <c r="C230" s="340" t="s">
        <v>1949</v>
      </c>
      <c r="D230" s="340"/>
      <c r="E230" s="340"/>
      <c r="F230" s="340"/>
      <c r="G230" s="327"/>
      <c r="H230" s="327"/>
      <c r="I230" s="327"/>
      <c r="J230" s="327"/>
      <c r="K230" s="327"/>
      <c r="L230" s="327"/>
      <c r="M230" s="327"/>
      <c r="N230" s="327"/>
    </row>
    <row r="234" spans="2:14" ht="23.25">
      <c r="B234" s="327"/>
      <c r="C234" s="327"/>
      <c r="D234" s="370" t="s">
        <v>1872</v>
      </c>
      <c r="E234" s="370"/>
      <c r="F234" s="370"/>
      <c r="G234" s="348"/>
      <c r="H234" s="348"/>
      <c r="I234" s="348"/>
      <c r="J234" s="327"/>
    </row>
    <row r="235" spans="2:14" ht="20.25">
      <c r="B235" s="327"/>
      <c r="C235" s="369" t="s">
        <v>1879</v>
      </c>
      <c r="D235" s="369"/>
      <c r="E235" s="369"/>
      <c r="F235" s="369"/>
      <c r="G235" s="369"/>
      <c r="H235" s="369"/>
      <c r="I235" s="369"/>
      <c r="J235" s="352"/>
    </row>
    <row r="236" spans="2:14">
      <c r="B236" s="342">
        <v>1</v>
      </c>
      <c r="C236" s="343" t="s">
        <v>1888</v>
      </c>
      <c r="D236" s="327"/>
      <c r="E236" s="327"/>
      <c r="F236" s="327"/>
      <c r="G236" s="327"/>
      <c r="H236" s="327"/>
      <c r="I236" s="327"/>
      <c r="J236" s="327"/>
    </row>
    <row r="237" spans="2:14">
      <c r="B237" s="342">
        <v>2</v>
      </c>
      <c r="C237" s="341" t="s">
        <v>1897</v>
      </c>
      <c r="D237" s="327"/>
      <c r="E237" s="327"/>
      <c r="F237" s="327"/>
      <c r="G237" s="327"/>
      <c r="H237" s="327"/>
      <c r="I237" s="327"/>
      <c r="J237" s="327"/>
    </row>
    <row r="238" spans="2:14">
      <c r="B238" s="342">
        <v>3</v>
      </c>
      <c r="C238" s="343" t="s">
        <v>1905</v>
      </c>
      <c r="D238" s="343"/>
      <c r="E238" s="327"/>
      <c r="F238" s="327"/>
      <c r="G238" s="327"/>
      <c r="H238" s="327"/>
      <c r="I238" s="327"/>
      <c r="J238" s="327"/>
    </row>
    <row r="239" spans="2:14">
      <c r="B239" s="342">
        <v>4</v>
      </c>
      <c r="C239" s="341" t="s">
        <v>1914</v>
      </c>
      <c r="D239" s="341"/>
      <c r="E239" s="341"/>
      <c r="F239" s="327"/>
      <c r="G239" s="327"/>
      <c r="H239" s="327"/>
      <c r="I239" s="327"/>
      <c r="J239" s="327"/>
    </row>
    <row r="240" spans="2:14">
      <c r="B240" s="342">
        <v>5</v>
      </c>
      <c r="C240" s="343" t="s">
        <v>1922</v>
      </c>
      <c r="D240" s="343"/>
      <c r="E240" s="327"/>
      <c r="F240" s="327"/>
      <c r="G240" s="327"/>
      <c r="H240" s="327"/>
      <c r="I240" s="327"/>
      <c r="J240" s="327"/>
    </row>
    <row r="242" spans="2:19">
      <c r="B242" s="327"/>
      <c r="C242" s="327"/>
      <c r="D242" s="327"/>
      <c r="E242" s="327"/>
    </row>
    <row r="243" spans="2:19" ht="20.25">
      <c r="B243" s="327"/>
      <c r="C243" s="369" t="s">
        <v>1880</v>
      </c>
      <c r="D243" s="369"/>
      <c r="E243" s="369"/>
      <c r="F243" s="369"/>
      <c r="G243" s="369"/>
      <c r="H243" s="369"/>
      <c r="I243" s="369"/>
      <c r="J243" s="352"/>
      <c r="K243" s="327"/>
      <c r="P243" s="327"/>
      <c r="Q243" s="327"/>
    </row>
    <row r="244" spans="2:19">
      <c r="B244" s="342">
        <v>1</v>
      </c>
      <c r="C244" s="341" t="s">
        <v>1889</v>
      </c>
      <c r="D244" s="327"/>
      <c r="E244" s="327"/>
      <c r="F244" s="327"/>
      <c r="G244" s="327"/>
      <c r="H244" s="327"/>
      <c r="I244" s="327"/>
      <c r="J244" s="327"/>
      <c r="K244" s="327"/>
      <c r="P244" s="327"/>
      <c r="Q244" s="327"/>
      <c r="R244" s="327"/>
      <c r="S244" s="327"/>
    </row>
    <row r="245" spans="2:19">
      <c r="B245" s="342">
        <v>2</v>
      </c>
      <c r="C245" s="340" t="s">
        <v>1898</v>
      </c>
      <c r="D245" s="327"/>
      <c r="E245" s="327"/>
      <c r="F245" s="327"/>
      <c r="G245" s="327"/>
      <c r="H245" s="327"/>
      <c r="I245" s="327"/>
      <c r="J245" s="327"/>
      <c r="K245" s="327"/>
      <c r="P245" s="327"/>
      <c r="Q245" s="327"/>
      <c r="R245" s="327"/>
      <c r="S245" s="327"/>
    </row>
    <row r="246" spans="2:19">
      <c r="B246" s="342">
        <v>3</v>
      </c>
      <c r="C246" s="341" t="s">
        <v>1906</v>
      </c>
      <c r="D246" s="341"/>
      <c r="E246" s="327"/>
      <c r="F246" s="327"/>
      <c r="G246" s="327"/>
      <c r="H246" s="327"/>
      <c r="I246" s="327"/>
      <c r="J246" s="327"/>
      <c r="K246" s="327"/>
      <c r="P246" s="327"/>
    </row>
    <row r="247" spans="2:19">
      <c r="B247" s="342">
        <v>4</v>
      </c>
      <c r="C247" s="340" t="s">
        <v>1915</v>
      </c>
      <c r="D247" s="327"/>
      <c r="E247" s="327"/>
      <c r="F247" s="327"/>
      <c r="G247" s="327"/>
      <c r="H247" s="327"/>
      <c r="I247" s="327"/>
      <c r="J247" s="327"/>
      <c r="K247" s="327"/>
      <c r="L247" s="327"/>
      <c r="P247" s="327"/>
    </row>
    <row r="248" spans="2:19">
      <c r="B248" s="342">
        <v>5</v>
      </c>
      <c r="C248" s="341" t="s">
        <v>1923</v>
      </c>
      <c r="D248" s="341"/>
      <c r="E248" s="341"/>
      <c r="F248" s="327"/>
      <c r="G248" s="327"/>
      <c r="H248" s="327"/>
      <c r="I248" s="327"/>
      <c r="J248" s="327"/>
      <c r="K248" s="327"/>
      <c r="L248" s="327"/>
      <c r="P248" s="327"/>
    </row>
    <row r="249" spans="2:19">
      <c r="B249" s="342">
        <v>6</v>
      </c>
      <c r="C249" s="340" t="s">
        <v>1930</v>
      </c>
      <c r="D249" s="340"/>
      <c r="E249" s="340"/>
      <c r="F249" s="327"/>
      <c r="G249" s="327"/>
      <c r="H249" s="327"/>
      <c r="I249" s="327"/>
      <c r="J249" s="327"/>
      <c r="K249" s="327"/>
      <c r="L249" s="327"/>
      <c r="P249" s="327"/>
    </row>
    <row r="250" spans="2:19">
      <c r="B250" s="342">
        <v>7</v>
      </c>
      <c r="C250" s="341" t="s">
        <v>1936</v>
      </c>
      <c r="D250" s="341"/>
      <c r="E250" s="341"/>
      <c r="F250" s="327"/>
      <c r="G250" s="327"/>
      <c r="H250" s="327"/>
      <c r="I250" s="327"/>
      <c r="J250" s="327"/>
      <c r="K250" s="327"/>
      <c r="L250" s="327"/>
      <c r="P250" s="327"/>
    </row>
    <row r="251" spans="2:19">
      <c r="B251" s="342">
        <v>8</v>
      </c>
      <c r="C251" s="340" t="s">
        <v>1941</v>
      </c>
      <c r="D251" s="340"/>
      <c r="E251" s="327"/>
      <c r="F251" s="327"/>
      <c r="G251" s="327"/>
      <c r="H251" s="327"/>
      <c r="I251" s="327"/>
      <c r="J251" s="327"/>
      <c r="K251" s="327"/>
      <c r="L251" s="327"/>
      <c r="P251" s="327"/>
    </row>
    <row r="252" spans="2:19">
      <c r="B252" s="342">
        <v>9</v>
      </c>
      <c r="C252" s="341" t="s">
        <v>1946</v>
      </c>
      <c r="D252" s="341"/>
      <c r="E252" s="327"/>
      <c r="F252" s="327"/>
      <c r="G252" s="327"/>
      <c r="H252" s="327"/>
      <c r="I252" s="327"/>
      <c r="J252" s="327"/>
      <c r="K252" s="327"/>
      <c r="L252" s="327"/>
      <c r="P252" s="327"/>
    </row>
    <row r="253" spans="2:19">
      <c r="B253" s="327"/>
      <c r="C253" s="327"/>
      <c r="D253" s="327"/>
      <c r="E253" s="327"/>
      <c r="F253" s="327"/>
      <c r="G253" s="327"/>
      <c r="H253" s="327"/>
      <c r="I253" s="327"/>
      <c r="J253" s="327"/>
      <c r="K253" s="327"/>
      <c r="L253" s="327"/>
      <c r="P253" s="327"/>
    </row>
    <row r="254" spans="2:19">
      <c r="B254" s="327"/>
      <c r="C254" s="327"/>
      <c r="D254" s="327"/>
      <c r="E254" s="327"/>
      <c r="F254" s="327"/>
      <c r="G254" s="327"/>
      <c r="H254" s="327"/>
      <c r="I254" s="327"/>
      <c r="J254" s="327"/>
      <c r="K254" s="327"/>
      <c r="L254" s="327"/>
      <c r="P254" s="327"/>
    </row>
    <row r="255" spans="2:19">
      <c r="B255" s="327"/>
      <c r="C255" s="327"/>
      <c r="D255" s="327"/>
      <c r="E255" s="327"/>
      <c r="F255" s="327"/>
      <c r="G255" s="327"/>
      <c r="H255" s="327"/>
      <c r="I255" s="327"/>
      <c r="J255" s="327"/>
      <c r="K255" s="327"/>
      <c r="L255" s="327"/>
    </row>
    <row r="256" spans="2:19" ht="20.25">
      <c r="B256" s="327"/>
      <c r="C256" s="369" t="s">
        <v>1881</v>
      </c>
      <c r="D256" s="369"/>
      <c r="E256" s="369"/>
      <c r="F256" s="369"/>
      <c r="G256" s="369"/>
      <c r="H256" s="369"/>
      <c r="I256" s="369"/>
      <c r="J256" s="369"/>
      <c r="K256" s="352"/>
      <c r="L256" s="327"/>
    </row>
    <row r="257" spans="2:15">
      <c r="B257" s="342">
        <v>1</v>
      </c>
      <c r="C257" s="340" t="s">
        <v>1890</v>
      </c>
      <c r="D257" s="327"/>
      <c r="L257" s="327"/>
    </row>
    <row r="258" spans="2:15">
      <c r="B258" s="342">
        <v>2</v>
      </c>
      <c r="C258" s="341" t="s">
        <v>1899</v>
      </c>
      <c r="D258" s="327"/>
      <c r="L258" s="327"/>
    </row>
    <row r="259" spans="2:15">
      <c r="B259" s="342">
        <v>3</v>
      </c>
      <c r="C259" s="340" t="s">
        <v>1907</v>
      </c>
      <c r="D259" s="340"/>
      <c r="L259" s="327"/>
    </row>
    <row r="267" spans="2:15">
      <c r="B267" s="327" t="s">
        <v>2108</v>
      </c>
      <c r="C267" s="327"/>
      <c r="D267" s="327"/>
      <c r="E267" s="327"/>
      <c r="F267" s="327"/>
      <c r="G267" s="327"/>
      <c r="H267" s="327"/>
      <c r="I267" s="327"/>
      <c r="J267" s="327"/>
      <c r="K267" s="327"/>
      <c r="L267" s="327"/>
      <c r="M267" s="327"/>
      <c r="N267" s="327"/>
      <c r="O267" s="327"/>
    </row>
    <row r="268" spans="2:15">
      <c r="B268" s="384"/>
      <c r="C268" s="384"/>
      <c r="D268" s="384"/>
      <c r="E268" s="341" t="s">
        <v>1954</v>
      </c>
      <c r="F268" s="341"/>
      <c r="G268" s="341"/>
      <c r="H268" s="341"/>
      <c r="I268" s="327"/>
      <c r="J268" s="327"/>
      <c r="K268" s="327"/>
      <c r="L268" s="327"/>
      <c r="M268" s="327"/>
      <c r="N268" s="327"/>
      <c r="O268" s="327"/>
    </row>
    <row r="269" spans="2:15">
      <c r="B269" s="340" t="s">
        <v>1957</v>
      </c>
      <c r="C269" s="340"/>
      <c r="D269" s="340"/>
      <c r="E269" s="340"/>
      <c r="F269" s="343" t="s">
        <v>181</v>
      </c>
      <c r="G269" s="342" t="s">
        <v>182</v>
      </c>
      <c r="H269" s="379" t="s">
        <v>1958</v>
      </c>
      <c r="I269" s="378" t="s">
        <v>1959</v>
      </c>
      <c r="J269" s="382"/>
      <c r="K269" s="382" t="s">
        <v>1960</v>
      </c>
      <c r="L269" s="382"/>
      <c r="M269" s="327"/>
      <c r="N269" s="327"/>
      <c r="O269" s="327"/>
    </row>
    <row r="270" spans="2:15">
      <c r="B270" s="380" t="s">
        <v>1963</v>
      </c>
      <c r="C270" s="380"/>
      <c r="D270" s="380"/>
      <c r="E270" s="380"/>
      <c r="F270" s="380" t="s">
        <v>849</v>
      </c>
      <c r="G270" s="380" t="s">
        <v>1544</v>
      </c>
      <c r="H270" s="380" t="s">
        <v>1964</v>
      </c>
      <c r="I270" s="380" t="s">
        <v>279</v>
      </c>
      <c r="J270" s="380" t="s">
        <v>1965</v>
      </c>
      <c r="K270" s="380"/>
      <c r="L270" s="380"/>
      <c r="M270" s="380"/>
      <c r="N270" s="327"/>
      <c r="O270" s="327"/>
    </row>
    <row r="271" spans="2:15">
      <c r="B271" s="368" t="s">
        <v>1967</v>
      </c>
      <c r="C271" s="368"/>
      <c r="D271" s="368"/>
      <c r="E271" s="368"/>
      <c r="F271" s="368" t="s">
        <v>1544</v>
      </c>
      <c r="G271" s="368" t="s">
        <v>849</v>
      </c>
      <c r="H271" s="368" t="s">
        <v>1964</v>
      </c>
      <c r="I271" s="368" t="s">
        <v>279</v>
      </c>
      <c r="J271" s="368" t="s">
        <v>1968</v>
      </c>
      <c r="K271" s="383"/>
      <c r="L271" s="383"/>
      <c r="M271" s="383"/>
      <c r="N271" s="327"/>
      <c r="O271" s="327"/>
    </row>
    <row r="272" spans="2:15">
      <c r="B272" s="380" t="s">
        <v>1969</v>
      </c>
      <c r="C272" s="380"/>
      <c r="D272" s="380"/>
      <c r="E272" s="380"/>
      <c r="F272" s="380" t="s">
        <v>1293</v>
      </c>
      <c r="G272" s="380" t="s">
        <v>1970</v>
      </c>
      <c r="H272" s="380" t="s">
        <v>1964</v>
      </c>
      <c r="I272" s="380" t="s">
        <v>279</v>
      </c>
      <c r="J272" s="380" t="s">
        <v>1971</v>
      </c>
      <c r="K272" s="380"/>
      <c r="L272" s="380"/>
      <c r="M272" s="380"/>
      <c r="N272" s="380"/>
      <c r="O272" s="327"/>
    </row>
    <row r="273" spans="2:21">
      <c r="B273" s="368" t="s">
        <v>1973</v>
      </c>
      <c r="C273" s="368"/>
      <c r="D273" s="368"/>
      <c r="E273" s="368"/>
      <c r="F273" s="368" t="s">
        <v>1974</v>
      </c>
      <c r="G273" s="368" t="s">
        <v>1292</v>
      </c>
      <c r="H273" s="368" t="s">
        <v>1964</v>
      </c>
      <c r="I273" s="368" t="s">
        <v>279</v>
      </c>
      <c r="J273" s="368" t="s">
        <v>1975</v>
      </c>
      <c r="K273" s="383"/>
      <c r="L273" s="383"/>
      <c r="M273" s="383"/>
      <c r="N273" s="383"/>
      <c r="O273" s="327"/>
    </row>
    <row r="274" spans="2:21">
      <c r="B274" s="380" t="s">
        <v>1977</v>
      </c>
      <c r="C274" s="380"/>
      <c r="D274" s="380"/>
      <c r="E274" s="380"/>
      <c r="F274" s="380" t="s">
        <v>687</v>
      </c>
      <c r="G274" s="380" t="s">
        <v>1970</v>
      </c>
      <c r="H274" s="380" t="s">
        <v>1964</v>
      </c>
      <c r="I274" s="380" t="s">
        <v>279</v>
      </c>
      <c r="J274" s="380" t="s">
        <v>1978</v>
      </c>
      <c r="K274" s="380"/>
      <c r="L274" s="380"/>
      <c r="M274" s="380"/>
      <c r="N274" s="327"/>
      <c r="O274" s="327"/>
    </row>
    <row r="275" spans="2:21">
      <c r="B275" s="368" t="s">
        <v>1980</v>
      </c>
      <c r="C275" s="368"/>
      <c r="D275" s="368"/>
      <c r="E275" s="368"/>
      <c r="F275" s="368" t="s">
        <v>1970</v>
      </c>
      <c r="G275" s="368" t="s">
        <v>1981</v>
      </c>
      <c r="H275" s="368" t="s">
        <v>1964</v>
      </c>
      <c r="I275" s="368" t="s">
        <v>279</v>
      </c>
      <c r="J275" s="368" t="s">
        <v>1982</v>
      </c>
      <c r="K275" s="383"/>
      <c r="L275" s="383"/>
      <c r="M275" s="383"/>
      <c r="N275" s="383"/>
      <c r="O275" s="327"/>
    </row>
    <row r="276" spans="2:21">
      <c r="B276" s="380" t="s">
        <v>1984</v>
      </c>
      <c r="C276" s="380"/>
      <c r="D276" s="380"/>
      <c r="E276" s="380"/>
      <c r="F276" s="380" t="s">
        <v>1293</v>
      </c>
      <c r="G276" s="380" t="s">
        <v>849</v>
      </c>
      <c r="H276" s="380" t="s">
        <v>1964</v>
      </c>
      <c r="I276" s="380" t="s">
        <v>279</v>
      </c>
      <c r="J276" s="380" t="s">
        <v>1985</v>
      </c>
      <c r="K276" s="380"/>
      <c r="L276" s="380"/>
      <c r="M276" s="380"/>
      <c r="N276" s="380"/>
      <c r="O276" s="327"/>
    </row>
    <row r="277" spans="2:21">
      <c r="B277" s="327"/>
      <c r="C277" s="327"/>
      <c r="D277" s="327"/>
      <c r="E277" s="327"/>
      <c r="F277" s="327"/>
      <c r="G277" s="327"/>
      <c r="H277" s="327"/>
      <c r="I277" s="327"/>
      <c r="J277" s="327"/>
      <c r="K277" s="327"/>
      <c r="L277" s="327"/>
      <c r="M277" s="327"/>
      <c r="N277" s="327"/>
      <c r="O277" s="327"/>
    </row>
    <row r="278" spans="2:21">
      <c r="B278" s="327"/>
      <c r="C278" s="327"/>
      <c r="D278" s="385" t="s">
        <v>1988</v>
      </c>
      <c r="E278" s="385"/>
      <c r="F278" s="385"/>
      <c r="G278" s="385"/>
      <c r="H278" s="385"/>
      <c r="I278" s="327"/>
      <c r="J278" s="327"/>
      <c r="K278" s="327"/>
      <c r="L278" s="341" t="s">
        <v>1989</v>
      </c>
      <c r="M278" s="341"/>
      <c r="N278" s="341"/>
      <c r="O278" s="341"/>
      <c r="Q278" s="231" t="s">
        <v>60</v>
      </c>
      <c r="R278" s="232">
        <v>1442</v>
      </c>
      <c r="S278" s="256" t="s">
        <v>5</v>
      </c>
      <c r="T278" s="257">
        <v>29</v>
      </c>
      <c r="U278" s="327"/>
    </row>
    <row r="279" spans="2:21">
      <c r="B279" s="381"/>
      <c r="C279" s="381" t="s">
        <v>1991</v>
      </c>
      <c r="D279" s="381"/>
      <c r="E279" s="381" t="s">
        <v>181</v>
      </c>
      <c r="F279" s="381" t="s">
        <v>182</v>
      </c>
      <c r="G279" s="381" t="s">
        <v>1959</v>
      </c>
      <c r="H279" s="381" t="s">
        <v>1992</v>
      </c>
      <c r="I279" s="327"/>
      <c r="J279" s="368" t="s">
        <v>1991</v>
      </c>
      <c r="K279" s="368"/>
      <c r="L279" s="368" t="s">
        <v>181</v>
      </c>
      <c r="M279" s="368" t="s">
        <v>182</v>
      </c>
      <c r="N279" s="368" t="s">
        <v>1959</v>
      </c>
      <c r="O279" s="368" t="s">
        <v>1992</v>
      </c>
      <c r="Q279" s="252" t="s">
        <v>4</v>
      </c>
      <c r="R279" s="253">
        <v>9</v>
      </c>
      <c r="S279" s="250" t="s">
        <v>219</v>
      </c>
      <c r="T279" s="258">
        <v>0</v>
      </c>
      <c r="U279" s="327"/>
    </row>
    <row r="280" spans="2:21">
      <c r="B280" s="380" t="s">
        <v>1994</v>
      </c>
      <c r="C280" s="380"/>
      <c r="D280" s="380"/>
      <c r="E280" s="342" t="s">
        <v>687</v>
      </c>
      <c r="F280" s="345" t="s">
        <v>849</v>
      </c>
      <c r="G280" s="363" t="s">
        <v>279</v>
      </c>
      <c r="H280" s="340" t="s">
        <v>1964</v>
      </c>
      <c r="I280" s="327"/>
      <c r="J280" s="341" t="s">
        <v>1995</v>
      </c>
      <c r="K280" s="341"/>
      <c r="L280" s="342" t="s">
        <v>1292</v>
      </c>
      <c r="M280" s="340" t="s">
        <v>1293</v>
      </c>
      <c r="N280" s="380" t="s">
        <v>279</v>
      </c>
      <c r="O280" s="377" t="s">
        <v>1964</v>
      </c>
      <c r="Q280" s="252" t="s">
        <v>5</v>
      </c>
      <c r="R280" s="253">
        <v>26</v>
      </c>
      <c r="S280" s="250" t="s">
        <v>166</v>
      </c>
      <c r="T280" s="258">
        <v>0</v>
      </c>
      <c r="U280" s="327"/>
    </row>
    <row r="281" spans="2:21">
      <c r="B281" s="380" t="s">
        <v>1996</v>
      </c>
      <c r="C281" s="380"/>
      <c r="D281" s="380"/>
      <c r="E281" s="342" t="s">
        <v>1293</v>
      </c>
      <c r="F281" s="345" t="s">
        <v>849</v>
      </c>
      <c r="G281" s="363" t="s">
        <v>279</v>
      </c>
      <c r="H281" s="340" t="s">
        <v>1997</v>
      </c>
      <c r="I281" s="327"/>
      <c r="J281" s="341" t="s">
        <v>1998</v>
      </c>
      <c r="K281" s="341"/>
      <c r="L281" s="342" t="s">
        <v>1999</v>
      </c>
      <c r="M281" s="340" t="s">
        <v>2000</v>
      </c>
      <c r="N281" s="380" t="s">
        <v>279</v>
      </c>
      <c r="O281" s="377" t="s">
        <v>1964</v>
      </c>
      <c r="Q281" s="254" t="s">
        <v>393</v>
      </c>
      <c r="R281" s="255" t="e">
        <f ca="1">[2]!mbtool(1,25,0,1)</f>
        <v>#NAME?</v>
      </c>
      <c r="S281" s="259" t="s">
        <v>167</v>
      </c>
      <c r="T281" s="260">
        <v>0</v>
      </c>
      <c r="U281" s="327"/>
    </row>
    <row r="282" spans="2:21">
      <c r="B282" s="380" t="s">
        <v>2001</v>
      </c>
      <c r="C282" s="380"/>
      <c r="D282" s="380"/>
      <c r="E282" s="342" t="s">
        <v>2002</v>
      </c>
      <c r="F282" s="345" t="s">
        <v>2003</v>
      </c>
      <c r="G282" s="363" t="s">
        <v>279</v>
      </c>
      <c r="H282" s="340" t="s">
        <v>1997</v>
      </c>
      <c r="I282" s="327"/>
      <c r="J282" s="341" t="s">
        <v>2004</v>
      </c>
      <c r="K282" s="341"/>
      <c r="L282" s="342" t="s">
        <v>1293</v>
      </c>
      <c r="M282" s="340" t="s">
        <v>1291</v>
      </c>
      <c r="N282" s="380" t="s">
        <v>279</v>
      </c>
      <c r="O282" s="377" t="s">
        <v>2005</v>
      </c>
      <c r="Q282" s="261" t="s">
        <v>378</v>
      </c>
      <c r="R282" s="327" t="e">
        <f ca="1">[2]!taqsh(R278,R279,R280,R281)</f>
        <v>#NAME?</v>
      </c>
      <c r="S282" s="327"/>
      <c r="T282" s="327"/>
      <c r="U282" s="327"/>
    </row>
    <row r="283" spans="2:21">
      <c r="B283" s="380" t="s">
        <v>2006</v>
      </c>
      <c r="C283" s="380"/>
      <c r="D283" s="380"/>
      <c r="E283" s="342" t="s">
        <v>2007</v>
      </c>
      <c r="F283" s="345" t="s">
        <v>2003</v>
      </c>
      <c r="G283" s="363" t="s">
        <v>279</v>
      </c>
      <c r="H283" s="340" t="s">
        <v>1997</v>
      </c>
      <c r="I283" s="327"/>
      <c r="J283" s="341" t="s">
        <v>2008</v>
      </c>
      <c r="K283" s="341"/>
      <c r="L283" s="342" t="s">
        <v>1291</v>
      </c>
      <c r="M283" s="340" t="s">
        <v>1293</v>
      </c>
      <c r="N283" s="380" t="s">
        <v>279</v>
      </c>
      <c r="O283" s="377" t="s">
        <v>2005</v>
      </c>
      <c r="Q283" s="261" t="s">
        <v>698</v>
      </c>
      <c r="R283" s="327" t="e">
        <f ca="1">[2]!taqq(R278,R279,R280,R281)</f>
        <v>#NAME?</v>
      </c>
      <c r="S283" s="327"/>
      <c r="T283" s="327"/>
      <c r="U283" s="327"/>
    </row>
    <row r="284" spans="2:21" ht="23.25">
      <c r="B284" s="380" t="s">
        <v>2009</v>
      </c>
      <c r="C284" s="380"/>
      <c r="D284" s="380"/>
      <c r="E284" s="342" t="s">
        <v>1293</v>
      </c>
      <c r="F284" s="345" t="s">
        <v>1292</v>
      </c>
      <c r="G284" s="363" t="s">
        <v>279</v>
      </c>
      <c r="H284" s="340" t="s">
        <v>1997</v>
      </c>
      <c r="I284" s="327"/>
      <c r="J284" s="341" t="s">
        <v>2010</v>
      </c>
      <c r="K284" s="341"/>
      <c r="L284" s="342" t="s">
        <v>1291</v>
      </c>
      <c r="M284" s="340" t="s">
        <v>687</v>
      </c>
      <c r="N284" s="380" t="s">
        <v>279</v>
      </c>
      <c r="O284" s="377" t="s">
        <v>1964</v>
      </c>
      <c r="Q284" s="163" t="s">
        <v>177</v>
      </c>
      <c r="R284" s="163">
        <v>35</v>
      </c>
      <c r="S284" s="327"/>
      <c r="T284" s="327"/>
      <c r="U284" s="327"/>
    </row>
    <row r="285" spans="2:21" ht="22.5">
      <c r="B285" s="380" t="s">
        <v>2011</v>
      </c>
      <c r="C285" s="380"/>
      <c r="D285" s="380"/>
      <c r="E285" s="342" t="s">
        <v>849</v>
      </c>
      <c r="F285" s="345" t="s">
        <v>1290</v>
      </c>
      <c r="G285" s="363" t="s">
        <v>279</v>
      </c>
      <c r="H285" s="340" t="s">
        <v>1997</v>
      </c>
      <c r="I285" s="327"/>
      <c r="J285" s="341" t="s">
        <v>2012</v>
      </c>
      <c r="K285" s="341"/>
      <c r="L285" s="342" t="s">
        <v>1293</v>
      </c>
      <c r="M285" s="340" t="s">
        <v>2013</v>
      </c>
      <c r="N285" s="380" t="s">
        <v>279</v>
      </c>
      <c r="O285" s="377" t="s">
        <v>2005</v>
      </c>
      <c r="Q285" s="181" t="s">
        <v>227</v>
      </c>
      <c r="R285" s="182" t="e">
        <f ca="1">[2]!ml(R282)</f>
        <v>#NAME?</v>
      </c>
      <c r="S285" s="327"/>
      <c r="T285" s="327"/>
      <c r="U285" s="327"/>
    </row>
    <row r="286" spans="2:21" ht="23.25">
      <c r="B286" s="380" t="s">
        <v>2014</v>
      </c>
      <c r="C286" s="380"/>
      <c r="D286" s="380"/>
      <c r="E286" s="342" t="s">
        <v>1544</v>
      </c>
      <c r="F286" s="345" t="s">
        <v>687</v>
      </c>
      <c r="G286" s="363" t="s">
        <v>279</v>
      </c>
      <c r="H286" s="340" t="s">
        <v>1997</v>
      </c>
      <c r="I286" s="327"/>
      <c r="J286" s="341" t="s">
        <v>2015</v>
      </c>
      <c r="K286" s="341"/>
      <c r="L286" s="342" t="s">
        <v>1292</v>
      </c>
      <c r="M286" s="340" t="s">
        <v>1290</v>
      </c>
      <c r="N286" s="380" t="s">
        <v>279</v>
      </c>
      <c r="O286" s="377" t="s">
        <v>1964</v>
      </c>
      <c r="Q286" s="152" t="s">
        <v>1484</v>
      </c>
      <c r="R286" s="3" t="e">
        <f ca="1">[2]!qsn(R285,R284)/(2*15)</f>
        <v>#NAME?</v>
      </c>
      <c r="S286" s="327"/>
      <c r="T286" s="327"/>
      <c r="U286" s="327"/>
    </row>
    <row r="287" spans="2:21" ht="21">
      <c r="B287" s="380" t="s">
        <v>2016</v>
      </c>
      <c r="C287" s="380"/>
      <c r="D287" s="380"/>
      <c r="E287" s="342" t="s">
        <v>1291</v>
      </c>
      <c r="F287" s="345" t="s">
        <v>2017</v>
      </c>
      <c r="G287" s="363" t="s">
        <v>279</v>
      </c>
      <c r="H287" s="340" t="s">
        <v>1997</v>
      </c>
      <c r="I287" s="327"/>
      <c r="J287" s="341" t="s">
        <v>2018</v>
      </c>
      <c r="K287" s="341"/>
      <c r="L287" s="342" t="s">
        <v>1291</v>
      </c>
      <c r="M287" s="340" t="s">
        <v>687</v>
      </c>
      <c r="N287" s="380" t="s">
        <v>279</v>
      </c>
      <c r="O287" s="377" t="s">
        <v>2005</v>
      </c>
      <c r="Q287" s="3" t="s">
        <v>1483</v>
      </c>
      <c r="R287" s="182" t="e">
        <f ca="1">(12-R286)+12</f>
        <v>#NAME?</v>
      </c>
    </row>
    <row r="288" spans="2:21">
      <c r="B288" s="380" t="s">
        <v>2019</v>
      </c>
      <c r="C288" s="380"/>
      <c r="D288" s="380"/>
      <c r="E288" s="342" t="s">
        <v>849</v>
      </c>
      <c r="F288" s="345" t="s">
        <v>1293</v>
      </c>
      <c r="G288" s="363" t="s">
        <v>279</v>
      </c>
      <c r="H288" s="340" t="s">
        <v>1964</v>
      </c>
      <c r="I288" s="327"/>
      <c r="J288" s="341" t="s">
        <v>2020</v>
      </c>
      <c r="K288" s="341"/>
      <c r="L288" s="342" t="s">
        <v>1544</v>
      </c>
      <c r="M288" s="340" t="s">
        <v>849</v>
      </c>
      <c r="N288" s="380" t="s">
        <v>279</v>
      </c>
      <c r="O288" s="377" t="s">
        <v>2005</v>
      </c>
      <c r="Q288" s="3"/>
      <c r="R288" s="3">
        <f>((R280-INT(R280))*24)</f>
        <v>0</v>
      </c>
    </row>
    <row r="289" spans="2:18">
      <c r="B289" s="380" t="s">
        <v>2021</v>
      </c>
      <c r="C289" s="380"/>
      <c r="D289" s="380"/>
      <c r="E289" s="342" t="s">
        <v>1291</v>
      </c>
      <c r="F289" s="345" t="s">
        <v>1293</v>
      </c>
      <c r="G289" s="363" t="s">
        <v>279</v>
      </c>
      <c r="H289" s="340" t="s">
        <v>1964</v>
      </c>
      <c r="I289" s="327"/>
      <c r="J289" s="341" t="s">
        <v>2022</v>
      </c>
      <c r="K289" s="341"/>
      <c r="L289" s="342" t="s">
        <v>687</v>
      </c>
      <c r="M289" s="340" t="s">
        <v>1292</v>
      </c>
      <c r="N289" s="380" t="s">
        <v>279</v>
      </c>
      <c r="O289" s="377" t="s">
        <v>1964</v>
      </c>
      <c r="Q289" s="3"/>
      <c r="R289" s="3" t="e">
        <f ca="1">R288-R287</f>
        <v>#NAME?</v>
      </c>
    </row>
    <row r="290" spans="2:18" ht="23.25">
      <c r="B290" s="380" t="s">
        <v>2023</v>
      </c>
      <c r="C290" s="380"/>
      <c r="D290" s="380"/>
      <c r="E290" s="342" t="s">
        <v>1544</v>
      </c>
      <c r="F290" s="345" t="s">
        <v>1293</v>
      </c>
      <c r="G290" s="363" t="s">
        <v>279</v>
      </c>
      <c r="H290" s="340" t="s">
        <v>1997</v>
      </c>
      <c r="I290" s="327"/>
      <c r="J290" s="341" t="s">
        <v>2024</v>
      </c>
      <c r="K290" s="341"/>
      <c r="L290" s="342" t="s">
        <v>2025</v>
      </c>
      <c r="M290" s="340" t="s">
        <v>2026</v>
      </c>
      <c r="N290" s="380" t="s">
        <v>279</v>
      </c>
      <c r="O290" s="377" t="s">
        <v>2005</v>
      </c>
      <c r="Q290" s="152" t="s">
        <v>1482</v>
      </c>
      <c r="R290" s="3" t="e">
        <f ca="1">IF(R288&lt;R287,R286+R288,R289)</f>
        <v>#NAME?</v>
      </c>
    </row>
    <row r="291" spans="2:18">
      <c r="B291" s="380" t="s">
        <v>2027</v>
      </c>
      <c r="C291" s="380"/>
      <c r="D291" s="380"/>
      <c r="E291" s="342" t="s">
        <v>687</v>
      </c>
      <c r="F291" s="345" t="s">
        <v>849</v>
      </c>
      <c r="G291" s="363" t="s">
        <v>1544</v>
      </c>
      <c r="H291" s="340" t="s">
        <v>1997</v>
      </c>
      <c r="I291" s="327"/>
      <c r="J291" s="341" t="s">
        <v>2028</v>
      </c>
      <c r="K291" s="341"/>
      <c r="L291" s="342" t="s">
        <v>849</v>
      </c>
      <c r="M291" s="340" t="s">
        <v>1291</v>
      </c>
      <c r="N291" s="380" t="s">
        <v>279</v>
      </c>
      <c r="O291" s="377" t="s">
        <v>1964</v>
      </c>
      <c r="Q291" s="3" t="s">
        <v>1480</v>
      </c>
      <c r="R291" s="3" t="e">
        <f ca="1">R290*15</f>
        <v>#NAME?</v>
      </c>
    </row>
    <row r="292" spans="2:18">
      <c r="B292" s="380" t="s">
        <v>2029</v>
      </c>
      <c r="C292" s="380"/>
      <c r="D292" s="380"/>
      <c r="E292" s="342" t="s">
        <v>1544</v>
      </c>
      <c r="F292" s="345" t="s">
        <v>1292</v>
      </c>
      <c r="G292" s="363" t="s">
        <v>279</v>
      </c>
      <c r="H292" s="340" t="s">
        <v>1964</v>
      </c>
      <c r="I292" s="327"/>
      <c r="J292" s="341" t="s">
        <v>2030</v>
      </c>
      <c r="K292" s="341"/>
      <c r="L292" s="342" t="s">
        <v>1293</v>
      </c>
      <c r="M292" s="340" t="s">
        <v>1290</v>
      </c>
      <c r="N292" s="380" t="s">
        <v>279</v>
      </c>
      <c r="O292" s="377" t="s">
        <v>1964</v>
      </c>
      <c r="Q292" s="3" t="s">
        <v>422</v>
      </c>
      <c r="R292" s="3" t="e">
        <f ca="1">[2]!mtdt(0,R282,R284)</f>
        <v>#NAME?</v>
      </c>
    </row>
    <row r="293" spans="2:18">
      <c r="B293" s="380" t="s">
        <v>2031</v>
      </c>
      <c r="C293" s="380"/>
      <c r="D293" s="380"/>
      <c r="E293" s="342" t="s">
        <v>849</v>
      </c>
      <c r="F293" s="345" t="s">
        <v>1292</v>
      </c>
      <c r="G293" s="363" t="s">
        <v>279</v>
      </c>
      <c r="H293" s="340" t="s">
        <v>1964</v>
      </c>
      <c r="I293" s="327"/>
      <c r="J293" s="341" t="s">
        <v>2032</v>
      </c>
      <c r="K293" s="341"/>
      <c r="L293" s="342" t="s">
        <v>1290</v>
      </c>
      <c r="M293" s="340" t="s">
        <v>687</v>
      </c>
      <c r="N293" s="380" t="s">
        <v>279</v>
      </c>
      <c r="O293" s="377" t="s">
        <v>1964</v>
      </c>
      <c r="Q293" s="3" t="s">
        <v>1485</v>
      </c>
      <c r="R293" s="3" t="e">
        <f ca="1">IF((R292+R291)&lt;360,R292+R291,R292+R291-360)</f>
        <v>#NAME?</v>
      </c>
    </row>
    <row r="294" spans="2:18" ht="21.75">
      <c r="B294" s="380" t="s">
        <v>2033</v>
      </c>
      <c r="C294" s="380"/>
      <c r="D294" s="380"/>
      <c r="E294" s="342" t="s">
        <v>2034</v>
      </c>
      <c r="F294" s="345" t="s">
        <v>1293</v>
      </c>
      <c r="G294" s="363" t="s">
        <v>279</v>
      </c>
      <c r="H294" s="340" t="s">
        <v>1964</v>
      </c>
      <c r="I294" s="327"/>
      <c r="J294" s="341" t="s">
        <v>2035</v>
      </c>
      <c r="K294" s="341"/>
      <c r="L294" s="342" t="s">
        <v>1544</v>
      </c>
      <c r="M294" s="340" t="s">
        <v>1293</v>
      </c>
      <c r="N294" s="380" t="s">
        <v>279</v>
      </c>
      <c r="O294" s="377" t="s">
        <v>1964</v>
      </c>
      <c r="Q294" s="3" t="s">
        <v>279</v>
      </c>
      <c r="R294" s="187" t="e">
        <f ca="1">[2]!tazmb(R293,R284)</f>
        <v>#NAME?</v>
      </c>
    </row>
    <row r="295" spans="2:18">
      <c r="B295" s="380" t="s">
        <v>2036</v>
      </c>
      <c r="C295" s="380"/>
      <c r="D295" s="380"/>
      <c r="E295" s="342" t="s">
        <v>1292</v>
      </c>
      <c r="F295" s="345" t="s">
        <v>1290</v>
      </c>
      <c r="G295" s="363" t="s">
        <v>279</v>
      </c>
      <c r="H295" s="340" t="s">
        <v>1964</v>
      </c>
      <c r="I295" s="327"/>
      <c r="J295" s="341" t="s">
        <v>2037</v>
      </c>
      <c r="K295" s="341"/>
      <c r="L295" s="342" t="s">
        <v>849</v>
      </c>
      <c r="M295" s="340" t="s">
        <v>1290</v>
      </c>
      <c r="N295" s="380" t="s">
        <v>279</v>
      </c>
      <c r="O295" s="377" t="s">
        <v>1964</v>
      </c>
      <c r="R295" t="e">
        <f ca="1">IF(R283&gt;R282,R283-R282,R283-R282+36)</f>
        <v>#NAME?</v>
      </c>
    </row>
    <row r="296" spans="2:18">
      <c r="B296" s="380" t="s">
        <v>2038</v>
      </c>
      <c r="C296" s="380"/>
      <c r="D296" s="380"/>
      <c r="E296" s="342" t="s">
        <v>1291</v>
      </c>
      <c r="F296" s="345" t="s">
        <v>1290</v>
      </c>
      <c r="G296" s="363" t="s">
        <v>279</v>
      </c>
      <c r="H296" s="340" t="s">
        <v>1964</v>
      </c>
      <c r="I296" s="327"/>
      <c r="J296" s="341" t="s">
        <v>2039</v>
      </c>
      <c r="K296" s="341"/>
      <c r="L296" s="342" t="s">
        <v>849</v>
      </c>
      <c r="M296" s="340" t="s">
        <v>1291</v>
      </c>
      <c r="N296" s="380" t="s">
        <v>279</v>
      </c>
      <c r="O296" s="377" t="s">
        <v>1964</v>
      </c>
      <c r="R296" t="e">
        <f ca="1">IF(R295+R294&lt;360,R295+R294,R295+R294-360)</f>
        <v>#NAME?</v>
      </c>
    </row>
    <row r="297" spans="2:18">
      <c r="B297" s="380" t="s">
        <v>2040</v>
      </c>
      <c r="C297" s="380"/>
      <c r="D297" s="380"/>
      <c r="E297" s="342" t="s">
        <v>1290</v>
      </c>
      <c r="F297" s="345" t="s">
        <v>1291</v>
      </c>
      <c r="G297" s="363" t="s">
        <v>279</v>
      </c>
      <c r="H297" s="340" t="s">
        <v>1964</v>
      </c>
      <c r="I297" s="327"/>
      <c r="J297" s="341" t="s">
        <v>2041</v>
      </c>
      <c r="K297" s="341"/>
      <c r="L297" s="342" t="s">
        <v>687</v>
      </c>
      <c r="M297" s="340" t="s">
        <v>1292</v>
      </c>
      <c r="N297" s="380" t="s">
        <v>279</v>
      </c>
      <c r="O297" s="377" t="s">
        <v>1964</v>
      </c>
      <c r="Q297" t="s">
        <v>2109</v>
      </c>
    </row>
    <row r="298" spans="2:18">
      <c r="B298" s="380" t="s">
        <v>2042</v>
      </c>
      <c r="C298" s="380"/>
      <c r="D298" s="380"/>
      <c r="E298" s="342" t="s">
        <v>849</v>
      </c>
      <c r="F298" s="345" t="s">
        <v>1544</v>
      </c>
      <c r="G298" s="363" t="s">
        <v>279</v>
      </c>
      <c r="H298" s="340" t="s">
        <v>1964</v>
      </c>
      <c r="I298" s="327"/>
      <c r="J298" s="341" t="s">
        <v>2043</v>
      </c>
      <c r="K298" s="341"/>
      <c r="L298" s="342" t="s">
        <v>1291</v>
      </c>
      <c r="M298" s="340" t="s">
        <v>849</v>
      </c>
      <c r="N298" s="380" t="s">
        <v>279</v>
      </c>
      <c r="O298" s="377" t="s">
        <v>1964</v>
      </c>
      <c r="Q298" t="s">
        <v>2110</v>
      </c>
    </row>
    <row r="299" spans="2:18">
      <c r="B299" s="380" t="s">
        <v>2044</v>
      </c>
      <c r="C299" s="380"/>
      <c r="D299" s="380"/>
      <c r="E299" s="342" t="s">
        <v>687</v>
      </c>
      <c r="F299" s="345" t="s">
        <v>849</v>
      </c>
      <c r="G299" s="363" t="s">
        <v>279</v>
      </c>
      <c r="H299" s="340" t="s">
        <v>1964</v>
      </c>
      <c r="I299" s="327"/>
      <c r="J299" s="341" t="s">
        <v>2045</v>
      </c>
      <c r="K299" s="341"/>
      <c r="L299" s="342" t="s">
        <v>1544</v>
      </c>
      <c r="M299" s="340" t="s">
        <v>1293</v>
      </c>
      <c r="N299" s="380" t="s">
        <v>279</v>
      </c>
      <c r="O299" s="377" t="s">
        <v>1964</v>
      </c>
    </row>
    <row r="300" spans="2:18">
      <c r="B300" s="380" t="s">
        <v>2046</v>
      </c>
      <c r="C300" s="380"/>
      <c r="D300" s="380"/>
      <c r="E300" s="342" t="s">
        <v>1290</v>
      </c>
      <c r="F300" s="345" t="s">
        <v>1293</v>
      </c>
      <c r="G300" s="363" t="s">
        <v>279</v>
      </c>
      <c r="H300" s="340" t="s">
        <v>1964</v>
      </c>
      <c r="I300" s="327"/>
      <c r="J300" s="341" t="s">
        <v>2047</v>
      </c>
      <c r="K300" s="341"/>
      <c r="L300" s="342" t="s">
        <v>1290</v>
      </c>
      <c r="M300" s="340" t="s">
        <v>849</v>
      </c>
      <c r="N300" s="380" t="s">
        <v>279</v>
      </c>
      <c r="O300" s="377" t="s">
        <v>1964</v>
      </c>
    </row>
    <row r="301" spans="2:18">
      <c r="B301" s="380" t="s">
        <v>2048</v>
      </c>
      <c r="C301" s="380"/>
      <c r="D301" s="380"/>
      <c r="E301" s="342" t="s">
        <v>1544</v>
      </c>
      <c r="F301" s="345" t="s">
        <v>1292</v>
      </c>
      <c r="G301" s="363" t="s">
        <v>279</v>
      </c>
      <c r="H301" s="340" t="s">
        <v>1964</v>
      </c>
      <c r="I301" s="327"/>
      <c r="J301" s="341" t="s">
        <v>2049</v>
      </c>
      <c r="K301" s="341"/>
      <c r="L301" s="342" t="s">
        <v>2050</v>
      </c>
      <c r="M301" s="340" t="s">
        <v>1292</v>
      </c>
      <c r="N301" s="380" t="s">
        <v>279</v>
      </c>
      <c r="O301" s="377" t="s">
        <v>1964</v>
      </c>
    </row>
    <row r="302" spans="2:18">
      <c r="B302" s="380" t="s">
        <v>2051</v>
      </c>
      <c r="C302" s="380"/>
      <c r="D302" s="380"/>
      <c r="E302" s="342" t="s">
        <v>849</v>
      </c>
      <c r="F302" s="345" t="s">
        <v>1292</v>
      </c>
      <c r="G302" s="363" t="s">
        <v>279</v>
      </c>
      <c r="H302" s="340" t="s">
        <v>1964</v>
      </c>
      <c r="I302" s="327"/>
      <c r="J302" s="341" t="s">
        <v>2052</v>
      </c>
      <c r="K302" s="341"/>
      <c r="L302" s="342" t="s">
        <v>1293</v>
      </c>
      <c r="M302" s="340" t="s">
        <v>1291</v>
      </c>
      <c r="N302" s="380" t="s">
        <v>279</v>
      </c>
      <c r="O302" s="377" t="s">
        <v>1964</v>
      </c>
    </row>
    <row r="303" spans="2:18">
      <c r="B303" s="380" t="s">
        <v>2053</v>
      </c>
      <c r="C303" s="380"/>
      <c r="D303" s="380"/>
      <c r="E303" s="342" t="s">
        <v>849</v>
      </c>
      <c r="F303" s="345" t="s">
        <v>1290</v>
      </c>
      <c r="G303" s="363" t="s">
        <v>279</v>
      </c>
      <c r="H303" s="340" t="s">
        <v>1964</v>
      </c>
      <c r="I303" s="327"/>
      <c r="J303" s="341" t="s">
        <v>2054</v>
      </c>
      <c r="K303" s="341"/>
      <c r="L303" s="342" t="s">
        <v>2055</v>
      </c>
      <c r="M303" s="340" t="s">
        <v>2050</v>
      </c>
      <c r="N303" s="380" t="s">
        <v>279</v>
      </c>
      <c r="O303" s="377" t="s">
        <v>1964</v>
      </c>
    </row>
    <row r="304" spans="2:18">
      <c r="B304" s="380" t="s">
        <v>2056</v>
      </c>
      <c r="C304" s="380"/>
      <c r="D304" s="380"/>
      <c r="E304" s="342" t="s">
        <v>1544</v>
      </c>
      <c r="F304" s="345" t="s">
        <v>1292</v>
      </c>
      <c r="G304" s="363" t="s">
        <v>279</v>
      </c>
      <c r="H304" s="340" t="s">
        <v>1964</v>
      </c>
      <c r="I304" s="327"/>
      <c r="J304" s="341" t="s">
        <v>2057</v>
      </c>
      <c r="K304" s="341"/>
      <c r="L304" s="342" t="s">
        <v>1544</v>
      </c>
      <c r="M304" s="340" t="s">
        <v>2058</v>
      </c>
      <c r="N304" s="380" t="s">
        <v>279</v>
      </c>
      <c r="O304" s="377" t="s">
        <v>1964</v>
      </c>
    </row>
    <row r="305" spans="2:15">
      <c r="B305" s="327"/>
      <c r="C305" s="327"/>
      <c r="D305" s="327"/>
      <c r="E305" s="327"/>
      <c r="F305" s="327"/>
      <c r="G305" s="327"/>
      <c r="H305" s="327"/>
      <c r="I305" s="327"/>
      <c r="J305" s="341" t="s">
        <v>2059</v>
      </c>
      <c r="K305" s="341"/>
      <c r="L305" s="342" t="s">
        <v>1293</v>
      </c>
      <c r="M305" s="340" t="s">
        <v>687</v>
      </c>
      <c r="N305" s="380" t="s">
        <v>279</v>
      </c>
      <c r="O305" s="377" t="s">
        <v>1964</v>
      </c>
    </row>
    <row r="306" spans="2:15">
      <c r="B306" s="327"/>
      <c r="C306" s="327"/>
      <c r="D306" s="342" t="s">
        <v>2060</v>
      </c>
      <c r="E306" s="342"/>
      <c r="F306" s="342"/>
      <c r="G306" s="327"/>
      <c r="H306" s="327"/>
      <c r="I306" s="327"/>
      <c r="J306" s="341" t="s">
        <v>2061</v>
      </c>
      <c r="K306" s="341"/>
      <c r="L306" s="342" t="s">
        <v>1293</v>
      </c>
      <c r="M306" s="340" t="s">
        <v>2062</v>
      </c>
      <c r="N306" s="380" t="s">
        <v>279</v>
      </c>
      <c r="O306" s="377" t="s">
        <v>1964</v>
      </c>
    </row>
    <row r="307" spans="2:15">
      <c r="B307" s="341" t="s">
        <v>1991</v>
      </c>
      <c r="C307" s="341"/>
      <c r="D307" s="341" t="s">
        <v>181</v>
      </c>
      <c r="E307" s="341" t="s">
        <v>182</v>
      </c>
      <c r="F307" s="341" t="s">
        <v>1959</v>
      </c>
      <c r="G307" s="341" t="s">
        <v>1992</v>
      </c>
      <c r="H307" s="327"/>
      <c r="I307" s="327"/>
      <c r="J307" s="341" t="s">
        <v>2063</v>
      </c>
      <c r="K307" s="341"/>
      <c r="L307" s="342" t="s">
        <v>687</v>
      </c>
      <c r="M307" s="340" t="s">
        <v>849</v>
      </c>
      <c r="N307" s="380" t="s">
        <v>279</v>
      </c>
      <c r="O307" s="377" t="s">
        <v>1964</v>
      </c>
    </row>
    <row r="308" spans="2:15">
      <c r="B308" s="380" t="s">
        <v>2064</v>
      </c>
      <c r="C308" s="380"/>
      <c r="D308" s="340" t="s">
        <v>1291</v>
      </c>
      <c r="E308" s="342" t="s">
        <v>1290</v>
      </c>
      <c r="F308" s="345" t="s">
        <v>279</v>
      </c>
      <c r="G308" s="363" t="s">
        <v>1964</v>
      </c>
      <c r="H308" s="327"/>
      <c r="I308" s="327"/>
      <c r="J308" s="341" t="s">
        <v>2065</v>
      </c>
      <c r="K308" s="341"/>
      <c r="L308" s="342" t="s">
        <v>1544</v>
      </c>
      <c r="M308" s="340" t="s">
        <v>1293</v>
      </c>
      <c r="N308" s="380" t="s">
        <v>849</v>
      </c>
      <c r="O308" s="377" t="s">
        <v>2005</v>
      </c>
    </row>
    <row r="309" spans="2:15">
      <c r="B309" s="380" t="s">
        <v>2066</v>
      </c>
      <c r="C309" s="380"/>
      <c r="D309" s="340" t="s">
        <v>1291</v>
      </c>
      <c r="E309" s="342" t="s">
        <v>687</v>
      </c>
      <c r="F309" s="345" t="s">
        <v>279</v>
      </c>
      <c r="G309" s="363" t="s">
        <v>1964</v>
      </c>
      <c r="H309" s="327"/>
      <c r="I309" s="327"/>
      <c r="J309" s="341" t="s">
        <v>2067</v>
      </c>
      <c r="K309" s="341"/>
      <c r="L309" s="342" t="s">
        <v>1292</v>
      </c>
      <c r="M309" s="340" t="s">
        <v>1293</v>
      </c>
      <c r="N309" s="380" t="s">
        <v>279</v>
      </c>
      <c r="O309" s="377" t="s">
        <v>1964</v>
      </c>
    </row>
    <row r="310" spans="2:15">
      <c r="B310" s="380" t="s">
        <v>2068</v>
      </c>
      <c r="C310" s="380"/>
      <c r="D310" s="340" t="s">
        <v>1544</v>
      </c>
      <c r="E310" s="342" t="s">
        <v>1292</v>
      </c>
      <c r="F310" s="345" t="s">
        <v>279</v>
      </c>
      <c r="G310" s="363" t="s">
        <v>2005</v>
      </c>
      <c r="H310" s="327"/>
      <c r="I310" s="327"/>
      <c r="J310" s="341" t="s">
        <v>2069</v>
      </c>
      <c r="K310" s="341"/>
      <c r="L310" s="342" t="s">
        <v>2055</v>
      </c>
      <c r="M310" s="340" t="s">
        <v>2050</v>
      </c>
      <c r="N310" s="380" t="s">
        <v>279</v>
      </c>
      <c r="O310" s="377" t="s">
        <v>1964</v>
      </c>
    </row>
    <row r="311" spans="2:15">
      <c r="B311" s="380" t="s">
        <v>2070</v>
      </c>
      <c r="C311" s="380"/>
      <c r="D311" s="340" t="s">
        <v>1544</v>
      </c>
      <c r="E311" s="342" t="s">
        <v>687</v>
      </c>
      <c r="F311" s="345" t="s">
        <v>279</v>
      </c>
      <c r="G311" s="363" t="s">
        <v>2005</v>
      </c>
      <c r="H311" s="327"/>
      <c r="I311" s="327"/>
      <c r="J311" s="341" t="s">
        <v>2071</v>
      </c>
      <c r="K311" s="341"/>
      <c r="L311" s="342" t="s">
        <v>1293</v>
      </c>
      <c r="M311" s="340" t="s">
        <v>687</v>
      </c>
      <c r="N311" s="380" t="s">
        <v>279</v>
      </c>
      <c r="O311" s="377" t="s">
        <v>1964</v>
      </c>
    </row>
    <row r="312" spans="2:15">
      <c r="B312" s="380" t="s">
        <v>2072</v>
      </c>
      <c r="C312" s="380"/>
      <c r="D312" s="340" t="s">
        <v>1544</v>
      </c>
      <c r="E312" s="342" t="s">
        <v>1292</v>
      </c>
      <c r="F312" s="345" t="s">
        <v>279</v>
      </c>
      <c r="G312" s="363" t="s">
        <v>1964</v>
      </c>
      <c r="H312" s="327"/>
      <c r="I312" s="327"/>
      <c r="J312" s="341" t="s">
        <v>2073</v>
      </c>
      <c r="K312" s="341"/>
      <c r="L312" s="342" t="s">
        <v>2074</v>
      </c>
      <c r="M312" s="340" t="s">
        <v>849</v>
      </c>
      <c r="N312" s="380" t="s">
        <v>279</v>
      </c>
      <c r="O312" s="377" t="s">
        <v>2005</v>
      </c>
    </row>
    <row r="313" spans="2:15">
      <c r="B313" s="380" t="s">
        <v>2075</v>
      </c>
      <c r="C313" s="380"/>
      <c r="D313" s="340" t="s">
        <v>1544</v>
      </c>
      <c r="E313" s="342" t="s">
        <v>1292</v>
      </c>
      <c r="F313" s="345" t="s">
        <v>279</v>
      </c>
      <c r="G313" s="363" t="s">
        <v>1964</v>
      </c>
      <c r="H313" s="327"/>
      <c r="I313" s="327"/>
      <c r="J313" s="341" t="s">
        <v>2076</v>
      </c>
      <c r="K313" s="341"/>
      <c r="L313" s="342" t="s">
        <v>687</v>
      </c>
      <c r="M313" s="340" t="s">
        <v>1544</v>
      </c>
      <c r="N313" s="380" t="s">
        <v>279</v>
      </c>
      <c r="O313" s="377" t="s">
        <v>1964</v>
      </c>
    </row>
    <row r="314" spans="2:15">
      <c r="B314" s="380" t="s">
        <v>2043</v>
      </c>
      <c r="C314" s="380"/>
      <c r="D314" s="340" t="s">
        <v>1291</v>
      </c>
      <c r="E314" s="342" t="s">
        <v>849</v>
      </c>
      <c r="F314" s="345" t="s">
        <v>279</v>
      </c>
      <c r="G314" s="363" t="s">
        <v>1964</v>
      </c>
      <c r="H314" s="327"/>
      <c r="I314" s="327"/>
      <c r="J314" s="341" t="s">
        <v>2077</v>
      </c>
      <c r="K314" s="341"/>
      <c r="L314" s="342" t="s">
        <v>687</v>
      </c>
      <c r="M314" s="340" t="s">
        <v>1291</v>
      </c>
      <c r="N314" s="380" t="s">
        <v>279</v>
      </c>
      <c r="O314" s="377" t="s">
        <v>1964</v>
      </c>
    </row>
    <row r="315" spans="2:15">
      <c r="B315" s="380" t="s">
        <v>2041</v>
      </c>
      <c r="C315" s="380"/>
      <c r="D315" s="340" t="s">
        <v>687</v>
      </c>
      <c r="E315" s="342" t="s">
        <v>1291</v>
      </c>
      <c r="F315" s="345" t="s">
        <v>279</v>
      </c>
      <c r="G315" s="363" t="s">
        <v>2005</v>
      </c>
      <c r="H315" s="327"/>
      <c r="I315" s="327"/>
      <c r="J315" s="341" t="s">
        <v>2078</v>
      </c>
      <c r="K315" s="341"/>
      <c r="L315" s="342" t="s">
        <v>2079</v>
      </c>
      <c r="M315" s="340" t="s">
        <v>1292</v>
      </c>
      <c r="N315" s="380" t="s">
        <v>279</v>
      </c>
      <c r="O315" s="377" t="s">
        <v>1964</v>
      </c>
    </row>
    <row r="316" spans="2:15">
      <c r="B316" s="380" t="s">
        <v>2080</v>
      </c>
      <c r="C316" s="380"/>
      <c r="D316" s="340" t="s">
        <v>1544</v>
      </c>
      <c r="E316" s="342" t="s">
        <v>1292</v>
      </c>
      <c r="F316" s="345" t="s">
        <v>1293</v>
      </c>
      <c r="G316" s="363" t="s">
        <v>2005</v>
      </c>
      <c r="H316" s="327"/>
      <c r="I316" s="327"/>
      <c r="J316" s="341" t="s">
        <v>2081</v>
      </c>
      <c r="K316" s="341"/>
      <c r="L316" s="342" t="s">
        <v>1544</v>
      </c>
      <c r="M316" s="340" t="s">
        <v>2082</v>
      </c>
      <c r="N316" s="380" t="s">
        <v>2083</v>
      </c>
      <c r="O316" s="377" t="s">
        <v>2005</v>
      </c>
    </row>
    <row r="317" spans="2:15">
      <c r="B317" s="380" t="s">
        <v>2084</v>
      </c>
      <c r="C317" s="380"/>
      <c r="D317" s="340" t="s">
        <v>849</v>
      </c>
      <c r="E317" s="342" t="s">
        <v>1293</v>
      </c>
      <c r="F317" s="345" t="s">
        <v>2085</v>
      </c>
      <c r="G317" s="363" t="s">
        <v>2005</v>
      </c>
      <c r="H317" s="327"/>
      <c r="I317" s="327"/>
      <c r="J317" s="341" t="s">
        <v>2086</v>
      </c>
      <c r="K317" s="341"/>
      <c r="L317" s="342" t="s">
        <v>1293</v>
      </c>
      <c r="M317" s="340" t="s">
        <v>1292</v>
      </c>
      <c r="N317" s="380" t="s">
        <v>1291</v>
      </c>
      <c r="O317" s="377" t="s">
        <v>1964</v>
      </c>
    </row>
    <row r="318" spans="2:15">
      <c r="B318" s="327"/>
      <c r="C318" s="327"/>
      <c r="D318" s="327"/>
      <c r="E318" s="327"/>
      <c r="F318" s="327"/>
      <c r="G318" s="327"/>
      <c r="H318" s="327"/>
      <c r="I318" s="327"/>
      <c r="J318" s="341" t="s">
        <v>2087</v>
      </c>
      <c r="K318" s="341"/>
      <c r="L318" s="342" t="s">
        <v>2025</v>
      </c>
      <c r="M318" s="340" t="s">
        <v>2088</v>
      </c>
      <c r="N318" s="380" t="s">
        <v>1293</v>
      </c>
      <c r="O318" s="377" t="s">
        <v>2005</v>
      </c>
    </row>
    <row r="319" spans="2:15">
      <c r="B319" s="327"/>
      <c r="C319" s="327"/>
      <c r="D319" s="384"/>
      <c r="E319" s="384"/>
      <c r="F319" s="384"/>
      <c r="G319" s="384"/>
      <c r="H319" s="327"/>
      <c r="I319" s="327"/>
      <c r="J319" s="341" t="s">
        <v>2089</v>
      </c>
      <c r="K319" s="341"/>
      <c r="L319" s="342" t="s">
        <v>1293</v>
      </c>
      <c r="M319" s="340" t="s">
        <v>849</v>
      </c>
      <c r="N319" s="380" t="s">
        <v>279</v>
      </c>
      <c r="O319" s="377" t="s">
        <v>1964</v>
      </c>
    </row>
    <row r="320" spans="2:15">
      <c r="B320" s="386"/>
      <c r="C320" s="327"/>
      <c r="D320" s="327"/>
      <c r="E320" s="327"/>
      <c r="F320" s="327"/>
      <c r="G320" s="327"/>
      <c r="H320" s="327"/>
      <c r="I320" s="327"/>
      <c r="J320" s="341" t="s">
        <v>2090</v>
      </c>
      <c r="K320" s="341"/>
      <c r="L320" s="342" t="s">
        <v>849</v>
      </c>
      <c r="M320" s="340" t="s">
        <v>1291</v>
      </c>
      <c r="N320" s="380" t="s">
        <v>279</v>
      </c>
      <c r="O320" s="377" t="s">
        <v>1964</v>
      </c>
    </row>
    <row r="321" spans="2:15">
      <c r="B321" s="386"/>
      <c r="C321" s="327"/>
      <c r="D321" s="327"/>
      <c r="E321" s="327"/>
      <c r="F321" s="327"/>
      <c r="G321" s="327"/>
      <c r="H321" s="327"/>
      <c r="I321" s="327"/>
      <c r="J321" s="341" t="s">
        <v>2091</v>
      </c>
      <c r="K321" s="341"/>
      <c r="L321" s="342" t="s">
        <v>1293</v>
      </c>
      <c r="M321" s="340" t="s">
        <v>849</v>
      </c>
      <c r="N321" s="380" t="s">
        <v>2092</v>
      </c>
      <c r="O321" s="377" t="s">
        <v>2005</v>
      </c>
    </row>
    <row r="322" spans="2:15">
      <c r="B322" s="386" t="s">
        <v>1290</v>
      </c>
      <c r="C322" s="327"/>
      <c r="D322" s="327"/>
      <c r="E322" s="327"/>
      <c r="F322" s="327"/>
      <c r="G322" s="327"/>
      <c r="H322" s="327"/>
      <c r="I322" s="327"/>
      <c r="J322" s="341" t="s">
        <v>2093</v>
      </c>
      <c r="K322" s="341"/>
      <c r="L322" s="342" t="s">
        <v>1293</v>
      </c>
      <c r="M322" s="340" t="s">
        <v>2094</v>
      </c>
      <c r="N322" s="380" t="s">
        <v>687</v>
      </c>
      <c r="O322" s="377" t="s">
        <v>2005</v>
      </c>
    </row>
    <row r="323" spans="2:15">
      <c r="B323" s="386" t="s">
        <v>1291</v>
      </c>
      <c r="C323" s="327"/>
      <c r="D323" s="327"/>
      <c r="E323" s="327"/>
      <c r="F323" s="327"/>
      <c r="G323" s="327"/>
      <c r="H323" s="327"/>
      <c r="I323" s="327"/>
      <c r="J323" s="341" t="s">
        <v>2095</v>
      </c>
      <c r="K323" s="341"/>
      <c r="L323" s="342" t="s">
        <v>1293</v>
      </c>
      <c r="M323" s="340" t="s">
        <v>2096</v>
      </c>
      <c r="N323" s="380" t="s">
        <v>687</v>
      </c>
      <c r="O323" s="377" t="s">
        <v>2005</v>
      </c>
    </row>
    <row r="324" spans="2:15">
      <c r="B324" s="386" t="s">
        <v>687</v>
      </c>
      <c r="C324" s="327"/>
      <c r="D324" s="327"/>
      <c r="E324" s="327"/>
      <c r="F324" s="327"/>
      <c r="G324" s="327"/>
      <c r="H324" s="327"/>
      <c r="I324" s="327"/>
      <c r="J324" s="341" t="s">
        <v>2097</v>
      </c>
      <c r="K324" s="341"/>
      <c r="L324" s="342" t="s">
        <v>1544</v>
      </c>
      <c r="M324" s="340" t="s">
        <v>2098</v>
      </c>
      <c r="N324" s="380" t="s">
        <v>2099</v>
      </c>
      <c r="O324" s="377" t="s">
        <v>2005</v>
      </c>
    </row>
    <row r="325" spans="2:15">
      <c r="B325" s="386" t="s">
        <v>1292</v>
      </c>
      <c r="C325" s="327"/>
      <c r="D325" s="327"/>
      <c r="E325" s="327"/>
      <c r="F325" s="327"/>
      <c r="G325" s="327"/>
      <c r="H325" s="327"/>
      <c r="I325" s="327"/>
      <c r="J325" s="341" t="s">
        <v>2100</v>
      </c>
      <c r="K325" s="341"/>
      <c r="L325" s="342" t="s">
        <v>2101</v>
      </c>
      <c r="M325" s="340" t="s">
        <v>687</v>
      </c>
      <c r="N325" s="380" t="s">
        <v>1292</v>
      </c>
      <c r="O325" s="377" t="s">
        <v>2005</v>
      </c>
    </row>
    <row r="326" spans="2:15">
      <c r="B326" s="386" t="s">
        <v>1293</v>
      </c>
      <c r="C326" s="327"/>
      <c r="D326" s="327"/>
      <c r="E326" s="327"/>
      <c r="F326" s="327"/>
      <c r="G326" s="327"/>
      <c r="H326" s="327"/>
      <c r="I326" s="327"/>
      <c r="J326" s="341" t="s">
        <v>2102</v>
      </c>
      <c r="K326" s="341"/>
      <c r="L326" s="342" t="s">
        <v>1293</v>
      </c>
      <c r="M326" s="340" t="s">
        <v>687</v>
      </c>
      <c r="N326" s="380" t="s">
        <v>2103</v>
      </c>
      <c r="O326" s="377" t="s">
        <v>2005</v>
      </c>
    </row>
    <row r="327" spans="2:15">
      <c r="B327" s="327"/>
      <c r="C327" s="327"/>
      <c r="D327" s="327"/>
      <c r="E327" s="327"/>
      <c r="F327" s="327"/>
      <c r="G327" s="327"/>
      <c r="H327" s="327"/>
      <c r="I327" s="327"/>
      <c r="J327" s="341" t="s">
        <v>2104</v>
      </c>
      <c r="K327" s="341"/>
      <c r="L327" s="342" t="s">
        <v>849</v>
      </c>
      <c r="M327" s="340" t="s">
        <v>1291</v>
      </c>
      <c r="N327" s="380" t="s">
        <v>279</v>
      </c>
      <c r="O327" s="377" t="s">
        <v>1964</v>
      </c>
    </row>
    <row r="328" spans="2:15">
      <c r="B328" s="327"/>
      <c r="C328" s="327"/>
      <c r="D328" s="327"/>
      <c r="E328" s="327"/>
      <c r="F328" s="327"/>
      <c r="G328" s="327"/>
      <c r="H328" s="327"/>
      <c r="I328" s="327"/>
      <c r="J328" s="341" t="s">
        <v>2105</v>
      </c>
      <c r="K328" s="341"/>
      <c r="L328" s="342" t="s">
        <v>1544</v>
      </c>
      <c r="M328" s="340" t="s">
        <v>2106</v>
      </c>
      <c r="N328" s="380" t="s">
        <v>279</v>
      </c>
      <c r="O328" s="377" t="s">
        <v>1964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D1:GZ85"/>
  <sheetViews>
    <sheetView rightToLeft="1" topLeftCell="ET1" zoomScale="89" zoomScaleNormal="89" workbookViewId="0">
      <selection activeCell="FI8" sqref="FI8"/>
    </sheetView>
  </sheetViews>
  <sheetFormatPr defaultRowHeight="15"/>
  <cols>
    <col min="4" max="4" width="22.5703125" customWidth="1"/>
    <col min="13" max="13" width="17.28515625" customWidth="1"/>
    <col min="22" max="22" width="16.28515625" customWidth="1"/>
    <col min="34" max="34" width="14.140625" customWidth="1"/>
    <col min="49" max="49" width="19.5703125" customWidth="1"/>
    <col min="51" max="51" width="6.85546875" customWidth="1"/>
    <col min="52" max="52" width="6.28515625" customWidth="1"/>
    <col min="53" max="53" width="6.140625" customWidth="1"/>
    <col min="54" max="54" width="6.28515625" customWidth="1"/>
    <col min="56" max="56" width="15" customWidth="1"/>
    <col min="63" max="63" width="14.42578125" customWidth="1"/>
    <col min="70" max="70" width="14.7109375" customWidth="1"/>
    <col min="99" max="99" width="21.140625" customWidth="1"/>
    <col min="105" max="105" width="3.5703125" customWidth="1"/>
    <col min="106" max="106" width="15.5703125" customWidth="1"/>
    <col min="112" max="112" width="3" customWidth="1"/>
    <col min="119" max="119" width="3.7109375" customWidth="1"/>
    <col min="126" max="126" width="3.5703125" customWidth="1"/>
    <col min="127" max="127" width="12.42578125" customWidth="1"/>
    <col min="133" max="133" width="3.7109375" customWidth="1"/>
    <col min="134" max="134" width="12.7109375" customWidth="1"/>
    <col min="141" max="141" width="10.140625" customWidth="1"/>
    <col min="143" max="143" width="12" customWidth="1"/>
    <col min="144" max="144" width="15.28515625" customWidth="1"/>
    <col min="145" max="145" width="10.42578125" customWidth="1"/>
    <col min="151" max="151" width="19.28515625" customWidth="1"/>
    <col min="152" max="152" width="9.140625" customWidth="1"/>
    <col min="153" max="153" width="13.85546875" customWidth="1"/>
    <col min="159" max="159" width="18.28515625" customWidth="1"/>
    <col min="163" max="163" width="18.140625" customWidth="1"/>
    <col min="170" max="170" width="18.7109375" customWidth="1"/>
    <col min="182" max="182" width="12.28515625" customWidth="1"/>
    <col min="189" max="189" width="13" customWidth="1"/>
    <col min="190" max="190" width="10" customWidth="1"/>
    <col min="191" max="191" width="5.7109375" customWidth="1"/>
    <col min="192" max="192" width="6" customWidth="1"/>
    <col min="193" max="193" width="6.5703125" customWidth="1"/>
    <col min="194" max="194" width="9.85546875" customWidth="1"/>
    <col min="195" max="195" width="15" customWidth="1"/>
    <col min="196" max="196" width="12" customWidth="1"/>
    <col min="198" max="198" width="10" customWidth="1"/>
    <col min="200" max="200" width="6.28515625" customWidth="1"/>
    <col min="201" max="201" width="12.140625" customWidth="1"/>
    <col min="202" max="202" width="9.85546875" customWidth="1"/>
    <col min="203" max="203" width="6" customWidth="1"/>
    <col min="204" max="204" width="6.7109375" customWidth="1"/>
    <col min="206" max="206" width="7.7109375" customWidth="1"/>
    <col min="207" max="207" width="7.28515625" customWidth="1"/>
    <col min="208" max="208" width="7" customWidth="1"/>
    <col min="209" max="209" width="6.7109375" customWidth="1"/>
    <col min="216" max="216" width="27.28515625" customWidth="1"/>
    <col min="232" max="232" width="15.140625" customWidth="1"/>
    <col min="233" max="233" width="13.85546875" bestFit="1" customWidth="1"/>
  </cols>
  <sheetData>
    <row r="1" spans="4:202" ht="23.25" thickBot="1">
      <c r="N1" t="s">
        <v>3793</v>
      </c>
      <c r="CU1" t="s">
        <v>3801</v>
      </c>
      <c r="EL1" s="1463" t="s">
        <v>3981</v>
      </c>
      <c r="EM1" s="1464"/>
      <c r="EN1" s="1464"/>
      <c r="EO1" s="1464"/>
      <c r="EP1" s="1464"/>
      <c r="EQ1" s="1464"/>
      <c r="ER1" s="1464"/>
      <c r="ES1" s="1464"/>
      <c r="ET1" s="1465"/>
      <c r="FL1" s="33"/>
      <c r="FM1" s="33"/>
      <c r="FN1" s="188"/>
      <c r="FO1" s="33"/>
      <c r="FP1" s="33"/>
      <c r="FQ1" s="33"/>
      <c r="FR1" s="189"/>
      <c r="FS1" s="188"/>
      <c r="FT1" s="797"/>
    </row>
    <row r="2" spans="4:202" ht="23.25" thickBot="1">
      <c r="M2" s="920" t="s">
        <v>1224</v>
      </c>
      <c r="N2" s="921"/>
      <c r="O2" s="921"/>
      <c r="P2" s="921"/>
      <c r="Q2" s="921"/>
      <c r="R2" s="318"/>
      <c r="U2" s="8" t="s">
        <v>1232</v>
      </c>
      <c r="V2" s="8"/>
      <c r="W2" s="8" t="s">
        <v>60</v>
      </c>
      <c r="X2" s="10"/>
      <c r="Y2" s="10"/>
      <c r="Z2" s="10"/>
      <c r="AA2" s="10"/>
      <c r="AH2" t="s">
        <v>1238</v>
      </c>
      <c r="AO2" t="s">
        <v>1238</v>
      </c>
      <c r="CU2" s="24" t="s">
        <v>849</v>
      </c>
      <c r="CV2" s="24"/>
      <c r="CW2" s="24"/>
      <c r="CX2" s="24"/>
      <c r="CY2" s="24"/>
      <c r="CZ2" s="24"/>
      <c r="DA2" s="24"/>
      <c r="DB2" s="24" t="s">
        <v>1293</v>
      </c>
      <c r="DC2" s="24"/>
      <c r="DD2" s="24"/>
      <c r="DE2" s="24"/>
      <c r="DF2" s="24"/>
      <c r="DG2" s="24"/>
      <c r="DH2" s="24"/>
      <c r="DI2" s="24" t="s">
        <v>1292</v>
      </c>
      <c r="DJ2" s="24"/>
      <c r="DK2" s="24"/>
      <c r="DL2" s="24"/>
      <c r="DM2" s="24"/>
      <c r="DN2" s="24"/>
      <c r="DO2" s="24"/>
      <c r="DP2" s="24" t="s">
        <v>687</v>
      </c>
      <c r="DQ2" s="24"/>
      <c r="DR2" s="24"/>
      <c r="DS2" s="24"/>
      <c r="DT2" s="24"/>
      <c r="DU2" s="24"/>
      <c r="DV2" s="24"/>
      <c r="DW2" s="24" t="s">
        <v>1290</v>
      </c>
      <c r="DX2" s="24"/>
      <c r="DY2" s="24"/>
      <c r="DZ2" s="24"/>
      <c r="EA2" s="24"/>
      <c r="EB2" s="24"/>
      <c r="EC2" s="24"/>
      <c r="ED2" s="24" t="s">
        <v>1291</v>
      </c>
      <c r="EE2" s="24"/>
      <c r="EF2" s="24"/>
      <c r="EG2" s="24"/>
      <c r="EH2" s="24"/>
      <c r="EI2" s="24"/>
      <c r="EL2" s="268" t="s">
        <v>3</v>
      </c>
      <c r="EM2" s="268">
        <v>1444</v>
      </c>
      <c r="EN2" s="268"/>
      <c r="EO2" s="268" t="s">
        <v>3977</v>
      </c>
      <c r="EP2" s="268">
        <f>[1]!abaad1(EP7)*EM7</f>
        <v>9784742.2371906433</v>
      </c>
      <c r="EQ2" s="268"/>
      <c r="ER2" s="268"/>
      <c r="ES2" s="268"/>
      <c r="ET2" s="781"/>
      <c r="EV2" s="1471"/>
      <c r="EW2" s="1472" t="s">
        <v>3873</v>
      </c>
      <c r="EX2" s="1472"/>
      <c r="EY2" s="1472" t="s">
        <v>172</v>
      </c>
      <c r="EZ2" s="1472"/>
      <c r="FA2" s="1472"/>
      <c r="FB2" s="1629"/>
      <c r="FC2" s="1626" t="s">
        <v>3</v>
      </c>
      <c r="FD2" s="1618">
        <v>1445</v>
      </c>
      <c r="FE2" s="1476"/>
      <c r="FF2" s="1475"/>
      <c r="FG2" s="1475"/>
      <c r="FH2" s="1476"/>
      <c r="FI2" s="1477"/>
      <c r="FJ2" s="1467" t="s">
        <v>3</v>
      </c>
      <c r="FK2" s="909">
        <f>FD2</f>
        <v>1445</v>
      </c>
      <c r="FL2" s="910"/>
      <c r="FM2" s="910"/>
      <c r="FN2" s="697"/>
      <c r="FO2" s="698"/>
      <c r="FS2" s="908" t="s">
        <v>3</v>
      </c>
      <c r="FT2" s="909">
        <f>FK2</f>
        <v>1445</v>
      </c>
      <c r="FU2" s="910"/>
      <c r="FV2" s="910"/>
      <c r="FW2" s="697"/>
      <c r="FX2" s="697"/>
      <c r="FY2" s="908" t="s">
        <v>3</v>
      </c>
      <c r="FZ2" s="909">
        <f>GF2</f>
        <v>1445</v>
      </c>
      <c r="GA2" s="910"/>
      <c r="GB2" s="910"/>
      <c r="GC2" s="697"/>
      <c r="GD2" s="698"/>
      <c r="GE2" s="1467" t="s">
        <v>3</v>
      </c>
      <c r="GF2" s="909">
        <f>FT2</f>
        <v>1445</v>
      </c>
      <c r="GG2" s="910"/>
      <c r="GH2" s="910"/>
      <c r="GI2" s="697"/>
      <c r="GJ2" s="698"/>
      <c r="GK2" s="189"/>
      <c r="GL2" s="188"/>
      <c r="GM2" s="797"/>
      <c r="GO2" s="696" t="s">
        <v>3</v>
      </c>
      <c r="GP2" s="697">
        <f>GF2</f>
        <v>1445</v>
      </c>
      <c r="GQ2" s="697" t="s">
        <v>219</v>
      </c>
      <c r="GR2" s="1092">
        <f>FU40</f>
        <v>12</v>
      </c>
      <c r="GS2" s="697"/>
      <c r="GT2" s="698"/>
    </row>
    <row r="3" spans="4:202" ht="24" thickBot="1">
      <c r="D3" s="4" t="s">
        <v>1208</v>
      </c>
      <c r="E3" s="4" t="s">
        <v>1209</v>
      </c>
      <c r="F3" s="4"/>
      <c r="G3" s="4"/>
      <c r="H3" s="4"/>
      <c r="I3" s="4"/>
      <c r="M3" s="906" t="s">
        <v>3</v>
      </c>
      <c r="N3" s="114">
        <v>930</v>
      </c>
      <c r="O3" s="114"/>
      <c r="P3" s="114"/>
      <c r="Q3" s="114"/>
      <c r="R3" s="115"/>
      <c r="U3" s="8" t="s">
        <v>1226</v>
      </c>
      <c r="V3" s="8">
        <v>2090</v>
      </c>
      <c r="W3" s="8">
        <v>-2363</v>
      </c>
      <c r="X3" s="10"/>
      <c r="Y3" s="10"/>
      <c r="Z3" s="10"/>
      <c r="AA3" s="10"/>
      <c r="AH3" s="175" t="s">
        <v>3</v>
      </c>
      <c r="AI3" s="173">
        <v>-2363</v>
      </c>
      <c r="AJ3" s="176"/>
      <c r="AK3" s="176"/>
      <c r="AL3" s="10"/>
      <c r="AM3" s="10"/>
      <c r="AO3" s="175" t="s">
        <v>3</v>
      </c>
      <c r="AP3" s="173">
        <v>1442</v>
      </c>
      <c r="AQ3" s="176" t="s">
        <v>5</v>
      </c>
      <c r="AR3" s="176">
        <v>3</v>
      </c>
      <c r="AS3" s="10"/>
      <c r="AT3" s="10"/>
      <c r="AW3" s="8" t="s">
        <v>1246</v>
      </c>
      <c r="AX3" s="8"/>
      <c r="AY3" s="8"/>
      <c r="AZ3" s="8"/>
      <c r="BA3" s="8"/>
      <c r="BB3" s="8"/>
      <c r="BD3" s="8" t="s">
        <v>1280</v>
      </c>
      <c r="BE3" s="8"/>
      <c r="BF3" s="8"/>
      <c r="BG3" s="8"/>
      <c r="BH3" s="8"/>
      <c r="BI3" s="8"/>
      <c r="BK3" s="8" t="s">
        <v>1305</v>
      </c>
      <c r="BL3" s="8"/>
      <c r="BM3" s="8"/>
      <c r="BN3" s="8"/>
      <c r="BO3" s="8"/>
      <c r="BP3" s="8"/>
      <c r="BR3" s="8" t="s">
        <v>1306</v>
      </c>
      <c r="BS3" s="8"/>
      <c r="BT3" s="8"/>
      <c r="BU3" s="8"/>
      <c r="BV3" s="8"/>
      <c r="BW3" s="8"/>
      <c r="BY3" s="8" t="s">
        <v>1307</v>
      </c>
      <c r="BZ3" s="8"/>
      <c r="CA3" s="8"/>
      <c r="CB3" s="8"/>
      <c r="CC3" s="8"/>
      <c r="CD3" s="8"/>
      <c r="CF3" s="8" t="s">
        <v>1308</v>
      </c>
      <c r="CG3" s="8"/>
      <c r="CH3" s="8"/>
      <c r="CI3" s="8"/>
      <c r="CJ3" s="8"/>
      <c r="CK3" s="8"/>
      <c r="CM3" s="8" t="s">
        <v>1309</v>
      </c>
      <c r="CN3" s="8"/>
      <c r="CO3" s="8"/>
      <c r="CP3" s="8"/>
      <c r="CQ3" s="8"/>
      <c r="CR3" s="8"/>
      <c r="CU3" s="10" t="s">
        <v>3</v>
      </c>
      <c r="CV3" s="10">
        <v>1442</v>
      </c>
      <c r="CW3" s="10"/>
      <c r="CX3" s="10"/>
      <c r="CY3" s="10"/>
      <c r="CZ3" s="10"/>
      <c r="DB3" s="10" t="s">
        <v>3</v>
      </c>
      <c r="DC3" s="10">
        <v>1442</v>
      </c>
      <c r="DD3" s="10"/>
      <c r="DE3" s="10"/>
      <c r="DF3" s="10"/>
      <c r="DG3" s="10"/>
      <c r="DI3" s="10" t="s">
        <v>3</v>
      </c>
      <c r="DJ3" s="10">
        <v>1442</v>
      </c>
      <c r="DK3" s="10"/>
      <c r="DL3" s="10"/>
      <c r="DM3" s="10"/>
      <c r="DN3" s="10"/>
      <c r="DP3" s="10" t="s">
        <v>3</v>
      </c>
      <c r="DQ3" s="10">
        <v>1442</v>
      </c>
      <c r="DR3" s="10"/>
      <c r="DS3" s="10"/>
      <c r="DT3" s="10"/>
      <c r="DU3" s="10"/>
      <c r="DW3" s="10" t="s">
        <v>3</v>
      </c>
      <c r="DX3" s="10">
        <v>1442</v>
      </c>
      <c r="DY3" s="10"/>
      <c r="DZ3" s="10"/>
      <c r="EA3" s="10"/>
      <c r="EB3" s="10"/>
      <c r="ED3" s="10" t="s">
        <v>3</v>
      </c>
      <c r="EE3" s="10">
        <v>1442</v>
      </c>
      <c r="EF3" s="10"/>
      <c r="EG3" s="10"/>
      <c r="EH3" s="10"/>
      <c r="EI3" s="10"/>
      <c r="EL3" s="268" t="s">
        <v>4</v>
      </c>
      <c r="EM3" s="268">
        <v>10</v>
      </c>
      <c r="EN3" s="268"/>
      <c r="EO3" s="268" t="s">
        <v>612</v>
      </c>
      <c r="EP3" s="268">
        <f>[1]!wasat(EM2,EM3,EM4,EM5)</f>
        <v>31.630363982186928</v>
      </c>
      <c r="EQ3" s="268"/>
      <c r="ER3" s="268"/>
      <c r="ES3" s="268"/>
      <c r="ET3" s="781"/>
      <c r="EV3" s="1473" t="s">
        <v>144</v>
      </c>
      <c r="EW3" s="1634" t="s">
        <v>3871</v>
      </c>
      <c r="EX3" s="1474">
        <f>EX17</f>
        <v>51.334699999999998</v>
      </c>
      <c r="EY3" s="243">
        <f t="shared" ref="EY3" si="0">INT(ABS(EX3))</f>
        <v>51</v>
      </c>
      <c r="EZ3" s="243">
        <f t="shared" ref="EZ3" si="1">INT((ABS(EX3)-EY3)*60)</f>
        <v>20</v>
      </c>
      <c r="FA3" s="243">
        <f t="shared" ref="FA3" si="2">INT((((ABS(EX3)-EY3)*60)-EZ3)*60)</f>
        <v>4</v>
      </c>
      <c r="FB3" s="733">
        <f t="shared" ref="FB3" si="3">INT((((((ABS(EX3)-EY3)*60)-EZ3)*60)-FA3)*60)</f>
        <v>55</v>
      </c>
      <c r="FC3" s="1627" t="s">
        <v>4</v>
      </c>
      <c r="FD3" s="1619">
        <v>12</v>
      </c>
      <c r="FE3" s="268"/>
      <c r="FF3" s="1478"/>
      <c r="FG3" s="1478"/>
      <c r="FH3" s="268"/>
      <c r="FI3" s="781"/>
      <c r="FJ3" s="1468" t="s">
        <v>4</v>
      </c>
      <c r="FK3" s="912">
        <f>FD3</f>
        <v>12</v>
      </c>
      <c r="FL3" s="913"/>
      <c r="FM3" s="913"/>
      <c r="FN3" s="304"/>
      <c r="FO3" s="314"/>
      <c r="FS3" s="911" t="s">
        <v>4</v>
      </c>
      <c r="FT3" s="912">
        <f t="shared" ref="FT3:FT5" si="4">FK3</f>
        <v>12</v>
      </c>
      <c r="FU3" s="913"/>
      <c r="FV3" s="913"/>
      <c r="FW3" s="304"/>
      <c r="FX3" s="304"/>
      <c r="FY3" s="911" t="s">
        <v>4</v>
      </c>
      <c r="FZ3" s="912">
        <f>GF3</f>
        <v>12</v>
      </c>
      <c r="GA3" s="913"/>
      <c r="GB3" s="913"/>
      <c r="GC3" s="304"/>
      <c r="GD3" s="314"/>
      <c r="GE3" s="1468" t="s">
        <v>4</v>
      </c>
      <c r="GF3" s="912">
        <f>FT3</f>
        <v>12</v>
      </c>
      <c r="GG3" s="913"/>
      <c r="GH3" s="913"/>
      <c r="GI3" s="304"/>
      <c r="GJ3" s="314"/>
      <c r="GK3" s="189"/>
      <c r="GL3" s="188"/>
      <c r="GM3" s="797"/>
      <c r="GO3" s="701" t="s">
        <v>4</v>
      </c>
      <c r="GP3" s="304">
        <f>GF3</f>
        <v>12</v>
      </c>
      <c r="GQ3" s="304" t="s">
        <v>166</v>
      </c>
      <c r="GR3" s="388">
        <f>FV40</f>
        <v>7</v>
      </c>
      <c r="GS3" s="304">
        <f>[1]!roz(GP4,GR2,GR3,GR4)</f>
        <v>18.50545138888889</v>
      </c>
      <c r="GT3" s="314"/>
    </row>
    <row r="4" spans="4:202" ht="23.25">
      <c r="D4" s="166" t="s">
        <v>175</v>
      </c>
      <c r="E4" s="167">
        <v>8</v>
      </c>
      <c r="F4" s="168">
        <v>24</v>
      </c>
      <c r="G4" s="168">
        <v>48</v>
      </c>
      <c r="H4" s="168">
        <v>0</v>
      </c>
      <c r="I4" s="168">
        <v>0</v>
      </c>
      <c r="M4" s="906" t="s">
        <v>4</v>
      </c>
      <c r="N4" s="114">
        <v>1</v>
      </c>
      <c r="O4" s="114"/>
      <c r="P4" s="114"/>
      <c r="Q4" s="114"/>
      <c r="R4" s="115"/>
      <c r="U4" s="8" t="s">
        <v>391</v>
      </c>
      <c r="V4" s="8">
        <v>8</v>
      </c>
      <c r="W4" s="8">
        <v>6</v>
      </c>
      <c r="X4" s="10"/>
      <c r="Y4" s="10"/>
      <c r="Z4" s="10"/>
      <c r="AA4" s="10"/>
      <c r="AH4" s="175" t="s">
        <v>4</v>
      </c>
      <c r="AI4" s="173">
        <v>1</v>
      </c>
      <c r="AJ4" s="176"/>
      <c r="AK4" s="176"/>
      <c r="AL4" s="10"/>
      <c r="AM4" s="10"/>
      <c r="AO4" s="175" t="s">
        <v>4</v>
      </c>
      <c r="AP4" s="173">
        <v>9</v>
      </c>
      <c r="AQ4" s="176" t="s">
        <v>219</v>
      </c>
      <c r="AR4" s="176">
        <v>13</v>
      </c>
      <c r="AS4" s="10"/>
      <c r="AT4" s="10"/>
      <c r="AW4" s="181" t="s">
        <v>3</v>
      </c>
      <c r="AX4" s="182">
        <v>1442</v>
      </c>
      <c r="AY4" s="3"/>
      <c r="AZ4" s="3"/>
      <c r="BA4" s="3"/>
      <c r="BB4" s="3"/>
      <c r="BD4" s="181" t="s">
        <v>3</v>
      </c>
      <c r="BE4" s="182">
        <v>1280</v>
      </c>
      <c r="BF4" s="3"/>
      <c r="BG4" s="3"/>
      <c r="BH4" s="3"/>
      <c r="BI4" s="3"/>
      <c r="BK4" s="181" t="s">
        <v>3</v>
      </c>
      <c r="BL4" s="182">
        <v>1442</v>
      </c>
      <c r="BM4" s="3"/>
      <c r="BN4" s="3"/>
      <c r="BO4" s="3"/>
      <c r="BP4" s="3"/>
      <c r="BR4" s="181" t="s">
        <v>3</v>
      </c>
      <c r="BS4" s="182">
        <v>1442</v>
      </c>
      <c r="BT4" s="3"/>
      <c r="BU4" s="3"/>
      <c r="BV4" s="3"/>
      <c r="BW4" s="3"/>
      <c r="BY4" s="181" t="s">
        <v>3</v>
      </c>
      <c r="BZ4" s="182">
        <v>1442</v>
      </c>
      <c r="CA4" s="3"/>
      <c r="CB4" s="3"/>
      <c r="CC4" s="3"/>
      <c r="CD4" s="3"/>
      <c r="CF4" s="181" t="s">
        <v>3</v>
      </c>
      <c r="CG4" s="182">
        <v>1442</v>
      </c>
      <c r="CH4" s="3"/>
      <c r="CI4" s="3"/>
      <c r="CJ4" s="3"/>
      <c r="CK4" s="3"/>
      <c r="CM4" s="181" t="s">
        <v>3</v>
      </c>
      <c r="CN4" s="182">
        <v>1442</v>
      </c>
      <c r="CO4" s="3"/>
      <c r="CP4" s="3"/>
      <c r="CQ4" s="3"/>
      <c r="CR4" s="3"/>
      <c r="CU4" s="10" t="s">
        <v>4</v>
      </c>
      <c r="CV4" s="10">
        <v>6</v>
      </c>
      <c r="CW4" s="10"/>
      <c r="CX4" s="10"/>
      <c r="CY4" s="10"/>
      <c r="CZ4" s="10"/>
      <c r="DB4" s="10" t="s">
        <v>4</v>
      </c>
      <c r="DC4" s="10">
        <v>6</v>
      </c>
      <c r="DD4" s="10"/>
      <c r="DE4" s="10"/>
      <c r="DF4" s="10"/>
      <c r="DG4" s="10"/>
      <c r="DI4" s="10" t="s">
        <v>4</v>
      </c>
      <c r="DJ4" s="10">
        <v>6</v>
      </c>
      <c r="DK4" s="10"/>
      <c r="DL4" s="10"/>
      <c r="DM4" s="10"/>
      <c r="DN4" s="10"/>
      <c r="DP4" s="10" t="s">
        <v>4</v>
      </c>
      <c r="DQ4" s="10">
        <v>6</v>
      </c>
      <c r="DR4" s="10"/>
      <c r="DS4" s="10"/>
      <c r="DT4" s="10"/>
      <c r="DU4" s="10"/>
      <c r="DW4" s="10" t="s">
        <v>4</v>
      </c>
      <c r="DX4" s="10">
        <v>6</v>
      </c>
      <c r="DY4" s="10"/>
      <c r="DZ4" s="10"/>
      <c r="EA4" s="10"/>
      <c r="EB4" s="10"/>
      <c r="ED4" s="10" t="s">
        <v>4</v>
      </c>
      <c r="EE4" s="10">
        <v>6</v>
      </c>
      <c r="EF4" s="10"/>
      <c r="EG4" s="10"/>
      <c r="EH4" s="10"/>
      <c r="EI4" s="10"/>
      <c r="EL4" s="268" t="s">
        <v>5</v>
      </c>
      <c r="EM4" s="268">
        <v>3</v>
      </c>
      <c r="EN4" s="268"/>
      <c r="EO4" s="268" t="s">
        <v>552</v>
      </c>
      <c r="EP4" s="268">
        <f>[1]!oujsh(EM2,EM3,EM4,EM5)</f>
        <v>103.63417469508268</v>
      </c>
      <c r="EQ4" s="268"/>
      <c r="ER4" s="268"/>
      <c r="ES4" s="268"/>
      <c r="ET4" s="781"/>
      <c r="EV4" s="1079"/>
      <c r="EW4" s="1635" t="s">
        <v>3869</v>
      </c>
      <c r="EX4" s="1080">
        <v>85.890166667000003</v>
      </c>
      <c r="EY4" s="1080"/>
      <c r="EZ4" s="1080"/>
      <c r="FA4" s="1080"/>
      <c r="FB4" s="1081"/>
      <c r="FC4" s="1627" t="s">
        <v>5</v>
      </c>
      <c r="FD4" s="1619">
        <v>18</v>
      </c>
      <c r="FE4" s="268"/>
      <c r="FF4" s="1479" t="s">
        <v>168</v>
      </c>
      <c r="FG4" s="1479" t="s">
        <v>167</v>
      </c>
      <c r="FH4" s="1479" t="s">
        <v>166</v>
      </c>
      <c r="FI4" s="1480" t="s">
        <v>219</v>
      </c>
      <c r="FJ4" s="1468" t="s">
        <v>5</v>
      </c>
      <c r="FK4" s="912">
        <f>FD4</f>
        <v>18</v>
      </c>
      <c r="FL4" s="913"/>
      <c r="FM4" s="913"/>
      <c r="FN4" s="304"/>
      <c r="FO4" s="314"/>
      <c r="FS4" s="911" t="s">
        <v>5</v>
      </c>
      <c r="FT4" s="912">
        <f t="shared" si="4"/>
        <v>18</v>
      </c>
      <c r="FU4" s="913"/>
      <c r="FV4" s="913"/>
      <c r="FW4" s="304"/>
      <c r="FX4" s="304"/>
      <c r="FY4" s="911" t="s">
        <v>5</v>
      </c>
      <c r="FZ4" s="912">
        <f>FT4</f>
        <v>18</v>
      </c>
      <c r="GA4" s="437"/>
      <c r="GB4" s="437"/>
      <c r="GC4" s="437"/>
      <c r="GD4" s="914"/>
      <c r="GE4" s="1468" t="s">
        <v>5</v>
      </c>
      <c r="GF4" s="912">
        <f>FT4</f>
        <v>18</v>
      </c>
      <c r="GG4" s="913"/>
      <c r="GH4" s="913"/>
      <c r="GI4" s="304"/>
      <c r="GJ4" s="314"/>
      <c r="GK4" s="797"/>
      <c r="GL4" s="797"/>
      <c r="GM4" s="797"/>
      <c r="GO4" s="701" t="s">
        <v>5</v>
      </c>
      <c r="GP4" s="304">
        <f>GF4</f>
        <v>18</v>
      </c>
      <c r="GQ4" s="304" t="s">
        <v>167</v>
      </c>
      <c r="GR4" s="388">
        <f>FW40</f>
        <v>51</v>
      </c>
      <c r="GS4" s="304"/>
      <c r="GT4" s="314"/>
    </row>
    <row r="5" spans="4:202" ht="24.75">
      <c r="D5" s="166" t="s">
        <v>1199</v>
      </c>
      <c r="E5" s="167">
        <v>-7</v>
      </c>
      <c r="F5" s="168">
        <v>24</v>
      </c>
      <c r="G5" s="168">
        <v>48</v>
      </c>
      <c r="H5" s="168">
        <v>0</v>
      </c>
      <c r="I5" s="168">
        <v>0</v>
      </c>
      <c r="M5" s="906" t="s">
        <v>5</v>
      </c>
      <c r="N5" s="114">
        <v>1</v>
      </c>
      <c r="O5" s="114"/>
      <c r="P5" s="114"/>
      <c r="Q5" s="114"/>
      <c r="R5" s="115"/>
      <c r="U5" s="8" t="s">
        <v>5</v>
      </c>
      <c r="V5" s="8">
        <v>4</v>
      </c>
      <c r="W5" s="8">
        <v>2</v>
      </c>
      <c r="X5" s="10"/>
      <c r="Y5" s="10"/>
      <c r="Z5" s="10"/>
      <c r="AA5" s="10"/>
      <c r="AH5" s="175" t="s">
        <v>5</v>
      </c>
      <c r="AI5" s="173">
        <v>2.5</v>
      </c>
      <c r="AJ5" s="176"/>
      <c r="AK5" s="176"/>
      <c r="AL5" s="10"/>
      <c r="AM5" s="10"/>
      <c r="AO5" s="175" t="s">
        <v>5</v>
      </c>
      <c r="AP5" s="173">
        <f>[1]!roz(AR3,AR4,AR5,AR6)</f>
        <v>3.5416666666666665</v>
      </c>
      <c r="AQ5" s="176" t="s">
        <v>166</v>
      </c>
      <c r="AR5" s="176">
        <v>0</v>
      </c>
      <c r="AS5" s="10"/>
      <c r="AT5" s="10"/>
      <c r="AW5" s="181" t="s">
        <v>4</v>
      </c>
      <c r="AX5" s="182">
        <v>6</v>
      </c>
      <c r="AY5" s="3"/>
      <c r="AZ5" s="3"/>
      <c r="BA5" s="3"/>
      <c r="BB5" s="3"/>
      <c r="BD5" s="181" t="s">
        <v>4</v>
      </c>
      <c r="BE5" s="182">
        <v>1</v>
      </c>
      <c r="BF5" s="3"/>
      <c r="BG5" s="3"/>
      <c r="BH5" s="3"/>
      <c r="BI5" s="3"/>
      <c r="BK5" s="181" t="s">
        <v>4</v>
      </c>
      <c r="BL5" s="182">
        <v>6</v>
      </c>
      <c r="BM5" s="3"/>
      <c r="BN5" s="3"/>
      <c r="BO5" s="3"/>
      <c r="BP5" s="3"/>
      <c r="BR5" s="181" t="s">
        <v>4</v>
      </c>
      <c r="BS5" s="182">
        <v>6</v>
      </c>
      <c r="BT5" s="3"/>
      <c r="BU5" s="3"/>
      <c r="BV5" s="3"/>
      <c r="BW5" s="3"/>
      <c r="BY5" s="181" t="s">
        <v>4</v>
      </c>
      <c r="BZ5" s="182">
        <v>6</v>
      </c>
      <c r="CA5" s="3"/>
      <c r="CB5" s="3"/>
      <c r="CC5" s="3"/>
      <c r="CD5" s="3"/>
      <c r="CF5" s="181" t="s">
        <v>4</v>
      </c>
      <c r="CG5" s="182">
        <v>6</v>
      </c>
      <c r="CH5" s="3"/>
      <c r="CI5" s="3"/>
      <c r="CJ5" s="3"/>
      <c r="CK5" s="3"/>
      <c r="CM5" s="181" t="s">
        <v>4</v>
      </c>
      <c r="CN5" s="182">
        <v>5</v>
      </c>
      <c r="CO5" s="3"/>
      <c r="CP5" s="3"/>
      <c r="CQ5" s="3"/>
      <c r="CR5" s="3"/>
      <c r="CU5" s="10" t="s">
        <v>5</v>
      </c>
      <c r="CV5" s="10">
        <v>29</v>
      </c>
      <c r="CW5" s="10"/>
      <c r="CX5" s="10"/>
      <c r="CY5" s="10"/>
      <c r="CZ5" s="10"/>
      <c r="DB5" s="10" t="s">
        <v>5</v>
      </c>
      <c r="DC5" s="10">
        <v>29</v>
      </c>
      <c r="DD5" s="10"/>
      <c r="DE5" s="10"/>
      <c r="DF5" s="10"/>
      <c r="DG5" s="10"/>
      <c r="DI5" s="10" t="s">
        <v>5</v>
      </c>
      <c r="DJ5" s="10">
        <v>29</v>
      </c>
      <c r="DK5" s="10"/>
      <c r="DL5" s="10"/>
      <c r="DM5" s="10"/>
      <c r="DN5" s="10"/>
      <c r="DP5" s="10" t="s">
        <v>5</v>
      </c>
      <c r="DQ5" s="10">
        <v>29</v>
      </c>
      <c r="DR5" s="10"/>
      <c r="DS5" s="10"/>
      <c r="DT5" s="10"/>
      <c r="DU5" s="10"/>
      <c r="DW5" s="10" t="s">
        <v>5</v>
      </c>
      <c r="DX5" s="10">
        <v>29</v>
      </c>
      <c r="DY5" s="10"/>
      <c r="DZ5" s="10"/>
      <c r="EA5" s="10"/>
      <c r="EB5" s="10"/>
      <c r="ED5" s="10" t="s">
        <v>5</v>
      </c>
      <c r="EE5" s="10">
        <v>29</v>
      </c>
      <c r="EF5" s="10"/>
      <c r="EG5" s="10"/>
      <c r="EH5" s="10"/>
      <c r="EI5" s="10"/>
      <c r="EL5" s="268" t="s">
        <v>403</v>
      </c>
      <c r="EM5" s="268">
        <f>[1]!mbtool(2,20,4,1)</f>
        <v>9.7268518518518518E-2</v>
      </c>
      <c r="EN5" s="268"/>
      <c r="EO5" s="268"/>
      <c r="EP5" s="268">
        <f>IF(EP3-EP4&gt;0,EP3-EP4,EP3-EP4+360)</f>
        <v>287.99618928710424</v>
      </c>
      <c r="EQ5" s="268"/>
      <c r="ER5" s="268"/>
      <c r="ES5" s="268"/>
      <c r="ET5" s="781"/>
      <c r="EV5" s="1082"/>
      <c r="EW5" s="1636"/>
      <c r="EX5" s="1083">
        <f>EX3-EX4</f>
        <v>-34.555466667000005</v>
      </c>
      <c r="EY5" s="1083"/>
      <c r="EZ5" s="1083"/>
      <c r="FA5" s="1083"/>
      <c r="FB5" s="1084"/>
      <c r="FC5" s="1627" t="s">
        <v>377</v>
      </c>
      <c r="FD5" s="1619">
        <f>EX8</f>
        <v>9.598740740833335E-2</v>
      </c>
      <c r="FE5" s="268"/>
      <c r="FF5" s="1479">
        <f>IF(FD5&gt;0,1,-1)</f>
        <v>1</v>
      </c>
      <c r="FG5" s="1481">
        <f>((((ABS(FD5*24)-FI5)*60)-FH5)*60)</f>
        <v>13.312000080001951</v>
      </c>
      <c r="FH5" s="1481">
        <f>INT((ABS(FD5*24)-FI5)*60)</f>
        <v>18</v>
      </c>
      <c r="FI5" s="1482">
        <f>INT(ABS(FD5*24))</f>
        <v>2</v>
      </c>
      <c r="FJ5" s="1468" t="s">
        <v>377</v>
      </c>
      <c r="FK5" s="912">
        <f>FD5</f>
        <v>9.598740740833335E-2</v>
      </c>
      <c r="FL5" s="913"/>
      <c r="FM5" s="913"/>
      <c r="FN5" s="304"/>
      <c r="FO5" s="314"/>
      <c r="FS5" s="911" t="s">
        <v>377</v>
      </c>
      <c r="FT5" s="912">
        <f t="shared" si="4"/>
        <v>9.598740740833335E-2</v>
      </c>
      <c r="FU5" s="913"/>
      <c r="FV5" s="913"/>
      <c r="FW5" s="304"/>
      <c r="FX5" s="304"/>
      <c r="FY5" s="911" t="s">
        <v>377</v>
      </c>
      <c r="FZ5" s="912">
        <f>GF5</f>
        <v>9.598740740833335E-2</v>
      </c>
      <c r="GA5" s="913"/>
      <c r="GB5" s="913"/>
      <c r="GC5" s="304"/>
      <c r="GD5" s="314"/>
      <c r="GE5" s="1468" t="s">
        <v>377</v>
      </c>
      <c r="GF5" s="912">
        <f>FT5</f>
        <v>9.598740740833335E-2</v>
      </c>
      <c r="GG5" s="913"/>
      <c r="GH5" s="913"/>
      <c r="GI5" s="304"/>
      <c r="GJ5" s="314"/>
      <c r="GK5" s="797"/>
      <c r="GL5" s="797"/>
      <c r="GM5" s="797"/>
      <c r="GO5" s="701" t="s">
        <v>326</v>
      </c>
      <c r="GP5" s="304">
        <f>GF5</f>
        <v>9.598740740833335E-2</v>
      </c>
      <c r="GQ5" s="304"/>
      <c r="GR5" s="304"/>
      <c r="GS5" s="304"/>
      <c r="GT5" s="314"/>
    </row>
    <row r="6" spans="4:202" ht="24" thickBot="1">
      <c r="D6" s="166" t="s">
        <v>378</v>
      </c>
      <c r="E6" s="166">
        <v>4</v>
      </c>
      <c r="F6" s="168">
        <f t="shared" ref="F6:F13" si="5">INT(ABS(E6))</f>
        <v>4</v>
      </c>
      <c r="G6" s="168">
        <f t="shared" ref="G6:G13" si="6">INT((ABS(E6)-F6)*60)</f>
        <v>0</v>
      </c>
      <c r="H6" s="168">
        <f t="shared" ref="H6:H13" si="7">INT((((ABS(E6)-F6)*60)-G6)*60)</f>
        <v>0</v>
      </c>
      <c r="I6" s="168">
        <f t="shared" ref="I6:I13" si="8">INT((((((ABS(E6)-F6)*60)-G6)*60)-H6)*60)</f>
        <v>0</v>
      </c>
      <c r="M6" s="906" t="s">
        <v>377</v>
      </c>
      <c r="N6" s="114">
        <f>[1]!mbtool(1,25,40,1)</f>
        <v>5.949074074074074E-2</v>
      </c>
      <c r="O6" s="114"/>
      <c r="P6" s="114"/>
      <c r="Q6" s="114"/>
      <c r="R6" s="115"/>
      <c r="U6" s="8"/>
      <c r="V6" s="8" t="s">
        <v>1230</v>
      </c>
      <c r="W6" s="8">
        <v>0</v>
      </c>
      <c r="X6" s="10"/>
      <c r="Y6" s="10"/>
      <c r="Z6" s="10"/>
      <c r="AA6" s="10"/>
      <c r="AH6" s="175" t="s">
        <v>377</v>
      </c>
      <c r="AI6" s="173">
        <f>Z6</f>
        <v>0</v>
      </c>
      <c r="AJ6" s="176"/>
      <c r="AK6" s="176"/>
      <c r="AL6" s="10"/>
      <c r="AM6" s="10"/>
      <c r="AO6" s="175" t="s">
        <v>377</v>
      </c>
      <c r="AP6" s="173">
        <f>[1]!mbtool(2,17,0,1)</f>
        <v>9.5138888888888884E-2</v>
      </c>
      <c r="AQ6" s="176" t="s">
        <v>167</v>
      </c>
      <c r="AR6" s="176">
        <v>0</v>
      </c>
      <c r="AS6" s="10"/>
      <c r="AT6" s="10"/>
      <c r="AW6" s="181" t="s">
        <v>5</v>
      </c>
      <c r="AX6" s="182">
        <v>27</v>
      </c>
      <c r="AY6" s="3"/>
      <c r="AZ6" s="3"/>
      <c r="BA6" s="3"/>
      <c r="BB6" s="3"/>
      <c r="BD6" s="181" t="s">
        <v>5</v>
      </c>
      <c r="BE6" s="182">
        <v>1</v>
      </c>
      <c r="BF6" s="3"/>
      <c r="BG6" s="3"/>
      <c r="BH6" s="3"/>
      <c r="BI6" s="3"/>
      <c r="BK6" s="181" t="s">
        <v>5</v>
      </c>
      <c r="BL6" s="182">
        <v>27</v>
      </c>
      <c r="BM6" s="3"/>
      <c r="BN6" s="3"/>
      <c r="BO6" s="3"/>
      <c r="BP6" s="3"/>
      <c r="BR6" s="181" t="s">
        <v>5</v>
      </c>
      <c r="BS6" s="182">
        <v>27</v>
      </c>
      <c r="BT6" s="3"/>
      <c r="BU6" s="3"/>
      <c r="BV6" s="3"/>
      <c r="BW6" s="3"/>
      <c r="BY6" s="181" t="s">
        <v>5</v>
      </c>
      <c r="BZ6" s="182">
        <v>27</v>
      </c>
      <c r="CA6" s="3"/>
      <c r="CB6" s="3"/>
      <c r="CC6" s="3"/>
      <c r="CD6" s="3"/>
      <c r="CF6" s="181" t="s">
        <v>5</v>
      </c>
      <c r="CG6" s="182">
        <v>27</v>
      </c>
      <c r="CH6" s="3"/>
      <c r="CI6" s="3"/>
      <c r="CJ6" s="3"/>
      <c r="CK6" s="3"/>
      <c r="CM6" s="181" t="s">
        <v>5</v>
      </c>
      <c r="CN6" s="182">
        <v>27</v>
      </c>
      <c r="CO6" s="3"/>
      <c r="CP6" s="3"/>
      <c r="CQ6" s="3"/>
      <c r="CR6" s="3"/>
      <c r="CU6" s="10" t="s">
        <v>393</v>
      </c>
      <c r="CV6" s="10">
        <v>0</v>
      </c>
      <c r="CW6" s="10"/>
      <c r="CX6" s="10"/>
      <c r="CY6" s="10"/>
      <c r="CZ6" s="10"/>
      <c r="DB6" s="10" t="s">
        <v>393</v>
      </c>
      <c r="DC6" s="10">
        <v>0</v>
      </c>
      <c r="DD6" s="10"/>
      <c r="DE6" s="10"/>
      <c r="DF6" s="10"/>
      <c r="DG6" s="10"/>
      <c r="DI6" s="10" t="s">
        <v>393</v>
      </c>
      <c r="DJ6" s="10">
        <v>0</v>
      </c>
      <c r="DK6" s="10"/>
      <c r="DL6" s="10"/>
      <c r="DM6" s="10"/>
      <c r="DN6" s="10"/>
      <c r="DP6" s="10" t="s">
        <v>393</v>
      </c>
      <c r="DQ6" s="10">
        <v>0</v>
      </c>
      <c r="DR6" s="10"/>
      <c r="DS6" s="10"/>
      <c r="DT6" s="10"/>
      <c r="DU6" s="10"/>
      <c r="DW6" s="10" t="s">
        <v>393</v>
      </c>
      <c r="DX6" s="10">
        <v>0</v>
      </c>
      <c r="DY6" s="10"/>
      <c r="DZ6" s="10"/>
      <c r="EA6" s="10"/>
      <c r="EB6" s="10"/>
      <c r="ED6" s="10" t="s">
        <v>393</v>
      </c>
      <c r="EE6" s="10">
        <v>0</v>
      </c>
      <c r="EF6" s="10"/>
      <c r="EG6" s="10"/>
      <c r="EH6" s="10"/>
      <c r="EI6" s="10"/>
      <c r="EL6" s="268" t="s">
        <v>3975</v>
      </c>
      <c r="EM6" s="268">
        <f>2/1000</f>
        <v>2E-3</v>
      </c>
      <c r="EN6" s="268"/>
      <c r="EO6" s="268"/>
      <c r="EP6" s="268">
        <f>[1]!tash(EP5)</f>
        <v>1.816984668636122</v>
      </c>
      <c r="EQ6" s="268"/>
      <c r="ER6" s="268"/>
      <c r="ES6" s="268"/>
      <c r="ET6" s="781"/>
      <c r="EV6" s="1082"/>
      <c r="EW6" s="1636" t="s">
        <v>3874</v>
      </c>
      <c r="EX6" s="1083">
        <f>IF(EX5*-1&lt;180,EX5*-1,(EX5*-1)-360)</f>
        <v>34.555466667000005</v>
      </c>
      <c r="EY6" s="1083"/>
      <c r="EZ6" s="1083"/>
      <c r="FA6" s="1083"/>
      <c r="FB6" s="1084"/>
      <c r="FC6" s="1627" t="s">
        <v>177</v>
      </c>
      <c r="FD6" s="1620">
        <f>EW17</f>
        <v>35.721899999999998</v>
      </c>
      <c r="FE6" s="268"/>
      <c r="FF6" s="1458">
        <f>INT(ABS(FD6))</f>
        <v>35</v>
      </c>
      <c r="FG6" s="1458">
        <f>INT((ABS(FD6)-FF6)*60)</f>
        <v>43</v>
      </c>
      <c r="FH6" s="1458">
        <f>INT((((ABS(FD6)-FF6)*60)-FG6)*60)</f>
        <v>18</v>
      </c>
      <c r="FI6" s="1459">
        <f>INT((((((ABS(FD6)-FF6)*60)-FG6)*60)-FH6)*60)</f>
        <v>50</v>
      </c>
      <c r="FJ6" s="1469" t="s">
        <v>177</v>
      </c>
      <c r="FK6" s="1470">
        <f>FD6</f>
        <v>35.721899999999998</v>
      </c>
      <c r="FL6" s="1306">
        <f>INT(ABS(FK6))</f>
        <v>35</v>
      </c>
      <c r="FM6" s="1306">
        <f>INT((ABS(FK6)-FL6)*60)</f>
        <v>43</v>
      </c>
      <c r="FN6" s="1306">
        <f>INT((((ABS(FK6)-FL6)*60)-FM6)*60)</f>
        <v>18</v>
      </c>
      <c r="FO6" s="1307">
        <f>INT((((((ABS(FK6)-FL6)*60)-FM6)*60)-FN6)*60)</f>
        <v>50</v>
      </c>
      <c r="FS6" s="1304" t="s">
        <v>177</v>
      </c>
      <c r="FT6" s="1470">
        <f>FK6</f>
        <v>35.721899999999998</v>
      </c>
      <c r="FU6" s="1306">
        <f>INT(ABS(FT6))</f>
        <v>35</v>
      </c>
      <c r="FV6" s="1306">
        <f>INT((ABS(FT6)-FU6)*60)</f>
        <v>43</v>
      </c>
      <c r="FW6" s="1306">
        <f>INT((((ABS(FT6)-FU6)*60)-FV6)*60)</f>
        <v>18</v>
      </c>
      <c r="FX6" s="1306">
        <f>INT((((((ABS(FT6)-FU6)*60)-FV6)*60)-FW6)*60)</f>
        <v>50</v>
      </c>
      <c r="FY6" s="1304" t="s">
        <v>177</v>
      </c>
      <c r="FZ6" s="1305">
        <f>GF6</f>
        <v>35.721899999999998</v>
      </c>
      <c r="GA6" s="1306">
        <f>INT(ABS(FZ6))</f>
        <v>35</v>
      </c>
      <c r="GB6" s="1306">
        <f>INT((ABS(FZ6)-GA6)*60)</f>
        <v>43</v>
      </c>
      <c r="GC6" s="1306">
        <f>INT((((ABS(FZ6)-GA6)*60)-GB6)*60)</f>
        <v>18</v>
      </c>
      <c r="GD6" s="1307">
        <f>INT((((((ABS(FZ6)-GA6)*60)-GB6)*60)-GC6)*60)</f>
        <v>50</v>
      </c>
      <c r="GE6" s="1469" t="s">
        <v>177</v>
      </c>
      <c r="GF6" s="1305">
        <f>FT6</f>
        <v>35.721899999999998</v>
      </c>
      <c r="GG6" s="1306">
        <f>INT(ABS(GF6))</f>
        <v>35</v>
      </c>
      <c r="GH6" s="1306">
        <f>INT((ABS(GF6)-GG6)*60)</f>
        <v>43</v>
      </c>
      <c r="GI6" s="1306">
        <f>INT((((ABS(GF6)-GG6)*60)-GH6)*60)</f>
        <v>18</v>
      </c>
      <c r="GJ6" s="1307">
        <f>INT((((((ABS(GF6)-GG6)*60)-GH6)*60)-GI6)*60)</f>
        <v>50</v>
      </c>
      <c r="GK6" s="797"/>
      <c r="GL6" s="797"/>
      <c r="GM6" s="797"/>
      <c r="GO6" s="1487" t="s">
        <v>177</v>
      </c>
      <c r="GP6" s="1305">
        <f>GF6</f>
        <v>35.721899999999998</v>
      </c>
      <c r="GQ6" s="307"/>
      <c r="GR6" s="307"/>
      <c r="GS6" s="307"/>
      <c r="GT6" s="703"/>
    </row>
    <row r="7" spans="4:202" ht="23.25">
      <c r="D7" s="166" t="s">
        <v>659</v>
      </c>
      <c r="E7" s="166">
        <v>1</v>
      </c>
      <c r="F7" s="168">
        <f t="shared" si="5"/>
        <v>1</v>
      </c>
      <c r="G7" s="168">
        <f t="shared" si="6"/>
        <v>0</v>
      </c>
      <c r="H7" s="168">
        <f t="shared" si="7"/>
        <v>0</v>
      </c>
      <c r="I7" s="168">
        <f t="shared" si="8"/>
        <v>0</v>
      </c>
      <c r="M7" s="922" t="s">
        <v>659</v>
      </c>
      <c r="N7" s="923">
        <f>((P7)/60)+O7</f>
        <v>94.216666666666669</v>
      </c>
      <c r="O7" s="237">
        <v>94</v>
      </c>
      <c r="P7" s="237">
        <v>13</v>
      </c>
      <c r="Q7" s="237">
        <v>0</v>
      </c>
      <c r="R7" s="907">
        <v>0</v>
      </c>
      <c r="U7" s="8"/>
      <c r="V7" s="8" t="s">
        <v>378</v>
      </c>
      <c r="W7" s="8">
        <f>[1]!taqsh(W3,W4,W5,0)</f>
        <v>42.969557820607882</v>
      </c>
      <c r="X7" s="168">
        <f>INT(ABS(W7))</f>
        <v>42</v>
      </c>
      <c r="Y7" s="168">
        <f>INT((ABS(W7)-X7)*60)</f>
        <v>58</v>
      </c>
      <c r="Z7" s="168">
        <f>INT((((ABS(W7)-X7)*60)-Y7)*60)</f>
        <v>10</v>
      </c>
      <c r="AA7" s="168">
        <f>INT((((((ABS(W7)-X7)*60)-Y7)*60)-Z7)*60)</f>
        <v>24</v>
      </c>
      <c r="AH7" s="175" t="s">
        <v>1236</v>
      </c>
      <c r="AI7" s="172">
        <f>(((((AM7/60)+AL7)/60)+AK7)/60)+AJ7</f>
        <v>12.857143518518518</v>
      </c>
      <c r="AJ7" s="176">
        <v>12</v>
      </c>
      <c r="AK7" s="176">
        <v>51</v>
      </c>
      <c r="AL7" s="10">
        <v>25</v>
      </c>
      <c r="AM7" s="10">
        <v>43</v>
      </c>
      <c r="AO7" s="175" t="s">
        <v>1236</v>
      </c>
      <c r="AP7" s="172">
        <f>(((((AT7/60)+AS7)/60)+AR7)/60)+AQ7</f>
        <v>12.857143518518518</v>
      </c>
      <c r="AQ7" s="176">
        <v>12</v>
      </c>
      <c r="AR7" s="176">
        <v>51</v>
      </c>
      <c r="AS7" s="10">
        <v>25</v>
      </c>
      <c r="AT7" s="10">
        <v>43</v>
      </c>
      <c r="AW7" s="181" t="s">
        <v>377</v>
      </c>
      <c r="AX7" s="182">
        <f>[1]!mbtool(2,17,0,1)</f>
        <v>9.5138888888888884E-2</v>
      </c>
      <c r="AY7" s="3"/>
      <c r="AZ7" s="3"/>
      <c r="BA7" s="3"/>
      <c r="BB7" s="3"/>
      <c r="BD7" s="181" t="s">
        <v>377</v>
      </c>
      <c r="BE7" s="182">
        <v>0</v>
      </c>
      <c r="BF7" s="3"/>
      <c r="BG7" s="3"/>
      <c r="BH7" s="3"/>
      <c r="BI7" s="3"/>
      <c r="BK7" s="181" t="s">
        <v>377</v>
      </c>
      <c r="BL7" s="182">
        <f>[1]!mbtool(2,17,0,1)</f>
        <v>9.5138888888888884E-2</v>
      </c>
      <c r="BM7" s="3"/>
      <c r="BN7" s="3"/>
      <c r="BO7" s="3"/>
      <c r="BP7" s="3"/>
      <c r="BR7" s="181" t="s">
        <v>377</v>
      </c>
      <c r="BS7" s="182">
        <v>0</v>
      </c>
      <c r="BT7" s="3"/>
      <c r="BU7" s="3"/>
      <c r="BV7" s="3"/>
      <c r="BW7" s="3"/>
      <c r="BY7" s="181" t="s">
        <v>377</v>
      </c>
      <c r="BZ7" s="182">
        <v>0</v>
      </c>
      <c r="CA7" s="3"/>
      <c r="CB7" s="3"/>
      <c r="CC7" s="3"/>
      <c r="CD7" s="3"/>
      <c r="CF7" s="181" t="s">
        <v>377</v>
      </c>
      <c r="CG7" s="182">
        <v>0</v>
      </c>
      <c r="CH7" s="3"/>
      <c r="CI7" s="3"/>
      <c r="CJ7" s="3"/>
      <c r="CK7" s="3"/>
      <c r="CM7" s="181" t="s">
        <v>377</v>
      </c>
      <c r="CN7" s="182">
        <v>0</v>
      </c>
      <c r="CO7" s="3"/>
      <c r="CP7" s="3"/>
      <c r="CQ7" s="3"/>
      <c r="CR7" s="3"/>
      <c r="CU7" s="10"/>
      <c r="CV7" s="10"/>
      <c r="CW7" s="10"/>
      <c r="CX7" s="10"/>
      <c r="CY7" s="10"/>
      <c r="CZ7" s="10"/>
      <c r="DB7" s="10"/>
      <c r="DC7" s="10"/>
      <c r="DD7" s="10"/>
      <c r="DE7" s="10"/>
      <c r="DF7" s="10"/>
      <c r="DG7" s="10"/>
      <c r="DI7" s="10"/>
      <c r="DJ7" s="10"/>
      <c r="DK7" s="10"/>
      <c r="DL7" s="10"/>
      <c r="DM7" s="10"/>
      <c r="DN7" s="10"/>
      <c r="DP7" s="10"/>
      <c r="DQ7" s="10"/>
      <c r="DR7" s="10"/>
      <c r="DS7" s="10"/>
      <c r="DT7" s="10"/>
      <c r="DU7" s="10"/>
      <c r="DW7" s="10"/>
      <c r="DX7" s="10"/>
      <c r="DY7" s="10"/>
      <c r="DZ7" s="10"/>
      <c r="EA7" s="10"/>
      <c r="EB7" s="10"/>
      <c r="ED7" s="10"/>
      <c r="EE7" s="10"/>
      <c r="EF7" s="10"/>
      <c r="EG7" s="10"/>
      <c r="EH7" s="10"/>
      <c r="EI7" s="10"/>
      <c r="EL7" s="268" t="s">
        <v>3976</v>
      </c>
      <c r="EM7" s="268">
        <v>7000</v>
      </c>
      <c r="EN7" s="268"/>
      <c r="EO7" s="268" t="s">
        <v>3979</v>
      </c>
      <c r="EP7" s="268">
        <f>EP5+EP6</f>
        <v>289.81317395574035</v>
      </c>
      <c r="EQ7" s="268"/>
      <c r="ER7" s="268"/>
      <c r="ES7" s="268"/>
      <c r="ET7" s="781"/>
      <c r="EV7" s="1082"/>
      <c r="EW7" s="1636"/>
      <c r="EX7" s="1083">
        <f>EX6/15</f>
        <v>2.3036977778000005</v>
      </c>
      <c r="EY7" s="1630" t="s">
        <v>4119</v>
      </c>
      <c r="EZ7" s="1630" t="s">
        <v>167</v>
      </c>
      <c r="FA7" s="1630" t="s">
        <v>166</v>
      </c>
      <c r="FB7" s="1631" t="s">
        <v>219</v>
      </c>
      <c r="FC7" s="1625"/>
      <c r="FD7" s="1623" t="s">
        <v>2202</v>
      </c>
      <c r="FE7" s="1623" t="s">
        <v>4104</v>
      </c>
      <c r="FF7" s="1623" t="s">
        <v>219</v>
      </c>
      <c r="FG7" s="1623" t="s">
        <v>166</v>
      </c>
      <c r="FH7" s="1623" t="s">
        <v>167</v>
      </c>
      <c r="FI7" s="1624" t="s">
        <v>168</v>
      </c>
      <c r="FJ7" s="1468" t="s">
        <v>3993</v>
      </c>
      <c r="FK7" s="912">
        <f>FR16</f>
        <v>15</v>
      </c>
      <c r="FL7" s="437">
        <f t="shared" ref="FL7:FL33" si="9">INT(ABS(FK7))</f>
        <v>15</v>
      </c>
      <c r="FM7" s="437">
        <f t="shared" ref="FM7:FM33" si="10">INT((ABS(FK7)-FL7)*60)</f>
        <v>0</v>
      </c>
      <c r="FN7" s="437">
        <f t="shared" ref="FN7:FN33" si="11">INT((((ABS(FK7)-FL7)*60)-FM7)*60)</f>
        <v>0</v>
      </c>
      <c r="FO7" s="914">
        <f t="shared" ref="FO7:FO33" si="12">INT((((((ABS(FK7)-FL7)*60)-FM7)*60)-FN7)*60)</f>
        <v>0</v>
      </c>
      <c r="FS7" s="911" t="s">
        <v>3992</v>
      </c>
      <c r="FT7" s="912">
        <f>FR15</f>
        <v>17.399999999999999</v>
      </c>
      <c r="FU7" s="437">
        <f t="shared" ref="FU7:FU19" si="13">INT(ABS(FT7))</f>
        <v>17</v>
      </c>
      <c r="FV7" s="437">
        <f t="shared" ref="FV7:FV19" si="14">INT((ABS(FT7)-FU7)*60)</f>
        <v>23</v>
      </c>
      <c r="FW7" s="437">
        <f t="shared" ref="FW7:FW19" si="15">INT((((ABS(FT7)-FU7)*60)-FV7)*60)</f>
        <v>59</v>
      </c>
      <c r="FX7" s="437">
        <f t="shared" ref="FX7:FX19" si="16">INT((((((ABS(FT7)-FU7)*60)-FV7)*60)-FW7)*60)</f>
        <v>59</v>
      </c>
      <c r="FY7" s="911" t="s">
        <v>395</v>
      </c>
      <c r="FZ7" s="912">
        <f>[1]!taqsh(FZ2,FZ3,FZ4,FZ5)</f>
        <v>93.82047545835394</v>
      </c>
      <c r="GA7" s="437">
        <f>INT(ABS(FZ7))</f>
        <v>93</v>
      </c>
      <c r="GB7" s="437">
        <f>INT((ABS(FZ7)-GA7)*60)</f>
        <v>49</v>
      </c>
      <c r="GC7" s="437">
        <f>INT((((ABS(FZ7)-GA7)*60)-GB7)*60)</f>
        <v>13</v>
      </c>
      <c r="GD7" s="914">
        <f>INT((((((ABS(FZ7)-GA7)*60)-GB7)*60)-GC7)*60)</f>
        <v>42</v>
      </c>
      <c r="GE7" s="1468" t="s">
        <v>395</v>
      </c>
      <c r="GF7" s="912">
        <f>[1]!taqsh(GF2,GF3,GF4,GF5)</f>
        <v>93.82047545835394</v>
      </c>
      <c r="GG7" s="437">
        <f>INT(ABS(GF7))</f>
        <v>93</v>
      </c>
      <c r="GH7" s="437">
        <f>INT((ABS(GF7)-GG7)*60)</f>
        <v>49</v>
      </c>
      <c r="GI7" s="437">
        <f>INT((((ABS(GF7)-GG7)*60)-GH7)*60)</f>
        <v>13</v>
      </c>
      <c r="GJ7" s="914">
        <f>INT((((((ABS(GF7)-GG7)*60)-GH7)*60)-GI7)*60)</f>
        <v>42</v>
      </c>
      <c r="GK7" s="797"/>
      <c r="GL7" s="797"/>
      <c r="GM7" s="797"/>
      <c r="GO7" s="701" t="s">
        <v>4013</v>
      </c>
      <c r="GP7" s="3">
        <f>[1]!saatzij(GP2,GP3,GS3)</f>
        <v>12.007004044808738</v>
      </c>
      <c r="GQ7" s="437">
        <f>INT(ABS(GP7))</f>
        <v>12</v>
      </c>
      <c r="GR7" s="437">
        <f>INT((ABS(GP7)-GQ7)*60)</f>
        <v>0</v>
      </c>
      <c r="GS7" s="437">
        <f>INT((((ABS(GP7)-GQ7)*60)-GR7)*60)</f>
        <v>25</v>
      </c>
      <c r="GT7" s="914">
        <f>INT((((((ABS(GP7)-GQ7)*60)-GR7)*60)-GS7)*60)</f>
        <v>12</v>
      </c>
    </row>
    <row r="8" spans="4:202" ht="24.75">
      <c r="D8" s="169" t="s">
        <v>206</v>
      </c>
      <c r="E8" s="169" t="e">
        <f>[1]!mtb(E6,E5)</f>
        <v>#VALUE!</v>
      </c>
      <c r="F8" s="168" t="e">
        <f t="shared" si="5"/>
        <v>#VALUE!</v>
      </c>
      <c r="G8" s="168" t="e">
        <f t="shared" si="6"/>
        <v>#VALUE!</v>
      </c>
      <c r="H8" s="168" t="e">
        <f t="shared" si="7"/>
        <v>#VALUE!</v>
      </c>
      <c r="I8" s="168" t="e">
        <f t="shared" si="8"/>
        <v>#VALUE!</v>
      </c>
      <c r="M8" s="922" t="s">
        <v>175</v>
      </c>
      <c r="N8" s="923">
        <f>(((P8)/60)+O8)*-1</f>
        <v>-39.583333333333336</v>
      </c>
      <c r="O8" s="237">
        <v>39</v>
      </c>
      <c r="P8" s="237">
        <v>35</v>
      </c>
      <c r="Q8" s="237">
        <v>0</v>
      </c>
      <c r="R8" s="907">
        <v>0</v>
      </c>
      <c r="U8" s="8"/>
      <c r="V8" s="8" t="s">
        <v>177</v>
      </c>
      <c r="W8" s="8">
        <v>35</v>
      </c>
      <c r="X8" s="168">
        <f t="shared" ref="X8:X16" si="17">INT(ABS(W8))</f>
        <v>35</v>
      </c>
      <c r="Y8" s="168">
        <f t="shared" ref="Y8:Y16" si="18">INT((ABS(W8)-X8)*60)</f>
        <v>0</v>
      </c>
      <c r="Z8" s="168">
        <f t="shared" ref="Z8:Z16" si="19">INT((((ABS(W8)-X8)*60)-Y8)*60)</f>
        <v>0</v>
      </c>
      <c r="AA8" s="168">
        <f t="shared" ref="AA8:AA16" si="20">INT((((((ABS(W8)-X8)*60)-Y8)*60)-Z8)*60)</f>
        <v>0</v>
      </c>
      <c r="AH8" s="175" t="s">
        <v>1233</v>
      </c>
      <c r="AI8" s="174">
        <v>11.412649</v>
      </c>
      <c r="AJ8" s="168">
        <f>INT(ABS(AI8))</f>
        <v>11</v>
      </c>
      <c r="AK8" s="168">
        <f>INT((ABS(AI8)-AJ8)*60)</f>
        <v>24</v>
      </c>
      <c r="AL8" s="168">
        <f>INT((((ABS(AI8)-AJ8)*60)-AK8)*60)</f>
        <v>45</v>
      </c>
      <c r="AM8" s="168">
        <f>INT((((((ABS(AI8)-AJ8)*60)-AK8)*60)-AL8)*60)</f>
        <v>32</v>
      </c>
      <c r="AO8" s="175" t="s">
        <v>1233</v>
      </c>
      <c r="AP8" s="172">
        <f>AR4+(AR5/60)</f>
        <v>13</v>
      </c>
      <c r="AQ8" s="168">
        <v>20</v>
      </c>
      <c r="AR8" s="168">
        <v>9</v>
      </c>
      <c r="AS8" s="168">
        <v>0</v>
      </c>
      <c r="AT8" s="168">
        <v>0</v>
      </c>
      <c r="AW8" s="181" t="s">
        <v>612</v>
      </c>
      <c r="AX8">
        <f>[1]!wasat(AX4,AX5,AX6,AX7)</f>
        <v>320.16456223598243</v>
      </c>
      <c r="BD8" s="181" t="s">
        <v>388</v>
      </c>
      <c r="BE8" s="3">
        <f>[1]!wasat(BE4,BE5,BE6,BE7)</f>
        <v>85.502312942321097</v>
      </c>
      <c r="BF8" s="187">
        <f t="shared" ref="BF8:BF13" si="21">INT(ABS(BE8))</f>
        <v>85</v>
      </c>
      <c r="BG8" s="187">
        <f t="shared" ref="BG8:BG13" si="22">INT((ABS(BE8)-BF8)*60)</f>
        <v>30</v>
      </c>
      <c r="BH8" s="187">
        <f t="shared" ref="BH8:BH13" si="23">INT((((ABS(BE8)-BF8)*60)-BG8)*60)</f>
        <v>8</v>
      </c>
      <c r="BI8" s="187">
        <f t="shared" ref="BI8:BI13" si="24">INT((((((ABS(BE8)-BF8)*60)-BG8)*60)-BH8)*60)</f>
        <v>19</v>
      </c>
      <c r="BK8" s="181" t="s">
        <v>386</v>
      </c>
      <c r="BL8" s="3">
        <f>[1]!oujsh(BL4,BL5,BL6,BL7)</f>
        <v>103.59659119703252</v>
      </c>
      <c r="BM8" s="187">
        <f>INT(ABS(BL8))</f>
        <v>103</v>
      </c>
      <c r="BN8" s="187">
        <f>INT((ABS(BL8)-BM8)*60)</f>
        <v>35</v>
      </c>
      <c r="BO8" s="187">
        <f>INT((((ABS(BL8)-BM8)*60)-BN8)*60)</f>
        <v>47</v>
      </c>
      <c r="BP8" s="187">
        <f>INT((((((ABS(BL8)-BM8)*60)-BN8)*60)-BO8)*60)</f>
        <v>43</v>
      </c>
      <c r="BR8" s="181" t="s">
        <v>388</v>
      </c>
      <c r="BS8" s="3">
        <f>[1]!wasat(BS4,BS5,BS6,BS7)</f>
        <v>320.0707882556689</v>
      </c>
      <c r="BT8" s="187">
        <f>INT(ABS(BS8))</f>
        <v>320</v>
      </c>
      <c r="BU8" s="187">
        <f>INT((ABS(BS8)-BT8)*60)</f>
        <v>4</v>
      </c>
      <c r="BV8" s="187">
        <f>INT((((ABS(BS8)-BT8)*60)-BU8)*60)</f>
        <v>14</v>
      </c>
      <c r="BW8" s="187">
        <f>INT((((((ABS(BS8)-BT8)*60)-BU8)*60)-BV8)*60)</f>
        <v>50</v>
      </c>
      <c r="BY8" s="181" t="s">
        <v>612</v>
      </c>
      <c r="BZ8" s="3">
        <f>[1]!wasatmer(BZ4,BZ5,BZ6,BZ7)</f>
        <v>76.110642153189929</v>
      </c>
      <c r="CA8" s="187">
        <f>INT(ABS(BZ8))</f>
        <v>76</v>
      </c>
      <c r="CB8" s="187">
        <f>INT((ABS(BZ8)-CA8)*60)</f>
        <v>6</v>
      </c>
      <c r="CC8" s="187">
        <f>INT((((ABS(BZ8)-CA8)*60)-CB8)*60)</f>
        <v>38</v>
      </c>
      <c r="CD8" s="187">
        <f>INT((((((ABS(BZ8)-CA8)*60)-CB8)*60)-CC8)*60)</f>
        <v>18</v>
      </c>
      <c r="CF8" s="181" t="s">
        <v>612</v>
      </c>
      <c r="CG8" s="3">
        <f>[1]!wasatmosh(CG4,CG5,CG6,CG7)</f>
        <v>315.44816450584153</v>
      </c>
      <c r="CH8" s="187">
        <f>INT(ABS(CG8))</f>
        <v>315</v>
      </c>
      <c r="CI8" s="187">
        <f>INT((ABS(CG8)-CH8)*60)</f>
        <v>26</v>
      </c>
      <c r="CJ8" s="187">
        <f>INT((((ABS(CG8)-CH8)*60)-CI8)*60)</f>
        <v>53</v>
      </c>
      <c r="CK8" s="187">
        <f>INT((((((ABS(CG8)-CH8)*60)-CI8)*60)-CJ8)*60)</f>
        <v>23</v>
      </c>
      <c r="CM8" s="181" t="s">
        <v>612</v>
      </c>
      <c r="CN8" s="3">
        <f>[1]!wasatzo(CN4,CN5,CN6,CN7)</f>
        <v>306.09257563178062</v>
      </c>
      <c r="CO8" s="187">
        <f>INT(ABS(CN8))</f>
        <v>306</v>
      </c>
      <c r="CP8" s="187">
        <f>INT((ABS(CN8)-CO8)*60)</f>
        <v>5</v>
      </c>
      <c r="CQ8" s="187">
        <f>INT((((ABS(CN8)-CO8)*60)-CP8)*60)</f>
        <v>33</v>
      </c>
      <c r="CR8" s="187">
        <f>INT((((((ABS(CN8)-CO8)*60)-CP8)*60)-CQ8)*60)</f>
        <v>16</v>
      </c>
      <c r="CU8" s="10" t="s">
        <v>401</v>
      </c>
      <c r="CV8" s="10">
        <f>[1]!wasatq(CV3,CV4,CV5,CV6)</f>
        <v>318.21813735191245</v>
      </c>
      <c r="CW8" s="168">
        <f>INT(ABS(CV8))</f>
        <v>318</v>
      </c>
      <c r="CX8" s="168">
        <f>INT((ABS(CV8)-CW8)*60)</f>
        <v>13</v>
      </c>
      <c r="CY8" s="168">
        <f>INT((((ABS(CV8)-CW8)*60)-CX8)*60)</f>
        <v>5</v>
      </c>
      <c r="CZ8" s="168">
        <f>INT((((((ABS(CV8)-CW8)*60)-CX8)*60)-CY8)*60)</f>
        <v>17</v>
      </c>
      <c r="DB8" s="10" t="s">
        <v>388</v>
      </c>
      <c r="DC8" s="10">
        <f>[1]!wasat(DC3,DC4,DC5,DC6)</f>
        <v>322.04209375640301</v>
      </c>
      <c r="DD8" s="168">
        <f>INT(ABS(DC8))</f>
        <v>322</v>
      </c>
      <c r="DE8" s="168">
        <f>INT((ABS(DC8)-DD8)*60)</f>
        <v>2</v>
      </c>
      <c r="DF8" s="168">
        <f>INT((((ABS(DC8)-DD8)*60)-DE8)*60)</f>
        <v>31</v>
      </c>
      <c r="DG8" s="168">
        <f>INT((((((ABS(DC8)-DD8)*60)-DE8)*60)-DF8)*60)</f>
        <v>32</v>
      </c>
      <c r="DI8" s="10" t="s">
        <v>388</v>
      </c>
      <c r="DJ8" s="10">
        <f>[1]!wasat(DJ3,DJ4,DJ5,DJ6)</f>
        <v>322.04209375640301</v>
      </c>
      <c r="DK8" s="168">
        <f>INT(ABS(DJ8))</f>
        <v>322</v>
      </c>
      <c r="DL8" s="168">
        <f>INT((ABS(DJ8)-DK8)*60)</f>
        <v>2</v>
      </c>
      <c r="DM8" s="168">
        <f>INT((((ABS(DJ8)-DK8)*60)-DL8)*60)</f>
        <v>31</v>
      </c>
      <c r="DN8" s="168">
        <f>INT((((((ABS(DJ8)-DK8)*60)-DL8)*60)-DM8)*60)</f>
        <v>32</v>
      </c>
      <c r="DP8" s="10" t="s">
        <v>388</v>
      </c>
      <c r="DQ8" s="10">
        <f>[1]!wasat(DQ3,DQ4,DQ5,DQ6)</f>
        <v>322.04209375640301</v>
      </c>
      <c r="DR8" s="168">
        <f>INT(ABS(DQ8))</f>
        <v>322</v>
      </c>
      <c r="DS8" s="168">
        <f>INT((ABS(DQ8)-DR8)*60)</f>
        <v>2</v>
      </c>
      <c r="DT8" s="168">
        <f>INT((((ABS(DQ8)-DR8)*60)-DS8)*60)</f>
        <v>31</v>
      </c>
      <c r="DU8" s="168">
        <f>INT((((((ABS(DQ8)-DR8)*60)-DS8)*60)-DT8)*60)</f>
        <v>32</v>
      </c>
      <c r="DW8" s="10" t="s">
        <v>388</v>
      </c>
      <c r="DX8" s="10">
        <f>[1]!wasat(DX3,DX4,DX5,DX6)</f>
        <v>322.04209375640301</v>
      </c>
      <c r="DY8" s="168">
        <f>INT(ABS(DX8))</f>
        <v>322</v>
      </c>
      <c r="DZ8" s="168">
        <f>INT((ABS(DX8)-DY8)*60)</f>
        <v>2</v>
      </c>
      <c r="EA8" s="168">
        <f>INT((((ABS(DX8)-DY8)*60)-DZ8)*60)</f>
        <v>31</v>
      </c>
      <c r="EB8" s="168">
        <f>INT((((((ABS(DX8)-DY8)*60)-DZ8)*60)-EA8)*60)</f>
        <v>32</v>
      </c>
      <c r="ED8" s="10" t="s">
        <v>388</v>
      </c>
      <c r="EE8" s="10">
        <f>[1]!wasat(EE3,EE4,EE5,EE6)</f>
        <v>322.04209375640301</v>
      </c>
      <c r="EF8" s="168">
        <f>INT(ABS(EE8))</f>
        <v>322</v>
      </c>
      <c r="EG8" s="168">
        <f>INT((ABS(EE8)-EF8)*60)</f>
        <v>2</v>
      </c>
      <c r="EH8" s="168">
        <f>INT((((ABS(EE8)-EF8)*60)-EG8)*60)</f>
        <v>31</v>
      </c>
      <c r="EI8" s="168">
        <f>INT((((((ABS(EE8)-EF8)*60)-EG8)*60)-EH8)*60)</f>
        <v>32</v>
      </c>
      <c r="EL8" s="268"/>
      <c r="EM8" s="268"/>
      <c r="EN8" s="268"/>
      <c r="EO8" s="268" t="s">
        <v>3433</v>
      </c>
      <c r="EP8" s="268">
        <f>EM6+EM7</f>
        <v>7000.0020000000004</v>
      </c>
      <c r="EQ8" s="268"/>
      <c r="ER8" s="268"/>
      <c r="ES8" s="268"/>
      <c r="ET8" s="781"/>
      <c r="EV8" s="1082" t="s">
        <v>1372</v>
      </c>
      <c r="EW8" s="1636" t="s">
        <v>3870</v>
      </c>
      <c r="EX8" s="1083">
        <f>EX7/24</f>
        <v>9.598740740833335E-2</v>
      </c>
      <c r="EY8" s="1083">
        <f>IF(EX8&gt;0,1,-1)</f>
        <v>1</v>
      </c>
      <c r="EZ8" s="1085">
        <f>((((ABS(EX8*24)-FB8)*60)-FA8)*60)</f>
        <v>13.312000080001951</v>
      </c>
      <c r="FA8" s="1085">
        <f>INT((ABS(EX8*24)-FB8)*60)</f>
        <v>18</v>
      </c>
      <c r="FB8" s="1086">
        <f>INT(ABS(EX8*24))</f>
        <v>2</v>
      </c>
      <c r="FC8" s="1628" t="s">
        <v>4233</v>
      </c>
      <c r="FD8" s="238">
        <f>[1]!vfajr(FD2,FD3,FD4,FD5,FD6)</f>
        <v>3.1047364601894847</v>
      </c>
      <c r="FE8" s="238">
        <f>FT46</f>
        <v>3.1047407814986174</v>
      </c>
      <c r="FF8" s="243">
        <f t="shared" ref="FF8" si="25">INT(ABS(FE8))</f>
        <v>3</v>
      </c>
      <c r="FG8" s="243">
        <f t="shared" ref="FG8" si="26">INT((ABS(FE8)-FF8)*60)</f>
        <v>6</v>
      </c>
      <c r="FH8" s="243">
        <f t="shared" ref="FH8" si="27">INT((((ABS(FE8)-FF8)*60)-FG8)*60)</f>
        <v>17</v>
      </c>
      <c r="FI8" s="733">
        <f t="shared" ref="FI8" si="28">INT((((((ABS(FE8)-FF8)*60)-FG8)*60)-FH8)*60)</f>
        <v>4</v>
      </c>
      <c r="FJ8" s="1468" t="s">
        <v>395</v>
      </c>
      <c r="FK8" s="912">
        <f>[1]!taqsh(FK2,FK3,FK4,FK5)</f>
        <v>93.82047545835394</v>
      </c>
      <c r="FL8" s="437">
        <f t="shared" si="9"/>
        <v>93</v>
      </c>
      <c r="FM8" s="437">
        <f t="shared" si="10"/>
        <v>49</v>
      </c>
      <c r="FN8" s="437">
        <f t="shared" si="11"/>
        <v>13</v>
      </c>
      <c r="FO8" s="914">
        <f t="shared" si="12"/>
        <v>42</v>
      </c>
      <c r="FS8" s="911" t="s">
        <v>395</v>
      </c>
      <c r="FT8" s="912">
        <f>[1]!taqsh(FT2,FT3,FT4,FT5)</f>
        <v>93.82047545835394</v>
      </c>
      <c r="FU8" s="437">
        <f t="shared" si="13"/>
        <v>93</v>
      </c>
      <c r="FV8" s="437">
        <f t="shared" si="14"/>
        <v>49</v>
      </c>
      <c r="FW8" s="437">
        <f t="shared" si="15"/>
        <v>13</v>
      </c>
      <c r="FX8" s="437">
        <f t="shared" si="16"/>
        <v>42</v>
      </c>
      <c r="FY8" s="911" t="s">
        <v>227</v>
      </c>
      <c r="FZ8" s="912">
        <f>[1]!ml(FZ2,FZ7)</f>
        <v>23.369626688509999</v>
      </c>
      <c r="GA8" s="437">
        <f>INT(ABS(FZ8))</f>
        <v>23</v>
      </c>
      <c r="GB8" s="437">
        <f>INT((ABS(FZ8)-GA8)*60)</f>
        <v>22</v>
      </c>
      <c r="GC8" s="437">
        <f>INT((((ABS(FZ8)-GA8)*60)-GB8)*60)</f>
        <v>10</v>
      </c>
      <c r="GD8" s="914">
        <f>INT((((((ABS(FZ8)-GA8)*60)-GB8)*60)-GC8)*60)</f>
        <v>39</v>
      </c>
      <c r="GE8" s="1468" t="s">
        <v>227</v>
      </c>
      <c r="GF8" s="912">
        <f>[1]!ml(GF2,GF7)</f>
        <v>23.369626688509999</v>
      </c>
      <c r="GG8" s="437">
        <f>INT(ABS(GF8))</f>
        <v>23</v>
      </c>
      <c r="GH8" s="437">
        <f>INT((ABS(GF8)-GG8)*60)</f>
        <v>22</v>
      </c>
      <c r="GI8" s="437">
        <f>INT((((ABS(GF8)-GG8)*60)-GH8)*60)</f>
        <v>10</v>
      </c>
      <c r="GJ8" s="914">
        <f>INT((((((ABS(GF8)-GG8)*60)-GH8)*60)-GI8)*60)</f>
        <v>39</v>
      </c>
      <c r="GK8" s="797"/>
      <c r="GL8" s="797"/>
      <c r="GM8" s="797"/>
      <c r="GO8" s="701" t="s">
        <v>1481</v>
      </c>
      <c r="GP8" s="304">
        <f>[1]!taqsh(GP2,GP3,GP4+(GP7/24),GP5)</f>
        <v>94.297674623843861</v>
      </c>
      <c r="GQ8" s="437">
        <f>INT(ABS(GP8))</f>
        <v>94</v>
      </c>
      <c r="GR8" s="437">
        <f>INT((ABS(GP8)-GQ8)*60)</f>
        <v>17</v>
      </c>
      <c r="GS8" s="437">
        <f>INT((((ABS(GP8)-GQ8)*60)-GR8)*60)</f>
        <v>51</v>
      </c>
      <c r="GT8" s="914">
        <f>INT((((((ABS(GP8)-GQ8)*60)-GR8)*60)-GS8)*60)</f>
        <v>37</v>
      </c>
    </row>
    <row r="9" spans="4:202" ht="24" thickBot="1">
      <c r="D9" s="169" t="s">
        <v>227</v>
      </c>
      <c r="E9" s="169" t="e">
        <f>[1]!ml(E8)</f>
        <v>#VALUE!</v>
      </c>
      <c r="F9" s="168" t="e">
        <f t="shared" si="5"/>
        <v>#VALUE!</v>
      </c>
      <c r="G9" s="168" t="e">
        <f t="shared" si="6"/>
        <v>#VALUE!</v>
      </c>
      <c r="H9" s="168" t="e">
        <f t="shared" si="7"/>
        <v>#VALUE!</v>
      </c>
      <c r="I9" s="168" t="e">
        <f t="shared" si="8"/>
        <v>#VALUE!</v>
      </c>
      <c r="M9" s="922" t="s">
        <v>1199</v>
      </c>
      <c r="N9" s="923">
        <f>((P9)/60)+O9</f>
        <v>34.5</v>
      </c>
      <c r="O9" s="237">
        <v>34</v>
      </c>
      <c r="P9" s="237">
        <v>30</v>
      </c>
      <c r="Q9" s="237">
        <v>0</v>
      </c>
      <c r="R9" s="907">
        <v>0</v>
      </c>
      <c r="U9" s="8"/>
      <c r="V9" s="8" t="s">
        <v>1227</v>
      </c>
      <c r="W9" s="8" t="e">
        <f>[1]!ml(W7)</f>
        <v>#VALUE!</v>
      </c>
      <c r="X9" s="168" t="e">
        <f t="shared" si="17"/>
        <v>#VALUE!</v>
      </c>
      <c r="Y9" s="168" t="e">
        <f t="shared" si="18"/>
        <v>#VALUE!</v>
      </c>
      <c r="Z9" s="168" t="e">
        <f t="shared" si="19"/>
        <v>#VALUE!</v>
      </c>
      <c r="AA9" s="168" t="e">
        <f t="shared" si="20"/>
        <v>#VALUE!</v>
      </c>
      <c r="AH9" s="175" t="s">
        <v>395</v>
      </c>
      <c r="AI9" s="173">
        <f>[1]!taqsh(AI3,AI4,AI5,AI6)</f>
        <v>258.85725286748033</v>
      </c>
      <c r="AJ9" s="168">
        <f t="shared" ref="AJ9:AJ18" si="29">INT(ABS(AI9))</f>
        <v>258</v>
      </c>
      <c r="AK9" s="168">
        <f t="shared" ref="AK9:AK18" si="30">INT((ABS(AI9)-AJ9)*60)</f>
        <v>51</v>
      </c>
      <c r="AL9" s="168">
        <f t="shared" ref="AL9:AL18" si="31">INT((((ABS(AI9)-AJ9)*60)-AK9)*60)</f>
        <v>26</v>
      </c>
      <c r="AM9" s="168">
        <f t="shared" ref="AM9:AM18" si="32">INT((((((ABS(AI9)-AJ9)*60)-AK9)*60)-AL9)*60)</f>
        <v>6</v>
      </c>
      <c r="AO9" s="175" t="s">
        <v>395</v>
      </c>
      <c r="AP9" s="173">
        <f>[1]!taqsh(AP3,AP4,AP5,AP6)</f>
        <v>25.656513825657854</v>
      </c>
      <c r="AQ9" s="168">
        <f t="shared" ref="AQ9:AQ18" si="33">INT(ABS(AP9))</f>
        <v>25</v>
      </c>
      <c r="AR9" s="168">
        <f t="shared" ref="AR9:AR18" si="34">INT((ABS(AP9)-AQ9)*60)</f>
        <v>39</v>
      </c>
      <c r="AS9" s="168">
        <f t="shared" ref="AS9:AS18" si="35">INT((((ABS(AP9)-AQ9)*60)-AR9)*60)</f>
        <v>23</v>
      </c>
      <c r="AT9" s="168">
        <f t="shared" ref="AT9:AT18" si="36">INT((((((ABS(AP9)-AQ9)*60)-AR9)*60)-AS9)*60)</f>
        <v>26</v>
      </c>
      <c r="AW9" s="181" t="s">
        <v>552</v>
      </c>
      <c r="AX9">
        <f>[1]!oujsh(AX4,AX5,AX6,AX7)</f>
        <v>103.59659119703252</v>
      </c>
      <c r="BD9" s="181" t="s">
        <v>401</v>
      </c>
      <c r="BE9" s="3">
        <f>[1]!wasatq(BE4,BE5,BE6,BE7)</f>
        <v>101.71385726312292</v>
      </c>
      <c r="BF9" s="187">
        <f t="shared" si="21"/>
        <v>101</v>
      </c>
      <c r="BG9" s="187">
        <f t="shared" si="22"/>
        <v>42</v>
      </c>
      <c r="BH9" s="187">
        <f t="shared" si="23"/>
        <v>49</v>
      </c>
      <c r="BI9" s="187">
        <f t="shared" si="24"/>
        <v>53</v>
      </c>
      <c r="BK9" s="3"/>
      <c r="BL9" s="183">
        <f>(((((BP9/60)+BO9)/60)+BN9)/60)+BM9</f>
        <v>119.74333333333334</v>
      </c>
      <c r="BM9" s="3">
        <v>119</v>
      </c>
      <c r="BN9" s="3">
        <v>44</v>
      </c>
      <c r="BO9" s="3">
        <v>36</v>
      </c>
      <c r="BP9" s="3"/>
      <c r="BR9" s="181"/>
      <c r="BS9" s="183">
        <f>(((((BW9/60)+BV9)/60)+BU9)/60)+BT9</f>
        <v>12.310277777777777</v>
      </c>
      <c r="BT9" s="3">
        <v>12</v>
      </c>
      <c r="BU9" s="3">
        <v>18</v>
      </c>
      <c r="BV9" s="3">
        <v>37</v>
      </c>
      <c r="BW9" s="3"/>
      <c r="BY9" s="181" t="s">
        <v>552</v>
      </c>
      <c r="BZ9" s="3">
        <f>[1]!oujmer(BZ4,BZ5,BZ6,BZ7)</f>
        <v>156.51913975433018</v>
      </c>
      <c r="CA9" s="187">
        <f>INT(ABS(BZ9))</f>
        <v>156</v>
      </c>
      <c r="CB9" s="187">
        <f>INT((ABS(BZ9)-CA9)*60)</f>
        <v>31</v>
      </c>
      <c r="CC9" s="187">
        <f>INT((((ABS(BZ9)-CA9)*60)-CB9)*60)</f>
        <v>8</v>
      </c>
      <c r="CD9" s="187">
        <f>INT((((((ABS(BZ9)-CA9)*60)-CB9)*60)-CC9)*60)</f>
        <v>54</v>
      </c>
      <c r="CF9" s="181" t="s">
        <v>552</v>
      </c>
      <c r="CG9" s="3">
        <f>[1]!oujmosh(CG4,CG5,CG6,CG7)</f>
        <v>198.6799910827269</v>
      </c>
      <c r="CH9" s="187">
        <f>INT(ABS(CG9))</f>
        <v>198</v>
      </c>
      <c r="CI9" s="187">
        <f>INT((ABS(CG9)-CH9)*60)</f>
        <v>40</v>
      </c>
      <c r="CJ9" s="187">
        <f>INT((((ABS(CG9)-CH9)*60)-CI9)*60)</f>
        <v>47</v>
      </c>
      <c r="CK9" s="187">
        <f>INT((((((ABS(CG9)-CH9)*60)-CI9)*60)-CJ9)*60)</f>
        <v>58</v>
      </c>
      <c r="CM9" s="181" t="s">
        <v>552</v>
      </c>
      <c r="CN9" s="3">
        <f>[1]!oujzo(CN4,CN5,CN6,CN7)</f>
        <v>276.53708558926598</v>
      </c>
      <c r="CO9" s="187">
        <f>INT(ABS(CN9))</f>
        <v>276</v>
      </c>
      <c r="CP9" s="187">
        <f>INT((ABS(CN9)-CO9)*60)</f>
        <v>32</v>
      </c>
      <c r="CQ9" s="187">
        <f>INT((((ABS(CN9)-CO9)*60)-CP9)*60)</f>
        <v>13</v>
      </c>
      <c r="CR9" s="187">
        <f>INT((((((ABS(CN9)-CO9)*60)-CP9)*60)-CQ9)*60)</f>
        <v>30</v>
      </c>
      <c r="CU9" s="10" t="s">
        <v>402</v>
      </c>
      <c r="CV9" s="10">
        <f>[1]!oujq(CV3,CV4,CV5,CV6)</f>
        <v>42.831023581172076</v>
      </c>
      <c r="CW9" s="168">
        <f>INT(ABS(CV9))</f>
        <v>42</v>
      </c>
      <c r="CX9" s="168">
        <f>INT((ABS(CV9)-CW9)*60)</f>
        <v>49</v>
      </c>
      <c r="CY9" s="168">
        <f>INT((((ABS(CV9)-CW9)*60)-CX9)*60)</f>
        <v>51</v>
      </c>
      <c r="CZ9" s="168">
        <f>INT((((((ABS(CV9)-CW9)*60)-CX9)*60)-CY9)*60)</f>
        <v>41</v>
      </c>
      <c r="DB9" s="10" t="s">
        <v>1286</v>
      </c>
      <c r="DC9" s="10">
        <f>[1]!wasatzo(DC3,DC4,DC5,DC6)</f>
        <v>307.1644891538017</v>
      </c>
      <c r="DD9" s="168">
        <f>INT(ABS(DC9))</f>
        <v>307</v>
      </c>
      <c r="DE9" s="168">
        <f>INT((ABS(DC9)-DD9)*60)</f>
        <v>9</v>
      </c>
      <c r="DF9" s="168">
        <f>INT((((ABS(DC9)-DD9)*60)-DE9)*60)</f>
        <v>52</v>
      </c>
      <c r="DG9" s="168">
        <f>INT((((((ABS(DC9)-DD9)*60)-DE9)*60)-DF9)*60)</f>
        <v>9</v>
      </c>
      <c r="DI9" s="10" t="s">
        <v>1288</v>
      </c>
      <c r="DJ9" s="10">
        <f>[1]!wasatmosh(DJ3,DJ4,DJ5,DJ6)</f>
        <v>315.61442429851536</v>
      </c>
      <c r="DK9" s="168">
        <f>INT(ABS(DJ9))</f>
        <v>315</v>
      </c>
      <c r="DL9" s="168">
        <f>INT((ABS(DJ9)-DK9)*60)</f>
        <v>36</v>
      </c>
      <c r="DM9" s="168">
        <f>INT((((ABS(DJ9)-DK9)*60)-DL9)*60)</f>
        <v>51</v>
      </c>
      <c r="DN9" s="168">
        <f>INT((((((ABS(DJ9)-DK9)*60)-DL9)*60)-DM9)*60)</f>
        <v>55</v>
      </c>
      <c r="DP9" s="10" t="s">
        <v>1295</v>
      </c>
      <c r="DQ9" s="10">
        <f>[1]!wasatmer(DQ3,DQ4,DQ5,DQ6)</f>
        <v>77.158788959958201</v>
      </c>
      <c r="DR9" s="168">
        <f>INT(ABS(DQ9))</f>
        <v>77</v>
      </c>
      <c r="DS9" s="168">
        <f>INT((ABS(DQ9)-DR9)*60)</f>
        <v>9</v>
      </c>
      <c r="DT9" s="168">
        <f>INT((((ABS(DQ9)-DR9)*60)-DS9)*60)</f>
        <v>31</v>
      </c>
      <c r="DU9" s="168">
        <f>INT((((((ABS(DQ9)-DR9)*60)-DS9)*60)-DT9)*60)</f>
        <v>38</v>
      </c>
      <c r="DW9" s="10" t="s">
        <v>1297</v>
      </c>
      <c r="DX9" s="10">
        <f>[1]!wasatzh(DX3,DX4,DX5,DX6)</f>
        <v>298.76377133705955</v>
      </c>
      <c r="DY9" s="168">
        <f>INT(ABS(DX9))</f>
        <v>298</v>
      </c>
      <c r="DZ9" s="168">
        <f>INT((ABS(DX9)-DY9)*60)</f>
        <v>45</v>
      </c>
      <c r="EA9" s="168">
        <f>INT((((ABS(DX9)-DY9)*60)-DZ9)*60)</f>
        <v>49</v>
      </c>
      <c r="EB9" s="168">
        <f>INT((((((ABS(DX9)-DY9)*60)-DZ9)*60)-EA9)*60)</f>
        <v>34</v>
      </c>
      <c r="ED9" s="10" t="s">
        <v>1289</v>
      </c>
      <c r="EE9" s="10">
        <f>[1]!wasatott(EE3,EE4,EE5,EE6)</f>
        <v>135.05005109879858</v>
      </c>
      <c r="EF9" s="168">
        <f>INT(ABS(EE9))</f>
        <v>135</v>
      </c>
      <c r="EG9" s="168">
        <f>INT((ABS(EE9)-EF9)*60)</f>
        <v>3</v>
      </c>
      <c r="EH9" s="168">
        <f>INT((((ABS(EE9)-EF9)*60)-EG9)*60)</f>
        <v>0</v>
      </c>
      <c r="EI9" s="168">
        <f>INT((((((ABS(EE9)-EF9)*60)-EG9)*60)-EH9)*60)</f>
        <v>11</v>
      </c>
      <c r="EL9" s="268"/>
      <c r="EM9" s="268"/>
      <c r="EN9" s="268"/>
      <c r="EO9" s="268" t="s">
        <v>3978</v>
      </c>
      <c r="EP9" s="268">
        <f>[1]!asn(EM7*60/EP8)</f>
        <v>89.956688466928526</v>
      </c>
      <c r="EQ9" s="268"/>
      <c r="ER9" s="268"/>
      <c r="ES9" s="268"/>
      <c r="ET9" s="781"/>
      <c r="EV9" s="1087"/>
      <c r="EW9" s="1637" t="s">
        <v>2202</v>
      </c>
      <c r="EX9" s="1065">
        <f>[1]!tabdilsaheb(EX3)</f>
        <v>9.598740740833335E-2</v>
      </c>
      <c r="EY9" s="1065"/>
      <c r="EZ9" s="1065"/>
      <c r="FA9" s="1065"/>
      <c r="FB9" s="1088"/>
      <c r="FC9" s="1628" t="s">
        <v>4234</v>
      </c>
      <c r="FD9" s="4">
        <f>[1]!vfajr15(FD2,FD3,FD4,FD5,FD6)</f>
        <v>3.3878829705250535</v>
      </c>
      <c r="FE9" s="4">
        <f>FD9</f>
        <v>3.3878829705250535</v>
      </c>
      <c r="FF9" s="243">
        <f t="shared" ref="FF9" si="37">INT(ABS(FE9))</f>
        <v>3</v>
      </c>
      <c r="FG9" s="243">
        <f t="shared" ref="FG9" si="38">INT((ABS(FE9)-FF9)*60)</f>
        <v>23</v>
      </c>
      <c r="FH9" s="243">
        <f t="shared" ref="FH9" si="39">INT((((ABS(FE9)-FF9)*60)-FG9)*60)</f>
        <v>16</v>
      </c>
      <c r="FI9" s="733">
        <f t="shared" ref="FI9" si="40">INT((((((ABS(FE9)-FF9)*60)-FG9)*60)-FH9)*60)</f>
        <v>22</v>
      </c>
      <c r="FJ9" s="1468" t="s">
        <v>227</v>
      </c>
      <c r="FK9" s="912">
        <f>[1]!ml(FK2,FK8)</f>
        <v>23.369626688509999</v>
      </c>
      <c r="FL9" s="437">
        <f t="shared" si="9"/>
        <v>23</v>
      </c>
      <c r="FM9" s="437">
        <f t="shared" si="10"/>
        <v>22</v>
      </c>
      <c r="FN9" s="437">
        <f t="shared" si="11"/>
        <v>10</v>
      </c>
      <c r="FO9" s="914">
        <f t="shared" si="12"/>
        <v>39</v>
      </c>
      <c r="FS9" s="911" t="s">
        <v>227</v>
      </c>
      <c r="FT9" s="912">
        <f>[1]!ml(FT2,FT8)</f>
        <v>23.369626688509999</v>
      </c>
      <c r="FU9" s="437">
        <f t="shared" si="13"/>
        <v>23</v>
      </c>
      <c r="FV9" s="437">
        <f t="shared" si="14"/>
        <v>22</v>
      </c>
      <c r="FW9" s="437">
        <f t="shared" si="15"/>
        <v>10</v>
      </c>
      <c r="FX9" s="437">
        <f t="shared" si="16"/>
        <v>39</v>
      </c>
      <c r="FY9" s="911" t="s">
        <v>1055</v>
      </c>
      <c r="FZ9" s="912">
        <f>[1]!qsn(FZ8,FZ6)</f>
        <v>216.20918524627496</v>
      </c>
      <c r="GA9" s="437">
        <f t="shared" ref="GA9:GA10" si="41">INT(ABS(FZ9))</f>
        <v>216</v>
      </c>
      <c r="GB9" s="437">
        <f t="shared" ref="GB9:GB10" si="42">INT((ABS(FZ9)-GA9)*60)</f>
        <v>12</v>
      </c>
      <c r="GC9" s="437">
        <f t="shared" ref="GC9:GC10" si="43">INT((((ABS(FZ9)-GA9)*60)-GB9)*60)</f>
        <v>33</v>
      </c>
      <c r="GD9" s="914">
        <f t="shared" ref="GD9:GD10" si="44">INT((((((ABS(FZ9)-GA9)*60)-GB9)*60)-GC9)*60)</f>
        <v>4</v>
      </c>
      <c r="GE9" s="1468" t="s">
        <v>1055</v>
      </c>
      <c r="GF9" s="912">
        <f>[1]!qsn(GF8,GF6)</f>
        <v>216.20918524627496</v>
      </c>
      <c r="GG9" s="437">
        <f t="shared" ref="GG9:GG27" si="45">INT(ABS(GF9))</f>
        <v>216</v>
      </c>
      <c r="GH9" s="437">
        <f t="shared" ref="GH9:GH27" si="46">INT((ABS(GF9)-GG9)*60)</f>
        <v>12</v>
      </c>
      <c r="GI9" s="437">
        <f t="shared" ref="GI9:GI27" si="47">INT((((ABS(GF9)-GG9)*60)-GH9)*60)</f>
        <v>33</v>
      </c>
      <c r="GJ9" s="914">
        <f t="shared" ref="GJ9:GJ27" si="48">INT((((((ABS(GF9)-GG9)*60)-GH9)*60)-GI9)*60)</f>
        <v>4</v>
      </c>
      <c r="GK9" s="797"/>
      <c r="GL9" s="797"/>
      <c r="GM9" s="797"/>
      <c r="GO9" s="701" t="s">
        <v>175</v>
      </c>
      <c r="GP9" s="304">
        <v>0</v>
      </c>
      <c r="GQ9" s="437">
        <f>INT(ABS(GP9))</f>
        <v>0</v>
      </c>
      <c r="GR9" s="437">
        <f>INT((ABS(GP9)-GQ9)*60)</f>
        <v>0</v>
      </c>
      <c r="GS9" s="437">
        <f>INT((((ABS(GP9)-GQ9)*60)-GR9)*60)</f>
        <v>0</v>
      </c>
      <c r="GT9" s="914">
        <f>INT((((((ABS(GP9)-GQ9)*60)-GR9)*60)-GS9)*60)</f>
        <v>0</v>
      </c>
    </row>
    <row r="10" spans="4:202" ht="23.25">
      <c r="D10" s="169" t="s">
        <v>281</v>
      </c>
      <c r="E10" s="169" t="e">
        <f>[1]!asher(E6,E5)</f>
        <v>#VALUE!</v>
      </c>
      <c r="F10" s="168" t="e">
        <f t="shared" si="5"/>
        <v>#VALUE!</v>
      </c>
      <c r="G10" s="168" t="e">
        <f t="shared" si="6"/>
        <v>#VALUE!</v>
      </c>
      <c r="H10" s="168" t="e">
        <f t="shared" si="7"/>
        <v>#VALUE!</v>
      </c>
      <c r="I10" s="168" t="e">
        <f t="shared" si="8"/>
        <v>#VALUE!</v>
      </c>
      <c r="M10" s="924" t="s">
        <v>1219</v>
      </c>
      <c r="N10" s="272">
        <f>[1]!taqsh(N3,N4,N5,N6)</f>
        <v>236.48758559144244</v>
      </c>
      <c r="O10" s="214">
        <f>INT(ABS(N10))</f>
        <v>236</v>
      </c>
      <c r="P10" s="214">
        <f>INT((ABS(N10)-O10)*60)</f>
        <v>29</v>
      </c>
      <c r="Q10" s="214">
        <f>INT((((ABS(N10)-O10)*60)-P10)*60)</f>
        <v>15</v>
      </c>
      <c r="R10" s="901">
        <f>INT((((((ABS(N10)-O10)*60)-P10)*60)-Q10)*60)</f>
        <v>18</v>
      </c>
      <c r="U10" s="8"/>
      <c r="V10" s="8" t="s">
        <v>218</v>
      </c>
      <c r="W10" s="8" t="e">
        <f>[1]!mtl(W9)</f>
        <v>#VALUE!</v>
      </c>
      <c r="X10" s="168" t="e">
        <f t="shared" si="17"/>
        <v>#VALUE!</v>
      </c>
      <c r="Y10" s="168" t="e">
        <f t="shared" si="18"/>
        <v>#VALUE!</v>
      </c>
      <c r="Z10" s="168" t="e">
        <f t="shared" si="19"/>
        <v>#VALUE!</v>
      </c>
      <c r="AA10" s="168" t="e">
        <f t="shared" si="20"/>
        <v>#VALUE!</v>
      </c>
      <c r="AH10" s="175" t="s">
        <v>227</v>
      </c>
      <c r="AI10" s="173" t="e">
        <f>[1]!ml(AI9)</f>
        <v>#VALUE!</v>
      </c>
      <c r="AJ10" s="168" t="e">
        <f t="shared" si="29"/>
        <v>#VALUE!</v>
      </c>
      <c r="AK10" s="168" t="e">
        <f t="shared" si="30"/>
        <v>#VALUE!</v>
      </c>
      <c r="AL10" s="168" t="e">
        <f t="shared" si="31"/>
        <v>#VALUE!</v>
      </c>
      <c r="AM10" s="168" t="e">
        <f t="shared" si="32"/>
        <v>#VALUE!</v>
      </c>
      <c r="AO10" s="175" t="s">
        <v>227</v>
      </c>
      <c r="AP10" s="173" t="e">
        <f>[1]!ml(AP9)</f>
        <v>#VALUE!</v>
      </c>
      <c r="AQ10" s="168" t="e">
        <f t="shared" si="33"/>
        <v>#VALUE!</v>
      </c>
      <c r="AR10" s="168" t="e">
        <f t="shared" si="34"/>
        <v>#VALUE!</v>
      </c>
      <c r="AS10" s="168" t="e">
        <f t="shared" si="35"/>
        <v>#VALUE!</v>
      </c>
      <c r="AT10" s="168" t="e">
        <f t="shared" si="36"/>
        <v>#VALUE!</v>
      </c>
      <c r="AW10" s="181" t="s">
        <v>1310</v>
      </c>
      <c r="AX10">
        <f>IF(AX8-AX9&gt;0,AX8-AX9,AX8+360-AX9)</f>
        <v>216.56797103894991</v>
      </c>
      <c r="BD10" s="181" t="s">
        <v>250</v>
      </c>
      <c r="BE10" s="3">
        <f>IF(BE9-BE8&gt;0,BE9-BE8,BE9+360-BE8)</f>
        <v>16.211544320801821</v>
      </c>
      <c r="BF10" s="187">
        <f t="shared" si="21"/>
        <v>16</v>
      </c>
      <c r="BG10" s="187">
        <f t="shared" si="22"/>
        <v>12</v>
      </c>
      <c r="BH10" s="187">
        <f t="shared" si="23"/>
        <v>41</v>
      </c>
      <c r="BI10" s="187">
        <f t="shared" si="24"/>
        <v>33</v>
      </c>
      <c r="BK10" s="181" t="s">
        <v>1311</v>
      </c>
      <c r="BL10" s="3">
        <f>IF(BL8+BL9&lt;360,BL8+BL9,BL8+BL9-360)</f>
        <v>223.33992453036586</v>
      </c>
      <c r="BM10" s="187">
        <f>INT(ABS(BL10))</f>
        <v>223</v>
      </c>
      <c r="BN10" s="187">
        <f>INT((ABS(BL10)-BM10)*60)</f>
        <v>20</v>
      </c>
      <c r="BO10" s="187">
        <f>INT((((ABS(BL10)-BM10)*60)-BN10)*60)</f>
        <v>23</v>
      </c>
      <c r="BP10" s="187">
        <f>INT((((((ABS(BL10)-BM10)*60)-BN10)*60)-BO10)*60)</f>
        <v>43</v>
      </c>
      <c r="BR10" s="181" t="s">
        <v>1310</v>
      </c>
      <c r="BS10" s="3">
        <f>IF(BS8+BS9&lt;360,BS8+BS9,BS8+BS9-360)</f>
        <v>332.3810660334467</v>
      </c>
      <c r="BT10" s="187">
        <f>INT(ABS(BS10))</f>
        <v>332</v>
      </c>
      <c r="BU10" s="187">
        <f>INT((ABS(BS10)-BT10)*60)</f>
        <v>22</v>
      </c>
      <c r="BV10" s="187">
        <f>INT((((ABS(BS10)-BT10)*60)-BU10)*60)</f>
        <v>51</v>
      </c>
      <c r="BW10" s="187">
        <f>INT((((((ABS(BS10)-BT10)*60)-BU10)*60)-BV10)*60)</f>
        <v>50</v>
      </c>
      <c r="BY10" s="181" t="s">
        <v>1310</v>
      </c>
      <c r="BZ10" s="3">
        <f>IF(BZ8-BZ9&gt;0,BZ8-BZ9,BZ8+360-BZ9)</f>
        <v>279.59150239885975</v>
      </c>
      <c r="CA10" s="187">
        <f>INT(ABS(BZ10))</f>
        <v>279</v>
      </c>
      <c r="CB10" s="187">
        <f>INT((ABS(BZ10)-CA10)*60)</f>
        <v>35</v>
      </c>
      <c r="CC10" s="187">
        <f>INT((((ABS(BZ10)-CA10)*60)-CB10)*60)</f>
        <v>29</v>
      </c>
      <c r="CD10" s="187">
        <f>INT((((((ABS(BZ10)-CA10)*60)-CB10)*60)-CC10)*60)</f>
        <v>24</v>
      </c>
      <c r="CF10" s="181" t="s">
        <v>1310</v>
      </c>
      <c r="CG10" s="3">
        <f>IF(CG8-CG9&gt;0,CG8-CG9,CG8+360-CG9)</f>
        <v>116.76817342311463</v>
      </c>
      <c r="CH10" s="187">
        <f>INT(ABS(CG10))</f>
        <v>116</v>
      </c>
      <c r="CI10" s="187">
        <f>INT((ABS(CG10)-CH10)*60)</f>
        <v>46</v>
      </c>
      <c r="CJ10" s="187">
        <f>INT((((ABS(CG10)-CH10)*60)-CI10)*60)</f>
        <v>5</v>
      </c>
      <c r="CK10" s="187">
        <f>INT((((((ABS(CG10)-CH10)*60)-CI10)*60)-CJ10)*60)</f>
        <v>25</v>
      </c>
      <c r="CM10" s="181" t="s">
        <v>1310</v>
      </c>
      <c r="CN10" s="3">
        <f>IF(CN8-CN9&gt;0,CN8-CN9,CN8+360-CN9)</f>
        <v>29.555490042514634</v>
      </c>
      <c r="CO10" s="187">
        <f>INT(ABS(CN10))</f>
        <v>29</v>
      </c>
      <c r="CP10" s="187">
        <f>INT((ABS(CN10)-CO10)*60)</f>
        <v>33</v>
      </c>
      <c r="CQ10" s="187">
        <f>INT((((ABS(CN10)-CO10)*60)-CP10)*60)</f>
        <v>19</v>
      </c>
      <c r="CR10" s="187">
        <f>INT((((((ABS(CN10)-CO10)*60)-CP10)*60)-CQ10)*60)</f>
        <v>45</v>
      </c>
      <c r="CU10" s="10" t="s">
        <v>1283</v>
      </c>
      <c r="CV10" s="10">
        <f>IF(CV8&gt;CV9,CV8-CV9,CV8+360-CV9)</f>
        <v>275.38711377074037</v>
      </c>
      <c r="CW10" s="168">
        <f>INT(ABS(CV10))</f>
        <v>275</v>
      </c>
      <c r="CX10" s="168">
        <f>INT((ABS(CV10)-CW10)*60)</f>
        <v>23</v>
      </c>
      <c r="CY10" s="168">
        <f>INT((((ABS(CV10)-CW10)*60)-CX10)*60)</f>
        <v>13</v>
      </c>
      <c r="CZ10" s="168">
        <f>INT((((((ABS(CV10)-CW10)*60)-CX10)*60)-CY10)*60)</f>
        <v>36</v>
      </c>
      <c r="DB10" s="10" t="s">
        <v>1287</v>
      </c>
      <c r="DC10" s="10">
        <f>[1]!oujzo(DC3,DC4,DC5,DC6)</f>
        <v>276.53908282040294</v>
      </c>
      <c r="DD10" s="168">
        <f>INT(ABS(DC10))</f>
        <v>276</v>
      </c>
      <c r="DE10" s="168">
        <f>INT((ABS(DC10)-DD10)*60)</f>
        <v>32</v>
      </c>
      <c r="DF10" s="168">
        <f>INT((((ABS(DC10)-DD10)*60)-DE10)*60)</f>
        <v>20</v>
      </c>
      <c r="DG10" s="168">
        <f>INT((((((ABS(DC10)-DD10)*60)-DE10)*60)-DF10)*60)</f>
        <v>41</v>
      </c>
      <c r="DI10" s="10" t="s">
        <v>1294</v>
      </c>
      <c r="DJ10" s="10">
        <f>[1]!oujmosh(DJ3,DJ4,DJ5,DJ6)</f>
        <v>198.68013466631632</v>
      </c>
      <c r="DK10" s="168">
        <f>INT(ABS(DJ10))</f>
        <v>198</v>
      </c>
      <c r="DL10" s="168">
        <f>INT((ABS(DJ10)-DK10)*60)</f>
        <v>40</v>
      </c>
      <c r="DM10" s="168">
        <f>INT((((ABS(DJ10)-DK10)*60)-DL10)*60)</f>
        <v>48</v>
      </c>
      <c r="DN10" s="168">
        <f>INT((((((ABS(DJ10)-DK10)*60)-DL10)*60)-DM10)*60)</f>
        <v>29</v>
      </c>
      <c r="DP10" s="10" t="s">
        <v>1296</v>
      </c>
      <c r="DQ10" s="10">
        <f>[1]!oujmer(DQ3,DQ4,DQ5,DQ6)</f>
        <v>156.51924115148765</v>
      </c>
      <c r="DR10" s="168">
        <f>INT(ABS(DQ10))</f>
        <v>156</v>
      </c>
      <c r="DS10" s="168">
        <f>INT((ABS(DQ10)-DR10)*60)</f>
        <v>31</v>
      </c>
      <c r="DT10" s="168">
        <f>INT((((ABS(DQ10)-DR10)*60)-DS10)*60)</f>
        <v>9</v>
      </c>
      <c r="DU10" s="168">
        <f>INT((((((ABS(DQ10)-DR10)*60)-DS10)*60)-DT10)*60)</f>
        <v>16</v>
      </c>
      <c r="DW10" s="10" t="s">
        <v>1298</v>
      </c>
      <c r="DX10" s="10">
        <f>[1]!oujzh(DX3,DX4,DX5,DX6)</f>
        <v>314.60455293916289</v>
      </c>
      <c r="DY10" s="168">
        <f>INT(ABS(DX10))</f>
        <v>314</v>
      </c>
      <c r="DZ10" s="168">
        <f>INT((ABS(DX10)-DY10)*60)</f>
        <v>36</v>
      </c>
      <c r="EA10" s="168">
        <f>INT((((ABS(DX10)-DY10)*60)-DZ10)*60)</f>
        <v>16</v>
      </c>
      <c r="EB10" s="168">
        <f>INT((((((ABS(DX10)-DY10)*60)-DZ10)*60)-EA10)*60)</f>
        <v>23</v>
      </c>
      <c r="ED10" s="10" t="s">
        <v>1299</v>
      </c>
      <c r="EE10" s="10">
        <f>[1]!oujott(EE3,EE4,EE5,EE6)</f>
        <v>261.8424537422664</v>
      </c>
      <c r="EF10" s="168">
        <f>INT(ABS(EE10))</f>
        <v>261</v>
      </c>
      <c r="EG10" s="168">
        <f>INT((ABS(EE10)-EF10)*60)</f>
        <v>50</v>
      </c>
      <c r="EH10" s="168">
        <f>INT((((ABS(EE10)-EF10)*60)-EG10)*60)</f>
        <v>32</v>
      </c>
      <c r="EI10" s="168">
        <f>INT((((((ABS(EE10)-EF10)*60)-EG10)*60)-EH10)*60)</f>
        <v>50</v>
      </c>
      <c r="EL10" s="268"/>
      <c r="EM10" s="268"/>
      <c r="EN10" s="268"/>
      <c r="EO10" s="268"/>
      <c r="EP10" s="268">
        <f>180-[1]!asn([1]!sn(EP9*EP8/EP2))-EP9</f>
        <v>89.978956542013194</v>
      </c>
      <c r="EQ10" s="268"/>
      <c r="ER10" s="268"/>
      <c r="ES10" s="268"/>
      <c r="ET10" s="781"/>
      <c r="EV10" s="1066"/>
      <c r="EW10" s="1638" t="s">
        <v>3872</v>
      </c>
      <c r="EX10" s="1067"/>
      <c r="EY10" s="1067" t="s">
        <v>4119</v>
      </c>
      <c r="EZ10" s="1067" t="s">
        <v>167</v>
      </c>
      <c r="FA10" s="1067" t="s">
        <v>166</v>
      </c>
      <c r="FB10" s="1067" t="s">
        <v>219</v>
      </c>
      <c r="FC10" s="1628" t="s">
        <v>3539</v>
      </c>
      <c r="FD10" s="238">
        <f>[1]!vtoloo(FD2,FD3,FD4,FD5,FD6)</f>
        <v>4.873927534315043</v>
      </c>
      <c r="FE10" s="238">
        <f>FT44</f>
        <v>4.8739275423150437</v>
      </c>
      <c r="FF10" s="243">
        <f t="shared" ref="FF10:FF11" si="49">INT(ABS(FE10))</f>
        <v>4</v>
      </c>
      <c r="FG10" s="243">
        <f t="shared" ref="FG10:FG11" si="50">INT((ABS(FE10)-FF10)*60)</f>
        <v>52</v>
      </c>
      <c r="FH10" s="243">
        <f t="shared" ref="FH10:FH11" si="51">INT((((ABS(FE10)-FF10)*60)-FG10)*60)</f>
        <v>26</v>
      </c>
      <c r="FI10" s="733">
        <f t="shared" ref="FI10:FI11" si="52">INT((((((ABS(FE10)-FF10)*60)-FG10)*60)-FH10)*60)</f>
        <v>8</v>
      </c>
      <c r="FJ10" s="1468" t="s">
        <v>1055</v>
      </c>
      <c r="FK10" s="912">
        <f>[1]!qsn(FK9,FK6)</f>
        <v>216.20918524627496</v>
      </c>
      <c r="FL10" s="437">
        <f t="shared" si="9"/>
        <v>216</v>
      </c>
      <c r="FM10" s="437">
        <f t="shared" si="10"/>
        <v>12</v>
      </c>
      <c r="FN10" s="437">
        <f t="shared" si="11"/>
        <v>33</v>
      </c>
      <c r="FO10" s="914">
        <f t="shared" si="12"/>
        <v>4</v>
      </c>
      <c r="FP10" s="797"/>
      <c r="FQ10" s="797"/>
      <c r="FR10" s="797"/>
      <c r="FS10" s="911" t="s">
        <v>1055</v>
      </c>
      <c r="FT10" s="912">
        <f>[1]!qsn(FT9,FT6)</f>
        <v>216.20918524627496</v>
      </c>
      <c r="FU10" s="437">
        <f t="shared" si="13"/>
        <v>216</v>
      </c>
      <c r="FV10" s="437">
        <f t="shared" si="14"/>
        <v>12</v>
      </c>
      <c r="FW10" s="437">
        <f t="shared" si="15"/>
        <v>33</v>
      </c>
      <c r="FX10" s="437">
        <f t="shared" si="16"/>
        <v>4</v>
      </c>
      <c r="FY10" s="911" t="s">
        <v>1056</v>
      </c>
      <c r="FZ10" s="912">
        <f>FZ9/2/15</f>
        <v>7.2069728415424983</v>
      </c>
      <c r="GA10" s="437">
        <f t="shared" si="41"/>
        <v>7</v>
      </c>
      <c r="GB10" s="437">
        <f t="shared" si="42"/>
        <v>12</v>
      </c>
      <c r="GC10" s="437">
        <f t="shared" si="43"/>
        <v>25</v>
      </c>
      <c r="GD10" s="914">
        <f t="shared" si="44"/>
        <v>6</v>
      </c>
      <c r="GE10" s="1468" t="s">
        <v>1056</v>
      </c>
      <c r="GF10" s="912">
        <f>GF9/2/15</f>
        <v>7.2069728415424983</v>
      </c>
      <c r="GG10" s="437">
        <f t="shared" si="45"/>
        <v>7</v>
      </c>
      <c r="GH10" s="437">
        <f t="shared" si="46"/>
        <v>12</v>
      </c>
      <c r="GI10" s="437">
        <f t="shared" si="47"/>
        <v>25</v>
      </c>
      <c r="GJ10" s="914">
        <f t="shared" si="48"/>
        <v>6</v>
      </c>
      <c r="GK10" s="797"/>
      <c r="GL10" s="797"/>
      <c r="GM10" s="797"/>
      <c r="GO10" s="701" t="s">
        <v>279</v>
      </c>
      <c r="GP10" s="304">
        <f>[1]!tale3(GP2,GP6,GP8,GP7)</f>
        <v>183.977294068552</v>
      </c>
      <c r="GQ10" s="437">
        <f>INT(ABS(GP10))</f>
        <v>183</v>
      </c>
      <c r="GR10" s="437">
        <f>INT((ABS(GP10)-GQ10)*60)</f>
        <v>58</v>
      </c>
      <c r="GS10" s="437">
        <f>INT((((ABS(GP10)-GQ10)*60)-GR10)*60)</f>
        <v>38</v>
      </c>
      <c r="GT10" s="914">
        <f>INT((((((ABS(GP10)-GQ10)*60)-GR10)*60)-GS10)*60)</f>
        <v>15</v>
      </c>
    </row>
    <row r="11" spans="4:202" ht="23.25">
      <c r="D11" s="169" t="s">
        <v>278</v>
      </c>
      <c r="E11" s="169" t="e">
        <f>[1]!qrk([1]!ml(E10),E5)</f>
        <v>#VALUE!</v>
      </c>
      <c r="F11" s="168" t="e">
        <f t="shared" si="5"/>
        <v>#VALUE!</v>
      </c>
      <c r="G11" s="168" t="e">
        <f t="shared" si="6"/>
        <v>#VALUE!</v>
      </c>
      <c r="H11" s="168" t="e">
        <f t="shared" si="7"/>
        <v>#VALUE!</v>
      </c>
      <c r="I11" s="168" t="e">
        <f t="shared" si="8"/>
        <v>#VALUE!</v>
      </c>
      <c r="M11" s="924" t="s">
        <v>1210</v>
      </c>
      <c r="N11" s="272" t="e">
        <f>[1]!dtl(N8,N7,N9)</f>
        <v>#VALUE!</v>
      </c>
      <c r="O11" s="214" t="e">
        <f t="shared" ref="O11:O14" si="53">INT(ABS(N11))</f>
        <v>#VALUE!</v>
      </c>
      <c r="P11" s="214" t="e">
        <f t="shared" ref="P11:P14" si="54">INT((ABS(N11)-O11)*60)</f>
        <v>#VALUE!</v>
      </c>
      <c r="Q11" s="214" t="e">
        <f t="shared" ref="Q11:Q14" si="55">INT((((ABS(N11)-O11)*60)-P11)*60)</f>
        <v>#VALUE!</v>
      </c>
      <c r="R11" s="901" t="e">
        <f t="shared" ref="R11:R14" si="56">INT((((((ABS(N11)-O11)*60)-P11)*60)-Q11)*60)</f>
        <v>#VALUE!</v>
      </c>
      <c r="U11" s="8"/>
      <c r="V11" s="8" t="s">
        <v>227</v>
      </c>
      <c r="W11" s="8" t="e">
        <f>[1]!ml(W9)</f>
        <v>#VALUE!</v>
      </c>
      <c r="X11" s="168" t="e">
        <f t="shared" si="17"/>
        <v>#VALUE!</v>
      </c>
      <c r="Y11" s="168" t="e">
        <f t="shared" si="18"/>
        <v>#VALUE!</v>
      </c>
      <c r="Z11" s="168" t="e">
        <f t="shared" si="19"/>
        <v>#VALUE!</v>
      </c>
      <c r="AA11" s="168" t="e">
        <f t="shared" si="20"/>
        <v>#VALUE!</v>
      </c>
      <c r="AH11" s="175" t="s">
        <v>177</v>
      </c>
      <c r="AI11" s="174">
        <v>35</v>
      </c>
      <c r="AJ11" s="168">
        <f t="shared" si="29"/>
        <v>35</v>
      </c>
      <c r="AK11" s="168">
        <f t="shared" si="30"/>
        <v>0</v>
      </c>
      <c r="AL11" s="168">
        <f t="shared" si="31"/>
        <v>0</v>
      </c>
      <c r="AM11" s="168">
        <f t="shared" si="32"/>
        <v>0</v>
      </c>
      <c r="AO11" s="175" t="s">
        <v>177</v>
      </c>
      <c r="AP11" s="174">
        <v>35</v>
      </c>
      <c r="AQ11" s="168">
        <f t="shared" si="33"/>
        <v>35</v>
      </c>
      <c r="AR11" s="168">
        <f t="shared" si="34"/>
        <v>0</v>
      </c>
      <c r="AS11" s="168">
        <f t="shared" si="35"/>
        <v>0</v>
      </c>
      <c r="AT11" s="168">
        <f t="shared" si="36"/>
        <v>0</v>
      </c>
      <c r="BD11" s="181" t="s">
        <v>1314</v>
      </c>
      <c r="BE11" s="3">
        <f>IF(BE8-BE10&gt;0,BE8-BE10,BE8+360-BE10)</f>
        <v>69.290768621519277</v>
      </c>
      <c r="BF11" s="187">
        <f t="shared" si="21"/>
        <v>69</v>
      </c>
      <c r="BG11" s="187">
        <f t="shared" si="22"/>
        <v>17</v>
      </c>
      <c r="BH11" s="187">
        <f t="shared" si="23"/>
        <v>26</v>
      </c>
      <c r="BI11" s="187">
        <f t="shared" si="24"/>
        <v>46</v>
      </c>
      <c r="BK11" s="3"/>
      <c r="BL11" s="183">
        <f>(((((BP11/60)+BO11)/60)+BN11)/60)+BM11</f>
        <v>2.0538888888888889</v>
      </c>
      <c r="BM11" s="3">
        <v>2</v>
      </c>
      <c r="BN11" s="3">
        <v>3</v>
      </c>
      <c r="BO11" s="3">
        <v>14</v>
      </c>
      <c r="BP11" s="3"/>
      <c r="BR11" s="3"/>
      <c r="BS11" s="3">
        <f>[1]!oujzh(BS4,BS5,BS6,BS7)</f>
        <v>314.60442173474155</v>
      </c>
      <c r="BT11" s="187">
        <f>INT(ABS(BS11))</f>
        <v>314</v>
      </c>
      <c r="BU11" s="187">
        <f>INT((ABS(BS11)-BT11)*60)</f>
        <v>36</v>
      </c>
      <c r="BV11" s="187">
        <f>INT((((ABS(BS11)-BT11)*60)-BU11)*60)</f>
        <v>15</v>
      </c>
      <c r="BW11" s="187">
        <f>INT((((((ABS(BS11)-BT11)*60)-BU11)*60)-BV11)*60)</f>
        <v>55</v>
      </c>
      <c r="BY11" s="3"/>
      <c r="BZ11" s="3"/>
      <c r="CA11" s="3"/>
      <c r="CB11" s="3"/>
      <c r="CC11" s="3"/>
      <c r="CD11" s="3"/>
      <c r="CF11" s="3"/>
      <c r="CG11" s="3"/>
      <c r="CH11" s="3"/>
      <c r="CI11" s="3"/>
      <c r="CJ11" s="3"/>
      <c r="CK11" s="3"/>
      <c r="CM11" s="3"/>
      <c r="CN11" s="3"/>
      <c r="CO11" s="3"/>
      <c r="CP11" s="3"/>
      <c r="CQ11" s="3"/>
      <c r="CR11" s="3"/>
      <c r="CU11" s="10" t="s">
        <v>1281</v>
      </c>
      <c r="CV11" s="186">
        <f>(((((CZ11/60)+CY11)/60)+CX11)/60)+CW11</f>
        <v>353.36887037037036</v>
      </c>
      <c r="CW11" s="10">
        <v>353</v>
      </c>
      <c r="CX11" s="10">
        <v>22</v>
      </c>
      <c r="CY11" s="10">
        <v>7</v>
      </c>
      <c r="CZ11" s="10">
        <v>56</v>
      </c>
      <c r="DB11" s="10"/>
      <c r="DC11" s="10">
        <f>IF(DC9&gt;DC10,DC9-DC10,DC9+360-DC10)</f>
        <v>30.625406333398757</v>
      </c>
      <c r="DD11" s="168">
        <f>INT(ABS(DC11))</f>
        <v>30</v>
      </c>
      <c r="DE11" s="168">
        <f>INT((ABS(DC11)-DD11)*60)</f>
        <v>37</v>
      </c>
      <c r="DF11" s="168">
        <f>INT((((ABS(DC11)-DD11)*60)-DE11)*60)</f>
        <v>31</v>
      </c>
      <c r="DG11" s="168">
        <f>INT((((((ABS(DC11)-DD11)*60)-DE11)*60)-DF11)*60)</f>
        <v>27</v>
      </c>
      <c r="DI11" s="10"/>
      <c r="DJ11" s="10">
        <f>IF(DJ9&gt;DJ10,DJ9-DJ10,DJ9+360-DJ10)</f>
        <v>116.93428963219904</v>
      </c>
      <c r="DK11" s="168">
        <f>INT(ABS(DJ11))</f>
        <v>116</v>
      </c>
      <c r="DL11" s="168">
        <f>INT((ABS(DJ11)-DK11)*60)</f>
        <v>56</v>
      </c>
      <c r="DM11" s="168">
        <f>INT((((ABS(DJ11)-DK11)*60)-DL11)*60)</f>
        <v>3</v>
      </c>
      <c r="DN11" s="168">
        <f>INT((((((ABS(DJ11)-DK11)*60)-DL11)*60)-DM11)*60)</f>
        <v>26</v>
      </c>
      <c r="DP11" s="10"/>
      <c r="DQ11" s="10">
        <f>IF(DQ9&gt;DQ10,DQ9-DQ10,DQ9+360-DQ10)</f>
        <v>280.63954780847052</v>
      </c>
      <c r="DR11" s="168">
        <f>INT(ABS(DQ11))</f>
        <v>280</v>
      </c>
      <c r="DS11" s="168">
        <f>INT((ABS(DQ11)-DR11)*60)</f>
        <v>38</v>
      </c>
      <c r="DT11" s="168">
        <f>INT((((ABS(DQ11)-DR11)*60)-DS11)*60)</f>
        <v>22</v>
      </c>
      <c r="DU11" s="168">
        <f>INT((((((ABS(DQ11)-DR11)*60)-DS11)*60)-DT11)*60)</f>
        <v>22</v>
      </c>
      <c r="DW11" s="10"/>
      <c r="DX11" s="10">
        <f>IF(DX9&gt;DX10,DX9-DX10,DX9+360-DX10)</f>
        <v>344.15921839789667</v>
      </c>
      <c r="DY11" s="168">
        <f>INT(ABS(DX11))</f>
        <v>344</v>
      </c>
      <c r="DZ11" s="168">
        <f>INT((ABS(DX11)-DY11)*60)</f>
        <v>9</v>
      </c>
      <c r="EA11" s="168">
        <f>INT((((ABS(DX11)-DY11)*60)-DZ11)*60)</f>
        <v>33</v>
      </c>
      <c r="EB11" s="168">
        <f>INT((((((ABS(DX11)-DY11)*60)-DZ11)*60)-EA11)*60)</f>
        <v>11</v>
      </c>
      <c r="ED11" s="10"/>
      <c r="EE11" s="10">
        <f>IF(EE9&gt;EE10,EE9-EE10,EE9+360-EE10)</f>
        <v>233.20759735653218</v>
      </c>
      <c r="EF11" s="168">
        <f>INT(ABS(EE11))</f>
        <v>233</v>
      </c>
      <c r="EG11" s="168">
        <f>INT((ABS(EE11)-EF11)*60)</f>
        <v>12</v>
      </c>
      <c r="EH11" s="168">
        <f>INT((((ABS(EE11)-EF11)*60)-EG11)*60)</f>
        <v>27</v>
      </c>
      <c r="EI11" s="168">
        <f>INT((((((ABS(EE11)-EF11)*60)-EG11)*60)-EH11)*60)</f>
        <v>21</v>
      </c>
      <c r="EL11" s="268"/>
      <c r="EM11" s="268"/>
      <c r="EN11" s="268"/>
      <c r="EO11" s="268" t="s">
        <v>3980</v>
      </c>
      <c r="EP11" s="268">
        <f>EP10-90</f>
        <v>-2.1043457986806402E-2</v>
      </c>
      <c r="EQ11" s="1458">
        <f>INT(ABS(EP11))</f>
        <v>0</v>
      </c>
      <c r="ER11" s="1458">
        <f t="shared" ref="ER11" si="57">INT((ABS(EP11)-EQ11)*60)</f>
        <v>1</v>
      </c>
      <c r="ES11" s="1458">
        <f t="shared" ref="ES11" si="58">INT((((ABS(EP11)-EQ11)*60)-ER11)*60)</f>
        <v>15</v>
      </c>
      <c r="ET11" s="1459">
        <f t="shared" ref="ET11" si="59">INT((((((ABS(EP11)-EQ11)*60)-ER11)*60)-ES11)*60)</f>
        <v>45</v>
      </c>
      <c r="EV11" s="1082" t="s">
        <v>144</v>
      </c>
      <c r="EW11" s="1636" t="s">
        <v>3870</v>
      </c>
      <c r="EX11" s="1083">
        <f>[1]!mbtool(FB11,FA11,EZ11,EY11)</f>
        <v>-7.013888888888889E-3</v>
      </c>
      <c r="EY11" s="1483">
        <v>-1</v>
      </c>
      <c r="EZ11" s="1483">
        <v>6</v>
      </c>
      <c r="FA11" s="1483">
        <v>10</v>
      </c>
      <c r="FB11" s="1483">
        <v>0</v>
      </c>
      <c r="FC11" s="1621" t="s">
        <v>3787</v>
      </c>
      <c r="FD11" s="238">
        <f>[1]!vzohr(FD2,FD3,FD4,FD5)</f>
        <v>12.130900375857541</v>
      </c>
      <c r="FE11" s="238">
        <f>FT40</f>
        <v>12.130900383857542</v>
      </c>
      <c r="FF11" s="243">
        <f t="shared" si="49"/>
        <v>12</v>
      </c>
      <c r="FG11" s="243">
        <f t="shared" si="50"/>
        <v>7</v>
      </c>
      <c r="FH11" s="243">
        <f t="shared" si="51"/>
        <v>51</v>
      </c>
      <c r="FI11" s="733">
        <f t="shared" si="52"/>
        <v>14</v>
      </c>
      <c r="FJ11" s="1468" t="s">
        <v>1056</v>
      </c>
      <c r="FK11" s="912">
        <f>FK10/2/15</f>
        <v>7.2069728415424983</v>
      </c>
      <c r="FL11" s="437">
        <f t="shared" si="9"/>
        <v>7</v>
      </c>
      <c r="FM11" s="437">
        <f t="shared" si="10"/>
        <v>12</v>
      </c>
      <c r="FN11" s="437">
        <f t="shared" si="11"/>
        <v>25</v>
      </c>
      <c r="FO11" s="914">
        <f t="shared" si="12"/>
        <v>6</v>
      </c>
      <c r="FP11" s="797"/>
      <c r="FQ11" s="797"/>
      <c r="FR11" s="797"/>
      <c r="FS11" s="911" t="s">
        <v>1056</v>
      </c>
      <c r="FT11" s="912">
        <f>FT10/2/15</f>
        <v>7.2069728415424983</v>
      </c>
      <c r="FU11" s="437">
        <f t="shared" si="13"/>
        <v>7</v>
      </c>
      <c r="FV11" s="437">
        <f t="shared" si="14"/>
        <v>12</v>
      </c>
      <c r="FW11" s="437">
        <f t="shared" si="15"/>
        <v>25</v>
      </c>
      <c r="FX11" s="437">
        <f t="shared" si="16"/>
        <v>6</v>
      </c>
      <c r="FY11" s="911" t="s">
        <v>658</v>
      </c>
      <c r="FZ11" s="304">
        <f>[1]!qrk(FZ8,FZ6)</f>
        <v>77.647726688510005</v>
      </c>
      <c r="GA11" s="437">
        <f t="shared" ref="GA11:GA12" si="60">INT(ABS(FZ11))</f>
        <v>77</v>
      </c>
      <c r="GB11" s="437">
        <f t="shared" ref="GB11:GB12" si="61">INT((ABS(FZ11)-GA11)*60)</f>
        <v>38</v>
      </c>
      <c r="GC11" s="437">
        <f t="shared" ref="GC11:GC12" si="62">INT((((ABS(FZ11)-GA11)*60)-GB11)*60)</f>
        <v>51</v>
      </c>
      <c r="GD11" s="914">
        <f t="shared" ref="GD11:GD12" si="63">INT((((((ABS(FZ11)-GA11)*60)-GB11)*60)-GC11)*60)</f>
        <v>48</v>
      </c>
      <c r="GE11" s="1468" t="s">
        <v>1323</v>
      </c>
      <c r="GF11" s="304">
        <f>[1]!taqsh(GF2,GF3,GF4+((GF10+12)/24),GF5)</f>
        <v>94.54267595114699</v>
      </c>
      <c r="GG11" s="437">
        <f t="shared" si="45"/>
        <v>94</v>
      </c>
      <c r="GH11" s="437">
        <f t="shared" si="46"/>
        <v>32</v>
      </c>
      <c r="GI11" s="437">
        <f t="shared" si="47"/>
        <v>33</v>
      </c>
      <c r="GJ11" s="914">
        <f t="shared" si="48"/>
        <v>38</v>
      </c>
      <c r="GK11" s="797"/>
      <c r="GL11" s="797"/>
      <c r="GM11" s="797"/>
      <c r="GO11" s="701"/>
      <c r="GP11" s="304"/>
      <c r="GQ11" s="437"/>
      <c r="GR11" s="437"/>
      <c r="GS11" s="437"/>
      <c r="GT11" s="914"/>
    </row>
    <row r="12" spans="4:202" ht="23.25">
      <c r="D12" s="169" t="s">
        <v>231</v>
      </c>
      <c r="E12" s="169" t="e">
        <f>[1]!arzr(E10,E9,E5)</f>
        <v>#VALUE!</v>
      </c>
      <c r="F12" s="168" t="e">
        <f t="shared" si="5"/>
        <v>#VALUE!</v>
      </c>
      <c r="G12" s="168" t="e">
        <f t="shared" si="6"/>
        <v>#VALUE!</v>
      </c>
      <c r="H12" s="168" t="e">
        <f t="shared" si="7"/>
        <v>#VALUE!</v>
      </c>
      <c r="I12" s="168" t="e">
        <f t="shared" si="8"/>
        <v>#VALUE!</v>
      </c>
      <c r="M12" s="924" t="s">
        <v>366</v>
      </c>
      <c r="N12" s="272" t="e">
        <f>[1]!mtb(N11,N9)</f>
        <v>#VALUE!</v>
      </c>
      <c r="O12" s="214" t="e">
        <f t="shared" si="53"/>
        <v>#VALUE!</v>
      </c>
      <c r="P12" s="214" t="e">
        <f t="shared" si="54"/>
        <v>#VALUE!</v>
      </c>
      <c r="Q12" s="214" t="e">
        <f t="shared" si="55"/>
        <v>#VALUE!</v>
      </c>
      <c r="R12" s="901" t="e">
        <f t="shared" si="56"/>
        <v>#VALUE!</v>
      </c>
      <c r="U12" s="8"/>
      <c r="V12" s="8" t="s">
        <v>364</v>
      </c>
      <c r="W12" s="8" t="e">
        <f>[1]!qsn(W11,W8)</f>
        <v>#VALUE!</v>
      </c>
      <c r="X12" s="168" t="e">
        <f t="shared" si="17"/>
        <v>#VALUE!</v>
      </c>
      <c r="Y12" s="168" t="e">
        <f t="shared" si="18"/>
        <v>#VALUE!</v>
      </c>
      <c r="Z12" s="168" t="e">
        <f t="shared" si="19"/>
        <v>#VALUE!</v>
      </c>
      <c r="AA12" s="168" t="e">
        <f t="shared" si="20"/>
        <v>#VALUE!</v>
      </c>
      <c r="AH12" s="175" t="s">
        <v>1055</v>
      </c>
      <c r="AI12" s="173" t="e">
        <f>[1]!qsn(AI10,AI11)</f>
        <v>#VALUE!</v>
      </c>
      <c r="AJ12" s="168" t="e">
        <f t="shared" si="29"/>
        <v>#VALUE!</v>
      </c>
      <c r="AK12" s="168" t="e">
        <f t="shared" si="30"/>
        <v>#VALUE!</v>
      </c>
      <c r="AL12" s="168" t="e">
        <f t="shared" si="31"/>
        <v>#VALUE!</v>
      </c>
      <c r="AM12" s="168" t="e">
        <f t="shared" si="32"/>
        <v>#VALUE!</v>
      </c>
      <c r="AO12" s="175" t="s">
        <v>1055</v>
      </c>
      <c r="AP12" s="173" t="e">
        <f>[1]!qsn(AP10,AP11)</f>
        <v>#VALUE!</v>
      </c>
      <c r="AQ12" s="168" t="e">
        <f t="shared" si="33"/>
        <v>#VALUE!</v>
      </c>
      <c r="AR12" s="168" t="e">
        <f t="shared" si="34"/>
        <v>#VALUE!</v>
      </c>
      <c r="AS12" s="168" t="e">
        <f t="shared" si="35"/>
        <v>#VALUE!</v>
      </c>
      <c r="AT12" s="168" t="e">
        <f t="shared" si="36"/>
        <v>#VALUE!</v>
      </c>
      <c r="AW12" s="3" t="s">
        <v>1239</v>
      </c>
      <c r="AX12" s="3">
        <v>12</v>
      </c>
      <c r="AY12" s="168">
        <f>INT(ABS(AX12))</f>
        <v>12</v>
      </c>
      <c r="AZ12" s="168">
        <f>INT((ABS(AX12)-AY12)*60)</f>
        <v>0</v>
      </c>
      <c r="BA12" s="168">
        <f>INT((((ABS(AX12)-AY12)*60)-AZ12)*60)</f>
        <v>0</v>
      </c>
      <c r="BB12" s="168">
        <f>INT((((((ABS(AX12)-AY12)*60)-AZ12)*60)-BA12)*60)</f>
        <v>0</v>
      </c>
      <c r="BD12" s="181" t="s">
        <v>1313</v>
      </c>
      <c r="BE12" s="3">
        <f>[1]!oujq(BE4,BE5,BE6,BE7)</f>
        <v>107.51501148985471</v>
      </c>
      <c r="BF12" s="187">
        <f t="shared" si="21"/>
        <v>107</v>
      </c>
      <c r="BG12" s="187">
        <f t="shared" si="22"/>
        <v>30</v>
      </c>
      <c r="BH12" s="187">
        <f t="shared" si="23"/>
        <v>54</v>
      </c>
      <c r="BI12" s="187">
        <f t="shared" si="24"/>
        <v>2</v>
      </c>
      <c r="BK12" s="181" t="s">
        <v>388</v>
      </c>
      <c r="BL12" s="3">
        <f>[1]!wasat(BL4,BL5,BL6,BL7)</f>
        <v>320.16456223598243</v>
      </c>
      <c r="BM12" s="187">
        <f t="shared" ref="BM12:BM17" si="64">INT(ABS(BL12))</f>
        <v>320</v>
      </c>
      <c r="BN12" s="187">
        <f t="shared" ref="BN12:BN17" si="65">INT((ABS(BL12)-BM12)*60)</f>
        <v>9</v>
      </c>
      <c r="BO12" s="187">
        <f t="shared" ref="BO12:BO17" si="66">INT((((ABS(BL12)-BM12)*60)-BN12)*60)</f>
        <v>52</v>
      </c>
      <c r="BP12" s="187">
        <f t="shared" ref="BP12:BP17" si="67">INT((((((ABS(BL12)-BM12)*60)-BN12)*60)-BO12)*60)</f>
        <v>25</v>
      </c>
      <c r="BR12" s="181" t="s">
        <v>1310</v>
      </c>
      <c r="BS12" s="3">
        <f>BS10</f>
        <v>332.3810660334467</v>
      </c>
      <c r="BT12" s="187">
        <f>INT(ABS(BS12))</f>
        <v>332</v>
      </c>
      <c r="BU12" s="187">
        <f>INT((ABS(BS12)-BT12)*60)</f>
        <v>22</v>
      </c>
      <c r="BV12" s="187">
        <f>INT((((ABS(BS12)-BT12)*60)-BU12)*60)</f>
        <v>51</v>
      </c>
      <c r="BW12" s="187">
        <f>INT((((((ABS(BS12)-BT12)*60)-BU12)*60)-BV12)*60)</f>
        <v>50</v>
      </c>
      <c r="BY12" s="181" t="s">
        <v>1310</v>
      </c>
      <c r="BZ12" s="3">
        <f>BZ10</f>
        <v>279.59150239885975</v>
      </c>
      <c r="CA12" s="187">
        <f>INT(ABS(BZ12))</f>
        <v>279</v>
      </c>
      <c r="CB12" s="187">
        <f>INT((ABS(BZ12)-CA12)*60)</f>
        <v>35</v>
      </c>
      <c r="CC12" s="187">
        <f>INT((((ABS(BZ12)-CA12)*60)-CB12)*60)</f>
        <v>29</v>
      </c>
      <c r="CD12" s="187">
        <f>INT((((((ABS(BZ12)-CA12)*60)-CB12)*60)-CC12)*60)</f>
        <v>24</v>
      </c>
      <c r="CF12" s="181" t="s">
        <v>1310</v>
      </c>
      <c r="CG12" s="3">
        <f>CG10</f>
        <v>116.76817342311463</v>
      </c>
      <c r="CH12" s="187">
        <f>INT(ABS(CG12))</f>
        <v>116</v>
      </c>
      <c r="CI12" s="187">
        <f>INT((ABS(CG12)-CH12)*60)</f>
        <v>46</v>
      </c>
      <c r="CJ12" s="187">
        <f>INT((((ABS(CG12)-CH12)*60)-CI12)*60)</f>
        <v>5</v>
      </c>
      <c r="CK12" s="187">
        <f>INT((((((ABS(CG12)-CH12)*60)-CI12)*60)-CJ12)*60)</f>
        <v>25</v>
      </c>
      <c r="CM12" s="181" t="s">
        <v>1310</v>
      </c>
      <c r="CN12" s="3">
        <f>CN10</f>
        <v>29.555490042514634</v>
      </c>
      <c r="CO12" s="187">
        <f>INT(ABS(CN12))</f>
        <v>29</v>
      </c>
      <c r="CP12" s="187">
        <f>INT((ABS(CN12)-CO12)*60)</f>
        <v>33</v>
      </c>
      <c r="CQ12" s="187">
        <f>INT((((ABS(CN12)-CO12)*60)-CP12)*60)</f>
        <v>19</v>
      </c>
      <c r="CR12" s="187">
        <f>INT((((((ABS(CN12)-CO12)*60)-CP12)*60)-CQ12)*60)</f>
        <v>45</v>
      </c>
      <c r="CU12" s="10" t="s">
        <v>1282</v>
      </c>
      <c r="CV12" s="10">
        <f>IF(CV10+CV11&lt;360,CV10+CV11,CV10+CV11-360)</f>
        <v>268.75598414111073</v>
      </c>
      <c r="CW12" s="168">
        <f>INT(ABS(CV12))</f>
        <v>268</v>
      </c>
      <c r="CX12" s="168">
        <f>INT((ABS(CV12)-CW12)*60)</f>
        <v>45</v>
      </c>
      <c r="CY12" s="168">
        <f>INT((((ABS(CV12)-CW12)*60)-CX12)*60)</f>
        <v>21</v>
      </c>
      <c r="CZ12" s="168">
        <f>INT((((((ABS(CV12)-CW12)*60)-CX12)*60)-CY12)*60)</f>
        <v>32</v>
      </c>
      <c r="DB12" s="10" t="s">
        <v>1283</v>
      </c>
      <c r="DC12" s="10">
        <f>IF(DC8&gt;DC9,DC8-DC9,DC8+360-DC9)</f>
        <v>14.877604602601309</v>
      </c>
      <c r="DD12" s="168">
        <f>INT(ABS(DC12))</f>
        <v>14</v>
      </c>
      <c r="DE12" s="168">
        <f>INT((ABS(DC12)-DD12)*60)</f>
        <v>52</v>
      </c>
      <c r="DF12" s="168">
        <f>INT((((ABS(DC12)-DD12)*60)-DE12)*60)</f>
        <v>39</v>
      </c>
      <c r="DG12" s="168">
        <f>INT((((((ABS(DC12)-DD12)*60)-DE12)*60)-DF12)*60)</f>
        <v>22</v>
      </c>
      <c r="DI12" s="10" t="s">
        <v>1283</v>
      </c>
      <c r="DJ12" s="10">
        <f>IF(DJ8&gt;DJ9,DJ8-DJ9,DJ8+360-DJ9)</f>
        <v>6.4276694578876459</v>
      </c>
      <c r="DK12" s="168">
        <f>INT(ABS(DJ12))</f>
        <v>6</v>
      </c>
      <c r="DL12" s="168">
        <f>INT((ABS(DJ12)-DK12)*60)</f>
        <v>25</v>
      </c>
      <c r="DM12" s="168">
        <f>INT((((ABS(DJ12)-DK12)*60)-DL12)*60)</f>
        <v>39</v>
      </c>
      <c r="DN12" s="168">
        <f>INT((((((ABS(DJ12)-DK12)*60)-DL12)*60)-DM12)*60)</f>
        <v>36</v>
      </c>
      <c r="DP12" s="10" t="s">
        <v>1283</v>
      </c>
      <c r="DQ12" s="10">
        <f>IF(DQ8&gt;DQ9,DQ8-DQ9,DQ8+360-DQ9)</f>
        <v>244.8833047964448</v>
      </c>
      <c r="DR12" s="168">
        <f>INT(ABS(DQ12))</f>
        <v>244</v>
      </c>
      <c r="DS12" s="168">
        <f>INT((ABS(DQ12)-DR12)*60)</f>
        <v>52</v>
      </c>
      <c r="DT12" s="168">
        <f>INT((((ABS(DQ12)-DR12)*60)-DS12)*60)</f>
        <v>59</v>
      </c>
      <c r="DU12" s="168">
        <f>INT((((((ABS(DQ12)-DR12)*60)-DS12)*60)-DT12)*60)</f>
        <v>53</v>
      </c>
      <c r="DW12" s="10" t="s">
        <v>1283</v>
      </c>
      <c r="DX12" s="10">
        <f>IF(DX8&gt;DX9,DX8-DX9,DX8+360-DX9)</f>
        <v>23.278322419343453</v>
      </c>
      <c r="DY12" s="168">
        <f>INT(ABS(DX12))</f>
        <v>23</v>
      </c>
      <c r="DZ12" s="168">
        <f>INT((ABS(DX12)-DY12)*60)</f>
        <v>16</v>
      </c>
      <c r="EA12" s="168">
        <f>INT((((ABS(DX12)-DY12)*60)-DZ12)*60)</f>
        <v>41</v>
      </c>
      <c r="EB12" s="168">
        <f>INT((((((ABS(DX12)-DY12)*60)-DZ12)*60)-EA12)*60)</f>
        <v>57</v>
      </c>
      <c r="ED12" s="10" t="s">
        <v>1283</v>
      </c>
      <c r="EE12" s="10">
        <f>IF(EE8&gt;EE9,EE8-EE9,EE8+360-EE9)</f>
        <v>186.99204265760443</v>
      </c>
      <c r="EF12" s="168">
        <f>INT(ABS(EE12))</f>
        <v>186</v>
      </c>
      <c r="EG12" s="168">
        <f>INT((ABS(EE12)-EF12)*60)</f>
        <v>59</v>
      </c>
      <c r="EH12" s="168">
        <f>INT((((ABS(EE12)-EF12)*60)-EG12)*60)</f>
        <v>31</v>
      </c>
      <c r="EI12" s="168">
        <f>INT((((((ABS(EE12)-EF12)*60)-EG12)*60)-EH12)*60)</f>
        <v>21</v>
      </c>
      <c r="EL12" s="268"/>
      <c r="EM12" s="268"/>
      <c r="EN12" s="268"/>
      <c r="EO12" s="268"/>
      <c r="EP12" s="268">
        <f>EP8/EP2</f>
        <v>7.1539973463928606E-4</v>
      </c>
      <c r="EQ12" s="1458">
        <f>INT(ABS(EP12))</f>
        <v>0</v>
      </c>
      <c r="ER12" s="1458">
        <f t="shared" ref="ER12" si="68">INT((ABS(EP12)-EQ12)*60)</f>
        <v>0</v>
      </c>
      <c r="ES12" s="1458">
        <f t="shared" ref="ES12" si="69">INT((((ABS(EP12)-EQ12)*60)-ER12)*60)</f>
        <v>2</v>
      </c>
      <c r="ET12" s="1459">
        <f t="shared" ref="ET12" si="70">INT((((((ABS(EP12)-EQ12)*60)-ER12)*60)-ES12)*60)</f>
        <v>34</v>
      </c>
      <c r="EV12" s="1082"/>
      <c r="EW12" s="1636"/>
      <c r="EX12" s="1083">
        <f>EX11*24</f>
        <v>-0.16833333333333333</v>
      </c>
      <c r="EY12" s="1083"/>
      <c r="EZ12" s="1083"/>
      <c r="FA12" s="1083"/>
      <c r="FB12" s="1083"/>
      <c r="FC12" s="1621" t="s">
        <v>4106</v>
      </c>
      <c r="FD12" s="238">
        <f>[1]!vasr(FD2,FD3,FD4,FD5,FD6)</f>
        <v>15.950666679001792</v>
      </c>
      <c r="FE12" s="238">
        <f>GP26</f>
        <v>15.950666687001792</v>
      </c>
      <c r="FF12" s="243">
        <f t="shared" ref="FF12" si="71">INT(ABS(FE12))</f>
        <v>15</v>
      </c>
      <c r="FG12" s="243">
        <f t="shared" ref="FG12" si="72">INT((ABS(FE12)-FF12)*60)</f>
        <v>57</v>
      </c>
      <c r="FH12" s="243">
        <f t="shared" ref="FH12" si="73">INT((((ABS(FE12)-FF12)*60)-FG12)*60)</f>
        <v>2</v>
      </c>
      <c r="FI12" s="733">
        <f t="shared" ref="FI12" si="74">INT((((((ABS(FE12)-FF12)*60)-FG12)*60)-FH12)*60)</f>
        <v>24</v>
      </c>
      <c r="FJ12" s="1468" t="s">
        <v>1229</v>
      </c>
      <c r="FK12" s="304">
        <f>[1]!taqsh(FK2,FK3,FK4+(FK11/24),FK5)</f>
        <v>94.106868360282547</v>
      </c>
      <c r="FL12" s="437">
        <f t="shared" si="9"/>
        <v>94</v>
      </c>
      <c r="FM12" s="437">
        <f t="shared" si="10"/>
        <v>6</v>
      </c>
      <c r="FN12" s="437">
        <f t="shared" si="11"/>
        <v>24</v>
      </c>
      <c r="FO12" s="914">
        <f t="shared" si="12"/>
        <v>43</v>
      </c>
      <c r="FP12" s="797"/>
      <c r="FQ12" s="797"/>
      <c r="FR12" s="797"/>
      <c r="FS12" s="911" t="s">
        <v>1229</v>
      </c>
      <c r="FT12" s="304">
        <f>[1]!taqsh(FT2,FT3,FT4+(FT11/24),FT5)</f>
        <v>94.106868360282547</v>
      </c>
      <c r="FU12" s="437">
        <f t="shared" si="13"/>
        <v>94</v>
      </c>
      <c r="FV12" s="437">
        <f t="shared" si="14"/>
        <v>6</v>
      </c>
      <c r="FW12" s="437">
        <f t="shared" si="15"/>
        <v>24</v>
      </c>
      <c r="FX12" s="437">
        <f t="shared" si="16"/>
        <v>43</v>
      </c>
      <c r="FY12" s="701" t="s">
        <v>3786</v>
      </c>
      <c r="FZ12" s="304">
        <f>[1]!ctn(FZ11)</f>
        <v>13.13946986298877</v>
      </c>
      <c r="GA12" s="437">
        <f t="shared" si="60"/>
        <v>13</v>
      </c>
      <c r="GB12" s="437">
        <f t="shared" si="61"/>
        <v>8</v>
      </c>
      <c r="GC12" s="437">
        <f t="shared" si="62"/>
        <v>22</v>
      </c>
      <c r="GD12" s="914">
        <f t="shared" si="63"/>
        <v>5</v>
      </c>
      <c r="GE12" s="1468" t="s">
        <v>1325</v>
      </c>
      <c r="GF12" s="915">
        <f>GK14</f>
        <v>1.6666666666666666E-2</v>
      </c>
      <c r="GG12" s="437">
        <f t="shared" si="45"/>
        <v>0</v>
      </c>
      <c r="GH12" s="437">
        <f t="shared" si="46"/>
        <v>1</v>
      </c>
      <c r="GI12" s="437">
        <f t="shared" si="47"/>
        <v>0</v>
      </c>
      <c r="GJ12" s="914">
        <f t="shared" si="48"/>
        <v>0</v>
      </c>
      <c r="GK12" s="10">
        <f>4/60</f>
        <v>6.6666666666666666E-2</v>
      </c>
      <c r="GL12" s="10">
        <v>18</v>
      </c>
      <c r="GM12" s="797"/>
      <c r="GO12" s="701" t="s">
        <v>297</v>
      </c>
      <c r="GP12" s="304">
        <f>[1]!ertaztale(GP2,GP6,GP9,GP8,GP10)</f>
        <v>77.632763797640095</v>
      </c>
      <c r="GQ12" s="437">
        <f>INT(ABS(GP12))</f>
        <v>77</v>
      </c>
      <c r="GR12" s="437">
        <f>INT((ABS(GP12)-GQ12)*60)</f>
        <v>37</v>
      </c>
      <c r="GS12" s="437">
        <f>INT((((ABS(GP12)-GQ12)*60)-GR12)*60)</f>
        <v>57</v>
      </c>
      <c r="GT12" s="914">
        <f>INT((((((ABS(GP12)-GQ12)*60)-GR12)*60)-GS12)*60)</f>
        <v>56</v>
      </c>
    </row>
    <row r="13" spans="4:202" ht="23.25">
      <c r="D13" s="169" t="s">
        <v>1200</v>
      </c>
      <c r="E13" s="169" t="e">
        <f>90-E12</f>
        <v>#VALUE!</v>
      </c>
      <c r="F13" s="168" t="e">
        <f t="shared" si="5"/>
        <v>#VALUE!</v>
      </c>
      <c r="G13" s="168" t="e">
        <f t="shared" si="6"/>
        <v>#VALUE!</v>
      </c>
      <c r="H13" s="168" t="e">
        <f t="shared" si="7"/>
        <v>#VALUE!</v>
      </c>
      <c r="I13" s="168" t="e">
        <f t="shared" si="8"/>
        <v>#VALUE!</v>
      </c>
      <c r="M13" s="924" t="s">
        <v>1206</v>
      </c>
      <c r="N13" s="272" t="e">
        <f>[1]!mtb(N10,N9)</f>
        <v>#VALUE!</v>
      </c>
      <c r="O13" s="214" t="e">
        <f t="shared" si="53"/>
        <v>#VALUE!</v>
      </c>
      <c r="P13" s="214" t="e">
        <f t="shared" si="54"/>
        <v>#VALUE!</v>
      </c>
      <c r="Q13" s="214" t="e">
        <f t="shared" si="55"/>
        <v>#VALUE!</v>
      </c>
      <c r="R13" s="901" t="e">
        <f t="shared" si="56"/>
        <v>#VALUE!</v>
      </c>
      <c r="U13" s="8"/>
      <c r="V13" s="8" t="s">
        <v>1228</v>
      </c>
      <c r="W13" s="8" t="e">
        <f>W12/2/15</f>
        <v>#VALUE!</v>
      </c>
      <c r="X13" s="168" t="e">
        <f t="shared" si="17"/>
        <v>#VALUE!</v>
      </c>
      <c r="Y13" s="168" t="e">
        <f t="shared" si="18"/>
        <v>#VALUE!</v>
      </c>
      <c r="Z13" s="168" t="e">
        <f t="shared" si="19"/>
        <v>#VALUE!</v>
      </c>
      <c r="AA13" s="168" t="e">
        <f t="shared" si="20"/>
        <v>#VALUE!</v>
      </c>
      <c r="AH13" s="175" t="s">
        <v>1056</v>
      </c>
      <c r="AI13" s="173" t="e">
        <f>AI12/2/15</f>
        <v>#VALUE!</v>
      </c>
      <c r="AJ13" s="168" t="e">
        <f t="shared" si="29"/>
        <v>#VALUE!</v>
      </c>
      <c r="AK13" s="168" t="e">
        <f t="shared" si="30"/>
        <v>#VALUE!</v>
      </c>
      <c r="AL13" s="168" t="e">
        <f t="shared" si="31"/>
        <v>#VALUE!</v>
      </c>
      <c r="AM13" s="168" t="e">
        <f t="shared" si="32"/>
        <v>#VALUE!</v>
      </c>
      <c r="AO13" s="175" t="s">
        <v>1056</v>
      </c>
      <c r="AP13" s="173" t="e">
        <f>AP12/2/15</f>
        <v>#VALUE!</v>
      </c>
      <c r="AQ13" s="168" t="e">
        <f t="shared" si="33"/>
        <v>#VALUE!</v>
      </c>
      <c r="AR13" s="168" t="e">
        <f t="shared" si="34"/>
        <v>#VALUE!</v>
      </c>
      <c r="AS13" s="168" t="e">
        <f t="shared" si="35"/>
        <v>#VALUE!</v>
      </c>
      <c r="AT13" s="168" t="e">
        <f t="shared" si="36"/>
        <v>#VALUE!</v>
      </c>
      <c r="AW13" s="3" t="s">
        <v>1240</v>
      </c>
      <c r="AX13" s="183">
        <f>(((((BB13/60)+BA13)/60)+AZ13)/60)+AY13</f>
        <v>1.9255555555555555</v>
      </c>
      <c r="AY13" s="3">
        <v>1</v>
      </c>
      <c r="AZ13" s="3">
        <v>55</v>
      </c>
      <c r="BA13" s="3">
        <v>32</v>
      </c>
      <c r="BB13" s="3">
        <v>0</v>
      </c>
      <c r="BD13" s="181" t="s">
        <v>1310</v>
      </c>
      <c r="BE13" s="3">
        <f>IF(BE9+BE11&lt;360,BE9+BE11,BE9+BE11-360)</f>
        <v>171.00462588464219</v>
      </c>
      <c r="BF13" s="187">
        <f t="shared" si="21"/>
        <v>171</v>
      </c>
      <c r="BG13" s="187">
        <f t="shared" si="22"/>
        <v>0</v>
      </c>
      <c r="BH13" s="187">
        <f t="shared" si="23"/>
        <v>16</v>
      </c>
      <c r="BI13" s="187">
        <f t="shared" si="24"/>
        <v>39</v>
      </c>
      <c r="BK13" s="181" t="s">
        <v>1289</v>
      </c>
      <c r="BL13" s="3">
        <f>IF(BL12-BL11&gt;0,BL12-BL11,BL12-BL11+360)</f>
        <v>318.11067334709355</v>
      </c>
      <c r="BM13" s="187">
        <f t="shared" si="64"/>
        <v>318</v>
      </c>
      <c r="BN13" s="187">
        <f t="shared" si="65"/>
        <v>6</v>
      </c>
      <c r="BO13" s="187">
        <f t="shared" si="66"/>
        <v>38</v>
      </c>
      <c r="BP13" s="187">
        <f t="shared" si="67"/>
        <v>25</v>
      </c>
      <c r="BR13" s="3" t="s">
        <v>1240</v>
      </c>
      <c r="BS13" s="183">
        <f>(((((BW13/60)+BV13)/60)+BU13)/60)+BT13</f>
        <v>0.9555555555555556</v>
      </c>
      <c r="BT13" s="3">
        <v>0</v>
      </c>
      <c r="BU13" s="3">
        <v>57</v>
      </c>
      <c r="BV13" s="3">
        <v>20</v>
      </c>
      <c r="BW13" s="3">
        <v>0</v>
      </c>
      <c r="BY13" s="3" t="s">
        <v>1240</v>
      </c>
      <c r="BZ13" s="183">
        <f>(((((CD13/60)+CC13)/60)+CB13)/60)+CA13</f>
        <v>5.7391666666666667</v>
      </c>
      <c r="CA13" s="3">
        <v>5</v>
      </c>
      <c r="CB13" s="3">
        <v>44</v>
      </c>
      <c r="CC13" s="3">
        <v>21</v>
      </c>
      <c r="CD13" s="3">
        <v>0</v>
      </c>
      <c r="CF13" s="3" t="s">
        <v>1240</v>
      </c>
      <c r="CG13" s="183">
        <f>(((((CK13/60)+CJ13)/60)+CI13)/60)+CH13</f>
        <v>2.5633333333333335</v>
      </c>
      <c r="CH13" s="3">
        <v>2</v>
      </c>
      <c r="CI13" s="3">
        <v>33</v>
      </c>
      <c r="CJ13" s="3">
        <v>48</v>
      </c>
      <c r="CK13" s="3">
        <v>0</v>
      </c>
      <c r="CM13" s="3" t="s">
        <v>1240</v>
      </c>
      <c r="CN13" s="183">
        <f>(((((CR13/60)+CQ13)/60)+CP13)/60)+CO13</f>
        <v>3.3280555555555553</v>
      </c>
      <c r="CO13" s="3">
        <v>3</v>
      </c>
      <c r="CP13" s="3">
        <v>19</v>
      </c>
      <c r="CQ13" s="3">
        <v>41</v>
      </c>
      <c r="CR13" s="3">
        <v>0</v>
      </c>
      <c r="CU13" s="10" t="s">
        <v>1285</v>
      </c>
      <c r="CV13" s="10">
        <f>[1]!tadq1(CV8,CV9)</f>
        <v>4.0591350636832307E-4</v>
      </c>
      <c r="CW13" s="168">
        <f>INT(ABS(CV13))</f>
        <v>0</v>
      </c>
      <c r="CX13" s="168">
        <f>INT((ABS(CV13)-CW13)*60)</f>
        <v>0</v>
      </c>
      <c r="CY13" s="168">
        <f>INT((((ABS(CV13)-CW13)*60)-CX13)*60)</f>
        <v>1</v>
      </c>
      <c r="CZ13" s="168">
        <f>INT((((((ABS(CV13)-CW13)*60)-CX13)*60)-CY13)*60)</f>
        <v>27</v>
      </c>
      <c r="DB13" s="10" t="s">
        <v>1303</v>
      </c>
      <c r="DC13" s="186">
        <f>(((((DG13/60)+DF13)/60)+DE13)/60)+DD13</f>
        <v>207.31716203703704</v>
      </c>
      <c r="DD13" s="10">
        <v>207</v>
      </c>
      <c r="DE13" s="10">
        <v>19</v>
      </c>
      <c r="DF13" s="10">
        <v>1</v>
      </c>
      <c r="DG13" s="10">
        <v>47</v>
      </c>
      <c r="DI13" s="10" t="s">
        <v>1304</v>
      </c>
      <c r="DJ13" s="186">
        <f>(((((DN13/60)+DM13)/60)+DL13)/60)+DK13</f>
        <v>327.31976851851852</v>
      </c>
      <c r="DK13" s="10">
        <v>327</v>
      </c>
      <c r="DL13" s="10">
        <v>19</v>
      </c>
      <c r="DM13" s="10">
        <v>11</v>
      </c>
      <c r="DN13" s="10">
        <v>10</v>
      </c>
      <c r="DP13" s="10" t="s">
        <v>1302</v>
      </c>
      <c r="DQ13" s="186">
        <f>(((((DU13/60)+DT13)/60)+DS13)/60)+DR13</f>
        <v>253.86401388888888</v>
      </c>
      <c r="DR13" s="10">
        <v>253</v>
      </c>
      <c r="DS13" s="10">
        <v>51</v>
      </c>
      <c r="DT13" s="10">
        <v>50</v>
      </c>
      <c r="DU13" s="10">
        <v>27</v>
      </c>
      <c r="DW13" s="10" t="s">
        <v>1300</v>
      </c>
      <c r="DX13" s="186">
        <f>(((((EB13/60)+EA13)/60)+DZ13)/60)+DY13</f>
        <v>261.83761111111113</v>
      </c>
      <c r="DY13" s="10">
        <v>261</v>
      </c>
      <c r="DZ13" s="10">
        <v>50</v>
      </c>
      <c r="EA13" s="10">
        <v>15</v>
      </c>
      <c r="EB13" s="10">
        <v>24</v>
      </c>
      <c r="ED13" s="10" t="s">
        <v>1301</v>
      </c>
      <c r="EE13" s="186">
        <f>(((((EI13/60)+EH13)/60)+EG13)/60)+EF13</f>
        <v>324.06364814814816</v>
      </c>
      <c r="EF13" s="10">
        <v>324</v>
      </c>
      <c r="EG13" s="10">
        <v>3</v>
      </c>
      <c r="EH13" s="10">
        <v>49</v>
      </c>
      <c r="EI13" s="10">
        <v>8</v>
      </c>
      <c r="EL13" s="268"/>
      <c r="EM13" s="268"/>
      <c r="EN13" s="268"/>
      <c r="EO13" s="268"/>
      <c r="EP13" s="268">
        <f>[1]!asn(EP12*60)</f>
        <v>4.0989388955983523E-2</v>
      </c>
      <c r="EQ13" s="1458">
        <f>INT(ABS(EP13))</f>
        <v>0</v>
      </c>
      <c r="ER13" s="1458">
        <f t="shared" ref="ER13" si="75">INT((ABS(EP13)-EQ13)*60)</f>
        <v>2</v>
      </c>
      <c r="ES13" s="1458">
        <f t="shared" ref="ES13" si="76">INT((((ABS(EP13)-EQ13)*60)-ER13)*60)</f>
        <v>27</v>
      </c>
      <c r="ET13" s="1459">
        <f t="shared" ref="ET13" si="77">INT((((((ABS(EP13)-EQ13)*60)-ER13)*60)-ES13)*60)</f>
        <v>33</v>
      </c>
      <c r="EV13" s="1082"/>
      <c r="EW13" s="1636"/>
      <c r="EX13" s="1083">
        <f>EX12*15</f>
        <v>-2.5249999999999999</v>
      </c>
      <c r="EY13" s="1083"/>
      <c r="EZ13" s="1083"/>
      <c r="FA13" s="1083"/>
      <c r="FB13" s="1083"/>
      <c r="FC13" s="1621" t="s">
        <v>4107</v>
      </c>
      <c r="FD13" s="4">
        <f>[1]!ventehaasr(FD2,FD3,FD4,FD5,FD6)</f>
        <v>17.202582142276157</v>
      </c>
      <c r="FE13" s="4">
        <f>FD13</f>
        <v>17.202582142276157</v>
      </c>
      <c r="FF13" s="243">
        <f t="shared" ref="FF13" si="78">INT(ABS(FE13))</f>
        <v>17</v>
      </c>
      <c r="FG13" s="243">
        <f t="shared" ref="FG13" si="79">INT((ABS(FE13)-FF13)*60)</f>
        <v>12</v>
      </c>
      <c r="FH13" s="243">
        <f t="shared" ref="FH13" si="80">INT((((ABS(FE13)-FF13)*60)-FG13)*60)</f>
        <v>9</v>
      </c>
      <c r="FI13" s="733">
        <f t="shared" ref="FI13" si="81">INT((((((ABS(FE13)-FF13)*60)-FG13)*60)-FH13)*60)</f>
        <v>17</v>
      </c>
      <c r="FJ13" s="1468" t="s">
        <v>3988</v>
      </c>
      <c r="FK13" s="915">
        <f>FQ16</f>
        <v>5.5555555555555552E-2</v>
      </c>
      <c r="FL13" s="437">
        <f t="shared" si="9"/>
        <v>0</v>
      </c>
      <c r="FM13" s="437">
        <f t="shared" si="10"/>
        <v>3</v>
      </c>
      <c r="FN13" s="437">
        <f t="shared" si="11"/>
        <v>20</v>
      </c>
      <c r="FO13" s="914">
        <f t="shared" si="12"/>
        <v>-1</v>
      </c>
      <c r="FQ13" s="797" t="s">
        <v>4215</v>
      </c>
      <c r="FR13" t="s">
        <v>4214</v>
      </c>
      <c r="FS13" s="911" t="s">
        <v>3988</v>
      </c>
      <c r="FT13" s="915">
        <f>FQ15</f>
        <v>6.4444444444444443E-2</v>
      </c>
      <c r="FU13" s="437">
        <f t="shared" si="13"/>
        <v>0</v>
      </c>
      <c r="FV13" s="437">
        <f t="shared" si="14"/>
        <v>3</v>
      </c>
      <c r="FW13" s="437">
        <f t="shared" si="15"/>
        <v>52</v>
      </c>
      <c r="FX13" s="437">
        <f t="shared" si="16"/>
        <v>0</v>
      </c>
      <c r="FY13" s="701" t="s">
        <v>367</v>
      </c>
      <c r="FZ13" s="304">
        <f>60-[1]!csn(FZ9/2)</f>
        <v>78.645157112824933</v>
      </c>
      <c r="GA13" s="437">
        <f t="shared" ref="GA13:GA25" si="82">INT(ABS(FZ13))</f>
        <v>78</v>
      </c>
      <c r="GB13" s="437">
        <f t="shared" ref="GB13:GB25" si="83">INT((ABS(FZ13)-GA13)*60)</f>
        <v>38</v>
      </c>
      <c r="GC13" s="437">
        <f t="shared" ref="GC13:GC25" si="84">INT((((ABS(FZ13)-GA13)*60)-GB13)*60)</f>
        <v>42</v>
      </c>
      <c r="GD13" s="914">
        <f t="shared" ref="GD13:GD25" si="85">INT((((((ABS(FZ13)-GA13)*60)-GB13)*60)-GC13)*60)</f>
        <v>33</v>
      </c>
      <c r="GE13" s="1468" t="s">
        <v>1324</v>
      </c>
      <c r="GF13" s="304">
        <f>GF11+GF12</f>
        <v>94.559342617813655</v>
      </c>
      <c r="GG13" s="437">
        <f t="shared" si="45"/>
        <v>94</v>
      </c>
      <c r="GH13" s="437">
        <f t="shared" si="46"/>
        <v>33</v>
      </c>
      <c r="GI13" s="437">
        <f t="shared" si="47"/>
        <v>33</v>
      </c>
      <c r="GJ13" s="914">
        <f t="shared" si="48"/>
        <v>38</v>
      </c>
      <c r="GK13" s="10" t="s">
        <v>1327</v>
      </c>
      <c r="GL13" s="10">
        <v>4.5</v>
      </c>
      <c r="GM13" s="797" t="s">
        <v>1328</v>
      </c>
      <c r="GO13" s="701" t="s">
        <v>2150</v>
      </c>
      <c r="GP13" s="304">
        <f>IF(GQ13="شرقی",1,2)</f>
        <v>2</v>
      </c>
      <c r="GQ13" s="304" t="s">
        <v>4014</v>
      </c>
      <c r="GR13" s="304"/>
      <c r="GS13" s="304"/>
      <c r="GT13" s="314"/>
    </row>
    <row r="14" spans="4:202" ht="24" thickBot="1">
      <c r="D14" s="169" t="s">
        <v>1201</v>
      </c>
      <c r="E14" s="167">
        <f>((G14)/60)+F14</f>
        <v>11.133333333333333</v>
      </c>
      <c r="F14" s="171">
        <v>11</v>
      </c>
      <c r="G14" s="171">
        <v>8</v>
      </c>
      <c r="H14" s="170"/>
      <c r="I14" s="170"/>
      <c r="M14" s="924" t="s">
        <v>1207</v>
      </c>
      <c r="N14" s="272" t="e">
        <f>[1]!mtb(IF(N10&lt;180,N10+180,N10-180),N9)</f>
        <v>#VALUE!</v>
      </c>
      <c r="O14" s="214" t="e">
        <f t="shared" si="53"/>
        <v>#VALUE!</v>
      </c>
      <c r="P14" s="214" t="e">
        <f t="shared" si="54"/>
        <v>#VALUE!</v>
      </c>
      <c r="Q14" s="214" t="e">
        <f t="shared" si="55"/>
        <v>#VALUE!</v>
      </c>
      <c r="R14" s="901" t="e">
        <f t="shared" si="56"/>
        <v>#VALUE!</v>
      </c>
      <c r="U14" s="8"/>
      <c r="V14" s="8" t="s">
        <v>1229</v>
      </c>
      <c r="W14" s="8" t="e">
        <f>[1]!taqsh(W3,W4,W5-(W13/24),0)</f>
        <v>#VALUE!</v>
      </c>
      <c r="X14" s="168" t="e">
        <f t="shared" si="17"/>
        <v>#VALUE!</v>
      </c>
      <c r="Y14" s="168" t="e">
        <f t="shared" si="18"/>
        <v>#VALUE!</v>
      </c>
      <c r="Z14" s="168" t="e">
        <f t="shared" si="19"/>
        <v>#VALUE!</v>
      </c>
      <c r="AA14" s="168" t="e">
        <f t="shared" si="20"/>
        <v>#VALUE!</v>
      </c>
      <c r="AH14" s="175" t="s">
        <v>1234</v>
      </c>
      <c r="AI14" s="173" t="e">
        <f>AI13+AI8</f>
        <v>#VALUE!</v>
      </c>
      <c r="AJ14" s="168" t="e">
        <f t="shared" si="29"/>
        <v>#VALUE!</v>
      </c>
      <c r="AK14" s="168" t="e">
        <f t="shared" si="30"/>
        <v>#VALUE!</v>
      </c>
      <c r="AL14" s="168" t="e">
        <f t="shared" si="31"/>
        <v>#VALUE!</v>
      </c>
      <c r="AM14" s="168" t="e">
        <f t="shared" si="32"/>
        <v>#VALUE!</v>
      </c>
      <c r="AO14" s="175" t="s">
        <v>1234</v>
      </c>
      <c r="AP14" s="173" t="e">
        <f>AP13+AP8</f>
        <v>#VALUE!</v>
      </c>
      <c r="AQ14" s="168" t="e">
        <f t="shared" si="33"/>
        <v>#VALUE!</v>
      </c>
      <c r="AR14" s="168" t="e">
        <f t="shared" si="34"/>
        <v>#VALUE!</v>
      </c>
      <c r="AS14" s="168" t="e">
        <f t="shared" si="35"/>
        <v>#VALUE!</v>
      </c>
      <c r="AT14" s="168" t="e">
        <f t="shared" si="36"/>
        <v>#VALUE!</v>
      </c>
      <c r="AW14" s="3" t="s">
        <v>1244</v>
      </c>
      <c r="AX14" s="3">
        <f>[1]!oujsh(AX4,AX5,AX6,AX7)</f>
        <v>103.59659119703252</v>
      </c>
      <c r="AY14" s="168">
        <f>INT(ABS(AX14))</f>
        <v>103</v>
      </c>
      <c r="AZ14" s="168">
        <f>INT((ABS(AX14)-AY14)*60)</f>
        <v>35</v>
      </c>
      <c r="BA14" s="168">
        <f>INT((((ABS(AX14)-AY14)*60)-AZ14)*60)</f>
        <v>47</v>
      </c>
      <c r="BB14" s="168">
        <f>INT((((((ABS(AX14)-AY14)*60)-AZ14)*60)-BA14)*60)</f>
        <v>43</v>
      </c>
      <c r="BD14" s="3" t="s">
        <v>1239</v>
      </c>
      <c r="BE14" s="3">
        <f>BE13</f>
        <v>171.00462588464219</v>
      </c>
      <c r="BF14" s="187">
        <f>INT(ABS(BE14))</f>
        <v>171</v>
      </c>
      <c r="BG14" s="187">
        <f>INT((ABS(BE14)-BF14)*60)</f>
        <v>0</v>
      </c>
      <c r="BH14" s="187">
        <f>INT((((ABS(BE14)-BF14)*60)-BG14)*60)</f>
        <v>16</v>
      </c>
      <c r="BI14" s="187">
        <f>INT((((((ABS(BE14)-BF14)*60)-BG14)*60)-BH14)*60)</f>
        <v>39</v>
      </c>
      <c r="BK14" s="181" t="s">
        <v>250</v>
      </c>
      <c r="BL14" s="3">
        <f>IF(BL13-BL10&gt;0,BL13-BL10,BL13-BL10+30)</f>
        <v>94.770748816727689</v>
      </c>
      <c r="BM14" s="187">
        <f t="shared" si="64"/>
        <v>94</v>
      </c>
      <c r="BN14" s="187">
        <f t="shared" si="65"/>
        <v>46</v>
      </c>
      <c r="BO14" s="187">
        <f t="shared" si="66"/>
        <v>14</v>
      </c>
      <c r="BP14" s="187">
        <f t="shared" si="67"/>
        <v>41</v>
      </c>
      <c r="BR14" s="3" t="s">
        <v>1255</v>
      </c>
      <c r="BS14" s="3">
        <f>[1]!oujzh(BS4,BS5,BS6,BS7)</f>
        <v>314.60442173474155</v>
      </c>
      <c r="BT14" s="187">
        <f>INT(ABS(BS14))</f>
        <v>314</v>
      </c>
      <c r="BU14" s="187">
        <f>INT((ABS(BS14)-BT14)*60)</f>
        <v>36</v>
      </c>
      <c r="BV14" s="187">
        <f>INT((((ABS(BS14)-BT14)*60)-BU14)*60)</f>
        <v>15</v>
      </c>
      <c r="BW14" s="187">
        <f>INT((((((ABS(BS14)-BT14)*60)-BU14)*60)-BV14)*60)</f>
        <v>55</v>
      </c>
      <c r="BY14" s="3" t="s">
        <v>1256</v>
      </c>
      <c r="BZ14" s="3">
        <f>[1]!oujmer(BZ4,BZ5,BZ6,BZ7)</f>
        <v>156.51913975433018</v>
      </c>
      <c r="CA14" s="187">
        <f>INT(ABS(BZ14))</f>
        <v>156</v>
      </c>
      <c r="CB14" s="187">
        <f>INT((ABS(BZ14)-CA14)*60)</f>
        <v>31</v>
      </c>
      <c r="CC14" s="187">
        <f>INT((((ABS(BZ14)-CA14)*60)-CB14)*60)</f>
        <v>8</v>
      </c>
      <c r="CD14" s="187">
        <f>INT((((((ABS(BZ14)-CA14)*60)-CB14)*60)-CC14)*60)</f>
        <v>54</v>
      </c>
      <c r="CF14" s="3" t="s">
        <v>1257</v>
      </c>
      <c r="CG14" s="3">
        <f>[1]!oujmosh(CG4,CG5,CG6,CG7)</f>
        <v>198.6799910827269</v>
      </c>
      <c r="CH14" s="187">
        <f>INT(ABS(CG14))</f>
        <v>198</v>
      </c>
      <c r="CI14" s="187">
        <f>INT((ABS(CG14)-CH14)*60)</f>
        <v>40</v>
      </c>
      <c r="CJ14" s="187">
        <f>INT((((ABS(CG14)-CH14)*60)-CI14)*60)</f>
        <v>47</v>
      </c>
      <c r="CK14" s="187">
        <f>INT((((((ABS(CG14)-CH14)*60)-CI14)*60)-CJ14)*60)</f>
        <v>58</v>
      </c>
      <c r="CM14" s="3" t="s">
        <v>1258</v>
      </c>
      <c r="CN14" s="3">
        <f>[1]!oujzo(CN4,CN5,CN6,CN7)</f>
        <v>276.53708558926598</v>
      </c>
      <c r="CO14" s="187">
        <f>INT(ABS(CN14))</f>
        <v>276</v>
      </c>
      <c r="CP14" s="187">
        <f>INT((ABS(CN14)-CO14)*60)</f>
        <v>32</v>
      </c>
      <c r="CQ14" s="187">
        <f>INT((((ABS(CN14)-CO14)*60)-CP14)*60)</f>
        <v>13</v>
      </c>
      <c r="CR14" s="187">
        <f>INT((((((ABS(CN14)-CO14)*60)-CP14)*60)-CQ14)*60)</f>
        <v>30</v>
      </c>
      <c r="CU14" s="10" t="s">
        <v>1284</v>
      </c>
      <c r="CV14" s="10">
        <f>CV12+CV13</f>
        <v>268.7563900546171</v>
      </c>
      <c r="CW14" s="168">
        <f>INT(ABS(CV14))</f>
        <v>268</v>
      </c>
      <c r="CX14" s="168">
        <f>INT((ABS(CV14)-CW14)*60)</f>
        <v>45</v>
      </c>
      <c r="CY14" s="168">
        <f>INT((((ABS(CV14)-CW14)*60)-CX14)*60)</f>
        <v>23</v>
      </c>
      <c r="CZ14" s="168">
        <f>INT((((((ABS(CV14)-CW14)*60)-CX14)*60)-CY14)*60)</f>
        <v>0</v>
      </c>
      <c r="DB14" s="10" t="s">
        <v>1282</v>
      </c>
      <c r="DC14" s="10">
        <f>IF(DC12+DC13&lt;360,DC12+DC13,DC12+DC13-360)</f>
        <v>222.19476663963835</v>
      </c>
      <c r="DD14" s="168">
        <f>INT(ABS(DC14))</f>
        <v>222</v>
      </c>
      <c r="DE14" s="168">
        <f>INT((ABS(DC14)-DD14)*60)</f>
        <v>11</v>
      </c>
      <c r="DF14" s="168">
        <f>INT((((ABS(DC14)-DD14)*60)-DE14)*60)</f>
        <v>41</v>
      </c>
      <c r="DG14" s="168">
        <f>INT((((((ABS(DC14)-DD14)*60)-DE14)*60)-DF14)*60)</f>
        <v>9</v>
      </c>
      <c r="DI14" s="10" t="s">
        <v>1282</v>
      </c>
      <c r="DJ14" s="10">
        <f>IF(DJ12+DJ13&lt;360,DJ12+DJ13,DJ12+DJ13-360)</f>
        <v>333.74743797640616</v>
      </c>
      <c r="DK14" s="168">
        <f>INT(ABS(DJ14))</f>
        <v>333</v>
      </c>
      <c r="DL14" s="168">
        <f>INT((ABS(DJ14)-DK14)*60)</f>
        <v>44</v>
      </c>
      <c r="DM14" s="168">
        <f>INT((((ABS(DJ14)-DK14)*60)-DL14)*60)</f>
        <v>50</v>
      </c>
      <c r="DN14" s="168">
        <f>INT((((((ABS(DJ14)-DK14)*60)-DL14)*60)-DM14)*60)</f>
        <v>46</v>
      </c>
      <c r="DP14" s="10" t="s">
        <v>1282</v>
      </c>
      <c r="DQ14" s="10">
        <f>IF(DQ12+DQ13&lt;360,DQ12+DQ13,DQ12+DQ13-360)</f>
        <v>138.74731868533365</v>
      </c>
      <c r="DR14" s="168">
        <f>INT(ABS(DQ14))</f>
        <v>138</v>
      </c>
      <c r="DS14" s="168">
        <f>INT((ABS(DQ14)-DR14)*60)</f>
        <v>44</v>
      </c>
      <c r="DT14" s="168">
        <f>INT((((ABS(DQ14)-DR14)*60)-DS14)*60)</f>
        <v>50</v>
      </c>
      <c r="DU14" s="168">
        <f>INT((((((ABS(DQ14)-DR14)*60)-DS14)*60)-DT14)*60)</f>
        <v>20</v>
      </c>
      <c r="DW14" s="10" t="s">
        <v>1282</v>
      </c>
      <c r="DX14" s="10">
        <f>IF(DX12+DX13&lt;360,DX12+DX13,DX12+DX13-360)</f>
        <v>285.11593353045458</v>
      </c>
      <c r="DY14" s="168">
        <f>INT(ABS(DX14))</f>
        <v>285</v>
      </c>
      <c r="DZ14" s="168">
        <f>INT((ABS(DX14)-DY14)*60)</f>
        <v>6</v>
      </c>
      <c r="EA14" s="168">
        <f>INT((((ABS(DX14)-DY14)*60)-DZ14)*60)</f>
        <v>57</v>
      </c>
      <c r="EB14" s="168">
        <f>INT((((((ABS(DX14)-DY14)*60)-DZ14)*60)-EA14)*60)</f>
        <v>21</v>
      </c>
      <c r="ED14" s="10" t="s">
        <v>1282</v>
      </c>
      <c r="EE14" s="10">
        <f>IF(EE12+EE13&lt;360,EE12+EE13,EE12+EE13-360)</f>
        <v>151.05569080575259</v>
      </c>
      <c r="EF14" s="168">
        <f>INT(ABS(EE14))</f>
        <v>151</v>
      </c>
      <c r="EG14" s="168">
        <f>INT((ABS(EE14)-EF14)*60)</f>
        <v>3</v>
      </c>
      <c r="EH14" s="168">
        <f>INT((((ABS(EE14)-EF14)*60)-EG14)*60)</f>
        <v>20</v>
      </c>
      <c r="EI14" s="168">
        <f>INT((((((ABS(EE14)-EF14)*60)-EG14)*60)-EH14)*60)</f>
        <v>29</v>
      </c>
      <c r="EK14" s="797"/>
      <c r="EL14" s="1460"/>
      <c r="EM14" s="1460"/>
      <c r="EN14" s="1460"/>
      <c r="EO14" s="1460" t="s">
        <v>3981</v>
      </c>
      <c r="EP14" s="1460">
        <f>EP13/15</f>
        <v>2.7326259303989014E-3</v>
      </c>
      <c r="EQ14" s="1461">
        <f>INT(ABS(EP14))</f>
        <v>0</v>
      </c>
      <c r="ER14" s="1461">
        <f t="shared" ref="ER14" si="86">INT((ABS(EP14)-EQ14)*60)</f>
        <v>0</v>
      </c>
      <c r="ES14" s="1461">
        <f t="shared" ref="ES14" si="87">INT((((ABS(EP14)-EQ14)*60)-ER14)*60)</f>
        <v>9</v>
      </c>
      <c r="ET14" s="1462">
        <f t="shared" ref="ET14" si="88">INT((((((ABS(EP14)-EQ14)*60)-ER14)*60)-ES14)*60)</f>
        <v>50</v>
      </c>
      <c r="EV14" s="1082" t="s">
        <v>1372</v>
      </c>
      <c r="EW14" s="1636" t="s">
        <v>3871</v>
      </c>
      <c r="EX14" s="1083">
        <f>IF(EX4+(EX13*-1)&lt;=180,EX4+(EX13*-1),(EX4+(EX13*-1))-360)</f>
        <v>88.415166667000008</v>
      </c>
      <c r="EY14" s="1083"/>
      <c r="EZ14" s="1083"/>
      <c r="FA14" s="1083"/>
      <c r="FB14" s="1083"/>
      <c r="FC14" s="1621" t="s">
        <v>3986</v>
      </c>
      <c r="FD14" s="238">
        <f>[1]!vqoroob(FD2,FD3,FD4,FD5,FD6)</f>
        <v>19.387873217400038</v>
      </c>
      <c r="FE14" s="238">
        <f>FT45</f>
        <v>19.387873225400039</v>
      </c>
      <c r="FF14" s="243">
        <f>INT(ABS(FE14))</f>
        <v>19</v>
      </c>
      <c r="FG14" s="243">
        <f>INT((ABS(FE14)-FF14)*60)</f>
        <v>23</v>
      </c>
      <c r="FH14" s="243">
        <f>INT((((ABS(FE14)-FF14)*60)-FG14)*60)</f>
        <v>16</v>
      </c>
      <c r="FI14" s="733">
        <f>INT((((((ABS(FE14)-FF14)*60)-FG14)*60)-FH14)*60)</f>
        <v>20</v>
      </c>
      <c r="FJ14" s="1468" t="s">
        <v>1315</v>
      </c>
      <c r="FK14" s="304">
        <f>[1]!tq(FK12-FK13)</f>
        <v>94.05131280472699</v>
      </c>
      <c r="FL14" s="437">
        <f t="shared" si="9"/>
        <v>94</v>
      </c>
      <c r="FM14" s="437">
        <f t="shared" si="10"/>
        <v>3</v>
      </c>
      <c r="FN14" s="437">
        <f t="shared" si="11"/>
        <v>4</v>
      </c>
      <c r="FO14" s="914">
        <f t="shared" si="12"/>
        <v>43</v>
      </c>
      <c r="FP14" s="797" t="s">
        <v>4212</v>
      </c>
      <c r="FQ14" s="10">
        <f>4/60</f>
        <v>6.6666666666666666E-2</v>
      </c>
      <c r="FR14" s="10">
        <v>18</v>
      </c>
      <c r="FS14" s="911" t="s">
        <v>1315</v>
      </c>
      <c r="FT14" s="304">
        <f>[1]!tq(FT12-FT13)</f>
        <v>94.0424239158381</v>
      </c>
      <c r="FU14" s="437">
        <f t="shared" si="13"/>
        <v>94</v>
      </c>
      <c r="FV14" s="437">
        <f t="shared" si="14"/>
        <v>2</v>
      </c>
      <c r="FW14" s="437">
        <f t="shared" si="15"/>
        <v>32</v>
      </c>
      <c r="FX14" s="437">
        <f t="shared" si="16"/>
        <v>43</v>
      </c>
      <c r="FY14" s="1492" t="s">
        <v>4000</v>
      </c>
      <c r="FZ14" s="304">
        <f>FZ12+(60*2/7)</f>
        <v>30.282327005845914</v>
      </c>
      <c r="GA14" s="437">
        <f t="shared" si="82"/>
        <v>30</v>
      </c>
      <c r="GB14" s="437">
        <f t="shared" si="83"/>
        <v>16</v>
      </c>
      <c r="GC14" s="437">
        <f t="shared" si="84"/>
        <v>56</v>
      </c>
      <c r="GD14" s="914">
        <f t="shared" si="85"/>
        <v>22</v>
      </c>
      <c r="GE14" s="1468" t="s">
        <v>1319</v>
      </c>
      <c r="GF14" s="304">
        <f>IF(GF13+180&lt;360,GF13+180,GF13+180-360)</f>
        <v>274.55934261781363</v>
      </c>
      <c r="GG14" s="437">
        <f t="shared" si="45"/>
        <v>274</v>
      </c>
      <c r="GH14" s="437">
        <f t="shared" si="46"/>
        <v>33</v>
      </c>
      <c r="GI14" s="437">
        <f t="shared" si="47"/>
        <v>33</v>
      </c>
      <c r="GJ14" s="914">
        <f t="shared" si="48"/>
        <v>38</v>
      </c>
      <c r="GK14" s="10">
        <f>GL13*GK12/GL12</f>
        <v>1.6666666666666666E-2</v>
      </c>
      <c r="GL14" s="797"/>
      <c r="GM14" s="797"/>
      <c r="GO14" s="701" t="s">
        <v>359</v>
      </c>
      <c r="GP14" s="304">
        <f>[1]!bkm(GP2,GP9,GP8)</f>
        <v>23.354999007186866</v>
      </c>
      <c r="GQ14" s="437">
        <f t="shared" ref="GQ14:GQ25" si="89">INT(ABS(GP14))</f>
        <v>23</v>
      </c>
      <c r="GR14" s="437">
        <f t="shared" ref="GR14:GR25" si="90">INT((ABS(GP14)-GQ14)*60)</f>
        <v>21</v>
      </c>
      <c r="GS14" s="437">
        <f t="shared" ref="GS14:GS25" si="91">INT((((ABS(GP14)-GQ14)*60)-GR14)*60)</f>
        <v>17</v>
      </c>
      <c r="GT14" s="914">
        <f t="shared" ref="GT14:GT25" si="92">INT((((((ABS(GP14)-GQ14)*60)-GR14)*60)-GS14)*60)</f>
        <v>59</v>
      </c>
    </row>
    <row r="15" spans="4:202" ht="24" thickBot="1">
      <c r="D15" s="169" t="s">
        <v>1203</v>
      </c>
      <c r="E15" s="169" t="e">
        <f>[1]!asn([1]!sn(E14)*60/[1]!sn(E13))</f>
        <v>#VALUE!</v>
      </c>
      <c r="F15" s="168" t="e">
        <f>INT(ABS(E15))</f>
        <v>#VALUE!</v>
      </c>
      <c r="G15" s="168" t="e">
        <f>INT((ABS(E15)-F15)*60)</f>
        <v>#VALUE!</v>
      </c>
      <c r="H15" s="168" t="e">
        <f>INT((((ABS(E15)-F15)*60)-G15)*60)</f>
        <v>#VALUE!</v>
      </c>
      <c r="I15" s="168" t="e">
        <f>INT((((((ABS(E15)-F15)*60)-G15)*60)-H15)*60)</f>
        <v>#VALUE!</v>
      </c>
      <c r="M15" s="924" t="s">
        <v>1212</v>
      </c>
      <c r="N15" s="272" t="e">
        <f>[1]!dtl(0,N10,N9)</f>
        <v>#VALUE!</v>
      </c>
      <c r="O15" s="214" t="e">
        <f t="shared" ref="O15:O20" si="93">INT(ABS(N15))</f>
        <v>#VALUE!</v>
      </c>
      <c r="P15" s="214" t="e">
        <f t="shared" ref="P15:P20" si="94">INT((ABS(N15)-O15)*60)</f>
        <v>#VALUE!</v>
      </c>
      <c r="Q15" s="214" t="e">
        <f t="shared" ref="Q15:Q20" si="95">INT((((ABS(N15)-O15)*60)-P15)*60)</f>
        <v>#VALUE!</v>
      </c>
      <c r="R15" s="901" t="e">
        <f t="shared" ref="R15:R20" si="96">INT((((((ABS(N15)-O15)*60)-P15)*60)-Q15)*60)</f>
        <v>#VALUE!</v>
      </c>
      <c r="U15" s="8"/>
      <c r="V15" s="8" t="s">
        <v>1231</v>
      </c>
      <c r="W15" s="8" t="e">
        <f>[1]!mtb([1]!dtl(W6,W7,W8),W8)</f>
        <v>#VALUE!</v>
      </c>
      <c r="X15" s="168" t="e">
        <f t="shared" si="17"/>
        <v>#VALUE!</v>
      </c>
      <c r="Y15" s="168" t="e">
        <f t="shared" si="18"/>
        <v>#VALUE!</v>
      </c>
      <c r="Z15" s="168" t="e">
        <f t="shared" si="19"/>
        <v>#VALUE!</v>
      </c>
      <c r="AA15" s="168" t="e">
        <f t="shared" si="20"/>
        <v>#VALUE!</v>
      </c>
      <c r="AH15" s="175" t="s">
        <v>1058</v>
      </c>
      <c r="AI15" s="173" t="e">
        <f>AI14*15</f>
        <v>#VALUE!</v>
      </c>
      <c r="AJ15" s="168" t="e">
        <f t="shared" si="29"/>
        <v>#VALUE!</v>
      </c>
      <c r="AK15" s="168" t="e">
        <f t="shared" si="30"/>
        <v>#VALUE!</v>
      </c>
      <c r="AL15" s="168" t="e">
        <f t="shared" si="31"/>
        <v>#VALUE!</v>
      </c>
      <c r="AM15" s="168" t="e">
        <f t="shared" si="32"/>
        <v>#VALUE!</v>
      </c>
      <c r="AO15" s="175" t="s">
        <v>1058</v>
      </c>
      <c r="AP15" s="173" t="e">
        <f>AP14*15</f>
        <v>#VALUE!</v>
      </c>
      <c r="AQ15" s="168" t="e">
        <f t="shared" si="33"/>
        <v>#VALUE!</v>
      </c>
      <c r="AR15" s="168" t="e">
        <f t="shared" si="34"/>
        <v>#VALUE!</v>
      </c>
      <c r="AS15" s="168" t="e">
        <f t="shared" si="35"/>
        <v>#VALUE!</v>
      </c>
      <c r="AT15" s="168" t="e">
        <f t="shared" si="36"/>
        <v>#VALUE!</v>
      </c>
      <c r="AW15" s="3" t="s">
        <v>1241</v>
      </c>
      <c r="AX15" s="3">
        <f>IF(AX14+AX13+90&lt;360,AX14+AX13+90,AX14+AX13+90-360)</f>
        <v>195.52214675258807</v>
      </c>
      <c r="AY15" s="168">
        <f>INT(ABS(AX15))</f>
        <v>195</v>
      </c>
      <c r="AZ15" s="168">
        <f>INT((ABS(AX15)-AY15)*60)</f>
        <v>31</v>
      </c>
      <c r="BA15" s="168">
        <f>INT((((ABS(AX15)-AY15)*60)-AZ15)*60)</f>
        <v>19</v>
      </c>
      <c r="BB15" s="168">
        <f>INT((((((ABS(AX15)-AY15)*60)-AZ15)*60)-BA15)*60)</f>
        <v>43</v>
      </c>
      <c r="BD15" s="3" t="s">
        <v>1240</v>
      </c>
      <c r="BE15" s="183">
        <f>(((((BI15/60)+BH15)/60)+BG15)/60)+BF15</f>
        <v>9.9008333333333329</v>
      </c>
      <c r="BF15" s="3">
        <v>9</v>
      </c>
      <c r="BG15" s="3">
        <v>54</v>
      </c>
      <c r="BH15" s="3">
        <v>3</v>
      </c>
      <c r="BI15" s="3">
        <v>0</v>
      </c>
      <c r="BK15" s="181" t="s">
        <v>1312</v>
      </c>
      <c r="BL15" s="3">
        <f>IF(BL10-BL14&gt;0,BL10-BL14,BL10-BL14+360)</f>
        <v>128.56917571363817</v>
      </c>
      <c r="BM15" s="187">
        <f t="shared" si="64"/>
        <v>128</v>
      </c>
      <c r="BN15" s="187">
        <f t="shared" si="65"/>
        <v>34</v>
      </c>
      <c r="BO15" s="187">
        <f t="shared" si="66"/>
        <v>9</v>
      </c>
      <c r="BP15" s="187">
        <f t="shared" si="67"/>
        <v>1</v>
      </c>
      <c r="BR15" s="3" t="s">
        <v>1241</v>
      </c>
      <c r="BS15" s="3">
        <f>IF(BS14+BS13+90&lt;360,BS14+BS13+90,BS14+BS13+90-360)</f>
        <v>45.559977290297127</v>
      </c>
      <c r="BT15" s="187">
        <f>INT(ABS(BS15))</f>
        <v>45</v>
      </c>
      <c r="BU15" s="187">
        <f>INT((ABS(BS15)-BT15)*60)</f>
        <v>33</v>
      </c>
      <c r="BV15" s="187">
        <f>INT((((ABS(BS15)-BT15)*60)-BU15)*60)</f>
        <v>35</v>
      </c>
      <c r="BW15" s="187">
        <f>INT((((((ABS(BS15)-BT15)*60)-BU15)*60)-BV15)*60)</f>
        <v>55</v>
      </c>
      <c r="BY15" s="3" t="s">
        <v>1241</v>
      </c>
      <c r="BZ15" s="3">
        <f>IF(BZ14+BZ13+90&lt;360,BZ14+BZ13+90,BZ14+BZ13+90-360)</f>
        <v>252.25830642099686</v>
      </c>
      <c r="CA15" s="187">
        <f>INT(ABS(BZ15))</f>
        <v>252</v>
      </c>
      <c r="CB15" s="187">
        <f>INT((ABS(BZ15)-CA15)*60)</f>
        <v>15</v>
      </c>
      <c r="CC15" s="187">
        <f>INT((((ABS(BZ15)-CA15)*60)-CB15)*60)</f>
        <v>29</v>
      </c>
      <c r="CD15" s="187">
        <f>INT((((((ABS(BZ15)-CA15)*60)-CB15)*60)-CC15)*60)</f>
        <v>54</v>
      </c>
      <c r="CF15" s="3" t="s">
        <v>1241</v>
      </c>
      <c r="CG15" s="3">
        <f>IF(CG14+CG13+90&lt;360,CG14+CG13+90,CG14+CG13+90-360)</f>
        <v>291.2433244160602</v>
      </c>
      <c r="CH15" s="187">
        <f>INT(ABS(CG15))</f>
        <v>291</v>
      </c>
      <c r="CI15" s="187">
        <f>INT((ABS(CG15)-CH15)*60)</f>
        <v>14</v>
      </c>
      <c r="CJ15" s="187">
        <f>INT((((ABS(CG15)-CH15)*60)-CI15)*60)</f>
        <v>35</v>
      </c>
      <c r="CK15" s="187">
        <f>INT((((((ABS(CG15)-CH15)*60)-CI15)*60)-CJ15)*60)</f>
        <v>58</v>
      </c>
      <c r="CM15" s="3" t="s">
        <v>1241</v>
      </c>
      <c r="CN15" s="3">
        <f>IF(CN14+CN13+90&lt;360,CN14+CN13+90,CN14+CN13+90-360)</f>
        <v>9.865141144821564</v>
      </c>
      <c r="CO15" s="187">
        <f>INT(ABS(CN15))</f>
        <v>9</v>
      </c>
      <c r="CP15" s="187">
        <f>INT((ABS(CN15)-CO15)*60)</f>
        <v>51</v>
      </c>
      <c r="CQ15" s="187">
        <f>INT((((ABS(CN15)-CO15)*60)-CP15)*60)</f>
        <v>54</v>
      </c>
      <c r="CR15" s="187">
        <f>INT((((((ABS(CN15)-CO15)*60)-CP15)*60)-CQ15)*60)</f>
        <v>30</v>
      </c>
      <c r="DB15" s="10" t="s">
        <v>1285</v>
      </c>
      <c r="DC15" s="10">
        <f>[1]!tzohal1(DC11)</f>
        <v>-3.1111354911150366</v>
      </c>
      <c r="DD15" s="168">
        <f>INT(ABS(DC15))</f>
        <v>3</v>
      </c>
      <c r="DE15" s="168">
        <f>INT((ABS(DC15)-DD15)*60)</f>
        <v>6</v>
      </c>
      <c r="DF15" s="168">
        <f>INT((((ABS(DC15)-DD15)*60)-DE15)*60)</f>
        <v>40</v>
      </c>
      <c r="DG15" s="168">
        <f>INT((((((ABS(DC15)-DD15)*60)-DE15)*60)-DF15)*60)</f>
        <v>5</v>
      </c>
      <c r="DI15" s="10" t="s">
        <v>1285</v>
      </c>
      <c r="DJ15" s="10">
        <f>[1]!tmosh1(DJ11)</f>
        <v>-5.114923648454039</v>
      </c>
      <c r="DK15" s="168">
        <f>INT(ABS(DJ15))</f>
        <v>5</v>
      </c>
      <c r="DL15" s="168">
        <f>INT((ABS(DJ15)-DK15)*60)</f>
        <v>6</v>
      </c>
      <c r="DM15" s="168">
        <f>INT((((ABS(DJ15)-DK15)*60)-DL15)*60)</f>
        <v>53</v>
      </c>
      <c r="DN15" s="168">
        <f>INT((((((ABS(DJ15)-DK15)*60)-DL15)*60)-DM15)*60)</f>
        <v>43</v>
      </c>
      <c r="DP15" s="10" t="s">
        <v>1285</v>
      </c>
      <c r="DQ15" s="10">
        <f>[1]!tmer1(DQ11)</f>
        <v>10.20450189465935</v>
      </c>
      <c r="DR15" s="168">
        <f>INT(ABS(DQ15))</f>
        <v>10</v>
      </c>
      <c r="DS15" s="168">
        <f>INT((ABS(DQ15)-DR15)*60)</f>
        <v>12</v>
      </c>
      <c r="DT15" s="168">
        <f>INT((((ABS(DQ15)-DR15)*60)-DS15)*60)</f>
        <v>16</v>
      </c>
      <c r="DU15" s="168">
        <f>INT((((((ABS(DQ15)-DR15)*60)-DS15)*60)-DT15)*60)</f>
        <v>12</v>
      </c>
      <c r="DW15" s="10" t="s">
        <v>1285</v>
      </c>
      <c r="DX15" s="10">
        <f>[1]!tzohre1(DX11)</f>
        <v>0.22176597691693334</v>
      </c>
      <c r="DY15" s="168">
        <f>INT(ABS(DX15))</f>
        <v>0</v>
      </c>
      <c r="DZ15" s="168">
        <f>INT((ABS(DX15)-DY15)*60)</f>
        <v>13</v>
      </c>
      <c r="EA15" s="168">
        <f>INT((((ABS(DX15)-DY15)*60)-DZ15)*60)</f>
        <v>18</v>
      </c>
      <c r="EB15" s="168">
        <f>INT((((((ABS(DX15)-DY15)*60)-DZ15)*60)-EA15)*60)</f>
        <v>21</v>
      </c>
      <c r="ED15" s="10" t="s">
        <v>1285</v>
      </c>
      <c r="EE15" s="10">
        <f>[1]!tota1(EE11)</f>
        <v>22.12472127551889</v>
      </c>
      <c r="EF15" s="168">
        <f>INT(ABS(EE15))</f>
        <v>22</v>
      </c>
      <c r="EG15" s="168">
        <f>INT((ABS(EE15)-EF15)*60)</f>
        <v>7</v>
      </c>
      <c r="EH15" s="168">
        <f>INT((((ABS(EE15)-EF15)*60)-EG15)*60)</f>
        <v>28</v>
      </c>
      <c r="EI15" s="168">
        <f>INT((((((ABS(EE15)-EF15)*60)-EG15)*60)-EH15)*60)</f>
        <v>59</v>
      </c>
      <c r="EK15" s="797"/>
      <c r="EV15" s="1087"/>
      <c r="EW15" s="1637" t="s">
        <v>2202</v>
      </c>
      <c r="EX15" s="1065" t="e">
        <f ca="1">tabdilg(EX11)</f>
        <v>#NAME?</v>
      </c>
      <c r="EY15" s="1065"/>
      <c r="EZ15" s="1065"/>
      <c r="FA15" s="1065"/>
      <c r="FB15" s="1065"/>
      <c r="FC15" s="1621" t="s">
        <v>3788</v>
      </c>
      <c r="FD15" s="238">
        <f>[1]!vmaqreb(FD2,FD3,FD4,FD5,FD6)</f>
        <v>19.769546471840901</v>
      </c>
      <c r="FE15" s="238">
        <f>GF28</f>
        <v>19.769546479840901</v>
      </c>
      <c r="FF15" s="243">
        <f>INT(ABS(FE15))</f>
        <v>19</v>
      </c>
      <c r="FG15" s="243">
        <f>INT((ABS(FE15)-FF15)*60)</f>
        <v>46</v>
      </c>
      <c r="FH15" s="243">
        <f>INT((((ABS(FE15)-FF15)*60)-FG15)*60)</f>
        <v>10</v>
      </c>
      <c r="FI15" s="733">
        <f>INT((((((ABS(FE15)-FF15)*60)-FG15)*60)-FH15)*60)</f>
        <v>22</v>
      </c>
      <c r="FJ15" s="1468" t="s">
        <v>1319</v>
      </c>
      <c r="FK15" s="304">
        <f>IF(FK14+180&lt;360,FK14+180,FK14+180-360)</f>
        <v>274.05131280472699</v>
      </c>
      <c r="FL15" s="437">
        <f t="shared" si="9"/>
        <v>274</v>
      </c>
      <c r="FM15" s="437">
        <f t="shared" si="10"/>
        <v>3</v>
      </c>
      <c r="FN15" s="437">
        <f t="shared" si="11"/>
        <v>4</v>
      </c>
      <c r="FO15" s="914">
        <f t="shared" si="12"/>
        <v>43</v>
      </c>
      <c r="FP15" s="797" t="s">
        <v>4210</v>
      </c>
      <c r="FQ15" s="797">
        <f>FR15*FQ14/FR14</f>
        <v>6.4444444444444443E-2</v>
      </c>
      <c r="FR15" s="797">
        <v>17.399999999999999</v>
      </c>
      <c r="FS15" s="911" t="s">
        <v>1319</v>
      </c>
      <c r="FT15" s="304">
        <f>IF(FT14+180&lt;360,FT14+180,FT14+180-360)</f>
        <v>274.04242391583807</v>
      </c>
      <c r="FU15" s="437">
        <f t="shared" si="13"/>
        <v>274</v>
      </c>
      <c r="FV15" s="437">
        <f t="shared" si="14"/>
        <v>2</v>
      </c>
      <c r="FW15" s="437">
        <f t="shared" si="15"/>
        <v>32</v>
      </c>
      <c r="FX15" s="437">
        <f>INT((((((ABS(FT15)-FU15)*60)-FV15)*60)-FW15)*60)</f>
        <v>43</v>
      </c>
      <c r="FY15" s="701" t="s">
        <v>1330</v>
      </c>
      <c r="FZ15" s="304">
        <f>[1]!acj(FZ14)</f>
        <v>63.219673080527564</v>
      </c>
      <c r="GA15" s="437">
        <f t="shared" si="82"/>
        <v>63</v>
      </c>
      <c r="GB15" s="437">
        <f t="shared" si="83"/>
        <v>13</v>
      </c>
      <c r="GC15" s="437">
        <f t="shared" si="84"/>
        <v>10</v>
      </c>
      <c r="GD15" s="914">
        <f t="shared" si="85"/>
        <v>49</v>
      </c>
      <c r="GE15" s="1468" t="s">
        <v>227</v>
      </c>
      <c r="GF15" s="304">
        <f>[1]!ml(GF2,GF14)</f>
        <v>-23.34625017089342</v>
      </c>
      <c r="GG15" s="437">
        <f t="shared" si="45"/>
        <v>23</v>
      </c>
      <c r="GH15" s="437">
        <f t="shared" si="46"/>
        <v>20</v>
      </c>
      <c r="GI15" s="437">
        <f t="shared" si="47"/>
        <v>46</v>
      </c>
      <c r="GJ15" s="914">
        <f t="shared" si="48"/>
        <v>30</v>
      </c>
      <c r="GK15" s="797"/>
      <c r="GL15" s="797"/>
      <c r="GM15" s="797"/>
      <c r="GO15" s="701" t="s">
        <v>375</v>
      </c>
      <c r="GP15" s="304">
        <f>[1]!mtm(GP2,GP14,GP8)</f>
        <v>94.682045557690003</v>
      </c>
      <c r="GQ15" s="437">
        <f t="shared" si="89"/>
        <v>94</v>
      </c>
      <c r="GR15" s="437">
        <f t="shared" si="90"/>
        <v>40</v>
      </c>
      <c r="GS15" s="437">
        <f t="shared" si="91"/>
        <v>55</v>
      </c>
      <c r="GT15" s="914">
        <f t="shared" si="92"/>
        <v>21</v>
      </c>
    </row>
    <row r="16" spans="4:202" ht="24.75">
      <c r="D16" s="169" t="s">
        <v>1202</v>
      </c>
      <c r="E16" s="169" t="e">
        <f>[1]!asn(60*[1]!tn(E4)/[1]!tn(E13))</f>
        <v>#VALUE!</v>
      </c>
      <c r="F16" s="168" t="e">
        <f>INT(ABS(E16))</f>
        <v>#VALUE!</v>
      </c>
      <c r="G16" s="168" t="e">
        <f>INT((ABS(E16)-F16)*60)</f>
        <v>#VALUE!</v>
      </c>
      <c r="H16" s="168" t="e">
        <f>INT((((ABS(E16)-F16)*60)-G16)*60)</f>
        <v>#VALUE!</v>
      </c>
      <c r="I16" s="168" t="e">
        <f>INT((((((ABS(E16)-F16)*60)-G16)*60)-H16)*60)</f>
        <v>#VALUE!</v>
      </c>
      <c r="M16" s="924" t="s">
        <v>1211</v>
      </c>
      <c r="N16" s="272" t="e">
        <f>[1]!qsn([1]!ml(N10),N9)</f>
        <v>#VALUE!</v>
      </c>
      <c r="O16" s="214" t="e">
        <f t="shared" si="93"/>
        <v>#VALUE!</v>
      </c>
      <c r="P16" s="214" t="e">
        <f t="shared" si="94"/>
        <v>#VALUE!</v>
      </c>
      <c r="Q16" s="214" t="e">
        <f t="shared" si="95"/>
        <v>#VALUE!</v>
      </c>
      <c r="R16" s="901" t="e">
        <f t="shared" si="96"/>
        <v>#VALUE!</v>
      </c>
      <c r="U16" s="8"/>
      <c r="V16" s="8" t="s">
        <v>279</v>
      </c>
      <c r="W16" s="8" t="e">
        <f>[1]!tazmb(W15,W8)</f>
        <v>#VALUE!</v>
      </c>
      <c r="X16" s="168" t="e">
        <f t="shared" si="17"/>
        <v>#VALUE!</v>
      </c>
      <c r="Y16" s="168" t="e">
        <f t="shared" si="18"/>
        <v>#VALUE!</v>
      </c>
      <c r="Z16" s="168" t="e">
        <f t="shared" si="19"/>
        <v>#VALUE!</v>
      </c>
      <c r="AA16" s="168" t="e">
        <f t="shared" si="20"/>
        <v>#VALUE!</v>
      </c>
      <c r="AH16" s="175" t="s">
        <v>1059</v>
      </c>
      <c r="AI16" s="173" t="e">
        <f>[1]!mtb(AI9,AI11)</f>
        <v>#VALUE!</v>
      </c>
      <c r="AJ16" s="168" t="e">
        <f t="shared" si="29"/>
        <v>#VALUE!</v>
      </c>
      <c r="AK16" s="168" t="e">
        <f t="shared" si="30"/>
        <v>#VALUE!</v>
      </c>
      <c r="AL16" s="168" t="e">
        <f t="shared" si="31"/>
        <v>#VALUE!</v>
      </c>
      <c r="AM16" s="168" t="e">
        <f t="shared" si="32"/>
        <v>#VALUE!</v>
      </c>
      <c r="AO16" s="175" t="s">
        <v>1059</v>
      </c>
      <c r="AP16" s="173" t="e">
        <f>[1]!mtb(AP9,AP11)</f>
        <v>#VALUE!</v>
      </c>
      <c r="AQ16" s="168" t="e">
        <f t="shared" si="33"/>
        <v>#VALUE!</v>
      </c>
      <c r="AR16" s="168" t="e">
        <f t="shared" si="34"/>
        <v>#VALUE!</v>
      </c>
      <c r="AS16" s="168" t="e">
        <f t="shared" si="35"/>
        <v>#VALUE!</v>
      </c>
      <c r="AT16" s="168" t="e">
        <f t="shared" si="36"/>
        <v>#VALUE!</v>
      </c>
      <c r="AW16" s="3" t="s">
        <v>1242</v>
      </c>
      <c r="AX16" s="3">
        <f>IF(AX14+180&lt;360,AX14+180,AX14+180-360)</f>
        <v>283.59659119703252</v>
      </c>
      <c r="AY16" s="168">
        <f>INT(ABS(AX16))</f>
        <v>283</v>
      </c>
      <c r="AZ16" s="168">
        <f>INT((ABS(AX16)-AY16)*60)</f>
        <v>35</v>
      </c>
      <c r="BA16" s="168">
        <f>INT((((ABS(AX16)-AY16)*60)-AZ16)*60)</f>
        <v>47</v>
      </c>
      <c r="BB16" s="168">
        <f>INT((((((ABS(AX16)-AY16)*60)-AZ16)*60)-BA16)*60)</f>
        <v>43</v>
      </c>
      <c r="BD16" s="3" t="s">
        <v>1253</v>
      </c>
      <c r="BE16" s="3">
        <f>[1]!oujq(BE4,BE5,BE6,BE7)</f>
        <v>107.51501148985471</v>
      </c>
      <c r="BF16" s="187">
        <f>INT(ABS(BE16))</f>
        <v>107</v>
      </c>
      <c r="BG16" s="187">
        <f>INT((ABS(BE16)-BF16)*60)</f>
        <v>30</v>
      </c>
      <c r="BH16" s="187">
        <f>INT((((ABS(BE16)-BF16)*60)-BG16)*60)</f>
        <v>54</v>
      </c>
      <c r="BI16" s="187">
        <f>INT((((((ABS(BE16)-BF16)*60)-BG16)*60)-BH16)*60)</f>
        <v>2</v>
      </c>
      <c r="BK16" s="181" t="s">
        <v>1310</v>
      </c>
      <c r="BL16" s="3">
        <f>IF(BL13-BL15&gt;0,BL13-BL15,BL13-BL15+360)</f>
        <v>189.54149763345538</v>
      </c>
      <c r="BM16" s="187">
        <f t="shared" si="64"/>
        <v>189</v>
      </c>
      <c r="BN16" s="187">
        <f t="shared" si="65"/>
        <v>32</v>
      </c>
      <c r="BO16" s="187">
        <f t="shared" si="66"/>
        <v>29</v>
      </c>
      <c r="BP16" s="187">
        <f t="shared" si="67"/>
        <v>23</v>
      </c>
      <c r="BR16" s="3" t="s">
        <v>1242</v>
      </c>
      <c r="BS16" s="3">
        <f>IF(BS14+180&lt;360,BS14+180,BS14+180-360)</f>
        <v>134.60442173474155</v>
      </c>
      <c r="BT16" s="187">
        <f>INT(ABS(BS16))</f>
        <v>134</v>
      </c>
      <c r="BU16" s="187">
        <f>INT((ABS(BS16)-BT16)*60)</f>
        <v>36</v>
      </c>
      <c r="BV16" s="187">
        <f>INT((((ABS(BS16)-BT16)*60)-BU16)*60)</f>
        <v>15</v>
      </c>
      <c r="BW16" s="187">
        <f>INT((((((ABS(BS16)-BT16)*60)-BU16)*60)-BV16)*60)</f>
        <v>55</v>
      </c>
      <c r="BY16" s="3" t="s">
        <v>1242</v>
      </c>
      <c r="BZ16" s="3">
        <f>IF(BZ14+180&lt;360,BZ14+180,BZ14+180-360)</f>
        <v>336.51913975433018</v>
      </c>
      <c r="CA16" s="187">
        <f>INT(ABS(BZ16))</f>
        <v>336</v>
      </c>
      <c r="CB16" s="187">
        <f>INT((ABS(BZ16)-CA16)*60)</f>
        <v>31</v>
      </c>
      <c r="CC16" s="187">
        <f>INT((((ABS(BZ16)-CA16)*60)-CB16)*60)</f>
        <v>8</v>
      </c>
      <c r="CD16" s="187">
        <f>INT((((((ABS(BZ16)-CA16)*60)-CB16)*60)-CC16)*60)</f>
        <v>54</v>
      </c>
      <c r="CF16" s="3" t="s">
        <v>1242</v>
      </c>
      <c r="CG16" s="3">
        <f>IF(CG14+180&lt;360,CG14+180,CG14+180-360)</f>
        <v>18.679991082726929</v>
      </c>
      <c r="CH16" s="187">
        <f>INT(ABS(CG16))</f>
        <v>18</v>
      </c>
      <c r="CI16" s="187">
        <f>INT((ABS(CG16)-CH16)*60)</f>
        <v>40</v>
      </c>
      <c r="CJ16" s="187">
        <f>INT((((ABS(CG16)-CH16)*60)-CI16)*60)</f>
        <v>47</v>
      </c>
      <c r="CK16" s="187">
        <f>INT((((((ABS(CG16)-CH16)*60)-CI16)*60)-CJ16)*60)</f>
        <v>58</v>
      </c>
      <c r="CM16" s="3" t="s">
        <v>1242</v>
      </c>
      <c r="CN16" s="3">
        <f>IF(CN14+180&lt;360,CN14+180,CN14+180-360)</f>
        <v>96.537085589265985</v>
      </c>
      <c r="CO16" s="187">
        <f>INT(ABS(CN16))</f>
        <v>96</v>
      </c>
      <c r="CP16" s="187">
        <f>INT((ABS(CN16)-CO16)*60)</f>
        <v>32</v>
      </c>
      <c r="CQ16" s="187">
        <f>INT((((ABS(CN16)-CO16)*60)-CP16)*60)</f>
        <v>13</v>
      </c>
      <c r="CR16" s="187">
        <f>INT((((((ABS(CN16)-CO16)*60)-CP16)*60)-CQ16)*60)</f>
        <v>30</v>
      </c>
      <c r="DB16" s="10" t="s">
        <v>1284</v>
      </c>
      <c r="DC16" s="10">
        <f>DC14+DC15</f>
        <v>219.0836311485233</v>
      </c>
      <c r="DD16" s="168">
        <f>INT(ABS(DC16))</f>
        <v>219</v>
      </c>
      <c r="DE16" s="168">
        <f>INT((ABS(DC16)-DD16)*60)</f>
        <v>5</v>
      </c>
      <c r="DF16" s="168">
        <f>INT((((ABS(DC16)-DD16)*60)-DE16)*60)</f>
        <v>1</v>
      </c>
      <c r="DG16" s="168">
        <f>INT((((((ABS(DC16)-DD16)*60)-DE16)*60)-DF16)*60)</f>
        <v>4</v>
      </c>
      <c r="DI16" s="10" t="s">
        <v>1284</v>
      </c>
      <c r="DJ16" s="10">
        <f>DJ14+DJ15</f>
        <v>328.63251432795209</v>
      </c>
      <c r="DK16" s="168">
        <f>INT(ABS(DJ16))</f>
        <v>328</v>
      </c>
      <c r="DL16" s="168">
        <f>INT((ABS(DJ16)-DK16)*60)</f>
        <v>37</v>
      </c>
      <c r="DM16" s="168">
        <f>INT((((ABS(DJ16)-DK16)*60)-DL16)*60)</f>
        <v>57</v>
      </c>
      <c r="DN16" s="168">
        <f>INT((((((ABS(DJ16)-DK16)*60)-DL16)*60)-DM16)*60)</f>
        <v>3</v>
      </c>
      <c r="DP16" s="10" t="s">
        <v>1284</v>
      </c>
      <c r="DQ16" s="10">
        <f>DQ14+DQ15</f>
        <v>148.95182057999301</v>
      </c>
      <c r="DR16" s="168">
        <f>INT(ABS(DQ16))</f>
        <v>148</v>
      </c>
      <c r="DS16" s="168">
        <f>INT((ABS(DQ16)-DR16)*60)</f>
        <v>57</v>
      </c>
      <c r="DT16" s="168">
        <f>INT((((ABS(DQ16)-DR16)*60)-DS16)*60)</f>
        <v>6</v>
      </c>
      <c r="DU16" s="168">
        <f>INT((((((ABS(DQ16)-DR16)*60)-DS16)*60)-DT16)*60)</f>
        <v>33</v>
      </c>
      <c r="DW16" s="10" t="s">
        <v>1284</v>
      </c>
      <c r="DX16" s="10">
        <f>DX14+DX15</f>
        <v>285.3376995073715</v>
      </c>
      <c r="DY16" s="168">
        <f>INT(ABS(DX16))</f>
        <v>285</v>
      </c>
      <c r="DZ16" s="168">
        <f>INT((ABS(DX16)-DY16)*60)</f>
        <v>20</v>
      </c>
      <c r="EA16" s="168">
        <f>INT((((ABS(DX16)-DY16)*60)-DZ16)*60)</f>
        <v>15</v>
      </c>
      <c r="EB16" s="168">
        <f>INT((((((ABS(DX16)-DY16)*60)-DZ16)*60)-EA16)*60)</f>
        <v>43</v>
      </c>
      <c r="ED16" s="10" t="s">
        <v>1284</v>
      </c>
      <c r="EE16" s="10">
        <f>EE14+EE15</f>
        <v>173.18041208127147</v>
      </c>
      <c r="EF16" s="168">
        <f>INT(ABS(EE16))</f>
        <v>173</v>
      </c>
      <c r="EG16" s="168">
        <f>INT((ABS(EE16)-EF16)*60)</f>
        <v>10</v>
      </c>
      <c r="EH16" s="168">
        <f>INT((((ABS(EE16)-EF16)*60)-EG16)*60)</f>
        <v>49</v>
      </c>
      <c r="EI16" s="168">
        <f>INT((((((ABS(EE16)-EF16)*60)-EG16)*60)-EH16)*60)</f>
        <v>29</v>
      </c>
      <c r="EW16" s="151" t="s">
        <v>275</v>
      </c>
      <c r="EX16" s="151" t="s">
        <v>403</v>
      </c>
      <c r="EY16" s="151"/>
      <c r="FB16">
        <f>FD11-12</f>
        <v>0.13090037585754111</v>
      </c>
      <c r="FC16" s="1621" t="s">
        <v>4218</v>
      </c>
      <c r="FD16" s="238">
        <f>[1]!vesha(FD2,FD3,FD4,FD5,FD6)</f>
        <v>20.805518734195722</v>
      </c>
      <c r="FE16" s="238">
        <f>FK34</f>
        <v>20.873917789190028</v>
      </c>
      <c r="FF16" s="243">
        <f>INT(ABS(FE16))</f>
        <v>20</v>
      </c>
      <c r="FG16" s="243">
        <f>INT((ABS(FE16)-FF16)*60)</f>
        <v>52</v>
      </c>
      <c r="FH16" s="243">
        <f>INT((((ABS(FE16)-FF16)*60)-FG16)*60)</f>
        <v>26</v>
      </c>
      <c r="FI16" s="733">
        <f>INT((((((ABS(FE16)-FF16)*60)-FG16)*60)-FH16)*60)</f>
        <v>6</v>
      </c>
      <c r="FJ16" s="1468" t="s">
        <v>227</v>
      </c>
      <c r="FK16" s="304">
        <f>[1]!ml(FK2,FK15)</f>
        <v>-23.362764958707743</v>
      </c>
      <c r="FL16" s="437">
        <f t="shared" si="9"/>
        <v>23</v>
      </c>
      <c r="FM16" s="437">
        <f t="shared" si="10"/>
        <v>21</v>
      </c>
      <c r="FN16" s="437">
        <f t="shared" si="11"/>
        <v>45</v>
      </c>
      <c r="FO16" s="914">
        <f t="shared" si="12"/>
        <v>57</v>
      </c>
      <c r="FP16" t="s">
        <v>4211</v>
      </c>
      <c r="FQ16">
        <f>FR16*FQ14/FR14</f>
        <v>5.5555555555555552E-2</v>
      </c>
      <c r="FR16">
        <v>15</v>
      </c>
      <c r="FS16" s="911" t="s">
        <v>227</v>
      </c>
      <c r="FT16" s="304">
        <f>[1]!ml(FT2,FT15)</f>
        <v>-23.363036615551572</v>
      </c>
      <c r="FU16" s="437">
        <f t="shared" si="13"/>
        <v>23</v>
      </c>
      <c r="FV16" s="437">
        <f t="shared" si="14"/>
        <v>21</v>
      </c>
      <c r="FW16" s="437">
        <f t="shared" si="15"/>
        <v>46</v>
      </c>
      <c r="FX16" s="437">
        <f t="shared" si="16"/>
        <v>55</v>
      </c>
      <c r="FY16" s="701" t="s">
        <v>368</v>
      </c>
      <c r="FZ16" s="304">
        <f>FZ13*[1]!sn(FZ11-FZ15)/[1]!sn(FZ11)</f>
        <v>20.05992088825974</v>
      </c>
      <c r="GA16" s="437">
        <f t="shared" si="82"/>
        <v>20</v>
      </c>
      <c r="GB16" s="437">
        <f t="shared" si="83"/>
        <v>3</v>
      </c>
      <c r="GC16" s="437">
        <f t="shared" si="84"/>
        <v>35</v>
      </c>
      <c r="GD16" s="914">
        <f t="shared" si="85"/>
        <v>42</v>
      </c>
      <c r="GE16" s="1468" t="s">
        <v>421</v>
      </c>
      <c r="GF16" s="304">
        <f>360-GF9</f>
        <v>143.79081475372504</v>
      </c>
      <c r="GG16" s="437">
        <f t="shared" si="45"/>
        <v>143</v>
      </c>
      <c r="GH16" s="437">
        <f t="shared" si="46"/>
        <v>47</v>
      </c>
      <c r="GI16" s="437">
        <f t="shared" si="47"/>
        <v>26</v>
      </c>
      <c r="GJ16" s="914">
        <f t="shared" si="48"/>
        <v>55</v>
      </c>
      <c r="GK16" s="797"/>
      <c r="GL16" s="797"/>
      <c r="GM16" s="797"/>
      <c r="GO16" s="701" t="s">
        <v>356</v>
      </c>
      <c r="GP16" s="304">
        <f>[1]!fdaer(GP2,GP9,GP8,GP12,GP6)</f>
        <v>0.10506067212738655</v>
      </c>
      <c r="GQ16" s="437">
        <f t="shared" si="89"/>
        <v>0</v>
      </c>
      <c r="GR16" s="437">
        <f t="shared" si="90"/>
        <v>6</v>
      </c>
      <c r="GS16" s="437">
        <f t="shared" si="91"/>
        <v>18</v>
      </c>
      <c r="GT16" s="914">
        <f t="shared" si="92"/>
        <v>13</v>
      </c>
    </row>
    <row r="17" spans="4:203" ht="24.75">
      <c r="D17" s="169" t="s">
        <v>1204</v>
      </c>
      <c r="E17" s="169" t="e">
        <f>IF(E4&gt;0,E15-E16,E15+E16)</f>
        <v>#VALUE!</v>
      </c>
      <c r="F17" s="168" t="e">
        <f>INT(ABS(E17))</f>
        <v>#VALUE!</v>
      </c>
      <c r="G17" s="168" t="e">
        <f>INT((ABS(E17)-F17)*60)</f>
        <v>#VALUE!</v>
      </c>
      <c r="H17" s="168" t="e">
        <f>INT((((ABS(E17)-F17)*60)-G17)*60)</f>
        <v>#VALUE!</v>
      </c>
      <c r="I17" s="168" t="e">
        <f>INT((((((ABS(E17)-F17)*60)-G17)*60)-H17)*60)</f>
        <v>#VALUE!</v>
      </c>
      <c r="M17" s="720" t="s">
        <v>389</v>
      </c>
      <c r="N17" s="272" t="e">
        <f>[1]!mtb(N7,N9)</f>
        <v>#VALUE!</v>
      </c>
      <c r="O17" s="214" t="e">
        <f t="shared" si="93"/>
        <v>#VALUE!</v>
      </c>
      <c r="P17" s="214" t="e">
        <f t="shared" si="94"/>
        <v>#VALUE!</v>
      </c>
      <c r="Q17" s="214" t="e">
        <f t="shared" si="95"/>
        <v>#VALUE!</v>
      </c>
      <c r="R17" s="901" t="e">
        <f t="shared" si="96"/>
        <v>#VALUE!</v>
      </c>
      <c r="V17" s="8" t="s">
        <v>1235</v>
      </c>
      <c r="W17" s="327" t="e">
        <f>[1]!tale3(W8,W7,0)</f>
        <v>#VALUE!</v>
      </c>
      <c r="AH17" s="175" t="s">
        <v>357</v>
      </c>
      <c r="AI17" s="174" t="e">
        <f>IF(AI16+AI15&lt;360,AI16+AI15,AI16+AI15-360)</f>
        <v>#VALUE!</v>
      </c>
      <c r="AJ17" s="168" t="e">
        <f t="shared" si="29"/>
        <v>#VALUE!</v>
      </c>
      <c r="AK17" s="168" t="e">
        <f t="shared" si="30"/>
        <v>#VALUE!</v>
      </c>
      <c r="AL17" s="168" t="e">
        <f t="shared" si="31"/>
        <v>#VALUE!</v>
      </c>
      <c r="AM17" s="168" t="e">
        <f t="shared" si="32"/>
        <v>#VALUE!</v>
      </c>
      <c r="AO17" s="175" t="s">
        <v>357</v>
      </c>
      <c r="AP17" s="174" t="e">
        <f>IF(AP16+AP15&lt;360,AP16+AP15,AP16+AP15-360)</f>
        <v>#VALUE!</v>
      </c>
      <c r="AQ17" s="168" t="e">
        <f t="shared" si="33"/>
        <v>#VALUE!</v>
      </c>
      <c r="AR17" s="168" t="e">
        <f t="shared" si="34"/>
        <v>#VALUE!</v>
      </c>
      <c r="AS17" s="168" t="e">
        <f t="shared" si="35"/>
        <v>#VALUE!</v>
      </c>
      <c r="AT17" s="168" t="e">
        <f t="shared" si="36"/>
        <v>#VALUE!</v>
      </c>
      <c r="AW17" s="3" t="s">
        <v>1243</v>
      </c>
      <c r="AX17" s="3">
        <f>IF(AX16+(90-AX13)&lt;360,AX16+(90-AX13),AX16+(90-AX13)-360)</f>
        <v>11.671035641476976</v>
      </c>
      <c r="AY17" s="168">
        <f>INT(ABS(AX17))</f>
        <v>11</v>
      </c>
      <c r="AZ17" s="168">
        <f>INT((ABS(AX17)-AY17)*60)</f>
        <v>40</v>
      </c>
      <c r="BA17" s="168">
        <f>INT((((ABS(AX17)-AY17)*60)-AZ17)*60)</f>
        <v>15</v>
      </c>
      <c r="BB17" s="168">
        <f>INT((((((ABS(AX17)-AY17)*60)-AZ17)*60)-BA17)*60)</f>
        <v>43</v>
      </c>
      <c r="BD17" s="3" t="s">
        <v>1241</v>
      </c>
      <c r="BE17" s="3">
        <f>IF(BE16+BE15+90&lt;360,BE16+BE15+90,BE16+BE15+90-360)</f>
        <v>207.41584482318805</v>
      </c>
      <c r="BF17" s="187">
        <f>INT(ABS(BE17))</f>
        <v>207</v>
      </c>
      <c r="BG17" s="187">
        <f>INT((ABS(BE17)-BF17)*60)</f>
        <v>24</v>
      </c>
      <c r="BH17" s="187">
        <f>INT((((ABS(BE17)-BF17)*60)-BG17)*60)</f>
        <v>57</v>
      </c>
      <c r="BI17" s="187">
        <f>INT((((((ABS(BE17)-BF17)*60)-BG17)*60)-BH17)*60)</f>
        <v>2</v>
      </c>
      <c r="BK17" s="3" t="s">
        <v>1239</v>
      </c>
      <c r="BL17" s="3">
        <f>BL16</f>
        <v>189.54149763345538</v>
      </c>
      <c r="BM17" s="187">
        <f t="shared" si="64"/>
        <v>189</v>
      </c>
      <c r="BN17" s="187">
        <f t="shared" si="65"/>
        <v>32</v>
      </c>
      <c r="BO17" s="187">
        <f t="shared" si="66"/>
        <v>29</v>
      </c>
      <c r="BP17" s="187">
        <f t="shared" si="67"/>
        <v>23</v>
      </c>
      <c r="BR17" s="3" t="s">
        <v>1243</v>
      </c>
      <c r="BS17" s="3">
        <f>IF(BS16+(90-BS13)&lt;360,BS16+(90-BS13),BS16+(90-BS13)-360)</f>
        <v>223.648866179186</v>
      </c>
      <c r="BT17" s="187">
        <f>INT(ABS(BS17))</f>
        <v>223</v>
      </c>
      <c r="BU17" s="187">
        <f>INT((ABS(BS17)-BT17)*60)</f>
        <v>38</v>
      </c>
      <c r="BV17" s="187">
        <f>INT((((ABS(BS17)-BT17)*60)-BU17)*60)</f>
        <v>55</v>
      </c>
      <c r="BW17" s="187">
        <f>INT((((((ABS(BS17)-BT17)*60)-BU17)*60)-BV17)*60)</f>
        <v>55</v>
      </c>
      <c r="BY17" s="3" t="s">
        <v>1243</v>
      </c>
      <c r="BZ17" s="3">
        <f>IF(BZ16+(90-BZ13)&lt;360,BZ16+(90-BZ13),BZ16+(90-BZ13)-360)</f>
        <v>60.779973087663507</v>
      </c>
      <c r="CA17" s="187">
        <f>INT(ABS(BZ17))</f>
        <v>60</v>
      </c>
      <c r="CB17" s="187">
        <f>INT((ABS(BZ17)-CA17)*60)</f>
        <v>46</v>
      </c>
      <c r="CC17" s="187">
        <f>INT((((ABS(BZ17)-CA17)*60)-CB17)*60)</f>
        <v>47</v>
      </c>
      <c r="CD17" s="187">
        <f>INT((((((ABS(BZ17)-CA17)*60)-CB17)*60)-CC17)*60)</f>
        <v>54</v>
      </c>
      <c r="CF17" s="3" t="s">
        <v>1243</v>
      </c>
      <c r="CG17" s="3">
        <f>IF(CG16+(90-CG13)&lt;360,CG16+(90-CG13),CG16+(90-CG13)-360)</f>
        <v>106.1166577493936</v>
      </c>
      <c r="CH17" s="187">
        <f>INT(ABS(CG17))</f>
        <v>106</v>
      </c>
      <c r="CI17" s="187">
        <f>INT((ABS(CG17)-CH17)*60)</f>
        <v>6</v>
      </c>
      <c r="CJ17" s="187">
        <f>INT((((ABS(CG17)-CH17)*60)-CI17)*60)</f>
        <v>59</v>
      </c>
      <c r="CK17" s="187">
        <f>INT((((((ABS(CG17)-CH17)*60)-CI17)*60)-CJ17)*60)</f>
        <v>58</v>
      </c>
      <c r="CM17" s="3" t="s">
        <v>1243</v>
      </c>
      <c r="CN17" s="3">
        <f>IF(CN16+(90-CN13)&lt;360,CN16+(90-CN13),CN16+(90-CN13)-360)</f>
        <v>183.20903003371043</v>
      </c>
      <c r="CO17" s="187">
        <f>INT(ABS(CN17))</f>
        <v>183</v>
      </c>
      <c r="CP17" s="187">
        <f>INT((ABS(CN17)-CO17)*60)</f>
        <v>12</v>
      </c>
      <c r="CQ17" s="187">
        <f>INT((((ABS(CN17)-CO17)*60)-CP17)*60)</f>
        <v>32</v>
      </c>
      <c r="CR17" s="187">
        <f>INT((((((ABS(CN17)-CO17)*60)-CP17)*60)-CQ17)*60)</f>
        <v>30</v>
      </c>
      <c r="EV17" s="151" t="s">
        <v>4022</v>
      </c>
      <c r="EW17" s="151">
        <v>35.721899999999998</v>
      </c>
      <c r="EX17" s="151">
        <v>51.334699999999998</v>
      </c>
      <c r="FC17" s="1621" t="s">
        <v>4217</v>
      </c>
      <c r="FD17" s="4">
        <f>[1]!vesha15(FD2,FD3,FD4,FD5,FD6)</f>
        <v>20.539820764769658</v>
      </c>
      <c r="FE17" s="4">
        <f>FD17</f>
        <v>20.539820764769658</v>
      </c>
      <c r="FF17" s="243">
        <f>INT(ABS(FE17))</f>
        <v>20</v>
      </c>
      <c r="FG17" s="243">
        <f>INT((ABS(FE17)-FF17)*60)</f>
        <v>32</v>
      </c>
      <c r="FH17" s="243">
        <f>INT((((ABS(FE17)-FF17)*60)-FG17)*60)</f>
        <v>23</v>
      </c>
      <c r="FI17" s="733">
        <f>INT((((((ABS(FE17)-FF17)*60)-FG17)*60)-FH17)*60)</f>
        <v>21</v>
      </c>
      <c r="FJ17" s="911" t="s">
        <v>421</v>
      </c>
      <c r="FK17" s="304">
        <f>360-FK10</f>
        <v>143.79081475372504</v>
      </c>
      <c r="FL17" s="437">
        <f t="shared" si="9"/>
        <v>143</v>
      </c>
      <c r="FM17" s="437">
        <f t="shared" si="10"/>
        <v>47</v>
      </c>
      <c r="FN17" s="437">
        <f t="shared" si="11"/>
        <v>26</v>
      </c>
      <c r="FO17" s="914">
        <f t="shared" si="12"/>
        <v>55</v>
      </c>
      <c r="FP17" s="797" t="s">
        <v>4213</v>
      </c>
      <c r="FS17" s="911" t="s">
        <v>421</v>
      </c>
      <c r="FT17" s="304">
        <f>360-FT10</f>
        <v>143.79081475372504</v>
      </c>
      <c r="FU17" s="437">
        <f t="shared" si="13"/>
        <v>143</v>
      </c>
      <c r="FV17" s="437">
        <f t="shared" si="14"/>
        <v>47</v>
      </c>
      <c r="FW17" s="437">
        <f t="shared" si="15"/>
        <v>26</v>
      </c>
      <c r="FX17" s="437">
        <f t="shared" si="16"/>
        <v>55</v>
      </c>
      <c r="FY17" s="701" t="s">
        <v>356</v>
      </c>
      <c r="FZ17" s="304">
        <f>[1]!acs(60-FZ16)</f>
        <v>48.266408180405982</v>
      </c>
      <c r="GA17" s="437">
        <f t="shared" si="82"/>
        <v>48</v>
      </c>
      <c r="GB17" s="437">
        <f t="shared" si="83"/>
        <v>15</v>
      </c>
      <c r="GC17" s="437">
        <f t="shared" si="84"/>
        <v>59</v>
      </c>
      <c r="GD17" s="914">
        <f t="shared" si="85"/>
        <v>4</v>
      </c>
      <c r="GE17" s="1468" t="s">
        <v>1316</v>
      </c>
      <c r="GF17" s="304">
        <f>GF16/2</f>
        <v>71.895407376862522</v>
      </c>
      <c r="GG17" s="437">
        <f t="shared" si="45"/>
        <v>71</v>
      </c>
      <c r="GH17" s="437">
        <f t="shared" si="46"/>
        <v>53</v>
      </c>
      <c r="GI17" s="437">
        <f t="shared" si="47"/>
        <v>43</v>
      </c>
      <c r="GJ17" s="914">
        <f t="shared" si="48"/>
        <v>27</v>
      </c>
      <c r="GK17" s="797"/>
      <c r="GL17" s="797"/>
      <c r="GM17" s="797"/>
      <c r="GO17" s="701" t="s">
        <v>1387</v>
      </c>
      <c r="GP17" s="304">
        <f>IF(GP13=1,IF(GP15-GP16&gt;0,GP15-GP16,GP15-GP16+360),IF(GP15+GP16&lt;360,GP15+GP16,GP15+GP16-360))</f>
        <v>94.787106229817383</v>
      </c>
      <c r="GQ17" s="437">
        <f t="shared" si="89"/>
        <v>94</v>
      </c>
      <c r="GR17" s="437">
        <f t="shared" si="90"/>
        <v>47</v>
      </c>
      <c r="GS17" s="437">
        <f t="shared" si="91"/>
        <v>13</v>
      </c>
      <c r="GT17" s="914">
        <f t="shared" si="92"/>
        <v>34</v>
      </c>
    </row>
    <row r="18" spans="4:203" ht="24" thickBot="1">
      <c r="D18" s="169" t="s">
        <v>1205</v>
      </c>
      <c r="E18" s="169">
        <f>IF(ABS(E7-E6)&lt;180,ABS(E7-E6),360-ABS(E7-E6))</f>
        <v>3</v>
      </c>
      <c r="F18" s="168">
        <f>INT(ABS(E18))</f>
        <v>3</v>
      </c>
      <c r="G18" s="168">
        <f>INT((ABS(E18)-F18)*60)</f>
        <v>0</v>
      </c>
      <c r="H18" s="168">
        <f>INT((((ABS(E18)-F18)*60)-G18)*60)</f>
        <v>0</v>
      </c>
      <c r="I18" s="168">
        <f>INT((((((ABS(E18)-F18)*60)-G18)*60)-H18)*60)</f>
        <v>0</v>
      </c>
      <c r="M18" s="924" t="s">
        <v>1221</v>
      </c>
      <c r="N18" s="272" t="e">
        <f>[1]!tazmb(N17,N9)</f>
        <v>#VALUE!</v>
      </c>
      <c r="O18" s="214" t="e">
        <f t="shared" si="93"/>
        <v>#VALUE!</v>
      </c>
      <c r="P18" s="214" t="e">
        <f t="shared" si="94"/>
        <v>#VALUE!</v>
      </c>
      <c r="Q18" s="214" t="e">
        <f t="shared" si="95"/>
        <v>#VALUE!</v>
      </c>
      <c r="R18" s="901" t="e">
        <f t="shared" si="96"/>
        <v>#VALUE!</v>
      </c>
      <c r="AH18" s="175" t="s">
        <v>1065</v>
      </c>
      <c r="AI18" s="173" t="e">
        <f>[1]!tazmb(AI17,AI11)</f>
        <v>#VALUE!</v>
      </c>
      <c r="AJ18" s="168" t="e">
        <f t="shared" si="29"/>
        <v>#VALUE!</v>
      </c>
      <c r="AK18" s="168" t="e">
        <f t="shared" si="30"/>
        <v>#VALUE!</v>
      </c>
      <c r="AL18" s="168" t="e">
        <f t="shared" si="31"/>
        <v>#VALUE!</v>
      </c>
      <c r="AM18" s="168" t="e">
        <f t="shared" si="32"/>
        <v>#VALUE!</v>
      </c>
      <c r="AO18" s="178" t="s">
        <v>1065</v>
      </c>
      <c r="AP18" s="179" t="e">
        <f>[1]!tazmb(AP17,AP11)</f>
        <v>#VALUE!</v>
      </c>
      <c r="AQ18" s="180" t="e">
        <f t="shared" si="33"/>
        <v>#VALUE!</v>
      </c>
      <c r="AR18" s="180" t="e">
        <f t="shared" si="34"/>
        <v>#VALUE!</v>
      </c>
      <c r="AS18" s="180" t="e">
        <f t="shared" si="35"/>
        <v>#VALUE!</v>
      </c>
      <c r="AT18" s="180" t="e">
        <f t="shared" si="36"/>
        <v>#VALUE!</v>
      </c>
      <c r="AW18" s="3" t="s">
        <v>3800</v>
      </c>
      <c r="AX18" s="98" t="str">
        <f>IF(AND(AX12&gt;=AX14,AX12&lt;AX15),"نطاق اول",IF(AND(AX12&gt;=AX15,AX12&lt;AX16),"نطاق دوم",IF(AND(AX12&gt;=AX16,AX12&lt;AX17),"نطاق سوم","نطاق چهارم")))</f>
        <v>نطاق چهارم</v>
      </c>
      <c r="AY18" s="363" t="str">
        <f>[1]!netshmame(AX4,AX5,AX6,AX7,AX12)</f>
        <v>netaq4</v>
      </c>
      <c r="AZ18" s="3"/>
      <c r="BA18" s="3"/>
      <c r="BB18" s="3"/>
      <c r="BD18" s="3" t="s">
        <v>1242</v>
      </c>
      <c r="BE18" s="3">
        <f>IF(BE16+180&lt;360,BE16+180,BE16+180-360)</f>
        <v>287.51501148985471</v>
      </c>
      <c r="BF18" s="187">
        <f>INT(ABS(BE18))</f>
        <v>287</v>
      </c>
      <c r="BG18" s="187">
        <f>INT((ABS(BE18)-BF18)*60)</f>
        <v>30</v>
      </c>
      <c r="BH18" s="187">
        <f>INT((((ABS(BE18)-BF18)*60)-BG18)*60)</f>
        <v>54</v>
      </c>
      <c r="BI18" s="187">
        <f>INT((((((ABS(BE18)-BF18)*60)-BG18)*60)-BH18)*60)</f>
        <v>2</v>
      </c>
      <c r="BK18" s="3" t="s">
        <v>1240</v>
      </c>
      <c r="BL18" s="183">
        <f>(((((BP18/60)+BO18)/60)+BN18)/60)+BM18</f>
        <v>8.6272222222222226</v>
      </c>
      <c r="BM18" s="3">
        <v>8</v>
      </c>
      <c r="BN18" s="3">
        <v>37</v>
      </c>
      <c r="BO18" s="3">
        <v>38</v>
      </c>
      <c r="BP18" s="3">
        <v>0</v>
      </c>
      <c r="BR18" s="3"/>
      <c r="BS18" s="98" t="str">
        <f>IF(AND(BS12&gt;=BS14,BS12&lt;BS15),"نطاق اول",IF(AND(BS12&gt;=BS15,BS12&lt;BS16),"نطاق دوم",IF(AND(BS12&gt;=BS16,BS12&lt;BS17),"نطاق سوم","نطاق چهارم")))</f>
        <v>نطاق چهارم</v>
      </c>
      <c r="BT18" s="3" t="str">
        <f>[1]!netzormame(BS4,BS5,BS6,BS7)</f>
        <v>netaq1</v>
      </c>
      <c r="BU18" s="3"/>
      <c r="BV18" s="3"/>
      <c r="BW18" s="3"/>
      <c r="BY18" s="3"/>
      <c r="BZ18" s="98" t="str">
        <f>IF(AND(BZ12&gt;=BZ14,BZ12&lt;BZ15),"نطاق اول",IF(AND(BZ12&gt;=BZ15,BZ12&lt;BZ16),"نطاق دوم",IF(AND(BZ12&gt;=BZ16,BZ12&lt;BZ17),"نطاق سوم","نطاق چهارم")))</f>
        <v>نطاق دوم</v>
      </c>
      <c r="CA18" s="3" t="str">
        <f>[1]!netmermame(BZ4,BZ5,BZ6,BZ7)</f>
        <v>netaq2</v>
      </c>
      <c r="CB18" s="3"/>
      <c r="CC18" s="3"/>
      <c r="CD18" s="3"/>
      <c r="CF18" s="3"/>
      <c r="CG18" s="98" t="str">
        <f>IF(AND(CG12&gt;=CG14,CG12&lt;CG15),"نطاق اول",IF(AND(CG12&gt;=CG15,CG12&lt;CG16),"نطاق دوم",IF(AND(CG12&gt;=CG16,CG12&lt;CG17),"نطاق سوم","نطاق چهارم")))</f>
        <v>نطاق چهارم</v>
      </c>
      <c r="CH18" s="3" t="str">
        <f>[1]!netmoshmame(CG4,CG5,CG6,CG7)</f>
        <v>netaq4</v>
      </c>
      <c r="CI18" s="3"/>
      <c r="CJ18" s="3"/>
      <c r="CK18" s="3"/>
      <c r="CM18" s="3"/>
      <c r="CN18" s="98" t="str">
        <f>IF(AND(CN12&gt;=CN14,CN12&lt;CN15),"نطاق اول",IF(AND(CN12&gt;=CN15,CN12&lt;CN16),"نطاق دوم",IF(AND(CN12&gt;=CN16,CN12&lt;CN17),"نطاق سوم","نطاق چهارم")))</f>
        <v>نطاق دوم</v>
      </c>
      <c r="CO18" s="3" t="str">
        <f>[1]!netzohmame(CN4,CN5,CN6,CN7)</f>
        <v>netaq2</v>
      </c>
      <c r="CP18" s="3"/>
      <c r="CQ18" s="3">
        <f>[1]!oujzo(CN4,CN5,CN6,CN7)</f>
        <v>276.53708558926598</v>
      </c>
      <c r="CR18" s="3"/>
      <c r="CU18" s="10" t="s">
        <v>1264</v>
      </c>
      <c r="CV18" s="10"/>
      <c r="CW18" s="10"/>
      <c r="CX18" s="10"/>
      <c r="CY18" s="10"/>
      <c r="CZ18" s="10"/>
      <c r="DB18" s="24" t="s">
        <v>1270</v>
      </c>
      <c r="DC18" s="24"/>
      <c r="DD18" s="24"/>
      <c r="DE18" s="24"/>
      <c r="DF18" s="24"/>
      <c r="DG18" s="24"/>
      <c r="DI18" s="24" t="s">
        <v>1272</v>
      </c>
      <c r="DJ18" s="24"/>
      <c r="DK18" s="24"/>
      <c r="DL18" s="24"/>
      <c r="DM18" s="24"/>
      <c r="DN18" s="24"/>
      <c r="DP18" s="24" t="s">
        <v>1274</v>
      </c>
      <c r="DQ18" s="24"/>
      <c r="DR18" s="24"/>
      <c r="DS18" s="24"/>
      <c r="DT18" s="24"/>
      <c r="DU18" s="24"/>
      <c r="DW18" s="24" t="s">
        <v>1277</v>
      </c>
      <c r="DX18" s="24"/>
      <c r="DY18" s="24"/>
      <c r="DZ18" s="24"/>
      <c r="EA18" s="24"/>
      <c r="EB18" s="24"/>
      <c r="ED18" s="24" t="s">
        <v>1278</v>
      </c>
      <c r="EE18" s="24"/>
      <c r="EF18" s="24"/>
      <c r="EG18" s="24"/>
      <c r="EH18" s="24"/>
      <c r="EI18" s="24"/>
      <c r="EV18" t="s">
        <v>3668</v>
      </c>
      <c r="EW18">
        <v>36.565899999999999</v>
      </c>
      <c r="EX18">
        <v>53.058599999999998</v>
      </c>
      <c r="FC18" s="1622" t="s">
        <v>3995</v>
      </c>
      <c r="FD18" s="735">
        <f>[1]!nimeshab(FD2,FD3,FD4,FD5,FD6)</f>
        <v>23.387878093962545</v>
      </c>
      <c r="FE18" s="735">
        <f>FZ38</f>
        <v>23.387878097962549</v>
      </c>
      <c r="FF18" s="902">
        <f>INT(ABS(FE18))</f>
        <v>23</v>
      </c>
      <c r="FG18" s="902">
        <f>INT((ABS(FE18)-FF18)*60)</f>
        <v>23</v>
      </c>
      <c r="FH18" s="902">
        <f>INT((((ABS(FE18)-FF18)*60)-FG18)*60)</f>
        <v>16</v>
      </c>
      <c r="FI18" s="903">
        <f>INT((((((ABS(FE18)-FF18)*60)-FG18)*60)-FH18)*60)</f>
        <v>21</v>
      </c>
      <c r="FJ18" s="911" t="s">
        <v>1316</v>
      </c>
      <c r="FK18" s="304">
        <f>FK17/2</f>
        <v>71.895407376862522</v>
      </c>
      <c r="FL18" s="437">
        <f t="shared" si="9"/>
        <v>71</v>
      </c>
      <c r="FM18" s="437">
        <f t="shared" si="10"/>
        <v>53</v>
      </c>
      <c r="FN18" s="437">
        <f t="shared" si="11"/>
        <v>43</v>
      </c>
      <c r="FO18" s="914">
        <f t="shared" si="12"/>
        <v>27</v>
      </c>
      <c r="FS18" s="911" t="s">
        <v>1316</v>
      </c>
      <c r="FT18" s="304">
        <f>FT17/2</f>
        <v>71.895407376862522</v>
      </c>
      <c r="FU18" s="437">
        <f t="shared" si="13"/>
        <v>71</v>
      </c>
      <c r="FV18" s="437">
        <f t="shared" si="14"/>
        <v>53</v>
      </c>
      <c r="FW18" s="437">
        <f t="shared" si="15"/>
        <v>43</v>
      </c>
      <c r="FX18" s="437">
        <f t="shared" si="16"/>
        <v>27</v>
      </c>
      <c r="FY18" s="911" t="s">
        <v>1378</v>
      </c>
      <c r="FZ18" s="304">
        <f>[1]!mbtool(2,17,24,1)</f>
        <v>9.5416666666666664E-2</v>
      </c>
      <c r="GA18" s="437">
        <f t="shared" si="82"/>
        <v>0</v>
      </c>
      <c r="GB18" s="437">
        <f t="shared" si="83"/>
        <v>5</v>
      </c>
      <c r="GC18" s="437">
        <f t="shared" si="84"/>
        <v>43</v>
      </c>
      <c r="GD18" s="914">
        <f t="shared" si="85"/>
        <v>29</v>
      </c>
      <c r="GE18" s="1468" t="s">
        <v>658</v>
      </c>
      <c r="GF18" s="304">
        <f>[1]!qrk(GF15,GF6)</f>
        <v>30.931849829106582</v>
      </c>
      <c r="GG18" s="437">
        <f t="shared" si="45"/>
        <v>30</v>
      </c>
      <c r="GH18" s="437">
        <f t="shared" si="46"/>
        <v>55</v>
      </c>
      <c r="GI18" s="437">
        <f t="shared" si="47"/>
        <v>54</v>
      </c>
      <c r="GJ18" s="914">
        <f t="shared" si="48"/>
        <v>39</v>
      </c>
      <c r="GK18" s="797"/>
      <c r="GL18" s="797"/>
      <c r="GM18" s="797"/>
      <c r="GO18" s="701" t="s">
        <v>357</v>
      </c>
      <c r="GP18" s="304">
        <f>IF(GP17+90&lt;360,GP17+90,GP17+90-360)</f>
        <v>184.78710622981737</v>
      </c>
      <c r="GQ18" s="437">
        <f t="shared" si="89"/>
        <v>184</v>
      </c>
      <c r="GR18" s="437">
        <f t="shared" si="90"/>
        <v>47</v>
      </c>
      <c r="GS18" s="437">
        <f t="shared" si="91"/>
        <v>13</v>
      </c>
      <c r="GT18" s="914">
        <f t="shared" si="92"/>
        <v>34</v>
      </c>
    </row>
    <row r="19" spans="4:203" ht="22.5">
      <c r="D19" s="169"/>
      <c r="E19" s="169" t="e">
        <f>IF(E18=E17,"ابتدای ظهور یا خفای کوکب است",IF(E18&gt;E17,"کوکب ظاهر است","کوکب ظاهر نیست"))</f>
        <v>#VALUE!</v>
      </c>
      <c r="F19" s="169"/>
      <c r="G19" s="169"/>
      <c r="H19" s="169"/>
      <c r="I19" s="169"/>
      <c r="M19" s="924" t="s">
        <v>279</v>
      </c>
      <c r="N19" s="272" t="e">
        <f>[1]!tale3(N9,N7,0)</f>
        <v>#VALUE!</v>
      </c>
      <c r="O19" s="214" t="e">
        <f t="shared" si="93"/>
        <v>#VALUE!</v>
      </c>
      <c r="P19" s="214" t="e">
        <f t="shared" si="94"/>
        <v>#VALUE!</v>
      </c>
      <c r="Q19" s="214" t="e">
        <f t="shared" si="95"/>
        <v>#VALUE!</v>
      </c>
      <c r="R19" s="901" t="e">
        <f t="shared" si="96"/>
        <v>#VALUE!</v>
      </c>
      <c r="AI19" s="327" t="e">
        <f>[1]!tale3(AI11,AI9,AI8)</f>
        <v>#VALUE!</v>
      </c>
      <c r="AP19" t="e">
        <f>[1]!tale3(AP11,AP9,AP8)</f>
        <v>#VALUE!</v>
      </c>
      <c r="AW19" s="8" t="s">
        <v>1247</v>
      </c>
      <c r="AX19" s="8"/>
      <c r="AY19" s="8"/>
      <c r="AZ19" s="8"/>
      <c r="BA19" s="8"/>
      <c r="BB19" s="8"/>
      <c r="BD19" s="3" t="s">
        <v>1243</v>
      </c>
      <c r="BE19" s="3">
        <f>IF(BE18+(90-BE15)&lt;360,BE18+(90-BE15),BE18+(90-BE15)-360)</f>
        <v>7.6141781565213478</v>
      </c>
      <c r="BF19" s="187">
        <f>INT(ABS(BE19))</f>
        <v>7</v>
      </c>
      <c r="BG19" s="187">
        <f>INT((ABS(BE19)-BF19)*60)</f>
        <v>36</v>
      </c>
      <c r="BH19" s="187">
        <f>INT((((ABS(BE19)-BF19)*60)-BG19)*60)</f>
        <v>51</v>
      </c>
      <c r="BI19" s="187">
        <f>INT((((((ABS(BE19)-BF19)*60)-BG19)*60)-BH19)*60)</f>
        <v>2</v>
      </c>
      <c r="BK19" s="3" t="s">
        <v>1254</v>
      </c>
      <c r="BL19" s="3">
        <f>[1]!oujott(BL4,BL5,BL6,BL7)</f>
        <v>261.84231051436797</v>
      </c>
      <c r="BM19" s="187">
        <f>INT(ABS(BL19))</f>
        <v>261</v>
      </c>
      <c r="BN19" s="187">
        <f>INT((ABS(BL19)-BM19)*60)</f>
        <v>50</v>
      </c>
      <c r="BO19" s="187">
        <f>INT((((ABS(BL19)-BM19)*60)-BN19)*60)</f>
        <v>32</v>
      </c>
      <c r="BP19" s="187">
        <f>INT((((((ABS(BL19)-BM19)*60)-BN19)*60)-BO19)*60)</f>
        <v>19</v>
      </c>
      <c r="BR19" s="8" t="s">
        <v>1248</v>
      </c>
      <c r="BS19" s="8"/>
      <c r="BT19" s="8"/>
      <c r="BU19" s="8"/>
      <c r="BV19" s="8"/>
      <c r="BW19" s="8"/>
      <c r="BY19" s="8" t="s">
        <v>1249</v>
      </c>
      <c r="BZ19" s="8"/>
      <c r="CA19" s="8"/>
      <c r="CB19" s="8"/>
      <c r="CC19" s="8"/>
      <c r="CD19" s="8"/>
      <c r="CF19" s="8" t="s">
        <v>1250</v>
      </c>
      <c r="CG19" s="8"/>
      <c r="CH19" s="8"/>
      <c r="CI19" s="8"/>
      <c r="CJ19" s="8"/>
      <c r="CK19" s="8"/>
      <c r="CM19" s="8" t="s">
        <v>1251</v>
      </c>
      <c r="CN19" s="8"/>
      <c r="CO19" s="8"/>
      <c r="CP19" s="8"/>
      <c r="CQ19" s="8"/>
      <c r="CR19" s="8"/>
      <c r="CU19" s="4" t="s">
        <v>1265</v>
      </c>
      <c r="CV19" s="4">
        <f>CV14</f>
        <v>268.7563900546171</v>
      </c>
      <c r="CW19" s="4"/>
      <c r="CX19" s="4"/>
      <c r="CY19" s="4"/>
      <c r="CZ19" s="4"/>
      <c r="DB19" s="4" t="s">
        <v>1265</v>
      </c>
      <c r="DC19" s="4">
        <f>DC16</f>
        <v>219.0836311485233</v>
      </c>
      <c r="DD19" s="4"/>
      <c r="DE19" s="4"/>
      <c r="DF19" s="4"/>
      <c r="DG19" s="4"/>
      <c r="DI19" s="4" t="s">
        <v>1265</v>
      </c>
      <c r="DJ19" s="4">
        <f>DJ16</f>
        <v>328.63251432795209</v>
      </c>
      <c r="DK19" s="4"/>
      <c r="DL19" s="4"/>
      <c r="DM19" s="4"/>
      <c r="DN19" s="4"/>
      <c r="DP19" s="4" t="s">
        <v>1265</v>
      </c>
      <c r="DQ19" s="4">
        <f>DQ16</f>
        <v>148.95182057999301</v>
      </c>
      <c r="DR19" s="4"/>
      <c r="DS19" s="4"/>
      <c r="DT19" s="4"/>
      <c r="DU19" s="4"/>
      <c r="DW19" s="4" t="s">
        <v>1265</v>
      </c>
      <c r="DX19" s="4">
        <f>DX16</f>
        <v>285.3376995073715</v>
      </c>
      <c r="DY19" s="4"/>
      <c r="DZ19" s="4"/>
      <c r="EA19" s="4"/>
      <c r="EB19" s="4"/>
      <c r="ED19" s="4" t="s">
        <v>1265</v>
      </c>
      <c r="EE19" s="4">
        <f>EE16</f>
        <v>173.18041208127147</v>
      </c>
      <c r="EF19" s="4"/>
      <c r="EG19" s="4"/>
      <c r="EH19" s="4"/>
      <c r="EI19" s="4"/>
      <c r="EV19" t="s">
        <v>3683</v>
      </c>
      <c r="EW19">
        <v>29.592600000000001</v>
      </c>
      <c r="EX19">
        <v>52.583599999999997</v>
      </c>
      <c r="FD19" t="s">
        <v>378</v>
      </c>
      <c r="FE19">
        <f>[1]!taqsha(FD2,FD3,[1]!roz(FD4,FD11,0,0),FD5)</f>
        <v>94.303381267759875</v>
      </c>
      <c r="FF19" s="243">
        <f t="shared" ref="FF19:FF22" si="97">INT(ABS(FE19))</f>
        <v>94</v>
      </c>
      <c r="FG19" s="243">
        <f t="shared" ref="FG19:FG22" si="98">INT((ABS(FE19)-FF19)*60)</f>
        <v>18</v>
      </c>
      <c r="FH19" s="243">
        <f t="shared" ref="FH19:FH22" si="99">INT((((ABS(FE19)-FF19)*60)-FG19)*60)</f>
        <v>12</v>
      </c>
      <c r="FI19" s="733">
        <f t="shared" ref="FI19:FI22" si="100">INT((((((ABS(FE19)-FF19)*60)-FG19)*60)-FH19)*60)</f>
        <v>10</v>
      </c>
      <c r="FJ19" s="911" t="s">
        <v>658</v>
      </c>
      <c r="FK19" s="304">
        <f>[1]!qrk(FK16,FK6)</f>
        <v>30.915335041292259</v>
      </c>
      <c r="FL19" s="437">
        <f t="shared" si="9"/>
        <v>30</v>
      </c>
      <c r="FM19" s="437">
        <f t="shared" si="10"/>
        <v>54</v>
      </c>
      <c r="FN19" s="437">
        <f t="shared" si="11"/>
        <v>55</v>
      </c>
      <c r="FO19" s="914">
        <f t="shared" si="12"/>
        <v>12</v>
      </c>
      <c r="FS19" s="911" t="s">
        <v>658</v>
      </c>
      <c r="FT19" s="304">
        <f>[1]!qrk(FT16,FT6)</f>
        <v>30.91506338444843</v>
      </c>
      <c r="FU19" s="437">
        <f t="shared" si="13"/>
        <v>30</v>
      </c>
      <c r="FV19" s="437">
        <f t="shared" si="14"/>
        <v>54</v>
      </c>
      <c r="FW19" s="437">
        <f t="shared" si="15"/>
        <v>54</v>
      </c>
      <c r="FX19" s="437">
        <f t="shared" si="16"/>
        <v>13</v>
      </c>
      <c r="FY19" s="911" t="s">
        <v>3984</v>
      </c>
      <c r="FZ19" s="304">
        <f>(FZ5-FZ18)*24</f>
        <v>1.3697777800000477E-2</v>
      </c>
      <c r="GA19" s="437">
        <f t="shared" si="82"/>
        <v>0</v>
      </c>
      <c r="GB19" s="437">
        <f t="shared" si="83"/>
        <v>0</v>
      </c>
      <c r="GC19" s="437">
        <f t="shared" si="84"/>
        <v>49</v>
      </c>
      <c r="GD19" s="914">
        <f t="shared" si="85"/>
        <v>18</v>
      </c>
      <c r="GE19" s="1468" t="s">
        <v>365</v>
      </c>
      <c r="GF19" s="304">
        <f>[1]!sn(GF18)</f>
        <v>30.84108945427279</v>
      </c>
      <c r="GG19" s="437">
        <f t="shared" si="45"/>
        <v>30</v>
      </c>
      <c r="GH19" s="437">
        <f t="shared" si="46"/>
        <v>50</v>
      </c>
      <c r="GI19" s="437">
        <f t="shared" si="47"/>
        <v>27</v>
      </c>
      <c r="GJ19" s="914">
        <f t="shared" si="48"/>
        <v>55</v>
      </c>
      <c r="GK19" s="797"/>
      <c r="GL19" s="797"/>
      <c r="GM19" s="797"/>
      <c r="GO19" s="906" t="s">
        <v>4011</v>
      </c>
      <c r="GP19" s="114">
        <f>[1]!tazmb(GP2,GP18,GP6)</f>
        <v>183.97729406854893</v>
      </c>
      <c r="GQ19" s="237">
        <f t="shared" si="89"/>
        <v>183</v>
      </c>
      <c r="GR19" s="237">
        <f t="shared" si="90"/>
        <v>58</v>
      </c>
      <c r="GS19" s="237">
        <f t="shared" si="91"/>
        <v>38</v>
      </c>
      <c r="GT19" s="907">
        <f t="shared" si="92"/>
        <v>15</v>
      </c>
      <c r="GU19" t="s">
        <v>4105</v>
      </c>
    </row>
    <row r="20" spans="4:203" ht="23.25">
      <c r="E20" t="e">
        <f>[1]!zohorkame(E4,E6,E7,E5)</f>
        <v>#VALUE!</v>
      </c>
      <c r="M20" s="924" t="s">
        <v>3795</v>
      </c>
      <c r="N20" s="272" t="e">
        <f>IF(N13+N16&lt;360,N13+N16,N16+N13-360)</f>
        <v>#VALUE!</v>
      </c>
      <c r="O20" s="214" t="e">
        <f t="shared" si="93"/>
        <v>#VALUE!</v>
      </c>
      <c r="P20" s="214" t="e">
        <f t="shared" si="94"/>
        <v>#VALUE!</v>
      </c>
      <c r="Q20" s="214" t="e">
        <f t="shared" si="95"/>
        <v>#VALUE!</v>
      </c>
      <c r="R20" s="901" t="e">
        <f t="shared" si="96"/>
        <v>#VALUE!</v>
      </c>
      <c r="AH20" s="177" t="s">
        <v>1237</v>
      </c>
      <c r="AI20" t="e">
        <f>IF(AI18&lt;=AI7,"شرطین",IF(AI18&lt;=2*AI7,"بطین",IF(AI18&lt;=3*AI7,"ثریا",IF(AI18&lt;=4*AI7,"دبران",IF(AI18&lt;=5*AI7,"هقعه",IF(AI18&lt;=6*AI7,"هبغه",IF(AI18&lt;=7*AI7,"ذراع",IF(AI18&lt;=8*AI7,"نثره",IF(AI18&lt;=9*AI7,"طرفه",IF(AI18&lt;=10*AI7,"جبهه",IF(AI18&lt;=11*AI7,"زبره",IF(AI18&lt;=12*AI7,"صرفه",IF(AI18&lt;=13*AI7,"عوا",IF(AI18&lt;=14*AI7,"سماک",IF(AI18&lt;=15*AI7,"غفره",IF(AI18&lt;=16*AI7,"زمانا",IF(AI18&lt;=17*AI7,"اکلیل",IF(AI18&lt;=18*AI7,"قلب",IF(AI18&lt;=19*AI7,"شوله",IF(AI18&lt;=20*AI7,"نعایم",IF(AI18&lt;=21*AI7,"بلده",IF(AI18&lt;=22*AI7,"ذابح",IF(AI18&lt;=23*AI7,"بلع",IF(AI18&lt;=24*AI7,"سعود",IF(AI18&lt;=25*AI7,"اخبیه",IF(AI18&lt;=26*AI7,"مقدم",IF(AI18&lt;=27*AI7,"موخر","رشا")))))))))))))))))))))))))))</f>
        <v>#VALUE!</v>
      </c>
      <c r="AO20" s="177" t="s">
        <v>1237</v>
      </c>
      <c r="AP20" s="22" t="e">
        <f>IF(AP18&lt;=AP7,"شرطین",IF(AP18&lt;=2*AP7,"بطین",IF(AP18&lt;=3*AP7,"ثریا",IF(AP18&lt;=4*AP7,"دبران",IF(AP18&lt;=5*AP7,"هقعه",IF(AP18&lt;=6*AP7,"هبغه",IF(AP18&lt;=7*AP7,"ذراع",IF(AP18&lt;=8*AP7,"نثره",IF(AP18&lt;=9*AP7,"طرفه",IF(AP18&lt;=10*AP7,"جبهه",IF(AP18&lt;=11*AP7,"زبره",IF(AP18&lt;=12*AP7,"صرفه",IF(AP18&lt;=13*AP7,"عوا",IF(AP18&lt;=14*AP7,"سماک",IF(AP18&lt;=15*AP7,"غفره",IF(AP18&lt;=16*AP7,"زمانا",IF(AP18&lt;=17*AP7,"اکلیل",IF(AP18&lt;=18*AP7,"قلب",IF(AP18&lt;=19*AP7,"شوله",IF(AP18&lt;=20*AP7,"نعایم",IF(AP18&lt;=21*AP7,"بلده",IF(AP18&lt;=22*AP7,"ذابح",IF(AP18&lt;=23*AP7,"بلع",IF(AP18&lt;=24*AP7,"سعود",IF(AP18&lt;=25*AP7,"اخبیه",IF(AP18&lt;=26*AP7,"مقدم",IF(AP18&lt;=27*AP7,"موخر","رشا")))))))))))))))))))))))))))</f>
        <v>#VALUE!</v>
      </c>
      <c r="AQ20" s="22"/>
      <c r="AR20" s="22"/>
      <c r="AS20" s="22"/>
      <c r="AT20" s="22"/>
      <c r="AW20" s="181" t="s">
        <v>3</v>
      </c>
      <c r="AX20" s="182">
        <v>1442</v>
      </c>
      <c r="AY20" s="3"/>
      <c r="AZ20" s="3"/>
      <c r="BA20" s="3"/>
      <c r="BB20" s="3"/>
      <c r="BD20" s="3"/>
      <c r="BE20" s="98" t="str">
        <f>IF(AND(BE14&gt;=BE16,BE14&lt;BE17),"نطاق اول",IF(AND(BE14&gt;=BE17,BE14&lt;BE18),"نطاق دوم",IF(AND(BE14&gt;=BE18,BE14&lt;BE19),"نطاق سوم","نطاق چهارم")))</f>
        <v>نطاق اول</v>
      </c>
      <c r="BF20" s="3" t="str">
        <f>[1]!netqmame(BE4,BE5,BE6,BE7)</f>
        <v>netaq1</v>
      </c>
      <c r="BG20" s="3"/>
      <c r="BH20" s="3"/>
      <c r="BI20" s="3"/>
      <c r="BK20" s="3" t="s">
        <v>1241</v>
      </c>
      <c r="BL20" s="3">
        <f>IF(BL19+BL18+90&lt;360,BL19+BL18+90,BL19+BL18+90-360)</f>
        <v>0.46953273659016759</v>
      </c>
      <c r="BM20" s="187">
        <f>INT(ABS(BL20))</f>
        <v>0</v>
      </c>
      <c r="BN20" s="187">
        <f>INT((ABS(BL20)-BM20)*60)</f>
        <v>28</v>
      </c>
      <c r="BO20" s="187">
        <f>INT((((ABS(BL20)-BM20)*60)-BN20)*60)</f>
        <v>10</v>
      </c>
      <c r="BP20" s="187">
        <f>INT((((((ABS(BL20)-BM20)*60)-BN20)*60)-BO20)*60)</f>
        <v>19</v>
      </c>
      <c r="BR20" s="181" t="s">
        <v>3</v>
      </c>
      <c r="BS20" s="182">
        <v>1442</v>
      </c>
      <c r="BT20" s="3"/>
      <c r="BU20" s="3"/>
      <c r="BV20" s="3"/>
      <c r="BW20" s="3"/>
      <c r="BY20" s="181" t="s">
        <v>3</v>
      </c>
      <c r="BZ20" s="182">
        <v>1442</v>
      </c>
      <c r="CA20" s="3"/>
      <c r="CB20" s="3"/>
      <c r="CC20" s="3"/>
      <c r="CD20" s="3"/>
      <c r="CF20" s="181" t="s">
        <v>3</v>
      </c>
      <c r="CG20" s="182">
        <v>1442</v>
      </c>
      <c r="CH20" s="3"/>
      <c r="CI20" s="3"/>
      <c r="CJ20" s="3"/>
      <c r="CK20" s="3"/>
      <c r="CM20" s="181" t="s">
        <v>3</v>
      </c>
      <c r="CN20" s="182">
        <v>1442</v>
      </c>
      <c r="CO20" s="3"/>
      <c r="CP20" s="3"/>
      <c r="CQ20" s="3"/>
      <c r="CR20" s="3"/>
      <c r="CU20" s="4" t="s">
        <v>1266</v>
      </c>
      <c r="CV20" s="184">
        <f>(((((CZ20/60)+CY20)/60)+CX20)/60)+CW20</f>
        <v>94.259444444444441</v>
      </c>
      <c r="CW20" s="4">
        <v>94</v>
      </c>
      <c r="CX20" s="4">
        <v>15</v>
      </c>
      <c r="CY20" s="4">
        <v>34</v>
      </c>
      <c r="CZ20" s="4"/>
      <c r="DB20" s="4" t="s">
        <v>1266</v>
      </c>
      <c r="DC20" s="184">
        <f>(((((DG20/60)+DF20)/60)+DE20)/60)+DD20</f>
        <v>96.045277777777784</v>
      </c>
      <c r="DD20" s="4">
        <v>96</v>
      </c>
      <c r="DE20" s="4">
        <v>2</v>
      </c>
      <c r="DF20" s="4">
        <v>43</v>
      </c>
      <c r="DG20" s="4"/>
      <c r="DI20" s="4" t="s">
        <v>1266</v>
      </c>
      <c r="DJ20" s="184">
        <f>(((((DN20/60)+DM20)/60)+DL20)/60)+DK20</f>
        <v>100.58166666666666</v>
      </c>
      <c r="DK20" s="4">
        <v>100</v>
      </c>
      <c r="DL20" s="4">
        <v>34</v>
      </c>
      <c r="DM20" s="4">
        <v>54</v>
      </c>
      <c r="DN20" s="4"/>
      <c r="DP20" s="4" t="s">
        <v>1266</v>
      </c>
      <c r="DQ20" s="184">
        <f>(((((DU20/60)+DT20)/60)+DS20)/60)+DR20</f>
        <v>126.76777777777778</v>
      </c>
      <c r="DR20" s="4">
        <v>126</v>
      </c>
      <c r="DS20" s="4">
        <v>46</v>
      </c>
      <c r="DT20" s="4">
        <v>4</v>
      </c>
      <c r="DU20" s="4"/>
      <c r="DW20" s="4" t="s">
        <v>1266</v>
      </c>
      <c r="DX20" s="184">
        <f>(((((EB20/60)+EA20)/60)+DZ20)/60)+DY20</f>
        <v>135.26638888888888</v>
      </c>
      <c r="DY20" s="4">
        <v>135</v>
      </c>
      <c r="DZ20" s="4">
        <v>15</v>
      </c>
      <c r="EA20" s="4">
        <v>59</v>
      </c>
      <c r="EB20" s="4"/>
      <c r="ED20" s="4" t="s">
        <v>1266</v>
      </c>
      <c r="EE20" s="184">
        <f>(((((EI20/60)+EH20)/60)+EG20)/60)+EF20</f>
        <v>109.03166666666667</v>
      </c>
      <c r="EF20" s="4">
        <v>109</v>
      </c>
      <c r="EG20" s="4">
        <v>1</v>
      </c>
      <c r="EH20" s="4">
        <v>54</v>
      </c>
      <c r="EI20" s="4"/>
      <c r="EV20" t="s">
        <v>4112</v>
      </c>
      <c r="EW20">
        <v>34.64</v>
      </c>
      <c r="EX20">
        <v>50.878999999999998</v>
      </c>
      <c r="FD20" t="s">
        <v>698</v>
      </c>
      <c r="FE20">
        <f>[1]!taqq(FD2,FD3,[1]!roz(FD4,FD10,0,0),FD5)</f>
        <v>313.30925010687315</v>
      </c>
      <c r="FF20" s="243">
        <f t="shared" si="97"/>
        <v>313</v>
      </c>
      <c r="FG20" s="243">
        <f t="shared" si="98"/>
        <v>18</v>
      </c>
      <c r="FH20" s="243">
        <f t="shared" si="99"/>
        <v>33</v>
      </c>
      <c r="FI20" s="733">
        <f t="shared" si="100"/>
        <v>18</v>
      </c>
      <c r="FJ20" s="911" t="s">
        <v>1317</v>
      </c>
      <c r="FK20" s="304">
        <f>[1]!sn(FK19-FK7)</f>
        <v>16.452996960964143</v>
      </c>
      <c r="FL20" s="437">
        <f t="shared" si="9"/>
        <v>16</v>
      </c>
      <c r="FM20" s="437">
        <f t="shared" si="10"/>
        <v>27</v>
      </c>
      <c r="FN20" s="437">
        <f t="shared" si="11"/>
        <v>10</v>
      </c>
      <c r="FO20" s="914">
        <f t="shared" si="12"/>
        <v>47</v>
      </c>
      <c r="FS20" s="911" t="s">
        <v>1317</v>
      </c>
      <c r="FT20" s="304">
        <f>[1]!sn(FT19-FT7)</f>
        <v>14.022059840166042</v>
      </c>
      <c r="FU20" s="437">
        <f t="shared" ref="FU20:FU33" si="101">INT(ABS(FT20))</f>
        <v>14</v>
      </c>
      <c r="FV20" s="437">
        <f t="shared" ref="FV20:FV33" si="102">INT((ABS(FT20)-FU20)*60)</f>
        <v>1</v>
      </c>
      <c r="FW20" s="437">
        <f t="shared" ref="FW20:FW33" si="103">INT((((ABS(FT20)-FU20)*60)-FV20)*60)</f>
        <v>19</v>
      </c>
      <c r="FX20" s="437">
        <f t="shared" ref="FX20:FX33" si="104">INT((((((ABS(FT20)-FU20)*60)-FV20)*60)-FW20)*60)</f>
        <v>24</v>
      </c>
      <c r="FY20" s="701" t="s">
        <v>3787</v>
      </c>
      <c r="FZ20" s="304">
        <f>FT40</f>
        <v>12.130900383857542</v>
      </c>
      <c r="GA20" s="437">
        <f t="shared" si="82"/>
        <v>12</v>
      </c>
      <c r="GB20" s="437">
        <f t="shared" si="83"/>
        <v>7</v>
      </c>
      <c r="GC20" s="437">
        <f t="shared" si="84"/>
        <v>51</v>
      </c>
      <c r="GD20" s="914">
        <f t="shared" si="85"/>
        <v>14</v>
      </c>
      <c r="GE20" s="1468" t="s">
        <v>1320</v>
      </c>
      <c r="GF20" s="304">
        <f>[1]!sn(GL13)</f>
        <v>4.7075457436706962</v>
      </c>
      <c r="GG20" s="437">
        <f t="shared" si="45"/>
        <v>4</v>
      </c>
      <c r="GH20" s="437">
        <f t="shared" si="46"/>
        <v>42</v>
      </c>
      <c r="GI20" s="437">
        <f t="shared" si="47"/>
        <v>27</v>
      </c>
      <c r="GJ20" s="914">
        <f t="shared" si="48"/>
        <v>9</v>
      </c>
      <c r="GK20" s="797"/>
      <c r="GL20" s="797"/>
      <c r="GM20" s="797"/>
      <c r="GO20" s="323" t="s">
        <v>4010</v>
      </c>
      <c r="GP20" s="324">
        <v>60</v>
      </c>
      <c r="GQ20" s="1490">
        <f t="shared" si="89"/>
        <v>60</v>
      </c>
      <c r="GR20" s="1490">
        <f t="shared" si="90"/>
        <v>0</v>
      </c>
      <c r="GS20" s="1490">
        <f t="shared" si="91"/>
        <v>0</v>
      </c>
      <c r="GT20" s="1491">
        <f t="shared" si="92"/>
        <v>0</v>
      </c>
    </row>
    <row r="21" spans="4:203" ht="23.25">
      <c r="M21" s="924" t="s">
        <v>1213</v>
      </c>
      <c r="N21" s="847" t="e">
        <f>[1]!tazmb(N20,N9)</f>
        <v>#VALUE!</v>
      </c>
      <c r="O21" s="214" t="e">
        <f t="shared" ref="O21" si="105">INT(ABS(N21))</f>
        <v>#VALUE!</v>
      </c>
      <c r="P21" s="214" t="e">
        <f t="shared" ref="P21" si="106">INT((ABS(N21)-O21)*60)</f>
        <v>#VALUE!</v>
      </c>
      <c r="Q21" s="214" t="e">
        <f t="shared" ref="Q21" si="107">INT((((ABS(N21)-O21)*60)-P21)*60)</f>
        <v>#VALUE!</v>
      </c>
      <c r="R21" s="901" t="e">
        <f t="shared" ref="R21" si="108">INT((((((ABS(N21)-O21)*60)-P21)*60)-Q21)*60)</f>
        <v>#VALUE!</v>
      </c>
      <c r="AP21" t="str">
        <f>[1]!tmanzelame(AP3,AP4,AR3,AR4,AP6,AP11)</f>
        <v>11-zabreh</v>
      </c>
      <c r="AW21" s="181" t="s">
        <v>4</v>
      </c>
      <c r="AX21" s="182">
        <v>6</v>
      </c>
      <c r="AY21" s="3"/>
      <c r="AZ21" s="3"/>
      <c r="BA21" s="3"/>
      <c r="BB21" s="3"/>
      <c r="BD21" s="8" t="s">
        <v>1252</v>
      </c>
      <c r="BE21" s="8"/>
      <c r="BF21" s="8"/>
      <c r="BG21" s="8"/>
      <c r="BH21" s="8"/>
      <c r="BI21" s="8"/>
      <c r="BK21" s="3" t="s">
        <v>1242</v>
      </c>
      <c r="BL21" s="3">
        <f>IF(BL19+180&lt;360,BL19+180,BL19+180-360)</f>
        <v>81.842310514367966</v>
      </c>
      <c r="BM21" s="187">
        <f>INT(ABS(BL21))</f>
        <v>81</v>
      </c>
      <c r="BN21" s="187">
        <f>INT((ABS(BL21)-BM21)*60)</f>
        <v>50</v>
      </c>
      <c r="BO21" s="187">
        <f>INT((((ABS(BL21)-BM21)*60)-BN21)*60)</f>
        <v>32</v>
      </c>
      <c r="BP21" s="187">
        <f>INT((((((ABS(BL21)-BM21)*60)-BN21)*60)-BO21)*60)</f>
        <v>19</v>
      </c>
      <c r="BR21" s="181" t="s">
        <v>4</v>
      </c>
      <c r="BS21" s="182">
        <v>6</v>
      </c>
      <c r="BT21" s="3"/>
      <c r="BU21" s="3"/>
      <c r="BV21" s="3"/>
      <c r="BW21" s="3"/>
      <c r="BY21" s="181" t="s">
        <v>4</v>
      </c>
      <c r="BZ21" s="182">
        <v>6</v>
      </c>
      <c r="CA21" s="3"/>
      <c r="CB21" s="3"/>
      <c r="CC21" s="3"/>
      <c r="CD21" s="3"/>
      <c r="CF21" s="181" t="s">
        <v>4</v>
      </c>
      <c r="CG21" s="182">
        <v>6</v>
      </c>
      <c r="CH21" s="3"/>
      <c r="CI21" s="3"/>
      <c r="CJ21" s="3"/>
      <c r="CK21" s="3"/>
      <c r="CM21" s="181" t="s">
        <v>4</v>
      </c>
      <c r="CN21" s="182">
        <v>6</v>
      </c>
      <c r="CO21" s="3"/>
      <c r="CP21" s="3"/>
      <c r="CQ21" s="3"/>
      <c r="CR21" s="3"/>
      <c r="CU21" s="4"/>
      <c r="CV21" s="184" t="str">
        <f>IF(CV19&lt;CV20,"نطاق اول",IF(CV19&lt;180,"نطاق دوم",IF(CV19&lt;(360-CV20),"نطاق سوم","نطاق چهارم")))</f>
        <v>نطاق چهارم</v>
      </c>
      <c r="CW21" s="4" t="str">
        <f>[1]!nettqmabame(CV3,CV4,CV5,CV6)</f>
        <v>netaq3</v>
      </c>
      <c r="CX21" s="4"/>
      <c r="CY21" s="4"/>
      <c r="CZ21" s="4"/>
      <c r="DB21" s="4"/>
      <c r="DC21" s="184" t="str">
        <f>IF(DC19&lt;DC20,"نطاق اول",IF(DC19&lt;180,"نطاق دوم",IF(DC19&lt;(360-DC20),"نطاق سوم","نطاق چهارم")))</f>
        <v>نطاق سوم</v>
      </c>
      <c r="DD21" s="4" t="str">
        <f>[1]!nettzhmabame(DC3,DC4,DC5,DC6)</f>
        <v>netaq3</v>
      </c>
      <c r="DE21" s="4"/>
      <c r="DF21" s="4"/>
      <c r="DG21" s="4"/>
      <c r="DI21" s="4"/>
      <c r="DJ21" s="184" t="str">
        <f>IF(DJ19&lt;DJ20,"نطاق اول",IF(DJ19&lt;180,"نطاق دوم",IF(DJ19&lt;(360-DJ20),"نطاق سوم","نطاق چهارم")))</f>
        <v>نطاق چهارم</v>
      </c>
      <c r="DK21" s="4" t="str">
        <f>[1]!nettmoshmabame(DJ3,DJ4,DJ5,DJ6)</f>
        <v>netaq4</v>
      </c>
      <c r="DL21" s="4"/>
      <c r="DM21" s="4"/>
      <c r="DN21" s="4"/>
      <c r="DP21" s="4"/>
      <c r="DQ21" s="184" t="str">
        <f>IF(DQ19&lt;DQ20,"نطاق اول",IF(DQ19&lt;180,"نطاق دوم",IF(DQ19&lt;(360-DQ20),"نطاق سوم","نطاق چهارم")))</f>
        <v>نطاق دوم</v>
      </c>
      <c r="DR21" s="4" t="str">
        <f>[1]!nettmermabame(DQ3,DQ4,DQ5,DQ6)</f>
        <v>netaq2</v>
      </c>
      <c r="DS21" s="4"/>
      <c r="DT21" s="4"/>
      <c r="DU21" s="4"/>
      <c r="DW21" s="4"/>
      <c r="DX21" s="184" t="str">
        <f>IF(DX19&lt;DX20,"نطاق اول",IF(DX19&lt;180,"نطاق دوم",IF(DX19&lt;(360-DX20),"نطاق سوم","نطاق چهارم")))</f>
        <v>نطاق چهارم</v>
      </c>
      <c r="DY21" s="4" t="str">
        <f>[1]!nettzrmabame(DX3,DX4,DX5,DX6)</f>
        <v>netaq3</v>
      </c>
      <c r="DZ21" s="4"/>
      <c r="EA21" s="4"/>
      <c r="EB21" s="4"/>
      <c r="ED21" s="4"/>
      <c r="EE21" s="184" t="str">
        <f>IF(EE19&lt;EE20,"نطاق اول",IF(EE19&lt;180,"نطاق دوم",IF(EE19&lt;(360-EE20),"نطاق سوم","نطاق چهارم")))</f>
        <v>نطاق دوم</v>
      </c>
      <c r="EF21" s="4" t="str">
        <f>[1]!nettottmabame(EE3,EE4,EE5,EE6)</f>
        <v>netaq2</v>
      </c>
      <c r="EG21" s="4"/>
      <c r="EH21" s="4"/>
      <c r="EI21" s="4"/>
      <c r="EV21" t="s">
        <v>4114</v>
      </c>
      <c r="EW21">
        <v>32.616660000000003</v>
      </c>
      <c r="EX21">
        <v>44.033299999999997</v>
      </c>
      <c r="FD21" t="s">
        <v>279</v>
      </c>
      <c r="FE21">
        <f>[1]!tale3(FD2,FD6,[1]!taqsha(FD2,FD3,[1]!roz(FD4,FD11,0,0),FD5),FD11)</f>
        <v>185.52596054980165</v>
      </c>
      <c r="FF21" s="243">
        <f t="shared" si="97"/>
        <v>185</v>
      </c>
      <c r="FG21" s="243">
        <f t="shared" si="98"/>
        <v>31</v>
      </c>
      <c r="FH21" s="243">
        <f t="shared" si="99"/>
        <v>33</v>
      </c>
      <c r="FI21" s="733">
        <f t="shared" si="100"/>
        <v>27</v>
      </c>
      <c r="FJ21" s="911" t="s">
        <v>365</v>
      </c>
      <c r="FK21" s="304">
        <f>[1]!sn(FK19)</f>
        <v>30.8262535275876</v>
      </c>
      <c r="FL21" s="437">
        <f t="shared" si="9"/>
        <v>30</v>
      </c>
      <c r="FM21" s="437">
        <f t="shared" si="10"/>
        <v>49</v>
      </c>
      <c r="FN21" s="437">
        <f t="shared" si="11"/>
        <v>34</v>
      </c>
      <c r="FO21" s="914">
        <f t="shared" si="12"/>
        <v>30</v>
      </c>
      <c r="FS21" s="911" t="s">
        <v>365</v>
      </c>
      <c r="FT21" s="304">
        <f>[1]!sn(FT19)</f>
        <v>30.826009465435071</v>
      </c>
      <c r="FU21" s="437">
        <f t="shared" si="101"/>
        <v>30</v>
      </c>
      <c r="FV21" s="437">
        <f t="shared" si="102"/>
        <v>49</v>
      </c>
      <c r="FW21" s="437">
        <f t="shared" si="103"/>
        <v>33</v>
      </c>
      <c r="FX21" s="437">
        <f t="shared" si="104"/>
        <v>38</v>
      </c>
      <c r="FY21" s="779" t="s">
        <v>4006</v>
      </c>
      <c r="FZ21" s="251">
        <f>FZ20+(FZ17/15)</f>
        <v>15.348660929217941</v>
      </c>
      <c r="GA21" s="1346">
        <f t="shared" si="82"/>
        <v>15</v>
      </c>
      <c r="GB21" s="1346">
        <f t="shared" si="83"/>
        <v>20</v>
      </c>
      <c r="GC21" s="1346">
        <f t="shared" si="84"/>
        <v>55</v>
      </c>
      <c r="GD21" s="1466">
        <f t="shared" si="85"/>
        <v>10</v>
      </c>
      <c r="GE21" s="304" t="s">
        <v>1321</v>
      </c>
      <c r="GF21" s="304">
        <f>60-[1]!csn(GF17)</f>
        <v>41.354842887175053</v>
      </c>
      <c r="GG21" s="437">
        <f t="shared" si="45"/>
        <v>41</v>
      </c>
      <c r="GH21" s="437">
        <f t="shared" si="46"/>
        <v>21</v>
      </c>
      <c r="GI21" s="437">
        <f t="shared" si="47"/>
        <v>17</v>
      </c>
      <c r="GJ21" s="914">
        <f t="shared" si="48"/>
        <v>26</v>
      </c>
      <c r="GK21" s="797"/>
      <c r="GL21" s="797"/>
      <c r="GM21" s="797"/>
      <c r="GO21" s="701" t="s">
        <v>364</v>
      </c>
      <c r="GP21" s="304">
        <f>[1]!qsn(GP14,GP6)</f>
        <v>216.1829211659811</v>
      </c>
      <c r="GQ21" s="437">
        <f t="shared" si="89"/>
        <v>216</v>
      </c>
      <c r="GR21" s="437">
        <f t="shared" si="90"/>
        <v>10</v>
      </c>
      <c r="GS21" s="437">
        <f t="shared" si="91"/>
        <v>58</v>
      </c>
      <c r="GT21" s="914">
        <f t="shared" si="92"/>
        <v>30</v>
      </c>
    </row>
    <row r="22" spans="4:203" ht="23.25">
      <c r="M22" s="924" t="s">
        <v>1215</v>
      </c>
      <c r="N22" s="272" t="e">
        <f>[1]!qsn([1]!bkm(N8,N7),N9)</f>
        <v>#VALUE!</v>
      </c>
      <c r="O22" s="214" t="e">
        <f>INT(ABS(N22))</f>
        <v>#VALUE!</v>
      </c>
      <c r="P22" s="214" t="e">
        <f>INT((ABS(N22)-O22)*60)</f>
        <v>#VALUE!</v>
      </c>
      <c r="Q22" s="214" t="e">
        <f>INT((((ABS(N22)-O22)*60)-P22)*60)</f>
        <v>#VALUE!</v>
      </c>
      <c r="R22" s="901" t="e">
        <f>INT((((((ABS(N22)-O22)*60)-P22)*60)-Q22)*60)</f>
        <v>#VALUE!</v>
      </c>
      <c r="AW22" s="181" t="s">
        <v>5</v>
      </c>
      <c r="AX22" s="182">
        <v>27</v>
      </c>
      <c r="AY22" s="3"/>
      <c r="AZ22" s="3"/>
      <c r="BA22" s="3"/>
      <c r="BB22" s="3"/>
      <c r="BD22" s="181" t="s">
        <v>3</v>
      </c>
      <c r="BE22" s="182">
        <v>1442</v>
      </c>
      <c r="BF22" s="3"/>
      <c r="BG22" s="3"/>
      <c r="BH22" s="3"/>
      <c r="BI22" s="3"/>
      <c r="BK22" s="3" t="s">
        <v>1243</v>
      </c>
      <c r="BL22" s="3">
        <f>IF(BL21+(90-BL18)&lt;360,BL21+(90-BL18),BL21+(90-BL18)-360)</f>
        <v>163.21508829214574</v>
      </c>
      <c r="BM22" s="187">
        <f>INT(ABS(BL22))</f>
        <v>163</v>
      </c>
      <c r="BN22" s="187">
        <f>INT((ABS(BL22)-BM22)*60)</f>
        <v>12</v>
      </c>
      <c r="BO22" s="187">
        <f>INT((((ABS(BL22)-BM22)*60)-BN22)*60)</f>
        <v>54</v>
      </c>
      <c r="BP22" s="187">
        <f>INT((((((ABS(BL22)-BM22)*60)-BN22)*60)-BO22)*60)</f>
        <v>19</v>
      </c>
      <c r="BR22" s="181" t="s">
        <v>5</v>
      </c>
      <c r="BS22" s="182">
        <v>27</v>
      </c>
      <c r="BT22" s="3"/>
      <c r="BU22" s="3"/>
      <c r="BV22" s="3"/>
      <c r="BW22" s="3"/>
      <c r="BY22" s="181" t="s">
        <v>5</v>
      </c>
      <c r="BZ22" s="182">
        <v>27</v>
      </c>
      <c r="CA22" s="3"/>
      <c r="CB22" s="3"/>
      <c r="CC22" s="3"/>
      <c r="CD22" s="3"/>
      <c r="CF22" s="181" t="s">
        <v>5</v>
      </c>
      <c r="CG22" s="182">
        <v>27</v>
      </c>
      <c r="CH22" s="3"/>
      <c r="CI22" s="3"/>
      <c r="CJ22" s="3"/>
      <c r="CK22" s="3"/>
      <c r="CM22" s="181" t="s">
        <v>5</v>
      </c>
      <c r="CN22" s="182">
        <v>27</v>
      </c>
      <c r="CO22" s="3"/>
      <c r="CP22" s="3"/>
      <c r="CQ22" s="3"/>
      <c r="CR22" s="3"/>
      <c r="CU22" s="4" t="s">
        <v>1267</v>
      </c>
      <c r="CV22" s="184">
        <f>(((((CZ22/60)+CY22)/60)+CX22)/60)+CW22</f>
        <v>94.993611111111107</v>
      </c>
      <c r="CW22" s="4">
        <v>94</v>
      </c>
      <c r="CX22" s="4">
        <v>59</v>
      </c>
      <c r="CY22" s="4">
        <v>37</v>
      </c>
      <c r="CZ22" s="4"/>
      <c r="DB22" s="4" t="s">
        <v>1267</v>
      </c>
      <c r="DC22" s="184">
        <f>(((((DG22/60)+DF22)/60)+DE22)/60)+DD22</f>
        <v>96.227500000000006</v>
      </c>
      <c r="DD22" s="4">
        <v>96</v>
      </c>
      <c r="DE22" s="4">
        <v>13</v>
      </c>
      <c r="DF22" s="4">
        <v>39</v>
      </c>
      <c r="DG22" s="4"/>
      <c r="DI22" s="4" t="s">
        <v>1267</v>
      </c>
      <c r="DJ22" s="184">
        <f>(((((DN22/60)+DM22)/60)+DL22)/60)+DK22</f>
        <v>101.06083333333333</v>
      </c>
      <c r="DK22" s="4">
        <v>101</v>
      </c>
      <c r="DL22" s="4">
        <v>3</v>
      </c>
      <c r="DM22" s="4">
        <v>39</v>
      </c>
      <c r="DN22" s="4"/>
      <c r="DP22" s="4" t="s">
        <v>1267</v>
      </c>
      <c r="DQ22" s="184">
        <f>(((((DU22/60)+DT22)/60)+DS22)/60)+DR22</f>
        <v>131.18055555555554</v>
      </c>
      <c r="DR22" s="4">
        <v>131</v>
      </c>
      <c r="DS22" s="4">
        <v>10</v>
      </c>
      <c r="DT22" s="4">
        <v>50</v>
      </c>
      <c r="DU22" s="4"/>
      <c r="DW22" s="4" t="s">
        <v>1267</v>
      </c>
      <c r="DX22" s="184">
        <f>(((((EB22/60)+EA22)/60)+DZ22)/60)+DY22</f>
        <v>136.00944444444445</v>
      </c>
      <c r="DY22" s="4">
        <v>136</v>
      </c>
      <c r="DZ22" s="4">
        <v>0</v>
      </c>
      <c r="EA22" s="4">
        <v>34</v>
      </c>
      <c r="EB22" s="4"/>
      <c r="ED22" s="4" t="s">
        <v>1267</v>
      </c>
      <c r="EE22" s="184">
        <f>(((((EI22/60)+EH22)/60)+EG22)/60)+EF22</f>
        <v>112.02444444444444</v>
      </c>
      <c r="EF22" s="4">
        <v>112</v>
      </c>
      <c r="EG22" s="4">
        <v>1</v>
      </c>
      <c r="EH22" s="4">
        <v>28</v>
      </c>
      <c r="EI22" s="4"/>
      <c r="EM22" s="797"/>
      <c r="FE22">
        <f>[1]!tale3(FD2,FD6,[1]!taqsha(FD2,FD3,[1]!roz(FD4,FD10,0,0),FD5),FD10)</f>
        <v>95.094420580878079</v>
      </c>
      <c r="FF22" s="243">
        <f t="shared" si="97"/>
        <v>95</v>
      </c>
      <c r="FG22" s="243">
        <f t="shared" si="98"/>
        <v>5</v>
      </c>
      <c r="FH22" s="243">
        <f t="shared" si="99"/>
        <v>39</v>
      </c>
      <c r="FI22" s="733">
        <f t="shared" si="100"/>
        <v>54</v>
      </c>
      <c r="FJ22" s="911" t="s">
        <v>1320</v>
      </c>
      <c r="FK22" s="304">
        <f>[1]!sn(FK7)</f>
        <v>15.529142706151244</v>
      </c>
      <c r="FL22" s="437">
        <f t="shared" si="9"/>
        <v>15</v>
      </c>
      <c r="FM22" s="437">
        <f t="shared" si="10"/>
        <v>31</v>
      </c>
      <c r="FN22" s="437">
        <f t="shared" si="11"/>
        <v>44</v>
      </c>
      <c r="FO22" s="914">
        <f t="shared" si="12"/>
        <v>54</v>
      </c>
      <c r="FS22" s="911" t="s">
        <v>1320</v>
      </c>
      <c r="FT22" s="304">
        <f>[1]!sn(FT7)</f>
        <v>17.942447535365201</v>
      </c>
      <c r="FU22" s="437">
        <f t="shared" si="101"/>
        <v>17</v>
      </c>
      <c r="FV22" s="437">
        <f t="shared" si="102"/>
        <v>56</v>
      </c>
      <c r="FW22" s="437">
        <f t="shared" si="103"/>
        <v>32</v>
      </c>
      <c r="FX22" s="437">
        <f t="shared" si="104"/>
        <v>48</v>
      </c>
      <c r="FY22" s="701"/>
      <c r="FZ22" s="304">
        <f>FZ12+60</f>
        <v>73.139469862988776</v>
      </c>
      <c r="GA22" s="437">
        <f t="shared" si="82"/>
        <v>73</v>
      </c>
      <c r="GB22" s="437">
        <f t="shared" si="83"/>
        <v>8</v>
      </c>
      <c r="GC22" s="437">
        <f t="shared" si="84"/>
        <v>22</v>
      </c>
      <c r="GD22" s="914">
        <f t="shared" si="85"/>
        <v>5</v>
      </c>
      <c r="GE22" s="304"/>
      <c r="GF22" s="304">
        <f>GF21*GF20/GF19</f>
        <v>6.3123520620870917</v>
      </c>
      <c r="GG22" s="437">
        <f t="shared" si="45"/>
        <v>6</v>
      </c>
      <c r="GH22" s="437">
        <f t="shared" si="46"/>
        <v>18</v>
      </c>
      <c r="GI22" s="437">
        <f t="shared" si="47"/>
        <v>44</v>
      </c>
      <c r="GJ22" s="914">
        <f t="shared" si="48"/>
        <v>28</v>
      </c>
      <c r="GK22" s="797"/>
      <c r="GL22" s="797"/>
      <c r="GM22" s="797"/>
      <c r="GO22" s="701" t="s">
        <v>295</v>
      </c>
      <c r="GP22" s="304">
        <f>IF(GP13=1,(GP21/2)-GP16,(GP21/2)+GP16)</f>
        <v>108.19652125511793</v>
      </c>
      <c r="GQ22" s="437">
        <f t="shared" si="89"/>
        <v>108</v>
      </c>
      <c r="GR22" s="437">
        <f t="shared" si="90"/>
        <v>11</v>
      </c>
      <c r="GS22" s="437">
        <f t="shared" si="91"/>
        <v>47</v>
      </c>
      <c r="GT22" s="914">
        <f t="shared" si="92"/>
        <v>28</v>
      </c>
    </row>
    <row r="23" spans="4:203" ht="23.25">
      <c r="M23" s="924" t="s">
        <v>3796</v>
      </c>
      <c r="N23" s="272" t="e">
        <f>IF(N12+N22&lt;360,N12+N22,N22+N12-360)</f>
        <v>#VALUE!</v>
      </c>
      <c r="O23" s="214" t="e">
        <f>INT(ABS(N23))</f>
        <v>#VALUE!</v>
      </c>
      <c r="P23" s="214" t="e">
        <f>INT((ABS(N23)-O23)*60)</f>
        <v>#VALUE!</v>
      </c>
      <c r="Q23" s="214" t="e">
        <f>INT((((ABS(N23)-O23)*60)-P23)*60)</f>
        <v>#VALUE!</v>
      </c>
      <c r="R23" s="901" t="e">
        <f>INT((((((ABS(N23)-O23)*60)-P23)*60)-Q23)*60)</f>
        <v>#VALUE!</v>
      </c>
      <c r="AW23" s="181" t="s">
        <v>377</v>
      </c>
      <c r="AX23" s="182">
        <f>AX7</f>
        <v>9.5138888888888884E-2</v>
      </c>
      <c r="AY23" s="3"/>
      <c r="AZ23" s="3"/>
      <c r="BA23" s="3"/>
      <c r="BB23" s="3"/>
      <c r="BD23" s="181" t="s">
        <v>4</v>
      </c>
      <c r="BE23" s="182">
        <v>6</v>
      </c>
      <c r="BF23" s="3"/>
      <c r="BG23" s="3"/>
      <c r="BH23" s="3"/>
      <c r="BI23" s="3"/>
      <c r="BK23" s="3"/>
      <c r="BL23" s="98" t="str">
        <f>IF(AND(BL17&gt;=BL19,BL17&lt;BL20),"نطاق اول",IF(AND(BL17&gt;=BL20,BL17&lt;BL21),"نطاق دوم",IF(AND(BL17&gt;=BL21,BL17&lt;BL22),"نطاق سوم","نطاق چهارم")))</f>
        <v>نطاق چهارم</v>
      </c>
      <c r="BM23" s="3" t="str">
        <f>[1]!netotmabame(BL4,BL5,BL6,BL7)</f>
        <v>netaq4</v>
      </c>
      <c r="BN23" s="3"/>
      <c r="BO23" s="3"/>
      <c r="BP23" s="3"/>
      <c r="BR23" s="181" t="s">
        <v>377</v>
      </c>
      <c r="BS23" s="182">
        <v>0</v>
      </c>
      <c r="BT23" s="3"/>
      <c r="BU23" s="3"/>
      <c r="BV23" s="3"/>
      <c r="BW23" s="3"/>
      <c r="BY23" s="181" t="s">
        <v>377</v>
      </c>
      <c r="BZ23" s="182">
        <v>0</v>
      </c>
      <c r="CA23" s="3"/>
      <c r="CB23" s="3"/>
      <c r="CC23" s="3"/>
      <c r="CD23" s="3"/>
      <c r="CF23" s="181" t="s">
        <v>377</v>
      </c>
      <c r="CG23" s="182">
        <v>0</v>
      </c>
      <c r="CH23" s="3"/>
      <c r="CI23" s="3"/>
      <c r="CJ23" s="3"/>
      <c r="CK23" s="3"/>
      <c r="CM23" s="181" t="s">
        <v>377</v>
      </c>
      <c r="CN23" s="182">
        <v>0</v>
      </c>
      <c r="CO23" s="3"/>
      <c r="CP23" s="3"/>
      <c r="CQ23" s="3"/>
      <c r="CR23" s="3"/>
      <c r="CU23" s="4"/>
      <c r="CV23" s="184" t="str">
        <f>IF(CV19&lt;CV22,"نطاق اول",IF(CV19&lt;180,"نطاق دوم",IF(CV19&lt;(360-CV22),"نطاق سوم","نطاق چهارم")))</f>
        <v>نطاق چهارم</v>
      </c>
      <c r="CW23" s="185" t="str">
        <f>[1]!nettqmosame(CV3,CV4,CV5,CV6)</f>
        <v>netaq3</v>
      </c>
      <c r="CX23" s="185"/>
      <c r="CY23" s="185"/>
      <c r="CZ23" s="185"/>
      <c r="DB23" s="4"/>
      <c r="DC23" s="184" t="str">
        <f>IF(DC19&lt;DC22,"نطاق اول",IF(DC19&lt;180,"نطاق دوم",IF(DC19&lt;(360-DC22),"نطاق سوم","نطاق چهارم")))</f>
        <v>نطاق سوم</v>
      </c>
      <c r="DD23" s="185" t="str">
        <f>[1]!nettzhmosame(DC3,DC4,DC5,DC6)</f>
        <v>netaq3</v>
      </c>
      <c r="DE23" s="185"/>
      <c r="DF23" s="185"/>
      <c r="DG23" s="185"/>
      <c r="DI23" s="4"/>
      <c r="DJ23" s="184" t="str">
        <f>IF(DJ19&lt;DJ22,"نطاق اول",IF(DJ19&lt;180,"نطاق دوم",IF(DJ19&lt;(360-DJ22),"نطاق سوم","نطاق چهارم")))</f>
        <v>نطاق چهارم</v>
      </c>
      <c r="DK23" s="185" t="str">
        <f>[1]!nettmoshmosame(DJ3,DJ4,DJ5,DJ6)</f>
        <v>netaq4</v>
      </c>
      <c r="DL23" s="185"/>
      <c r="DM23" s="185"/>
      <c r="DN23" s="185"/>
      <c r="DP23" s="4"/>
      <c r="DQ23" s="184" t="str">
        <f>IF(DQ19&lt;DQ22,"نطاق اول",IF(DQ19&lt;180,"نطاق دوم",IF(DQ19&lt;(360-DQ22),"نطاق سوم","نطاق چهارم")))</f>
        <v>نطاق دوم</v>
      </c>
      <c r="DR23" s="185" t="str">
        <f>[1]!nettmermosame(DQ3,DQ4,DQ5,DQ6)</f>
        <v>netaq2</v>
      </c>
      <c r="DS23" s="185"/>
      <c r="DT23" s="185"/>
      <c r="DU23" s="185"/>
      <c r="DW23" s="4"/>
      <c r="DX23" s="184" t="str">
        <f>IF(DX19&lt;DX22,"نطاق اول",IF(DX19&lt;180,"نطاق دوم",IF(DX19&lt;(360-DX22),"نطاق سوم","نطاق چهارم")))</f>
        <v>نطاق چهارم</v>
      </c>
      <c r="DY23" s="185" t="str">
        <f>[1]!nettzrmosame(DX3,DX4,DX5,DX6)</f>
        <v>netaq3</v>
      </c>
      <c r="DZ23" s="185"/>
      <c r="EA23" s="185"/>
      <c r="EB23" s="185"/>
      <c r="ED23" s="4"/>
      <c r="EE23" s="184" t="str">
        <f>IF(EE19&lt;EE22,"نطاق اول",IF(EE19&lt;180,"نطاق دوم",IF(EE19&lt;(360-EE22),"نطاق سوم","نطاق چهارم")))</f>
        <v>نطاق دوم</v>
      </c>
      <c r="EF23" s="185" t="str">
        <f>[1]!nettottmabame(EE3,EE4,EE5,EE6)</f>
        <v>netaq2</v>
      </c>
      <c r="EG23" s="185"/>
      <c r="EH23" s="185"/>
      <c r="EI23" s="185"/>
      <c r="EM23" s="797"/>
      <c r="FC23" t="s">
        <v>4204</v>
      </c>
      <c r="FE23">
        <f>[1]!ertaztale(FD2,FD6,0,[1]!taqsha(FD2,FD3,[1]!roz(FD4,FE11,0,0),FD5),FE21)</f>
        <v>77.516380781508801</v>
      </c>
      <c r="FF23" s="243">
        <f>INT(ABS(FE23))</f>
        <v>77</v>
      </c>
      <c r="FG23" s="243">
        <f>INT((ABS(FE23)-FF23)*60)</f>
        <v>30</v>
      </c>
      <c r="FH23" s="243">
        <f>INT((((ABS(FE23)-FF23)*60)-FG23)*60)</f>
        <v>58</v>
      </c>
      <c r="FI23" s="733">
        <f>INT((((((ABS(FE23)-FF23)*60)-FG23)*60)-FH23)*60)</f>
        <v>58</v>
      </c>
      <c r="FJ23" s="911" t="s">
        <v>1318</v>
      </c>
      <c r="FK23" s="304">
        <f>60-ABS([1]!csn(FK18))</f>
        <v>41.354842887175053</v>
      </c>
      <c r="FL23" s="437">
        <f t="shared" si="9"/>
        <v>41</v>
      </c>
      <c r="FM23" s="437">
        <f t="shared" si="10"/>
        <v>21</v>
      </c>
      <c r="FN23" s="437">
        <f t="shared" si="11"/>
        <v>17</v>
      </c>
      <c r="FO23" s="914">
        <f t="shared" si="12"/>
        <v>26</v>
      </c>
      <c r="FS23" s="911" t="s">
        <v>1318</v>
      </c>
      <c r="FT23" s="304">
        <f>60-ABS([1]!csn(FT18))</f>
        <v>41.354842887175053</v>
      </c>
      <c r="FU23" s="437">
        <f t="shared" si="101"/>
        <v>41</v>
      </c>
      <c r="FV23" s="437">
        <f t="shared" si="102"/>
        <v>21</v>
      </c>
      <c r="FW23" s="437">
        <f t="shared" si="103"/>
        <v>17</v>
      </c>
      <c r="FX23" s="437">
        <f t="shared" si="104"/>
        <v>26</v>
      </c>
      <c r="FY23" s="911" t="s">
        <v>1329</v>
      </c>
      <c r="FZ23" s="304">
        <f>[1]!acj(FZ22)</f>
        <v>39.363758243150194</v>
      </c>
      <c r="GA23" s="437">
        <f t="shared" si="82"/>
        <v>39</v>
      </c>
      <c r="GB23" s="437">
        <f t="shared" si="83"/>
        <v>21</v>
      </c>
      <c r="GC23" s="437">
        <f t="shared" si="84"/>
        <v>49</v>
      </c>
      <c r="GD23" s="914">
        <f t="shared" si="85"/>
        <v>31</v>
      </c>
      <c r="GE23" s="304"/>
      <c r="GF23" s="304">
        <f>GF21-GF22</f>
        <v>35.04249082508796</v>
      </c>
      <c r="GG23" s="437">
        <f t="shared" si="45"/>
        <v>35</v>
      </c>
      <c r="GH23" s="437">
        <f t="shared" si="46"/>
        <v>2</v>
      </c>
      <c r="GI23" s="437">
        <f t="shared" si="47"/>
        <v>32</v>
      </c>
      <c r="GJ23" s="914">
        <f t="shared" si="48"/>
        <v>58</v>
      </c>
      <c r="GK23" s="797"/>
      <c r="GL23" s="797"/>
      <c r="GM23" s="797"/>
      <c r="GO23" s="701"/>
      <c r="GP23" s="304">
        <f>GP20+[1]!ctn(GP12)</f>
        <v>73.155891350378724</v>
      </c>
      <c r="GQ23" s="437">
        <f t="shared" si="89"/>
        <v>73</v>
      </c>
      <c r="GR23" s="437">
        <f t="shared" si="90"/>
        <v>9</v>
      </c>
      <c r="GS23" s="437">
        <f t="shared" si="91"/>
        <v>21</v>
      </c>
      <c r="GT23" s="914">
        <f t="shared" si="92"/>
        <v>12</v>
      </c>
    </row>
    <row r="24" spans="4:203" ht="23.25">
      <c r="M24" s="924" t="s">
        <v>1214</v>
      </c>
      <c r="N24" s="847" t="e">
        <f>IF([1]!tazmb(N23,N9)-180&gt;0,[1]!tazmb(N23,N9)-180,[1]!tazmb(N23,N9)+180)</f>
        <v>#VALUE!</v>
      </c>
      <c r="O24" s="214" t="e">
        <f>INT(ABS(N24))</f>
        <v>#VALUE!</v>
      </c>
      <c r="P24" s="214" t="e">
        <f>INT((ABS(N24)-O24)*60)</f>
        <v>#VALUE!</v>
      </c>
      <c r="Q24" s="214" t="e">
        <f>INT((((ABS(N24)-O24)*60)-P24)*60)</f>
        <v>#VALUE!</v>
      </c>
      <c r="R24" s="901" t="e">
        <f>INT((((((ABS(N24)-O24)*60)-P24)*60)-Q24)*60)</f>
        <v>#VALUE!</v>
      </c>
      <c r="AW24" s="3" t="s">
        <v>1239</v>
      </c>
      <c r="AX24" s="3">
        <v>11</v>
      </c>
      <c r="AY24" s="168">
        <f t="shared" ref="AY24:AY29" si="109">INT(ABS(AX24))</f>
        <v>11</v>
      </c>
      <c r="AZ24" s="168">
        <f t="shared" ref="AZ24:AZ29" si="110">INT((ABS(AX24)-AY24)*60)</f>
        <v>0</v>
      </c>
      <c r="BA24" s="168">
        <f t="shared" ref="BA24:BA29" si="111">INT((((ABS(AX24)-AY24)*60)-AZ24)*60)</f>
        <v>0</v>
      </c>
      <c r="BB24" s="168">
        <f t="shared" ref="BB24:BB29" si="112">INT((((((ABS(AX24)-AY24)*60)-AZ24)*60)-BA24)*60)</f>
        <v>0</v>
      </c>
      <c r="BD24" s="181" t="s">
        <v>5</v>
      </c>
      <c r="BE24" s="182">
        <v>27</v>
      </c>
      <c r="BF24" s="3"/>
      <c r="BG24" s="3"/>
      <c r="BH24" s="3"/>
      <c r="BI24" s="3"/>
      <c r="BK24" s="8" t="s">
        <v>1259</v>
      </c>
      <c r="BL24" s="8"/>
      <c r="BM24" s="8"/>
      <c r="BN24" s="8"/>
      <c r="BO24" s="8"/>
      <c r="BP24" s="8"/>
      <c r="BR24" s="3" t="s">
        <v>1239</v>
      </c>
      <c r="BS24" s="3">
        <v>200</v>
      </c>
      <c r="BT24" s="168">
        <f t="shared" ref="BT24:BT29" si="113">INT(ABS(BS24))</f>
        <v>200</v>
      </c>
      <c r="BU24" s="168">
        <f t="shared" ref="BU24:BU29" si="114">INT((ABS(BS24)-BT24)*60)</f>
        <v>0</v>
      </c>
      <c r="BV24" s="168">
        <f t="shared" ref="BV24:BV29" si="115">INT((((ABS(BS24)-BT24)*60)-BU24)*60)</f>
        <v>0</v>
      </c>
      <c r="BW24" s="168">
        <f t="shared" ref="BW24:BW29" si="116">INT((((((ABS(BS24)-BT24)*60)-BU24)*60)-BV24)*60)</f>
        <v>0</v>
      </c>
      <c r="BY24" s="3" t="s">
        <v>1239</v>
      </c>
      <c r="BZ24" s="3">
        <v>2</v>
      </c>
      <c r="CA24" s="168">
        <f t="shared" ref="CA24:CA29" si="117">INT(ABS(BZ24))</f>
        <v>2</v>
      </c>
      <c r="CB24" s="168">
        <f t="shared" ref="CB24:CB29" si="118">INT((ABS(BZ24)-CA24)*60)</f>
        <v>0</v>
      </c>
      <c r="CC24" s="168">
        <f t="shared" ref="CC24:CC29" si="119">INT((((ABS(BZ24)-CA24)*60)-CB24)*60)</f>
        <v>0</v>
      </c>
      <c r="CD24" s="168">
        <f t="shared" ref="CD24:CD29" si="120">INT((((((ABS(BZ24)-CA24)*60)-CB24)*60)-CC24)*60)</f>
        <v>0</v>
      </c>
      <c r="CF24" s="3" t="s">
        <v>1239</v>
      </c>
      <c r="CG24" s="3">
        <v>200</v>
      </c>
      <c r="CH24" s="168">
        <f t="shared" ref="CH24:CH29" si="121">INT(ABS(CG24))</f>
        <v>200</v>
      </c>
      <c r="CI24" s="168">
        <f t="shared" ref="CI24:CI29" si="122">INT((ABS(CG24)-CH24)*60)</f>
        <v>0</v>
      </c>
      <c r="CJ24" s="168">
        <f t="shared" ref="CJ24:CJ29" si="123">INT((((ABS(CG24)-CH24)*60)-CI24)*60)</f>
        <v>0</v>
      </c>
      <c r="CK24" s="168">
        <f t="shared" ref="CK24:CK29" si="124">INT((((((ABS(CG24)-CH24)*60)-CI24)*60)-CJ24)*60)</f>
        <v>0</v>
      </c>
      <c r="CM24" s="3" t="s">
        <v>1239</v>
      </c>
      <c r="CN24" s="3">
        <v>200</v>
      </c>
      <c r="CO24" s="168">
        <f t="shared" ref="CO24:CO29" si="125">INT(ABS(CN24))</f>
        <v>200</v>
      </c>
      <c r="CP24" s="168">
        <f t="shared" ref="CP24:CP29" si="126">INT((ABS(CN24)-CO24)*60)</f>
        <v>0</v>
      </c>
      <c r="CQ24" s="168">
        <f t="shared" ref="CQ24:CQ29" si="127">INT((((ABS(CN24)-CO24)*60)-CP24)*60)</f>
        <v>0</v>
      </c>
      <c r="CR24" s="168">
        <f t="shared" ref="CR24:CR29" si="128">INT((((((ABS(CN24)-CO24)*60)-CP24)*60)-CQ24)*60)</f>
        <v>0</v>
      </c>
      <c r="CU24" s="4" t="s">
        <v>1268</v>
      </c>
      <c r="CV24" s="184">
        <f>(((((CZ29/60)+CY24)/60)+CX24)/60)+CW24</f>
        <v>96.033611111111114</v>
      </c>
      <c r="CW24" s="4">
        <v>96</v>
      </c>
      <c r="CX24" s="4">
        <v>2</v>
      </c>
      <c r="CY24" s="4">
        <v>1</v>
      </c>
      <c r="CZ24" s="4"/>
      <c r="DB24" s="4" t="s">
        <v>1268</v>
      </c>
      <c r="DC24" s="184">
        <f>(((((DG29/60)+DF24)/60)+DE24)/60)+DD24</f>
        <v>96.510833333333338</v>
      </c>
      <c r="DD24" s="4">
        <v>96</v>
      </c>
      <c r="DE24" s="4">
        <v>30</v>
      </c>
      <c r="DF24" s="4">
        <v>39</v>
      </c>
      <c r="DG24" s="4"/>
      <c r="DI24" s="4" t="s">
        <v>1268</v>
      </c>
      <c r="DJ24" s="184">
        <f>(((((DN29/60)+DM24)/60)+DL24)/60)+DK24</f>
        <v>101.58499999999999</v>
      </c>
      <c r="DK24" s="4">
        <v>101</v>
      </c>
      <c r="DL24" s="4">
        <v>35</v>
      </c>
      <c r="DM24" s="4">
        <v>6</v>
      </c>
      <c r="DN24" s="4"/>
      <c r="DP24" s="4" t="s">
        <v>1268</v>
      </c>
      <c r="DQ24" s="184">
        <f>(((((DU29/60)+DT24)/60)+DS24)/60)+DR24</f>
        <v>137.01972222222221</v>
      </c>
      <c r="DR24" s="4">
        <v>137</v>
      </c>
      <c r="DS24" s="4">
        <v>1</v>
      </c>
      <c r="DT24" s="4">
        <v>11</v>
      </c>
      <c r="DU24" s="4"/>
      <c r="DW24" s="4" t="s">
        <v>1268</v>
      </c>
      <c r="DX24" s="184">
        <f>(((((EB29/60)+EA24)/60)+DZ24)/60)+DY24</f>
        <v>137.02722222222224</v>
      </c>
      <c r="DY24" s="4">
        <v>137</v>
      </c>
      <c r="DZ24" s="4">
        <v>1</v>
      </c>
      <c r="EA24" s="4">
        <v>38</v>
      </c>
      <c r="EB24" s="4"/>
      <c r="ED24" s="4" t="s">
        <v>1268</v>
      </c>
      <c r="EE24" s="184">
        <f>(((((EI29/60)+EH24)/60)+EG24)/60)+EF24</f>
        <v>116.17888888888889</v>
      </c>
      <c r="EF24" s="4">
        <v>116</v>
      </c>
      <c r="EG24" s="4">
        <v>10</v>
      </c>
      <c r="EH24" s="4">
        <v>44</v>
      </c>
      <c r="EI24" s="4"/>
      <c r="EM24" s="797"/>
      <c r="FC24" t="s">
        <v>4205</v>
      </c>
      <c r="FE24">
        <f>[1]!ertaztale(FD2,FD6,0,[1]!taqsha(FD2,FD3,[1]!roz(FD4,FD10,0,0),FD5),FE22)</f>
        <v>0.85892314163891692</v>
      </c>
      <c r="FF24" s="243">
        <f>INT(ABS(FE24))</f>
        <v>0</v>
      </c>
      <c r="FG24" s="243">
        <f>INT((ABS(FE24)-FF24)*60)</f>
        <v>51</v>
      </c>
      <c r="FH24" s="243">
        <f>INT((((ABS(FE24)-FF24)*60)-FG24)*60)</f>
        <v>32</v>
      </c>
      <c r="FI24" s="733">
        <f>INT((((((ABS(FE24)-FF24)*60)-FG24)*60)-FH24)*60)</f>
        <v>7</v>
      </c>
      <c r="FJ24" s="701" t="s">
        <v>1321</v>
      </c>
      <c r="FK24" s="304">
        <f>60-[1]!csn(FK18)</f>
        <v>41.354842887175053</v>
      </c>
      <c r="FL24" s="437">
        <f t="shared" si="9"/>
        <v>41</v>
      </c>
      <c r="FM24" s="437">
        <f t="shared" si="10"/>
        <v>21</v>
      </c>
      <c r="FN24" s="437">
        <f t="shared" si="11"/>
        <v>17</v>
      </c>
      <c r="FO24" s="914">
        <f t="shared" si="12"/>
        <v>26</v>
      </c>
      <c r="FS24" s="701" t="s">
        <v>1321</v>
      </c>
      <c r="FT24" s="304">
        <f>60-[1]!csn(FT18)</f>
        <v>41.354842887175053</v>
      </c>
      <c r="FU24" s="437">
        <f t="shared" si="101"/>
        <v>41</v>
      </c>
      <c r="FV24" s="437">
        <f t="shared" si="102"/>
        <v>21</v>
      </c>
      <c r="FW24" s="437">
        <f t="shared" si="103"/>
        <v>17</v>
      </c>
      <c r="FX24" s="437">
        <f t="shared" si="104"/>
        <v>26</v>
      </c>
      <c r="FY24" s="701"/>
      <c r="FZ24" s="304">
        <f>FZ13*[1]!sn(FZ11-FZ23)/[1]!sn(FZ11)</f>
        <v>49.880030509063843</v>
      </c>
      <c r="GA24" s="437">
        <f t="shared" si="82"/>
        <v>49</v>
      </c>
      <c r="GB24" s="437">
        <f t="shared" si="83"/>
        <v>52</v>
      </c>
      <c r="GC24" s="437">
        <f t="shared" si="84"/>
        <v>48</v>
      </c>
      <c r="GD24" s="914">
        <f t="shared" si="85"/>
        <v>6</v>
      </c>
      <c r="GE24" s="304"/>
      <c r="GF24" s="304">
        <f>[1]!acs(60-GF23)</f>
        <v>65.420308560249595</v>
      </c>
      <c r="GG24" s="437">
        <f t="shared" si="45"/>
        <v>65</v>
      </c>
      <c r="GH24" s="437">
        <f t="shared" si="46"/>
        <v>25</v>
      </c>
      <c r="GI24" s="437">
        <f t="shared" si="47"/>
        <v>13</v>
      </c>
      <c r="GJ24" s="914">
        <f t="shared" si="48"/>
        <v>6</v>
      </c>
      <c r="GK24" s="797"/>
      <c r="GL24" s="797"/>
      <c r="GM24" s="797"/>
      <c r="GO24" s="701" t="s">
        <v>4004</v>
      </c>
      <c r="GP24" s="304">
        <f>[1]!acj(GP23)</f>
        <v>39.357451065805442</v>
      </c>
      <c r="GQ24" s="437">
        <f t="shared" si="89"/>
        <v>39</v>
      </c>
      <c r="GR24" s="437">
        <f t="shared" si="90"/>
        <v>21</v>
      </c>
      <c r="GS24" s="437">
        <f t="shared" si="91"/>
        <v>26</v>
      </c>
      <c r="GT24" s="914">
        <f t="shared" si="92"/>
        <v>49</v>
      </c>
    </row>
    <row r="25" spans="4:203" ht="23.25">
      <c r="M25" s="720" t="s">
        <v>3794</v>
      </c>
      <c r="N25" s="272" t="e">
        <f>IF(AND(N11&gt;N15,N11&lt;N21),"روز","شب")</f>
        <v>#VALUE!</v>
      </c>
      <c r="O25" s="214"/>
      <c r="P25" s="214"/>
      <c r="Q25" s="214"/>
      <c r="R25" s="901"/>
      <c r="AW25" s="3" t="s">
        <v>1245</v>
      </c>
      <c r="AX25" s="183">
        <f>AX13/2</f>
        <v>0.96277777777777773</v>
      </c>
      <c r="AY25" s="168">
        <f t="shared" si="109"/>
        <v>0</v>
      </c>
      <c r="AZ25" s="168">
        <f t="shared" si="110"/>
        <v>57</v>
      </c>
      <c r="BA25" s="168">
        <f t="shared" si="111"/>
        <v>45</v>
      </c>
      <c r="BB25" s="168">
        <f t="shared" si="112"/>
        <v>59</v>
      </c>
      <c r="BD25" s="181" t="s">
        <v>377</v>
      </c>
      <c r="BE25" s="182">
        <v>0</v>
      </c>
      <c r="BF25" s="3"/>
      <c r="BG25" s="3"/>
      <c r="BH25" s="3"/>
      <c r="BI25" s="3"/>
      <c r="BK25" s="181" t="s">
        <v>3</v>
      </c>
      <c r="BL25" s="182">
        <v>1442</v>
      </c>
      <c r="BM25" s="3"/>
      <c r="BN25" s="3"/>
      <c r="BO25" s="3"/>
      <c r="BP25" s="3"/>
      <c r="BR25" s="3" t="s">
        <v>1245</v>
      </c>
      <c r="BS25" s="183">
        <f>BS13/2</f>
        <v>0.4777777777777778</v>
      </c>
      <c r="BT25" s="168">
        <f t="shared" si="113"/>
        <v>0</v>
      </c>
      <c r="BU25" s="168">
        <f t="shared" si="114"/>
        <v>28</v>
      </c>
      <c r="BV25" s="168">
        <f t="shared" si="115"/>
        <v>40</v>
      </c>
      <c r="BW25" s="168">
        <f t="shared" si="116"/>
        <v>0</v>
      </c>
      <c r="BY25" s="3" t="s">
        <v>1245</v>
      </c>
      <c r="BZ25" s="183">
        <f>BZ13/2</f>
        <v>2.8695833333333334</v>
      </c>
      <c r="CA25" s="168">
        <f t="shared" si="117"/>
        <v>2</v>
      </c>
      <c r="CB25" s="168">
        <f t="shared" si="118"/>
        <v>52</v>
      </c>
      <c r="CC25" s="168">
        <f t="shared" si="119"/>
        <v>10</v>
      </c>
      <c r="CD25" s="168">
        <f t="shared" si="120"/>
        <v>30</v>
      </c>
      <c r="CF25" s="3" t="s">
        <v>1245</v>
      </c>
      <c r="CG25" s="183">
        <f>CG13/2</f>
        <v>1.2816666666666667</v>
      </c>
      <c r="CH25" s="168">
        <f t="shared" si="121"/>
        <v>1</v>
      </c>
      <c r="CI25" s="168">
        <f t="shared" si="122"/>
        <v>16</v>
      </c>
      <c r="CJ25" s="168">
        <f t="shared" si="123"/>
        <v>54</v>
      </c>
      <c r="CK25" s="168">
        <f t="shared" si="124"/>
        <v>0</v>
      </c>
      <c r="CM25" s="3" t="s">
        <v>1245</v>
      </c>
      <c r="CN25" s="183">
        <f>CN13/2</f>
        <v>1.6640277777777777</v>
      </c>
      <c r="CO25" s="168">
        <f t="shared" si="125"/>
        <v>1</v>
      </c>
      <c r="CP25" s="168">
        <f t="shared" si="126"/>
        <v>39</v>
      </c>
      <c r="CQ25" s="168">
        <f t="shared" si="127"/>
        <v>50</v>
      </c>
      <c r="CR25" s="168">
        <f t="shared" si="128"/>
        <v>29</v>
      </c>
      <c r="CU25" s="4"/>
      <c r="CV25" s="184" t="str">
        <f>IF(CV19&lt;CV24,"نطاق اول",IF(CV19&lt;180,"نطاق دوم",IF(CV19&lt;(360-CV24),"نطاق سوم","نطاق چهارم")))</f>
        <v>نطاق چهارم</v>
      </c>
      <c r="CW25" s="4" t="str">
        <f>[1]!nettqmosame(CV3,CV4,CV5,CV6)</f>
        <v>netaq3</v>
      </c>
      <c r="CX25" s="4"/>
      <c r="CY25" s="4"/>
      <c r="CZ25" s="185"/>
      <c r="DB25" s="4"/>
      <c r="DC25" s="184" t="str">
        <f>IF(DC19&lt;DC24,"نطاق اول",IF(DC19&lt;180,"نطاق دوم",IF(DC19&lt;(360-DC24),"نطاق سوم","نطاق چهارم")))</f>
        <v>نطاق سوم</v>
      </c>
      <c r="DD25" s="4" t="str">
        <f>[1]!nettzhmaqame(DC3,DC4,DC5,DC6)</f>
        <v>netaq3</v>
      </c>
      <c r="DE25" s="4"/>
      <c r="DF25" s="4"/>
      <c r="DG25" s="185"/>
      <c r="DI25" s="4"/>
      <c r="DJ25" s="184" t="str">
        <f>IF(DJ19&lt;DJ24,"نطاق اول",IF(DJ19&lt;180,"نطاق دوم",IF(DJ19&lt;(360-DJ24),"نطاق سوم","نطاق چهارم")))</f>
        <v>نطاق چهارم</v>
      </c>
      <c r="DK25" s="4" t="str">
        <f>[1]!nettmoshmaqame(DJ3,DJ4,DJ5,DJ6)</f>
        <v>netaq4</v>
      </c>
      <c r="DL25" s="4"/>
      <c r="DM25" s="4"/>
      <c r="DN25" s="185"/>
      <c r="DP25" s="4"/>
      <c r="DQ25" s="184" t="str">
        <f>IF(DQ19&lt;DQ24,"نطاق اول",IF(DQ19&lt;180,"نطاق دوم",IF(DQ19&lt;(360-DQ24),"نطاق سوم","نطاق چهارم")))</f>
        <v>نطاق دوم</v>
      </c>
      <c r="DR25" s="4" t="str">
        <f>[1]!nettmermaqame(DQ3,DQ4,DQ5,DQ6)</f>
        <v>netaq2</v>
      </c>
      <c r="DS25" s="4"/>
      <c r="DT25" s="4"/>
      <c r="DU25" s="185"/>
      <c r="DW25" s="4"/>
      <c r="DX25" s="184" t="str">
        <f>IF(DX19&lt;DX24,"نطاق اول",IF(DX19&lt;180,"نطاق دوم",IF(DX19&lt;(360-DX24),"نطاق سوم","نطاق چهارم")))</f>
        <v>نطاق چهارم</v>
      </c>
      <c r="DY25" s="4" t="str">
        <f>[1]!nettzrmaqame(DX3,DX4,DX5,DX6)</f>
        <v>netaq3</v>
      </c>
      <c r="DZ25" s="4"/>
      <c r="EA25" s="4"/>
      <c r="EB25" s="185"/>
      <c r="ED25" s="4"/>
      <c r="EE25" s="184" t="str">
        <f>IF(EE19&lt;EE24,"نطاق اول",IF(EE19&lt;180,"نطاق دوم",IF(EE19&lt;(360-EE24),"نطاق سوم","نطاق چهارم")))</f>
        <v>نطاق دوم</v>
      </c>
      <c r="EF25" s="4" t="str">
        <f>[1]!nettottmaqame(EE3,EE4,EE5,EE6)</f>
        <v>netaq2</v>
      </c>
      <c r="EG25" s="4"/>
      <c r="EH25" s="4"/>
      <c r="EI25" s="185"/>
      <c r="EL25" s="797"/>
      <c r="EM25" s="797"/>
      <c r="FE25">
        <f>[1]!ertefashams(FD2,FD3,FD4,FD14,FD5,FD6)</f>
        <v>-1.9218621174532979</v>
      </c>
      <c r="FF25" s="243">
        <f>INT(ABS(FE25))</f>
        <v>1</v>
      </c>
      <c r="FG25" s="243">
        <f>INT((ABS(FE25)-FF25)*60)</f>
        <v>55</v>
      </c>
      <c r="FH25" s="243">
        <f>INT((((ABS(FE25)-FF25)*60)-FG25)*60)</f>
        <v>18</v>
      </c>
      <c r="FI25" s="733">
        <f>INT((((((ABS(FE25)-FF25)*60)-FG25)*60)-FH25)*60)</f>
        <v>42</v>
      </c>
      <c r="FJ25" s="911" t="s">
        <v>1320</v>
      </c>
      <c r="FK25" s="304">
        <f>FK22</f>
        <v>15.529142706151244</v>
      </c>
      <c r="FL25" s="437">
        <f t="shared" si="9"/>
        <v>15</v>
      </c>
      <c r="FM25" s="437">
        <f t="shared" si="10"/>
        <v>31</v>
      </c>
      <c r="FN25" s="437">
        <f t="shared" si="11"/>
        <v>44</v>
      </c>
      <c r="FO25" s="914">
        <f t="shared" si="12"/>
        <v>54</v>
      </c>
      <c r="FS25" s="911" t="s">
        <v>1320</v>
      </c>
      <c r="FT25" s="304">
        <f>FT22</f>
        <v>17.942447535365201</v>
      </c>
      <c r="FU25" s="437">
        <f t="shared" si="101"/>
        <v>17</v>
      </c>
      <c r="FV25" s="437">
        <f t="shared" si="102"/>
        <v>56</v>
      </c>
      <c r="FW25" s="437">
        <f t="shared" si="103"/>
        <v>32</v>
      </c>
      <c r="FX25" s="437">
        <f t="shared" si="104"/>
        <v>48</v>
      </c>
      <c r="FY25" s="701" t="s">
        <v>356</v>
      </c>
      <c r="FZ25" s="304">
        <f>[1]!acs(60-FZ24)</f>
        <v>80.289724268703111</v>
      </c>
      <c r="GA25" s="437">
        <f t="shared" si="82"/>
        <v>80</v>
      </c>
      <c r="GB25" s="437">
        <f t="shared" si="83"/>
        <v>17</v>
      </c>
      <c r="GC25" s="437">
        <f t="shared" si="84"/>
        <v>23</v>
      </c>
      <c r="GD25" s="914">
        <f t="shared" si="85"/>
        <v>0</v>
      </c>
      <c r="GE25" s="304"/>
      <c r="GF25" s="304">
        <f>[1]!acs(60-GF21)</f>
        <v>71.895407376862522</v>
      </c>
      <c r="GG25" s="437">
        <f t="shared" si="45"/>
        <v>71</v>
      </c>
      <c r="GH25" s="437">
        <f t="shared" si="46"/>
        <v>53</v>
      </c>
      <c r="GI25" s="437">
        <f t="shared" si="47"/>
        <v>43</v>
      </c>
      <c r="GJ25" s="914">
        <f t="shared" si="48"/>
        <v>27</v>
      </c>
      <c r="GK25" s="797"/>
      <c r="GL25" s="797"/>
      <c r="GM25" s="797"/>
      <c r="GO25" s="701" t="s">
        <v>356</v>
      </c>
      <c r="GP25" s="304">
        <f>[1]!fdaer(GP2,GP9,GP8,GP24,GP6)</f>
        <v>57.296494547163761</v>
      </c>
      <c r="GQ25" s="437">
        <f t="shared" si="89"/>
        <v>57</v>
      </c>
      <c r="GR25" s="437">
        <f t="shared" si="90"/>
        <v>17</v>
      </c>
      <c r="GS25" s="437">
        <f t="shared" si="91"/>
        <v>47</v>
      </c>
      <c r="GT25" s="914">
        <f t="shared" si="92"/>
        <v>22</v>
      </c>
    </row>
    <row r="26" spans="4:203" ht="25.5" thickBot="1">
      <c r="M26" s="924" t="s">
        <v>250</v>
      </c>
      <c r="N26" s="272" t="e">
        <f>ABS(IF(N25="روز",IF(N12-N13&gt;0,N12-N13,N12-N13+180),IF(N12-N14&gt;0,N12-N14,N12-N14+180)))</f>
        <v>#VALUE!</v>
      </c>
      <c r="O26" s="214" t="e">
        <f t="shared" ref="O26:O31" si="129">INT(ABS(N26))</f>
        <v>#VALUE!</v>
      </c>
      <c r="P26" s="214" t="e">
        <f t="shared" ref="P26:P31" si="130">INT((ABS(N26)-O26)*60)</f>
        <v>#VALUE!</v>
      </c>
      <c r="Q26" s="214" t="e">
        <f t="shared" ref="Q26:Q31" si="131">INT((((ABS(N26)-O26)*60)-P26)*60)</f>
        <v>#VALUE!</v>
      </c>
      <c r="R26" s="901" t="e">
        <f t="shared" ref="R26:R31" si="132">INT((((((ABS(N26)-O26)*60)-P26)*60)-Q26)*60)</f>
        <v>#VALUE!</v>
      </c>
      <c r="AW26" s="3" t="s">
        <v>1244</v>
      </c>
      <c r="AX26" s="3">
        <f>[1]!oujsh(AX20,AX21,AX22,AX23)</f>
        <v>103.59659119703252</v>
      </c>
      <c r="AY26" s="168">
        <f t="shared" si="109"/>
        <v>103</v>
      </c>
      <c r="AZ26" s="168">
        <f t="shared" si="110"/>
        <v>35</v>
      </c>
      <c r="BA26" s="168">
        <f t="shared" si="111"/>
        <v>47</v>
      </c>
      <c r="BB26" s="168">
        <f t="shared" si="112"/>
        <v>43</v>
      </c>
      <c r="BD26" s="3" t="s">
        <v>1239</v>
      </c>
      <c r="BE26" s="3">
        <v>200</v>
      </c>
      <c r="BF26" s="168">
        <f t="shared" ref="BF26:BF31" si="133">INT(ABS(BE26))</f>
        <v>200</v>
      </c>
      <c r="BG26" s="168">
        <f t="shared" ref="BG26:BG31" si="134">INT((ABS(BE26)-BF26)*60)</f>
        <v>0</v>
      </c>
      <c r="BH26" s="168">
        <f t="shared" ref="BH26:BH31" si="135">INT((((ABS(BE26)-BF26)*60)-BG26)*60)</f>
        <v>0</v>
      </c>
      <c r="BI26" s="168">
        <f t="shared" ref="BI26:BI31" si="136">INT((((((ABS(BE26)-BF26)*60)-BG26)*60)-BH26)*60)</f>
        <v>0</v>
      </c>
      <c r="BK26" s="181" t="s">
        <v>4</v>
      </c>
      <c r="BL26" s="182">
        <v>6</v>
      </c>
      <c r="BM26" s="3"/>
      <c r="BN26" s="3"/>
      <c r="BO26" s="3"/>
      <c r="BP26" s="3"/>
      <c r="BR26" s="3" t="s">
        <v>1244</v>
      </c>
      <c r="BS26" s="3">
        <f>[1]!oujsh(BS20,BS21,BS22,BS23)</f>
        <v>103.59658674417727</v>
      </c>
      <c r="BT26" s="168">
        <f t="shared" si="113"/>
        <v>103</v>
      </c>
      <c r="BU26" s="168">
        <f t="shared" si="114"/>
        <v>35</v>
      </c>
      <c r="BV26" s="168">
        <f t="shared" si="115"/>
        <v>47</v>
      </c>
      <c r="BW26" s="168">
        <f t="shared" si="116"/>
        <v>42</v>
      </c>
      <c r="BY26" s="3" t="s">
        <v>1256</v>
      </c>
      <c r="BZ26" s="3">
        <f>[1]!oujmer(BZ20,BZ21,BZ22,BZ23)</f>
        <v>156.51913975433018</v>
      </c>
      <c r="CA26" s="168">
        <f t="shared" si="117"/>
        <v>156</v>
      </c>
      <c r="CB26" s="168">
        <f t="shared" si="118"/>
        <v>31</v>
      </c>
      <c r="CC26" s="168">
        <f t="shared" si="119"/>
        <v>8</v>
      </c>
      <c r="CD26" s="168">
        <f t="shared" si="120"/>
        <v>54</v>
      </c>
      <c r="CF26" s="3" t="s">
        <v>1244</v>
      </c>
      <c r="CG26" s="3">
        <f>[1]!oujmosh(CG20,CG21,CG22,CG23)</f>
        <v>198.6799910827269</v>
      </c>
      <c r="CH26" s="168">
        <f t="shared" si="121"/>
        <v>198</v>
      </c>
      <c r="CI26" s="168">
        <f t="shared" si="122"/>
        <v>40</v>
      </c>
      <c r="CJ26" s="168">
        <f t="shared" si="123"/>
        <v>47</v>
      </c>
      <c r="CK26" s="168">
        <f t="shared" si="124"/>
        <v>58</v>
      </c>
      <c r="CM26" s="3" t="s">
        <v>1258</v>
      </c>
      <c r="CN26" s="3">
        <f>[1]!oujzo(CN20,CN21,CN22,CN23)</f>
        <v>276.53895801011674</v>
      </c>
      <c r="CO26" s="168">
        <f t="shared" si="125"/>
        <v>276</v>
      </c>
      <c r="CP26" s="168">
        <f t="shared" si="126"/>
        <v>32</v>
      </c>
      <c r="CQ26" s="168">
        <f t="shared" si="127"/>
        <v>20</v>
      </c>
      <c r="CR26" s="168">
        <f t="shared" si="128"/>
        <v>14</v>
      </c>
      <c r="CU26" s="10" t="s">
        <v>1269</v>
      </c>
      <c r="CV26" s="10"/>
      <c r="CW26" s="10"/>
      <c r="CX26" s="10"/>
      <c r="CY26" s="10"/>
      <c r="CZ26" s="10"/>
      <c r="DB26" s="24" t="s">
        <v>1271</v>
      </c>
      <c r="DC26" s="24"/>
      <c r="DD26" s="24"/>
      <c r="DE26" s="24"/>
      <c r="DF26" s="24"/>
      <c r="DG26" s="24"/>
      <c r="DI26" s="24" t="s">
        <v>1273</v>
      </c>
      <c r="DJ26" s="24"/>
      <c r="DK26" s="24"/>
      <c r="DL26" s="24"/>
      <c r="DM26" s="24"/>
      <c r="DN26" s="24"/>
      <c r="DP26" s="24" t="s">
        <v>1275</v>
      </c>
      <c r="DQ26" s="24"/>
      <c r="DR26" s="24"/>
      <c r="DS26" s="24"/>
      <c r="DT26" s="24"/>
      <c r="DU26" s="24"/>
      <c r="DW26" s="24" t="s">
        <v>1276</v>
      </c>
      <c r="DX26" s="24"/>
      <c r="DY26" s="24"/>
      <c r="DZ26" s="24"/>
      <c r="EA26" s="24"/>
      <c r="EB26" s="24"/>
      <c r="ED26" s="24" t="s">
        <v>1279</v>
      </c>
      <c r="EE26" s="24"/>
      <c r="EF26" s="24"/>
      <c r="EG26" s="24"/>
      <c r="EH26" s="24"/>
      <c r="EI26" s="24"/>
      <c r="EL26" s="797"/>
      <c r="EM26" s="797"/>
      <c r="FE26">
        <f>[1]!ertefashams(FD2,FD3,FD4,FD10,FD5,FD6)</f>
        <v>0.85892314163902206</v>
      </c>
      <c r="FF26" s="243">
        <f>INT(ABS(FE26))</f>
        <v>0</v>
      </c>
      <c r="FG26" s="243">
        <f>INT((ABS(FE26)-FF26)*60)</f>
        <v>51</v>
      </c>
      <c r="FH26" s="243">
        <f>INT((((ABS(FE26)-FF26)*60)-FG26)*60)</f>
        <v>32</v>
      </c>
      <c r="FI26" s="733">
        <f>INT((((((ABS(FE26)-FF26)*60)-FG26)*60)-FH26)*60)</f>
        <v>7</v>
      </c>
      <c r="FJ26" s="701" t="s">
        <v>1321</v>
      </c>
      <c r="FK26" s="304">
        <f>FK24</f>
        <v>41.354842887175053</v>
      </c>
      <c r="FL26" s="437">
        <f t="shared" si="9"/>
        <v>41</v>
      </c>
      <c r="FM26" s="437">
        <f t="shared" si="10"/>
        <v>21</v>
      </c>
      <c r="FN26" s="437">
        <f t="shared" si="11"/>
        <v>17</v>
      </c>
      <c r="FO26" s="914">
        <f t="shared" si="12"/>
        <v>26</v>
      </c>
      <c r="FS26" s="701" t="s">
        <v>1321</v>
      </c>
      <c r="FT26" s="304">
        <f>FT24</f>
        <v>41.354842887175053</v>
      </c>
      <c r="FU26" s="437">
        <f t="shared" si="101"/>
        <v>41</v>
      </c>
      <c r="FV26" s="437">
        <f t="shared" si="102"/>
        <v>21</v>
      </c>
      <c r="FW26" s="437">
        <f t="shared" si="103"/>
        <v>17</v>
      </c>
      <c r="FX26" s="437">
        <f t="shared" si="104"/>
        <v>26</v>
      </c>
      <c r="FY26" s="701"/>
      <c r="FZ26" s="304">
        <f>FZ12+(60*4/7)</f>
        <v>47.425184148703053</v>
      </c>
      <c r="GA26" s="437">
        <f t="shared" ref="GA26:GA30" si="137">INT(ABS(FZ26))</f>
        <v>47</v>
      </c>
      <c r="GB26" s="437">
        <f t="shared" ref="GB26:GB30" si="138">INT((ABS(FZ26)-GA26)*60)</f>
        <v>25</v>
      </c>
      <c r="GC26" s="437">
        <f t="shared" ref="GC26:GC30" si="139">INT((((ABS(FZ26)-GA26)*60)-GB26)*60)</f>
        <v>30</v>
      </c>
      <c r="GD26" s="914">
        <f t="shared" ref="GD26:GD30" si="140">INT((((((ABS(FZ26)-GA26)*60)-GB26)*60)-GC26)*60)</f>
        <v>39</v>
      </c>
      <c r="GE26" s="304" t="s">
        <v>295</v>
      </c>
      <c r="GF26" s="304">
        <f>GF25-GF24</f>
        <v>6.4750988166129275</v>
      </c>
      <c r="GG26" s="437">
        <f t="shared" si="45"/>
        <v>6</v>
      </c>
      <c r="GH26" s="437">
        <f t="shared" si="46"/>
        <v>28</v>
      </c>
      <c r="GI26" s="437">
        <f t="shared" si="47"/>
        <v>30</v>
      </c>
      <c r="GJ26" s="914">
        <f t="shared" si="48"/>
        <v>21</v>
      </c>
      <c r="GK26" s="797"/>
      <c r="GL26" s="797"/>
      <c r="GM26" s="797"/>
      <c r="GO26" s="916" t="s">
        <v>4009</v>
      </c>
      <c r="GP26" s="119">
        <f>(GP25/15)+FT40</f>
        <v>15.950666687001792</v>
      </c>
      <c r="GQ26" s="1488">
        <f>INT(GP26)</f>
        <v>15</v>
      </c>
      <c r="GR26" s="1488">
        <f>INT((GP26-GQ26)*60)</f>
        <v>57</v>
      </c>
      <c r="GS26" s="1488">
        <f>INT((((GP26-GQ26)*60)-GR26)*60)</f>
        <v>2</v>
      </c>
      <c r="GT26" s="1489">
        <f>INT((((((GP26-GQ26)*60)-GR26)*60)-GS26)*60)</f>
        <v>24</v>
      </c>
    </row>
    <row r="27" spans="4:203" ht="23.25">
      <c r="M27" s="924" t="s">
        <v>1216</v>
      </c>
      <c r="N27" s="272" t="e">
        <f>N26/15</f>
        <v>#VALUE!</v>
      </c>
      <c r="O27" s="214" t="e">
        <f t="shared" si="129"/>
        <v>#VALUE!</v>
      </c>
      <c r="P27" s="214" t="e">
        <f t="shared" si="130"/>
        <v>#VALUE!</v>
      </c>
      <c r="Q27" s="214" t="e">
        <f t="shared" si="131"/>
        <v>#VALUE!</v>
      </c>
      <c r="R27" s="901" t="e">
        <f t="shared" si="132"/>
        <v>#VALUE!</v>
      </c>
      <c r="AW27" s="3" t="s">
        <v>1241</v>
      </c>
      <c r="AX27" s="3">
        <f>IF(AX26+AX25+90&lt;360,AX26+AX25+90,AX26+AX25+90-360)</f>
        <v>194.5593689748103</v>
      </c>
      <c r="AY27" s="168">
        <f t="shared" si="109"/>
        <v>194</v>
      </c>
      <c r="AZ27" s="168">
        <f t="shared" si="110"/>
        <v>33</v>
      </c>
      <c r="BA27" s="168">
        <f t="shared" si="111"/>
        <v>33</v>
      </c>
      <c r="BB27" s="168">
        <f t="shared" si="112"/>
        <v>43</v>
      </c>
      <c r="BD27" s="3" t="s">
        <v>1245</v>
      </c>
      <c r="BE27" s="183">
        <f>BE15/2</f>
        <v>4.9504166666666665</v>
      </c>
      <c r="BF27" s="168">
        <f t="shared" si="133"/>
        <v>4</v>
      </c>
      <c r="BG27" s="168">
        <f t="shared" si="134"/>
        <v>57</v>
      </c>
      <c r="BH27" s="168">
        <f t="shared" si="135"/>
        <v>1</v>
      </c>
      <c r="BI27" s="168">
        <f t="shared" si="136"/>
        <v>29</v>
      </c>
      <c r="BK27" s="181" t="s">
        <v>5</v>
      </c>
      <c r="BL27" s="182">
        <v>27</v>
      </c>
      <c r="BM27" s="3"/>
      <c r="BN27" s="3"/>
      <c r="BO27" s="3"/>
      <c r="BP27" s="3"/>
      <c r="BR27" s="3" t="s">
        <v>1241</v>
      </c>
      <c r="BS27" s="3">
        <f>IF(BS26+BS25+90&lt;360,BS26+BS25+90,BS26+BS25+90-360)</f>
        <v>194.07436452195503</v>
      </c>
      <c r="BT27" s="168">
        <f t="shared" si="113"/>
        <v>194</v>
      </c>
      <c r="BU27" s="168">
        <f t="shared" si="114"/>
        <v>4</v>
      </c>
      <c r="BV27" s="168">
        <f t="shared" si="115"/>
        <v>27</v>
      </c>
      <c r="BW27" s="168">
        <f t="shared" si="116"/>
        <v>42</v>
      </c>
      <c r="BY27" s="3" t="s">
        <v>1241</v>
      </c>
      <c r="BZ27" s="3">
        <f>IF(BZ26+BZ25+90&lt;360,BZ26+BZ25+90,BZ26+BZ25+90-360)</f>
        <v>249.38872308766352</v>
      </c>
      <c r="CA27" s="168">
        <f t="shared" si="117"/>
        <v>249</v>
      </c>
      <c r="CB27" s="168">
        <f t="shared" si="118"/>
        <v>23</v>
      </c>
      <c r="CC27" s="168">
        <f t="shared" si="119"/>
        <v>19</v>
      </c>
      <c r="CD27" s="168">
        <f t="shared" si="120"/>
        <v>24</v>
      </c>
      <c r="CF27" s="3" t="s">
        <v>1241</v>
      </c>
      <c r="CG27" s="3">
        <f>IF(CG26+CG25+90&lt;360,CG26+CG25+90,CG26+CG25+90-360)</f>
        <v>289.96165774939357</v>
      </c>
      <c r="CH27" s="168">
        <f t="shared" si="121"/>
        <v>289</v>
      </c>
      <c r="CI27" s="168">
        <f t="shared" si="122"/>
        <v>57</v>
      </c>
      <c r="CJ27" s="168">
        <f t="shared" si="123"/>
        <v>41</v>
      </c>
      <c r="CK27" s="168">
        <f t="shared" si="124"/>
        <v>58</v>
      </c>
      <c r="CM27" s="3" t="s">
        <v>1241</v>
      </c>
      <c r="CN27" s="3">
        <f>IF(CN26+CN25+90&lt;360,CN26+CN25+90,CN26+CN25+90-360)</f>
        <v>8.2029857878945336</v>
      </c>
      <c r="CO27" s="168">
        <f t="shared" si="125"/>
        <v>8</v>
      </c>
      <c r="CP27" s="168">
        <f t="shared" si="126"/>
        <v>12</v>
      </c>
      <c r="CQ27" s="168">
        <f t="shared" si="127"/>
        <v>10</v>
      </c>
      <c r="CR27" s="168">
        <f t="shared" si="128"/>
        <v>44</v>
      </c>
      <c r="CU27" s="4" t="s">
        <v>1265</v>
      </c>
      <c r="CV27" s="4">
        <f>CV19</f>
        <v>268.7563900546171</v>
      </c>
      <c r="CW27" s="4"/>
      <c r="CX27" s="4"/>
      <c r="CY27" s="4"/>
      <c r="CZ27" s="4"/>
      <c r="DB27" s="4" t="s">
        <v>1265</v>
      </c>
      <c r="DC27" s="4">
        <f>DC19</f>
        <v>219.0836311485233</v>
      </c>
      <c r="DD27" s="4"/>
      <c r="DE27" s="4"/>
      <c r="DF27" s="4"/>
      <c r="DG27" s="4"/>
      <c r="DI27" s="4" t="s">
        <v>1265</v>
      </c>
      <c r="DJ27" s="4">
        <f>DJ16</f>
        <v>328.63251432795209</v>
      </c>
      <c r="DK27" s="4"/>
      <c r="DL27" s="4"/>
      <c r="DM27" s="4"/>
      <c r="DN27" s="4"/>
      <c r="DP27" s="4" t="s">
        <v>1265</v>
      </c>
      <c r="DQ27" s="4">
        <f>DQ19</f>
        <v>148.95182057999301</v>
      </c>
      <c r="DR27" s="4"/>
      <c r="DS27" s="4"/>
      <c r="DT27" s="4"/>
      <c r="DU27" s="4"/>
      <c r="DW27" s="4" t="s">
        <v>1265</v>
      </c>
      <c r="DX27" s="4">
        <f>DX19</f>
        <v>285.3376995073715</v>
      </c>
      <c r="DY27" s="4"/>
      <c r="DZ27" s="4"/>
      <c r="EA27" s="4"/>
      <c r="EB27" s="4"/>
      <c r="ED27" s="4" t="s">
        <v>1265</v>
      </c>
      <c r="EE27" s="4">
        <f>EE19</f>
        <v>173.18041208127147</v>
      </c>
      <c r="EF27" s="4"/>
      <c r="EG27" s="4"/>
      <c r="EH27" s="4"/>
      <c r="EI27" s="4"/>
      <c r="EL27" s="797"/>
      <c r="EM27" s="797"/>
      <c r="FE27">
        <f>[1]!wasat(FD2,FD3,[1]!roz(FD4,FD11,0,0),FD5)</f>
        <v>93.987218129704715</v>
      </c>
      <c r="FF27" s="243">
        <f>INT(ABS(FE27))</f>
        <v>93</v>
      </c>
      <c r="FG27" s="243">
        <f>INT((ABS(FE27)-FF27)*60)</f>
        <v>59</v>
      </c>
      <c r="FH27" s="243">
        <f>INT((((ABS(FE27)-FF27)*60)-FG27)*60)</f>
        <v>13</v>
      </c>
      <c r="FI27" s="733">
        <f>INT((((((ABS(FE27)-FF27)*60)-FG27)*60)-FH27)*60)</f>
        <v>59</v>
      </c>
      <c r="FJ27" s="911" t="s">
        <v>365</v>
      </c>
      <c r="FK27" s="304">
        <f>FK21</f>
        <v>30.8262535275876</v>
      </c>
      <c r="FL27" s="437">
        <f t="shared" si="9"/>
        <v>30</v>
      </c>
      <c r="FM27" s="437">
        <f t="shared" si="10"/>
        <v>49</v>
      </c>
      <c r="FN27" s="437">
        <f t="shared" si="11"/>
        <v>34</v>
      </c>
      <c r="FO27" s="914">
        <f t="shared" si="12"/>
        <v>30</v>
      </c>
      <c r="FS27" s="911" t="s">
        <v>365</v>
      </c>
      <c r="FT27" s="304">
        <f>FT21</f>
        <v>30.826009465435071</v>
      </c>
      <c r="FU27" s="437">
        <f t="shared" si="101"/>
        <v>30</v>
      </c>
      <c r="FV27" s="437">
        <f t="shared" si="102"/>
        <v>49</v>
      </c>
      <c r="FW27" s="437">
        <f t="shared" si="103"/>
        <v>33</v>
      </c>
      <c r="FX27" s="437">
        <f t="shared" si="104"/>
        <v>38</v>
      </c>
      <c r="FY27" s="701" t="s">
        <v>4005</v>
      </c>
      <c r="FZ27" s="304">
        <f>[1]!acj(FZ26)</f>
        <v>51.676459814053338</v>
      </c>
      <c r="GA27" s="437">
        <f t="shared" si="137"/>
        <v>51</v>
      </c>
      <c r="GB27" s="437">
        <f t="shared" si="138"/>
        <v>40</v>
      </c>
      <c r="GC27" s="437">
        <f t="shared" si="139"/>
        <v>35</v>
      </c>
      <c r="GD27" s="914">
        <f t="shared" si="140"/>
        <v>15</v>
      </c>
      <c r="GE27" s="114" t="s">
        <v>1326</v>
      </c>
      <c r="GF27" s="114">
        <f>GF26/15</f>
        <v>0.43167325444086185</v>
      </c>
      <c r="GG27" s="237">
        <f t="shared" si="45"/>
        <v>0</v>
      </c>
      <c r="GH27" s="237">
        <f t="shared" si="46"/>
        <v>25</v>
      </c>
      <c r="GI27" s="237">
        <f t="shared" si="47"/>
        <v>54</v>
      </c>
      <c r="GJ27" s="907">
        <f t="shared" si="48"/>
        <v>1</v>
      </c>
      <c r="GK27" s="797"/>
      <c r="GL27" s="797"/>
      <c r="GM27" s="797"/>
      <c r="GO27" s="701" t="s">
        <v>3785</v>
      </c>
      <c r="GP27">
        <f>[1]!tzaman2(GP2,GP3,GP4)</f>
        <v>-0.12054085136908742</v>
      </c>
      <c r="GQ27" s="437">
        <f>INT(ABS(GP27))</f>
        <v>0</v>
      </c>
      <c r="GR27" s="437">
        <f>INT((ABS(GP27)-GQ27)*60)</f>
        <v>7</v>
      </c>
      <c r="GS27" s="437">
        <f>INT((((ABS(GP27)-GQ27)*60)-GR27)*60)</f>
        <v>13</v>
      </c>
      <c r="GT27" s="914">
        <f>INT((((((ABS(GP27)-GQ27)*60)-GR27)*60)-GS27)*60)</f>
        <v>56</v>
      </c>
    </row>
    <row r="28" spans="4:203" ht="23.25">
      <c r="M28" s="924" t="s">
        <v>1218</v>
      </c>
      <c r="N28" s="272" t="e">
        <f>N16/2/15</f>
        <v>#VALUE!</v>
      </c>
      <c r="O28" s="214" t="e">
        <f t="shared" si="129"/>
        <v>#VALUE!</v>
      </c>
      <c r="P28" s="214" t="e">
        <f t="shared" si="130"/>
        <v>#VALUE!</v>
      </c>
      <c r="Q28" s="214" t="e">
        <f t="shared" si="131"/>
        <v>#VALUE!</v>
      </c>
      <c r="R28" s="901" t="e">
        <f t="shared" si="132"/>
        <v>#VALUE!</v>
      </c>
      <c r="AW28" s="3" t="s">
        <v>1242</v>
      </c>
      <c r="AX28" s="3">
        <f>IF(AX26+180&lt;360,AX26+180,AX26+180-360)</f>
        <v>283.59659119703252</v>
      </c>
      <c r="AY28" s="168">
        <f t="shared" si="109"/>
        <v>283</v>
      </c>
      <c r="AZ28" s="168">
        <f t="shared" si="110"/>
        <v>35</v>
      </c>
      <c r="BA28" s="168">
        <f t="shared" si="111"/>
        <v>47</v>
      </c>
      <c r="BB28" s="168">
        <f t="shared" si="112"/>
        <v>43</v>
      </c>
      <c r="BD28" s="3" t="s">
        <v>1253</v>
      </c>
      <c r="BE28" s="3">
        <f>[1]!oujq(BE22,BE23,BE24,BE25)</f>
        <v>42.608202602532629</v>
      </c>
      <c r="BF28" s="168">
        <f t="shared" si="133"/>
        <v>42</v>
      </c>
      <c r="BG28" s="168">
        <f t="shared" si="134"/>
        <v>36</v>
      </c>
      <c r="BH28" s="168">
        <f t="shared" si="135"/>
        <v>29</v>
      </c>
      <c r="BI28" s="168">
        <f t="shared" si="136"/>
        <v>31</v>
      </c>
      <c r="BK28" s="181" t="s">
        <v>377</v>
      </c>
      <c r="BL28" s="182">
        <v>0</v>
      </c>
      <c r="BM28" s="3"/>
      <c r="BN28" s="3"/>
      <c r="BO28" s="3"/>
      <c r="BP28" s="3"/>
      <c r="BR28" s="3" t="s">
        <v>1242</v>
      </c>
      <c r="BS28" s="3">
        <f>IF(BS26+180&lt;360,BS26+180,BS26+180-360)</f>
        <v>283.59658674417727</v>
      </c>
      <c r="BT28" s="168">
        <f t="shared" si="113"/>
        <v>283</v>
      </c>
      <c r="BU28" s="168">
        <f t="shared" si="114"/>
        <v>35</v>
      </c>
      <c r="BV28" s="168">
        <f t="shared" si="115"/>
        <v>47</v>
      </c>
      <c r="BW28" s="168">
        <f t="shared" si="116"/>
        <v>42</v>
      </c>
      <c r="BY28" s="3" t="s">
        <v>1242</v>
      </c>
      <c r="BZ28" s="3">
        <f>IF(BZ26+180&lt;360,BZ26+180,BZ26+180-360)</f>
        <v>336.51913975433018</v>
      </c>
      <c r="CA28" s="168">
        <f t="shared" si="117"/>
        <v>336</v>
      </c>
      <c r="CB28" s="168">
        <f t="shared" si="118"/>
        <v>31</v>
      </c>
      <c r="CC28" s="168">
        <f t="shared" si="119"/>
        <v>8</v>
      </c>
      <c r="CD28" s="168">
        <f t="shared" si="120"/>
        <v>54</v>
      </c>
      <c r="CF28" s="3" t="s">
        <v>1242</v>
      </c>
      <c r="CG28" s="3">
        <f>IF(CG26+180&lt;360,CG26+180,CG26+180-360)</f>
        <v>18.679991082726929</v>
      </c>
      <c r="CH28" s="168">
        <f t="shared" si="121"/>
        <v>18</v>
      </c>
      <c r="CI28" s="168">
        <f t="shared" si="122"/>
        <v>40</v>
      </c>
      <c r="CJ28" s="168">
        <f t="shared" si="123"/>
        <v>47</v>
      </c>
      <c r="CK28" s="168">
        <f t="shared" si="124"/>
        <v>58</v>
      </c>
      <c r="CM28" s="3" t="s">
        <v>1242</v>
      </c>
      <c r="CN28" s="3">
        <f>IF(CN26+180&lt;360,CN26+180,CN26+180-360)</f>
        <v>96.538958010116744</v>
      </c>
      <c r="CO28" s="168">
        <f t="shared" si="125"/>
        <v>96</v>
      </c>
      <c r="CP28" s="168">
        <f t="shared" si="126"/>
        <v>32</v>
      </c>
      <c r="CQ28" s="168">
        <f t="shared" si="127"/>
        <v>20</v>
      </c>
      <c r="CR28" s="168">
        <f t="shared" si="128"/>
        <v>14</v>
      </c>
      <c r="CU28" s="4" t="s">
        <v>1266</v>
      </c>
      <c r="CV28" s="184">
        <f>(((((CZ28/60)+CY28)/60)+CX28)/60)+CW28</f>
        <v>92.129722222222227</v>
      </c>
      <c r="CW28" s="4">
        <v>92</v>
      </c>
      <c r="CX28" s="4">
        <v>7</v>
      </c>
      <c r="CY28" s="4">
        <v>47</v>
      </c>
      <c r="CZ28" s="4"/>
      <c r="DB28" s="4" t="s">
        <v>1266</v>
      </c>
      <c r="DC28" s="184">
        <f>(((((DG28/60)+DF28)/60)+DE28)/60)+DD28</f>
        <v>93.022777777777776</v>
      </c>
      <c r="DD28" s="4">
        <v>93</v>
      </c>
      <c r="DE28" s="4">
        <v>1</v>
      </c>
      <c r="DF28" s="4">
        <v>22</v>
      </c>
      <c r="DG28" s="4"/>
      <c r="DI28" s="4" t="s">
        <v>1266</v>
      </c>
      <c r="DJ28" s="184">
        <f>(((((DN28/60)+DM28)/60)+DL28)/60)+DK28</f>
        <v>95.290833333333339</v>
      </c>
      <c r="DK28" s="4">
        <v>95</v>
      </c>
      <c r="DL28" s="4">
        <v>17</v>
      </c>
      <c r="DM28" s="4">
        <v>27</v>
      </c>
      <c r="DN28" s="4"/>
      <c r="DP28" s="4" t="s">
        <v>1266</v>
      </c>
      <c r="DQ28" s="184">
        <f>(((((DU28/60)+DT28)/60)+DS28)/60)+DR28</f>
        <v>108.38388888888889</v>
      </c>
      <c r="DR28" s="4">
        <v>108</v>
      </c>
      <c r="DS28" s="4">
        <v>23</v>
      </c>
      <c r="DT28" s="4">
        <v>2</v>
      </c>
      <c r="DU28" s="4"/>
      <c r="DW28" s="4" t="s">
        <v>1266</v>
      </c>
      <c r="DX28" s="184">
        <f>(((((EB28/60)+EA28)/60)+DZ28)/60)+DY28</f>
        <v>112.63333333333334</v>
      </c>
      <c r="DY28" s="4">
        <v>112</v>
      </c>
      <c r="DZ28" s="4">
        <v>38</v>
      </c>
      <c r="EA28" s="4">
        <v>0</v>
      </c>
      <c r="EB28" s="4"/>
      <c r="ED28" s="4" t="s">
        <v>1266</v>
      </c>
      <c r="EE28" s="184">
        <f>(((((EI28/60)+EH28)/60)+EG28)/60)+EF28</f>
        <v>99.504722222222227</v>
      </c>
      <c r="EF28" s="4">
        <v>99</v>
      </c>
      <c r="EG28" s="4">
        <v>30</v>
      </c>
      <c r="EH28" s="4">
        <v>17</v>
      </c>
      <c r="EI28" s="4"/>
      <c r="EL28" s="797"/>
      <c r="EM28" s="797"/>
      <c r="FJ28" s="701" t="s">
        <v>3789</v>
      </c>
      <c r="FK28" s="304">
        <f>FK26*FK25/FK27</f>
        <v>20.833062188717516</v>
      </c>
      <c r="FL28" s="437">
        <f t="shared" si="9"/>
        <v>20</v>
      </c>
      <c r="FM28" s="437">
        <f t="shared" si="10"/>
        <v>49</v>
      </c>
      <c r="FN28" s="437">
        <f t="shared" si="11"/>
        <v>59</v>
      </c>
      <c r="FO28" s="914">
        <f t="shared" si="12"/>
        <v>1</v>
      </c>
      <c r="FS28" s="701" t="s">
        <v>3789</v>
      </c>
      <c r="FT28" s="304">
        <f>FT26*FT25/FT27</f>
        <v>24.070812658006059</v>
      </c>
      <c r="FU28" s="437">
        <f t="shared" si="101"/>
        <v>24</v>
      </c>
      <c r="FV28" s="437">
        <f t="shared" si="102"/>
        <v>4</v>
      </c>
      <c r="FW28" s="437">
        <f t="shared" si="103"/>
        <v>14</v>
      </c>
      <c r="FX28" s="437">
        <f t="shared" si="104"/>
        <v>55</v>
      </c>
      <c r="FY28" s="701" t="s">
        <v>1064</v>
      </c>
      <c r="FZ28" s="304">
        <f>FZ13*[1]!sn(FZ11-FZ27)/[1]!sn(FZ11)</f>
        <v>35.256474092841884</v>
      </c>
      <c r="GA28" s="437">
        <f t="shared" si="137"/>
        <v>35</v>
      </c>
      <c r="GB28" s="437">
        <f t="shared" si="138"/>
        <v>15</v>
      </c>
      <c r="GC28" s="437">
        <f t="shared" si="139"/>
        <v>23</v>
      </c>
      <c r="GD28" s="914">
        <f t="shared" si="140"/>
        <v>18</v>
      </c>
      <c r="GE28" s="114" t="s">
        <v>3788</v>
      </c>
      <c r="GF28" s="114">
        <f>GF27+FT42</f>
        <v>19.769546479840901</v>
      </c>
      <c r="GG28" s="237">
        <f t="shared" ref="GG28" si="141">INT(ABS(GF28))</f>
        <v>19</v>
      </c>
      <c r="GH28" s="237">
        <f t="shared" ref="GH28" si="142">INT((ABS(GF28)-GG28)*60)</f>
        <v>46</v>
      </c>
      <c r="GI28" s="237">
        <f t="shared" ref="GI28" si="143">INT((((ABS(GF28)-GG28)*60)-GH28)*60)</f>
        <v>10</v>
      </c>
      <c r="GJ28" s="907">
        <f t="shared" ref="GJ28" si="144">INT((((((ABS(GF28)-GG28)*60)-GH28)*60)-GI28)*60)</f>
        <v>22</v>
      </c>
    </row>
    <row r="29" spans="4:203" ht="22.5">
      <c r="M29" s="924" t="s">
        <v>1220</v>
      </c>
      <c r="N29" s="272" t="e">
        <f>[1]!taqsh(N3,N4,N5-(N28/24)+(N27/24),N6)</f>
        <v>#VALUE!</v>
      </c>
      <c r="O29" s="214" t="e">
        <f t="shared" si="129"/>
        <v>#VALUE!</v>
      </c>
      <c r="P29" s="214" t="e">
        <f t="shared" si="130"/>
        <v>#VALUE!</v>
      </c>
      <c r="Q29" s="214" t="e">
        <f t="shared" si="131"/>
        <v>#VALUE!</v>
      </c>
      <c r="R29" s="901" t="e">
        <f t="shared" si="132"/>
        <v>#VALUE!</v>
      </c>
      <c r="AW29" s="3" t="s">
        <v>1243</v>
      </c>
      <c r="AX29" s="3">
        <f>IF(AX28+(90-AX25)&lt;360,AX28+(90-AX25),AX28+(90-AX25)-360)</f>
        <v>12.63381341925475</v>
      </c>
      <c r="AY29" s="168">
        <f t="shared" si="109"/>
        <v>12</v>
      </c>
      <c r="AZ29" s="168">
        <f t="shared" si="110"/>
        <v>38</v>
      </c>
      <c r="BA29" s="168">
        <f t="shared" si="111"/>
        <v>1</v>
      </c>
      <c r="BB29" s="168">
        <f t="shared" si="112"/>
        <v>43</v>
      </c>
      <c r="BD29" s="3" t="s">
        <v>1241</v>
      </c>
      <c r="BE29" s="3">
        <f>IF(BE28+BE27+90&lt;360,BE28+BE27+90,BE28+BE27+90-360)</f>
        <v>137.55861926919931</v>
      </c>
      <c r="BF29" s="168">
        <f t="shared" si="133"/>
        <v>137</v>
      </c>
      <c r="BG29" s="168">
        <f t="shared" si="134"/>
        <v>33</v>
      </c>
      <c r="BH29" s="168">
        <f t="shared" si="135"/>
        <v>31</v>
      </c>
      <c r="BI29" s="168">
        <f t="shared" si="136"/>
        <v>1</v>
      </c>
      <c r="BK29" s="3" t="s">
        <v>1239</v>
      </c>
      <c r="BL29" s="3">
        <v>200</v>
      </c>
      <c r="BM29" s="168">
        <f t="shared" ref="BM29:BM34" si="145">INT(ABS(BL29))</f>
        <v>200</v>
      </c>
      <c r="BN29" s="168">
        <f t="shared" ref="BN29:BN34" si="146">INT((ABS(BL29)-BM29)*60)</f>
        <v>0</v>
      </c>
      <c r="BO29" s="168">
        <f t="shared" ref="BO29:BO34" si="147">INT((((ABS(BL29)-BM29)*60)-BN29)*60)</f>
        <v>0</v>
      </c>
      <c r="BP29" s="168">
        <f t="shared" ref="BP29:BP34" si="148">INT((((((ABS(BL29)-BM29)*60)-BN29)*60)-BO29)*60)</f>
        <v>0</v>
      </c>
      <c r="BR29" s="3" t="s">
        <v>1243</v>
      </c>
      <c r="BS29" s="3">
        <f>IF(BS28+(90-BS25)&lt;360,BS28+(90-BS25),BS28+(90-BS25)-360)</f>
        <v>13.118808966399513</v>
      </c>
      <c r="BT29" s="168">
        <f t="shared" si="113"/>
        <v>13</v>
      </c>
      <c r="BU29" s="168">
        <f t="shared" si="114"/>
        <v>7</v>
      </c>
      <c r="BV29" s="168">
        <f t="shared" si="115"/>
        <v>7</v>
      </c>
      <c r="BW29" s="168">
        <f t="shared" si="116"/>
        <v>42</v>
      </c>
      <c r="BY29" s="3" t="s">
        <v>1243</v>
      </c>
      <c r="BZ29" s="3">
        <f>IF(BZ28+(90-BZ25)&lt;360,BZ28+(90-BZ25),BZ28+(90-BZ25)-360)</f>
        <v>63.649556420996873</v>
      </c>
      <c r="CA29" s="168">
        <f t="shared" si="117"/>
        <v>63</v>
      </c>
      <c r="CB29" s="168">
        <f t="shared" si="118"/>
        <v>38</v>
      </c>
      <c r="CC29" s="168">
        <f t="shared" si="119"/>
        <v>58</v>
      </c>
      <c r="CD29" s="168">
        <f t="shared" si="120"/>
        <v>24</v>
      </c>
      <c r="CF29" s="3" t="s">
        <v>1243</v>
      </c>
      <c r="CG29" s="3">
        <f>IF(CG28+(90-CG25)&lt;360,CG28+(90-CG25),CG28+(90-CG25)-360)</f>
        <v>107.39832441606026</v>
      </c>
      <c r="CH29" s="168">
        <f t="shared" si="121"/>
        <v>107</v>
      </c>
      <c r="CI29" s="168">
        <f t="shared" si="122"/>
        <v>23</v>
      </c>
      <c r="CJ29" s="168">
        <f t="shared" si="123"/>
        <v>53</v>
      </c>
      <c r="CK29" s="168">
        <f t="shared" si="124"/>
        <v>58</v>
      </c>
      <c r="CM29" s="3" t="s">
        <v>1243</v>
      </c>
      <c r="CN29" s="3">
        <f>IF(CN28+(90-CN25)&lt;360,CN28+(90-CN25),CN28+(90-CN25)-360)</f>
        <v>184.87493023233895</v>
      </c>
      <c r="CO29" s="168">
        <f t="shared" si="125"/>
        <v>184</v>
      </c>
      <c r="CP29" s="168">
        <f t="shared" si="126"/>
        <v>52</v>
      </c>
      <c r="CQ29" s="168">
        <f t="shared" si="127"/>
        <v>29</v>
      </c>
      <c r="CR29" s="168">
        <f t="shared" si="128"/>
        <v>44</v>
      </c>
      <c r="CU29" s="4"/>
      <c r="CV29" s="184" t="str">
        <f>IF(CV27&lt;CV28,"نطاق اول",IF(CV27&lt;180,"نطاق دوم",IF(CV27&lt;(360-CV28),"نطاق سوم","نطاق چهارم")))</f>
        <v>نطاق چهارم</v>
      </c>
      <c r="CW29" s="4" t="str">
        <f>[1]!nettqbabame(CV3,CV4,CV5,CV6)</f>
        <v>netaq4</v>
      </c>
      <c r="CX29" s="4"/>
      <c r="CY29" s="4"/>
      <c r="CZ29" s="4"/>
      <c r="DB29" s="4"/>
      <c r="DC29" s="184" t="str">
        <f>IF(DC27&lt;DC28,"نطاق اول",IF(DC27&lt;180,"نطاق دوم",IF(DC27&lt;(360-DC28),"نطاق سوم","نطاق چهارم")))</f>
        <v>نطاق سوم</v>
      </c>
      <c r="DD29" s="4" t="str">
        <f>[1]!nettzhbabame(DC3,DC4,DC5,DC6)</f>
        <v>netaq3</v>
      </c>
      <c r="DE29" s="4"/>
      <c r="DF29" s="4"/>
      <c r="DG29" s="4"/>
      <c r="DI29" s="4"/>
      <c r="DJ29" s="184" t="str">
        <f>IF(DJ27&lt;DJ28,"نطاق اول",IF(DJ27&lt;180,"نطاق دوم",IF(DJ27&lt;(360-DJ28),"نطاق سوم","نطاق چهارم")))</f>
        <v>نطاق چهارم</v>
      </c>
      <c r="DK29" s="4" t="str">
        <f>[1]!nettmoshbabame(DJ3,DJ4,DJ5,DJ6)</f>
        <v>netaq4</v>
      </c>
      <c r="DL29" s="4"/>
      <c r="DM29" s="4"/>
      <c r="DN29" s="4"/>
      <c r="DP29" s="4"/>
      <c r="DQ29" s="184" t="str">
        <f>IF(DQ27&lt;DQ28,"نطاق اول",IF(DQ27&lt;180,"نطاق دوم",IF(DQ27&lt;(360-DQ28),"نطاق سوم","نطاق چهارم")))</f>
        <v>نطاق دوم</v>
      </c>
      <c r="DR29" s="4" t="str">
        <f>[1]!nettmerbabame(DQ3,DQ4,DQ5,DQ6)</f>
        <v>netaq2</v>
      </c>
      <c r="DS29" s="4"/>
      <c r="DT29" s="4"/>
      <c r="DU29" s="4"/>
      <c r="DW29" s="4"/>
      <c r="DX29" s="184" t="str">
        <f>IF(DX27&lt;DX28,"نطاق اول",IF(DX27&lt;180,"نطاق دوم",IF(DX27&lt;(360-DX28),"نطاق سوم","نطاق چهارم")))</f>
        <v>نطاق چهارم</v>
      </c>
      <c r="DY29" s="4" t="str">
        <f>[1]!nettzrbabame(DX3,DX4,DX5,DX6)</f>
        <v>netaq4</v>
      </c>
      <c r="DZ29" s="4"/>
      <c r="EA29" s="4"/>
      <c r="EB29" s="4"/>
      <c r="ED29" s="4"/>
      <c r="EE29" s="184" t="str">
        <f>IF(EE27&lt;EE28,"نطاق اول",IF(EE27&lt;180,"نطاق دوم",IF(EE27&lt;(360-EE28),"نطاق سوم","نطاق چهارم")))</f>
        <v>نطاق دوم</v>
      </c>
      <c r="EF29" s="4" t="str">
        <f>[1]!nettottbabame(EE3,EE4,EE5,EE6)</f>
        <v>netaq2</v>
      </c>
      <c r="EG29" s="4"/>
      <c r="EH29" s="4"/>
      <c r="EI29" s="4"/>
      <c r="EL29" s="797"/>
      <c r="EM29" s="797"/>
      <c r="FD29" s="1484" t="s">
        <v>3996</v>
      </c>
      <c r="FJ29" s="701" t="s">
        <v>341</v>
      </c>
      <c r="FK29" s="304">
        <f>FK26-FK28</f>
        <v>20.521780698457537</v>
      </c>
      <c r="FL29" s="437">
        <f t="shared" si="9"/>
        <v>20</v>
      </c>
      <c r="FM29" s="437">
        <f t="shared" si="10"/>
        <v>31</v>
      </c>
      <c r="FN29" s="437">
        <f t="shared" si="11"/>
        <v>18</v>
      </c>
      <c r="FO29" s="914">
        <f t="shared" si="12"/>
        <v>24</v>
      </c>
      <c r="FS29" s="701"/>
      <c r="FT29" s="304">
        <f>FT26-FT28</f>
        <v>17.284030229168994</v>
      </c>
      <c r="FU29" s="437">
        <f t="shared" si="101"/>
        <v>17</v>
      </c>
      <c r="FV29" s="437">
        <f t="shared" si="102"/>
        <v>17</v>
      </c>
      <c r="FW29" s="437">
        <f t="shared" si="103"/>
        <v>2</v>
      </c>
      <c r="FX29" s="437">
        <f t="shared" si="104"/>
        <v>30</v>
      </c>
      <c r="FY29" s="701" t="s">
        <v>356</v>
      </c>
      <c r="FZ29" s="304">
        <f>[1]!acs(60-FZ28)</f>
        <v>65.644808476303282</v>
      </c>
      <c r="GA29" s="437">
        <f t="shared" si="137"/>
        <v>65</v>
      </c>
      <c r="GB29" s="437">
        <f t="shared" si="138"/>
        <v>38</v>
      </c>
      <c r="GC29" s="437">
        <f t="shared" si="139"/>
        <v>41</v>
      </c>
      <c r="GD29" s="914">
        <f t="shared" si="140"/>
        <v>18</v>
      </c>
      <c r="GE29" s="304"/>
      <c r="GF29" s="304"/>
      <c r="GG29" s="304"/>
      <c r="GH29" s="304"/>
      <c r="GI29" s="304"/>
      <c r="GJ29" s="314"/>
    </row>
    <row r="30" spans="4:203" ht="22.5">
      <c r="M30" s="924" t="s">
        <v>206</v>
      </c>
      <c r="N30" s="272" t="e">
        <f>[1]!mtb(N29,N9)</f>
        <v>#VALUE!</v>
      </c>
      <c r="O30" s="214" t="e">
        <f t="shared" si="129"/>
        <v>#VALUE!</v>
      </c>
      <c r="P30" s="214" t="e">
        <f t="shared" si="130"/>
        <v>#VALUE!</v>
      </c>
      <c r="Q30" s="214" t="e">
        <f t="shared" si="131"/>
        <v>#VALUE!</v>
      </c>
      <c r="R30" s="901" t="e">
        <f t="shared" si="132"/>
        <v>#VALUE!</v>
      </c>
      <c r="AW30" s="3" t="s">
        <v>3800</v>
      </c>
      <c r="AX30" s="98" t="str">
        <f>IF(AND(AX24&gt;=AX26,AX24&lt;AX27),"نطاق اول",IF(AND(AX24&gt;=AX27,AX24&lt;AX28),"نطاق دوم",IF(AND(AX24&gt;=AX28,AX24&lt;AX29),"نطاق سوم","نطاق چهارم")))</f>
        <v>نطاق چهارم</v>
      </c>
      <c r="AY30" s="3" t="str">
        <f>[1]!netshbame(AX20,AX21,AX22,AX23,AX24)</f>
        <v>netaq3</v>
      </c>
      <c r="AZ30" s="3"/>
      <c r="BA30" s="3"/>
      <c r="BB30" s="3"/>
      <c r="BD30" s="3" t="s">
        <v>1242</v>
      </c>
      <c r="BE30" s="3">
        <f>IF(BE28+180&lt;360,BE28+180,BE28+180-360)</f>
        <v>222.60820260253263</v>
      </c>
      <c r="BF30" s="168">
        <f t="shared" si="133"/>
        <v>222</v>
      </c>
      <c r="BG30" s="168">
        <f t="shared" si="134"/>
        <v>36</v>
      </c>
      <c r="BH30" s="168">
        <f t="shared" si="135"/>
        <v>29</v>
      </c>
      <c r="BI30" s="168">
        <f t="shared" si="136"/>
        <v>31</v>
      </c>
      <c r="BK30" s="3" t="s">
        <v>1245</v>
      </c>
      <c r="BL30" s="183">
        <f>BL18/2</f>
        <v>4.3136111111111113</v>
      </c>
      <c r="BM30" s="168">
        <f t="shared" si="145"/>
        <v>4</v>
      </c>
      <c r="BN30" s="168">
        <f t="shared" si="146"/>
        <v>18</v>
      </c>
      <c r="BO30" s="168">
        <f t="shared" si="147"/>
        <v>49</v>
      </c>
      <c r="BP30" s="168">
        <f t="shared" si="148"/>
        <v>0</v>
      </c>
      <c r="BR30" s="3"/>
      <c r="BS30" s="98" t="str">
        <f>IF(AND(BS24&gt;=BS26,BS24&lt;BS27),"نطاق اول",IF(AND(BS24&gt;=BS27,BS24&lt;BS28),"نطاق دوم",IF(AND(BS24&gt;=BS28,BS24&lt;BS29),"نطاق سوم","نطاق چهارم")))</f>
        <v>نطاق دوم</v>
      </c>
      <c r="BT30" s="3" t="str">
        <f>[1]!netzorbame(BS20,BS21,BS22,BS23,BS24)</f>
        <v>netaq3</v>
      </c>
      <c r="BU30" s="3"/>
      <c r="BV30" s="3"/>
      <c r="BW30" s="3"/>
      <c r="BY30" s="3"/>
      <c r="BZ30" s="98" t="str">
        <f>IF(AND(BZ24&gt;=BZ26,BZ24&lt;BZ27),"نطاق اول",IF(AND(BZ24&gt;=BZ27,BZ24&lt;BZ28),"نطاق دوم",IF(AND(BZ24&gt;=BZ28,BZ24&lt;BZ29),"نطاق سوم","نطاق چهارم")))</f>
        <v>نطاق چهارم</v>
      </c>
      <c r="CA30" s="3" t="str">
        <f>[1]!netmerbame(BZ20,BZ21,BZ22,BZ23,BZ24)</f>
        <v>netaq3</v>
      </c>
      <c r="CB30" s="3"/>
      <c r="CC30" s="3"/>
      <c r="CD30" s="3"/>
      <c r="CF30" s="3"/>
      <c r="CG30" s="98" t="str">
        <f>IF(AND(CG24&gt;=CG26,CG24&lt;CG27),"نطاق اول",IF(AND(CG24&gt;=CG27,CG24&lt;CG28),"نطاق دوم",IF(AND(CG24&gt;=CG28,CG24&lt;CG29),"نطاق سوم","نطاق چهارم")))</f>
        <v>نطاق اول</v>
      </c>
      <c r="CH30" s="3" t="str">
        <f>[1]!netmoshbame(CG20,CG21,CG22,CG23,CG24)</f>
        <v>netaq1</v>
      </c>
      <c r="CI30" s="3"/>
      <c r="CJ30" s="3"/>
      <c r="CK30" s="3"/>
      <c r="CM30" s="3"/>
      <c r="CN30" s="98" t="str">
        <f>IF(AND(CN24&gt;=CN26,CN24&lt;CN27),"نطاق اول",IF(AND(CN24&gt;=CN27,CN24&lt;CN28),"نطاق دوم",IF(AND(CN24&gt;=CN28,CN24&lt;CN29),"نطاق سوم","نطاق چهارم")))</f>
        <v>نطاق چهارم</v>
      </c>
      <c r="CO30" s="3" t="str">
        <f>[1]!netzohbame(CN20,CN21,CN22,CN23,CN24)</f>
        <v>netaq4</v>
      </c>
      <c r="CP30" s="3"/>
      <c r="CQ30" s="3"/>
      <c r="CR30" s="3"/>
      <c r="CU30" s="4" t="s">
        <v>1267</v>
      </c>
      <c r="CV30" s="184">
        <f>(((((CZ30/60)+CY30)/60)+CX30)/60)+CW30</f>
        <v>92.49666666666667</v>
      </c>
      <c r="CW30" s="4">
        <v>92</v>
      </c>
      <c r="CX30" s="4">
        <v>29</v>
      </c>
      <c r="CY30" s="4">
        <v>48</v>
      </c>
      <c r="CZ30" s="4"/>
      <c r="DB30" s="4" t="s">
        <v>1267</v>
      </c>
      <c r="DC30" s="184">
        <f>(((((DG30/60)+DF30)/60)+DE30)/60)+DD30</f>
        <v>93.113888888888894</v>
      </c>
      <c r="DD30" s="4">
        <v>93</v>
      </c>
      <c r="DE30" s="4">
        <v>6</v>
      </c>
      <c r="DF30" s="4">
        <v>50</v>
      </c>
      <c r="DG30" s="4"/>
      <c r="DI30" s="4" t="s">
        <v>1267</v>
      </c>
      <c r="DJ30" s="184">
        <f>(((((DN30/60)+DM30)/60)+DL30)/60)+DK30</f>
        <v>95.530555555555551</v>
      </c>
      <c r="DK30" s="4">
        <v>95</v>
      </c>
      <c r="DL30" s="4">
        <v>31</v>
      </c>
      <c r="DM30" s="4">
        <v>50</v>
      </c>
      <c r="DN30" s="4"/>
      <c r="DP30" s="4" t="s">
        <v>1267</v>
      </c>
      <c r="DQ30" s="184">
        <f>(((((DU30/60)+DT30)/60)+DS30)/60)+DR30</f>
        <v>110.59027777777777</v>
      </c>
      <c r="DR30" s="4">
        <v>110</v>
      </c>
      <c r="DS30" s="4">
        <v>35</v>
      </c>
      <c r="DT30" s="4">
        <v>25</v>
      </c>
      <c r="DU30" s="4"/>
      <c r="DW30" s="4" t="s">
        <v>1267</v>
      </c>
      <c r="DX30" s="184">
        <f>(((((EB30/60)+EA30)/60)+DZ30)/60)+DY30</f>
        <v>113.00472222222223</v>
      </c>
      <c r="DY30" s="4">
        <v>113</v>
      </c>
      <c r="DZ30" s="4">
        <v>0</v>
      </c>
      <c r="EA30" s="4">
        <v>17</v>
      </c>
      <c r="EB30" s="4"/>
      <c r="ED30" s="4" t="s">
        <v>1267</v>
      </c>
      <c r="EE30" s="184">
        <f>(((((EI30/60)+EH30)/60)+EG30)/60)+EF30</f>
        <v>101.01222222222222</v>
      </c>
      <c r="EF30" s="4">
        <v>101</v>
      </c>
      <c r="EG30" s="4">
        <v>0</v>
      </c>
      <c r="EH30" s="4">
        <v>44</v>
      </c>
      <c r="EI30" s="4"/>
      <c r="EL30" s="797"/>
      <c r="EM30" s="797"/>
      <c r="FD30" s="1484" t="s">
        <v>3997</v>
      </c>
      <c r="FJ30" s="701" t="s">
        <v>356</v>
      </c>
      <c r="FK30" s="304">
        <f>[1]!acs(60-ABS(FK29))</f>
        <v>48.854738920012686</v>
      </c>
      <c r="FL30" s="437">
        <f t="shared" si="9"/>
        <v>48</v>
      </c>
      <c r="FM30" s="437">
        <f t="shared" si="10"/>
        <v>51</v>
      </c>
      <c r="FN30" s="437">
        <f t="shared" si="11"/>
        <v>17</v>
      </c>
      <c r="FO30" s="914">
        <f t="shared" si="12"/>
        <v>3</v>
      </c>
      <c r="FS30" s="701" t="s">
        <v>356</v>
      </c>
      <c r="FT30" s="304">
        <f>[1]!acs(60-ABS(FT29))</f>
        <v>44.607605964616127</v>
      </c>
      <c r="FU30" s="437">
        <f t="shared" si="101"/>
        <v>44</v>
      </c>
      <c r="FV30" s="437">
        <f t="shared" si="102"/>
        <v>36</v>
      </c>
      <c r="FW30" s="437">
        <f t="shared" si="103"/>
        <v>27</v>
      </c>
      <c r="FX30" s="437">
        <f t="shared" si="104"/>
        <v>22</v>
      </c>
      <c r="FY30" s="779" t="s">
        <v>4007</v>
      </c>
      <c r="FZ30" s="251">
        <f>FZ20+(FZ29/15)</f>
        <v>16.507220948944429</v>
      </c>
      <c r="GA30" s="1346">
        <f t="shared" si="137"/>
        <v>16</v>
      </c>
      <c r="GB30" s="1346">
        <f t="shared" si="138"/>
        <v>30</v>
      </c>
      <c r="GC30" s="1346">
        <f t="shared" si="139"/>
        <v>25</v>
      </c>
      <c r="GD30" s="1466">
        <f t="shared" si="140"/>
        <v>59</v>
      </c>
      <c r="GE30" s="304"/>
      <c r="GF30" s="304"/>
      <c r="GG30" s="304"/>
      <c r="GH30" s="304"/>
      <c r="GI30" s="304"/>
      <c r="GJ30" s="314"/>
    </row>
    <row r="31" spans="4:203" ht="22.5">
      <c r="M31" s="924" t="s">
        <v>227</v>
      </c>
      <c r="N31" s="272" t="e">
        <f>[1]!ml(N30)</f>
        <v>#VALUE!</v>
      </c>
      <c r="O31" s="214" t="e">
        <f t="shared" si="129"/>
        <v>#VALUE!</v>
      </c>
      <c r="P31" s="214" t="e">
        <f t="shared" si="130"/>
        <v>#VALUE!</v>
      </c>
      <c r="Q31" s="214" t="e">
        <f t="shared" si="131"/>
        <v>#VALUE!</v>
      </c>
      <c r="R31" s="901" t="e">
        <f t="shared" si="132"/>
        <v>#VALUE!</v>
      </c>
      <c r="BD31" s="3" t="s">
        <v>1243</v>
      </c>
      <c r="BE31" s="3">
        <f>IF(BE30+(90-BE27)&lt;360,BE30+(90-BE27),BE30+(90-BE27)-360)</f>
        <v>307.65778593586595</v>
      </c>
      <c r="BF31" s="168">
        <f t="shared" si="133"/>
        <v>307</v>
      </c>
      <c r="BG31" s="168">
        <f t="shared" si="134"/>
        <v>39</v>
      </c>
      <c r="BH31" s="168">
        <f t="shared" si="135"/>
        <v>28</v>
      </c>
      <c r="BI31" s="168">
        <f t="shared" si="136"/>
        <v>1</v>
      </c>
      <c r="BK31" s="3" t="s">
        <v>1254</v>
      </c>
      <c r="BL31" s="3">
        <f>[1]!oujott(BL25,BL26,BL27,BL28)</f>
        <v>261.84230336079963</v>
      </c>
      <c r="BM31" s="168">
        <f t="shared" si="145"/>
        <v>261</v>
      </c>
      <c r="BN31" s="168">
        <f t="shared" si="146"/>
        <v>50</v>
      </c>
      <c r="BO31" s="168">
        <f t="shared" si="147"/>
        <v>32</v>
      </c>
      <c r="BP31" s="168">
        <f t="shared" si="148"/>
        <v>17</v>
      </c>
      <c r="CU31" s="4"/>
      <c r="CV31" s="184" t="str">
        <f>IF(CV27&lt;CV30,"نطاق اول",IF(CV27&lt;180,"نطاق دوم",IF(CV27&lt;(360-CV30),"نطاق سوم","نطاق چهارم")))</f>
        <v>نطاق چهارم</v>
      </c>
      <c r="CW31" s="4" t="str">
        <f>[1]!nettqbosame(CV3,CV4,CV5,CV6)</f>
        <v>netaq4</v>
      </c>
      <c r="CX31" s="185"/>
      <c r="CY31" s="185"/>
      <c r="CZ31" s="185"/>
      <c r="DB31" s="4"/>
      <c r="DC31" s="184" t="str">
        <f>IF(DC27&lt;DC30,"نطاق اول",IF(DC27&lt;180,"نطاق دوم",IF(DC27&lt;(360-DC30),"نطاق سوم","نطاق چهارم")))</f>
        <v>نطاق سوم</v>
      </c>
      <c r="DD31" s="185" t="str">
        <f>[1]!nettzhbosame(DC3,DC4,DC5,DC6)</f>
        <v>netaq3</v>
      </c>
      <c r="DE31" s="185"/>
      <c r="DF31" s="185"/>
      <c r="DG31" s="185"/>
      <c r="DI31" s="4"/>
      <c r="DJ31" s="184" t="str">
        <f>IF(DJ27&lt;DJ30,"نطاق اول",IF(DJ27&lt;180,"نطاق دوم",IF(DJ27&lt;(360-DJ30),"نطاق سوم","نطاق چهارم")))</f>
        <v>نطاق چهارم</v>
      </c>
      <c r="DK31" s="185" t="str">
        <f>[1]!nettmoshbosame(DJ3,DJ4,DJ5,DJ6)</f>
        <v>netaq4</v>
      </c>
      <c r="DL31" s="185"/>
      <c r="DM31" s="185"/>
      <c r="DN31" s="185"/>
      <c r="DP31" s="4"/>
      <c r="DQ31" s="184" t="str">
        <f>IF(DQ27&lt;DQ30,"نطاق اول",IF(DQ27&lt;180,"نطاق دوم",IF(DQ27&lt;(360-DQ30),"نطاق سوم","نطاق چهارم")))</f>
        <v>نطاق دوم</v>
      </c>
      <c r="DR31" s="185" t="str">
        <f>[1]!nettmerbosame(DQ3,DQ4,DQ5,DQ6)</f>
        <v>netaq2</v>
      </c>
      <c r="DS31" s="185"/>
      <c r="DT31" s="185"/>
      <c r="DU31" s="185"/>
      <c r="DW31" s="4"/>
      <c r="DX31" s="184" t="str">
        <f>IF(DX27&lt;DX30,"نطاق اول",IF(DX27&lt;180,"نطاق دوم",IF(DX27&lt;(360-DX30),"نطاق سوم","نطاق چهارم")))</f>
        <v>نطاق چهارم</v>
      </c>
      <c r="DY31" s="185" t="str">
        <f>[1]!nettzrbosame(DX3,DX4,DX5,DX6)</f>
        <v>netaq4</v>
      </c>
      <c r="DZ31" s="185"/>
      <c r="EA31" s="185"/>
      <c r="EB31" s="185"/>
      <c r="ED31" s="4"/>
      <c r="EE31" s="184" t="str">
        <f>IF(EE27&lt;EE30,"نطاق اول",IF(EE27&lt;180,"نطاق دوم",IF(EE27&lt;(360-EE30),"نطاق سوم","نطاق چهارم")))</f>
        <v>نطاق دوم</v>
      </c>
      <c r="EF31" s="185" t="str">
        <f>[1]!nettottbosame(EE3,EE4,EE5,EE6)</f>
        <v>netaq2</v>
      </c>
      <c r="EG31" s="185"/>
      <c r="EH31" s="185"/>
      <c r="EI31" s="185"/>
      <c r="EL31" s="797"/>
      <c r="EM31" s="797"/>
      <c r="FD31" s="1484" t="s">
        <v>3998</v>
      </c>
      <c r="FJ31" s="701" t="s">
        <v>333</v>
      </c>
      <c r="FK31" s="304">
        <f>[1]!acs(60-FK26)</f>
        <v>71.895407376862522</v>
      </c>
      <c r="FL31" s="437">
        <f t="shared" si="9"/>
        <v>71</v>
      </c>
      <c r="FM31" s="437">
        <f t="shared" si="10"/>
        <v>53</v>
      </c>
      <c r="FN31" s="437">
        <f t="shared" si="11"/>
        <v>43</v>
      </c>
      <c r="FO31" s="914">
        <f t="shared" si="12"/>
        <v>27</v>
      </c>
      <c r="FS31" s="701"/>
      <c r="FT31" s="304">
        <f>[1]!acs(60-FT26)</f>
        <v>71.895407376862522</v>
      </c>
      <c r="FU31" s="437">
        <f t="shared" si="101"/>
        <v>71</v>
      </c>
      <c r="FV31" s="437">
        <f t="shared" si="102"/>
        <v>53</v>
      </c>
      <c r="FW31" s="437">
        <f t="shared" si="103"/>
        <v>43</v>
      </c>
      <c r="FX31" s="437">
        <f t="shared" si="104"/>
        <v>27</v>
      </c>
      <c r="FY31" s="779" t="s">
        <v>4008</v>
      </c>
      <c r="FZ31" s="251">
        <f>FZ20+(FZ25/15)</f>
        <v>17.483548668437749</v>
      </c>
      <c r="GA31" s="1346">
        <f t="shared" ref="GA31:GA38" si="149">INT(ABS(FZ31))</f>
        <v>17</v>
      </c>
      <c r="GB31" s="1346">
        <f t="shared" ref="GB31:GB38" si="150">INT((ABS(FZ31)-GA31)*60)</f>
        <v>29</v>
      </c>
      <c r="GC31" s="1346">
        <f t="shared" ref="GC31:GC38" si="151">INT((((ABS(FZ31)-GA31)*60)-GB31)*60)</f>
        <v>0</v>
      </c>
      <c r="GD31" s="1466">
        <f t="shared" ref="GD31:GD38" si="152">INT((((((ABS(FZ31)-GA31)*60)-GB31)*60)-GC31)*60)</f>
        <v>46</v>
      </c>
      <c r="GE31" s="304"/>
      <c r="GF31" s="304"/>
      <c r="GG31" s="304"/>
      <c r="GH31" s="304"/>
      <c r="GI31" s="304"/>
      <c r="GJ31" s="314"/>
    </row>
    <row r="32" spans="4:203" ht="22.5">
      <c r="M32" s="924" t="s">
        <v>281</v>
      </c>
      <c r="N32" s="272" t="e">
        <f>[1]!asher(N29,N9)</f>
        <v>#VALUE!</v>
      </c>
      <c r="O32" s="214" t="e">
        <f t="shared" ref="O32:O41" si="153">INT(ABS(N32))</f>
        <v>#VALUE!</v>
      </c>
      <c r="P32" s="214" t="e">
        <f t="shared" ref="P32:P41" si="154">INT((ABS(N32)-O32)*60)</f>
        <v>#VALUE!</v>
      </c>
      <c r="Q32" s="214" t="e">
        <f t="shared" ref="Q32:Q41" si="155">INT((((ABS(N32)-O32)*60)-P32)*60)</f>
        <v>#VALUE!</v>
      </c>
      <c r="R32" s="901" t="e">
        <f t="shared" ref="R32:R41" si="156">INT((((((ABS(N32)-O32)*60)-P32)*60)-Q32)*60)</f>
        <v>#VALUE!</v>
      </c>
      <c r="BD32" s="3"/>
      <c r="BE32" s="98" t="str">
        <f>IF(AND(BE26&gt;=BE28,BE26&lt;BE29),"نطاق اول",IF(AND(BE26&gt;=BE29,BE26&lt;BE30),"نطاق دوم",IF(AND(BE26&gt;=BE30,BE26&lt;BE31),"نطاق سوم","نطاق چهارم")))</f>
        <v>نطاق دوم</v>
      </c>
      <c r="BF32" s="3" t="str">
        <f>[1]!netqbame(BE22,BE23,BE24,BE25,BE26)</f>
        <v>netaq2</v>
      </c>
      <c r="BG32" s="3"/>
      <c r="BH32" s="3"/>
      <c r="BI32" s="3"/>
      <c r="BK32" s="3" t="s">
        <v>1241</v>
      </c>
      <c r="BL32" s="3">
        <f>IF(BL31+BL30+90&lt;360,BL31+BL30+90,BL31+BL30+90-360)</f>
        <v>356.15591447191076</v>
      </c>
      <c r="BM32" s="168">
        <f t="shared" si="145"/>
        <v>356</v>
      </c>
      <c r="BN32" s="168">
        <f t="shared" si="146"/>
        <v>9</v>
      </c>
      <c r="BO32" s="168">
        <f t="shared" si="147"/>
        <v>21</v>
      </c>
      <c r="BP32" s="168">
        <f t="shared" si="148"/>
        <v>17</v>
      </c>
      <c r="CU32" s="4" t="s">
        <v>1268</v>
      </c>
      <c r="CV32" s="184">
        <f>(((((CZ5/60)+CY32)/60)+CX32)/60)+CW32</f>
        <v>93.016666666666666</v>
      </c>
      <c r="CW32" s="4">
        <v>93</v>
      </c>
      <c r="CX32" s="4">
        <v>1</v>
      </c>
      <c r="CY32" s="4">
        <v>0</v>
      </c>
      <c r="CZ32" s="4"/>
      <c r="DB32" s="4" t="s">
        <v>1268</v>
      </c>
      <c r="DC32" s="184">
        <f>(((((DG5/60)+DF32)/60)+DE32)/60)+DD32</f>
        <v>93.25555555555556</v>
      </c>
      <c r="DD32" s="4">
        <v>93</v>
      </c>
      <c r="DE32" s="4">
        <v>15</v>
      </c>
      <c r="DF32" s="4">
        <v>20</v>
      </c>
      <c r="DG32" s="4"/>
      <c r="DI32" s="4" t="s">
        <v>1268</v>
      </c>
      <c r="DJ32" s="184">
        <f>(((((DN5/60)+DM32)/60)+DL32)/60)+DK32</f>
        <v>95.792500000000004</v>
      </c>
      <c r="DK32" s="4">
        <v>95</v>
      </c>
      <c r="DL32" s="4">
        <v>47</v>
      </c>
      <c r="DM32" s="4">
        <v>33</v>
      </c>
      <c r="DN32" s="4"/>
      <c r="DP32" s="4" t="s">
        <v>1268</v>
      </c>
      <c r="DQ32" s="184">
        <f>(((((DU5/60)+DT32)/60)+DS32)/60)+DR32</f>
        <v>113.51</v>
      </c>
      <c r="DR32" s="4">
        <v>113</v>
      </c>
      <c r="DS32" s="4">
        <v>30</v>
      </c>
      <c r="DT32" s="4">
        <v>36</v>
      </c>
      <c r="DU32" s="4"/>
      <c r="DW32" s="4" t="s">
        <v>1268</v>
      </c>
      <c r="DX32" s="184">
        <f>(((((EB5/60)+EA32)/60)+DZ32)/60)+DY32</f>
        <v>113.51361111111112</v>
      </c>
      <c r="DY32" s="4">
        <v>113</v>
      </c>
      <c r="DZ32" s="4">
        <v>30</v>
      </c>
      <c r="EA32" s="4">
        <v>49</v>
      </c>
      <c r="EB32" s="4"/>
      <c r="ED32" s="4" t="s">
        <v>1268</v>
      </c>
      <c r="EE32" s="184">
        <f>(((((EI5/60)+EH32)/60)+EG32)/60)+EF32</f>
        <v>103.08944444444444</v>
      </c>
      <c r="EF32" s="4">
        <v>103</v>
      </c>
      <c r="EG32" s="4">
        <v>5</v>
      </c>
      <c r="EH32" s="4">
        <v>22</v>
      </c>
      <c r="EI32" s="4"/>
      <c r="EL32" s="797"/>
      <c r="EM32" s="797"/>
      <c r="FD32" s="1484" t="s">
        <v>3999</v>
      </c>
      <c r="FJ32" s="701" t="s">
        <v>295</v>
      </c>
      <c r="FK32" s="304">
        <f>IF(FK29&gt;0,FK31-FK30,FK31+FK30)</f>
        <v>23.040668456849836</v>
      </c>
      <c r="FL32" s="437">
        <f t="shared" si="9"/>
        <v>23</v>
      </c>
      <c r="FM32" s="437">
        <f t="shared" si="10"/>
        <v>2</v>
      </c>
      <c r="FN32" s="437">
        <f t="shared" si="11"/>
        <v>26</v>
      </c>
      <c r="FO32" s="914">
        <f t="shared" si="12"/>
        <v>24</v>
      </c>
      <c r="FS32" s="701" t="s">
        <v>295</v>
      </c>
      <c r="FT32" s="304">
        <f>IF(FT29&gt;0,FT31-FT30,FT31+FT30)</f>
        <v>27.287801412246395</v>
      </c>
      <c r="FU32" s="437">
        <f t="shared" si="101"/>
        <v>27</v>
      </c>
      <c r="FV32" s="437">
        <f t="shared" si="102"/>
        <v>17</v>
      </c>
      <c r="FW32" s="437">
        <f t="shared" si="103"/>
        <v>16</v>
      </c>
      <c r="FX32" s="437">
        <f t="shared" si="104"/>
        <v>5</v>
      </c>
      <c r="FY32" s="701"/>
      <c r="FZ32" s="304">
        <f>FZ12+120</f>
        <v>133.13946986298876</v>
      </c>
      <c r="GA32" s="437">
        <f t="shared" si="149"/>
        <v>133</v>
      </c>
      <c r="GB32" s="437">
        <f t="shared" si="150"/>
        <v>8</v>
      </c>
      <c r="GC32" s="437">
        <f t="shared" si="151"/>
        <v>22</v>
      </c>
      <c r="GD32" s="914">
        <f t="shared" si="152"/>
        <v>5</v>
      </c>
      <c r="GE32" s="304"/>
      <c r="GF32" s="304"/>
      <c r="GG32" s="304"/>
      <c r="GH32" s="304"/>
      <c r="GI32" s="304"/>
      <c r="GJ32" s="314"/>
    </row>
    <row r="33" spans="13:192" ht="22.5">
      <c r="M33" s="924"/>
      <c r="N33" s="272"/>
      <c r="O33" s="214"/>
      <c r="P33" s="214"/>
      <c r="Q33" s="214"/>
      <c r="R33" s="901"/>
      <c r="BE33" s="183"/>
      <c r="BK33" s="3" t="s">
        <v>1242</v>
      </c>
      <c r="BL33" s="3">
        <f>IF(BL31+180&lt;360,BL31+180,BL31+180-360)</f>
        <v>81.842303360799633</v>
      </c>
      <c r="BM33" s="168">
        <f t="shared" si="145"/>
        <v>81</v>
      </c>
      <c r="BN33" s="168">
        <f t="shared" si="146"/>
        <v>50</v>
      </c>
      <c r="BO33" s="168">
        <f t="shared" si="147"/>
        <v>32</v>
      </c>
      <c r="BP33" s="168">
        <f t="shared" si="148"/>
        <v>17</v>
      </c>
      <c r="CU33" s="4"/>
      <c r="CV33" s="184" t="str">
        <f>IF(CV27&lt;CV32,"نطاق اول",IF(CV27&lt;180,"نطاق دوم",IF(CV27&lt;(360-CV32),"نطاق سوم","نطاق چهارم")))</f>
        <v>نطاق چهارم</v>
      </c>
      <c r="CW33" s="185" t="str">
        <f>[1]!nettqbaqame(CV3,CV4,CV5,CV6)</f>
        <v>netaq4</v>
      </c>
      <c r="CX33" s="4"/>
      <c r="CY33" s="4"/>
      <c r="CZ33" s="185"/>
      <c r="DB33" s="4"/>
      <c r="DC33" s="184" t="str">
        <f>IF(DC27&lt;DC32,"نطاق اول",IF(DC27&lt;180,"نطاق دوم",IF(DC27&lt;(360-DC32),"نطاق سوم","نطاق چهارم")))</f>
        <v>نطاق سوم</v>
      </c>
      <c r="DD33" s="4" t="str">
        <f>[1]!nettzhbaqame(DC3,DC4,DC5,DC6)</f>
        <v>netaq3</v>
      </c>
      <c r="DE33" s="4"/>
      <c r="DF33" s="4"/>
      <c r="DG33" s="185"/>
      <c r="DI33" s="4"/>
      <c r="DJ33" s="184" t="str">
        <f>IF(DJ27&lt;DJ32,"نطاق اول",IF(DJ27&lt;180,"نطاق دوم",IF(DJ27&lt;(360-DJ32),"نطاق سوم","نطاق چهارم")))</f>
        <v>نطاق چهارم</v>
      </c>
      <c r="DK33" s="4" t="str">
        <f>[1]!nettmoshbaqame(DJ3,DJ4,DJ5,DJ6)</f>
        <v>netaq4</v>
      </c>
      <c r="DL33" s="4"/>
      <c r="DM33" s="4"/>
      <c r="DN33" s="185"/>
      <c r="DP33" s="4"/>
      <c r="DQ33" s="184" t="str">
        <f>IF(DQ27&lt;DQ32,"نطاق اول",IF(DQ27&lt;180,"نطاق دوم",IF(DQ27&lt;(360-DQ32),"نطاق سوم","نطاق چهارم")))</f>
        <v>نطاق دوم</v>
      </c>
      <c r="DR33" s="4" t="str">
        <f>[1]!nettmerbaqame(DQ3,DQ4,DQ5,DQ6)</f>
        <v>netaq2</v>
      </c>
      <c r="DS33" s="4"/>
      <c r="DT33" s="4"/>
      <c r="DU33" s="185"/>
      <c r="DW33" s="4"/>
      <c r="DX33" s="184" t="str">
        <f>IF(DX27&lt;DX32,"نطاق اول",IF(DX27&lt;180,"نطاق دوم",IF(DX27&lt;(360-DX32),"نطاق سوم","نطاق چهارم")))</f>
        <v>نطاق چهارم</v>
      </c>
      <c r="DY33" s="4" t="str">
        <f>[1]!nettzrbaqame(DX3,DX4,DX5,DX6)</f>
        <v>netaq4</v>
      </c>
      <c r="DZ33" s="4"/>
      <c r="EA33" s="4"/>
      <c r="EB33" s="185"/>
      <c r="ED33" s="4"/>
      <c r="EE33" s="184" t="str">
        <f>IF(EE27&lt;EE32,"نطاق اول",IF(EE27&lt;180,"نطاق دوم",IF(EE27&lt;(360-EE32),"نطاق سوم","نطاق چهارم")))</f>
        <v>نطاق دوم</v>
      </c>
      <c r="EF33" s="4" t="str">
        <f>[1]!nettottbaqame(EE3,EE4,EE5,EE6)</f>
        <v>netaq2</v>
      </c>
      <c r="EG33" s="4"/>
      <c r="EH33" s="4"/>
      <c r="EI33" s="185"/>
      <c r="EL33" s="797"/>
      <c r="EM33" s="797"/>
      <c r="FD33" s="1484" t="s">
        <v>4015</v>
      </c>
      <c r="FJ33" s="906" t="s">
        <v>3994</v>
      </c>
      <c r="FK33" s="114">
        <f>FK32/15</f>
        <v>1.5360445637899891</v>
      </c>
      <c r="FL33" s="237">
        <f t="shared" si="9"/>
        <v>1</v>
      </c>
      <c r="FM33" s="237">
        <f t="shared" si="10"/>
        <v>32</v>
      </c>
      <c r="FN33" s="237">
        <f t="shared" si="11"/>
        <v>9</v>
      </c>
      <c r="FO33" s="907">
        <f t="shared" si="12"/>
        <v>45</v>
      </c>
      <c r="FR33">
        <f>[1]!mbtoloo(FT2,FT3,FT4,FT5,FT6)</f>
        <v>1.8191910741255579</v>
      </c>
      <c r="FS33" s="906" t="s">
        <v>1322</v>
      </c>
      <c r="FT33" s="114">
        <f>FT32/15</f>
        <v>1.8191867608164263</v>
      </c>
      <c r="FU33" s="237">
        <f t="shared" si="101"/>
        <v>1</v>
      </c>
      <c r="FV33" s="237">
        <f t="shared" si="102"/>
        <v>49</v>
      </c>
      <c r="FW33" s="237">
        <f t="shared" si="103"/>
        <v>9</v>
      </c>
      <c r="FX33" s="237">
        <f t="shared" si="104"/>
        <v>4</v>
      </c>
      <c r="FY33" s="701" t="s">
        <v>1329</v>
      </c>
      <c r="FZ33" s="304">
        <f>[1]!acj(FZ32)</f>
        <v>24.258958115794968</v>
      </c>
      <c r="GA33" s="437">
        <f t="shared" si="149"/>
        <v>24</v>
      </c>
      <c r="GB33" s="437">
        <f t="shared" si="150"/>
        <v>15</v>
      </c>
      <c r="GC33" s="437">
        <f t="shared" si="151"/>
        <v>32</v>
      </c>
      <c r="GD33" s="914">
        <f t="shared" si="152"/>
        <v>14</v>
      </c>
      <c r="GE33" s="304"/>
      <c r="GF33" s="304"/>
      <c r="GG33" s="304"/>
      <c r="GH33" s="304"/>
      <c r="GI33" s="304"/>
      <c r="GJ33" s="314"/>
    </row>
    <row r="34" spans="13:192" ht="23.25" thickBot="1">
      <c r="M34" s="924" t="s">
        <v>231</v>
      </c>
      <c r="N34" s="272" t="e">
        <f>[1]!Arzr2(N32,N31,N9)</f>
        <v>#VALUE!</v>
      </c>
      <c r="O34" s="214" t="e">
        <f t="shared" si="153"/>
        <v>#VALUE!</v>
      </c>
      <c r="P34" s="214" t="e">
        <f t="shared" si="154"/>
        <v>#VALUE!</v>
      </c>
      <c r="Q34" s="214" t="e">
        <f t="shared" si="155"/>
        <v>#VALUE!</v>
      </c>
      <c r="R34" s="901" t="e">
        <f t="shared" si="156"/>
        <v>#VALUE!</v>
      </c>
      <c r="BF34" s="168"/>
      <c r="BG34" s="168"/>
      <c r="BH34" s="168"/>
      <c r="BI34" s="168"/>
      <c r="BK34" s="3" t="s">
        <v>1243</v>
      </c>
      <c r="BL34" s="3">
        <f>IF(BL33+(90-BL30)&lt;360,BL33+(90-BL30),BL33+(90-BL30)-360)</f>
        <v>167.5286922496885</v>
      </c>
      <c r="BM34" s="168">
        <f t="shared" si="145"/>
        <v>167</v>
      </c>
      <c r="BN34" s="168">
        <f t="shared" si="146"/>
        <v>31</v>
      </c>
      <c r="BO34" s="168">
        <f t="shared" si="147"/>
        <v>43</v>
      </c>
      <c r="BP34" s="168">
        <f t="shared" si="148"/>
        <v>17</v>
      </c>
      <c r="EL34" s="797"/>
      <c r="EM34" s="797"/>
      <c r="FD34" s="1484" t="s">
        <v>4016</v>
      </c>
      <c r="FJ34" s="916" t="s">
        <v>3987</v>
      </c>
      <c r="FK34" s="119">
        <f>IF(FT42+FK33&lt;24,FT42+FK33,FT42+FK33-24)</f>
        <v>20.873917789190028</v>
      </c>
      <c r="FL34" s="917">
        <f t="shared" ref="FL34" si="157">INT(ABS(FK34))</f>
        <v>20</v>
      </c>
      <c r="FM34" s="917">
        <f t="shared" ref="FM34" si="158">INT((ABS(FK34)-FL34)*60)</f>
        <v>52</v>
      </c>
      <c r="FN34" s="917">
        <f t="shared" ref="FN34" si="159">INT((((ABS(FK34)-FL34)*60)-FM34)*60)</f>
        <v>26</v>
      </c>
      <c r="FO34" s="918">
        <f t="shared" ref="FO34" si="160">INT((((((ABS(FK34)-FL34)*60)-FM34)*60)-FN34)*60)</f>
        <v>6</v>
      </c>
      <c r="FS34" s="911" t="s">
        <v>1378</v>
      </c>
      <c r="FT34" s="304">
        <f>[1]!mbtool(2,17,24,1)</f>
        <v>9.5416666666666664E-2</v>
      </c>
      <c r="FU34" s="437">
        <f t="shared" ref="FU34:FU35" si="161">INT(ABS(FT34))</f>
        <v>0</v>
      </c>
      <c r="FV34" s="437">
        <f t="shared" ref="FV34:FV35" si="162">INT((ABS(FT34)-FU34)*60)</f>
        <v>5</v>
      </c>
      <c r="FW34" s="437">
        <f t="shared" ref="FW34:FW35" si="163">INT((((ABS(FT34)-FU34)*60)-FV34)*60)</f>
        <v>43</v>
      </c>
      <c r="FX34" s="437">
        <f t="shared" ref="FX34:FX35" si="164">INT((((((ABS(FT34)-FU34)*60)-FV34)*60)-FW34)*60)</f>
        <v>29</v>
      </c>
      <c r="FY34" s="701"/>
      <c r="FZ34" s="304">
        <f>FZ13*[1]!sn(FZ11-FZ33)/[1]!sn(FZ11)</f>
        <v>64.624518760465975</v>
      </c>
      <c r="GA34" s="437">
        <f t="shared" si="149"/>
        <v>64</v>
      </c>
      <c r="GB34" s="437">
        <f t="shared" si="150"/>
        <v>37</v>
      </c>
      <c r="GC34" s="437">
        <f t="shared" si="151"/>
        <v>28</v>
      </c>
      <c r="GD34" s="914">
        <f t="shared" si="152"/>
        <v>16</v>
      </c>
      <c r="GE34" s="304"/>
      <c r="GF34" s="304"/>
      <c r="GG34" s="304"/>
      <c r="GH34" s="304"/>
      <c r="GI34" s="304"/>
      <c r="GJ34" s="314"/>
    </row>
    <row r="35" spans="13:192" ht="22.5">
      <c r="M35" s="924" t="s">
        <v>1200</v>
      </c>
      <c r="N35" s="272" t="e">
        <f>90-N34</f>
        <v>#VALUE!</v>
      </c>
      <c r="O35" s="214" t="e">
        <f t="shared" si="153"/>
        <v>#VALUE!</v>
      </c>
      <c r="P35" s="214" t="e">
        <f t="shared" si="154"/>
        <v>#VALUE!</v>
      </c>
      <c r="Q35" s="214" t="e">
        <f t="shared" si="155"/>
        <v>#VALUE!</v>
      </c>
      <c r="R35" s="901" t="e">
        <f t="shared" si="156"/>
        <v>#VALUE!</v>
      </c>
      <c r="BK35" s="3"/>
      <c r="BL35" s="98" t="str">
        <f>IF(AND(BL29&gt;=BL31,BL29&lt;BL32),"نطاق اول",IF(AND(BL29&gt;=BL32,BL29&lt;BL33),"نطاق دوم",IF(AND(BL29&gt;=BL33,BL29&lt;BL34),"نطاق سوم","نطاق چهارم")))</f>
        <v>نطاق چهارم</v>
      </c>
      <c r="BM35" s="3" t="str">
        <f>[1]!netotbabame(BL25,BL26,BL27,BL28,BL29)</f>
        <v>netaq4</v>
      </c>
      <c r="BN35" s="3"/>
      <c r="BO35" s="3"/>
      <c r="BP35" s="3"/>
      <c r="EL35" s="797"/>
      <c r="EM35" s="797"/>
      <c r="FS35" s="911" t="s">
        <v>3984</v>
      </c>
      <c r="FT35" s="304">
        <f>(FT5-FT34)*24</f>
        <v>1.3697777800000477E-2</v>
      </c>
      <c r="FU35" s="437">
        <f t="shared" si="161"/>
        <v>0</v>
      </c>
      <c r="FV35" s="437">
        <f t="shared" si="162"/>
        <v>0</v>
      </c>
      <c r="FW35" s="437">
        <f t="shared" si="163"/>
        <v>49</v>
      </c>
      <c r="FX35" s="437">
        <f t="shared" si="164"/>
        <v>18</v>
      </c>
      <c r="FY35" s="701"/>
      <c r="FZ35" s="304">
        <f>[1]!acs(60-FZ34)</f>
        <v>94.420474224581511</v>
      </c>
      <c r="GA35" s="437">
        <f t="shared" si="149"/>
        <v>94</v>
      </c>
      <c r="GB35" s="437">
        <f t="shared" si="150"/>
        <v>25</v>
      </c>
      <c r="GC35" s="437">
        <f t="shared" si="151"/>
        <v>13</v>
      </c>
      <c r="GD35" s="914">
        <f t="shared" si="152"/>
        <v>42</v>
      </c>
      <c r="GE35" s="304"/>
      <c r="GF35" s="304"/>
      <c r="GG35" s="304"/>
      <c r="GH35" s="304"/>
      <c r="GI35" s="304"/>
      <c r="GJ35" s="314"/>
    </row>
    <row r="36" spans="13:192" ht="21.75">
      <c r="M36" s="924" t="s">
        <v>3797</v>
      </c>
      <c r="N36" s="272" t="e">
        <f>[1]!ertaztale(N9,N8,N10,N19)</f>
        <v>#VALUE!</v>
      </c>
      <c r="O36" s="214" t="e">
        <f t="shared" si="153"/>
        <v>#VALUE!</v>
      </c>
      <c r="P36" s="214" t="e">
        <f t="shared" si="154"/>
        <v>#VALUE!</v>
      </c>
      <c r="Q36" s="214" t="e">
        <f t="shared" si="155"/>
        <v>#VALUE!</v>
      </c>
      <c r="R36" s="901" t="e">
        <f t="shared" si="156"/>
        <v>#VALUE!</v>
      </c>
      <c r="EL36" s="797"/>
      <c r="EM36" s="797"/>
      <c r="FS36" s="701" t="s">
        <v>612</v>
      </c>
      <c r="FT36" s="304">
        <f>[1]!wasat(FT2,FT3,FT4,FT5)</f>
        <v>93.488947520778154</v>
      </c>
      <c r="FU36" s="437">
        <f t="shared" ref="FU36:FU39" si="165">INT(ABS(FT36))</f>
        <v>93</v>
      </c>
      <c r="FV36" s="437">
        <f t="shared" ref="FV36:FV39" si="166">INT((ABS(FT36)-FU36)*60)</f>
        <v>29</v>
      </c>
      <c r="FW36" s="437">
        <f t="shared" ref="FW36:FW40" si="167">INT((((ABS(FT36)-FU36)*60)-FV36)*60)</f>
        <v>20</v>
      </c>
      <c r="FX36" s="437">
        <f t="shared" ref="FX36:FX40" si="168">INT((((((ABS(FT36)-FU36)*60)-FV36)*60)-FW36)*60)</f>
        <v>12</v>
      </c>
      <c r="FY36" s="779" t="s">
        <v>1331</v>
      </c>
      <c r="FZ36" s="251">
        <f>FZ20+(FZ35/15)</f>
        <v>18.42559866549631</v>
      </c>
      <c r="GA36" s="1346">
        <f t="shared" si="149"/>
        <v>18</v>
      </c>
      <c r="GB36" s="1346">
        <f t="shared" si="150"/>
        <v>25</v>
      </c>
      <c r="GC36" s="1346">
        <f t="shared" si="151"/>
        <v>32</v>
      </c>
      <c r="GD36" s="1466">
        <f t="shared" si="152"/>
        <v>9</v>
      </c>
      <c r="GE36" s="304"/>
      <c r="GF36" s="304"/>
      <c r="GG36" s="304"/>
      <c r="GH36" s="304"/>
      <c r="GI36" s="304"/>
      <c r="GJ36" s="314"/>
    </row>
    <row r="37" spans="13:192" ht="21.75">
      <c r="M37" s="924" t="s">
        <v>1217</v>
      </c>
      <c r="N37" s="272">
        <v>1</v>
      </c>
      <c r="O37" s="214">
        <f t="shared" si="153"/>
        <v>1</v>
      </c>
      <c r="P37" s="214">
        <f t="shared" si="154"/>
        <v>0</v>
      </c>
      <c r="Q37" s="214">
        <f t="shared" si="155"/>
        <v>0</v>
      </c>
      <c r="R37" s="901">
        <f t="shared" si="156"/>
        <v>0</v>
      </c>
      <c r="BK37" s="8" t="s">
        <v>1261</v>
      </c>
      <c r="BL37" s="8"/>
      <c r="BM37" s="8"/>
      <c r="BN37" s="8"/>
      <c r="BO37" s="8"/>
      <c r="BP37" s="8"/>
      <c r="EL37" s="797"/>
      <c r="EM37" s="797"/>
      <c r="FS37" s="701" t="s">
        <v>341</v>
      </c>
      <c r="FT37" s="304">
        <f>(FT36+1.8972)/0.985647331382888</f>
        <v>96.775128875912429</v>
      </c>
      <c r="FU37" s="437">
        <f t="shared" si="165"/>
        <v>96</v>
      </c>
      <c r="FV37" s="437">
        <f t="shared" si="166"/>
        <v>46</v>
      </c>
      <c r="FW37" s="437">
        <f t="shared" si="167"/>
        <v>30</v>
      </c>
      <c r="FX37" s="437">
        <f t="shared" si="168"/>
        <v>27</v>
      </c>
      <c r="FY37" s="701" t="s">
        <v>4012</v>
      </c>
      <c r="FZ37" s="304">
        <f>IF(OR(AND(FT45&lt;12,FD9&lt;12),AND(FT45&gt;12,FD9&gt;12)),(FD9-FT45)/2,(FD9+24-FT45)/2)</f>
        <v>4.0000048725625081</v>
      </c>
      <c r="GA37" s="437">
        <f t="shared" si="149"/>
        <v>4</v>
      </c>
      <c r="GB37" s="437">
        <f t="shared" si="150"/>
        <v>0</v>
      </c>
      <c r="GC37" s="437">
        <f t="shared" si="151"/>
        <v>0</v>
      </c>
      <c r="GD37" s="914">
        <f t="shared" si="152"/>
        <v>1</v>
      </c>
      <c r="GE37" s="304"/>
      <c r="GF37" s="304"/>
      <c r="GG37" s="304"/>
      <c r="GH37" s="304"/>
      <c r="GI37" s="304"/>
      <c r="GJ37" s="314"/>
    </row>
    <row r="38" spans="13:192" ht="24" thickBot="1">
      <c r="M38" s="720"/>
      <c r="N38" s="272">
        <f>IF(N37=1,12,IF(N37=2,14,IF(N37=3,16,IF(N37=4,18,IF(N37=5,20,22)))))</f>
        <v>12</v>
      </c>
      <c r="O38" s="214">
        <f t="shared" si="153"/>
        <v>12</v>
      </c>
      <c r="P38" s="214">
        <f t="shared" si="154"/>
        <v>0</v>
      </c>
      <c r="Q38" s="214">
        <f t="shared" si="155"/>
        <v>0</v>
      </c>
      <c r="R38" s="901">
        <f t="shared" si="156"/>
        <v>0</v>
      </c>
      <c r="BK38" s="181" t="s">
        <v>3</v>
      </c>
      <c r="BL38" s="182">
        <v>1442</v>
      </c>
      <c r="BM38" s="3"/>
      <c r="BN38" s="3"/>
      <c r="BO38" s="3"/>
      <c r="BP38" s="3"/>
      <c r="EL38" s="797"/>
      <c r="EM38" s="797"/>
      <c r="FS38" s="701" t="s">
        <v>3803</v>
      </c>
      <c r="FT38" s="304">
        <f>IF(INT(FT37)+1&lt;=365,INT(FT37)+1,INT(FT37+1)-365)</f>
        <v>97</v>
      </c>
      <c r="FU38" s="437">
        <f t="shared" si="165"/>
        <v>97</v>
      </c>
      <c r="FV38" s="437">
        <f t="shared" si="166"/>
        <v>0</v>
      </c>
      <c r="FW38" s="437">
        <f t="shared" si="167"/>
        <v>0</v>
      </c>
      <c r="FX38" s="437">
        <f t="shared" si="168"/>
        <v>0</v>
      </c>
      <c r="FY38" s="916" t="s">
        <v>3799</v>
      </c>
      <c r="FZ38" s="119">
        <f>IF(FZ37+FT45&lt;=24,FZ37+FT45,FZ37+FT45-24)</f>
        <v>23.387878097962549</v>
      </c>
      <c r="GA38" s="917">
        <f t="shared" si="149"/>
        <v>23</v>
      </c>
      <c r="GB38" s="917">
        <f t="shared" si="150"/>
        <v>23</v>
      </c>
      <c r="GC38" s="917">
        <f t="shared" si="151"/>
        <v>16</v>
      </c>
      <c r="GD38" s="918">
        <f t="shared" si="152"/>
        <v>21</v>
      </c>
      <c r="GE38" s="304"/>
      <c r="GF38" s="304"/>
      <c r="GG38" s="304"/>
      <c r="GH38" s="304"/>
      <c r="GI38" s="304"/>
      <c r="GJ38" s="314"/>
    </row>
    <row r="39" spans="13:192" ht="23.25">
      <c r="M39" s="720"/>
      <c r="N39" s="272">
        <f>N38-1</f>
        <v>11</v>
      </c>
      <c r="O39" s="214">
        <f t="shared" si="153"/>
        <v>11</v>
      </c>
      <c r="P39" s="214">
        <f t="shared" si="154"/>
        <v>0</v>
      </c>
      <c r="Q39" s="214">
        <f t="shared" si="155"/>
        <v>0</v>
      </c>
      <c r="R39" s="901">
        <f t="shared" si="156"/>
        <v>0</v>
      </c>
      <c r="BK39" s="181" t="s">
        <v>4</v>
      </c>
      <c r="BL39" s="182">
        <v>6</v>
      </c>
      <c r="BM39" s="3"/>
      <c r="BN39" s="3"/>
      <c r="BO39" s="3"/>
      <c r="BP39" s="3"/>
      <c r="EL39" s="797"/>
      <c r="EM39" s="797"/>
      <c r="FS39" s="701" t="s">
        <v>3785</v>
      </c>
      <c r="FT39" s="304">
        <f>[1]!tzaman(FT38)</f>
        <v>-0.11720260605754064</v>
      </c>
      <c r="FU39" s="437">
        <f t="shared" si="165"/>
        <v>0</v>
      </c>
      <c r="FV39" s="437">
        <f t="shared" si="166"/>
        <v>7</v>
      </c>
      <c r="FW39" s="437">
        <f t="shared" si="167"/>
        <v>1</v>
      </c>
      <c r="FX39" s="914">
        <f t="shared" si="168"/>
        <v>55</v>
      </c>
      <c r="FY39" s="3" t="s">
        <v>3951</v>
      </c>
      <c r="FZ39" s="304"/>
      <c r="GA39" s="304"/>
      <c r="GB39" s="304"/>
      <c r="GC39" s="304"/>
      <c r="GD39" s="304"/>
      <c r="GE39" s="304"/>
      <c r="GF39" s="304"/>
      <c r="GG39" s="304"/>
      <c r="GH39" s="304"/>
      <c r="GI39" s="304"/>
      <c r="GJ39" s="314"/>
    </row>
    <row r="40" spans="13:192" ht="23.25">
      <c r="M40" s="924" t="s">
        <v>1201</v>
      </c>
      <c r="N40" s="272">
        <f>IF(N8&lt;20,N38,N39)</f>
        <v>12</v>
      </c>
      <c r="O40" s="214">
        <f t="shared" si="153"/>
        <v>12</v>
      </c>
      <c r="P40" s="214">
        <f t="shared" si="154"/>
        <v>0</v>
      </c>
      <c r="Q40" s="214">
        <f t="shared" si="155"/>
        <v>0</v>
      </c>
      <c r="R40" s="901">
        <f t="shared" si="156"/>
        <v>0</v>
      </c>
      <c r="BK40" s="181" t="s">
        <v>5</v>
      </c>
      <c r="BL40" s="182">
        <v>27</v>
      </c>
      <c r="BM40" s="3"/>
      <c r="BN40" s="3"/>
      <c r="BO40" s="3"/>
      <c r="BP40" s="3"/>
      <c r="EL40" s="797"/>
      <c r="EM40" s="797"/>
      <c r="FS40" s="779" t="s">
        <v>3787</v>
      </c>
      <c r="FT40" s="251">
        <f>12-FT39+FT35</f>
        <v>12.130900383857542</v>
      </c>
      <c r="FU40" s="1346">
        <f>INT(ABS(FT40))</f>
        <v>12</v>
      </c>
      <c r="FV40" s="1346">
        <f>INT((ABS(FT40)-FU40)*60)</f>
        <v>7</v>
      </c>
      <c r="FW40" s="1346">
        <f t="shared" si="167"/>
        <v>51</v>
      </c>
      <c r="FX40" s="1466">
        <f t="shared" si="168"/>
        <v>14</v>
      </c>
      <c r="FY40" s="304"/>
      <c r="FZ40" s="304"/>
      <c r="GA40" s="304"/>
      <c r="GB40" s="304"/>
      <c r="GC40" s="304"/>
      <c r="GD40" s="304"/>
      <c r="GE40" s="304"/>
      <c r="GF40" s="304"/>
      <c r="GG40" s="304"/>
      <c r="GH40" s="304"/>
      <c r="GI40" s="304"/>
      <c r="GJ40" s="314"/>
    </row>
    <row r="41" spans="13:192" ht="23.25">
      <c r="M41" s="924" t="s">
        <v>1203</v>
      </c>
      <c r="N41" s="272" t="e">
        <f>[1]!asn([1]!sn(N40)*60/[1]!sn(N35))</f>
        <v>#VALUE!</v>
      </c>
      <c r="O41" s="214" t="e">
        <f t="shared" si="153"/>
        <v>#VALUE!</v>
      </c>
      <c r="P41" s="214" t="e">
        <f t="shared" si="154"/>
        <v>#VALUE!</v>
      </c>
      <c r="Q41" s="214" t="e">
        <f t="shared" si="155"/>
        <v>#VALUE!</v>
      </c>
      <c r="R41" s="901" t="e">
        <f t="shared" si="156"/>
        <v>#VALUE!</v>
      </c>
      <c r="BK41" s="181" t="s">
        <v>377</v>
      </c>
      <c r="BL41" s="182">
        <v>0</v>
      </c>
      <c r="BM41" s="3"/>
      <c r="BN41" s="3"/>
      <c r="BO41" s="3"/>
      <c r="BP41" s="3"/>
      <c r="EL41" s="797"/>
      <c r="EM41" s="797"/>
      <c r="FR41" s="797"/>
      <c r="FS41" s="701" t="s">
        <v>3990</v>
      </c>
      <c r="FT41" s="304">
        <f>FT40-FT11</f>
        <v>4.9239275423150435</v>
      </c>
      <c r="FU41" s="437">
        <f t="shared" ref="FU41:FU43" si="169">INT(ABS(FT41))</f>
        <v>4</v>
      </c>
      <c r="FV41" s="437">
        <f t="shared" ref="FV41:FV43" si="170">INT((ABS(FT41)-FU41)*60)</f>
        <v>55</v>
      </c>
      <c r="FW41" s="437">
        <f t="shared" ref="FW41:FW43" si="171">INT((((ABS(FT41)-FU41)*60)-FV41)*60)</f>
        <v>26</v>
      </c>
      <c r="FX41" s="914">
        <f t="shared" ref="FX41:FX43" si="172">INT((((((ABS(FT41)-FU41)*60)-FV41)*60)-FW41)*60)</f>
        <v>8</v>
      </c>
      <c r="FY41" s="304"/>
      <c r="FZ41" s="304"/>
      <c r="GA41" s="304"/>
      <c r="GB41" s="304"/>
      <c r="GC41" s="304"/>
      <c r="GD41" s="304"/>
      <c r="GE41" s="304"/>
      <c r="GF41" s="304"/>
      <c r="GG41" s="304"/>
      <c r="GH41" s="304"/>
      <c r="GI41" s="304"/>
      <c r="GJ41" s="314"/>
    </row>
    <row r="42" spans="13:192" ht="21.75">
      <c r="M42" s="924" t="s">
        <v>1222</v>
      </c>
      <c r="N42" s="272" t="e">
        <f>N41+N11</f>
        <v>#VALUE!</v>
      </c>
      <c r="O42" s="214" t="e">
        <f>INT(ABS(N42))</f>
        <v>#VALUE!</v>
      </c>
      <c r="P42" s="214" t="e">
        <f>INT((ABS(N42)-O42)*60)</f>
        <v>#VALUE!</v>
      </c>
      <c r="Q42" s="214" t="e">
        <f>INT((((ABS(N42)-O42)*60)-P42)*60)</f>
        <v>#VALUE!</v>
      </c>
      <c r="R42" s="901" t="e">
        <f>INT((((((ABS(N42)-O42)*60)-P42)*60)-Q42)*60)</f>
        <v>#VALUE!</v>
      </c>
      <c r="BK42" s="3" t="s">
        <v>1239</v>
      </c>
      <c r="BL42" s="3">
        <v>200</v>
      </c>
      <c r="BM42" s="168">
        <f>INT(ABS(BL42))</f>
        <v>200</v>
      </c>
      <c r="BN42" s="168">
        <f>INT((ABS(BL42)-BM42)*60)</f>
        <v>0</v>
      </c>
      <c r="BO42" s="168">
        <f>INT((((ABS(BL42)-BM42)*60)-BN42)*60)</f>
        <v>0</v>
      </c>
      <c r="BP42" s="168">
        <f>INT((((((ABS(BL42)-BM42)*60)-BN42)*60)-BO42)*60)</f>
        <v>0</v>
      </c>
      <c r="EL42" s="797"/>
      <c r="EM42" s="797"/>
      <c r="FR42" s="797"/>
      <c r="FS42" s="701" t="s">
        <v>3991</v>
      </c>
      <c r="FT42" s="304">
        <f>FT40+FT11</f>
        <v>19.337873225400038</v>
      </c>
      <c r="FU42" s="437">
        <f t="shared" si="169"/>
        <v>19</v>
      </c>
      <c r="FV42" s="437">
        <f t="shared" si="170"/>
        <v>20</v>
      </c>
      <c r="FW42" s="437">
        <f t="shared" si="171"/>
        <v>16</v>
      </c>
      <c r="FX42" s="914">
        <f t="shared" si="172"/>
        <v>20</v>
      </c>
      <c r="FY42" s="3" t="s">
        <v>3790</v>
      </c>
      <c r="FZ42" s="304"/>
      <c r="GA42" s="304"/>
      <c r="GB42" s="304"/>
      <c r="GC42" s="304"/>
      <c r="GD42" s="304"/>
      <c r="GE42" s="304"/>
      <c r="GF42" s="304"/>
      <c r="GG42" s="304"/>
      <c r="GH42" s="304"/>
      <c r="GI42" s="304"/>
      <c r="GJ42" s="314"/>
    </row>
    <row r="43" spans="13:192" ht="21.75">
      <c r="M43" s="924" t="s">
        <v>1223</v>
      </c>
      <c r="N43" s="272" t="e">
        <f>N24-N41</f>
        <v>#VALUE!</v>
      </c>
      <c r="O43" s="214" t="e">
        <f>INT(ABS(N43))</f>
        <v>#VALUE!</v>
      </c>
      <c r="P43" s="214" t="e">
        <f>INT((ABS(N43)-O43)*60)</f>
        <v>#VALUE!</v>
      </c>
      <c r="Q43" s="214" t="e">
        <f>INT((((ABS(N43)-O43)*60)-P43)*60)</f>
        <v>#VALUE!</v>
      </c>
      <c r="R43" s="901" t="e">
        <f>INT((((((ABS(N43)-O43)*60)-P43)*60)-Q43)*60)</f>
        <v>#VALUE!</v>
      </c>
      <c r="BK43" s="3" t="s">
        <v>1240</v>
      </c>
      <c r="BL43" s="183">
        <f>(((((BP43/60)+BO43)/60)+BN43)/60)+BM43</f>
        <v>5.7388888888888889</v>
      </c>
      <c r="BM43" s="3">
        <v>5</v>
      </c>
      <c r="BN43" s="3">
        <v>44</v>
      </c>
      <c r="BO43" s="3">
        <v>20</v>
      </c>
      <c r="BP43" s="3">
        <v>0</v>
      </c>
      <c r="EL43" s="797"/>
      <c r="EM43" s="797"/>
      <c r="FR43" s="797"/>
      <c r="FS43" s="701" t="s">
        <v>3989</v>
      </c>
      <c r="FT43" s="304">
        <f>3/60</f>
        <v>0.05</v>
      </c>
      <c r="FU43" s="437">
        <f t="shared" si="169"/>
        <v>0</v>
      </c>
      <c r="FV43" s="437">
        <f t="shared" si="170"/>
        <v>3</v>
      </c>
      <c r="FW43" s="437">
        <f t="shared" si="171"/>
        <v>0</v>
      </c>
      <c r="FX43" s="914">
        <f t="shared" si="172"/>
        <v>0</v>
      </c>
      <c r="FY43" s="304" t="s">
        <v>3791</v>
      </c>
      <c r="FZ43" s="304"/>
      <c r="GA43" s="304"/>
      <c r="GB43" s="304"/>
      <c r="GC43" s="304"/>
      <c r="GD43" s="304"/>
      <c r="GE43" s="304"/>
      <c r="GF43" s="304"/>
      <c r="GG43" s="304"/>
      <c r="GH43" s="304"/>
      <c r="GI43" s="304"/>
      <c r="GJ43" s="314"/>
    </row>
    <row r="44" spans="13:192" ht="22.5" thickBot="1">
      <c r="M44" s="925" t="s">
        <v>1372</v>
      </c>
      <c r="N44" s="926" t="e">
        <f>IF(N25="روز",N42,N43)</f>
        <v>#VALUE!</v>
      </c>
      <c r="O44" s="904" t="e">
        <f t="shared" ref="O44" si="173">INT(ABS(N44))</f>
        <v>#VALUE!</v>
      </c>
      <c r="P44" s="904" t="e">
        <f t="shared" ref="P44" si="174">INT((ABS(N44)-O44)*60)</f>
        <v>#VALUE!</v>
      </c>
      <c r="Q44" s="904" t="e">
        <f t="shared" ref="Q44" si="175">INT((((ABS(N44)-O44)*60)-P44)*60)</f>
        <v>#VALUE!</v>
      </c>
      <c r="R44" s="905" t="e">
        <f t="shared" ref="R44" si="176">INT((((((ABS(N44)-O44)*60)-P44)*60)-Q44)*60)</f>
        <v>#VALUE!</v>
      </c>
      <c r="BK44" s="3" t="s">
        <v>1254</v>
      </c>
      <c r="BL44" s="3">
        <f>[1]!oujott(BL38,BL39,BL40,BL41)</f>
        <v>261.84230336079963</v>
      </c>
      <c r="BM44" s="168">
        <f>INT(ABS(BL44))</f>
        <v>261</v>
      </c>
      <c r="BN44" s="168">
        <f>INT((ABS(BL44)-BM44)*60)</f>
        <v>50</v>
      </c>
      <c r="BO44" s="168">
        <f>INT((((ABS(BL44)-BM44)*60)-BN44)*60)</f>
        <v>32</v>
      </c>
      <c r="BP44" s="168">
        <f>INT((((((ABS(BL44)-BM44)*60)-BN44)*60)-BO44)*60)</f>
        <v>17</v>
      </c>
      <c r="EL44" s="797"/>
      <c r="EM44" s="797"/>
      <c r="FR44" s="797"/>
      <c r="FS44" s="779" t="s">
        <v>3985</v>
      </c>
      <c r="FT44" s="251">
        <f>FT41-FT43</f>
        <v>4.8739275423150437</v>
      </c>
      <c r="FU44" s="1346">
        <f t="shared" ref="FU44" si="177">INT(ABS(FT44))</f>
        <v>4</v>
      </c>
      <c r="FV44" s="1346">
        <f t="shared" ref="FV44" si="178">INT((ABS(FT44)-FU44)*60)</f>
        <v>52</v>
      </c>
      <c r="FW44" s="1346">
        <f t="shared" ref="FW44" si="179">INT((((ABS(FT44)-FU44)*60)-FV44)*60)</f>
        <v>26</v>
      </c>
      <c r="FX44" s="1466">
        <f t="shared" ref="FX44" si="180">INT((((((ABS(FT44)-FU44)*60)-FV44)*60)-FW44)*60)</f>
        <v>8</v>
      </c>
      <c r="FY44" s="304" t="s">
        <v>3792</v>
      </c>
      <c r="FZ44" s="304"/>
      <c r="GA44" s="304"/>
      <c r="GB44" s="304"/>
      <c r="GC44" s="304"/>
      <c r="GD44" s="304"/>
      <c r="GE44" s="304"/>
      <c r="GF44" s="304"/>
      <c r="GG44" s="304"/>
      <c r="GH44" s="304"/>
      <c r="GI44" s="304"/>
      <c r="GJ44" s="314"/>
    </row>
    <row r="45" spans="13:192" ht="21.75">
      <c r="BK45" s="3" t="s">
        <v>1241</v>
      </c>
      <c r="BL45" s="3">
        <f>IF(BL44+BL43+90&lt;360,BL44+BL43+90,BL44+BL43+90-360)</f>
        <v>357.58119224968851</v>
      </c>
      <c r="BM45" s="168">
        <f>INT(ABS(BL45))</f>
        <v>357</v>
      </c>
      <c r="BN45" s="168">
        <f>INT((ABS(BL45)-BM45)*60)</f>
        <v>34</v>
      </c>
      <c r="BO45" s="168">
        <f>INT((((ABS(BL45)-BM45)*60)-BN45)*60)</f>
        <v>52</v>
      </c>
      <c r="BP45" s="168">
        <f>INT((((((ABS(BL45)-BM45)*60)-BN45)*60)-BO45)*60)</f>
        <v>17</v>
      </c>
      <c r="EL45" s="797"/>
      <c r="EM45" s="797"/>
      <c r="FR45" s="797"/>
      <c r="FS45" s="779" t="s">
        <v>3986</v>
      </c>
      <c r="FT45" s="251">
        <f>FT42+FT43</f>
        <v>19.387873225400039</v>
      </c>
      <c r="FU45" s="1346">
        <f t="shared" ref="FU45" si="181">INT(ABS(FT45))</f>
        <v>19</v>
      </c>
      <c r="FV45" s="1346">
        <f t="shared" ref="FV45" si="182">INT((ABS(FT45)-FU45)*60)</f>
        <v>23</v>
      </c>
      <c r="FW45" s="1346">
        <f t="shared" ref="FW45" si="183">INT((((ABS(FT45)-FU45)*60)-FV45)*60)</f>
        <v>16</v>
      </c>
      <c r="FX45" s="1466">
        <f t="shared" ref="FX45" si="184">INT((((((ABS(FT45)-FU45)*60)-FV45)*60)-FW45)*60)</f>
        <v>20</v>
      </c>
      <c r="FY45" s="304"/>
      <c r="FZ45" s="304"/>
      <c r="GA45" s="304"/>
      <c r="GB45" s="304"/>
      <c r="GC45" s="304"/>
      <c r="GD45" s="304"/>
      <c r="GE45" s="304"/>
      <c r="GF45" s="304"/>
      <c r="GG45" s="304"/>
      <c r="GH45" s="304"/>
      <c r="GI45" s="304"/>
      <c r="GJ45" s="314"/>
    </row>
    <row r="46" spans="13:192" ht="21.75">
      <c r="M46" s="919"/>
      <c r="N46" s="33"/>
      <c r="BK46" s="3" t="s">
        <v>1242</v>
      </c>
      <c r="BL46" s="3">
        <f>IF(BL44+180&lt;360,BL44+180,BL44+180-360)</f>
        <v>81.842303360799633</v>
      </c>
      <c r="BM46" s="168">
        <f>INT(ABS(BL46))</f>
        <v>81</v>
      </c>
      <c r="BN46" s="168">
        <f>INT((ABS(BL46)-BM46)*60)</f>
        <v>50</v>
      </c>
      <c r="BO46" s="168">
        <f>INT((((ABS(BL46)-BM46)*60)-BN46)*60)</f>
        <v>32</v>
      </c>
      <c r="BP46" s="168">
        <f>INT((((((ABS(BL46)-BM46)*60)-BN46)*60)-BO46)*60)</f>
        <v>17</v>
      </c>
      <c r="EL46" s="797"/>
      <c r="EM46" s="797"/>
      <c r="FR46" s="797"/>
      <c r="FS46" s="949" t="s">
        <v>3538</v>
      </c>
      <c r="FT46" s="294">
        <f>IF(FT41-FT33&gt;=0,FT41-FT33,FT41-FT33+24)</f>
        <v>3.1047407814986174</v>
      </c>
      <c r="FU46" s="1493">
        <f>INT(ABS(FT46))</f>
        <v>3</v>
      </c>
      <c r="FV46" s="1493">
        <f>INT((ABS(FT46)-FU46)*60)</f>
        <v>6</v>
      </c>
      <c r="FW46" s="1493">
        <f>INT((((ABS(FT46)-FU46)*60)-FV46)*60)</f>
        <v>17</v>
      </c>
      <c r="FX46" s="1494">
        <f>INT((((((ABS(FT46)-FU46)*60)-FV46)*60)-FW46)*60)</f>
        <v>4</v>
      </c>
      <c r="FY46" s="307"/>
      <c r="FZ46" s="307"/>
      <c r="GA46" s="307"/>
      <c r="GB46" s="307"/>
      <c r="GC46" s="307"/>
      <c r="GD46" s="307"/>
      <c r="GE46" s="307"/>
      <c r="GF46" s="307"/>
      <c r="GG46" s="307"/>
      <c r="GH46" s="307"/>
      <c r="GI46" s="307"/>
      <c r="GJ46" s="703"/>
    </row>
    <row r="47" spans="13:192" ht="21.75">
      <c r="BK47" s="3" t="s">
        <v>1243</v>
      </c>
      <c r="BL47" s="3">
        <f>IF(BL46+(90-BL43)&lt;360,BL46+(90-BL43),BL46+(90-BL43)-360)</f>
        <v>166.10341447191075</v>
      </c>
      <c r="BM47" s="168">
        <f>INT(ABS(BL47))</f>
        <v>166</v>
      </c>
      <c r="BN47" s="168">
        <f>INT((ABS(BL47)-BM47)*60)</f>
        <v>6</v>
      </c>
      <c r="BO47" s="168">
        <f>INT((((ABS(BL47)-BM47)*60)-BN47)*60)</f>
        <v>12</v>
      </c>
      <c r="BP47" s="168">
        <f>INT((((((ABS(BL47)-BM47)*60)-BN47)*60)-BO47)*60)</f>
        <v>17</v>
      </c>
      <c r="EL47" s="797"/>
      <c r="EM47" s="797"/>
      <c r="FR47" s="797"/>
      <c r="FT47" s="274"/>
      <c r="FU47" s="276"/>
      <c r="FV47" s="276"/>
      <c r="FW47" s="276"/>
      <c r="FX47" s="276"/>
      <c r="FY47" s="274"/>
      <c r="FZ47" s="274"/>
      <c r="GA47" s="274"/>
      <c r="GB47" s="274"/>
      <c r="GC47" s="274"/>
      <c r="GD47" s="274"/>
      <c r="GE47" s="274"/>
      <c r="GF47" s="274"/>
      <c r="GG47" s="274"/>
      <c r="GH47" s="274"/>
      <c r="GI47" s="274"/>
      <c r="GJ47" s="274"/>
    </row>
    <row r="48" spans="13:192" ht="21.75">
      <c r="BK48" s="3"/>
      <c r="BL48" s="98" t="str">
        <f>IF(AND(BL42&gt;=BL44,BL42&lt;BL45),"نطاق اول",IF(AND(BL42&gt;=BL45,BL42&lt;BL46),"نطاق دوم",IF(AND(BL42&gt;=BL46,BL42&lt;BL47),"نطاق سوم","نطاق چهارم")))</f>
        <v>نطاق چهارم</v>
      </c>
      <c r="BM48" s="3" t="str">
        <f>[1]!netotmosame(BL38,BL39,BL40,BL41,BL42)</f>
        <v>netaq4</v>
      </c>
      <c r="BN48" s="3"/>
      <c r="BO48" s="3"/>
      <c r="BP48" s="3"/>
      <c r="EL48" s="797"/>
      <c r="EM48" s="797"/>
      <c r="EY48" s="797"/>
      <c r="EZ48" s="274"/>
      <c r="FA48" s="274"/>
      <c r="FB48" s="276"/>
      <c r="FC48" s="276"/>
      <c r="FP48" s="276"/>
      <c r="FQ48" s="276"/>
    </row>
    <row r="49" spans="63:208" ht="21.75">
      <c r="BK49" s="8" t="s">
        <v>1260</v>
      </c>
      <c r="BL49" s="8"/>
      <c r="BM49" s="8"/>
      <c r="BN49" s="8"/>
      <c r="BO49" s="8"/>
      <c r="BP49" s="8"/>
      <c r="EL49" s="1581"/>
      <c r="EM49" s="1581"/>
      <c r="EN49" s="1581"/>
      <c r="EO49" s="1581"/>
      <c r="EP49" s="1545"/>
      <c r="EQ49" s="1545"/>
      <c r="ER49" s="1545"/>
      <c r="ES49" s="1545"/>
      <c r="ET49" s="1581"/>
      <c r="EU49" s="1581"/>
      <c r="EV49" s="1581"/>
      <c r="EW49" s="1581"/>
      <c r="EX49" s="1581"/>
      <c r="EY49" s="1581"/>
      <c r="EZ49" s="1581"/>
      <c r="FA49" s="1581"/>
      <c r="FB49" s="1581"/>
      <c r="FC49" s="1581"/>
      <c r="FD49" s="1581"/>
      <c r="FE49" s="1581"/>
      <c r="FF49" s="1581"/>
      <c r="FG49" s="1581"/>
      <c r="FH49" s="1581"/>
      <c r="FI49" s="1581"/>
      <c r="FJ49" s="1581"/>
      <c r="FK49" s="1581"/>
      <c r="FL49" s="1581"/>
      <c r="FM49" s="1581"/>
      <c r="FN49" s="1581"/>
      <c r="FO49" s="1581"/>
      <c r="FP49" s="1581"/>
      <c r="FQ49" s="1581"/>
      <c r="FR49" s="1581"/>
      <c r="FS49" s="1581"/>
      <c r="FT49" s="1581"/>
      <c r="FU49" s="797"/>
      <c r="GH49" s="797"/>
      <c r="GI49" s="274"/>
      <c r="GJ49" s="274"/>
      <c r="GK49" s="276"/>
      <c r="GL49" s="276"/>
      <c r="GY49" s="276"/>
      <c r="GZ49" s="276"/>
    </row>
    <row r="50" spans="63:208" ht="23.25">
      <c r="BK50" s="181" t="s">
        <v>3</v>
      </c>
      <c r="BL50" s="182">
        <v>1442</v>
      </c>
      <c r="BM50" s="3"/>
      <c r="BN50" s="3"/>
      <c r="BO50" s="3"/>
      <c r="BP50" s="3"/>
      <c r="EL50" s="1581"/>
      <c r="EM50" s="1581"/>
      <c r="EN50" s="1581"/>
      <c r="EO50" s="1581"/>
      <c r="EP50" s="1545"/>
      <c r="EQ50" s="1545"/>
      <c r="ER50" s="1545"/>
      <c r="ES50" s="1545"/>
      <c r="ET50" s="1581"/>
      <c r="EU50" s="1581"/>
      <c r="EV50" s="1581"/>
      <c r="EW50" s="1581"/>
      <c r="EX50" s="1581"/>
      <c r="EY50" s="1581"/>
      <c r="EZ50" s="1581"/>
      <c r="FA50" s="1581"/>
      <c r="FB50" s="1581"/>
      <c r="FC50" s="1581"/>
      <c r="FD50" s="1581"/>
      <c r="FE50" s="1581"/>
      <c r="FF50" s="1581"/>
      <c r="FG50" s="1581"/>
      <c r="FH50" s="1581"/>
      <c r="FI50" s="1581"/>
      <c r="FJ50" s="1581"/>
      <c r="FK50" s="1581"/>
      <c r="FL50" s="1581"/>
      <c r="FM50" s="1581"/>
      <c r="FN50" s="1581"/>
      <c r="FO50" s="1581"/>
      <c r="FP50" s="1581"/>
      <c r="FQ50" s="1581"/>
      <c r="FR50" s="1581"/>
      <c r="FS50" s="1581"/>
      <c r="FT50" s="1581"/>
      <c r="FU50" s="797"/>
      <c r="GH50" s="797"/>
      <c r="GI50" s="274"/>
      <c r="GJ50" s="274"/>
      <c r="GK50" s="276"/>
      <c r="GL50" s="276"/>
      <c r="GY50" s="276"/>
      <c r="GZ50" s="276"/>
    </row>
    <row r="51" spans="63:208" ht="23.25">
      <c r="BK51" s="181" t="s">
        <v>4</v>
      </c>
      <c r="BL51" s="182">
        <v>6</v>
      </c>
      <c r="BM51" s="3"/>
      <c r="BN51" s="3"/>
      <c r="BO51" s="3"/>
      <c r="BP51" s="3"/>
      <c r="FR51" s="797"/>
      <c r="FS51" s="797"/>
      <c r="FU51" s="797"/>
      <c r="GH51" s="797"/>
      <c r="GI51" s="274"/>
      <c r="GJ51" s="274"/>
      <c r="GK51" s="276"/>
      <c r="GL51" s="276"/>
      <c r="GS51" s="276"/>
      <c r="GT51" s="276"/>
    </row>
    <row r="52" spans="63:208" ht="23.25">
      <c r="BK52" s="181" t="s">
        <v>5</v>
      </c>
      <c r="BL52" s="182">
        <v>27</v>
      </c>
      <c r="BM52" s="3"/>
      <c r="BN52" s="3"/>
      <c r="BO52" s="3"/>
      <c r="BP52" s="3"/>
      <c r="FV52" s="797"/>
      <c r="GI52" s="274"/>
      <c r="GJ52" s="274"/>
      <c r="GK52" s="276"/>
      <c r="GL52" s="276"/>
      <c r="GS52" s="276"/>
      <c r="GT52" s="276"/>
    </row>
    <row r="53" spans="63:208" ht="22.5">
      <c r="BK53" s="181" t="s">
        <v>377</v>
      </c>
      <c r="BL53" s="182">
        <v>0</v>
      </c>
      <c r="BM53" s="3"/>
      <c r="BN53" s="3"/>
      <c r="BO53" s="3"/>
      <c r="BP53" s="3"/>
      <c r="FV53" s="797"/>
    </row>
    <row r="54" spans="63:208" ht="21.75">
      <c r="BK54" s="3" t="s">
        <v>1239</v>
      </c>
      <c r="BL54" s="3">
        <v>30</v>
      </c>
      <c r="BM54" s="168">
        <f t="shared" ref="BM54:BM59" si="185">INT(ABS(BL54))</f>
        <v>30</v>
      </c>
      <c r="BN54" s="168">
        <f t="shared" ref="BN54:BN59" si="186">INT((ABS(BL54)-BM54)*60)</f>
        <v>0</v>
      </c>
      <c r="BO54" s="168">
        <f t="shared" ref="BO54:BO59" si="187">INT((((ABS(BL54)-BM54)*60)-BN54)*60)</f>
        <v>0</v>
      </c>
      <c r="BP54" s="168">
        <f t="shared" ref="BP54:BP59" si="188">INT((((((ABS(BL54)-BM54)*60)-BN54)*60)-BO54)*60)</f>
        <v>0</v>
      </c>
      <c r="FV54" s="797"/>
    </row>
    <row r="55" spans="63:208" ht="21.75">
      <c r="BK55" s="3" t="s">
        <v>1245</v>
      </c>
      <c r="BL55" s="183">
        <f>BL43/2</f>
        <v>2.8694444444444445</v>
      </c>
      <c r="BM55" s="168">
        <f t="shared" si="185"/>
        <v>2</v>
      </c>
      <c r="BN55" s="168">
        <f t="shared" si="186"/>
        <v>52</v>
      </c>
      <c r="BO55" s="168">
        <f t="shared" si="187"/>
        <v>10</v>
      </c>
      <c r="BP55" s="168">
        <f t="shared" si="188"/>
        <v>0</v>
      </c>
      <c r="FV55" s="797"/>
    </row>
    <row r="56" spans="63:208" ht="21.75">
      <c r="BK56" s="3" t="s">
        <v>1254</v>
      </c>
      <c r="BL56" s="3">
        <f>[1]!oujott(BL50,BL51,BL52,BL53)</f>
        <v>261.84230336079963</v>
      </c>
      <c r="BM56" s="168">
        <f t="shared" si="185"/>
        <v>261</v>
      </c>
      <c r="BN56" s="168">
        <f t="shared" si="186"/>
        <v>50</v>
      </c>
      <c r="BO56" s="168">
        <f t="shared" si="187"/>
        <v>32</v>
      </c>
      <c r="BP56" s="168">
        <f t="shared" si="188"/>
        <v>17</v>
      </c>
      <c r="FV56" s="797"/>
    </row>
    <row r="57" spans="63:208" ht="21.75">
      <c r="BK57" s="3" t="s">
        <v>1241</v>
      </c>
      <c r="BL57" s="3">
        <f>IF(BL56+BL55+90&lt;360,BL56+BL55+90,BL56+BL55+90-360)</f>
        <v>354.7117478052441</v>
      </c>
      <c r="BM57" s="168">
        <f t="shared" si="185"/>
        <v>354</v>
      </c>
      <c r="BN57" s="168">
        <f t="shared" si="186"/>
        <v>42</v>
      </c>
      <c r="BO57" s="168">
        <f t="shared" si="187"/>
        <v>42</v>
      </c>
      <c r="BP57" s="168">
        <f t="shared" si="188"/>
        <v>17</v>
      </c>
      <c r="FV57" s="797"/>
    </row>
    <row r="58" spans="63:208" ht="21.75">
      <c r="BK58" s="3" t="s">
        <v>1242</v>
      </c>
      <c r="BL58" s="3">
        <f>IF(BL56+180&lt;360,BL56+180,BL56+180-360)</f>
        <v>81.842303360799633</v>
      </c>
      <c r="BM58" s="168">
        <f t="shared" si="185"/>
        <v>81</v>
      </c>
      <c r="BN58" s="168">
        <f t="shared" si="186"/>
        <v>50</v>
      </c>
      <c r="BO58" s="168">
        <f t="shared" si="187"/>
        <v>32</v>
      </c>
      <c r="BP58" s="168">
        <f t="shared" si="188"/>
        <v>17</v>
      </c>
      <c r="FV58" s="797"/>
    </row>
    <row r="59" spans="63:208" ht="21.75">
      <c r="BK59" s="3" t="s">
        <v>1243</v>
      </c>
      <c r="BL59" s="3">
        <f>IF(BL58+(90-BL55)&lt;360,BL58+(90-BL55),BL58+(90-BL55)-360)</f>
        <v>168.97285891635519</v>
      </c>
      <c r="BM59" s="168">
        <f t="shared" si="185"/>
        <v>168</v>
      </c>
      <c r="BN59" s="168">
        <f t="shared" si="186"/>
        <v>58</v>
      </c>
      <c r="BO59" s="168">
        <f t="shared" si="187"/>
        <v>22</v>
      </c>
      <c r="BP59" s="168">
        <f t="shared" si="188"/>
        <v>17</v>
      </c>
      <c r="FV59" s="797"/>
    </row>
    <row r="60" spans="63:208">
      <c r="BK60" s="3"/>
      <c r="BL60" s="98" t="str">
        <f>IF(AND(BL54&gt;=BL56,BL54&lt;BL57),"نطاق اول",IF(AND(BL54&gt;=BL57,BL54&lt;BL58),"نطاق دوم",IF(AND(BL54&gt;=BL58,BL54&lt;BL59),"نطاق سوم","نطاق چهارم")))</f>
        <v>نطاق چهارم</v>
      </c>
      <c r="BM60" s="3" t="str">
        <f>[1]!netotbosame(BL50,BL51,BL52,BL53,BL54)</f>
        <v>netaq2</v>
      </c>
      <c r="BN60" s="3"/>
      <c r="BO60" s="3"/>
      <c r="BP60" s="3"/>
      <c r="FV60" s="797"/>
    </row>
    <row r="61" spans="63:208">
      <c r="FV61" s="797"/>
    </row>
    <row r="62" spans="63:208">
      <c r="BK62" s="8" t="s">
        <v>1262</v>
      </c>
      <c r="BL62" s="8"/>
      <c r="BM62" s="8"/>
      <c r="BN62" s="8"/>
      <c r="BO62" s="8"/>
      <c r="BP62" s="8"/>
    </row>
    <row r="63" spans="63:208" ht="22.5">
      <c r="BK63" s="181" t="s">
        <v>3</v>
      </c>
      <c r="BL63" s="182">
        <v>1442</v>
      </c>
      <c r="BM63" s="3"/>
      <c r="BN63" s="3"/>
      <c r="BO63" s="3"/>
      <c r="BP63" s="3"/>
    </row>
    <row r="64" spans="63:208" ht="22.5">
      <c r="BK64" s="181" t="s">
        <v>4</v>
      </c>
      <c r="BL64" s="182">
        <v>6</v>
      </c>
      <c r="BM64" s="3"/>
      <c r="BN64" s="3"/>
      <c r="BO64" s="3"/>
      <c r="BP64" s="3"/>
    </row>
    <row r="65" spans="63:68" ht="22.5">
      <c r="BK65" s="181" t="s">
        <v>5</v>
      </c>
      <c r="BL65" s="182">
        <v>27</v>
      </c>
      <c r="BM65" s="3"/>
      <c r="BN65" s="3"/>
      <c r="BO65" s="3"/>
      <c r="BP65" s="3"/>
    </row>
    <row r="66" spans="63:68" ht="22.5">
      <c r="BK66" s="181" t="s">
        <v>377</v>
      </c>
      <c r="BL66" s="182">
        <v>0</v>
      </c>
      <c r="BM66" s="3"/>
      <c r="BN66" s="3"/>
      <c r="BO66" s="3"/>
      <c r="BP66" s="3"/>
    </row>
    <row r="67" spans="63:68" ht="21.75">
      <c r="BK67" s="3" t="s">
        <v>1239</v>
      </c>
      <c r="BL67" s="3">
        <v>20</v>
      </c>
      <c r="BM67" s="168">
        <f>INT(ABS(BL67))</f>
        <v>20</v>
      </c>
      <c r="BN67" s="168">
        <f>INT((ABS(BL67)-BM67)*60)</f>
        <v>0</v>
      </c>
      <c r="BO67" s="168">
        <f>INT((((ABS(BL67)-BM67)*60)-BN67)*60)</f>
        <v>0</v>
      </c>
      <c r="BP67" s="168">
        <f>INT((((((ABS(BL67)-BM67)*60)-BN67)*60)-BO67)*60)</f>
        <v>0</v>
      </c>
    </row>
    <row r="68" spans="63:68" ht="18">
      <c r="BK68" s="3" t="s">
        <v>1240</v>
      </c>
      <c r="BL68" s="183">
        <f>(((((BP68/60)+BO68)/60)+BN68)/60)+BM68</f>
        <v>2.8661111111111111</v>
      </c>
      <c r="BM68" s="3">
        <v>2</v>
      </c>
      <c r="BN68" s="3">
        <v>51</v>
      </c>
      <c r="BO68" s="3">
        <v>58</v>
      </c>
      <c r="BP68" s="3">
        <v>0</v>
      </c>
    </row>
    <row r="69" spans="63:68" ht="21.75">
      <c r="BK69" s="3" t="s">
        <v>1254</v>
      </c>
      <c r="BL69" s="3">
        <f>[1]!oujott(BL63,BL64,BL65,BL66)</f>
        <v>261.84230336079963</v>
      </c>
      <c r="BM69" s="168">
        <f>INT(ABS(BL69))</f>
        <v>261</v>
      </c>
      <c r="BN69" s="168">
        <f>INT((ABS(BL69)-BM69)*60)</f>
        <v>50</v>
      </c>
      <c r="BO69" s="168">
        <f>INT((((ABS(BL69)-BM69)*60)-BN69)*60)</f>
        <v>32</v>
      </c>
      <c r="BP69" s="168">
        <f>INT((((((ABS(BL69)-BM69)*60)-BN69)*60)-BO69)*60)</f>
        <v>17</v>
      </c>
    </row>
    <row r="70" spans="63:68" ht="21.75">
      <c r="BK70" s="3" t="s">
        <v>1241</v>
      </c>
      <c r="BL70" s="3">
        <f>IF(BL69+BL68+90&lt;360,BL69+BL68+90,BL69+BL68+90-360)</f>
        <v>354.70841447191077</v>
      </c>
      <c r="BM70" s="168">
        <f>INT(ABS(BL70))</f>
        <v>354</v>
      </c>
      <c r="BN70" s="168">
        <f>INT((ABS(BL70)-BM70)*60)</f>
        <v>42</v>
      </c>
      <c r="BO70" s="168">
        <f>INT((((ABS(BL70)-BM70)*60)-BN70)*60)</f>
        <v>30</v>
      </c>
      <c r="BP70" s="168">
        <f>INT((((((ABS(BL70)-BM70)*60)-BN70)*60)-BO70)*60)</f>
        <v>17</v>
      </c>
    </row>
    <row r="71" spans="63:68" ht="21.75">
      <c r="BK71" s="3" t="s">
        <v>1242</v>
      </c>
      <c r="BL71" s="3">
        <f>IF(BL69+180&lt;360,BL69+180,BL69+180-360)</f>
        <v>81.842303360799633</v>
      </c>
      <c r="BM71" s="168">
        <f>INT(ABS(BL71))</f>
        <v>81</v>
      </c>
      <c r="BN71" s="168">
        <f>INT((ABS(BL71)-BM71)*60)</f>
        <v>50</v>
      </c>
      <c r="BO71" s="168">
        <f>INT((((ABS(BL71)-BM71)*60)-BN71)*60)</f>
        <v>32</v>
      </c>
      <c r="BP71" s="168">
        <f>INT((((((ABS(BL71)-BM71)*60)-BN71)*60)-BO71)*60)</f>
        <v>17</v>
      </c>
    </row>
    <row r="72" spans="63:68" ht="21.75">
      <c r="BK72" s="3" t="s">
        <v>1243</v>
      </c>
      <c r="BL72" s="3">
        <f>IF(BL71+(90-BL68)&lt;360,BL71+(90-BL68),BL71+(90-BL68)-360)</f>
        <v>168.97619224968852</v>
      </c>
      <c r="BM72" s="168">
        <f>INT(ABS(BL72))</f>
        <v>168</v>
      </c>
      <c r="BN72" s="168">
        <f>INT((ABS(BL72)-BM72)*60)</f>
        <v>58</v>
      </c>
      <c r="BO72" s="168">
        <f>INT((((ABS(BL72)-BM72)*60)-BN72)*60)</f>
        <v>34</v>
      </c>
      <c r="BP72" s="168">
        <f>INT((((((ABS(BL72)-BM72)*60)-BN72)*60)-BO72)*60)</f>
        <v>17</v>
      </c>
    </row>
    <row r="73" spans="63:68">
      <c r="BK73" s="3"/>
      <c r="BL73" s="98" t="str">
        <f>IF(AND(BL67&gt;=BL69,BL67&lt;BL70),"نطاق اول",IF(AND(BL67&gt;=BL70,BL67&lt;BL71),"نطاق دوم",IF(AND(BL67&gt;=BL71,BL67&lt;BL72),"نطاق سوم","نطاق چهارم")))</f>
        <v>نطاق چهارم</v>
      </c>
      <c r="BM73" s="3" t="str">
        <f>[1]!netotmaqame(BL63,BL64,BL65,BL66,BL67)</f>
        <v>netaq2</v>
      </c>
      <c r="BN73" s="3"/>
      <c r="BO73" s="3"/>
      <c r="BP73" s="3"/>
    </row>
    <row r="74" spans="63:68">
      <c r="BK74" s="8" t="s">
        <v>1263</v>
      </c>
      <c r="BL74" s="8"/>
      <c r="BM74" s="8"/>
      <c r="BN74" s="8"/>
      <c r="BO74" s="8"/>
      <c r="BP74" s="8"/>
    </row>
    <row r="75" spans="63:68" ht="22.5">
      <c r="BK75" s="181" t="s">
        <v>3</v>
      </c>
      <c r="BL75" s="182">
        <v>1442</v>
      </c>
      <c r="BM75" s="3"/>
      <c r="BN75" s="3"/>
      <c r="BO75" s="3"/>
      <c r="BP75" s="3"/>
    </row>
    <row r="76" spans="63:68" ht="22.5">
      <c r="BK76" s="181" t="s">
        <v>4</v>
      </c>
      <c r="BL76" s="182">
        <v>6</v>
      </c>
      <c r="BM76" s="3"/>
      <c r="BN76" s="3"/>
      <c r="BO76" s="3"/>
      <c r="BP76" s="3"/>
    </row>
    <row r="77" spans="63:68" ht="22.5">
      <c r="BK77" s="181" t="s">
        <v>5</v>
      </c>
      <c r="BL77" s="182">
        <v>27</v>
      </c>
      <c r="BM77" s="3"/>
      <c r="BN77" s="3"/>
      <c r="BO77" s="3"/>
      <c r="BP77" s="3"/>
    </row>
    <row r="78" spans="63:68" ht="22.5">
      <c r="BK78" s="181" t="s">
        <v>377</v>
      </c>
      <c r="BL78" s="182">
        <v>0</v>
      </c>
      <c r="BM78" s="3"/>
      <c r="BN78" s="3"/>
      <c r="BO78" s="3"/>
      <c r="BP78" s="3"/>
    </row>
    <row r="79" spans="63:68" ht="21.75">
      <c r="BK79" s="3" t="s">
        <v>1239</v>
      </c>
      <c r="BL79" s="3">
        <v>119</v>
      </c>
      <c r="BM79" s="168">
        <f t="shared" ref="BM79:BM84" si="189">INT(ABS(BL79))</f>
        <v>119</v>
      </c>
      <c r="BN79" s="168">
        <f t="shared" ref="BN79:BN84" si="190">INT((ABS(BL79)-BM79)*60)</f>
        <v>0</v>
      </c>
      <c r="BO79" s="168">
        <f t="shared" ref="BO79:BO84" si="191">INT((((ABS(BL79)-BM79)*60)-BN79)*60)</f>
        <v>0</v>
      </c>
      <c r="BP79" s="168">
        <f t="shared" ref="BP79:BP84" si="192">INT((((((ABS(BL79)-BM79)*60)-BN79)*60)-BO79)*60)</f>
        <v>0</v>
      </c>
    </row>
    <row r="80" spans="63:68" ht="21.75">
      <c r="BK80" s="3" t="s">
        <v>1245</v>
      </c>
      <c r="BL80" s="183">
        <f>BL68/2</f>
        <v>1.4330555555555555</v>
      </c>
      <c r="BM80" s="168">
        <f t="shared" si="189"/>
        <v>1</v>
      </c>
      <c r="BN80" s="168">
        <f t="shared" si="190"/>
        <v>25</v>
      </c>
      <c r="BO80" s="168">
        <f t="shared" si="191"/>
        <v>58</v>
      </c>
      <c r="BP80" s="168">
        <f t="shared" si="192"/>
        <v>59</v>
      </c>
    </row>
    <row r="81" spans="63:68" ht="21.75">
      <c r="BK81" s="3" t="s">
        <v>1254</v>
      </c>
      <c r="BL81" s="3">
        <f>[1]!oujott(BL75,BL76,BL77,BL78)</f>
        <v>261.84230336079963</v>
      </c>
      <c r="BM81" s="168">
        <f t="shared" si="189"/>
        <v>261</v>
      </c>
      <c r="BN81" s="168">
        <f t="shared" si="190"/>
        <v>50</v>
      </c>
      <c r="BO81" s="168">
        <f t="shared" si="191"/>
        <v>32</v>
      </c>
      <c r="BP81" s="168">
        <f t="shared" si="192"/>
        <v>17</v>
      </c>
    </row>
    <row r="82" spans="63:68" ht="21.75">
      <c r="BK82" s="3" t="s">
        <v>1241</v>
      </c>
      <c r="BL82" s="3">
        <f>IF(BL81+BL80+90&lt;360,BL81+BL80+90,BL81+BL80+90-360)</f>
        <v>353.27535891635517</v>
      </c>
      <c r="BM82" s="168">
        <f t="shared" si="189"/>
        <v>353</v>
      </c>
      <c r="BN82" s="168">
        <f t="shared" si="190"/>
        <v>16</v>
      </c>
      <c r="BO82" s="168">
        <f t="shared" si="191"/>
        <v>31</v>
      </c>
      <c r="BP82" s="168">
        <f t="shared" si="192"/>
        <v>17</v>
      </c>
    </row>
    <row r="83" spans="63:68" ht="21.75">
      <c r="BK83" s="3" t="s">
        <v>1242</v>
      </c>
      <c r="BL83" s="3">
        <f>IF(BL81+180&lt;360,BL81+180,BL81+180-360)</f>
        <v>81.842303360799633</v>
      </c>
      <c r="BM83" s="168">
        <f t="shared" si="189"/>
        <v>81</v>
      </c>
      <c r="BN83" s="168">
        <f t="shared" si="190"/>
        <v>50</v>
      </c>
      <c r="BO83" s="168">
        <f t="shared" si="191"/>
        <v>32</v>
      </c>
      <c r="BP83" s="168">
        <f t="shared" si="192"/>
        <v>17</v>
      </c>
    </row>
    <row r="84" spans="63:68" ht="21.75">
      <c r="BK84" s="3" t="s">
        <v>1243</v>
      </c>
      <c r="BL84" s="3">
        <f>IF(BL83+(90-BL80)&lt;360,BL83+(90-BL80),BL83+(90-BL80)-360)</f>
        <v>170.40924780524409</v>
      </c>
      <c r="BM84" s="168">
        <f t="shared" si="189"/>
        <v>170</v>
      </c>
      <c r="BN84" s="168">
        <f t="shared" si="190"/>
        <v>24</v>
      </c>
      <c r="BO84" s="168">
        <f t="shared" si="191"/>
        <v>33</v>
      </c>
      <c r="BP84" s="168">
        <f t="shared" si="192"/>
        <v>17</v>
      </c>
    </row>
    <row r="85" spans="63:68">
      <c r="BK85" s="3"/>
      <c r="BL85" s="98" t="str">
        <f>IF(AND(BL79&gt;=BL81,BL79&lt;BL82),"نطاق اول",IF(AND(BL79&gt;=BL82,BL79&lt;BL83),"نطاق دوم",IF(AND(BL79&gt;=BL83,BL79&lt;BL84),"نطاق سوم","نطاق چهارم")))</f>
        <v>نطاق سوم</v>
      </c>
      <c r="BM85" s="3" t="str">
        <f>[1]!netotbaqame(BL75,BL76,BL77,BL78,BL79)</f>
        <v>netaq3</v>
      </c>
      <c r="BN85" s="3"/>
      <c r="BO85" s="3"/>
      <c r="BP85" s="3"/>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M1113"/>
  <sheetViews>
    <sheetView rightToLeft="1" topLeftCell="A394" workbookViewId="0">
      <selection activeCell="R401" sqref="R401"/>
    </sheetView>
  </sheetViews>
  <sheetFormatPr defaultColWidth="9" defaultRowHeight="15"/>
  <cols>
    <col min="1" max="1" width="5.28515625" style="327" customWidth="1"/>
    <col min="2" max="2" width="9" style="327"/>
    <col min="3" max="3" width="5.85546875" style="327" customWidth="1"/>
    <col min="4" max="4" width="5.140625" style="327" customWidth="1"/>
    <col min="5" max="5" width="31.5703125" style="327" customWidth="1"/>
    <col min="6" max="6" width="5.5703125" style="327" customWidth="1"/>
    <col min="7" max="7" width="5.42578125" style="327" customWidth="1"/>
    <col min="8" max="8" width="3.140625" style="327" customWidth="1"/>
    <col min="9" max="10" width="3.42578125" style="327" customWidth="1"/>
    <col min="11" max="11" width="12.140625" style="327" customWidth="1"/>
    <col min="12" max="12" width="6.85546875" style="797" customWidth="1"/>
    <col min="13" max="13" width="6.42578125" style="797" customWidth="1"/>
    <col min="14" max="14" width="7.5703125" style="797" customWidth="1"/>
    <col min="15" max="15" width="7" style="797" customWidth="1"/>
    <col min="16" max="16" width="8.140625" style="797" customWidth="1"/>
    <col min="17" max="17" width="5.140625" style="797" customWidth="1"/>
    <col min="18" max="18" width="8.28515625" style="797" customWidth="1"/>
    <col min="19" max="19" width="8.42578125" style="797" customWidth="1"/>
    <col min="20" max="20" width="4.5703125" style="327" customWidth="1"/>
    <col min="21" max="21" width="6" style="327" customWidth="1"/>
    <col min="22" max="22" width="8.28515625" style="327" customWidth="1"/>
    <col min="23" max="23" width="5.5703125" style="327" customWidth="1"/>
    <col min="24" max="24" width="5.140625" style="327" customWidth="1"/>
    <col min="25" max="25" width="6.140625" style="327" customWidth="1"/>
    <col min="26" max="26" width="5.85546875" style="327" customWidth="1"/>
    <col min="27" max="27" width="7.28515625" style="327" customWidth="1"/>
    <col min="28" max="28" width="4.7109375" style="327" customWidth="1"/>
    <col min="29" max="29" width="5.28515625" style="327" customWidth="1"/>
    <col min="30" max="30" width="5.140625" style="327" customWidth="1"/>
    <col min="31" max="16384" width="9" style="327"/>
  </cols>
  <sheetData>
    <row r="1" spans="1:39" ht="15.75" thickBot="1">
      <c r="E1" s="327" t="s">
        <v>3882</v>
      </c>
    </row>
    <row r="2" spans="1:39">
      <c r="N2" s="1454"/>
      <c r="O2" s="1455" t="s">
        <v>5</v>
      </c>
      <c r="P2" s="1455" t="s">
        <v>4</v>
      </c>
      <c r="Q2" s="1456" t="s">
        <v>60</v>
      </c>
    </row>
    <row r="3" spans="1:39" ht="15.75" thickBot="1">
      <c r="N3" s="1457" t="s">
        <v>3974</v>
      </c>
      <c r="O3" s="1036">
        <v>1</v>
      </c>
      <c r="P3" s="1036">
        <v>1</v>
      </c>
      <c r="Q3" s="1037">
        <v>1445</v>
      </c>
      <c r="R3" s="797">
        <f>(INT(((P3-1)*29.5)+0.5)+O3)/355</f>
        <v>2.8169014084507044E-3</v>
      </c>
    </row>
    <row r="4" spans="1:39">
      <c r="A4" s="363"/>
      <c r="B4" s="363" t="s">
        <v>2355</v>
      </c>
      <c r="C4" s="1442" t="s">
        <v>2356</v>
      </c>
      <c r="D4" s="406" t="s">
        <v>2357</v>
      </c>
      <c r="E4" s="1442" t="s">
        <v>2358</v>
      </c>
      <c r="F4" s="1442" t="s">
        <v>2359</v>
      </c>
      <c r="G4" s="1443"/>
      <c r="H4" s="1444" t="s">
        <v>3402</v>
      </c>
      <c r="I4" s="1444"/>
      <c r="J4" s="1445"/>
      <c r="K4" s="1446" t="s">
        <v>2360</v>
      </c>
      <c r="L4" s="407"/>
      <c r="M4" s="407"/>
      <c r="N4" s="309"/>
      <c r="O4" s="309"/>
      <c r="P4" s="309"/>
      <c r="Q4" s="309"/>
      <c r="R4" s="407"/>
      <c r="S4" s="408"/>
      <c r="T4" s="406"/>
      <c r="U4" s="1447" t="s">
        <v>403</v>
      </c>
      <c r="V4" s="1447"/>
      <c r="W4" s="407"/>
      <c r="X4" s="406"/>
      <c r="Y4" s="407" t="s">
        <v>275</v>
      </c>
      <c r="Z4" s="408"/>
      <c r="AA4" s="1442" t="s">
        <v>176</v>
      </c>
      <c r="AB4" s="1448" t="s">
        <v>2361</v>
      </c>
      <c r="AC4" s="1448" t="s">
        <v>2362</v>
      </c>
      <c r="AD4" s="1448" t="s">
        <v>2363</v>
      </c>
      <c r="AG4" s="1089" t="s">
        <v>3880</v>
      </c>
    </row>
    <row r="5" spans="1:39">
      <c r="A5" s="363" t="s">
        <v>2364</v>
      </c>
      <c r="B5" s="363"/>
      <c r="C5" s="311"/>
      <c r="D5" s="311"/>
      <c r="E5" s="310"/>
      <c r="F5" s="310" t="s">
        <v>2365</v>
      </c>
      <c r="G5" s="310" t="s">
        <v>2366</v>
      </c>
      <c r="H5" s="310" t="s">
        <v>3</v>
      </c>
      <c r="I5" s="310" t="s">
        <v>4</v>
      </c>
      <c r="J5" s="310" t="s">
        <v>5</v>
      </c>
      <c r="K5" s="1449"/>
      <c r="L5" s="311" t="s">
        <v>3866</v>
      </c>
      <c r="M5" s="311" t="s">
        <v>3853</v>
      </c>
      <c r="N5" s="311" t="s">
        <v>3854</v>
      </c>
      <c r="O5" s="312" t="s">
        <v>144</v>
      </c>
      <c r="P5" s="312" t="s">
        <v>166</v>
      </c>
      <c r="Q5" s="311" t="s">
        <v>172</v>
      </c>
      <c r="R5" s="311" t="s">
        <v>3867</v>
      </c>
      <c r="S5" s="310" t="s">
        <v>3868</v>
      </c>
      <c r="T5" s="1450" t="s">
        <v>2367</v>
      </c>
      <c r="U5" s="1451" t="s">
        <v>173</v>
      </c>
      <c r="V5" s="1451" t="s">
        <v>172</v>
      </c>
      <c r="W5" s="1451" t="s">
        <v>166</v>
      </c>
      <c r="X5" s="1452" t="s">
        <v>2367</v>
      </c>
      <c r="Y5" s="1451" t="s">
        <v>172</v>
      </c>
      <c r="Z5" s="1453" t="s">
        <v>166</v>
      </c>
      <c r="AA5" s="311"/>
      <c r="AB5" s="1452" t="s">
        <v>2368</v>
      </c>
      <c r="AC5" s="1452" t="s">
        <v>2369</v>
      </c>
      <c r="AD5" s="310"/>
      <c r="AE5" s="519" t="s">
        <v>2370</v>
      </c>
      <c r="AF5" s="327" t="s">
        <v>3879</v>
      </c>
      <c r="AG5" s="327" t="s">
        <v>166</v>
      </c>
      <c r="AH5" s="327" t="s">
        <v>172</v>
      </c>
      <c r="AI5" s="845" t="s">
        <v>2366</v>
      </c>
      <c r="AJ5" s="845" t="s">
        <v>1183</v>
      </c>
      <c r="AK5" s="409" t="s">
        <v>359</v>
      </c>
      <c r="AL5" s="352"/>
      <c r="AM5" s="352"/>
    </row>
    <row r="6" spans="1:39">
      <c r="A6" s="520">
        <v>1</v>
      </c>
      <c r="B6" s="327" t="s">
        <v>2371</v>
      </c>
      <c r="C6" s="521">
        <v>1</v>
      </c>
      <c r="D6" s="521">
        <v>1</v>
      </c>
      <c r="E6" s="298" t="s">
        <v>2372</v>
      </c>
      <c r="F6" s="521">
        <v>70</v>
      </c>
      <c r="G6" s="298"/>
      <c r="H6" s="521">
        <v>66</v>
      </c>
      <c r="I6" s="521">
        <v>2</v>
      </c>
      <c r="J6" s="521">
        <v>12</v>
      </c>
      <c r="K6" s="521" t="s">
        <v>1611</v>
      </c>
      <c r="L6" s="797">
        <f>[1]!tsabetm(C6)</f>
        <v>59.749999999999993</v>
      </c>
      <c r="M6" s="327">
        <f>[1]!tsabetz(C6)</f>
        <v>86.35</v>
      </c>
      <c r="N6" s="797">
        <f>(1697+41)/((IF(M6-L6&gt;0,M6-L6,M6+360-L6)))</f>
        <v>65.338345864661648</v>
      </c>
      <c r="O6" s="274">
        <f>Q3+R3</f>
        <v>1445.0028169014086</v>
      </c>
      <c r="P6" s="797">
        <f>(R6-Q6)*60</f>
        <v>20.070480882996264</v>
      </c>
      <c r="Q6" s="797">
        <f>INT(R6)</f>
        <v>89</v>
      </c>
      <c r="R6" s="797">
        <f>((O6-1250)/(N6))+M6</f>
        <v>89.334508014716604</v>
      </c>
      <c r="S6" s="797">
        <f>[1]!taqsabet(O6,C6)</f>
        <v>89.334508014716604</v>
      </c>
      <c r="T6" s="298">
        <f>((W6/60)+V6)+U6*30</f>
        <v>86.35</v>
      </c>
      <c r="U6" s="521">
        <v>2</v>
      </c>
      <c r="V6" s="521">
        <v>26</v>
      </c>
      <c r="W6" s="521">
        <v>21</v>
      </c>
      <c r="X6" s="10">
        <f>(Z6/60)+Y6</f>
        <v>66.483333333333334</v>
      </c>
      <c r="Y6" s="521">
        <v>66</v>
      </c>
      <c r="Z6" s="521">
        <v>29</v>
      </c>
      <c r="AA6" s="521" t="s">
        <v>179</v>
      </c>
      <c r="AB6" s="521">
        <v>3</v>
      </c>
      <c r="AC6" s="522">
        <v>3</v>
      </c>
      <c r="AD6" s="522" t="s">
        <v>2373</v>
      </c>
      <c r="AE6" s="327">
        <v>567</v>
      </c>
      <c r="AF6" s="327" t="s">
        <v>3875</v>
      </c>
      <c r="AG6" s="1090">
        <v>53</v>
      </c>
      <c r="AH6" s="327">
        <v>88</v>
      </c>
      <c r="AI6" s="327">
        <f>(AG6/60)+AH6</f>
        <v>88.88333333333334</v>
      </c>
      <c r="AJ6" s="327">
        <f>R6-AI6</f>
        <v>0.45117468138326444</v>
      </c>
      <c r="AK6" s="352">
        <f>[1]!bkm(O6,X6,R6)</f>
        <v>89.719473654337747</v>
      </c>
      <c r="AL6" s="352">
        <f>INT(AK6)</f>
        <v>89</v>
      </c>
      <c r="AM6" s="352">
        <f>(AK6-AL6)*60</f>
        <v>43.168419260264841</v>
      </c>
    </row>
    <row r="7" spans="1:39">
      <c r="C7" s="523">
        <v>2</v>
      </c>
      <c r="D7" s="523">
        <v>2</v>
      </c>
      <c r="E7" s="524" t="s">
        <v>2374</v>
      </c>
      <c r="F7" s="523">
        <v>70</v>
      </c>
      <c r="G7" s="524"/>
      <c r="H7" s="523">
        <v>66</v>
      </c>
      <c r="I7" s="523">
        <v>0</v>
      </c>
      <c r="J7" s="523">
        <v>0</v>
      </c>
      <c r="K7" s="523"/>
      <c r="L7" s="797">
        <f>[1]!tsabetm(C7)</f>
        <v>62.083333333333336</v>
      </c>
      <c r="M7" s="797">
        <f>[1]!tsabetz(C7)</f>
        <v>88.516666666666666</v>
      </c>
      <c r="N7" s="797">
        <f>(1697+41)/((IF(M7-L7&gt;0,M7-L7,M7+360-L7)))</f>
        <v>65.750315258511989</v>
      </c>
      <c r="O7" s="797">
        <f>O6</f>
        <v>1445.0028169014086</v>
      </c>
      <c r="P7" s="797">
        <f>(R7-Q7)*60</f>
        <v>28.948485388742142</v>
      </c>
      <c r="Q7" s="797">
        <f t="shared" ref="Q7" si="0">INT(R7)</f>
        <v>91</v>
      </c>
      <c r="R7" s="797">
        <f>((O7-1250)/(N7))+M7</f>
        <v>91.482474756479036</v>
      </c>
      <c r="S7" s="797">
        <f>[1]!taqsabet(O7,C7)</f>
        <v>91.482474756479036</v>
      </c>
      <c r="T7" s="298">
        <f t="shared" ref="T7:T13" si="1">((W7/60)+V7)+U7*30</f>
        <v>88.516666666666666</v>
      </c>
      <c r="U7" s="523">
        <v>2</v>
      </c>
      <c r="V7" s="523">
        <v>28</v>
      </c>
      <c r="W7" s="523">
        <v>31</v>
      </c>
      <c r="X7" s="10">
        <f t="shared" ref="X7:X13" si="2">(Z7/60)+Y7</f>
        <v>70</v>
      </c>
      <c r="Y7" s="523">
        <v>70</v>
      </c>
      <c r="Z7" s="523">
        <v>0</v>
      </c>
      <c r="AA7" s="523" t="s">
        <v>179</v>
      </c>
      <c r="AB7" s="523">
        <v>4</v>
      </c>
      <c r="AC7" s="523">
        <v>4</v>
      </c>
      <c r="AD7" s="523" t="s">
        <v>2373</v>
      </c>
      <c r="AK7" s="352">
        <f>[1]!bkm(O7,X7,R7)</f>
        <v>86.531844365639373</v>
      </c>
      <c r="AL7" s="352">
        <f t="shared" ref="AL7:AL13" si="3">INT(AK7)</f>
        <v>86</v>
      </c>
      <c r="AM7" s="352">
        <f t="shared" ref="AM7:AM13" si="4">(AK7-AL7)*60</f>
        <v>31.910661938362352</v>
      </c>
    </row>
    <row r="8" spans="1:39">
      <c r="C8" s="522">
        <v>3</v>
      </c>
      <c r="D8" s="522">
        <v>3</v>
      </c>
      <c r="E8" s="296" t="s">
        <v>2375</v>
      </c>
      <c r="F8" s="522">
        <v>70</v>
      </c>
      <c r="G8" s="296"/>
      <c r="H8" s="522">
        <v>66</v>
      </c>
      <c r="I8" s="522">
        <v>0</v>
      </c>
      <c r="J8" s="522">
        <v>0</v>
      </c>
      <c r="K8" s="522"/>
      <c r="L8" s="797">
        <f>[1]!tsabetm(C8)</f>
        <v>75.583333333333343</v>
      </c>
      <c r="M8" s="797">
        <f>[1]!tsabetz(C8)</f>
        <v>97.016666666666666</v>
      </c>
      <c r="N8" s="797">
        <f t="shared" ref="N8:N70" si="5">(1697+41)/((IF(M8-L8&gt;0,M8-L8,M8+360-L8)))</f>
        <v>81.088646967340637</v>
      </c>
      <c r="O8" s="797">
        <f t="shared" ref="O8:O71" si="6">O7</f>
        <v>1445.0028169014086</v>
      </c>
      <c r="P8" s="797">
        <f>(R8-Q8)*60</f>
        <v>25.288620561110804</v>
      </c>
      <c r="Q8" s="797">
        <f t="shared" ref="Q8:Q71" si="7">INT(R8)</f>
        <v>99</v>
      </c>
      <c r="R8" s="797">
        <f t="shared" ref="R8:R71" si="8">((O8-1250)/(N8))+M8</f>
        <v>99.421477009351847</v>
      </c>
      <c r="S8" s="797">
        <f>[1]!taqsabet(O8,C8)</f>
        <v>99.421477009351847</v>
      </c>
      <c r="T8" s="298">
        <f t="shared" si="1"/>
        <v>97.016666666666666</v>
      </c>
      <c r="U8" s="522">
        <v>3</v>
      </c>
      <c r="V8" s="522">
        <v>7</v>
      </c>
      <c r="W8" s="522">
        <v>1</v>
      </c>
      <c r="X8" s="10">
        <f t="shared" si="2"/>
        <v>73.75</v>
      </c>
      <c r="Y8" s="522">
        <v>73</v>
      </c>
      <c r="Z8" s="522">
        <v>45</v>
      </c>
      <c r="AA8" s="522" t="s">
        <v>179</v>
      </c>
      <c r="AB8" s="522">
        <v>4</v>
      </c>
      <c r="AC8" s="522">
        <v>4</v>
      </c>
      <c r="AD8" s="522" t="s">
        <v>2373</v>
      </c>
      <c r="AK8" s="352">
        <f>[1]!bkm(O8,X8,R8)</f>
        <v>82.166861889645517</v>
      </c>
      <c r="AL8" s="352">
        <f t="shared" si="3"/>
        <v>82</v>
      </c>
      <c r="AM8" s="352">
        <f t="shared" si="4"/>
        <v>10.011713378731031</v>
      </c>
    </row>
    <row r="9" spans="1:39">
      <c r="C9" s="525">
        <v>4</v>
      </c>
      <c r="D9" s="523">
        <v>4</v>
      </c>
      <c r="E9" s="524" t="s">
        <v>2376</v>
      </c>
      <c r="F9" s="523">
        <v>70</v>
      </c>
      <c r="G9" s="524"/>
      <c r="H9" s="523">
        <v>66</v>
      </c>
      <c r="I9" s="523">
        <v>0</v>
      </c>
      <c r="J9" s="523">
        <v>0</v>
      </c>
      <c r="K9" s="523"/>
      <c r="L9" s="797">
        <f>[1]!tsabetm(C9)</f>
        <v>89.25</v>
      </c>
      <c r="M9" s="797">
        <f>[1]!tsabetz(C9)</f>
        <v>113.31666666666666</v>
      </c>
      <c r="N9" s="797">
        <f t="shared" si="5"/>
        <v>72.216066481994474</v>
      </c>
      <c r="O9" s="797">
        <f t="shared" si="6"/>
        <v>1445.0028169014086</v>
      </c>
      <c r="P9" s="797">
        <f t="shared" ref="P9:P71" si="9">(R9-Q9)*60</f>
        <v>1.0161493703299129</v>
      </c>
      <c r="Q9" s="797">
        <f t="shared" si="7"/>
        <v>116</v>
      </c>
      <c r="R9" s="797">
        <f>((O9-1250)/(N9))+M9</f>
        <v>116.01693582283883</v>
      </c>
      <c r="S9" s="797">
        <f>[1]!taqsabet(O9,C9)</f>
        <v>116.01693582283883</v>
      </c>
      <c r="T9" s="298">
        <f t="shared" si="1"/>
        <v>113.31666666666666</v>
      </c>
      <c r="U9" s="523">
        <v>3</v>
      </c>
      <c r="V9" s="523">
        <v>23</v>
      </c>
      <c r="W9" s="523">
        <v>19</v>
      </c>
      <c r="X9" s="10">
        <f t="shared" si="2"/>
        <v>75.599999999999994</v>
      </c>
      <c r="Y9" s="523">
        <v>75</v>
      </c>
      <c r="Z9" s="523">
        <v>36</v>
      </c>
      <c r="AA9" s="523" t="s">
        <v>179</v>
      </c>
      <c r="AB9" s="523">
        <v>4</v>
      </c>
      <c r="AC9" s="523">
        <v>4</v>
      </c>
      <c r="AD9" s="523" t="s">
        <v>2373</v>
      </c>
      <c r="AK9" s="352">
        <f>[1]!bkm(O9,X9,R9)</f>
        <v>77.850565052314224</v>
      </c>
      <c r="AL9" s="352">
        <f t="shared" si="3"/>
        <v>77</v>
      </c>
      <c r="AM9" s="352">
        <f t="shared" si="4"/>
        <v>51.033903138853418</v>
      </c>
    </row>
    <row r="10" spans="1:39">
      <c r="C10" s="522">
        <v>5</v>
      </c>
      <c r="D10" s="522">
        <v>5</v>
      </c>
      <c r="E10" s="296" t="s">
        <v>2377</v>
      </c>
      <c r="F10" s="522">
        <v>70</v>
      </c>
      <c r="G10" s="296"/>
      <c r="H10" s="522">
        <v>66</v>
      </c>
      <c r="I10" s="522">
        <v>0</v>
      </c>
      <c r="J10" s="522">
        <v>0</v>
      </c>
      <c r="K10" s="522"/>
      <c r="L10" s="797">
        <f>[1]!tsabetm(C10)</f>
        <v>93.25</v>
      </c>
      <c r="M10" s="797">
        <f>[1]!tsabetz(C10)</f>
        <v>115.35</v>
      </c>
      <c r="N10" s="797">
        <f t="shared" si="5"/>
        <v>78.642533936651603</v>
      </c>
      <c r="O10" s="797">
        <f t="shared" si="6"/>
        <v>1445.0028169014086</v>
      </c>
      <c r="P10" s="797">
        <f t="shared" si="9"/>
        <v>49.776602538128145</v>
      </c>
      <c r="Q10" s="797">
        <f t="shared" si="7"/>
        <v>117</v>
      </c>
      <c r="R10" s="797">
        <f t="shared" si="8"/>
        <v>117.82961004230214</v>
      </c>
      <c r="S10" s="797">
        <f>[1]!taqsabet(O10,C10)</f>
        <v>117.82961004230214</v>
      </c>
      <c r="T10" s="298">
        <f t="shared" si="1"/>
        <v>115.35</v>
      </c>
      <c r="U10" s="522">
        <v>3</v>
      </c>
      <c r="V10" s="522">
        <v>25</v>
      </c>
      <c r="W10" s="522">
        <v>21</v>
      </c>
      <c r="X10" s="10">
        <f t="shared" si="2"/>
        <v>78</v>
      </c>
      <c r="Y10" s="522">
        <v>78</v>
      </c>
      <c r="Z10" s="522">
        <v>0</v>
      </c>
      <c r="AA10" s="522" t="s">
        <v>179</v>
      </c>
      <c r="AB10" s="522">
        <v>5</v>
      </c>
      <c r="AC10" s="522">
        <v>4</v>
      </c>
      <c r="AD10" s="522" t="s">
        <v>2373</v>
      </c>
      <c r="AK10" s="352">
        <f>[1]!bkm(O10,X10,R10)</f>
        <v>76.078387957752184</v>
      </c>
      <c r="AL10" s="352">
        <f t="shared" si="3"/>
        <v>76</v>
      </c>
      <c r="AM10" s="352">
        <f t="shared" si="4"/>
        <v>4.703277465131066</v>
      </c>
    </row>
    <row r="11" spans="1:39">
      <c r="C11" s="523">
        <v>6</v>
      </c>
      <c r="D11" s="523">
        <v>6</v>
      </c>
      <c r="E11" s="524" t="s">
        <v>2378</v>
      </c>
      <c r="F11" s="523">
        <v>70</v>
      </c>
      <c r="G11" s="524"/>
      <c r="H11" s="523">
        <v>71</v>
      </c>
      <c r="I11" s="523">
        <v>9</v>
      </c>
      <c r="J11" s="523">
        <v>25</v>
      </c>
      <c r="K11" s="523" t="s">
        <v>2379</v>
      </c>
      <c r="L11" s="797">
        <f>[1]!tsabetm(C11)</f>
        <v>106.75</v>
      </c>
      <c r="M11" s="797">
        <f>[1]!tsabetz(C11)</f>
        <v>131.51666666666668</v>
      </c>
      <c r="N11" s="797">
        <f t="shared" si="5"/>
        <v>70.174966352624452</v>
      </c>
      <c r="O11" s="797">
        <f t="shared" si="6"/>
        <v>1445.0028169014086</v>
      </c>
      <c r="P11" s="797">
        <f t="shared" si="9"/>
        <v>17.728530446199784</v>
      </c>
      <c r="Q11" s="797">
        <f t="shared" si="7"/>
        <v>134</v>
      </c>
      <c r="R11" s="797">
        <f t="shared" si="8"/>
        <v>134.29547550743666</v>
      </c>
      <c r="S11" s="797">
        <f>[1]!taqsabet(O11,C11)</f>
        <v>134.29547550743666</v>
      </c>
      <c r="T11" s="298">
        <f t="shared" si="1"/>
        <v>131.51666666666668</v>
      </c>
      <c r="U11" s="523">
        <v>4</v>
      </c>
      <c r="V11" s="523">
        <v>11</v>
      </c>
      <c r="W11" s="523">
        <v>31</v>
      </c>
      <c r="X11" s="10">
        <f t="shared" si="2"/>
        <v>73</v>
      </c>
      <c r="Y11" s="523">
        <v>73</v>
      </c>
      <c r="Z11" s="523">
        <v>0</v>
      </c>
      <c r="AA11" s="523" t="s">
        <v>179</v>
      </c>
      <c r="AB11" s="523">
        <v>2</v>
      </c>
      <c r="AC11" s="523">
        <v>2</v>
      </c>
      <c r="AD11" s="523" t="s">
        <v>2373</v>
      </c>
      <c r="AK11" s="352">
        <f>[1]!bkm(O11,X11,R11)</f>
        <v>73.8796819700935</v>
      </c>
      <c r="AL11" s="352">
        <f t="shared" si="3"/>
        <v>73</v>
      </c>
      <c r="AM11" s="352">
        <f t="shared" si="4"/>
        <v>52.780918205610021</v>
      </c>
    </row>
    <row r="12" spans="1:39">
      <c r="C12" s="521">
        <v>7</v>
      </c>
      <c r="D12" s="522">
        <v>7</v>
      </c>
      <c r="E12" s="296" t="s">
        <v>2377</v>
      </c>
      <c r="F12" s="522">
        <v>70</v>
      </c>
      <c r="G12" s="296"/>
      <c r="H12" s="522">
        <v>66</v>
      </c>
      <c r="I12" s="522">
        <v>0</v>
      </c>
      <c r="J12" s="522">
        <v>0</v>
      </c>
      <c r="K12" s="522" t="s">
        <v>2380</v>
      </c>
      <c r="L12" s="797">
        <f>[1]!tsabetm(C12)</f>
        <v>115.75</v>
      </c>
      <c r="M12" s="797">
        <f>[1]!tsabetz(C12)</f>
        <v>140.01666666666668</v>
      </c>
      <c r="N12" s="797">
        <f t="shared" si="5"/>
        <v>71.620879120879081</v>
      </c>
      <c r="O12" s="797">
        <f t="shared" si="6"/>
        <v>1445.0028169014086</v>
      </c>
      <c r="P12" s="797">
        <f t="shared" si="9"/>
        <v>44.362543963436565</v>
      </c>
      <c r="Q12" s="797">
        <f t="shared" si="7"/>
        <v>142</v>
      </c>
      <c r="R12" s="797">
        <f t="shared" si="8"/>
        <v>142.73937573272394</v>
      </c>
      <c r="S12" s="797">
        <f>[1]!taqsabet(O12,C12)</f>
        <v>142.73937573272394</v>
      </c>
      <c r="T12" s="298">
        <f t="shared" si="1"/>
        <v>140.01666666666665</v>
      </c>
      <c r="U12" s="522">
        <v>4</v>
      </c>
      <c r="V12" s="522">
        <v>20</v>
      </c>
      <c r="W12" s="522">
        <v>1</v>
      </c>
      <c r="X12" s="10">
        <f t="shared" si="2"/>
        <v>75.150000000000006</v>
      </c>
      <c r="Y12" s="522">
        <v>75</v>
      </c>
      <c r="Z12" s="522">
        <v>9</v>
      </c>
      <c r="AA12" s="522" t="s">
        <v>179</v>
      </c>
      <c r="AB12" s="522">
        <v>3</v>
      </c>
      <c r="AC12" s="522">
        <v>2</v>
      </c>
      <c r="AD12" s="522" t="s">
        <v>2373</v>
      </c>
      <c r="AK12" s="352">
        <f>[1]!bkm(O12,X12,R12)</f>
        <v>71.553935333496383</v>
      </c>
      <c r="AL12" s="352">
        <f t="shared" si="3"/>
        <v>71</v>
      </c>
      <c r="AM12" s="352">
        <f t="shared" si="4"/>
        <v>33.236120009783008</v>
      </c>
    </row>
    <row r="13" spans="1:39">
      <c r="C13" s="523">
        <v>8</v>
      </c>
      <c r="D13" s="523">
        <v>1</v>
      </c>
      <c r="E13" s="524" t="s">
        <v>2381</v>
      </c>
      <c r="F13" s="523">
        <v>70</v>
      </c>
      <c r="G13" s="524"/>
      <c r="H13" s="523">
        <v>66</v>
      </c>
      <c r="I13" s="523">
        <v>0</v>
      </c>
      <c r="J13" s="523">
        <v>0</v>
      </c>
      <c r="K13" s="524"/>
      <c r="L13" s="797">
        <f>[1]!tsabetm(C13)</f>
        <v>102.58333333333334</v>
      </c>
      <c r="M13" s="797">
        <f>[1]!tsabetz(C13)</f>
        <v>127.01666666666667</v>
      </c>
      <c r="N13" s="797">
        <f t="shared" si="5"/>
        <v>71.132332878581209</v>
      </c>
      <c r="O13" s="797">
        <f t="shared" si="6"/>
        <v>1445.0028169014086</v>
      </c>
      <c r="P13" s="797">
        <f t="shared" si="9"/>
        <v>45.484539457689266</v>
      </c>
      <c r="Q13" s="797">
        <f t="shared" si="7"/>
        <v>129</v>
      </c>
      <c r="R13" s="797">
        <f t="shared" si="8"/>
        <v>129.75807565762815</v>
      </c>
      <c r="S13" s="797">
        <f>[1]!taqsabet(O13,C13)</f>
        <v>129.75807565762815</v>
      </c>
      <c r="T13" s="298">
        <f t="shared" si="1"/>
        <v>127.01666666666667</v>
      </c>
      <c r="U13" s="523">
        <v>4</v>
      </c>
      <c r="V13" s="523">
        <v>7</v>
      </c>
      <c r="W13" s="523">
        <v>1</v>
      </c>
      <c r="X13" s="10">
        <f t="shared" si="2"/>
        <v>71.75</v>
      </c>
      <c r="Y13" s="523">
        <v>71</v>
      </c>
      <c r="Z13" s="523">
        <v>45</v>
      </c>
      <c r="AA13" s="523" t="s">
        <v>179</v>
      </c>
      <c r="AB13" s="523">
        <v>4</v>
      </c>
      <c r="AC13" s="523">
        <v>4</v>
      </c>
      <c r="AD13" s="523"/>
      <c r="AK13" s="352">
        <f>[1]!bkm(O13,X13,R13)</f>
        <v>75.269956663087257</v>
      </c>
      <c r="AL13" s="352">
        <f t="shared" si="3"/>
        <v>75</v>
      </c>
      <c r="AM13" s="352">
        <f t="shared" si="4"/>
        <v>16.197399785235405</v>
      </c>
    </row>
    <row r="14" spans="1:39">
      <c r="C14" s="526"/>
      <c r="D14" s="526"/>
      <c r="E14" s="526"/>
      <c r="F14" s="526"/>
      <c r="G14" s="526"/>
      <c r="H14" s="526"/>
      <c r="I14" s="526"/>
      <c r="J14" s="526"/>
      <c r="K14" s="526"/>
      <c r="M14" s="526"/>
      <c r="O14" s="797">
        <f t="shared" si="6"/>
        <v>1445.0028169014086</v>
      </c>
      <c r="T14" s="526"/>
      <c r="U14" s="526"/>
      <c r="V14" s="526"/>
      <c r="W14" s="526"/>
      <c r="X14" s="526"/>
      <c r="Y14" s="526"/>
      <c r="Z14" s="526"/>
      <c r="AA14" s="526"/>
      <c r="AB14" s="526"/>
      <c r="AC14" s="526"/>
      <c r="AD14" s="526"/>
    </row>
    <row r="15" spans="1:39">
      <c r="A15" s="520">
        <v>2</v>
      </c>
      <c r="B15" s="327" t="s">
        <v>2382</v>
      </c>
      <c r="C15" s="525">
        <v>9</v>
      </c>
      <c r="D15" s="523">
        <v>1</v>
      </c>
      <c r="E15" s="524" t="s">
        <v>2383</v>
      </c>
      <c r="F15" s="523">
        <v>70</v>
      </c>
      <c r="G15" s="524"/>
      <c r="H15" s="523">
        <v>66</v>
      </c>
      <c r="I15" s="523">
        <v>0</v>
      </c>
      <c r="J15" s="523">
        <v>0</v>
      </c>
      <c r="K15" s="524"/>
      <c r="L15" s="797">
        <f>[1]!tsabetm(C15)</f>
        <v>84.916666666666657</v>
      </c>
      <c r="M15" s="797">
        <f>[1]!tsabetz(C15)</f>
        <v>111.01666666666667</v>
      </c>
      <c r="N15" s="797">
        <f t="shared" si="5"/>
        <v>66.590038314176226</v>
      </c>
      <c r="O15" s="797">
        <f t="shared" si="6"/>
        <v>1445.0028169014086</v>
      </c>
      <c r="P15" s="797">
        <f t="shared" si="9"/>
        <v>56.70449440023333</v>
      </c>
      <c r="Q15" s="797">
        <f t="shared" si="7"/>
        <v>113</v>
      </c>
      <c r="R15" s="797">
        <f t="shared" si="8"/>
        <v>113.94507490667056</v>
      </c>
      <c r="S15" s="797">
        <f>[1]!taqsabet(O15,C15)</f>
        <v>113.94507490667056</v>
      </c>
      <c r="T15" s="524"/>
      <c r="U15" s="523">
        <v>3</v>
      </c>
      <c r="V15" s="523">
        <v>21</v>
      </c>
      <c r="W15" s="523">
        <v>1</v>
      </c>
      <c r="X15" s="524"/>
      <c r="Y15" s="523">
        <v>40</v>
      </c>
      <c r="Z15" s="523">
        <v>15</v>
      </c>
      <c r="AA15" s="523" t="s">
        <v>179</v>
      </c>
      <c r="AB15" s="523">
        <v>4</v>
      </c>
      <c r="AC15" s="523">
        <v>4</v>
      </c>
      <c r="AD15" s="523" t="s">
        <v>2384</v>
      </c>
    </row>
    <row r="16" spans="1:39">
      <c r="C16" s="527">
        <v>10</v>
      </c>
      <c r="D16" s="527">
        <v>2</v>
      </c>
      <c r="E16" s="528" t="s">
        <v>2385</v>
      </c>
      <c r="F16" s="527">
        <v>70</v>
      </c>
      <c r="G16" s="528"/>
      <c r="H16" s="527">
        <v>66</v>
      </c>
      <c r="I16" s="527">
        <v>0</v>
      </c>
      <c r="J16" s="527">
        <v>0</v>
      </c>
      <c r="K16" s="528"/>
      <c r="L16" s="797">
        <f>[1]!tsabetm(C16)</f>
        <v>85.416666666666657</v>
      </c>
      <c r="M16" s="797">
        <f>[1]!tsabetz(C16)</f>
        <v>111.81666666666666</v>
      </c>
      <c r="N16" s="797">
        <f t="shared" si="5"/>
        <v>65.833333333333314</v>
      </c>
      <c r="O16" s="797">
        <f t="shared" si="6"/>
        <v>1445.0028169014086</v>
      </c>
      <c r="P16" s="797">
        <f t="shared" si="9"/>
        <v>46.724086289890749</v>
      </c>
      <c r="Q16" s="797">
        <f t="shared" si="7"/>
        <v>114</v>
      </c>
      <c r="R16" s="797">
        <f t="shared" si="8"/>
        <v>114.77873477149818</v>
      </c>
      <c r="S16" s="797">
        <f>[1]!taqsabet(O16,C16)</f>
        <v>114.77873477149818</v>
      </c>
      <c r="T16" s="528"/>
      <c r="U16" s="527">
        <v>3</v>
      </c>
      <c r="V16" s="527">
        <v>21</v>
      </c>
      <c r="W16" s="527">
        <v>49</v>
      </c>
      <c r="X16" s="528"/>
      <c r="Y16" s="527">
        <v>43</v>
      </c>
      <c r="Z16" s="527">
        <v>48</v>
      </c>
      <c r="AA16" s="527" t="s">
        <v>179</v>
      </c>
      <c r="AB16" s="527">
        <v>5</v>
      </c>
      <c r="AC16" s="527">
        <v>5</v>
      </c>
      <c r="AD16" s="527" t="s">
        <v>2384</v>
      </c>
    </row>
    <row r="17" spans="3:31">
      <c r="C17" s="523">
        <v>11</v>
      </c>
      <c r="D17" s="523">
        <v>3</v>
      </c>
      <c r="E17" s="524" t="s">
        <v>2386</v>
      </c>
      <c r="F17" s="523">
        <v>70</v>
      </c>
      <c r="G17" s="524"/>
      <c r="H17" s="523">
        <v>66</v>
      </c>
      <c r="I17" s="523">
        <v>0</v>
      </c>
      <c r="J17" s="523">
        <v>0</v>
      </c>
      <c r="K17" s="524"/>
      <c r="L17" s="797">
        <f>[1]!tsabetm(C17)</f>
        <v>86.083333333333343</v>
      </c>
      <c r="M17" s="797">
        <f>[1]!tsabetz(C17)</f>
        <v>112.66666666666667</v>
      </c>
      <c r="N17" s="797">
        <f t="shared" si="5"/>
        <v>65.379310344827601</v>
      </c>
      <c r="O17" s="797">
        <f t="shared" si="6"/>
        <v>1445.0028169014086</v>
      </c>
      <c r="P17" s="797">
        <f t="shared" si="9"/>
        <v>38.958281333571279</v>
      </c>
      <c r="Q17" s="797">
        <f t="shared" si="7"/>
        <v>115</v>
      </c>
      <c r="R17" s="797">
        <f t="shared" si="8"/>
        <v>115.64930468889285</v>
      </c>
      <c r="S17" s="797">
        <f>[1]!taqsabet(O17,C17)</f>
        <v>115.64930468889285</v>
      </c>
      <c r="T17" s="524"/>
      <c r="U17" s="523">
        <v>3</v>
      </c>
      <c r="V17" s="523">
        <v>22</v>
      </c>
      <c r="W17" s="523">
        <v>40</v>
      </c>
      <c r="X17" s="524"/>
      <c r="Y17" s="523">
        <v>43</v>
      </c>
      <c r="Z17" s="523">
        <v>45</v>
      </c>
      <c r="AA17" s="523" t="s">
        <v>179</v>
      </c>
      <c r="AB17" s="523">
        <v>5</v>
      </c>
      <c r="AC17" s="523">
        <v>5</v>
      </c>
      <c r="AD17" s="523" t="s">
        <v>2384</v>
      </c>
    </row>
    <row r="18" spans="3:31">
      <c r="C18" s="529">
        <v>12</v>
      </c>
      <c r="D18" s="527">
        <v>4</v>
      </c>
      <c r="E18" s="528" t="s">
        <v>2387</v>
      </c>
      <c r="F18" s="527">
        <v>70</v>
      </c>
      <c r="G18" s="528"/>
      <c r="H18" s="527">
        <v>66</v>
      </c>
      <c r="I18" s="527">
        <v>0</v>
      </c>
      <c r="J18" s="527">
        <v>0</v>
      </c>
      <c r="K18" s="528"/>
      <c r="L18" s="797">
        <f>[1]!tsabetm(C18)</f>
        <v>85.75</v>
      </c>
      <c r="M18" s="797">
        <f>[1]!tsabetz(C18)</f>
        <v>113.81666666666666</v>
      </c>
      <c r="N18" s="797">
        <f t="shared" si="5"/>
        <v>61.923990498812358</v>
      </c>
      <c r="O18" s="797">
        <f t="shared" si="6"/>
        <v>1445.0028169014086</v>
      </c>
      <c r="P18" s="797">
        <f t="shared" si="9"/>
        <v>57.944041232434813</v>
      </c>
      <c r="Q18" s="797">
        <f t="shared" si="7"/>
        <v>116</v>
      </c>
      <c r="R18" s="797">
        <f t="shared" si="8"/>
        <v>116.96573402054058</v>
      </c>
      <c r="S18" s="797">
        <f>[1]!taqsabet(O18,C18)</f>
        <v>116.96573402054058</v>
      </c>
      <c r="T18" s="528"/>
      <c r="U18" s="527">
        <v>3</v>
      </c>
      <c r="V18" s="527">
        <v>23</v>
      </c>
      <c r="W18" s="527">
        <v>49</v>
      </c>
      <c r="X18" s="528"/>
      <c r="Y18" s="527">
        <v>47</v>
      </c>
      <c r="Z18" s="527">
        <v>54</v>
      </c>
      <c r="AA18" s="527" t="s">
        <v>179</v>
      </c>
      <c r="AB18" s="527">
        <v>5</v>
      </c>
      <c r="AC18" s="527">
        <v>5</v>
      </c>
      <c r="AD18" s="527" t="s">
        <v>2384</v>
      </c>
    </row>
    <row r="19" spans="3:31">
      <c r="C19" s="523">
        <v>13</v>
      </c>
      <c r="D19" s="523">
        <v>5</v>
      </c>
      <c r="E19" s="524" t="s">
        <v>2388</v>
      </c>
      <c r="F19" s="523">
        <v>70</v>
      </c>
      <c r="G19" s="524"/>
      <c r="H19" s="523">
        <v>66</v>
      </c>
      <c r="I19" s="523">
        <v>0</v>
      </c>
      <c r="J19" s="523">
        <v>0</v>
      </c>
      <c r="K19" s="524"/>
      <c r="L19" s="797">
        <f>[1]!tsabetm(C19)</f>
        <v>86.25</v>
      </c>
      <c r="M19" s="797">
        <f>[1]!tsabetz(C19)</f>
        <v>112.51666666666667</v>
      </c>
      <c r="N19" s="797">
        <f t="shared" si="5"/>
        <v>66.167512690355338</v>
      </c>
      <c r="O19" s="797">
        <f t="shared" si="6"/>
        <v>1445.0028169014086</v>
      </c>
      <c r="P19" s="797">
        <f t="shared" si="9"/>
        <v>27.826489894487736</v>
      </c>
      <c r="Q19" s="797">
        <f t="shared" si="7"/>
        <v>115</v>
      </c>
      <c r="R19" s="797">
        <f t="shared" si="8"/>
        <v>115.4637748315748</v>
      </c>
      <c r="S19" s="797">
        <f>[1]!taqsabet(O19,C19)</f>
        <v>115.4637748315748</v>
      </c>
      <c r="T19" s="524"/>
      <c r="U19" s="523">
        <v>3</v>
      </c>
      <c r="V19" s="523">
        <v>22</v>
      </c>
      <c r="W19" s="523">
        <v>31</v>
      </c>
      <c r="X19" s="524"/>
      <c r="Y19" s="523">
        <v>47</v>
      </c>
      <c r="Z19" s="523">
        <v>51</v>
      </c>
      <c r="AA19" s="523" t="s">
        <v>179</v>
      </c>
      <c r="AB19" s="523">
        <v>5</v>
      </c>
      <c r="AC19" s="523">
        <v>5</v>
      </c>
      <c r="AD19" s="523" t="s">
        <v>2384</v>
      </c>
    </row>
    <row r="20" spans="3:31">
      <c r="C20" s="527">
        <v>14</v>
      </c>
      <c r="D20" s="527">
        <v>6</v>
      </c>
      <c r="E20" s="528" t="s">
        <v>2389</v>
      </c>
      <c r="F20" s="527">
        <v>70</v>
      </c>
      <c r="G20" s="528"/>
      <c r="H20" s="527">
        <v>66</v>
      </c>
      <c r="I20" s="527">
        <v>0</v>
      </c>
      <c r="J20" s="527">
        <v>0</v>
      </c>
      <c r="K20" s="528"/>
      <c r="L20" s="797">
        <f>[1]!tsabetm(C20)</f>
        <v>87.75</v>
      </c>
      <c r="M20" s="797">
        <f>[1]!tsabetz(C20)</f>
        <v>114.51666666666667</v>
      </c>
      <c r="N20" s="797">
        <f t="shared" si="5"/>
        <v>64.93150684931507</v>
      </c>
      <c r="O20" s="797">
        <f t="shared" si="6"/>
        <v>1445.0028169014086</v>
      </c>
      <c r="P20" s="797">
        <f t="shared" si="9"/>
        <v>31.192476377250955</v>
      </c>
      <c r="Q20" s="797">
        <f t="shared" si="7"/>
        <v>117</v>
      </c>
      <c r="R20" s="797">
        <f t="shared" si="8"/>
        <v>117.51987460628752</v>
      </c>
      <c r="S20" s="797">
        <f>[1]!taqsabet(O20,C20)</f>
        <v>117.51987460628752</v>
      </c>
      <c r="T20" s="528"/>
      <c r="U20" s="527">
        <v>3</v>
      </c>
      <c r="V20" s="527">
        <v>24</v>
      </c>
      <c r="W20" s="527">
        <v>31</v>
      </c>
      <c r="X20" s="528"/>
      <c r="Y20" s="527">
        <v>51</v>
      </c>
      <c r="Z20" s="527">
        <v>18</v>
      </c>
      <c r="AA20" s="527" t="s">
        <v>179</v>
      </c>
      <c r="AB20" s="527">
        <v>5</v>
      </c>
      <c r="AC20" s="527">
        <v>5</v>
      </c>
      <c r="AD20" s="527" t="s">
        <v>2384</v>
      </c>
    </row>
    <row r="21" spans="3:31">
      <c r="C21" s="525">
        <v>15</v>
      </c>
      <c r="D21" s="523">
        <v>7</v>
      </c>
      <c r="E21" s="524" t="s">
        <v>2390</v>
      </c>
      <c r="F21" s="523">
        <v>70</v>
      </c>
      <c r="G21" s="524"/>
      <c r="H21" s="523">
        <v>66</v>
      </c>
      <c r="I21" s="523">
        <v>0</v>
      </c>
      <c r="J21" s="523">
        <v>0</v>
      </c>
      <c r="K21" s="524"/>
      <c r="L21" s="797">
        <f>[1]!tsabetm(C21)</f>
        <v>90.083333333333343</v>
      </c>
      <c r="M21" s="797">
        <f>[1]!tsabetz(C21)</f>
        <v>115.81666666666666</v>
      </c>
      <c r="N21" s="797">
        <f t="shared" si="5"/>
        <v>67.538860103626973</v>
      </c>
      <c r="O21" s="797">
        <f t="shared" si="6"/>
        <v>1445.0028169014086</v>
      </c>
      <c r="P21" s="797">
        <f t="shared" si="9"/>
        <v>42.236104312873977</v>
      </c>
      <c r="Q21" s="797">
        <f t="shared" si="7"/>
        <v>118</v>
      </c>
      <c r="R21" s="797">
        <f t="shared" si="8"/>
        <v>118.70393507188123</v>
      </c>
      <c r="S21" s="797">
        <f>[1]!taqsabet(O21,C21)</f>
        <v>118.70393507188123</v>
      </c>
      <c r="T21" s="524"/>
      <c r="U21" s="523">
        <v>3</v>
      </c>
      <c r="V21" s="523">
        <v>25</v>
      </c>
      <c r="W21" s="523">
        <v>49</v>
      </c>
      <c r="X21" s="524"/>
      <c r="Y21" s="523">
        <v>44</v>
      </c>
      <c r="Z21" s="523">
        <v>42</v>
      </c>
      <c r="AA21" s="523" t="s">
        <v>179</v>
      </c>
      <c r="AB21" s="523">
        <v>4</v>
      </c>
      <c r="AC21" s="523">
        <v>4</v>
      </c>
      <c r="AD21" s="523" t="s">
        <v>2384</v>
      </c>
    </row>
    <row r="22" spans="3:31">
      <c r="C22" s="527">
        <v>16</v>
      </c>
      <c r="D22" s="527">
        <v>8</v>
      </c>
      <c r="E22" s="528" t="s">
        <v>2391</v>
      </c>
      <c r="F22" s="527">
        <v>70</v>
      </c>
      <c r="G22" s="528"/>
      <c r="H22" s="527">
        <v>66</v>
      </c>
      <c r="I22" s="527">
        <v>0</v>
      </c>
      <c r="J22" s="527">
        <v>0</v>
      </c>
      <c r="K22" s="528"/>
      <c r="L22" s="797">
        <f>[1]!tsabetm(C22)</f>
        <v>92.083333333333343</v>
      </c>
      <c r="M22" s="797">
        <f>[1]!tsabetz(C22)</f>
        <v>118.25</v>
      </c>
      <c r="N22" s="797">
        <f t="shared" si="5"/>
        <v>66.420382165605119</v>
      </c>
      <c r="O22" s="797">
        <f t="shared" si="6"/>
        <v>1445.0028169014086</v>
      </c>
      <c r="P22" s="797">
        <f t="shared" si="9"/>
        <v>11.153292597934978</v>
      </c>
      <c r="Q22" s="797">
        <f t="shared" si="7"/>
        <v>121</v>
      </c>
      <c r="R22" s="797">
        <f t="shared" si="8"/>
        <v>121.18588820996558</v>
      </c>
      <c r="S22" s="797">
        <f>[1]!taqsabet(O22,C22)</f>
        <v>121.18588820996558</v>
      </c>
      <c r="T22" s="528"/>
      <c r="U22" s="527">
        <v>3</v>
      </c>
      <c r="V22" s="527">
        <v>28</v>
      </c>
      <c r="W22" s="527">
        <v>15</v>
      </c>
      <c r="X22" s="528"/>
      <c r="Y22" s="527">
        <v>44</v>
      </c>
      <c r="Z22" s="527">
        <v>54</v>
      </c>
      <c r="AA22" s="527" t="s">
        <v>179</v>
      </c>
      <c r="AB22" s="527">
        <v>4</v>
      </c>
      <c r="AC22" s="527">
        <v>4</v>
      </c>
      <c r="AD22" s="527" t="s">
        <v>2384</v>
      </c>
    </row>
    <row r="23" spans="3:31">
      <c r="C23" s="523">
        <v>17</v>
      </c>
      <c r="D23" s="523">
        <v>9</v>
      </c>
      <c r="E23" s="524" t="s">
        <v>2392</v>
      </c>
      <c r="F23" s="523">
        <v>70</v>
      </c>
      <c r="G23" s="524"/>
      <c r="H23" s="523">
        <v>66</v>
      </c>
      <c r="I23" s="523">
        <v>0</v>
      </c>
      <c r="J23" s="523">
        <v>0</v>
      </c>
      <c r="K23" s="524"/>
      <c r="L23" s="797">
        <f>[1]!tsabetm(C23)</f>
        <v>98.583333333333343</v>
      </c>
      <c r="M23" s="797">
        <f>[1]!tsabetz(C23)</f>
        <v>127.41666666666667</v>
      </c>
      <c r="N23" s="797">
        <f t="shared" si="5"/>
        <v>60.277456647398857</v>
      </c>
      <c r="O23" s="797">
        <f t="shared" si="6"/>
        <v>1445.0028169014086</v>
      </c>
      <c r="P23" s="797">
        <f t="shared" si="9"/>
        <v>39.105220506004912</v>
      </c>
      <c r="Q23" s="797">
        <f t="shared" si="7"/>
        <v>130</v>
      </c>
      <c r="R23" s="797">
        <f t="shared" si="8"/>
        <v>130.65175367510008</v>
      </c>
      <c r="S23" s="797">
        <f>[1]!taqsabet(O23,C23)</f>
        <v>130.65175367510008</v>
      </c>
      <c r="T23" s="524"/>
      <c r="U23" s="523">
        <v>4</v>
      </c>
      <c r="V23" s="523">
        <v>7</v>
      </c>
      <c r="W23" s="523">
        <v>25</v>
      </c>
      <c r="X23" s="524"/>
      <c r="Y23" s="523">
        <v>38</v>
      </c>
      <c r="Z23" s="523">
        <v>0</v>
      </c>
      <c r="AA23" s="523" t="s">
        <v>179</v>
      </c>
      <c r="AB23" s="523">
        <v>4</v>
      </c>
      <c r="AC23" s="523">
        <v>4</v>
      </c>
      <c r="AD23" s="523" t="s">
        <v>2384</v>
      </c>
      <c r="AE23" s="530">
        <v>568</v>
      </c>
    </row>
    <row r="24" spans="3:31">
      <c r="C24" s="529">
        <v>18</v>
      </c>
      <c r="D24" s="527">
        <v>10</v>
      </c>
      <c r="E24" s="528" t="s">
        <v>2393</v>
      </c>
      <c r="F24" s="527">
        <v>70</v>
      </c>
      <c r="G24" s="528"/>
      <c r="H24" s="527">
        <v>66</v>
      </c>
      <c r="I24" s="527">
        <v>0</v>
      </c>
      <c r="J24" s="527">
        <v>0</v>
      </c>
      <c r="K24" s="528"/>
      <c r="L24" s="797">
        <f>[1]!tsabetm(C24)</f>
        <v>100.58333333333334</v>
      </c>
      <c r="M24" s="797">
        <f>[1]!tsabetz(C24)</f>
        <v>124.61666666666666</v>
      </c>
      <c r="N24" s="797">
        <f t="shared" si="5"/>
        <v>72.316227461858574</v>
      </c>
      <c r="O24" s="797">
        <f t="shared" si="6"/>
        <v>1445.0028169014086</v>
      </c>
      <c r="P24" s="797">
        <f t="shared" si="9"/>
        <v>18.79175027147852</v>
      </c>
      <c r="Q24" s="797">
        <f t="shared" si="7"/>
        <v>127</v>
      </c>
      <c r="R24" s="797">
        <f t="shared" si="8"/>
        <v>127.31319583785798</v>
      </c>
      <c r="S24" s="797">
        <f>[1]!taqsabet(O24,C24)</f>
        <v>127.31319583785798</v>
      </c>
      <c r="T24" s="528"/>
      <c r="U24" s="527">
        <v>4</v>
      </c>
      <c r="V24" s="527">
        <v>4</v>
      </c>
      <c r="W24" s="527">
        <v>37</v>
      </c>
      <c r="X24" s="528"/>
      <c r="Y24" s="527">
        <v>42</v>
      </c>
      <c r="Z24" s="527">
        <v>39</v>
      </c>
      <c r="AA24" s="527" t="s">
        <v>179</v>
      </c>
      <c r="AB24" s="527">
        <v>4</v>
      </c>
      <c r="AC24" s="527">
        <v>4</v>
      </c>
      <c r="AD24" s="527" t="s">
        <v>2384</v>
      </c>
    </row>
    <row r="25" spans="3:31">
      <c r="C25" s="523">
        <v>19</v>
      </c>
      <c r="D25" s="523">
        <v>11</v>
      </c>
      <c r="E25" s="524" t="s">
        <v>2394</v>
      </c>
      <c r="F25" s="523">
        <v>70</v>
      </c>
      <c r="G25" s="524"/>
      <c r="H25" s="523">
        <v>66</v>
      </c>
      <c r="I25" s="523">
        <v>0</v>
      </c>
      <c r="J25" s="523">
        <v>0</v>
      </c>
      <c r="K25" s="524"/>
      <c r="L25" s="797">
        <f>[1]!tsabetm(C25)</f>
        <v>100.25</v>
      </c>
      <c r="M25" s="797">
        <f>[1]!tsabetz(C25)</f>
        <v>125.46666666666667</v>
      </c>
      <c r="N25" s="797">
        <f t="shared" si="5"/>
        <v>68.922670191672168</v>
      </c>
      <c r="O25" s="797">
        <f t="shared" si="6"/>
        <v>1445.0028169014086</v>
      </c>
      <c r="P25" s="797">
        <f t="shared" si="9"/>
        <v>17.757918280684635</v>
      </c>
      <c r="Q25" s="797">
        <f t="shared" si="7"/>
        <v>128</v>
      </c>
      <c r="R25" s="797">
        <f t="shared" si="8"/>
        <v>128.29596530467808</v>
      </c>
      <c r="S25" s="797">
        <f>[1]!taqsabet(O25,C25)</f>
        <v>128.29596530467808</v>
      </c>
      <c r="T25" s="524"/>
      <c r="U25" s="523">
        <v>4</v>
      </c>
      <c r="V25" s="523">
        <v>5</v>
      </c>
      <c r="W25" s="523">
        <v>28</v>
      </c>
      <c r="X25" s="524"/>
      <c r="Y25" s="523">
        <v>34</v>
      </c>
      <c r="Z25" s="523">
        <v>45</v>
      </c>
      <c r="AA25" s="523" t="s">
        <v>179</v>
      </c>
      <c r="AB25" s="523">
        <v>3</v>
      </c>
      <c r="AC25" s="523">
        <v>3</v>
      </c>
      <c r="AD25" s="523" t="s">
        <v>2384</v>
      </c>
    </row>
    <row r="26" spans="3:31">
      <c r="C26" s="527">
        <v>20</v>
      </c>
      <c r="D26" s="527">
        <v>12</v>
      </c>
      <c r="E26" s="528" t="s">
        <v>2395</v>
      </c>
      <c r="F26" s="527">
        <v>70</v>
      </c>
      <c r="G26" s="528"/>
      <c r="H26" s="527">
        <v>66</v>
      </c>
      <c r="I26" s="527">
        <v>0</v>
      </c>
      <c r="J26" s="527">
        <v>0</v>
      </c>
      <c r="K26" s="528"/>
      <c r="L26" s="797">
        <f>[1]!tsabetm(C26)</f>
        <v>95.083333333333343</v>
      </c>
      <c r="M26" s="797">
        <f>[1]!tsabetz(C26)</f>
        <v>121.01666666666667</v>
      </c>
      <c r="N26" s="797">
        <f t="shared" si="5"/>
        <v>67.017994858611857</v>
      </c>
      <c r="O26" s="797">
        <f t="shared" si="6"/>
        <v>1445.0028169014086</v>
      </c>
      <c r="P26" s="797">
        <f t="shared" si="9"/>
        <v>55.582498905978923</v>
      </c>
      <c r="Q26" s="797">
        <f t="shared" si="7"/>
        <v>123</v>
      </c>
      <c r="R26" s="797">
        <f t="shared" si="8"/>
        <v>123.92637498176632</v>
      </c>
      <c r="S26" s="797">
        <f>[1]!taqsabet(O26,C26)</f>
        <v>123.92637498176632</v>
      </c>
      <c r="T26" s="528"/>
      <c r="U26" s="527">
        <v>4</v>
      </c>
      <c r="V26" s="527">
        <v>1</v>
      </c>
      <c r="W26" s="527">
        <v>1</v>
      </c>
      <c r="X26" s="528"/>
      <c r="Y26" s="527">
        <v>29</v>
      </c>
      <c r="Z26" s="527">
        <v>21</v>
      </c>
      <c r="AA26" s="527" t="s">
        <v>179</v>
      </c>
      <c r="AB26" s="527">
        <v>3</v>
      </c>
      <c r="AC26" s="527">
        <v>3</v>
      </c>
      <c r="AD26" s="527" t="s">
        <v>2384</v>
      </c>
    </row>
    <row r="27" spans="3:31">
      <c r="C27" s="531">
        <v>21</v>
      </c>
      <c r="D27" s="523">
        <v>13</v>
      </c>
      <c r="E27" s="524" t="s">
        <v>2396</v>
      </c>
      <c r="F27" s="523">
        <v>70</v>
      </c>
      <c r="G27" s="524"/>
      <c r="H27" s="523">
        <v>66</v>
      </c>
      <c r="I27" s="523">
        <v>0</v>
      </c>
      <c r="J27" s="523">
        <v>0</v>
      </c>
      <c r="K27" s="524"/>
      <c r="L27" s="797">
        <f>[1]!tsabetm(C27)</f>
        <v>95.916666666666657</v>
      </c>
      <c r="M27" s="797">
        <f>[1]!tsabetz(C27)</f>
        <v>121.81666666666666</v>
      </c>
      <c r="N27" s="797">
        <f t="shared" si="5"/>
        <v>67.104247104247094</v>
      </c>
      <c r="O27" s="797">
        <f t="shared" si="6"/>
        <v>1445.0028169014086</v>
      </c>
      <c r="P27" s="797">
        <f t="shared" si="9"/>
        <v>43.358099807128383</v>
      </c>
      <c r="Q27" s="797">
        <f t="shared" si="7"/>
        <v>124</v>
      </c>
      <c r="R27" s="797">
        <f t="shared" si="8"/>
        <v>124.72263499678547</v>
      </c>
      <c r="S27" s="797">
        <f>[1]!taqsabet(O27,C27)</f>
        <v>124.72263499678547</v>
      </c>
      <c r="T27" s="524"/>
      <c r="U27" s="523">
        <v>4</v>
      </c>
      <c r="V27" s="523">
        <v>1</v>
      </c>
      <c r="W27" s="523">
        <v>49</v>
      </c>
      <c r="X27" s="524"/>
      <c r="Y27" s="523">
        <v>29</v>
      </c>
      <c r="Z27" s="523">
        <v>0</v>
      </c>
      <c r="AA27" s="523" t="s">
        <v>179</v>
      </c>
      <c r="AB27" s="523">
        <v>3</v>
      </c>
      <c r="AC27" s="523">
        <v>3</v>
      </c>
      <c r="AD27" s="523" t="s">
        <v>2384</v>
      </c>
    </row>
    <row r="28" spans="3:31">
      <c r="C28" s="527">
        <v>22</v>
      </c>
      <c r="D28" s="527">
        <v>14</v>
      </c>
      <c r="E28" s="528" t="s">
        <v>2397</v>
      </c>
      <c r="F28" s="527">
        <v>70</v>
      </c>
      <c r="G28" s="528"/>
      <c r="H28" s="527">
        <v>66</v>
      </c>
      <c r="I28" s="527">
        <v>0</v>
      </c>
      <c r="J28" s="527">
        <v>0</v>
      </c>
      <c r="K28" s="528"/>
      <c r="L28" s="797">
        <f>[1]!tsabetm(C28)</f>
        <v>95.25</v>
      </c>
      <c r="M28" s="797">
        <f>[1]!tsabetz(C28)</f>
        <v>121.36666666666666</v>
      </c>
      <c r="N28" s="797">
        <f t="shared" si="5"/>
        <v>66.547543075941306</v>
      </c>
      <c r="O28" s="797">
        <f t="shared" si="6"/>
        <v>1445.0028169014086</v>
      </c>
      <c r="P28" s="797">
        <f t="shared" si="9"/>
        <v>17.8166939496586</v>
      </c>
      <c r="Q28" s="797">
        <f t="shared" si="7"/>
        <v>124</v>
      </c>
      <c r="R28" s="797">
        <f t="shared" si="8"/>
        <v>124.29694489916098</v>
      </c>
      <c r="S28" s="797">
        <f>[1]!taqsabet(O28,C28)</f>
        <v>124.29694489916098</v>
      </c>
      <c r="T28" s="528"/>
      <c r="U28" s="527">
        <v>4</v>
      </c>
      <c r="V28" s="527">
        <v>1</v>
      </c>
      <c r="W28" s="527">
        <v>22</v>
      </c>
      <c r="X28" s="528"/>
      <c r="Y28" s="527">
        <v>36</v>
      </c>
      <c r="Z28" s="527">
        <v>0</v>
      </c>
      <c r="AA28" s="527" t="s">
        <v>179</v>
      </c>
      <c r="AB28" s="527">
        <v>5</v>
      </c>
      <c r="AC28" s="527">
        <v>4</v>
      </c>
      <c r="AD28" s="527" t="s">
        <v>2384</v>
      </c>
    </row>
    <row r="29" spans="3:31">
      <c r="C29" s="523">
        <v>23</v>
      </c>
      <c r="D29" s="523">
        <v>15</v>
      </c>
      <c r="E29" s="524" t="s">
        <v>2398</v>
      </c>
      <c r="F29" s="523">
        <v>70</v>
      </c>
      <c r="G29" s="524"/>
      <c r="H29" s="523">
        <v>66</v>
      </c>
      <c r="I29" s="523">
        <v>0</v>
      </c>
      <c r="J29" s="523">
        <v>0</v>
      </c>
      <c r="K29" s="524"/>
      <c r="L29" s="797">
        <f>[1]!tsabetm(C29)</f>
        <v>95.416666666666657</v>
      </c>
      <c r="M29" s="797">
        <f>[1]!tsabetz(C29)</f>
        <v>121.51666666666667</v>
      </c>
      <c r="N29" s="797">
        <f t="shared" si="5"/>
        <v>66.590038314176226</v>
      </c>
      <c r="O29" s="797">
        <f t="shared" si="6"/>
        <v>1445.0028169014086</v>
      </c>
      <c r="P29" s="797">
        <f t="shared" si="9"/>
        <v>26.70449440023333</v>
      </c>
      <c r="Q29" s="797">
        <f t="shared" si="7"/>
        <v>124</v>
      </c>
      <c r="R29" s="797">
        <f t="shared" si="8"/>
        <v>124.44507490667056</v>
      </c>
      <c r="S29" s="797">
        <f>[1]!taqsabet(O29,C29)</f>
        <v>124.44507490667056</v>
      </c>
      <c r="T29" s="524"/>
      <c r="U29" s="523">
        <v>4</v>
      </c>
      <c r="V29" s="523">
        <v>1</v>
      </c>
      <c r="W29" s="523">
        <v>31</v>
      </c>
      <c r="X29" s="524"/>
      <c r="Y29" s="523">
        <v>33</v>
      </c>
      <c r="Z29" s="523">
        <v>21</v>
      </c>
      <c r="AA29" s="523" t="s">
        <v>179</v>
      </c>
      <c r="AB29" s="523">
        <v>5</v>
      </c>
      <c r="AC29" s="523">
        <v>4</v>
      </c>
      <c r="AD29" s="523" t="s">
        <v>2384</v>
      </c>
    </row>
    <row r="30" spans="3:31">
      <c r="C30" s="529">
        <v>24</v>
      </c>
      <c r="D30" s="527">
        <v>16</v>
      </c>
      <c r="E30" s="528" t="s">
        <v>2399</v>
      </c>
      <c r="F30" s="527">
        <v>70</v>
      </c>
      <c r="G30" s="528"/>
      <c r="H30" s="527">
        <v>66</v>
      </c>
      <c r="I30" s="527">
        <v>0</v>
      </c>
      <c r="J30" s="527">
        <v>0</v>
      </c>
      <c r="K30" s="528"/>
      <c r="L30" s="797">
        <f>[1]!tsabetm(C30)</f>
        <v>107.25</v>
      </c>
      <c r="M30" s="797">
        <f>[1]!tsabetz(C30)</f>
        <v>133.51666666666668</v>
      </c>
      <c r="N30" s="797">
        <f t="shared" si="5"/>
        <v>66.167512690355295</v>
      </c>
      <c r="O30" s="797">
        <f t="shared" si="6"/>
        <v>1445.0028169014086</v>
      </c>
      <c r="P30" s="797">
        <f t="shared" si="9"/>
        <v>27.826489894489441</v>
      </c>
      <c r="Q30" s="797">
        <f t="shared" si="7"/>
        <v>136</v>
      </c>
      <c r="R30" s="797">
        <f t="shared" si="8"/>
        <v>136.46377483157482</v>
      </c>
      <c r="S30" s="797">
        <f>[1]!taqsabet(O30,C30)</f>
        <v>136.46377483157482</v>
      </c>
      <c r="T30" s="528"/>
      <c r="U30" s="527">
        <v>4</v>
      </c>
      <c r="V30" s="527">
        <v>13</v>
      </c>
      <c r="W30" s="527">
        <v>31</v>
      </c>
      <c r="X30" s="528"/>
      <c r="Y30" s="527">
        <v>49</v>
      </c>
      <c r="Z30" s="527">
        <v>24</v>
      </c>
      <c r="AA30" s="527" t="s">
        <v>179</v>
      </c>
      <c r="AB30" s="527">
        <v>2</v>
      </c>
      <c r="AC30" s="527">
        <v>2</v>
      </c>
      <c r="AD30" s="527" t="s">
        <v>2384</v>
      </c>
    </row>
    <row r="31" spans="3:31">
      <c r="C31" s="523">
        <v>25</v>
      </c>
      <c r="D31" s="525">
        <v>17</v>
      </c>
      <c r="E31" s="524" t="s">
        <v>2400</v>
      </c>
      <c r="F31" s="523">
        <v>70</v>
      </c>
      <c r="G31" s="524"/>
      <c r="H31" s="523">
        <v>66</v>
      </c>
      <c r="I31" s="523">
        <v>0</v>
      </c>
      <c r="J31" s="523">
        <v>0</v>
      </c>
      <c r="K31" s="524"/>
      <c r="L31" s="797">
        <f>[1]!tsabetm(C31)</f>
        <v>111.75</v>
      </c>
      <c r="M31" s="797">
        <f>[1]!tsabetz(C31)</f>
        <v>137.71666666666667</v>
      </c>
      <c r="N31" s="797">
        <f t="shared" si="5"/>
        <v>66.93196405648267</v>
      </c>
      <c r="O31" s="797">
        <f t="shared" si="6"/>
        <v>1445.0028169014086</v>
      </c>
      <c r="P31" s="797">
        <f t="shared" si="9"/>
        <v>37.806898004829463</v>
      </c>
      <c r="Q31" s="797">
        <f t="shared" si="7"/>
        <v>140</v>
      </c>
      <c r="R31" s="797">
        <f t="shared" si="8"/>
        <v>140.63011496674716</v>
      </c>
      <c r="S31" s="797">
        <f>[1]!taqsabet(O31,C31)</f>
        <v>140.63011496674716</v>
      </c>
      <c r="T31" s="524"/>
      <c r="U31" s="523">
        <v>4</v>
      </c>
      <c r="V31" s="523">
        <v>17</v>
      </c>
      <c r="W31" s="523">
        <v>43</v>
      </c>
      <c r="X31" s="524"/>
      <c r="Y31" s="523">
        <v>45</v>
      </c>
      <c r="Z31" s="523">
        <v>9</v>
      </c>
      <c r="AA31" s="523" t="s">
        <v>179</v>
      </c>
      <c r="AB31" s="523">
        <v>3</v>
      </c>
      <c r="AC31" s="523">
        <v>2</v>
      </c>
      <c r="AD31" s="523" t="s">
        <v>2384</v>
      </c>
    </row>
    <row r="32" spans="3:31">
      <c r="C32" s="527">
        <v>26</v>
      </c>
      <c r="D32" s="529">
        <v>18</v>
      </c>
      <c r="E32" s="528" t="s">
        <v>2401</v>
      </c>
      <c r="F32" s="527">
        <v>70</v>
      </c>
      <c r="G32" s="528"/>
      <c r="H32" s="527">
        <v>66</v>
      </c>
      <c r="I32" s="527">
        <v>0</v>
      </c>
      <c r="J32" s="527">
        <v>0</v>
      </c>
      <c r="K32" s="528"/>
      <c r="L32" s="797">
        <f>[1]!tsabetm(C32)</f>
        <v>122.75</v>
      </c>
      <c r="M32" s="797">
        <f>[1]!tsabetz(C32)</f>
        <v>149.51666666666668</v>
      </c>
      <c r="N32" s="797">
        <f t="shared" si="5"/>
        <v>64.931506849315042</v>
      </c>
      <c r="O32" s="797">
        <f t="shared" si="6"/>
        <v>1445.0028169014086</v>
      </c>
      <c r="P32" s="797">
        <f t="shared" si="9"/>
        <v>31.19247637725266</v>
      </c>
      <c r="Q32" s="797">
        <f t="shared" si="7"/>
        <v>152</v>
      </c>
      <c r="R32" s="797">
        <f t="shared" si="8"/>
        <v>152.51987460628754</v>
      </c>
      <c r="S32" s="797">
        <f>[1]!taqsabet(O32,C32)</f>
        <v>152.51987460628754</v>
      </c>
      <c r="T32" s="528"/>
      <c r="U32" s="527">
        <v>4</v>
      </c>
      <c r="V32" s="527">
        <v>29</v>
      </c>
      <c r="W32" s="527">
        <v>31</v>
      </c>
      <c r="X32" s="528"/>
      <c r="Y32" s="527">
        <v>51</v>
      </c>
      <c r="Z32" s="527">
        <v>30</v>
      </c>
      <c r="AA32" s="527" t="s">
        <v>179</v>
      </c>
      <c r="AB32" s="527">
        <v>3</v>
      </c>
      <c r="AC32" s="527">
        <v>3</v>
      </c>
      <c r="AD32" s="527" t="s">
        <v>2384</v>
      </c>
    </row>
    <row r="33" spans="2:31">
      <c r="C33" s="525">
        <v>27</v>
      </c>
      <c r="D33" s="525">
        <v>19</v>
      </c>
      <c r="E33" s="524" t="s">
        <v>2402</v>
      </c>
      <c r="F33" s="523">
        <v>70</v>
      </c>
      <c r="G33" s="524"/>
      <c r="H33" s="523">
        <v>66</v>
      </c>
      <c r="I33" s="523">
        <v>0</v>
      </c>
      <c r="J33" s="523">
        <v>0</v>
      </c>
      <c r="K33" s="524"/>
      <c r="L33" s="797">
        <f>[1]!tsabetm(C33)</f>
        <v>122.58333333333331</v>
      </c>
      <c r="M33" s="797">
        <f>[1]!tsabetz(C33)</f>
        <v>148.61666666666667</v>
      </c>
      <c r="N33" s="797">
        <f t="shared" si="5"/>
        <v>66.760563380281624</v>
      </c>
      <c r="O33" s="797">
        <f t="shared" si="6"/>
        <v>1445.0028169014086</v>
      </c>
      <c r="P33" s="797">
        <f t="shared" si="9"/>
        <v>32.255696202532249</v>
      </c>
      <c r="Q33" s="797">
        <f t="shared" si="7"/>
        <v>151</v>
      </c>
      <c r="R33" s="797">
        <f t="shared" si="8"/>
        <v>151.53759493670887</v>
      </c>
      <c r="S33" s="797">
        <f>[1]!taqsabet(O33,C33)</f>
        <v>151.53759493670887</v>
      </c>
      <c r="T33" s="524"/>
      <c r="U33" s="523">
        <v>4</v>
      </c>
      <c r="V33" s="523">
        <v>28</v>
      </c>
      <c r="W33" s="523">
        <v>37</v>
      </c>
      <c r="X33" s="524"/>
      <c r="Y33" s="523">
        <v>47</v>
      </c>
      <c r="Z33" s="523">
        <v>15</v>
      </c>
      <c r="AA33" s="523" t="s">
        <v>179</v>
      </c>
      <c r="AB33" s="523">
        <v>3</v>
      </c>
      <c r="AC33" s="523">
        <v>3</v>
      </c>
      <c r="AD33" s="523" t="s">
        <v>2384</v>
      </c>
    </row>
    <row r="34" spans="2:31">
      <c r="C34" s="527">
        <v>28</v>
      </c>
      <c r="D34" s="529">
        <v>20</v>
      </c>
      <c r="E34" s="528" t="s">
        <v>2403</v>
      </c>
      <c r="F34" s="527">
        <v>70</v>
      </c>
      <c r="G34" s="528"/>
      <c r="H34" s="527">
        <v>66</v>
      </c>
      <c r="I34" s="527">
        <v>0</v>
      </c>
      <c r="J34" s="527">
        <v>0</v>
      </c>
      <c r="K34" s="528"/>
      <c r="L34" s="797">
        <f>[1]!tsabetm(C34)</f>
        <v>112.25</v>
      </c>
      <c r="M34" s="797">
        <f>[1]!tsabetz(C34)</f>
        <v>137.26666666666668</v>
      </c>
      <c r="N34" s="797">
        <f t="shared" si="5"/>
        <v>69.473684210526272</v>
      </c>
      <c r="O34" s="797">
        <f t="shared" si="6"/>
        <v>1445.0028169014086</v>
      </c>
      <c r="P34" s="797">
        <f t="shared" si="9"/>
        <v>4.4115236875813935</v>
      </c>
      <c r="Q34" s="797">
        <f t="shared" si="7"/>
        <v>140</v>
      </c>
      <c r="R34" s="797">
        <f t="shared" si="8"/>
        <v>140.07352539479302</v>
      </c>
      <c r="S34" s="797">
        <f>[1]!taqsabet(O34,C34)</f>
        <v>140.07352539479302</v>
      </c>
      <c r="T34" s="528"/>
      <c r="U34" s="527">
        <v>4</v>
      </c>
      <c r="V34" s="532">
        <v>17</v>
      </c>
      <c r="W34" s="527">
        <v>16</v>
      </c>
      <c r="X34" s="528"/>
      <c r="Y34" s="527">
        <v>29</v>
      </c>
      <c r="Z34" s="527">
        <v>45</v>
      </c>
      <c r="AA34" s="527" t="s">
        <v>179</v>
      </c>
      <c r="AB34" s="527">
        <v>3</v>
      </c>
      <c r="AC34" s="527">
        <v>2</v>
      </c>
      <c r="AD34" s="527" t="s">
        <v>2384</v>
      </c>
    </row>
    <row r="35" spans="2:31">
      <c r="C35" s="523">
        <v>29</v>
      </c>
      <c r="D35" s="525">
        <v>21</v>
      </c>
      <c r="E35" s="524" t="s">
        <v>2404</v>
      </c>
      <c r="F35" s="523">
        <v>70</v>
      </c>
      <c r="G35" s="524"/>
      <c r="H35" s="523">
        <v>66</v>
      </c>
      <c r="I35" s="523">
        <v>0</v>
      </c>
      <c r="J35" s="523">
        <v>0</v>
      </c>
      <c r="K35" s="524"/>
      <c r="L35" s="797">
        <f>[1]!tsabetm(C35)</f>
        <v>113.75</v>
      </c>
      <c r="M35" s="797">
        <f>[1]!tsabetz(C35)</f>
        <v>139.21666666666667</v>
      </c>
      <c r="N35" s="797">
        <f t="shared" si="5"/>
        <v>68.246073298429309</v>
      </c>
      <c r="O35" s="797">
        <f t="shared" si="6"/>
        <v>1445.0028169014086</v>
      </c>
      <c r="P35" s="797">
        <f t="shared" si="9"/>
        <v>4.4409115220662443</v>
      </c>
      <c r="Q35" s="797">
        <f t="shared" si="7"/>
        <v>142</v>
      </c>
      <c r="R35" s="797">
        <f t="shared" si="8"/>
        <v>142.07401519203444</v>
      </c>
      <c r="S35" s="797">
        <f>[1]!taqsabet(O35,C35)</f>
        <v>142.07401519203444</v>
      </c>
      <c r="T35" s="524"/>
      <c r="U35" s="523">
        <v>4</v>
      </c>
      <c r="V35" s="523">
        <v>19</v>
      </c>
      <c r="W35" s="523">
        <v>13</v>
      </c>
      <c r="X35" s="524"/>
      <c r="Y35" s="523">
        <v>28</v>
      </c>
      <c r="Z35" s="523">
        <v>42</v>
      </c>
      <c r="AA35" s="523" t="s">
        <v>179</v>
      </c>
      <c r="AB35" s="523">
        <v>3</v>
      </c>
      <c r="AC35" s="523">
        <v>3</v>
      </c>
      <c r="AD35" s="523" t="s">
        <v>2384</v>
      </c>
    </row>
    <row r="36" spans="2:31">
      <c r="C36" s="529">
        <v>30</v>
      </c>
      <c r="D36" s="529">
        <v>22</v>
      </c>
      <c r="E36" s="528" t="s">
        <v>2405</v>
      </c>
      <c r="F36" s="527">
        <v>70</v>
      </c>
      <c r="G36" s="528"/>
      <c r="H36" s="527">
        <v>66</v>
      </c>
      <c r="I36" s="527">
        <v>0</v>
      </c>
      <c r="J36" s="527">
        <v>0</v>
      </c>
      <c r="K36" s="528"/>
      <c r="L36" s="797">
        <f>[1]!tsabetm(C36)</f>
        <v>121.25</v>
      </c>
      <c r="M36" s="797">
        <f>[1]!tsabetz(C36)</f>
        <v>146.86666666666667</v>
      </c>
      <c r="N36" s="797">
        <f t="shared" si="5"/>
        <v>67.846454131424835</v>
      </c>
      <c r="O36" s="797">
        <f t="shared" si="6"/>
        <v>1445.0028169014086</v>
      </c>
      <c r="P36" s="797">
        <f t="shared" si="9"/>
        <v>44.450707466896233</v>
      </c>
      <c r="Q36" s="797">
        <f t="shared" si="7"/>
        <v>149</v>
      </c>
      <c r="R36" s="797">
        <f t="shared" si="8"/>
        <v>149.74084512444827</v>
      </c>
      <c r="S36" s="797">
        <f>[1]!taqsabet(O36,C36)</f>
        <v>149.74084512444827</v>
      </c>
      <c r="T36" s="528"/>
      <c r="U36" s="527">
        <v>4</v>
      </c>
      <c r="V36" s="527">
        <v>26</v>
      </c>
      <c r="W36" s="527">
        <v>52</v>
      </c>
      <c r="X36" s="528"/>
      <c r="Y36" s="527">
        <v>35</v>
      </c>
      <c r="Z36" s="527">
        <v>15</v>
      </c>
      <c r="AA36" s="527" t="s">
        <v>179</v>
      </c>
      <c r="AB36" s="527">
        <v>3</v>
      </c>
      <c r="AC36" s="527">
        <v>4</v>
      </c>
      <c r="AD36" s="527" t="s">
        <v>2384</v>
      </c>
    </row>
    <row r="37" spans="2:31">
      <c r="C37" s="523">
        <v>31</v>
      </c>
      <c r="D37" s="525">
        <v>23</v>
      </c>
      <c r="E37" s="524" t="s">
        <v>2406</v>
      </c>
      <c r="F37" s="523">
        <v>70</v>
      </c>
      <c r="G37" s="524"/>
      <c r="H37" s="523">
        <v>66</v>
      </c>
      <c r="I37" s="523">
        <v>0</v>
      </c>
      <c r="J37" s="523">
        <v>0</v>
      </c>
      <c r="K37" s="524"/>
      <c r="L37" s="797">
        <f>[1]!tsabetm(C37)</f>
        <v>129.46666666666667</v>
      </c>
      <c r="M37" s="797">
        <f>[1]!tsabetz(C37)</f>
        <v>156.21666666666667</v>
      </c>
      <c r="N37" s="797">
        <f t="shared" si="5"/>
        <v>64.971962616822424</v>
      </c>
      <c r="O37" s="797">
        <f t="shared" si="6"/>
        <v>1445.0028169014086</v>
      </c>
      <c r="P37" s="797">
        <f t="shared" si="9"/>
        <v>13.080276827825514</v>
      </c>
      <c r="Q37" s="797">
        <f t="shared" si="7"/>
        <v>159</v>
      </c>
      <c r="R37" s="797">
        <f t="shared" si="8"/>
        <v>159.21800461379709</v>
      </c>
      <c r="S37" s="797">
        <f>[1]!taqsabet(O37,C37)</f>
        <v>159.21800461379709</v>
      </c>
      <c r="T37" s="524"/>
      <c r="U37" s="523">
        <v>5</v>
      </c>
      <c r="V37" s="523">
        <v>6</v>
      </c>
      <c r="W37" s="523">
        <v>13</v>
      </c>
      <c r="X37" s="524"/>
      <c r="Y37" s="523">
        <v>26</v>
      </c>
      <c r="Z37" s="523">
        <v>0</v>
      </c>
      <c r="AA37" s="523" t="s">
        <v>179</v>
      </c>
      <c r="AB37" s="523">
        <v>3</v>
      </c>
      <c r="AC37" s="523">
        <v>3</v>
      </c>
      <c r="AD37" s="523" t="s">
        <v>2384</v>
      </c>
    </row>
    <row r="38" spans="2:31">
      <c r="C38" s="527">
        <v>32</v>
      </c>
      <c r="D38" s="529">
        <v>24</v>
      </c>
      <c r="E38" s="528" t="s">
        <v>2407</v>
      </c>
      <c r="F38" s="527">
        <v>70</v>
      </c>
      <c r="G38" s="528"/>
      <c r="H38" s="527">
        <v>66</v>
      </c>
      <c r="I38" s="527">
        <v>9</v>
      </c>
      <c r="J38" s="527">
        <v>15</v>
      </c>
      <c r="K38" s="527" t="s">
        <v>2408</v>
      </c>
      <c r="L38" s="797">
        <f>[1]!tsabetm(C38)</f>
        <v>129.91666666666666</v>
      </c>
      <c r="M38" s="797">
        <f>[1]!tsabetz(C38)</f>
        <v>156.51666666666668</v>
      </c>
      <c r="N38" s="797">
        <f t="shared" si="5"/>
        <v>65.338345864661605</v>
      </c>
      <c r="O38" s="797">
        <f t="shared" si="6"/>
        <v>1445.0028169014086</v>
      </c>
      <c r="P38" s="797">
        <f t="shared" si="9"/>
        <v>30.070480882998254</v>
      </c>
      <c r="Q38" s="797">
        <f t="shared" si="7"/>
        <v>159</v>
      </c>
      <c r="R38" s="797">
        <f t="shared" si="8"/>
        <v>159.5011746813833</v>
      </c>
      <c r="S38" s="797">
        <f>[1]!taqsabet(O38,C38)</f>
        <v>159.5011746813833</v>
      </c>
      <c r="T38" s="528"/>
      <c r="U38" s="527">
        <v>5</v>
      </c>
      <c r="V38" s="527">
        <v>6</v>
      </c>
      <c r="W38" s="527">
        <v>31</v>
      </c>
      <c r="X38" s="528"/>
      <c r="Y38" s="527">
        <v>24</v>
      </c>
      <c r="Z38" s="527">
        <v>45</v>
      </c>
      <c r="AA38" s="527" t="s">
        <v>179</v>
      </c>
      <c r="AB38" s="527">
        <v>3</v>
      </c>
      <c r="AC38" s="527">
        <v>3</v>
      </c>
      <c r="AD38" s="527" t="s">
        <v>2384</v>
      </c>
    </row>
    <row r="39" spans="2:31">
      <c r="C39" s="525">
        <v>33</v>
      </c>
      <c r="D39" s="525">
        <v>25</v>
      </c>
      <c r="E39" s="524" t="s">
        <v>2409</v>
      </c>
      <c r="F39" s="523">
        <v>70</v>
      </c>
      <c r="G39" s="524"/>
      <c r="H39" s="523">
        <v>71</v>
      </c>
      <c r="I39" s="523">
        <v>6</v>
      </c>
      <c r="J39" s="523">
        <v>10</v>
      </c>
      <c r="K39" s="523" t="s">
        <v>2410</v>
      </c>
      <c r="L39" s="797">
        <f>[1]!tsabetm(C39)</f>
        <v>131.75</v>
      </c>
      <c r="M39" s="797">
        <f>[1]!tsabetz(C39)</f>
        <v>156.61666666666667</v>
      </c>
      <c r="N39" s="797">
        <f t="shared" si="5"/>
        <v>69.892761394101854</v>
      </c>
      <c r="O39" s="797">
        <f t="shared" si="6"/>
        <v>1445.0028169014086</v>
      </c>
      <c r="P39" s="797">
        <f t="shared" si="9"/>
        <v>24.401727742751405</v>
      </c>
      <c r="Q39" s="797">
        <f t="shared" si="7"/>
        <v>159</v>
      </c>
      <c r="R39" s="797">
        <f t="shared" si="8"/>
        <v>159.40669546237919</v>
      </c>
      <c r="S39" s="797">
        <f>[1]!taqsabet(O39,C39)</f>
        <v>159.40669546237919</v>
      </c>
      <c r="T39" s="524"/>
      <c r="U39" s="523">
        <v>5</v>
      </c>
      <c r="V39" s="523">
        <v>6</v>
      </c>
      <c r="W39" s="523">
        <v>37</v>
      </c>
      <c r="X39" s="524"/>
      <c r="Y39" s="523">
        <v>54</v>
      </c>
      <c r="Z39" s="523">
        <v>9</v>
      </c>
      <c r="AA39" s="523" t="s">
        <v>179</v>
      </c>
      <c r="AB39" s="523">
        <v>2</v>
      </c>
      <c r="AC39" s="523">
        <v>2</v>
      </c>
      <c r="AD39" s="523" t="s">
        <v>2384</v>
      </c>
    </row>
    <row r="40" spans="2:31">
      <c r="C40" s="527">
        <v>34</v>
      </c>
      <c r="D40" s="529">
        <v>26</v>
      </c>
      <c r="E40" s="528" t="s">
        <v>2411</v>
      </c>
      <c r="F40" s="527">
        <v>70</v>
      </c>
      <c r="G40" s="528"/>
      <c r="H40" s="527">
        <v>66</v>
      </c>
      <c r="I40" s="527">
        <v>10</v>
      </c>
      <c r="J40" s="526">
        <v>4</v>
      </c>
      <c r="K40" s="527" t="s">
        <v>2412</v>
      </c>
      <c r="L40" s="797">
        <f>[1]!tsabetm(C40)</f>
        <v>137.58333333333331</v>
      </c>
      <c r="M40" s="797">
        <f>[1]!tsabetz(C40)</f>
        <v>164.16666666666666</v>
      </c>
      <c r="N40" s="797">
        <f t="shared" si="5"/>
        <v>65.379310344827559</v>
      </c>
      <c r="O40" s="797">
        <f t="shared" si="6"/>
        <v>1445.0028169014086</v>
      </c>
      <c r="P40" s="797">
        <f t="shared" si="9"/>
        <v>8.9582813335704259</v>
      </c>
      <c r="Q40" s="797">
        <f t="shared" si="7"/>
        <v>167</v>
      </c>
      <c r="R40" s="797">
        <f t="shared" si="8"/>
        <v>167.14930468889284</v>
      </c>
      <c r="S40" s="797">
        <f>[1]!taqsabet(O40,C40)</f>
        <v>167.14930468889284</v>
      </c>
      <c r="T40" s="528"/>
      <c r="U40" s="527">
        <v>5</v>
      </c>
      <c r="V40" s="527">
        <v>14</v>
      </c>
      <c r="W40" s="527">
        <v>10</v>
      </c>
      <c r="X40" s="528"/>
      <c r="Y40" s="527">
        <v>56</v>
      </c>
      <c r="Z40" s="527">
        <v>52</v>
      </c>
      <c r="AA40" s="527" t="s">
        <v>179</v>
      </c>
      <c r="AB40" s="527">
        <v>2</v>
      </c>
      <c r="AC40" s="527">
        <v>2</v>
      </c>
      <c r="AD40" s="527" t="s">
        <v>2384</v>
      </c>
    </row>
    <row r="41" spans="2:31">
      <c r="C41" s="523">
        <v>35</v>
      </c>
      <c r="D41" s="525">
        <v>27</v>
      </c>
      <c r="E41" s="524" t="s">
        <v>2413</v>
      </c>
      <c r="F41" s="523">
        <v>70</v>
      </c>
      <c r="G41" s="524"/>
      <c r="H41" s="523">
        <v>66</v>
      </c>
      <c r="I41" s="523">
        <v>0</v>
      </c>
      <c r="J41" s="523">
        <v>0</v>
      </c>
      <c r="K41" s="533" t="s">
        <v>2414</v>
      </c>
      <c r="L41" s="797">
        <f>[1]!tsabetm(C41)</f>
        <v>149.41666666666666</v>
      </c>
      <c r="M41" s="797">
        <f>[1]!tsabetz(C41)</f>
        <v>175.26666666666668</v>
      </c>
      <c r="N41" s="797">
        <f t="shared" si="5"/>
        <v>67.234042553191429</v>
      </c>
      <c r="O41" s="797">
        <f t="shared" si="6"/>
        <v>1445.0028169014086</v>
      </c>
      <c r="P41" s="797">
        <f t="shared" si="9"/>
        <v>10.021501158853425</v>
      </c>
      <c r="Q41" s="797">
        <f t="shared" si="7"/>
        <v>178</v>
      </c>
      <c r="R41" s="797">
        <f t="shared" si="8"/>
        <v>178.16702501931422</v>
      </c>
      <c r="S41" s="797">
        <f>[1]!taqsabet(O41,C41)</f>
        <v>178.16702501931422</v>
      </c>
      <c r="T41" s="524"/>
      <c r="U41" s="523">
        <v>5</v>
      </c>
      <c r="V41" s="523">
        <v>25</v>
      </c>
      <c r="W41" s="523">
        <v>16</v>
      </c>
      <c r="X41" s="524"/>
      <c r="Y41" s="523">
        <v>54</v>
      </c>
      <c r="Z41" s="523">
        <v>9</v>
      </c>
      <c r="AA41" s="523" t="s">
        <v>179</v>
      </c>
      <c r="AB41" s="523">
        <v>2</v>
      </c>
      <c r="AC41" s="523">
        <v>2</v>
      </c>
      <c r="AD41" s="523" t="s">
        <v>2384</v>
      </c>
    </row>
    <row r="42" spans="2:31">
      <c r="B42" s="514" t="s">
        <v>2415</v>
      </c>
      <c r="C42" s="529">
        <v>36</v>
      </c>
      <c r="D42" s="529">
        <v>1</v>
      </c>
      <c r="E42" s="528" t="s">
        <v>2416</v>
      </c>
      <c r="F42" s="527">
        <v>70</v>
      </c>
      <c r="G42" s="528"/>
      <c r="H42" s="527">
        <v>69</v>
      </c>
      <c r="I42" s="527">
        <v>6</v>
      </c>
      <c r="J42" s="527">
        <v>25</v>
      </c>
      <c r="K42" s="527" t="s">
        <v>2417</v>
      </c>
      <c r="L42" s="797">
        <f>[1]!tsabetm(C42)</f>
        <v>147.41666666666666</v>
      </c>
      <c r="M42" s="797">
        <f>[1]!tsabetz(C42)</f>
        <v>173.01666666666668</v>
      </c>
      <c r="N42" s="797">
        <f t="shared" si="5"/>
        <v>67.890624999999943</v>
      </c>
      <c r="O42" s="797">
        <f t="shared" si="6"/>
        <v>1445.0028169014086</v>
      </c>
      <c r="P42" s="797">
        <f t="shared" si="9"/>
        <v>53.338507917471816</v>
      </c>
      <c r="Q42" s="797">
        <f t="shared" si="7"/>
        <v>175</v>
      </c>
      <c r="R42" s="797">
        <f t="shared" si="8"/>
        <v>175.88897513195786</v>
      </c>
      <c r="S42" s="797">
        <f>[1]!taqsabet(O42,C42)</f>
        <v>175.88897513195786</v>
      </c>
      <c r="T42" s="528"/>
      <c r="U42" s="527">
        <v>5</v>
      </c>
      <c r="V42" s="527">
        <v>23</v>
      </c>
      <c r="W42" s="527">
        <v>1</v>
      </c>
      <c r="X42" s="528"/>
      <c r="Y42" s="527">
        <v>40</v>
      </c>
      <c r="Z42" s="527">
        <v>15</v>
      </c>
      <c r="AA42" s="527" t="s">
        <v>179</v>
      </c>
      <c r="AB42" s="527">
        <v>3</v>
      </c>
      <c r="AC42" s="527">
        <v>3</v>
      </c>
      <c r="AD42" s="527" t="s">
        <v>2384</v>
      </c>
    </row>
    <row r="43" spans="2:31">
      <c r="C43" s="523">
        <v>37</v>
      </c>
      <c r="D43" s="525">
        <v>2</v>
      </c>
      <c r="E43" s="524" t="s">
        <v>2418</v>
      </c>
      <c r="F43" s="523">
        <v>70</v>
      </c>
      <c r="G43" s="524"/>
      <c r="H43" s="523">
        <v>66</v>
      </c>
      <c r="I43" s="523">
        <v>0</v>
      </c>
      <c r="J43" s="523">
        <v>0</v>
      </c>
      <c r="K43" s="524"/>
      <c r="L43" s="797">
        <f>[1]!tsabetm(C43)</f>
        <v>139.75</v>
      </c>
      <c r="M43" s="797">
        <f>[1]!tsabetz(C43)</f>
        <v>166.16666666666666</v>
      </c>
      <c r="N43" s="797">
        <f t="shared" si="5"/>
        <v>65.791798107255545</v>
      </c>
      <c r="O43" s="797">
        <f t="shared" si="6"/>
        <v>1445.0028169014086</v>
      </c>
      <c r="P43" s="797">
        <f t="shared" si="9"/>
        <v>7.8362858393160195</v>
      </c>
      <c r="Q43" s="797">
        <f t="shared" si="7"/>
        <v>169</v>
      </c>
      <c r="R43" s="797">
        <f t="shared" si="8"/>
        <v>169.1306047639886</v>
      </c>
      <c r="S43" s="797">
        <f>[1]!taqsabet(O43,C43)</f>
        <v>169.1306047639886</v>
      </c>
      <c r="T43" s="524"/>
      <c r="U43" s="534">
        <v>5</v>
      </c>
      <c r="V43" s="534">
        <v>16</v>
      </c>
      <c r="W43" s="534">
        <v>10</v>
      </c>
      <c r="X43" s="524"/>
      <c r="Y43" s="534">
        <v>40</v>
      </c>
      <c r="Z43" s="534">
        <v>39</v>
      </c>
      <c r="AA43" s="523" t="s">
        <v>179</v>
      </c>
      <c r="AB43" s="523">
        <v>5</v>
      </c>
      <c r="AC43" s="523">
        <v>5</v>
      </c>
      <c r="AD43" s="523" t="s">
        <v>2384</v>
      </c>
      <c r="AE43" s="530">
        <v>569</v>
      </c>
    </row>
    <row r="44" spans="2:31">
      <c r="C44" s="527">
        <v>38</v>
      </c>
      <c r="D44" s="529">
        <v>3</v>
      </c>
      <c r="E44" s="528" t="s">
        <v>2419</v>
      </c>
      <c r="F44" s="527">
        <v>70</v>
      </c>
      <c r="G44" s="528"/>
      <c r="H44" s="527">
        <v>66</v>
      </c>
      <c r="I44" s="527">
        <v>0</v>
      </c>
      <c r="J44" s="527">
        <v>0</v>
      </c>
      <c r="K44" s="528"/>
      <c r="L44" s="797">
        <f>[1]!tsabetm(C44)</f>
        <v>104.58333333333334</v>
      </c>
      <c r="M44" s="797">
        <f>[1]!tsabetz(C44)</f>
        <v>130.11666666666667</v>
      </c>
      <c r="N44" s="797">
        <f t="shared" si="5"/>
        <v>68.067885117493475</v>
      </c>
      <c r="O44" s="797">
        <f t="shared" si="6"/>
        <v>1445.0028169014086</v>
      </c>
      <c r="P44" s="797">
        <f t="shared" si="9"/>
        <v>58.88970971976903</v>
      </c>
      <c r="Q44" s="797">
        <f t="shared" si="7"/>
        <v>132</v>
      </c>
      <c r="R44" s="797">
        <f t="shared" si="8"/>
        <v>132.98149516199615</v>
      </c>
      <c r="S44" s="797">
        <f>[1]!taqsabet(O44,C44)</f>
        <v>132.98149516199615</v>
      </c>
      <c r="T44" s="528"/>
      <c r="U44" s="527">
        <v>4</v>
      </c>
      <c r="V44" s="527">
        <v>10</v>
      </c>
      <c r="W44" s="527">
        <v>7</v>
      </c>
      <c r="X44" s="528"/>
      <c r="Y44" s="527">
        <v>7</v>
      </c>
      <c r="Z44" s="527">
        <v>33</v>
      </c>
      <c r="AA44" s="527" t="s">
        <v>179</v>
      </c>
      <c r="AB44" s="527">
        <v>4</v>
      </c>
      <c r="AC44" s="527">
        <v>4</v>
      </c>
      <c r="AD44" s="527" t="s">
        <v>2384</v>
      </c>
    </row>
    <row r="45" spans="2:31">
      <c r="C45" s="525">
        <v>39</v>
      </c>
      <c r="D45" s="525">
        <v>4</v>
      </c>
      <c r="E45" s="524" t="s">
        <v>2420</v>
      </c>
      <c r="F45" s="523">
        <v>70</v>
      </c>
      <c r="G45" s="524"/>
      <c r="H45" s="523">
        <v>66</v>
      </c>
      <c r="I45" s="523">
        <v>0</v>
      </c>
      <c r="J45" s="523">
        <v>0</v>
      </c>
      <c r="K45" s="524"/>
      <c r="L45" s="797">
        <f>[1]!tsabetm(C45)</f>
        <v>102.91666666666666</v>
      </c>
      <c r="M45" s="797">
        <f>[1]!tsabetz(C45)</f>
        <v>128.71666666666667</v>
      </c>
      <c r="N45" s="797">
        <f t="shared" si="5"/>
        <v>67.364341085271292</v>
      </c>
      <c r="O45" s="797">
        <f t="shared" si="6"/>
        <v>1445.0028169014086</v>
      </c>
      <c r="P45" s="797">
        <f t="shared" si="9"/>
        <v>36.684902510575057</v>
      </c>
      <c r="Q45" s="797">
        <f t="shared" si="7"/>
        <v>131</v>
      </c>
      <c r="R45" s="797">
        <f t="shared" si="8"/>
        <v>131.61141504184292</v>
      </c>
      <c r="S45" s="797">
        <f>[1]!taqsabet(O45,C45)</f>
        <v>131.61141504184292</v>
      </c>
      <c r="T45" s="524"/>
      <c r="U45" s="523">
        <v>4</v>
      </c>
      <c r="V45" s="523">
        <v>8</v>
      </c>
      <c r="W45" s="523">
        <v>43</v>
      </c>
      <c r="X45" s="524"/>
      <c r="Y45" s="523">
        <v>19</v>
      </c>
      <c r="Z45" s="523">
        <v>42</v>
      </c>
      <c r="AA45" s="523" t="s">
        <v>179</v>
      </c>
      <c r="AB45" s="523">
        <v>4</v>
      </c>
      <c r="AC45" s="523">
        <v>4</v>
      </c>
      <c r="AD45" s="523" t="s">
        <v>2384</v>
      </c>
    </row>
    <row r="46" spans="2:31">
      <c r="C46" s="527">
        <v>40</v>
      </c>
      <c r="D46" s="527">
        <v>5</v>
      </c>
      <c r="E46" s="528" t="s">
        <v>2421</v>
      </c>
      <c r="F46" s="527">
        <v>70</v>
      </c>
      <c r="G46" s="528"/>
      <c r="H46" s="527">
        <v>66</v>
      </c>
      <c r="I46" s="527">
        <v>0</v>
      </c>
      <c r="J46" s="527">
        <v>0</v>
      </c>
      <c r="K46" s="527"/>
      <c r="L46" s="797">
        <f>[1]!tsabetm(C46)</f>
        <v>105.75</v>
      </c>
      <c r="M46" s="797">
        <f>[1]!tsabetz(C46)</f>
        <v>131.76666666666668</v>
      </c>
      <c r="N46" s="797">
        <f t="shared" si="5"/>
        <v>66.803331197950001</v>
      </c>
      <c r="O46" s="797">
        <f t="shared" si="6"/>
        <v>1445.0028169014086</v>
      </c>
      <c r="P46" s="797">
        <f t="shared" si="9"/>
        <v>41.143496653107832</v>
      </c>
      <c r="Q46" s="797">
        <f t="shared" si="7"/>
        <v>134</v>
      </c>
      <c r="R46" s="797">
        <f t="shared" si="8"/>
        <v>134.68572494421846</v>
      </c>
      <c r="S46" s="797">
        <f>[1]!taqsabet(O46,C46)</f>
        <v>134.68572494421846</v>
      </c>
      <c r="T46" s="528"/>
      <c r="U46" s="527">
        <v>4</v>
      </c>
      <c r="V46" s="527">
        <v>11</v>
      </c>
      <c r="W46" s="527">
        <v>46</v>
      </c>
      <c r="X46" s="528"/>
      <c r="Y46" s="527">
        <v>20</v>
      </c>
      <c r="Z46" s="527">
        <v>18</v>
      </c>
      <c r="AA46" s="527" t="s">
        <v>179</v>
      </c>
      <c r="AB46" s="527">
        <v>4</v>
      </c>
      <c r="AC46" s="527" t="s">
        <v>2422</v>
      </c>
      <c r="AD46" s="527" t="s">
        <v>2384</v>
      </c>
    </row>
    <row r="47" spans="2:31">
      <c r="C47" s="523">
        <v>41</v>
      </c>
      <c r="D47" s="525">
        <v>6</v>
      </c>
      <c r="E47" s="524" t="s">
        <v>2423</v>
      </c>
      <c r="F47" s="523">
        <v>70</v>
      </c>
      <c r="G47" s="524"/>
      <c r="H47" s="523">
        <v>66</v>
      </c>
      <c r="I47" s="523">
        <v>0</v>
      </c>
      <c r="J47" s="523">
        <v>0</v>
      </c>
      <c r="K47" s="524"/>
      <c r="L47" s="797">
        <f>[1]!tsabetm(C47)</f>
        <v>101.75</v>
      </c>
      <c r="M47" s="797">
        <f>[1]!tsabetz(C47)</f>
        <v>131.26666666666668</v>
      </c>
      <c r="N47" s="797">
        <f t="shared" si="5"/>
        <v>58.881987577639727</v>
      </c>
      <c r="O47" s="797">
        <f t="shared" si="6"/>
        <v>1445.0028169014086</v>
      </c>
      <c r="P47" s="797">
        <f t="shared" si="9"/>
        <v>34.70540203244866</v>
      </c>
      <c r="Q47" s="797">
        <f t="shared" si="7"/>
        <v>134</v>
      </c>
      <c r="R47" s="797">
        <f t="shared" si="8"/>
        <v>134.57842336720748</v>
      </c>
      <c r="S47" s="797">
        <f>[1]!taqsabet(O47,C47)</f>
        <v>134.57842336720748</v>
      </c>
      <c r="T47" s="524"/>
      <c r="U47" s="523">
        <v>4</v>
      </c>
      <c r="V47" s="523">
        <v>11</v>
      </c>
      <c r="W47" s="523">
        <v>16</v>
      </c>
      <c r="X47" s="524"/>
      <c r="Y47" s="523">
        <v>23</v>
      </c>
      <c r="Z47" s="523">
        <v>45</v>
      </c>
      <c r="AA47" s="523" t="s">
        <v>179</v>
      </c>
      <c r="AB47" s="523">
        <v>4</v>
      </c>
      <c r="AC47" s="523" t="s">
        <v>2422</v>
      </c>
      <c r="AD47" s="523" t="s">
        <v>2384</v>
      </c>
    </row>
    <row r="48" spans="2:31">
      <c r="C48" s="529">
        <v>42</v>
      </c>
      <c r="D48" s="527">
        <v>7</v>
      </c>
      <c r="E48" s="528" t="s">
        <v>2424</v>
      </c>
      <c r="F48" s="527">
        <v>70</v>
      </c>
      <c r="G48" s="528"/>
      <c r="H48" s="527">
        <v>66</v>
      </c>
      <c r="I48" s="527">
        <v>0</v>
      </c>
      <c r="J48" s="527">
        <v>0</v>
      </c>
      <c r="K48" s="528"/>
      <c r="L48" s="797">
        <f>[1]!tsabetm(C48)</f>
        <v>105.75</v>
      </c>
      <c r="M48" s="797">
        <f>[1]!tsabetz(C48)</f>
        <v>125.61666666666666</v>
      </c>
      <c r="N48" s="797">
        <f t="shared" si="5"/>
        <v>87.483221476510096</v>
      </c>
      <c r="O48" s="797">
        <f t="shared" si="6"/>
        <v>1445.0028169014086</v>
      </c>
      <c r="P48" s="797">
        <f t="shared" si="9"/>
        <v>50.741862915120066</v>
      </c>
      <c r="Q48" s="797">
        <f t="shared" si="7"/>
        <v>127</v>
      </c>
      <c r="R48" s="797">
        <f t="shared" si="8"/>
        <v>127.845697715252</v>
      </c>
      <c r="S48" s="797">
        <f>[1]!taqsabet(O48,C48)</f>
        <v>127.845697715252</v>
      </c>
      <c r="T48" s="528"/>
      <c r="U48" s="527">
        <v>4</v>
      </c>
      <c r="V48" s="527">
        <v>5</v>
      </c>
      <c r="W48" s="527">
        <v>37</v>
      </c>
      <c r="X48" s="528"/>
      <c r="Y48" s="527">
        <v>20</v>
      </c>
      <c r="Z48" s="527">
        <v>15</v>
      </c>
      <c r="AA48" s="527" t="s">
        <v>179</v>
      </c>
      <c r="AB48" s="527">
        <v>6</v>
      </c>
      <c r="AC48" s="527" t="s">
        <v>2422</v>
      </c>
      <c r="AD48" s="527" t="s">
        <v>2384</v>
      </c>
    </row>
    <row r="49" spans="1:31">
      <c r="C49" s="523">
        <v>43</v>
      </c>
      <c r="D49" s="525">
        <v>8</v>
      </c>
      <c r="E49" s="524" t="s">
        <v>2425</v>
      </c>
      <c r="F49" s="523">
        <v>70</v>
      </c>
      <c r="G49" s="524"/>
      <c r="H49" s="523">
        <v>66</v>
      </c>
      <c r="I49" s="523">
        <v>0</v>
      </c>
      <c r="J49" s="523">
        <v>0</v>
      </c>
      <c r="K49" s="535" t="s">
        <v>2426</v>
      </c>
      <c r="L49" s="797">
        <f>[1]!tsabetm(C49)</f>
        <v>89.583333333333343</v>
      </c>
      <c r="M49" s="797">
        <f>[1]!tsabetz(C49)</f>
        <v>115.61666666666666</v>
      </c>
      <c r="N49" s="797">
        <f t="shared" si="5"/>
        <v>66.760563380281738</v>
      </c>
      <c r="O49" s="797">
        <f t="shared" si="6"/>
        <v>1445.0028169014086</v>
      </c>
      <c r="P49" s="797">
        <f t="shared" si="9"/>
        <v>32.255696202531396</v>
      </c>
      <c r="Q49" s="797">
        <f t="shared" si="7"/>
        <v>118</v>
      </c>
      <c r="R49" s="797">
        <f t="shared" si="8"/>
        <v>118.53759493670886</v>
      </c>
      <c r="S49" s="797">
        <f>[1]!taqsabet(O49,C49)</f>
        <v>118.53759493670886</v>
      </c>
      <c r="T49" s="524"/>
      <c r="U49" s="523">
        <v>3</v>
      </c>
      <c r="V49" s="523">
        <v>25</v>
      </c>
      <c r="W49" s="523">
        <v>37</v>
      </c>
      <c r="X49" s="524"/>
      <c r="Y49" s="523">
        <v>23</v>
      </c>
      <c r="Z49" s="523">
        <v>0</v>
      </c>
      <c r="AA49" s="523" t="s">
        <v>179</v>
      </c>
      <c r="AB49" s="523">
        <v>6</v>
      </c>
      <c r="AC49" s="523" t="s">
        <v>2422</v>
      </c>
      <c r="AD49" s="523" t="s">
        <v>2384</v>
      </c>
    </row>
    <row r="50" spans="1:31">
      <c r="B50" s="505" t="s">
        <v>2355</v>
      </c>
      <c r="C50" s="506" t="s">
        <v>2356</v>
      </c>
      <c r="D50" s="507" t="s">
        <v>2357</v>
      </c>
      <c r="E50" s="511" t="s">
        <v>2358</v>
      </c>
      <c r="F50" s="511"/>
      <c r="G50" s="511"/>
      <c r="H50" s="511"/>
      <c r="I50" s="511"/>
      <c r="J50" s="511"/>
      <c r="K50" s="514" t="s">
        <v>2360</v>
      </c>
      <c r="N50" s="797">
        <f t="shared" si="5"/>
        <v>4.8277777777777775</v>
      </c>
      <c r="O50" s="797">
        <f t="shared" si="6"/>
        <v>1445.0028169014086</v>
      </c>
      <c r="P50" s="797">
        <f t="shared" si="9"/>
        <v>23.510267589427372</v>
      </c>
      <c r="Q50" s="797">
        <f t="shared" si="7"/>
        <v>40</v>
      </c>
      <c r="R50" s="797">
        <f t="shared" si="8"/>
        <v>40.391837793157123</v>
      </c>
      <c r="S50" s="797" t="e">
        <f>[1]!taqsabet(O50,C50)</f>
        <v>#VALUE!</v>
      </c>
      <c r="T50" s="507"/>
      <c r="U50" s="508" t="s">
        <v>403</v>
      </c>
      <c r="V50" s="508"/>
      <c r="W50" s="509"/>
      <c r="X50" s="507"/>
      <c r="Y50" s="509" t="s">
        <v>275</v>
      </c>
      <c r="Z50" s="510"/>
      <c r="AA50" s="506" t="s">
        <v>176</v>
      </c>
      <c r="AB50" s="511" t="s">
        <v>2361</v>
      </c>
      <c r="AC50" s="511" t="s">
        <v>2362</v>
      </c>
      <c r="AD50" s="511" t="s">
        <v>2363</v>
      </c>
    </row>
    <row r="51" spans="1:31">
      <c r="B51" s="505"/>
      <c r="C51" s="512"/>
      <c r="D51" s="512"/>
      <c r="E51" s="513"/>
      <c r="F51" s="513"/>
      <c r="G51" s="513"/>
      <c r="H51" s="513"/>
      <c r="I51" s="513"/>
      <c r="J51" s="513"/>
      <c r="K51" s="514"/>
      <c r="N51" s="797">
        <f t="shared" si="5"/>
        <v>4.8277777777777775</v>
      </c>
      <c r="O51" s="797">
        <f t="shared" si="6"/>
        <v>1445.0028169014086</v>
      </c>
      <c r="P51" s="797">
        <f t="shared" si="9"/>
        <v>23.510267589427372</v>
      </c>
      <c r="Q51" s="797">
        <f t="shared" si="7"/>
        <v>40</v>
      </c>
      <c r="R51" s="797">
        <f t="shared" si="8"/>
        <v>40.391837793157123</v>
      </c>
      <c r="S51" s="797">
        <f>[1]!taqsabet(O51,C51)</f>
        <v>1.4716840899636423</v>
      </c>
      <c r="T51" s="515" t="s">
        <v>2367</v>
      </c>
      <c r="U51" s="516" t="s">
        <v>173</v>
      </c>
      <c r="V51" s="516" t="s">
        <v>172</v>
      </c>
      <c r="W51" s="516" t="s">
        <v>166</v>
      </c>
      <c r="X51" s="517" t="s">
        <v>2367</v>
      </c>
      <c r="Y51" s="516" t="s">
        <v>172</v>
      </c>
      <c r="Z51" s="518" t="s">
        <v>166</v>
      </c>
      <c r="AA51" s="512"/>
      <c r="AB51" s="517" t="s">
        <v>2368</v>
      </c>
      <c r="AC51" s="517" t="s">
        <v>2369</v>
      </c>
      <c r="AD51" s="513"/>
    </row>
    <row r="52" spans="1:31">
      <c r="A52" s="520">
        <v>3</v>
      </c>
      <c r="B52" s="327" t="s">
        <v>2427</v>
      </c>
      <c r="C52" s="521">
        <v>44</v>
      </c>
      <c r="D52" s="521">
        <v>1</v>
      </c>
      <c r="E52" s="298" t="s">
        <v>2428</v>
      </c>
      <c r="F52" s="521">
        <v>70</v>
      </c>
      <c r="G52" s="298"/>
      <c r="H52" s="521">
        <v>66</v>
      </c>
      <c r="I52" s="521">
        <v>0</v>
      </c>
      <c r="J52" s="521">
        <v>0</v>
      </c>
      <c r="K52" s="522" t="s">
        <v>2429</v>
      </c>
      <c r="L52" s="797">
        <f>[1]!tsabetm(C52)</f>
        <v>206.25</v>
      </c>
      <c r="M52" s="797">
        <f>[1]!tsabetz(C52)</f>
        <v>233.61666666666667</v>
      </c>
      <c r="N52" s="797">
        <f t="shared" si="5"/>
        <v>63.507917174177813</v>
      </c>
      <c r="O52" s="797">
        <f t="shared" si="6"/>
        <v>1445.0028169014086</v>
      </c>
      <c r="P52" s="797">
        <f t="shared" si="9"/>
        <v>41.2316601565675</v>
      </c>
      <c r="Q52" s="797">
        <f t="shared" si="7"/>
        <v>236</v>
      </c>
      <c r="R52" s="797">
        <f t="shared" si="8"/>
        <v>236.68719433594279</v>
      </c>
      <c r="S52" s="797">
        <f>[1]!taqsabet(O52,C52)</f>
        <v>236.68719433594279</v>
      </c>
      <c r="T52" s="298"/>
      <c r="U52" s="521">
        <v>7</v>
      </c>
      <c r="V52" s="521">
        <v>23</v>
      </c>
      <c r="W52" s="521">
        <v>37</v>
      </c>
      <c r="X52" s="10"/>
      <c r="Y52" s="521">
        <v>77</v>
      </c>
      <c r="Z52" s="521">
        <v>15</v>
      </c>
      <c r="AA52" s="521" t="s">
        <v>179</v>
      </c>
      <c r="AB52" s="521">
        <v>5</v>
      </c>
      <c r="AC52" s="522">
        <v>4</v>
      </c>
      <c r="AD52" s="522" t="s">
        <v>2430</v>
      </c>
    </row>
    <row r="53" spans="1:31">
      <c r="C53" s="525">
        <v>45</v>
      </c>
      <c r="D53" s="523">
        <v>2</v>
      </c>
      <c r="E53" s="524" t="s">
        <v>2431</v>
      </c>
      <c r="F53" s="523">
        <v>70</v>
      </c>
      <c r="G53" s="524"/>
      <c r="H53" s="523">
        <v>66</v>
      </c>
      <c r="I53" s="523">
        <v>0</v>
      </c>
      <c r="J53" s="523">
        <v>0</v>
      </c>
      <c r="K53" s="523" t="s">
        <v>2432</v>
      </c>
      <c r="L53" s="797">
        <f>[1]!tsabetm(C53)</f>
        <v>221.41666666666666</v>
      </c>
      <c r="M53" s="797">
        <f>[1]!tsabetz(C53)</f>
        <v>248.76666666666668</v>
      </c>
      <c r="N53" s="797">
        <f t="shared" si="5"/>
        <v>63.546617915904882</v>
      </c>
      <c r="O53" s="797">
        <f t="shared" si="6"/>
        <v>1445.0028169014086</v>
      </c>
      <c r="P53" s="797">
        <f t="shared" si="9"/>
        <v>50.119460607141377</v>
      </c>
      <c r="Q53" s="797">
        <f t="shared" si="7"/>
        <v>251</v>
      </c>
      <c r="R53" s="797">
        <f t="shared" si="8"/>
        <v>251.83532434345236</v>
      </c>
      <c r="S53" s="797">
        <f>[1]!taqsabet(O53,C53)</f>
        <v>251.83532434345236</v>
      </c>
      <c r="T53" s="524"/>
      <c r="U53" s="523">
        <v>8</v>
      </c>
      <c r="V53" s="523">
        <v>8</v>
      </c>
      <c r="W53" s="523">
        <v>46</v>
      </c>
      <c r="X53" s="523"/>
      <c r="Y53" s="523">
        <v>78</v>
      </c>
      <c r="Z53" s="523">
        <v>21</v>
      </c>
      <c r="AA53" s="523" t="s">
        <v>179</v>
      </c>
      <c r="AB53" s="523">
        <v>4</v>
      </c>
      <c r="AC53" s="523">
        <v>4</v>
      </c>
      <c r="AD53" s="523" t="s">
        <v>2430</v>
      </c>
      <c r="AE53" s="536"/>
    </row>
    <row r="54" spans="1:31">
      <c r="C54" s="522">
        <v>46</v>
      </c>
      <c r="D54" s="522">
        <v>3</v>
      </c>
      <c r="E54" s="296" t="s">
        <v>2433</v>
      </c>
      <c r="F54" s="521">
        <v>70</v>
      </c>
      <c r="G54" s="296"/>
      <c r="H54" s="521">
        <v>66</v>
      </c>
      <c r="I54" s="521">
        <v>0</v>
      </c>
      <c r="J54" s="521">
        <v>0</v>
      </c>
      <c r="K54" s="522" t="s">
        <v>2434</v>
      </c>
      <c r="L54" s="797">
        <f>[1]!tsabetm(C54)</f>
        <v>222.75</v>
      </c>
      <c r="M54" s="797">
        <f>[1]!tsabetz(C54)</f>
        <v>249.11666666666667</v>
      </c>
      <c r="N54" s="797">
        <f t="shared" si="5"/>
        <v>65.91656131479138</v>
      </c>
      <c r="O54" s="797">
        <f t="shared" si="6"/>
        <v>1445.0028169014086</v>
      </c>
      <c r="P54" s="797">
        <f t="shared" si="9"/>
        <v>4.4996871910410619</v>
      </c>
      <c r="Q54" s="797">
        <f t="shared" si="7"/>
        <v>252</v>
      </c>
      <c r="R54" s="797">
        <f t="shared" si="8"/>
        <v>252.07499478651735</v>
      </c>
      <c r="S54" s="797">
        <f>[1]!taqsabet(O54,C54)</f>
        <v>252.07499478651735</v>
      </c>
      <c r="T54" s="296"/>
      <c r="U54" s="522">
        <v>8</v>
      </c>
      <c r="V54" s="522">
        <v>9</v>
      </c>
      <c r="W54" s="522">
        <v>7</v>
      </c>
      <c r="X54" s="522"/>
      <c r="Y54" s="522">
        <v>75</v>
      </c>
      <c r="Z54" s="522">
        <v>30</v>
      </c>
      <c r="AA54" s="522" t="s">
        <v>179</v>
      </c>
      <c r="AB54" s="522">
        <v>3</v>
      </c>
      <c r="AC54" s="522">
        <v>4</v>
      </c>
      <c r="AD54" s="522" t="s">
        <v>2430</v>
      </c>
      <c r="AE54" s="536"/>
    </row>
    <row r="55" spans="1:31">
      <c r="C55" s="523">
        <v>47</v>
      </c>
      <c r="D55" s="523">
        <v>4</v>
      </c>
      <c r="E55" s="524" t="s">
        <v>2435</v>
      </c>
      <c r="F55" s="523">
        <v>70</v>
      </c>
      <c r="G55" s="524"/>
      <c r="H55" s="523">
        <v>66</v>
      </c>
      <c r="I55" s="523">
        <v>0</v>
      </c>
      <c r="J55" s="523">
        <v>0</v>
      </c>
      <c r="K55" s="524"/>
      <c r="L55" s="797">
        <f>[1]!tsabetm(C55)</f>
        <v>236.91666666666666</v>
      </c>
      <c r="M55" s="797">
        <f>[1]!tsabetz(C55)</f>
        <v>265.01666666666665</v>
      </c>
      <c r="N55" s="797">
        <f t="shared" si="5"/>
        <v>61.850533807829194</v>
      </c>
      <c r="O55" s="797">
        <f t="shared" si="6"/>
        <v>1445.0028169014086</v>
      </c>
      <c r="P55" s="797">
        <f t="shared" si="9"/>
        <v>10.168440331284501</v>
      </c>
      <c r="Q55" s="797">
        <f t="shared" si="7"/>
        <v>268</v>
      </c>
      <c r="R55" s="797">
        <f t="shared" si="8"/>
        <v>268.16947400552141</v>
      </c>
      <c r="S55" s="797">
        <f>[1]!taqsabet(O55,C55)</f>
        <v>268.16947400552141</v>
      </c>
      <c r="T55" s="524"/>
      <c r="U55" s="523">
        <v>8</v>
      </c>
      <c r="V55" s="523">
        <v>25</v>
      </c>
      <c r="W55" s="523">
        <v>1</v>
      </c>
      <c r="X55" s="523"/>
      <c r="Y55" s="523">
        <v>80</v>
      </c>
      <c r="Z55" s="523">
        <v>0</v>
      </c>
      <c r="AA55" s="523" t="s">
        <v>179</v>
      </c>
      <c r="AB55" s="523">
        <v>4</v>
      </c>
      <c r="AC55" s="523">
        <v>4</v>
      </c>
      <c r="AD55" s="523" t="s">
        <v>2430</v>
      </c>
      <c r="AE55" s="536"/>
    </row>
    <row r="56" spans="1:31">
      <c r="C56" s="521">
        <v>48</v>
      </c>
      <c r="D56" s="522">
        <v>5</v>
      </c>
      <c r="E56" s="296" t="s">
        <v>2436</v>
      </c>
      <c r="F56" s="521">
        <v>70</v>
      </c>
      <c r="G56" s="296"/>
      <c r="H56" s="521">
        <v>61</v>
      </c>
      <c r="I56" s="521">
        <v>8</v>
      </c>
      <c r="J56" s="521">
        <v>8</v>
      </c>
      <c r="K56" s="522" t="s">
        <v>2437</v>
      </c>
      <c r="L56" s="797">
        <f>[1]!tsabetm(C56)</f>
        <v>239.25</v>
      </c>
      <c r="M56" s="797">
        <f>[1]!tsabetz(C56)</f>
        <v>268.01666666666665</v>
      </c>
      <c r="N56" s="797">
        <f t="shared" si="5"/>
        <v>60.417149478563182</v>
      </c>
      <c r="O56" s="797">
        <f t="shared" si="6"/>
        <v>1445.0028169014086</v>
      </c>
      <c r="P56" s="797">
        <f t="shared" si="9"/>
        <v>14.656422308302126</v>
      </c>
      <c r="Q56" s="797">
        <f t="shared" si="7"/>
        <v>271</v>
      </c>
      <c r="R56" s="797">
        <f t="shared" si="8"/>
        <v>271.24427370513837</v>
      </c>
      <c r="S56" s="797">
        <f>[1]!taqsabet(O56,C56)</f>
        <v>271.24427370513837</v>
      </c>
      <c r="T56" s="296"/>
      <c r="U56" s="522">
        <v>8</v>
      </c>
      <c r="V56" s="522">
        <v>28</v>
      </c>
      <c r="W56" s="522">
        <v>1</v>
      </c>
      <c r="X56" s="522"/>
      <c r="Y56" s="522">
        <v>75</v>
      </c>
      <c r="Z56" s="522">
        <v>0</v>
      </c>
      <c r="AA56" s="522" t="s">
        <v>179</v>
      </c>
      <c r="AB56" s="522">
        <v>3</v>
      </c>
      <c r="AC56" s="522">
        <v>3</v>
      </c>
      <c r="AD56" s="522" t="s">
        <v>2430</v>
      </c>
      <c r="AE56" s="536"/>
    </row>
    <row r="57" spans="1:31">
      <c r="C57" s="523">
        <v>49</v>
      </c>
      <c r="D57" s="523">
        <v>6</v>
      </c>
      <c r="E57" s="524" t="s">
        <v>2438</v>
      </c>
      <c r="F57" s="523">
        <v>70</v>
      </c>
      <c r="G57" s="524"/>
      <c r="H57" s="523">
        <v>66</v>
      </c>
      <c r="I57" s="523">
        <v>0</v>
      </c>
      <c r="J57" s="523">
        <v>0</v>
      </c>
      <c r="K57" s="524"/>
      <c r="L57" s="797">
        <f>[1]!tsabetm(C57)</f>
        <v>264.08333333333331</v>
      </c>
      <c r="M57" s="797">
        <f>[1]!tsabetz(C57)</f>
        <v>291.26666666666665</v>
      </c>
      <c r="N57" s="797">
        <f t="shared" si="5"/>
        <v>63.936235438381352</v>
      </c>
      <c r="O57" s="797">
        <f t="shared" si="6"/>
        <v>1445.0028169014086</v>
      </c>
      <c r="P57" s="797">
        <f t="shared" si="9"/>
        <v>18.997465112885266</v>
      </c>
      <c r="Q57" s="797">
        <f t="shared" si="7"/>
        <v>294</v>
      </c>
      <c r="R57" s="797">
        <f t="shared" si="8"/>
        <v>294.31662441854809</v>
      </c>
      <c r="S57" s="797">
        <f>[1]!taqsabet(O57,C57)</f>
        <v>294.31662441854809</v>
      </c>
      <c r="T57" s="524"/>
      <c r="U57" s="523">
        <v>9</v>
      </c>
      <c r="V57" s="523">
        <v>21</v>
      </c>
      <c r="W57" s="523">
        <v>16</v>
      </c>
      <c r="X57" s="523"/>
      <c r="Y57" s="523">
        <v>82</v>
      </c>
      <c r="Z57" s="523">
        <v>9</v>
      </c>
      <c r="AA57" s="523" t="s">
        <v>179</v>
      </c>
      <c r="AB57" s="523">
        <v>5</v>
      </c>
      <c r="AC57" s="523">
        <v>4</v>
      </c>
      <c r="AD57" s="523" t="s">
        <v>2430</v>
      </c>
      <c r="AE57" s="536"/>
    </row>
    <row r="58" spans="1:31">
      <c r="C58" s="522">
        <v>50</v>
      </c>
      <c r="D58" s="522">
        <v>7</v>
      </c>
      <c r="E58" s="296" t="s">
        <v>2439</v>
      </c>
      <c r="F58" s="521">
        <v>70</v>
      </c>
      <c r="G58" s="296"/>
      <c r="H58" s="521">
        <v>66</v>
      </c>
      <c r="I58" s="521">
        <v>0</v>
      </c>
      <c r="J58" s="521">
        <v>0</v>
      </c>
      <c r="K58" s="296"/>
      <c r="L58" s="797">
        <f>[1]!tsabetm(C58)</f>
        <v>271.91666666666669</v>
      </c>
      <c r="M58" s="797">
        <f>[1]!tsabetz(C58)</f>
        <v>300.26666666666665</v>
      </c>
      <c r="N58" s="797">
        <f t="shared" si="5"/>
        <v>61.305114638448046</v>
      </c>
      <c r="O58" s="797">
        <f t="shared" si="6"/>
        <v>1445.0028169014086</v>
      </c>
      <c r="P58" s="797">
        <f t="shared" si="9"/>
        <v>26.85143357266611</v>
      </c>
      <c r="Q58" s="797">
        <f t="shared" si="7"/>
        <v>303</v>
      </c>
      <c r="R58" s="797">
        <f t="shared" si="8"/>
        <v>303.44752389287777</v>
      </c>
      <c r="S58" s="797">
        <f>[1]!taqsabet(O58,C58)</f>
        <v>303.44752389287777</v>
      </c>
      <c r="T58" s="296"/>
      <c r="U58" s="522">
        <v>10</v>
      </c>
      <c r="V58" s="522">
        <v>0</v>
      </c>
      <c r="W58" s="522">
        <v>16</v>
      </c>
      <c r="X58" s="522"/>
      <c r="Y58" s="522">
        <v>78</v>
      </c>
      <c r="Z58" s="522">
        <v>15</v>
      </c>
      <c r="AA58" s="522" t="s">
        <v>179</v>
      </c>
      <c r="AB58" s="522">
        <v>5</v>
      </c>
      <c r="AC58" s="522">
        <v>4</v>
      </c>
      <c r="AD58" s="522" t="s">
        <v>2430</v>
      </c>
      <c r="AE58" s="536"/>
    </row>
    <row r="59" spans="1:31">
      <c r="C59" s="525">
        <v>51</v>
      </c>
      <c r="D59" s="523">
        <v>8</v>
      </c>
      <c r="E59" s="524" t="s">
        <v>2440</v>
      </c>
      <c r="F59" s="523">
        <v>70</v>
      </c>
      <c r="G59" s="524"/>
      <c r="H59" s="523">
        <v>66</v>
      </c>
      <c r="I59" s="523">
        <v>0</v>
      </c>
      <c r="J59" s="523">
        <v>0</v>
      </c>
      <c r="K59" s="524"/>
      <c r="L59" s="797">
        <f>[1]!tsabetm(C59)</f>
        <v>268.41666666666669</v>
      </c>
      <c r="M59" s="797">
        <f>[1]!tsabetz(C59)</f>
        <v>296.76666666666665</v>
      </c>
      <c r="N59" s="797">
        <f t="shared" si="5"/>
        <v>61.305114638448046</v>
      </c>
      <c r="O59" s="797">
        <f t="shared" si="6"/>
        <v>1445.0028169014086</v>
      </c>
      <c r="P59" s="797">
        <f t="shared" si="9"/>
        <v>56.85143357266611</v>
      </c>
      <c r="Q59" s="797">
        <f t="shared" si="7"/>
        <v>299</v>
      </c>
      <c r="R59" s="797">
        <f t="shared" si="8"/>
        <v>299.94752389287777</v>
      </c>
      <c r="S59" s="797">
        <f>[1]!taqsabet(O59,C59)</f>
        <v>299.94752389287777</v>
      </c>
      <c r="T59" s="524"/>
      <c r="U59" s="523">
        <v>9</v>
      </c>
      <c r="V59" s="523">
        <v>26</v>
      </c>
      <c r="W59" s="523">
        <v>46</v>
      </c>
      <c r="X59" s="523"/>
      <c r="Y59" s="523">
        <v>80</v>
      </c>
      <c r="Z59" s="523">
        <v>33</v>
      </c>
      <c r="AA59" s="523" t="s">
        <v>179</v>
      </c>
      <c r="AB59" s="523">
        <v>5</v>
      </c>
      <c r="AC59" s="523">
        <v>4</v>
      </c>
      <c r="AD59" s="523" t="s">
        <v>2430</v>
      </c>
      <c r="AE59" s="536"/>
    </row>
    <row r="60" spans="1:31">
      <c r="C60" s="522">
        <v>52</v>
      </c>
      <c r="D60" s="522">
        <v>9</v>
      </c>
      <c r="E60" s="296" t="s">
        <v>2441</v>
      </c>
      <c r="F60" s="521">
        <v>70</v>
      </c>
      <c r="G60" s="296"/>
      <c r="H60" s="521">
        <v>66</v>
      </c>
      <c r="I60" s="521">
        <v>0</v>
      </c>
      <c r="J60" s="521">
        <v>0</v>
      </c>
      <c r="K60" s="296"/>
      <c r="L60" s="797">
        <f>[1]!tsabetm(C60)</f>
        <v>289.08333333333331</v>
      </c>
      <c r="M60" s="797">
        <f>[1]!tsabetz(C60)</f>
        <v>316.76666666666665</v>
      </c>
      <c r="N60" s="797">
        <f t="shared" si="5"/>
        <v>62.781456953642376</v>
      </c>
      <c r="O60" s="797">
        <f t="shared" si="6"/>
        <v>1445.0028169014086</v>
      </c>
      <c r="P60" s="797">
        <f t="shared" si="9"/>
        <v>52.363451595648485</v>
      </c>
      <c r="Q60" s="797">
        <f t="shared" si="7"/>
        <v>319</v>
      </c>
      <c r="R60" s="797">
        <f t="shared" si="8"/>
        <v>319.87272419326081</v>
      </c>
      <c r="S60" s="797">
        <f>[1]!taqsabet(O60,C60)</f>
        <v>319.87272419326081</v>
      </c>
      <c r="T60" s="296"/>
      <c r="U60" s="522">
        <v>10</v>
      </c>
      <c r="V60" s="522">
        <v>16</v>
      </c>
      <c r="W60" s="522">
        <v>46</v>
      </c>
      <c r="X60" s="522"/>
      <c r="Y60" s="522">
        <v>81</v>
      </c>
      <c r="Z60" s="522">
        <v>24</v>
      </c>
      <c r="AA60" s="522" t="s">
        <v>179</v>
      </c>
      <c r="AB60" s="522">
        <v>5</v>
      </c>
      <c r="AC60" s="522">
        <v>4</v>
      </c>
      <c r="AD60" s="522" t="s">
        <v>2430</v>
      </c>
      <c r="AE60" s="536"/>
    </row>
    <row r="61" spans="1:31">
      <c r="C61" s="523">
        <v>53</v>
      </c>
      <c r="D61" s="523">
        <v>10</v>
      </c>
      <c r="E61" s="524" t="s">
        <v>2442</v>
      </c>
      <c r="F61" s="523">
        <v>70</v>
      </c>
      <c r="G61" s="524"/>
      <c r="H61" s="523">
        <v>66</v>
      </c>
      <c r="I61" s="523">
        <v>0</v>
      </c>
      <c r="J61" s="523">
        <v>0</v>
      </c>
      <c r="K61" s="524"/>
      <c r="L61" s="797">
        <f>[1]!tsabetm(C61)</f>
        <v>337.58333333333331</v>
      </c>
      <c r="M61" s="797">
        <f>[1]!tsabetz(C61)</f>
        <v>3.5</v>
      </c>
      <c r="N61" s="797">
        <f t="shared" si="5"/>
        <v>67.061093247588374</v>
      </c>
      <c r="O61" s="797">
        <f t="shared" si="6"/>
        <v>1445.0028169014086</v>
      </c>
      <c r="P61" s="797">
        <f t="shared" si="9"/>
        <v>24.470299356553795</v>
      </c>
      <c r="Q61" s="797">
        <f t="shared" si="7"/>
        <v>6</v>
      </c>
      <c r="R61" s="797">
        <f t="shared" si="8"/>
        <v>6.4078383226092299</v>
      </c>
      <c r="S61" s="797">
        <f>[1]!taqsabet(O61,C61)</f>
        <v>6.4078383226092299</v>
      </c>
      <c r="T61" s="524"/>
      <c r="U61" s="523">
        <v>0</v>
      </c>
      <c r="V61" s="523">
        <v>3</v>
      </c>
      <c r="W61" s="537">
        <v>30</v>
      </c>
      <c r="X61" s="523"/>
      <c r="Y61" s="523">
        <v>81</v>
      </c>
      <c r="Z61" s="523">
        <v>45</v>
      </c>
      <c r="AA61" s="523" t="s">
        <v>179</v>
      </c>
      <c r="AB61" s="523">
        <v>3</v>
      </c>
      <c r="AC61" s="523">
        <v>4</v>
      </c>
      <c r="AD61" s="523" t="s">
        <v>2430</v>
      </c>
      <c r="AE61" s="536"/>
    </row>
    <row r="62" spans="1:31">
      <c r="C62" s="521">
        <v>54</v>
      </c>
      <c r="D62" s="522">
        <v>11</v>
      </c>
      <c r="E62" s="296" t="s">
        <v>2443</v>
      </c>
      <c r="F62" s="521">
        <v>70</v>
      </c>
      <c r="G62" s="296"/>
      <c r="H62" s="521">
        <v>66</v>
      </c>
      <c r="I62" s="521">
        <v>0</v>
      </c>
      <c r="J62" s="521">
        <v>0</v>
      </c>
      <c r="K62" s="296"/>
      <c r="L62" s="797">
        <f>[1]!tsabetm(C62)</f>
        <v>350.08333333333331</v>
      </c>
      <c r="M62" s="797">
        <f>[1]!tsabetz(C62)</f>
        <v>16.316666666666666</v>
      </c>
      <c r="N62" s="797">
        <f t="shared" si="5"/>
        <v>66.251588310038088</v>
      </c>
      <c r="O62" s="797">
        <f t="shared" si="6"/>
        <v>1445.0028169014086</v>
      </c>
      <c r="P62" s="797">
        <f t="shared" si="9"/>
        <v>15.602090795636983</v>
      </c>
      <c r="Q62" s="797">
        <f t="shared" si="7"/>
        <v>19</v>
      </c>
      <c r="R62" s="797">
        <f t="shared" si="8"/>
        <v>19.26003484659395</v>
      </c>
      <c r="S62" s="797">
        <f>[1]!taqsabet(O62,C62)</f>
        <v>19.260034846593953</v>
      </c>
      <c r="T62" s="296"/>
      <c r="U62" s="522">
        <v>0</v>
      </c>
      <c r="V62" s="522">
        <v>16</v>
      </c>
      <c r="W62" s="522">
        <v>19</v>
      </c>
      <c r="X62" s="522"/>
      <c r="Y62" s="538">
        <v>83</v>
      </c>
      <c r="Z62" s="538">
        <v>0</v>
      </c>
      <c r="AA62" s="522" t="s">
        <v>179</v>
      </c>
      <c r="AB62" s="522">
        <v>4</v>
      </c>
      <c r="AC62" s="522">
        <v>4</v>
      </c>
      <c r="AD62" s="522" t="s">
        <v>2430</v>
      </c>
      <c r="AE62" s="536"/>
    </row>
    <row r="63" spans="1:31">
      <c r="C63" s="523">
        <v>55</v>
      </c>
      <c r="D63" s="523">
        <v>12</v>
      </c>
      <c r="E63" s="524" t="s">
        <v>2444</v>
      </c>
      <c r="F63" s="523">
        <v>70</v>
      </c>
      <c r="G63" s="524"/>
      <c r="H63" s="523">
        <v>66</v>
      </c>
      <c r="I63" s="523">
        <v>0</v>
      </c>
      <c r="J63" s="523">
        <v>0</v>
      </c>
      <c r="K63" s="524"/>
      <c r="L63" s="797">
        <f>[1]!tsabetm(C63)</f>
        <v>7.25</v>
      </c>
      <c r="M63" s="797">
        <f>[1]!tsabetz(C63)</f>
        <v>31.266666666666666</v>
      </c>
      <c r="N63" s="797">
        <f t="shared" si="5"/>
        <v>72.36641221374046</v>
      </c>
      <c r="O63" s="797">
        <f t="shared" si="6"/>
        <v>1445.0028169014086</v>
      </c>
      <c r="P63" s="797">
        <f t="shared" si="9"/>
        <v>57.679550722053676</v>
      </c>
      <c r="Q63" s="797">
        <f t="shared" si="7"/>
        <v>33</v>
      </c>
      <c r="R63" s="797">
        <f t="shared" si="8"/>
        <v>33.961325845367561</v>
      </c>
      <c r="S63" s="797">
        <f>[1]!taqsabet(O63,C63)</f>
        <v>33.961325845367561</v>
      </c>
      <c r="T63" s="524"/>
      <c r="U63" s="523">
        <v>1</v>
      </c>
      <c r="V63" s="523">
        <v>1</v>
      </c>
      <c r="W63" s="523">
        <v>16</v>
      </c>
      <c r="X63" s="523"/>
      <c r="Y63" s="523">
        <v>79</v>
      </c>
      <c r="Z63" s="523">
        <v>9</v>
      </c>
      <c r="AA63" s="523" t="s">
        <v>179</v>
      </c>
      <c r="AB63" s="523">
        <v>4</v>
      </c>
      <c r="AC63" s="523">
        <v>4</v>
      </c>
      <c r="AD63" s="523" t="s">
        <v>2430</v>
      </c>
      <c r="AE63" s="536"/>
    </row>
    <row r="64" spans="1:31">
      <c r="C64" s="522">
        <v>56</v>
      </c>
      <c r="D64" s="522">
        <v>13</v>
      </c>
      <c r="E64" s="296" t="s">
        <v>2445</v>
      </c>
      <c r="F64" s="521">
        <v>70</v>
      </c>
      <c r="G64" s="296"/>
      <c r="H64" s="521">
        <v>66</v>
      </c>
      <c r="I64" s="521">
        <v>0</v>
      </c>
      <c r="J64" s="521">
        <v>0</v>
      </c>
      <c r="K64" s="296"/>
      <c r="L64" s="797">
        <f>[1]!tsabetm(C64)</f>
        <v>352.41666666666669</v>
      </c>
      <c r="M64" s="797">
        <f>[1]!tsabetz(C64)</f>
        <v>19.616666666666667</v>
      </c>
      <c r="N64" s="797">
        <f t="shared" si="5"/>
        <v>63.897058823529441</v>
      </c>
      <c r="O64" s="797">
        <f t="shared" si="6"/>
        <v>1445.0028169014086</v>
      </c>
      <c r="P64" s="797">
        <f t="shared" si="9"/>
        <v>40.109664662312241</v>
      </c>
      <c r="Q64" s="797">
        <f t="shared" si="7"/>
        <v>22</v>
      </c>
      <c r="R64" s="797">
        <f t="shared" si="8"/>
        <v>22.668494411038537</v>
      </c>
      <c r="S64" s="797">
        <f>[1]!taqsabet(O64,C64)</f>
        <v>22.668494411038537</v>
      </c>
      <c r="T64" s="296"/>
      <c r="U64" s="522">
        <v>0</v>
      </c>
      <c r="V64" s="522">
        <v>19</v>
      </c>
      <c r="W64" s="522">
        <v>37</v>
      </c>
      <c r="X64" s="522"/>
      <c r="Y64" s="522">
        <v>77</v>
      </c>
      <c r="Z64" s="522">
        <v>36</v>
      </c>
      <c r="AA64" s="522" t="s">
        <v>179</v>
      </c>
      <c r="AB64" s="522">
        <v>5</v>
      </c>
      <c r="AC64" s="522">
        <v>4</v>
      </c>
      <c r="AD64" s="522" t="s">
        <v>2430</v>
      </c>
      <c r="AE64" s="536"/>
    </row>
    <row r="65" spans="2:31">
      <c r="C65" s="525">
        <v>57</v>
      </c>
      <c r="D65" s="523">
        <v>14</v>
      </c>
      <c r="E65" s="524" t="s">
        <v>2446</v>
      </c>
      <c r="F65" s="523">
        <v>70</v>
      </c>
      <c r="G65" s="524"/>
      <c r="H65" s="523">
        <v>66</v>
      </c>
      <c r="I65" s="523">
        <v>0</v>
      </c>
      <c r="J65" s="523">
        <v>0</v>
      </c>
      <c r="K65" s="523" t="s">
        <v>2447</v>
      </c>
      <c r="L65" s="797">
        <f>[1]!tsabetm(C65)</f>
        <v>10.416666666666668</v>
      </c>
      <c r="M65" s="797">
        <f>[1]!tsabetz(C65)</f>
        <v>31.316666666666666</v>
      </c>
      <c r="N65" s="797">
        <f t="shared" si="5"/>
        <v>83.15789473684211</v>
      </c>
      <c r="O65" s="797">
        <f t="shared" si="6"/>
        <v>1445.0028169014086</v>
      </c>
      <c r="P65" s="797">
        <f t="shared" si="9"/>
        <v>39.698234979497471</v>
      </c>
      <c r="Q65" s="797">
        <f t="shared" si="7"/>
        <v>33</v>
      </c>
      <c r="R65" s="797">
        <f t="shared" si="8"/>
        <v>33.661637249658291</v>
      </c>
      <c r="S65" s="797">
        <f>[1]!taqsabet(O65,C65)</f>
        <v>33.661637249658291</v>
      </c>
      <c r="T65" s="524"/>
      <c r="U65" s="523">
        <v>1</v>
      </c>
      <c r="V65" s="523">
        <v>1</v>
      </c>
      <c r="W65" s="523">
        <v>19</v>
      </c>
      <c r="X65" s="523"/>
      <c r="Y65" s="523">
        <v>80</v>
      </c>
      <c r="Z65" s="523">
        <v>30</v>
      </c>
      <c r="AA65" s="523" t="s">
        <v>179</v>
      </c>
      <c r="AB65" s="523">
        <v>5</v>
      </c>
      <c r="AC65" s="523">
        <v>5</v>
      </c>
      <c r="AD65" s="523" t="s">
        <v>2430</v>
      </c>
      <c r="AE65" s="536"/>
    </row>
    <row r="66" spans="2:31">
      <c r="C66" s="522">
        <v>58</v>
      </c>
      <c r="D66" s="522">
        <v>15</v>
      </c>
      <c r="E66" s="296" t="s">
        <v>2448</v>
      </c>
      <c r="F66" s="521">
        <v>70</v>
      </c>
      <c r="G66" s="296"/>
      <c r="H66" s="521">
        <v>66</v>
      </c>
      <c r="I66" s="521">
        <v>0</v>
      </c>
      <c r="J66" s="521">
        <v>0</v>
      </c>
      <c r="K66" s="522" t="s">
        <v>2447</v>
      </c>
      <c r="L66" s="797">
        <f>[1]!tsabetm(C66)</f>
        <v>21.25</v>
      </c>
      <c r="M66" s="797">
        <f>[1]!tsabetz(C66)</f>
        <v>49.016666666666666</v>
      </c>
      <c r="N66" s="797">
        <f t="shared" si="5"/>
        <v>62.593037214885953</v>
      </c>
      <c r="O66" s="797">
        <f t="shared" si="6"/>
        <v>1445.0028169014086</v>
      </c>
      <c r="P66" s="797">
        <f t="shared" si="9"/>
        <v>7.9244493427769669</v>
      </c>
      <c r="Q66" s="797">
        <f t="shared" si="7"/>
        <v>52</v>
      </c>
      <c r="R66" s="797">
        <f t="shared" si="8"/>
        <v>52.132074155712949</v>
      </c>
      <c r="S66" s="797">
        <f>[1]!taqsabet(O66,C66)</f>
        <v>52.132074155712949</v>
      </c>
      <c r="T66" s="522"/>
      <c r="U66" s="522">
        <v>1</v>
      </c>
      <c r="V66" s="522">
        <v>19</v>
      </c>
      <c r="W66" s="522">
        <v>1</v>
      </c>
      <c r="X66" s="522"/>
      <c r="Y66" s="522">
        <v>80</v>
      </c>
      <c r="Z66" s="522">
        <v>0</v>
      </c>
      <c r="AA66" s="522" t="s">
        <v>179</v>
      </c>
      <c r="AB66" s="522">
        <v>5</v>
      </c>
      <c r="AC66" s="522">
        <v>5</v>
      </c>
      <c r="AD66" s="522" t="s">
        <v>2430</v>
      </c>
      <c r="AE66" s="536"/>
    </row>
    <row r="67" spans="2:31">
      <c r="C67" s="523">
        <v>59</v>
      </c>
      <c r="D67" s="523">
        <v>16</v>
      </c>
      <c r="E67" s="524" t="s">
        <v>2449</v>
      </c>
      <c r="F67" s="523">
        <v>70</v>
      </c>
      <c r="G67" s="524"/>
      <c r="H67" s="523">
        <v>66</v>
      </c>
      <c r="I67" s="523">
        <v>0</v>
      </c>
      <c r="J67" s="523">
        <v>0</v>
      </c>
      <c r="K67" s="539" t="s">
        <v>2447</v>
      </c>
      <c r="L67" s="797">
        <f>[1]!tsabetm(C67)</f>
        <v>25.75</v>
      </c>
      <c r="M67" s="797">
        <f>[1]!tsabetz(C67)</f>
        <v>52.666666666666664</v>
      </c>
      <c r="N67" s="797">
        <f t="shared" si="5"/>
        <v>64.569659442724458</v>
      </c>
      <c r="O67" s="797">
        <f t="shared" si="6"/>
        <v>1445.0028169014086</v>
      </c>
      <c r="P67" s="797">
        <f t="shared" si="9"/>
        <v>41.202272322079665</v>
      </c>
      <c r="Q67" s="797">
        <f t="shared" si="7"/>
        <v>55</v>
      </c>
      <c r="R67" s="797">
        <f t="shared" si="8"/>
        <v>55.686704538701328</v>
      </c>
      <c r="S67" s="797">
        <f>[1]!taqsabet(O67,C67)</f>
        <v>55.686704538701328</v>
      </c>
      <c r="T67" s="540"/>
      <c r="U67" s="523">
        <v>1</v>
      </c>
      <c r="V67" s="523">
        <v>22</v>
      </c>
      <c r="W67" s="523">
        <v>40</v>
      </c>
      <c r="X67" s="523"/>
      <c r="Y67" s="523">
        <v>80</v>
      </c>
      <c r="Z67" s="523">
        <v>55</v>
      </c>
      <c r="AA67" s="523" t="s">
        <v>179</v>
      </c>
      <c r="AB67" s="523">
        <v>5</v>
      </c>
      <c r="AC67" s="523">
        <v>5</v>
      </c>
      <c r="AD67" s="523" t="s">
        <v>2430</v>
      </c>
      <c r="AE67" s="541">
        <v>570</v>
      </c>
    </row>
    <row r="68" spans="2:31">
      <c r="C68" s="521">
        <v>60</v>
      </c>
      <c r="D68" s="522">
        <v>17</v>
      </c>
      <c r="E68" s="296" t="s">
        <v>2450</v>
      </c>
      <c r="F68" s="521">
        <v>70</v>
      </c>
      <c r="G68" s="296"/>
      <c r="H68" s="521">
        <v>66</v>
      </c>
      <c r="I68" s="521">
        <v>0</v>
      </c>
      <c r="J68" s="521">
        <v>0</v>
      </c>
      <c r="K68" s="296"/>
      <c r="L68" s="797">
        <f>[1]!tsabetm(C68)</f>
        <v>72.916666666666657</v>
      </c>
      <c r="M68" s="797">
        <f>[1]!tsabetz(C68)</f>
        <v>100.31666666666666</v>
      </c>
      <c r="N68" s="797">
        <f t="shared" si="5"/>
        <v>63.430656934306555</v>
      </c>
      <c r="O68" s="797">
        <f t="shared" si="6"/>
        <v>1445.0028169014086</v>
      </c>
      <c r="P68" s="797">
        <f t="shared" si="9"/>
        <v>23.456059255417188</v>
      </c>
      <c r="Q68" s="797">
        <f t="shared" si="7"/>
        <v>103</v>
      </c>
      <c r="R68" s="797">
        <f t="shared" si="8"/>
        <v>103.39093432092362</v>
      </c>
      <c r="S68" s="797">
        <f>[1]!taqsabet(O68,C68)</f>
        <v>103.39093432092362</v>
      </c>
      <c r="T68" s="296"/>
      <c r="U68" s="522">
        <v>3</v>
      </c>
      <c r="V68" s="522">
        <v>10</v>
      </c>
      <c r="W68" s="522">
        <v>19</v>
      </c>
      <c r="X68" s="522"/>
      <c r="Y68" s="522">
        <v>84</v>
      </c>
      <c r="Z68" s="522">
        <v>12</v>
      </c>
      <c r="AA68" s="522" t="s">
        <v>179</v>
      </c>
      <c r="AB68" s="522">
        <v>4</v>
      </c>
      <c r="AC68" s="522">
        <v>4</v>
      </c>
      <c r="AD68" s="522" t="s">
        <v>2430</v>
      </c>
      <c r="AE68" s="536"/>
    </row>
    <row r="69" spans="2:31">
      <c r="C69" s="523">
        <v>61</v>
      </c>
      <c r="D69" s="523">
        <v>18</v>
      </c>
      <c r="E69" s="524" t="s">
        <v>2451</v>
      </c>
      <c r="F69" s="523">
        <v>70</v>
      </c>
      <c r="G69" s="524"/>
      <c r="H69" s="523">
        <v>66</v>
      </c>
      <c r="I69" s="523">
        <v>0</v>
      </c>
      <c r="J69" s="523">
        <v>0</v>
      </c>
      <c r="K69" s="524"/>
      <c r="L69" s="797">
        <f>[1]!tsabetm(C69)</f>
        <v>49.916666666666664</v>
      </c>
      <c r="M69" s="797">
        <f>[1]!tsabetz(C69)</f>
        <v>72.016666666666666</v>
      </c>
      <c r="N69" s="797">
        <f t="shared" si="5"/>
        <v>78.642533936651574</v>
      </c>
      <c r="O69" s="797">
        <f t="shared" si="6"/>
        <v>1445.0028169014086</v>
      </c>
      <c r="P69" s="797">
        <f t="shared" si="9"/>
        <v>29.776602538128429</v>
      </c>
      <c r="Q69" s="797">
        <f t="shared" si="7"/>
        <v>74</v>
      </c>
      <c r="R69" s="797">
        <f t="shared" si="8"/>
        <v>74.496276708968807</v>
      </c>
      <c r="S69" s="797">
        <f>[1]!taqsabet(O69,C69)</f>
        <v>74.496276708968807</v>
      </c>
      <c r="T69" s="524"/>
      <c r="U69" s="523">
        <v>2</v>
      </c>
      <c r="V69" s="523">
        <v>12</v>
      </c>
      <c r="W69" s="523">
        <v>1</v>
      </c>
      <c r="X69" s="523"/>
      <c r="Y69" s="523">
        <v>83</v>
      </c>
      <c r="Z69" s="523">
        <v>24</v>
      </c>
      <c r="AA69" s="523" t="s">
        <v>179</v>
      </c>
      <c r="AB69" s="523">
        <v>4</v>
      </c>
      <c r="AC69" s="523">
        <v>4</v>
      </c>
      <c r="AD69" s="523" t="s">
        <v>2430</v>
      </c>
      <c r="AE69" s="536"/>
    </row>
    <row r="70" spans="2:31">
      <c r="C70" s="522">
        <v>62</v>
      </c>
      <c r="D70" s="522">
        <v>19</v>
      </c>
      <c r="E70" s="296" t="s">
        <v>2452</v>
      </c>
      <c r="F70" s="521">
        <v>70</v>
      </c>
      <c r="G70" s="296"/>
      <c r="H70" s="521">
        <v>66</v>
      </c>
      <c r="I70" s="521">
        <v>0</v>
      </c>
      <c r="J70" s="521">
        <v>0</v>
      </c>
      <c r="K70" s="296"/>
      <c r="L70" s="797">
        <f>[1]!tsabetm(C70)</f>
        <v>41.416666666666664</v>
      </c>
      <c r="M70" s="797">
        <f>[1]!tsabetz(C70)</f>
        <v>68.61666666666666</v>
      </c>
      <c r="N70" s="797">
        <f t="shared" si="5"/>
        <v>63.89705882352942</v>
      </c>
      <c r="O70" s="797">
        <f t="shared" si="6"/>
        <v>1445.0028169014086</v>
      </c>
      <c r="P70" s="797">
        <f t="shared" si="9"/>
        <v>40.109664662312241</v>
      </c>
      <c r="Q70" s="797">
        <f t="shared" si="7"/>
        <v>71</v>
      </c>
      <c r="R70" s="797">
        <f t="shared" si="8"/>
        <v>71.668494411038537</v>
      </c>
      <c r="S70" s="797">
        <f>[1]!taqsabet(O70,C70)</f>
        <v>71.668494411038537</v>
      </c>
      <c r="T70" s="296"/>
      <c r="U70" s="522">
        <v>2</v>
      </c>
      <c r="V70" s="522">
        <v>8</v>
      </c>
      <c r="W70" s="522">
        <v>37</v>
      </c>
      <c r="X70" s="522"/>
      <c r="Y70" s="522">
        <v>84</v>
      </c>
      <c r="Z70" s="522">
        <v>42</v>
      </c>
      <c r="AA70" s="522" t="s">
        <v>179</v>
      </c>
      <c r="AB70" s="522">
        <v>4</v>
      </c>
      <c r="AC70" s="522">
        <v>4</v>
      </c>
      <c r="AD70" s="522" t="s">
        <v>2430</v>
      </c>
      <c r="AE70" s="536"/>
    </row>
    <row r="71" spans="2:31">
      <c r="C71" s="525">
        <v>63</v>
      </c>
      <c r="D71" s="523">
        <v>20</v>
      </c>
      <c r="E71" s="524" t="s">
        <v>2453</v>
      </c>
      <c r="F71" s="523">
        <v>70</v>
      </c>
      <c r="G71" s="524"/>
      <c r="H71" s="523">
        <v>66</v>
      </c>
      <c r="I71" s="523">
        <v>0</v>
      </c>
      <c r="J71" s="523">
        <v>0</v>
      </c>
      <c r="K71" s="523" t="s">
        <v>2454</v>
      </c>
      <c r="L71" s="797">
        <f>[1]!tsabetm(C71)</f>
        <v>118.25</v>
      </c>
      <c r="M71" s="797">
        <f>[1]!tsabetz(C71)</f>
        <v>137.76666666666668</v>
      </c>
      <c r="N71" s="797">
        <f t="shared" ref="N71:N134" si="10">(1697+41)/((IF(M71-L71&gt;0,M71-L71,M71+360-L71)))</f>
        <v>89.052092228864154</v>
      </c>
      <c r="O71" s="797">
        <f t="shared" si="6"/>
        <v>1445.0028169014086</v>
      </c>
      <c r="P71" s="797">
        <f t="shared" si="9"/>
        <v>57.385672377187689</v>
      </c>
      <c r="Q71" s="797">
        <f t="shared" si="7"/>
        <v>139</v>
      </c>
      <c r="R71" s="797">
        <f t="shared" si="8"/>
        <v>139.95642787295313</v>
      </c>
      <c r="S71" s="797">
        <f>[1]!taqsabet(O71,C71)</f>
        <v>139.95642787295313</v>
      </c>
      <c r="T71" s="524"/>
      <c r="U71" s="523">
        <v>4</v>
      </c>
      <c r="V71" s="523">
        <v>17</v>
      </c>
      <c r="W71" s="523">
        <v>46</v>
      </c>
      <c r="X71" s="523"/>
      <c r="Y71" s="523">
        <v>87</v>
      </c>
      <c r="Z71" s="523">
        <v>15</v>
      </c>
      <c r="AA71" s="523" t="s">
        <v>179</v>
      </c>
      <c r="AB71" s="523">
        <v>6</v>
      </c>
      <c r="AC71" s="523">
        <v>6</v>
      </c>
      <c r="AD71" s="523" t="s">
        <v>2430</v>
      </c>
      <c r="AE71" s="536"/>
    </row>
    <row r="72" spans="2:31">
      <c r="C72" s="522">
        <v>64</v>
      </c>
      <c r="D72" s="522">
        <v>21</v>
      </c>
      <c r="E72" s="296" t="s">
        <v>2455</v>
      </c>
      <c r="F72" s="521">
        <v>70</v>
      </c>
      <c r="G72" s="296"/>
      <c r="H72" s="521">
        <v>66</v>
      </c>
      <c r="I72" s="521">
        <v>0</v>
      </c>
      <c r="J72" s="521">
        <v>0</v>
      </c>
      <c r="K72" s="296"/>
      <c r="L72" s="797">
        <f>[1]!tsabetm(C72)</f>
        <v>111.25</v>
      </c>
      <c r="M72" s="797">
        <f>[1]!tsabetz(C72)</f>
        <v>126.51666666666667</v>
      </c>
      <c r="N72" s="797">
        <f t="shared" si="10"/>
        <v>113.84279475982534</v>
      </c>
      <c r="O72" s="797">
        <f t="shared" ref="O72:O135" si="11">O71</f>
        <v>1445.0028169014086</v>
      </c>
      <c r="P72" s="797">
        <f t="shared" ref="P72:P135" si="12">(R72-Q72)*60</f>
        <v>13.774787273700326</v>
      </c>
      <c r="Q72" s="797">
        <f t="shared" ref="Q72:Q135" si="13">INT(R72)</f>
        <v>128</v>
      </c>
      <c r="R72" s="797">
        <f t="shared" ref="R72:R135" si="14">((O72-1250)/(N72))+M72</f>
        <v>128.22957978789501</v>
      </c>
      <c r="S72" s="797">
        <f>[1]!taqsabet(O72,C72)</f>
        <v>128.22957978789501</v>
      </c>
      <c r="T72" s="296"/>
      <c r="U72" s="522">
        <v>4</v>
      </c>
      <c r="V72" s="522">
        <v>6</v>
      </c>
      <c r="W72" s="522">
        <v>31</v>
      </c>
      <c r="X72" s="522"/>
      <c r="Y72" s="522">
        <v>87</v>
      </c>
      <c r="Z72" s="522">
        <v>45</v>
      </c>
      <c r="AA72" s="522" t="s">
        <v>179</v>
      </c>
      <c r="AB72" s="522">
        <v>6</v>
      </c>
      <c r="AC72" s="522">
        <v>6</v>
      </c>
      <c r="AD72" s="522" t="s">
        <v>2430</v>
      </c>
      <c r="AE72" s="536"/>
    </row>
    <row r="73" spans="2:31">
      <c r="B73" s="327">
        <f>2022-150</f>
        <v>1872</v>
      </c>
      <c r="C73" s="523">
        <v>65</v>
      </c>
      <c r="D73" s="523">
        <v>22</v>
      </c>
      <c r="E73" s="524" t="s">
        <v>2456</v>
      </c>
      <c r="F73" s="523">
        <v>70</v>
      </c>
      <c r="G73" s="524"/>
      <c r="H73" s="523">
        <v>66</v>
      </c>
      <c r="I73" s="523">
        <v>0</v>
      </c>
      <c r="J73" s="523">
        <v>0</v>
      </c>
      <c r="K73" s="524"/>
      <c r="L73" s="797">
        <f>[1]!tsabetm(C73)</f>
        <v>158.58333333333331</v>
      </c>
      <c r="M73" s="797">
        <f>[1]!tsabetz(C73)</f>
        <v>184.11666666666667</v>
      </c>
      <c r="N73" s="797">
        <f t="shared" si="10"/>
        <v>68.067885117493404</v>
      </c>
      <c r="O73" s="797">
        <f t="shared" si="11"/>
        <v>1445.0028169014086</v>
      </c>
      <c r="P73" s="797">
        <f t="shared" si="12"/>
        <v>58.88970971976903</v>
      </c>
      <c r="Q73" s="797">
        <f t="shared" si="13"/>
        <v>186</v>
      </c>
      <c r="R73" s="797">
        <f t="shared" si="14"/>
        <v>186.98149516199615</v>
      </c>
      <c r="S73" s="797">
        <f>[1]!taqsabet(O73,C73)</f>
        <v>186.98149516199615</v>
      </c>
      <c r="T73" s="524"/>
      <c r="U73" s="523">
        <v>6</v>
      </c>
      <c r="V73" s="523">
        <v>4</v>
      </c>
      <c r="W73" s="523">
        <v>7</v>
      </c>
      <c r="X73" s="523"/>
      <c r="Y73" s="523">
        <v>81</v>
      </c>
      <c r="Z73" s="523">
        <v>57</v>
      </c>
      <c r="AA73" s="523" t="s">
        <v>179</v>
      </c>
      <c r="AB73" s="523">
        <v>5</v>
      </c>
      <c r="AC73" s="523">
        <v>5</v>
      </c>
      <c r="AD73" s="523" t="s">
        <v>2430</v>
      </c>
      <c r="AE73" s="536"/>
    </row>
    <row r="74" spans="2:31">
      <c r="C74" s="521">
        <v>66</v>
      </c>
      <c r="D74" s="522">
        <v>23</v>
      </c>
      <c r="E74" s="296" t="s">
        <v>2457</v>
      </c>
      <c r="F74" s="521">
        <v>70</v>
      </c>
      <c r="G74" s="296"/>
      <c r="H74" s="521">
        <v>66</v>
      </c>
      <c r="I74" s="521">
        <v>0</v>
      </c>
      <c r="J74" s="521">
        <v>0</v>
      </c>
      <c r="K74" s="296"/>
      <c r="L74" s="797">
        <f>[1]!tsabetm(C74)</f>
        <v>158.91666666666666</v>
      </c>
      <c r="M74" s="797">
        <f>[1]!tsabetz(C74)</f>
        <v>183.61666666666667</v>
      </c>
      <c r="N74" s="797">
        <f t="shared" si="10"/>
        <v>70.364372469635583</v>
      </c>
      <c r="O74" s="797">
        <f t="shared" si="11"/>
        <v>1445.0028169014086</v>
      </c>
      <c r="P74" s="797">
        <f t="shared" si="12"/>
        <v>23.279732248496998</v>
      </c>
      <c r="Q74" s="797">
        <f t="shared" si="13"/>
        <v>186</v>
      </c>
      <c r="R74" s="797">
        <f t="shared" si="14"/>
        <v>186.38799553747495</v>
      </c>
      <c r="S74" s="797">
        <f>[1]!taqsabet(O74,C74)</f>
        <v>186.38799553747495</v>
      </c>
      <c r="T74" s="296"/>
      <c r="U74" s="522">
        <v>6</v>
      </c>
      <c r="V74" s="522">
        <v>3</v>
      </c>
      <c r="W74" s="522">
        <v>37</v>
      </c>
      <c r="X74" s="522"/>
      <c r="Y74" s="522">
        <v>84</v>
      </c>
      <c r="Z74" s="522">
        <v>0</v>
      </c>
      <c r="AA74" s="522" t="s">
        <v>179</v>
      </c>
      <c r="AB74" s="522">
        <v>5</v>
      </c>
      <c r="AC74" s="522">
        <v>5</v>
      </c>
      <c r="AD74" s="522" t="s">
        <v>2430</v>
      </c>
      <c r="AE74" s="536"/>
    </row>
    <row r="75" spans="2:31">
      <c r="C75" s="523">
        <v>67</v>
      </c>
      <c r="D75" s="523">
        <v>24</v>
      </c>
      <c r="E75" s="524" t="s">
        <v>2458</v>
      </c>
      <c r="F75" s="523">
        <v>70</v>
      </c>
      <c r="G75" s="524"/>
      <c r="H75" s="523">
        <v>66</v>
      </c>
      <c r="I75" s="523">
        <v>0</v>
      </c>
      <c r="J75" s="523">
        <v>0</v>
      </c>
      <c r="K75" s="526" t="s">
        <v>2459</v>
      </c>
      <c r="L75" s="797">
        <f>[1]!tsabetm(C75)</f>
        <v>157.91666666666666</v>
      </c>
      <c r="M75" s="797">
        <f>[1]!tsabetz(C75)</f>
        <v>180.66666666666666</v>
      </c>
      <c r="N75" s="797">
        <f t="shared" si="10"/>
        <v>76.395604395604394</v>
      </c>
      <c r="O75" s="797">
        <f t="shared" si="11"/>
        <v>1445.0028169014086</v>
      </c>
      <c r="P75" s="797">
        <f t="shared" si="12"/>
        <v>13.152384965720785</v>
      </c>
      <c r="Q75" s="797">
        <f t="shared" si="13"/>
        <v>183</v>
      </c>
      <c r="R75" s="797">
        <f t="shared" si="14"/>
        <v>183.21920641609535</v>
      </c>
      <c r="S75" s="797">
        <f>[1]!taqsabet(O75,C75)</f>
        <v>183.21920641609535</v>
      </c>
      <c r="T75" s="523"/>
      <c r="U75" s="523">
        <v>6</v>
      </c>
      <c r="V75" s="523">
        <v>0</v>
      </c>
      <c r="W75" s="523">
        <v>40</v>
      </c>
      <c r="X75" s="523"/>
      <c r="Y75" s="523">
        <v>85</v>
      </c>
      <c r="Z75" s="523">
        <v>15</v>
      </c>
      <c r="AA75" s="523" t="s">
        <v>179</v>
      </c>
      <c r="AB75" s="523">
        <v>3</v>
      </c>
      <c r="AC75" s="523">
        <v>3</v>
      </c>
      <c r="AD75" s="523" t="s">
        <v>2430</v>
      </c>
      <c r="AE75" s="536"/>
    </row>
    <row r="76" spans="2:31">
      <c r="C76" s="522">
        <v>68</v>
      </c>
      <c r="D76" s="522">
        <v>25</v>
      </c>
      <c r="E76" s="296" t="s">
        <v>2460</v>
      </c>
      <c r="F76" s="521">
        <v>70</v>
      </c>
      <c r="G76" s="296"/>
      <c r="H76" s="521">
        <v>66</v>
      </c>
      <c r="I76" s="521">
        <v>0</v>
      </c>
      <c r="J76" s="521">
        <v>0</v>
      </c>
      <c r="K76" s="296"/>
      <c r="L76" s="797">
        <f>[1]!tsabetm(C76)</f>
        <v>159.58333333333331</v>
      </c>
      <c r="M76" s="797">
        <f>[1]!tsabetz(C76)</f>
        <v>193.01666666666668</v>
      </c>
      <c r="N76" s="797">
        <f t="shared" si="10"/>
        <v>51.984047856430657</v>
      </c>
      <c r="O76" s="797">
        <f t="shared" si="11"/>
        <v>1445.0028169014086</v>
      </c>
      <c r="P76" s="797">
        <f t="shared" si="12"/>
        <v>46.07229614742721</v>
      </c>
      <c r="Q76" s="797">
        <f t="shared" si="13"/>
        <v>196</v>
      </c>
      <c r="R76" s="797">
        <f t="shared" si="14"/>
        <v>196.76787160245712</v>
      </c>
      <c r="S76" s="797">
        <f>[1]!taqsabet(O76,C76)</f>
        <v>196.76787160245712</v>
      </c>
      <c r="T76" s="296"/>
      <c r="U76" s="522">
        <v>6</v>
      </c>
      <c r="V76" s="522">
        <v>13</v>
      </c>
      <c r="W76" s="522">
        <v>1</v>
      </c>
      <c r="X76" s="522"/>
      <c r="Y76" s="522">
        <v>78</v>
      </c>
      <c r="Z76" s="522">
        <v>57</v>
      </c>
      <c r="AA76" s="522" t="s">
        <v>179</v>
      </c>
      <c r="AB76" s="522">
        <v>3</v>
      </c>
      <c r="AC76" s="522">
        <v>3</v>
      </c>
      <c r="AD76" s="522" t="s">
        <v>2430</v>
      </c>
      <c r="AE76" s="536"/>
    </row>
    <row r="77" spans="2:31">
      <c r="C77" s="525">
        <v>69</v>
      </c>
      <c r="D77" s="523">
        <v>26</v>
      </c>
      <c r="E77" s="524" t="s">
        <v>2461</v>
      </c>
      <c r="F77" s="523">
        <v>70</v>
      </c>
      <c r="G77" s="524"/>
      <c r="H77" s="523">
        <v>66</v>
      </c>
      <c r="I77" s="523">
        <v>0</v>
      </c>
      <c r="J77" s="523">
        <v>0</v>
      </c>
      <c r="K77" s="524"/>
      <c r="L77" s="797">
        <f>[1]!tsabetm(C77)</f>
        <v>139.58333333333331</v>
      </c>
      <c r="M77" s="797">
        <f>[1]!tsabetz(C77)</f>
        <v>194.71666666666667</v>
      </c>
      <c r="N77" s="797">
        <f t="shared" si="10"/>
        <v>31.523579201934691</v>
      </c>
      <c r="O77" s="797">
        <f t="shared" si="11"/>
        <v>1445.0028169014086</v>
      </c>
      <c r="P77" s="797">
        <f t="shared" si="12"/>
        <v>54.156109499343756</v>
      </c>
      <c r="Q77" s="797">
        <f t="shared" si="13"/>
        <v>200</v>
      </c>
      <c r="R77" s="797">
        <f t="shared" si="14"/>
        <v>200.90260182498906</v>
      </c>
      <c r="S77" s="797">
        <f>[1]!taqsabet(O77,C77)</f>
        <v>200.90260182498906</v>
      </c>
      <c r="T77" s="524"/>
      <c r="U77" s="523">
        <v>6</v>
      </c>
      <c r="V77" s="523">
        <v>14</v>
      </c>
      <c r="W77" s="523">
        <v>43</v>
      </c>
      <c r="X77" s="523"/>
      <c r="Y77" s="523">
        <v>74</v>
      </c>
      <c r="Z77" s="523">
        <v>30</v>
      </c>
      <c r="AA77" s="523" t="s">
        <v>179</v>
      </c>
      <c r="AB77" s="523">
        <v>4</v>
      </c>
      <c r="AC77" s="523">
        <v>4</v>
      </c>
      <c r="AD77" s="523" t="s">
        <v>2430</v>
      </c>
      <c r="AE77" s="536"/>
    </row>
    <row r="78" spans="2:31">
      <c r="C78" s="522">
        <v>70</v>
      </c>
      <c r="D78" s="522">
        <v>27</v>
      </c>
      <c r="E78" s="296" t="s">
        <v>2462</v>
      </c>
      <c r="F78" s="521">
        <v>70</v>
      </c>
      <c r="G78" s="296"/>
      <c r="H78" s="521">
        <v>82</v>
      </c>
      <c r="I78" s="521">
        <v>3</v>
      </c>
      <c r="J78" s="521">
        <v>17</v>
      </c>
      <c r="K78" s="522" t="s">
        <v>2463</v>
      </c>
      <c r="L78" s="797">
        <f>[1]!tsabetm(C78)</f>
        <v>162.25</v>
      </c>
      <c r="M78" s="797">
        <f>[1]!tsabetz(C78)</f>
        <v>183.91666666666666</v>
      </c>
      <c r="N78" s="797">
        <f t="shared" si="10"/>
        <v>80.21538461538465</v>
      </c>
      <c r="O78" s="797">
        <f t="shared" si="11"/>
        <v>1445.0028169014086</v>
      </c>
      <c r="P78" s="797">
        <f t="shared" si="12"/>
        <v>20.859414253067143</v>
      </c>
      <c r="Q78" s="797">
        <f t="shared" si="13"/>
        <v>186</v>
      </c>
      <c r="R78" s="797">
        <f t="shared" si="14"/>
        <v>186.34765690421779</v>
      </c>
      <c r="S78" s="797">
        <f>[1]!taqsabet(O78,C78)</f>
        <v>186.34765690421779</v>
      </c>
      <c r="T78" s="522"/>
      <c r="U78" s="522">
        <v>6</v>
      </c>
      <c r="V78" s="522">
        <v>3</v>
      </c>
      <c r="W78" s="522">
        <v>55</v>
      </c>
      <c r="X78" s="522"/>
      <c r="Y78" s="522">
        <v>71</v>
      </c>
      <c r="Z78" s="522">
        <v>27</v>
      </c>
      <c r="AA78" s="522" t="s">
        <v>179</v>
      </c>
      <c r="AB78" s="522">
        <v>3</v>
      </c>
      <c r="AC78" s="522">
        <v>3</v>
      </c>
      <c r="AD78" s="522" t="s">
        <v>2430</v>
      </c>
      <c r="AE78" s="536"/>
    </row>
    <row r="79" spans="2:31">
      <c r="C79" s="523">
        <v>71</v>
      </c>
      <c r="D79" s="523">
        <v>28</v>
      </c>
      <c r="E79" s="524" t="s">
        <v>2464</v>
      </c>
      <c r="F79" s="523">
        <v>70</v>
      </c>
      <c r="G79" s="524"/>
      <c r="H79" s="523">
        <v>66</v>
      </c>
      <c r="I79" s="523">
        <v>0</v>
      </c>
      <c r="J79" s="523">
        <v>0</v>
      </c>
      <c r="K79" s="524"/>
      <c r="L79" s="797">
        <f>[1]!tsabetm(C79)</f>
        <v>126.91666666666666</v>
      </c>
      <c r="M79" s="797">
        <f>[1]!tsabetz(C79)</f>
        <v>153.51666666666668</v>
      </c>
      <c r="N79" s="797">
        <f t="shared" si="10"/>
        <v>65.338345864661605</v>
      </c>
      <c r="O79" s="797">
        <f t="shared" si="11"/>
        <v>1445.0028169014086</v>
      </c>
      <c r="P79" s="797">
        <f t="shared" si="12"/>
        <v>30.070480882998254</v>
      </c>
      <c r="Q79" s="797">
        <f t="shared" si="13"/>
        <v>156</v>
      </c>
      <c r="R79" s="797">
        <f t="shared" si="14"/>
        <v>156.5011746813833</v>
      </c>
      <c r="S79" s="797">
        <f>[1]!taqsabet(O79,C79)</f>
        <v>156.5011746813833</v>
      </c>
      <c r="T79" s="524"/>
      <c r="U79" s="523">
        <v>5</v>
      </c>
      <c r="V79" s="523">
        <v>3</v>
      </c>
      <c r="W79" s="523">
        <v>31</v>
      </c>
      <c r="X79" s="523"/>
      <c r="Y79" s="523">
        <v>65</v>
      </c>
      <c r="Z79" s="523">
        <v>21</v>
      </c>
      <c r="AA79" s="523" t="s">
        <v>179</v>
      </c>
      <c r="AB79" s="523">
        <v>5</v>
      </c>
      <c r="AC79" s="523">
        <v>4</v>
      </c>
      <c r="AD79" s="523" t="s">
        <v>2430</v>
      </c>
      <c r="AE79" s="536"/>
    </row>
    <row r="80" spans="2:31">
      <c r="C80" s="521">
        <v>72</v>
      </c>
      <c r="D80" s="522">
        <v>29</v>
      </c>
      <c r="E80" s="296" t="s">
        <v>2465</v>
      </c>
      <c r="F80" s="521">
        <v>70</v>
      </c>
      <c r="G80" s="296"/>
      <c r="H80" s="521">
        <v>66</v>
      </c>
      <c r="I80" s="521">
        <v>0</v>
      </c>
      <c r="J80" s="521">
        <v>0</v>
      </c>
      <c r="K80" s="296"/>
      <c r="L80" s="797">
        <f>[1]!tsabetm(C80)</f>
        <v>130.75</v>
      </c>
      <c r="M80" s="797">
        <f>[1]!tsabetz(C80)</f>
        <v>156.66666666666666</v>
      </c>
      <c r="N80" s="797">
        <f t="shared" si="10"/>
        <v>67.061093247588445</v>
      </c>
      <c r="O80" s="797">
        <f t="shared" si="11"/>
        <v>1445.0028169014086</v>
      </c>
      <c r="P80" s="797">
        <f t="shared" si="12"/>
        <v>34.4702993565528</v>
      </c>
      <c r="Q80" s="797">
        <f t="shared" si="13"/>
        <v>159</v>
      </c>
      <c r="R80" s="797">
        <f t="shared" si="14"/>
        <v>159.57450498927588</v>
      </c>
      <c r="S80" s="797">
        <f>[1]!taqsabet(O80,C80)</f>
        <v>159.57450498927588</v>
      </c>
      <c r="T80" s="296"/>
      <c r="U80" s="522">
        <v>5</v>
      </c>
      <c r="V80" s="522">
        <v>6</v>
      </c>
      <c r="W80" s="522">
        <v>40</v>
      </c>
      <c r="X80" s="522"/>
      <c r="Y80" s="522">
        <v>66</v>
      </c>
      <c r="Z80" s="522">
        <v>27</v>
      </c>
      <c r="AA80" s="522" t="s">
        <v>179</v>
      </c>
      <c r="AB80" s="522">
        <v>3</v>
      </c>
      <c r="AC80" s="522">
        <v>3</v>
      </c>
      <c r="AD80" s="522" t="s">
        <v>2430</v>
      </c>
      <c r="AE80" s="536"/>
    </row>
    <row r="81" spans="1:31">
      <c r="C81" s="523">
        <v>73</v>
      </c>
      <c r="D81" s="523">
        <v>30</v>
      </c>
      <c r="E81" s="524" t="s">
        <v>2466</v>
      </c>
      <c r="F81" s="523">
        <v>70</v>
      </c>
      <c r="G81" s="524"/>
      <c r="H81" s="523">
        <v>66</v>
      </c>
      <c r="I81" s="523">
        <v>0</v>
      </c>
      <c r="J81" s="523">
        <v>0</v>
      </c>
      <c r="K81" s="524"/>
      <c r="L81" s="797">
        <f>[1]!tsabetm(C81)</f>
        <v>108.75</v>
      </c>
      <c r="M81" s="797">
        <f>[1]!tsabetz(C81)</f>
        <v>134.71666666666667</v>
      </c>
      <c r="N81" s="797">
        <f t="shared" si="10"/>
        <v>66.93196405648267</v>
      </c>
      <c r="O81" s="797">
        <f t="shared" si="11"/>
        <v>1445.0028169014086</v>
      </c>
      <c r="P81" s="797">
        <f t="shared" si="12"/>
        <v>37.806898004829463</v>
      </c>
      <c r="Q81" s="797">
        <f t="shared" si="13"/>
        <v>137</v>
      </c>
      <c r="R81" s="797">
        <f t="shared" si="14"/>
        <v>137.63011496674716</v>
      </c>
      <c r="S81" s="797">
        <f>[1]!taqsabet(O81,C81)</f>
        <v>137.63011496674716</v>
      </c>
      <c r="T81" s="524"/>
      <c r="U81" s="523">
        <v>4</v>
      </c>
      <c r="V81" s="523">
        <v>14</v>
      </c>
      <c r="W81" s="523">
        <v>43</v>
      </c>
      <c r="X81" s="523"/>
      <c r="Y81" s="523">
        <v>61</v>
      </c>
      <c r="Z81" s="523">
        <v>54</v>
      </c>
      <c r="AA81" s="523" t="s">
        <v>179</v>
      </c>
      <c r="AB81" s="523">
        <v>3</v>
      </c>
      <c r="AC81" s="523">
        <v>3</v>
      </c>
      <c r="AD81" s="523" t="s">
        <v>2430</v>
      </c>
      <c r="AE81" s="536"/>
    </row>
    <row r="82" spans="1:31">
      <c r="C82" s="522">
        <v>74</v>
      </c>
      <c r="D82" s="522">
        <v>31</v>
      </c>
      <c r="E82" s="296" t="s">
        <v>2467</v>
      </c>
      <c r="F82" s="521">
        <v>70</v>
      </c>
      <c r="G82" s="296"/>
      <c r="H82" s="521">
        <v>66</v>
      </c>
      <c r="I82" s="521">
        <v>0</v>
      </c>
      <c r="J82" s="521">
        <v>0</v>
      </c>
      <c r="K82" s="296"/>
      <c r="L82" s="797">
        <f>[1]!tsabetm(C82)</f>
        <v>102.75</v>
      </c>
      <c r="M82" s="797">
        <f>[1]!tsabetz(C82)</f>
        <v>128.51666666666668</v>
      </c>
      <c r="N82" s="797">
        <f t="shared" si="10"/>
        <v>67.451487710219894</v>
      </c>
      <c r="O82" s="797">
        <f t="shared" si="11"/>
        <v>1445.0028169014086</v>
      </c>
      <c r="P82" s="797">
        <f t="shared" si="12"/>
        <v>24.460503411726222</v>
      </c>
      <c r="Q82" s="797">
        <f t="shared" si="13"/>
        <v>131</v>
      </c>
      <c r="R82" s="797">
        <f t="shared" si="14"/>
        <v>131.4076750568621</v>
      </c>
      <c r="S82" s="797">
        <f>[1]!taqsabet(O82,C82)</f>
        <v>131.4076750568621</v>
      </c>
      <c r="T82" s="296"/>
      <c r="U82" s="522">
        <v>4</v>
      </c>
      <c r="V82" s="522">
        <v>8</v>
      </c>
      <c r="W82" s="522">
        <v>31</v>
      </c>
      <c r="X82" s="522"/>
      <c r="Y82" s="522">
        <v>57</v>
      </c>
      <c r="Z82" s="522">
        <v>9</v>
      </c>
      <c r="AA82" s="522" t="s">
        <v>179</v>
      </c>
      <c r="AB82" s="522">
        <v>3</v>
      </c>
      <c r="AC82" s="522">
        <v>3</v>
      </c>
      <c r="AD82" s="522" t="s">
        <v>2430</v>
      </c>
      <c r="AE82" s="536"/>
    </row>
    <row r="83" spans="1:31">
      <c r="A83" s="520">
        <v>4</v>
      </c>
      <c r="B83" s="542" t="s">
        <v>2355</v>
      </c>
      <c r="C83" s="506" t="s">
        <v>2356</v>
      </c>
      <c r="D83" s="507" t="s">
        <v>2357</v>
      </c>
      <c r="E83" s="511" t="s">
        <v>2358</v>
      </c>
      <c r="F83" s="511"/>
      <c r="G83" s="511"/>
      <c r="H83" s="511"/>
      <c r="I83" s="511"/>
      <c r="J83" s="511"/>
      <c r="K83" s="514" t="s">
        <v>2360</v>
      </c>
      <c r="N83" s="797">
        <f t="shared" si="10"/>
        <v>4.8277777777777775</v>
      </c>
      <c r="O83" s="797">
        <f t="shared" si="11"/>
        <v>1445.0028169014086</v>
      </c>
      <c r="P83" s="797">
        <f t="shared" si="12"/>
        <v>23.510267589427372</v>
      </c>
      <c r="Q83" s="797">
        <f t="shared" si="13"/>
        <v>40</v>
      </c>
      <c r="R83" s="797">
        <f t="shared" si="14"/>
        <v>40.391837793157123</v>
      </c>
      <c r="S83" s="797" t="e">
        <f>[1]!taqsabet(O83,C83)</f>
        <v>#VALUE!</v>
      </c>
      <c r="T83" s="507"/>
      <c r="U83" s="508" t="s">
        <v>403</v>
      </c>
      <c r="V83" s="508"/>
      <c r="W83" s="509"/>
      <c r="X83" s="507"/>
      <c r="Y83" s="509" t="s">
        <v>275</v>
      </c>
      <c r="Z83" s="510"/>
      <c r="AA83" s="506" t="s">
        <v>176</v>
      </c>
      <c r="AB83" s="511" t="s">
        <v>2361</v>
      </c>
      <c r="AC83" s="511" t="s">
        <v>2362</v>
      </c>
      <c r="AD83" s="511" t="s">
        <v>2363</v>
      </c>
    </row>
    <row r="84" spans="1:31">
      <c r="B84" s="513"/>
      <c r="C84" s="512"/>
      <c r="D84" s="512"/>
      <c r="E84" s="513"/>
      <c r="F84" s="513"/>
      <c r="G84" s="513"/>
      <c r="H84" s="513"/>
      <c r="I84" s="513"/>
      <c r="J84" s="513"/>
      <c r="K84" s="514"/>
      <c r="N84" s="797">
        <f t="shared" si="10"/>
        <v>4.8277777777777775</v>
      </c>
      <c r="O84" s="797">
        <f t="shared" si="11"/>
        <v>1445.0028169014086</v>
      </c>
      <c r="P84" s="797">
        <f t="shared" si="12"/>
        <v>23.510267589427372</v>
      </c>
      <c r="Q84" s="797">
        <f t="shared" si="13"/>
        <v>40</v>
      </c>
      <c r="R84" s="797">
        <f t="shared" si="14"/>
        <v>40.391837793157123</v>
      </c>
      <c r="S84" s="797">
        <f>[1]!taqsabet(O84,C84)</f>
        <v>1.4716840899636423</v>
      </c>
      <c r="T84" s="515" t="s">
        <v>2367</v>
      </c>
      <c r="U84" s="516" t="s">
        <v>173</v>
      </c>
      <c r="V84" s="516" t="s">
        <v>172</v>
      </c>
      <c r="W84" s="516" t="s">
        <v>166</v>
      </c>
      <c r="X84" s="517" t="s">
        <v>2367</v>
      </c>
      <c r="Y84" s="516" t="s">
        <v>172</v>
      </c>
      <c r="Z84" s="518" t="s">
        <v>166</v>
      </c>
      <c r="AA84" s="512"/>
      <c r="AB84" s="517" t="s">
        <v>2368</v>
      </c>
      <c r="AC84" s="517" t="s">
        <v>2369</v>
      </c>
      <c r="AD84" s="513"/>
    </row>
    <row r="85" spans="1:31">
      <c r="B85" s="327" t="s">
        <v>2468</v>
      </c>
      <c r="C85" s="527">
        <v>75</v>
      </c>
      <c r="D85" s="527">
        <v>1</v>
      </c>
      <c r="E85" s="528" t="s">
        <v>2469</v>
      </c>
      <c r="F85" s="527">
        <v>70</v>
      </c>
      <c r="G85" s="528"/>
      <c r="H85" s="527">
        <v>66</v>
      </c>
      <c r="I85" s="527">
        <v>0</v>
      </c>
      <c r="J85" s="527">
        <v>0</v>
      </c>
      <c r="K85" s="528"/>
      <c r="L85" s="797">
        <f>[1]!tsabetm(C85)</f>
        <v>34.583333333333336</v>
      </c>
      <c r="M85" s="797">
        <f>[1]!tsabetz(C85)</f>
        <v>61.016666666666666</v>
      </c>
      <c r="N85" s="797">
        <f t="shared" si="10"/>
        <v>65.750315258511989</v>
      </c>
      <c r="O85" s="797">
        <f t="shared" si="11"/>
        <v>1445.0028169014086</v>
      </c>
      <c r="P85" s="797">
        <f t="shared" si="12"/>
        <v>58.948485388742142</v>
      </c>
      <c r="Q85" s="797">
        <f t="shared" si="13"/>
        <v>63</v>
      </c>
      <c r="R85" s="797">
        <f t="shared" si="14"/>
        <v>63.982474756479036</v>
      </c>
      <c r="S85" s="797">
        <f>[1]!taqsabet(O85,C85)</f>
        <v>63.982474756479036</v>
      </c>
      <c r="T85" s="527"/>
      <c r="U85" s="527">
        <v>2</v>
      </c>
      <c r="V85" s="527">
        <v>1</v>
      </c>
      <c r="W85" s="527">
        <v>1</v>
      </c>
      <c r="X85" s="527"/>
      <c r="Y85" s="527">
        <v>74</v>
      </c>
      <c r="Z85" s="527">
        <v>45</v>
      </c>
      <c r="AA85" s="527" t="s">
        <v>179</v>
      </c>
      <c r="AB85" s="527">
        <v>5</v>
      </c>
      <c r="AC85" s="527">
        <v>4</v>
      </c>
      <c r="AD85" s="527" t="s">
        <v>2470</v>
      </c>
    </row>
    <row r="86" spans="1:31">
      <c r="C86" s="523">
        <v>76</v>
      </c>
      <c r="D86" s="523">
        <v>2</v>
      </c>
      <c r="E86" s="543" t="s">
        <v>2471</v>
      </c>
      <c r="F86" s="523">
        <v>70</v>
      </c>
      <c r="G86" s="543"/>
      <c r="H86" s="523">
        <v>68</v>
      </c>
      <c r="I86" s="523">
        <v>3</v>
      </c>
      <c r="J86" s="523">
        <v>8</v>
      </c>
      <c r="K86" s="523" t="s">
        <v>2472</v>
      </c>
      <c r="L86" s="797">
        <f>[1]!tsabetm(C86)</f>
        <v>32.583333333333336</v>
      </c>
      <c r="M86" s="797">
        <f>[1]!tsabetz(C86)</f>
        <v>58.616666666666667</v>
      </c>
      <c r="N86" s="797">
        <f t="shared" si="10"/>
        <v>66.760563380281695</v>
      </c>
      <c r="O86" s="797">
        <f t="shared" si="11"/>
        <v>1445.0028169014086</v>
      </c>
      <c r="P86" s="797">
        <f t="shared" si="12"/>
        <v>32.255696202531823</v>
      </c>
      <c r="Q86" s="797">
        <f t="shared" si="13"/>
        <v>61</v>
      </c>
      <c r="R86" s="797">
        <f t="shared" si="14"/>
        <v>61.537594936708864</v>
      </c>
      <c r="S86" s="797">
        <f>[1]!taqsabet(O86,C86)</f>
        <v>61.537594936708864</v>
      </c>
      <c r="T86" s="523"/>
      <c r="U86" s="523">
        <v>1</v>
      </c>
      <c r="V86" s="523">
        <v>28</v>
      </c>
      <c r="W86" s="523">
        <v>37</v>
      </c>
      <c r="X86" s="523"/>
      <c r="Y86" s="523">
        <v>64</v>
      </c>
      <c r="Z86" s="523">
        <v>30</v>
      </c>
      <c r="AA86" s="523" t="s">
        <v>179</v>
      </c>
      <c r="AB86" s="523">
        <v>4</v>
      </c>
      <c r="AC86" s="523">
        <v>4</v>
      </c>
      <c r="AD86" s="523" t="s">
        <v>2470</v>
      </c>
    </row>
    <row r="87" spans="1:31">
      <c r="C87" s="527">
        <v>77</v>
      </c>
      <c r="D87" s="527">
        <v>3</v>
      </c>
      <c r="E87" s="528" t="s">
        <v>2473</v>
      </c>
      <c r="F87" s="527">
        <v>70</v>
      </c>
      <c r="G87" s="528"/>
      <c r="H87" s="527">
        <v>66</v>
      </c>
      <c r="I87" s="527">
        <v>0</v>
      </c>
      <c r="J87" s="527">
        <v>0</v>
      </c>
      <c r="K87" s="527"/>
      <c r="L87" s="797">
        <f>[1]!tsabetm(C87)</f>
        <v>7.5833333333333321</v>
      </c>
      <c r="M87" s="797">
        <f>[1]!tsabetz(C87)</f>
        <v>33.716666666666669</v>
      </c>
      <c r="N87" s="797">
        <f t="shared" si="10"/>
        <v>66.505102040816325</v>
      </c>
      <c r="O87" s="797">
        <f t="shared" si="11"/>
        <v>1445.0028169014086</v>
      </c>
      <c r="P87" s="797">
        <f t="shared" si="12"/>
        <v>38.928893499084296</v>
      </c>
      <c r="Q87" s="797">
        <f t="shared" si="13"/>
        <v>36</v>
      </c>
      <c r="R87" s="797">
        <f t="shared" si="14"/>
        <v>36.648814891651405</v>
      </c>
      <c r="S87" s="797">
        <f>[1]!taqsabet(O87,C87)</f>
        <v>36.648814891651405</v>
      </c>
      <c r="T87" s="527"/>
      <c r="U87" s="527">
        <v>1</v>
      </c>
      <c r="V87" s="527">
        <v>3</v>
      </c>
      <c r="W87" s="527">
        <v>43</v>
      </c>
      <c r="X87" s="527"/>
      <c r="Y87" s="527">
        <v>71</v>
      </c>
      <c r="Z87" s="527">
        <v>15</v>
      </c>
      <c r="AA87" s="527" t="s">
        <v>179</v>
      </c>
      <c r="AB87" s="527">
        <v>4</v>
      </c>
      <c r="AC87" s="527">
        <v>4</v>
      </c>
      <c r="AD87" s="527" t="s">
        <v>2470</v>
      </c>
    </row>
    <row r="88" spans="1:31">
      <c r="C88" s="523">
        <v>78</v>
      </c>
      <c r="D88" s="523">
        <v>4</v>
      </c>
      <c r="E88" s="543" t="s">
        <v>2474</v>
      </c>
      <c r="F88" s="523">
        <v>70</v>
      </c>
      <c r="G88" s="543"/>
      <c r="H88" s="523">
        <v>66</v>
      </c>
      <c r="I88" s="523">
        <v>0</v>
      </c>
      <c r="J88" s="523">
        <v>0</v>
      </c>
      <c r="K88" s="523" t="s">
        <v>2475</v>
      </c>
      <c r="L88" s="797">
        <f>[1]!tsabetm(C88)</f>
        <v>346.25</v>
      </c>
      <c r="M88" s="797">
        <f>[1]!tsabetz(C88)</f>
        <v>10.666666666666666</v>
      </c>
      <c r="N88" s="797">
        <f t="shared" si="10"/>
        <v>71.180887372013601</v>
      </c>
      <c r="O88" s="797">
        <f t="shared" si="11"/>
        <v>1445.0028169014086</v>
      </c>
      <c r="P88" s="797">
        <f t="shared" si="12"/>
        <v>24.372339908264422</v>
      </c>
      <c r="Q88" s="797">
        <f t="shared" si="13"/>
        <v>13</v>
      </c>
      <c r="R88" s="797">
        <f t="shared" si="14"/>
        <v>13.40620566513774</v>
      </c>
      <c r="S88" s="797">
        <f>[1]!taqsabet(O88,C88)</f>
        <v>13.406205665137739</v>
      </c>
      <c r="T88" s="523"/>
      <c r="U88" s="523">
        <v>0</v>
      </c>
      <c r="V88" s="523">
        <v>10</v>
      </c>
      <c r="W88" s="523">
        <v>40</v>
      </c>
      <c r="X88" s="523"/>
      <c r="Y88" s="523">
        <v>98</v>
      </c>
      <c r="Z88" s="523">
        <v>36</v>
      </c>
      <c r="AA88" s="523" t="s">
        <v>179</v>
      </c>
      <c r="AB88" s="523">
        <v>3</v>
      </c>
      <c r="AC88" s="523">
        <v>3</v>
      </c>
      <c r="AD88" s="523" t="s">
        <v>2470</v>
      </c>
    </row>
    <row r="89" spans="1:31">
      <c r="C89" s="527">
        <v>79</v>
      </c>
      <c r="D89" s="527">
        <v>5</v>
      </c>
      <c r="E89" s="528" t="s">
        <v>2476</v>
      </c>
      <c r="F89" s="527">
        <v>70</v>
      </c>
      <c r="G89" s="528"/>
      <c r="H89" s="527">
        <v>66</v>
      </c>
      <c r="I89" s="527">
        <v>0</v>
      </c>
      <c r="J89" s="527">
        <v>0</v>
      </c>
      <c r="K89" s="527"/>
      <c r="L89" s="797">
        <f>[1]!tsabetm(C89)</f>
        <v>338.91666666666669</v>
      </c>
      <c r="M89" s="797">
        <f>[1]!tsabetz(C89)</f>
        <v>2.5166666666666666</v>
      </c>
      <c r="N89" s="797">
        <f t="shared" si="10"/>
        <v>73.644067796610273</v>
      </c>
      <c r="O89" s="797">
        <f t="shared" si="11"/>
        <v>1445.0028169014086</v>
      </c>
      <c r="P89" s="797">
        <f t="shared" si="12"/>
        <v>9.8745619864177669</v>
      </c>
      <c r="Q89" s="797">
        <f t="shared" si="13"/>
        <v>5</v>
      </c>
      <c r="R89" s="797">
        <f t="shared" si="14"/>
        <v>5.1645760331069628</v>
      </c>
      <c r="S89" s="797">
        <f>[1]!taqsabet(O89,C89)</f>
        <v>5.1645760331069646</v>
      </c>
      <c r="T89" s="527"/>
      <c r="U89" s="527">
        <v>0</v>
      </c>
      <c r="V89" s="527">
        <v>2</v>
      </c>
      <c r="W89" s="527">
        <v>31</v>
      </c>
      <c r="X89" s="527"/>
      <c r="Y89" s="527">
        <v>71</v>
      </c>
      <c r="Z89" s="527">
        <v>33</v>
      </c>
      <c r="AA89" s="527" t="s">
        <v>179</v>
      </c>
      <c r="AB89" s="527">
        <v>4</v>
      </c>
      <c r="AC89" s="527">
        <v>4</v>
      </c>
      <c r="AD89" s="527" t="s">
        <v>2470</v>
      </c>
      <c r="AE89" s="530">
        <v>571</v>
      </c>
    </row>
    <row r="90" spans="1:31">
      <c r="C90" s="523">
        <v>80</v>
      </c>
      <c r="D90" s="523">
        <v>6</v>
      </c>
      <c r="E90" s="523" t="s">
        <v>2477</v>
      </c>
      <c r="F90" s="523">
        <v>70</v>
      </c>
      <c r="G90" s="523"/>
      <c r="H90" s="523">
        <v>66</v>
      </c>
      <c r="I90" s="523">
        <v>0</v>
      </c>
      <c r="J90" s="523">
        <v>0</v>
      </c>
      <c r="K90" s="523"/>
      <c r="L90" s="797">
        <f>[1]!tsabetm(C90)</f>
        <v>339.58333333333331</v>
      </c>
      <c r="M90" s="797">
        <f>[1]!tsabetz(C90)</f>
        <v>3.2666666666666666</v>
      </c>
      <c r="N90" s="797">
        <f t="shared" si="10"/>
        <v>73.384940182969729</v>
      </c>
      <c r="O90" s="797">
        <f t="shared" si="11"/>
        <v>1445.0028169014086</v>
      </c>
      <c r="P90" s="797">
        <f t="shared" si="12"/>
        <v>55.435559733545183</v>
      </c>
      <c r="Q90" s="797">
        <f t="shared" si="13"/>
        <v>5</v>
      </c>
      <c r="R90" s="797">
        <f t="shared" si="14"/>
        <v>5.9239259955590864</v>
      </c>
      <c r="S90" s="797">
        <f>[1]!taqsabet(O90,C90)</f>
        <v>5.9239259955590882</v>
      </c>
      <c r="T90" s="523"/>
      <c r="U90" s="523">
        <v>0</v>
      </c>
      <c r="V90" s="523">
        <v>3</v>
      </c>
      <c r="W90" s="523">
        <v>16</v>
      </c>
      <c r="X90" s="523"/>
      <c r="Y90" s="523">
        <v>73</v>
      </c>
      <c r="Z90" s="523">
        <v>51</v>
      </c>
      <c r="AA90" s="523" t="s">
        <v>179</v>
      </c>
      <c r="AB90" s="523">
        <v>4</v>
      </c>
      <c r="AC90" s="523">
        <v>4</v>
      </c>
      <c r="AD90" s="523" t="s">
        <v>2470</v>
      </c>
    </row>
    <row r="91" spans="1:31">
      <c r="C91" s="527">
        <v>81</v>
      </c>
      <c r="D91" s="527">
        <v>7</v>
      </c>
      <c r="E91" s="528" t="s">
        <v>2478</v>
      </c>
      <c r="F91" s="527">
        <v>70</v>
      </c>
      <c r="G91" s="528"/>
      <c r="H91" s="527">
        <v>66</v>
      </c>
      <c r="I91" s="527">
        <v>0</v>
      </c>
      <c r="J91" s="527">
        <v>0</v>
      </c>
      <c r="K91" s="527"/>
      <c r="L91" s="797">
        <f>[1]!tsabetm(C91)</f>
        <v>358.08333333333331</v>
      </c>
      <c r="M91" s="797">
        <f>[1]!tsabetz(C91)</f>
        <v>22.266666666666666</v>
      </c>
      <c r="N91" s="797">
        <f t="shared" si="10"/>
        <v>71.86767746381804</v>
      </c>
      <c r="O91" s="797">
        <f t="shared" si="11"/>
        <v>1445.0028169014086</v>
      </c>
      <c r="P91" s="797">
        <f t="shared" si="12"/>
        <v>58.801546216308296</v>
      </c>
      <c r="Q91" s="797">
        <f t="shared" si="13"/>
        <v>24</v>
      </c>
      <c r="R91" s="797">
        <f t="shared" si="14"/>
        <v>24.980025770271805</v>
      </c>
      <c r="S91" s="797">
        <f>[1]!taqsabet(O91,C91)</f>
        <v>24.980025770271805</v>
      </c>
      <c r="T91" s="527"/>
      <c r="U91" s="527">
        <v>0</v>
      </c>
      <c r="V91" s="527">
        <v>22</v>
      </c>
      <c r="W91" s="527">
        <v>16</v>
      </c>
      <c r="X91" s="527"/>
      <c r="Y91" s="527">
        <v>65</v>
      </c>
      <c r="Z91" s="527">
        <v>49</v>
      </c>
      <c r="AA91" s="527" t="s">
        <v>179</v>
      </c>
      <c r="AB91" s="527">
        <v>5</v>
      </c>
      <c r="AC91" s="527">
        <v>5</v>
      </c>
      <c r="AD91" s="527" t="s">
        <v>2470</v>
      </c>
    </row>
    <row r="92" spans="1:31">
      <c r="C92" s="523">
        <v>82</v>
      </c>
      <c r="D92" s="523">
        <v>8</v>
      </c>
      <c r="E92" s="523" t="s">
        <v>2479</v>
      </c>
      <c r="F92" s="523">
        <v>70</v>
      </c>
      <c r="G92" s="523"/>
      <c r="H92" s="523">
        <v>66</v>
      </c>
      <c r="I92" s="523">
        <v>0</v>
      </c>
      <c r="J92" s="523">
        <v>0</v>
      </c>
      <c r="K92" s="523"/>
      <c r="L92" s="797">
        <f>[1]!tsabetm(C92)</f>
        <v>7.0833333333333321</v>
      </c>
      <c r="M92" s="797">
        <f>[1]!tsabetz(C92)</f>
        <v>31.166666666666668</v>
      </c>
      <c r="N92" s="797">
        <f t="shared" si="10"/>
        <v>72.166089965397916</v>
      </c>
      <c r="O92" s="797">
        <f t="shared" si="11"/>
        <v>1445.0028169014086</v>
      </c>
      <c r="P92" s="797">
        <f t="shared" si="12"/>
        <v>52.128348919755609</v>
      </c>
      <c r="Q92" s="797">
        <f t="shared" si="13"/>
        <v>33</v>
      </c>
      <c r="R92" s="797">
        <f t="shared" si="14"/>
        <v>33.86880581532926</v>
      </c>
      <c r="S92" s="797">
        <f>[1]!taqsabet(O92,C92)</f>
        <v>33.86880581532926</v>
      </c>
      <c r="T92" s="523"/>
      <c r="U92" s="523">
        <v>1</v>
      </c>
      <c r="V92" s="523">
        <v>1</v>
      </c>
      <c r="W92" s="523">
        <v>10</v>
      </c>
      <c r="X92" s="523"/>
      <c r="Y92" s="523">
        <v>62</v>
      </c>
      <c r="Z92" s="523">
        <v>30</v>
      </c>
      <c r="AA92" s="523" t="s">
        <v>179</v>
      </c>
      <c r="AB92" s="523">
        <v>4</v>
      </c>
      <c r="AC92" s="523">
        <v>4</v>
      </c>
      <c r="AD92" s="523" t="s">
        <v>2470</v>
      </c>
    </row>
    <row r="93" spans="1:31">
      <c r="C93" s="527">
        <v>83</v>
      </c>
      <c r="D93" s="527">
        <v>9</v>
      </c>
      <c r="E93" s="528" t="s">
        <v>2480</v>
      </c>
      <c r="F93" s="527">
        <v>70</v>
      </c>
      <c r="G93" s="528"/>
      <c r="H93" s="527">
        <v>66</v>
      </c>
      <c r="I93" s="527">
        <v>0</v>
      </c>
      <c r="J93" s="527">
        <v>0</v>
      </c>
      <c r="K93" s="527"/>
      <c r="L93" s="797">
        <f>[1]!tsabetm(C93)</f>
        <v>345.91666666666669</v>
      </c>
      <c r="M93" s="797">
        <f>[1]!tsabetz(C93)</f>
        <v>12.016666666666667</v>
      </c>
      <c r="N93" s="797">
        <f t="shared" si="10"/>
        <v>66.590038314176326</v>
      </c>
      <c r="O93" s="797">
        <f t="shared" si="11"/>
        <v>1445.0028169014086</v>
      </c>
      <c r="P93" s="797">
        <f t="shared" si="12"/>
        <v>56.70449440023333</v>
      </c>
      <c r="Q93" s="797">
        <f t="shared" si="13"/>
        <v>14</v>
      </c>
      <c r="R93" s="797">
        <f t="shared" si="14"/>
        <v>14.945074906670555</v>
      </c>
      <c r="S93" s="797">
        <f>[1]!taqsabet(O93,C93)</f>
        <v>14.945074906670557</v>
      </c>
      <c r="T93" s="527"/>
      <c r="U93" s="527">
        <v>0</v>
      </c>
      <c r="V93" s="527">
        <v>12</v>
      </c>
      <c r="W93" s="527">
        <v>1</v>
      </c>
      <c r="X93" s="527"/>
      <c r="Y93" s="527">
        <v>60</v>
      </c>
      <c r="Z93" s="527">
        <v>0</v>
      </c>
      <c r="AA93" s="527" t="s">
        <v>179</v>
      </c>
      <c r="AB93" s="527">
        <v>5</v>
      </c>
      <c r="AC93" s="527">
        <v>5</v>
      </c>
      <c r="AD93" s="527" t="s">
        <v>2470</v>
      </c>
    </row>
    <row r="94" spans="1:31">
      <c r="C94" s="523">
        <v>84</v>
      </c>
      <c r="D94" s="523">
        <v>10</v>
      </c>
      <c r="E94" s="523" t="s">
        <v>2481</v>
      </c>
      <c r="F94" s="523">
        <v>70</v>
      </c>
      <c r="G94" s="523"/>
      <c r="H94" s="523">
        <v>66</v>
      </c>
      <c r="I94" s="523">
        <v>0</v>
      </c>
      <c r="J94" s="523">
        <v>0</v>
      </c>
      <c r="K94" s="523"/>
      <c r="L94" s="797">
        <f>[1]!tsabetm(C94)</f>
        <v>346.91666666666669</v>
      </c>
      <c r="M94" s="797">
        <f>[1]!tsabetz(C94)</f>
        <v>13.116666666666667</v>
      </c>
      <c r="N94" s="797">
        <f t="shared" si="10"/>
        <v>66.335877862595453</v>
      </c>
      <c r="O94" s="797">
        <f t="shared" si="11"/>
        <v>1445.0028169014086</v>
      </c>
      <c r="P94" s="797">
        <f t="shared" si="12"/>
        <v>3.377691696786016</v>
      </c>
      <c r="Q94" s="797">
        <f t="shared" si="13"/>
        <v>16</v>
      </c>
      <c r="R94" s="797">
        <f t="shared" si="14"/>
        <v>16.0562948616131</v>
      </c>
      <c r="S94" s="797">
        <f>[1]!taqsabet(O94,C94)</f>
        <v>16.0562948616131</v>
      </c>
      <c r="T94" s="523"/>
      <c r="U94" s="523">
        <v>0</v>
      </c>
      <c r="V94" s="523">
        <v>13</v>
      </c>
      <c r="W94" s="523">
        <v>7</v>
      </c>
      <c r="X94" s="523"/>
      <c r="Y94" s="523">
        <v>61</v>
      </c>
      <c r="Z94" s="523">
        <v>15</v>
      </c>
      <c r="AA94" s="523" t="s">
        <v>179</v>
      </c>
      <c r="AB94" s="523">
        <v>4</v>
      </c>
      <c r="AC94" s="523">
        <v>4</v>
      </c>
      <c r="AD94" s="523" t="s">
        <v>2470</v>
      </c>
    </row>
    <row r="95" spans="1:31">
      <c r="C95" s="527">
        <v>85</v>
      </c>
      <c r="D95" s="527">
        <v>11</v>
      </c>
      <c r="E95" s="528" t="s">
        <v>2482</v>
      </c>
      <c r="F95" s="527">
        <v>70</v>
      </c>
      <c r="G95" s="528"/>
      <c r="H95" s="527">
        <v>66</v>
      </c>
      <c r="I95" s="527">
        <v>0</v>
      </c>
      <c r="J95" s="527">
        <v>0</v>
      </c>
      <c r="K95" s="527"/>
      <c r="L95" s="797">
        <f>[1]!tsabetm(C95)</f>
        <v>348.58333333333331</v>
      </c>
      <c r="M95" s="797">
        <f>[1]!tsabetz(C95)</f>
        <v>15.016666666666667</v>
      </c>
      <c r="N95" s="797">
        <f t="shared" si="10"/>
        <v>65.750315258511975</v>
      </c>
      <c r="O95" s="797">
        <f t="shared" si="11"/>
        <v>1445.0028169014086</v>
      </c>
      <c r="P95" s="797">
        <f t="shared" si="12"/>
        <v>58.948485388742355</v>
      </c>
      <c r="Q95" s="797">
        <f t="shared" si="13"/>
        <v>17</v>
      </c>
      <c r="R95" s="797">
        <f t="shared" si="14"/>
        <v>17.982474756479039</v>
      </c>
      <c r="S95" s="797">
        <f>[1]!taqsabet(O95,C95)</f>
        <v>17.982474756479039</v>
      </c>
      <c r="T95" s="527"/>
      <c r="U95" s="527">
        <v>0</v>
      </c>
      <c r="V95" s="527">
        <v>15</v>
      </c>
      <c r="W95" s="527">
        <v>1</v>
      </c>
      <c r="X95" s="527"/>
      <c r="Y95" s="527">
        <v>61</v>
      </c>
      <c r="Z95" s="527">
        <v>42</v>
      </c>
      <c r="AA95" s="527" t="s">
        <v>179</v>
      </c>
      <c r="AB95" s="527">
        <v>6</v>
      </c>
      <c r="AC95" s="527">
        <v>5</v>
      </c>
      <c r="AD95" s="527" t="s">
        <v>2470</v>
      </c>
    </row>
    <row r="96" spans="1:31">
      <c r="B96" s="514" t="s">
        <v>2415</v>
      </c>
      <c r="C96" s="531">
        <v>86</v>
      </c>
      <c r="D96" s="531">
        <v>1</v>
      </c>
      <c r="E96" s="531" t="s">
        <v>2483</v>
      </c>
      <c r="F96" s="523">
        <v>70</v>
      </c>
      <c r="G96" s="531"/>
      <c r="H96" s="523">
        <v>66</v>
      </c>
      <c r="I96" s="523">
        <v>0</v>
      </c>
      <c r="J96" s="523">
        <v>0</v>
      </c>
      <c r="K96" s="531"/>
      <c r="L96" s="797">
        <f>[1]!tsabetm(C96)</f>
        <v>343.25</v>
      </c>
      <c r="M96" s="797">
        <f>[1]!tsabetz(C96)</f>
        <v>8.2666666666666675</v>
      </c>
      <c r="N96" s="797">
        <f t="shared" si="10"/>
        <v>69.473684210526358</v>
      </c>
      <c r="O96" s="797">
        <f t="shared" si="11"/>
        <v>1445.0028169014086</v>
      </c>
      <c r="P96" s="797">
        <f t="shared" si="12"/>
        <v>4.4115236875801145</v>
      </c>
      <c r="Q96" s="797">
        <f t="shared" si="13"/>
        <v>11</v>
      </c>
      <c r="R96" s="797">
        <f t="shared" si="14"/>
        <v>11.073525394793002</v>
      </c>
      <c r="S96" s="797">
        <f>[1]!taqsabet(O96,C96)</f>
        <v>11.073525394793002</v>
      </c>
      <c r="T96" s="531"/>
      <c r="U96" s="531">
        <v>0</v>
      </c>
      <c r="V96" s="531">
        <v>8</v>
      </c>
      <c r="W96" s="531">
        <v>16</v>
      </c>
      <c r="X96" s="531"/>
      <c r="Y96" s="531">
        <v>64</v>
      </c>
      <c r="Z96" s="531">
        <v>1</v>
      </c>
      <c r="AA96" s="531" t="s">
        <v>179</v>
      </c>
      <c r="AB96" s="531">
        <v>5</v>
      </c>
      <c r="AC96" s="531">
        <v>5</v>
      </c>
      <c r="AD96" s="531"/>
    </row>
    <row r="97" spans="1:31">
      <c r="C97" s="544">
        <v>87</v>
      </c>
      <c r="D97" s="527">
        <v>2</v>
      </c>
      <c r="E97" s="527" t="s">
        <v>2484</v>
      </c>
      <c r="F97" s="527">
        <v>70</v>
      </c>
      <c r="G97" s="527"/>
      <c r="H97" s="527">
        <v>66</v>
      </c>
      <c r="I97" s="527">
        <v>0</v>
      </c>
      <c r="J97" s="527">
        <v>0</v>
      </c>
      <c r="K97" s="527"/>
      <c r="L97" s="797">
        <f>[1]!tsabetm(C97)</f>
        <v>350.91666666666669</v>
      </c>
      <c r="M97" s="797">
        <f>[1]!tsabetz(C97)</f>
        <v>15.516666666666667</v>
      </c>
      <c r="N97" s="797">
        <f t="shared" si="10"/>
        <v>70.650406504065145</v>
      </c>
      <c r="O97" s="797">
        <f t="shared" si="11"/>
        <v>1445.0028169014086</v>
      </c>
      <c r="P97" s="797">
        <f t="shared" si="12"/>
        <v>16.606534951944099</v>
      </c>
      <c r="Q97" s="797">
        <f t="shared" si="13"/>
        <v>18</v>
      </c>
      <c r="R97" s="797">
        <f t="shared" si="14"/>
        <v>18.276775582532402</v>
      </c>
      <c r="S97" s="797">
        <f>[1]!taqsabet(O97,C97)</f>
        <v>18.276775582532402</v>
      </c>
      <c r="T97" s="527"/>
      <c r="U97" s="527">
        <v>0</v>
      </c>
      <c r="V97" s="527">
        <v>15</v>
      </c>
      <c r="W97" s="527">
        <v>31</v>
      </c>
      <c r="X97" s="527"/>
      <c r="Y97" s="527">
        <v>59</v>
      </c>
      <c r="Z97" s="527">
        <v>30</v>
      </c>
      <c r="AA97" s="527" t="s">
        <v>179</v>
      </c>
      <c r="AB97" s="527">
        <v>4</v>
      </c>
      <c r="AC97" s="527">
        <v>4</v>
      </c>
      <c r="AD97" s="527"/>
    </row>
    <row r="98" spans="1:31">
      <c r="C98" s="545"/>
      <c r="D98" s="545"/>
      <c r="E98" s="545"/>
      <c r="F98" s="545"/>
      <c r="G98" s="545"/>
      <c r="H98" s="545"/>
      <c r="I98" s="545"/>
      <c r="J98" s="545"/>
      <c r="K98" s="545"/>
      <c r="N98" s="797">
        <f t="shared" si="10"/>
        <v>4.8277777777777775</v>
      </c>
      <c r="O98" s="797">
        <f t="shared" si="11"/>
        <v>1445.0028169014086</v>
      </c>
      <c r="P98" s="797">
        <f t="shared" si="12"/>
        <v>23.510267589427372</v>
      </c>
      <c r="Q98" s="797">
        <f t="shared" si="13"/>
        <v>40</v>
      </c>
      <c r="R98" s="797">
        <f t="shared" si="14"/>
        <v>40.391837793157123</v>
      </c>
      <c r="S98" s="797">
        <f>[1]!taqsabet(O98,C98)</f>
        <v>1.4716840899636423</v>
      </c>
      <c r="T98" s="545"/>
      <c r="U98" s="545"/>
      <c r="V98" s="545"/>
      <c r="W98" s="545"/>
      <c r="X98" s="545"/>
      <c r="Y98" s="545"/>
      <c r="Z98" s="545"/>
      <c r="AA98" s="545"/>
      <c r="AB98" s="545"/>
      <c r="AC98" s="545"/>
      <c r="AD98" s="545"/>
    </row>
    <row r="99" spans="1:31">
      <c r="A99" s="520">
        <v>5</v>
      </c>
      <c r="B99" s="327" t="s">
        <v>3881</v>
      </c>
      <c r="C99" s="522">
        <v>88</v>
      </c>
      <c r="D99" s="522">
        <v>1</v>
      </c>
      <c r="E99" s="296" t="s">
        <v>2485</v>
      </c>
      <c r="F99" s="522">
        <v>70</v>
      </c>
      <c r="G99" s="522"/>
      <c r="H99" s="522">
        <v>66</v>
      </c>
      <c r="I99" s="522">
        <v>0</v>
      </c>
      <c r="J99" s="522">
        <v>0</v>
      </c>
      <c r="K99" s="296"/>
      <c r="L99" s="797">
        <f>[1]!tsabetm(C99)</f>
        <v>151.91666666666666</v>
      </c>
      <c r="M99" s="797">
        <f>[1]!tsabetz(C99)</f>
        <v>178.01666666666668</v>
      </c>
      <c r="N99" s="797">
        <f t="shared" si="10"/>
        <v>66.590038314176184</v>
      </c>
      <c r="O99" s="797">
        <f t="shared" si="11"/>
        <v>1445.0028169014086</v>
      </c>
      <c r="P99" s="797">
        <f t="shared" si="12"/>
        <v>56.704494400235035</v>
      </c>
      <c r="Q99" s="797">
        <f t="shared" si="13"/>
        <v>180</v>
      </c>
      <c r="R99" s="797">
        <f t="shared" si="14"/>
        <v>180.94507490667058</v>
      </c>
      <c r="S99" s="797">
        <f>[1]!taqsabet(O99,C99)</f>
        <v>180.94507490667058</v>
      </c>
      <c r="T99" s="296"/>
      <c r="U99" s="522">
        <v>5</v>
      </c>
      <c r="V99" s="522">
        <v>28</v>
      </c>
      <c r="W99" s="522">
        <v>1</v>
      </c>
      <c r="X99" s="522"/>
      <c r="Y99" s="522">
        <v>58</v>
      </c>
      <c r="Z99" s="522">
        <v>45</v>
      </c>
      <c r="AA99" s="522" t="s">
        <v>179</v>
      </c>
      <c r="AB99" s="522">
        <v>5</v>
      </c>
      <c r="AC99" s="522">
        <v>5</v>
      </c>
      <c r="AD99" s="522" t="s">
        <v>2486</v>
      </c>
    </row>
    <row r="100" spans="1:31">
      <c r="C100" s="523">
        <v>89</v>
      </c>
      <c r="D100" s="523">
        <v>2</v>
      </c>
      <c r="E100" s="524" t="s">
        <v>2487</v>
      </c>
      <c r="F100" s="523">
        <v>70</v>
      </c>
      <c r="G100" s="523"/>
      <c r="H100" s="523">
        <v>66</v>
      </c>
      <c r="I100" s="523">
        <v>0</v>
      </c>
      <c r="J100" s="523">
        <v>0</v>
      </c>
      <c r="K100" s="524"/>
      <c r="L100" s="797">
        <f>[1]!tsabetm(C100)</f>
        <v>153.75</v>
      </c>
      <c r="M100" s="797">
        <f>[1]!tsabetz(C100)</f>
        <v>179.81666666666666</v>
      </c>
      <c r="N100" s="797">
        <f t="shared" si="10"/>
        <v>66.675191815856792</v>
      </c>
      <c r="O100" s="797">
        <f t="shared" si="11"/>
        <v>1445.0028169014086</v>
      </c>
      <c r="P100" s="797">
        <f t="shared" si="12"/>
        <v>44.480095301382789</v>
      </c>
      <c r="Q100" s="797">
        <f t="shared" si="13"/>
        <v>182</v>
      </c>
      <c r="R100" s="797">
        <f t="shared" si="14"/>
        <v>182.74133492168971</v>
      </c>
      <c r="S100" s="797">
        <f>[1]!taqsabet(O100,C100)</f>
        <v>182.74133492168971</v>
      </c>
      <c r="T100" s="524"/>
      <c r="U100" s="523">
        <v>5</v>
      </c>
      <c r="V100" s="523">
        <v>29</v>
      </c>
      <c r="W100" s="523">
        <v>49</v>
      </c>
      <c r="X100" s="523"/>
      <c r="Y100" s="523">
        <v>58</v>
      </c>
      <c r="Z100" s="523">
        <v>51</v>
      </c>
      <c r="AA100" s="523" t="s">
        <v>179</v>
      </c>
      <c r="AB100" s="523">
        <v>5</v>
      </c>
      <c r="AC100" s="523">
        <v>5</v>
      </c>
      <c r="AD100" s="523" t="s">
        <v>2486</v>
      </c>
    </row>
    <row r="101" spans="1:31">
      <c r="C101" s="522">
        <v>90</v>
      </c>
      <c r="D101" s="522">
        <v>3</v>
      </c>
      <c r="E101" s="296" t="s">
        <v>2488</v>
      </c>
      <c r="F101" s="522">
        <v>70</v>
      </c>
      <c r="G101" s="522"/>
      <c r="H101" s="522">
        <v>66</v>
      </c>
      <c r="I101" s="522">
        <v>0</v>
      </c>
      <c r="J101" s="522">
        <v>0</v>
      </c>
      <c r="K101" s="296"/>
      <c r="L101" s="797">
        <f>[1]!tsabetm(C101)</f>
        <v>155.25</v>
      </c>
      <c r="M101" s="797">
        <f>[1]!tsabetz(C101)</f>
        <v>181.16666666666666</v>
      </c>
      <c r="N101" s="797">
        <f t="shared" si="10"/>
        <v>67.061093247588445</v>
      </c>
      <c r="O101" s="797">
        <f t="shared" si="11"/>
        <v>1445.0028169014086</v>
      </c>
      <c r="P101" s="797">
        <f t="shared" si="12"/>
        <v>4.4702993565528004</v>
      </c>
      <c r="Q101" s="797">
        <f t="shared" si="13"/>
        <v>184</v>
      </c>
      <c r="R101" s="797">
        <f t="shared" si="14"/>
        <v>184.07450498927588</v>
      </c>
      <c r="S101" s="797">
        <f>[1]!taqsabet(O101,C101)</f>
        <v>184.07450498927588</v>
      </c>
      <c r="T101" s="296"/>
      <c r="U101" s="522">
        <v>6</v>
      </c>
      <c r="V101" s="522">
        <v>1</v>
      </c>
      <c r="W101" s="522">
        <v>10</v>
      </c>
      <c r="X101" s="522"/>
      <c r="Y101" s="522">
        <v>65</v>
      </c>
      <c r="Z101" s="522">
        <v>33</v>
      </c>
      <c r="AA101" s="522" t="s">
        <v>179</v>
      </c>
      <c r="AB101" s="522">
        <v>5</v>
      </c>
      <c r="AC101" s="522">
        <v>5</v>
      </c>
      <c r="AD101" s="522" t="s">
        <v>2486</v>
      </c>
    </row>
    <row r="102" spans="1:31">
      <c r="C102" s="523">
        <v>91</v>
      </c>
      <c r="D102" s="523">
        <v>4</v>
      </c>
      <c r="E102" s="524" t="s">
        <v>2489</v>
      </c>
      <c r="F102" s="523">
        <v>70</v>
      </c>
      <c r="G102" s="523"/>
      <c r="H102" s="523">
        <v>66</v>
      </c>
      <c r="I102" s="523">
        <v>0</v>
      </c>
      <c r="J102" s="523">
        <v>0</v>
      </c>
      <c r="K102" s="524"/>
      <c r="L102" s="797">
        <f>[1]!tsabetm(C102)</f>
        <v>159.25</v>
      </c>
      <c r="M102" s="797">
        <f>[1]!tsabetz(C102)</f>
        <v>188.01666666666668</v>
      </c>
      <c r="N102" s="797">
        <f t="shared" si="10"/>
        <v>60.417149478563125</v>
      </c>
      <c r="O102" s="797">
        <f t="shared" si="11"/>
        <v>1445.0028169014086</v>
      </c>
      <c r="P102" s="797">
        <f t="shared" si="12"/>
        <v>14.656422308303831</v>
      </c>
      <c r="Q102" s="797">
        <f t="shared" si="13"/>
        <v>191</v>
      </c>
      <c r="R102" s="797">
        <f t="shared" si="14"/>
        <v>191.2442737051384</v>
      </c>
      <c r="S102" s="797">
        <f>[1]!taqsabet(O102,C102)</f>
        <v>191.2442737051384</v>
      </c>
      <c r="T102" s="524"/>
      <c r="U102" s="523">
        <v>6</v>
      </c>
      <c r="V102" s="523">
        <v>8</v>
      </c>
      <c r="W102" s="523">
        <v>1</v>
      </c>
      <c r="X102" s="523"/>
      <c r="Y102" s="523">
        <v>54</v>
      </c>
      <c r="Z102" s="523">
        <v>45</v>
      </c>
      <c r="AA102" s="523" t="s">
        <v>179</v>
      </c>
      <c r="AB102" s="523">
        <v>5</v>
      </c>
      <c r="AC102" s="523">
        <v>5</v>
      </c>
      <c r="AD102" s="523" t="s">
        <v>2486</v>
      </c>
    </row>
    <row r="103" spans="1:31">
      <c r="C103" s="522">
        <v>92</v>
      </c>
      <c r="D103" s="522">
        <v>5</v>
      </c>
      <c r="E103" s="296" t="s">
        <v>2490</v>
      </c>
      <c r="F103" s="522">
        <v>70</v>
      </c>
      <c r="G103" s="522"/>
      <c r="H103" s="522">
        <v>66</v>
      </c>
      <c r="I103" s="522">
        <v>0</v>
      </c>
      <c r="J103" s="522">
        <v>0</v>
      </c>
      <c r="K103" s="296"/>
      <c r="L103" s="797">
        <f>[1]!tsabetm(C103)</f>
        <v>169.25</v>
      </c>
      <c r="M103" s="797">
        <f>[1]!tsabetz(C103)</f>
        <v>196</v>
      </c>
      <c r="N103" s="797">
        <f t="shared" si="10"/>
        <v>64.971962616822424</v>
      </c>
      <c r="O103" s="797">
        <f t="shared" si="11"/>
        <v>1445.0028169014086</v>
      </c>
      <c r="P103" s="797">
        <f t="shared" si="12"/>
        <v>8.0276827825400687E-2</v>
      </c>
      <c r="Q103" s="797">
        <f t="shared" si="13"/>
        <v>199</v>
      </c>
      <c r="R103" s="797">
        <f t="shared" si="14"/>
        <v>199.00133794713042</v>
      </c>
      <c r="S103" s="797">
        <f>[1]!taqsabet(O103,C103)</f>
        <v>199.00133794713042</v>
      </c>
      <c r="T103" s="296"/>
      <c r="U103" s="522">
        <v>6</v>
      </c>
      <c r="V103" s="522">
        <v>16</v>
      </c>
      <c r="W103" s="522">
        <v>0</v>
      </c>
      <c r="X103" s="522"/>
      <c r="Y103" s="522">
        <v>49</v>
      </c>
      <c r="Z103" s="522">
        <v>24</v>
      </c>
      <c r="AA103" s="522" t="s">
        <v>179</v>
      </c>
      <c r="AB103" s="522">
        <v>3</v>
      </c>
      <c r="AC103" s="522">
        <v>3</v>
      </c>
      <c r="AD103" s="522" t="s">
        <v>2486</v>
      </c>
    </row>
    <row r="104" spans="1:31">
      <c r="C104" s="523">
        <v>93</v>
      </c>
      <c r="D104" s="523">
        <v>6</v>
      </c>
      <c r="E104" s="524" t="s">
        <v>2491</v>
      </c>
      <c r="F104" s="523">
        <v>70</v>
      </c>
      <c r="G104" s="523"/>
      <c r="H104" s="523">
        <v>66</v>
      </c>
      <c r="I104" s="523">
        <v>0</v>
      </c>
      <c r="J104" s="523">
        <v>0</v>
      </c>
      <c r="K104" s="524"/>
      <c r="L104" s="797">
        <f>[1]!tsabetm(C104)</f>
        <v>176.25</v>
      </c>
      <c r="M104" s="797">
        <f>[1]!tsabetz(C104)</f>
        <v>202.51666666666668</v>
      </c>
      <c r="N104" s="797">
        <f t="shared" si="10"/>
        <v>66.167512690355295</v>
      </c>
      <c r="O104" s="797">
        <f t="shared" si="11"/>
        <v>1445.0028169014086</v>
      </c>
      <c r="P104" s="797">
        <f t="shared" si="12"/>
        <v>27.826489894489441</v>
      </c>
      <c r="Q104" s="797">
        <f t="shared" si="13"/>
        <v>205</v>
      </c>
      <c r="R104" s="797">
        <f t="shared" si="14"/>
        <v>205.46377483157482</v>
      </c>
      <c r="S104" s="797">
        <f>[1]!taqsabet(O104,C104)</f>
        <v>205.46377483157482</v>
      </c>
      <c r="T104" s="524"/>
      <c r="U104" s="523">
        <v>6</v>
      </c>
      <c r="V104" s="523">
        <v>22</v>
      </c>
      <c r="W104" s="523">
        <v>31</v>
      </c>
      <c r="X104" s="523"/>
      <c r="Y104" s="523">
        <v>54</v>
      </c>
      <c r="Z104" s="523">
        <v>27</v>
      </c>
      <c r="AA104" s="523" t="s">
        <v>179</v>
      </c>
      <c r="AB104" s="523">
        <v>4</v>
      </c>
      <c r="AC104" s="523">
        <v>4</v>
      </c>
      <c r="AD104" s="523" t="s">
        <v>2486</v>
      </c>
    </row>
    <row r="105" spans="1:31">
      <c r="C105" s="522">
        <v>94</v>
      </c>
      <c r="D105" s="522">
        <v>7</v>
      </c>
      <c r="E105" s="296" t="s">
        <v>2492</v>
      </c>
      <c r="F105" s="522">
        <v>70</v>
      </c>
      <c r="G105" s="522"/>
      <c r="H105" s="522">
        <v>66</v>
      </c>
      <c r="I105" s="522">
        <v>0</v>
      </c>
      <c r="J105" s="522">
        <v>0</v>
      </c>
      <c r="K105" s="296"/>
      <c r="L105" s="797">
        <f>[1]!tsabetm(C105)</f>
        <v>185.25</v>
      </c>
      <c r="M105" s="797">
        <f>[1]!tsabetz(C105)</f>
        <v>211.36666666666667</v>
      </c>
      <c r="N105" s="797">
        <f t="shared" si="10"/>
        <v>66.547543075941263</v>
      </c>
      <c r="O105" s="797">
        <f t="shared" si="11"/>
        <v>1445.0028169014086</v>
      </c>
      <c r="P105" s="797">
        <f t="shared" si="12"/>
        <v>17.816693949659452</v>
      </c>
      <c r="Q105" s="797">
        <f t="shared" si="13"/>
        <v>214</v>
      </c>
      <c r="R105" s="797">
        <f t="shared" si="14"/>
        <v>214.29694489916099</v>
      </c>
      <c r="S105" s="797">
        <f>[1]!taqsabet(O105,C105)</f>
        <v>214.29694489916099</v>
      </c>
      <c r="T105" s="296"/>
      <c r="U105" s="522">
        <v>7</v>
      </c>
      <c r="V105" s="522">
        <v>1</v>
      </c>
      <c r="W105" s="522">
        <v>22</v>
      </c>
      <c r="X105" s="522"/>
      <c r="Y105" s="522">
        <v>49</v>
      </c>
      <c r="Z105" s="522">
        <v>0</v>
      </c>
      <c r="AA105" s="522" t="s">
        <v>179</v>
      </c>
      <c r="AB105" s="522">
        <v>4</v>
      </c>
      <c r="AC105" s="522">
        <v>4</v>
      </c>
      <c r="AD105" s="522" t="s">
        <v>2486</v>
      </c>
    </row>
    <row r="106" spans="1:31">
      <c r="C106" s="523">
        <v>95</v>
      </c>
      <c r="D106" s="523">
        <v>8</v>
      </c>
      <c r="E106" s="524" t="s">
        <v>2493</v>
      </c>
      <c r="F106" s="523">
        <v>70</v>
      </c>
      <c r="G106" s="523"/>
      <c r="H106" s="523">
        <v>66</v>
      </c>
      <c r="I106" s="523">
        <v>0</v>
      </c>
      <c r="J106" s="523">
        <v>0</v>
      </c>
      <c r="K106" s="524"/>
      <c r="L106" s="797">
        <f>[1]!tsabetm(C106)</f>
        <v>185.25</v>
      </c>
      <c r="M106" s="797">
        <f>[1]!tsabetz(C106)</f>
        <v>211.86666666666667</v>
      </c>
      <c r="N106" s="797">
        <f t="shared" si="10"/>
        <v>65.297432686286768</v>
      </c>
      <c r="O106" s="797">
        <f t="shared" si="11"/>
        <v>1445.0028169014086</v>
      </c>
      <c r="P106" s="797">
        <f t="shared" si="12"/>
        <v>51.182680432422671</v>
      </c>
      <c r="Q106" s="797">
        <f t="shared" si="13"/>
        <v>214</v>
      </c>
      <c r="R106" s="797">
        <f t="shared" si="14"/>
        <v>214.85304467387371</v>
      </c>
      <c r="S106" s="797">
        <f>[1]!taqsabet(O106,C106)</f>
        <v>214.85304467387371</v>
      </c>
      <c r="T106" s="524"/>
      <c r="U106" s="523">
        <v>7</v>
      </c>
      <c r="V106" s="523">
        <v>1</v>
      </c>
      <c r="W106" s="523">
        <v>52</v>
      </c>
      <c r="X106" s="523"/>
      <c r="Y106" s="523">
        <v>53</v>
      </c>
      <c r="Z106" s="523">
        <v>27</v>
      </c>
      <c r="AA106" s="523" t="s">
        <v>179</v>
      </c>
      <c r="AB106" s="523">
        <v>4</v>
      </c>
      <c r="AC106" s="523">
        <v>4</v>
      </c>
      <c r="AD106" s="523" t="s">
        <v>2486</v>
      </c>
    </row>
    <row r="107" spans="1:31">
      <c r="C107" s="522">
        <v>96</v>
      </c>
      <c r="D107" s="522">
        <v>9</v>
      </c>
      <c r="E107" s="296" t="s">
        <v>2494</v>
      </c>
      <c r="F107" s="522">
        <v>70</v>
      </c>
      <c r="G107" s="522"/>
      <c r="H107" s="522">
        <v>66</v>
      </c>
      <c r="I107" s="522">
        <v>0</v>
      </c>
      <c r="J107" s="522">
        <v>0</v>
      </c>
      <c r="K107" s="296"/>
      <c r="L107" s="797">
        <f>[1]!tsabetm(C107)</f>
        <v>184.58333333333331</v>
      </c>
      <c r="M107" s="797">
        <f>[1]!tsabetz(C107)</f>
        <v>211.16666666666666</v>
      </c>
      <c r="N107" s="797">
        <f t="shared" si="10"/>
        <v>65.379310344827559</v>
      </c>
      <c r="O107" s="797">
        <f t="shared" si="11"/>
        <v>1445.0028169014086</v>
      </c>
      <c r="P107" s="797">
        <f t="shared" si="12"/>
        <v>8.9582813335704259</v>
      </c>
      <c r="Q107" s="797">
        <f t="shared" si="13"/>
        <v>214</v>
      </c>
      <c r="R107" s="797">
        <f t="shared" si="14"/>
        <v>214.14930468889284</v>
      </c>
      <c r="S107" s="797">
        <f>[1]!taqsabet(O107,C107)</f>
        <v>214.14930468889284</v>
      </c>
      <c r="T107" s="296"/>
      <c r="U107" s="522">
        <v>7</v>
      </c>
      <c r="V107" s="522">
        <v>1</v>
      </c>
      <c r="W107" s="522">
        <v>10</v>
      </c>
      <c r="X107" s="522"/>
      <c r="Y107" s="522">
        <v>57</v>
      </c>
      <c r="Z107" s="522">
        <v>15</v>
      </c>
      <c r="AA107" s="522" t="s">
        <v>179</v>
      </c>
      <c r="AB107" s="522">
        <v>4</v>
      </c>
      <c r="AC107" s="522">
        <v>4</v>
      </c>
      <c r="AD107" s="522" t="s">
        <v>2486</v>
      </c>
    </row>
    <row r="108" spans="1:31">
      <c r="C108" s="523">
        <v>97</v>
      </c>
      <c r="D108" s="523">
        <v>10</v>
      </c>
      <c r="E108" s="524" t="s">
        <v>2495</v>
      </c>
      <c r="F108" s="523">
        <v>70</v>
      </c>
      <c r="G108" s="523"/>
      <c r="H108" s="523">
        <v>66</v>
      </c>
      <c r="I108" s="523">
        <v>0</v>
      </c>
      <c r="J108" s="523">
        <v>0</v>
      </c>
      <c r="K108" s="524"/>
      <c r="L108" s="797">
        <f>[1]!tsabetm(C108)</f>
        <v>187.25</v>
      </c>
      <c r="M108" s="797">
        <f>[1]!tsabetz(C108)</f>
        <v>213.71666666666667</v>
      </c>
      <c r="N108" s="797">
        <f t="shared" si="10"/>
        <v>65.66750629722921</v>
      </c>
      <c r="O108" s="797">
        <f t="shared" si="11"/>
        <v>1445.0028169014086</v>
      </c>
      <c r="P108" s="797">
        <f t="shared" si="12"/>
        <v>41.172884487592682</v>
      </c>
      <c r="Q108" s="797">
        <f t="shared" si="13"/>
        <v>216</v>
      </c>
      <c r="R108" s="797">
        <f t="shared" si="14"/>
        <v>216.68621474145988</v>
      </c>
      <c r="S108" s="797">
        <f>[1]!taqsabet(O108,C108)</f>
        <v>216.68621474145988</v>
      </c>
      <c r="T108" s="524"/>
      <c r="U108" s="523">
        <v>7</v>
      </c>
      <c r="V108" s="523">
        <v>3</v>
      </c>
      <c r="W108" s="523">
        <v>43</v>
      </c>
      <c r="X108" s="523"/>
      <c r="Y108" s="523">
        <v>46</v>
      </c>
      <c r="Z108" s="523">
        <v>27</v>
      </c>
      <c r="AA108" s="523" t="s">
        <v>179</v>
      </c>
      <c r="AB108" s="523">
        <v>5</v>
      </c>
      <c r="AC108" s="523">
        <v>4</v>
      </c>
      <c r="AD108" s="523" t="s">
        <v>2486</v>
      </c>
      <c r="AE108" s="327">
        <v>572</v>
      </c>
    </row>
    <row r="109" spans="1:31">
      <c r="C109" s="522">
        <v>98</v>
      </c>
      <c r="D109" s="522">
        <v>11</v>
      </c>
      <c r="E109" s="296" t="s">
        <v>2496</v>
      </c>
      <c r="F109" s="522">
        <v>70</v>
      </c>
      <c r="G109" s="522"/>
      <c r="H109" s="522">
        <v>66</v>
      </c>
      <c r="I109" s="522">
        <v>0</v>
      </c>
      <c r="J109" s="522">
        <v>0</v>
      </c>
      <c r="K109" s="296"/>
      <c r="L109" s="797">
        <f>[1]!tsabetm(C109)</f>
        <v>188.08333333333331</v>
      </c>
      <c r="M109" s="797">
        <f>[1]!tsabetz(C109)</f>
        <v>214.61666666666667</v>
      </c>
      <c r="N109" s="797">
        <f t="shared" si="10"/>
        <v>65.502512562814005</v>
      </c>
      <c r="O109" s="797">
        <f t="shared" si="11"/>
        <v>1445.0028169014086</v>
      </c>
      <c r="P109" s="797">
        <f t="shared" si="12"/>
        <v>35.621682685295468</v>
      </c>
      <c r="Q109" s="797">
        <f t="shared" si="13"/>
        <v>217</v>
      </c>
      <c r="R109" s="797">
        <f t="shared" si="14"/>
        <v>217.59369471142159</v>
      </c>
      <c r="S109" s="797">
        <f>[1]!taqsabet(O109,C109)</f>
        <v>217.59369471142159</v>
      </c>
      <c r="T109" s="296"/>
      <c r="U109" s="522">
        <v>7</v>
      </c>
      <c r="V109" s="522">
        <v>4</v>
      </c>
      <c r="W109" s="522">
        <v>37</v>
      </c>
      <c r="X109" s="522"/>
      <c r="Y109" s="522">
        <v>45</v>
      </c>
      <c r="Z109" s="522">
        <v>48</v>
      </c>
      <c r="AA109" s="522" t="s">
        <v>179</v>
      </c>
      <c r="AB109" s="522">
        <v>5</v>
      </c>
      <c r="AC109" s="522">
        <v>5</v>
      </c>
      <c r="AD109" s="522" t="s">
        <v>2486</v>
      </c>
    </row>
    <row r="110" spans="1:31">
      <c r="C110" s="523">
        <v>99</v>
      </c>
      <c r="D110" s="523">
        <v>12</v>
      </c>
      <c r="E110" s="524" t="s">
        <v>2497</v>
      </c>
      <c r="F110" s="523">
        <v>70</v>
      </c>
      <c r="G110" s="523"/>
      <c r="H110" s="523">
        <v>66</v>
      </c>
      <c r="I110" s="523">
        <v>0</v>
      </c>
      <c r="J110" s="523">
        <v>0</v>
      </c>
      <c r="K110" s="524"/>
      <c r="L110" s="797">
        <f>[1]!tsabetm(C110)</f>
        <v>188.08333333333331</v>
      </c>
      <c r="M110" s="797">
        <f>[1]!tsabetz(C110)</f>
        <v>214.01666666666668</v>
      </c>
      <c r="N110" s="797">
        <f t="shared" si="10"/>
        <v>67.017994858611743</v>
      </c>
      <c r="O110" s="797">
        <f t="shared" si="11"/>
        <v>1445.0028169014086</v>
      </c>
      <c r="P110" s="797">
        <f t="shared" si="12"/>
        <v>55.582498905980628</v>
      </c>
      <c r="Q110" s="797">
        <f t="shared" si="13"/>
        <v>216</v>
      </c>
      <c r="R110" s="797">
        <f t="shared" si="14"/>
        <v>216.92637498176634</v>
      </c>
      <c r="S110" s="797">
        <f>[1]!taqsabet(O110,C110)</f>
        <v>216.92637498176634</v>
      </c>
      <c r="T110" s="524"/>
      <c r="U110" s="523">
        <v>7</v>
      </c>
      <c r="V110" s="523">
        <v>4</v>
      </c>
      <c r="W110" s="523">
        <v>1</v>
      </c>
      <c r="X110" s="523"/>
      <c r="Y110" s="523">
        <v>41</v>
      </c>
      <c r="Z110" s="523">
        <v>45</v>
      </c>
      <c r="AA110" s="523" t="s">
        <v>179</v>
      </c>
      <c r="AB110" s="523">
        <v>5</v>
      </c>
      <c r="AC110" s="523">
        <v>5</v>
      </c>
      <c r="AD110" s="523" t="s">
        <v>2486</v>
      </c>
    </row>
    <row r="111" spans="1:31">
      <c r="C111" s="522">
        <v>100</v>
      </c>
      <c r="D111" s="522">
        <v>13</v>
      </c>
      <c r="E111" s="296" t="s">
        <v>2498</v>
      </c>
      <c r="F111" s="522">
        <v>70</v>
      </c>
      <c r="G111" s="522"/>
      <c r="H111" s="522">
        <v>66</v>
      </c>
      <c r="I111" s="522">
        <v>0</v>
      </c>
      <c r="J111" s="522">
        <v>0</v>
      </c>
      <c r="K111" s="296"/>
      <c r="L111" s="797">
        <f>[1]!tsabetm(C111)</f>
        <v>186.25</v>
      </c>
      <c r="M111" s="797">
        <f>[1]!tsabetz(C111)</f>
        <v>212.86666666666667</v>
      </c>
      <c r="N111" s="797">
        <f t="shared" si="10"/>
        <v>65.297432686286768</v>
      </c>
      <c r="O111" s="797">
        <f t="shared" si="11"/>
        <v>1445.0028169014086</v>
      </c>
      <c r="P111" s="797">
        <f t="shared" si="12"/>
        <v>51.182680432422671</v>
      </c>
      <c r="Q111" s="797">
        <f t="shared" si="13"/>
        <v>215</v>
      </c>
      <c r="R111" s="797">
        <f t="shared" si="14"/>
        <v>215.85304467387371</v>
      </c>
      <c r="S111" s="797">
        <f>[1]!taqsabet(O111,C111)</f>
        <v>215.85304467387371</v>
      </c>
      <c r="T111" s="296"/>
      <c r="U111" s="522">
        <v>7</v>
      </c>
      <c r="V111" s="522">
        <v>2</v>
      </c>
      <c r="W111" s="522">
        <v>52</v>
      </c>
      <c r="X111" s="522"/>
      <c r="Y111" s="522">
        <v>41</v>
      </c>
      <c r="Z111" s="522">
        <v>21</v>
      </c>
      <c r="AA111" s="522" t="s">
        <v>179</v>
      </c>
      <c r="AB111" s="522">
        <v>5</v>
      </c>
      <c r="AC111" s="522">
        <v>5</v>
      </c>
      <c r="AD111" s="522" t="s">
        <v>2486</v>
      </c>
    </row>
    <row r="112" spans="1:31">
      <c r="C112" s="523">
        <v>101</v>
      </c>
      <c r="D112" s="523">
        <v>14</v>
      </c>
      <c r="E112" s="524" t="s">
        <v>2499</v>
      </c>
      <c r="F112" s="523">
        <v>70</v>
      </c>
      <c r="G112" s="523"/>
      <c r="H112" s="523">
        <v>66</v>
      </c>
      <c r="I112" s="523">
        <v>0</v>
      </c>
      <c r="J112" s="523">
        <v>0</v>
      </c>
      <c r="K112" s="524"/>
      <c r="L112" s="797">
        <f>[1]!tsabetm(C112)</f>
        <v>186.58333333333331</v>
      </c>
      <c r="M112" s="797">
        <f>[1]!tsabetz(C112)</f>
        <v>213.01666666666668</v>
      </c>
      <c r="N112" s="797">
        <f t="shared" si="10"/>
        <v>65.750315258511904</v>
      </c>
      <c r="O112" s="797">
        <f t="shared" si="11"/>
        <v>1445.0028169014086</v>
      </c>
      <c r="P112" s="797">
        <f t="shared" si="12"/>
        <v>58.948485388743848</v>
      </c>
      <c r="Q112" s="797">
        <f t="shared" si="13"/>
        <v>215</v>
      </c>
      <c r="R112" s="797">
        <f t="shared" si="14"/>
        <v>215.98247475647906</v>
      </c>
      <c r="S112" s="797">
        <f>[1]!taqsabet(O112,C112)</f>
        <v>215.98247475647906</v>
      </c>
      <c r="T112" s="524"/>
      <c r="U112" s="523">
        <v>7</v>
      </c>
      <c r="V112" s="523">
        <v>3</v>
      </c>
      <c r="W112" s="523">
        <v>1</v>
      </c>
      <c r="X112" s="523"/>
      <c r="Y112" s="523">
        <v>42</v>
      </c>
      <c r="Z112" s="523">
        <v>48</v>
      </c>
      <c r="AA112" s="523" t="s">
        <v>179</v>
      </c>
      <c r="AB112" s="523">
        <v>5</v>
      </c>
      <c r="AC112" s="523">
        <v>5</v>
      </c>
      <c r="AD112" s="523" t="s">
        <v>2486</v>
      </c>
    </row>
    <row r="113" spans="1:36">
      <c r="C113" s="522">
        <v>102</v>
      </c>
      <c r="D113" s="522">
        <v>15</v>
      </c>
      <c r="E113" s="296" t="s">
        <v>2500</v>
      </c>
      <c r="F113" s="522">
        <v>70</v>
      </c>
      <c r="G113" s="522"/>
      <c r="H113" s="522">
        <v>66</v>
      </c>
      <c r="I113" s="522">
        <v>0</v>
      </c>
      <c r="J113" s="522">
        <v>0</v>
      </c>
      <c r="K113" s="296"/>
      <c r="L113" s="797">
        <f>[1]!tsabetm(C113)</f>
        <v>187.25</v>
      </c>
      <c r="M113" s="797">
        <f>[1]!tsabetz(C113)</f>
        <v>213.56666666666666</v>
      </c>
      <c r="N113" s="797">
        <f t="shared" si="10"/>
        <v>66.041798606713115</v>
      </c>
      <c r="O113" s="797">
        <f t="shared" si="11"/>
        <v>1445.0028169014086</v>
      </c>
      <c r="P113" s="797">
        <f t="shared" si="12"/>
        <v>31.163088542764399</v>
      </c>
      <c r="Q113" s="797">
        <f t="shared" si="13"/>
        <v>216</v>
      </c>
      <c r="R113" s="797">
        <f t="shared" si="14"/>
        <v>216.51938480904607</v>
      </c>
      <c r="S113" s="797">
        <f>[1]!taqsabet(O113,C113)</f>
        <v>216.51938480904607</v>
      </c>
      <c r="T113" s="296"/>
      <c r="U113" s="522">
        <v>7</v>
      </c>
      <c r="V113" s="522">
        <v>3</v>
      </c>
      <c r="W113" s="522">
        <v>34</v>
      </c>
      <c r="X113" s="522"/>
      <c r="Y113" s="522">
        <v>40</v>
      </c>
      <c r="Z113" s="522">
        <v>42</v>
      </c>
      <c r="AA113" s="522" t="s">
        <v>179</v>
      </c>
      <c r="AB113" s="522">
        <v>5</v>
      </c>
      <c r="AC113" s="522">
        <v>5</v>
      </c>
      <c r="AD113" s="522" t="s">
        <v>2486</v>
      </c>
    </row>
    <row r="114" spans="1:36">
      <c r="C114" s="523">
        <v>103</v>
      </c>
      <c r="D114" s="523">
        <v>16</v>
      </c>
      <c r="E114" s="524" t="s">
        <v>2501</v>
      </c>
      <c r="F114" s="523">
        <v>70</v>
      </c>
      <c r="G114" s="523"/>
      <c r="H114" s="523">
        <v>64</v>
      </c>
      <c r="I114" s="523">
        <v>7</v>
      </c>
      <c r="J114" s="523">
        <v>12</v>
      </c>
      <c r="K114" s="523" t="s">
        <v>2502</v>
      </c>
      <c r="L114" s="797">
        <f>[1]!tsabetm(C114)</f>
        <v>179.58333333333331</v>
      </c>
      <c r="M114" s="797">
        <f>[1]!tsabetz(C114)</f>
        <v>207.06666666666666</v>
      </c>
      <c r="N114" s="797">
        <f t="shared" si="10"/>
        <v>63.238326258338354</v>
      </c>
      <c r="O114" s="797">
        <f t="shared" si="11"/>
        <v>1445.0028169014086</v>
      </c>
      <c r="P114" s="797">
        <f t="shared" si="12"/>
        <v>9.0170570025452434</v>
      </c>
      <c r="Q114" s="797">
        <f t="shared" si="13"/>
        <v>210</v>
      </c>
      <c r="R114" s="797">
        <f t="shared" si="14"/>
        <v>210.15028428337575</v>
      </c>
      <c r="S114" s="797">
        <f>[1]!taqsabet(O114,C114)</f>
        <v>210.15028428337575</v>
      </c>
      <c r="T114" s="524"/>
      <c r="U114" s="523">
        <v>6</v>
      </c>
      <c r="V114" s="523">
        <v>27</v>
      </c>
      <c r="W114" s="523">
        <v>4</v>
      </c>
      <c r="X114" s="523"/>
      <c r="Y114" s="523">
        <v>40</v>
      </c>
      <c r="Z114" s="523">
        <v>48</v>
      </c>
      <c r="AA114" s="523" t="s">
        <v>179</v>
      </c>
      <c r="AB114" s="523">
        <v>3</v>
      </c>
      <c r="AC114" s="523">
        <v>3</v>
      </c>
      <c r="AD114" s="523" t="s">
        <v>2486</v>
      </c>
    </row>
    <row r="115" spans="1:36">
      <c r="C115" s="522">
        <v>104</v>
      </c>
      <c r="D115" s="522">
        <v>17</v>
      </c>
      <c r="E115" s="296" t="s">
        <v>2503</v>
      </c>
      <c r="F115" s="522">
        <v>70</v>
      </c>
      <c r="G115" s="522"/>
      <c r="H115" s="522">
        <v>66</v>
      </c>
      <c r="I115" s="522">
        <v>0</v>
      </c>
      <c r="J115" s="522">
        <v>0</v>
      </c>
      <c r="K115" s="296"/>
      <c r="L115" s="797">
        <f>[1]!tsabetm(C115)</f>
        <v>175.25</v>
      </c>
      <c r="M115" s="797">
        <f>[1]!tsabetz(C115)</f>
        <v>202.36666666666667</v>
      </c>
      <c r="N115" s="797">
        <f t="shared" si="10"/>
        <v>64.093423478795316</v>
      </c>
      <c r="O115" s="797">
        <f t="shared" si="11"/>
        <v>1445.0028169014086</v>
      </c>
      <c r="P115" s="797">
        <f t="shared" si="12"/>
        <v>24.548666915185891</v>
      </c>
      <c r="Q115" s="797">
        <f t="shared" si="13"/>
        <v>205</v>
      </c>
      <c r="R115" s="797">
        <f t="shared" si="14"/>
        <v>205.40914444858643</v>
      </c>
      <c r="S115" s="797">
        <f>[1]!taqsabet(O115,C115)</f>
        <v>205.40914444858643</v>
      </c>
      <c r="T115" s="296"/>
      <c r="U115" s="522">
        <v>6</v>
      </c>
      <c r="V115" s="522">
        <v>22</v>
      </c>
      <c r="W115" s="522">
        <v>22</v>
      </c>
      <c r="X115" s="522"/>
      <c r="Y115" s="522">
        <v>42</v>
      </c>
      <c r="Z115" s="522">
        <v>9</v>
      </c>
      <c r="AA115" s="522" t="s">
        <v>179</v>
      </c>
      <c r="AB115" s="522">
        <v>4</v>
      </c>
      <c r="AC115" s="522">
        <v>4</v>
      </c>
      <c r="AD115" s="522" t="s">
        <v>2486</v>
      </c>
    </row>
    <row r="116" spans="1:36">
      <c r="C116" s="523">
        <v>105</v>
      </c>
      <c r="D116" s="523">
        <v>18</v>
      </c>
      <c r="E116" s="524" t="s">
        <v>2504</v>
      </c>
      <c r="F116" s="523">
        <v>70</v>
      </c>
      <c r="G116" s="523"/>
      <c r="H116" s="523">
        <v>66</v>
      </c>
      <c r="I116" s="523">
        <v>0</v>
      </c>
      <c r="J116" s="523">
        <v>0</v>
      </c>
      <c r="K116" s="524"/>
      <c r="L116" s="797">
        <f>[1]!tsabetm(C116)</f>
        <v>174.58333333333331</v>
      </c>
      <c r="M116" s="797">
        <f>[1]!tsabetz(C116)</f>
        <v>200.76666666666668</v>
      </c>
      <c r="N116" s="797">
        <f t="shared" si="10"/>
        <v>66.378103119032389</v>
      </c>
      <c r="O116" s="797">
        <f t="shared" si="11"/>
        <v>1445.0028169014086</v>
      </c>
      <c r="P116" s="797">
        <f t="shared" si="12"/>
        <v>42.265492147362238</v>
      </c>
      <c r="Q116" s="797">
        <f t="shared" si="13"/>
        <v>203</v>
      </c>
      <c r="R116" s="797">
        <f t="shared" si="14"/>
        <v>203.7044248691227</v>
      </c>
      <c r="S116" s="797">
        <f>[1]!taqsabet(O116,C116)</f>
        <v>203.7044248691227</v>
      </c>
      <c r="T116" s="524"/>
      <c r="U116" s="523">
        <v>6</v>
      </c>
      <c r="V116" s="523">
        <v>20</v>
      </c>
      <c r="W116" s="523">
        <v>46</v>
      </c>
      <c r="X116" s="523"/>
      <c r="Y116" s="523">
        <v>42</v>
      </c>
      <c r="Z116" s="523">
        <v>3</v>
      </c>
      <c r="AA116" s="523" t="s">
        <v>179</v>
      </c>
      <c r="AB116" s="523">
        <v>4</v>
      </c>
      <c r="AC116" s="523">
        <v>4</v>
      </c>
      <c r="AD116" s="523" t="s">
        <v>2486</v>
      </c>
    </row>
    <row r="117" spans="1:36">
      <c r="C117" s="522">
        <v>106</v>
      </c>
      <c r="D117" s="522">
        <v>19</v>
      </c>
      <c r="E117" s="296" t="s">
        <v>2505</v>
      </c>
      <c r="F117" s="522">
        <v>70</v>
      </c>
      <c r="G117" s="522"/>
      <c r="H117" s="522">
        <v>66</v>
      </c>
      <c r="I117" s="522">
        <v>0</v>
      </c>
      <c r="J117" s="522">
        <v>0</v>
      </c>
      <c r="K117" s="522" t="s">
        <v>2502</v>
      </c>
      <c r="L117" s="797">
        <f>[1]!tsabetm(C117)</f>
        <v>184.91666666666666</v>
      </c>
      <c r="M117" s="797">
        <f>[1]!tsabetz(C117)</f>
        <v>211.41666666666666</v>
      </c>
      <c r="N117" s="797">
        <f t="shared" si="10"/>
        <v>65.584905660377359</v>
      </c>
      <c r="O117" s="797">
        <f t="shared" si="11"/>
        <v>1445.0028169014086</v>
      </c>
      <c r="P117" s="797">
        <f t="shared" si="12"/>
        <v>23.397283586443223</v>
      </c>
      <c r="Q117" s="797">
        <f t="shared" si="13"/>
        <v>214</v>
      </c>
      <c r="R117" s="797">
        <f t="shared" si="14"/>
        <v>214.38995472644072</v>
      </c>
      <c r="S117" s="797">
        <f>[1]!taqsabet(O117,C117)</f>
        <v>214.38995472644072</v>
      </c>
      <c r="T117" s="296"/>
      <c r="U117" s="522">
        <v>7</v>
      </c>
      <c r="V117" s="522">
        <v>1</v>
      </c>
      <c r="W117" s="522">
        <v>25</v>
      </c>
      <c r="X117" s="522"/>
      <c r="Y117" s="522">
        <v>28</v>
      </c>
      <c r="Z117" s="522">
        <v>0</v>
      </c>
      <c r="AA117" s="522" t="s">
        <v>179</v>
      </c>
      <c r="AB117" s="522">
        <v>4</v>
      </c>
      <c r="AC117" s="522">
        <v>3</v>
      </c>
      <c r="AD117" s="522" t="s">
        <v>2486</v>
      </c>
    </row>
    <row r="118" spans="1:36">
      <c r="C118" s="523">
        <v>107</v>
      </c>
      <c r="D118" s="523">
        <v>20</v>
      </c>
      <c r="E118" s="524" t="s">
        <v>2506</v>
      </c>
      <c r="F118" s="523">
        <v>70</v>
      </c>
      <c r="G118" s="523"/>
      <c r="H118" s="523">
        <v>66</v>
      </c>
      <c r="I118" s="523">
        <v>0</v>
      </c>
      <c r="J118" s="523">
        <v>0</v>
      </c>
      <c r="K118" s="523" t="s">
        <v>2507</v>
      </c>
      <c r="L118" s="797">
        <f>[1]!tsabetm(C118)</f>
        <v>170.91666666666666</v>
      </c>
      <c r="M118" s="797">
        <f>[1]!tsabetz(C118)</f>
        <v>197.81666666666666</v>
      </c>
      <c r="N118" s="797">
        <f t="shared" si="10"/>
        <v>64.609665427509285</v>
      </c>
      <c r="O118" s="797">
        <f t="shared" si="11"/>
        <v>1445.0028169014086</v>
      </c>
      <c r="P118" s="797">
        <f t="shared" si="12"/>
        <v>50.090072772654821</v>
      </c>
      <c r="Q118" s="797">
        <f t="shared" si="13"/>
        <v>200</v>
      </c>
      <c r="R118" s="797">
        <f t="shared" si="14"/>
        <v>200.83483454621091</v>
      </c>
      <c r="S118" s="797">
        <f>[1]!taqsabet(O118,C118)</f>
        <v>200.83483454621091</v>
      </c>
      <c r="T118" s="524"/>
      <c r="U118" s="523">
        <v>6</v>
      </c>
      <c r="V118" s="523">
        <v>17</v>
      </c>
      <c r="W118" s="523">
        <v>49</v>
      </c>
      <c r="X118" s="523"/>
      <c r="Y118" s="523">
        <v>28</v>
      </c>
      <c r="Z118" s="523">
        <v>45</v>
      </c>
      <c r="AA118" s="523" t="s">
        <v>179</v>
      </c>
      <c r="AB118" s="523">
        <v>3</v>
      </c>
      <c r="AC118" s="523">
        <v>3</v>
      </c>
      <c r="AD118" s="523" t="s">
        <v>2486</v>
      </c>
    </row>
    <row r="119" spans="1:36">
      <c r="C119" s="522">
        <v>108</v>
      </c>
      <c r="D119" s="522">
        <v>21</v>
      </c>
      <c r="E119" s="296" t="s">
        <v>2508</v>
      </c>
      <c r="F119" s="522">
        <v>70</v>
      </c>
      <c r="G119" s="522"/>
      <c r="H119" s="522">
        <v>66</v>
      </c>
      <c r="I119" s="522">
        <v>0</v>
      </c>
      <c r="J119" s="522">
        <v>0</v>
      </c>
      <c r="K119" s="296"/>
      <c r="L119" s="797">
        <f>[1]!tsabetm(C119)</f>
        <v>170.08333333333331</v>
      </c>
      <c r="M119" s="797">
        <f>[1]!tsabetz(C119)</f>
        <v>196.11666666666667</v>
      </c>
      <c r="N119" s="797">
        <f t="shared" si="10"/>
        <v>66.760563380281624</v>
      </c>
      <c r="O119" s="797">
        <f t="shared" si="11"/>
        <v>1445.0028169014086</v>
      </c>
      <c r="P119" s="797">
        <f t="shared" si="12"/>
        <v>2.2556962025322491</v>
      </c>
      <c r="Q119" s="797">
        <f t="shared" si="13"/>
        <v>199</v>
      </c>
      <c r="R119" s="797">
        <f t="shared" si="14"/>
        <v>199.03759493670887</v>
      </c>
      <c r="S119" s="797">
        <f>[1]!taqsabet(O119,C119)</f>
        <v>199.03759493670887</v>
      </c>
      <c r="T119" s="296"/>
      <c r="U119" s="522">
        <v>6</v>
      </c>
      <c r="V119" s="522">
        <v>16</v>
      </c>
      <c r="W119" s="522">
        <v>7</v>
      </c>
      <c r="X119" s="522"/>
      <c r="Y119" s="522">
        <v>26</v>
      </c>
      <c r="Z119" s="522">
        <v>45</v>
      </c>
      <c r="AA119" s="522" t="s">
        <v>179</v>
      </c>
      <c r="AB119" s="522">
        <v>4</v>
      </c>
      <c r="AC119" s="522">
        <v>4</v>
      </c>
      <c r="AD119" s="522" t="s">
        <v>2486</v>
      </c>
    </row>
    <row r="120" spans="1:36">
      <c r="C120" s="523">
        <v>109</v>
      </c>
      <c r="D120" s="523">
        <v>22</v>
      </c>
      <c r="E120" s="524" t="s">
        <v>2509</v>
      </c>
      <c r="F120" s="523">
        <v>70</v>
      </c>
      <c r="G120" s="523"/>
      <c r="H120" s="523">
        <v>66</v>
      </c>
      <c r="I120" s="523">
        <v>0</v>
      </c>
      <c r="J120" s="523">
        <v>0</v>
      </c>
      <c r="K120" s="524"/>
      <c r="L120" s="797">
        <f>[1]!tsabetm(C120)</f>
        <v>170.91666666666666</v>
      </c>
      <c r="M120" s="797">
        <f>[1]!tsabetz(C120)</f>
        <v>197.41666666666666</v>
      </c>
      <c r="N120" s="797">
        <f t="shared" si="10"/>
        <v>65.584905660377359</v>
      </c>
      <c r="O120" s="797">
        <f t="shared" si="11"/>
        <v>1445.0028169014086</v>
      </c>
      <c r="P120" s="797">
        <f t="shared" si="12"/>
        <v>23.397283586443223</v>
      </c>
      <c r="Q120" s="797">
        <f t="shared" si="13"/>
        <v>200</v>
      </c>
      <c r="R120" s="797">
        <f t="shared" si="14"/>
        <v>200.38995472644072</v>
      </c>
      <c r="S120" s="797">
        <f>[1]!taqsabet(O120,C120)</f>
        <v>200.38995472644072</v>
      </c>
      <c r="T120" s="524"/>
      <c r="U120" s="523">
        <v>6</v>
      </c>
      <c r="V120" s="523">
        <v>17</v>
      </c>
      <c r="W120" s="523">
        <v>25</v>
      </c>
      <c r="X120" s="523"/>
      <c r="Y120" s="523">
        <v>25</v>
      </c>
      <c r="Z120" s="523">
        <v>0</v>
      </c>
      <c r="AA120" s="523" t="s">
        <v>179</v>
      </c>
      <c r="AB120" s="523">
        <v>4</v>
      </c>
      <c r="AC120" s="523">
        <v>4</v>
      </c>
      <c r="AD120" s="523" t="s">
        <v>2486</v>
      </c>
    </row>
    <row r="121" spans="1:36">
      <c r="B121" s="546" t="s">
        <v>2415</v>
      </c>
      <c r="C121" s="547">
        <v>110</v>
      </c>
      <c r="D121" s="547">
        <v>1</v>
      </c>
      <c r="E121" s="547" t="s">
        <v>2510</v>
      </c>
      <c r="F121" s="522">
        <v>70</v>
      </c>
      <c r="G121" s="522"/>
      <c r="H121" s="522">
        <v>68</v>
      </c>
      <c r="I121" s="522">
        <v>2</v>
      </c>
      <c r="J121" s="522">
        <v>22</v>
      </c>
      <c r="K121" s="547" t="s">
        <v>2511</v>
      </c>
      <c r="L121" s="797">
        <f>[1]!tsabetm(C121)</f>
        <v>176.58333333333331</v>
      </c>
      <c r="M121" s="797">
        <f>[1]!tsabetz(C121)</f>
        <v>202.61666666666667</v>
      </c>
      <c r="N121" s="797">
        <f t="shared" si="10"/>
        <v>66.760563380281624</v>
      </c>
      <c r="O121" s="797">
        <f t="shared" si="11"/>
        <v>1445.0028169014086</v>
      </c>
      <c r="P121" s="797">
        <f t="shared" si="12"/>
        <v>32.255696202532249</v>
      </c>
      <c r="Q121" s="797">
        <f t="shared" si="13"/>
        <v>205</v>
      </c>
      <c r="R121" s="797">
        <f t="shared" si="14"/>
        <v>205.53759493670887</v>
      </c>
      <c r="S121" s="797">
        <f>[1]!taqsabet(O121,C121)</f>
        <v>205.53759493670887</v>
      </c>
      <c r="T121" s="547"/>
      <c r="U121" s="547">
        <v>6</v>
      </c>
      <c r="V121" s="547">
        <v>22</v>
      </c>
      <c r="W121" s="547">
        <v>37</v>
      </c>
      <c r="X121" s="547"/>
      <c r="Y121" s="547">
        <v>31</v>
      </c>
      <c r="Z121" s="547">
        <v>38</v>
      </c>
      <c r="AA121" s="547" t="s">
        <v>179</v>
      </c>
      <c r="AB121" s="547">
        <v>1</v>
      </c>
      <c r="AC121" s="547">
        <v>1</v>
      </c>
      <c r="AD121" s="522" t="s">
        <v>2384</v>
      </c>
      <c r="AF121" s="327" t="s">
        <v>3878</v>
      </c>
      <c r="AG121" s="327">
        <v>33</v>
      </c>
      <c r="AH121" s="327">
        <v>204</v>
      </c>
      <c r="AI121" s="797">
        <f>(AG121/60)+AH121</f>
        <v>204.55</v>
      </c>
      <c r="AJ121" s="797">
        <f>R121-AI121</f>
        <v>0.98759493670885945</v>
      </c>
    </row>
    <row r="122" spans="1:36">
      <c r="B122" s="505" t="s">
        <v>2355</v>
      </c>
      <c r="C122" s="506" t="s">
        <v>2356</v>
      </c>
      <c r="D122" s="507" t="s">
        <v>2357</v>
      </c>
      <c r="E122" s="511" t="s">
        <v>2358</v>
      </c>
      <c r="F122" s="511"/>
      <c r="G122" s="511"/>
      <c r="H122" s="511"/>
      <c r="I122" s="511"/>
      <c r="J122" s="511"/>
      <c r="K122" s="514" t="s">
        <v>2360</v>
      </c>
      <c r="O122" s="797">
        <f t="shared" si="11"/>
        <v>1445.0028169014086</v>
      </c>
      <c r="T122" s="507"/>
      <c r="U122" s="508" t="s">
        <v>403</v>
      </c>
      <c r="V122" s="508"/>
      <c r="W122" s="509"/>
      <c r="X122" s="507"/>
      <c r="Y122" s="509" t="s">
        <v>275</v>
      </c>
      <c r="Z122" s="510"/>
      <c r="AA122" s="506" t="s">
        <v>176</v>
      </c>
      <c r="AB122" s="511" t="s">
        <v>2361</v>
      </c>
      <c r="AC122" s="511" t="s">
        <v>2362</v>
      </c>
      <c r="AD122" s="511" t="s">
        <v>2363</v>
      </c>
    </row>
    <row r="123" spans="1:36">
      <c r="B123" s="505"/>
      <c r="C123" s="512"/>
      <c r="D123" s="512"/>
      <c r="E123" s="513"/>
      <c r="F123" s="513"/>
      <c r="G123" s="513"/>
      <c r="H123" s="513"/>
      <c r="I123" s="513"/>
      <c r="J123" s="513"/>
      <c r="K123" s="514"/>
      <c r="O123" s="797">
        <f t="shared" si="11"/>
        <v>1445.0028169014086</v>
      </c>
      <c r="T123" s="515" t="s">
        <v>2367</v>
      </c>
      <c r="U123" s="516" t="s">
        <v>173</v>
      </c>
      <c r="V123" s="516" t="s">
        <v>172</v>
      </c>
      <c r="W123" s="516" t="s">
        <v>166</v>
      </c>
      <c r="X123" s="517" t="s">
        <v>2367</v>
      </c>
      <c r="Y123" s="516" t="s">
        <v>172</v>
      </c>
      <c r="Z123" s="518" t="s">
        <v>166</v>
      </c>
      <c r="AA123" s="512"/>
      <c r="AB123" s="517" t="s">
        <v>2368</v>
      </c>
      <c r="AC123" s="517" t="s">
        <v>2369</v>
      </c>
      <c r="AD123" s="513"/>
    </row>
    <row r="124" spans="1:36">
      <c r="A124" s="520">
        <v>6</v>
      </c>
      <c r="B124" s="536" t="s">
        <v>2512</v>
      </c>
      <c r="C124" s="548">
        <v>111</v>
      </c>
      <c r="D124" s="527">
        <v>1</v>
      </c>
      <c r="E124" s="528" t="s">
        <v>2513</v>
      </c>
      <c r="F124" s="527">
        <v>70</v>
      </c>
      <c r="G124" s="527"/>
      <c r="H124" s="527">
        <v>67</v>
      </c>
      <c r="I124" s="527">
        <v>5</v>
      </c>
      <c r="J124" s="527">
        <v>6</v>
      </c>
      <c r="K124" s="527" t="s">
        <v>3855</v>
      </c>
      <c r="L124" s="797">
        <f>[1]!tsabetm(C124)</f>
        <v>194.25</v>
      </c>
      <c r="M124" s="828">
        <f>[1]!tsabetz(C124)</f>
        <v>220.6</v>
      </c>
      <c r="N124" s="797">
        <f t="shared" si="10"/>
        <v>65.958254269449725</v>
      </c>
      <c r="O124" s="797">
        <f t="shared" si="11"/>
        <v>1445.0028169014086</v>
      </c>
      <c r="P124" s="797">
        <f t="shared" si="12"/>
        <v>33.387487641615508</v>
      </c>
      <c r="Q124" s="797">
        <f t="shared" si="13"/>
        <v>223</v>
      </c>
      <c r="R124" s="797">
        <f t="shared" si="14"/>
        <v>223.55645812736026</v>
      </c>
      <c r="S124" s="797">
        <f>[1]!taqsabet(O124,C124)</f>
        <v>223.55645812736023</v>
      </c>
      <c r="T124" s="527"/>
      <c r="U124" s="527">
        <v>6</v>
      </c>
      <c r="V124" s="527">
        <v>10</v>
      </c>
      <c r="W124" s="527">
        <v>36</v>
      </c>
      <c r="X124" s="527"/>
      <c r="Y124" s="527">
        <v>44</v>
      </c>
      <c r="Z124" s="527">
        <v>30</v>
      </c>
      <c r="AA124" s="527" t="s">
        <v>179</v>
      </c>
      <c r="AB124" s="527">
        <v>2</v>
      </c>
      <c r="AC124" s="527">
        <v>2</v>
      </c>
      <c r="AD124" s="527" t="s">
        <v>2514</v>
      </c>
    </row>
    <row r="125" spans="1:36">
      <c r="A125" s="536"/>
      <c r="C125" s="523">
        <v>112</v>
      </c>
      <c r="D125" s="523">
        <v>2</v>
      </c>
      <c r="E125" s="524" t="s">
        <v>2515</v>
      </c>
      <c r="F125" s="523">
        <v>70</v>
      </c>
      <c r="G125" s="523"/>
      <c r="H125" s="523">
        <v>66</v>
      </c>
      <c r="I125" s="523">
        <v>0</v>
      </c>
      <c r="J125" s="523">
        <v>0</v>
      </c>
      <c r="K125" s="524"/>
      <c r="L125" s="797">
        <f>[1]!tsabetm(C125)</f>
        <v>191.25</v>
      </c>
      <c r="M125" s="797">
        <f>[1]!tsabetz(C125)</f>
        <v>217.76666666666668</v>
      </c>
      <c r="N125" s="797">
        <f t="shared" si="10"/>
        <v>65.543683218101791</v>
      </c>
      <c r="O125" s="797">
        <f t="shared" si="11"/>
        <v>1445.0028169014086</v>
      </c>
      <c r="P125" s="797">
        <f t="shared" si="12"/>
        <v>44.509483135871051</v>
      </c>
      <c r="Q125" s="797">
        <f t="shared" si="13"/>
        <v>220</v>
      </c>
      <c r="R125" s="797">
        <f t="shared" si="14"/>
        <v>220.74182471893118</v>
      </c>
      <c r="S125" s="797">
        <f>[1]!taqsabet(O125,C125)</f>
        <v>220.74182471893118</v>
      </c>
      <c r="T125" s="523"/>
      <c r="U125" s="523">
        <v>7</v>
      </c>
      <c r="V125" s="523">
        <v>7</v>
      </c>
      <c r="W125" s="523">
        <v>46</v>
      </c>
      <c r="X125" s="523"/>
      <c r="Y125" s="523">
        <v>46</v>
      </c>
      <c r="Z125" s="523">
        <v>24</v>
      </c>
      <c r="AA125" s="523" t="s">
        <v>179</v>
      </c>
      <c r="AB125" s="523">
        <v>4</v>
      </c>
      <c r="AC125" s="523">
        <v>4</v>
      </c>
      <c r="AD125" s="523" t="s">
        <v>2514</v>
      </c>
    </row>
    <row r="126" spans="1:36">
      <c r="A126" s="536"/>
      <c r="C126" s="548">
        <v>113</v>
      </c>
      <c r="D126" s="527">
        <v>3</v>
      </c>
      <c r="E126" s="528" t="s">
        <v>2516</v>
      </c>
      <c r="F126" s="527">
        <v>70</v>
      </c>
      <c r="G126" s="527"/>
      <c r="H126" s="527">
        <v>66</v>
      </c>
      <c r="I126" s="527">
        <v>0</v>
      </c>
      <c r="J126" s="527">
        <v>0</v>
      </c>
      <c r="K126" s="528"/>
      <c r="L126" s="797">
        <f>[1]!tsabetm(C126)</f>
        <v>191.41666666666666</v>
      </c>
      <c r="M126" s="797">
        <f>[1]!tsabetz(C126)</f>
        <v>217.26666666666668</v>
      </c>
      <c r="N126" s="797">
        <f t="shared" si="10"/>
        <v>67.234042553191429</v>
      </c>
      <c r="O126" s="797">
        <f t="shared" si="11"/>
        <v>1445.0028169014086</v>
      </c>
      <c r="P126" s="797">
        <f t="shared" si="12"/>
        <v>10.021501158853425</v>
      </c>
      <c r="Q126" s="797">
        <f t="shared" si="13"/>
        <v>220</v>
      </c>
      <c r="R126" s="797">
        <f t="shared" si="14"/>
        <v>220.16702501931422</v>
      </c>
      <c r="S126" s="797">
        <f>[1]!taqsabet(O126,C126)</f>
        <v>220.16702501931422</v>
      </c>
      <c r="T126" s="527"/>
      <c r="U126" s="527">
        <v>7</v>
      </c>
      <c r="V126" s="527">
        <v>7</v>
      </c>
      <c r="W126" s="527">
        <v>16</v>
      </c>
      <c r="X126" s="527"/>
      <c r="Y126" s="527">
        <v>48</v>
      </c>
      <c r="Z126" s="527">
        <v>21</v>
      </c>
      <c r="AA126" s="527" t="s">
        <v>179</v>
      </c>
      <c r="AB126" s="527">
        <v>4</v>
      </c>
      <c r="AC126" s="527">
        <v>5</v>
      </c>
      <c r="AD126" s="527" t="s">
        <v>2514</v>
      </c>
    </row>
    <row r="127" spans="1:36">
      <c r="A127" s="536"/>
      <c r="C127" s="523">
        <v>114</v>
      </c>
      <c r="D127" s="523">
        <v>4</v>
      </c>
      <c r="E127" s="524" t="s">
        <v>2517</v>
      </c>
      <c r="F127" s="523">
        <v>70</v>
      </c>
      <c r="G127" s="523"/>
      <c r="H127" s="523">
        <v>66</v>
      </c>
      <c r="I127" s="523">
        <v>0</v>
      </c>
      <c r="J127" s="523">
        <v>0</v>
      </c>
      <c r="K127" s="524"/>
      <c r="L127" s="797">
        <f>[1]!tsabetm(C127)</f>
        <v>193.25</v>
      </c>
      <c r="M127" s="797">
        <f>[1]!tsabetz(C127)</f>
        <v>219.76666666666668</v>
      </c>
      <c r="N127" s="797">
        <f t="shared" si="10"/>
        <v>65.543683218101791</v>
      </c>
      <c r="O127" s="797">
        <f t="shared" si="11"/>
        <v>1445.0028169014086</v>
      </c>
      <c r="P127" s="797">
        <f t="shared" si="12"/>
        <v>44.509483135871051</v>
      </c>
      <c r="Q127" s="797">
        <f t="shared" si="13"/>
        <v>222</v>
      </c>
      <c r="R127" s="797">
        <f t="shared" si="14"/>
        <v>222.74182471893118</v>
      </c>
      <c r="S127" s="797">
        <f>[1]!taqsabet(O127,C127)</f>
        <v>222.74182471893118</v>
      </c>
      <c r="T127" s="523"/>
      <c r="U127" s="523">
        <v>7</v>
      </c>
      <c r="V127" s="523">
        <v>9</v>
      </c>
      <c r="W127" s="523">
        <v>46</v>
      </c>
      <c r="X127" s="523"/>
      <c r="Y127" s="523">
        <v>50</v>
      </c>
      <c r="Z127" s="523">
        <v>45</v>
      </c>
      <c r="AA127" s="523" t="s">
        <v>179</v>
      </c>
      <c r="AB127" s="523">
        <v>6</v>
      </c>
      <c r="AC127" s="523">
        <v>6</v>
      </c>
      <c r="AD127" s="523" t="s">
        <v>2514</v>
      </c>
    </row>
    <row r="128" spans="1:36">
      <c r="A128" s="536"/>
      <c r="C128" s="548">
        <v>115</v>
      </c>
      <c r="D128" s="527">
        <v>5</v>
      </c>
      <c r="E128" s="528" t="s">
        <v>2518</v>
      </c>
      <c r="F128" s="527">
        <v>70</v>
      </c>
      <c r="G128" s="527"/>
      <c r="H128" s="527">
        <v>66</v>
      </c>
      <c r="I128" s="527">
        <v>0</v>
      </c>
      <c r="J128" s="527">
        <v>0</v>
      </c>
      <c r="K128" s="528"/>
      <c r="L128" s="797">
        <f>[1]!tsabetm(C128)</f>
        <v>196.75</v>
      </c>
      <c r="M128" s="797">
        <f>[1]!tsabetz(C128)</f>
        <v>222.61666666666667</v>
      </c>
      <c r="N128" s="797">
        <f t="shared" si="10"/>
        <v>67.190721649484516</v>
      </c>
      <c r="O128" s="797">
        <f t="shared" si="11"/>
        <v>1445.0028169014086</v>
      </c>
      <c r="P128" s="797">
        <f t="shared" si="12"/>
        <v>31.133700708277843</v>
      </c>
      <c r="Q128" s="797">
        <f t="shared" si="13"/>
        <v>225</v>
      </c>
      <c r="R128" s="797">
        <f t="shared" si="14"/>
        <v>225.51889501180463</v>
      </c>
      <c r="S128" s="797">
        <f>[1]!taqsabet(O128,C128)</f>
        <v>225.51889501180463</v>
      </c>
      <c r="T128" s="527"/>
      <c r="U128" s="527">
        <v>7</v>
      </c>
      <c r="V128" s="527">
        <v>12</v>
      </c>
      <c r="W128" s="527">
        <v>37</v>
      </c>
      <c r="X128" s="527"/>
      <c r="Y128" s="527">
        <v>44</v>
      </c>
      <c r="Z128" s="527">
        <v>27</v>
      </c>
      <c r="AA128" s="527" t="s">
        <v>179</v>
      </c>
      <c r="AB128" s="527">
        <v>4</v>
      </c>
      <c r="AC128" s="527">
        <v>4</v>
      </c>
      <c r="AD128" s="527" t="s">
        <v>2514</v>
      </c>
      <c r="AE128" s="327">
        <v>573</v>
      </c>
    </row>
    <row r="129" spans="1:30">
      <c r="A129" s="536"/>
      <c r="C129" s="523">
        <v>116</v>
      </c>
      <c r="D129" s="523">
        <v>6</v>
      </c>
      <c r="E129" s="524" t="s">
        <v>2519</v>
      </c>
      <c r="F129" s="523">
        <v>70</v>
      </c>
      <c r="G129" s="523"/>
      <c r="H129" s="523">
        <v>66</v>
      </c>
      <c r="I129" s="523">
        <v>0</v>
      </c>
      <c r="J129" s="523">
        <v>0</v>
      </c>
      <c r="K129" s="524"/>
      <c r="L129" s="797">
        <f>[1]!tsabetm(C129)</f>
        <v>198.75</v>
      </c>
      <c r="M129" s="797">
        <f>[1]!tsabetz(C129)</f>
        <v>222.86666666666667</v>
      </c>
      <c r="N129" s="797">
        <f t="shared" si="10"/>
        <v>72.066344160331695</v>
      </c>
      <c r="O129" s="797">
        <f t="shared" si="11"/>
        <v>1445.0028169014086</v>
      </c>
      <c r="P129" s="797">
        <f t="shared" si="12"/>
        <v>34.352748018606576</v>
      </c>
      <c r="Q129" s="797">
        <f t="shared" si="13"/>
        <v>225</v>
      </c>
      <c r="R129" s="797">
        <f t="shared" si="14"/>
        <v>225.57254580031011</v>
      </c>
      <c r="S129" s="797">
        <f>[1]!taqsabet(O129,C129)</f>
        <v>225.57254580031011</v>
      </c>
      <c r="T129" s="523"/>
      <c r="U129" s="523">
        <v>7</v>
      </c>
      <c r="V129" s="523">
        <v>12</v>
      </c>
      <c r="W129" s="523">
        <v>52</v>
      </c>
      <c r="X129" s="523"/>
      <c r="Y129" s="523">
        <v>14</v>
      </c>
      <c r="Z129" s="523">
        <v>42</v>
      </c>
      <c r="AA129" s="523" t="s">
        <v>179</v>
      </c>
      <c r="AB129" s="523">
        <v>4</v>
      </c>
      <c r="AC129" s="523">
        <v>4</v>
      </c>
      <c r="AD129" s="523" t="s">
        <v>2514</v>
      </c>
    </row>
    <row r="130" spans="1:30">
      <c r="A130" s="536"/>
      <c r="C130" s="548">
        <v>117</v>
      </c>
      <c r="D130" s="527">
        <v>7</v>
      </c>
      <c r="E130" s="528" t="s">
        <v>2520</v>
      </c>
      <c r="F130" s="527">
        <v>70</v>
      </c>
      <c r="G130" s="527"/>
      <c r="H130" s="527">
        <v>66</v>
      </c>
      <c r="I130" s="527">
        <v>0</v>
      </c>
      <c r="J130" s="527">
        <v>0</v>
      </c>
      <c r="K130" s="528"/>
      <c r="L130" s="797">
        <f>[1]!tsabetm(C130)</f>
        <v>200.91666666666666</v>
      </c>
      <c r="M130" s="797">
        <f>[1]!tsabetz(C130)</f>
        <v>227.01666666666668</v>
      </c>
      <c r="N130" s="797">
        <f t="shared" si="10"/>
        <v>66.590038314176184</v>
      </c>
      <c r="O130" s="797">
        <f t="shared" si="11"/>
        <v>1445.0028169014086</v>
      </c>
      <c r="P130" s="797">
        <f t="shared" si="12"/>
        <v>56.704494400235035</v>
      </c>
      <c r="Q130" s="797">
        <f t="shared" si="13"/>
        <v>229</v>
      </c>
      <c r="R130" s="797">
        <f t="shared" si="14"/>
        <v>229.94507490667058</v>
      </c>
      <c r="S130" s="797">
        <f>[1]!taqsabet(O130,C130)</f>
        <v>229.94507490667058</v>
      </c>
      <c r="T130" s="527"/>
      <c r="U130" s="527">
        <v>7</v>
      </c>
      <c r="V130" s="527">
        <v>17</v>
      </c>
      <c r="W130" s="527">
        <v>1</v>
      </c>
      <c r="X130" s="527"/>
      <c r="Y130" s="527">
        <v>46</v>
      </c>
      <c r="Z130" s="527">
        <v>0</v>
      </c>
      <c r="AA130" s="527" t="s">
        <v>179</v>
      </c>
      <c r="AB130" s="527">
        <v>4</v>
      </c>
      <c r="AC130" s="527">
        <v>4</v>
      </c>
      <c r="AD130" s="527" t="s">
        <v>2514</v>
      </c>
    </row>
    <row r="131" spans="1:30">
      <c r="A131" s="536"/>
      <c r="C131" s="523">
        <v>118</v>
      </c>
      <c r="D131" s="523">
        <v>8</v>
      </c>
      <c r="E131" s="524" t="s">
        <v>2521</v>
      </c>
      <c r="F131" s="523">
        <v>70</v>
      </c>
      <c r="G131" s="523"/>
      <c r="H131" s="523">
        <v>66</v>
      </c>
      <c r="I131" s="523">
        <v>0</v>
      </c>
      <c r="J131" s="523">
        <v>0</v>
      </c>
      <c r="K131" s="524"/>
      <c r="L131" s="797">
        <f>[1]!tsabetm(C131)</f>
        <v>201.25</v>
      </c>
      <c r="M131" s="797">
        <f>[1]!tsabetz(C131)</f>
        <v>226.61666666666667</v>
      </c>
      <c r="N131" s="797">
        <f t="shared" si="10"/>
        <v>68.515111695137961</v>
      </c>
      <c r="O131" s="797">
        <f t="shared" si="11"/>
        <v>1445.0028169014086</v>
      </c>
      <c r="P131" s="797">
        <f t="shared" si="12"/>
        <v>27.767714225514624</v>
      </c>
      <c r="Q131" s="797">
        <f t="shared" si="13"/>
        <v>229</v>
      </c>
      <c r="R131" s="797">
        <f t="shared" si="14"/>
        <v>229.46279523709191</v>
      </c>
      <c r="S131" s="797">
        <f>[1]!taqsabet(O131,C131)</f>
        <v>229.46279523709191</v>
      </c>
      <c r="T131" s="523"/>
      <c r="U131" s="523">
        <v>7</v>
      </c>
      <c r="V131" s="523">
        <v>16</v>
      </c>
      <c r="W131" s="523">
        <v>37</v>
      </c>
      <c r="X131" s="523"/>
      <c r="Y131" s="523">
        <v>49</v>
      </c>
      <c r="Z131" s="523">
        <v>30</v>
      </c>
      <c r="AA131" s="523" t="s">
        <v>179</v>
      </c>
      <c r="AB131" s="523">
        <v>4</v>
      </c>
      <c r="AC131" s="523">
        <v>4</v>
      </c>
      <c r="AD131" s="523" t="s">
        <v>2514</v>
      </c>
    </row>
    <row r="132" spans="1:30">
      <c r="A132" s="536"/>
      <c r="C132" s="549"/>
      <c r="D132" s="549"/>
      <c r="E132" s="549"/>
      <c r="F132" s="549"/>
      <c r="G132" s="549"/>
      <c r="H132" s="549"/>
      <c r="I132" s="549"/>
      <c r="J132" s="549"/>
      <c r="K132" s="549"/>
      <c r="N132" s="797">
        <f t="shared" si="10"/>
        <v>4.8277777777777775</v>
      </c>
      <c r="O132" s="797">
        <f t="shared" si="11"/>
        <v>1445.0028169014086</v>
      </c>
      <c r="P132" s="797">
        <f t="shared" si="12"/>
        <v>23.510267589427372</v>
      </c>
      <c r="Q132" s="797">
        <f t="shared" si="13"/>
        <v>40</v>
      </c>
      <c r="R132" s="797">
        <f t="shared" si="14"/>
        <v>40.391837793157123</v>
      </c>
      <c r="S132" s="797">
        <f>[1]!taqsabet(O132,C132)</f>
        <v>1.4716840899636423</v>
      </c>
      <c r="T132" s="549"/>
      <c r="U132" s="549"/>
      <c r="V132" s="549"/>
      <c r="W132" s="549"/>
      <c r="X132" s="549"/>
      <c r="Y132" s="549"/>
      <c r="Z132" s="549"/>
      <c r="AA132" s="549"/>
      <c r="AB132" s="549"/>
      <c r="AC132" s="549"/>
      <c r="AD132" s="549"/>
    </row>
    <row r="133" spans="1:30">
      <c r="A133" s="520">
        <v>7</v>
      </c>
      <c r="B133" s="327" t="s">
        <v>2522</v>
      </c>
      <c r="C133" s="523">
        <v>119</v>
      </c>
      <c r="D133" s="523">
        <v>1</v>
      </c>
      <c r="E133" s="524" t="s">
        <v>2523</v>
      </c>
      <c r="F133" s="523">
        <v>70</v>
      </c>
      <c r="G133" s="523"/>
      <c r="H133" s="523">
        <v>66</v>
      </c>
      <c r="I133" s="523">
        <v>4</v>
      </c>
      <c r="J133" s="523">
        <v>13</v>
      </c>
      <c r="K133" s="523" t="s">
        <v>3856</v>
      </c>
      <c r="L133" s="797">
        <f>[1]!tsabetm(C133)</f>
        <v>227.25</v>
      </c>
      <c r="M133" s="797">
        <f>[1]!tsabetz(C133)</f>
        <v>254.01666666666668</v>
      </c>
      <c r="N133" s="797">
        <f t="shared" si="10"/>
        <v>64.931506849315042</v>
      </c>
      <c r="O133" s="797">
        <f t="shared" si="11"/>
        <v>1445.0028169014086</v>
      </c>
      <c r="P133" s="797">
        <f t="shared" si="12"/>
        <v>1.1924763772526603</v>
      </c>
      <c r="Q133" s="797">
        <f t="shared" si="13"/>
        <v>257</v>
      </c>
      <c r="R133" s="797">
        <f t="shared" si="14"/>
        <v>257.01987460628754</v>
      </c>
      <c r="S133" s="797">
        <f>[1]!taqsabet(O133,C133)</f>
        <v>257.01987460628754</v>
      </c>
      <c r="T133" s="524"/>
      <c r="U133" s="523">
        <v>8</v>
      </c>
      <c r="V133" s="523">
        <v>14</v>
      </c>
      <c r="W133" s="523">
        <v>1</v>
      </c>
      <c r="X133" s="523"/>
      <c r="Y133" s="523">
        <v>37</v>
      </c>
      <c r="Z133" s="523">
        <v>9</v>
      </c>
      <c r="AA133" s="523" t="s">
        <v>179</v>
      </c>
      <c r="AB133" s="523">
        <v>3</v>
      </c>
      <c r="AC133" s="523">
        <v>3</v>
      </c>
      <c r="AD133" s="523" t="s">
        <v>2524</v>
      </c>
    </row>
    <row r="134" spans="1:30">
      <c r="C134" s="547">
        <v>120</v>
      </c>
      <c r="D134" s="522">
        <v>2</v>
      </c>
      <c r="E134" s="550" t="s">
        <v>2525</v>
      </c>
      <c r="F134" s="522">
        <v>70</v>
      </c>
      <c r="G134" s="522"/>
      <c r="H134" s="522">
        <v>66</v>
      </c>
      <c r="I134" s="522">
        <v>0</v>
      </c>
      <c r="J134" s="522">
        <v>0</v>
      </c>
      <c r="K134" s="522"/>
      <c r="L134" s="797">
        <f>[1]!tsabetm(C134)</f>
        <v>213.25</v>
      </c>
      <c r="M134" s="797">
        <f>[1]!tsabetz(C134)</f>
        <v>239.76666666666668</v>
      </c>
      <c r="N134" s="797">
        <f t="shared" si="10"/>
        <v>65.543683218101791</v>
      </c>
      <c r="O134" s="797">
        <f t="shared" si="11"/>
        <v>1445.0028169014086</v>
      </c>
      <c r="P134" s="797">
        <f t="shared" si="12"/>
        <v>44.509483135871051</v>
      </c>
      <c r="Q134" s="797">
        <f t="shared" si="13"/>
        <v>242</v>
      </c>
      <c r="R134" s="797">
        <f t="shared" si="14"/>
        <v>242.74182471893118</v>
      </c>
      <c r="S134" s="797">
        <f>[1]!taqsabet(O134,C134)</f>
        <v>242.74182471893118</v>
      </c>
      <c r="T134" s="522"/>
      <c r="U134" s="522">
        <v>7</v>
      </c>
      <c r="V134" s="522">
        <v>27</v>
      </c>
      <c r="W134" s="522">
        <v>46</v>
      </c>
      <c r="X134" s="522"/>
      <c r="Y134" s="522">
        <v>42</v>
      </c>
      <c r="Z134" s="522">
        <v>54</v>
      </c>
      <c r="AA134" s="522" t="s">
        <v>179</v>
      </c>
      <c r="AB134" s="522">
        <v>3</v>
      </c>
      <c r="AC134" s="522">
        <v>3</v>
      </c>
      <c r="AD134" s="522" t="s">
        <v>2524</v>
      </c>
    </row>
    <row r="135" spans="1:30">
      <c r="C135" s="523">
        <v>121</v>
      </c>
      <c r="D135" s="523">
        <v>3</v>
      </c>
      <c r="E135" s="524" t="s">
        <v>2526</v>
      </c>
      <c r="F135" s="523">
        <v>70</v>
      </c>
      <c r="G135" s="523"/>
      <c r="H135" s="523">
        <v>66</v>
      </c>
      <c r="I135" s="523">
        <v>0</v>
      </c>
      <c r="J135" s="523">
        <v>0</v>
      </c>
      <c r="K135" s="524"/>
      <c r="L135" s="797">
        <f>[1]!tsabetm(C135)</f>
        <v>211.25</v>
      </c>
      <c r="M135" s="797">
        <f>[1]!tsabetz(C135)</f>
        <v>236.86666666666667</v>
      </c>
      <c r="N135" s="797">
        <f t="shared" ref="N135:N198" si="15">(1697+41)/((IF(M135-L135&gt;0,M135-L135,M135+360-L135)))</f>
        <v>67.846454131424835</v>
      </c>
      <c r="O135" s="797">
        <f t="shared" si="11"/>
        <v>1445.0028169014086</v>
      </c>
      <c r="P135" s="797">
        <f t="shared" si="12"/>
        <v>44.450707466896233</v>
      </c>
      <c r="Q135" s="797">
        <f t="shared" si="13"/>
        <v>239</v>
      </c>
      <c r="R135" s="797">
        <f t="shared" si="14"/>
        <v>239.74084512444827</v>
      </c>
      <c r="S135" s="797">
        <f>[1]!taqsabet(O135,C135)</f>
        <v>239.74084512444827</v>
      </c>
      <c r="T135" s="524"/>
      <c r="U135" s="523">
        <v>7</v>
      </c>
      <c r="V135" s="523">
        <v>26</v>
      </c>
      <c r="W135" s="523">
        <v>52</v>
      </c>
      <c r="X135" s="523"/>
      <c r="Y135" s="523">
        <v>39</v>
      </c>
      <c r="Z135" s="523">
        <v>27</v>
      </c>
      <c r="AA135" s="523" t="s">
        <v>179</v>
      </c>
      <c r="AB135" s="523">
        <v>3</v>
      </c>
      <c r="AC135" s="523">
        <v>3</v>
      </c>
      <c r="AD135" s="523" t="s">
        <v>2524</v>
      </c>
    </row>
    <row r="136" spans="1:30">
      <c r="C136" s="547">
        <v>122</v>
      </c>
      <c r="D136" s="522">
        <v>4</v>
      </c>
      <c r="E136" s="522" t="s">
        <v>2527</v>
      </c>
      <c r="F136" s="522">
        <v>70</v>
      </c>
      <c r="G136" s="522"/>
      <c r="H136" s="522">
        <v>66</v>
      </c>
      <c r="I136" s="522">
        <v>0</v>
      </c>
      <c r="J136" s="522">
        <v>0</v>
      </c>
      <c r="K136" s="522"/>
      <c r="L136" s="797">
        <f>[1]!tsabetm(C136)</f>
        <v>207.58333333333331</v>
      </c>
      <c r="M136" s="797">
        <f>[1]!tsabetz(C136)</f>
        <v>233.91666666666666</v>
      </c>
      <c r="N136" s="797">
        <f t="shared" si="15"/>
        <v>65.999999999999972</v>
      </c>
      <c r="O136" s="797">
        <f t="shared" ref="O136:O199" si="16">O135</f>
        <v>1445.0028169014086</v>
      </c>
      <c r="P136" s="797">
        <f t="shared" ref="P136:P199" si="17">(R136-Q136)*60</f>
        <v>52.275288092188816</v>
      </c>
      <c r="Q136" s="797">
        <f t="shared" ref="Q136:Q199" si="18">INT(R136)</f>
        <v>236</v>
      </c>
      <c r="R136" s="797">
        <f t="shared" ref="R136:R199" si="19">((O136-1250)/(N136))+M136</f>
        <v>236.87125480153648</v>
      </c>
      <c r="S136" s="797">
        <f>[1]!taqsabet(O136,C136)</f>
        <v>236.87125480153648</v>
      </c>
      <c r="T136" s="522"/>
      <c r="U136" s="522">
        <v>7</v>
      </c>
      <c r="V136" s="522">
        <v>23</v>
      </c>
      <c r="W136" s="522">
        <v>55</v>
      </c>
      <c r="X136" s="522"/>
      <c r="Y136" s="522">
        <v>37</v>
      </c>
      <c r="Z136" s="522">
        <v>0</v>
      </c>
      <c r="AA136" s="522" t="s">
        <v>179</v>
      </c>
      <c r="AB136" s="522">
        <v>4</v>
      </c>
      <c r="AC136" s="522">
        <v>4</v>
      </c>
      <c r="AD136" s="522" t="s">
        <v>2524</v>
      </c>
    </row>
    <row r="137" spans="1:30">
      <c r="C137" s="523">
        <v>123</v>
      </c>
      <c r="D137" s="523">
        <v>5</v>
      </c>
      <c r="E137" s="524" t="s">
        <v>2490</v>
      </c>
      <c r="F137" s="523">
        <v>70</v>
      </c>
      <c r="G137" s="523"/>
      <c r="H137" s="523">
        <v>66</v>
      </c>
      <c r="I137" s="523">
        <v>0</v>
      </c>
      <c r="J137" s="523">
        <v>0</v>
      </c>
      <c r="K137" s="524"/>
      <c r="L137" s="797">
        <f>[1]!tsabetm(C137)</f>
        <v>226.25</v>
      </c>
      <c r="M137" s="797">
        <f>[1]!tsabetz(C137)</f>
        <v>252.41666666666666</v>
      </c>
      <c r="N137" s="797">
        <f t="shared" si="15"/>
        <v>66.420382165605119</v>
      </c>
      <c r="O137" s="797">
        <f t="shared" si="16"/>
        <v>1445.0028169014086</v>
      </c>
      <c r="P137" s="797">
        <f t="shared" si="17"/>
        <v>21.15329259793441</v>
      </c>
      <c r="Q137" s="797">
        <f t="shared" si="18"/>
        <v>255</v>
      </c>
      <c r="R137" s="797">
        <f t="shared" si="19"/>
        <v>255.35255487663224</v>
      </c>
      <c r="S137" s="797">
        <f>[1]!taqsabet(O137,C137)</f>
        <v>255.35255487663224</v>
      </c>
      <c r="T137" s="524"/>
      <c r="U137" s="523">
        <v>8</v>
      </c>
      <c r="V137" s="523">
        <v>12</v>
      </c>
      <c r="W137" s="523">
        <v>25</v>
      </c>
      <c r="X137" s="523"/>
      <c r="Y137" s="523">
        <v>47</v>
      </c>
      <c r="Z137" s="523">
        <v>45</v>
      </c>
      <c r="AA137" s="523" t="s">
        <v>179</v>
      </c>
      <c r="AB137" s="523">
        <v>3</v>
      </c>
      <c r="AC137" s="523">
        <v>3</v>
      </c>
      <c r="AD137" s="523" t="s">
        <v>2524</v>
      </c>
    </row>
    <row r="138" spans="1:30">
      <c r="C138" s="547">
        <v>124</v>
      </c>
      <c r="D138" s="522">
        <v>6</v>
      </c>
      <c r="E138" s="522" t="s">
        <v>2479</v>
      </c>
      <c r="F138" s="522">
        <v>70</v>
      </c>
      <c r="G138" s="522"/>
      <c r="H138" s="522">
        <v>66</v>
      </c>
      <c r="I138" s="522">
        <v>0</v>
      </c>
      <c r="J138" s="522">
        <v>0</v>
      </c>
      <c r="K138" s="522"/>
      <c r="L138" s="797">
        <f>[1]!tsabetm(C138)</f>
        <v>231.58333333333331</v>
      </c>
      <c r="M138" s="797">
        <f>[1]!tsabetz(C138)</f>
        <v>258.71666666666664</v>
      </c>
      <c r="N138" s="797">
        <f t="shared" si="15"/>
        <v>64.054054054054077</v>
      </c>
      <c r="O138" s="797">
        <f t="shared" si="16"/>
        <v>1445.0028169014086</v>
      </c>
      <c r="P138" s="797">
        <f t="shared" si="17"/>
        <v>45.660866464610308</v>
      </c>
      <c r="Q138" s="797">
        <f t="shared" si="18"/>
        <v>261</v>
      </c>
      <c r="R138" s="797">
        <f t="shared" si="19"/>
        <v>261.76101444107684</v>
      </c>
      <c r="S138" s="797">
        <f>[1]!taqsabet(O138,C138)</f>
        <v>261.76101444107684</v>
      </c>
      <c r="T138" s="522"/>
      <c r="U138" s="522">
        <v>8</v>
      </c>
      <c r="V138" s="522">
        <v>18</v>
      </c>
      <c r="W138" s="522">
        <v>43</v>
      </c>
      <c r="X138" s="522"/>
      <c r="Y138" s="522">
        <v>49</v>
      </c>
      <c r="Z138" s="522">
        <v>15</v>
      </c>
      <c r="AA138" s="522" t="s">
        <v>179</v>
      </c>
      <c r="AB138" s="522">
        <v>5</v>
      </c>
      <c r="AC138" s="522">
        <v>4</v>
      </c>
      <c r="AD138" s="522" t="s">
        <v>2524</v>
      </c>
    </row>
    <row r="139" spans="1:30">
      <c r="C139" s="523">
        <v>125</v>
      </c>
      <c r="D139" s="523">
        <v>7</v>
      </c>
      <c r="E139" s="524" t="s">
        <v>2489</v>
      </c>
      <c r="F139" s="523">
        <v>70</v>
      </c>
      <c r="G139" s="523"/>
      <c r="H139" s="523">
        <v>66</v>
      </c>
      <c r="I139" s="523">
        <v>0</v>
      </c>
      <c r="J139" s="523">
        <v>0</v>
      </c>
      <c r="K139" s="524"/>
      <c r="L139" s="797">
        <f>[1]!tsabetm(C139)</f>
        <v>237.25</v>
      </c>
      <c r="M139" s="797">
        <f>[1]!tsabetz(C139)</f>
        <v>264.31666666666666</v>
      </c>
      <c r="N139" s="797">
        <f t="shared" si="15"/>
        <v>64.211822660098534</v>
      </c>
      <c r="O139" s="797">
        <f t="shared" si="16"/>
        <v>1445.0028169014086</v>
      </c>
      <c r="P139" s="797">
        <f t="shared" si="17"/>
        <v>21.212068266909228</v>
      </c>
      <c r="Q139" s="797">
        <f t="shared" si="18"/>
        <v>267</v>
      </c>
      <c r="R139" s="797">
        <f t="shared" si="19"/>
        <v>267.35353447111515</v>
      </c>
      <c r="S139" s="797">
        <f>[1]!taqsabet(O139,C139)</f>
        <v>267.35353447111515</v>
      </c>
      <c r="T139" s="524"/>
      <c r="U139" s="523">
        <v>8</v>
      </c>
      <c r="V139" s="523">
        <v>24</v>
      </c>
      <c r="W139" s="523">
        <v>19</v>
      </c>
      <c r="X139" s="523"/>
      <c r="Y139" s="523">
        <v>51</v>
      </c>
      <c r="Z139" s="523">
        <v>48</v>
      </c>
      <c r="AA139" s="523" t="s">
        <v>179</v>
      </c>
      <c r="AB139" s="523">
        <v>4</v>
      </c>
      <c r="AC139" s="523">
        <v>4</v>
      </c>
      <c r="AD139" s="523" t="s">
        <v>2524</v>
      </c>
    </row>
    <row r="140" spans="1:30">
      <c r="C140" s="547">
        <v>126</v>
      </c>
      <c r="D140" s="522">
        <v>8</v>
      </c>
      <c r="E140" s="522" t="s">
        <v>2528</v>
      </c>
      <c r="F140" s="522">
        <v>70</v>
      </c>
      <c r="G140" s="522"/>
      <c r="H140" s="522">
        <v>66</v>
      </c>
      <c r="I140" s="522">
        <v>0</v>
      </c>
      <c r="J140" s="522">
        <v>0</v>
      </c>
      <c r="K140" s="522"/>
      <c r="L140" s="797">
        <f>[1]!tsabetm(C140)</f>
        <v>245.08333333333331</v>
      </c>
      <c r="M140" s="797">
        <f>[1]!tsabetz(C140)</f>
        <v>270.86666666666667</v>
      </c>
      <c r="N140" s="797">
        <f t="shared" si="15"/>
        <v>67.407886231415574</v>
      </c>
      <c r="O140" s="797">
        <f t="shared" si="16"/>
        <v>1445.0028169014086</v>
      </c>
      <c r="P140" s="797">
        <f t="shared" si="17"/>
        <v>45.572702961152345</v>
      </c>
      <c r="Q140" s="797">
        <f t="shared" si="18"/>
        <v>273</v>
      </c>
      <c r="R140" s="797">
        <f t="shared" si="19"/>
        <v>273.75954504935254</v>
      </c>
      <c r="S140" s="797">
        <f>[1]!taqsabet(O140,C140)</f>
        <v>273.75954504935254</v>
      </c>
      <c r="T140" s="522"/>
      <c r="U140" s="522">
        <v>9</v>
      </c>
      <c r="V140" s="522">
        <v>0</v>
      </c>
      <c r="W140" s="522">
        <v>52</v>
      </c>
      <c r="X140" s="522"/>
      <c r="Y140" s="522">
        <v>52</v>
      </c>
      <c r="Z140" s="522">
        <v>21</v>
      </c>
      <c r="AA140" s="522" t="s">
        <v>179</v>
      </c>
      <c r="AB140" s="522">
        <v>4</v>
      </c>
      <c r="AC140" s="522">
        <v>4</v>
      </c>
      <c r="AD140" s="522" t="s">
        <v>2524</v>
      </c>
    </row>
    <row r="141" spans="1:30">
      <c r="C141" s="523">
        <v>127</v>
      </c>
      <c r="D141" s="523">
        <v>9</v>
      </c>
      <c r="E141" s="543" t="s">
        <v>2529</v>
      </c>
      <c r="F141" s="523">
        <v>70</v>
      </c>
      <c r="G141" s="523"/>
      <c r="H141" s="523">
        <v>66</v>
      </c>
      <c r="I141" s="523">
        <v>0</v>
      </c>
      <c r="J141" s="523">
        <v>0</v>
      </c>
      <c r="K141" s="524"/>
      <c r="L141" s="797">
        <f>[1]!tsabetm(C141)</f>
        <v>241.25</v>
      </c>
      <c r="M141" s="797">
        <f>[1]!tsabetz(C141)</f>
        <v>268.51666666666665</v>
      </c>
      <c r="N141" s="797">
        <f t="shared" si="15"/>
        <v>63.740831295843556</v>
      </c>
      <c r="O141" s="797">
        <f t="shared" si="16"/>
        <v>1445.0028169014086</v>
      </c>
      <c r="P141" s="797">
        <f t="shared" si="17"/>
        <v>34.558462860012469</v>
      </c>
      <c r="Q141" s="797">
        <f t="shared" si="18"/>
        <v>271</v>
      </c>
      <c r="R141" s="797">
        <f t="shared" si="19"/>
        <v>271.57597438100021</v>
      </c>
      <c r="S141" s="797">
        <f>[1]!taqsabet(O141,C141)</f>
        <v>271.57597438100021</v>
      </c>
      <c r="T141" s="524"/>
      <c r="U141" s="523">
        <v>8</v>
      </c>
      <c r="V141" s="523">
        <v>28</v>
      </c>
      <c r="W141" s="523">
        <v>31</v>
      </c>
      <c r="X141" s="523"/>
      <c r="Y141" s="523">
        <v>53</v>
      </c>
      <c r="Z141" s="523">
        <v>39</v>
      </c>
      <c r="AA141" s="523" t="s">
        <v>179</v>
      </c>
      <c r="AB141" s="523">
        <v>4</v>
      </c>
      <c r="AC141" s="523">
        <v>4</v>
      </c>
      <c r="AD141" s="523" t="s">
        <v>2524</v>
      </c>
    </row>
    <row r="142" spans="1:30">
      <c r="C142" s="547">
        <v>128</v>
      </c>
      <c r="D142" s="522">
        <v>10</v>
      </c>
      <c r="E142" s="550" t="s">
        <v>2396</v>
      </c>
      <c r="F142" s="522">
        <v>70</v>
      </c>
      <c r="G142" s="522"/>
      <c r="H142" s="522">
        <v>66</v>
      </c>
      <c r="I142" s="522">
        <v>0</v>
      </c>
      <c r="J142" s="522">
        <v>0</v>
      </c>
      <c r="K142" s="522"/>
      <c r="L142" s="797">
        <f>[1]!tsabetm(C142)</f>
        <v>241.08333333333331</v>
      </c>
      <c r="M142" s="797">
        <f>[1]!tsabetz(C142)</f>
        <v>267.01666666666665</v>
      </c>
      <c r="N142" s="797">
        <f t="shared" si="15"/>
        <v>67.017994858611814</v>
      </c>
      <c r="O142" s="797">
        <f t="shared" si="16"/>
        <v>1445.0028169014086</v>
      </c>
      <c r="P142" s="797">
        <f t="shared" si="17"/>
        <v>55.582498905977218</v>
      </c>
      <c r="Q142" s="797">
        <f t="shared" si="18"/>
        <v>269</v>
      </c>
      <c r="R142" s="797">
        <f t="shared" si="19"/>
        <v>269.92637498176629</v>
      </c>
      <c r="S142" s="797">
        <f>[1]!taqsabet(O142,C142)</f>
        <v>269.92637498176629</v>
      </c>
      <c r="T142" s="522"/>
      <c r="U142" s="522">
        <v>8</v>
      </c>
      <c r="V142" s="522">
        <v>27</v>
      </c>
      <c r="W142" s="522">
        <v>1</v>
      </c>
      <c r="X142" s="522"/>
      <c r="Y142" s="522">
        <v>52</v>
      </c>
      <c r="Z142" s="522">
        <v>39</v>
      </c>
      <c r="AA142" s="522" t="s">
        <v>179</v>
      </c>
      <c r="AB142" s="522">
        <v>4</v>
      </c>
      <c r="AC142" s="522">
        <v>4</v>
      </c>
      <c r="AD142" s="522" t="s">
        <v>2524</v>
      </c>
    </row>
    <row r="143" spans="1:30">
      <c r="C143" s="523">
        <v>129</v>
      </c>
      <c r="D143" s="523">
        <v>11</v>
      </c>
      <c r="E143" s="543" t="s">
        <v>2530</v>
      </c>
      <c r="F143" s="523">
        <v>70</v>
      </c>
      <c r="G143" s="523"/>
      <c r="H143" s="523">
        <v>66</v>
      </c>
      <c r="I143" s="523">
        <v>0</v>
      </c>
      <c r="J143" s="523">
        <v>0</v>
      </c>
      <c r="K143" s="524"/>
      <c r="L143" s="797">
        <f>[1]!tsabetm(C143)</f>
        <v>213.41666666666666</v>
      </c>
      <c r="M143" s="797">
        <f>[1]!tsabetz(C143)</f>
        <v>240.26666666666668</v>
      </c>
      <c r="N143" s="797">
        <f t="shared" si="15"/>
        <v>64.729981378026011</v>
      </c>
      <c r="O143" s="797">
        <f t="shared" si="16"/>
        <v>1445.0028169014086</v>
      </c>
      <c r="P143" s="797">
        <f t="shared" si="17"/>
        <v>16.753474124379863</v>
      </c>
      <c r="Q143" s="797">
        <f t="shared" si="18"/>
        <v>243</v>
      </c>
      <c r="R143" s="797">
        <f t="shared" si="19"/>
        <v>243.27922456873966</v>
      </c>
      <c r="S143" s="797">
        <f>[1]!taqsabet(O143,C143)</f>
        <v>243.27922456873966</v>
      </c>
      <c r="T143" s="524"/>
      <c r="U143" s="523">
        <v>8</v>
      </c>
      <c r="V143" s="523">
        <v>0</v>
      </c>
      <c r="W143" s="523">
        <v>16</v>
      </c>
      <c r="X143" s="523"/>
      <c r="Y143" s="523">
        <v>53</v>
      </c>
      <c r="Z143" s="523">
        <v>9</v>
      </c>
      <c r="AA143" s="523" t="s">
        <v>179</v>
      </c>
      <c r="AB143" s="523">
        <v>3</v>
      </c>
      <c r="AC143" s="523">
        <v>3</v>
      </c>
      <c r="AD143" s="523" t="s">
        <v>2524</v>
      </c>
    </row>
    <row r="144" spans="1:30">
      <c r="C144" s="547">
        <v>130</v>
      </c>
      <c r="D144" s="522">
        <v>12</v>
      </c>
      <c r="E144" s="550" t="s">
        <v>2531</v>
      </c>
      <c r="F144" s="522">
        <v>70</v>
      </c>
      <c r="G144" s="522"/>
      <c r="H144" s="522">
        <v>66</v>
      </c>
      <c r="I144" s="522">
        <v>0</v>
      </c>
      <c r="J144" s="522">
        <v>0</v>
      </c>
      <c r="K144" s="522"/>
      <c r="L144" s="797">
        <f>[1]!tsabetm(C144)</f>
        <v>219.75</v>
      </c>
      <c r="M144" s="797">
        <f>[1]!tsabetz(C144)</f>
        <v>246.51666666666668</v>
      </c>
      <c r="N144" s="797">
        <f t="shared" si="15"/>
        <v>64.931506849315042</v>
      </c>
      <c r="O144" s="797">
        <f t="shared" si="16"/>
        <v>1445.0028169014086</v>
      </c>
      <c r="P144" s="797">
        <f t="shared" si="17"/>
        <v>31.19247637725266</v>
      </c>
      <c r="Q144" s="797">
        <f t="shared" si="18"/>
        <v>249</v>
      </c>
      <c r="R144" s="797">
        <f t="shared" si="19"/>
        <v>249.51987460628754</v>
      </c>
      <c r="S144" s="797">
        <f>[1]!taqsabet(O144,C144)</f>
        <v>249.51987460628754</v>
      </c>
      <c r="T144" s="522"/>
      <c r="U144" s="522">
        <v>8</v>
      </c>
      <c r="V144" s="522">
        <v>6</v>
      </c>
      <c r="W144" s="522">
        <v>31</v>
      </c>
      <c r="X144" s="522"/>
      <c r="Y144" s="522">
        <v>53</v>
      </c>
      <c r="Z144" s="522">
        <v>30</v>
      </c>
      <c r="AA144" s="522" t="s">
        <v>179</v>
      </c>
      <c r="AB144" s="522">
        <v>4</v>
      </c>
      <c r="AC144" s="522">
        <v>4</v>
      </c>
      <c r="AD144" s="522" t="s">
        <v>2524</v>
      </c>
    </row>
    <row r="145" spans="3:31">
      <c r="C145" s="523">
        <v>131</v>
      </c>
      <c r="D145" s="523">
        <v>13</v>
      </c>
      <c r="E145" s="543" t="s">
        <v>2532</v>
      </c>
      <c r="F145" s="523">
        <v>70</v>
      </c>
      <c r="G145" s="523"/>
      <c r="H145" s="523">
        <v>66</v>
      </c>
      <c r="I145" s="523">
        <v>0</v>
      </c>
      <c r="J145" s="523">
        <v>0</v>
      </c>
      <c r="K145" s="524"/>
      <c r="L145" s="797">
        <f>[1]!tsabetm(C145)</f>
        <v>219.58333333333331</v>
      </c>
      <c r="M145" s="797">
        <f>[1]!tsabetz(C145)</f>
        <v>247.21666666666667</v>
      </c>
      <c r="N145" s="797">
        <f t="shared" si="15"/>
        <v>62.895054282267743</v>
      </c>
      <c r="O145" s="797">
        <f t="shared" si="16"/>
        <v>1445.0028169014086</v>
      </c>
      <c r="P145" s="797">
        <f t="shared" si="17"/>
        <v>19.026852947373527</v>
      </c>
      <c r="Q145" s="797">
        <f t="shared" si="18"/>
        <v>250</v>
      </c>
      <c r="R145" s="797">
        <f t="shared" si="19"/>
        <v>250.31711421578956</v>
      </c>
      <c r="S145" s="797">
        <f>[1]!taqsabet(O145,C145)</f>
        <v>250.31711421578956</v>
      </c>
      <c r="T145" s="524"/>
      <c r="U145" s="523">
        <v>8</v>
      </c>
      <c r="V145" s="523">
        <v>7</v>
      </c>
      <c r="W145" s="523">
        <v>13</v>
      </c>
      <c r="X145" s="523"/>
      <c r="Y145" s="523">
        <v>55</v>
      </c>
      <c r="Z145" s="523">
        <v>45</v>
      </c>
      <c r="AA145" s="523" t="s">
        <v>179</v>
      </c>
      <c r="AB145" s="523">
        <v>5</v>
      </c>
      <c r="AC145" s="523">
        <v>5</v>
      </c>
      <c r="AD145" s="523" t="s">
        <v>2524</v>
      </c>
    </row>
    <row r="146" spans="3:31">
      <c r="C146" s="547">
        <v>132</v>
      </c>
      <c r="D146" s="522">
        <v>14</v>
      </c>
      <c r="E146" s="550" t="s">
        <v>2533</v>
      </c>
      <c r="F146" s="522">
        <v>70</v>
      </c>
      <c r="G146" s="522"/>
      <c r="H146" s="522">
        <v>66</v>
      </c>
      <c r="I146" s="522">
        <v>0</v>
      </c>
      <c r="J146" s="522">
        <v>0</v>
      </c>
      <c r="K146" s="522"/>
      <c r="L146" s="797">
        <f>[1]!tsabetm(C146)</f>
        <v>220.75</v>
      </c>
      <c r="M146" s="797">
        <f>[1]!tsabetz(C146)</f>
        <v>248.16666666666666</v>
      </c>
      <c r="N146" s="797">
        <f t="shared" si="15"/>
        <v>63.392097264437709</v>
      </c>
      <c r="O146" s="797">
        <f t="shared" si="16"/>
        <v>1445.0028169014086</v>
      </c>
      <c r="P146" s="797">
        <f t="shared" si="17"/>
        <v>14.568258804842458</v>
      </c>
      <c r="Q146" s="797">
        <f t="shared" si="18"/>
        <v>251</v>
      </c>
      <c r="R146" s="797">
        <f t="shared" si="19"/>
        <v>251.24280431341404</v>
      </c>
      <c r="S146" s="797">
        <f>[1]!taqsabet(O146,C146)</f>
        <v>251.24280431341404</v>
      </c>
      <c r="T146" s="522"/>
      <c r="U146" s="522">
        <v>8</v>
      </c>
      <c r="V146" s="522">
        <v>8</v>
      </c>
      <c r="W146" s="522">
        <v>10</v>
      </c>
      <c r="X146" s="522"/>
      <c r="Y146" s="522">
        <v>58</v>
      </c>
      <c r="Z146" s="522">
        <v>36</v>
      </c>
      <c r="AA146" s="522" t="s">
        <v>179</v>
      </c>
      <c r="AB146" s="522">
        <v>5</v>
      </c>
      <c r="AC146" s="522">
        <v>5</v>
      </c>
      <c r="AD146" s="522" t="s">
        <v>2524</v>
      </c>
    </row>
    <row r="147" spans="3:31">
      <c r="C147" s="523">
        <v>133</v>
      </c>
      <c r="D147" s="523">
        <v>15</v>
      </c>
      <c r="E147" s="543" t="s">
        <v>2534</v>
      </c>
      <c r="F147" s="523">
        <v>70</v>
      </c>
      <c r="G147" s="523"/>
      <c r="H147" s="523">
        <v>66</v>
      </c>
      <c r="I147" s="523">
        <v>0</v>
      </c>
      <c r="J147" s="523">
        <v>0</v>
      </c>
      <c r="K147" s="524"/>
      <c r="L147" s="797">
        <f>[1]!tsabetm(C147)</f>
        <v>223.58333333333331</v>
      </c>
      <c r="M147" s="797">
        <f>[1]!tsabetz(C147)</f>
        <v>250.86666666666667</v>
      </c>
      <c r="N147" s="797">
        <f t="shared" si="15"/>
        <v>63.70189370800238</v>
      </c>
      <c r="O147" s="797">
        <f t="shared" si="16"/>
        <v>1445.0028169014086</v>
      </c>
      <c r="P147" s="797">
        <f t="shared" si="17"/>
        <v>55.670662409440297</v>
      </c>
      <c r="Q147" s="797">
        <f t="shared" si="18"/>
        <v>253</v>
      </c>
      <c r="R147" s="797">
        <f t="shared" si="19"/>
        <v>253.92784437349067</v>
      </c>
      <c r="S147" s="797">
        <f>[1]!taqsabet(O147,C147)</f>
        <v>253.92784437349067</v>
      </c>
      <c r="T147" s="524"/>
      <c r="U147" s="523">
        <v>8</v>
      </c>
      <c r="V147" s="523">
        <v>10</v>
      </c>
      <c r="W147" s="523">
        <v>52</v>
      </c>
      <c r="X147" s="523"/>
      <c r="Y147" s="523">
        <v>59</v>
      </c>
      <c r="Z147" s="523">
        <v>11</v>
      </c>
      <c r="AA147" s="523" t="s">
        <v>179</v>
      </c>
      <c r="AB147" s="523">
        <v>4</v>
      </c>
      <c r="AC147" s="523">
        <v>3</v>
      </c>
      <c r="AD147" s="523" t="s">
        <v>2524</v>
      </c>
    </row>
    <row r="148" spans="3:31">
      <c r="C148" s="547">
        <v>134</v>
      </c>
      <c r="D148" s="522">
        <v>16</v>
      </c>
      <c r="E148" s="550" t="s">
        <v>2535</v>
      </c>
      <c r="F148" s="522">
        <v>70</v>
      </c>
      <c r="G148" s="522"/>
      <c r="H148" s="522">
        <v>66</v>
      </c>
      <c r="I148" s="522">
        <v>0</v>
      </c>
      <c r="J148" s="522">
        <v>0</v>
      </c>
      <c r="K148" s="522"/>
      <c r="L148" s="797">
        <f>[1]!tsabetm(C148)</f>
        <v>224.91666666666666</v>
      </c>
      <c r="M148" s="797">
        <f>[1]!tsabetz(C148)</f>
        <v>252.11666666666667</v>
      </c>
      <c r="N148" s="797">
        <f t="shared" si="15"/>
        <v>63.89705882352937</v>
      </c>
      <c r="O148" s="797">
        <f t="shared" si="16"/>
        <v>1445.0028169014086</v>
      </c>
      <c r="P148" s="797">
        <f t="shared" si="17"/>
        <v>10.109664662313094</v>
      </c>
      <c r="Q148" s="797">
        <f t="shared" si="18"/>
        <v>255</v>
      </c>
      <c r="R148" s="797">
        <f t="shared" si="19"/>
        <v>255.16849441103855</v>
      </c>
      <c r="S148" s="797">
        <f>[1]!taqsabet(O148,C148)</f>
        <v>255.16849441103855</v>
      </c>
      <c r="T148" s="522"/>
      <c r="U148" s="522">
        <v>8</v>
      </c>
      <c r="V148" s="522">
        <v>12</v>
      </c>
      <c r="W148" s="522">
        <v>7</v>
      </c>
      <c r="X148" s="522"/>
      <c r="Y148" s="522">
        <v>60</v>
      </c>
      <c r="Z148" s="522">
        <v>15</v>
      </c>
      <c r="AA148" s="522" t="s">
        <v>179</v>
      </c>
      <c r="AB148" s="522">
        <v>5</v>
      </c>
      <c r="AC148" s="522">
        <v>4</v>
      </c>
      <c r="AD148" s="522" t="s">
        <v>2524</v>
      </c>
    </row>
    <row r="149" spans="3:31">
      <c r="C149" s="523">
        <v>135</v>
      </c>
      <c r="D149" s="523">
        <v>17</v>
      </c>
      <c r="E149" s="543" t="s">
        <v>2536</v>
      </c>
      <c r="F149" s="523">
        <v>70</v>
      </c>
      <c r="G149" s="523"/>
      <c r="H149" s="523">
        <v>66</v>
      </c>
      <c r="I149" s="523">
        <v>0</v>
      </c>
      <c r="J149" s="523">
        <v>0</v>
      </c>
      <c r="K149" s="524"/>
      <c r="L149" s="797">
        <f>[1]!tsabetm(C149)</f>
        <v>225.91666666666666</v>
      </c>
      <c r="M149" s="797">
        <f>[1]!tsabetz(C149)</f>
        <v>253.96666666666667</v>
      </c>
      <c r="N149" s="797">
        <f t="shared" si="15"/>
        <v>61.960784313725462</v>
      </c>
      <c r="O149" s="797">
        <f t="shared" si="16"/>
        <v>1445.0028169014086</v>
      </c>
      <c r="P149" s="797">
        <f t="shared" si="17"/>
        <v>6.831841683009543</v>
      </c>
      <c r="Q149" s="797">
        <f t="shared" si="18"/>
        <v>257</v>
      </c>
      <c r="R149" s="797">
        <f t="shared" si="19"/>
        <v>257.11386402805016</v>
      </c>
      <c r="S149" s="797">
        <f>[1]!taqsabet(O149,C149)</f>
        <v>257.11386402805016</v>
      </c>
      <c r="T149" s="524"/>
      <c r="U149" s="523">
        <v>8</v>
      </c>
      <c r="V149" s="523">
        <v>13</v>
      </c>
      <c r="W149" s="523">
        <v>58</v>
      </c>
      <c r="X149" s="523"/>
      <c r="Y149" s="523">
        <v>60</v>
      </c>
      <c r="Z149" s="523">
        <v>12</v>
      </c>
      <c r="AA149" s="523" t="s">
        <v>179</v>
      </c>
      <c r="AB149" s="523">
        <v>4</v>
      </c>
      <c r="AC149" s="523">
        <v>4</v>
      </c>
      <c r="AD149" s="523" t="s">
        <v>2524</v>
      </c>
      <c r="AE149" s="327">
        <v>574</v>
      </c>
    </row>
    <row r="150" spans="3:31">
      <c r="C150" s="547">
        <v>136</v>
      </c>
      <c r="D150" s="522">
        <v>18</v>
      </c>
      <c r="E150" s="550" t="s">
        <v>2537</v>
      </c>
      <c r="F150" s="522">
        <v>70</v>
      </c>
      <c r="G150" s="522"/>
      <c r="H150" s="522">
        <v>66</v>
      </c>
      <c r="I150" s="522">
        <v>0</v>
      </c>
      <c r="J150" s="522">
        <v>0</v>
      </c>
      <c r="K150" s="522"/>
      <c r="L150" s="797">
        <f>[1]!tsabetm(C150)</f>
        <v>240.41666666666666</v>
      </c>
      <c r="M150" s="797">
        <f>[1]!tsabetz(C150)</f>
        <v>266.76666666666665</v>
      </c>
      <c r="N150" s="797">
        <f t="shared" si="15"/>
        <v>65.958254269449725</v>
      </c>
      <c r="O150" s="797">
        <f t="shared" si="16"/>
        <v>1445.0028169014086</v>
      </c>
      <c r="P150" s="797">
        <f t="shared" si="17"/>
        <v>43.387487641613234</v>
      </c>
      <c r="Q150" s="797">
        <f t="shared" si="18"/>
        <v>269</v>
      </c>
      <c r="R150" s="797">
        <f t="shared" si="19"/>
        <v>269.72312479402689</v>
      </c>
      <c r="S150" s="797">
        <f>[1]!taqsabet(O150,C150)</f>
        <v>269.72312479402689</v>
      </c>
      <c r="T150" s="522"/>
      <c r="U150" s="522">
        <v>8</v>
      </c>
      <c r="V150" s="522">
        <v>26</v>
      </c>
      <c r="W150" s="522">
        <v>46</v>
      </c>
      <c r="X150" s="522"/>
      <c r="Y150" s="522">
        <v>60</v>
      </c>
      <c r="Z150" s="522">
        <v>51</v>
      </c>
      <c r="AA150" s="522" t="s">
        <v>179</v>
      </c>
      <c r="AB150" s="522">
        <v>4</v>
      </c>
      <c r="AC150" s="522">
        <v>4</v>
      </c>
      <c r="AD150" s="522" t="s">
        <v>2524</v>
      </c>
    </row>
    <row r="151" spans="3:31">
      <c r="C151" s="523">
        <v>137</v>
      </c>
      <c r="D151" s="523">
        <v>19</v>
      </c>
      <c r="E151" s="543" t="s">
        <v>2538</v>
      </c>
      <c r="F151" s="523">
        <v>70</v>
      </c>
      <c r="G151" s="523"/>
      <c r="H151" s="523">
        <v>66</v>
      </c>
      <c r="I151" s="523">
        <v>0</v>
      </c>
      <c r="J151" s="523">
        <v>0</v>
      </c>
      <c r="K151" s="524"/>
      <c r="L151" s="797">
        <f>[1]!tsabetm(C151)</f>
        <v>231.75</v>
      </c>
      <c r="M151" s="797">
        <f>[1]!tsabetz(C151)</f>
        <v>289.01666666666665</v>
      </c>
      <c r="N151" s="797">
        <f t="shared" si="15"/>
        <v>30.349243306169974</v>
      </c>
      <c r="O151" s="797">
        <f t="shared" si="16"/>
        <v>1445.0028169014086</v>
      </c>
      <c r="P151" s="797">
        <f t="shared" si="17"/>
        <v>26.517651825798794</v>
      </c>
      <c r="Q151" s="797">
        <f t="shared" si="18"/>
        <v>295</v>
      </c>
      <c r="R151" s="797">
        <f t="shared" si="19"/>
        <v>295.44196086376331</v>
      </c>
      <c r="S151" s="797">
        <f>[1]!taqsabet(O151,C151)</f>
        <v>295.44196086376331</v>
      </c>
      <c r="T151" s="524"/>
      <c r="U151" s="523">
        <v>9</v>
      </c>
      <c r="V151" s="523">
        <v>19</v>
      </c>
      <c r="W151" s="523">
        <v>1</v>
      </c>
      <c r="X151" s="523"/>
      <c r="Y151" s="523">
        <v>69</v>
      </c>
      <c r="Z151" s="523">
        <v>15</v>
      </c>
      <c r="AA151" s="523" t="s">
        <v>179</v>
      </c>
      <c r="AB151" s="523">
        <v>4</v>
      </c>
      <c r="AC151" s="523">
        <v>4</v>
      </c>
      <c r="AD151" s="523" t="s">
        <v>2524</v>
      </c>
    </row>
    <row r="152" spans="3:31">
      <c r="C152" s="547">
        <v>138</v>
      </c>
      <c r="D152" s="522">
        <v>20</v>
      </c>
      <c r="E152" s="550" t="s">
        <v>2539</v>
      </c>
      <c r="F152" s="522">
        <v>70</v>
      </c>
      <c r="G152" s="522"/>
      <c r="H152" s="522">
        <v>66</v>
      </c>
      <c r="I152" s="522">
        <v>0</v>
      </c>
      <c r="J152" s="522">
        <v>0</v>
      </c>
      <c r="K152" s="522"/>
      <c r="L152" s="797">
        <f>[1]!tsabetm(C152)</f>
        <v>224.91666666666666</v>
      </c>
      <c r="M152" s="797">
        <f>[1]!tsabetz(C152)</f>
        <v>250.31666666666666</v>
      </c>
      <c r="N152" s="797">
        <f t="shared" si="15"/>
        <v>68.425196850393689</v>
      </c>
      <c r="O152" s="797">
        <f t="shared" si="16"/>
        <v>1445.0028169014086</v>
      </c>
      <c r="P152" s="797">
        <f t="shared" si="17"/>
        <v>9.9921133243651639</v>
      </c>
      <c r="Q152" s="797">
        <f t="shared" si="18"/>
        <v>253</v>
      </c>
      <c r="R152" s="797">
        <f t="shared" si="19"/>
        <v>253.16653522207275</v>
      </c>
      <c r="S152" s="797">
        <f>[1]!taqsabet(O152,C152)</f>
        <v>253.16653522207275</v>
      </c>
      <c r="T152" s="522"/>
      <c r="U152" s="522">
        <v>8</v>
      </c>
      <c r="V152" s="522">
        <v>10</v>
      </c>
      <c r="W152" s="522">
        <v>19</v>
      </c>
      <c r="X152" s="522"/>
      <c r="Y152" s="522">
        <v>70</v>
      </c>
      <c r="Z152" s="522">
        <v>12</v>
      </c>
      <c r="AA152" s="522" t="s">
        <v>179</v>
      </c>
      <c r="AB152" s="522">
        <v>6</v>
      </c>
      <c r="AC152" s="522">
        <v>6</v>
      </c>
      <c r="AD152" s="522" t="s">
        <v>2524</v>
      </c>
    </row>
    <row r="153" spans="3:31">
      <c r="C153" s="523">
        <v>139</v>
      </c>
      <c r="D153" s="523">
        <v>21</v>
      </c>
      <c r="E153" s="543" t="s">
        <v>2540</v>
      </c>
      <c r="F153" s="523">
        <v>70</v>
      </c>
      <c r="G153" s="523"/>
      <c r="H153" s="523">
        <v>66</v>
      </c>
      <c r="I153" s="523">
        <v>0</v>
      </c>
      <c r="J153" s="523">
        <v>0</v>
      </c>
      <c r="K153" s="524"/>
      <c r="L153" s="797">
        <f>[1]!tsabetm(C153)</f>
        <v>226.41666666666666</v>
      </c>
      <c r="M153" s="797">
        <f>[1]!tsabetz(C153)</f>
        <v>251.91666666666666</v>
      </c>
      <c r="N153" s="797">
        <f t="shared" si="15"/>
        <v>68.156862745098039</v>
      </c>
      <c r="O153" s="797">
        <f t="shared" si="16"/>
        <v>1445.0028169014086</v>
      </c>
      <c r="P153" s="797">
        <f t="shared" si="17"/>
        <v>46.665310620916785</v>
      </c>
      <c r="Q153" s="797">
        <f t="shared" si="18"/>
        <v>254</v>
      </c>
      <c r="R153" s="797">
        <f t="shared" si="19"/>
        <v>254.77775517701528</v>
      </c>
      <c r="S153" s="797">
        <f>[1]!taqsabet(O153,C153)</f>
        <v>254.77775517701528</v>
      </c>
      <c r="T153" s="524"/>
      <c r="U153" s="523">
        <v>8</v>
      </c>
      <c r="V153" s="523">
        <v>11</v>
      </c>
      <c r="W153" s="523">
        <v>55</v>
      </c>
      <c r="X153" s="523"/>
      <c r="Y153" s="523">
        <v>71</v>
      </c>
      <c r="Z153" s="523">
        <v>18</v>
      </c>
      <c r="AA153" s="523" t="s">
        <v>179</v>
      </c>
      <c r="AB153" s="523">
        <v>6</v>
      </c>
      <c r="AC153" s="523">
        <v>6</v>
      </c>
      <c r="AD153" s="523" t="s">
        <v>2524</v>
      </c>
    </row>
    <row r="154" spans="3:31">
      <c r="C154" s="547">
        <v>140</v>
      </c>
      <c r="D154" s="522">
        <v>22</v>
      </c>
      <c r="E154" s="550" t="s">
        <v>2541</v>
      </c>
      <c r="F154" s="522">
        <v>70</v>
      </c>
      <c r="G154" s="522"/>
      <c r="H154" s="522">
        <v>66</v>
      </c>
      <c r="I154" s="522">
        <v>0</v>
      </c>
      <c r="J154" s="522">
        <v>0</v>
      </c>
      <c r="K154" s="522"/>
      <c r="L154" s="797">
        <f>[1]!tsabetm(C154)</f>
        <v>229.25</v>
      </c>
      <c r="M154" s="797">
        <f>[1]!tsabetz(C154)</f>
        <v>255.26666666666668</v>
      </c>
      <c r="N154" s="797">
        <f t="shared" si="15"/>
        <v>66.803331197950001</v>
      </c>
      <c r="O154" s="797">
        <f t="shared" si="16"/>
        <v>1445.0028169014086</v>
      </c>
      <c r="P154" s="797">
        <f t="shared" si="17"/>
        <v>11.143496653107832</v>
      </c>
      <c r="Q154" s="797">
        <f t="shared" si="18"/>
        <v>258</v>
      </c>
      <c r="R154" s="797">
        <f t="shared" si="19"/>
        <v>258.18572494421846</v>
      </c>
      <c r="S154" s="797">
        <f>[1]!taqsabet(O154,C154)</f>
        <v>258.18572494421846</v>
      </c>
      <c r="T154" s="522"/>
      <c r="U154" s="522">
        <v>8</v>
      </c>
      <c r="V154" s="522">
        <v>15</v>
      </c>
      <c r="W154" s="522">
        <v>16</v>
      </c>
      <c r="X154" s="522"/>
      <c r="Y154" s="522">
        <v>72</v>
      </c>
      <c r="Z154" s="522">
        <v>0</v>
      </c>
      <c r="AA154" s="522" t="s">
        <v>179</v>
      </c>
      <c r="AB154" s="522">
        <v>6</v>
      </c>
      <c r="AC154" s="522">
        <v>6</v>
      </c>
      <c r="AD154" s="522" t="s">
        <v>2524</v>
      </c>
    </row>
    <row r="155" spans="3:31">
      <c r="C155" s="523">
        <v>141</v>
      </c>
      <c r="D155" s="523">
        <v>23</v>
      </c>
      <c r="E155" s="543" t="s">
        <v>2542</v>
      </c>
      <c r="F155" s="523">
        <v>70</v>
      </c>
      <c r="G155" s="523"/>
      <c r="H155" s="523">
        <v>66</v>
      </c>
      <c r="I155" s="523">
        <v>0</v>
      </c>
      <c r="J155" s="523">
        <v>0</v>
      </c>
      <c r="K155" s="524"/>
      <c r="L155" s="797">
        <f>[1]!tsabetm(C155)</f>
        <v>210.25</v>
      </c>
      <c r="M155" s="797">
        <f>[1]!tsabetz(C155)</f>
        <v>237.01666666666668</v>
      </c>
      <c r="N155" s="797">
        <f t="shared" si="15"/>
        <v>64.931506849315042</v>
      </c>
      <c r="O155" s="797">
        <f t="shared" si="16"/>
        <v>1445.0028169014086</v>
      </c>
      <c r="P155" s="797">
        <f t="shared" si="17"/>
        <v>1.1924763772526603</v>
      </c>
      <c r="Q155" s="797">
        <f t="shared" si="18"/>
        <v>240</v>
      </c>
      <c r="R155" s="797">
        <f t="shared" si="19"/>
        <v>240.01987460628754</v>
      </c>
      <c r="S155" s="797">
        <f>[1]!taqsabet(O155,C155)</f>
        <v>240.01987460628754</v>
      </c>
      <c r="T155" s="524"/>
      <c r="U155" s="523">
        <v>7</v>
      </c>
      <c r="V155" s="523">
        <v>27</v>
      </c>
      <c r="W155" s="523">
        <v>1</v>
      </c>
      <c r="X155" s="523"/>
      <c r="Y155" s="523">
        <v>30</v>
      </c>
      <c r="Z155" s="523">
        <v>36</v>
      </c>
      <c r="AA155" s="523" t="s">
        <v>179</v>
      </c>
      <c r="AB155" s="523">
        <v>4</v>
      </c>
      <c r="AC155" s="523">
        <v>4</v>
      </c>
      <c r="AD155" s="523" t="s">
        <v>2524</v>
      </c>
    </row>
    <row r="156" spans="3:31">
      <c r="C156" s="547">
        <v>142</v>
      </c>
      <c r="D156" s="522">
        <v>24</v>
      </c>
      <c r="E156" s="550" t="s">
        <v>2543</v>
      </c>
      <c r="F156" s="522">
        <v>70</v>
      </c>
      <c r="G156" s="522"/>
      <c r="H156" s="522">
        <v>66</v>
      </c>
      <c r="I156" s="522">
        <v>0</v>
      </c>
      <c r="J156" s="522">
        <v>0</v>
      </c>
      <c r="K156" s="522"/>
      <c r="L156" s="797">
        <f>[1]!tsabetm(C156)</f>
        <v>204.91666666666666</v>
      </c>
      <c r="M156" s="797">
        <f>[1]!tsabetz(C156)</f>
        <v>231.61666666666667</v>
      </c>
      <c r="N156" s="797">
        <f t="shared" si="15"/>
        <v>65.09363295880145</v>
      </c>
      <c r="O156" s="797">
        <f t="shared" si="16"/>
        <v>1445.0028169014086</v>
      </c>
      <c r="P156" s="797">
        <f t="shared" si="17"/>
        <v>36.743678179549875</v>
      </c>
      <c r="Q156" s="797">
        <f t="shared" si="18"/>
        <v>234</v>
      </c>
      <c r="R156" s="797">
        <f t="shared" si="19"/>
        <v>234.61239463632583</v>
      </c>
      <c r="S156" s="797">
        <f>[1]!taqsabet(O156,C156)</f>
        <v>234.61239463632583</v>
      </c>
      <c r="T156" s="522"/>
      <c r="U156" s="522">
        <v>7</v>
      </c>
      <c r="V156" s="522">
        <v>21</v>
      </c>
      <c r="W156" s="522">
        <v>37</v>
      </c>
      <c r="X156" s="522"/>
      <c r="Y156" s="522">
        <v>63</v>
      </c>
      <c r="Z156" s="522">
        <v>9</v>
      </c>
      <c r="AA156" s="522" t="s">
        <v>179</v>
      </c>
      <c r="AB156" s="522">
        <v>4</v>
      </c>
      <c r="AC156" s="522">
        <v>4</v>
      </c>
      <c r="AD156" s="522" t="s">
        <v>2524</v>
      </c>
    </row>
    <row r="157" spans="3:31">
      <c r="C157" s="523">
        <v>143</v>
      </c>
      <c r="D157" s="523">
        <v>25</v>
      </c>
      <c r="E157" s="543" t="s">
        <v>2544</v>
      </c>
      <c r="F157" s="523">
        <v>70</v>
      </c>
      <c r="G157" s="523"/>
      <c r="H157" s="523">
        <v>66</v>
      </c>
      <c r="I157" s="523">
        <v>0</v>
      </c>
      <c r="J157" s="523">
        <v>0</v>
      </c>
      <c r="K157" s="524"/>
      <c r="L157" s="797">
        <f>[1]!tsabetm(C157)</f>
        <v>195.25</v>
      </c>
      <c r="M157" s="797">
        <f>[1]!tsabetz(C157)</f>
        <v>222.86666666666667</v>
      </c>
      <c r="N157" s="797">
        <f t="shared" si="15"/>
        <v>62.933011466505718</v>
      </c>
      <c r="O157" s="797">
        <f t="shared" si="16"/>
        <v>1445.0028169014086</v>
      </c>
      <c r="P157" s="797">
        <f t="shared" si="17"/>
        <v>57.91465339794911</v>
      </c>
      <c r="Q157" s="797">
        <f t="shared" si="18"/>
        <v>225</v>
      </c>
      <c r="R157" s="797">
        <f t="shared" si="19"/>
        <v>225.96524422329915</v>
      </c>
      <c r="S157" s="797">
        <f>[1]!taqsabet(O157,C157)</f>
        <v>225.96524422329915</v>
      </c>
      <c r="T157" s="524"/>
      <c r="U157" s="523">
        <v>7</v>
      </c>
      <c r="V157" s="523">
        <v>12</v>
      </c>
      <c r="W157" s="523">
        <v>52</v>
      </c>
      <c r="X157" s="523"/>
      <c r="Y157" s="523">
        <v>65</v>
      </c>
      <c r="Z157" s="523">
        <v>48</v>
      </c>
      <c r="AA157" s="523" t="s">
        <v>179</v>
      </c>
      <c r="AB157" s="523">
        <v>4</v>
      </c>
      <c r="AC157" s="523">
        <v>4</v>
      </c>
      <c r="AD157" s="523" t="s">
        <v>2524</v>
      </c>
    </row>
    <row r="158" spans="3:31">
      <c r="C158" s="547">
        <v>144</v>
      </c>
      <c r="D158" s="522">
        <v>26</v>
      </c>
      <c r="E158" s="550" t="s">
        <v>2545</v>
      </c>
      <c r="F158" s="522">
        <v>70</v>
      </c>
      <c r="G158" s="522"/>
      <c r="H158" s="522">
        <v>66</v>
      </c>
      <c r="I158" s="522">
        <v>0</v>
      </c>
      <c r="J158" s="522">
        <v>0</v>
      </c>
      <c r="K158" s="522"/>
      <c r="L158" s="797">
        <f>[1]!tsabetm(C158)</f>
        <v>193.58333333333331</v>
      </c>
      <c r="M158" s="797">
        <f>[1]!tsabetz(C158)</f>
        <v>220.71666666666667</v>
      </c>
      <c r="N158" s="797">
        <f t="shared" si="15"/>
        <v>64.054054054054006</v>
      </c>
      <c r="O158" s="797">
        <f t="shared" si="16"/>
        <v>1445.0028169014086</v>
      </c>
      <c r="P158" s="797">
        <f t="shared" si="17"/>
        <v>45.660866464610308</v>
      </c>
      <c r="Q158" s="797">
        <f t="shared" si="18"/>
        <v>223</v>
      </c>
      <c r="R158" s="797">
        <f t="shared" si="19"/>
        <v>223.76101444107684</v>
      </c>
      <c r="S158" s="797">
        <f>[1]!taqsabet(O158,C158)</f>
        <v>223.76101444107684</v>
      </c>
      <c r="T158" s="522"/>
      <c r="U158" s="522">
        <v>7</v>
      </c>
      <c r="V158" s="522">
        <v>10</v>
      </c>
      <c r="W158" s="522">
        <v>43</v>
      </c>
      <c r="X158" s="522"/>
      <c r="Y158" s="522">
        <v>63</v>
      </c>
      <c r="Z158" s="522">
        <v>48</v>
      </c>
      <c r="AA158" s="522" t="s">
        <v>179</v>
      </c>
      <c r="AB158" s="522">
        <v>4</v>
      </c>
      <c r="AC158" s="522">
        <v>4</v>
      </c>
      <c r="AD158" s="522" t="s">
        <v>2524</v>
      </c>
    </row>
    <row r="159" spans="3:31">
      <c r="C159" s="523">
        <v>145</v>
      </c>
      <c r="D159" s="523">
        <v>27</v>
      </c>
      <c r="E159" s="543" t="s">
        <v>2546</v>
      </c>
      <c r="F159" s="523">
        <v>70</v>
      </c>
      <c r="G159" s="523"/>
      <c r="H159" s="523">
        <v>66</v>
      </c>
      <c r="I159" s="523">
        <v>0</v>
      </c>
      <c r="J159" s="523">
        <v>0</v>
      </c>
      <c r="K159" s="524"/>
      <c r="L159" s="797">
        <f>[1]!tsabetm(C159)</f>
        <v>189.75</v>
      </c>
      <c r="M159" s="797">
        <f>[1]!tsabetz(C159)</f>
        <v>217.51666666666668</v>
      </c>
      <c r="N159" s="797">
        <f t="shared" si="15"/>
        <v>62.593037214885925</v>
      </c>
      <c r="O159" s="797">
        <f t="shared" si="16"/>
        <v>1445.0028169014086</v>
      </c>
      <c r="P159" s="797">
        <f t="shared" si="17"/>
        <v>37.924449342777393</v>
      </c>
      <c r="Q159" s="797">
        <f t="shared" si="18"/>
        <v>220</v>
      </c>
      <c r="R159" s="797">
        <f t="shared" si="19"/>
        <v>220.63207415571296</v>
      </c>
      <c r="S159" s="797">
        <f>[1]!taqsabet(O159,C159)</f>
        <v>220.63207415571296</v>
      </c>
      <c r="T159" s="524"/>
      <c r="U159" s="523">
        <v>7</v>
      </c>
      <c r="V159" s="539">
        <v>7</v>
      </c>
      <c r="W159" s="523">
        <v>31</v>
      </c>
      <c r="X159" s="523"/>
      <c r="Y159" s="523">
        <v>64</v>
      </c>
      <c r="Z159" s="523">
        <v>30</v>
      </c>
      <c r="AA159" s="523" t="s">
        <v>179</v>
      </c>
      <c r="AB159" s="523">
        <v>4</v>
      </c>
      <c r="AC159" s="523">
        <v>4</v>
      </c>
      <c r="AD159" s="523" t="s">
        <v>2524</v>
      </c>
    </row>
    <row r="160" spans="3:31">
      <c r="C160" s="547">
        <v>146</v>
      </c>
      <c r="D160" s="522">
        <v>28</v>
      </c>
      <c r="E160" s="550" t="s">
        <v>2547</v>
      </c>
      <c r="F160" s="522">
        <v>70</v>
      </c>
      <c r="G160" s="522"/>
      <c r="H160" s="522">
        <v>66</v>
      </c>
      <c r="I160" s="522">
        <v>0</v>
      </c>
      <c r="J160" s="522">
        <v>0</v>
      </c>
      <c r="K160" s="522"/>
      <c r="L160" s="797">
        <f>[1]!tsabetm(C160)</f>
        <v>190.75</v>
      </c>
      <c r="M160" s="797">
        <f>[1]!tsabetz(C160)</f>
        <v>216.96666666666667</v>
      </c>
      <c r="N160" s="797">
        <f t="shared" si="15"/>
        <v>66.293706293706293</v>
      </c>
      <c r="O160" s="797">
        <f t="shared" si="16"/>
        <v>1445.0028169014086</v>
      </c>
      <c r="P160" s="797">
        <f t="shared" si="17"/>
        <v>54.489891246211073</v>
      </c>
      <c r="Q160" s="797">
        <f t="shared" si="18"/>
        <v>219</v>
      </c>
      <c r="R160" s="797">
        <f t="shared" si="19"/>
        <v>219.90816485410352</v>
      </c>
      <c r="S160" s="797">
        <f>[1]!taqsabet(O160,C160)</f>
        <v>219.90816485410352</v>
      </c>
      <c r="T160" s="522"/>
      <c r="U160" s="522">
        <v>7</v>
      </c>
      <c r="V160" s="522">
        <v>6</v>
      </c>
      <c r="W160" s="522">
        <v>58</v>
      </c>
      <c r="X160" s="522"/>
      <c r="Y160" s="522">
        <v>60</v>
      </c>
      <c r="Z160" s="522">
        <v>15</v>
      </c>
      <c r="AA160" s="522" t="s">
        <v>179</v>
      </c>
      <c r="AB160" s="522">
        <v>5</v>
      </c>
      <c r="AC160" s="522">
        <v>4</v>
      </c>
      <c r="AD160" s="522" t="s">
        <v>2524</v>
      </c>
    </row>
    <row r="161" spans="1:31">
      <c r="B161" s="546" t="s">
        <v>2415</v>
      </c>
      <c r="C161" s="551">
        <v>147</v>
      </c>
      <c r="D161" s="551">
        <v>1</v>
      </c>
      <c r="E161" s="551" t="s">
        <v>2548</v>
      </c>
      <c r="F161" s="523">
        <v>70</v>
      </c>
      <c r="G161" s="523"/>
      <c r="H161" s="523">
        <v>66</v>
      </c>
      <c r="I161" s="523">
        <v>0</v>
      </c>
      <c r="J161" s="523">
        <v>0</v>
      </c>
      <c r="K161" s="551"/>
      <c r="L161" s="797">
        <f>[1]!tsabetm(C161)</f>
        <v>212.25</v>
      </c>
      <c r="M161" s="797">
        <f>[1]!tsabetz(C161)</f>
        <v>251.31666666666666</v>
      </c>
      <c r="N161" s="797">
        <f t="shared" si="15"/>
        <v>44.488054607508538</v>
      </c>
      <c r="O161" s="797">
        <f t="shared" si="16"/>
        <v>1445.0028169014086</v>
      </c>
      <c r="P161" s="797">
        <f t="shared" si="17"/>
        <v>41.995743853223075</v>
      </c>
      <c r="Q161" s="797">
        <f t="shared" si="18"/>
        <v>255</v>
      </c>
      <c r="R161" s="797">
        <f t="shared" si="19"/>
        <v>255.69992906422038</v>
      </c>
      <c r="S161" s="797">
        <f>[1]!taqsabet(O161,C161)</f>
        <v>255.69992906422038</v>
      </c>
      <c r="T161" s="551"/>
      <c r="U161" s="551">
        <v>8</v>
      </c>
      <c r="V161" s="551">
        <v>11</v>
      </c>
      <c r="W161" s="551">
        <v>19</v>
      </c>
      <c r="X161" s="551"/>
      <c r="Y161" s="551">
        <v>35</v>
      </c>
      <c r="Z161" s="551">
        <v>15</v>
      </c>
      <c r="AA161" s="551" t="s">
        <v>179</v>
      </c>
      <c r="AB161" s="551">
        <v>4</v>
      </c>
      <c r="AC161" s="551">
        <v>5</v>
      </c>
      <c r="AD161" s="551"/>
    </row>
    <row r="162" spans="1:31">
      <c r="B162" s="505" t="s">
        <v>2355</v>
      </c>
      <c r="C162" s="506" t="s">
        <v>2356</v>
      </c>
      <c r="D162" s="507" t="s">
        <v>2357</v>
      </c>
      <c r="E162" s="511" t="s">
        <v>2358</v>
      </c>
      <c r="F162" s="511"/>
      <c r="G162" s="511"/>
      <c r="H162" s="511"/>
      <c r="I162" s="511"/>
      <c r="J162" s="511"/>
      <c r="K162" s="514" t="s">
        <v>2360</v>
      </c>
      <c r="N162" s="797">
        <f t="shared" si="15"/>
        <v>4.8277777777777775</v>
      </c>
      <c r="O162" s="797">
        <f t="shared" si="16"/>
        <v>1445.0028169014086</v>
      </c>
      <c r="P162" s="797">
        <f t="shared" si="17"/>
        <v>23.510267589427372</v>
      </c>
      <c r="Q162" s="797">
        <f t="shared" si="18"/>
        <v>40</v>
      </c>
      <c r="R162" s="797">
        <f t="shared" si="19"/>
        <v>40.391837793157123</v>
      </c>
      <c r="S162" s="797" t="e">
        <f>[1]!taqsabet(O162,C162)</f>
        <v>#VALUE!</v>
      </c>
      <c r="T162" s="507"/>
      <c r="U162" s="508" t="s">
        <v>403</v>
      </c>
      <c r="V162" s="508"/>
      <c r="W162" s="509"/>
      <c r="X162" s="507"/>
      <c r="Y162" s="509" t="s">
        <v>275</v>
      </c>
      <c r="Z162" s="510"/>
      <c r="AA162" s="506" t="s">
        <v>176</v>
      </c>
      <c r="AB162" s="511" t="s">
        <v>2361</v>
      </c>
      <c r="AC162" s="511" t="s">
        <v>2362</v>
      </c>
      <c r="AD162" s="511" t="s">
        <v>2363</v>
      </c>
    </row>
    <row r="163" spans="1:31">
      <c r="B163" s="505"/>
      <c r="C163" s="512"/>
      <c r="D163" s="512"/>
      <c r="E163" s="513"/>
      <c r="F163" s="513"/>
      <c r="G163" s="513"/>
      <c r="H163" s="513"/>
      <c r="I163" s="513"/>
      <c r="J163" s="513"/>
      <c r="K163" s="514"/>
      <c r="N163" s="797">
        <f t="shared" si="15"/>
        <v>4.8277777777777775</v>
      </c>
      <c r="O163" s="797">
        <f t="shared" si="16"/>
        <v>1445.0028169014086</v>
      </c>
      <c r="P163" s="797">
        <f t="shared" si="17"/>
        <v>23.510267589427372</v>
      </c>
      <c r="Q163" s="797">
        <f t="shared" si="18"/>
        <v>40</v>
      </c>
      <c r="R163" s="797">
        <f t="shared" si="19"/>
        <v>40.391837793157123</v>
      </c>
      <c r="S163" s="797">
        <f>[1]!taqsabet(O163,C163)</f>
        <v>1.4716840899636423</v>
      </c>
      <c r="T163" s="515" t="s">
        <v>2367</v>
      </c>
      <c r="U163" s="516" t="s">
        <v>173</v>
      </c>
      <c r="V163" s="516" t="s">
        <v>172</v>
      </c>
      <c r="W163" s="516" t="s">
        <v>166</v>
      </c>
      <c r="X163" s="517" t="s">
        <v>2367</v>
      </c>
      <c r="Y163" s="516" t="s">
        <v>172</v>
      </c>
      <c r="Z163" s="518" t="s">
        <v>166</v>
      </c>
      <c r="AA163" s="512"/>
      <c r="AB163" s="517" t="s">
        <v>2368</v>
      </c>
      <c r="AC163" s="517" t="s">
        <v>2369</v>
      </c>
      <c r="AD163" s="513"/>
    </row>
    <row r="164" spans="1:31">
      <c r="A164" s="520">
        <v>8</v>
      </c>
      <c r="B164" s="536" t="s">
        <v>2549</v>
      </c>
      <c r="C164" s="552">
        <v>148</v>
      </c>
      <c r="D164" s="527">
        <v>1</v>
      </c>
      <c r="E164" s="553" t="s">
        <v>2550</v>
      </c>
      <c r="F164" s="527">
        <v>70</v>
      </c>
      <c r="G164" s="527"/>
      <c r="H164" s="527">
        <v>64</v>
      </c>
      <c r="I164" s="527">
        <v>7</v>
      </c>
      <c r="J164" s="527">
        <v>27</v>
      </c>
      <c r="K164" s="527" t="s">
        <v>2551</v>
      </c>
      <c r="L164" s="797">
        <f>[1]!tsabetm(C164)</f>
        <v>256.91666666666669</v>
      </c>
      <c r="M164" s="797">
        <f>[1]!tsabetz(C164)</f>
        <v>284.41666666666669</v>
      </c>
      <c r="N164" s="797">
        <f t="shared" si="15"/>
        <v>63.2</v>
      </c>
      <c r="O164" s="797">
        <f t="shared" si="16"/>
        <v>1445.0028169014086</v>
      </c>
      <c r="P164" s="797">
        <f t="shared" si="17"/>
        <v>30.129256551971366</v>
      </c>
      <c r="Q164" s="797">
        <f t="shared" si="18"/>
        <v>287</v>
      </c>
      <c r="R164" s="797">
        <f t="shared" si="19"/>
        <v>287.50215427586619</v>
      </c>
      <c r="S164" s="797">
        <f>[1]!taqsabet(O164,C164)</f>
        <v>287.50215427586619</v>
      </c>
      <c r="T164" s="527"/>
      <c r="U164" s="527">
        <v>9</v>
      </c>
      <c r="V164" s="527">
        <v>14</v>
      </c>
      <c r="W164" s="527">
        <v>25</v>
      </c>
      <c r="X164" s="527"/>
      <c r="Y164" s="527">
        <v>62</v>
      </c>
      <c r="Z164" s="527">
        <v>0</v>
      </c>
      <c r="AA164" s="527" t="s">
        <v>179</v>
      </c>
      <c r="AB164" s="527">
        <v>1</v>
      </c>
      <c r="AC164" s="527">
        <v>1</v>
      </c>
      <c r="AD164" s="527" t="s">
        <v>286</v>
      </c>
    </row>
    <row r="165" spans="1:31">
      <c r="C165" s="523">
        <v>149</v>
      </c>
      <c r="D165" s="523">
        <v>2</v>
      </c>
      <c r="E165" s="543" t="s">
        <v>2552</v>
      </c>
      <c r="F165" s="523">
        <v>70</v>
      </c>
      <c r="G165" s="523"/>
      <c r="H165" s="523">
        <v>66</v>
      </c>
      <c r="I165" s="523">
        <v>0</v>
      </c>
      <c r="J165" s="523">
        <v>0</v>
      </c>
      <c r="K165" s="523"/>
      <c r="L165" s="797">
        <f>[1]!tsabetm(C165)</f>
        <v>259.91666666666669</v>
      </c>
      <c r="M165" s="797">
        <f>[1]!tsabetz(C165)</f>
        <v>287.01666666666665</v>
      </c>
      <c r="N165" s="797">
        <f t="shared" si="15"/>
        <v>64.132841328413363</v>
      </c>
      <c r="O165" s="797">
        <f t="shared" si="16"/>
        <v>1445.0028169014086</v>
      </c>
      <c r="P165" s="797">
        <f t="shared" si="17"/>
        <v>3.4364673657580624</v>
      </c>
      <c r="Q165" s="797">
        <f t="shared" si="18"/>
        <v>290</v>
      </c>
      <c r="R165" s="797">
        <f t="shared" si="19"/>
        <v>290.05727445609597</v>
      </c>
      <c r="S165" s="797">
        <f>[1]!taqsabet(O165,C165)</f>
        <v>290.05727445609597</v>
      </c>
      <c r="T165" s="523"/>
      <c r="U165" s="523">
        <v>9</v>
      </c>
      <c r="V165" s="523">
        <v>17</v>
      </c>
      <c r="W165" s="523">
        <v>1</v>
      </c>
      <c r="X165" s="523"/>
      <c r="Y165" s="523">
        <v>62</v>
      </c>
      <c r="Z165" s="523">
        <v>30</v>
      </c>
      <c r="AA165" s="523" t="s">
        <v>179</v>
      </c>
      <c r="AB165" s="523">
        <v>4</v>
      </c>
      <c r="AC165" s="523">
        <v>4</v>
      </c>
      <c r="AD165" s="523" t="s">
        <v>286</v>
      </c>
    </row>
    <row r="166" spans="1:31">
      <c r="C166" s="552">
        <v>150</v>
      </c>
      <c r="D166" s="527">
        <v>3</v>
      </c>
      <c r="E166" s="553" t="s">
        <v>2553</v>
      </c>
      <c r="F166" s="527">
        <v>70</v>
      </c>
      <c r="G166" s="527"/>
      <c r="H166" s="527">
        <v>66</v>
      </c>
      <c r="I166" s="527">
        <v>0</v>
      </c>
      <c r="J166" s="527">
        <v>0</v>
      </c>
      <c r="K166" s="527"/>
      <c r="L166" s="797">
        <f>[1]!tsabetm(C166)</f>
        <v>259.91666666666669</v>
      </c>
      <c r="M166" s="797">
        <f>[1]!tsabetz(C166)</f>
        <v>287.26666666666665</v>
      </c>
      <c r="N166" s="797">
        <f t="shared" si="15"/>
        <v>63.546617915905017</v>
      </c>
      <c r="O166" s="797">
        <f t="shared" si="16"/>
        <v>1445.0028169014086</v>
      </c>
      <c r="P166" s="797">
        <f t="shared" si="17"/>
        <v>20.119460607139672</v>
      </c>
      <c r="Q166" s="797">
        <f t="shared" si="18"/>
        <v>290</v>
      </c>
      <c r="R166" s="797">
        <f t="shared" si="19"/>
        <v>290.33532434345233</v>
      </c>
      <c r="S166" s="797">
        <f>[1]!taqsabet(O166,C166)</f>
        <v>290.33532434345233</v>
      </c>
      <c r="T166" s="527"/>
      <c r="U166" s="527">
        <v>9</v>
      </c>
      <c r="V166" s="527">
        <v>17</v>
      </c>
      <c r="W166" s="527">
        <v>16</v>
      </c>
      <c r="X166" s="527"/>
      <c r="Y166" s="527">
        <v>60</v>
      </c>
      <c r="Z166" s="527">
        <v>15</v>
      </c>
      <c r="AA166" s="527" t="s">
        <v>179</v>
      </c>
      <c r="AB166" s="527">
        <v>4</v>
      </c>
      <c r="AC166" s="527">
        <v>4</v>
      </c>
      <c r="AD166" s="527" t="s">
        <v>286</v>
      </c>
    </row>
    <row r="167" spans="1:31">
      <c r="C167" s="523">
        <v>151</v>
      </c>
      <c r="D167" s="523">
        <v>4</v>
      </c>
      <c r="E167" s="543" t="s">
        <v>2554</v>
      </c>
      <c r="F167" s="523">
        <v>70</v>
      </c>
      <c r="G167" s="523"/>
      <c r="H167" s="523">
        <v>66</v>
      </c>
      <c r="I167" s="523">
        <v>0</v>
      </c>
      <c r="J167" s="523">
        <v>0</v>
      </c>
      <c r="K167" s="523"/>
      <c r="L167" s="797">
        <f>[1]!tsabetm(C167)</f>
        <v>263.25</v>
      </c>
      <c r="M167" s="797">
        <f>[1]!tsabetz(C167)</f>
        <v>291.01666666666665</v>
      </c>
      <c r="N167" s="797">
        <f t="shared" si="15"/>
        <v>62.593037214885989</v>
      </c>
      <c r="O167" s="797">
        <f t="shared" si="16"/>
        <v>1445.0028169014086</v>
      </c>
      <c r="P167" s="797">
        <f t="shared" si="17"/>
        <v>7.9244493427756879</v>
      </c>
      <c r="Q167" s="797">
        <f t="shared" si="18"/>
        <v>294</v>
      </c>
      <c r="R167" s="797">
        <f t="shared" si="19"/>
        <v>294.13207415571293</v>
      </c>
      <c r="S167" s="797">
        <f>[1]!taqsabet(O167,C167)</f>
        <v>294.13207415571293</v>
      </c>
      <c r="T167" s="523"/>
      <c r="U167" s="523">
        <v>9</v>
      </c>
      <c r="V167" s="523">
        <v>21</v>
      </c>
      <c r="W167" s="539">
        <v>1</v>
      </c>
      <c r="X167" s="523"/>
      <c r="Y167" s="523">
        <v>59</v>
      </c>
      <c r="Z167" s="523">
        <v>48</v>
      </c>
      <c r="AA167" s="523" t="s">
        <v>179</v>
      </c>
      <c r="AB167" s="523">
        <v>4</v>
      </c>
      <c r="AC167" s="523">
        <v>4</v>
      </c>
      <c r="AD167" s="523" t="s">
        <v>286</v>
      </c>
    </row>
    <row r="168" spans="1:31">
      <c r="C168" s="552">
        <v>152</v>
      </c>
      <c r="D168" s="527">
        <v>5</v>
      </c>
      <c r="E168" s="553" t="s">
        <v>2555</v>
      </c>
      <c r="F168" s="527">
        <v>70</v>
      </c>
      <c r="G168" s="527"/>
      <c r="H168" s="527">
        <v>66</v>
      </c>
      <c r="I168" s="527">
        <v>0</v>
      </c>
      <c r="J168" s="527">
        <v>0</v>
      </c>
      <c r="K168" s="527"/>
      <c r="L168" s="797">
        <f>[1]!tsabetm(C168)</f>
        <v>271.58333333333331</v>
      </c>
      <c r="M168" s="797">
        <f>[1]!tsabetz(C168)</f>
        <v>299.26666666666665</v>
      </c>
      <c r="N168" s="797">
        <f t="shared" si="15"/>
        <v>62.781456953642376</v>
      </c>
      <c r="O168" s="797">
        <f t="shared" si="16"/>
        <v>1445.0028169014086</v>
      </c>
      <c r="P168" s="797">
        <f t="shared" si="17"/>
        <v>22.363451595648485</v>
      </c>
      <c r="Q168" s="797">
        <f t="shared" si="18"/>
        <v>302</v>
      </c>
      <c r="R168" s="797">
        <f t="shared" si="19"/>
        <v>302.37272419326081</v>
      </c>
      <c r="S168" s="797">
        <f>[1]!taqsabet(O168,C168)</f>
        <v>302.37272419326081</v>
      </c>
      <c r="T168" s="527"/>
      <c r="U168" s="527">
        <v>9</v>
      </c>
      <c r="V168" s="527">
        <v>29</v>
      </c>
      <c r="W168" s="527">
        <v>16</v>
      </c>
      <c r="X168" s="527"/>
      <c r="Y168" s="527">
        <v>60</v>
      </c>
      <c r="Z168" s="527">
        <v>48</v>
      </c>
      <c r="AA168" s="527" t="s">
        <v>179</v>
      </c>
      <c r="AB168" s="527">
        <v>4</v>
      </c>
      <c r="AC168" s="527">
        <v>4</v>
      </c>
      <c r="AD168" s="527" t="s">
        <v>2556</v>
      </c>
      <c r="AE168" s="327">
        <v>575</v>
      </c>
    </row>
    <row r="169" spans="1:31">
      <c r="C169" s="523">
        <v>153</v>
      </c>
      <c r="D169" s="523">
        <v>6</v>
      </c>
      <c r="E169" s="543" t="s">
        <v>2557</v>
      </c>
      <c r="F169" s="523">
        <v>70</v>
      </c>
      <c r="G169" s="523"/>
      <c r="H169" s="523">
        <v>66</v>
      </c>
      <c r="I169" s="523">
        <v>0</v>
      </c>
      <c r="J169" s="523">
        <v>0</v>
      </c>
      <c r="K169" s="523"/>
      <c r="L169" s="797">
        <f>[1]!tsabetm(C169)</f>
        <v>271.25</v>
      </c>
      <c r="M169" s="797">
        <f>[1]!tsabetz(C169)</f>
        <v>299.61666666666667</v>
      </c>
      <c r="N169" s="797">
        <f t="shared" si="15"/>
        <v>61.269095182138642</v>
      </c>
      <c r="O169" s="797">
        <f t="shared" si="16"/>
        <v>1445.0028169014086</v>
      </c>
      <c r="P169" s="797">
        <f t="shared" si="17"/>
        <v>47.963633122092233</v>
      </c>
      <c r="Q169" s="797">
        <f t="shared" si="18"/>
        <v>302</v>
      </c>
      <c r="R169" s="797">
        <f t="shared" si="19"/>
        <v>302.7993938853682</v>
      </c>
      <c r="S169" s="797">
        <f>[1]!taqsabet(O169,C169)</f>
        <v>302.7993938853682</v>
      </c>
      <c r="T169" s="523"/>
      <c r="U169" s="523">
        <v>9</v>
      </c>
      <c r="V169" s="523">
        <v>29</v>
      </c>
      <c r="W169" s="523">
        <v>37</v>
      </c>
      <c r="X169" s="523"/>
      <c r="Y169" s="523">
        <v>59</v>
      </c>
      <c r="Z169" s="523">
        <v>30</v>
      </c>
      <c r="AA169" s="523" t="s">
        <v>179</v>
      </c>
      <c r="AB169" s="523">
        <v>4</v>
      </c>
      <c r="AC169" s="523">
        <v>4</v>
      </c>
      <c r="AD169" s="523" t="s">
        <v>2556</v>
      </c>
    </row>
    <row r="170" spans="1:31">
      <c r="C170" s="552">
        <v>154</v>
      </c>
      <c r="D170" s="527">
        <v>7</v>
      </c>
      <c r="E170" s="553" t="s">
        <v>2558</v>
      </c>
      <c r="F170" s="527">
        <v>70</v>
      </c>
      <c r="G170" s="527"/>
      <c r="H170" s="527">
        <v>66</v>
      </c>
      <c r="I170" s="527">
        <v>0</v>
      </c>
      <c r="J170" s="527">
        <v>0</v>
      </c>
      <c r="K170" s="527"/>
      <c r="L170" s="797">
        <f>[1]!tsabetm(C170)</f>
        <v>260.58333333333331</v>
      </c>
      <c r="M170" s="797">
        <f>[1]!tsabetz(C170)</f>
        <v>288.51666666666665</v>
      </c>
      <c r="N170" s="797">
        <f t="shared" si="15"/>
        <v>62.219570405727914</v>
      </c>
      <c r="O170" s="797">
        <f t="shared" si="16"/>
        <v>1445.0028169014086</v>
      </c>
      <c r="P170" s="797">
        <f t="shared" si="17"/>
        <v>39.046444837030094</v>
      </c>
      <c r="Q170" s="797">
        <f t="shared" si="18"/>
        <v>291</v>
      </c>
      <c r="R170" s="797">
        <f t="shared" si="19"/>
        <v>291.65077408061717</v>
      </c>
      <c r="S170" s="797">
        <f>[1]!taqsabet(O170,C170)</f>
        <v>291.65077408061717</v>
      </c>
      <c r="T170" s="527"/>
      <c r="U170" s="527">
        <v>9</v>
      </c>
      <c r="V170" s="527">
        <v>18</v>
      </c>
      <c r="W170" s="527">
        <v>31</v>
      </c>
      <c r="X170" s="527"/>
      <c r="Y170" s="527">
        <v>56</v>
      </c>
      <c r="Z170" s="527">
        <v>21</v>
      </c>
      <c r="AA170" s="527" t="s">
        <v>179</v>
      </c>
      <c r="AB170" s="527">
        <v>3</v>
      </c>
      <c r="AC170" s="527">
        <v>3</v>
      </c>
      <c r="AD170" s="527" t="s">
        <v>2556</v>
      </c>
    </row>
    <row r="171" spans="1:31">
      <c r="C171" s="523">
        <v>155</v>
      </c>
      <c r="D171" s="523">
        <v>8</v>
      </c>
      <c r="E171" s="543" t="s">
        <v>2559</v>
      </c>
      <c r="F171" s="523">
        <v>70</v>
      </c>
      <c r="G171" s="523"/>
      <c r="H171" s="523">
        <v>66</v>
      </c>
      <c r="I171" s="523">
        <v>0</v>
      </c>
      <c r="J171" s="523">
        <v>0</v>
      </c>
      <c r="K171" s="523"/>
      <c r="L171" s="797">
        <f>[1]!tsabetm(C171)</f>
        <v>260.41666666666669</v>
      </c>
      <c r="M171" s="797">
        <f>[1]!tsabetz(C171)</f>
        <v>288.01666666666665</v>
      </c>
      <c r="N171" s="797">
        <f t="shared" si="15"/>
        <v>62.971014492753703</v>
      </c>
      <c r="O171" s="797">
        <f t="shared" si="16"/>
        <v>1445.0028169014086</v>
      </c>
      <c r="P171" s="797">
        <f t="shared" si="17"/>
        <v>6.8024538485212815</v>
      </c>
      <c r="Q171" s="797">
        <f t="shared" si="18"/>
        <v>291</v>
      </c>
      <c r="R171" s="797">
        <f t="shared" si="19"/>
        <v>291.11337423080869</v>
      </c>
      <c r="S171" s="797">
        <f>[1]!taqsabet(O171,C171)</f>
        <v>291.11337423080869</v>
      </c>
      <c r="T171" s="523"/>
      <c r="U171" s="523">
        <v>9</v>
      </c>
      <c r="V171" s="523">
        <v>18</v>
      </c>
      <c r="W171" s="523">
        <v>1</v>
      </c>
      <c r="X171" s="523"/>
      <c r="Y171" s="523">
        <v>55</v>
      </c>
      <c r="Z171" s="523">
        <v>15</v>
      </c>
      <c r="AA171" s="523" t="s">
        <v>179</v>
      </c>
      <c r="AB171" s="523">
        <v>4</v>
      </c>
      <c r="AC171" s="523">
        <v>4</v>
      </c>
      <c r="AD171" s="523" t="s">
        <v>2556</v>
      </c>
    </row>
    <row r="172" spans="1:31">
      <c r="C172" s="552">
        <v>156</v>
      </c>
      <c r="D172" s="527">
        <v>9</v>
      </c>
      <c r="E172" s="553" t="s">
        <v>2560</v>
      </c>
      <c r="F172" s="527">
        <v>70</v>
      </c>
      <c r="G172" s="527"/>
      <c r="H172" s="527">
        <v>66</v>
      </c>
      <c r="I172" s="527">
        <v>0</v>
      </c>
      <c r="J172" s="527">
        <v>0</v>
      </c>
      <c r="K172" s="527"/>
      <c r="L172" s="797">
        <f>[1]!tsabetm(C172)</f>
        <v>263.75</v>
      </c>
      <c r="M172" s="797">
        <f>[1]!tsabetz(C172)</f>
        <v>291.21666666666664</v>
      </c>
      <c r="N172" s="797">
        <f t="shared" si="15"/>
        <v>63.276699029126277</v>
      </c>
      <c r="O172" s="797">
        <f t="shared" si="16"/>
        <v>1445.0028169014086</v>
      </c>
      <c r="P172" s="797">
        <f t="shared" si="17"/>
        <v>17.904857453119121</v>
      </c>
      <c r="Q172" s="797">
        <f t="shared" si="18"/>
        <v>294</v>
      </c>
      <c r="R172" s="797">
        <f t="shared" si="19"/>
        <v>294.29841429088532</v>
      </c>
      <c r="S172" s="797">
        <f>[1]!taqsabet(O172,C172)</f>
        <v>294.29841429088532</v>
      </c>
      <c r="T172" s="527"/>
      <c r="U172" s="527">
        <v>9</v>
      </c>
      <c r="V172" s="527">
        <v>21</v>
      </c>
      <c r="W172" s="527">
        <v>13</v>
      </c>
      <c r="X172" s="527"/>
      <c r="Y172" s="527">
        <v>55</v>
      </c>
      <c r="Z172" s="527">
        <v>24</v>
      </c>
      <c r="AA172" s="527" t="s">
        <v>179</v>
      </c>
      <c r="AB172" s="527">
        <v>3</v>
      </c>
      <c r="AC172" s="527">
        <v>3</v>
      </c>
      <c r="AD172" s="527" t="s">
        <v>2556</v>
      </c>
    </row>
    <row r="173" spans="1:31">
      <c r="C173" s="523">
        <v>157</v>
      </c>
      <c r="D173" s="523">
        <v>10</v>
      </c>
      <c r="E173" s="543" t="s">
        <v>2559</v>
      </c>
      <c r="F173" s="523">
        <v>70</v>
      </c>
      <c r="G173" s="523"/>
      <c r="H173" s="523">
        <v>66</v>
      </c>
      <c r="I173" s="523">
        <v>0</v>
      </c>
      <c r="J173" s="523">
        <v>0</v>
      </c>
      <c r="K173" s="523"/>
      <c r="L173" s="797">
        <f>[1]!tsabetm(C173)</f>
        <v>263.58333333333331</v>
      </c>
      <c r="M173" s="797">
        <f>[1]!tsabetz(C173)</f>
        <v>291.31666666666666</v>
      </c>
      <c r="N173" s="797">
        <f t="shared" si="15"/>
        <v>62.668269230769198</v>
      </c>
      <c r="O173" s="797">
        <f t="shared" si="16"/>
        <v>1445.0028169014086</v>
      </c>
      <c r="P173" s="797">
        <f t="shared" si="17"/>
        <v>25.700050243926853</v>
      </c>
      <c r="Q173" s="797">
        <f t="shared" si="18"/>
        <v>294</v>
      </c>
      <c r="R173" s="797">
        <f t="shared" si="19"/>
        <v>294.42833417073211</v>
      </c>
      <c r="S173" s="797">
        <f>[1]!taqsabet(O173,C173)</f>
        <v>294.42833417073211</v>
      </c>
      <c r="T173" s="523"/>
      <c r="U173" s="523">
        <v>9</v>
      </c>
      <c r="V173" s="523">
        <v>21</v>
      </c>
      <c r="W173" s="523">
        <v>19</v>
      </c>
      <c r="X173" s="523"/>
      <c r="Y173" s="523">
        <v>54</v>
      </c>
      <c r="Z173" s="523">
        <v>36</v>
      </c>
      <c r="AA173" s="523" t="s">
        <v>179</v>
      </c>
      <c r="AB173" s="523">
        <v>5</v>
      </c>
      <c r="AC173" s="523">
        <v>4</v>
      </c>
      <c r="AD173" s="523" t="s">
        <v>2556</v>
      </c>
    </row>
    <row r="174" spans="1:31">
      <c r="C174" s="546"/>
      <c r="D174" s="546"/>
      <c r="E174" s="546"/>
      <c r="F174" s="546"/>
      <c r="G174" s="546"/>
      <c r="H174" s="546"/>
      <c r="I174" s="546"/>
      <c r="J174" s="546"/>
      <c r="K174" s="546"/>
      <c r="N174" s="797">
        <f t="shared" si="15"/>
        <v>4.8277777777777775</v>
      </c>
      <c r="O174" s="797">
        <f t="shared" si="16"/>
        <v>1445.0028169014086</v>
      </c>
      <c r="P174" s="797">
        <f t="shared" si="17"/>
        <v>23.510267589427372</v>
      </c>
      <c r="Q174" s="797">
        <f t="shared" si="18"/>
        <v>40</v>
      </c>
      <c r="R174" s="797">
        <f t="shared" si="19"/>
        <v>40.391837793157123</v>
      </c>
      <c r="S174" s="797">
        <f>[1]!taqsabet(O174,C174)</f>
        <v>1.4716840899636423</v>
      </c>
      <c r="T174" s="546"/>
      <c r="U174" s="546"/>
      <c r="V174" s="546"/>
      <c r="W174" s="546"/>
      <c r="X174" s="546"/>
      <c r="Y174" s="546"/>
      <c r="Z174" s="546"/>
      <c r="AA174" s="546"/>
      <c r="AB174" s="546"/>
      <c r="AC174" s="546"/>
      <c r="AD174" s="546"/>
    </row>
    <row r="175" spans="1:31">
      <c r="A175" s="520">
        <v>9</v>
      </c>
      <c r="B175" s="536" t="s">
        <v>2561</v>
      </c>
      <c r="C175" s="522">
        <v>158</v>
      </c>
      <c r="D175" s="522">
        <v>1</v>
      </c>
      <c r="E175" s="550" t="s">
        <v>2562</v>
      </c>
      <c r="F175" s="522">
        <v>70</v>
      </c>
      <c r="G175" s="522"/>
      <c r="H175" s="522">
        <v>67</v>
      </c>
      <c r="I175" s="522">
        <v>2</v>
      </c>
      <c r="J175" s="522">
        <v>19</v>
      </c>
      <c r="K175" s="522" t="s">
        <v>2563</v>
      </c>
      <c r="L175" s="797">
        <f>[1]!tsabetm(C175)</f>
        <v>274.08333333333331</v>
      </c>
      <c r="M175" s="797">
        <f>[1]!tsabetz(C175)</f>
        <v>300.51666666666665</v>
      </c>
      <c r="N175" s="797">
        <f t="shared" si="15"/>
        <v>65.750315258511975</v>
      </c>
      <c r="O175" s="797">
        <f t="shared" si="16"/>
        <v>1445.0028169014086</v>
      </c>
      <c r="P175" s="797">
        <f t="shared" si="17"/>
        <v>28.948485388740437</v>
      </c>
      <c r="Q175" s="797">
        <f t="shared" si="18"/>
        <v>303</v>
      </c>
      <c r="R175" s="797">
        <f t="shared" si="19"/>
        <v>303.48247475647901</v>
      </c>
      <c r="S175" s="797">
        <f>[1]!taqsabet(O175,C175)</f>
        <v>303.48247475647901</v>
      </c>
      <c r="T175" s="522"/>
      <c r="U175" s="522">
        <v>10</v>
      </c>
      <c r="V175" s="522">
        <v>0</v>
      </c>
      <c r="W175" s="522">
        <v>31</v>
      </c>
      <c r="X175" s="522"/>
      <c r="Y175" s="522">
        <v>49</v>
      </c>
      <c r="Z175" s="522">
        <v>12</v>
      </c>
      <c r="AA175" s="522" t="s">
        <v>179</v>
      </c>
      <c r="AB175" s="522">
        <v>3</v>
      </c>
      <c r="AC175" s="522">
        <v>3</v>
      </c>
      <c r="AD175" s="522" t="s">
        <v>286</v>
      </c>
    </row>
    <row r="176" spans="1:31">
      <c r="C176" s="523">
        <v>159</v>
      </c>
      <c r="D176" s="523">
        <v>2</v>
      </c>
      <c r="E176" s="543" t="s">
        <v>2564</v>
      </c>
      <c r="F176" s="523">
        <v>70</v>
      </c>
      <c r="G176" s="523"/>
      <c r="H176" s="523">
        <v>66</v>
      </c>
      <c r="I176" s="523">
        <v>0</v>
      </c>
      <c r="J176" s="523">
        <v>0</v>
      </c>
      <c r="K176" s="523"/>
      <c r="L176" s="797">
        <f>[1]!tsabetm(C176)</f>
        <v>278.58333333333331</v>
      </c>
      <c r="M176" s="797">
        <f>[1]!tsabetz(C176)</f>
        <v>304.26666666666665</v>
      </c>
      <c r="N176" s="797">
        <f t="shared" si="15"/>
        <v>67.670343932511344</v>
      </c>
      <c r="O176" s="797">
        <f t="shared" si="16"/>
        <v>1445.0028169014086</v>
      </c>
      <c r="P176" s="797">
        <f t="shared" si="17"/>
        <v>8.8995056645956083</v>
      </c>
      <c r="Q176" s="797">
        <f t="shared" si="18"/>
        <v>307</v>
      </c>
      <c r="R176" s="797">
        <f t="shared" si="19"/>
        <v>307.14832509440993</v>
      </c>
      <c r="S176" s="797">
        <f>[1]!taqsabet(O176,C176)</f>
        <v>307.14832509440993</v>
      </c>
      <c r="T176" s="523"/>
      <c r="U176" s="523">
        <v>10</v>
      </c>
      <c r="V176" s="523">
        <v>4</v>
      </c>
      <c r="W176" s="523">
        <v>16</v>
      </c>
      <c r="X176" s="523"/>
      <c r="Y176" s="523">
        <v>50</v>
      </c>
      <c r="Z176" s="523">
        <v>39</v>
      </c>
      <c r="AA176" s="523" t="s">
        <v>179</v>
      </c>
      <c r="AB176" s="523">
        <v>4</v>
      </c>
      <c r="AC176" s="523">
        <v>5</v>
      </c>
      <c r="AD176" s="523" t="s">
        <v>286</v>
      </c>
    </row>
    <row r="177" spans="2:31">
      <c r="C177" s="522">
        <v>160</v>
      </c>
      <c r="D177" s="522">
        <v>3</v>
      </c>
      <c r="E177" s="550" t="s">
        <v>2565</v>
      </c>
      <c r="F177" s="522">
        <v>70</v>
      </c>
      <c r="G177" s="522"/>
      <c r="H177" s="522">
        <v>66</v>
      </c>
      <c r="I177" s="522">
        <v>0</v>
      </c>
      <c r="J177" s="522">
        <v>0</v>
      </c>
      <c r="K177" s="522"/>
      <c r="L177" s="797">
        <f>[1]!tsabetm(C177)</f>
        <v>286.58333333333331</v>
      </c>
      <c r="M177" s="797">
        <f>[1]!tsabetz(C177)</f>
        <v>311.36666666666667</v>
      </c>
      <c r="N177" s="797">
        <f t="shared" si="15"/>
        <v>70.127774041694607</v>
      </c>
      <c r="O177" s="797">
        <f t="shared" si="16"/>
        <v>1445.0028169014086</v>
      </c>
      <c r="P177" s="797">
        <f t="shared" si="17"/>
        <v>8.8407299956259067</v>
      </c>
      <c r="Q177" s="797">
        <f t="shared" si="18"/>
        <v>314</v>
      </c>
      <c r="R177" s="797">
        <f t="shared" si="19"/>
        <v>314.1473454999271</v>
      </c>
      <c r="S177" s="797">
        <f>[1]!taqsabet(O177,C177)</f>
        <v>314.1473454999271</v>
      </c>
      <c r="T177" s="522"/>
      <c r="U177" s="522">
        <v>10</v>
      </c>
      <c r="V177" s="522">
        <v>11</v>
      </c>
      <c r="W177" s="522">
        <v>22</v>
      </c>
      <c r="X177" s="522"/>
      <c r="Y177" s="522">
        <v>52</v>
      </c>
      <c r="Z177" s="522">
        <v>30</v>
      </c>
      <c r="AA177" s="522" t="s">
        <v>179</v>
      </c>
      <c r="AB177" s="522">
        <v>5</v>
      </c>
      <c r="AC177" s="522">
        <v>4</v>
      </c>
      <c r="AD177" s="522" t="s">
        <v>2566</v>
      </c>
    </row>
    <row r="178" spans="2:31">
      <c r="C178" s="523">
        <v>161</v>
      </c>
      <c r="D178" s="523">
        <v>4</v>
      </c>
      <c r="E178" s="543" t="s">
        <v>2478</v>
      </c>
      <c r="F178" s="523">
        <v>70</v>
      </c>
      <c r="G178" s="523"/>
      <c r="H178" s="523">
        <v>66</v>
      </c>
      <c r="I178" s="523">
        <v>0</v>
      </c>
      <c r="J178" s="523">
        <v>0</v>
      </c>
      <c r="K178" s="523"/>
      <c r="L178" s="797">
        <f>[1]!tsabetm(C178)</f>
        <v>298.08333333333331</v>
      </c>
      <c r="M178" s="797">
        <f>[1]!tsabetz(C178)</f>
        <v>324.61666666666667</v>
      </c>
      <c r="N178" s="797">
        <f t="shared" si="15"/>
        <v>65.502512562814005</v>
      </c>
      <c r="O178" s="797">
        <f t="shared" si="16"/>
        <v>1445.0028169014086</v>
      </c>
      <c r="P178" s="797">
        <f t="shared" si="17"/>
        <v>35.621682685293763</v>
      </c>
      <c r="Q178" s="797">
        <f t="shared" si="18"/>
        <v>327</v>
      </c>
      <c r="R178" s="797">
        <f t="shared" si="19"/>
        <v>327.59369471142156</v>
      </c>
      <c r="S178" s="797">
        <f>[1]!taqsabet(O178,C178)</f>
        <v>327.59369471142156</v>
      </c>
      <c r="T178" s="523"/>
      <c r="U178" s="523">
        <v>10</v>
      </c>
      <c r="V178" s="523">
        <v>24</v>
      </c>
      <c r="W178" s="523">
        <v>37</v>
      </c>
      <c r="X178" s="523"/>
      <c r="Y178" s="523">
        <v>57</v>
      </c>
      <c r="Z178" s="523">
        <v>51</v>
      </c>
      <c r="AA178" s="523" t="s">
        <v>179</v>
      </c>
      <c r="AB178" s="523">
        <v>3</v>
      </c>
      <c r="AC178" s="523">
        <v>3</v>
      </c>
      <c r="AD178" s="523" t="s">
        <v>2514</v>
      </c>
    </row>
    <row r="179" spans="2:31">
      <c r="C179" s="522">
        <v>162</v>
      </c>
      <c r="D179" s="522">
        <v>5</v>
      </c>
      <c r="E179" s="550" t="s">
        <v>2567</v>
      </c>
      <c r="F179" s="522">
        <v>70</v>
      </c>
      <c r="G179" s="522"/>
      <c r="H179" s="522">
        <v>63</v>
      </c>
      <c r="I179" s="522">
        <v>1</v>
      </c>
      <c r="J179" s="522">
        <v>18</v>
      </c>
      <c r="K179" s="522" t="s">
        <v>2568</v>
      </c>
      <c r="L179" s="797">
        <f>[1]!tsabetm(C179)</f>
        <v>308.75</v>
      </c>
      <c r="M179" s="797">
        <f>[1]!tsabetz(C179)</f>
        <v>334.86666666666667</v>
      </c>
      <c r="N179" s="797">
        <f t="shared" si="15"/>
        <v>66.547543075941263</v>
      </c>
      <c r="O179" s="797">
        <f t="shared" si="16"/>
        <v>1445.0028169014086</v>
      </c>
      <c r="P179" s="797">
        <f t="shared" si="17"/>
        <v>47.816693949657747</v>
      </c>
      <c r="Q179" s="797">
        <f t="shared" si="18"/>
        <v>337</v>
      </c>
      <c r="R179" s="797">
        <f t="shared" si="19"/>
        <v>337.79694489916096</v>
      </c>
      <c r="S179" s="797">
        <f>[1]!taqsabet(O179,C179)</f>
        <v>337.79694489916096</v>
      </c>
      <c r="T179" s="522"/>
      <c r="U179" s="522">
        <v>11</v>
      </c>
      <c r="V179" s="522">
        <v>4</v>
      </c>
      <c r="W179" s="522">
        <v>52</v>
      </c>
      <c r="X179" s="522"/>
      <c r="Y179" s="522">
        <v>59</v>
      </c>
      <c r="Z179" s="522">
        <v>42</v>
      </c>
      <c r="AA179" s="522" t="s">
        <v>179</v>
      </c>
      <c r="AB179" s="522">
        <v>2</v>
      </c>
      <c r="AC179" s="522">
        <v>2</v>
      </c>
      <c r="AD179" s="522" t="s">
        <v>2514</v>
      </c>
    </row>
    <row r="180" spans="2:31">
      <c r="C180" s="523">
        <v>163</v>
      </c>
      <c r="D180" s="523">
        <v>6</v>
      </c>
      <c r="E180" s="543" t="s">
        <v>2569</v>
      </c>
      <c r="F180" s="523">
        <v>70</v>
      </c>
      <c r="G180" s="523"/>
      <c r="H180" s="523">
        <v>66</v>
      </c>
      <c r="I180" s="523">
        <v>0</v>
      </c>
      <c r="J180" s="523">
        <v>0</v>
      </c>
      <c r="K180" s="523"/>
      <c r="L180" s="797">
        <f>[1]!tsabetm(C180)</f>
        <v>288.91666666666669</v>
      </c>
      <c r="M180" s="797">
        <f>[1]!tsabetz(C180)</f>
        <v>315.21666666666664</v>
      </c>
      <c r="N180" s="797">
        <f t="shared" si="15"/>
        <v>66.083650190114184</v>
      </c>
      <c r="O180" s="797">
        <f t="shared" si="16"/>
        <v>1445.0028169014086</v>
      </c>
      <c r="P180" s="797">
        <f t="shared" si="17"/>
        <v>10.050888993338276</v>
      </c>
      <c r="Q180" s="797">
        <f t="shared" si="18"/>
        <v>318</v>
      </c>
      <c r="R180" s="797">
        <f t="shared" si="19"/>
        <v>318.16751481655564</v>
      </c>
      <c r="S180" s="797">
        <f>[1]!taqsabet(O180,C180)</f>
        <v>318.16751481655564</v>
      </c>
      <c r="T180" s="523"/>
      <c r="U180" s="523">
        <v>10</v>
      </c>
      <c r="V180" s="523">
        <v>15</v>
      </c>
      <c r="W180" s="523">
        <v>13</v>
      </c>
      <c r="X180" s="523"/>
      <c r="Y180" s="523">
        <v>64</v>
      </c>
      <c r="Z180" s="523">
        <v>30</v>
      </c>
      <c r="AA180" s="523" t="s">
        <v>179</v>
      </c>
      <c r="AB180" s="523">
        <v>3</v>
      </c>
      <c r="AC180" s="523">
        <v>3</v>
      </c>
      <c r="AD180" s="523" t="s">
        <v>2514</v>
      </c>
    </row>
    <row r="181" spans="2:31">
      <c r="C181" s="522">
        <v>164</v>
      </c>
      <c r="D181" s="522">
        <v>7</v>
      </c>
      <c r="E181" s="550" t="s">
        <v>2570</v>
      </c>
      <c r="F181" s="522">
        <v>70</v>
      </c>
      <c r="G181" s="522"/>
      <c r="H181" s="522">
        <v>66</v>
      </c>
      <c r="I181" s="522">
        <v>0</v>
      </c>
      <c r="J181" s="522">
        <v>0</v>
      </c>
      <c r="K181" s="522"/>
      <c r="L181" s="797">
        <f>[1]!tsabetm(C181)</f>
        <v>292.08333333333331</v>
      </c>
      <c r="M181" s="797">
        <f>[1]!tsabetz(C181)</f>
        <v>318.51666666666665</v>
      </c>
      <c r="N181" s="797">
        <f t="shared" si="15"/>
        <v>65.750315258511975</v>
      </c>
      <c r="O181" s="797">
        <f t="shared" si="16"/>
        <v>1445.0028169014086</v>
      </c>
      <c r="P181" s="797">
        <f t="shared" si="17"/>
        <v>28.948485388740437</v>
      </c>
      <c r="Q181" s="797">
        <f t="shared" si="18"/>
        <v>321</v>
      </c>
      <c r="R181" s="797">
        <f t="shared" si="19"/>
        <v>321.48247475647901</v>
      </c>
      <c r="S181" s="797">
        <f>[1]!taqsabet(O181,C181)</f>
        <v>321.48247475647901</v>
      </c>
      <c r="T181" s="522"/>
      <c r="U181" s="522">
        <v>10</v>
      </c>
      <c r="V181" s="522">
        <v>18</v>
      </c>
      <c r="W181" s="522">
        <v>31</v>
      </c>
      <c r="X181" s="522"/>
      <c r="Y181" s="522">
        <v>69</v>
      </c>
      <c r="Z181" s="522">
        <v>42</v>
      </c>
      <c r="AA181" s="522" t="s">
        <v>179</v>
      </c>
      <c r="AB181" s="522">
        <v>4</v>
      </c>
      <c r="AC181" s="522">
        <v>4</v>
      </c>
      <c r="AD181" s="522" t="s">
        <v>2514</v>
      </c>
    </row>
    <row r="182" spans="2:31">
      <c r="C182" s="523">
        <v>165</v>
      </c>
      <c r="D182" s="523">
        <v>8</v>
      </c>
      <c r="E182" s="543" t="s">
        <v>2571</v>
      </c>
      <c r="F182" s="523">
        <v>70</v>
      </c>
      <c r="G182" s="523"/>
      <c r="H182" s="523">
        <v>66</v>
      </c>
      <c r="I182" s="523">
        <v>0</v>
      </c>
      <c r="J182" s="523">
        <v>0</v>
      </c>
      <c r="K182" s="523"/>
      <c r="L182" s="797">
        <f>[1]!tsabetm(C182)</f>
        <v>290.75</v>
      </c>
      <c r="M182" s="797">
        <f>[1]!tsabetz(C182)</f>
        <v>318.01666666666665</v>
      </c>
      <c r="N182" s="797">
        <f t="shared" si="15"/>
        <v>63.740831295843556</v>
      </c>
      <c r="O182" s="797">
        <f t="shared" si="16"/>
        <v>1445.0028169014086</v>
      </c>
      <c r="P182" s="797">
        <f t="shared" si="17"/>
        <v>4.5584628600124688</v>
      </c>
      <c r="Q182" s="797">
        <f t="shared" si="18"/>
        <v>321</v>
      </c>
      <c r="R182" s="797">
        <f t="shared" si="19"/>
        <v>321.07597438100021</v>
      </c>
      <c r="S182" s="797">
        <f>[1]!taqsabet(O182,C182)</f>
        <v>321.07597438100021</v>
      </c>
      <c r="T182" s="523"/>
      <c r="U182" s="523">
        <v>10</v>
      </c>
      <c r="V182" s="523">
        <v>18</v>
      </c>
      <c r="W182" s="523">
        <v>1</v>
      </c>
      <c r="X182" s="523"/>
      <c r="Y182" s="523">
        <v>71</v>
      </c>
      <c r="Z182" s="523">
        <v>6</v>
      </c>
      <c r="AA182" s="523" t="s">
        <v>179</v>
      </c>
      <c r="AB182" s="523">
        <v>4</v>
      </c>
      <c r="AC182" s="523">
        <v>4</v>
      </c>
      <c r="AD182" s="523" t="s">
        <v>2514</v>
      </c>
    </row>
    <row r="183" spans="2:31">
      <c r="C183" s="522">
        <v>166</v>
      </c>
      <c r="D183" s="522">
        <v>9</v>
      </c>
      <c r="E183" s="550" t="s">
        <v>2572</v>
      </c>
      <c r="F183" s="522">
        <v>70</v>
      </c>
      <c r="G183" s="522"/>
      <c r="H183" s="522">
        <v>66</v>
      </c>
      <c r="I183" s="522">
        <v>0</v>
      </c>
      <c r="J183" s="522">
        <v>0</v>
      </c>
      <c r="K183" s="522"/>
      <c r="L183" s="797">
        <f>[1]!tsabetm(C183)</f>
        <v>286.25</v>
      </c>
      <c r="M183" s="797">
        <f>[1]!tsabetz(C183)</f>
        <v>314.76666666666665</v>
      </c>
      <c r="N183" s="797">
        <f t="shared" si="15"/>
        <v>60.946814728229135</v>
      </c>
      <c r="O183" s="797">
        <f t="shared" si="16"/>
        <v>1445.0028169014086</v>
      </c>
      <c r="P183" s="797">
        <f t="shared" si="17"/>
        <v>57.973429066920517</v>
      </c>
      <c r="Q183" s="797">
        <f t="shared" si="18"/>
        <v>317</v>
      </c>
      <c r="R183" s="797">
        <f t="shared" si="19"/>
        <v>317.96622381778201</v>
      </c>
      <c r="S183" s="797">
        <f>[1]!taqsabet(O183,C183)</f>
        <v>317.96622381778201</v>
      </c>
      <c r="T183" s="522"/>
      <c r="U183" s="522">
        <v>10</v>
      </c>
      <c r="V183" s="522">
        <v>14</v>
      </c>
      <c r="W183" s="522">
        <v>46</v>
      </c>
      <c r="X183" s="522"/>
      <c r="Y183" s="522">
        <v>74</v>
      </c>
      <c r="Z183" s="522">
        <v>0</v>
      </c>
      <c r="AA183" s="522" t="s">
        <v>179</v>
      </c>
      <c r="AB183" s="522">
        <v>4</v>
      </c>
      <c r="AC183" s="522">
        <v>4</v>
      </c>
      <c r="AD183" s="522" t="s">
        <v>2514</v>
      </c>
    </row>
    <row r="184" spans="2:31">
      <c r="C184" s="523">
        <v>167</v>
      </c>
      <c r="D184" s="523">
        <v>10</v>
      </c>
      <c r="E184" s="543" t="s">
        <v>2573</v>
      </c>
      <c r="F184" s="523">
        <v>70</v>
      </c>
      <c r="G184" s="523"/>
      <c r="H184" s="523">
        <v>66</v>
      </c>
      <c r="I184" s="523">
        <v>0</v>
      </c>
      <c r="J184" s="523">
        <v>0</v>
      </c>
      <c r="K184" s="523"/>
      <c r="L184" s="797">
        <f>[1]!tsabetm(C184)</f>
        <v>300.41666666666669</v>
      </c>
      <c r="M184" s="797">
        <f>[1]!tsabetz(C184)</f>
        <v>326.16666666666669</v>
      </c>
      <c r="N184" s="797">
        <f t="shared" si="15"/>
        <v>67.495145631067956</v>
      </c>
      <c r="O184" s="797">
        <f t="shared" si="16"/>
        <v>1445.0028169014086</v>
      </c>
      <c r="P184" s="797">
        <f t="shared" si="17"/>
        <v>3.3483038623000994</v>
      </c>
      <c r="Q184" s="797">
        <f t="shared" si="18"/>
        <v>329</v>
      </c>
      <c r="R184" s="797">
        <f t="shared" si="19"/>
        <v>329.05580506437167</v>
      </c>
      <c r="S184" s="797">
        <f>[1]!taqsabet(O184,C184)</f>
        <v>329.05580506437167</v>
      </c>
      <c r="T184" s="523"/>
      <c r="U184" s="523">
        <v>10</v>
      </c>
      <c r="V184" s="523">
        <v>26</v>
      </c>
      <c r="W184" s="523">
        <v>10</v>
      </c>
      <c r="X184" s="523"/>
      <c r="Y184" s="523">
        <v>49</v>
      </c>
      <c r="Z184" s="523">
        <v>18</v>
      </c>
      <c r="AA184" s="523" t="s">
        <v>179</v>
      </c>
      <c r="AB184" s="523">
        <v>3</v>
      </c>
      <c r="AC184" s="523">
        <v>3</v>
      </c>
      <c r="AD184" s="523" t="s">
        <v>2514</v>
      </c>
    </row>
    <row r="185" spans="2:31">
      <c r="C185" s="522">
        <v>168</v>
      </c>
      <c r="D185" s="522">
        <v>11</v>
      </c>
      <c r="E185" s="550" t="s">
        <v>2574</v>
      </c>
      <c r="F185" s="522">
        <v>70</v>
      </c>
      <c r="G185" s="522"/>
      <c r="H185" s="522">
        <v>66</v>
      </c>
      <c r="I185" s="522">
        <v>0</v>
      </c>
      <c r="J185" s="522">
        <v>0</v>
      </c>
      <c r="K185" s="522"/>
      <c r="L185" s="797">
        <f>[1]!tsabetm(C185)</f>
        <v>303.41666666666669</v>
      </c>
      <c r="M185" s="797">
        <f>[1]!tsabetz(C185)</f>
        <v>328.36666666666667</v>
      </c>
      <c r="N185" s="797">
        <f t="shared" si="15"/>
        <v>69.659318637274581</v>
      </c>
      <c r="O185" s="797">
        <f t="shared" si="16"/>
        <v>1445.0028169014086</v>
      </c>
      <c r="P185" s="797">
        <f t="shared" si="17"/>
        <v>9.962725489880313</v>
      </c>
      <c r="Q185" s="797">
        <f t="shared" si="18"/>
        <v>331</v>
      </c>
      <c r="R185" s="797">
        <f t="shared" si="19"/>
        <v>331.16604542483134</v>
      </c>
      <c r="S185" s="797">
        <f>[1]!taqsabet(O185,C185)</f>
        <v>331.16604542483134</v>
      </c>
      <c r="T185" s="522"/>
      <c r="U185" s="522">
        <v>10</v>
      </c>
      <c r="V185" s="522">
        <v>28</v>
      </c>
      <c r="W185" s="522">
        <v>22</v>
      </c>
      <c r="X185" s="522"/>
      <c r="Y185" s="522">
        <v>80</v>
      </c>
      <c r="Z185" s="522">
        <v>0</v>
      </c>
      <c r="AA185" s="522" t="s">
        <v>179</v>
      </c>
      <c r="AB185" s="522">
        <v>4</v>
      </c>
      <c r="AC185" s="522">
        <v>4</v>
      </c>
      <c r="AD185" s="522" t="s">
        <v>2514</v>
      </c>
    </row>
    <row r="186" spans="2:31">
      <c r="C186" s="523">
        <v>169</v>
      </c>
      <c r="D186" s="523">
        <v>12</v>
      </c>
      <c r="E186" s="543" t="s">
        <v>2575</v>
      </c>
      <c r="F186" s="523">
        <v>70</v>
      </c>
      <c r="G186" s="523"/>
      <c r="H186" s="523">
        <v>66</v>
      </c>
      <c r="I186" s="523">
        <v>0</v>
      </c>
      <c r="J186" s="523">
        <v>0</v>
      </c>
      <c r="K186" s="523"/>
      <c r="L186" s="797">
        <f>[1]!tsabetm(C186)</f>
        <v>306.25</v>
      </c>
      <c r="M186" s="797">
        <f>[1]!tsabetz(C186)</f>
        <v>331.81666666666666</v>
      </c>
      <c r="N186" s="797">
        <f t="shared" si="15"/>
        <v>67.97913950456325</v>
      </c>
      <c r="O186" s="797">
        <f t="shared" si="16"/>
        <v>1445.0028169014086</v>
      </c>
      <c r="P186" s="797">
        <f t="shared" si="17"/>
        <v>41.11410881861957</v>
      </c>
      <c r="Q186" s="797">
        <f t="shared" si="18"/>
        <v>334</v>
      </c>
      <c r="R186" s="797">
        <f t="shared" si="19"/>
        <v>334.68523514697699</v>
      </c>
      <c r="S186" s="797">
        <f>[1]!taqsabet(O186,C186)</f>
        <v>334.68523514697699</v>
      </c>
      <c r="T186" s="523"/>
      <c r="U186" s="523">
        <v>11</v>
      </c>
      <c r="V186" s="523">
        <v>1</v>
      </c>
      <c r="W186" s="523">
        <v>49</v>
      </c>
      <c r="X186" s="523"/>
      <c r="Y186" s="523">
        <v>43</v>
      </c>
      <c r="Z186" s="523">
        <v>0</v>
      </c>
      <c r="AA186" s="523" t="s">
        <v>179</v>
      </c>
      <c r="AB186" s="523">
        <v>4</v>
      </c>
      <c r="AC186" s="523">
        <v>4</v>
      </c>
      <c r="AD186" s="523" t="s">
        <v>2514</v>
      </c>
    </row>
    <row r="187" spans="2:31">
      <c r="C187" s="522">
        <v>170</v>
      </c>
      <c r="D187" s="522">
        <v>13</v>
      </c>
      <c r="E187" s="550" t="s">
        <v>2576</v>
      </c>
      <c r="F187" s="522">
        <v>70</v>
      </c>
      <c r="G187" s="522"/>
      <c r="H187" s="522">
        <v>66</v>
      </c>
      <c r="I187" s="522">
        <v>0</v>
      </c>
      <c r="J187" s="522">
        <v>0</v>
      </c>
      <c r="K187" s="522"/>
      <c r="L187" s="797">
        <f>[1]!tsabetm(C187)</f>
        <v>309.58333333333331</v>
      </c>
      <c r="M187" s="797">
        <f>[1]!tsabetz(C187)</f>
        <v>334.61666666666667</v>
      </c>
      <c r="N187" s="797">
        <f t="shared" si="15"/>
        <v>69.427430093208983</v>
      </c>
      <c r="O187" s="797">
        <f t="shared" si="16"/>
        <v>1445.0028169014086</v>
      </c>
      <c r="P187" s="797">
        <f t="shared" si="17"/>
        <v>25.523723237007516</v>
      </c>
      <c r="Q187" s="797">
        <f t="shared" si="18"/>
        <v>337</v>
      </c>
      <c r="R187" s="797">
        <f t="shared" si="19"/>
        <v>337.42539538728346</v>
      </c>
      <c r="S187" s="797">
        <f>[1]!taqsabet(O187,C187)</f>
        <v>337.42539538728346</v>
      </c>
      <c r="T187" s="522"/>
      <c r="U187" s="522">
        <v>11</v>
      </c>
      <c r="V187" s="522">
        <v>4</v>
      </c>
      <c r="W187" s="522">
        <v>37</v>
      </c>
      <c r="X187" s="522"/>
      <c r="Y187" s="522">
        <v>55</v>
      </c>
      <c r="Z187" s="522">
        <v>0</v>
      </c>
      <c r="AA187" s="522" t="s">
        <v>179</v>
      </c>
      <c r="AB187" s="522">
        <v>4</v>
      </c>
      <c r="AC187" s="522">
        <v>4</v>
      </c>
      <c r="AD187" s="522" t="s">
        <v>2514</v>
      </c>
    </row>
    <row r="188" spans="2:31">
      <c r="C188" s="523">
        <v>171</v>
      </c>
      <c r="D188" s="523">
        <v>14</v>
      </c>
      <c r="E188" s="543" t="s">
        <v>2577</v>
      </c>
      <c r="F188" s="523">
        <v>70</v>
      </c>
      <c r="G188" s="523"/>
      <c r="H188" s="523">
        <v>66</v>
      </c>
      <c r="I188" s="523">
        <v>0</v>
      </c>
      <c r="J188" s="523">
        <v>0</v>
      </c>
      <c r="K188" s="523"/>
      <c r="L188" s="797">
        <f>[1]!tsabetm(C188)</f>
        <v>314.08333333333331</v>
      </c>
      <c r="M188" s="797">
        <f>[1]!tsabetz(C188)</f>
        <v>339.66666666666669</v>
      </c>
      <c r="N188" s="797">
        <f t="shared" si="15"/>
        <v>67.934853420195338</v>
      </c>
      <c r="O188" s="797">
        <f t="shared" si="16"/>
        <v>1445.0028169014086</v>
      </c>
      <c r="P188" s="797">
        <f t="shared" si="17"/>
        <v>32.226308368045693</v>
      </c>
      <c r="Q188" s="797">
        <f t="shared" si="18"/>
        <v>342</v>
      </c>
      <c r="R188" s="797">
        <f t="shared" si="19"/>
        <v>342.53710513946743</v>
      </c>
      <c r="S188" s="797">
        <f>[1]!taqsabet(O188,C188)</f>
        <v>342.53710513946743</v>
      </c>
      <c r="T188" s="523"/>
      <c r="U188" s="523">
        <v>11</v>
      </c>
      <c r="V188" s="523">
        <v>9</v>
      </c>
      <c r="W188" s="523">
        <v>40</v>
      </c>
      <c r="X188" s="523"/>
      <c r="Y188" s="523">
        <v>56</v>
      </c>
      <c r="Z188" s="523">
        <v>42</v>
      </c>
      <c r="AA188" s="523" t="s">
        <v>179</v>
      </c>
      <c r="AB188" s="523">
        <v>4</v>
      </c>
      <c r="AC188" s="523">
        <v>4</v>
      </c>
      <c r="AD188" s="523" t="s">
        <v>2514</v>
      </c>
    </row>
    <row r="189" spans="2:31">
      <c r="C189" s="522">
        <v>172</v>
      </c>
      <c r="D189" s="522">
        <v>15</v>
      </c>
      <c r="E189" s="550" t="s">
        <v>2578</v>
      </c>
      <c r="F189" s="522">
        <v>70</v>
      </c>
      <c r="G189" s="522"/>
      <c r="H189" s="522">
        <v>66</v>
      </c>
      <c r="I189" s="522">
        <v>0</v>
      </c>
      <c r="J189" s="522">
        <v>0</v>
      </c>
      <c r="K189" s="522"/>
      <c r="L189" s="797">
        <f>[1]!tsabetm(C189)</f>
        <v>300.75</v>
      </c>
      <c r="M189" s="797">
        <f>[1]!tsabetz(C189)</f>
        <v>324.23333333333335</v>
      </c>
      <c r="N189" s="797">
        <f t="shared" si="15"/>
        <v>74.009936124911235</v>
      </c>
      <c r="O189" s="797">
        <f t="shared" si="16"/>
        <v>1445.0028169014086</v>
      </c>
      <c r="P189" s="797">
        <f t="shared" si="17"/>
        <v>52.089165140440628</v>
      </c>
      <c r="Q189" s="797">
        <f t="shared" si="18"/>
        <v>326</v>
      </c>
      <c r="R189" s="797">
        <f t="shared" si="19"/>
        <v>326.86815275234068</v>
      </c>
      <c r="S189" s="797">
        <f>[1]!taqsabet(O189,C189)</f>
        <v>326.86815275234068</v>
      </c>
      <c r="T189" s="522"/>
      <c r="U189" s="522">
        <v>10</v>
      </c>
      <c r="V189" s="522">
        <v>24</v>
      </c>
      <c r="W189" s="522">
        <v>14</v>
      </c>
      <c r="X189" s="522"/>
      <c r="Y189" s="522">
        <v>63</v>
      </c>
      <c r="Z189" s="522">
        <v>24</v>
      </c>
      <c r="AA189" s="522" t="s">
        <v>179</v>
      </c>
      <c r="AB189" s="522">
        <v>4</v>
      </c>
      <c r="AC189" s="522">
        <v>4</v>
      </c>
      <c r="AD189" s="522" t="s">
        <v>2514</v>
      </c>
      <c r="AE189" s="327">
        <v>576</v>
      </c>
    </row>
    <row r="190" spans="2:31">
      <c r="C190" s="523">
        <v>173</v>
      </c>
      <c r="D190" s="523">
        <v>16</v>
      </c>
      <c r="E190" s="543" t="s">
        <v>2579</v>
      </c>
      <c r="F190" s="523">
        <v>70</v>
      </c>
      <c r="G190" s="523"/>
      <c r="H190" s="523">
        <v>66</v>
      </c>
      <c r="I190" s="523">
        <v>0</v>
      </c>
      <c r="J190" s="523">
        <v>0</v>
      </c>
      <c r="K190" s="523"/>
      <c r="L190" s="797">
        <f>[1]!tsabetm(C190)</f>
        <v>302.25</v>
      </c>
      <c r="M190" s="797">
        <f>[1]!tsabetz(C190)</f>
        <v>328.23333333333335</v>
      </c>
      <c r="N190" s="797">
        <f t="shared" si="15"/>
        <v>66.88903143040406</v>
      </c>
      <c r="O190" s="797">
        <f t="shared" si="16"/>
        <v>1445.0028169014086</v>
      </c>
      <c r="P190" s="797">
        <f t="shared" si="17"/>
        <v>8.919097554256723</v>
      </c>
      <c r="Q190" s="797">
        <f t="shared" si="18"/>
        <v>331</v>
      </c>
      <c r="R190" s="797">
        <f t="shared" si="19"/>
        <v>331.14865162590428</v>
      </c>
      <c r="S190" s="797">
        <f>[1]!taqsabet(O190,C190)</f>
        <v>331.14865162590428</v>
      </c>
      <c r="T190" s="523"/>
      <c r="U190" s="523">
        <v>10</v>
      </c>
      <c r="V190" s="523">
        <v>28</v>
      </c>
      <c r="W190" s="523">
        <v>14</v>
      </c>
      <c r="X190" s="523"/>
      <c r="Y190" s="523">
        <v>64</v>
      </c>
      <c r="Z190" s="523">
        <v>24</v>
      </c>
      <c r="AA190" s="523" t="s">
        <v>179</v>
      </c>
      <c r="AB190" s="523">
        <v>4</v>
      </c>
      <c r="AC190" s="523">
        <v>4</v>
      </c>
      <c r="AD190" s="523" t="s">
        <v>2514</v>
      </c>
    </row>
    <row r="191" spans="2:31">
      <c r="C191" s="522">
        <v>174</v>
      </c>
      <c r="D191" s="522">
        <v>17</v>
      </c>
      <c r="E191" s="550" t="s">
        <v>2580</v>
      </c>
      <c r="F191" s="522">
        <v>70</v>
      </c>
      <c r="G191" s="522"/>
      <c r="H191" s="522">
        <v>66</v>
      </c>
      <c r="I191" s="522">
        <v>11</v>
      </c>
      <c r="J191" s="522">
        <v>17</v>
      </c>
      <c r="K191" s="522" t="s">
        <v>3857</v>
      </c>
      <c r="L191" s="797">
        <f>[1]!tsabetm(C191)</f>
        <v>311.75</v>
      </c>
      <c r="M191" s="797">
        <f>[1]!tsabetz(C191)</f>
        <v>358.28333333333336</v>
      </c>
      <c r="N191" s="797">
        <f t="shared" si="15"/>
        <v>37.349570200573048</v>
      </c>
      <c r="O191" s="797">
        <f t="shared" si="16"/>
        <v>1445.0028169014086</v>
      </c>
      <c r="P191" s="797">
        <f t="shared" si="17"/>
        <v>30.261141995820253</v>
      </c>
      <c r="Q191" s="797">
        <f t="shared" si="18"/>
        <v>363</v>
      </c>
      <c r="R191" s="797">
        <f t="shared" si="19"/>
        <v>363.504352366597</v>
      </c>
      <c r="S191" s="797">
        <f>[1]!taqsabet(O191,C191)</f>
        <v>363.504352366597</v>
      </c>
      <c r="T191" s="522"/>
      <c r="U191" s="522">
        <v>11</v>
      </c>
      <c r="V191" s="522">
        <v>28</v>
      </c>
      <c r="W191" s="522">
        <v>17</v>
      </c>
      <c r="X191" s="522"/>
      <c r="Y191" s="522">
        <v>64</v>
      </c>
      <c r="Z191" s="522">
        <v>21</v>
      </c>
      <c r="AA191" s="522" t="s">
        <v>179</v>
      </c>
      <c r="AB191" s="522">
        <v>5</v>
      </c>
      <c r="AC191" s="522">
        <v>5</v>
      </c>
      <c r="AD191" s="522" t="s">
        <v>2514</v>
      </c>
    </row>
    <row r="192" spans="2:31">
      <c r="B192" s="505" t="s">
        <v>2415</v>
      </c>
      <c r="C192" s="554">
        <v>175</v>
      </c>
      <c r="D192" s="554">
        <v>1</v>
      </c>
      <c r="E192" s="555" t="s">
        <v>2581</v>
      </c>
      <c r="F192" s="523">
        <v>70</v>
      </c>
      <c r="G192" s="523"/>
      <c r="H192" s="523">
        <v>66</v>
      </c>
      <c r="I192" s="523">
        <v>0</v>
      </c>
      <c r="J192" s="523">
        <v>0</v>
      </c>
      <c r="K192" s="554"/>
      <c r="L192" s="797">
        <f>[1]!tsabetm(C192)</f>
        <v>310.25</v>
      </c>
      <c r="M192" s="797">
        <f>[1]!tsabetz(C192)</f>
        <v>336.81666666666666</v>
      </c>
      <c r="N192" s="797">
        <f t="shared" si="15"/>
        <v>65.420326223337526</v>
      </c>
      <c r="O192" s="797">
        <f t="shared" si="16"/>
        <v>1445.0028169014086</v>
      </c>
      <c r="P192" s="797">
        <f t="shared" si="17"/>
        <v>47.846081784146008</v>
      </c>
      <c r="Q192" s="797">
        <f t="shared" si="18"/>
        <v>339</v>
      </c>
      <c r="R192" s="797">
        <f t="shared" si="19"/>
        <v>339.79743469640243</v>
      </c>
      <c r="S192" s="797">
        <f>[1]!taqsabet(O192,C192)</f>
        <v>339.79743469640243</v>
      </c>
      <c r="T192" s="554"/>
      <c r="U192" s="554">
        <v>11</v>
      </c>
      <c r="V192" s="554">
        <v>6</v>
      </c>
      <c r="W192" s="554">
        <v>49</v>
      </c>
      <c r="X192" s="554"/>
      <c r="Y192" s="554">
        <v>50</v>
      </c>
      <c r="Z192" s="554">
        <v>2</v>
      </c>
      <c r="AA192" s="554" t="s">
        <v>179</v>
      </c>
      <c r="AB192" s="554">
        <v>4</v>
      </c>
      <c r="AC192" s="554">
        <v>4</v>
      </c>
      <c r="AD192" s="551"/>
    </row>
    <row r="193" spans="1:37">
      <c r="C193" s="547">
        <v>176</v>
      </c>
      <c r="D193" s="547">
        <v>2</v>
      </c>
      <c r="E193" s="556" t="s">
        <v>2582</v>
      </c>
      <c r="F193" s="522">
        <v>70</v>
      </c>
      <c r="G193" s="522"/>
      <c r="H193" s="522">
        <v>66</v>
      </c>
      <c r="I193" s="522">
        <v>0</v>
      </c>
      <c r="J193" s="522">
        <v>0</v>
      </c>
      <c r="K193" s="547"/>
      <c r="L193" s="797">
        <f>[1]!tsabetm(C193)</f>
        <v>313.41666666666669</v>
      </c>
      <c r="M193" s="797">
        <f>[1]!tsabetz(C193)</f>
        <v>338.16666666666669</v>
      </c>
      <c r="N193" s="797">
        <f t="shared" si="15"/>
        <v>70.222222222222229</v>
      </c>
      <c r="O193" s="797">
        <f t="shared" si="16"/>
        <v>1445.0028169014086</v>
      </c>
      <c r="P193" s="797">
        <f t="shared" si="17"/>
        <v>56.616330896773661</v>
      </c>
      <c r="Q193" s="797">
        <f t="shared" si="18"/>
        <v>340</v>
      </c>
      <c r="R193" s="797">
        <f t="shared" si="19"/>
        <v>340.94360551494623</v>
      </c>
      <c r="S193" s="797">
        <f>[1]!taqsabet(O193,C193)</f>
        <v>340.94360551494623</v>
      </c>
      <c r="T193" s="547"/>
      <c r="U193" s="547">
        <v>11</v>
      </c>
      <c r="V193" s="547">
        <v>8</v>
      </c>
      <c r="W193" s="547">
        <v>10</v>
      </c>
      <c r="X193" s="547"/>
      <c r="Y193" s="547">
        <v>51</v>
      </c>
      <c r="Z193" s="547">
        <v>27</v>
      </c>
      <c r="AA193" s="547" t="s">
        <v>179</v>
      </c>
      <c r="AB193" s="547">
        <v>4</v>
      </c>
      <c r="AC193" s="547">
        <v>4</v>
      </c>
      <c r="AD193" s="522"/>
    </row>
    <row r="194" spans="1:37">
      <c r="B194" s="505" t="s">
        <v>2355</v>
      </c>
      <c r="C194" s="506" t="s">
        <v>2356</v>
      </c>
      <c r="D194" s="507" t="s">
        <v>2357</v>
      </c>
      <c r="E194" s="511" t="s">
        <v>2358</v>
      </c>
      <c r="F194" s="511"/>
      <c r="G194" s="511"/>
      <c r="H194" s="511"/>
      <c r="I194" s="511"/>
      <c r="J194" s="511"/>
      <c r="K194" s="514" t="s">
        <v>2360</v>
      </c>
      <c r="N194" s="797">
        <f t="shared" si="15"/>
        <v>4.8277777777777775</v>
      </c>
      <c r="O194" s="797">
        <f t="shared" si="16"/>
        <v>1445.0028169014086</v>
      </c>
      <c r="P194" s="797">
        <f t="shared" si="17"/>
        <v>23.510267589427372</v>
      </c>
      <c r="Q194" s="797">
        <f t="shared" si="18"/>
        <v>40</v>
      </c>
      <c r="R194" s="797">
        <f t="shared" si="19"/>
        <v>40.391837793157123</v>
      </c>
      <c r="S194" s="797" t="e">
        <f>[1]!taqsabet(O194,C194)</f>
        <v>#VALUE!</v>
      </c>
      <c r="T194" s="507"/>
      <c r="U194" s="508" t="s">
        <v>403</v>
      </c>
      <c r="V194" s="508"/>
      <c r="W194" s="509"/>
      <c r="X194" s="507"/>
      <c r="Y194" s="509" t="s">
        <v>275</v>
      </c>
      <c r="Z194" s="510"/>
      <c r="AA194" s="506" t="s">
        <v>176</v>
      </c>
      <c r="AB194" s="511" t="s">
        <v>2361</v>
      </c>
      <c r="AC194" s="511" t="s">
        <v>2362</v>
      </c>
      <c r="AD194" s="511" t="s">
        <v>2363</v>
      </c>
    </row>
    <row r="195" spans="1:37">
      <c r="B195" s="505"/>
      <c r="C195" s="512"/>
      <c r="D195" s="512"/>
      <c r="E195" s="513"/>
      <c r="F195" s="513"/>
      <c r="G195" s="513"/>
      <c r="H195" s="513"/>
      <c r="I195" s="513"/>
      <c r="J195" s="513"/>
      <c r="K195" s="514"/>
      <c r="N195" s="797">
        <f t="shared" si="15"/>
        <v>4.8277777777777775</v>
      </c>
      <c r="O195" s="797">
        <f t="shared" si="16"/>
        <v>1445.0028169014086</v>
      </c>
      <c r="P195" s="797">
        <f t="shared" si="17"/>
        <v>23.510267589427372</v>
      </c>
      <c r="Q195" s="797">
        <f t="shared" si="18"/>
        <v>40</v>
      </c>
      <c r="R195" s="797">
        <f t="shared" si="19"/>
        <v>40.391837793157123</v>
      </c>
      <c r="S195" s="797">
        <f>[1]!taqsabet(O195,C195)</f>
        <v>1.4716840899636423</v>
      </c>
      <c r="T195" s="515" t="s">
        <v>2367</v>
      </c>
      <c r="U195" s="516" t="s">
        <v>173</v>
      </c>
      <c r="V195" s="516" t="s">
        <v>172</v>
      </c>
      <c r="W195" s="516" t="s">
        <v>166</v>
      </c>
      <c r="X195" s="517" t="s">
        <v>2367</v>
      </c>
      <c r="Y195" s="516" t="s">
        <v>172</v>
      </c>
      <c r="Z195" s="518" t="s">
        <v>166</v>
      </c>
      <c r="AA195" s="512"/>
      <c r="AB195" s="517" t="s">
        <v>2368</v>
      </c>
      <c r="AC195" s="517" t="s">
        <v>2369</v>
      </c>
      <c r="AD195" s="513"/>
    </row>
    <row r="196" spans="1:37">
      <c r="A196" s="520">
        <v>10</v>
      </c>
      <c r="B196" s="327" t="s">
        <v>2583</v>
      </c>
      <c r="C196" s="527">
        <v>177</v>
      </c>
      <c r="D196" s="527">
        <v>1</v>
      </c>
      <c r="E196" s="553" t="s">
        <v>2584</v>
      </c>
      <c r="F196" s="527">
        <v>70</v>
      </c>
      <c r="G196" s="527"/>
      <c r="H196" s="527">
        <v>66</v>
      </c>
      <c r="I196" s="527">
        <v>0</v>
      </c>
      <c r="J196" s="527">
        <v>0</v>
      </c>
      <c r="K196" s="527"/>
      <c r="L196" s="797">
        <f>[1]!tsabetm(C196)</f>
        <v>7.4166666666666679</v>
      </c>
      <c r="M196" s="797">
        <f>[1]!tsabetz(C196)</f>
        <v>34.56666666666667</v>
      </c>
      <c r="N196" s="797">
        <f t="shared" si="15"/>
        <v>64.014732965009202</v>
      </c>
      <c r="O196" s="797">
        <f t="shared" si="16"/>
        <v>1445.0028169014086</v>
      </c>
      <c r="P196" s="797">
        <f t="shared" si="17"/>
        <v>36.773066014036004</v>
      </c>
      <c r="Q196" s="797">
        <f t="shared" si="18"/>
        <v>37</v>
      </c>
      <c r="R196" s="797">
        <f t="shared" si="19"/>
        <v>37.612884433567267</v>
      </c>
      <c r="S196" s="797">
        <f>[1]!taqsabet(O196,C196)</f>
        <v>37.612884433567267</v>
      </c>
      <c r="T196" s="527"/>
      <c r="U196" s="527">
        <v>1</v>
      </c>
      <c r="V196" s="527">
        <v>4</v>
      </c>
      <c r="W196" s="527">
        <v>34</v>
      </c>
      <c r="X196" s="523">
        <f t="shared" ref="X196:X208" si="20">Y196+(Z196/60)</f>
        <v>43.75</v>
      </c>
      <c r="Y196" s="527">
        <v>43</v>
      </c>
      <c r="Z196" s="527">
        <v>45</v>
      </c>
      <c r="AA196" s="527" t="s">
        <v>179</v>
      </c>
      <c r="AB196" s="527">
        <v>4</v>
      </c>
      <c r="AC196" s="527">
        <v>3</v>
      </c>
      <c r="AD196" s="527" t="s">
        <v>2373</v>
      </c>
    </row>
    <row r="197" spans="1:37">
      <c r="C197" s="523">
        <v>178</v>
      </c>
      <c r="D197" s="523">
        <v>2</v>
      </c>
      <c r="E197" s="543" t="s">
        <v>2585</v>
      </c>
      <c r="F197" s="523">
        <v>70</v>
      </c>
      <c r="G197" s="523"/>
      <c r="H197" s="523">
        <v>66</v>
      </c>
      <c r="I197" s="523">
        <v>0</v>
      </c>
      <c r="J197" s="523">
        <v>0</v>
      </c>
      <c r="K197" s="523" t="s">
        <v>2583</v>
      </c>
      <c r="L197" s="797">
        <f>[1]!tsabetm(C197)</f>
        <v>10.416666666666668</v>
      </c>
      <c r="M197" s="797">
        <f>[1]!tsabetz(C197)</f>
        <v>36.516666666666666</v>
      </c>
      <c r="N197" s="797">
        <f t="shared" si="15"/>
        <v>66.590038314176255</v>
      </c>
      <c r="O197" s="797">
        <f t="shared" si="16"/>
        <v>1445.0028169014086</v>
      </c>
      <c r="P197" s="797">
        <f t="shared" si="17"/>
        <v>26.70449440023333</v>
      </c>
      <c r="Q197" s="797">
        <f t="shared" si="18"/>
        <v>39</v>
      </c>
      <c r="R197" s="797">
        <f t="shared" si="19"/>
        <v>39.445074906670555</v>
      </c>
      <c r="S197" s="797">
        <f>[1]!taqsabet(O197,C197)</f>
        <v>39.445074906670555</v>
      </c>
      <c r="T197" s="524"/>
      <c r="U197" s="523">
        <v>1</v>
      </c>
      <c r="V197" s="523">
        <v>6</v>
      </c>
      <c r="W197" s="523">
        <v>31</v>
      </c>
      <c r="X197" s="523">
        <f t="shared" si="20"/>
        <v>46</v>
      </c>
      <c r="Y197" s="523">
        <v>46</v>
      </c>
      <c r="Z197" s="523">
        <v>0</v>
      </c>
      <c r="AA197" s="523" t="s">
        <v>179</v>
      </c>
      <c r="AB197" s="523">
        <v>3</v>
      </c>
      <c r="AC197" s="523">
        <v>3</v>
      </c>
      <c r="AD197" s="523" t="s">
        <v>2373</v>
      </c>
    </row>
    <row r="198" spans="1:37">
      <c r="C198" s="527">
        <v>179</v>
      </c>
      <c r="D198" s="527">
        <v>3</v>
      </c>
      <c r="E198" s="553" t="s">
        <v>2586</v>
      </c>
      <c r="F198" s="527">
        <v>70</v>
      </c>
      <c r="G198" s="527"/>
      <c r="H198" s="527">
        <v>66</v>
      </c>
      <c r="I198" s="527">
        <v>0</v>
      </c>
      <c r="J198" s="527">
        <v>0</v>
      </c>
      <c r="K198" s="527"/>
      <c r="L198" s="797">
        <f>[1]!tsabetm(C198)</f>
        <v>12.583333333333332</v>
      </c>
      <c r="M198" s="797">
        <f>[1]!tsabetz(C198)</f>
        <v>39.266666666666666</v>
      </c>
      <c r="N198" s="797">
        <f t="shared" si="15"/>
        <v>65.134291068082447</v>
      </c>
      <c r="O198" s="797">
        <f t="shared" si="16"/>
        <v>1445.0028169014086</v>
      </c>
      <c r="P198" s="797">
        <f t="shared" si="17"/>
        <v>15.631478630123752</v>
      </c>
      <c r="Q198" s="797">
        <f t="shared" si="18"/>
        <v>42</v>
      </c>
      <c r="R198" s="797">
        <f t="shared" si="19"/>
        <v>42.260524643835396</v>
      </c>
      <c r="S198" s="797">
        <f>[1]!taqsabet(O198,C198)</f>
        <v>42.260524643835396</v>
      </c>
      <c r="T198" s="527"/>
      <c r="U198" s="527">
        <v>1</v>
      </c>
      <c r="V198" s="527">
        <v>9</v>
      </c>
      <c r="W198" s="527">
        <v>16</v>
      </c>
      <c r="X198" s="523">
        <f t="shared" si="20"/>
        <v>46.5</v>
      </c>
      <c r="Y198" s="527">
        <v>46</v>
      </c>
      <c r="Z198" s="527">
        <v>30</v>
      </c>
      <c r="AA198" s="527" t="s">
        <v>179</v>
      </c>
      <c r="AB198" s="527">
        <v>4</v>
      </c>
      <c r="AC198" s="527">
        <v>4</v>
      </c>
      <c r="AD198" s="527" t="s">
        <v>2373</v>
      </c>
    </row>
    <row r="199" spans="1:37">
      <c r="C199" s="523">
        <v>180</v>
      </c>
      <c r="D199" s="523">
        <v>4</v>
      </c>
      <c r="E199" s="543" t="s">
        <v>2587</v>
      </c>
      <c r="F199" s="523">
        <v>70</v>
      </c>
      <c r="G199" s="523"/>
      <c r="H199" s="523">
        <v>66</v>
      </c>
      <c r="I199" s="523">
        <v>0</v>
      </c>
      <c r="J199" s="523">
        <v>0</v>
      </c>
      <c r="K199" s="523" t="s">
        <v>1416</v>
      </c>
      <c r="L199" s="797">
        <f>[1]!tsabetm(C199)</f>
        <v>16.25</v>
      </c>
      <c r="M199" s="797">
        <f>[1]!tsabetz(C199)</f>
        <v>42.516666666666666</v>
      </c>
      <c r="N199" s="797">
        <f t="shared" ref="N199:N262" si="21">(1697+41)/((IF(M199-L199&gt;0,M199-L199,M199+360-L199)))</f>
        <v>66.167512690355338</v>
      </c>
      <c r="O199" s="797">
        <f t="shared" si="16"/>
        <v>1445.0028169014086</v>
      </c>
      <c r="P199" s="797">
        <f t="shared" si="17"/>
        <v>27.826489894487736</v>
      </c>
      <c r="Q199" s="797">
        <f t="shared" si="18"/>
        <v>45</v>
      </c>
      <c r="R199" s="797">
        <f t="shared" si="19"/>
        <v>45.463774831574796</v>
      </c>
      <c r="S199" s="797">
        <f>[1]!taqsabet(O199,C199)</f>
        <v>45.463774831574796</v>
      </c>
      <c r="T199" s="524"/>
      <c r="U199" s="523">
        <v>1</v>
      </c>
      <c r="V199" s="523">
        <v>12</v>
      </c>
      <c r="W199" s="523">
        <v>31</v>
      </c>
      <c r="X199" s="523">
        <f t="shared" si="20"/>
        <v>43.5</v>
      </c>
      <c r="Y199" s="523">
        <v>43</v>
      </c>
      <c r="Z199" s="523">
        <v>30</v>
      </c>
      <c r="AA199" s="523" t="s">
        <v>179</v>
      </c>
      <c r="AB199" s="523">
        <v>3</v>
      </c>
      <c r="AC199" s="523">
        <v>3</v>
      </c>
      <c r="AD199" s="523" t="s">
        <v>2373</v>
      </c>
    </row>
    <row r="200" spans="1:37">
      <c r="C200" s="527">
        <v>181</v>
      </c>
      <c r="D200" s="527">
        <v>5</v>
      </c>
      <c r="E200" s="553" t="s">
        <v>2588</v>
      </c>
      <c r="F200" s="527">
        <v>70</v>
      </c>
      <c r="G200" s="527"/>
      <c r="H200" s="527">
        <v>67</v>
      </c>
      <c r="I200" s="527">
        <v>11</v>
      </c>
      <c r="J200" s="527">
        <v>15</v>
      </c>
      <c r="K200" s="527" t="s">
        <v>2589</v>
      </c>
      <c r="L200" s="797">
        <f>[1]!tsabetm(C200)</f>
        <v>20.25</v>
      </c>
      <c r="M200" s="797">
        <f>[1]!tsabetz(C200)</f>
        <v>46.416666666666664</v>
      </c>
      <c r="N200" s="797">
        <f t="shared" si="21"/>
        <v>66.420382165605105</v>
      </c>
      <c r="O200" s="797">
        <f t="shared" ref="O200:O263" si="22">O199</f>
        <v>1445.0028169014086</v>
      </c>
      <c r="P200" s="797">
        <f t="shared" ref="P200:P263" si="23">(R200-Q200)*60</f>
        <v>21.153292597935263</v>
      </c>
      <c r="Q200" s="797">
        <f t="shared" ref="Q200:Q263" si="24">INT(R200)</f>
        <v>49</v>
      </c>
      <c r="R200" s="797">
        <f t="shared" ref="R200:R263" si="25">((O200-1250)/(N200))+M200</f>
        <v>49.352554876632254</v>
      </c>
      <c r="S200" s="797">
        <f>[1]!taqsabet(O200,C200)</f>
        <v>49.352554876632254</v>
      </c>
      <c r="T200" s="527"/>
      <c r="U200" s="527">
        <v>1</v>
      </c>
      <c r="V200" s="527">
        <v>16</v>
      </c>
      <c r="W200" s="527">
        <v>25</v>
      </c>
      <c r="X200" s="523">
        <f t="shared" si="20"/>
        <v>45.75</v>
      </c>
      <c r="Y200" s="527">
        <v>45</v>
      </c>
      <c r="Z200" s="527">
        <v>45</v>
      </c>
      <c r="AA200" s="527" t="s">
        <v>179</v>
      </c>
      <c r="AB200" s="527">
        <v>3</v>
      </c>
      <c r="AC200" s="527">
        <v>3</v>
      </c>
      <c r="AD200" s="527" t="s">
        <v>2373</v>
      </c>
    </row>
    <row r="201" spans="1:37">
      <c r="C201" s="523">
        <v>182</v>
      </c>
      <c r="D201" s="523">
        <v>6</v>
      </c>
      <c r="E201" s="543" t="s">
        <v>2590</v>
      </c>
      <c r="F201" s="523">
        <v>70</v>
      </c>
      <c r="G201" s="523"/>
      <c r="H201" s="523">
        <v>66</v>
      </c>
      <c r="I201" s="523">
        <v>0</v>
      </c>
      <c r="J201" s="523">
        <v>0</v>
      </c>
      <c r="K201" s="523"/>
      <c r="L201" s="797">
        <f>[1]!tsabetm(C201)</f>
        <v>26.583333333333336</v>
      </c>
      <c r="M201" s="797">
        <f>[1]!tsabetz(C201)</f>
        <v>53.516666666666666</v>
      </c>
      <c r="N201" s="797">
        <f t="shared" si="21"/>
        <v>64.529702970297038</v>
      </c>
      <c r="O201" s="797">
        <f t="shared" si="22"/>
        <v>1445.0028169014086</v>
      </c>
      <c r="P201" s="797">
        <f t="shared" si="23"/>
        <v>32.314471871505361</v>
      </c>
      <c r="Q201" s="797">
        <f t="shared" si="24"/>
        <v>56</v>
      </c>
      <c r="R201" s="797">
        <f t="shared" si="25"/>
        <v>56.538574531191756</v>
      </c>
      <c r="S201" s="797">
        <f>[1]!taqsabet(O201,C201)</f>
        <v>56.538574531191756</v>
      </c>
      <c r="T201" s="524"/>
      <c r="U201" s="523">
        <v>1</v>
      </c>
      <c r="V201" s="523">
        <v>23</v>
      </c>
      <c r="W201" s="523">
        <v>31</v>
      </c>
      <c r="X201" s="523">
        <f t="shared" si="20"/>
        <v>46.85</v>
      </c>
      <c r="Y201" s="523">
        <v>46</v>
      </c>
      <c r="Z201" s="523">
        <v>51</v>
      </c>
      <c r="AA201" s="523" t="s">
        <v>179</v>
      </c>
      <c r="AB201" s="523">
        <v>4</v>
      </c>
      <c r="AC201" s="523">
        <v>4</v>
      </c>
      <c r="AD201" s="523" t="s">
        <v>2373</v>
      </c>
    </row>
    <row r="202" spans="1:37">
      <c r="C202" s="527">
        <v>183</v>
      </c>
      <c r="D202" s="527">
        <v>7</v>
      </c>
      <c r="E202" s="553" t="s">
        <v>2591</v>
      </c>
      <c r="F202" s="527">
        <v>70</v>
      </c>
      <c r="G202" s="527"/>
      <c r="H202" s="527">
        <v>66</v>
      </c>
      <c r="I202" s="527">
        <v>0</v>
      </c>
      <c r="J202" s="527">
        <v>0</v>
      </c>
      <c r="K202" s="527"/>
      <c r="L202" s="797">
        <f>[1]!tsabetm(C202)</f>
        <v>31.25</v>
      </c>
      <c r="M202" s="797">
        <f>[1]!tsabetz(C202)</f>
        <v>56.866666666666667</v>
      </c>
      <c r="N202" s="797">
        <f t="shared" si="21"/>
        <v>67.846454131424849</v>
      </c>
      <c r="O202" s="797">
        <f t="shared" si="22"/>
        <v>1445.0028169014086</v>
      </c>
      <c r="P202" s="797">
        <f t="shared" si="23"/>
        <v>44.450707466895807</v>
      </c>
      <c r="Q202" s="797">
        <f t="shared" si="24"/>
        <v>59</v>
      </c>
      <c r="R202" s="797">
        <f t="shared" si="25"/>
        <v>59.740845124448263</v>
      </c>
      <c r="S202" s="797">
        <f>[1]!taqsabet(O202,C202)</f>
        <v>59.740845124448263</v>
      </c>
      <c r="T202" s="527"/>
      <c r="U202" s="527">
        <v>1</v>
      </c>
      <c r="V202" s="527">
        <v>26</v>
      </c>
      <c r="W202" s="527">
        <v>52</v>
      </c>
      <c r="X202" s="523">
        <f t="shared" si="20"/>
        <v>47.6</v>
      </c>
      <c r="Y202" s="527">
        <v>47</v>
      </c>
      <c r="Z202" s="527">
        <v>36</v>
      </c>
      <c r="AA202" s="527" t="s">
        <v>179</v>
      </c>
      <c r="AB202" s="527">
        <v>4</v>
      </c>
      <c r="AC202" s="527">
        <v>4</v>
      </c>
      <c r="AD202" s="527" t="s">
        <v>2373</v>
      </c>
    </row>
    <row r="203" spans="1:37">
      <c r="C203" s="523">
        <v>184</v>
      </c>
      <c r="D203" s="523">
        <v>8</v>
      </c>
      <c r="E203" s="543" t="s">
        <v>2592</v>
      </c>
      <c r="F203" s="523">
        <v>70</v>
      </c>
      <c r="G203" s="523"/>
      <c r="H203" s="523">
        <v>66</v>
      </c>
      <c r="I203" s="523">
        <v>0</v>
      </c>
      <c r="J203" s="523">
        <v>0</v>
      </c>
      <c r="K203" s="523"/>
      <c r="L203" s="797">
        <f>[1]!tsabetm(C203)</f>
        <v>14.25</v>
      </c>
      <c r="M203" s="797">
        <f>[1]!tsabetz(C203)</f>
        <v>39.716666666666669</v>
      </c>
      <c r="N203" s="797">
        <f t="shared" si="21"/>
        <v>68.246073298429309</v>
      </c>
      <c r="O203" s="797">
        <f t="shared" si="22"/>
        <v>1445.0028169014086</v>
      </c>
      <c r="P203" s="797">
        <f t="shared" si="23"/>
        <v>34.440911522067097</v>
      </c>
      <c r="Q203" s="797">
        <f t="shared" si="24"/>
        <v>42</v>
      </c>
      <c r="R203" s="797">
        <f t="shared" si="25"/>
        <v>42.574015192034452</v>
      </c>
      <c r="S203" s="797">
        <f>[1]!taqsabet(O203,C203)</f>
        <v>42.574015192034452</v>
      </c>
      <c r="T203" s="524"/>
      <c r="U203" s="523">
        <v>1</v>
      </c>
      <c r="V203" s="523">
        <v>9</v>
      </c>
      <c r="W203" s="523">
        <v>43</v>
      </c>
      <c r="X203" s="523">
        <f t="shared" si="20"/>
        <v>44.5</v>
      </c>
      <c r="Y203" s="523">
        <v>44</v>
      </c>
      <c r="Z203" s="523">
        <v>30</v>
      </c>
      <c r="AA203" s="523" t="s">
        <v>179</v>
      </c>
      <c r="AB203" s="523">
        <v>4</v>
      </c>
      <c r="AC203" s="523">
        <v>4</v>
      </c>
      <c r="AD203" s="523" t="s">
        <v>2373</v>
      </c>
    </row>
    <row r="204" spans="1:37">
      <c r="C204" s="527">
        <v>185</v>
      </c>
      <c r="D204" s="527">
        <v>9</v>
      </c>
      <c r="E204" s="553" t="s">
        <v>2593</v>
      </c>
      <c r="F204" s="527">
        <v>70</v>
      </c>
      <c r="G204" s="527"/>
      <c r="H204" s="527">
        <v>66</v>
      </c>
      <c r="I204" s="527">
        <v>0</v>
      </c>
      <c r="J204" s="527">
        <v>0</v>
      </c>
      <c r="K204" s="527"/>
      <c r="L204" s="797">
        <f>[1]!tsabetm(C204)</f>
        <v>17.25</v>
      </c>
      <c r="M204" s="797">
        <f>[1]!tsabetz(C204)</f>
        <v>43.2</v>
      </c>
      <c r="N204" s="797">
        <f t="shared" si="21"/>
        <v>66.974951830443146</v>
      </c>
      <c r="O204" s="797">
        <f t="shared" si="22"/>
        <v>1445.0028169014086</v>
      </c>
      <c r="P204" s="797">
        <f t="shared" si="23"/>
        <v>6.6946984554047617</v>
      </c>
      <c r="Q204" s="797">
        <f t="shared" si="24"/>
        <v>46</v>
      </c>
      <c r="R204" s="797">
        <f t="shared" si="25"/>
        <v>46.111578307590079</v>
      </c>
      <c r="S204" s="797">
        <f>[1]!taqsabet(O204,C204)</f>
        <v>46.111578307590079</v>
      </c>
      <c r="T204" s="527"/>
      <c r="U204" s="527">
        <v>1</v>
      </c>
      <c r="V204" s="527">
        <v>13</v>
      </c>
      <c r="W204" s="527">
        <v>12</v>
      </c>
      <c r="X204" s="523">
        <f t="shared" si="20"/>
        <v>44.8</v>
      </c>
      <c r="Y204" s="527">
        <v>44</v>
      </c>
      <c r="Z204" s="527">
        <v>48</v>
      </c>
      <c r="AA204" s="527" t="s">
        <v>179</v>
      </c>
      <c r="AB204" s="527">
        <v>5</v>
      </c>
      <c r="AC204" s="527">
        <v>5</v>
      </c>
      <c r="AD204" s="527" t="s">
        <v>2373</v>
      </c>
    </row>
    <row r="205" spans="1:37">
      <c r="C205" s="523">
        <v>186</v>
      </c>
      <c r="D205" s="523">
        <v>10</v>
      </c>
      <c r="E205" s="543" t="s">
        <v>2594</v>
      </c>
      <c r="F205" s="523">
        <v>70</v>
      </c>
      <c r="G205" s="523"/>
      <c r="H205" s="523">
        <v>66</v>
      </c>
      <c r="I205" s="523">
        <v>0</v>
      </c>
      <c r="J205" s="523">
        <v>0</v>
      </c>
      <c r="K205" s="523"/>
      <c r="L205" s="797">
        <f>[1]!tsabetm(C205)</f>
        <v>1.9166666666666661</v>
      </c>
      <c r="M205" s="797">
        <f>[1]!tsabetz(C205)</f>
        <v>58.216666666666669</v>
      </c>
      <c r="N205" s="797">
        <f t="shared" si="21"/>
        <v>30.870337477797509</v>
      </c>
      <c r="O205" s="797">
        <f t="shared" si="22"/>
        <v>1445.0028169014086</v>
      </c>
      <c r="P205" s="797">
        <f t="shared" si="23"/>
        <v>32.010077959124601</v>
      </c>
      <c r="Q205" s="797">
        <f t="shared" si="24"/>
        <v>64</v>
      </c>
      <c r="R205" s="797">
        <f t="shared" si="25"/>
        <v>64.533501299318743</v>
      </c>
      <c r="S205" s="797">
        <f>[1]!taqsabet(O205,C205)</f>
        <v>64.533501299318743</v>
      </c>
      <c r="T205" s="524"/>
      <c r="U205" s="523">
        <v>1</v>
      </c>
      <c r="V205" s="523">
        <v>28</v>
      </c>
      <c r="W205" s="523">
        <v>13</v>
      </c>
      <c r="X205" s="523">
        <f t="shared" si="20"/>
        <v>49.5</v>
      </c>
      <c r="Y205" s="523">
        <v>49</v>
      </c>
      <c r="Z205" s="523">
        <v>30</v>
      </c>
      <c r="AA205" s="523" t="s">
        <v>179</v>
      </c>
      <c r="AB205" s="523">
        <v>6</v>
      </c>
      <c r="AC205" s="523">
        <v>6</v>
      </c>
      <c r="AD205" s="523" t="s">
        <v>2373</v>
      </c>
    </row>
    <row r="206" spans="1:37">
      <c r="C206" s="527">
        <v>187</v>
      </c>
      <c r="D206" s="527">
        <v>11</v>
      </c>
      <c r="E206" s="553" t="s">
        <v>2595</v>
      </c>
      <c r="F206" s="527">
        <v>70</v>
      </c>
      <c r="G206" s="527"/>
      <c r="H206" s="527">
        <v>66</v>
      </c>
      <c r="I206" s="527">
        <v>0</v>
      </c>
      <c r="J206" s="527">
        <v>0</v>
      </c>
      <c r="K206" s="527"/>
      <c r="L206" s="797">
        <f>[1]!tsabetm(C206)</f>
        <v>14.583333333333332</v>
      </c>
      <c r="M206" s="797">
        <f>[1]!tsabetz(C206)</f>
        <v>41.516666666666666</v>
      </c>
      <c r="N206" s="797">
        <f t="shared" si="21"/>
        <v>64.529702970297024</v>
      </c>
      <c r="O206" s="797">
        <f t="shared" si="22"/>
        <v>1445.0028169014086</v>
      </c>
      <c r="P206" s="797">
        <f t="shared" si="23"/>
        <v>32.314471871505361</v>
      </c>
      <c r="Q206" s="797">
        <f t="shared" si="24"/>
        <v>44</v>
      </c>
      <c r="R206" s="797">
        <f t="shared" si="25"/>
        <v>44.538574531191756</v>
      </c>
      <c r="S206" s="797">
        <f>[1]!taqsabet(O206,C206)</f>
        <v>44.538574531191756</v>
      </c>
      <c r="T206" s="527"/>
      <c r="U206" s="527">
        <v>1</v>
      </c>
      <c r="V206" s="527">
        <v>11</v>
      </c>
      <c r="W206" s="527">
        <v>31</v>
      </c>
      <c r="X206" s="523">
        <f t="shared" si="20"/>
        <v>51.7</v>
      </c>
      <c r="Y206" s="527">
        <v>51</v>
      </c>
      <c r="Z206" s="527">
        <v>42</v>
      </c>
      <c r="AA206" s="527" t="s">
        <v>179</v>
      </c>
      <c r="AB206" s="527">
        <v>4</v>
      </c>
      <c r="AC206" s="527">
        <v>4</v>
      </c>
      <c r="AD206" s="527" t="s">
        <v>2373</v>
      </c>
    </row>
    <row r="207" spans="1:37" ht="21.75">
      <c r="C207" s="523">
        <v>188</v>
      </c>
      <c r="D207" s="523">
        <v>12</v>
      </c>
      <c r="E207" s="543" t="s">
        <v>2596</v>
      </c>
      <c r="F207" s="523">
        <v>70</v>
      </c>
      <c r="G207" s="523"/>
      <c r="H207" s="523">
        <v>66</v>
      </c>
      <c r="I207" s="523">
        <v>6</v>
      </c>
      <c r="J207" s="523">
        <v>14</v>
      </c>
      <c r="K207" s="543" t="s">
        <v>2597</v>
      </c>
      <c r="L207" s="797">
        <f>[1]!tsabetm(C207)</f>
        <v>7.4166666666666679</v>
      </c>
      <c r="M207" s="797">
        <f>[1]!tsabetz(C207)</f>
        <v>34.116666666666667</v>
      </c>
      <c r="N207" s="797">
        <f t="shared" si="21"/>
        <v>65.093632958801493</v>
      </c>
      <c r="O207" s="797">
        <f>O206</f>
        <v>1445.0028169014086</v>
      </c>
      <c r="P207" s="797">
        <f t="shared" si="23"/>
        <v>6.7436781795490219</v>
      </c>
      <c r="Q207" s="797">
        <f t="shared" si="24"/>
        <v>37</v>
      </c>
      <c r="R207" s="797">
        <f t="shared" si="25"/>
        <v>37.112394636325817</v>
      </c>
      <c r="S207" s="797">
        <f>[1]!taqsabet(O207,C207)</f>
        <v>37.112394636325817</v>
      </c>
      <c r="T207" s="524"/>
      <c r="U207" s="523">
        <v>1</v>
      </c>
      <c r="V207" s="523">
        <v>4</v>
      </c>
      <c r="W207" s="523">
        <v>7</v>
      </c>
      <c r="X207" s="523">
        <f>Y207+(Z207/60)</f>
        <v>50.8</v>
      </c>
      <c r="Y207" s="523">
        <v>50</v>
      </c>
      <c r="Z207" s="523">
        <v>48</v>
      </c>
      <c r="AA207" s="523" t="s">
        <v>179</v>
      </c>
      <c r="AB207" s="523">
        <v>3</v>
      </c>
      <c r="AC207" s="523">
        <v>3</v>
      </c>
      <c r="AD207" s="523" t="s">
        <v>2373</v>
      </c>
      <c r="AE207" s="327" t="s">
        <v>3876</v>
      </c>
      <c r="AF207" s="327">
        <f>[1]!mbtool(2,17,0,1)</f>
        <v>9.5138888888888884E-2</v>
      </c>
      <c r="AG207" s="327">
        <f>[1]!kaff(1444,12,28,AF207,X207,S207)</f>
        <v>16.585478861712655</v>
      </c>
      <c r="AH207" s="437">
        <f>INT(ABS(AG207))</f>
        <v>16</v>
      </c>
      <c r="AI207" s="437">
        <f>INT((ABS(AG207)-AH207)*60)</f>
        <v>35</v>
      </c>
      <c r="AJ207" s="437">
        <f>INT((((ABS(AG207)-AH207)*60)-AI207)*60)</f>
        <v>7</v>
      </c>
      <c r="AK207" s="327" t="s">
        <v>3983</v>
      </c>
    </row>
    <row r="208" spans="1:37">
      <c r="C208" s="527">
        <v>189</v>
      </c>
      <c r="D208" s="527">
        <v>13</v>
      </c>
      <c r="E208" s="553" t="s">
        <v>2598</v>
      </c>
      <c r="F208" s="527">
        <v>70</v>
      </c>
      <c r="G208" s="527"/>
      <c r="H208" s="527">
        <v>66</v>
      </c>
      <c r="I208" s="527">
        <v>0</v>
      </c>
      <c r="J208" s="527">
        <v>0</v>
      </c>
      <c r="K208" s="527"/>
      <c r="L208" s="797">
        <f>[1]!tsabetm(C208)</f>
        <v>2.9166666666666679</v>
      </c>
      <c r="M208" s="797">
        <f>[1]!tsabetz(C208)</f>
        <v>29.766666666666666</v>
      </c>
      <c r="N208" s="797">
        <f t="shared" si="21"/>
        <v>64.729981378026082</v>
      </c>
      <c r="O208" s="797">
        <f t="shared" si="22"/>
        <v>1445.0028169014086</v>
      </c>
      <c r="P208" s="797">
        <f t="shared" si="23"/>
        <v>46.753474124378158</v>
      </c>
      <c r="Q208" s="797">
        <f t="shared" si="24"/>
        <v>32</v>
      </c>
      <c r="R208" s="797">
        <f t="shared" si="25"/>
        <v>32.779224568739636</v>
      </c>
      <c r="S208" s="797">
        <f>[1]!taqsabet(O208,C208)</f>
        <v>32.779224568739636</v>
      </c>
      <c r="T208" s="527"/>
      <c r="U208" s="527">
        <v>0</v>
      </c>
      <c r="V208" s="527">
        <v>29</v>
      </c>
      <c r="W208" s="527">
        <v>46</v>
      </c>
      <c r="X208" s="523">
        <f t="shared" si="20"/>
        <v>51</v>
      </c>
      <c r="Y208" s="527">
        <v>51</v>
      </c>
      <c r="Z208" s="527">
        <v>0</v>
      </c>
      <c r="AA208" s="527" t="s">
        <v>179</v>
      </c>
      <c r="AB208" s="527">
        <v>6</v>
      </c>
      <c r="AC208" s="527">
        <v>6</v>
      </c>
      <c r="AD208" s="527" t="s">
        <v>2373</v>
      </c>
    </row>
    <row r="209" spans="1:31">
      <c r="C209" s="546"/>
      <c r="D209" s="546"/>
      <c r="E209" s="546"/>
      <c r="F209" s="546"/>
      <c r="G209" s="546"/>
      <c r="H209" s="546"/>
      <c r="I209" s="546"/>
      <c r="J209" s="546"/>
      <c r="K209" s="546"/>
      <c r="N209" s="797">
        <f t="shared" si="21"/>
        <v>4.8277777777777775</v>
      </c>
      <c r="O209" s="797">
        <f t="shared" si="22"/>
        <v>1445.0028169014086</v>
      </c>
      <c r="P209" s="797">
        <f t="shared" si="23"/>
        <v>23.510267589427372</v>
      </c>
      <c r="Q209" s="797">
        <f t="shared" si="24"/>
        <v>40</v>
      </c>
      <c r="R209" s="797">
        <f t="shared" si="25"/>
        <v>40.391837793157123</v>
      </c>
      <c r="S209" s="797">
        <f>[1]!taqsabet(O209,C209)</f>
        <v>1.4716840899636423</v>
      </c>
      <c r="T209" s="546"/>
      <c r="U209" s="546"/>
      <c r="V209" s="546"/>
      <c r="W209" s="546"/>
      <c r="X209" s="546"/>
      <c r="Y209" s="546"/>
      <c r="Z209" s="546"/>
      <c r="AA209" s="546"/>
      <c r="AB209" s="546"/>
      <c r="AC209" s="546"/>
      <c r="AD209" s="546"/>
    </row>
    <row r="210" spans="1:31">
      <c r="A210" s="520">
        <v>11</v>
      </c>
      <c r="B210" s="536" t="s">
        <v>2599</v>
      </c>
      <c r="C210" s="523">
        <v>190</v>
      </c>
      <c r="D210" s="523">
        <v>1</v>
      </c>
      <c r="E210" s="543" t="s">
        <v>2600</v>
      </c>
      <c r="F210" s="523">
        <v>70</v>
      </c>
      <c r="G210" s="523"/>
      <c r="H210" s="523">
        <v>66</v>
      </c>
      <c r="I210" s="523">
        <v>0</v>
      </c>
      <c r="J210" s="523">
        <v>0</v>
      </c>
      <c r="K210" s="523" t="s">
        <v>2601</v>
      </c>
      <c r="L210" s="797">
        <f>[1]!tsabetm(C210)</f>
        <v>26.25</v>
      </c>
      <c r="M210" s="797">
        <f>[1]!tsabetz(C210)</f>
        <v>52.416666666666664</v>
      </c>
      <c r="N210" s="797">
        <f t="shared" si="21"/>
        <v>66.420382165605105</v>
      </c>
      <c r="O210" s="797">
        <f t="shared" si="22"/>
        <v>1445.0028169014086</v>
      </c>
      <c r="P210" s="797">
        <f t="shared" si="23"/>
        <v>21.153292597935263</v>
      </c>
      <c r="Q210" s="797">
        <f t="shared" si="24"/>
        <v>55</v>
      </c>
      <c r="R210" s="797">
        <f t="shared" si="25"/>
        <v>55.352554876632254</v>
      </c>
      <c r="S210" s="797">
        <f>[1]!taqsabet(O210,C210)</f>
        <v>55.352554876632254</v>
      </c>
      <c r="T210" s="523"/>
      <c r="U210" s="523">
        <v>1</v>
      </c>
      <c r="V210" s="523">
        <v>22</v>
      </c>
      <c r="W210" s="523">
        <v>25</v>
      </c>
      <c r="X210" s="523"/>
      <c r="Y210" s="523">
        <v>40</v>
      </c>
      <c r="Z210" s="523">
        <v>0</v>
      </c>
      <c r="AA210" s="523" t="s">
        <v>179</v>
      </c>
      <c r="AB210" s="523" t="s">
        <v>2602</v>
      </c>
      <c r="AC210" s="523" t="s">
        <v>2602</v>
      </c>
      <c r="AD210" s="523" t="s">
        <v>2603</v>
      </c>
      <c r="AE210" s="327">
        <v>577</v>
      </c>
    </row>
    <row r="211" spans="1:31">
      <c r="C211" s="522">
        <v>191</v>
      </c>
      <c r="D211" s="522">
        <v>2</v>
      </c>
      <c r="E211" s="550" t="s">
        <v>2604</v>
      </c>
      <c r="F211" s="522">
        <v>70</v>
      </c>
      <c r="G211" s="522"/>
      <c r="H211" s="522">
        <v>66</v>
      </c>
      <c r="I211" s="522">
        <v>0</v>
      </c>
      <c r="J211" s="522">
        <v>0</v>
      </c>
      <c r="K211" s="522"/>
      <c r="L211" s="797">
        <f>[1]!tsabetm(C211)</f>
        <v>30.75</v>
      </c>
      <c r="M211" s="797">
        <f>[1]!tsabetz(C211)</f>
        <v>56.516666666666666</v>
      </c>
      <c r="N211" s="797">
        <f t="shared" si="21"/>
        <v>67.451487710219922</v>
      </c>
      <c r="O211" s="797">
        <f t="shared" si="22"/>
        <v>1445.0028169014086</v>
      </c>
      <c r="P211" s="797">
        <f t="shared" si="23"/>
        <v>24.460503411724517</v>
      </c>
      <c r="Q211" s="797">
        <f t="shared" si="24"/>
        <v>59</v>
      </c>
      <c r="R211" s="797">
        <f t="shared" si="25"/>
        <v>59.407675056862075</v>
      </c>
      <c r="S211" s="797">
        <f>[1]!taqsabet(O211,C211)</f>
        <v>59.407675056862075</v>
      </c>
      <c r="T211" s="522"/>
      <c r="U211" s="522">
        <v>1</v>
      </c>
      <c r="V211" s="522">
        <v>26</v>
      </c>
      <c r="W211" s="522">
        <v>31</v>
      </c>
      <c r="X211" s="522"/>
      <c r="Y211" s="522">
        <v>37</v>
      </c>
      <c r="Z211" s="522">
        <v>9</v>
      </c>
      <c r="AA211" s="522" t="s">
        <v>179</v>
      </c>
      <c r="AB211" s="522">
        <v>4</v>
      </c>
      <c r="AC211" s="522">
        <v>4</v>
      </c>
      <c r="AD211" s="522" t="s">
        <v>2373</v>
      </c>
    </row>
    <row r="212" spans="1:31">
      <c r="C212" s="523">
        <v>192</v>
      </c>
      <c r="D212" s="523">
        <v>3</v>
      </c>
      <c r="E212" s="543" t="s">
        <v>2605</v>
      </c>
      <c r="F212" s="523">
        <v>70</v>
      </c>
      <c r="G212" s="523"/>
      <c r="H212" s="523">
        <v>66</v>
      </c>
      <c r="I212" s="523">
        <v>0</v>
      </c>
      <c r="J212" s="523">
        <v>0</v>
      </c>
      <c r="K212" s="523"/>
      <c r="L212" s="797">
        <f>[1]!tsabetm(C212)</f>
        <v>32.25</v>
      </c>
      <c r="M212" s="797">
        <f>[1]!tsabetz(C212)</f>
        <v>53.666666666666664</v>
      </c>
      <c r="N212" s="797">
        <f t="shared" si="21"/>
        <v>81.151750972762656</v>
      </c>
      <c r="O212" s="797">
        <f t="shared" si="22"/>
        <v>1445.0028169014086</v>
      </c>
      <c r="P212" s="797">
        <f t="shared" si="23"/>
        <v>4.1764210116855338</v>
      </c>
      <c r="Q212" s="797">
        <f t="shared" si="24"/>
        <v>56</v>
      </c>
      <c r="R212" s="797">
        <f t="shared" si="25"/>
        <v>56.069607016861426</v>
      </c>
      <c r="S212" s="797">
        <f>[1]!taqsabet(O212,C212)</f>
        <v>56.069607016861426</v>
      </c>
      <c r="T212" s="523"/>
      <c r="U212" s="523">
        <v>1</v>
      </c>
      <c r="V212" s="523">
        <v>23</v>
      </c>
      <c r="W212" s="523">
        <v>40</v>
      </c>
      <c r="X212" s="523"/>
      <c r="Y212" s="523">
        <v>34</v>
      </c>
      <c r="Z212" s="523">
        <v>6</v>
      </c>
      <c r="AA212" s="523" t="s">
        <v>179</v>
      </c>
      <c r="AB212" s="523">
        <v>3</v>
      </c>
      <c r="AC212" s="523">
        <v>3</v>
      </c>
      <c r="AD212" s="523" t="s">
        <v>2373</v>
      </c>
    </row>
    <row r="213" spans="1:31">
      <c r="C213" s="522">
        <v>193</v>
      </c>
      <c r="D213" s="522">
        <v>4</v>
      </c>
      <c r="E213" s="550" t="s">
        <v>2606</v>
      </c>
      <c r="F213" s="522">
        <v>70</v>
      </c>
      <c r="G213" s="522"/>
      <c r="H213" s="522">
        <v>66</v>
      </c>
      <c r="I213" s="522">
        <v>0</v>
      </c>
      <c r="J213" s="522">
        <v>0</v>
      </c>
      <c r="K213" s="522"/>
      <c r="L213" s="797">
        <f>[1]!tsabetm(C213)</f>
        <v>27.083333333333336</v>
      </c>
      <c r="M213" s="797">
        <f>[1]!tsabetz(C213)</f>
        <v>53.166666666666664</v>
      </c>
      <c r="N213" s="797">
        <f t="shared" si="21"/>
        <v>66.63258785942493</v>
      </c>
      <c r="O213" s="797">
        <f t="shared" si="22"/>
        <v>1445.0028169014086</v>
      </c>
      <c r="P213" s="797">
        <f t="shared" si="23"/>
        <v>5.5922948508080594</v>
      </c>
      <c r="Q213" s="797">
        <f t="shared" si="24"/>
        <v>56</v>
      </c>
      <c r="R213" s="797">
        <f t="shared" si="25"/>
        <v>56.093204914180134</v>
      </c>
      <c r="S213" s="797">
        <f>[1]!taqsabet(O213,C213)</f>
        <v>56.093204914180134</v>
      </c>
      <c r="T213" s="522"/>
      <c r="U213" s="522">
        <v>1</v>
      </c>
      <c r="V213" s="522">
        <v>23</v>
      </c>
      <c r="W213" s="522">
        <v>10</v>
      </c>
      <c r="X213" s="522"/>
      <c r="Y213" s="522">
        <v>31</v>
      </c>
      <c r="Z213" s="522">
        <v>30</v>
      </c>
      <c r="AA213" s="522" t="s">
        <v>179</v>
      </c>
      <c r="AB213" s="522">
        <v>4</v>
      </c>
      <c r="AC213" s="522">
        <v>4</v>
      </c>
      <c r="AD213" s="522" t="s">
        <v>2373</v>
      </c>
    </row>
    <row r="214" spans="1:31">
      <c r="C214" s="523">
        <v>194</v>
      </c>
      <c r="D214" s="523">
        <v>5</v>
      </c>
      <c r="E214" s="543" t="s">
        <v>2607</v>
      </c>
      <c r="F214" s="523">
        <v>70</v>
      </c>
      <c r="G214" s="523"/>
      <c r="H214" s="523">
        <v>66</v>
      </c>
      <c r="I214" s="523">
        <v>0</v>
      </c>
      <c r="J214" s="523">
        <v>0</v>
      </c>
      <c r="K214" s="523"/>
      <c r="L214" s="797">
        <f>[1]!tsabetm(C214)</f>
        <v>30.25</v>
      </c>
      <c r="M214" s="797">
        <f>[1]!tsabetz(C214)</f>
        <v>56.716666666666669</v>
      </c>
      <c r="N214" s="797">
        <f t="shared" si="21"/>
        <v>65.66750629722921</v>
      </c>
      <c r="O214" s="797">
        <f t="shared" si="22"/>
        <v>1445.0028169014086</v>
      </c>
      <c r="P214" s="797">
        <f t="shared" si="23"/>
        <v>41.172884487593109</v>
      </c>
      <c r="Q214" s="797">
        <f t="shared" si="24"/>
        <v>59</v>
      </c>
      <c r="R214" s="797">
        <f t="shared" si="25"/>
        <v>59.686214741459885</v>
      </c>
      <c r="S214" s="797">
        <f>[1]!taqsabet(O214,C214)</f>
        <v>59.686214741459885</v>
      </c>
      <c r="T214" s="523"/>
      <c r="U214" s="523">
        <v>1</v>
      </c>
      <c r="V214" s="523">
        <v>26</v>
      </c>
      <c r="W214" s="523">
        <v>43</v>
      </c>
      <c r="X214" s="523"/>
      <c r="Y214" s="523">
        <v>34</v>
      </c>
      <c r="Z214" s="523">
        <v>0</v>
      </c>
      <c r="AA214" s="523" t="s">
        <v>179</v>
      </c>
      <c r="AB214" s="523">
        <v>5</v>
      </c>
      <c r="AC214" s="523">
        <v>5</v>
      </c>
      <c r="AD214" s="523" t="s">
        <v>2373</v>
      </c>
    </row>
    <row r="215" spans="1:31">
      <c r="C215" s="522">
        <v>195</v>
      </c>
      <c r="D215" s="522">
        <v>6</v>
      </c>
      <c r="E215" s="550" t="s">
        <v>2608</v>
      </c>
      <c r="F215" s="522">
        <v>70</v>
      </c>
      <c r="G215" s="522"/>
      <c r="H215" s="522">
        <v>66</v>
      </c>
      <c r="I215" s="522">
        <v>0</v>
      </c>
      <c r="J215" s="522">
        <v>0</v>
      </c>
      <c r="K215" s="522"/>
      <c r="L215" s="797">
        <f>[1]!tsabetm(C215)</f>
        <v>31.083333333333336</v>
      </c>
      <c r="M215" s="797">
        <f>[1]!tsabetz(C215)</f>
        <v>57.766666666666666</v>
      </c>
      <c r="N215" s="797">
        <f t="shared" si="21"/>
        <v>65.134291068082462</v>
      </c>
      <c r="O215" s="797">
        <f t="shared" si="22"/>
        <v>1445.0028169014086</v>
      </c>
      <c r="P215" s="797">
        <f t="shared" si="23"/>
        <v>45.631478630123752</v>
      </c>
      <c r="Q215" s="797">
        <f t="shared" si="24"/>
        <v>60</v>
      </c>
      <c r="R215" s="797">
        <f t="shared" si="25"/>
        <v>60.760524643835396</v>
      </c>
      <c r="S215" s="797">
        <f>[1]!taqsabet(O215,C215)</f>
        <v>60.760524643835396</v>
      </c>
      <c r="T215" s="522"/>
      <c r="U215" s="522">
        <v>1</v>
      </c>
      <c r="V215" s="522">
        <v>27</v>
      </c>
      <c r="W215" s="522">
        <v>46</v>
      </c>
      <c r="X215" s="522"/>
      <c r="Y215" s="522">
        <v>30</v>
      </c>
      <c r="Z215" s="522">
        <v>33</v>
      </c>
      <c r="AA215" s="522" t="s">
        <v>179</v>
      </c>
      <c r="AB215" s="522">
        <v>4</v>
      </c>
      <c r="AC215" s="522">
        <v>4</v>
      </c>
      <c r="AD215" s="522" t="s">
        <v>2373</v>
      </c>
    </row>
    <row r="216" spans="1:31">
      <c r="C216" s="523">
        <v>196</v>
      </c>
      <c r="D216" s="523">
        <v>7</v>
      </c>
      <c r="E216" s="543" t="s">
        <v>2609</v>
      </c>
      <c r="F216" s="523">
        <v>70</v>
      </c>
      <c r="G216" s="523"/>
      <c r="H216" s="523">
        <v>66</v>
      </c>
      <c r="I216" s="523">
        <v>3</v>
      </c>
      <c r="J216" s="523">
        <v>13</v>
      </c>
      <c r="K216" s="523" t="s">
        <v>2610</v>
      </c>
      <c r="L216" s="797">
        <f>[1]!tsabetm(C216)</f>
        <v>34.416666666666664</v>
      </c>
      <c r="M216" s="797">
        <f>[1]!tsabetz(C216)</f>
        <v>61.216666666666669</v>
      </c>
      <c r="N216" s="797">
        <f t="shared" si="21"/>
        <v>64.850746268656707</v>
      </c>
      <c r="O216" s="797">
        <f t="shared" si="22"/>
        <v>1445.0028169014086</v>
      </c>
      <c r="P216" s="797">
        <f t="shared" si="23"/>
        <v>13.416875476102348</v>
      </c>
      <c r="Q216" s="797">
        <f t="shared" si="24"/>
        <v>64</v>
      </c>
      <c r="R216" s="797">
        <f t="shared" si="25"/>
        <v>64.223614591268372</v>
      </c>
      <c r="S216" s="797">
        <f>[1]!taqsabet(O216,C216)</f>
        <v>64.223614591268372</v>
      </c>
      <c r="T216" s="523"/>
      <c r="U216" s="523">
        <v>2</v>
      </c>
      <c r="V216" s="523">
        <v>1</v>
      </c>
      <c r="W216" s="523">
        <v>13</v>
      </c>
      <c r="X216" s="523"/>
      <c r="Y216" s="523">
        <v>29</v>
      </c>
      <c r="Z216" s="523">
        <v>21</v>
      </c>
      <c r="AA216" s="523" t="s">
        <v>179</v>
      </c>
      <c r="AB216" s="523">
        <v>2</v>
      </c>
      <c r="AC216" s="523">
        <v>2</v>
      </c>
      <c r="AD216" s="523" t="s">
        <v>2373</v>
      </c>
    </row>
    <row r="217" spans="1:31">
      <c r="C217" s="522">
        <v>197</v>
      </c>
      <c r="D217" s="522">
        <v>8</v>
      </c>
      <c r="E217" s="550" t="s">
        <v>2611</v>
      </c>
      <c r="F217" s="522">
        <v>70</v>
      </c>
      <c r="G217" s="522"/>
      <c r="H217" s="522">
        <v>66</v>
      </c>
      <c r="I217" s="522">
        <v>0</v>
      </c>
      <c r="J217" s="522">
        <v>0</v>
      </c>
      <c r="K217" s="522"/>
      <c r="L217" s="797">
        <f>[1]!tsabetm(C217)</f>
        <v>34.916666666666664</v>
      </c>
      <c r="M217" s="797">
        <f>[1]!tsabetz(C217)</f>
        <v>61.416666666666664</v>
      </c>
      <c r="N217" s="797">
        <f t="shared" si="21"/>
        <v>65.584905660377359</v>
      </c>
      <c r="O217" s="797">
        <f t="shared" si="22"/>
        <v>1445.0028169014086</v>
      </c>
      <c r="P217" s="797">
        <f t="shared" si="23"/>
        <v>23.397283586444075</v>
      </c>
      <c r="Q217" s="797">
        <f t="shared" si="24"/>
        <v>64</v>
      </c>
      <c r="R217" s="797">
        <f t="shared" si="25"/>
        <v>64.389954726440735</v>
      </c>
      <c r="S217" s="797">
        <f>[1]!taqsabet(O217,C217)</f>
        <v>64.389954726440735</v>
      </c>
      <c r="T217" s="522"/>
      <c r="U217" s="522">
        <v>2</v>
      </c>
      <c r="V217" s="522">
        <v>1</v>
      </c>
      <c r="W217" s="522">
        <v>25</v>
      </c>
      <c r="X217" s="522"/>
      <c r="Y217" s="522">
        <v>27</v>
      </c>
      <c r="Z217" s="522">
        <v>27</v>
      </c>
      <c r="AA217" s="522" t="s">
        <v>179</v>
      </c>
      <c r="AB217" s="522">
        <v>4</v>
      </c>
      <c r="AC217" s="522">
        <v>4</v>
      </c>
      <c r="AD217" s="522" t="s">
        <v>2373</v>
      </c>
    </row>
    <row r="218" spans="1:31">
      <c r="C218" s="523">
        <v>198</v>
      </c>
      <c r="D218" s="523">
        <v>9</v>
      </c>
      <c r="E218" s="543" t="s">
        <v>2612</v>
      </c>
      <c r="F218" s="523">
        <v>70</v>
      </c>
      <c r="G218" s="523"/>
      <c r="H218" s="523">
        <v>66</v>
      </c>
      <c r="I218" s="523">
        <v>0</v>
      </c>
      <c r="J218" s="523">
        <v>0</v>
      </c>
      <c r="K218" s="523"/>
      <c r="L218" s="797">
        <f>[1]!tsabetm(C218)</f>
        <v>36.583333333333336</v>
      </c>
      <c r="M218" s="797">
        <f>[1]!tsabetz(C218)</f>
        <v>62.81666666666667</v>
      </c>
      <c r="N218" s="797">
        <f t="shared" si="21"/>
        <v>66.251588310038116</v>
      </c>
      <c r="O218" s="797">
        <f t="shared" si="22"/>
        <v>1445.0028169014086</v>
      </c>
      <c r="P218" s="797">
        <f t="shared" si="23"/>
        <v>45.602090795637196</v>
      </c>
      <c r="Q218" s="797">
        <f t="shared" si="24"/>
        <v>65</v>
      </c>
      <c r="R218" s="797">
        <f t="shared" si="25"/>
        <v>65.760034846593953</v>
      </c>
      <c r="S218" s="797">
        <f>[1]!taqsabet(O218,C218)</f>
        <v>65.760034846593953</v>
      </c>
      <c r="T218" s="523"/>
      <c r="U218" s="523">
        <v>2</v>
      </c>
      <c r="V218" s="523">
        <v>2</v>
      </c>
      <c r="W218" s="523">
        <v>49</v>
      </c>
      <c r="X218" s="523"/>
      <c r="Y218" s="523">
        <v>27</v>
      </c>
      <c r="Z218" s="523">
        <v>15</v>
      </c>
      <c r="AA218" s="523" t="s">
        <v>179</v>
      </c>
      <c r="AB218" s="523">
        <v>4</v>
      </c>
      <c r="AC218" s="523">
        <v>4</v>
      </c>
      <c r="AD218" s="523" t="s">
        <v>2373</v>
      </c>
    </row>
    <row r="219" spans="1:31">
      <c r="C219" s="522">
        <v>199</v>
      </c>
      <c r="D219" s="522">
        <v>10</v>
      </c>
      <c r="E219" s="550" t="s">
        <v>2613</v>
      </c>
      <c r="F219" s="522">
        <v>70</v>
      </c>
      <c r="G219" s="522"/>
      <c r="H219" s="522">
        <v>66</v>
      </c>
      <c r="I219" s="522">
        <v>0</v>
      </c>
      <c r="J219" s="522">
        <v>0</v>
      </c>
      <c r="K219" s="522"/>
      <c r="L219" s="797">
        <f>[1]!tsabetm(C219)</f>
        <v>37.25</v>
      </c>
      <c r="M219" s="797">
        <f>[1]!tsabetz(C219)</f>
        <v>64.016666666666666</v>
      </c>
      <c r="N219" s="797">
        <f t="shared" si="21"/>
        <v>64.93150684931507</v>
      </c>
      <c r="O219" s="797">
        <f t="shared" si="22"/>
        <v>1445.0028169014086</v>
      </c>
      <c r="P219" s="797">
        <f t="shared" si="23"/>
        <v>1.192476377250955</v>
      </c>
      <c r="Q219" s="797">
        <f t="shared" si="24"/>
        <v>67</v>
      </c>
      <c r="R219" s="797">
        <f t="shared" si="25"/>
        <v>67.019874606287516</v>
      </c>
      <c r="S219" s="797">
        <f>[1]!taqsabet(O219,C219)</f>
        <v>67.019874606287516</v>
      </c>
      <c r="T219" s="522"/>
      <c r="U219" s="522">
        <v>2</v>
      </c>
      <c r="V219" s="522">
        <v>4</v>
      </c>
      <c r="W219" s="522">
        <v>1</v>
      </c>
      <c r="X219" s="522"/>
      <c r="Y219" s="522">
        <v>26</v>
      </c>
      <c r="Z219" s="522">
        <v>57</v>
      </c>
      <c r="AA219" s="522" t="s">
        <v>179</v>
      </c>
      <c r="AB219" s="522">
        <v>3</v>
      </c>
      <c r="AC219" s="522">
        <v>3</v>
      </c>
      <c r="AD219" s="522" t="s">
        <v>2373</v>
      </c>
    </row>
    <row r="220" spans="1:31">
      <c r="C220" s="523">
        <v>200</v>
      </c>
      <c r="D220" s="523">
        <v>11</v>
      </c>
      <c r="E220" s="543" t="s">
        <v>2489</v>
      </c>
      <c r="F220" s="523">
        <v>70</v>
      </c>
      <c r="G220" s="523"/>
      <c r="H220" s="523">
        <v>66</v>
      </c>
      <c r="I220" s="523">
        <v>0</v>
      </c>
      <c r="J220" s="523">
        <v>0</v>
      </c>
      <c r="K220" s="523"/>
      <c r="L220" s="797">
        <f>[1]!tsabetm(C220)</f>
        <v>30.083333333333336</v>
      </c>
      <c r="M220" s="797">
        <f>[1]!tsabetz(C220)</f>
        <v>56.81666666666667</v>
      </c>
      <c r="N220" s="797">
        <f t="shared" si="21"/>
        <v>65.012468827930178</v>
      </c>
      <c r="O220" s="797">
        <f t="shared" si="22"/>
        <v>1445.0028169014086</v>
      </c>
      <c r="P220" s="797">
        <f t="shared" si="23"/>
        <v>48.968077278400415</v>
      </c>
      <c r="Q220" s="797">
        <f t="shared" si="24"/>
        <v>59</v>
      </c>
      <c r="R220" s="797">
        <f t="shared" si="25"/>
        <v>59.816134621306674</v>
      </c>
      <c r="S220" s="797">
        <f>[1]!taqsabet(O220,C220)</f>
        <v>59.816134621306674</v>
      </c>
      <c r="T220" s="523"/>
      <c r="U220" s="523">
        <v>1</v>
      </c>
      <c r="V220" s="523">
        <v>26</v>
      </c>
      <c r="W220" s="523">
        <v>49</v>
      </c>
      <c r="X220" s="523"/>
      <c r="Y220" s="523">
        <v>26</v>
      </c>
      <c r="Z220" s="523">
        <v>0</v>
      </c>
      <c r="AA220" s="523" t="s">
        <v>179</v>
      </c>
      <c r="AB220" s="523">
        <v>4</v>
      </c>
      <c r="AC220" s="523">
        <v>4</v>
      </c>
      <c r="AD220" s="523" t="s">
        <v>2373</v>
      </c>
    </row>
    <row r="221" spans="1:31">
      <c r="C221" s="522">
        <v>201</v>
      </c>
      <c r="D221" s="522">
        <v>12</v>
      </c>
      <c r="E221" s="550" t="s">
        <v>2614</v>
      </c>
      <c r="F221" s="522">
        <v>70</v>
      </c>
      <c r="G221" s="522"/>
      <c r="H221" s="522">
        <v>68</v>
      </c>
      <c r="I221" s="522">
        <v>11</v>
      </c>
      <c r="J221" s="522">
        <v>24</v>
      </c>
      <c r="K221" s="522" t="s">
        <v>2615</v>
      </c>
      <c r="L221" s="797">
        <f>[1]!tsabetm(C221)</f>
        <v>29.25</v>
      </c>
      <c r="M221" s="797">
        <f>[1]!tsabetz(C221)</f>
        <v>55</v>
      </c>
      <c r="N221" s="797">
        <f t="shared" si="21"/>
        <v>67.495145631067956</v>
      </c>
      <c r="O221" s="797">
        <f t="shared" si="22"/>
        <v>1445.0028169014086</v>
      </c>
      <c r="P221" s="797">
        <f t="shared" si="23"/>
        <v>53.348303862299389</v>
      </c>
      <c r="Q221" s="797">
        <f t="shared" si="24"/>
        <v>57</v>
      </c>
      <c r="R221" s="797">
        <f t="shared" si="25"/>
        <v>57.88913839770499</v>
      </c>
      <c r="S221" s="797">
        <f>[1]!taqsabet(O221,C221)</f>
        <v>57.88913839770499</v>
      </c>
      <c r="T221" s="522"/>
      <c r="U221" s="522">
        <v>1</v>
      </c>
      <c r="V221" s="522">
        <v>25</v>
      </c>
      <c r="W221" s="557">
        <v>14</v>
      </c>
      <c r="X221" s="522"/>
      <c r="Y221" s="522">
        <v>22</v>
      </c>
      <c r="Z221" s="522">
        <v>0</v>
      </c>
      <c r="AA221" s="522" t="s">
        <v>179</v>
      </c>
      <c r="AB221" s="522">
        <v>2</v>
      </c>
      <c r="AC221" s="522">
        <v>2</v>
      </c>
      <c r="AD221" s="522" t="s">
        <v>2373</v>
      </c>
    </row>
    <row r="222" spans="1:31">
      <c r="C222" s="523">
        <v>202</v>
      </c>
      <c r="D222" s="523">
        <v>13</v>
      </c>
      <c r="E222" s="543" t="s">
        <v>2616</v>
      </c>
      <c r="F222" s="523">
        <v>70</v>
      </c>
      <c r="G222" s="523"/>
      <c r="H222" s="523">
        <v>66</v>
      </c>
      <c r="I222" s="523">
        <v>0</v>
      </c>
      <c r="J222" s="523">
        <v>0</v>
      </c>
      <c r="K222" s="523"/>
      <c r="L222" s="797">
        <f>[1]!tsabetm(C222)</f>
        <v>28.75</v>
      </c>
      <c r="M222" s="797">
        <f>[1]!tsabetz(C222)</f>
        <v>54.766666666666666</v>
      </c>
      <c r="N222" s="797">
        <f t="shared" si="21"/>
        <v>66.80333119795003</v>
      </c>
      <c r="O222" s="797">
        <f t="shared" si="22"/>
        <v>1445.0028169014086</v>
      </c>
      <c r="P222" s="797">
        <f t="shared" si="23"/>
        <v>41.143496653106126</v>
      </c>
      <c r="Q222" s="797">
        <f t="shared" si="24"/>
        <v>57</v>
      </c>
      <c r="R222" s="797">
        <f t="shared" si="25"/>
        <v>57.685724944218435</v>
      </c>
      <c r="S222" s="797">
        <f>[1]!taqsabet(O222,C222)</f>
        <v>57.685724944218435</v>
      </c>
      <c r="T222" s="523"/>
      <c r="U222" s="523">
        <v>1</v>
      </c>
      <c r="V222" s="523">
        <v>24</v>
      </c>
      <c r="W222" s="523">
        <v>46</v>
      </c>
      <c r="X222" s="523"/>
      <c r="Y222" s="523">
        <v>20</v>
      </c>
      <c r="Z222" s="523">
        <v>45</v>
      </c>
      <c r="AA222" s="523" t="s">
        <v>179</v>
      </c>
      <c r="AB222" s="523">
        <v>4</v>
      </c>
      <c r="AC222" s="523">
        <v>4</v>
      </c>
      <c r="AD222" s="523" t="s">
        <v>2373</v>
      </c>
    </row>
    <row r="223" spans="1:31">
      <c r="C223" s="522">
        <v>203</v>
      </c>
      <c r="D223" s="522">
        <v>14</v>
      </c>
      <c r="E223" s="550" t="s">
        <v>2617</v>
      </c>
      <c r="F223" s="522">
        <v>70</v>
      </c>
      <c r="G223" s="522"/>
      <c r="H223" s="522">
        <v>66</v>
      </c>
      <c r="I223" s="522">
        <v>0</v>
      </c>
      <c r="J223" s="522">
        <v>0</v>
      </c>
      <c r="K223" s="522"/>
      <c r="L223" s="797">
        <f>[1]!tsabetm(C223)</f>
        <v>27.25</v>
      </c>
      <c r="M223" s="797">
        <f>[1]!tsabetz(C223)</f>
        <v>53.716666666666669</v>
      </c>
      <c r="N223" s="797">
        <f t="shared" si="21"/>
        <v>65.66750629722921</v>
      </c>
      <c r="O223" s="797">
        <f t="shared" si="22"/>
        <v>1445.0028169014086</v>
      </c>
      <c r="P223" s="797">
        <f t="shared" si="23"/>
        <v>41.172884487593109</v>
      </c>
      <c r="Q223" s="797">
        <f t="shared" si="24"/>
        <v>56</v>
      </c>
      <c r="R223" s="797">
        <f t="shared" si="25"/>
        <v>56.686214741459885</v>
      </c>
      <c r="S223" s="797">
        <f>[1]!taqsabet(O223,C223)</f>
        <v>56.686214741459885</v>
      </c>
      <c r="T223" s="522"/>
      <c r="U223" s="522">
        <v>1</v>
      </c>
      <c r="V223" s="522">
        <v>23</v>
      </c>
      <c r="W223" s="522">
        <v>43</v>
      </c>
      <c r="X223" s="522"/>
      <c r="Y223" s="522">
        <v>20</v>
      </c>
      <c r="Z223" s="522">
        <v>21</v>
      </c>
      <c r="AA223" s="522" t="s">
        <v>179</v>
      </c>
      <c r="AB223" s="522">
        <v>4</v>
      </c>
      <c r="AC223" s="522">
        <v>4</v>
      </c>
      <c r="AD223" s="522" t="s">
        <v>2373</v>
      </c>
    </row>
    <row r="224" spans="1:31">
      <c r="C224" s="523">
        <v>204</v>
      </c>
      <c r="D224" s="523">
        <v>15</v>
      </c>
      <c r="E224" s="543" t="s">
        <v>2618</v>
      </c>
      <c r="F224" s="523">
        <v>70</v>
      </c>
      <c r="G224" s="523"/>
      <c r="H224" s="523">
        <v>66</v>
      </c>
      <c r="I224" s="523">
        <v>0</v>
      </c>
      <c r="J224" s="523">
        <v>0</v>
      </c>
      <c r="K224" s="523"/>
      <c r="L224" s="797">
        <f>[1]!tsabetm(C224)</f>
        <v>26.416666666666664</v>
      </c>
      <c r="M224" s="797">
        <f>[1]!tsabetz(C224)</f>
        <v>52.766666666666666</v>
      </c>
      <c r="N224" s="797">
        <f t="shared" si="21"/>
        <v>65.958254269449711</v>
      </c>
      <c r="O224" s="797">
        <f t="shared" si="22"/>
        <v>1445.0028169014086</v>
      </c>
      <c r="P224" s="797">
        <f t="shared" si="23"/>
        <v>43.387487641614939</v>
      </c>
      <c r="Q224" s="797">
        <f t="shared" si="24"/>
        <v>55</v>
      </c>
      <c r="R224" s="797">
        <f t="shared" si="25"/>
        <v>55.723124794026916</v>
      </c>
      <c r="S224" s="797">
        <f>[1]!taqsabet(O224,C224)</f>
        <v>55.723124794026916</v>
      </c>
      <c r="T224" s="523"/>
      <c r="U224" s="523">
        <v>1</v>
      </c>
      <c r="V224" s="523">
        <v>22</v>
      </c>
      <c r="W224" s="523">
        <v>46</v>
      </c>
      <c r="X224" s="523"/>
      <c r="Y224" s="523">
        <v>21</v>
      </c>
      <c r="Z224" s="523">
        <v>9</v>
      </c>
      <c r="AA224" s="523" t="s">
        <v>179</v>
      </c>
      <c r="AB224" s="523">
        <v>4</v>
      </c>
      <c r="AC224" s="523">
        <v>4</v>
      </c>
      <c r="AD224" s="523" t="s">
        <v>2373</v>
      </c>
    </row>
    <row r="225" spans="2:31">
      <c r="C225" s="522">
        <v>205</v>
      </c>
      <c r="D225" s="522">
        <v>16</v>
      </c>
      <c r="E225" s="550" t="s">
        <v>2544</v>
      </c>
      <c r="F225" s="522">
        <v>70</v>
      </c>
      <c r="G225" s="522"/>
      <c r="H225" s="522">
        <v>66</v>
      </c>
      <c r="I225" s="522">
        <v>0</v>
      </c>
      <c r="J225" s="522">
        <v>0</v>
      </c>
      <c r="K225" s="522"/>
      <c r="L225" s="797">
        <f>[1]!tsabetm(C225)</f>
        <v>44.416666666666664</v>
      </c>
      <c r="M225" s="797">
        <f>[1]!tsabetz(C225)</f>
        <v>70.86666666666666</v>
      </c>
      <c r="N225" s="797">
        <f t="shared" si="21"/>
        <v>65.708884688090748</v>
      </c>
      <c r="O225" s="797">
        <f t="shared" si="22"/>
        <v>1445.0028169014086</v>
      </c>
      <c r="P225" s="797">
        <f t="shared" si="23"/>
        <v>50.060684938167412</v>
      </c>
      <c r="Q225" s="797">
        <f t="shared" si="24"/>
        <v>73</v>
      </c>
      <c r="R225" s="797">
        <f t="shared" si="25"/>
        <v>73.834344748969457</v>
      </c>
      <c r="S225" s="797">
        <f>[1]!taqsabet(O225,C225)</f>
        <v>73.834344748969457</v>
      </c>
      <c r="T225" s="522"/>
      <c r="U225" s="522">
        <v>2</v>
      </c>
      <c r="V225" s="522">
        <v>10</v>
      </c>
      <c r="W225" s="522">
        <v>52</v>
      </c>
      <c r="X225" s="522"/>
      <c r="Y225" s="522">
        <v>28</v>
      </c>
      <c r="Z225" s="522">
        <v>51</v>
      </c>
      <c r="AA225" s="522" t="s">
        <v>179</v>
      </c>
      <c r="AB225" s="522">
        <v>4</v>
      </c>
      <c r="AC225" s="522">
        <v>4</v>
      </c>
      <c r="AD225" s="522" t="s">
        <v>2373</v>
      </c>
    </row>
    <row r="226" spans="2:31">
      <c r="C226" s="523">
        <v>206</v>
      </c>
      <c r="D226" s="523">
        <v>17</v>
      </c>
      <c r="E226" s="543" t="s">
        <v>2619</v>
      </c>
      <c r="F226" s="523">
        <v>70</v>
      </c>
      <c r="G226" s="523"/>
      <c r="H226" s="523">
        <v>66</v>
      </c>
      <c r="I226" s="523">
        <v>0</v>
      </c>
      <c r="J226" s="523">
        <v>0</v>
      </c>
      <c r="K226" s="523"/>
      <c r="L226" s="797">
        <f>[1]!tsabetm(C226)</f>
        <v>42.583333333333336</v>
      </c>
      <c r="M226" s="797">
        <f>[1]!tsabetz(C226)</f>
        <v>68.36666666666666</v>
      </c>
      <c r="N226" s="797">
        <f t="shared" si="21"/>
        <v>67.407886231415674</v>
      </c>
      <c r="O226" s="797">
        <f t="shared" si="22"/>
        <v>1445.0028169014086</v>
      </c>
      <c r="P226" s="797">
        <f t="shared" si="23"/>
        <v>15.572702961149787</v>
      </c>
      <c r="Q226" s="797">
        <f t="shared" si="24"/>
        <v>71</v>
      </c>
      <c r="R226" s="797">
        <f t="shared" si="25"/>
        <v>71.259545049352496</v>
      </c>
      <c r="S226" s="797">
        <f>[1]!taqsabet(O226,C226)</f>
        <v>71.259545049352496</v>
      </c>
      <c r="T226" s="523"/>
      <c r="U226" s="523">
        <v>2</v>
      </c>
      <c r="V226" s="523">
        <v>8</v>
      </c>
      <c r="W226" s="523">
        <v>22</v>
      </c>
      <c r="X226" s="523"/>
      <c r="Y226" s="523">
        <v>28</v>
      </c>
      <c r="Z226" s="523">
        <v>36</v>
      </c>
      <c r="AA226" s="523" t="s">
        <v>179</v>
      </c>
      <c r="AB226" s="523">
        <v>4</v>
      </c>
      <c r="AC226" s="523">
        <v>4</v>
      </c>
      <c r="AD226" s="523" t="s">
        <v>2373</v>
      </c>
    </row>
    <row r="227" spans="2:31">
      <c r="C227" s="522">
        <v>207</v>
      </c>
      <c r="D227" s="522">
        <v>18</v>
      </c>
      <c r="E227" s="550" t="s">
        <v>2620</v>
      </c>
      <c r="F227" s="522">
        <v>70</v>
      </c>
      <c r="G227" s="522"/>
      <c r="H227" s="522">
        <v>66</v>
      </c>
      <c r="I227" s="522">
        <v>0</v>
      </c>
      <c r="J227" s="522">
        <v>0</v>
      </c>
      <c r="K227" s="522"/>
      <c r="L227" s="797">
        <f>[1]!tsabetm(C227)</f>
        <v>41.916666666666664</v>
      </c>
      <c r="M227" s="797">
        <f>[1]!tsabetz(C227)</f>
        <v>68.266666666666666</v>
      </c>
      <c r="N227" s="797">
        <f t="shared" si="21"/>
        <v>65.958254269449711</v>
      </c>
      <c r="O227" s="797">
        <f t="shared" si="22"/>
        <v>1445.0028169014086</v>
      </c>
      <c r="P227" s="797">
        <f t="shared" si="23"/>
        <v>13.387487641614939</v>
      </c>
      <c r="Q227" s="797">
        <f t="shared" si="24"/>
        <v>71</v>
      </c>
      <c r="R227" s="797">
        <f t="shared" si="25"/>
        <v>71.223124794026916</v>
      </c>
      <c r="S227" s="797">
        <f>[1]!taqsabet(O227,C227)</f>
        <v>71.223124794026916</v>
      </c>
      <c r="T227" s="522"/>
      <c r="U227" s="522">
        <v>2</v>
      </c>
      <c r="V227" s="522">
        <v>8</v>
      </c>
      <c r="W227" s="522">
        <v>16</v>
      </c>
      <c r="X227" s="522"/>
      <c r="Y227" s="522">
        <v>25</v>
      </c>
      <c r="Z227" s="522">
        <v>36</v>
      </c>
      <c r="AA227" s="522" t="s">
        <v>179</v>
      </c>
      <c r="AB227" s="522">
        <v>4</v>
      </c>
      <c r="AC227" s="522">
        <v>4</v>
      </c>
      <c r="AD227" s="522" t="s">
        <v>2373</v>
      </c>
    </row>
    <row r="228" spans="2:31">
      <c r="C228" s="523">
        <v>208</v>
      </c>
      <c r="D228" s="523">
        <v>19</v>
      </c>
      <c r="E228" s="543" t="s">
        <v>2621</v>
      </c>
      <c r="F228" s="523">
        <v>70</v>
      </c>
      <c r="G228" s="523"/>
      <c r="H228" s="523">
        <v>66</v>
      </c>
      <c r="I228" s="523">
        <v>0</v>
      </c>
      <c r="J228" s="523">
        <v>0</v>
      </c>
      <c r="K228" s="523"/>
      <c r="L228" s="797">
        <f>[1]!tsabetm(C228)</f>
        <v>43.583333333333336</v>
      </c>
      <c r="M228" s="797">
        <f>[1]!tsabetz(C228)</f>
        <v>69.666666666666671</v>
      </c>
      <c r="N228" s="797">
        <f t="shared" si="21"/>
        <v>66.632587859424916</v>
      </c>
      <c r="O228" s="797">
        <f t="shared" si="22"/>
        <v>1445.0028169014086</v>
      </c>
      <c r="P228" s="797">
        <f t="shared" si="23"/>
        <v>35.592294850808059</v>
      </c>
      <c r="Q228" s="797">
        <f t="shared" si="24"/>
        <v>72</v>
      </c>
      <c r="R228" s="797">
        <f t="shared" si="25"/>
        <v>72.593204914180134</v>
      </c>
      <c r="S228" s="797">
        <f>[1]!taqsabet(O228,C228)</f>
        <v>72.593204914180134</v>
      </c>
      <c r="T228" s="523"/>
      <c r="U228" s="523">
        <v>2</v>
      </c>
      <c r="V228" s="523">
        <v>9</v>
      </c>
      <c r="W228" s="523">
        <v>40</v>
      </c>
      <c r="X228" s="523"/>
      <c r="Y228" s="523">
        <v>26</v>
      </c>
      <c r="Z228" s="523">
        <v>19</v>
      </c>
      <c r="AA228" s="523" t="s">
        <v>179</v>
      </c>
      <c r="AB228" s="523">
        <v>4</v>
      </c>
      <c r="AC228" s="523">
        <v>4</v>
      </c>
      <c r="AD228" s="523" t="s">
        <v>2373</v>
      </c>
    </row>
    <row r="229" spans="2:31">
      <c r="C229" s="522">
        <v>209</v>
      </c>
      <c r="D229" s="522">
        <v>20</v>
      </c>
      <c r="E229" s="550" t="s">
        <v>2622</v>
      </c>
      <c r="F229" s="522">
        <v>70</v>
      </c>
      <c r="G229" s="522"/>
      <c r="H229" s="522">
        <v>66</v>
      </c>
      <c r="I229" s="522">
        <v>0</v>
      </c>
      <c r="J229" s="522">
        <v>0</v>
      </c>
      <c r="K229" s="522"/>
      <c r="L229" s="797">
        <f>[1]!tsabetm(C229)</f>
        <v>43.75</v>
      </c>
      <c r="M229" s="797">
        <f>[1]!tsabetz(C229)</f>
        <v>70.266666666666666</v>
      </c>
      <c r="N229" s="797">
        <f t="shared" si="21"/>
        <v>65.543683218101819</v>
      </c>
      <c r="O229" s="797">
        <f t="shared" si="22"/>
        <v>1445.0028169014086</v>
      </c>
      <c r="P229" s="797">
        <f t="shared" si="23"/>
        <v>14.509483135869345</v>
      </c>
      <c r="Q229" s="797">
        <f t="shared" si="24"/>
        <v>73</v>
      </c>
      <c r="R229" s="797">
        <f t="shared" si="25"/>
        <v>73.241824718931156</v>
      </c>
      <c r="S229" s="797">
        <f>[1]!taqsabet(O229,C229)</f>
        <v>73.241824718931156</v>
      </c>
      <c r="T229" s="522"/>
      <c r="U229" s="522">
        <v>2</v>
      </c>
      <c r="V229" s="522">
        <v>10</v>
      </c>
      <c r="W229" s="522">
        <v>16</v>
      </c>
      <c r="X229" s="522"/>
      <c r="Y229" s="522">
        <v>24</v>
      </c>
      <c r="Z229" s="522">
        <v>45</v>
      </c>
      <c r="AA229" s="522" t="s">
        <v>179</v>
      </c>
      <c r="AB229" s="522">
        <v>5</v>
      </c>
      <c r="AC229" s="522">
        <v>5</v>
      </c>
      <c r="AD229" s="522" t="s">
        <v>2373</v>
      </c>
      <c r="AE229" s="327">
        <v>578</v>
      </c>
    </row>
    <row r="230" spans="2:31">
      <c r="C230" s="523">
        <v>210</v>
      </c>
      <c r="D230" s="523">
        <v>21</v>
      </c>
      <c r="E230" s="543" t="s">
        <v>2623</v>
      </c>
      <c r="F230" s="523">
        <v>70</v>
      </c>
      <c r="G230" s="523"/>
      <c r="H230" s="523">
        <v>66</v>
      </c>
      <c r="I230" s="523">
        <v>0</v>
      </c>
      <c r="J230" s="523">
        <v>0</v>
      </c>
      <c r="K230" s="523"/>
      <c r="L230" s="797">
        <f>[1]!tsabetm(C230)</f>
        <v>45.916666666666664</v>
      </c>
      <c r="M230" s="797">
        <f>[1]!tsabetz(C230)</f>
        <v>72.216666666666669</v>
      </c>
      <c r="N230" s="797">
        <f t="shared" si="21"/>
        <v>66.083650190114056</v>
      </c>
      <c r="O230" s="797">
        <f t="shared" si="22"/>
        <v>1445.0028169014086</v>
      </c>
      <c r="P230" s="797">
        <f t="shared" si="23"/>
        <v>10.050888993339129</v>
      </c>
      <c r="Q230" s="797">
        <f t="shared" si="24"/>
        <v>75</v>
      </c>
      <c r="R230" s="797">
        <f t="shared" si="25"/>
        <v>75.167514816555652</v>
      </c>
      <c r="S230" s="797">
        <f>[1]!taqsabet(O230,C230)</f>
        <v>75.167514816555652</v>
      </c>
      <c r="T230" s="523"/>
      <c r="U230" s="523">
        <v>2</v>
      </c>
      <c r="V230" s="523">
        <v>12</v>
      </c>
      <c r="W230" s="523">
        <v>13</v>
      </c>
      <c r="X230" s="523"/>
      <c r="Y230" s="523">
        <v>18</v>
      </c>
      <c r="Z230" s="523">
        <v>54</v>
      </c>
      <c r="AA230" s="523" t="s">
        <v>179</v>
      </c>
      <c r="AB230" s="523">
        <v>5</v>
      </c>
      <c r="AC230" s="523">
        <v>5</v>
      </c>
      <c r="AD230" s="523" t="s">
        <v>2373</v>
      </c>
    </row>
    <row r="231" spans="2:31">
      <c r="C231" s="522">
        <v>211</v>
      </c>
      <c r="D231" s="522">
        <v>22</v>
      </c>
      <c r="E231" s="550" t="s">
        <v>2624</v>
      </c>
      <c r="F231" s="522">
        <v>70</v>
      </c>
      <c r="G231" s="522"/>
      <c r="H231" s="522">
        <v>66</v>
      </c>
      <c r="I231" s="522">
        <v>0</v>
      </c>
      <c r="J231" s="522">
        <v>0</v>
      </c>
      <c r="K231" s="522"/>
      <c r="L231" s="797">
        <f>[1]!tsabetm(C231)</f>
        <v>36.416666666666664</v>
      </c>
      <c r="M231" s="797">
        <f>[1]!tsabetz(C231)</f>
        <v>62.616666666666667</v>
      </c>
      <c r="N231" s="797">
        <f t="shared" si="21"/>
        <v>66.33587786259541</v>
      </c>
      <c r="O231" s="797">
        <f t="shared" si="22"/>
        <v>1445.0028169014086</v>
      </c>
      <c r="P231" s="797">
        <f t="shared" si="23"/>
        <v>33.377691696785803</v>
      </c>
      <c r="Q231" s="797">
        <f t="shared" si="24"/>
        <v>65</v>
      </c>
      <c r="R231" s="797">
        <f t="shared" si="25"/>
        <v>65.556294861613097</v>
      </c>
      <c r="S231" s="797">
        <f>[1]!taqsabet(O231,C231)</f>
        <v>65.556294861613097</v>
      </c>
      <c r="T231" s="522"/>
      <c r="U231" s="522">
        <v>2</v>
      </c>
      <c r="V231" s="522">
        <v>2</v>
      </c>
      <c r="W231" s="522">
        <v>37</v>
      </c>
      <c r="X231" s="522"/>
      <c r="Y231" s="522">
        <v>21</v>
      </c>
      <c r="Z231" s="522">
        <v>48</v>
      </c>
      <c r="AA231" s="522" t="s">
        <v>179</v>
      </c>
      <c r="AB231" s="522">
        <v>4</v>
      </c>
      <c r="AC231" s="522">
        <v>4</v>
      </c>
      <c r="AD231" s="522" t="s">
        <v>2373</v>
      </c>
    </row>
    <row r="232" spans="2:31">
      <c r="C232" s="523">
        <v>212</v>
      </c>
      <c r="D232" s="523">
        <v>23</v>
      </c>
      <c r="E232" s="543" t="s">
        <v>2625</v>
      </c>
      <c r="F232" s="523">
        <v>70</v>
      </c>
      <c r="G232" s="523"/>
      <c r="H232" s="523">
        <v>66</v>
      </c>
      <c r="I232" s="523">
        <v>0</v>
      </c>
      <c r="J232" s="523">
        <v>0</v>
      </c>
      <c r="K232" s="523"/>
      <c r="L232" s="797">
        <f>[1]!tsabetm(C232)</f>
        <v>38.25</v>
      </c>
      <c r="M232" s="797">
        <f>[1]!tsabetz(C232)</f>
        <v>64.61666666666666</v>
      </c>
      <c r="N232" s="797">
        <f t="shared" si="21"/>
        <v>65.916561314791423</v>
      </c>
      <c r="O232" s="797">
        <f t="shared" si="22"/>
        <v>1445.0028169014086</v>
      </c>
      <c r="P232" s="797">
        <f t="shared" si="23"/>
        <v>34.499687191040209</v>
      </c>
      <c r="Q232" s="797">
        <f t="shared" si="24"/>
        <v>67</v>
      </c>
      <c r="R232" s="797">
        <f t="shared" si="25"/>
        <v>67.574994786517337</v>
      </c>
      <c r="S232" s="797">
        <f>[1]!taqsabet(O232,C232)</f>
        <v>67.574994786517337</v>
      </c>
      <c r="T232" s="523"/>
      <c r="U232" s="523">
        <v>2</v>
      </c>
      <c r="V232" s="523">
        <v>4</v>
      </c>
      <c r="W232" s="523">
        <v>37</v>
      </c>
      <c r="X232" s="523"/>
      <c r="Y232" s="523">
        <v>18</v>
      </c>
      <c r="Z232" s="523">
        <v>54</v>
      </c>
      <c r="AA232" s="523" t="s">
        <v>179</v>
      </c>
      <c r="AB232" s="523">
        <v>3</v>
      </c>
      <c r="AC232" s="523">
        <v>13</v>
      </c>
      <c r="AD232" s="523" t="s">
        <v>2373</v>
      </c>
    </row>
    <row r="233" spans="2:31">
      <c r="C233" s="522">
        <v>213</v>
      </c>
      <c r="D233" s="522">
        <v>24</v>
      </c>
      <c r="E233" s="550" t="s">
        <v>2626</v>
      </c>
      <c r="F233" s="522">
        <v>70</v>
      </c>
      <c r="G233" s="522"/>
      <c r="H233" s="522">
        <v>66</v>
      </c>
      <c r="I233" s="522">
        <v>0</v>
      </c>
      <c r="J233" s="522">
        <v>0</v>
      </c>
      <c r="K233" s="522"/>
      <c r="L233" s="797">
        <f>[1]!tsabetm(C233)</f>
        <v>37.916666666666664</v>
      </c>
      <c r="M233" s="797">
        <f>[1]!tsabetz(C233)</f>
        <v>63.716666666666669</v>
      </c>
      <c r="N233" s="797">
        <f t="shared" si="21"/>
        <v>67.364341085271306</v>
      </c>
      <c r="O233" s="797">
        <f t="shared" si="22"/>
        <v>1445.0028169014086</v>
      </c>
      <c r="P233" s="797">
        <f t="shared" si="23"/>
        <v>36.68490251057591</v>
      </c>
      <c r="Q233" s="797">
        <f t="shared" si="24"/>
        <v>66</v>
      </c>
      <c r="R233" s="797">
        <f t="shared" si="25"/>
        <v>66.611415041842932</v>
      </c>
      <c r="S233" s="797">
        <f>[1]!taqsabet(O233,C233)</f>
        <v>66.611415041842932</v>
      </c>
      <c r="T233" s="522"/>
      <c r="U233" s="522">
        <v>2</v>
      </c>
      <c r="V233" s="522">
        <v>3</v>
      </c>
      <c r="W233" s="522">
        <v>43</v>
      </c>
      <c r="X233" s="522"/>
      <c r="Y233" s="522">
        <v>14</v>
      </c>
      <c r="Z233" s="522">
        <v>33</v>
      </c>
      <c r="AA233" s="522" t="s">
        <v>179</v>
      </c>
      <c r="AB233" s="522">
        <v>4</v>
      </c>
      <c r="AC233" s="522">
        <v>4</v>
      </c>
      <c r="AD233" s="522" t="s">
        <v>2373</v>
      </c>
    </row>
    <row r="234" spans="2:31">
      <c r="C234" s="523">
        <v>214</v>
      </c>
      <c r="D234" s="523">
        <v>25</v>
      </c>
      <c r="E234" s="543" t="s">
        <v>2627</v>
      </c>
      <c r="F234" s="523">
        <v>70</v>
      </c>
      <c r="G234" s="523"/>
      <c r="H234" s="523">
        <v>66</v>
      </c>
      <c r="I234" s="523">
        <v>4</v>
      </c>
      <c r="J234" s="523">
        <v>28</v>
      </c>
      <c r="K234" s="523" t="s">
        <v>2628</v>
      </c>
      <c r="L234" s="797">
        <f>[1]!tsabetm(C234)</f>
        <v>33.75</v>
      </c>
      <c r="M234" s="797">
        <f>[1]!tsabetz(C234)</f>
        <v>60.5</v>
      </c>
      <c r="N234" s="797">
        <f t="shared" si="21"/>
        <v>64.971962616822424</v>
      </c>
      <c r="O234" s="797">
        <f t="shared" si="22"/>
        <v>1445.0028169014086</v>
      </c>
      <c r="P234" s="797">
        <f t="shared" si="23"/>
        <v>30.080276827825401</v>
      </c>
      <c r="Q234" s="797">
        <f t="shared" si="24"/>
        <v>63</v>
      </c>
      <c r="R234" s="797">
        <f t="shared" si="25"/>
        <v>63.501337947130423</v>
      </c>
      <c r="S234" s="797">
        <f>[1]!taqsabet(O234,C234)</f>
        <v>63.501337947130423</v>
      </c>
      <c r="T234" s="523"/>
      <c r="U234" s="523">
        <v>2</v>
      </c>
      <c r="V234" s="523">
        <v>0</v>
      </c>
      <c r="W234" s="523">
        <v>30</v>
      </c>
      <c r="X234" s="523"/>
      <c r="Y234" s="523">
        <v>11</v>
      </c>
      <c r="Z234" s="523">
        <v>30</v>
      </c>
      <c r="AA234" s="523" t="s">
        <v>179</v>
      </c>
      <c r="AB234" s="523">
        <v>3</v>
      </c>
      <c r="AC234" s="523">
        <v>3</v>
      </c>
      <c r="AD234" s="523" t="s">
        <v>2373</v>
      </c>
    </row>
    <row r="235" spans="2:31">
      <c r="C235" s="522">
        <v>215</v>
      </c>
      <c r="D235" s="522">
        <v>26</v>
      </c>
      <c r="E235" s="550" t="s">
        <v>2629</v>
      </c>
      <c r="F235" s="522">
        <v>70</v>
      </c>
      <c r="G235" s="522"/>
      <c r="H235" s="522">
        <v>66</v>
      </c>
      <c r="I235" s="522">
        <v>9</v>
      </c>
      <c r="J235" s="522">
        <v>15</v>
      </c>
      <c r="K235" s="522" t="s">
        <v>2630</v>
      </c>
      <c r="L235" s="797">
        <f>[1]!tsabetm(C235)</f>
        <v>35.916666666666664</v>
      </c>
      <c r="M235" s="797">
        <f>[1]!tsabetz(C235)</f>
        <v>62.516666666666666</v>
      </c>
      <c r="N235" s="797">
        <f t="shared" si="21"/>
        <v>65.338345864661648</v>
      </c>
      <c r="O235" s="797">
        <f t="shared" si="22"/>
        <v>1445.0028169014086</v>
      </c>
      <c r="P235" s="797">
        <f t="shared" si="23"/>
        <v>30.070480882996549</v>
      </c>
      <c r="Q235" s="797">
        <f t="shared" si="24"/>
        <v>65</v>
      </c>
      <c r="R235" s="797">
        <f t="shared" si="25"/>
        <v>65.501174681383276</v>
      </c>
      <c r="S235" s="797">
        <f>[1]!taqsabet(O235,C235)</f>
        <v>65.501174681383276</v>
      </c>
      <c r="T235" s="522"/>
      <c r="U235" s="522">
        <v>2</v>
      </c>
      <c r="V235" s="522">
        <v>2</v>
      </c>
      <c r="W235" s="522">
        <v>31</v>
      </c>
      <c r="X235" s="522"/>
      <c r="Y235" s="522">
        <v>10</v>
      </c>
      <c r="Z235" s="522">
        <v>45</v>
      </c>
      <c r="AA235" s="522" t="s">
        <v>179</v>
      </c>
      <c r="AB235" s="522">
        <v>3</v>
      </c>
      <c r="AC235" s="522">
        <v>3</v>
      </c>
      <c r="AD235" s="522" t="s">
        <v>2373</v>
      </c>
    </row>
    <row r="236" spans="2:31">
      <c r="B236" s="505" t="s">
        <v>2415</v>
      </c>
      <c r="C236" s="523">
        <v>216</v>
      </c>
      <c r="D236" s="523">
        <v>1</v>
      </c>
      <c r="E236" s="543" t="s">
        <v>2631</v>
      </c>
      <c r="F236" s="523">
        <v>70</v>
      </c>
      <c r="G236" s="523"/>
      <c r="H236" s="523">
        <v>66</v>
      </c>
      <c r="I236" s="523">
        <v>0</v>
      </c>
      <c r="J236" s="523">
        <v>0</v>
      </c>
      <c r="K236" s="523"/>
      <c r="L236" s="797">
        <f>[1]!tsabetm(C236)</f>
        <v>41.416666666666664</v>
      </c>
      <c r="M236" s="797">
        <f>[1]!tsabetz(C236)</f>
        <v>67.95</v>
      </c>
      <c r="N236" s="797">
        <f t="shared" si="21"/>
        <v>65.502512562814061</v>
      </c>
      <c r="O236" s="797">
        <f t="shared" si="22"/>
        <v>1445.0028169014086</v>
      </c>
      <c r="P236" s="797">
        <f t="shared" si="23"/>
        <v>55.621682685295184</v>
      </c>
      <c r="Q236" s="797">
        <f t="shared" si="24"/>
        <v>70</v>
      </c>
      <c r="R236" s="797">
        <f t="shared" si="25"/>
        <v>70.92702804475492</v>
      </c>
      <c r="S236" s="797">
        <f>[1]!taqsabet(O236,C236)</f>
        <v>70.92702804475492</v>
      </c>
      <c r="T236" s="523"/>
      <c r="U236" s="523">
        <v>2</v>
      </c>
      <c r="V236" s="523">
        <v>7</v>
      </c>
      <c r="W236" s="523">
        <v>55</v>
      </c>
      <c r="X236" s="523"/>
      <c r="Y236" s="523">
        <v>18</v>
      </c>
      <c r="Z236" s="523">
        <v>54</v>
      </c>
      <c r="AA236" s="523" t="s">
        <v>179</v>
      </c>
      <c r="AB236" s="523">
        <v>5</v>
      </c>
      <c r="AC236" s="523">
        <v>5</v>
      </c>
      <c r="AD236" s="523"/>
    </row>
    <row r="237" spans="2:31">
      <c r="C237" s="522">
        <v>217</v>
      </c>
      <c r="D237" s="522">
        <v>2</v>
      </c>
      <c r="E237" s="550" t="s">
        <v>2632</v>
      </c>
      <c r="F237" s="522">
        <v>70</v>
      </c>
      <c r="G237" s="522"/>
      <c r="H237" s="522">
        <v>66</v>
      </c>
      <c r="I237" s="522">
        <v>0</v>
      </c>
      <c r="J237" s="522">
        <v>0</v>
      </c>
      <c r="K237" s="522"/>
      <c r="L237" s="797">
        <f>[1]!tsabetm(C237)</f>
        <v>44.583333333333336</v>
      </c>
      <c r="M237" s="797">
        <f>[1]!tsabetz(C237)</f>
        <v>70.816666666666663</v>
      </c>
      <c r="N237" s="797">
        <f t="shared" si="21"/>
        <v>66.25158831003813</v>
      </c>
      <c r="O237" s="797">
        <f t="shared" si="22"/>
        <v>1445.0028169014086</v>
      </c>
      <c r="P237" s="797">
        <f t="shared" si="23"/>
        <v>45.602090795636343</v>
      </c>
      <c r="Q237" s="797">
        <f t="shared" si="24"/>
        <v>73</v>
      </c>
      <c r="R237" s="797">
        <f t="shared" si="25"/>
        <v>73.760034846593939</v>
      </c>
      <c r="S237" s="797">
        <f>[1]!taqsabet(O237,C237)</f>
        <v>73.760034846593939</v>
      </c>
      <c r="T237" s="522"/>
      <c r="U237" s="522">
        <v>2</v>
      </c>
      <c r="V237" s="522">
        <v>10</v>
      </c>
      <c r="W237" s="522">
        <v>49</v>
      </c>
      <c r="X237" s="522"/>
      <c r="Y237" s="522">
        <v>31</v>
      </c>
      <c r="Z237" s="522">
        <v>0</v>
      </c>
      <c r="AA237" s="522" t="s">
        <v>179</v>
      </c>
      <c r="AB237" s="522">
        <v>5</v>
      </c>
      <c r="AC237" s="522">
        <v>5</v>
      </c>
      <c r="AD237" s="522"/>
    </row>
    <row r="238" spans="2:31">
      <c r="C238" s="523">
        <v>218</v>
      </c>
      <c r="D238" s="523">
        <v>3</v>
      </c>
      <c r="E238" s="543" t="s">
        <v>2633</v>
      </c>
      <c r="F238" s="523">
        <v>70</v>
      </c>
      <c r="G238" s="523"/>
      <c r="H238" s="523">
        <v>66</v>
      </c>
      <c r="I238" s="523">
        <v>0</v>
      </c>
      <c r="J238" s="523">
        <v>0</v>
      </c>
      <c r="K238" s="523"/>
      <c r="L238" s="797">
        <f>[1]!tsabetm(C238)</f>
        <v>24.25</v>
      </c>
      <c r="M238" s="797">
        <f>[1]!tsabetz(C238)</f>
        <v>50.56666666666667</v>
      </c>
      <c r="N238" s="797">
        <f t="shared" si="21"/>
        <v>66.041798606713101</v>
      </c>
      <c r="O238" s="797">
        <f t="shared" si="22"/>
        <v>1445.0028169014086</v>
      </c>
      <c r="P238" s="797">
        <f t="shared" si="23"/>
        <v>31.163088542764399</v>
      </c>
      <c r="Q238" s="797">
        <f t="shared" si="24"/>
        <v>53</v>
      </c>
      <c r="R238" s="797">
        <f t="shared" si="25"/>
        <v>53.519384809046073</v>
      </c>
      <c r="S238" s="797">
        <f>[1]!taqsabet(O238,C238)</f>
        <v>53.519384809046073</v>
      </c>
      <c r="T238" s="523"/>
      <c r="U238" s="523">
        <v>1</v>
      </c>
      <c r="V238" s="523">
        <v>20</v>
      </c>
      <c r="W238" s="523">
        <v>34</v>
      </c>
      <c r="X238" s="523"/>
      <c r="Y238" s="523">
        <v>20</v>
      </c>
      <c r="Z238" s="523">
        <v>24</v>
      </c>
      <c r="AA238" s="523" t="s">
        <v>179</v>
      </c>
      <c r="AB238" s="523">
        <v>5</v>
      </c>
      <c r="AC238" s="523" t="s">
        <v>2422</v>
      </c>
      <c r="AD238" s="523"/>
    </row>
    <row r="239" spans="2:31">
      <c r="B239" s="505" t="s">
        <v>2355</v>
      </c>
      <c r="C239" s="506" t="s">
        <v>2356</v>
      </c>
      <c r="D239" s="507" t="s">
        <v>2357</v>
      </c>
      <c r="E239" s="511" t="s">
        <v>2358</v>
      </c>
      <c r="F239" s="511"/>
      <c r="G239" s="511"/>
      <c r="H239" s="511"/>
      <c r="I239" s="511"/>
      <c r="J239" s="511"/>
      <c r="K239" s="514" t="s">
        <v>2360</v>
      </c>
      <c r="N239" s="797">
        <f t="shared" si="21"/>
        <v>4.8277777777777775</v>
      </c>
      <c r="O239" s="797">
        <f t="shared" si="22"/>
        <v>1445.0028169014086</v>
      </c>
      <c r="P239" s="797">
        <f t="shared" si="23"/>
        <v>23.510267589427372</v>
      </c>
      <c r="Q239" s="797">
        <f t="shared" si="24"/>
        <v>40</v>
      </c>
      <c r="R239" s="797">
        <f t="shared" si="25"/>
        <v>40.391837793157123</v>
      </c>
      <c r="S239" s="797" t="e">
        <f>[1]!taqsabet(O239,C239)</f>
        <v>#VALUE!</v>
      </c>
      <c r="T239" s="507"/>
      <c r="U239" s="508" t="s">
        <v>403</v>
      </c>
      <c r="V239" s="508"/>
      <c r="W239" s="509"/>
      <c r="X239" s="507"/>
      <c r="Y239" s="509" t="s">
        <v>275</v>
      </c>
      <c r="Z239" s="510"/>
      <c r="AA239" s="506" t="s">
        <v>176</v>
      </c>
      <c r="AB239" s="511" t="s">
        <v>2361</v>
      </c>
      <c r="AC239" s="511" t="s">
        <v>2362</v>
      </c>
      <c r="AD239" s="511" t="s">
        <v>2363</v>
      </c>
    </row>
    <row r="240" spans="2:31">
      <c r="B240" s="505"/>
      <c r="C240" s="512"/>
      <c r="D240" s="512"/>
      <c r="E240" s="513"/>
      <c r="F240" s="513"/>
      <c r="G240" s="513"/>
      <c r="H240" s="513"/>
      <c r="I240" s="513"/>
      <c r="J240" s="513"/>
      <c r="K240" s="514"/>
      <c r="N240" s="797">
        <f t="shared" si="21"/>
        <v>4.8277777777777775</v>
      </c>
      <c r="O240" s="797">
        <f t="shared" si="22"/>
        <v>1445.0028169014086</v>
      </c>
      <c r="P240" s="797">
        <f t="shared" si="23"/>
        <v>23.510267589427372</v>
      </c>
      <c r="Q240" s="797">
        <f t="shared" si="24"/>
        <v>40</v>
      </c>
      <c r="R240" s="797">
        <f t="shared" si="25"/>
        <v>40.391837793157123</v>
      </c>
      <c r="S240" s="797">
        <f>[1]!taqsabet(O240,C240)</f>
        <v>1.4716840899636423</v>
      </c>
      <c r="T240" s="515" t="s">
        <v>2367</v>
      </c>
      <c r="U240" s="516" t="s">
        <v>173</v>
      </c>
      <c r="V240" s="516" t="s">
        <v>172</v>
      </c>
      <c r="W240" s="516" t="s">
        <v>166</v>
      </c>
      <c r="X240" s="517" t="s">
        <v>2367</v>
      </c>
      <c r="Y240" s="516" t="s">
        <v>172</v>
      </c>
      <c r="Z240" s="518" t="s">
        <v>166</v>
      </c>
      <c r="AA240" s="512"/>
      <c r="AB240" s="517" t="s">
        <v>2368</v>
      </c>
      <c r="AC240" s="517" t="s">
        <v>2369</v>
      </c>
      <c r="AD240" s="513"/>
    </row>
    <row r="241" spans="1:31">
      <c r="A241" s="520">
        <v>12</v>
      </c>
      <c r="B241" s="327" t="s">
        <v>2634</v>
      </c>
      <c r="C241" s="527">
        <v>219</v>
      </c>
      <c r="D241" s="527">
        <v>1</v>
      </c>
      <c r="E241" s="553" t="s">
        <v>2635</v>
      </c>
      <c r="F241" s="527">
        <v>70</v>
      </c>
      <c r="G241" s="527"/>
      <c r="H241" s="527">
        <v>66</v>
      </c>
      <c r="I241" s="527">
        <v>0</v>
      </c>
      <c r="J241" s="527">
        <v>0</v>
      </c>
      <c r="K241" s="527"/>
      <c r="L241" s="797">
        <f>[1]!tsabetm(C241)</f>
        <v>62.083333333333336</v>
      </c>
      <c r="M241" s="797">
        <f>[1]!tsabetz(C241)</f>
        <v>88.466666666666669</v>
      </c>
      <c r="N241" s="797">
        <f t="shared" si="21"/>
        <v>65.874921036007578</v>
      </c>
      <c r="O241" s="797">
        <f t="shared" si="22"/>
        <v>1445.0028169014086</v>
      </c>
      <c r="P241" s="797">
        <f t="shared" si="23"/>
        <v>25.611886740466332</v>
      </c>
      <c r="Q241" s="797">
        <f t="shared" si="24"/>
        <v>91</v>
      </c>
      <c r="R241" s="797">
        <f t="shared" si="25"/>
        <v>91.426864779007772</v>
      </c>
      <c r="S241" s="797">
        <f>[1]!taqsabet(O241,C241)</f>
        <v>91.426864779007772</v>
      </c>
      <c r="T241" s="527"/>
      <c r="U241" s="527">
        <v>2</v>
      </c>
      <c r="V241" s="527">
        <v>28</v>
      </c>
      <c r="W241" s="527">
        <v>28</v>
      </c>
      <c r="X241" s="527"/>
      <c r="Y241" s="527">
        <v>30</v>
      </c>
      <c r="Z241" s="527">
        <v>0</v>
      </c>
      <c r="AA241" s="527" t="s">
        <v>179</v>
      </c>
      <c r="AB241" s="527">
        <v>4</v>
      </c>
      <c r="AC241" s="527">
        <v>4</v>
      </c>
      <c r="AD241" s="527" t="s">
        <v>2636</v>
      </c>
    </row>
    <row r="242" spans="1:31">
      <c r="C242" s="523">
        <v>220</v>
      </c>
      <c r="D242" s="523">
        <v>2</v>
      </c>
      <c r="E242" s="543" t="s">
        <v>2637</v>
      </c>
      <c r="F242" s="523">
        <v>70</v>
      </c>
      <c r="G242" s="523"/>
      <c r="H242" s="523">
        <v>66</v>
      </c>
      <c r="I242" s="523">
        <v>0</v>
      </c>
      <c r="J242" s="523">
        <v>0</v>
      </c>
      <c r="K242" s="523"/>
      <c r="L242" s="797">
        <f>[1]!tsabetm(C242)</f>
        <v>62.583333333333336</v>
      </c>
      <c r="M242" s="797">
        <f>[1]!tsabetz(C242)</f>
        <v>88.016666666666666</v>
      </c>
      <c r="N242" s="797">
        <f t="shared" si="21"/>
        <v>68.335517693315865</v>
      </c>
      <c r="O242" s="797">
        <f t="shared" si="22"/>
        <v>1445.0028169014086</v>
      </c>
      <c r="P242" s="797">
        <f t="shared" si="23"/>
        <v>52.216512423215704</v>
      </c>
      <c r="Q242" s="797">
        <f t="shared" si="24"/>
        <v>90</v>
      </c>
      <c r="R242" s="797">
        <f t="shared" si="25"/>
        <v>90.870275207053595</v>
      </c>
      <c r="S242" s="797">
        <f>[1]!taqsabet(O242,C242)</f>
        <v>90.870275207053595</v>
      </c>
      <c r="T242" s="523"/>
      <c r="U242" s="523">
        <v>2</v>
      </c>
      <c r="V242" s="523">
        <v>28</v>
      </c>
      <c r="W242" s="523">
        <v>1</v>
      </c>
      <c r="X242" s="523"/>
      <c r="Y242" s="523">
        <v>31</v>
      </c>
      <c r="Z242" s="523">
        <v>0</v>
      </c>
      <c r="AA242" s="523" t="s">
        <v>179</v>
      </c>
      <c r="AB242" s="523">
        <v>5</v>
      </c>
      <c r="AC242" s="523">
        <v>4</v>
      </c>
      <c r="AD242" s="523" t="s">
        <v>2636</v>
      </c>
    </row>
    <row r="243" spans="1:31">
      <c r="C243" s="527">
        <v>221</v>
      </c>
      <c r="D243" s="527">
        <v>3</v>
      </c>
      <c r="E243" s="553" t="s">
        <v>2638</v>
      </c>
      <c r="F243" s="527">
        <v>70</v>
      </c>
      <c r="G243" s="527"/>
      <c r="H243" s="527">
        <v>67</v>
      </c>
      <c r="I243" s="527">
        <v>8</v>
      </c>
      <c r="J243" s="527">
        <v>26</v>
      </c>
      <c r="K243" s="527" t="s">
        <v>2639</v>
      </c>
      <c r="L243" s="797">
        <f>[1]!tsabetm(C243)</f>
        <v>54.583333333333336</v>
      </c>
      <c r="M243" s="797">
        <f>[1]!tsabetz(C243)</f>
        <v>80.816666666666663</v>
      </c>
      <c r="N243" s="797">
        <f t="shared" si="21"/>
        <v>66.25158831003813</v>
      </c>
      <c r="O243" s="797">
        <f t="shared" si="22"/>
        <v>1445.0028169014086</v>
      </c>
      <c r="P243" s="797">
        <f t="shared" si="23"/>
        <v>45.602090795636343</v>
      </c>
      <c r="Q243" s="797">
        <f t="shared" si="24"/>
        <v>83</v>
      </c>
      <c r="R243" s="797">
        <f t="shared" si="25"/>
        <v>83.760034846593939</v>
      </c>
      <c r="S243" s="797">
        <f>[1]!taqsabet(O243,C243)</f>
        <v>83.760034846593939</v>
      </c>
      <c r="T243" s="527"/>
      <c r="U243" s="527">
        <v>2</v>
      </c>
      <c r="V243" s="527">
        <v>20</v>
      </c>
      <c r="W243" s="527">
        <v>49</v>
      </c>
      <c r="X243" s="527"/>
      <c r="Y243" s="527">
        <v>22</v>
      </c>
      <c r="Z243" s="527">
        <v>42</v>
      </c>
      <c r="AA243" s="527" t="s">
        <v>179</v>
      </c>
      <c r="AB243" s="527">
        <v>1</v>
      </c>
      <c r="AC243" s="527">
        <v>1</v>
      </c>
      <c r="AD243" s="558" t="s">
        <v>2636</v>
      </c>
    </row>
    <row r="244" spans="1:31">
      <c r="C244" s="523">
        <v>222</v>
      </c>
      <c r="D244" s="523">
        <v>4</v>
      </c>
      <c r="E244" s="543" t="s">
        <v>2640</v>
      </c>
      <c r="F244" s="523">
        <v>70</v>
      </c>
      <c r="G244" s="523"/>
      <c r="H244" s="523">
        <v>66</v>
      </c>
      <c r="I244" s="523">
        <v>0</v>
      </c>
      <c r="J244" s="523">
        <v>0</v>
      </c>
      <c r="K244" s="523"/>
      <c r="L244" s="797">
        <f>[1]!tsabetm(C244)</f>
        <v>62.416666666666664</v>
      </c>
      <c r="M244" s="797">
        <f>[1]!tsabetz(C244)</f>
        <v>89.966666666666669</v>
      </c>
      <c r="N244" s="797">
        <f t="shared" si="21"/>
        <v>63.085299455535377</v>
      </c>
      <c r="O244" s="797">
        <f t="shared" si="22"/>
        <v>1445.0028169014086</v>
      </c>
      <c r="P244" s="797">
        <f t="shared" si="23"/>
        <v>3.4658552002463239</v>
      </c>
      <c r="Q244" s="797">
        <f t="shared" si="24"/>
        <v>93</v>
      </c>
      <c r="R244" s="797">
        <f t="shared" si="25"/>
        <v>93.057764253337439</v>
      </c>
      <c r="S244" s="797">
        <f>[1]!taqsabet(O244,C244)</f>
        <v>93.057764253337439</v>
      </c>
      <c r="T244" s="523"/>
      <c r="U244" s="523">
        <v>2</v>
      </c>
      <c r="V244" s="523">
        <v>29</v>
      </c>
      <c r="W244" s="523">
        <v>58</v>
      </c>
      <c r="X244" s="523"/>
      <c r="Y244" s="523">
        <v>21</v>
      </c>
      <c r="Z244" s="523">
        <v>30</v>
      </c>
      <c r="AA244" s="523" t="s">
        <v>179</v>
      </c>
      <c r="AB244" s="523">
        <v>2</v>
      </c>
      <c r="AC244" s="523">
        <v>2</v>
      </c>
      <c r="AD244" s="523" t="s">
        <v>2636</v>
      </c>
    </row>
    <row r="245" spans="1:31">
      <c r="C245" s="527">
        <v>223</v>
      </c>
      <c r="D245" s="527">
        <v>5</v>
      </c>
      <c r="E245" s="553" t="s">
        <v>2641</v>
      </c>
      <c r="F245" s="527">
        <v>70</v>
      </c>
      <c r="G245" s="527"/>
      <c r="H245" s="527">
        <v>66</v>
      </c>
      <c r="I245" s="527">
        <v>0</v>
      </c>
      <c r="J245" s="527">
        <v>0</v>
      </c>
      <c r="K245" s="527"/>
      <c r="L245" s="797">
        <f>[1]!tsabetm(C245)</f>
        <v>60.749999999999993</v>
      </c>
      <c r="M245" s="797">
        <f>[1]!tsabetz(C245)</f>
        <v>86.566666666666663</v>
      </c>
      <c r="N245" s="797">
        <f t="shared" si="21"/>
        <v>67.320852162685597</v>
      </c>
      <c r="O245" s="797">
        <f t="shared" si="22"/>
        <v>1445.0028169014086</v>
      </c>
      <c r="P245" s="797">
        <f t="shared" si="23"/>
        <v>27.79710206000118</v>
      </c>
      <c r="Q245" s="797">
        <f t="shared" si="24"/>
        <v>89</v>
      </c>
      <c r="R245" s="797">
        <f t="shared" si="25"/>
        <v>89.463285034333353</v>
      </c>
      <c r="S245" s="797">
        <f>[1]!taqsabet(O245,C245)</f>
        <v>89.463285034333353</v>
      </c>
      <c r="T245" s="527"/>
      <c r="U245" s="527">
        <v>2</v>
      </c>
      <c r="V245" s="527">
        <v>26</v>
      </c>
      <c r="W245" s="527">
        <v>34</v>
      </c>
      <c r="X245" s="527"/>
      <c r="Y245" s="527">
        <v>14</v>
      </c>
      <c r="Z245" s="527">
        <v>48</v>
      </c>
      <c r="AA245" s="527" t="s">
        <v>179</v>
      </c>
      <c r="AB245" s="527">
        <v>5</v>
      </c>
      <c r="AC245" s="527">
        <v>4</v>
      </c>
      <c r="AD245" s="527" t="s">
        <v>2636</v>
      </c>
    </row>
    <row r="246" spans="1:31">
      <c r="C246" s="523">
        <v>224</v>
      </c>
      <c r="D246" s="523">
        <v>6</v>
      </c>
      <c r="E246" s="543" t="s">
        <v>2642</v>
      </c>
      <c r="F246" s="523">
        <v>70</v>
      </c>
      <c r="G246" s="523"/>
      <c r="H246" s="523">
        <v>66</v>
      </c>
      <c r="I246" s="523">
        <v>0</v>
      </c>
      <c r="J246" s="523">
        <v>0</v>
      </c>
      <c r="K246" s="523"/>
      <c r="L246" s="797">
        <f>[1]!tsabetm(C246)</f>
        <v>62.416666666666664</v>
      </c>
      <c r="M246" s="797">
        <f>[1]!tsabetz(C246)</f>
        <v>88.816666666666663</v>
      </c>
      <c r="N246" s="797">
        <f t="shared" si="21"/>
        <v>65.833333333333343</v>
      </c>
      <c r="O246" s="797">
        <f t="shared" si="22"/>
        <v>1445.0028169014086</v>
      </c>
      <c r="P246" s="797">
        <f t="shared" si="23"/>
        <v>46.724086289890749</v>
      </c>
      <c r="Q246" s="797">
        <f t="shared" si="24"/>
        <v>91</v>
      </c>
      <c r="R246" s="797">
        <f t="shared" si="25"/>
        <v>91.778734771498179</v>
      </c>
      <c r="S246" s="797">
        <f>[1]!taqsabet(O246,C246)</f>
        <v>91.778734771498179</v>
      </c>
      <c r="T246" s="523"/>
      <c r="U246" s="523">
        <v>2</v>
      </c>
      <c r="V246" s="523">
        <v>28</v>
      </c>
      <c r="W246" s="523">
        <v>49</v>
      </c>
      <c r="X246" s="523"/>
      <c r="Y246" s="523">
        <v>13</v>
      </c>
      <c r="Z246" s="523">
        <v>33</v>
      </c>
      <c r="AA246" s="523" t="s">
        <v>179</v>
      </c>
      <c r="AB246" s="523">
        <v>3</v>
      </c>
      <c r="AC246" s="539">
        <v>4</v>
      </c>
      <c r="AD246" s="523" t="s">
        <v>2636</v>
      </c>
    </row>
    <row r="247" spans="1:31">
      <c r="C247" s="527">
        <v>225</v>
      </c>
      <c r="D247" s="527">
        <v>7</v>
      </c>
      <c r="E247" s="553" t="s">
        <v>2643</v>
      </c>
      <c r="F247" s="527">
        <v>70</v>
      </c>
      <c r="G247" s="527"/>
      <c r="H247" s="527">
        <v>66</v>
      </c>
      <c r="I247" s="527">
        <v>0</v>
      </c>
      <c r="J247" s="527">
        <v>0</v>
      </c>
      <c r="K247" s="527"/>
      <c r="L247" s="797">
        <f>[1]!tsabetm(C247)</f>
        <v>51.583333333333336</v>
      </c>
      <c r="M247" s="797">
        <f>[1]!tsabetz(C247)</f>
        <v>77.11666666666666</v>
      </c>
      <c r="N247" s="797">
        <f t="shared" si="21"/>
        <v>68.067885117493503</v>
      </c>
      <c r="O247" s="797">
        <f t="shared" si="22"/>
        <v>1445.0028169014086</v>
      </c>
      <c r="P247" s="797">
        <f t="shared" si="23"/>
        <v>58.889709719768177</v>
      </c>
      <c r="Q247" s="797">
        <f t="shared" si="24"/>
        <v>79</v>
      </c>
      <c r="R247" s="797">
        <f t="shared" si="25"/>
        <v>79.981495161996136</v>
      </c>
      <c r="S247" s="797">
        <f>[1]!taqsabet(O247,C247)</f>
        <v>79.981495161996136</v>
      </c>
      <c r="T247" s="527"/>
      <c r="U247" s="527">
        <v>2</v>
      </c>
      <c r="V247" s="527">
        <v>17</v>
      </c>
      <c r="W247" s="527">
        <v>7</v>
      </c>
      <c r="X247" s="527"/>
      <c r="Y247" s="527">
        <v>20</v>
      </c>
      <c r="Z247" s="527">
        <v>40</v>
      </c>
      <c r="AA247" s="527" t="s">
        <v>179</v>
      </c>
      <c r="AB247" s="527">
        <v>4</v>
      </c>
      <c r="AC247" s="527">
        <v>4</v>
      </c>
      <c r="AD247" s="527" t="s">
        <v>2636</v>
      </c>
    </row>
    <row r="248" spans="1:31">
      <c r="C248" s="523">
        <v>226</v>
      </c>
      <c r="D248" s="523">
        <v>8</v>
      </c>
      <c r="E248" s="543" t="s">
        <v>2644</v>
      </c>
      <c r="F248" s="523">
        <v>70</v>
      </c>
      <c r="G248" s="523"/>
      <c r="H248" s="523">
        <v>66</v>
      </c>
      <c r="I248" s="523">
        <v>0</v>
      </c>
      <c r="J248" s="523">
        <v>0</v>
      </c>
      <c r="K248" s="523"/>
      <c r="L248" s="797">
        <f>[1]!tsabetm(C248)</f>
        <v>51.749999999999993</v>
      </c>
      <c r="M248" s="797">
        <f>[1]!tsabetz(C248)</f>
        <v>77.666666666666671</v>
      </c>
      <c r="N248" s="797">
        <f t="shared" si="21"/>
        <v>67.061093247588389</v>
      </c>
      <c r="O248" s="797">
        <f t="shared" si="22"/>
        <v>1445.0028169014086</v>
      </c>
      <c r="P248" s="797">
        <f t="shared" si="23"/>
        <v>34.470299356553653</v>
      </c>
      <c r="Q248" s="797">
        <f t="shared" si="24"/>
        <v>80</v>
      </c>
      <c r="R248" s="797">
        <f t="shared" si="25"/>
        <v>80.574504989275894</v>
      </c>
      <c r="S248" s="797">
        <f>[1]!taqsabet(O248,C248)</f>
        <v>80.574504989275894</v>
      </c>
      <c r="T248" s="523"/>
      <c r="U248" s="523">
        <v>2</v>
      </c>
      <c r="V248" s="523">
        <v>17</v>
      </c>
      <c r="W248" s="523">
        <v>40</v>
      </c>
      <c r="X248" s="523"/>
      <c r="Y248" s="523">
        <v>18</v>
      </c>
      <c r="Z248" s="523">
        <v>9</v>
      </c>
      <c r="AA248" s="523" t="s">
        <v>179</v>
      </c>
      <c r="AB248" s="523">
        <v>4</v>
      </c>
      <c r="AC248" s="523">
        <v>4</v>
      </c>
      <c r="AD248" s="523" t="s">
        <v>2636</v>
      </c>
    </row>
    <row r="249" spans="1:31">
      <c r="C249" s="527">
        <v>227</v>
      </c>
      <c r="D249" s="527">
        <v>9</v>
      </c>
      <c r="E249" s="553" t="s">
        <v>2645</v>
      </c>
      <c r="F249" s="527">
        <v>70</v>
      </c>
      <c r="G249" s="527"/>
      <c r="H249" s="527">
        <v>66</v>
      </c>
      <c r="I249" s="527">
        <v>0</v>
      </c>
      <c r="J249" s="527">
        <v>0</v>
      </c>
      <c r="K249" s="527"/>
      <c r="L249" s="797">
        <f>[1]!tsabetm(C249)</f>
        <v>51.583333333333336</v>
      </c>
      <c r="M249" s="797">
        <f>[1]!tsabetz(C249)</f>
        <v>78.066666666666663</v>
      </c>
      <c r="N249" s="797">
        <f t="shared" si="21"/>
        <v>65.626179987413479</v>
      </c>
      <c r="O249" s="797">
        <f t="shared" si="22"/>
        <v>1445.0028169014086</v>
      </c>
      <c r="P249" s="797">
        <f t="shared" si="23"/>
        <v>2.2850840370179526</v>
      </c>
      <c r="Q249" s="797">
        <f t="shared" si="24"/>
        <v>81</v>
      </c>
      <c r="R249" s="797">
        <f t="shared" si="25"/>
        <v>81.038084733950299</v>
      </c>
      <c r="S249" s="797">
        <f>[1]!taqsabet(O249,C249)</f>
        <v>81.038084733950299</v>
      </c>
      <c r="T249" s="527"/>
      <c r="U249" s="527">
        <v>2</v>
      </c>
      <c r="V249" s="527">
        <v>18</v>
      </c>
      <c r="W249" s="527">
        <v>4</v>
      </c>
      <c r="X249" s="527"/>
      <c r="Y249" s="527">
        <v>18</v>
      </c>
      <c r="Z249" s="527">
        <v>9</v>
      </c>
      <c r="AA249" s="527" t="s">
        <v>179</v>
      </c>
      <c r="AB249" s="527">
        <v>4</v>
      </c>
      <c r="AC249" s="527">
        <v>4</v>
      </c>
      <c r="AD249" s="527" t="s">
        <v>2646</v>
      </c>
    </row>
    <row r="250" spans="1:31">
      <c r="C250" s="523">
        <v>228</v>
      </c>
      <c r="D250" s="523">
        <v>10</v>
      </c>
      <c r="E250" s="543" t="s">
        <v>2647</v>
      </c>
      <c r="F250" s="523">
        <v>70</v>
      </c>
      <c r="G250" s="523"/>
      <c r="H250" s="523">
        <v>66</v>
      </c>
      <c r="I250" s="523">
        <v>0</v>
      </c>
      <c r="J250" s="523">
        <v>0</v>
      </c>
      <c r="K250" s="523"/>
      <c r="L250" s="797">
        <f>[1]!tsabetm(C250)</f>
        <v>49.416666666666664</v>
      </c>
      <c r="M250" s="797">
        <f>[1]!tsabetz(C250)</f>
        <v>75.266666666666666</v>
      </c>
      <c r="N250" s="797">
        <f t="shared" si="21"/>
        <v>67.234042553191486</v>
      </c>
      <c r="O250" s="797">
        <f t="shared" si="22"/>
        <v>1445.0028169014086</v>
      </c>
      <c r="P250" s="797">
        <f t="shared" si="23"/>
        <v>10.02150115885172</v>
      </c>
      <c r="Q250" s="797">
        <f t="shared" si="24"/>
        <v>78</v>
      </c>
      <c r="R250" s="797">
        <f t="shared" si="25"/>
        <v>78.167025019314195</v>
      </c>
      <c r="S250" s="797">
        <f>[1]!taqsabet(O250,C250)</f>
        <v>78.167025019314195</v>
      </c>
      <c r="T250" s="523"/>
      <c r="U250" s="523">
        <v>2</v>
      </c>
      <c r="V250" s="523">
        <v>15</v>
      </c>
      <c r="W250" s="523">
        <v>16</v>
      </c>
      <c r="X250" s="523"/>
      <c r="Y250" s="523">
        <v>10</v>
      </c>
      <c r="Z250" s="523">
        <v>12</v>
      </c>
      <c r="AA250" s="523" t="s">
        <v>179</v>
      </c>
      <c r="AB250" s="523">
        <v>3</v>
      </c>
      <c r="AC250" s="523">
        <v>3</v>
      </c>
      <c r="AD250" s="523" t="s">
        <v>2636</v>
      </c>
      <c r="AE250" s="327">
        <v>579</v>
      </c>
    </row>
    <row r="251" spans="1:31">
      <c r="C251" s="527">
        <v>229</v>
      </c>
      <c r="D251" s="527">
        <v>11</v>
      </c>
      <c r="E251" s="553" t="s">
        <v>2648</v>
      </c>
      <c r="F251" s="527">
        <v>70</v>
      </c>
      <c r="G251" s="527"/>
      <c r="H251" s="527">
        <v>66</v>
      </c>
      <c r="I251" s="527">
        <v>0</v>
      </c>
      <c r="J251" s="527">
        <v>0</v>
      </c>
      <c r="K251" s="527"/>
      <c r="L251" s="797">
        <f>[1]!tsabetm(C251)</f>
        <v>55.249999999999993</v>
      </c>
      <c r="M251" s="797">
        <f>[1]!tsabetz(C251)</f>
        <v>81.283333333333331</v>
      </c>
      <c r="N251" s="797">
        <f t="shared" si="21"/>
        <v>66.760563380281681</v>
      </c>
      <c r="O251" s="797">
        <f t="shared" si="22"/>
        <v>1445.0028169014086</v>
      </c>
      <c r="P251" s="797">
        <f t="shared" si="23"/>
        <v>12.255696202531681</v>
      </c>
      <c r="Q251" s="797">
        <f t="shared" si="24"/>
        <v>84</v>
      </c>
      <c r="R251" s="797">
        <f t="shared" si="25"/>
        <v>84.204261603375528</v>
      </c>
      <c r="S251" s="797">
        <f>[1]!taqsabet(O251,C251)</f>
        <v>84.204261603375528</v>
      </c>
      <c r="T251" s="527"/>
      <c r="U251" s="527">
        <v>2</v>
      </c>
      <c r="V251" s="527">
        <v>21</v>
      </c>
      <c r="W251" s="527">
        <v>17</v>
      </c>
      <c r="X251" s="527"/>
      <c r="Y251" s="527">
        <v>5</v>
      </c>
      <c r="Z251" s="527">
        <v>15</v>
      </c>
      <c r="AA251" s="527" t="s">
        <v>179</v>
      </c>
      <c r="AB251" s="527">
        <v>2</v>
      </c>
      <c r="AC251" s="527">
        <v>3</v>
      </c>
      <c r="AD251" s="527" t="s">
        <v>2636</v>
      </c>
    </row>
    <row r="252" spans="1:31">
      <c r="C252" s="523">
        <v>230</v>
      </c>
      <c r="D252" s="523">
        <v>12</v>
      </c>
      <c r="E252" s="543" t="s">
        <v>2649</v>
      </c>
      <c r="F252" s="523">
        <v>70</v>
      </c>
      <c r="G252" s="523"/>
      <c r="H252" s="523">
        <v>66</v>
      </c>
      <c r="I252" s="523">
        <v>0</v>
      </c>
      <c r="J252" s="523">
        <v>0</v>
      </c>
      <c r="K252" s="523"/>
      <c r="L252" s="797">
        <f>[1]!tsabetm(C252)</f>
        <v>55.583333333333336</v>
      </c>
      <c r="M252" s="797">
        <f>[1]!tsabetz(C252)</f>
        <v>82.766666666666666</v>
      </c>
      <c r="N252" s="797">
        <f t="shared" si="21"/>
        <v>63.936235438381367</v>
      </c>
      <c r="O252" s="797">
        <f t="shared" si="22"/>
        <v>1445.0028169014086</v>
      </c>
      <c r="P252" s="797">
        <f t="shared" si="23"/>
        <v>48.997465112886971</v>
      </c>
      <c r="Q252" s="797">
        <f t="shared" si="24"/>
        <v>85</v>
      </c>
      <c r="R252" s="797">
        <f t="shared" si="25"/>
        <v>85.816624418548116</v>
      </c>
      <c r="S252" s="797">
        <f>[1]!taqsabet(O252,C252)</f>
        <v>85.816624418548116</v>
      </c>
      <c r="T252" s="523"/>
      <c r="U252" s="523">
        <v>2</v>
      </c>
      <c r="V252" s="523">
        <v>22</v>
      </c>
      <c r="W252" s="523">
        <v>46</v>
      </c>
      <c r="X252" s="523"/>
      <c r="Y252" s="523">
        <v>8</v>
      </c>
      <c r="Z252" s="523">
        <v>30</v>
      </c>
      <c r="AA252" s="523" t="s">
        <v>179</v>
      </c>
      <c r="AB252" s="523">
        <v>6</v>
      </c>
      <c r="AC252" s="523">
        <v>5</v>
      </c>
      <c r="AD252" s="523" t="s">
        <v>2636</v>
      </c>
    </row>
    <row r="253" spans="1:31">
      <c r="C253" s="527">
        <v>231</v>
      </c>
      <c r="D253" s="527">
        <v>13</v>
      </c>
      <c r="E253" s="553" t="s">
        <v>2650</v>
      </c>
      <c r="F253" s="527">
        <v>70</v>
      </c>
      <c r="G253" s="527"/>
      <c r="H253" s="527">
        <v>66</v>
      </c>
      <c r="I253" s="527">
        <v>0</v>
      </c>
      <c r="J253" s="527">
        <v>0</v>
      </c>
      <c r="K253" s="527"/>
      <c r="L253" s="797">
        <f>[1]!tsabetm(C253)</f>
        <v>55.916666666666664</v>
      </c>
      <c r="M253" s="797">
        <f>[1]!tsabetz(C253)</f>
        <v>82.516666666666666</v>
      </c>
      <c r="N253" s="797">
        <f t="shared" si="21"/>
        <v>65.338345864661648</v>
      </c>
      <c r="O253" s="797">
        <f t="shared" si="22"/>
        <v>1445.0028169014086</v>
      </c>
      <c r="P253" s="797">
        <f t="shared" si="23"/>
        <v>30.070480882996549</v>
      </c>
      <c r="Q253" s="797">
        <f t="shared" si="24"/>
        <v>85</v>
      </c>
      <c r="R253" s="797">
        <f t="shared" si="25"/>
        <v>85.501174681383276</v>
      </c>
      <c r="S253" s="797">
        <f>[1]!taqsabet(O253,C253)</f>
        <v>85.501174681383276</v>
      </c>
      <c r="T253" s="527"/>
      <c r="U253" s="527">
        <v>2</v>
      </c>
      <c r="V253" s="527">
        <v>22</v>
      </c>
      <c r="W253" s="527">
        <v>31</v>
      </c>
      <c r="X253" s="527"/>
      <c r="Y253" s="527">
        <v>10</v>
      </c>
      <c r="Z253" s="527">
        <v>54</v>
      </c>
      <c r="AA253" s="527" t="s">
        <v>179</v>
      </c>
      <c r="AB253" s="527">
        <v>6</v>
      </c>
      <c r="AC253" s="527">
        <v>5</v>
      </c>
      <c r="AD253" s="527" t="s">
        <v>2636</v>
      </c>
    </row>
    <row r="254" spans="1:31">
      <c r="C254" s="546"/>
      <c r="D254" s="546"/>
      <c r="E254" s="546"/>
      <c r="F254" s="546"/>
      <c r="G254" s="546"/>
      <c r="H254" s="546"/>
      <c r="I254" s="546"/>
      <c r="J254" s="546"/>
      <c r="K254" s="546"/>
      <c r="N254" s="797">
        <f t="shared" si="21"/>
        <v>4.8277777777777775</v>
      </c>
      <c r="O254" s="797">
        <f t="shared" si="22"/>
        <v>1445.0028169014086</v>
      </c>
      <c r="P254" s="797">
        <f t="shared" si="23"/>
        <v>23.510267589427372</v>
      </c>
      <c r="Q254" s="797">
        <f t="shared" si="24"/>
        <v>40</v>
      </c>
      <c r="R254" s="797">
        <f t="shared" si="25"/>
        <v>40.391837793157123</v>
      </c>
      <c r="S254" s="797">
        <f>[1]!taqsabet(O254,C254)</f>
        <v>1.4716840899636423</v>
      </c>
      <c r="T254" s="546"/>
      <c r="U254" s="546"/>
      <c r="V254" s="546"/>
      <c r="W254" s="546"/>
      <c r="X254" s="546"/>
      <c r="Y254" s="546"/>
      <c r="Z254" s="546"/>
      <c r="AA254" s="546"/>
      <c r="AB254" s="546"/>
      <c r="AC254" s="546"/>
      <c r="AD254" s="546"/>
    </row>
    <row r="255" spans="1:31">
      <c r="A255" s="520">
        <v>13</v>
      </c>
      <c r="B255" s="559" t="s">
        <v>2651</v>
      </c>
      <c r="C255" s="523">
        <v>232</v>
      </c>
      <c r="D255" s="523">
        <v>1</v>
      </c>
      <c r="E255" s="543" t="s">
        <v>2523</v>
      </c>
      <c r="F255" s="523">
        <v>70</v>
      </c>
      <c r="G255" s="523"/>
      <c r="H255" s="523">
        <v>66</v>
      </c>
      <c r="I255" s="523">
        <v>0</v>
      </c>
      <c r="J255" s="523">
        <v>13</v>
      </c>
      <c r="K255" s="523" t="s">
        <v>2652</v>
      </c>
      <c r="L255" s="797">
        <f>[1]!tsabetm(C255)</f>
        <v>234.41666666666666</v>
      </c>
      <c r="M255" s="797">
        <f>[1]!tsabetz(C255)</f>
        <v>261.31666666666666</v>
      </c>
      <c r="N255" s="797">
        <f t="shared" si="21"/>
        <v>64.609665427509285</v>
      </c>
      <c r="O255" s="797">
        <f t="shared" si="22"/>
        <v>1445.0028169014086</v>
      </c>
      <c r="P255" s="797">
        <f t="shared" si="23"/>
        <v>20.090072772654821</v>
      </c>
      <c r="Q255" s="797">
        <f t="shared" si="24"/>
        <v>264</v>
      </c>
      <c r="R255" s="797">
        <f t="shared" si="25"/>
        <v>264.33483454621091</v>
      </c>
      <c r="S255" s="797">
        <f>[1]!taqsabet(O255,C255)</f>
        <v>264.33483454621091</v>
      </c>
      <c r="T255" s="523"/>
      <c r="U255" s="523">
        <v>8</v>
      </c>
      <c r="V255" s="523">
        <v>21</v>
      </c>
      <c r="W255" s="523">
        <v>19</v>
      </c>
      <c r="X255" s="523"/>
      <c r="Y255" s="523">
        <v>35</v>
      </c>
      <c r="Z255" s="523">
        <v>51</v>
      </c>
      <c r="AA255" s="523" t="s">
        <v>179</v>
      </c>
      <c r="AB255" s="523">
        <v>3</v>
      </c>
      <c r="AC255" s="523">
        <v>3</v>
      </c>
      <c r="AD255" s="523" t="s">
        <v>2373</v>
      </c>
    </row>
    <row r="256" spans="1:31">
      <c r="C256" s="522">
        <v>233</v>
      </c>
      <c r="D256" s="522">
        <v>2</v>
      </c>
      <c r="E256" s="550" t="s">
        <v>2653</v>
      </c>
      <c r="F256" s="522">
        <v>70</v>
      </c>
      <c r="G256" s="522"/>
      <c r="H256" s="522">
        <v>66</v>
      </c>
      <c r="I256" s="522">
        <v>0</v>
      </c>
      <c r="J256" s="522">
        <v>0</v>
      </c>
      <c r="K256" s="522"/>
      <c r="L256" s="797">
        <f>[1]!tsabetm(C256)</f>
        <v>237.58333333333331</v>
      </c>
      <c r="M256" s="797">
        <f>[1]!tsabetz(C256)</f>
        <v>263.26666666666665</v>
      </c>
      <c r="N256" s="797">
        <f t="shared" si="21"/>
        <v>67.670343932511344</v>
      </c>
      <c r="O256" s="797">
        <f t="shared" si="22"/>
        <v>1445.0028169014086</v>
      </c>
      <c r="P256" s="797">
        <f t="shared" si="23"/>
        <v>8.8995056645956083</v>
      </c>
      <c r="Q256" s="797">
        <f t="shared" si="24"/>
        <v>266</v>
      </c>
      <c r="R256" s="797">
        <f t="shared" si="25"/>
        <v>266.14832509440993</v>
      </c>
      <c r="S256" s="797">
        <f>[1]!taqsabet(O256,C256)</f>
        <v>266.14832509440993</v>
      </c>
      <c r="T256" s="522"/>
      <c r="U256" s="522">
        <v>8</v>
      </c>
      <c r="V256" s="522">
        <v>23</v>
      </c>
      <c r="W256" s="522">
        <v>16</v>
      </c>
      <c r="X256" s="522"/>
      <c r="Y256" s="522">
        <v>28</v>
      </c>
      <c r="Z256" s="522">
        <v>9</v>
      </c>
      <c r="AA256" s="522" t="s">
        <v>179</v>
      </c>
      <c r="AB256" s="522">
        <v>3</v>
      </c>
      <c r="AC256" s="522">
        <v>4</v>
      </c>
      <c r="AD256" s="522" t="s">
        <v>2373</v>
      </c>
    </row>
    <row r="257" spans="3:30">
      <c r="C257" s="523">
        <v>234</v>
      </c>
      <c r="D257" s="523">
        <v>3</v>
      </c>
      <c r="E257" s="543" t="s">
        <v>2654</v>
      </c>
      <c r="F257" s="523">
        <v>70</v>
      </c>
      <c r="G257" s="523"/>
      <c r="H257" s="523">
        <v>66</v>
      </c>
      <c r="I257" s="523">
        <v>0</v>
      </c>
      <c r="J257" s="523">
        <v>0</v>
      </c>
      <c r="K257" s="523"/>
      <c r="L257" s="797">
        <f>[1]!tsabetm(C257)</f>
        <v>238.58333333333331</v>
      </c>
      <c r="M257" s="797">
        <f>[1]!tsabetz(C257)</f>
        <v>264.91666666666669</v>
      </c>
      <c r="N257" s="797">
        <f t="shared" si="21"/>
        <v>65.999999999999901</v>
      </c>
      <c r="O257" s="797">
        <f t="shared" si="22"/>
        <v>1445.0028169014086</v>
      </c>
      <c r="P257" s="797">
        <f t="shared" si="23"/>
        <v>52.275288092190522</v>
      </c>
      <c r="Q257" s="797">
        <f t="shared" si="24"/>
        <v>267</v>
      </c>
      <c r="R257" s="797">
        <f t="shared" si="25"/>
        <v>267.87125480153651</v>
      </c>
      <c r="S257" s="797">
        <f>[1]!taqsabet(O257,C257)</f>
        <v>267.87125480153651</v>
      </c>
      <c r="T257" s="523"/>
      <c r="U257" s="523">
        <v>8</v>
      </c>
      <c r="V257" s="523">
        <v>24</v>
      </c>
      <c r="W257" s="523">
        <v>55</v>
      </c>
      <c r="X257" s="523"/>
      <c r="Y257" s="523">
        <v>25</v>
      </c>
      <c r="Z257" s="523">
        <v>36</v>
      </c>
      <c r="AA257" s="523" t="s">
        <v>179</v>
      </c>
      <c r="AB257" s="523">
        <v>4</v>
      </c>
      <c r="AC257" s="523">
        <v>4</v>
      </c>
      <c r="AD257" s="523" t="s">
        <v>2373</v>
      </c>
    </row>
    <row r="258" spans="3:30">
      <c r="C258" s="522">
        <v>235</v>
      </c>
      <c r="D258" s="522">
        <v>4</v>
      </c>
      <c r="E258" s="550" t="s">
        <v>2655</v>
      </c>
      <c r="F258" s="522">
        <v>70</v>
      </c>
      <c r="G258" s="522"/>
      <c r="H258" s="522">
        <v>66</v>
      </c>
      <c r="I258" s="522">
        <v>0</v>
      </c>
      <c r="J258" s="522">
        <v>0</v>
      </c>
      <c r="K258" s="522"/>
      <c r="L258" s="797">
        <f>[1]!tsabetm(C258)</f>
        <v>222.91666666666666</v>
      </c>
      <c r="M258" s="797">
        <f>[1]!tsabetz(C258)</f>
        <v>248.51666666666668</v>
      </c>
      <c r="N258" s="797">
        <f t="shared" si="21"/>
        <v>67.890624999999943</v>
      </c>
      <c r="O258" s="797">
        <f t="shared" si="22"/>
        <v>1445.0028169014086</v>
      </c>
      <c r="P258" s="797">
        <f t="shared" si="23"/>
        <v>23.338507917471816</v>
      </c>
      <c r="Q258" s="797">
        <f t="shared" si="24"/>
        <v>251</v>
      </c>
      <c r="R258" s="797">
        <f t="shared" si="25"/>
        <v>251.38897513195786</v>
      </c>
      <c r="S258" s="797">
        <f>[1]!taqsabet(O258,C258)</f>
        <v>251.38897513195786</v>
      </c>
      <c r="T258" s="522"/>
      <c r="U258" s="522">
        <v>8</v>
      </c>
      <c r="V258" s="522">
        <v>8</v>
      </c>
      <c r="W258" s="522">
        <v>31</v>
      </c>
      <c r="X258" s="522"/>
      <c r="Y258" s="522">
        <v>32</v>
      </c>
      <c r="Z258" s="522">
        <v>33</v>
      </c>
      <c r="AA258" s="522" t="s">
        <v>179</v>
      </c>
      <c r="AB258" s="522">
        <v>4</v>
      </c>
      <c r="AC258" s="522">
        <v>4</v>
      </c>
      <c r="AD258" s="522" t="s">
        <v>2373</v>
      </c>
    </row>
    <row r="259" spans="3:30">
      <c r="C259" s="523">
        <v>236</v>
      </c>
      <c r="D259" s="523">
        <v>5</v>
      </c>
      <c r="E259" s="543" t="s">
        <v>2654</v>
      </c>
      <c r="F259" s="523">
        <v>70</v>
      </c>
      <c r="G259" s="523"/>
      <c r="H259" s="523">
        <v>66</v>
      </c>
      <c r="I259" s="523">
        <v>0</v>
      </c>
      <c r="J259" s="523">
        <v>0</v>
      </c>
      <c r="K259" s="523"/>
      <c r="L259" s="797">
        <f>[1]!tsabetm(C259)</f>
        <v>224.25</v>
      </c>
      <c r="M259" s="797">
        <f>[1]!tsabetz(C259)</f>
        <v>249.76666666666668</v>
      </c>
      <c r="N259" s="797">
        <f t="shared" si="21"/>
        <v>68.112344872632235</v>
      </c>
      <c r="O259" s="797">
        <f t="shared" si="22"/>
        <v>1445.0028169014086</v>
      </c>
      <c r="P259" s="797">
        <f t="shared" si="23"/>
        <v>37.777510170344613</v>
      </c>
      <c r="Q259" s="797">
        <f t="shared" si="24"/>
        <v>252</v>
      </c>
      <c r="R259" s="797">
        <f t="shared" si="25"/>
        <v>252.62962516950574</v>
      </c>
      <c r="S259" s="797">
        <f>[1]!taqsabet(O259,C259)</f>
        <v>252.62962516950574</v>
      </c>
      <c r="T259" s="523"/>
      <c r="U259" s="523">
        <v>8</v>
      </c>
      <c r="V259" s="523">
        <v>9</v>
      </c>
      <c r="W259" s="523">
        <v>46</v>
      </c>
      <c r="X259" s="523"/>
      <c r="Y259" s="523">
        <v>32</v>
      </c>
      <c r="Z259" s="523">
        <v>0</v>
      </c>
      <c r="AA259" s="523" t="s">
        <v>179</v>
      </c>
      <c r="AB259" s="523">
        <v>4</v>
      </c>
      <c r="AC259" s="523">
        <v>4</v>
      </c>
      <c r="AD259" s="523" t="s">
        <v>2373</v>
      </c>
    </row>
    <row r="260" spans="3:30">
      <c r="C260" s="522">
        <v>237</v>
      </c>
      <c r="D260" s="522">
        <v>6</v>
      </c>
      <c r="E260" s="550" t="s">
        <v>2643</v>
      </c>
      <c r="F260" s="522">
        <v>70</v>
      </c>
      <c r="G260" s="522"/>
      <c r="H260" s="522">
        <v>66</v>
      </c>
      <c r="I260" s="522">
        <v>0</v>
      </c>
      <c r="J260" s="522">
        <v>0</v>
      </c>
      <c r="K260" s="522"/>
      <c r="L260" s="797">
        <f>[1]!tsabetm(C260)</f>
        <v>217.91666666666666</v>
      </c>
      <c r="M260" s="797">
        <f>[1]!tsabetz(C260)</f>
        <v>244.31666666666666</v>
      </c>
      <c r="N260" s="797">
        <f t="shared" si="21"/>
        <v>65.833333333333314</v>
      </c>
      <c r="O260" s="797">
        <f t="shared" si="22"/>
        <v>1445.0028169014086</v>
      </c>
      <c r="P260" s="797">
        <f t="shared" si="23"/>
        <v>16.724086289891602</v>
      </c>
      <c r="Q260" s="797">
        <f t="shared" si="24"/>
        <v>247</v>
      </c>
      <c r="R260" s="797">
        <f t="shared" si="25"/>
        <v>247.27873477149819</v>
      </c>
      <c r="S260" s="797">
        <f>[1]!taqsabet(O260,C260)</f>
        <v>247.27873477149819</v>
      </c>
      <c r="T260" s="522"/>
      <c r="U260" s="522">
        <v>8</v>
      </c>
      <c r="V260" s="522">
        <v>4</v>
      </c>
      <c r="W260" s="522">
        <v>19</v>
      </c>
      <c r="X260" s="522"/>
      <c r="Y260" s="522">
        <v>23</v>
      </c>
      <c r="Z260" s="522">
        <v>48</v>
      </c>
      <c r="AA260" s="522" t="s">
        <v>179</v>
      </c>
      <c r="AB260" s="522">
        <v>4</v>
      </c>
      <c r="AC260" s="522">
        <v>4</v>
      </c>
      <c r="AD260" s="522" t="s">
        <v>2373</v>
      </c>
    </row>
    <row r="261" spans="3:30">
      <c r="C261" s="523">
        <v>238</v>
      </c>
      <c r="D261" s="523">
        <v>7</v>
      </c>
      <c r="E261" s="543" t="s">
        <v>2656</v>
      </c>
      <c r="F261" s="523">
        <v>70</v>
      </c>
      <c r="G261" s="523"/>
      <c r="H261" s="523">
        <v>66</v>
      </c>
      <c r="I261" s="523">
        <v>0</v>
      </c>
      <c r="J261" s="523">
        <v>0</v>
      </c>
      <c r="K261" s="523"/>
      <c r="L261" s="797">
        <f>[1]!tsabetm(C261)</f>
        <v>214.58333333333331</v>
      </c>
      <c r="M261" s="797">
        <f>[1]!tsabetz(C261)</f>
        <v>240.51666666666668</v>
      </c>
      <c r="N261" s="797">
        <f t="shared" si="21"/>
        <v>67.017994858611743</v>
      </c>
      <c r="O261" s="797">
        <f t="shared" si="22"/>
        <v>1445.0028169014086</v>
      </c>
      <c r="P261" s="797">
        <f t="shared" si="23"/>
        <v>25.582498905980628</v>
      </c>
      <c r="Q261" s="797">
        <f t="shared" si="24"/>
        <v>243</v>
      </c>
      <c r="R261" s="797">
        <f t="shared" si="25"/>
        <v>243.42637498176634</v>
      </c>
      <c r="S261" s="797">
        <f>[1]!taqsabet(O261,C261)</f>
        <v>243.42637498176634</v>
      </c>
      <c r="T261" s="523"/>
      <c r="U261" s="523">
        <v>8</v>
      </c>
      <c r="V261" s="523">
        <v>0</v>
      </c>
      <c r="W261" s="523">
        <v>31</v>
      </c>
      <c r="X261" s="523"/>
      <c r="Y261" s="523">
        <v>17</v>
      </c>
      <c r="Z261" s="523">
        <v>15</v>
      </c>
      <c r="AA261" s="523" t="s">
        <v>179</v>
      </c>
      <c r="AB261" s="523">
        <v>3</v>
      </c>
      <c r="AC261" s="523">
        <v>3</v>
      </c>
      <c r="AD261" s="523" t="s">
        <v>2373</v>
      </c>
    </row>
    <row r="262" spans="3:30">
      <c r="C262" s="522">
        <v>239</v>
      </c>
      <c r="D262" s="522">
        <v>8</v>
      </c>
      <c r="E262" s="550" t="s">
        <v>2654</v>
      </c>
      <c r="F262" s="522">
        <v>70</v>
      </c>
      <c r="G262" s="522"/>
      <c r="H262" s="522">
        <v>66</v>
      </c>
      <c r="I262" s="522">
        <v>0</v>
      </c>
      <c r="J262" s="522">
        <v>0</v>
      </c>
      <c r="K262" s="522"/>
      <c r="L262" s="797">
        <f>[1]!tsabetm(C262)</f>
        <v>215.58333333333331</v>
      </c>
      <c r="M262" s="797">
        <f>[1]!tsabetz(C262)</f>
        <v>241.81666666666666</v>
      </c>
      <c r="N262" s="797">
        <f t="shared" si="21"/>
        <v>66.251588310038088</v>
      </c>
      <c r="O262" s="797">
        <f t="shared" si="22"/>
        <v>1445.0028169014086</v>
      </c>
      <c r="P262" s="797">
        <f t="shared" si="23"/>
        <v>45.602090795637196</v>
      </c>
      <c r="Q262" s="797">
        <f t="shared" si="24"/>
        <v>244</v>
      </c>
      <c r="R262" s="797">
        <f t="shared" si="25"/>
        <v>244.76003484659395</v>
      </c>
      <c r="S262" s="797">
        <f>[1]!taqsabet(O262,C262)</f>
        <v>244.76003484659395</v>
      </c>
      <c r="T262" s="522"/>
      <c r="U262" s="522">
        <v>8</v>
      </c>
      <c r="V262" s="522">
        <v>1</v>
      </c>
      <c r="W262" s="522">
        <v>49</v>
      </c>
      <c r="X262" s="522"/>
      <c r="Y262" s="522">
        <v>16</v>
      </c>
      <c r="Z262" s="522">
        <v>24</v>
      </c>
      <c r="AA262" s="522" t="s">
        <v>179</v>
      </c>
      <c r="AB262" s="522">
        <v>3</v>
      </c>
      <c r="AC262" s="522">
        <v>3</v>
      </c>
      <c r="AD262" s="522" t="s">
        <v>2373</v>
      </c>
    </row>
    <row r="263" spans="3:30">
      <c r="C263" s="523">
        <v>240</v>
      </c>
      <c r="D263" s="523">
        <v>9</v>
      </c>
      <c r="E263" s="543" t="s">
        <v>2641</v>
      </c>
      <c r="F263" s="523">
        <v>70</v>
      </c>
      <c r="G263" s="523"/>
      <c r="H263" s="523">
        <v>66</v>
      </c>
      <c r="I263" s="523">
        <v>0</v>
      </c>
      <c r="J263" s="523">
        <v>0</v>
      </c>
      <c r="K263" s="523"/>
      <c r="L263" s="797">
        <f>[1]!tsabetm(C263)</f>
        <v>236.25</v>
      </c>
      <c r="M263" s="797">
        <f>[1]!tsabetz(C263)</f>
        <v>262.36666666666667</v>
      </c>
      <c r="N263" s="797">
        <f t="shared" ref="N263:N326" si="26">(1697+41)/((IF(M263-L263&gt;0,M263-L263,M263+360-L263)))</f>
        <v>66.547543075941263</v>
      </c>
      <c r="O263" s="797">
        <f t="shared" si="22"/>
        <v>1445.0028169014086</v>
      </c>
      <c r="P263" s="797">
        <f t="shared" si="23"/>
        <v>17.816693949657747</v>
      </c>
      <c r="Q263" s="797">
        <f t="shared" si="24"/>
        <v>265</v>
      </c>
      <c r="R263" s="797">
        <f t="shared" si="25"/>
        <v>265.29694489916096</v>
      </c>
      <c r="S263" s="797">
        <f>[1]!taqsabet(O263,C263)</f>
        <v>265.29694489916096</v>
      </c>
      <c r="T263" s="523"/>
      <c r="U263" s="523">
        <v>8</v>
      </c>
      <c r="V263" s="523">
        <v>22</v>
      </c>
      <c r="W263" s="523">
        <v>22</v>
      </c>
      <c r="X263" s="523"/>
      <c r="Y263" s="523">
        <v>14</v>
      </c>
      <c r="Z263" s="523">
        <v>45</v>
      </c>
      <c r="AA263" s="523" t="s">
        <v>179</v>
      </c>
      <c r="AB263" s="523">
        <v>5</v>
      </c>
      <c r="AC263" s="523">
        <v>4</v>
      </c>
      <c r="AD263" s="523" t="s">
        <v>2373</v>
      </c>
    </row>
    <row r="264" spans="3:30">
      <c r="C264" s="522">
        <v>241</v>
      </c>
      <c r="D264" s="522">
        <v>10</v>
      </c>
      <c r="E264" s="550" t="s">
        <v>2657</v>
      </c>
      <c r="F264" s="522">
        <v>70</v>
      </c>
      <c r="G264" s="522"/>
      <c r="H264" s="522">
        <v>66</v>
      </c>
      <c r="I264" s="522">
        <v>0</v>
      </c>
      <c r="J264" s="522">
        <v>0</v>
      </c>
      <c r="K264" s="522"/>
      <c r="L264" s="797">
        <f>[1]!tsabetm(C264)</f>
        <v>242.75</v>
      </c>
      <c r="M264" s="797">
        <f>[1]!tsabetz(C264)</f>
        <v>268.41666666666669</v>
      </c>
      <c r="N264" s="797">
        <f t="shared" si="26"/>
        <v>67.714285714285666</v>
      </c>
      <c r="O264" s="797">
        <f t="shared" ref="O264:O327" si="27">O263</f>
        <v>1445.0028169014086</v>
      </c>
      <c r="P264" s="797">
        <f t="shared" ref="P264:P327" si="28">(R264-Q264)*60</f>
        <v>17.787306115172896</v>
      </c>
      <c r="Q264" s="797">
        <f t="shared" ref="Q264:Q327" si="29">INT(R264)</f>
        <v>271</v>
      </c>
      <c r="R264" s="797">
        <f t="shared" ref="R264:R327" si="30">((O264-1250)/(N264))+M264</f>
        <v>271.29645510191955</v>
      </c>
      <c r="S264" s="797">
        <f>[1]!taqsabet(O264,C264)</f>
        <v>271.29645510191955</v>
      </c>
      <c r="T264" s="522"/>
      <c r="U264" s="522">
        <v>8</v>
      </c>
      <c r="V264" s="522">
        <v>28</v>
      </c>
      <c r="W264" s="522">
        <v>25</v>
      </c>
      <c r="X264" s="522"/>
      <c r="Y264" s="522">
        <v>13</v>
      </c>
      <c r="Z264" s="522">
        <v>15</v>
      </c>
      <c r="AA264" s="522" t="s">
        <v>179</v>
      </c>
      <c r="AB264" s="522">
        <v>4</v>
      </c>
      <c r="AC264" s="522">
        <v>4</v>
      </c>
      <c r="AD264" s="522" t="s">
        <v>2373</v>
      </c>
    </row>
    <row r="265" spans="3:30">
      <c r="C265" s="523">
        <v>242</v>
      </c>
      <c r="D265" s="523">
        <v>11</v>
      </c>
      <c r="E265" s="543" t="s">
        <v>2654</v>
      </c>
      <c r="F265" s="523">
        <v>70</v>
      </c>
      <c r="G265" s="523"/>
      <c r="H265" s="523">
        <v>66</v>
      </c>
      <c r="I265" s="523">
        <v>0</v>
      </c>
      <c r="J265" s="523">
        <v>0</v>
      </c>
      <c r="K265" s="523"/>
      <c r="L265" s="797">
        <f>[1]!tsabetm(C265)</f>
        <v>243.91666666666669</v>
      </c>
      <c r="M265" s="797">
        <f>[1]!tsabetz(C265)</f>
        <v>269.05</v>
      </c>
      <c r="N265" s="797">
        <f t="shared" si="26"/>
        <v>69.151193633952275</v>
      </c>
      <c r="O265" s="797">
        <f t="shared" si="27"/>
        <v>1445.0028169014086</v>
      </c>
      <c r="P265" s="797">
        <f t="shared" si="28"/>
        <v>52.196920533559705</v>
      </c>
      <c r="Q265" s="797">
        <f t="shared" si="29"/>
        <v>271</v>
      </c>
      <c r="R265" s="797">
        <f t="shared" si="30"/>
        <v>271.86994867555933</v>
      </c>
      <c r="S265" s="797">
        <f>[1]!taqsabet(O265,C265)</f>
        <v>271.86994867555933</v>
      </c>
      <c r="T265" s="523"/>
      <c r="U265" s="523">
        <v>8</v>
      </c>
      <c r="V265" s="523">
        <v>29</v>
      </c>
      <c r="W265" s="523">
        <v>3</v>
      </c>
      <c r="X265" s="523"/>
      <c r="Y265" s="523">
        <v>14</v>
      </c>
      <c r="Z265" s="523">
        <v>36</v>
      </c>
      <c r="AA265" s="523" t="s">
        <v>179</v>
      </c>
      <c r="AB265" s="523">
        <v>5</v>
      </c>
      <c r="AC265" s="523">
        <v>4</v>
      </c>
      <c r="AD265" s="523" t="s">
        <v>2373</v>
      </c>
    </row>
    <row r="266" spans="3:30">
      <c r="C266" s="522">
        <v>243</v>
      </c>
      <c r="D266" s="522">
        <v>12</v>
      </c>
      <c r="E266" s="550" t="s">
        <v>2658</v>
      </c>
      <c r="F266" s="522">
        <v>70</v>
      </c>
      <c r="G266" s="522"/>
      <c r="H266" s="522">
        <v>66</v>
      </c>
      <c r="I266" s="522">
        <v>0</v>
      </c>
      <c r="J266" s="522">
        <v>0</v>
      </c>
      <c r="K266" s="522"/>
      <c r="L266" s="797">
        <f>[1]!tsabetm(C266)</f>
        <v>230.75</v>
      </c>
      <c r="M266" s="797">
        <f>[1]!tsabetz(C266)</f>
        <v>256.71666666666664</v>
      </c>
      <c r="N266" s="797">
        <f t="shared" si="26"/>
        <v>66.931964056482741</v>
      </c>
      <c r="O266" s="797">
        <f t="shared" si="27"/>
        <v>1445.0028169014086</v>
      </c>
      <c r="P266" s="797">
        <f t="shared" si="28"/>
        <v>37.806898004829463</v>
      </c>
      <c r="Q266" s="797">
        <f t="shared" si="29"/>
        <v>259</v>
      </c>
      <c r="R266" s="797">
        <f t="shared" si="30"/>
        <v>259.63011496674716</v>
      </c>
      <c r="S266" s="797">
        <f>[1]!taqsabet(O266,C266)</f>
        <v>259.63011496674716</v>
      </c>
      <c r="T266" s="522"/>
      <c r="U266" s="522">
        <v>8</v>
      </c>
      <c r="V266" s="522">
        <v>16</v>
      </c>
      <c r="W266" s="522">
        <v>43</v>
      </c>
      <c r="X266" s="522"/>
      <c r="Y266" s="522">
        <v>6</v>
      </c>
      <c r="Z266" s="522">
        <v>45</v>
      </c>
      <c r="AA266" s="522" t="s">
        <v>179</v>
      </c>
      <c r="AB266" s="522">
        <v>3</v>
      </c>
      <c r="AC266" s="522">
        <v>3</v>
      </c>
      <c r="AD266" s="522" t="s">
        <v>2373</v>
      </c>
    </row>
    <row r="267" spans="3:30">
      <c r="C267" s="523">
        <v>244</v>
      </c>
      <c r="D267" s="523">
        <v>13</v>
      </c>
      <c r="E267" s="543" t="s">
        <v>2659</v>
      </c>
      <c r="F267" s="523">
        <v>70</v>
      </c>
      <c r="G267" s="523"/>
      <c r="H267" s="523">
        <v>66</v>
      </c>
      <c r="I267" s="523">
        <v>0</v>
      </c>
      <c r="J267" s="523">
        <v>0</v>
      </c>
      <c r="K267" s="523"/>
      <c r="L267" s="797">
        <f>[1]!tsabetm(C267)</f>
        <v>233.25</v>
      </c>
      <c r="M267" s="797">
        <f>[1]!tsabetz(C267)</f>
        <v>259.16666666666669</v>
      </c>
      <c r="N267" s="797">
        <f t="shared" si="26"/>
        <v>67.061093247588374</v>
      </c>
      <c r="O267" s="797">
        <f t="shared" si="27"/>
        <v>1445.0028169014086</v>
      </c>
      <c r="P267" s="797">
        <f t="shared" si="28"/>
        <v>4.4702993565545057</v>
      </c>
      <c r="Q267" s="797">
        <f t="shared" si="29"/>
        <v>262</v>
      </c>
      <c r="R267" s="797">
        <f t="shared" si="30"/>
        <v>262.07450498927591</v>
      </c>
      <c r="S267" s="797">
        <f>[1]!taqsabet(O267,C267)</f>
        <v>262.07450498927591</v>
      </c>
      <c r="T267" s="523"/>
      <c r="U267" s="523">
        <v>8</v>
      </c>
      <c r="V267" s="523">
        <v>19</v>
      </c>
      <c r="W267" s="523">
        <v>10</v>
      </c>
      <c r="X267" s="523"/>
      <c r="Y267" s="523">
        <v>1</v>
      </c>
      <c r="Z267" s="523">
        <v>48</v>
      </c>
      <c r="AA267" s="523" t="s">
        <v>179</v>
      </c>
      <c r="AB267" s="523">
        <v>4</v>
      </c>
      <c r="AC267" s="523">
        <v>4</v>
      </c>
      <c r="AD267" s="523" t="s">
        <v>2373</v>
      </c>
    </row>
    <row r="268" spans="3:30">
      <c r="C268" s="522">
        <v>245</v>
      </c>
      <c r="D268" s="522">
        <v>14</v>
      </c>
      <c r="E268" s="550" t="s">
        <v>2660</v>
      </c>
      <c r="F268" s="522">
        <v>70</v>
      </c>
      <c r="G268" s="522"/>
      <c r="H268" s="522">
        <v>66</v>
      </c>
      <c r="I268" s="522">
        <v>0</v>
      </c>
      <c r="J268" s="522">
        <v>0</v>
      </c>
      <c r="K268" s="522"/>
      <c r="L268" s="797">
        <f>[1]!tsabetm(C268)</f>
        <v>232.58333333333331</v>
      </c>
      <c r="M268" s="797">
        <f>[1]!tsabetz(C268)</f>
        <v>258.76666666666665</v>
      </c>
      <c r="N268" s="797">
        <f t="shared" si="26"/>
        <v>66.37810311903246</v>
      </c>
      <c r="O268" s="797">
        <f t="shared" si="27"/>
        <v>1445.0028169014086</v>
      </c>
      <c r="P268" s="797">
        <f t="shared" si="28"/>
        <v>42.265492147358827</v>
      </c>
      <c r="Q268" s="797">
        <f t="shared" si="29"/>
        <v>261</v>
      </c>
      <c r="R268" s="797">
        <f t="shared" si="30"/>
        <v>261.70442486912265</v>
      </c>
      <c r="S268" s="797">
        <f>[1]!taqsabet(O268,C268)</f>
        <v>261.70442486912265</v>
      </c>
      <c r="T268" s="522"/>
      <c r="U268" s="522">
        <v>8</v>
      </c>
      <c r="V268" s="522">
        <v>18</v>
      </c>
      <c r="W268" s="522">
        <v>46</v>
      </c>
      <c r="X268" s="522"/>
      <c r="Y268" s="522">
        <v>3</v>
      </c>
      <c r="Z268" s="522">
        <v>9</v>
      </c>
      <c r="AA268" s="522" t="s">
        <v>179</v>
      </c>
      <c r="AB268" s="522">
        <v>4</v>
      </c>
      <c r="AC268" s="522">
        <v>4</v>
      </c>
      <c r="AD268" s="522" t="s">
        <v>2373</v>
      </c>
    </row>
    <row r="269" spans="3:30">
      <c r="C269" s="523">
        <v>246</v>
      </c>
      <c r="D269" s="523">
        <v>15</v>
      </c>
      <c r="E269" s="543" t="s">
        <v>2661</v>
      </c>
      <c r="F269" s="523">
        <v>70</v>
      </c>
      <c r="G269" s="523"/>
      <c r="H269" s="523">
        <v>66</v>
      </c>
      <c r="I269" s="523">
        <v>0</v>
      </c>
      <c r="J269" s="523">
        <v>0</v>
      </c>
      <c r="K269" s="523"/>
      <c r="L269" s="797">
        <f>[1]!tsabetm(C269)</f>
        <v>233.91666666666666</v>
      </c>
      <c r="M269" s="797">
        <f>[1]!tsabetz(C269)</f>
        <v>252.98333333333332</v>
      </c>
      <c r="N269" s="797">
        <f t="shared" si="26"/>
        <v>91.153846153846175</v>
      </c>
      <c r="O269" s="797">
        <f t="shared" si="27"/>
        <v>1445.0028169014086</v>
      </c>
      <c r="P269" s="797">
        <f t="shared" si="28"/>
        <v>7.3562845426988588</v>
      </c>
      <c r="Q269" s="797">
        <f t="shared" si="29"/>
        <v>255</v>
      </c>
      <c r="R269" s="797">
        <f t="shared" si="30"/>
        <v>255.12260474237831</v>
      </c>
      <c r="S269" s="797">
        <f>[1]!taqsabet(O269,C269)</f>
        <v>255.12260474237831</v>
      </c>
      <c r="T269" s="523"/>
      <c r="U269" s="523">
        <v>8</v>
      </c>
      <c r="V269" s="523">
        <v>12</v>
      </c>
      <c r="W269" s="523">
        <v>19</v>
      </c>
      <c r="X269" s="523"/>
      <c r="Y269" s="523">
        <v>2</v>
      </c>
      <c r="Z269" s="523">
        <v>9</v>
      </c>
      <c r="AA269" s="523" t="s">
        <v>179</v>
      </c>
      <c r="AB269" s="523">
        <v>4</v>
      </c>
      <c r="AC269" s="523">
        <v>4</v>
      </c>
      <c r="AD269" s="523" t="s">
        <v>2373</v>
      </c>
    </row>
    <row r="270" spans="3:30">
      <c r="C270" s="522">
        <v>247</v>
      </c>
      <c r="D270" s="522">
        <v>16</v>
      </c>
      <c r="E270" s="550" t="s">
        <v>2662</v>
      </c>
      <c r="F270" s="522">
        <v>70</v>
      </c>
      <c r="G270" s="522"/>
      <c r="H270" s="522">
        <v>66</v>
      </c>
      <c r="I270" s="522">
        <v>0</v>
      </c>
      <c r="J270" s="522">
        <v>0</v>
      </c>
      <c r="K270" s="522"/>
      <c r="L270" s="797">
        <f>[1]!tsabetm(C270)</f>
        <v>234.58333333333331</v>
      </c>
      <c r="M270" s="797">
        <f>[1]!tsabetz(C270)</f>
        <v>260.41666666666669</v>
      </c>
      <c r="N270" s="797">
        <f t="shared" si="26"/>
        <v>67.277419354838614</v>
      </c>
      <c r="O270" s="797">
        <f t="shared" si="27"/>
        <v>1445.0028169014086</v>
      </c>
      <c r="P270" s="797">
        <f t="shared" si="28"/>
        <v>18.909301609427303</v>
      </c>
      <c r="Q270" s="797">
        <f t="shared" si="29"/>
        <v>263</v>
      </c>
      <c r="R270" s="797">
        <f t="shared" si="30"/>
        <v>263.31515502682379</v>
      </c>
      <c r="S270" s="797">
        <f>[1]!taqsabet(O270,C270)</f>
        <v>263.31515502682379</v>
      </c>
      <c r="T270" s="522"/>
      <c r="U270" s="522">
        <v>8</v>
      </c>
      <c r="V270" s="522">
        <v>20</v>
      </c>
      <c r="W270" s="522">
        <v>25</v>
      </c>
      <c r="X270" s="522"/>
      <c r="Y270" s="522">
        <v>0</v>
      </c>
      <c r="Z270" s="538">
        <v>18</v>
      </c>
      <c r="AA270" s="522" t="s">
        <v>179</v>
      </c>
      <c r="AB270" s="522">
        <v>4</v>
      </c>
      <c r="AC270" s="522">
        <v>4</v>
      </c>
      <c r="AD270" s="522" t="s">
        <v>2373</v>
      </c>
    </row>
    <row r="271" spans="3:30">
      <c r="C271" s="523">
        <v>248</v>
      </c>
      <c r="D271" s="523">
        <v>17</v>
      </c>
      <c r="E271" s="543" t="s">
        <v>2663</v>
      </c>
      <c r="F271" s="523">
        <v>70</v>
      </c>
      <c r="G271" s="523"/>
      <c r="H271" s="523">
        <v>66</v>
      </c>
      <c r="I271" s="523">
        <v>0</v>
      </c>
      <c r="J271" s="523">
        <v>0</v>
      </c>
      <c r="K271" s="523"/>
      <c r="L271" s="797">
        <f>[1]!tsabetm(C271)</f>
        <v>235.41666666666666</v>
      </c>
      <c r="M271" s="797">
        <f>[1]!tsabetz(C271)</f>
        <v>261.01666666666665</v>
      </c>
      <c r="N271" s="797">
        <f t="shared" si="26"/>
        <v>67.890625000000014</v>
      </c>
      <c r="O271" s="797">
        <f t="shared" si="27"/>
        <v>1445.0028169014086</v>
      </c>
      <c r="P271" s="797">
        <f t="shared" si="28"/>
        <v>53.338507917468405</v>
      </c>
      <c r="Q271" s="797">
        <f t="shared" si="29"/>
        <v>263</v>
      </c>
      <c r="R271" s="797">
        <f t="shared" si="30"/>
        <v>263.88897513195781</v>
      </c>
      <c r="S271" s="797">
        <f>[1]!taqsabet(O271,C271)</f>
        <v>263.88897513195781</v>
      </c>
      <c r="T271" s="523"/>
      <c r="U271" s="523">
        <v>8</v>
      </c>
      <c r="V271" s="523">
        <v>21</v>
      </c>
      <c r="W271" s="523">
        <v>1</v>
      </c>
      <c r="X271" s="523"/>
      <c r="Y271" s="523">
        <v>0</v>
      </c>
      <c r="Z271" s="523">
        <v>12</v>
      </c>
      <c r="AA271" s="523" t="s">
        <v>179</v>
      </c>
      <c r="AB271" s="523">
        <v>5</v>
      </c>
      <c r="AC271" s="523">
        <v>5</v>
      </c>
      <c r="AD271" s="523" t="s">
        <v>2373</v>
      </c>
    </row>
    <row r="272" spans="3:30">
      <c r="C272" s="522">
        <v>249</v>
      </c>
      <c r="D272" s="522">
        <v>18</v>
      </c>
      <c r="E272" s="550" t="s">
        <v>2664</v>
      </c>
      <c r="F272" s="522">
        <v>70</v>
      </c>
      <c r="G272" s="522"/>
      <c r="H272" s="522">
        <v>66</v>
      </c>
      <c r="I272" s="522">
        <v>0</v>
      </c>
      <c r="J272" s="522">
        <v>0</v>
      </c>
      <c r="K272" s="522"/>
      <c r="L272" s="797">
        <f>[1]!tsabetm(C272)</f>
        <v>236.75</v>
      </c>
      <c r="M272" s="797">
        <f>[1]!tsabetz(C272)</f>
        <v>262.41666666666669</v>
      </c>
      <c r="N272" s="797">
        <f t="shared" si="26"/>
        <v>67.714285714285666</v>
      </c>
      <c r="O272" s="797">
        <f t="shared" si="27"/>
        <v>1445.0028169014086</v>
      </c>
      <c r="P272" s="797">
        <f t="shared" si="28"/>
        <v>17.787306115172896</v>
      </c>
      <c r="Q272" s="797">
        <f t="shared" si="29"/>
        <v>265</v>
      </c>
      <c r="R272" s="797">
        <f t="shared" si="30"/>
        <v>265.29645510191955</v>
      </c>
      <c r="S272" s="797">
        <f>[1]!taqsabet(O272,C272)</f>
        <v>265.29645510191955</v>
      </c>
      <c r="T272" s="522"/>
      <c r="U272" s="522">
        <v>8</v>
      </c>
      <c r="V272" s="522">
        <v>22</v>
      </c>
      <c r="W272" s="522">
        <v>25</v>
      </c>
      <c r="X272" s="522"/>
      <c r="Y272" s="522">
        <v>1</v>
      </c>
      <c r="Z272" s="522">
        <v>30</v>
      </c>
      <c r="AA272" s="522" t="s">
        <v>179</v>
      </c>
      <c r="AB272" s="522">
        <v>5</v>
      </c>
      <c r="AC272" s="522">
        <v>5</v>
      </c>
      <c r="AD272" s="522" t="s">
        <v>2373</v>
      </c>
    </row>
    <row r="273" spans="1:31">
      <c r="C273" s="523">
        <v>250</v>
      </c>
      <c r="D273" s="523">
        <v>19</v>
      </c>
      <c r="E273" s="543" t="s">
        <v>2665</v>
      </c>
      <c r="F273" s="523">
        <v>70</v>
      </c>
      <c r="G273" s="523"/>
      <c r="H273" s="523">
        <v>66</v>
      </c>
      <c r="I273" s="523">
        <v>0</v>
      </c>
      <c r="J273" s="523">
        <v>0</v>
      </c>
      <c r="K273" s="523"/>
      <c r="L273" s="797">
        <f>[1]!tsabetm(C273)</f>
        <v>221.75</v>
      </c>
      <c r="M273" s="797">
        <f>[1]!tsabetz(C273)</f>
        <v>248.26666666666668</v>
      </c>
      <c r="N273" s="797">
        <f t="shared" si="26"/>
        <v>65.543683218101791</v>
      </c>
      <c r="O273" s="797">
        <f t="shared" si="27"/>
        <v>1445.0028169014086</v>
      </c>
      <c r="P273" s="797">
        <f t="shared" si="28"/>
        <v>14.509483135871051</v>
      </c>
      <c r="Q273" s="797">
        <f t="shared" si="29"/>
        <v>251</v>
      </c>
      <c r="R273" s="797">
        <f t="shared" si="30"/>
        <v>251.24182471893118</v>
      </c>
      <c r="S273" s="797">
        <f>[1]!taqsabet(O273,C273)</f>
        <v>251.24182471893118</v>
      </c>
      <c r="T273" s="523"/>
      <c r="U273" s="523">
        <v>8</v>
      </c>
      <c r="V273" s="523">
        <v>8</v>
      </c>
      <c r="W273" s="523">
        <v>16</v>
      </c>
      <c r="X273" s="523"/>
      <c r="Y273" s="523">
        <v>11</v>
      </c>
      <c r="Z273" s="523">
        <v>45</v>
      </c>
      <c r="AA273" s="523" t="s">
        <v>179</v>
      </c>
      <c r="AB273" s="523">
        <v>3</v>
      </c>
      <c r="AC273" s="523">
        <v>3</v>
      </c>
      <c r="AD273" s="523" t="s">
        <v>2373</v>
      </c>
      <c r="AE273" s="327">
        <v>580</v>
      </c>
    </row>
    <row r="274" spans="1:31">
      <c r="C274" s="522">
        <v>251</v>
      </c>
      <c r="D274" s="522">
        <v>20</v>
      </c>
      <c r="E274" s="550" t="s">
        <v>2666</v>
      </c>
      <c r="F274" s="522">
        <v>70</v>
      </c>
      <c r="G274" s="522"/>
      <c r="H274" s="522">
        <v>66</v>
      </c>
      <c r="I274" s="522">
        <v>0</v>
      </c>
      <c r="J274" s="522">
        <v>0</v>
      </c>
      <c r="K274" s="522"/>
      <c r="L274" s="797">
        <f>[1]!tsabetm(C274)</f>
        <v>220.91666666666666</v>
      </c>
      <c r="M274" s="797">
        <f>[1]!tsabetz(C274)</f>
        <v>247.16666666666666</v>
      </c>
      <c r="N274" s="797">
        <f t="shared" si="26"/>
        <v>66.209523809523816</v>
      </c>
      <c r="O274" s="797">
        <f t="shared" si="27"/>
        <v>1445.0028169014086</v>
      </c>
      <c r="P274" s="797">
        <f t="shared" si="28"/>
        <v>6.7142903450616132</v>
      </c>
      <c r="Q274" s="797">
        <f t="shared" si="29"/>
        <v>250</v>
      </c>
      <c r="R274" s="797">
        <f t="shared" si="30"/>
        <v>250.11190483908436</v>
      </c>
      <c r="S274" s="797">
        <f>[1]!taqsabet(O274,C274)</f>
        <v>250.11190483908436</v>
      </c>
      <c r="T274" s="522"/>
      <c r="U274" s="522">
        <v>8</v>
      </c>
      <c r="V274" s="522">
        <v>7</v>
      </c>
      <c r="W274" s="522">
        <v>10</v>
      </c>
      <c r="X274" s="522"/>
      <c r="Y274" s="522">
        <v>5</v>
      </c>
      <c r="Z274" s="522">
        <v>30</v>
      </c>
      <c r="AA274" s="522" t="s">
        <v>179</v>
      </c>
      <c r="AB274" s="522">
        <v>5</v>
      </c>
      <c r="AC274" s="522">
        <v>5</v>
      </c>
      <c r="AD274" s="522" t="s">
        <v>2373</v>
      </c>
    </row>
    <row r="275" spans="1:31">
      <c r="C275" s="523">
        <v>252</v>
      </c>
      <c r="D275" s="523">
        <v>21</v>
      </c>
      <c r="E275" s="543" t="s">
        <v>2612</v>
      </c>
      <c r="F275" s="523">
        <v>70</v>
      </c>
      <c r="G275" s="523"/>
      <c r="H275" s="523">
        <v>66</v>
      </c>
      <c r="I275" s="523">
        <v>0</v>
      </c>
      <c r="J275" s="523">
        <v>0</v>
      </c>
      <c r="K275" s="523"/>
      <c r="L275" s="797">
        <f>[1]!tsabetm(C275)</f>
        <v>220.25</v>
      </c>
      <c r="M275" s="797">
        <f>[1]!tsabetz(C275)</f>
        <v>246.36666666666667</v>
      </c>
      <c r="N275" s="797">
        <f t="shared" si="26"/>
        <v>66.547543075941263</v>
      </c>
      <c r="O275" s="797">
        <f t="shared" si="27"/>
        <v>1445.0028169014086</v>
      </c>
      <c r="P275" s="797">
        <f t="shared" si="28"/>
        <v>17.816693949659452</v>
      </c>
      <c r="Q275" s="797">
        <f t="shared" si="29"/>
        <v>249</v>
      </c>
      <c r="R275" s="797">
        <f t="shared" si="30"/>
        <v>249.29694489916099</v>
      </c>
      <c r="S275" s="797">
        <f>[1]!taqsabet(O275,C275)</f>
        <v>249.29694489916099</v>
      </c>
      <c r="T275" s="523"/>
      <c r="U275" s="523">
        <v>8</v>
      </c>
      <c r="V275" s="523">
        <v>6</v>
      </c>
      <c r="W275" s="523">
        <v>22</v>
      </c>
      <c r="X275" s="523"/>
      <c r="Y275" s="523">
        <v>3</v>
      </c>
      <c r="Z275" s="523">
        <v>18</v>
      </c>
      <c r="AA275" s="523" t="s">
        <v>179</v>
      </c>
      <c r="AB275" s="523">
        <v>5</v>
      </c>
      <c r="AC275" s="523">
        <v>5</v>
      </c>
      <c r="AD275" s="523" t="s">
        <v>2373</v>
      </c>
    </row>
    <row r="276" spans="1:31">
      <c r="C276" s="522">
        <v>253</v>
      </c>
      <c r="D276" s="522">
        <v>22</v>
      </c>
      <c r="E276" s="550" t="s">
        <v>2667</v>
      </c>
      <c r="F276" s="522">
        <v>70</v>
      </c>
      <c r="G276" s="522"/>
      <c r="H276" s="522">
        <v>66</v>
      </c>
      <c r="I276" s="522">
        <v>0</v>
      </c>
      <c r="J276" s="522">
        <v>0</v>
      </c>
      <c r="K276" s="522"/>
      <c r="L276" s="797">
        <f>[1]!tsabetm(C276)</f>
        <v>219.41666666666666</v>
      </c>
      <c r="M276" s="797">
        <f>[1]!tsabetz(C276)</f>
        <v>245.86666666666667</v>
      </c>
      <c r="N276" s="797">
        <f t="shared" si="26"/>
        <v>65.708884688090691</v>
      </c>
      <c r="O276" s="797">
        <f t="shared" si="27"/>
        <v>1445.0028169014086</v>
      </c>
      <c r="P276" s="797">
        <f t="shared" si="28"/>
        <v>50.060684938168265</v>
      </c>
      <c r="Q276" s="797">
        <f t="shared" si="29"/>
        <v>248</v>
      </c>
      <c r="R276" s="797">
        <f t="shared" si="30"/>
        <v>248.83434474896947</v>
      </c>
      <c r="S276" s="797">
        <f>[1]!taqsabet(O276,C276)</f>
        <v>248.83434474896947</v>
      </c>
      <c r="T276" s="522"/>
      <c r="U276" s="522">
        <v>8</v>
      </c>
      <c r="V276" s="522">
        <v>5</v>
      </c>
      <c r="W276" s="522">
        <v>52</v>
      </c>
      <c r="X276" s="522"/>
      <c r="Y276" s="522">
        <v>1</v>
      </c>
      <c r="Z276" s="522">
        <v>45</v>
      </c>
      <c r="AA276" s="522" t="s">
        <v>179</v>
      </c>
      <c r="AB276" s="522">
        <v>5</v>
      </c>
      <c r="AC276" s="522">
        <v>5</v>
      </c>
      <c r="AD276" s="522" t="s">
        <v>2373</v>
      </c>
    </row>
    <row r="277" spans="1:31">
      <c r="C277" s="523">
        <v>254</v>
      </c>
      <c r="D277" s="523">
        <v>23</v>
      </c>
      <c r="E277" s="543" t="s">
        <v>2668</v>
      </c>
      <c r="F277" s="523">
        <v>70</v>
      </c>
      <c r="G277" s="523"/>
      <c r="H277" s="523">
        <v>66</v>
      </c>
      <c r="I277" s="523">
        <v>0</v>
      </c>
      <c r="J277" s="523">
        <v>0</v>
      </c>
      <c r="K277" s="523"/>
      <c r="L277" s="797">
        <f>[1]!tsabetm(C277)</f>
        <v>221.91666666666666</v>
      </c>
      <c r="M277" s="797">
        <f>[1]!tsabetz(C277)</f>
        <v>248.36666666666667</v>
      </c>
      <c r="N277" s="797">
        <f t="shared" si="26"/>
        <v>65.708884688090691</v>
      </c>
      <c r="O277" s="797">
        <f t="shared" si="27"/>
        <v>1445.0028169014086</v>
      </c>
      <c r="P277" s="797">
        <f t="shared" si="28"/>
        <v>20.060684938168265</v>
      </c>
      <c r="Q277" s="797">
        <f t="shared" si="29"/>
        <v>251</v>
      </c>
      <c r="R277" s="797">
        <f t="shared" si="30"/>
        <v>251.33434474896947</v>
      </c>
      <c r="S277" s="797">
        <f>[1]!taqsabet(O277,C277)</f>
        <v>251.33434474896947</v>
      </c>
      <c r="T277" s="523"/>
      <c r="U277" s="523">
        <v>8</v>
      </c>
      <c r="V277" s="523">
        <v>8</v>
      </c>
      <c r="W277" s="523">
        <v>22</v>
      </c>
      <c r="X277" s="523"/>
      <c r="Y277" s="523">
        <v>0</v>
      </c>
      <c r="Z277" s="523">
        <v>39</v>
      </c>
      <c r="AA277" s="523" t="s">
        <v>179</v>
      </c>
      <c r="AB277" s="523">
        <v>5</v>
      </c>
      <c r="AC277" s="523">
        <v>5</v>
      </c>
      <c r="AD277" s="523" t="s">
        <v>2373</v>
      </c>
    </row>
    <row r="278" spans="1:31">
      <c r="C278" s="522">
        <v>255</v>
      </c>
      <c r="D278" s="522">
        <v>24</v>
      </c>
      <c r="E278" s="550" t="s">
        <v>2669</v>
      </c>
      <c r="F278" s="522">
        <v>70</v>
      </c>
      <c r="G278" s="522"/>
      <c r="H278" s="522">
        <v>66</v>
      </c>
      <c r="I278" s="522">
        <v>0</v>
      </c>
      <c r="J278" s="522">
        <v>0</v>
      </c>
      <c r="K278" s="522"/>
      <c r="L278" s="797">
        <f>[1]!tsabetm(C278)</f>
        <v>220.25</v>
      </c>
      <c r="M278" s="797">
        <f>[1]!tsabetz(C278)</f>
        <v>247.21666666666667</v>
      </c>
      <c r="N278" s="797">
        <f t="shared" si="26"/>
        <v>64.449938195302835</v>
      </c>
      <c r="O278" s="797">
        <f t="shared" si="27"/>
        <v>1445.0028169014086</v>
      </c>
      <c r="P278" s="797">
        <f t="shared" si="28"/>
        <v>14.538870970355902</v>
      </c>
      <c r="Q278" s="797">
        <f t="shared" si="29"/>
        <v>250</v>
      </c>
      <c r="R278" s="797">
        <f t="shared" si="30"/>
        <v>250.2423145161726</v>
      </c>
      <c r="S278" s="797">
        <f>[1]!taqsabet(O278,C278)</f>
        <v>250.2423145161726</v>
      </c>
      <c r="T278" s="522"/>
      <c r="U278" s="522">
        <v>8</v>
      </c>
      <c r="V278" s="522">
        <v>7</v>
      </c>
      <c r="W278" s="522">
        <v>13</v>
      </c>
      <c r="X278" s="522"/>
      <c r="Y278" s="522">
        <v>0</v>
      </c>
      <c r="Z278" s="522">
        <v>45</v>
      </c>
      <c r="AA278" s="522" t="s">
        <v>179</v>
      </c>
      <c r="AB278" s="522">
        <v>5</v>
      </c>
      <c r="AC278" s="522">
        <v>4</v>
      </c>
      <c r="AD278" s="522" t="s">
        <v>2373</v>
      </c>
    </row>
    <row r="279" spans="1:31">
      <c r="B279" s="505" t="s">
        <v>2415</v>
      </c>
      <c r="C279" s="523">
        <v>256</v>
      </c>
      <c r="D279" s="523">
        <v>1</v>
      </c>
      <c r="E279" s="543" t="s">
        <v>2670</v>
      </c>
      <c r="F279" s="523">
        <v>70</v>
      </c>
      <c r="G279" s="523"/>
      <c r="H279" s="523">
        <v>66</v>
      </c>
      <c r="I279" s="523">
        <v>0</v>
      </c>
      <c r="J279" s="523">
        <v>0</v>
      </c>
      <c r="K279" s="523"/>
      <c r="L279" s="797">
        <f>[1]!tsabetm(C279)</f>
        <v>241.58333333333331</v>
      </c>
      <c r="M279" s="797">
        <f>[1]!tsabetz(C279)</f>
        <v>268.76666666666665</v>
      </c>
      <c r="N279" s="797">
        <f t="shared" si="26"/>
        <v>63.936235438381352</v>
      </c>
      <c r="O279" s="797">
        <f t="shared" si="27"/>
        <v>1445.0028169014086</v>
      </c>
      <c r="P279" s="797">
        <f t="shared" si="28"/>
        <v>48.997465112885266</v>
      </c>
      <c r="Q279" s="797">
        <f t="shared" si="29"/>
        <v>271</v>
      </c>
      <c r="R279" s="797">
        <f t="shared" si="30"/>
        <v>271.81662441854809</v>
      </c>
      <c r="S279" s="797">
        <f>[1]!taqsabet(O279,C279)</f>
        <v>271.81662441854809</v>
      </c>
      <c r="T279" s="523"/>
      <c r="U279" s="523">
        <v>8</v>
      </c>
      <c r="V279" s="523">
        <v>28</v>
      </c>
      <c r="W279" s="523">
        <v>46</v>
      </c>
      <c r="X279" s="523"/>
      <c r="Y279" s="523">
        <v>28</v>
      </c>
      <c r="Z279" s="523">
        <v>9</v>
      </c>
      <c r="AA279" s="523" t="s">
        <v>179</v>
      </c>
      <c r="AB279" s="523">
        <v>4</v>
      </c>
      <c r="AC279" s="523">
        <v>4</v>
      </c>
      <c r="AD279" s="523" t="s">
        <v>2373</v>
      </c>
    </row>
    <row r="280" spans="1:31">
      <c r="C280" s="522">
        <v>257</v>
      </c>
      <c r="D280" s="522">
        <v>2</v>
      </c>
      <c r="E280" s="550" t="s">
        <v>2612</v>
      </c>
      <c r="F280" s="522">
        <v>70</v>
      </c>
      <c r="G280" s="522"/>
      <c r="H280" s="522">
        <v>66</v>
      </c>
      <c r="I280" s="522">
        <v>0</v>
      </c>
      <c r="J280" s="522">
        <v>0</v>
      </c>
      <c r="K280" s="522"/>
      <c r="L280" s="797">
        <f>[1]!tsabetm(C280)</f>
        <v>242.25</v>
      </c>
      <c r="M280" s="797">
        <f>[1]!tsabetz(C280)</f>
        <v>268.7</v>
      </c>
      <c r="N280" s="797">
        <f t="shared" si="26"/>
        <v>65.708884688090762</v>
      </c>
      <c r="O280" s="797">
        <f t="shared" si="27"/>
        <v>1445.0028169014086</v>
      </c>
      <c r="P280" s="797">
        <f t="shared" si="28"/>
        <v>40.060684938165423</v>
      </c>
      <c r="Q280" s="797">
        <f t="shared" si="29"/>
        <v>271</v>
      </c>
      <c r="R280" s="797">
        <f t="shared" si="30"/>
        <v>271.66767808230276</v>
      </c>
      <c r="S280" s="797">
        <f>[1]!taqsabet(O280,C280)</f>
        <v>271.66767808230276</v>
      </c>
      <c r="T280" s="522"/>
      <c r="U280" s="522">
        <v>8</v>
      </c>
      <c r="V280" s="522">
        <v>28</v>
      </c>
      <c r="W280" s="522">
        <v>42</v>
      </c>
      <c r="X280" s="522"/>
      <c r="Y280" s="522">
        <v>26</v>
      </c>
      <c r="Z280" s="522">
        <v>15</v>
      </c>
      <c r="AA280" s="522" t="s">
        <v>179</v>
      </c>
      <c r="AB280" s="522">
        <v>4</v>
      </c>
      <c r="AC280" s="522">
        <v>4</v>
      </c>
      <c r="AD280" s="522" t="s">
        <v>2373</v>
      </c>
    </row>
    <row r="281" spans="1:31">
      <c r="C281" s="523">
        <v>258</v>
      </c>
      <c r="D281" s="523">
        <v>3</v>
      </c>
      <c r="E281" s="543" t="s">
        <v>2667</v>
      </c>
      <c r="F281" s="523">
        <v>70</v>
      </c>
      <c r="G281" s="523"/>
      <c r="H281" s="523">
        <v>66</v>
      </c>
      <c r="I281" s="523">
        <v>0</v>
      </c>
      <c r="J281" s="523">
        <v>0</v>
      </c>
      <c r="K281" s="523"/>
      <c r="L281" s="797">
        <f>[1]!tsabetm(C281)</f>
        <v>239.91666666666666</v>
      </c>
      <c r="M281" s="797">
        <f>[1]!tsabetz(C281)</f>
        <v>269.16666666666669</v>
      </c>
      <c r="N281" s="797">
        <f t="shared" si="26"/>
        <v>59.418803418803364</v>
      </c>
      <c r="O281" s="797">
        <f t="shared" si="27"/>
        <v>1445.0028169014086</v>
      </c>
      <c r="P281" s="797">
        <f t="shared" si="28"/>
        <v>26.910209241642633</v>
      </c>
      <c r="Q281" s="797">
        <f t="shared" si="29"/>
        <v>272</v>
      </c>
      <c r="R281" s="797">
        <f t="shared" si="30"/>
        <v>272.44850348736071</v>
      </c>
      <c r="S281" s="797">
        <f>[1]!taqsabet(O281,C281)</f>
        <v>272.44850348736071</v>
      </c>
      <c r="T281" s="523"/>
      <c r="U281" s="523">
        <v>8</v>
      </c>
      <c r="V281" s="523">
        <v>29</v>
      </c>
      <c r="W281" s="523">
        <v>10</v>
      </c>
      <c r="X281" s="523"/>
      <c r="Y281" s="523">
        <v>24</v>
      </c>
      <c r="Z281" s="523">
        <v>45</v>
      </c>
      <c r="AA281" s="523" t="s">
        <v>179</v>
      </c>
      <c r="AB281" s="523">
        <v>4</v>
      </c>
      <c r="AC281" s="523">
        <v>4</v>
      </c>
      <c r="AD281" s="523" t="s">
        <v>2373</v>
      </c>
    </row>
    <row r="282" spans="1:31">
      <c r="C282" s="522">
        <v>259</v>
      </c>
      <c r="D282" s="522">
        <v>4</v>
      </c>
      <c r="E282" s="550" t="s">
        <v>2671</v>
      </c>
      <c r="F282" s="522">
        <v>70</v>
      </c>
      <c r="G282" s="522"/>
      <c r="H282" s="522">
        <v>66</v>
      </c>
      <c r="I282" s="522">
        <v>0</v>
      </c>
      <c r="J282" s="522">
        <v>0</v>
      </c>
      <c r="K282" s="522"/>
      <c r="L282" s="797">
        <f>[1]!tsabetm(C282)</f>
        <v>242.91666666666669</v>
      </c>
      <c r="M282" s="797">
        <f>[1]!tsabetz(C282)</f>
        <v>270.31666666666666</v>
      </c>
      <c r="N282" s="797">
        <f t="shared" si="26"/>
        <v>63.430656934306619</v>
      </c>
      <c r="O282" s="797">
        <f t="shared" si="27"/>
        <v>1445.0028169014086</v>
      </c>
      <c r="P282" s="797">
        <f t="shared" si="28"/>
        <v>23.45605925541804</v>
      </c>
      <c r="Q282" s="797">
        <f t="shared" si="29"/>
        <v>273</v>
      </c>
      <c r="R282" s="797">
        <f t="shared" si="30"/>
        <v>273.39093432092363</v>
      </c>
      <c r="S282" s="797">
        <f>[1]!taqsabet(O282,C282)</f>
        <v>273.39093432092363</v>
      </c>
      <c r="T282" s="522"/>
      <c r="U282" s="522">
        <v>9</v>
      </c>
      <c r="V282" s="522">
        <v>0</v>
      </c>
      <c r="W282" s="522">
        <v>19</v>
      </c>
      <c r="X282" s="522"/>
      <c r="Y282" s="522">
        <v>26</v>
      </c>
      <c r="Z282" s="522">
        <v>0</v>
      </c>
      <c r="AA282" s="522" t="s">
        <v>179</v>
      </c>
      <c r="AB282" s="522">
        <v>4</v>
      </c>
      <c r="AC282" s="522">
        <v>4</v>
      </c>
      <c r="AD282" s="522" t="s">
        <v>2373</v>
      </c>
    </row>
    <row r="283" spans="1:31">
      <c r="C283" s="523">
        <v>260</v>
      </c>
      <c r="D283" s="523">
        <v>5</v>
      </c>
      <c r="E283" s="543" t="s">
        <v>2672</v>
      </c>
      <c r="F283" s="523">
        <v>70</v>
      </c>
      <c r="G283" s="523"/>
      <c r="H283" s="523">
        <v>66</v>
      </c>
      <c r="I283" s="523">
        <v>0</v>
      </c>
      <c r="J283" s="523">
        <v>0</v>
      </c>
      <c r="K283" s="523"/>
      <c r="L283" s="797">
        <f>[1]!tsabetm(C283)</f>
        <v>244.25</v>
      </c>
      <c r="M283" s="797">
        <f>[1]!tsabetz(C283)</f>
        <v>271.11666666666667</v>
      </c>
      <c r="N283" s="797">
        <f t="shared" si="26"/>
        <v>64.689826302729514</v>
      </c>
      <c r="O283" s="797">
        <f t="shared" si="27"/>
        <v>1445.0028169014086</v>
      </c>
      <c r="P283" s="797">
        <f t="shared" si="28"/>
        <v>7.8656736738025756</v>
      </c>
      <c r="Q283" s="797">
        <f t="shared" si="29"/>
        <v>274</v>
      </c>
      <c r="R283" s="797">
        <f t="shared" si="30"/>
        <v>274.13109456123004</v>
      </c>
      <c r="S283" s="797">
        <f>[1]!taqsabet(O283,C283)</f>
        <v>274.13109456123004</v>
      </c>
      <c r="T283" s="523"/>
      <c r="U283" s="523">
        <v>9</v>
      </c>
      <c r="V283" s="523">
        <v>1</v>
      </c>
      <c r="W283" s="523">
        <v>7</v>
      </c>
      <c r="X283" s="523"/>
      <c r="Y283" s="523">
        <v>32</v>
      </c>
      <c r="Z283" s="523">
        <v>21</v>
      </c>
      <c r="AA283" s="523" t="s">
        <v>179</v>
      </c>
      <c r="AB283" s="523">
        <v>4</v>
      </c>
      <c r="AC283" s="523">
        <v>4</v>
      </c>
      <c r="AD283" s="523" t="s">
        <v>2373</v>
      </c>
    </row>
    <row r="284" spans="1:31">
      <c r="B284" s="505" t="s">
        <v>2355</v>
      </c>
      <c r="C284" s="506" t="s">
        <v>2356</v>
      </c>
      <c r="D284" s="507" t="s">
        <v>2357</v>
      </c>
      <c r="E284" s="511" t="s">
        <v>2358</v>
      </c>
      <c r="F284" s="511"/>
      <c r="G284" s="511"/>
      <c r="H284" s="511"/>
      <c r="I284" s="511"/>
      <c r="J284" s="511"/>
      <c r="K284" s="514" t="s">
        <v>2360</v>
      </c>
      <c r="N284" s="797">
        <f t="shared" si="26"/>
        <v>4.8277777777777775</v>
      </c>
      <c r="O284" s="797">
        <f t="shared" si="27"/>
        <v>1445.0028169014086</v>
      </c>
      <c r="P284" s="797">
        <f t="shared" si="28"/>
        <v>23.510267589427372</v>
      </c>
      <c r="Q284" s="797">
        <f t="shared" si="29"/>
        <v>40</v>
      </c>
      <c r="R284" s="797">
        <f t="shared" si="30"/>
        <v>40.391837793157123</v>
      </c>
      <c r="S284" s="797" t="e">
        <f>[1]!taqsabet(O284,C284)</f>
        <v>#VALUE!</v>
      </c>
      <c r="T284" s="507"/>
      <c r="U284" s="508" t="s">
        <v>403</v>
      </c>
      <c r="V284" s="508"/>
      <c r="W284" s="509"/>
      <c r="X284" s="507"/>
      <c r="Y284" s="509" t="s">
        <v>275</v>
      </c>
      <c r="Z284" s="510"/>
      <c r="AA284" s="506" t="s">
        <v>176</v>
      </c>
      <c r="AB284" s="511" t="s">
        <v>2361</v>
      </c>
      <c r="AC284" s="511" t="s">
        <v>2362</v>
      </c>
      <c r="AD284" s="511" t="s">
        <v>2363</v>
      </c>
    </row>
    <row r="285" spans="1:31">
      <c r="B285" s="505"/>
      <c r="C285" s="512"/>
      <c r="D285" s="512"/>
      <c r="E285" s="513"/>
      <c r="F285" s="513"/>
      <c r="G285" s="513"/>
      <c r="H285" s="513"/>
      <c r="I285" s="513"/>
      <c r="J285" s="513"/>
      <c r="K285" s="514"/>
      <c r="N285" s="797">
        <f t="shared" si="26"/>
        <v>4.8277777777777775</v>
      </c>
      <c r="O285" s="797">
        <f t="shared" si="27"/>
        <v>1445.0028169014086</v>
      </c>
      <c r="P285" s="797">
        <f t="shared" si="28"/>
        <v>23.510267589427372</v>
      </c>
      <c r="Q285" s="797">
        <f t="shared" si="29"/>
        <v>40</v>
      </c>
      <c r="R285" s="797">
        <f t="shared" si="30"/>
        <v>40.391837793157123</v>
      </c>
      <c r="S285" s="797">
        <f>[1]!taqsabet(O285,C285)</f>
        <v>1.4716840899636423</v>
      </c>
      <c r="T285" s="515" t="s">
        <v>2367</v>
      </c>
      <c r="U285" s="516" t="s">
        <v>173</v>
      </c>
      <c r="V285" s="516" t="s">
        <v>172</v>
      </c>
      <c r="W285" s="516" t="s">
        <v>166</v>
      </c>
      <c r="X285" s="517" t="s">
        <v>2367</v>
      </c>
      <c r="Y285" s="516" t="s">
        <v>172</v>
      </c>
      <c r="Z285" s="518" t="s">
        <v>166</v>
      </c>
      <c r="AA285" s="512"/>
      <c r="AB285" s="517" t="s">
        <v>2368</v>
      </c>
      <c r="AC285" s="517" t="s">
        <v>2369</v>
      </c>
      <c r="AD285" s="513"/>
    </row>
    <row r="286" spans="1:31">
      <c r="A286" s="520">
        <v>14</v>
      </c>
      <c r="B286" s="536" t="s">
        <v>2673</v>
      </c>
      <c r="C286" s="527">
        <v>261</v>
      </c>
      <c r="D286" s="527">
        <v>1</v>
      </c>
      <c r="E286" s="553" t="s">
        <v>2674</v>
      </c>
      <c r="F286" s="527">
        <v>70</v>
      </c>
      <c r="G286" s="527"/>
      <c r="H286" s="527">
        <v>66</v>
      </c>
      <c r="I286" s="527">
        <v>0</v>
      </c>
      <c r="J286" s="527">
        <v>0</v>
      </c>
      <c r="K286" s="527"/>
      <c r="L286" s="797">
        <f>[1]!tsabetm(C286)</f>
        <v>198.41666666666666</v>
      </c>
      <c r="M286" s="797">
        <f>[1]!tsabetz(C286)</f>
        <v>225.11666666666667</v>
      </c>
      <c r="N286" s="797">
        <f t="shared" si="26"/>
        <v>65.09363295880145</v>
      </c>
      <c r="O286" s="797">
        <f t="shared" si="27"/>
        <v>1445.0028169014086</v>
      </c>
      <c r="P286" s="797">
        <f t="shared" si="28"/>
        <v>6.7436781795498746</v>
      </c>
      <c r="Q286" s="797">
        <f t="shared" si="29"/>
        <v>228</v>
      </c>
      <c r="R286" s="797">
        <f t="shared" si="30"/>
        <v>228.11239463632583</v>
      </c>
      <c r="S286" s="797">
        <f>[1]!taqsabet(O286,C286)</f>
        <v>228.11239463632583</v>
      </c>
      <c r="T286" s="527"/>
      <c r="U286" s="527">
        <v>7</v>
      </c>
      <c r="V286" s="527">
        <v>15</v>
      </c>
      <c r="W286" s="527">
        <v>7</v>
      </c>
      <c r="X286" s="527"/>
      <c r="Y286" s="527">
        <v>37</v>
      </c>
      <c r="Z286" s="527">
        <v>45</v>
      </c>
      <c r="AA286" s="527" t="s">
        <v>179</v>
      </c>
      <c r="AB286" s="527">
        <v>4</v>
      </c>
      <c r="AC286" s="527">
        <v>4</v>
      </c>
      <c r="AD286" s="527" t="s">
        <v>2430</v>
      </c>
    </row>
    <row r="287" spans="1:31">
      <c r="C287" s="523">
        <v>262</v>
      </c>
      <c r="D287" s="523">
        <v>2</v>
      </c>
      <c r="E287" s="543" t="s">
        <v>2675</v>
      </c>
      <c r="F287" s="523">
        <v>70</v>
      </c>
      <c r="G287" s="523"/>
      <c r="H287" s="523">
        <v>66</v>
      </c>
      <c r="I287" s="523">
        <v>0</v>
      </c>
      <c r="J287" s="523">
        <v>0</v>
      </c>
      <c r="K287" s="523"/>
      <c r="L287" s="797">
        <f>[1]!tsabetm(C287)</f>
        <v>201.25</v>
      </c>
      <c r="M287" s="797">
        <f>[1]!tsabetz(C287)</f>
        <v>227.81666666666666</v>
      </c>
      <c r="N287" s="797">
        <f t="shared" si="26"/>
        <v>65.420326223337526</v>
      </c>
      <c r="O287" s="797">
        <f t="shared" si="27"/>
        <v>1445.0028169014086</v>
      </c>
      <c r="P287" s="797">
        <f t="shared" si="28"/>
        <v>47.846081784146008</v>
      </c>
      <c r="Q287" s="797">
        <f t="shared" si="29"/>
        <v>230</v>
      </c>
      <c r="R287" s="797">
        <f t="shared" si="30"/>
        <v>230.79743469640243</v>
      </c>
      <c r="S287" s="797">
        <f>[1]!taqsabet(O287,C287)</f>
        <v>230.79743469640243</v>
      </c>
      <c r="T287" s="523"/>
      <c r="U287" s="523">
        <v>7</v>
      </c>
      <c r="V287" s="523">
        <v>17</v>
      </c>
      <c r="W287" s="523">
        <v>45</v>
      </c>
      <c r="X287" s="523"/>
      <c r="Y287" s="523">
        <v>39</v>
      </c>
      <c r="Z287" s="523">
        <v>42</v>
      </c>
      <c r="AA287" s="523" t="s">
        <v>179</v>
      </c>
      <c r="AB287" s="523">
        <v>4</v>
      </c>
      <c r="AC287" s="523">
        <v>4</v>
      </c>
      <c r="AD287" s="523" t="s">
        <v>2676</v>
      </c>
    </row>
    <row r="288" spans="1:31">
      <c r="C288" s="527">
        <v>263</v>
      </c>
      <c r="D288" s="527">
        <v>3</v>
      </c>
      <c r="E288" s="553" t="s">
        <v>2677</v>
      </c>
      <c r="F288" s="527">
        <v>70</v>
      </c>
      <c r="G288" s="527"/>
      <c r="H288" s="527">
        <v>66</v>
      </c>
      <c r="I288" s="527">
        <v>0</v>
      </c>
      <c r="J288" s="527">
        <v>0</v>
      </c>
      <c r="K288" s="527"/>
      <c r="L288" s="797">
        <f>[1]!tsabetm(C288)</f>
        <v>203.91666666666666</v>
      </c>
      <c r="M288" s="797">
        <f>[1]!tsabetz(C288)</f>
        <v>229.66666666666666</v>
      </c>
      <c r="N288" s="797">
        <f t="shared" si="26"/>
        <v>67.495145631067956</v>
      </c>
      <c r="O288" s="797">
        <f t="shared" si="27"/>
        <v>1445.0028169014086</v>
      </c>
      <c r="P288" s="797">
        <f t="shared" si="28"/>
        <v>33.348303862298394</v>
      </c>
      <c r="Q288" s="797">
        <f t="shared" si="29"/>
        <v>232</v>
      </c>
      <c r="R288" s="797">
        <f t="shared" si="30"/>
        <v>232.55580506437164</v>
      </c>
      <c r="S288" s="797">
        <f>[1]!taqsabet(O288,C288)</f>
        <v>232.55580506437164</v>
      </c>
      <c r="T288" s="527"/>
      <c r="U288" s="527">
        <v>7</v>
      </c>
      <c r="V288" s="527">
        <v>19</v>
      </c>
      <c r="W288" s="527">
        <v>40</v>
      </c>
      <c r="X288" s="527"/>
      <c r="Y288" s="527">
        <v>35</v>
      </c>
      <c r="Z288" s="527">
        <v>12</v>
      </c>
      <c r="AA288" s="527" t="s">
        <v>179</v>
      </c>
      <c r="AB288" s="527">
        <v>3</v>
      </c>
      <c r="AC288" s="527">
        <v>3</v>
      </c>
      <c r="AD288" s="527" t="s">
        <v>2430</v>
      </c>
    </row>
    <row r="289" spans="3:31">
      <c r="C289" s="523">
        <v>264</v>
      </c>
      <c r="D289" s="523">
        <v>4</v>
      </c>
      <c r="E289" s="543" t="s">
        <v>2678</v>
      </c>
      <c r="F289" s="523">
        <v>70</v>
      </c>
      <c r="G289" s="523"/>
      <c r="H289" s="523">
        <v>66</v>
      </c>
      <c r="I289" s="523">
        <v>0</v>
      </c>
      <c r="J289" s="523">
        <v>0</v>
      </c>
      <c r="K289" s="523"/>
      <c r="L289" s="797">
        <f>[1]!tsabetm(C289)</f>
        <v>201.58333333333331</v>
      </c>
      <c r="M289" s="797">
        <f>[1]!tsabetz(C289)</f>
        <v>228.31666666666666</v>
      </c>
      <c r="N289" s="797">
        <f t="shared" si="26"/>
        <v>65.012468827930135</v>
      </c>
      <c r="O289" s="797">
        <f t="shared" si="27"/>
        <v>1445.0028169014086</v>
      </c>
      <c r="P289" s="797">
        <f t="shared" si="28"/>
        <v>18.968077278400415</v>
      </c>
      <c r="Q289" s="797">
        <f t="shared" si="29"/>
        <v>231</v>
      </c>
      <c r="R289" s="797">
        <f t="shared" si="30"/>
        <v>231.31613462130667</v>
      </c>
      <c r="S289" s="797">
        <f>[1]!taqsabet(O289,C289)</f>
        <v>231.31613462130667</v>
      </c>
      <c r="T289" s="523"/>
      <c r="U289" s="523">
        <v>7</v>
      </c>
      <c r="V289" s="523">
        <v>18</v>
      </c>
      <c r="W289" s="523">
        <v>19</v>
      </c>
      <c r="X289" s="523"/>
      <c r="Y289" s="523">
        <v>34</v>
      </c>
      <c r="Z289" s="523">
        <v>15</v>
      </c>
      <c r="AA289" s="523" t="s">
        <v>179</v>
      </c>
      <c r="AB289" s="523">
        <v>3</v>
      </c>
      <c r="AC289" s="523">
        <v>3</v>
      </c>
      <c r="AD289" s="523" t="s">
        <v>2430</v>
      </c>
    </row>
    <row r="290" spans="3:31">
      <c r="C290" s="527">
        <v>265</v>
      </c>
      <c r="D290" s="527">
        <v>5</v>
      </c>
      <c r="E290" s="553" t="s">
        <v>2679</v>
      </c>
      <c r="F290" s="527">
        <v>70</v>
      </c>
      <c r="G290" s="527"/>
      <c r="H290" s="527">
        <v>66</v>
      </c>
      <c r="I290" s="527">
        <v>0</v>
      </c>
      <c r="J290" s="527">
        <v>0</v>
      </c>
      <c r="K290" s="527"/>
      <c r="L290" s="797">
        <f>[1]!tsabetm(C290)</f>
        <v>200.91666666666666</v>
      </c>
      <c r="M290" s="797">
        <f>[1]!tsabetz(C290)</f>
        <v>227.51666666666668</v>
      </c>
      <c r="N290" s="797">
        <f t="shared" si="26"/>
        <v>65.338345864661605</v>
      </c>
      <c r="O290" s="797">
        <f t="shared" si="27"/>
        <v>1445.0028169014086</v>
      </c>
      <c r="P290" s="797">
        <f t="shared" si="28"/>
        <v>30.070480882998254</v>
      </c>
      <c r="Q290" s="797">
        <f t="shared" si="29"/>
        <v>230</v>
      </c>
      <c r="R290" s="797">
        <f t="shared" si="30"/>
        <v>230.5011746813833</v>
      </c>
      <c r="S290" s="797">
        <f>[1]!taqsabet(O290,C290)</f>
        <v>230.5011746813833</v>
      </c>
      <c r="T290" s="527"/>
      <c r="U290" s="527">
        <v>7</v>
      </c>
      <c r="V290" s="527">
        <v>17</v>
      </c>
      <c r="W290" s="527">
        <v>31</v>
      </c>
      <c r="X290" s="527"/>
      <c r="Y290" s="527">
        <v>37</v>
      </c>
      <c r="Z290" s="527">
        <v>0</v>
      </c>
      <c r="AA290" s="527" t="s">
        <v>179</v>
      </c>
      <c r="AB290" s="527">
        <v>5</v>
      </c>
      <c r="AC290" s="527">
        <v>4</v>
      </c>
      <c r="AD290" s="527" t="s">
        <v>2430</v>
      </c>
    </row>
    <row r="291" spans="3:31">
      <c r="C291" s="523">
        <v>266</v>
      </c>
      <c r="D291" s="523">
        <v>6</v>
      </c>
      <c r="E291" s="543" t="s">
        <v>2680</v>
      </c>
      <c r="F291" s="523">
        <v>70</v>
      </c>
      <c r="G291" s="523"/>
      <c r="H291" s="523">
        <v>66</v>
      </c>
      <c r="I291" s="523">
        <v>0</v>
      </c>
      <c r="J291" s="523">
        <v>0</v>
      </c>
      <c r="K291" s="523"/>
      <c r="L291" s="797">
        <f>[1]!tsabetm(C291)</f>
        <v>202.75</v>
      </c>
      <c r="M291" s="797">
        <f>[1]!tsabetz(C291)</f>
        <v>229.21666666666667</v>
      </c>
      <c r="N291" s="797">
        <f t="shared" si="26"/>
        <v>65.66750629722921</v>
      </c>
      <c r="O291" s="797">
        <f t="shared" si="27"/>
        <v>1445.0028169014086</v>
      </c>
      <c r="P291" s="797">
        <f t="shared" si="28"/>
        <v>11.172884487592682</v>
      </c>
      <c r="Q291" s="797">
        <f t="shared" si="29"/>
        <v>232</v>
      </c>
      <c r="R291" s="797">
        <f t="shared" si="30"/>
        <v>232.18621474145988</v>
      </c>
      <c r="S291" s="797">
        <f>[1]!taqsabet(O291,C291)</f>
        <v>232.18621474145988</v>
      </c>
      <c r="T291" s="523"/>
      <c r="U291" s="523">
        <v>7</v>
      </c>
      <c r="V291" s="523">
        <v>19</v>
      </c>
      <c r="W291" s="523">
        <v>13</v>
      </c>
      <c r="X291" s="523"/>
      <c r="Y291" s="523">
        <v>42</v>
      </c>
      <c r="Z291" s="523">
        <v>0</v>
      </c>
      <c r="AA291" s="523" t="s">
        <v>179</v>
      </c>
      <c r="AB291" s="523">
        <v>4</v>
      </c>
      <c r="AC291" s="523">
        <v>4</v>
      </c>
      <c r="AD291" s="523" t="s">
        <v>2430</v>
      </c>
    </row>
    <row r="292" spans="3:31">
      <c r="C292" s="527">
        <v>267</v>
      </c>
      <c r="D292" s="527">
        <v>7</v>
      </c>
      <c r="E292" s="553" t="s">
        <v>2681</v>
      </c>
      <c r="F292" s="527">
        <v>70</v>
      </c>
      <c r="G292" s="527"/>
      <c r="H292" s="527">
        <v>66</v>
      </c>
      <c r="I292" s="527">
        <v>0</v>
      </c>
      <c r="J292" s="527">
        <v>0</v>
      </c>
      <c r="K292" s="527"/>
      <c r="L292" s="797">
        <f>[1]!tsabetm(C292)</f>
        <v>201.25</v>
      </c>
      <c r="M292" s="797">
        <f>[1]!tsabetz(C292)</f>
        <v>227.51666666666668</v>
      </c>
      <c r="N292" s="797">
        <f t="shared" si="26"/>
        <v>66.167512690355295</v>
      </c>
      <c r="O292" s="797">
        <f t="shared" si="27"/>
        <v>1445.0028169014086</v>
      </c>
      <c r="P292" s="797">
        <f t="shared" si="28"/>
        <v>27.826489894489441</v>
      </c>
      <c r="Q292" s="797">
        <f t="shared" si="29"/>
        <v>230</v>
      </c>
      <c r="R292" s="797">
        <f t="shared" si="30"/>
        <v>230.46377483157482</v>
      </c>
      <c r="S292" s="797">
        <f>[1]!taqsabet(O292,C292)</f>
        <v>230.46377483157482</v>
      </c>
      <c r="T292" s="527"/>
      <c r="U292" s="527">
        <v>7</v>
      </c>
      <c r="V292" s="527">
        <v>17</v>
      </c>
      <c r="W292" s="527">
        <v>31</v>
      </c>
      <c r="X292" s="527"/>
      <c r="Y292" s="527">
        <v>28</v>
      </c>
      <c r="Z292" s="527">
        <v>48</v>
      </c>
      <c r="AA292" s="527" t="s">
        <v>179</v>
      </c>
      <c r="AB292" s="527">
        <v>3</v>
      </c>
      <c r="AC292" s="527">
        <v>3</v>
      </c>
      <c r="AD292" s="527" t="s">
        <v>2676</v>
      </c>
    </row>
    <row r="293" spans="3:31">
      <c r="C293" s="523">
        <v>268</v>
      </c>
      <c r="D293" s="523">
        <v>8</v>
      </c>
      <c r="E293" s="543" t="s">
        <v>2682</v>
      </c>
      <c r="F293" s="523">
        <v>70</v>
      </c>
      <c r="G293" s="523"/>
      <c r="H293" s="523">
        <v>66</v>
      </c>
      <c r="I293" s="523">
        <v>0</v>
      </c>
      <c r="J293" s="523">
        <v>0</v>
      </c>
      <c r="K293" s="523"/>
      <c r="L293" s="797">
        <f>[1]!tsabetm(C293)</f>
        <v>204.41666666666666</v>
      </c>
      <c r="M293" s="797">
        <f>[1]!tsabetz(C293)</f>
        <v>230.51666666666668</v>
      </c>
      <c r="N293" s="797">
        <f t="shared" si="26"/>
        <v>66.590038314176184</v>
      </c>
      <c r="O293" s="797">
        <f t="shared" si="27"/>
        <v>1445.0028169014086</v>
      </c>
      <c r="P293" s="797">
        <f t="shared" si="28"/>
        <v>26.704494400235035</v>
      </c>
      <c r="Q293" s="797">
        <f t="shared" si="29"/>
        <v>233</v>
      </c>
      <c r="R293" s="797">
        <f t="shared" si="30"/>
        <v>233.44507490667058</v>
      </c>
      <c r="S293" s="797">
        <f>[1]!taqsabet(O293,C293)</f>
        <v>233.44507490667058</v>
      </c>
      <c r="T293" s="523"/>
      <c r="U293" s="539">
        <v>7</v>
      </c>
      <c r="V293" s="523">
        <v>20</v>
      </c>
      <c r="W293" s="523">
        <v>31</v>
      </c>
      <c r="X293" s="523"/>
      <c r="Y293" s="523">
        <v>26</v>
      </c>
      <c r="Z293" s="523">
        <v>39</v>
      </c>
      <c r="AA293" s="523" t="s">
        <v>179</v>
      </c>
      <c r="AB293" s="523">
        <v>4</v>
      </c>
      <c r="AC293" s="523">
        <v>4</v>
      </c>
      <c r="AD293" s="523" t="s">
        <v>2430</v>
      </c>
    </row>
    <row r="294" spans="3:31">
      <c r="C294" s="527">
        <v>269</v>
      </c>
      <c r="D294" s="527">
        <v>9</v>
      </c>
      <c r="E294" s="553" t="s">
        <v>2612</v>
      </c>
      <c r="F294" s="527">
        <v>70</v>
      </c>
      <c r="G294" s="527"/>
      <c r="H294" s="527">
        <v>66</v>
      </c>
      <c r="I294" s="527">
        <v>9</v>
      </c>
      <c r="J294" s="527">
        <v>15</v>
      </c>
      <c r="K294" s="527" t="s">
        <v>2683</v>
      </c>
      <c r="L294" s="797">
        <f>[1]!tsabetm(C294)</f>
        <v>203.91666666666666</v>
      </c>
      <c r="M294" s="797">
        <f>[1]!tsabetz(C294)</f>
        <v>230.51666666666668</v>
      </c>
      <c r="N294" s="797">
        <f t="shared" si="26"/>
        <v>65.338345864661605</v>
      </c>
      <c r="O294" s="797">
        <f t="shared" si="27"/>
        <v>1445.0028169014086</v>
      </c>
      <c r="P294" s="797">
        <f t="shared" si="28"/>
        <v>30.070480882998254</v>
      </c>
      <c r="Q294" s="797">
        <f t="shared" si="29"/>
        <v>233</v>
      </c>
      <c r="R294" s="797">
        <f t="shared" si="30"/>
        <v>233.5011746813833</v>
      </c>
      <c r="S294" s="797">
        <f>[1]!taqsabet(O294,C294)</f>
        <v>233.5011746813833</v>
      </c>
      <c r="T294" s="527"/>
      <c r="U294" s="527">
        <v>7</v>
      </c>
      <c r="V294" s="527">
        <v>20</v>
      </c>
      <c r="W294" s="527">
        <v>31</v>
      </c>
      <c r="X294" s="527"/>
      <c r="Y294" s="527">
        <v>25</v>
      </c>
      <c r="Z294" s="527">
        <v>48</v>
      </c>
      <c r="AA294" s="527" t="s">
        <v>179</v>
      </c>
      <c r="AB294" s="527">
        <v>3</v>
      </c>
      <c r="AC294" s="527">
        <v>3</v>
      </c>
      <c r="AD294" s="527" t="s">
        <v>2430</v>
      </c>
      <c r="AE294" s="327">
        <v>581</v>
      </c>
    </row>
    <row r="295" spans="3:31">
      <c r="C295" s="523">
        <v>270</v>
      </c>
      <c r="D295" s="523">
        <v>10</v>
      </c>
      <c r="E295" s="543" t="s">
        <v>2667</v>
      </c>
      <c r="F295" s="523">
        <v>70</v>
      </c>
      <c r="G295" s="523"/>
      <c r="H295" s="523">
        <v>66</v>
      </c>
      <c r="I295" s="523">
        <v>0</v>
      </c>
      <c r="J295" s="523">
        <v>0</v>
      </c>
      <c r="K295" s="523"/>
      <c r="L295" s="797">
        <f>[1]!tsabetm(C295)</f>
        <v>205.91666666666666</v>
      </c>
      <c r="M295" s="797">
        <f>[1]!tsabetz(C295)</f>
        <v>232.76666666666668</v>
      </c>
      <c r="N295" s="797">
        <f t="shared" si="26"/>
        <v>64.729981378026011</v>
      </c>
      <c r="O295" s="797">
        <f t="shared" si="27"/>
        <v>1445.0028169014086</v>
      </c>
      <c r="P295" s="797">
        <f t="shared" si="28"/>
        <v>46.753474124379863</v>
      </c>
      <c r="Q295" s="797">
        <f t="shared" si="29"/>
        <v>235</v>
      </c>
      <c r="R295" s="797">
        <f t="shared" si="30"/>
        <v>235.77922456873966</v>
      </c>
      <c r="S295" s="797">
        <f>[1]!taqsabet(O295,C295)</f>
        <v>235.77922456873966</v>
      </c>
      <c r="T295" s="523"/>
      <c r="U295" s="523">
        <v>7</v>
      </c>
      <c r="V295" s="523">
        <v>22</v>
      </c>
      <c r="W295" s="523">
        <v>46</v>
      </c>
      <c r="X295" s="523"/>
      <c r="Y295" s="523">
        <v>24</v>
      </c>
      <c r="Z295" s="523">
        <v>27</v>
      </c>
      <c r="AA295" s="523" t="s">
        <v>179</v>
      </c>
      <c r="AB295" s="523">
        <v>3</v>
      </c>
      <c r="AC295" s="523">
        <v>3</v>
      </c>
      <c r="AD295" s="523" t="s">
        <v>2430</v>
      </c>
    </row>
    <row r="296" spans="3:31">
      <c r="C296" s="527">
        <v>271</v>
      </c>
      <c r="D296" s="527">
        <v>11</v>
      </c>
      <c r="E296" s="553" t="s">
        <v>2684</v>
      </c>
      <c r="F296" s="527">
        <v>70</v>
      </c>
      <c r="G296" s="527"/>
      <c r="H296" s="527">
        <v>66</v>
      </c>
      <c r="I296" s="527">
        <v>0</v>
      </c>
      <c r="J296" s="527">
        <v>0</v>
      </c>
      <c r="K296" s="527"/>
      <c r="L296" s="797">
        <f>[1]!tsabetm(C296)</f>
        <v>208.25</v>
      </c>
      <c r="M296" s="797">
        <f>[1]!tsabetz(C296)</f>
        <v>234.51666666666668</v>
      </c>
      <c r="N296" s="797">
        <f t="shared" si="26"/>
        <v>66.167512690355295</v>
      </c>
      <c r="O296" s="797">
        <f t="shared" si="27"/>
        <v>1445.0028169014086</v>
      </c>
      <c r="P296" s="797">
        <f t="shared" si="28"/>
        <v>27.826489894489441</v>
      </c>
      <c r="Q296" s="797">
        <f t="shared" si="29"/>
        <v>237</v>
      </c>
      <c r="R296" s="797">
        <f t="shared" si="30"/>
        <v>237.46377483157482</v>
      </c>
      <c r="S296" s="797">
        <f>[1]!taqsabet(O296,C296)</f>
        <v>237.46377483157482</v>
      </c>
      <c r="T296" s="527"/>
      <c r="U296" s="527">
        <v>7</v>
      </c>
      <c r="V296" s="527">
        <v>24</v>
      </c>
      <c r="W296" s="527">
        <v>31</v>
      </c>
      <c r="X296" s="527"/>
      <c r="Y296" s="527">
        <v>16</v>
      </c>
      <c r="Z296" s="527">
        <v>15</v>
      </c>
      <c r="AA296" s="527" t="s">
        <v>179</v>
      </c>
      <c r="AB296" s="527">
        <v>4</v>
      </c>
      <c r="AC296" s="527">
        <v>4</v>
      </c>
      <c r="AD296" s="527" t="s">
        <v>2430</v>
      </c>
    </row>
    <row r="297" spans="3:31">
      <c r="C297" s="523">
        <v>272</v>
      </c>
      <c r="D297" s="523">
        <v>12</v>
      </c>
      <c r="E297" s="543" t="s">
        <v>2685</v>
      </c>
      <c r="F297" s="523">
        <v>70</v>
      </c>
      <c r="G297" s="523"/>
      <c r="H297" s="523">
        <v>66</v>
      </c>
      <c r="I297" s="523">
        <v>0</v>
      </c>
      <c r="J297" s="523">
        <v>0</v>
      </c>
      <c r="K297" s="523"/>
      <c r="L297" s="797">
        <f>[1]!tsabetm(C297)</f>
        <v>217.75</v>
      </c>
      <c r="M297" s="797">
        <f>[1]!tsabetz(C297)</f>
        <v>244.76666666666668</v>
      </c>
      <c r="N297" s="797">
        <f t="shared" si="26"/>
        <v>64.330660086366407</v>
      </c>
      <c r="O297" s="797">
        <f t="shared" si="27"/>
        <v>1445.0028169014086</v>
      </c>
      <c r="P297" s="797">
        <f t="shared" si="28"/>
        <v>47.875469618632565</v>
      </c>
      <c r="Q297" s="797">
        <f t="shared" si="29"/>
        <v>247</v>
      </c>
      <c r="R297" s="797">
        <f t="shared" si="30"/>
        <v>247.79792449364388</v>
      </c>
      <c r="S297" s="797">
        <f>[1]!taqsabet(O297,C297)</f>
        <v>247.79792449364388</v>
      </c>
      <c r="T297" s="523"/>
      <c r="U297" s="523">
        <v>8</v>
      </c>
      <c r="V297" s="523">
        <v>4</v>
      </c>
      <c r="W297" s="523">
        <v>46</v>
      </c>
      <c r="X297" s="523"/>
      <c r="Y297" s="523">
        <v>13</v>
      </c>
      <c r="Z297" s="523">
        <v>12</v>
      </c>
      <c r="AA297" s="523" t="s">
        <v>179</v>
      </c>
      <c r="AB297" s="523">
        <v>5</v>
      </c>
      <c r="AC297" s="523">
        <v>5</v>
      </c>
      <c r="AD297" s="523" t="s">
        <v>2430</v>
      </c>
    </row>
    <row r="298" spans="3:31">
      <c r="C298" s="527">
        <v>273</v>
      </c>
      <c r="D298" s="527">
        <v>13</v>
      </c>
      <c r="E298" s="553" t="s">
        <v>2686</v>
      </c>
      <c r="F298" s="527">
        <v>70</v>
      </c>
      <c r="G298" s="527"/>
      <c r="H298" s="527">
        <v>66</v>
      </c>
      <c r="I298" s="527">
        <v>0</v>
      </c>
      <c r="J298" s="527">
        <v>0</v>
      </c>
      <c r="K298" s="527"/>
      <c r="L298" s="797">
        <f>[1]!tsabetm(C298)</f>
        <v>233.25</v>
      </c>
      <c r="M298" s="797">
        <f>[1]!tsabetz(C298)</f>
        <v>258.51666666666665</v>
      </c>
      <c r="N298" s="797">
        <f t="shared" si="26"/>
        <v>68.786279683377344</v>
      </c>
      <c r="O298" s="797">
        <f t="shared" si="27"/>
        <v>1445.0028169014086</v>
      </c>
      <c r="P298" s="797">
        <f t="shared" si="28"/>
        <v>21.094516928959592</v>
      </c>
      <c r="Q298" s="797">
        <f t="shared" si="29"/>
        <v>261</v>
      </c>
      <c r="R298" s="797">
        <f t="shared" si="30"/>
        <v>261.35157528214933</v>
      </c>
      <c r="S298" s="797">
        <f>[1]!taqsabet(O298,C298)</f>
        <v>261.35157528214933</v>
      </c>
      <c r="T298" s="527"/>
      <c r="U298" s="527">
        <v>8</v>
      </c>
      <c r="V298" s="527">
        <v>18</v>
      </c>
      <c r="W298" s="527">
        <v>31</v>
      </c>
      <c r="X298" s="527"/>
      <c r="Y298" s="527">
        <v>10</v>
      </c>
      <c r="Z298" s="527">
        <v>21</v>
      </c>
      <c r="AA298" s="527" t="s">
        <v>179</v>
      </c>
      <c r="AB298" s="527">
        <v>4</v>
      </c>
      <c r="AC298" s="527">
        <v>4</v>
      </c>
      <c r="AD298" s="527" t="s">
        <v>2430</v>
      </c>
    </row>
    <row r="299" spans="3:31">
      <c r="C299" s="523">
        <v>274</v>
      </c>
      <c r="D299" s="523">
        <v>14</v>
      </c>
      <c r="E299" s="543" t="s">
        <v>2687</v>
      </c>
      <c r="F299" s="523">
        <v>70</v>
      </c>
      <c r="G299" s="523"/>
      <c r="H299" s="523">
        <v>66</v>
      </c>
      <c r="I299" s="523">
        <v>0</v>
      </c>
      <c r="J299" s="523">
        <v>0</v>
      </c>
      <c r="K299" s="523"/>
      <c r="L299" s="797">
        <f>[1]!tsabetm(C299)</f>
        <v>236.58333333333331</v>
      </c>
      <c r="M299" s="797">
        <f>[1]!tsabetz(C299)</f>
        <v>262.76666666666665</v>
      </c>
      <c r="N299" s="797">
        <f t="shared" si="26"/>
        <v>66.37810311903246</v>
      </c>
      <c r="O299" s="797">
        <f t="shared" si="27"/>
        <v>1445.0028169014086</v>
      </c>
      <c r="P299" s="797">
        <f t="shared" si="28"/>
        <v>42.265492147358827</v>
      </c>
      <c r="Q299" s="797">
        <f t="shared" si="29"/>
        <v>265</v>
      </c>
      <c r="R299" s="797">
        <f t="shared" si="30"/>
        <v>265.70442486912265</v>
      </c>
      <c r="S299" s="797">
        <f>[1]!taqsabet(O299,C299)</f>
        <v>265.70442486912265</v>
      </c>
      <c r="T299" s="523"/>
      <c r="U299" s="523">
        <v>8</v>
      </c>
      <c r="V299" s="523">
        <v>22</v>
      </c>
      <c r="W299" s="523">
        <v>46</v>
      </c>
      <c r="X299" s="523"/>
      <c r="Y299" s="523">
        <v>8</v>
      </c>
      <c r="Z299" s="523">
        <v>6</v>
      </c>
      <c r="AA299" s="523" t="s">
        <v>179</v>
      </c>
      <c r="AB299" s="523">
        <v>4</v>
      </c>
      <c r="AC299" s="523">
        <v>4</v>
      </c>
      <c r="AD299" s="523" t="s">
        <v>2430</v>
      </c>
    </row>
    <row r="300" spans="3:31">
      <c r="C300" s="527">
        <v>275</v>
      </c>
      <c r="D300" s="527">
        <v>15</v>
      </c>
      <c r="E300" s="553" t="s">
        <v>2582</v>
      </c>
      <c r="F300" s="527">
        <v>70</v>
      </c>
      <c r="G300" s="527"/>
      <c r="H300" s="527">
        <v>66</v>
      </c>
      <c r="I300" s="527">
        <v>0</v>
      </c>
      <c r="J300" s="527">
        <v>0</v>
      </c>
      <c r="K300" s="527"/>
      <c r="L300" s="797">
        <f>[1]!tsabetm(C300)</f>
        <v>237.41666666666666</v>
      </c>
      <c r="M300" s="797">
        <f>[1]!tsabetz(C300)</f>
        <v>263.10000000000002</v>
      </c>
      <c r="N300" s="797">
        <f t="shared" si="26"/>
        <v>67.670343932511273</v>
      </c>
      <c r="O300" s="797">
        <f t="shared" si="27"/>
        <v>1445.0028169014086</v>
      </c>
      <c r="P300" s="797">
        <f t="shared" si="28"/>
        <v>58.899505664597882</v>
      </c>
      <c r="Q300" s="797">
        <f t="shared" si="29"/>
        <v>265</v>
      </c>
      <c r="R300" s="797">
        <f t="shared" si="30"/>
        <v>265.9816584277433</v>
      </c>
      <c r="S300" s="797">
        <f>[1]!taqsabet(O300,C300)</f>
        <v>265.9816584277433</v>
      </c>
      <c r="T300" s="527"/>
      <c r="U300" s="527">
        <v>8</v>
      </c>
      <c r="V300" s="527">
        <v>23</v>
      </c>
      <c r="W300" s="527">
        <v>6</v>
      </c>
      <c r="X300" s="527"/>
      <c r="Y300" s="527">
        <v>10</v>
      </c>
      <c r="Z300" s="527">
        <v>16</v>
      </c>
      <c r="AA300" s="527" t="s">
        <v>179</v>
      </c>
      <c r="AB300" s="527">
        <v>4</v>
      </c>
      <c r="AC300" s="527">
        <v>4</v>
      </c>
      <c r="AD300" s="527" t="s">
        <v>2430</v>
      </c>
    </row>
    <row r="301" spans="3:31">
      <c r="C301" s="523">
        <v>276</v>
      </c>
      <c r="D301" s="523">
        <v>16</v>
      </c>
      <c r="E301" s="543" t="s">
        <v>2688</v>
      </c>
      <c r="F301" s="523">
        <v>70</v>
      </c>
      <c r="G301" s="523"/>
      <c r="H301" s="523">
        <v>66</v>
      </c>
      <c r="I301" s="523">
        <v>0</v>
      </c>
      <c r="J301" s="523">
        <v>0</v>
      </c>
      <c r="K301" s="523"/>
      <c r="L301" s="797">
        <f>[1]!tsabetm(C301)</f>
        <v>243.25</v>
      </c>
      <c r="M301" s="797">
        <f>[1]!tsabetz(C301)</f>
        <v>269.46666666666664</v>
      </c>
      <c r="N301" s="797">
        <f t="shared" si="26"/>
        <v>66.293706293706364</v>
      </c>
      <c r="O301" s="797">
        <f t="shared" si="27"/>
        <v>1445.0028169014086</v>
      </c>
      <c r="P301" s="797">
        <f t="shared" si="28"/>
        <v>24.489891246211073</v>
      </c>
      <c r="Q301" s="797">
        <f t="shared" si="29"/>
        <v>272</v>
      </c>
      <c r="R301" s="797">
        <f t="shared" si="30"/>
        <v>272.40816485410352</v>
      </c>
      <c r="S301" s="797">
        <f>[1]!taqsabet(O301,C301)</f>
        <v>272.40816485410352</v>
      </c>
      <c r="T301" s="523"/>
      <c r="U301" s="523">
        <v>8</v>
      </c>
      <c r="V301" s="523">
        <v>29</v>
      </c>
      <c r="W301" s="523">
        <v>23</v>
      </c>
      <c r="X301" s="523"/>
      <c r="Y301" s="523">
        <v>19</v>
      </c>
      <c r="Z301" s="523">
        <v>21</v>
      </c>
      <c r="AA301" s="523" t="s">
        <v>179</v>
      </c>
      <c r="AB301" s="523">
        <v>4</v>
      </c>
      <c r="AC301" s="523">
        <v>4</v>
      </c>
      <c r="AD301" s="523" t="s">
        <v>2430</v>
      </c>
    </row>
    <row r="302" spans="3:31">
      <c r="C302" s="527">
        <v>277</v>
      </c>
      <c r="D302" s="527">
        <v>17</v>
      </c>
      <c r="E302" s="553" t="s">
        <v>2689</v>
      </c>
      <c r="F302" s="527">
        <v>70</v>
      </c>
      <c r="G302" s="527"/>
      <c r="H302" s="527">
        <v>66</v>
      </c>
      <c r="I302" s="527">
        <v>0</v>
      </c>
      <c r="J302" s="527">
        <v>0</v>
      </c>
      <c r="K302" s="527"/>
      <c r="L302" s="797">
        <f>[1]!tsabetm(C302)</f>
        <v>248.25</v>
      </c>
      <c r="M302" s="797">
        <f>[1]!tsabetz(C302)</f>
        <v>274.66666666666669</v>
      </c>
      <c r="N302" s="797">
        <f t="shared" si="26"/>
        <v>65.791798107255474</v>
      </c>
      <c r="O302" s="797">
        <f t="shared" si="27"/>
        <v>1445.0028169014086</v>
      </c>
      <c r="P302" s="797">
        <f t="shared" si="28"/>
        <v>37.836285839317725</v>
      </c>
      <c r="Q302" s="797">
        <f t="shared" si="29"/>
        <v>277</v>
      </c>
      <c r="R302" s="797">
        <f t="shared" si="30"/>
        <v>277.63060476398863</v>
      </c>
      <c r="S302" s="797">
        <f>[1]!taqsabet(O302,C302)</f>
        <v>277.63060476398863</v>
      </c>
      <c r="T302" s="527"/>
      <c r="U302" s="527">
        <v>9</v>
      </c>
      <c r="V302" s="527">
        <v>4</v>
      </c>
      <c r="W302" s="527">
        <v>40</v>
      </c>
      <c r="X302" s="527"/>
      <c r="Y302" s="527">
        <v>20</v>
      </c>
      <c r="Z302" s="527">
        <v>18</v>
      </c>
      <c r="AA302" s="527" t="s">
        <v>179</v>
      </c>
      <c r="AB302" s="527">
        <v>4</v>
      </c>
      <c r="AC302" s="527">
        <v>4</v>
      </c>
      <c r="AD302" s="527" t="s">
        <v>2430</v>
      </c>
    </row>
    <row r="303" spans="3:31">
      <c r="C303" s="523">
        <v>278</v>
      </c>
      <c r="D303" s="523">
        <v>18</v>
      </c>
      <c r="E303" s="543" t="s">
        <v>2690</v>
      </c>
      <c r="F303" s="523">
        <v>70</v>
      </c>
      <c r="G303" s="523"/>
      <c r="H303" s="523">
        <v>66</v>
      </c>
      <c r="I303" s="523">
        <v>0</v>
      </c>
      <c r="J303" s="523">
        <v>0</v>
      </c>
      <c r="K303" s="523"/>
      <c r="L303" s="797">
        <f>[1]!tsabetm(C303)</f>
        <v>257.91666666666669</v>
      </c>
      <c r="M303" s="797">
        <f>[1]!tsabetz(C303)</f>
        <v>284.21666666666664</v>
      </c>
      <c r="N303" s="797">
        <f t="shared" si="26"/>
        <v>66.083650190114184</v>
      </c>
      <c r="O303" s="797">
        <f t="shared" si="27"/>
        <v>1445.0028169014086</v>
      </c>
      <c r="P303" s="797">
        <f t="shared" si="28"/>
        <v>10.050888993338276</v>
      </c>
      <c r="Q303" s="797">
        <f t="shared" si="29"/>
        <v>287</v>
      </c>
      <c r="R303" s="797">
        <f t="shared" si="30"/>
        <v>287.16751481655564</v>
      </c>
      <c r="S303" s="797">
        <f>[1]!taqsabet(O303,C303)</f>
        <v>287.16751481655564</v>
      </c>
      <c r="T303" s="523"/>
      <c r="U303" s="523">
        <v>9</v>
      </c>
      <c r="V303" s="523">
        <v>14</v>
      </c>
      <c r="W303" s="523">
        <v>13</v>
      </c>
      <c r="X303" s="523"/>
      <c r="Y303" s="523">
        <v>26</v>
      </c>
      <c r="Z303" s="523">
        <v>16</v>
      </c>
      <c r="AA303" s="523" t="s">
        <v>179</v>
      </c>
      <c r="AB303" s="523">
        <v>4</v>
      </c>
      <c r="AC303" s="523">
        <v>4</v>
      </c>
      <c r="AD303" s="523" t="s">
        <v>2430</v>
      </c>
    </row>
    <row r="304" spans="3:31">
      <c r="C304" s="546"/>
      <c r="D304" s="546"/>
      <c r="E304" s="546"/>
      <c r="F304" s="546"/>
      <c r="G304" s="546"/>
      <c r="H304" s="546"/>
      <c r="I304" s="546"/>
      <c r="J304" s="546"/>
      <c r="K304" s="546"/>
      <c r="N304" s="797">
        <f t="shared" si="26"/>
        <v>4.8277777777777775</v>
      </c>
      <c r="O304" s="797">
        <f t="shared" si="27"/>
        <v>1445.0028169014086</v>
      </c>
      <c r="P304" s="797">
        <f t="shared" si="28"/>
        <v>23.510267589427372</v>
      </c>
      <c r="Q304" s="797">
        <f t="shared" si="29"/>
        <v>40</v>
      </c>
      <c r="R304" s="797">
        <f t="shared" si="30"/>
        <v>40.391837793157123</v>
      </c>
      <c r="S304" s="797">
        <f>[1]!taqsabet(O304,C304)</f>
        <v>1.4716840899636423</v>
      </c>
      <c r="T304" s="546"/>
      <c r="U304" s="546"/>
      <c r="V304" s="546"/>
      <c r="W304" s="546"/>
      <c r="X304" s="546"/>
      <c r="Y304" s="546"/>
      <c r="Z304" s="546"/>
      <c r="AA304" s="546"/>
      <c r="AB304" s="546"/>
      <c r="AC304" s="546"/>
      <c r="AD304" s="546"/>
    </row>
    <row r="305" spans="1:31">
      <c r="A305" s="520">
        <v>15</v>
      </c>
      <c r="B305" s="536" t="s">
        <v>2691</v>
      </c>
      <c r="C305" s="522">
        <v>279</v>
      </c>
      <c r="D305" s="522">
        <v>1</v>
      </c>
      <c r="E305" s="550" t="s">
        <v>2692</v>
      </c>
      <c r="F305" s="522">
        <v>70</v>
      </c>
      <c r="G305" s="522"/>
      <c r="H305" s="522">
        <v>66</v>
      </c>
      <c r="I305" s="522">
        <v>0</v>
      </c>
      <c r="J305" s="522">
        <v>0</v>
      </c>
      <c r="K305" s="522"/>
      <c r="L305" s="797">
        <f>[1]!tsabetm(C305)</f>
        <v>279.75</v>
      </c>
      <c r="M305" s="797">
        <f>[1]!tsabetz(C305)</f>
        <v>305.91666666666669</v>
      </c>
      <c r="N305" s="797">
        <f t="shared" si="26"/>
        <v>66.420382165605048</v>
      </c>
      <c r="O305" s="797">
        <f t="shared" si="27"/>
        <v>1445.0028169014086</v>
      </c>
      <c r="P305" s="797">
        <f t="shared" si="28"/>
        <v>51.153292597936115</v>
      </c>
      <c r="Q305" s="797">
        <f t="shared" si="29"/>
        <v>308</v>
      </c>
      <c r="R305" s="797">
        <f t="shared" si="30"/>
        <v>308.85255487663227</v>
      </c>
      <c r="S305" s="797">
        <f>[1]!taqsabet(O305,C305)</f>
        <v>308.85255487663227</v>
      </c>
      <c r="T305" s="522"/>
      <c r="U305" s="522">
        <v>10</v>
      </c>
      <c r="V305" s="522">
        <v>5</v>
      </c>
      <c r="W305" s="522">
        <v>55</v>
      </c>
      <c r="X305" s="522"/>
      <c r="Y305" s="522">
        <v>39</v>
      </c>
      <c r="Z305" s="522">
        <v>15</v>
      </c>
      <c r="AA305" s="522" t="s">
        <v>179</v>
      </c>
      <c r="AB305" s="522">
        <v>4</v>
      </c>
      <c r="AC305" s="522">
        <v>4</v>
      </c>
      <c r="AD305" s="522" t="s">
        <v>2693</v>
      </c>
    </row>
    <row r="306" spans="1:31">
      <c r="C306" s="523">
        <v>280</v>
      </c>
      <c r="D306" s="523">
        <v>2</v>
      </c>
      <c r="E306" s="543" t="s">
        <v>2694</v>
      </c>
      <c r="F306" s="523">
        <v>70</v>
      </c>
      <c r="G306" s="523"/>
      <c r="H306" s="523">
        <v>66</v>
      </c>
      <c r="I306" s="523">
        <v>0</v>
      </c>
      <c r="J306" s="523">
        <v>0</v>
      </c>
      <c r="K306" s="523"/>
      <c r="L306" s="797">
        <f>[1]!tsabetm(C306)</f>
        <v>276.25</v>
      </c>
      <c r="M306" s="797">
        <f>[1]!tsabetz(C306)</f>
        <v>303.66666666666669</v>
      </c>
      <c r="N306" s="797">
        <f t="shared" si="26"/>
        <v>63.392097264437645</v>
      </c>
      <c r="O306" s="797">
        <f t="shared" si="27"/>
        <v>1445.0028169014086</v>
      </c>
      <c r="P306" s="797">
        <f t="shared" si="28"/>
        <v>44.568258804844163</v>
      </c>
      <c r="Q306" s="797">
        <f t="shared" si="29"/>
        <v>306</v>
      </c>
      <c r="R306" s="797">
        <f t="shared" si="30"/>
        <v>306.74280431341407</v>
      </c>
      <c r="S306" s="797">
        <f>[1]!taqsabet(O306,C306)</f>
        <v>306.74280431341407</v>
      </c>
      <c r="T306" s="523"/>
      <c r="U306" s="523">
        <v>10</v>
      </c>
      <c r="V306" s="523">
        <v>3</v>
      </c>
      <c r="W306" s="523">
        <v>40</v>
      </c>
      <c r="X306" s="523"/>
      <c r="Y306" s="523">
        <v>39</v>
      </c>
      <c r="Z306" s="523">
        <v>9</v>
      </c>
      <c r="AA306" s="523" t="s">
        <v>2695</v>
      </c>
      <c r="AB306" s="523">
        <v>6</v>
      </c>
      <c r="AC306" s="523">
        <v>6</v>
      </c>
      <c r="AD306" s="523" t="s">
        <v>2693</v>
      </c>
    </row>
    <row r="307" spans="1:31">
      <c r="C307" s="522">
        <v>281</v>
      </c>
      <c r="D307" s="522">
        <v>3</v>
      </c>
      <c r="E307" s="550" t="s">
        <v>2612</v>
      </c>
      <c r="F307" s="522">
        <v>70</v>
      </c>
      <c r="G307" s="522"/>
      <c r="H307" s="522">
        <v>66</v>
      </c>
      <c r="I307" s="522">
        <v>0</v>
      </c>
      <c r="J307" s="522">
        <v>0</v>
      </c>
      <c r="K307" s="522"/>
      <c r="L307" s="797">
        <f>[1]!tsabetm(C307)</f>
        <v>275.41666666666669</v>
      </c>
      <c r="M307" s="797">
        <f>[1]!tsabetz(C307)</f>
        <v>302.51666666666665</v>
      </c>
      <c r="N307" s="797">
        <f t="shared" si="26"/>
        <v>64.132841328413363</v>
      </c>
      <c r="O307" s="797">
        <f t="shared" si="27"/>
        <v>1445.0028169014086</v>
      </c>
      <c r="P307" s="797">
        <f t="shared" si="28"/>
        <v>33.436467365758062</v>
      </c>
      <c r="Q307" s="797">
        <f t="shared" si="29"/>
        <v>305</v>
      </c>
      <c r="R307" s="797">
        <f t="shared" si="30"/>
        <v>305.55727445609597</v>
      </c>
      <c r="S307" s="797">
        <f>[1]!taqsabet(O307,C307)</f>
        <v>305.55727445609597</v>
      </c>
      <c r="T307" s="522"/>
      <c r="U307" s="522">
        <v>10</v>
      </c>
      <c r="V307" s="522">
        <v>2</v>
      </c>
      <c r="W307" s="522">
        <v>31</v>
      </c>
      <c r="X307" s="522"/>
      <c r="Y307" s="522">
        <v>38</v>
      </c>
      <c r="Z307" s="522">
        <v>45</v>
      </c>
      <c r="AA307" s="522" t="s">
        <v>2695</v>
      </c>
      <c r="AB307" s="522">
        <v>5</v>
      </c>
      <c r="AC307" s="522">
        <v>5</v>
      </c>
      <c r="AD307" s="522" t="s">
        <v>2693</v>
      </c>
    </row>
    <row r="308" spans="1:31">
      <c r="C308" s="523">
        <v>282</v>
      </c>
      <c r="D308" s="523">
        <v>4</v>
      </c>
      <c r="E308" s="543" t="s">
        <v>2696</v>
      </c>
      <c r="F308" s="523">
        <v>70</v>
      </c>
      <c r="G308" s="523"/>
      <c r="H308" s="523">
        <v>66</v>
      </c>
      <c r="I308" s="523">
        <v>0</v>
      </c>
      <c r="J308" s="523">
        <v>0</v>
      </c>
      <c r="K308" s="523"/>
      <c r="L308" s="797">
        <f>[1]!tsabetm(C308)</f>
        <v>274.25</v>
      </c>
      <c r="M308" s="797">
        <f>[1]!tsabetz(C308)</f>
        <v>300.76666666666665</v>
      </c>
      <c r="N308" s="797">
        <f t="shared" si="26"/>
        <v>65.543683218101862</v>
      </c>
      <c r="O308" s="797">
        <f t="shared" si="27"/>
        <v>1445.0028169014086</v>
      </c>
      <c r="P308" s="797">
        <f t="shared" si="28"/>
        <v>44.50948313586764</v>
      </c>
      <c r="Q308" s="797">
        <f t="shared" si="29"/>
        <v>303</v>
      </c>
      <c r="R308" s="797">
        <f t="shared" si="30"/>
        <v>303.74182471893113</v>
      </c>
      <c r="S308" s="797">
        <f>[1]!taqsabet(O308,C308)</f>
        <v>303.74182471893113</v>
      </c>
      <c r="T308" s="523"/>
      <c r="U308" s="523">
        <v>10</v>
      </c>
      <c r="V308" s="523">
        <v>0</v>
      </c>
      <c r="W308" s="523">
        <v>46</v>
      </c>
      <c r="X308" s="523"/>
      <c r="Y308" s="523">
        <v>38</v>
      </c>
      <c r="Z308" s="523">
        <v>30</v>
      </c>
      <c r="AA308" s="523" t="s">
        <v>2695</v>
      </c>
      <c r="AB308" s="523">
        <v>5</v>
      </c>
      <c r="AC308" s="523">
        <v>5</v>
      </c>
      <c r="AD308" s="523" t="s">
        <v>2693</v>
      </c>
    </row>
    <row r="309" spans="1:31">
      <c r="C309" s="522">
        <v>283</v>
      </c>
      <c r="D309" s="522">
        <v>5</v>
      </c>
      <c r="E309" s="550" t="s">
        <v>2697</v>
      </c>
      <c r="F309" s="522">
        <v>70</v>
      </c>
      <c r="G309" s="522"/>
      <c r="H309" s="522">
        <v>66</v>
      </c>
      <c r="I309" s="522">
        <v>0</v>
      </c>
      <c r="J309" s="522">
        <v>0</v>
      </c>
      <c r="K309" s="522"/>
      <c r="L309" s="797">
        <f>[1]!tsabetm(C309)</f>
        <v>272.91666666666669</v>
      </c>
      <c r="M309" s="797">
        <f>[1]!tsabetz(C309)</f>
        <v>300.11666666666667</v>
      </c>
      <c r="N309" s="797">
        <f t="shared" si="26"/>
        <v>63.897058823529441</v>
      </c>
      <c r="O309" s="797">
        <f t="shared" si="27"/>
        <v>1445.0028169014086</v>
      </c>
      <c r="P309" s="797">
        <f t="shared" si="28"/>
        <v>10.109664662311388</v>
      </c>
      <c r="Q309" s="797">
        <f t="shared" si="29"/>
        <v>303</v>
      </c>
      <c r="R309" s="797">
        <f t="shared" si="30"/>
        <v>303.16849441103852</v>
      </c>
      <c r="S309" s="797">
        <f>[1]!taqsabet(O309,C309)</f>
        <v>303.16849441103852</v>
      </c>
      <c r="T309" s="522"/>
      <c r="U309" s="522">
        <v>10</v>
      </c>
      <c r="V309" s="522">
        <v>0</v>
      </c>
      <c r="W309" s="522">
        <v>7</v>
      </c>
      <c r="X309" s="522"/>
      <c r="Y309" s="522">
        <v>38</v>
      </c>
      <c r="Z309" s="522">
        <v>12</v>
      </c>
      <c r="AA309" s="522" t="s">
        <v>179</v>
      </c>
      <c r="AB309" s="522">
        <v>5</v>
      </c>
      <c r="AC309" s="522">
        <v>5</v>
      </c>
      <c r="AD309" s="522" t="s">
        <v>2693</v>
      </c>
    </row>
    <row r="310" spans="1:31">
      <c r="B310" s="505" t="s">
        <v>2355</v>
      </c>
      <c r="C310" s="506" t="s">
        <v>2356</v>
      </c>
      <c r="D310" s="507" t="s">
        <v>2357</v>
      </c>
      <c r="E310" s="511" t="s">
        <v>2358</v>
      </c>
      <c r="F310" s="511"/>
      <c r="G310" s="511"/>
      <c r="H310" s="511"/>
      <c r="I310" s="511"/>
      <c r="J310" s="511"/>
      <c r="K310" s="514" t="s">
        <v>2360</v>
      </c>
      <c r="N310" s="797">
        <f t="shared" si="26"/>
        <v>4.8277777777777775</v>
      </c>
      <c r="O310" s="797">
        <f t="shared" si="27"/>
        <v>1445.0028169014086</v>
      </c>
      <c r="P310" s="797">
        <f t="shared" si="28"/>
        <v>23.510267589427372</v>
      </c>
      <c r="Q310" s="797">
        <f t="shared" si="29"/>
        <v>40</v>
      </c>
      <c r="R310" s="797">
        <f t="shared" si="30"/>
        <v>40.391837793157123</v>
      </c>
      <c r="S310" s="797" t="e">
        <f>[1]!taqsabet(O310,C310)</f>
        <v>#VALUE!</v>
      </c>
      <c r="T310" s="507"/>
      <c r="U310" s="508" t="s">
        <v>403</v>
      </c>
      <c r="V310" s="508"/>
      <c r="W310" s="509"/>
      <c r="X310" s="507"/>
      <c r="Y310" s="509" t="s">
        <v>275</v>
      </c>
      <c r="Z310" s="510"/>
      <c r="AA310" s="506" t="s">
        <v>176</v>
      </c>
      <c r="AB310" s="511" t="s">
        <v>2361</v>
      </c>
      <c r="AC310" s="511" t="s">
        <v>2362</v>
      </c>
      <c r="AD310" s="511" t="s">
        <v>2363</v>
      </c>
    </row>
    <row r="311" spans="1:31">
      <c r="B311" s="505"/>
      <c r="C311" s="512"/>
      <c r="D311" s="512"/>
      <c r="E311" s="513"/>
      <c r="F311" s="513"/>
      <c r="G311" s="513"/>
      <c r="H311" s="513"/>
      <c r="I311" s="513"/>
      <c r="J311" s="513"/>
      <c r="K311" s="514"/>
      <c r="N311" s="797">
        <f t="shared" si="26"/>
        <v>4.8277777777777775</v>
      </c>
      <c r="O311" s="797">
        <f t="shared" si="27"/>
        <v>1445.0028169014086</v>
      </c>
      <c r="P311" s="797">
        <f t="shared" si="28"/>
        <v>23.510267589427372</v>
      </c>
      <c r="Q311" s="797">
        <f t="shared" si="29"/>
        <v>40</v>
      </c>
      <c r="R311" s="797">
        <f t="shared" si="30"/>
        <v>40.391837793157123</v>
      </c>
      <c r="S311" s="797">
        <f>[1]!taqsabet(O311,C311)</f>
        <v>1.4716840899636423</v>
      </c>
      <c r="T311" s="515" t="s">
        <v>2367</v>
      </c>
      <c r="U311" s="516" t="s">
        <v>173</v>
      </c>
      <c r="V311" s="516" t="s">
        <v>172</v>
      </c>
      <c r="W311" s="516" t="s">
        <v>166</v>
      </c>
      <c r="X311" s="517" t="s">
        <v>2367</v>
      </c>
      <c r="Y311" s="516" t="s">
        <v>172</v>
      </c>
      <c r="Z311" s="518" t="s">
        <v>166</v>
      </c>
      <c r="AA311" s="512"/>
      <c r="AB311" s="517" t="s">
        <v>2368</v>
      </c>
      <c r="AC311" s="517" t="s">
        <v>2369</v>
      </c>
      <c r="AD311" s="513"/>
    </row>
    <row r="312" spans="1:31">
      <c r="A312" s="520">
        <v>16</v>
      </c>
      <c r="B312" s="536" t="s">
        <v>2698</v>
      </c>
      <c r="C312" s="527">
        <v>284</v>
      </c>
      <c r="D312" s="527">
        <v>1</v>
      </c>
      <c r="E312" s="553" t="s">
        <v>2699</v>
      </c>
      <c r="F312" s="527">
        <v>70</v>
      </c>
      <c r="G312" s="527"/>
      <c r="H312" s="527">
        <v>66</v>
      </c>
      <c r="I312" s="527">
        <v>0</v>
      </c>
      <c r="J312" s="527">
        <v>0</v>
      </c>
      <c r="K312" s="527"/>
      <c r="L312" s="797">
        <f>[1]!tsabetm(C312)</f>
        <v>276.75</v>
      </c>
      <c r="M312" s="797">
        <f>[1]!tsabetz(C312)</f>
        <v>303.61666666666667</v>
      </c>
      <c r="N312" s="797">
        <f t="shared" si="26"/>
        <v>64.689826302729514</v>
      </c>
      <c r="O312" s="797">
        <f t="shared" si="27"/>
        <v>1445.0028169014086</v>
      </c>
      <c r="P312" s="797">
        <f t="shared" si="28"/>
        <v>37.865673673802576</v>
      </c>
      <c r="Q312" s="797">
        <f t="shared" si="29"/>
        <v>306</v>
      </c>
      <c r="R312" s="797">
        <f t="shared" si="30"/>
        <v>306.63109456123004</v>
      </c>
      <c r="S312" s="797">
        <f>[1]!taqsabet(O312,C312)</f>
        <v>306.63109456123004</v>
      </c>
      <c r="T312" s="527"/>
      <c r="U312" s="527">
        <v>10</v>
      </c>
      <c r="V312" s="527">
        <v>3</v>
      </c>
      <c r="W312" s="527">
        <v>37</v>
      </c>
      <c r="X312" s="527"/>
      <c r="Y312" s="527">
        <v>26</v>
      </c>
      <c r="Z312" s="527">
        <v>54</v>
      </c>
      <c r="AA312" s="527" t="s">
        <v>179</v>
      </c>
      <c r="AB312" s="527">
        <v>6</v>
      </c>
      <c r="AC312" s="527">
        <v>4</v>
      </c>
      <c r="AD312" s="527" t="s">
        <v>2700</v>
      </c>
    </row>
    <row r="313" spans="1:31">
      <c r="C313" s="523">
        <v>285</v>
      </c>
      <c r="D313" s="523">
        <v>2</v>
      </c>
      <c r="E313" s="543" t="s">
        <v>2701</v>
      </c>
      <c r="F313" s="523">
        <v>70</v>
      </c>
      <c r="G313" s="523"/>
      <c r="H313" s="523">
        <v>66</v>
      </c>
      <c r="I313" s="523">
        <v>0</v>
      </c>
      <c r="J313" s="523">
        <v>0</v>
      </c>
      <c r="K313" s="524"/>
      <c r="L313" s="797">
        <f>[1]!tsabetm(C313)</f>
        <v>274.41666666666669</v>
      </c>
      <c r="M313" s="797">
        <f>[1]!tsabetz(C313)</f>
        <v>301.51666666666665</v>
      </c>
      <c r="N313" s="797">
        <f t="shared" si="26"/>
        <v>64.132841328413363</v>
      </c>
      <c r="O313" s="797">
        <f t="shared" si="27"/>
        <v>1445.0028169014086</v>
      </c>
      <c r="P313" s="797">
        <f t="shared" si="28"/>
        <v>33.436467365758062</v>
      </c>
      <c r="Q313" s="797">
        <f t="shared" si="29"/>
        <v>304</v>
      </c>
      <c r="R313" s="797">
        <f t="shared" si="30"/>
        <v>304.55727445609597</v>
      </c>
      <c r="S313" s="797">
        <f>[1]!taqsabet(O313,C313)</f>
        <v>304.55727445609597</v>
      </c>
      <c r="T313" s="524"/>
      <c r="U313" s="523">
        <v>10</v>
      </c>
      <c r="V313" s="523">
        <v>1</v>
      </c>
      <c r="W313" s="523">
        <v>31</v>
      </c>
      <c r="X313" s="523"/>
      <c r="Y313" s="523">
        <v>26</v>
      </c>
      <c r="Z313" s="523">
        <v>45</v>
      </c>
      <c r="AA313" s="523" t="s">
        <v>2695</v>
      </c>
      <c r="AB313" s="523">
        <v>3</v>
      </c>
      <c r="AC313" s="523">
        <v>3</v>
      </c>
      <c r="AD313" s="523" t="s">
        <v>2700</v>
      </c>
    </row>
    <row r="314" spans="1:31">
      <c r="C314" s="527">
        <v>286</v>
      </c>
      <c r="D314" s="527">
        <v>3</v>
      </c>
      <c r="E314" s="553" t="s">
        <v>2702</v>
      </c>
      <c r="F314" s="527">
        <v>70</v>
      </c>
      <c r="G314" s="527"/>
      <c r="H314" s="527">
        <v>66</v>
      </c>
      <c r="I314" s="527">
        <v>0</v>
      </c>
      <c r="J314" s="527">
        <v>0</v>
      </c>
      <c r="K314" s="527" t="s">
        <v>2703</v>
      </c>
      <c r="L314" s="797">
        <f>[1]!tsabetm(C314)</f>
        <v>273.41666666666669</v>
      </c>
      <c r="M314" s="797">
        <f>[1]!tsabetz(C314)</f>
        <v>300.26666666666665</v>
      </c>
      <c r="N314" s="797">
        <f t="shared" si="26"/>
        <v>64.729981378026153</v>
      </c>
      <c r="O314" s="797">
        <f t="shared" si="27"/>
        <v>1445.0028169014086</v>
      </c>
      <c r="P314" s="797">
        <f t="shared" si="28"/>
        <v>16.753474124376453</v>
      </c>
      <c r="Q314" s="797">
        <f t="shared" si="29"/>
        <v>303</v>
      </c>
      <c r="R314" s="797">
        <f t="shared" si="30"/>
        <v>303.27922456873961</v>
      </c>
      <c r="S314" s="797">
        <f>[1]!taqsabet(O314,C314)</f>
        <v>303.27922456873961</v>
      </c>
      <c r="T314" s="527"/>
      <c r="U314" s="527">
        <v>10</v>
      </c>
      <c r="V314" s="527">
        <v>0</v>
      </c>
      <c r="W314" s="527">
        <v>16</v>
      </c>
      <c r="X314" s="527"/>
      <c r="Y314" s="527">
        <v>29</v>
      </c>
      <c r="Z314" s="527">
        <v>15</v>
      </c>
      <c r="AA314" s="527" t="s">
        <v>179</v>
      </c>
      <c r="AB314" s="527">
        <v>2</v>
      </c>
      <c r="AC314" s="527">
        <v>2</v>
      </c>
      <c r="AD314" s="527" t="s">
        <v>2700</v>
      </c>
    </row>
    <row r="315" spans="1:31">
      <c r="C315" s="523">
        <v>287</v>
      </c>
      <c r="D315" s="523">
        <v>4</v>
      </c>
      <c r="E315" s="543" t="s">
        <v>2704</v>
      </c>
      <c r="F315" s="523">
        <v>70</v>
      </c>
      <c r="G315" s="523"/>
      <c r="H315" s="523">
        <v>66</v>
      </c>
      <c r="I315" s="523">
        <v>1</v>
      </c>
      <c r="J315" s="523">
        <v>27</v>
      </c>
      <c r="K315" s="523"/>
      <c r="L315" s="797">
        <f>[1]!tsabetm(C315)</f>
        <v>274.25</v>
      </c>
      <c r="M315" s="797">
        <f>[1]!tsabetz(C315)</f>
        <v>300.96666666666664</v>
      </c>
      <c r="N315" s="797">
        <f t="shared" si="26"/>
        <v>65.053025577043115</v>
      </c>
      <c r="O315" s="797">
        <f t="shared" si="27"/>
        <v>1445.0028169014086</v>
      </c>
      <c r="P315" s="797">
        <f t="shared" si="28"/>
        <v>57.855877728974292</v>
      </c>
      <c r="Q315" s="797">
        <f t="shared" si="29"/>
        <v>303</v>
      </c>
      <c r="R315" s="797">
        <f t="shared" si="30"/>
        <v>303.96426462881624</v>
      </c>
      <c r="S315" s="797">
        <f>[1]!taqsabet(O315,C315)</f>
        <v>303.96426462881624</v>
      </c>
      <c r="T315" s="524"/>
      <c r="U315" s="523">
        <v>10</v>
      </c>
      <c r="V315" s="523">
        <v>0</v>
      </c>
      <c r="W315" s="523">
        <v>58</v>
      </c>
      <c r="X315" s="523"/>
      <c r="Y315" s="523">
        <v>28</v>
      </c>
      <c r="Z315" s="523">
        <v>33</v>
      </c>
      <c r="AA315" s="523" t="s">
        <v>2695</v>
      </c>
      <c r="AB315" s="523">
        <v>5</v>
      </c>
      <c r="AC315" s="523">
        <v>3</v>
      </c>
      <c r="AD315" s="523" t="s">
        <v>2700</v>
      </c>
    </row>
    <row r="316" spans="1:31">
      <c r="C316" s="527">
        <v>288</v>
      </c>
      <c r="D316" s="527">
        <v>5</v>
      </c>
      <c r="E316" s="553" t="s">
        <v>2705</v>
      </c>
      <c r="F316" s="527">
        <v>70</v>
      </c>
      <c r="G316" s="527"/>
      <c r="H316" s="527">
        <v>66</v>
      </c>
      <c r="I316" s="527">
        <v>0</v>
      </c>
      <c r="J316" s="527">
        <v>0</v>
      </c>
      <c r="K316" s="527"/>
      <c r="L316" s="797">
        <f>[1]!tsabetm(C316)</f>
        <v>272.75</v>
      </c>
      <c r="M316" s="797">
        <f>[1]!tsabetz(C316)</f>
        <v>299.81666666666666</v>
      </c>
      <c r="N316" s="797">
        <f t="shared" si="26"/>
        <v>64.211822660098534</v>
      </c>
      <c r="O316" s="797">
        <f t="shared" si="27"/>
        <v>1445.0028169014086</v>
      </c>
      <c r="P316" s="797">
        <f t="shared" si="28"/>
        <v>51.212068266909228</v>
      </c>
      <c r="Q316" s="797">
        <f t="shared" si="29"/>
        <v>302</v>
      </c>
      <c r="R316" s="797">
        <f t="shared" si="30"/>
        <v>302.85353447111515</v>
      </c>
      <c r="S316" s="797">
        <f>[1]!taqsabet(O316,C316)</f>
        <v>302.85353447111515</v>
      </c>
      <c r="T316" s="527"/>
      <c r="U316" s="527">
        <v>9</v>
      </c>
      <c r="V316" s="527">
        <v>29</v>
      </c>
      <c r="W316" s="527">
        <v>49</v>
      </c>
      <c r="X316" s="527"/>
      <c r="Y316" s="527">
        <v>31</v>
      </c>
      <c r="Z316" s="527">
        <v>0</v>
      </c>
      <c r="AA316" s="527" t="s">
        <v>179</v>
      </c>
      <c r="AB316" s="527">
        <v>3</v>
      </c>
      <c r="AC316" s="527">
        <v>3</v>
      </c>
      <c r="AD316" s="527" t="s">
        <v>2700</v>
      </c>
      <c r="AE316" s="327">
        <v>582</v>
      </c>
    </row>
    <row r="317" spans="1:31">
      <c r="C317" s="523">
        <v>289</v>
      </c>
      <c r="D317" s="523">
        <v>6</v>
      </c>
      <c r="E317" s="543" t="s">
        <v>2465</v>
      </c>
      <c r="F317" s="523">
        <v>70</v>
      </c>
      <c r="G317" s="523"/>
      <c r="H317" s="523">
        <v>66</v>
      </c>
      <c r="I317" s="523">
        <v>0</v>
      </c>
      <c r="J317" s="523">
        <v>0</v>
      </c>
      <c r="K317" s="524"/>
      <c r="L317" s="797">
        <f>[1]!tsabetm(C317)</f>
        <v>275.58333333333331</v>
      </c>
      <c r="M317" s="797">
        <f>[1]!tsabetz(C317)</f>
        <v>302.51666666666665</v>
      </c>
      <c r="N317" s="797">
        <f t="shared" si="26"/>
        <v>64.529702970297024</v>
      </c>
      <c r="O317" s="797">
        <f t="shared" si="27"/>
        <v>1445.0028169014086</v>
      </c>
      <c r="P317" s="797">
        <f t="shared" si="28"/>
        <v>32.314471871503656</v>
      </c>
      <c r="Q317" s="797">
        <f t="shared" si="29"/>
        <v>305</v>
      </c>
      <c r="R317" s="797">
        <f t="shared" si="30"/>
        <v>305.53857453119173</v>
      </c>
      <c r="S317" s="797">
        <f>[1]!taqsabet(O317,C317)</f>
        <v>305.53857453119173</v>
      </c>
      <c r="T317" s="524"/>
      <c r="U317" s="523">
        <v>10</v>
      </c>
      <c r="V317" s="523">
        <v>2</v>
      </c>
      <c r="W317" s="523">
        <v>31</v>
      </c>
      <c r="X317" s="523"/>
      <c r="Y317" s="523">
        <v>31</v>
      </c>
      <c r="Z317" s="523">
        <v>9</v>
      </c>
      <c r="AA317" s="523" t="s">
        <v>2695</v>
      </c>
      <c r="AB317" s="523">
        <v>6</v>
      </c>
      <c r="AC317" s="523">
        <v>5</v>
      </c>
      <c r="AD317" s="523" t="s">
        <v>2700</v>
      </c>
    </row>
    <row r="318" spans="1:31">
      <c r="C318" s="527">
        <v>290</v>
      </c>
      <c r="D318" s="527">
        <v>7</v>
      </c>
      <c r="E318" s="553" t="s">
        <v>2706</v>
      </c>
      <c r="F318" s="527">
        <v>70</v>
      </c>
      <c r="G318" s="527"/>
      <c r="H318" s="527">
        <v>66</v>
      </c>
      <c r="I318" s="527">
        <v>0</v>
      </c>
      <c r="J318" s="527">
        <v>0</v>
      </c>
      <c r="K318" s="527"/>
      <c r="L318" s="797">
        <f>[1]!tsabetm(C318)</f>
        <v>269.25</v>
      </c>
      <c r="M318" s="797">
        <f>[1]!tsabetz(C318)</f>
        <v>295.16666666666669</v>
      </c>
      <c r="N318" s="797">
        <f t="shared" si="26"/>
        <v>67.061093247588374</v>
      </c>
      <c r="O318" s="797">
        <f t="shared" si="27"/>
        <v>1445.0028169014086</v>
      </c>
      <c r="P318" s="797">
        <f t="shared" si="28"/>
        <v>4.4702993565545057</v>
      </c>
      <c r="Q318" s="797">
        <f t="shared" si="29"/>
        <v>298</v>
      </c>
      <c r="R318" s="797">
        <f t="shared" si="30"/>
        <v>298.07450498927591</v>
      </c>
      <c r="S318" s="797">
        <f>[1]!taqsabet(O318,C318)</f>
        <v>298.07450498927591</v>
      </c>
      <c r="T318" s="527"/>
      <c r="U318" s="527">
        <v>9</v>
      </c>
      <c r="V318" s="527">
        <v>25</v>
      </c>
      <c r="W318" s="527">
        <v>10</v>
      </c>
      <c r="X318" s="527"/>
      <c r="Y318" s="527">
        <v>28</v>
      </c>
      <c r="Z318" s="527">
        <v>30</v>
      </c>
      <c r="AA318" s="527" t="s">
        <v>2695</v>
      </c>
      <c r="AB318" s="527">
        <v>6</v>
      </c>
      <c r="AC318" s="527">
        <v>5</v>
      </c>
      <c r="AD318" s="527" t="s">
        <v>2700</v>
      </c>
    </row>
    <row r="319" spans="1:31">
      <c r="C319" s="523">
        <v>291</v>
      </c>
      <c r="D319" s="523">
        <v>8</v>
      </c>
      <c r="E319" s="543" t="s">
        <v>2465</v>
      </c>
      <c r="F319" s="523">
        <v>70</v>
      </c>
      <c r="G319" s="523"/>
      <c r="H319" s="523">
        <v>66</v>
      </c>
      <c r="I319" s="523">
        <v>0</v>
      </c>
      <c r="J319" s="523">
        <v>0</v>
      </c>
      <c r="K319" s="524"/>
      <c r="L319" s="797">
        <f>[1]!tsabetm(C319)</f>
        <v>270.75</v>
      </c>
      <c r="M319" s="797">
        <f>[1]!tsabetz(C319)</f>
        <v>296.01666666666665</v>
      </c>
      <c r="N319" s="797">
        <f t="shared" si="26"/>
        <v>68.786279683377344</v>
      </c>
      <c r="O319" s="797">
        <f t="shared" si="27"/>
        <v>1445.0028169014086</v>
      </c>
      <c r="P319" s="797">
        <f t="shared" si="28"/>
        <v>51.094516928959592</v>
      </c>
      <c r="Q319" s="797">
        <f t="shared" si="29"/>
        <v>298</v>
      </c>
      <c r="R319" s="797">
        <f t="shared" si="30"/>
        <v>298.85157528214933</v>
      </c>
      <c r="S319" s="797">
        <f>[1]!taqsabet(O319,C319)</f>
        <v>298.85157528214933</v>
      </c>
      <c r="T319" s="524"/>
      <c r="U319" s="523">
        <v>9</v>
      </c>
      <c r="V319" s="523">
        <v>26</v>
      </c>
      <c r="W319" s="523">
        <v>1</v>
      </c>
      <c r="X319" s="523"/>
      <c r="Y319" s="523">
        <v>26</v>
      </c>
      <c r="Z319" s="523">
        <v>30</v>
      </c>
      <c r="AA319" s="523" t="s">
        <v>179</v>
      </c>
      <c r="AB319" s="523">
        <v>6</v>
      </c>
      <c r="AC319" s="523">
        <v>5</v>
      </c>
      <c r="AD319" s="523" t="s">
        <v>2700</v>
      </c>
    </row>
    <row r="320" spans="1:31">
      <c r="C320" s="527">
        <v>292</v>
      </c>
      <c r="D320" s="527">
        <v>9</v>
      </c>
      <c r="E320" s="553" t="s">
        <v>2707</v>
      </c>
      <c r="F320" s="527">
        <v>70</v>
      </c>
      <c r="G320" s="527"/>
      <c r="H320" s="527">
        <v>66</v>
      </c>
      <c r="I320" s="527">
        <v>1</v>
      </c>
      <c r="J320" s="527">
        <v>12</v>
      </c>
      <c r="K320" s="527" t="s">
        <v>2708</v>
      </c>
      <c r="L320" s="797">
        <f>[1]!tsabetm(C320)</f>
        <v>261.75</v>
      </c>
      <c r="M320" s="797">
        <f>[1]!tsabetz(C320)</f>
        <v>288.61666666666667</v>
      </c>
      <c r="N320" s="797">
        <f t="shared" si="26"/>
        <v>64.689826302729514</v>
      </c>
      <c r="O320" s="797">
        <f t="shared" si="27"/>
        <v>1445.0028169014086</v>
      </c>
      <c r="P320" s="797">
        <f t="shared" si="28"/>
        <v>37.865673673802576</v>
      </c>
      <c r="Q320" s="797">
        <f t="shared" si="29"/>
        <v>291</v>
      </c>
      <c r="R320" s="797">
        <f t="shared" si="30"/>
        <v>291.63109456123004</v>
      </c>
      <c r="S320" s="797">
        <f>[1]!taqsabet(O320,C320)</f>
        <v>291.63109456123004</v>
      </c>
      <c r="T320" s="527"/>
      <c r="U320" s="527">
        <v>9</v>
      </c>
      <c r="V320" s="527">
        <v>18</v>
      </c>
      <c r="W320" s="527">
        <v>37</v>
      </c>
      <c r="X320" s="527"/>
      <c r="Y320" s="527">
        <v>36</v>
      </c>
      <c r="Z320" s="527">
        <v>15</v>
      </c>
      <c r="AA320" s="527" t="s">
        <v>2695</v>
      </c>
      <c r="AB320" s="527">
        <v>3</v>
      </c>
      <c r="AC320" s="527">
        <v>3</v>
      </c>
      <c r="AD320" s="527" t="s">
        <v>2700</v>
      </c>
    </row>
    <row r="321" spans="1:31">
      <c r="B321" s="505" t="s">
        <v>2415</v>
      </c>
      <c r="C321" s="523">
        <v>293</v>
      </c>
      <c r="D321" s="523">
        <v>1</v>
      </c>
      <c r="E321" s="543" t="s">
        <v>2709</v>
      </c>
      <c r="F321" s="523">
        <v>70</v>
      </c>
      <c r="G321" s="523"/>
      <c r="H321" s="523">
        <v>66</v>
      </c>
      <c r="I321" s="523">
        <v>0</v>
      </c>
      <c r="J321" s="523">
        <v>0</v>
      </c>
      <c r="K321" s="524"/>
      <c r="L321" s="797">
        <f>[1]!tsabetm(C321)</f>
        <v>273.25</v>
      </c>
      <c r="M321" s="797">
        <f>[1]!tsabetz(C321)</f>
        <v>299.11666666666667</v>
      </c>
      <c r="N321" s="797">
        <f t="shared" si="26"/>
        <v>67.190721649484516</v>
      </c>
      <c r="O321" s="797">
        <f t="shared" si="27"/>
        <v>1445.0028169014086</v>
      </c>
      <c r="P321" s="797">
        <f t="shared" si="28"/>
        <v>1.1337007082795481</v>
      </c>
      <c r="Q321" s="797">
        <f t="shared" si="29"/>
        <v>302</v>
      </c>
      <c r="R321" s="797">
        <f t="shared" si="30"/>
        <v>302.01889501180466</v>
      </c>
      <c r="S321" s="797">
        <f>[1]!taqsabet(O321,C321)</f>
        <v>302.01889501180466</v>
      </c>
      <c r="T321" s="524"/>
      <c r="U321" s="523">
        <v>9</v>
      </c>
      <c r="V321" s="523">
        <v>29</v>
      </c>
      <c r="W321" s="523">
        <v>7</v>
      </c>
      <c r="X321" s="523"/>
      <c r="Y321" s="523">
        <v>21</v>
      </c>
      <c r="Z321" s="523">
        <v>12</v>
      </c>
      <c r="AA321" s="523" t="s">
        <v>179</v>
      </c>
      <c r="AB321" s="523">
        <v>3</v>
      </c>
      <c r="AC321" s="523">
        <v>3</v>
      </c>
      <c r="AD321" s="523"/>
    </row>
    <row r="322" spans="1:31">
      <c r="C322" s="527">
        <v>294</v>
      </c>
      <c r="D322" s="527">
        <v>2</v>
      </c>
      <c r="E322" s="553" t="s">
        <v>2710</v>
      </c>
      <c r="F322" s="527">
        <v>70</v>
      </c>
      <c r="G322" s="527"/>
      <c r="H322" s="527">
        <v>66</v>
      </c>
      <c r="I322" s="527">
        <v>0</v>
      </c>
      <c r="J322" s="527">
        <v>0</v>
      </c>
      <c r="K322" s="527"/>
      <c r="L322" s="797">
        <f>[1]!tsabetm(C322)</f>
        <v>278.41666666666669</v>
      </c>
      <c r="M322" s="797">
        <f>[1]!tsabetz(C322)</f>
        <v>303.61666666666667</v>
      </c>
      <c r="N322" s="797">
        <f t="shared" si="26"/>
        <v>68.968253968254004</v>
      </c>
      <c r="O322" s="797">
        <f t="shared" si="27"/>
        <v>1445.0028169014086</v>
      </c>
      <c r="P322" s="797">
        <f t="shared" si="28"/>
        <v>26.645718731261923</v>
      </c>
      <c r="Q322" s="797">
        <f t="shared" si="29"/>
        <v>306</v>
      </c>
      <c r="R322" s="797">
        <f t="shared" si="30"/>
        <v>306.4440953121877</v>
      </c>
      <c r="S322" s="797">
        <f>[1]!taqsabet(O322,C322)</f>
        <v>306.4440953121877</v>
      </c>
      <c r="T322" s="527"/>
      <c r="U322" s="527">
        <v>10</v>
      </c>
      <c r="V322" s="527">
        <v>3</v>
      </c>
      <c r="W322" s="527">
        <v>37</v>
      </c>
      <c r="X322" s="527"/>
      <c r="Y322" s="527">
        <v>18</v>
      </c>
      <c r="Z322" s="527">
        <v>27</v>
      </c>
      <c r="AA322" s="527" t="s">
        <v>2695</v>
      </c>
      <c r="AB322" s="527">
        <v>3</v>
      </c>
      <c r="AC322" s="527">
        <v>3</v>
      </c>
      <c r="AD322" s="527"/>
    </row>
    <row r="323" spans="1:31">
      <c r="C323" s="523">
        <v>295</v>
      </c>
      <c r="D323" s="523">
        <v>3</v>
      </c>
      <c r="E323" s="543" t="s">
        <v>2711</v>
      </c>
      <c r="F323" s="523">
        <v>70</v>
      </c>
      <c r="G323" s="523"/>
      <c r="H323" s="523">
        <v>66</v>
      </c>
      <c r="I323" s="523">
        <v>0</v>
      </c>
      <c r="J323" s="523">
        <v>0</v>
      </c>
      <c r="K323" s="524"/>
      <c r="L323" s="797">
        <f>[1]!tsabetm(C323)</f>
        <v>265.58333333333331</v>
      </c>
      <c r="M323" s="797">
        <f>[1]!tsabetz(C323)</f>
        <v>292.36666666666667</v>
      </c>
      <c r="N323" s="797">
        <f t="shared" si="26"/>
        <v>64.891101431238269</v>
      </c>
      <c r="O323" s="797">
        <f t="shared" si="27"/>
        <v>1445.0028169014086</v>
      </c>
      <c r="P323" s="797">
        <f t="shared" si="28"/>
        <v>22.304675926675372</v>
      </c>
      <c r="Q323" s="797">
        <f t="shared" si="29"/>
        <v>295</v>
      </c>
      <c r="R323" s="797">
        <f t="shared" si="30"/>
        <v>295.37174459877792</v>
      </c>
      <c r="S323" s="797">
        <f>[1]!taqsabet(O323,C323)</f>
        <v>295.37174459877792</v>
      </c>
      <c r="T323" s="524"/>
      <c r="U323" s="523">
        <v>9</v>
      </c>
      <c r="V323" s="523">
        <v>22</v>
      </c>
      <c r="W323" s="523">
        <v>22</v>
      </c>
      <c r="X323" s="523"/>
      <c r="Y323" s="523">
        <v>24</v>
      </c>
      <c r="Z323" s="523">
        <v>27</v>
      </c>
      <c r="AA323" s="523" t="s">
        <v>2695</v>
      </c>
      <c r="AB323" s="523">
        <v>3</v>
      </c>
      <c r="AC323" s="523">
        <v>3</v>
      </c>
      <c r="AD323" s="523"/>
    </row>
    <row r="324" spans="1:31">
      <c r="C324" s="527">
        <v>296</v>
      </c>
      <c r="D324" s="527">
        <v>4</v>
      </c>
      <c r="E324" s="553" t="s">
        <v>2712</v>
      </c>
      <c r="F324" s="527">
        <v>70</v>
      </c>
      <c r="G324" s="527"/>
      <c r="H324" s="527">
        <v>66</v>
      </c>
      <c r="I324" s="527">
        <v>0</v>
      </c>
      <c r="J324" s="527">
        <v>0</v>
      </c>
      <c r="K324" s="527"/>
      <c r="L324" s="797">
        <f>[1]!tsabetm(C324)</f>
        <v>267.75</v>
      </c>
      <c r="M324" s="797">
        <f>[1]!tsabetz(C324)</f>
        <v>293.91666666666669</v>
      </c>
      <c r="N324" s="797">
        <f t="shared" si="26"/>
        <v>66.420382165605048</v>
      </c>
      <c r="O324" s="797">
        <f t="shared" si="27"/>
        <v>1445.0028169014086</v>
      </c>
      <c r="P324" s="797">
        <f t="shared" si="28"/>
        <v>51.153292597936115</v>
      </c>
      <c r="Q324" s="797">
        <f t="shared" si="29"/>
        <v>296</v>
      </c>
      <c r="R324" s="797">
        <f t="shared" si="30"/>
        <v>296.85255487663227</v>
      </c>
      <c r="S324" s="797">
        <f>[1]!taqsabet(O324,C324)</f>
        <v>296.85255487663227</v>
      </c>
      <c r="T324" s="527"/>
      <c r="U324" s="527">
        <v>9</v>
      </c>
      <c r="V324" s="527">
        <v>23</v>
      </c>
      <c r="W324" s="527">
        <v>55</v>
      </c>
      <c r="X324" s="527"/>
      <c r="Y324" s="527">
        <v>19</v>
      </c>
      <c r="Z324" s="527">
        <v>51</v>
      </c>
      <c r="AA324" s="527" t="s">
        <v>179</v>
      </c>
      <c r="AB324" s="527">
        <v>4</v>
      </c>
      <c r="AC324" s="527">
        <v>3</v>
      </c>
      <c r="AD324" s="527"/>
    </row>
    <row r="325" spans="1:31">
      <c r="C325" s="523">
        <v>297</v>
      </c>
      <c r="D325" s="523">
        <v>5</v>
      </c>
      <c r="E325" s="543" t="s">
        <v>2713</v>
      </c>
      <c r="F325" s="523">
        <v>70</v>
      </c>
      <c r="G325" s="523"/>
      <c r="H325" s="523">
        <v>66</v>
      </c>
      <c r="I325" s="523">
        <v>0</v>
      </c>
      <c r="J325" s="523">
        <v>0</v>
      </c>
      <c r="K325" s="524"/>
      <c r="L325" s="797">
        <f>[1]!tsabetm(C325)</f>
        <v>269.25</v>
      </c>
      <c r="M325" s="797">
        <f>[1]!tsabetz(C325)</f>
        <v>295.11666666666667</v>
      </c>
      <c r="N325" s="797">
        <f t="shared" si="26"/>
        <v>67.190721649484516</v>
      </c>
      <c r="O325" s="797">
        <f t="shared" si="27"/>
        <v>1445.0028169014086</v>
      </c>
      <c r="P325" s="797">
        <f t="shared" si="28"/>
        <v>1.1337007082795481</v>
      </c>
      <c r="Q325" s="797">
        <f t="shared" si="29"/>
        <v>298</v>
      </c>
      <c r="R325" s="797">
        <f t="shared" si="30"/>
        <v>298.01889501180466</v>
      </c>
      <c r="S325" s="797">
        <f>[1]!taqsabet(O325,C325)</f>
        <v>298.01889501180466</v>
      </c>
      <c r="T325" s="524"/>
      <c r="U325" s="523">
        <v>9</v>
      </c>
      <c r="V325" s="523">
        <v>25</v>
      </c>
      <c r="W325" s="523">
        <v>7</v>
      </c>
      <c r="X325" s="523"/>
      <c r="Y325" s="523">
        <v>13</v>
      </c>
      <c r="Z325" s="523">
        <v>39</v>
      </c>
      <c r="AA325" s="523" t="s">
        <v>179</v>
      </c>
      <c r="AB325" s="523">
        <v>5</v>
      </c>
      <c r="AC325" s="523">
        <v>5</v>
      </c>
      <c r="AD325" s="523"/>
    </row>
    <row r="326" spans="1:31">
      <c r="C326" s="527">
        <v>298</v>
      </c>
      <c r="D326" s="527">
        <v>6</v>
      </c>
      <c r="E326" s="553" t="s">
        <v>2714</v>
      </c>
      <c r="F326" s="527">
        <v>70</v>
      </c>
      <c r="G326" s="527"/>
      <c r="H326" s="527">
        <v>66</v>
      </c>
      <c r="I326" s="527">
        <v>0</v>
      </c>
      <c r="J326" s="527">
        <v>0</v>
      </c>
      <c r="K326" s="527"/>
      <c r="L326" s="797">
        <f>[1]!tsabetm(C326)</f>
        <v>260.75</v>
      </c>
      <c r="M326" s="797">
        <f>[1]!tsabetz(C326)</f>
        <v>286.39999999999998</v>
      </c>
      <c r="N326" s="797">
        <f t="shared" si="26"/>
        <v>67.758284600389928</v>
      </c>
      <c r="O326" s="797">
        <f t="shared" si="27"/>
        <v>1445.0028169014086</v>
      </c>
      <c r="P326" s="797">
        <f t="shared" si="28"/>
        <v>16.675106565745637</v>
      </c>
      <c r="Q326" s="797">
        <f t="shared" si="29"/>
        <v>289</v>
      </c>
      <c r="R326" s="797">
        <f t="shared" si="30"/>
        <v>289.27791844276243</v>
      </c>
      <c r="S326" s="797">
        <f>[1]!taqsabet(O326,C326)</f>
        <v>289.27791844276243</v>
      </c>
      <c r="T326" s="527"/>
      <c r="U326" s="527">
        <v>9</v>
      </c>
      <c r="V326" s="527">
        <v>16</v>
      </c>
      <c r="W326" s="527">
        <v>24</v>
      </c>
      <c r="X326" s="527"/>
      <c r="Y326" s="527">
        <v>16</v>
      </c>
      <c r="Z326" s="527">
        <v>30</v>
      </c>
      <c r="AA326" s="527" t="s">
        <v>2695</v>
      </c>
      <c r="AB326" s="527">
        <v>3</v>
      </c>
      <c r="AC326" s="527">
        <v>3</v>
      </c>
      <c r="AD326" s="527"/>
    </row>
    <row r="327" spans="1:31">
      <c r="C327" s="546"/>
      <c r="D327" s="546"/>
      <c r="E327" s="546"/>
      <c r="F327" s="546"/>
      <c r="G327" s="546"/>
      <c r="H327" s="546"/>
      <c r="I327" s="546"/>
      <c r="J327" s="546"/>
      <c r="K327" s="546"/>
      <c r="N327" s="797">
        <f t="shared" ref="N327:N390" si="31">(1697+41)/((IF(M327-L327&gt;0,M327-L327,M327+360-L327)))</f>
        <v>4.8277777777777775</v>
      </c>
      <c r="O327" s="797">
        <f t="shared" si="27"/>
        <v>1445.0028169014086</v>
      </c>
      <c r="P327" s="797">
        <f t="shared" si="28"/>
        <v>23.510267589427372</v>
      </c>
      <c r="Q327" s="797">
        <f t="shared" si="29"/>
        <v>40</v>
      </c>
      <c r="R327" s="797">
        <f t="shared" si="30"/>
        <v>40.391837793157123</v>
      </c>
      <c r="S327" s="797">
        <f>[1]!taqsabet(O327,C327)</f>
        <v>1.4716840899636423</v>
      </c>
      <c r="T327" s="546"/>
      <c r="U327" s="546"/>
      <c r="V327" s="546"/>
      <c r="W327" s="546"/>
      <c r="X327" s="546"/>
      <c r="Y327" s="546"/>
      <c r="Z327" s="546"/>
      <c r="AA327" s="546"/>
      <c r="AB327" s="546"/>
      <c r="AC327" s="546"/>
      <c r="AD327" s="546"/>
    </row>
    <row r="328" spans="1:31">
      <c r="A328" s="520">
        <v>17</v>
      </c>
      <c r="B328" s="536" t="s">
        <v>3798</v>
      </c>
      <c r="C328" s="522">
        <v>299</v>
      </c>
      <c r="D328" s="522">
        <v>1</v>
      </c>
      <c r="E328" s="550" t="s">
        <v>2715</v>
      </c>
      <c r="F328" s="522">
        <v>70</v>
      </c>
      <c r="G328" s="522"/>
      <c r="H328" s="522">
        <v>70</v>
      </c>
      <c r="I328" s="522">
        <v>6</v>
      </c>
      <c r="J328" s="522">
        <v>5</v>
      </c>
      <c r="K328" s="522" t="s">
        <v>2716</v>
      </c>
      <c r="L328" s="797">
        <f>[1]!tsabetm(C328)</f>
        <v>287.25</v>
      </c>
      <c r="M328" s="797">
        <f>[1]!tsabetz(C328)</f>
        <v>312.46666666666664</v>
      </c>
      <c r="N328" s="797">
        <f t="shared" si="31"/>
        <v>68.922670191672253</v>
      </c>
      <c r="O328" s="797">
        <f t="shared" ref="O328:O391" si="32">O327</f>
        <v>1445.0028169014086</v>
      </c>
      <c r="P328" s="797">
        <f t="shared" ref="P328:P391" si="33">(R328-Q328)*60</f>
        <v>17.757918280684635</v>
      </c>
      <c r="Q328" s="797">
        <f t="shared" ref="Q328:Q391" si="34">INT(R328)</f>
        <v>315</v>
      </c>
      <c r="R328" s="797">
        <f t="shared" ref="R328:R391" si="35">((O328-1250)/(N328))+M328</f>
        <v>315.29596530467808</v>
      </c>
      <c r="S328" s="797">
        <f>[1]!taqsabet(O328,C328)</f>
        <v>315.29596530467808</v>
      </c>
      <c r="T328" s="522"/>
      <c r="U328" s="522">
        <v>10</v>
      </c>
      <c r="V328" s="522">
        <v>12</v>
      </c>
      <c r="W328" s="522">
        <v>28</v>
      </c>
      <c r="X328" s="522"/>
      <c r="Y328" s="522">
        <v>29</v>
      </c>
      <c r="Z328" s="522">
        <v>12</v>
      </c>
      <c r="AA328" s="522" t="s">
        <v>2695</v>
      </c>
      <c r="AB328" s="522">
        <v>4</v>
      </c>
      <c r="AC328" s="522">
        <v>3</v>
      </c>
      <c r="AD328" s="522" t="s">
        <v>2430</v>
      </c>
    </row>
    <row r="329" spans="1:31">
      <c r="C329" s="523">
        <v>300</v>
      </c>
      <c r="D329" s="523">
        <v>2</v>
      </c>
      <c r="E329" s="543" t="s">
        <v>2717</v>
      </c>
      <c r="F329" s="523">
        <v>70</v>
      </c>
      <c r="G329" s="523"/>
      <c r="H329" s="523">
        <v>66</v>
      </c>
      <c r="I329" s="523">
        <v>0</v>
      </c>
      <c r="J329" s="523">
        <v>0</v>
      </c>
      <c r="K329" s="523"/>
      <c r="L329" s="797">
        <f>[1]!tsabetm(C329)</f>
        <v>288.25</v>
      </c>
      <c r="M329" s="797">
        <f>[1]!tsabetz(C329)</f>
        <v>314.21666666666664</v>
      </c>
      <c r="N329" s="797">
        <f t="shared" si="31"/>
        <v>66.931964056482741</v>
      </c>
      <c r="O329" s="797">
        <f t="shared" si="32"/>
        <v>1445.0028169014086</v>
      </c>
      <c r="P329" s="797">
        <f t="shared" si="33"/>
        <v>7.8068980048294634</v>
      </c>
      <c r="Q329" s="797">
        <f t="shared" si="34"/>
        <v>317</v>
      </c>
      <c r="R329" s="797">
        <f t="shared" si="35"/>
        <v>317.13011496674716</v>
      </c>
      <c r="S329" s="797">
        <f>[1]!taqsabet(O329,C329)</f>
        <v>317.13011496674716</v>
      </c>
      <c r="T329" s="523"/>
      <c r="U329" s="523">
        <v>10</v>
      </c>
      <c r="V329" s="523">
        <v>14</v>
      </c>
      <c r="W329" s="523">
        <v>13</v>
      </c>
      <c r="X329" s="523"/>
      <c r="Y329" s="523">
        <v>28</v>
      </c>
      <c r="Z329" s="523">
        <v>45</v>
      </c>
      <c r="AA329" s="523" t="s">
        <v>2695</v>
      </c>
      <c r="AB329" s="523">
        <v>6</v>
      </c>
      <c r="AC329" s="523">
        <v>6</v>
      </c>
      <c r="AD329" s="523" t="s">
        <v>2430</v>
      </c>
    </row>
    <row r="330" spans="1:31">
      <c r="C330" s="522">
        <v>301</v>
      </c>
      <c r="D330" s="522">
        <v>3</v>
      </c>
      <c r="E330" s="550" t="s">
        <v>2718</v>
      </c>
      <c r="F330" s="522">
        <v>70</v>
      </c>
      <c r="G330" s="522"/>
      <c r="H330" s="522">
        <v>66</v>
      </c>
      <c r="I330" s="522">
        <v>0</v>
      </c>
      <c r="J330" s="522">
        <v>0</v>
      </c>
      <c r="K330" s="522"/>
      <c r="L330" s="797">
        <f>[1]!tsabetm(C330)</f>
        <v>288.25</v>
      </c>
      <c r="M330" s="797">
        <f>[1]!tsabetz(C330)</f>
        <v>313.91666666666669</v>
      </c>
      <c r="N330" s="797">
        <f t="shared" si="31"/>
        <v>67.714285714285666</v>
      </c>
      <c r="O330" s="797">
        <f t="shared" si="32"/>
        <v>1445.0028169014086</v>
      </c>
      <c r="P330" s="797">
        <f t="shared" si="33"/>
        <v>47.787306115172896</v>
      </c>
      <c r="Q330" s="797">
        <f t="shared" si="34"/>
        <v>316</v>
      </c>
      <c r="R330" s="797">
        <f t="shared" si="35"/>
        <v>316.79645510191955</v>
      </c>
      <c r="S330" s="797">
        <f>[1]!taqsabet(O330,C330)</f>
        <v>316.79645510191955</v>
      </c>
      <c r="T330" s="522"/>
      <c r="U330" s="522">
        <v>10</v>
      </c>
      <c r="V330" s="522">
        <v>13</v>
      </c>
      <c r="W330" s="522">
        <v>55</v>
      </c>
      <c r="X330" s="522"/>
      <c r="Y330" s="522">
        <v>27</v>
      </c>
      <c r="Z330" s="522">
        <v>16</v>
      </c>
      <c r="AA330" s="522" t="s">
        <v>2695</v>
      </c>
      <c r="AB330" s="522">
        <v>6</v>
      </c>
      <c r="AC330" s="522">
        <v>6</v>
      </c>
      <c r="AD330" s="522" t="s">
        <v>2430</v>
      </c>
    </row>
    <row r="331" spans="1:31">
      <c r="C331" s="523">
        <v>302</v>
      </c>
      <c r="D331" s="523">
        <v>4</v>
      </c>
      <c r="E331" s="543" t="s">
        <v>2719</v>
      </c>
      <c r="F331" s="523">
        <v>70</v>
      </c>
      <c r="G331" s="523"/>
      <c r="H331" s="523">
        <v>66</v>
      </c>
      <c r="I331" s="523">
        <v>0</v>
      </c>
      <c r="J331" s="523">
        <v>0</v>
      </c>
      <c r="K331" s="523"/>
      <c r="L331" s="797">
        <f>[1]!tsabetm(C331)</f>
        <v>288.08333333333331</v>
      </c>
      <c r="M331" s="797">
        <f>[1]!tsabetz(C331)</f>
        <v>314.36666666666667</v>
      </c>
      <c r="N331" s="797">
        <f t="shared" si="31"/>
        <v>66.125554850982809</v>
      </c>
      <c r="O331" s="797">
        <f t="shared" si="32"/>
        <v>1445.0028169014086</v>
      </c>
      <c r="P331" s="797">
        <f t="shared" si="33"/>
        <v>18.938689443915564</v>
      </c>
      <c r="Q331" s="797">
        <f t="shared" si="34"/>
        <v>317</v>
      </c>
      <c r="R331" s="797">
        <f t="shared" si="35"/>
        <v>317.31564482406526</v>
      </c>
      <c r="S331" s="797">
        <f>[1]!taqsabet(O331,C331)</f>
        <v>317.31564482406526</v>
      </c>
      <c r="T331" s="523"/>
      <c r="U331" s="523">
        <v>10</v>
      </c>
      <c r="V331" s="523">
        <v>14</v>
      </c>
      <c r="W331" s="523">
        <v>22</v>
      </c>
      <c r="X331" s="523"/>
      <c r="Y331" s="523">
        <v>31</v>
      </c>
      <c r="Z331" s="523">
        <v>45</v>
      </c>
      <c r="AA331" s="523" t="s">
        <v>2695</v>
      </c>
      <c r="AB331" s="523">
        <v>3</v>
      </c>
      <c r="AC331" s="523">
        <v>3</v>
      </c>
      <c r="AD331" s="523" t="s">
        <v>2430</v>
      </c>
    </row>
    <row r="332" spans="1:31">
      <c r="C332" s="522">
        <v>303</v>
      </c>
      <c r="D332" s="522">
        <v>5</v>
      </c>
      <c r="E332" s="550" t="s">
        <v>2720</v>
      </c>
      <c r="F332" s="522">
        <v>70</v>
      </c>
      <c r="G332" s="522"/>
      <c r="H332" s="522">
        <v>66</v>
      </c>
      <c r="I332" s="522">
        <v>0</v>
      </c>
      <c r="J332" s="522">
        <v>0</v>
      </c>
      <c r="K332" s="522"/>
      <c r="L332" s="797">
        <f>[1]!tsabetm(C332)</f>
        <v>289.75</v>
      </c>
      <c r="M332" s="797">
        <f>[1]!tsabetz(C332)</f>
        <v>315.91666666666669</v>
      </c>
      <c r="N332" s="797">
        <f t="shared" si="31"/>
        <v>66.420382165605048</v>
      </c>
      <c r="O332" s="797">
        <f t="shared" si="32"/>
        <v>1445.0028169014086</v>
      </c>
      <c r="P332" s="797">
        <f t="shared" si="33"/>
        <v>51.153292597936115</v>
      </c>
      <c r="Q332" s="797">
        <f t="shared" si="34"/>
        <v>318</v>
      </c>
      <c r="R332" s="797">
        <f t="shared" si="35"/>
        <v>318.85255487663227</v>
      </c>
      <c r="S332" s="797">
        <f>[1]!taqsabet(O332,C332)</f>
        <v>318.85255487663227</v>
      </c>
      <c r="T332" s="522"/>
      <c r="U332" s="522">
        <v>10</v>
      </c>
      <c r="V332" s="522">
        <v>15</v>
      </c>
      <c r="W332" s="522">
        <v>55</v>
      </c>
      <c r="X332" s="522"/>
      <c r="Y332" s="522">
        <v>32</v>
      </c>
      <c r="Z332" s="522">
        <v>51</v>
      </c>
      <c r="AA332" s="522" t="s">
        <v>2695</v>
      </c>
      <c r="AB332" s="522">
        <v>3</v>
      </c>
      <c r="AC332" s="522">
        <v>3</v>
      </c>
      <c r="AD332" s="522" t="s">
        <v>2430</v>
      </c>
    </row>
    <row r="333" spans="1:31">
      <c r="C333" s="523">
        <v>304</v>
      </c>
      <c r="D333" s="523">
        <v>6</v>
      </c>
      <c r="E333" s="543" t="s">
        <v>2721</v>
      </c>
      <c r="F333" s="523">
        <v>70</v>
      </c>
      <c r="G333" s="523"/>
      <c r="H333" s="523">
        <v>66</v>
      </c>
      <c r="I333" s="523">
        <v>0</v>
      </c>
      <c r="J333" s="523">
        <v>0</v>
      </c>
      <c r="K333" s="523"/>
      <c r="L333" s="797">
        <f>[1]!tsabetm(C333)</f>
        <v>290.91666666666669</v>
      </c>
      <c r="M333" s="797">
        <f>[1]!tsabetz(C333)</f>
        <v>317.01666666666665</v>
      </c>
      <c r="N333" s="797">
        <f t="shared" si="31"/>
        <v>66.590038314176326</v>
      </c>
      <c r="O333" s="797">
        <f t="shared" si="32"/>
        <v>1445.0028169014086</v>
      </c>
      <c r="P333" s="797">
        <f t="shared" si="33"/>
        <v>56.704494400231624</v>
      </c>
      <c r="Q333" s="797">
        <f t="shared" si="34"/>
        <v>319</v>
      </c>
      <c r="R333" s="797">
        <f t="shared" si="35"/>
        <v>319.94507490667053</v>
      </c>
      <c r="S333" s="797">
        <f>[1]!taqsabet(O333,C333)</f>
        <v>319.94507490667053</v>
      </c>
      <c r="T333" s="523"/>
      <c r="U333" s="523">
        <v>10</v>
      </c>
      <c r="V333" s="523">
        <v>17</v>
      </c>
      <c r="W333" s="523">
        <v>1</v>
      </c>
      <c r="X333" s="523"/>
      <c r="Y333" s="523">
        <v>31</v>
      </c>
      <c r="Z333" s="523">
        <v>51</v>
      </c>
      <c r="AA333" s="523" t="s">
        <v>2695</v>
      </c>
      <c r="AB333" s="523">
        <v>3</v>
      </c>
      <c r="AC333" s="523">
        <v>3</v>
      </c>
      <c r="AD333" s="523" t="s">
        <v>2430</v>
      </c>
    </row>
    <row r="334" spans="1:31">
      <c r="C334" s="522">
        <v>305</v>
      </c>
      <c r="D334" s="522">
        <v>7</v>
      </c>
      <c r="E334" s="550" t="s">
        <v>2722</v>
      </c>
      <c r="F334" s="522">
        <v>70</v>
      </c>
      <c r="G334" s="522"/>
      <c r="H334" s="522">
        <v>66</v>
      </c>
      <c r="I334" s="522">
        <v>0</v>
      </c>
      <c r="J334" s="522">
        <v>0</v>
      </c>
      <c r="K334" s="522"/>
      <c r="L334" s="797">
        <f>[1]!tsabetm(C334)</f>
        <v>293.08333333333331</v>
      </c>
      <c r="M334" s="797">
        <f>[1]!tsabetz(C334)</f>
        <v>317.96666666666664</v>
      </c>
      <c r="N334" s="797">
        <f t="shared" si="31"/>
        <v>69.845947756195599</v>
      </c>
      <c r="O334" s="797">
        <f t="shared" si="32"/>
        <v>1445.0028169014086</v>
      </c>
      <c r="P334" s="797">
        <f t="shared" si="33"/>
        <v>45.513927292175822</v>
      </c>
      <c r="Q334" s="797">
        <f t="shared" si="34"/>
        <v>320</v>
      </c>
      <c r="R334" s="797">
        <f t="shared" si="35"/>
        <v>320.7585654548696</v>
      </c>
      <c r="S334" s="797">
        <f>[1]!taqsabet(O334,C334)</f>
        <v>320.7585654548696</v>
      </c>
      <c r="T334" s="522"/>
      <c r="U334" s="522">
        <v>10</v>
      </c>
      <c r="V334" s="522">
        <v>17</v>
      </c>
      <c r="W334" s="522">
        <v>58</v>
      </c>
      <c r="X334" s="522"/>
      <c r="Y334" s="522">
        <v>32</v>
      </c>
      <c r="Z334" s="522">
        <v>54</v>
      </c>
      <c r="AA334" s="522" t="s">
        <v>2695</v>
      </c>
      <c r="AB334" s="522">
        <v>3</v>
      </c>
      <c r="AC334" s="522">
        <v>3</v>
      </c>
      <c r="AD334" s="522" t="s">
        <v>2430</v>
      </c>
      <c r="AE334" s="327">
        <v>583</v>
      </c>
    </row>
    <row r="335" spans="1:31">
      <c r="C335" s="523">
        <v>306</v>
      </c>
      <c r="D335" s="523">
        <v>8</v>
      </c>
      <c r="E335" s="543" t="s">
        <v>2723</v>
      </c>
      <c r="F335" s="523">
        <v>70</v>
      </c>
      <c r="G335" s="523"/>
      <c r="H335" s="523">
        <v>66</v>
      </c>
      <c r="I335" s="523">
        <v>0</v>
      </c>
      <c r="J335" s="523">
        <v>0</v>
      </c>
      <c r="K335" s="523"/>
      <c r="L335" s="797">
        <f>[1]!tsabetm(C335)</f>
        <v>287.08333333333331</v>
      </c>
      <c r="M335" s="797">
        <f>[1]!tsabetz(C335)</f>
        <v>313.26666666666665</v>
      </c>
      <c r="N335" s="797">
        <f t="shared" si="31"/>
        <v>66.37810311903246</v>
      </c>
      <c r="O335" s="797">
        <f t="shared" si="32"/>
        <v>1445.0028169014086</v>
      </c>
      <c r="P335" s="797">
        <f t="shared" si="33"/>
        <v>12.265492147358827</v>
      </c>
      <c r="Q335" s="797">
        <f t="shared" si="34"/>
        <v>316</v>
      </c>
      <c r="R335" s="797">
        <f t="shared" si="35"/>
        <v>316.20442486912265</v>
      </c>
      <c r="S335" s="797">
        <f>[1]!taqsabet(O335,C335)</f>
        <v>316.20442486912265</v>
      </c>
      <c r="T335" s="523"/>
      <c r="U335" s="523">
        <v>10</v>
      </c>
      <c r="V335" s="523">
        <v>13</v>
      </c>
      <c r="W335" s="523">
        <v>16</v>
      </c>
      <c r="X335" s="523"/>
      <c r="Y335" s="523">
        <v>31</v>
      </c>
      <c r="Z335" s="523">
        <v>21</v>
      </c>
      <c r="AA335" s="523" t="s">
        <v>2695</v>
      </c>
      <c r="AB335" s="523">
        <v>6</v>
      </c>
      <c r="AC335" s="523">
        <v>6</v>
      </c>
      <c r="AD335" s="523" t="s">
        <v>2430</v>
      </c>
    </row>
    <row r="336" spans="1:31">
      <c r="C336" s="522">
        <v>307</v>
      </c>
      <c r="D336" s="522">
        <v>9</v>
      </c>
      <c r="E336" s="550" t="s">
        <v>2724</v>
      </c>
      <c r="F336" s="522">
        <v>70</v>
      </c>
      <c r="G336" s="522"/>
      <c r="H336" s="522">
        <v>66</v>
      </c>
      <c r="I336" s="522">
        <v>0</v>
      </c>
      <c r="J336" s="522">
        <v>0</v>
      </c>
      <c r="K336" s="522"/>
      <c r="L336" s="797">
        <f>[1]!tsabetm(C336)</f>
        <v>287.08333333333331</v>
      </c>
      <c r="M336" s="797">
        <f>[1]!tsabetz(C336)</f>
        <v>313.41666666666669</v>
      </c>
      <c r="N336" s="797">
        <f t="shared" si="31"/>
        <v>65.999999999999901</v>
      </c>
      <c r="O336" s="797">
        <f t="shared" si="32"/>
        <v>1445.0028169014086</v>
      </c>
      <c r="P336" s="797">
        <f t="shared" si="33"/>
        <v>22.275288092190522</v>
      </c>
      <c r="Q336" s="797">
        <f t="shared" si="34"/>
        <v>316</v>
      </c>
      <c r="R336" s="797">
        <f t="shared" si="35"/>
        <v>316.37125480153651</v>
      </c>
      <c r="S336" s="797">
        <f>[1]!taqsabet(O336,C336)</f>
        <v>316.37125480153651</v>
      </c>
      <c r="T336" s="522"/>
      <c r="U336" s="522">
        <v>10</v>
      </c>
      <c r="V336" s="522">
        <v>13</v>
      </c>
      <c r="W336" s="522">
        <v>25</v>
      </c>
      <c r="X336" s="522"/>
      <c r="Y336" s="522">
        <v>32</v>
      </c>
      <c r="Z336" s="522">
        <v>12</v>
      </c>
      <c r="AA336" s="522" t="s">
        <v>2695</v>
      </c>
      <c r="AB336" s="522">
        <v>6</v>
      </c>
      <c r="AC336" s="522">
        <v>6</v>
      </c>
      <c r="AD336" s="522" t="s">
        <v>2430</v>
      </c>
    </row>
    <row r="337" spans="1:30">
      <c r="C337" s="523">
        <v>308</v>
      </c>
      <c r="D337" s="523">
        <v>10</v>
      </c>
      <c r="E337" s="543" t="s">
        <v>2725</v>
      </c>
      <c r="F337" s="523">
        <v>70</v>
      </c>
      <c r="G337" s="523"/>
      <c r="H337" s="523">
        <v>66</v>
      </c>
      <c r="I337" s="523">
        <v>0</v>
      </c>
      <c r="J337" s="523">
        <v>0</v>
      </c>
      <c r="K337" s="523"/>
      <c r="L337" s="797">
        <f>[1]!tsabetm(C337)</f>
        <v>288.58333333333331</v>
      </c>
      <c r="M337" s="797">
        <f>[1]!tsabetz(C337)</f>
        <v>314.61666666666667</v>
      </c>
      <c r="N337" s="797">
        <f t="shared" si="31"/>
        <v>66.760563380281624</v>
      </c>
      <c r="O337" s="797">
        <f t="shared" si="32"/>
        <v>1445.0028169014086</v>
      </c>
      <c r="P337" s="797">
        <f t="shared" si="33"/>
        <v>32.255696202533954</v>
      </c>
      <c r="Q337" s="797">
        <f t="shared" si="34"/>
        <v>317</v>
      </c>
      <c r="R337" s="797">
        <f t="shared" si="35"/>
        <v>317.5375949367089</v>
      </c>
      <c r="S337" s="797">
        <f>[1]!taqsabet(O337,C337)</f>
        <v>317.5375949367089</v>
      </c>
      <c r="T337" s="523"/>
      <c r="U337" s="523">
        <v>10</v>
      </c>
      <c r="V337" s="523">
        <v>14</v>
      </c>
      <c r="W337" s="523">
        <v>37</v>
      </c>
      <c r="X337" s="523"/>
      <c r="Y337" s="523">
        <v>30</v>
      </c>
      <c r="Z337" s="523">
        <v>30</v>
      </c>
      <c r="AA337" s="523" t="s">
        <v>2695</v>
      </c>
      <c r="AB337" s="523">
        <v>6</v>
      </c>
      <c r="AC337" s="523">
        <v>6</v>
      </c>
      <c r="AD337" s="523" t="s">
        <v>2430</v>
      </c>
    </row>
    <row r="338" spans="1:30">
      <c r="B338" s="505" t="s">
        <v>2355</v>
      </c>
      <c r="C338" s="506" t="s">
        <v>2356</v>
      </c>
      <c r="D338" s="507" t="s">
        <v>2357</v>
      </c>
      <c r="E338" s="511" t="s">
        <v>2358</v>
      </c>
      <c r="F338" s="511"/>
      <c r="G338" s="511"/>
      <c r="H338" s="511"/>
      <c r="I338" s="511"/>
      <c r="J338" s="511"/>
      <c r="K338" s="514" t="s">
        <v>2360</v>
      </c>
      <c r="N338" s="797">
        <f t="shared" si="31"/>
        <v>4.8277777777777775</v>
      </c>
      <c r="O338" s="797">
        <f t="shared" si="32"/>
        <v>1445.0028169014086</v>
      </c>
      <c r="P338" s="797">
        <f t="shared" si="33"/>
        <v>23.510267589427372</v>
      </c>
      <c r="Q338" s="797">
        <f t="shared" si="34"/>
        <v>40</v>
      </c>
      <c r="R338" s="797">
        <f t="shared" si="35"/>
        <v>40.391837793157123</v>
      </c>
      <c r="S338" s="797" t="e">
        <f>[1]!taqsabet(O338,C338)</f>
        <v>#VALUE!</v>
      </c>
      <c r="T338" s="507"/>
      <c r="U338" s="508" t="s">
        <v>403</v>
      </c>
      <c r="V338" s="508"/>
      <c r="W338" s="509"/>
      <c r="X338" s="507"/>
      <c r="Y338" s="509" t="s">
        <v>275</v>
      </c>
      <c r="Z338" s="510"/>
      <c r="AA338" s="506" t="s">
        <v>176</v>
      </c>
      <c r="AB338" s="511" t="s">
        <v>2361</v>
      </c>
      <c r="AC338" s="511" t="s">
        <v>2362</v>
      </c>
      <c r="AD338" s="511" t="s">
        <v>2363</v>
      </c>
    </row>
    <row r="339" spans="1:30">
      <c r="B339" s="505"/>
      <c r="C339" s="512"/>
      <c r="D339" s="512"/>
      <c r="E339" s="513"/>
      <c r="F339" s="513"/>
      <c r="G339" s="513"/>
      <c r="H339" s="513"/>
      <c r="I339" s="513"/>
      <c r="J339" s="513"/>
      <c r="K339" s="514"/>
      <c r="N339" s="797">
        <f t="shared" si="31"/>
        <v>4.8277777777777775</v>
      </c>
      <c r="O339" s="797">
        <f t="shared" si="32"/>
        <v>1445.0028169014086</v>
      </c>
      <c r="P339" s="797">
        <f t="shared" si="33"/>
        <v>23.510267589427372</v>
      </c>
      <c r="Q339" s="797">
        <f t="shared" si="34"/>
        <v>40</v>
      </c>
      <c r="R339" s="797">
        <f t="shared" si="35"/>
        <v>40.391837793157123</v>
      </c>
      <c r="S339" s="797">
        <f>[1]!taqsabet(O339,C339)</f>
        <v>1.4716840899636423</v>
      </c>
      <c r="T339" s="515" t="s">
        <v>2367</v>
      </c>
      <c r="U339" s="516" t="s">
        <v>173</v>
      </c>
      <c r="V339" s="516" t="s">
        <v>172</v>
      </c>
      <c r="W339" s="516" t="s">
        <v>166</v>
      </c>
      <c r="X339" s="517" t="s">
        <v>2367</v>
      </c>
      <c r="Y339" s="516" t="s">
        <v>172</v>
      </c>
      <c r="Z339" s="518" t="s">
        <v>166</v>
      </c>
      <c r="AA339" s="512"/>
      <c r="AB339" s="517" t="s">
        <v>2368</v>
      </c>
      <c r="AC339" s="517" t="s">
        <v>2369</v>
      </c>
      <c r="AD339" s="513"/>
    </row>
    <row r="340" spans="1:30">
      <c r="A340" s="520">
        <v>18</v>
      </c>
      <c r="B340" s="536" t="s">
        <v>2726</v>
      </c>
      <c r="C340" s="527">
        <v>309</v>
      </c>
      <c r="D340" s="527">
        <v>1</v>
      </c>
      <c r="E340" s="560" t="s">
        <v>2727</v>
      </c>
      <c r="F340" s="527">
        <v>70</v>
      </c>
      <c r="G340" s="527"/>
      <c r="H340" s="527">
        <v>66</v>
      </c>
      <c r="I340" s="527">
        <v>0</v>
      </c>
      <c r="J340" s="527">
        <v>0</v>
      </c>
      <c r="K340" s="527"/>
      <c r="L340" s="797">
        <f>[1]!tsabetm(C340)</f>
        <v>295.91666666666669</v>
      </c>
      <c r="M340" s="797">
        <f>[1]!tsabetz(C340)</f>
        <v>321.46666666666664</v>
      </c>
      <c r="N340" s="797">
        <f t="shared" si="31"/>
        <v>68.023483365949247</v>
      </c>
      <c r="O340" s="797">
        <f t="shared" si="32"/>
        <v>1445.0028169014086</v>
      </c>
      <c r="P340" s="797">
        <f t="shared" si="33"/>
        <v>20.001909269193447</v>
      </c>
      <c r="Q340" s="797">
        <f t="shared" si="34"/>
        <v>324</v>
      </c>
      <c r="R340" s="797">
        <f t="shared" si="35"/>
        <v>324.33336515448656</v>
      </c>
      <c r="S340" s="797">
        <f>[1]!taqsabet(O340,C340)</f>
        <v>324.33336515448656</v>
      </c>
      <c r="T340" s="527"/>
      <c r="U340" s="527">
        <v>10</v>
      </c>
      <c r="V340" s="527">
        <v>21</v>
      </c>
      <c r="W340" s="527">
        <v>28</v>
      </c>
      <c r="X340" s="527"/>
      <c r="Y340" s="527">
        <v>20</v>
      </c>
      <c r="Z340" s="527">
        <v>0</v>
      </c>
      <c r="AA340" s="527" t="s">
        <v>2695</v>
      </c>
      <c r="AB340" s="527">
        <v>4</v>
      </c>
      <c r="AC340" s="527" t="s">
        <v>2422</v>
      </c>
      <c r="AD340" s="527" t="s">
        <v>2636</v>
      </c>
    </row>
    <row r="341" spans="1:30">
      <c r="A341" s="536"/>
      <c r="B341" s="536"/>
      <c r="C341" s="523">
        <v>310</v>
      </c>
      <c r="D341" s="523">
        <v>2</v>
      </c>
      <c r="E341" s="561" t="s">
        <v>2728</v>
      </c>
      <c r="F341" s="523">
        <v>70</v>
      </c>
      <c r="G341" s="523"/>
      <c r="H341" s="523">
        <v>66</v>
      </c>
      <c r="I341" s="523">
        <v>0</v>
      </c>
      <c r="J341" s="523">
        <v>0</v>
      </c>
      <c r="K341" s="524"/>
      <c r="L341" s="797">
        <f>[1]!tsabetm(C341)</f>
        <v>297.58333333333331</v>
      </c>
      <c r="M341" s="797">
        <f>[1]!tsabetz(C341)</f>
        <v>323.06666666666666</v>
      </c>
      <c r="N341" s="797">
        <f t="shared" si="31"/>
        <v>68.201438848920816</v>
      </c>
      <c r="O341" s="797">
        <f t="shared" si="32"/>
        <v>1445.0028169014086</v>
      </c>
      <c r="P341" s="797">
        <f t="shared" si="33"/>
        <v>55.553111071492367</v>
      </c>
      <c r="Q341" s="797">
        <f t="shared" si="34"/>
        <v>325</v>
      </c>
      <c r="R341" s="797">
        <f t="shared" si="35"/>
        <v>325.92588518452487</v>
      </c>
      <c r="S341" s="797">
        <f>[1]!taqsabet(O341,C341)</f>
        <v>325.92588518452487</v>
      </c>
      <c r="T341" s="524"/>
      <c r="U341" s="523">
        <v>10</v>
      </c>
      <c r="V341" s="523">
        <v>23</v>
      </c>
      <c r="W341" s="523">
        <v>4</v>
      </c>
      <c r="X341" s="523"/>
      <c r="Y341" s="523">
        <v>20</v>
      </c>
      <c r="Z341" s="523">
        <v>45</v>
      </c>
      <c r="AA341" s="523" t="s">
        <v>2695</v>
      </c>
      <c r="AB341" s="523">
        <v>6</v>
      </c>
      <c r="AC341" s="523" t="s">
        <v>2422</v>
      </c>
      <c r="AD341" s="523" t="s">
        <v>2636</v>
      </c>
    </row>
    <row r="342" spans="1:30">
      <c r="A342" s="536"/>
      <c r="B342" s="536"/>
      <c r="C342" s="527">
        <v>311</v>
      </c>
      <c r="D342" s="527">
        <v>3</v>
      </c>
      <c r="E342" s="560" t="s">
        <v>2729</v>
      </c>
      <c r="F342" s="527">
        <v>70</v>
      </c>
      <c r="G342" s="527"/>
      <c r="H342" s="527">
        <v>66</v>
      </c>
      <c r="I342" s="527">
        <v>0</v>
      </c>
      <c r="J342" s="527">
        <v>0</v>
      </c>
      <c r="K342" s="527"/>
      <c r="L342" s="797">
        <f>[1]!tsabetm(C342)</f>
        <v>295.91666666666669</v>
      </c>
      <c r="M342" s="797">
        <f>[1]!tsabetz(C342)</f>
        <v>321.86666666666667</v>
      </c>
      <c r="N342" s="797">
        <f t="shared" si="31"/>
        <v>66.974951830443189</v>
      </c>
      <c r="O342" s="797">
        <f t="shared" si="32"/>
        <v>1445.0028169014086</v>
      </c>
      <c r="P342" s="797">
        <f t="shared" si="33"/>
        <v>46.694698455403341</v>
      </c>
      <c r="Q342" s="797">
        <f t="shared" si="34"/>
        <v>324</v>
      </c>
      <c r="R342" s="797">
        <f t="shared" si="35"/>
        <v>324.77824497425672</v>
      </c>
      <c r="S342" s="797">
        <f>[1]!taqsabet(O342,C342)</f>
        <v>324.77824497425672</v>
      </c>
      <c r="T342" s="527"/>
      <c r="U342" s="527">
        <v>10</v>
      </c>
      <c r="V342" s="527">
        <v>21</v>
      </c>
      <c r="W342" s="527">
        <v>52</v>
      </c>
      <c r="X342" s="527"/>
      <c r="Y342" s="527">
        <v>25</v>
      </c>
      <c r="Z342" s="527">
        <v>0</v>
      </c>
      <c r="AA342" s="527" t="s">
        <v>2695</v>
      </c>
      <c r="AB342" s="527">
        <v>5</v>
      </c>
      <c r="AC342" s="527" t="s">
        <v>2422</v>
      </c>
      <c r="AD342" s="527" t="s">
        <v>2636</v>
      </c>
    </row>
    <row r="343" spans="1:30">
      <c r="A343" s="536"/>
      <c r="B343" s="536"/>
      <c r="C343" s="523">
        <v>312</v>
      </c>
      <c r="D343" s="523">
        <v>4</v>
      </c>
      <c r="E343" s="561" t="s">
        <v>2728</v>
      </c>
      <c r="F343" s="523">
        <v>70</v>
      </c>
      <c r="G343" s="523"/>
      <c r="H343" s="523">
        <v>66</v>
      </c>
      <c r="I343" s="523">
        <v>0</v>
      </c>
      <c r="J343" s="523">
        <v>0</v>
      </c>
      <c r="K343" s="524"/>
      <c r="L343" s="797">
        <f>[1]!tsabetm(C343)</f>
        <v>297.25</v>
      </c>
      <c r="M343" s="797">
        <f>[1]!tsabetz(C343)</f>
        <v>322.76666666666665</v>
      </c>
      <c r="N343" s="797">
        <f t="shared" si="31"/>
        <v>68.112344872632306</v>
      </c>
      <c r="O343" s="797">
        <f t="shared" si="32"/>
        <v>1445.0028169014086</v>
      </c>
      <c r="P343" s="797">
        <f t="shared" si="33"/>
        <v>37.777510170341202</v>
      </c>
      <c r="Q343" s="797">
        <f t="shared" si="34"/>
        <v>325</v>
      </c>
      <c r="R343" s="797">
        <f t="shared" si="35"/>
        <v>325.62962516950569</v>
      </c>
      <c r="S343" s="797">
        <f>[1]!taqsabet(O343,C343)</f>
        <v>325.62962516950569</v>
      </c>
      <c r="T343" s="524"/>
      <c r="U343" s="523">
        <v>10</v>
      </c>
      <c r="V343" s="523">
        <v>22</v>
      </c>
      <c r="W343" s="523">
        <v>46</v>
      </c>
      <c r="X343" s="523"/>
      <c r="Y343" s="523">
        <v>24</v>
      </c>
      <c r="Z343" s="523">
        <v>16</v>
      </c>
      <c r="AA343" s="523" t="s">
        <v>2695</v>
      </c>
      <c r="AB343" s="523">
        <v>6</v>
      </c>
      <c r="AC343" s="523" t="s">
        <v>2422</v>
      </c>
      <c r="AD343" s="523" t="s">
        <v>2636</v>
      </c>
    </row>
    <row r="344" spans="1:30">
      <c r="A344" s="536"/>
      <c r="B344" s="536"/>
      <c r="C344" s="546"/>
      <c r="D344" s="546"/>
      <c r="E344" s="546"/>
      <c r="F344" s="546"/>
      <c r="G344" s="546"/>
      <c r="H344" s="546"/>
      <c r="I344" s="546"/>
      <c r="J344" s="546"/>
      <c r="K344" s="546"/>
      <c r="N344" s="797">
        <f t="shared" si="31"/>
        <v>4.8277777777777775</v>
      </c>
      <c r="O344" s="797">
        <f t="shared" si="32"/>
        <v>1445.0028169014086</v>
      </c>
      <c r="P344" s="797">
        <f t="shared" si="33"/>
        <v>23.510267589427372</v>
      </c>
      <c r="Q344" s="797">
        <f t="shared" si="34"/>
        <v>40</v>
      </c>
      <c r="R344" s="797">
        <f t="shared" si="35"/>
        <v>40.391837793157123</v>
      </c>
      <c r="S344" s="797">
        <f>[1]!taqsabet(O344,C344)</f>
        <v>1.4716840899636423</v>
      </c>
      <c r="T344" s="546"/>
      <c r="U344" s="546"/>
      <c r="V344" s="546"/>
      <c r="W344" s="546"/>
      <c r="X344" s="546"/>
      <c r="Y344" s="546"/>
      <c r="Z344" s="546"/>
      <c r="AA344" s="546"/>
      <c r="AB344" s="546"/>
      <c r="AC344" s="546"/>
      <c r="AD344" s="546"/>
    </row>
    <row r="345" spans="1:30">
      <c r="A345" s="520">
        <v>19</v>
      </c>
      <c r="B345" s="536" t="s">
        <v>2730</v>
      </c>
      <c r="C345" s="522">
        <v>313</v>
      </c>
      <c r="D345" s="522">
        <v>1</v>
      </c>
      <c r="E345" s="550" t="s">
        <v>2731</v>
      </c>
      <c r="F345" s="522">
        <v>70</v>
      </c>
      <c r="G345" s="522"/>
      <c r="H345" s="522">
        <v>71</v>
      </c>
      <c r="I345" s="522">
        <v>8</v>
      </c>
      <c r="J345" s="522">
        <v>11</v>
      </c>
      <c r="K345" s="522" t="s">
        <v>2732</v>
      </c>
      <c r="L345" s="797">
        <f>[1]!tsabetm(C345)</f>
        <v>347.41666666666669</v>
      </c>
      <c r="M345" s="797">
        <f>[1]!tsabetz(C345)</f>
        <v>12.233333333333333</v>
      </c>
      <c r="N345" s="797">
        <f t="shared" si="31"/>
        <v>70.033579583613175</v>
      </c>
      <c r="O345" s="797">
        <f t="shared" si="32"/>
        <v>1445.0028169014086</v>
      </c>
      <c r="P345" s="797">
        <f t="shared" si="33"/>
        <v>1.0651290944748126</v>
      </c>
      <c r="Q345" s="797">
        <f t="shared" si="34"/>
        <v>15</v>
      </c>
      <c r="R345" s="797">
        <f t="shared" si="35"/>
        <v>15.01775215157458</v>
      </c>
      <c r="S345" s="797">
        <f>[1]!taqsabet(O345,C345)</f>
        <v>15.017752151574578</v>
      </c>
      <c r="T345" s="522"/>
      <c r="U345" s="522">
        <v>0</v>
      </c>
      <c r="V345" s="522">
        <v>12</v>
      </c>
      <c r="W345" s="522">
        <v>14</v>
      </c>
      <c r="X345" s="522"/>
      <c r="Y345" s="522">
        <v>25</v>
      </c>
      <c r="Z345" s="522">
        <v>21</v>
      </c>
      <c r="AA345" s="522" t="s">
        <v>2695</v>
      </c>
      <c r="AB345" s="522">
        <v>2</v>
      </c>
      <c r="AC345" s="522">
        <v>2</v>
      </c>
      <c r="AD345" s="522" t="s">
        <v>2636</v>
      </c>
    </row>
    <row r="346" spans="1:30">
      <c r="A346" s="536"/>
      <c r="B346" s="536"/>
      <c r="C346" s="523">
        <v>314</v>
      </c>
      <c r="D346" s="523">
        <v>2</v>
      </c>
      <c r="E346" s="543" t="s">
        <v>2733</v>
      </c>
      <c r="F346" s="523">
        <v>70</v>
      </c>
      <c r="G346" s="523"/>
      <c r="H346" s="523">
        <v>69</v>
      </c>
      <c r="I346" s="523">
        <v>1</v>
      </c>
      <c r="J346" s="523">
        <v>10</v>
      </c>
      <c r="K346" s="523" t="s">
        <v>2734</v>
      </c>
      <c r="L346" s="797">
        <f>[1]!tsabetm(C346)</f>
        <v>341.75</v>
      </c>
      <c r="M346" s="797">
        <f>[1]!tsabetz(C346)</f>
        <v>7.4666666666666668</v>
      </c>
      <c r="N346" s="797">
        <f t="shared" si="31"/>
        <v>67.582631237848418</v>
      </c>
      <c r="O346" s="797">
        <f t="shared" si="32"/>
        <v>1445.0028169014086</v>
      </c>
      <c r="P346" s="797">
        <f t="shared" si="33"/>
        <v>21.12390476344828</v>
      </c>
      <c r="Q346" s="797">
        <f t="shared" si="34"/>
        <v>10</v>
      </c>
      <c r="R346" s="797">
        <f t="shared" si="35"/>
        <v>10.352065079390805</v>
      </c>
      <c r="S346" s="797">
        <f>[1]!taqsabet(O346,C346)</f>
        <v>10.352065079390808</v>
      </c>
      <c r="T346" s="523"/>
      <c r="U346" s="523">
        <v>0</v>
      </c>
      <c r="V346" s="523">
        <v>7</v>
      </c>
      <c r="W346" s="523">
        <v>28</v>
      </c>
      <c r="X346" s="523"/>
      <c r="Y346" s="523">
        <v>12</v>
      </c>
      <c r="Z346" s="523">
        <v>24</v>
      </c>
      <c r="AA346" s="523" t="s">
        <v>2695</v>
      </c>
      <c r="AB346" s="523">
        <v>2</v>
      </c>
      <c r="AC346" s="523">
        <v>2</v>
      </c>
      <c r="AD346" s="523" t="s">
        <v>2636</v>
      </c>
    </row>
    <row r="347" spans="1:30">
      <c r="C347" s="522">
        <v>315</v>
      </c>
      <c r="D347" s="522">
        <v>3</v>
      </c>
      <c r="E347" s="550" t="s">
        <v>2735</v>
      </c>
      <c r="F347" s="522">
        <v>70</v>
      </c>
      <c r="G347" s="522"/>
      <c r="H347" s="522">
        <v>68</v>
      </c>
      <c r="I347" s="522">
        <v>4</v>
      </c>
      <c r="J347" s="522">
        <v>10</v>
      </c>
      <c r="K347" s="522" t="s">
        <v>2736</v>
      </c>
      <c r="L347" s="797">
        <f>[1]!tsabetm(C347)</f>
        <v>331.75</v>
      </c>
      <c r="M347" s="797">
        <f>[1]!tsabetz(C347)</f>
        <v>27.716666666666665</v>
      </c>
      <c r="N347" s="797">
        <f t="shared" si="31"/>
        <v>31.054198927933307</v>
      </c>
      <c r="O347" s="797">
        <f t="shared" si="32"/>
        <v>1445.0028169014086</v>
      </c>
      <c r="P347" s="797">
        <f t="shared" si="33"/>
        <v>59.766086970615362</v>
      </c>
      <c r="Q347" s="797">
        <f t="shared" si="34"/>
        <v>33</v>
      </c>
      <c r="R347" s="797">
        <f t="shared" si="35"/>
        <v>33.996101449510256</v>
      </c>
      <c r="S347" s="797">
        <f>[1]!taqsabet(O347,C347)</f>
        <v>33.996101449510256</v>
      </c>
      <c r="T347" s="522"/>
      <c r="U347" s="522">
        <v>0</v>
      </c>
      <c r="V347" s="522">
        <v>27</v>
      </c>
      <c r="W347" s="522">
        <v>43</v>
      </c>
      <c r="X347" s="522"/>
      <c r="Y347" s="522">
        <v>30</v>
      </c>
      <c r="Z347" s="522">
        <v>51</v>
      </c>
      <c r="AA347" s="522" t="s">
        <v>2695</v>
      </c>
      <c r="AB347" s="522">
        <v>2</v>
      </c>
      <c r="AC347" s="522">
        <v>2</v>
      </c>
      <c r="AD347" s="522" t="s">
        <v>2636</v>
      </c>
    </row>
    <row r="348" spans="1:30">
      <c r="C348" s="523">
        <v>316</v>
      </c>
      <c r="D348" s="523">
        <v>4</v>
      </c>
      <c r="E348" s="543" t="s">
        <v>2737</v>
      </c>
      <c r="F348" s="523">
        <v>70</v>
      </c>
      <c r="G348" s="523"/>
      <c r="H348" s="523">
        <v>68</v>
      </c>
      <c r="I348" s="523">
        <v>11</v>
      </c>
      <c r="J348" s="523">
        <v>24</v>
      </c>
      <c r="K348" s="523" t="s">
        <v>2738</v>
      </c>
      <c r="L348" s="797">
        <f>[1]!tsabetm(C348)</f>
        <v>326.25</v>
      </c>
      <c r="M348" s="797">
        <f>[1]!tsabetz(C348)</f>
        <v>352.01666666666665</v>
      </c>
      <c r="N348" s="797">
        <f t="shared" si="31"/>
        <v>67.451487710219965</v>
      </c>
      <c r="O348" s="797">
        <f t="shared" si="32"/>
        <v>1445.0028169014086</v>
      </c>
      <c r="P348" s="797">
        <f t="shared" si="33"/>
        <v>54.460503411722812</v>
      </c>
      <c r="Q348" s="797">
        <f t="shared" si="34"/>
        <v>354</v>
      </c>
      <c r="R348" s="797">
        <f t="shared" si="35"/>
        <v>354.90767505686205</v>
      </c>
      <c r="S348" s="797">
        <f>[1]!taqsabet(O348,C348)</f>
        <v>354.90767505686205</v>
      </c>
      <c r="T348" s="523"/>
      <c r="U348" s="523">
        <v>11</v>
      </c>
      <c r="V348" s="523">
        <v>22</v>
      </c>
      <c r="W348" s="523">
        <v>1</v>
      </c>
      <c r="X348" s="523"/>
      <c r="Y348" s="523">
        <v>19</v>
      </c>
      <c r="Z348" s="523">
        <v>0</v>
      </c>
      <c r="AA348" s="523" t="s">
        <v>2695</v>
      </c>
      <c r="AB348" s="523">
        <v>2</v>
      </c>
      <c r="AC348" s="523">
        <v>2</v>
      </c>
      <c r="AD348" s="523" t="s">
        <v>2636</v>
      </c>
    </row>
    <row r="349" spans="1:30">
      <c r="C349" s="522">
        <v>317</v>
      </c>
      <c r="D349" s="522">
        <v>5</v>
      </c>
      <c r="E349" s="550" t="s">
        <v>2739</v>
      </c>
      <c r="F349" s="522">
        <v>70</v>
      </c>
      <c r="G349" s="522"/>
      <c r="H349" s="522">
        <v>68</v>
      </c>
      <c r="I349" s="522">
        <v>6</v>
      </c>
      <c r="J349" s="522">
        <v>14</v>
      </c>
      <c r="K349" s="522" t="s">
        <v>2740</v>
      </c>
      <c r="L349" s="797">
        <f>[1]!tsabetm(C349)</f>
        <v>334.08333333333331</v>
      </c>
      <c r="M349" s="797">
        <f>[1]!tsabetz(C349)</f>
        <v>1.6666666666666666E-2</v>
      </c>
      <c r="N349" s="797">
        <f t="shared" si="31"/>
        <v>67.017994858611814</v>
      </c>
      <c r="O349" s="797">
        <f t="shared" si="32"/>
        <v>1445.0028169014086</v>
      </c>
      <c r="P349" s="797">
        <f t="shared" si="33"/>
        <v>55.582498905979136</v>
      </c>
      <c r="Q349" s="797">
        <f t="shared" si="34"/>
        <v>2</v>
      </c>
      <c r="R349" s="797">
        <f t="shared" si="35"/>
        <v>2.9263749817663189</v>
      </c>
      <c r="S349" s="797">
        <f>[1]!taqsabet(O349,C349)</f>
        <v>2.9263749817663207</v>
      </c>
      <c r="T349" s="522"/>
      <c r="U349" s="522">
        <v>0</v>
      </c>
      <c r="V349" s="522">
        <v>0</v>
      </c>
      <c r="W349" s="522">
        <v>1</v>
      </c>
      <c r="X349" s="522"/>
      <c r="Y349" s="522">
        <v>24</v>
      </c>
      <c r="Z349" s="522">
        <v>48</v>
      </c>
      <c r="AA349" s="522" t="s">
        <v>2695</v>
      </c>
      <c r="AB349" s="522">
        <v>4</v>
      </c>
      <c r="AC349" s="522">
        <v>4</v>
      </c>
      <c r="AD349" s="522" t="s">
        <v>2636</v>
      </c>
    </row>
    <row r="350" spans="1:30">
      <c r="C350" s="523">
        <v>318</v>
      </c>
      <c r="D350" s="523">
        <v>6</v>
      </c>
      <c r="E350" s="543" t="s">
        <v>2718</v>
      </c>
      <c r="F350" s="523">
        <v>70</v>
      </c>
      <c r="G350" s="523"/>
      <c r="H350" s="523">
        <v>66</v>
      </c>
      <c r="I350" s="523">
        <v>0</v>
      </c>
      <c r="J350" s="523">
        <v>0</v>
      </c>
      <c r="K350" s="523"/>
      <c r="L350" s="797">
        <f>[1]!tsabetm(C350)</f>
        <v>334.58333333333331</v>
      </c>
      <c r="M350" s="797">
        <f>[1]!tsabetz(C350)</f>
        <v>1.1166666666666667</v>
      </c>
      <c r="N350" s="797">
        <f t="shared" si="31"/>
        <v>65.502512562814005</v>
      </c>
      <c r="O350" s="797">
        <f t="shared" si="32"/>
        <v>1445.0028169014086</v>
      </c>
      <c r="P350" s="797">
        <f t="shared" si="33"/>
        <v>5.6216826852950419</v>
      </c>
      <c r="Q350" s="797">
        <f t="shared" si="34"/>
        <v>4</v>
      </c>
      <c r="R350" s="797">
        <f t="shared" si="35"/>
        <v>4.093694711421584</v>
      </c>
      <c r="S350" s="797">
        <f>[1]!taqsabet(O350,C350)</f>
        <v>4.0936947114215831</v>
      </c>
      <c r="T350" s="523"/>
      <c r="U350" s="523">
        <v>0</v>
      </c>
      <c r="V350" s="523">
        <v>1</v>
      </c>
      <c r="W350" s="523">
        <v>7</v>
      </c>
      <c r="X350" s="523"/>
      <c r="Y350" s="523">
        <v>24</v>
      </c>
      <c r="Z350" s="523">
        <v>15</v>
      </c>
      <c r="AA350" s="523" t="s">
        <v>2695</v>
      </c>
      <c r="AB350" s="523">
        <v>4</v>
      </c>
      <c r="AC350" s="523">
        <v>4</v>
      </c>
      <c r="AD350" s="523" t="s">
        <v>2636</v>
      </c>
    </row>
    <row r="351" spans="1:30">
      <c r="C351" s="522">
        <v>319</v>
      </c>
      <c r="D351" s="522">
        <v>7</v>
      </c>
      <c r="E351" s="550" t="s">
        <v>2741</v>
      </c>
      <c r="F351" s="522">
        <v>70</v>
      </c>
      <c r="G351" s="522"/>
      <c r="H351" s="522">
        <v>66</v>
      </c>
      <c r="I351" s="522">
        <v>0</v>
      </c>
      <c r="J351" s="522">
        <v>0</v>
      </c>
      <c r="K351" s="522"/>
      <c r="L351" s="797">
        <f>[1]!tsabetm(C351)</f>
        <v>328.58333333333331</v>
      </c>
      <c r="M351" s="797">
        <f>[1]!tsabetz(C351)</f>
        <v>354.26666666666665</v>
      </c>
      <c r="N351" s="797">
        <f t="shared" si="31"/>
        <v>67.670343932511344</v>
      </c>
      <c r="O351" s="797">
        <f t="shared" si="32"/>
        <v>1445.0028169014086</v>
      </c>
      <c r="P351" s="797">
        <f t="shared" si="33"/>
        <v>8.8995056645956083</v>
      </c>
      <c r="Q351" s="797">
        <f t="shared" si="34"/>
        <v>357</v>
      </c>
      <c r="R351" s="797">
        <f t="shared" si="35"/>
        <v>357.14832509440993</v>
      </c>
      <c r="S351" s="797">
        <f>[1]!taqsabet(O351,C351)</f>
        <v>357.14832509440993</v>
      </c>
      <c r="T351" s="522"/>
      <c r="U351" s="522">
        <v>11</v>
      </c>
      <c r="V351" s="522">
        <v>24</v>
      </c>
      <c r="W351" s="522">
        <v>16</v>
      </c>
      <c r="X351" s="522"/>
      <c r="Y351" s="522">
        <v>34</v>
      </c>
      <c r="Z351" s="522">
        <v>45</v>
      </c>
      <c r="AA351" s="522" t="s">
        <v>2695</v>
      </c>
      <c r="AB351" s="522">
        <v>3</v>
      </c>
      <c r="AC351" s="522">
        <v>3</v>
      </c>
      <c r="AD351" s="522" t="s">
        <v>2636</v>
      </c>
    </row>
    <row r="352" spans="1:30">
      <c r="C352" s="523">
        <v>320</v>
      </c>
      <c r="D352" s="523">
        <v>8</v>
      </c>
      <c r="E352" s="543" t="s">
        <v>2718</v>
      </c>
      <c r="F352" s="523">
        <v>70</v>
      </c>
      <c r="G352" s="523"/>
      <c r="H352" s="523">
        <v>66</v>
      </c>
      <c r="I352" s="523">
        <v>0</v>
      </c>
      <c r="J352" s="523">
        <v>0</v>
      </c>
      <c r="K352" s="523" t="s">
        <v>2742</v>
      </c>
      <c r="L352" s="797">
        <f>[1]!tsabetm(C352)</f>
        <v>328.08333333333331</v>
      </c>
      <c r="M352" s="797">
        <f>[1]!tsabetz(C352)</f>
        <v>353.51666666666665</v>
      </c>
      <c r="N352" s="797">
        <f t="shared" si="31"/>
        <v>68.33551769331585</v>
      </c>
      <c r="O352" s="797">
        <f t="shared" si="32"/>
        <v>1445.0028169014086</v>
      </c>
      <c r="P352" s="797">
        <f t="shared" si="33"/>
        <v>22.216512423213999</v>
      </c>
      <c r="Q352" s="797">
        <f t="shared" si="34"/>
        <v>356</v>
      </c>
      <c r="R352" s="797">
        <f t="shared" si="35"/>
        <v>356.37027520705357</v>
      </c>
      <c r="S352" s="797">
        <f>[1]!taqsabet(O352,C352)</f>
        <v>356.37027520705357</v>
      </c>
      <c r="T352" s="523"/>
      <c r="U352" s="523">
        <v>11</v>
      </c>
      <c r="V352" s="523">
        <v>23</v>
      </c>
      <c r="W352" s="523">
        <v>31</v>
      </c>
      <c r="X352" s="523"/>
      <c r="Y352" s="523">
        <v>34</v>
      </c>
      <c r="Z352" s="523">
        <v>9</v>
      </c>
      <c r="AA352" s="523" t="s">
        <v>2695</v>
      </c>
      <c r="AB352" s="523">
        <v>5</v>
      </c>
      <c r="AC352" s="523">
        <v>5</v>
      </c>
      <c r="AD352" s="523" t="s">
        <v>2636</v>
      </c>
    </row>
    <row r="353" spans="1:31">
      <c r="C353" s="522">
        <v>321</v>
      </c>
      <c r="D353" s="522">
        <v>9</v>
      </c>
      <c r="E353" s="550" t="s">
        <v>2743</v>
      </c>
      <c r="F353" s="522">
        <v>70</v>
      </c>
      <c r="G353" s="522"/>
      <c r="H353" s="522">
        <v>66</v>
      </c>
      <c r="I353" s="522">
        <v>0</v>
      </c>
      <c r="J353" s="522">
        <v>0</v>
      </c>
      <c r="K353" s="522" t="s">
        <v>2744</v>
      </c>
      <c r="L353" s="797">
        <f>[1]!tsabetm(C353)</f>
        <v>325.75</v>
      </c>
      <c r="M353" s="797">
        <f>[1]!tsabetz(C353)</f>
        <v>352.26666666666665</v>
      </c>
      <c r="N353" s="797">
        <f t="shared" si="31"/>
        <v>65.543683218101862</v>
      </c>
      <c r="O353" s="797">
        <f t="shared" si="32"/>
        <v>1445.0028169014086</v>
      </c>
      <c r="P353" s="797">
        <f t="shared" si="33"/>
        <v>14.50948313586764</v>
      </c>
      <c r="Q353" s="797">
        <f t="shared" si="34"/>
        <v>355</v>
      </c>
      <c r="R353" s="797">
        <f t="shared" si="35"/>
        <v>355.24182471893113</v>
      </c>
      <c r="S353" s="797">
        <f>[1]!taqsabet(O353,C353)</f>
        <v>355.24182471893113</v>
      </c>
      <c r="T353" s="522"/>
      <c r="U353" s="522">
        <v>11</v>
      </c>
      <c r="V353" s="522">
        <v>22</v>
      </c>
      <c r="W353" s="522">
        <v>16</v>
      </c>
      <c r="X353" s="522"/>
      <c r="Y353" s="522">
        <v>28</v>
      </c>
      <c r="Z353" s="522">
        <v>39</v>
      </c>
      <c r="AA353" s="522" t="s">
        <v>2695</v>
      </c>
      <c r="AB353" s="522">
        <v>4</v>
      </c>
      <c r="AC353" s="522">
        <v>4</v>
      </c>
      <c r="AD353" s="522" t="s">
        <v>2636</v>
      </c>
    </row>
    <row r="354" spans="1:31">
      <c r="C354" s="523">
        <v>322</v>
      </c>
      <c r="D354" s="523">
        <v>10</v>
      </c>
      <c r="E354" s="543" t="s">
        <v>2465</v>
      </c>
      <c r="F354" s="523">
        <v>70</v>
      </c>
      <c r="G354" s="523"/>
      <c r="H354" s="523">
        <v>66</v>
      </c>
      <c r="I354" s="523">
        <v>0</v>
      </c>
      <c r="J354" s="523">
        <v>0</v>
      </c>
      <c r="K354" s="523"/>
      <c r="L354" s="797">
        <f>[1]!tsabetm(C354)</f>
        <v>326.58333333333331</v>
      </c>
      <c r="M354" s="797">
        <f>[1]!tsabetz(C354)</f>
        <v>353.31666666666666</v>
      </c>
      <c r="N354" s="797">
        <f t="shared" si="31"/>
        <v>65.012468827930135</v>
      </c>
      <c r="O354" s="797">
        <f t="shared" si="32"/>
        <v>1445.0028169014086</v>
      </c>
      <c r="P354" s="797">
        <f t="shared" si="33"/>
        <v>18.968077278400415</v>
      </c>
      <c r="Q354" s="797">
        <f t="shared" si="34"/>
        <v>356</v>
      </c>
      <c r="R354" s="797">
        <f t="shared" si="35"/>
        <v>356.31613462130667</v>
      </c>
      <c r="S354" s="797">
        <f>[1]!taqsabet(O354,C354)</f>
        <v>356.31613462130667</v>
      </c>
      <c r="T354" s="523"/>
      <c r="U354" s="523">
        <v>11</v>
      </c>
      <c r="V354" s="523">
        <v>23</v>
      </c>
      <c r="W354" s="523">
        <v>19</v>
      </c>
      <c r="X354" s="523"/>
      <c r="Y354" s="523">
        <v>29</v>
      </c>
      <c r="Z354" s="523">
        <v>0</v>
      </c>
      <c r="AA354" s="523" t="s">
        <v>2695</v>
      </c>
      <c r="AB354" s="523">
        <v>4</v>
      </c>
      <c r="AC354" s="523">
        <v>4</v>
      </c>
      <c r="AD354" s="523" t="s">
        <v>2636</v>
      </c>
    </row>
    <row r="355" spans="1:31">
      <c r="C355" s="522">
        <v>323</v>
      </c>
      <c r="D355" s="522">
        <v>11</v>
      </c>
      <c r="E355" s="550" t="s">
        <v>2745</v>
      </c>
      <c r="F355" s="522">
        <v>70</v>
      </c>
      <c r="G355" s="522"/>
      <c r="H355" s="522">
        <v>66</v>
      </c>
      <c r="I355" s="522">
        <v>0</v>
      </c>
      <c r="J355" s="522">
        <v>0</v>
      </c>
      <c r="K355" s="522"/>
      <c r="L355" s="797">
        <f>[1]!tsabetm(C355)</f>
        <v>318.41666666666669</v>
      </c>
      <c r="M355" s="797">
        <f>[1]!tsabetz(C355)</f>
        <v>344.51666666666665</v>
      </c>
      <c r="N355" s="797">
        <f t="shared" si="31"/>
        <v>66.590038314176326</v>
      </c>
      <c r="O355" s="797">
        <f t="shared" si="32"/>
        <v>1445.0028169014086</v>
      </c>
      <c r="P355" s="797">
        <f t="shared" si="33"/>
        <v>26.704494400231624</v>
      </c>
      <c r="Q355" s="797">
        <f t="shared" si="34"/>
        <v>347</v>
      </c>
      <c r="R355" s="797">
        <f t="shared" si="35"/>
        <v>347.44507490667053</v>
      </c>
      <c r="S355" s="797">
        <f>[1]!taqsabet(O355,C355)</f>
        <v>347.44507490667053</v>
      </c>
      <c r="T355" s="522"/>
      <c r="U355" s="522">
        <v>11</v>
      </c>
      <c r="V355" s="522">
        <v>14</v>
      </c>
      <c r="W355" s="522">
        <v>31</v>
      </c>
      <c r="X355" s="522"/>
      <c r="Y355" s="522">
        <v>17</v>
      </c>
      <c r="Z355" s="522">
        <v>15</v>
      </c>
      <c r="AA355" s="522" t="s">
        <v>2695</v>
      </c>
      <c r="AB355" s="522">
        <v>3</v>
      </c>
      <c r="AC355" s="522">
        <v>3</v>
      </c>
      <c r="AD355" s="522" t="s">
        <v>2636</v>
      </c>
    </row>
    <row r="356" spans="1:31">
      <c r="C356" s="523">
        <v>324</v>
      </c>
      <c r="D356" s="523">
        <v>12</v>
      </c>
      <c r="E356" s="543" t="s">
        <v>2465</v>
      </c>
      <c r="F356" s="523">
        <v>70</v>
      </c>
      <c r="G356" s="523"/>
      <c r="H356" s="523">
        <v>66</v>
      </c>
      <c r="I356" s="523">
        <v>0</v>
      </c>
      <c r="J356" s="523">
        <v>0</v>
      </c>
      <c r="K356" s="535" t="s">
        <v>2746</v>
      </c>
      <c r="L356" s="797">
        <f>[1]!tsabetm(C356)</f>
        <v>320.08333333333331</v>
      </c>
      <c r="M356" s="797">
        <f>[1]!tsabetz(C356)</f>
        <v>347.31666666666666</v>
      </c>
      <c r="N356" s="797">
        <f t="shared" si="31"/>
        <v>63.818849449204372</v>
      </c>
      <c r="O356" s="797">
        <f t="shared" si="32"/>
        <v>1445.0028169014086</v>
      </c>
      <c r="P356" s="797">
        <f t="shared" si="33"/>
        <v>22.334063761163634</v>
      </c>
      <c r="Q356" s="797">
        <f t="shared" si="34"/>
        <v>350</v>
      </c>
      <c r="R356" s="797">
        <f t="shared" si="35"/>
        <v>350.37223439601939</v>
      </c>
      <c r="S356" s="797">
        <f>[1]!taqsabet(O356,C356)</f>
        <v>350.37223439601939</v>
      </c>
      <c r="T356" s="523"/>
      <c r="U356" s="523">
        <v>11</v>
      </c>
      <c r="V356" s="523">
        <v>17</v>
      </c>
      <c r="W356" s="523">
        <v>19</v>
      </c>
      <c r="X356" s="523"/>
      <c r="Y356" s="523">
        <v>18</v>
      </c>
      <c r="Z356" s="523">
        <v>11</v>
      </c>
      <c r="AA356" s="523" t="s">
        <v>2695</v>
      </c>
      <c r="AB356" s="523">
        <v>4</v>
      </c>
      <c r="AC356" s="523">
        <v>4</v>
      </c>
      <c r="AD356" s="523" t="s">
        <v>2636</v>
      </c>
      <c r="AE356" s="327">
        <v>584</v>
      </c>
    </row>
    <row r="357" spans="1:31">
      <c r="C357" s="522">
        <v>325</v>
      </c>
      <c r="D357" s="522">
        <v>13</v>
      </c>
      <c r="E357" s="550" t="s">
        <v>2747</v>
      </c>
      <c r="F357" s="522">
        <v>70</v>
      </c>
      <c r="G357" s="522"/>
      <c r="H357" s="522">
        <v>66</v>
      </c>
      <c r="I357" s="522">
        <v>0</v>
      </c>
      <c r="J357" s="522">
        <v>0</v>
      </c>
      <c r="K357" s="522"/>
      <c r="L357" s="797">
        <f>[1]!tsabetm(C357)</f>
        <v>320.91666666666669</v>
      </c>
      <c r="M357" s="797">
        <f>[1]!tsabetz(C357)</f>
        <v>348.01666666666665</v>
      </c>
      <c r="N357" s="797">
        <f t="shared" si="31"/>
        <v>64.132841328413363</v>
      </c>
      <c r="O357" s="797">
        <f t="shared" si="32"/>
        <v>1445.0028169014086</v>
      </c>
      <c r="P357" s="797">
        <f t="shared" si="33"/>
        <v>3.4364673657580624</v>
      </c>
      <c r="Q357" s="797">
        <f t="shared" si="34"/>
        <v>351</v>
      </c>
      <c r="R357" s="797">
        <f t="shared" si="35"/>
        <v>351.05727445609597</v>
      </c>
      <c r="S357" s="797">
        <f>[1]!taqsabet(O357,C357)</f>
        <v>351.05727445609597</v>
      </c>
      <c r="T357" s="522"/>
      <c r="U357" s="522">
        <v>11</v>
      </c>
      <c r="V357" s="522">
        <v>18</v>
      </c>
      <c r="W357" s="522">
        <v>1</v>
      </c>
      <c r="X357" s="522"/>
      <c r="Y357" s="522">
        <v>14</v>
      </c>
      <c r="Z357" s="522">
        <v>15</v>
      </c>
      <c r="AA357" s="522" t="s">
        <v>2695</v>
      </c>
      <c r="AB357" s="522">
        <v>5</v>
      </c>
      <c r="AC357" s="522">
        <v>5</v>
      </c>
      <c r="AD357" s="522" t="s">
        <v>2636</v>
      </c>
    </row>
    <row r="358" spans="1:31">
      <c r="C358" s="523">
        <v>326</v>
      </c>
      <c r="D358" s="523">
        <v>14</v>
      </c>
      <c r="E358" s="543" t="s">
        <v>2582</v>
      </c>
      <c r="F358" s="523">
        <v>70</v>
      </c>
      <c r="G358" s="523"/>
      <c r="H358" s="523">
        <v>66</v>
      </c>
      <c r="I358" s="523">
        <v>0</v>
      </c>
      <c r="J358" s="523">
        <v>0</v>
      </c>
      <c r="K358" s="523"/>
      <c r="L358" s="797">
        <f>[1]!tsabetm(C358)</f>
        <v>320.08333333333331</v>
      </c>
      <c r="M358" s="797">
        <f>[1]!tsabetz(C358)</f>
        <v>347.06666666666666</v>
      </c>
      <c r="N358" s="797">
        <f t="shared" si="31"/>
        <v>64.410129709697301</v>
      </c>
      <c r="O358" s="797">
        <f t="shared" si="32"/>
        <v>1445.0028169014086</v>
      </c>
      <c r="P358" s="797">
        <f t="shared" si="33"/>
        <v>5.6510705197820243</v>
      </c>
      <c r="Q358" s="797">
        <f t="shared" si="34"/>
        <v>350</v>
      </c>
      <c r="R358" s="797">
        <f t="shared" si="35"/>
        <v>350.09418450866303</v>
      </c>
      <c r="S358" s="797">
        <f>[1]!taqsabet(O358,C358)</f>
        <v>350.09418450866303</v>
      </c>
      <c r="T358" s="523"/>
      <c r="U358" s="523">
        <v>11</v>
      </c>
      <c r="V358" s="523">
        <v>17</v>
      </c>
      <c r="W358" s="523">
        <v>4</v>
      </c>
      <c r="X358" s="523"/>
      <c r="Y358" s="523">
        <v>15</v>
      </c>
      <c r="Z358" s="523">
        <v>21</v>
      </c>
      <c r="AA358" s="523" t="s">
        <v>2695</v>
      </c>
      <c r="AB358" s="523">
        <v>5</v>
      </c>
      <c r="AC358" s="523">
        <v>5</v>
      </c>
      <c r="AD358" s="523" t="s">
        <v>2636</v>
      </c>
    </row>
    <row r="359" spans="1:31">
      <c r="C359" s="522">
        <v>327</v>
      </c>
      <c r="D359" s="522">
        <v>15</v>
      </c>
      <c r="E359" s="550" t="s">
        <v>2748</v>
      </c>
      <c r="F359" s="522">
        <v>70</v>
      </c>
      <c r="G359" s="522"/>
      <c r="H359" s="522">
        <v>66</v>
      </c>
      <c r="I359" s="522">
        <v>0</v>
      </c>
      <c r="J359" s="522">
        <v>0</v>
      </c>
      <c r="K359" s="522"/>
      <c r="L359" s="797">
        <f>[1]!tsabetm(C359)</f>
        <v>308.91666666666669</v>
      </c>
      <c r="M359" s="797">
        <f>[1]!tsabetz(C359)</f>
        <v>335.51666666666665</v>
      </c>
      <c r="N359" s="797">
        <f t="shared" si="31"/>
        <v>65.338345864661733</v>
      </c>
      <c r="O359" s="797">
        <f t="shared" si="32"/>
        <v>1445.0028169014086</v>
      </c>
      <c r="P359" s="797">
        <f t="shared" si="33"/>
        <v>30.070480882994843</v>
      </c>
      <c r="Q359" s="797">
        <f t="shared" si="34"/>
        <v>338</v>
      </c>
      <c r="R359" s="797">
        <f t="shared" si="35"/>
        <v>338.50117468138325</v>
      </c>
      <c r="S359" s="797">
        <f>[1]!taqsabet(O359,C359)</f>
        <v>338.50117468138325</v>
      </c>
      <c r="T359" s="522"/>
      <c r="U359" s="522">
        <v>11</v>
      </c>
      <c r="V359" s="522">
        <v>5</v>
      </c>
      <c r="W359" s="522">
        <v>31</v>
      </c>
      <c r="X359" s="522"/>
      <c r="Y359" s="522">
        <v>15</v>
      </c>
      <c r="Z359" s="522">
        <v>48</v>
      </c>
      <c r="AA359" s="522" t="s">
        <v>2695</v>
      </c>
      <c r="AB359" s="522">
        <v>3</v>
      </c>
      <c r="AC359" s="522">
        <v>3</v>
      </c>
      <c r="AD359" s="522" t="s">
        <v>2636</v>
      </c>
    </row>
    <row r="360" spans="1:31">
      <c r="C360" s="523">
        <v>328</v>
      </c>
      <c r="D360" s="523">
        <v>16</v>
      </c>
      <c r="E360" s="543" t="s">
        <v>2718</v>
      </c>
      <c r="F360" s="523">
        <v>70</v>
      </c>
      <c r="G360" s="523"/>
      <c r="H360" s="523">
        <v>66</v>
      </c>
      <c r="I360" s="523">
        <v>0</v>
      </c>
      <c r="J360" s="523">
        <v>0</v>
      </c>
      <c r="K360" s="523"/>
      <c r="L360" s="797">
        <f>[1]!tsabetm(C360)</f>
        <v>307.58333333333331</v>
      </c>
      <c r="M360" s="33">
        <f>[1]!tsabetz(C360)</f>
        <v>334.31666666666666</v>
      </c>
      <c r="N360" s="797">
        <f t="shared" si="31"/>
        <v>65.012468827930135</v>
      </c>
      <c r="O360" s="797">
        <f t="shared" si="32"/>
        <v>1445.0028169014086</v>
      </c>
      <c r="P360" s="797">
        <f t="shared" si="33"/>
        <v>18.968077278400415</v>
      </c>
      <c r="Q360" s="797">
        <f t="shared" si="34"/>
        <v>337</v>
      </c>
      <c r="R360" s="797">
        <f t="shared" si="35"/>
        <v>337.31613462130667</v>
      </c>
      <c r="S360" s="797">
        <f>[1]!taqsabet(O360,C360)</f>
        <v>337.31613462130667</v>
      </c>
      <c r="T360" s="523"/>
      <c r="U360" s="523">
        <v>1</v>
      </c>
      <c r="V360" s="523">
        <v>4</v>
      </c>
      <c r="W360" s="523">
        <v>19</v>
      </c>
      <c r="X360" s="523"/>
      <c r="Y360" s="523">
        <v>15</v>
      </c>
      <c r="Z360" s="523">
        <v>15</v>
      </c>
      <c r="AA360" s="523" t="s">
        <v>2695</v>
      </c>
      <c r="AB360" s="523">
        <v>6</v>
      </c>
      <c r="AC360" s="523">
        <v>6</v>
      </c>
      <c r="AD360" s="523" t="s">
        <v>2636</v>
      </c>
    </row>
    <row r="361" spans="1:31">
      <c r="C361" s="522">
        <v>329</v>
      </c>
      <c r="D361" s="522">
        <v>17</v>
      </c>
      <c r="E361" s="550" t="s">
        <v>2749</v>
      </c>
      <c r="F361" s="522">
        <v>70</v>
      </c>
      <c r="G361" s="522"/>
      <c r="H361" s="522">
        <v>69</v>
      </c>
      <c r="I361" s="522">
        <v>3</v>
      </c>
      <c r="J361" s="522">
        <v>20</v>
      </c>
      <c r="K361" s="562" t="s">
        <v>2750</v>
      </c>
      <c r="L361" s="797">
        <f>[1]!tsabetm(C361)</f>
        <v>304.91666666666669</v>
      </c>
      <c r="M361" s="797">
        <f>[1]!tsabetz(C361)</f>
        <v>330.56666666666666</v>
      </c>
      <c r="N361" s="797">
        <f t="shared" si="31"/>
        <v>67.758284600389928</v>
      </c>
      <c r="O361" s="797">
        <f t="shared" si="32"/>
        <v>1445.0028169014086</v>
      </c>
      <c r="P361" s="797">
        <f t="shared" si="33"/>
        <v>26.675106565746773</v>
      </c>
      <c r="Q361" s="797">
        <f t="shared" si="34"/>
        <v>333</v>
      </c>
      <c r="R361" s="797">
        <f t="shared" si="35"/>
        <v>333.44458510942911</v>
      </c>
      <c r="S361" s="797">
        <f>[1]!taqsabet(O361,C361)</f>
        <v>333.44458510942911</v>
      </c>
      <c r="T361" s="522"/>
      <c r="U361" s="522">
        <v>11</v>
      </c>
      <c r="V361" s="522">
        <v>0</v>
      </c>
      <c r="W361" s="522">
        <v>34</v>
      </c>
      <c r="X361" s="522"/>
      <c r="Y361" s="522">
        <v>22</v>
      </c>
      <c r="Z361" s="522">
        <v>0</v>
      </c>
      <c r="AA361" s="522" t="s">
        <v>2695</v>
      </c>
      <c r="AB361" s="522">
        <v>3</v>
      </c>
      <c r="AC361" s="522">
        <v>3</v>
      </c>
      <c r="AD361" s="522" t="s">
        <v>2636</v>
      </c>
    </row>
    <row r="362" spans="1:31">
      <c r="C362" s="523">
        <v>330</v>
      </c>
      <c r="D362" s="523">
        <v>18</v>
      </c>
      <c r="E362" s="543" t="s">
        <v>2623</v>
      </c>
      <c r="F362" s="523">
        <v>70</v>
      </c>
      <c r="G362" s="523"/>
      <c r="H362" s="523">
        <v>66</v>
      </c>
      <c r="I362" s="523">
        <v>0</v>
      </c>
      <c r="J362" s="523">
        <v>0</v>
      </c>
      <c r="K362" s="523"/>
      <c r="L362" s="797">
        <f>[1]!tsabetm(C362)</f>
        <v>323.25</v>
      </c>
      <c r="M362" s="797">
        <f>[1]!tsabetz(C362)</f>
        <v>347.66666666666669</v>
      </c>
      <c r="N362" s="797">
        <f t="shared" si="31"/>
        <v>71.180887372013601</v>
      </c>
      <c r="O362" s="797">
        <f t="shared" si="32"/>
        <v>1445.0028169014086</v>
      </c>
      <c r="P362" s="797">
        <f t="shared" si="33"/>
        <v>24.372339908264848</v>
      </c>
      <c r="Q362" s="797">
        <f t="shared" si="34"/>
        <v>350</v>
      </c>
      <c r="R362" s="797">
        <f t="shared" si="35"/>
        <v>350.40620566513775</v>
      </c>
      <c r="S362" s="797">
        <f>[1]!taqsabet(O362,C362)</f>
        <v>350.40620566513775</v>
      </c>
      <c r="T362" s="523"/>
      <c r="U362" s="523">
        <v>11</v>
      </c>
      <c r="V362" s="523">
        <v>17</v>
      </c>
      <c r="W362" s="523">
        <v>40</v>
      </c>
      <c r="X362" s="523"/>
      <c r="Y362" s="523">
        <v>41</v>
      </c>
      <c r="Z362" s="523">
        <v>0</v>
      </c>
      <c r="AA362" s="523" t="s">
        <v>2695</v>
      </c>
      <c r="AB362" s="523">
        <v>4</v>
      </c>
      <c r="AC362" s="523">
        <v>4</v>
      </c>
      <c r="AD362" s="523" t="s">
        <v>2636</v>
      </c>
    </row>
    <row r="363" spans="1:31">
      <c r="C363" s="522">
        <v>331</v>
      </c>
      <c r="D363" s="522">
        <v>19</v>
      </c>
      <c r="E363" s="550" t="s">
        <v>2625</v>
      </c>
      <c r="F363" s="522">
        <v>70</v>
      </c>
      <c r="G363" s="522"/>
      <c r="H363" s="522">
        <v>66</v>
      </c>
      <c r="I363" s="522">
        <v>0</v>
      </c>
      <c r="J363" s="522">
        <v>0</v>
      </c>
      <c r="K363" s="522"/>
      <c r="L363" s="797">
        <f>[1]!tsabetm(C363)</f>
        <v>322.25</v>
      </c>
      <c r="M363" s="797">
        <f>[1]!tsabetz(C363)</f>
        <v>342.41666666666669</v>
      </c>
      <c r="N363" s="797">
        <f t="shared" si="31"/>
        <v>86.181818181818102</v>
      </c>
      <c r="O363" s="797">
        <f t="shared" si="32"/>
        <v>1445.0028169014086</v>
      </c>
      <c r="P363" s="797">
        <f t="shared" si="33"/>
        <v>40.761454804780897</v>
      </c>
      <c r="Q363" s="797">
        <f t="shared" si="34"/>
        <v>344</v>
      </c>
      <c r="R363" s="797">
        <f t="shared" si="35"/>
        <v>344.67935758007968</v>
      </c>
      <c r="S363" s="797">
        <f>[1]!taqsabet(O363,C363)</f>
        <v>344.67935758007968</v>
      </c>
      <c r="T363" s="522"/>
      <c r="U363" s="522">
        <v>11</v>
      </c>
      <c r="V363" s="522">
        <v>12</v>
      </c>
      <c r="W363" s="522">
        <v>25</v>
      </c>
      <c r="X363" s="522"/>
      <c r="Y363" s="522">
        <v>34</v>
      </c>
      <c r="Z363" s="522">
        <v>19</v>
      </c>
      <c r="AA363" s="522" t="s">
        <v>2695</v>
      </c>
      <c r="AB363" s="522">
        <v>4</v>
      </c>
      <c r="AC363" s="522">
        <v>4</v>
      </c>
      <c r="AD363" s="522" t="s">
        <v>2636</v>
      </c>
    </row>
    <row r="364" spans="1:31">
      <c r="C364" s="523">
        <v>332</v>
      </c>
      <c r="D364" s="523">
        <v>20</v>
      </c>
      <c r="E364" s="543" t="s">
        <v>2647</v>
      </c>
      <c r="F364" s="523">
        <v>70</v>
      </c>
      <c r="G364" s="523"/>
      <c r="H364" s="523">
        <v>66</v>
      </c>
      <c r="I364" s="523">
        <v>0</v>
      </c>
      <c r="J364" s="523">
        <v>0</v>
      </c>
      <c r="K364" s="523"/>
      <c r="L364" s="797">
        <f>[1]!tsabetm(C364)</f>
        <v>311.91666666666669</v>
      </c>
      <c r="M364" s="797">
        <f>[1]!tsabetz(C364)</f>
        <v>337.61666666666667</v>
      </c>
      <c r="N364" s="797">
        <f t="shared" si="31"/>
        <v>67.626459143968901</v>
      </c>
      <c r="O364" s="797">
        <f t="shared" si="32"/>
        <v>1445.0028169014086</v>
      </c>
      <c r="P364" s="797">
        <f t="shared" si="33"/>
        <v>30.011705214021731</v>
      </c>
      <c r="Q364" s="797">
        <f t="shared" si="34"/>
        <v>340</v>
      </c>
      <c r="R364" s="797">
        <f t="shared" si="35"/>
        <v>340.50019508690036</v>
      </c>
      <c r="S364" s="797">
        <f>[1]!taqsabet(O364,C364)</f>
        <v>340.50019508690036</v>
      </c>
      <c r="T364" s="523"/>
      <c r="U364" s="523">
        <v>11</v>
      </c>
      <c r="V364" s="523">
        <v>7</v>
      </c>
      <c r="W364" s="523">
        <v>37</v>
      </c>
      <c r="X364" s="523"/>
      <c r="Y364" s="523">
        <v>36</v>
      </c>
      <c r="Z364" s="523">
        <v>27</v>
      </c>
      <c r="AA364" s="523" t="s">
        <v>2695</v>
      </c>
      <c r="AB364" s="523">
        <v>4</v>
      </c>
      <c r="AC364" s="523">
        <v>4</v>
      </c>
      <c r="AD364" s="523" t="s">
        <v>2636</v>
      </c>
    </row>
    <row r="365" spans="1:31">
      <c r="B365" s="505" t="s">
        <v>2355</v>
      </c>
      <c r="C365" s="506" t="s">
        <v>2356</v>
      </c>
      <c r="D365" s="507" t="s">
        <v>2357</v>
      </c>
      <c r="E365" s="511" t="s">
        <v>2358</v>
      </c>
      <c r="F365" s="511"/>
      <c r="G365" s="511"/>
      <c r="H365" s="511"/>
      <c r="I365" s="511"/>
      <c r="J365" s="511"/>
      <c r="K365" s="514" t="s">
        <v>2360</v>
      </c>
      <c r="N365" s="797">
        <f t="shared" si="31"/>
        <v>4.8277777777777775</v>
      </c>
      <c r="O365" s="797">
        <f t="shared" si="32"/>
        <v>1445.0028169014086</v>
      </c>
      <c r="P365" s="797">
        <f t="shared" si="33"/>
        <v>23.510267589427372</v>
      </c>
      <c r="Q365" s="797">
        <f t="shared" si="34"/>
        <v>40</v>
      </c>
      <c r="R365" s="797">
        <f t="shared" si="35"/>
        <v>40.391837793157123</v>
      </c>
      <c r="S365" s="797" t="e">
        <f>[1]!taqsabet(O365,C365)</f>
        <v>#VALUE!</v>
      </c>
      <c r="T365" s="507"/>
      <c r="U365" s="508" t="s">
        <v>403</v>
      </c>
      <c r="V365" s="508"/>
      <c r="W365" s="509"/>
      <c r="X365" s="507"/>
      <c r="Y365" s="509" t="s">
        <v>275</v>
      </c>
      <c r="Z365" s="510"/>
      <c r="AA365" s="506" t="s">
        <v>176</v>
      </c>
      <c r="AB365" s="511" t="s">
        <v>2361</v>
      </c>
      <c r="AC365" s="511" t="s">
        <v>2362</v>
      </c>
      <c r="AD365" s="511" t="s">
        <v>2363</v>
      </c>
    </row>
    <row r="366" spans="1:31">
      <c r="B366" s="505"/>
      <c r="C366" s="512"/>
      <c r="D366" s="512"/>
      <c r="E366" s="513"/>
      <c r="F366" s="513"/>
      <c r="G366" s="513"/>
      <c r="H366" s="513"/>
      <c r="I366" s="513"/>
      <c r="J366" s="513"/>
      <c r="K366" s="514"/>
      <c r="N366" s="797">
        <f t="shared" si="31"/>
        <v>4.8277777777777775</v>
      </c>
      <c r="O366" s="797">
        <f t="shared" si="32"/>
        <v>1445.0028169014086</v>
      </c>
      <c r="P366" s="797">
        <f t="shared" si="33"/>
        <v>23.510267589427372</v>
      </c>
      <c r="Q366" s="797">
        <f t="shared" si="34"/>
        <v>40</v>
      </c>
      <c r="R366" s="797">
        <f t="shared" si="35"/>
        <v>40.391837793157123</v>
      </c>
      <c r="S366" s="797">
        <f>[1]!taqsabet(O366,C366)</f>
        <v>1.4716840899636423</v>
      </c>
      <c r="T366" s="515" t="s">
        <v>2367</v>
      </c>
      <c r="U366" s="516" t="s">
        <v>173</v>
      </c>
      <c r="V366" s="516" t="s">
        <v>172</v>
      </c>
      <c r="W366" s="516" t="s">
        <v>166</v>
      </c>
      <c r="X366" s="517" t="s">
        <v>2367</v>
      </c>
      <c r="Y366" s="516" t="s">
        <v>172</v>
      </c>
      <c r="Z366" s="518" t="s">
        <v>166</v>
      </c>
      <c r="AA366" s="512"/>
      <c r="AB366" s="517" t="s">
        <v>2368</v>
      </c>
      <c r="AC366" s="517" t="s">
        <v>2369</v>
      </c>
      <c r="AD366" s="513"/>
    </row>
    <row r="367" spans="1:31">
      <c r="A367" s="520">
        <v>20</v>
      </c>
      <c r="B367" s="536" t="s">
        <v>2751</v>
      </c>
      <c r="C367" s="527">
        <v>333</v>
      </c>
      <c r="D367" s="527">
        <v>1</v>
      </c>
      <c r="E367" s="553" t="s">
        <v>2752</v>
      </c>
      <c r="F367" s="527">
        <v>70</v>
      </c>
      <c r="G367" s="527"/>
      <c r="H367" s="527">
        <v>66</v>
      </c>
      <c r="I367" s="527">
        <v>0</v>
      </c>
      <c r="J367" s="527">
        <v>0</v>
      </c>
      <c r="K367" s="527"/>
      <c r="L367" s="797">
        <f>[1]!tsabetm(C367)</f>
        <v>354.91666666666669</v>
      </c>
      <c r="M367" s="797">
        <f>[1]!tsabetz(C367)</f>
        <v>20.566666666666666</v>
      </c>
      <c r="N367" s="797">
        <f t="shared" si="31"/>
        <v>67.758284600389928</v>
      </c>
      <c r="O367" s="797">
        <f t="shared" si="32"/>
        <v>1445.0028169014086</v>
      </c>
      <c r="P367" s="797">
        <f t="shared" si="33"/>
        <v>26.67510656574656</v>
      </c>
      <c r="Q367" s="797">
        <f t="shared" si="34"/>
        <v>23</v>
      </c>
      <c r="R367" s="797">
        <f t="shared" si="35"/>
        <v>23.444585109429109</v>
      </c>
      <c r="S367" s="797">
        <f>[1]!taqsabet(O367,C367)</f>
        <v>23.444585109429109</v>
      </c>
      <c r="T367" s="527"/>
      <c r="U367" s="527">
        <v>0</v>
      </c>
      <c r="V367" s="527">
        <v>20</v>
      </c>
      <c r="W367" s="527">
        <v>34</v>
      </c>
      <c r="X367" s="527"/>
      <c r="Y367" s="527">
        <v>24</v>
      </c>
      <c r="Z367" s="527">
        <v>0</v>
      </c>
      <c r="AA367" s="527" t="s">
        <v>2695</v>
      </c>
      <c r="AB367" s="527">
        <v>3</v>
      </c>
      <c r="AC367" s="527">
        <v>3</v>
      </c>
      <c r="AD367" s="527" t="s">
        <v>2514</v>
      </c>
    </row>
    <row r="368" spans="1:31">
      <c r="C368" s="523">
        <v>334</v>
      </c>
      <c r="D368" s="523">
        <v>2</v>
      </c>
      <c r="E368" s="543" t="s">
        <v>2605</v>
      </c>
      <c r="F368" s="523">
        <v>70</v>
      </c>
      <c r="G368" s="523"/>
      <c r="H368" s="523">
        <v>66</v>
      </c>
      <c r="I368" s="523">
        <v>0</v>
      </c>
      <c r="J368" s="523">
        <v>0</v>
      </c>
      <c r="K368" s="523"/>
      <c r="L368" s="797">
        <f>[1]!tsabetm(C368)</f>
        <v>355.91666666666669</v>
      </c>
      <c r="M368" s="797">
        <f>[1]!tsabetz(C368)</f>
        <v>21.866666666666667</v>
      </c>
      <c r="N368" s="797">
        <f t="shared" si="31"/>
        <v>66.974951830443189</v>
      </c>
      <c r="O368" s="797">
        <f t="shared" si="32"/>
        <v>1445.0028169014086</v>
      </c>
      <c r="P368" s="797">
        <f t="shared" si="33"/>
        <v>46.69469845540462</v>
      </c>
      <c r="Q368" s="797">
        <f t="shared" si="34"/>
        <v>24</v>
      </c>
      <c r="R368" s="797">
        <f t="shared" si="35"/>
        <v>24.778244974256744</v>
      </c>
      <c r="S368" s="797">
        <f>[1]!taqsabet(O368,C368)</f>
        <v>24.77824497425674</v>
      </c>
      <c r="T368" s="523"/>
      <c r="U368" s="523">
        <v>0</v>
      </c>
      <c r="V368" s="523">
        <v>21</v>
      </c>
      <c r="W368" s="523">
        <v>52</v>
      </c>
      <c r="X368" s="523"/>
      <c r="Y368" s="523">
        <v>26</v>
      </c>
      <c r="Z368" s="523">
        <v>54</v>
      </c>
      <c r="AA368" s="523" t="s">
        <v>2695</v>
      </c>
      <c r="AB368" s="523">
        <v>4</v>
      </c>
      <c r="AC368" s="523">
        <v>4</v>
      </c>
      <c r="AD368" s="523" t="s">
        <v>2514</v>
      </c>
    </row>
    <row r="369" spans="3:31">
      <c r="C369" s="527">
        <v>335</v>
      </c>
      <c r="D369" s="527">
        <v>3</v>
      </c>
      <c r="E369" s="553" t="s">
        <v>2638</v>
      </c>
      <c r="F369" s="527">
        <v>70</v>
      </c>
      <c r="G369" s="527"/>
      <c r="H369" s="527">
        <v>66</v>
      </c>
      <c r="I369" s="527">
        <v>0</v>
      </c>
      <c r="J369" s="527">
        <v>0</v>
      </c>
      <c r="K369" s="527"/>
      <c r="L369" s="797">
        <f>[1]!tsabetm(C369)</f>
        <v>353.91666666666669</v>
      </c>
      <c r="M369" s="797">
        <f>[1]!tsabetz(C369)</f>
        <v>20.016666666666666</v>
      </c>
      <c r="N369" s="797">
        <f t="shared" si="31"/>
        <v>66.590038314176326</v>
      </c>
      <c r="O369" s="797">
        <f t="shared" si="32"/>
        <v>1445.0028169014086</v>
      </c>
      <c r="P369" s="797">
        <f t="shared" si="33"/>
        <v>56.70449440023333</v>
      </c>
      <c r="Q369" s="797">
        <f t="shared" si="34"/>
        <v>22</v>
      </c>
      <c r="R369" s="797">
        <f t="shared" si="35"/>
        <v>22.945074906670555</v>
      </c>
      <c r="S369" s="797">
        <f>[1]!taqsabet(O369,C369)</f>
        <v>22.945074906670555</v>
      </c>
      <c r="T369" s="527"/>
      <c r="U369" s="527">
        <v>0</v>
      </c>
      <c r="V369" s="527">
        <v>20</v>
      </c>
      <c r="W369" s="527">
        <v>1</v>
      </c>
      <c r="X369" s="527"/>
      <c r="Y369" s="527">
        <v>22</v>
      </c>
      <c r="Z369" s="527">
        <v>24</v>
      </c>
      <c r="AA369" s="527" t="s">
        <v>2695</v>
      </c>
      <c r="AB369" s="527">
        <v>4</v>
      </c>
      <c r="AC369" s="527">
        <v>4</v>
      </c>
      <c r="AD369" s="527" t="s">
        <v>2514</v>
      </c>
    </row>
    <row r="370" spans="3:31">
      <c r="C370" s="523">
        <v>336</v>
      </c>
      <c r="D370" s="523">
        <v>4</v>
      </c>
      <c r="E370" s="543" t="s">
        <v>2753</v>
      </c>
      <c r="F370" s="523">
        <v>70</v>
      </c>
      <c r="G370" s="523"/>
      <c r="H370" s="523">
        <v>66</v>
      </c>
      <c r="I370" s="523">
        <v>0</v>
      </c>
      <c r="J370" s="523">
        <v>0</v>
      </c>
      <c r="K370" s="523"/>
      <c r="L370" s="797">
        <f>[1]!tsabetm(C370)</f>
        <v>353.25</v>
      </c>
      <c r="M370" s="797">
        <f>[1]!tsabetz(C370)</f>
        <v>19.483333333333334</v>
      </c>
      <c r="N370" s="797">
        <f t="shared" si="31"/>
        <v>66.251588310038088</v>
      </c>
      <c r="O370" s="797">
        <f t="shared" si="32"/>
        <v>1445.0028169014086</v>
      </c>
      <c r="P370" s="797">
        <f t="shared" si="33"/>
        <v>25.602090795637054</v>
      </c>
      <c r="Q370" s="797">
        <f t="shared" si="34"/>
        <v>22</v>
      </c>
      <c r="R370" s="797">
        <f t="shared" si="35"/>
        <v>22.426701513260618</v>
      </c>
      <c r="S370" s="797">
        <f>[1]!taqsabet(O370,C370)</f>
        <v>22.426701513260618</v>
      </c>
      <c r="T370" s="523"/>
      <c r="U370" s="523">
        <v>0</v>
      </c>
      <c r="V370" s="523">
        <v>19</v>
      </c>
      <c r="W370" s="523">
        <v>29</v>
      </c>
      <c r="X370" s="523"/>
      <c r="Y370" s="523">
        <v>30</v>
      </c>
      <c r="Z370" s="523">
        <v>45</v>
      </c>
      <c r="AA370" s="523" t="s">
        <v>2695</v>
      </c>
      <c r="AB370" s="523">
        <v>4</v>
      </c>
      <c r="AC370" s="523">
        <v>4</v>
      </c>
      <c r="AD370" s="523" t="s">
        <v>2514</v>
      </c>
    </row>
    <row r="371" spans="3:31">
      <c r="C371" s="527">
        <v>337</v>
      </c>
      <c r="D371" s="527">
        <v>5</v>
      </c>
      <c r="E371" s="553" t="s">
        <v>2754</v>
      </c>
      <c r="F371" s="527">
        <v>70</v>
      </c>
      <c r="G371" s="527"/>
      <c r="H371" s="527">
        <v>66</v>
      </c>
      <c r="I371" s="527">
        <v>0</v>
      </c>
      <c r="J371" s="527">
        <v>0</v>
      </c>
      <c r="K371" s="527"/>
      <c r="L371" s="797">
        <f>[1]!tsabetm(C371)</f>
        <v>354.25</v>
      </c>
      <c r="M371" s="797">
        <f>[1]!tsabetz(C371)</f>
        <v>19.366666666666667</v>
      </c>
      <c r="N371" s="797">
        <f t="shared" si="31"/>
        <v>69.197080291970778</v>
      </c>
      <c r="O371" s="797">
        <f t="shared" si="32"/>
        <v>1445.0028169014086</v>
      </c>
      <c r="P371" s="797">
        <f t="shared" si="33"/>
        <v>11.084720984132801</v>
      </c>
      <c r="Q371" s="797">
        <f t="shared" si="34"/>
        <v>22</v>
      </c>
      <c r="R371" s="797">
        <f t="shared" si="35"/>
        <v>22.184745349735547</v>
      </c>
      <c r="S371" s="797">
        <f>[1]!taqsabet(O371,C371)</f>
        <v>22.184745349735547</v>
      </c>
      <c r="T371" s="527"/>
      <c r="U371" s="527">
        <v>0</v>
      </c>
      <c r="V371" s="527">
        <v>19</v>
      </c>
      <c r="W371" s="527">
        <v>22</v>
      </c>
      <c r="X371" s="527"/>
      <c r="Y371" s="527">
        <v>32</v>
      </c>
      <c r="Z371" s="527">
        <v>21</v>
      </c>
      <c r="AA371" s="527" t="s">
        <v>2695</v>
      </c>
      <c r="AB371" s="527">
        <v>4</v>
      </c>
      <c r="AC371" s="527">
        <v>4</v>
      </c>
      <c r="AD371" s="527" t="s">
        <v>2514</v>
      </c>
    </row>
    <row r="372" spans="3:31">
      <c r="C372" s="523">
        <v>338</v>
      </c>
      <c r="D372" s="523">
        <v>6</v>
      </c>
      <c r="E372" s="543" t="s">
        <v>2612</v>
      </c>
      <c r="F372" s="523">
        <v>70</v>
      </c>
      <c r="G372" s="523"/>
      <c r="H372" s="523">
        <v>66</v>
      </c>
      <c r="I372" s="523">
        <v>0</v>
      </c>
      <c r="J372" s="523">
        <v>0</v>
      </c>
      <c r="K372" s="523"/>
      <c r="L372" s="797">
        <f>[1]!tsabetm(C372)</f>
        <v>354.58333333333331</v>
      </c>
      <c r="M372" s="797">
        <f>[1]!tsabetz(C372)</f>
        <v>20.766666666666666</v>
      </c>
      <c r="N372" s="797">
        <f t="shared" si="31"/>
        <v>66.37810311903246</v>
      </c>
      <c r="O372" s="797">
        <f t="shared" si="32"/>
        <v>1445.0028169014086</v>
      </c>
      <c r="P372" s="797">
        <f t="shared" si="33"/>
        <v>42.265492147360533</v>
      </c>
      <c r="Q372" s="797">
        <f t="shared" si="34"/>
        <v>23</v>
      </c>
      <c r="R372" s="797">
        <f t="shared" si="35"/>
        <v>23.704424869122676</v>
      </c>
      <c r="S372" s="797">
        <f>[1]!taqsabet(O372,C372)</f>
        <v>23.704424869122679</v>
      </c>
      <c r="T372" s="523"/>
      <c r="U372" s="523">
        <v>0</v>
      </c>
      <c r="V372" s="523">
        <v>20</v>
      </c>
      <c r="W372" s="523">
        <v>46</v>
      </c>
      <c r="X372" s="523"/>
      <c r="Y372" s="523">
        <v>31</v>
      </c>
      <c r="Z372" s="523">
        <v>30</v>
      </c>
      <c r="AA372" s="523" t="s">
        <v>2695</v>
      </c>
      <c r="AB372" s="523">
        <v>5</v>
      </c>
      <c r="AC372" s="523">
        <v>5</v>
      </c>
      <c r="AD372" s="523" t="s">
        <v>2514</v>
      </c>
    </row>
    <row r="373" spans="3:31">
      <c r="C373" s="527">
        <v>339</v>
      </c>
      <c r="D373" s="527">
        <v>7</v>
      </c>
      <c r="E373" s="553" t="s">
        <v>2755</v>
      </c>
      <c r="F373" s="527">
        <v>70</v>
      </c>
      <c r="G373" s="527"/>
      <c r="H373" s="527">
        <v>66</v>
      </c>
      <c r="I373" s="527">
        <v>0</v>
      </c>
      <c r="J373" s="527">
        <v>0</v>
      </c>
      <c r="K373" s="527"/>
      <c r="L373" s="797">
        <f>[1]!tsabetm(C373)</f>
        <v>349.25</v>
      </c>
      <c r="M373" s="797">
        <f>[1]!tsabetz(C373)</f>
        <v>14.666666666666666</v>
      </c>
      <c r="N373" s="797">
        <f t="shared" si="31"/>
        <v>68.380327868852405</v>
      </c>
      <c r="O373" s="797">
        <f t="shared" si="32"/>
        <v>1445.0028169014086</v>
      </c>
      <c r="P373" s="797">
        <f t="shared" si="33"/>
        <v>31.104312873790647</v>
      </c>
      <c r="Q373" s="797">
        <f t="shared" si="34"/>
        <v>17</v>
      </c>
      <c r="R373" s="797">
        <f t="shared" si="35"/>
        <v>17.518405214563177</v>
      </c>
      <c r="S373" s="797">
        <f>[1]!taqsabet(O373,C373)</f>
        <v>17.518405214563174</v>
      </c>
      <c r="T373" s="527"/>
      <c r="U373" s="527">
        <v>0</v>
      </c>
      <c r="V373" s="527">
        <v>14</v>
      </c>
      <c r="W373" s="527">
        <v>40</v>
      </c>
      <c r="X373" s="527"/>
      <c r="Y373" s="527">
        <v>41</v>
      </c>
      <c r="Z373" s="527">
        <v>0</v>
      </c>
      <c r="AA373" s="527" t="s">
        <v>2695</v>
      </c>
      <c r="AB373" s="527">
        <v>4</v>
      </c>
      <c r="AC373" s="527">
        <v>4</v>
      </c>
      <c r="AD373" s="527" t="s">
        <v>2514</v>
      </c>
    </row>
    <row r="374" spans="3:31">
      <c r="C374" s="523">
        <v>340</v>
      </c>
      <c r="D374" s="523">
        <v>8</v>
      </c>
      <c r="E374" s="543" t="s">
        <v>2756</v>
      </c>
      <c r="F374" s="523">
        <v>70</v>
      </c>
      <c r="G374" s="523"/>
      <c r="H374" s="523">
        <v>66</v>
      </c>
      <c r="I374" s="523">
        <v>0</v>
      </c>
      <c r="J374" s="523">
        <v>0</v>
      </c>
      <c r="K374" s="523"/>
      <c r="L374" s="797">
        <f>[1]!tsabetm(C374)</f>
        <v>350.25</v>
      </c>
      <c r="M374" s="797">
        <f>[1]!tsabetz(C374)</f>
        <v>15.616666666666667</v>
      </c>
      <c r="N374" s="797">
        <f t="shared" si="31"/>
        <v>68.515111695137961</v>
      </c>
      <c r="O374" s="797">
        <f t="shared" si="32"/>
        <v>1445.0028169014086</v>
      </c>
      <c r="P374" s="797">
        <f t="shared" si="33"/>
        <v>27.76771422551441</v>
      </c>
      <c r="Q374" s="797">
        <f t="shared" si="34"/>
        <v>18</v>
      </c>
      <c r="R374" s="797">
        <f t="shared" si="35"/>
        <v>18.462795237091907</v>
      </c>
      <c r="S374" s="797">
        <f>[1]!taqsabet(O374,C374)</f>
        <v>18.462795237091907</v>
      </c>
      <c r="T374" s="523"/>
      <c r="U374" s="523">
        <v>0</v>
      </c>
      <c r="V374" s="523">
        <v>15</v>
      </c>
      <c r="W374" s="523">
        <v>37</v>
      </c>
      <c r="X374" s="523"/>
      <c r="Y374" s="523">
        <v>41</v>
      </c>
      <c r="Z374" s="523">
        <v>49</v>
      </c>
      <c r="AA374" s="523" t="s">
        <v>2695</v>
      </c>
      <c r="AB374" s="523">
        <v>4</v>
      </c>
      <c r="AC374" s="523">
        <v>4</v>
      </c>
      <c r="AD374" s="523" t="s">
        <v>2514</v>
      </c>
    </row>
    <row r="375" spans="3:31">
      <c r="C375" s="527">
        <v>341</v>
      </c>
      <c r="D375" s="527">
        <v>9</v>
      </c>
      <c r="E375" s="553" t="s">
        <v>2754</v>
      </c>
      <c r="F375" s="527">
        <v>70</v>
      </c>
      <c r="G375" s="527"/>
      <c r="H375" s="527">
        <v>66</v>
      </c>
      <c r="I375" s="527">
        <v>0</v>
      </c>
      <c r="J375" s="527">
        <v>0</v>
      </c>
      <c r="K375" s="527"/>
      <c r="L375" s="797">
        <f>[1]!tsabetm(C375)</f>
        <v>351.75</v>
      </c>
      <c r="M375" s="797">
        <f>[1]!tsabetz(C375)</f>
        <v>16.916666666666668</v>
      </c>
      <c r="N375" s="797">
        <f t="shared" si="31"/>
        <v>69.059602649006564</v>
      </c>
      <c r="O375" s="797">
        <f t="shared" si="32"/>
        <v>1445.0028169014086</v>
      </c>
      <c r="P375" s="797">
        <f t="shared" si="33"/>
        <v>44.421319632409251</v>
      </c>
      <c r="Q375" s="797">
        <f t="shared" si="34"/>
        <v>19</v>
      </c>
      <c r="R375" s="797">
        <f t="shared" si="35"/>
        <v>19.740355327206821</v>
      </c>
      <c r="S375" s="797">
        <f>[1]!taqsabet(O375,C375)</f>
        <v>19.740355327206817</v>
      </c>
      <c r="T375" s="527"/>
      <c r="U375" s="527">
        <v>0</v>
      </c>
      <c r="V375" s="527">
        <v>15</v>
      </c>
      <c r="W375" s="527">
        <v>55</v>
      </c>
      <c r="X375" s="527"/>
      <c r="Y375" s="527">
        <v>43</v>
      </c>
      <c r="Z375" s="527">
        <v>24</v>
      </c>
      <c r="AA375" s="527" t="s">
        <v>2695</v>
      </c>
      <c r="AB375" s="527">
        <v>4</v>
      </c>
      <c r="AC375" s="527">
        <v>4</v>
      </c>
      <c r="AD375" s="527" t="s">
        <v>2514</v>
      </c>
    </row>
    <row r="376" spans="3:31">
      <c r="C376" s="523">
        <v>342</v>
      </c>
      <c r="D376" s="523">
        <v>10</v>
      </c>
      <c r="E376" s="543" t="s">
        <v>2576</v>
      </c>
      <c r="F376" s="523">
        <v>70</v>
      </c>
      <c r="G376" s="523"/>
      <c r="H376" s="523">
        <v>66</v>
      </c>
      <c r="I376" s="523">
        <v>0</v>
      </c>
      <c r="J376" s="523">
        <v>0</v>
      </c>
      <c r="K376" s="523"/>
      <c r="L376" s="797">
        <f>[1]!tsabetm(C376)</f>
        <v>353.75</v>
      </c>
      <c r="M376" s="797">
        <f>[1]!tsabetz(C376)</f>
        <v>19.516666666666666</v>
      </c>
      <c r="N376" s="797">
        <f t="shared" si="31"/>
        <v>67.451487710219965</v>
      </c>
      <c r="O376" s="797">
        <f t="shared" si="32"/>
        <v>1445.0028169014086</v>
      </c>
      <c r="P376" s="797">
        <f t="shared" si="33"/>
        <v>24.460503411724517</v>
      </c>
      <c r="Q376" s="797">
        <f t="shared" si="34"/>
        <v>22</v>
      </c>
      <c r="R376" s="797">
        <f t="shared" si="35"/>
        <v>22.407675056862075</v>
      </c>
      <c r="S376" s="797">
        <f>[1]!taqsabet(O376,C376)</f>
        <v>22.407675056862079</v>
      </c>
      <c r="T376" s="523"/>
      <c r="U376" s="523">
        <v>0</v>
      </c>
      <c r="V376" s="523">
        <v>19</v>
      </c>
      <c r="W376" s="523">
        <v>31</v>
      </c>
      <c r="X376" s="523"/>
      <c r="Y376" s="523">
        <v>46</v>
      </c>
      <c r="Z376" s="523">
        <v>58</v>
      </c>
      <c r="AA376" s="523" t="s">
        <v>2695</v>
      </c>
      <c r="AB376" s="523">
        <v>4</v>
      </c>
      <c r="AC376" s="523">
        <v>4</v>
      </c>
      <c r="AD376" s="523" t="s">
        <v>2514</v>
      </c>
    </row>
    <row r="377" spans="3:31">
      <c r="C377" s="527">
        <v>343</v>
      </c>
      <c r="D377" s="527">
        <v>11</v>
      </c>
      <c r="E377" s="553" t="s">
        <v>2643</v>
      </c>
      <c r="F377" s="527">
        <v>70</v>
      </c>
      <c r="G377" s="527"/>
      <c r="H377" s="527">
        <v>66</v>
      </c>
      <c r="I377" s="527">
        <v>0</v>
      </c>
      <c r="J377" s="527">
        <v>0</v>
      </c>
      <c r="K377" s="527"/>
      <c r="L377" s="797">
        <f>[1]!tsabetm(C377)</f>
        <v>355.25</v>
      </c>
      <c r="M377" s="797">
        <f>[1]!tsabetz(C377)</f>
        <v>21.266666666666666</v>
      </c>
      <c r="N377" s="797">
        <f t="shared" si="31"/>
        <v>66.803331197950072</v>
      </c>
      <c r="O377" s="797">
        <f t="shared" si="32"/>
        <v>1445.0028169014086</v>
      </c>
      <c r="P377" s="797">
        <f t="shared" si="33"/>
        <v>11.143496653106126</v>
      </c>
      <c r="Q377" s="797">
        <f t="shared" si="34"/>
        <v>24</v>
      </c>
      <c r="R377" s="797">
        <f t="shared" si="35"/>
        <v>24.185724944218435</v>
      </c>
      <c r="S377" s="797">
        <f>[1]!taqsabet(O377,C377)</f>
        <v>24.185724944218439</v>
      </c>
      <c r="T377" s="527"/>
      <c r="U377" s="527">
        <v>0</v>
      </c>
      <c r="V377" s="527">
        <v>21</v>
      </c>
      <c r="W377" s="527">
        <v>16</v>
      </c>
      <c r="X377" s="527"/>
      <c r="Y377" s="527">
        <v>15</v>
      </c>
      <c r="Z377" s="527">
        <v>16</v>
      </c>
      <c r="AA377" s="527" t="s">
        <v>2695</v>
      </c>
      <c r="AB377" s="527">
        <v>5</v>
      </c>
      <c r="AC377" s="527">
        <v>4</v>
      </c>
      <c r="AD377" s="527" t="s">
        <v>2514</v>
      </c>
    </row>
    <row r="378" spans="3:31">
      <c r="C378" s="523">
        <v>344</v>
      </c>
      <c r="D378" s="523">
        <v>12</v>
      </c>
      <c r="E378" s="543" t="s">
        <v>2757</v>
      </c>
      <c r="F378" s="523">
        <v>70</v>
      </c>
      <c r="G378" s="523"/>
      <c r="H378" s="523">
        <v>68</v>
      </c>
      <c r="I378" s="523">
        <v>7</v>
      </c>
      <c r="J378" s="523">
        <v>6</v>
      </c>
      <c r="K378" s="523" t="s">
        <v>2758</v>
      </c>
      <c r="L378" s="797">
        <f>[1]!tsabetm(C378)</f>
        <v>3.4166666666666679</v>
      </c>
      <c r="M378" s="797">
        <f>[1]!tsabetz(C378)</f>
        <v>29.316666666666666</v>
      </c>
      <c r="N378" s="797">
        <f t="shared" si="31"/>
        <v>67.104247104247108</v>
      </c>
      <c r="O378" s="797">
        <f t="shared" si="32"/>
        <v>1445.0028169014086</v>
      </c>
      <c r="P378" s="797">
        <f t="shared" si="33"/>
        <v>13.358099807128383</v>
      </c>
      <c r="Q378" s="797">
        <f t="shared" si="34"/>
        <v>32</v>
      </c>
      <c r="R378" s="797">
        <f t="shared" si="35"/>
        <v>32.222634996785473</v>
      </c>
      <c r="S378" s="797">
        <f>[1]!taqsabet(O378,C378)</f>
        <v>32.222634996785473</v>
      </c>
      <c r="T378" s="523"/>
      <c r="U378" s="523">
        <v>0</v>
      </c>
      <c r="V378" s="523">
        <v>29</v>
      </c>
      <c r="W378" s="523">
        <v>19</v>
      </c>
      <c r="X378" s="523"/>
      <c r="Y378" s="523">
        <v>25</v>
      </c>
      <c r="Z378" s="523">
        <v>36</v>
      </c>
      <c r="AA378" s="523" t="s">
        <v>2695</v>
      </c>
      <c r="AB378" s="523">
        <v>2</v>
      </c>
      <c r="AC378" s="523">
        <v>3</v>
      </c>
      <c r="AD378" s="523" t="s">
        <v>2514</v>
      </c>
      <c r="AE378" s="327">
        <v>585</v>
      </c>
    </row>
    <row r="379" spans="3:31">
      <c r="C379" s="527">
        <v>345</v>
      </c>
      <c r="D379" s="527">
        <v>13</v>
      </c>
      <c r="E379" s="553" t="s">
        <v>2612</v>
      </c>
      <c r="F379" s="527">
        <v>70</v>
      </c>
      <c r="G379" s="527"/>
      <c r="H379" s="527">
        <v>66</v>
      </c>
      <c r="I379" s="527">
        <v>0</v>
      </c>
      <c r="J379" s="527">
        <v>0</v>
      </c>
      <c r="K379" s="527"/>
      <c r="L379" s="797">
        <f>[1]!tsabetm(C379)</f>
        <v>1.4166666666666661</v>
      </c>
      <c r="M379" s="797">
        <f>[1]!tsabetz(C379)</f>
        <v>28.066666666666666</v>
      </c>
      <c r="N379" s="797">
        <f t="shared" si="31"/>
        <v>65.215759849906192</v>
      </c>
      <c r="O379" s="797">
        <f t="shared" si="32"/>
        <v>1445.0028169014086</v>
      </c>
      <c r="P379" s="797">
        <f t="shared" si="33"/>
        <v>3.4070795312727853</v>
      </c>
      <c r="Q379" s="797">
        <f t="shared" si="34"/>
        <v>31</v>
      </c>
      <c r="R379" s="797">
        <f t="shared" si="35"/>
        <v>31.056784658854546</v>
      </c>
      <c r="S379" s="797">
        <f>[1]!taqsabet(O379,C379)</f>
        <v>31.056784658854546</v>
      </c>
      <c r="T379" s="527"/>
      <c r="U379" s="527">
        <v>0</v>
      </c>
      <c r="V379" s="527">
        <v>28</v>
      </c>
      <c r="W379" s="527">
        <v>4</v>
      </c>
      <c r="X379" s="527"/>
      <c r="Y379" s="527">
        <v>29</v>
      </c>
      <c r="Z379" s="527">
        <v>30</v>
      </c>
      <c r="AA379" s="527" t="s">
        <v>2695</v>
      </c>
      <c r="AB379" s="527">
        <v>4</v>
      </c>
      <c r="AC379" s="527">
        <v>4</v>
      </c>
      <c r="AD379" s="527" t="s">
        <v>2514</v>
      </c>
    </row>
    <row r="380" spans="3:31">
      <c r="C380" s="523">
        <v>346</v>
      </c>
      <c r="D380" s="523">
        <v>14</v>
      </c>
      <c r="E380" s="543" t="s">
        <v>2754</v>
      </c>
      <c r="F380" s="523">
        <v>70</v>
      </c>
      <c r="G380" s="523"/>
      <c r="H380" s="523">
        <v>66</v>
      </c>
      <c r="I380" s="523">
        <v>0</v>
      </c>
      <c r="J380" s="523">
        <v>0</v>
      </c>
      <c r="K380" s="523"/>
      <c r="L380" s="797">
        <f>[1]!tsabetm(C380)</f>
        <v>1.5833333333333321</v>
      </c>
      <c r="M380" s="797">
        <f>[1]!tsabetz(C380)</f>
        <v>27.116666666666667</v>
      </c>
      <c r="N380" s="797">
        <f t="shared" si="31"/>
        <v>68.067885117493475</v>
      </c>
      <c r="O380" s="797">
        <f t="shared" si="32"/>
        <v>1445.0028169014086</v>
      </c>
      <c r="P380" s="797">
        <f t="shared" si="33"/>
        <v>58.889709719768604</v>
      </c>
      <c r="Q380" s="797">
        <f t="shared" si="34"/>
        <v>29</v>
      </c>
      <c r="R380" s="797">
        <f t="shared" si="35"/>
        <v>29.981495161996143</v>
      </c>
      <c r="S380" s="797">
        <f>[1]!taqsabet(O380,C380)</f>
        <v>29.981495161996143</v>
      </c>
      <c r="T380" s="523"/>
      <c r="U380" s="523">
        <v>0</v>
      </c>
      <c r="V380" s="523">
        <v>27</v>
      </c>
      <c r="W380" s="523">
        <v>7</v>
      </c>
      <c r="X380" s="523"/>
      <c r="Y380" s="523">
        <v>32</v>
      </c>
      <c r="Z380" s="523">
        <v>30</v>
      </c>
      <c r="AA380" s="523" t="s">
        <v>2695</v>
      </c>
      <c r="AB380" s="523">
        <v>4</v>
      </c>
      <c r="AC380" s="523">
        <v>4</v>
      </c>
      <c r="AD380" s="523" t="s">
        <v>2514</v>
      </c>
    </row>
    <row r="381" spans="3:31">
      <c r="C381" s="527">
        <v>347</v>
      </c>
      <c r="D381" s="527">
        <v>15</v>
      </c>
      <c r="E381" s="553" t="s">
        <v>2759</v>
      </c>
      <c r="F381" s="527">
        <v>70</v>
      </c>
      <c r="G381" s="527"/>
      <c r="H381" s="527">
        <v>67</v>
      </c>
      <c r="I381" s="527">
        <v>9</v>
      </c>
      <c r="J381" s="527">
        <v>25</v>
      </c>
      <c r="K381" s="527" t="s">
        <v>2760</v>
      </c>
      <c r="L381" s="797">
        <f>[1]!tsabetm(C381)</f>
        <v>16.416666666666668</v>
      </c>
      <c r="M381" s="797">
        <f>[1]!tsabetz(C381)</f>
        <v>42.616666666666667</v>
      </c>
      <c r="N381" s="797">
        <f t="shared" si="31"/>
        <v>66.335877862595424</v>
      </c>
      <c r="O381" s="797">
        <f t="shared" si="32"/>
        <v>1445.0028169014086</v>
      </c>
      <c r="P381" s="797">
        <f t="shared" si="33"/>
        <v>33.377691696786229</v>
      </c>
      <c r="Q381" s="797">
        <f t="shared" si="34"/>
        <v>45</v>
      </c>
      <c r="R381" s="797">
        <f t="shared" si="35"/>
        <v>45.556294861613104</v>
      </c>
      <c r="S381" s="797">
        <f>[1]!taqsabet(O381,C381)</f>
        <v>45.556294861613104</v>
      </c>
      <c r="T381" s="527"/>
      <c r="U381" s="527">
        <v>1</v>
      </c>
      <c r="V381" s="527">
        <v>12</v>
      </c>
      <c r="W381" s="527">
        <v>37</v>
      </c>
      <c r="X381" s="527"/>
      <c r="Y381" s="527">
        <v>27</v>
      </c>
      <c r="Z381" s="527">
        <v>36</v>
      </c>
      <c r="AA381" s="527" t="s">
        <v>2695</v>
      </c>
      <c r="AB381" s="527">
        <v>3</v>
      </c>
      <c r="AC381" s="527">
        <v>3</v>
      </c>
      <c r="AD381" s="527" t="s">
        <v>2514</v>
      </c>
    </row>
    <row r="382" spans="3:31">
      <c r="C382" s="523">
        <v>348</v>
      </c>
      <c r="D382" s="523">
        <v>16</v>
      </c>
      <c r="E382" s="543" t="s">
        <v>2659</v>
      </c>
      <c r="F382" s="523">
        <v>70</v>
      </c>
      <c r="G382" s="523"/>
      <c r="H382" s="523">
        <v>66</v>
      </c>
      <c r="I382" s="523">
        <v>0</v>
      </c>
      <c r="J382" s="523">
        <v>0</v>
      </c>
      <c r="K382" s="523"/>
      <c r="L382" s="797">
        <f>[1]!tsabetm(C382)</f>
        <v>16.75</v>
      </c>
      <c r="M382" s="797">
        <f>[1]!tsabetz(C382)</f>
        <v>43.016666666666666</v>
      </c>
      <c r="N382" s="797">
        <f t="shared" si="31"/>
        <v>66.167512690355338</v>
      </c>
      <c r="O382" s="797">
        <f t="shared" si="32"/>
        <v>1445.0028169014086</v>
      </c>
      <c r="P382" s="797">
        <f t="shared" si="33"/>
        <v>57.826489894487736</v>
      </c>
      <c r="Q382" s="797">
        <f t="shared" si="34"/>
        <v>45</v>
      </c>
      <c r="R382" s="797">
        <f t="shared" si="35"/>
        <v>45.963774831574796</v>
      </c>
      <c r="S382" s="797">
        <f>[1]!taqsabet(O382,C382)</f>
        <v>45.963774831574796</v>
      </c>
      <c r="T382" s="523"/>
      <c r="U382" s="523">
        <v>1</v>
      </c>
      <c r="V382" s="523">
        <v>13</v>
      </c>
      <c r="W382" s="523">
        <v>1</v>
      </c>
      <c r="X382" s="523"/>
      <c r="Y382" s="523">
        <v>36</v>
      </c>
      <c r="Z382" s="523">
        <v>30</v>
      </c>
      <c r="AA382" s="523" t="s">
        <v>2695</v>
      </c>
      <c r="AB382" s="523">
        <v>4</v>
      </c>
      <c r="AC382" s="523">
        <v>4</v>
      </c>
      <c r="AD382" s="523" t="s">
        <v>2514</v>
      </c>
    </row>
    <row r="383" spans="3:31">
      <c r="C383" s="527">
        <v>349</v>
      </c>
      <c r="D383" s="527">
        <v>17</v>
      </c>
      <c r="E383" s="553" t="s">
        <v>2761</v>
      </c>
      <c r="F383" s="527">
        <v>70</v>
      </c>
      <c r="G383" s="527"/>
      <c r="H383" s="527">
        <v>66</v>
      </c>
      <c r="I383" s="527">
        <v>0</v>
      </c>
      <c r="J383" s="527">
        <v>0</v>
      </c>
      <c r="K383" s="527"/>
      <c r="L383" s="797">
        <f>[1]!tsabetm(C383)</f>
        <v>14.75</v>
      </c>
      <c r="M383" s="797">
        <f>[1]!tsabetz(C383)</f>
        <v>41.016666666666666</v>
      </c>
      <c r="N383" s="797">
        <f t="shared" si="31"/>
        <v>66.167512690355338</v>
      </c>
      <c r="O383" s="797">
        <f t="shared" si="32"/>
        <v>1445.0028169014086</v>
      </c>
      <c r="P383" s="797">
        <f t="shared" si="33"/>
        <v>57.826489894487736</v>
      </c>
      <c r="Q383" s="797">
        <f t="shared" si="34"/>
        <v>43</v>
      </c>
      <c r="R383" s="797">
        <f t="shared" si="35"/>
        <v>43.963774831574796</v>
      </c>
      <c r="S383" s="797">
        <f>[1]!taqsabet(O383,C383)</f>
        <v>43.963774831574796</v>
      </c>
      <c r="T383" s="527"/>
      <c r="U383" s="527">
        <v>1</v>
      </c>
      <c r="V383" s="527">
        <v>11</v>
      </c>
      <c r="W383" s="527">
        <v>1</v>
      </c>
      <c r="X383" s="527"/>
      <c r="Y383" s="527">
        <v>35</v>
      </c>
      <c r="Z383" s="527">
        <v>0</v>
      </c>
      <c r="AA383" s="527" t="s">
        <v>2695</v>
      </c>
      <c r="AB383" s="527">
        <v>4</v>
      </c>
      <c r="AC383" s="527">
        <v>4</v>
      </c>
      <c r="AD383" s="527" t="s">
        <v>2514</v>
      </c>
    </row>
    <row r="384" spans="3:31">
      <c r="C384" s="523">
        <v>350</v>
      </c>
      <c r="D384" s="523">
        <v>18</v>
      </c>
      <c r="E384" s="543" t="s">
        <v>2762</v>
      </c>
      <c r="F384" s="523">
        <v>70</v>
      </c>
      <c r="G384" s="523"/>
      <c r="H384" s="523">
        <v>66</v>
      </c>
      <c r="I384" s="523">
        <v>0</v>
      </c>
      <c r="J384" s="523">
        <v>0</v>
      </c>
      <c r="K384" s="523"/>
      <c r="L384" s="797">
        <f>[1]!tsabetm(C384)</f>
        <v>11.916666666666668</v>
      </c>
      <c r="M384" s="797">
        <f>[1]!tsabetz(C384)</f>
        <v>37.616666666666667</v>
      </c>
      <c r="N384" s="797">
        <f t="shared" si="31"/>
        <v>67.626459143968873</v>
      </c>
      <c r="O384" s="797">
        <f t="shared" si="32"/>
        <v>1445.0028169014086</v>
      </c>
      <c r="P384" s="797">
        <f t="shared" si="33"/>
        <v>30.01170521402301</v>
      </c>
      <c r="Q384" s="797">
        <f t="shared" si="34"/>
        <v>40</v>
      </c>
      <c r="R384" s="797">
        <f t="shared" si="35"/>
        <v>40.500195086900384</v>
      </c>
      <c r="S384" s="797">
        <f>[1]!taqsabet(O384,C384)</f>
        <v>40.500195086900384</v>
      </c>
      <c r="T384" s="523"/>
      <c r="U384" s="523">
        <v>1</v>
      </c>
      <c r="V384" s="523">
        <v>7</v>
      </c>
      <c r="W384" s="523">
        <v>37</v>
      </c>
      <c r="X384" s="523"/>
      <c r="Y384" s="523">
        <v>28</v>
      </c>
      <c r="Z384" s="523">
        <v>39</v>
      </c>
      <c r="AA384" s="523" t="s">
        <v>2695</v>
      </c>
      <c r="AB384" s="523">
        <v>4</v>
      </c>
      <c r="AC384" s="523">
        <v>4</v>
      </c>
      <c r="AD384" s="523" t="s">
        <v>2514</v>
      </c>
    </row>
    <row r="385" spans="1:31">
      <c r="C385" s="527">
        <v>351</v>
      </c>
      <c r="D385" s="527">
        <v>19</v>
      </c>
      <c r="E385" s="553" t="s">
        <v>2718</v>
      </c>
      <c r="F385" s="527">
        <v>70</v>
      </c>
      <c r="G385" s="527"/>
      <c r="H385" s="527">
        <v>66</v>
      </c>
      <c r="I385" s="527">
        <v>0</v>
      </c>
      <c r="J385" s="527">
        <v>0</v>
      </c>
      <c r="K385" s="527"/>
      <c r="L385" s="797">
        <f>[1]!tsabetm(C385)</f>
        <v>11.583333333333332</v>
      </c>
      <c r="M385" s="797">
        <f>[1]!tsabetz(C385)</f>
        <v>37.56666666666667</v>
      </c>
      <c r="N385" s="797">
        <f t="shared" si="31"/>
        <v>66.889031430404088</v>
      </c>
      <c r="O385" s="797">
        <f t="shared" si="32"/>
        <v>1445.0028169014086</v>
      </c>
      <c r="P385" s="797">
        <f t="shared" si="33"/>
        <v>28.919097554255586</v>
      </c>
      <c r="Q385" s="797">
        <f t="shared" si="34"/>
        <v>40</v>
      </c>
      <c r="R385" s="797">
        <f t="shared" si="35"/>
        <v>40.481984959237593</v>
      </c>
      <c r="S385" s="797">
        <f>[1]!taqsabet(O385,C385)</f>
        <v>40.481984959237593</v>
      </c>
      <c r="T385" s="527"/>
      <c r="U385" s="527">
        <v>1</v>
      </c>
      <c r="V385" s="527">
        <v>7</v>
      </c>
      <c r="W385" s="527">
        <v>34</v>
      </c>
      <c r="X385" s="527"/>
      <c r="Y385" s="527">
        <v>27</v>
      </c>
      <c r="Z385" s="527">
        <v>36</v>
      </c>
      <c r="AA385" s="527" t="s">
        <v>2695</v>
      </c>
      <c r="AB385" s="527">
        <v>4</v>
      </c>
      <c r="AC385" s="527">
        <v>4</v>
      </c>
      <c r="AD385" s="527" t="s">
        <v>2514</v>
      </c>
    </row>
    <row r="386" spans="1:31">
      <c r="C386" s="523">
        <v>352</v>
      </c>
      <c r="D386" s="523">
        <v>20</v>
      </c>
      <c r="E386" s="543" t="s">
        <v>2544</v>
      </c>
      <c r="F386" s="523">
        <v>70</v>
      </c>
      <c r="G386" s="523"/>
      <c r="H386" s="523">
        <v>66</v>
      </c>
      <c r="I386" s="523">
        <v>0</v>
      </c>
      <c r="J386" s="523">
        <v>0</v>
      </c>
      <c r="K386" s="523"/>
      <c r="L386" s="797">
        <f>[1]!tsabetm(C386)</f>
        <v>9.75</v>
      </c>
      <c r="M386" s="797">
        <f>[1]!tsabetz(C386)</f>
        <v>36.016666666666666</v>
      </c>
      <c r="N386" s="797">
        <f t="shared" si="31"/>
        <v>66.167512690355338</v>
      </c>
      <c r="O386" s="797">
        <f t="shared" si="32"/>
        <v>1445.0028169014086</v>
      </c>
      <c r="P386" s="797">
        <f t="shared" si="33"/>
        <v>57.826489894487736</v>
      </c>
      <c r="Q386" s="797">
        <f t="shared" si="34"/>
        <v>38</v>
      </c>
      <c r="R386" s="797">
        <f t="shared" si="35"/>
        <v>38.963774831574796</v>
      </c>
      <c r="S386" s="797">
        <f>[1]!taqsabet(O386,C386)</f>
        <v>38.963774831574796</v>
      </c>
      <c r="T386" s="523"/>
      <c r="U386" s="523">
        <v>1</v>
      </c>
      <c r="V386" s="523">
        <v>6</v>
      </c>
      <c r="W386" s="523">
        <v>1</v>
      </c>
      <c r="X386" s="523"/>
      <c r="Y386" s="523">
        <v>36</v>
      </c>
      <c r="Z386" s="523">
        <v>0</v>
      </c>
      <c r="AA386" s="523" t="s">
        <v>2695</v>
      </c>
      <c r="AB386" s="523">
        <v>5</v>
      </c>
      <c r="AC386" s="523">
        <v>5</v>
      </c>
      <c r="AD386" s="523" t="s">
        <v>2514</v>
      </c>
    </row>
    <row r="387" spans="1:31">
      <c r="C387" s="527">
        <v>353</v>
      </c>
      <c r="D387" s="527">
        <v>21</v>
      </c>
      <c r="E387" s="553" t="s">
        <v>2763</v>
      </c>
      <c r="F387" s="527">
        <v>70</v>
      </c>
      <c r="G387" s="527"/>
      <c r="H387" s="527">
        <v>66</v>
      </c>
      <c r="I387" s="527">
        <v>0</v>
      </c>
      <c r="J387" s="527">
        <v>0</v>
      </c>
      <c r="K387" s="527"/>
      <c r="L387" s="797">
        <f>[1]!tsabetm(C387)</f>
        <v>12.25</v>
      </c>
      <c r="M387" s="797">
        <f>[1]!tsabetz(C387)</f>
        <v>37.68333333333333</v>
      </c>
      <c r="N387" s="797">
        <f t="shared" si="31"/>
        <v>68.335517693315865</v>
      </c>
      <c r="O387" s="797">
        <f t="shared" si="32"/>
        <v>1445.0028169014086</v>
      </c>
      <c r="P387" s="797">
        <f t="shared" si="33"/>
        <v>32.216512423215988</v>
      </c>
      <c r="Q387" s="797">
        <f t="shared" si="34"/>
        <v>40</v>
      </c>
      <c r="R387" s="797">
        <f t="shared" si="35"/>
        <v>40.536941873720266</v>
      </c>
      <c r="S387" s="797">
        <f>[1]!taqsabet(O387,C387)</f>
        <v>40.536941873720266</v>
      </c>
      <c r="T387" s="527"/>
      <c r="U387" s="527">
        <v>1</v>
      </c>
      <c r="V387" s="527">
        <v>7</v>
      </c>
      <c r="W387" s="527">
        <v>41</v>
      </c>
      <c r="X387" s="527"/>
      <c r="Y387" s="527">
        <v>34</v>
      </c>
      <c r="Z387" s="527">
        <v>15</v>
      </c>
      <c r="AA387" s="527" t="s">
        <v>2695</v>
      </c>
      <c r="AB387" s="527">
        <v>5</v>
      </c>
      <c r="AC387" s="527">
        <v>5</v>
      </c>
      <c r="AD387" s="527" t="s">
        <v>2514</v>
      </c>
    </row>
    <row r="388" spans="1:31">
      <c r="C388" s="523">
        <v>354</v>
      </c>
      <c r="D388" s="523">
        <v>22</v>
      </c>
      <c r="E388" s="543" t="s">
        <v>2718</v>
      </c>
      <c r="F388" s="523">
        <v>70</v>
      </c>
      <c r="G388" s="523"/>
      <c r="H388" s="523">
        <v>66</v>
      </c>
      <c r="I388" s="523">
        <v>0</v>
      </c>
      <c r="J388" s="523">
        <v>0</v>
      </c>
      <c r="K388" s="523"/>
      <c r="L388" s="797">
        <f>[1]!tsabetm(C388)</f>
        <v>13.75</v>
      </c>
      <c r="M388" s="797">
        <f>[1]!tsabetz(C388)</f>
        <v>38.299999999999997</v>
      </c>
      <c r="N388" s="797">
        <f t="shared" si="31"/>
        <v>70.79429735234217</v>
      </c>
      <c r="O388" s="797">
        <f t="shared" si="32"/>
        <v>1445.0028169014086</v>
      </c>
      <c r="P388" s="797">
        <f t="shared" si="33"/>
        <v>3.2699363036675777</v>
      </c>
      <c r="Q388" s="797">
        <f t="shared" si="34"/>
        <v>41</v>
      </c>
      <c r="R388" s="797">
        <f t="shared" si="35"/>
        <v>41.05449893839446</v>
      </c>
      <c r="S388" s="797">
        <f>[1]!taqsabet(O388,C388)</f>
        <v>41.05449893839446</v>
      </c>
      <c r="T388" s="523"/>
      <c r="U388" s="523">
        <v>1</v>
      </c>
      <c r="V388" s="523">
        <v>8</v>
      </c>
      <c r="W388" s="523">
        <v>58</v>
      </c>
      <c r="X388" s="523"/>
      <c r="Y388" s="523">
        <v>31</v>
      </c>
      <c r="Z388" s="523">
        <v>0</v>
      </c>
      <c r="AA388" s="523" t="s">
        <v>2695</v>
      </c>
      <c r="AB388" s="523">
        <v>5</v>
      </c>
      <c r="AC388" s="523">
        <v>5</v>
      </c>
      <c r="AD388" s="523" t="s">
        <v>2514</v>
      </c>
    </row>
    <row r="389" spans="1:31">
      <c r="C389" s="527">
        <v>355</v>
      </c>
      <c r="D389" s="527">
        <v>23</v>
      </c>
      <c r="E389" s="553" t="s">
        <v>2764</v>
      </c>
      <c r="F389" s="527">
        <v>70</v>
      </c>
      <c r="G389" s="527"/>
      <c r="H389" s="527">
        <v>66</v>
      </c>
      <c r="I389" s="527">
        <v>0</v>
      </c>
      <c r="J389" s="527">
        <v>0</v>
      </c>
      <c r="K389" s="527"/>
      <c r="L389" s="797">
        <f>[1]!tsabetm(C389)</f>
        <v>341.25</v>
      </c>
      <c r="M389" s="797">
        <f>[1]!tsabetz(C389)</f>
        <v>6.7666666666666666</v>
      </c>
      <c r="N389" s="797">
        <f t="shared" si="31"/>
        <v>68.112344872632306</v>
      </c>
      <c r="O389" s="797">
        <f t="shared" si="32"/>
        <v>1445.0028169014086</v>
      </c>
      <c r="P389" s="797">
        <f t="shared" si="33"/>
        <v>37.77751017034312</v>
      </c>
      <c r="Q389" s="797">
        <f t="shared" si="34"/>
        <v>9</v>
      </c>
      <c r="R389" s="797">
        <f t="shared" si="35"/>
        <v>9.6296251695057187</v>
      </c>
      <c r="S389" s="797">
        <f>[1]!taqsabet(O389,C389)</f>
        <v>9.6296251695057205</v>
      </c>
      <c r="T389" s="527"/>
      <c r="U389" s="527">
        <v>0</v>
      </c>
      <c r="V389" s="527">
        <v>6</v>
      </c>
      <c r="W389" s="527">
        <v>46</v>
      </c>
      <c r="X389" s="527"/>
      <c r="Y389" s="527">
        <v>43</v>
      </c>
      <c r="Z389" s="527">
        <v>42</v>
      </c>
      <c r="AA389" s="527" t="s">
        <v>2695</v>
      </c>
      <c r="AB389" s="527">
        <v>4</v>
      </c>
      <c r="AC389" s="527">
        <v>3</v>
      </c>
      <c r="AD389" s="527" t="s">
        <v>2514</v>
      </c>
    </row>
    <row r="390" spans="1:31">
      <c r="C390" s="546"/>
      <c r="D390" s="546"/>
      <c r="E390" s="546"/>
      <c r="F390" s="546"/>
      <c r="G390" s="546"/>
      <c r="H390" s="546"/>
      <c r="I390" s="546"/>
      <c r="J390" s="546"/>
      <c r="K390" s="546"/>
      <c r="N390" s="797">
        <f t="shared" si="31"/>
        <v>4.8277777777777775</v>
      </c>
      <c r="O390" s="797">
        <f t="shared" si="32"/>
        <v>1445.0028169014086</v>
      </c>
      <c r="P390" s="797">
        <f t="shared" si="33"/>
        <v>23.510267589427372</v>
      </c>
      <c r="Q390" s="797">
        <f t="shared" si="34"/>
        <v>40</v>
      </c>
      <c r="R390" s="797">
        <f t="shared" si="35"/>
        <v>40.391837793157123</v>
      </c>
      <c r="S390" s="797">
        <f>[1]!taqsabet(O390,C390)</f>
        <v>1.4716840899636423</v>
      </c>
      <c r="T390" s="546"/>
      <c r="U390" s="546"/>
      <c r="V390" s="546"/>
      <c r="W390" s="546"/>
      <c r="X390" s="546"/>
      <c r="Y390" s="546"/>
      <c r="Z390" s="546"/>
      <c r="AA390" s="546"/>
      <c r="AB390" s="546"/>
      <c r="AC390" s="546"/>
      <c r="AD390" s="546"/>
    </row>
    <row r="391" spans="1:31">
      <c r="A391" s="520">
        <v>21</v>
      </c>
      <c r="B391" s="536" t="s">
        <v>2765</v>
      </c>
      <c r="C391" s="522">
        <v>356</v>
      </c>
      <c r="D391" s="522">
        <v>1</v>
      </c>
      <c r="E391" s="550" t="s">
        <v>2766</v>
      </c>
      <c r="F391" s="522">
        <v>70</v>
      </c>
      <c r="G391" s="522"/>
      <c r="H391" s="522">
        <v>70</v>
      </c>
      <c r="I391" s="522">
        <v>7</v>
      </c>
      <c r="J391" s="522">
        <v>4</v>
      </c>
      <c r="K391" s="522" t="s">
        <v>2767</v>
      </c>
      <c r="L391" s="797">
        <f>[1]!tsabetm(C391)</f>
        <v>10.583333333333332</v>
      </c>
      <c r="M391" s="797">
        <f>[1]!tsabetz(C391)</f>
        <v>39.766666666666666</v>
      </c>
      <c r="N391" s="797">
        <f t="shared" ref="N391:N395" si="36">(1697+41)/((IF(M391-L391&gt;0,M391-L391,M391+360-L391)))</f>
        <v>59.554540262707022</v>
      </c>
      <c r="O391" s="797">
        <f t="shared" si="32"/>
        <v>1445.0028169014086</v>
      </c>
      <c r="P391" s="797">
        <f t="shared" si="33"/>
        <v>2.4614110439389947</v>
      </c>
      <c r="Q391" s="797">
        <f t="shared" si="34"/>
        <v>43</v>
      </c>
      <c r="R391" s="797">
        <f t="shared" si="35"/>
        <v>43.041023517398983</v>
      </c>
      <c r="S391" s="797">
        <f>[1]!taqsabet(O391,C391)</f>
        <v>43.041023517398983</v>
      </c>
      <c r="T391" s="522"/>
      <c r="U391" s="522">
        <v>1</v>
      </c>
      <c r="V391" s="522">
        <v>5</v>
      </c>
      <c r="W391" s="522">
        <v>46</v>
      </c>
      <c r="X391" s="522"/>
      <c r="Y391" s="522">
        <v>16</v>
      </c>
      <c r="Z391" s="522">
        <v>6</v>
      </c>
      <c r="AA391" s="522" t="s">
        <v>179</v>
      </c>
      <c r="AB391" s="522">
        <v>3</v>
      </c>
      <c r="AC391" s="522">
        <v>3</v>
      </c>
      <c r="AD391" s="522" t="s">
        <v>2524</v>
      </c>
    </row>
    <row r="392" spans="1:31">
      <c r="C392" s="523">
        <v>357</v>
      </c>
      <c r="D392" s="523">
        <v>2</v>
      </c>
      <c r="E392" s="543" t="s">
        <v>2768</v>
      </c>
      <c r="F392" s="523">
        <v>70</v>
      </c>
      <c r="G392" s="523"/>
      <c r="H392" s="523">
        <v>66</v>
      </c>
      <c r="I392" s="523">
        <v>0</v>
      </c>
      <c r="J392" s="523">
        <v>0</v>
      </c>
      <c r="K392" s="523"/>
      <c r="L392" s="797">
        <f>[1]!tsabetm(C392)</f>
        <v>15.583333333333332</v>
      </c>
      <c r="M392" s="797">
        <f>[1]!tsabetz(C392)</f>
        <v>41.266666666666666</v>
      </c>
      <c r="N392" s="797">
        <f t="shared" si="36"/>
        <v>67.670343932511358</v>
      </c>
      <c r="O392" s="797">
        <f t="shared" ref="O392:O455" si="37">O391</f>
        <v>1445.0028169014086</v>
      </c>
      <c r="P392" s="797">
        <f t="shared" ref="P392:P455" si="38">(R392-Q392)*60</f>
        <v>8.8995056645973136</v>
      </c>
      <c r="Q392" s="797">
        <f t="shared" ref="Q392:Q455" si="39">INT(R392)</f>
        <v>44</v>
      </c>
      <c r="R392" s="797">
        <f t="shared" ref="R392:R455" si="40">((O392-1250)/(N392))+M392</f>
        <v>44.148325094409955</v>
      </c>
      <c r="S392" s="797">
        <f>[1]!taqsabet(O392,C392)</f>
        <v>44.148325094409955</v>
      </c>
      <c r="T392" s="523"/>
      <c r="U392" s="523">
        <v>1</v>
      </c>
      <c r="V392" s="523">
        <v>11</v>
      </c>
      <c r="W392" s="523">
        <v>16</v>
      </c>
      <c r="X392" s="523"/>
      <c r="Y392" s="523">
        <v>20</v>
      </c>
      <c r="Z392" s="523">
        <v>15</v>
      </c>
      <c r="AA392" s="523" t="s">
        <v>179</v>
      </c>
      <c r="AB392" s="523">
        <v>3</v>
      </c>
      <c r="AC392" s="523">
        <v>3</v>
      </c>
      <c r="AD392" s="523" t="s">
        <v>2524</v>
      </c>
    </row>
    <row r="393" spans="1:31">
      <c r="C393" s="522">
        <v>358</v>
      </c>
      <c r="D393" s="522">
        <v>3</v>
      </c>
      <c r="E393" s="550" t="s">
        <v>2612</v>
      </c>
      <c r="F393" s="522">
        <v>70</v>
      </c>
      <c r="G393" s="522"/>
      <c r="H393" s="522">
        <v>66</v>
      </c>
      <c r="I393" s="522">
        <v>0</v>
      </c>
      <c r="J393" s="522">
        <v>0</v>
      </c>
      <c r="K393" s="522"/>
      <c r="L393" s="797">
        <f>[1]!tsabetm(C393)</f>
        <v>15.916666666666668</v>
      </c>
      <c r="M393" s="797">
        <f>[1]!tsabetz(C393)</f>
        <v>42.216666666666669</v>
      </c>
      <c r="N393" s="797">
        <f t="shared" si="36"/>
        <v>66.083650190114071</v>
      </c>
      <c r="O393" s="797">
        <f t="shared" si="37"/>
        <v>1445.0028169014086</v>
      </c>
      <c r="P393" s="797">
        <f t="shared" si="38"/>
        <v>10.050888993338702</v>
      </c>
      <c r="Q393" s="797">
        <f t="shared" si="39"/>
        <v>45</v>
      </c>
      <c r="R393" s="797">
        <f t="shared" si="40"/>
        <v>45.167514816555645</v>
      </c>
      <c r="S393" s="797">
        <f>[1]!taqsabet(O393,C393)</f>
        <v>45.167514816555645</v>
      </c>
      <c r="T393" s="522"/>
      <c r="U393" s="522">
        <v>1</v>
      </c>
      <c r="V393" s="522">
        <v>12</v>
      </c>
      <c r="W393" s="522">
        <v>13</v>
      </c>
      <c r="X393" s="522"/>
      <c r="Y393" s="522">
        <v>19</v>
      </c>
      <c r="Z393" s="522">
        <v>12</v>
      </c>
      <c r="AA393" s="522" t="s">
        <v>179</v>
      </c>
      <c r="AB393" s="522">
        <v>5</v>
      </c>
      <c r="AC393" s="522">
        <v>4</v>
      </c>
      <c r="AD393" s="522" t="s">
        <v>2524</v>
      </c>
    </row>
    <row r="394" spans="1:31">
      <c r="C394" s="523">
        <v>359</v>
      </c>
      <c r="D394" s="523">
        <v>4</v>
      </c>
      <c r="E394" s="543" t="s">
        <v>2613</v>
      </c>
      <c r="F394" s="523">
        <v>70</v>
      </c>
      <c r="G394" s="523"/>
      <c r="H394" s="523">
        <v>66</v>
      </c>
      <c r="I394" s="523">
        <v>0</v>
      </c>
      <c r="J394" s="523">
        <v>0</v>
      </c>
      <c r="K394" s="523"/>
      <c r="L394" s="797">
        <f>[1]!tsabetm(C394)</f>
        <v>16.416666666666668</v>
      </c>
      <c r="M394" s="797">
        <f>[1]!tsabetz(C394)</f>
        <v>42.716666666666669</v>
      </c>
      <c r="N394" s="797">
        <f t="shared" si="36"/>
        <v>66.083650190114071</v>
      </c>
      <c r="O394" s="797">
        <f t="shared" si="37"/>
        <v>1445.0028169014086</v>
      </c>
      <c r="P394" s="797">
        <f t="shared" si="38"/>
        <v>40.050888993338702</v>
      </c>
      <c r="Q394" s="797">
        <f t="shared" si="39"/>
        <v>45</v>
      </c>
      <c r="R394" s="797">
        <f t="shared" si="40"/>
        <v>45.667514816555645</v>
      </c>
      <c r="S394" s="797">
        <f>[1]!taqsabet(O394,C394)</f>
        <v>45.667514816555645</v>
      </c>
      <c r="T394" s="523"/>
      <c r="U394" s="523">
        <v>1</v>
      </c>
      <c r="V394" s="523">
        <v>12</v>
      </c>
      <c r="W394" s="523">
        <v>43</v>
      </c>
      <c r="X394" s="523"/>
      <c r="Y394" s="523">
        <v>18</v>
      </c>
      <c r="Z394" s="523">
        <v>12</v>
      </c>
      <c r="AA394" s="523" t="s">
        <v>179</v>
      </c>
      <c r="AB394" s="523">
        <v>3</v>
      </c>
      <c r="AC394" s="523">
        <v>3</v>
      </c>
      <c r="AD394" s="523" t="s">
        <v>2524</v>
      </c>
    </row>
    <row r="395" spans="1:31">
      <c r="B395" s="505" t="s">
        <v>2355</v>
      </c>
      <c r="C395" s="506" t="s">
        <v>2356</v>
      </c>
      <c r="D395" s="507" t="s">
        <v>2357</v>
      </c>
      <c r="E395" s="511" t="s">
        <v>2358</v>
      </c>
      <c r="F395" s="511"/>
      <c r="G395" s="511"/>
      <c r="H395" s="511"/>
      <c r="I395" s="511"/>
      <c r="J395" s="511"/>
      <c r="K395" s="514" t="s">
        <v>2360</v>
      </c>
      <c r="N395" s="797">
        <f t="shared" si="36"/>
        <v>4.8277777777777775</v>
      </c>
      <c r="O395" s="797">
        <f t="shared" si="37"/>
        <v>1445.0028169014086</v>
      </c>
      <c r="P395" s="797">
        <f t="shared" si="38"/>
        <v>23.510267589427372</v>
      </c>
      <c r="Q395" s="797">
        <f t="shared" si="39"/>
        <v>40</v>
      </c>
      <c r="R395" s="797">
        <f t="shared" si="40"/>
        <v>40.391837793157123</v>
      </c>
      <c r="S395" s="797" t="e">
        <f>[1]!taqsabet(O395,C395)</f>
        <v>#VALUE!</v>
      </c>
      <c r="T395" s="507"/>
      <c r="U395" s="508" t="s">
        <v>403</v>
      </c>
      <c r="V395" s="508"/>
      <c r="W395" s="509"/>
      <c r="X395" s="507"/>
      <c r="Y395" s="509" t="s">
        <v>275</v>
      </c>
      <c r="Z395" s="510"/>
      <c r="AA395" s="506" t="s">
        <v>176</v>
      </c>
      <c r="AB395" s="511" t="s">
        <v>2361</v>
      </c>
      <c r="AC395" s="511" t="s">
        <v>2362</v>
      </c>
      <c r="AD395" s="511" t="s">
        <v>2363</v>
      </c>
    </row>
    <row r="396" spans="1:31">
      <c r="A396" s="340" t="s">
        <v>2769</v>
      </c>
      <c r="B396" s="505"/>
      <c r="C396" s="512"/>
      <c r="D396" s="512"/>
      <c r="E396" s="513"/>
      <c r="F396" s="513"/>
      <c r="G396" s="513"/>
      <c r="H396" s="513"/>
      <c r="I396" s="513"/>
      <c r="J396" s="513"/>
      <c r="K396" s="514"/>
      <c r="N396" s="797">
        <f t="shared" ref="N396:N454" si="41">(1697+40)/((IF(M396-L396&gt;0,M396-L396,M396+360-L396)))</f>
        <v>4.8250000000000002</v>
      </c>
      <c r="O396" s="797">
        <f t="shared" si="37"/>
        <v>1445.0028169014086</v>
      </c>
      <c r="P396" s="797">
        <f t="shared" si="38"/>
        <v>24.905495147049237</v>
      </c>
      <c r="Q396" s="797">
        <f t="shared" si="39"/>
        <v>40</v>
      </c>
      <c r="R396" s="797">
        <f t="shared" si="40"/>
        <v>40.415091585784154</v>
      </c>
      <c r="S396" s="797">
        <f>[1]!taqsabet(O396,C396)</f>
        <v>1.4716840899636423</v>
      </c>
      <c r="T396" s="515" t="s">
        <v>2367</v>
      </c>
      <c r="U396" s="516" t="s">
        <v>173</v>
      </c>
      <c r="V396" s="516" t="s">
        <v>172</v>
      </c>
      <c r="W396" s="516" t="s">
        <v>166</v>
      </c>
      <c r="X396" s="517" t="s">
        <v>2367</v>
      </c>
      <c r="Y396" s="516" t="s">
        <v>172</v>
      </c>
      <c r="Z396" s="518" t="s">
        <v>166</v>
      </c>
      <c r="AA396" s="512"/>
      <c r="AB396" s="517" t="s">
        <v>2368</v>
      </c>
      <c r="AC396" s="517" t="s">
        <v>2369</v>
      </c>
      <c r="AD396" s="513"/>
    </row>
    <row r="397" spans="1:31">
      <c r="A397" s="563">
        <v>1</v>
      </c>
      <c r="B397" s="564" t="s">
        <v>1606</v>
      </c>
      <c r="C397" s="527">
        <v>360</v>
      </c>
      <c r="D397" s="527">
        <v>1</v>
      </c>
      <c r="E397" s="553" t="s">
        <v>2770</v>
      </c>
      <c r="F397" s="527">
        <v>70</v>
      </c>
      <c r="G397" s="527"/>
      <c r="H397" s="527">
        <v>68</v>
      </c>
      <c r="I397" s="527">
        <v>2</v>
      </c>
      <c r="J397" s="527">
        <v>7</v>
      </c>
      <c r="K397" s="527" t="s">
        <v>2771</v>
      </c>
      <c r="L397" s="797">
        <f>[1]!tsabetm(C397)</f>
        <v>6.25</v>
      </c>
      <c r="M397" s="797">
        <f>[1]!tsabetz(C397)</f>
        <v>32.31666666666667</v>
      </c>
      <c r="N397" s="797">
        <f t="shared" si="41"/>
        <v>66.636828644501264</v>
      </c>
      <c r="O397" s="797">
        <f t="shared" si="37"/>
        <v>1445.0028169014086</v>
      </c>
      <c r="P397" s="797">
        <f t="shared" si="38"/>
        <v>14.58112011157354</v>
      </c>
      <c r="Q397" s="797">
        <f t="shared" si="39"/>
        <v>35</v>
      </c>
      <c r="R397" s="797">
        <f t="shared" si="40"/>
        <v>35.243018668526226</v>
      </c>
      <c r="S397" s="797">
        <f>[1]!taqsabet(O397,C397)</f>
        <v>35.241334921689713</v>
      </c>
      <c r="T397" s="527"/>
      <c r="U397" s="527">
        <v>1</v>
      </c>
      <c r="V397" s="527">
        <v>2</v>
      </c>
      <c r="W397" s="527">
        <v>19</v>
      </c>
      <c r="X397" s="527"/>
      <c r="Y397" s="527">
        <v>6</v>
      </c>
      <c r="Z397" s="527">
        <v>36</v>
      </c>
      <c r="AA397" s="527" t="s">
        <v>179</v>
      </c>
      <c r="AB397" s="527">
        <v>3</v>
      </c>
      <c r="AC397" s="527">
        <v>3</v>
      </c>
      <c r="AD397" s="527" t="s">
        <v>2772</v>
      </c>
      <c r="AE397" s="541">
        <v>586</v>
      </c>
    </row>
    <row r="398" spans="1:31">
      <c r="C398" s="523">
        <v>361</v>
      </c>
      <c r="D398" s="523">
        <v>2</v>
      </c>
      <c r="E398" s="543" t="s">
        <v>2773</v>
      </c>
      <c r="F398" s="523">
        <v>70</v>
      </c>
      <c r="G398" s="523"/>
      <c r="H398" s="523">
        <v>68</v>
      </c>
      <c r="I398" s="523">
        <v>5</v>
      </c>
      <c r="J398" s="523">
        <v>10</v>
      </c>
      <c r="K398" s="523" t="s">
        <v>2774</v>
      </c>
      <c r="L398" s="797">
        <f>[1]!tsabetm(C398)</f>
        <v>7.25</v>
      </c>
      <c r="M398" s="797">
        <f>[1]!tsabetz(C398)</f>
        <v>33.216666666666669</v>
      </c>
      <c r="N398" s="797">
        <f t="shared" si="41"/>
        <v>66.893453145057762</v>
      </c>
      <c r="O398" s="797">
        <f t="shared" si="37"/>
        <v>1445.0028169014086</v>
      </c>
      <c r="P398" s="797">
        <f t="shared" si="38"/>
        <v>7.9075352518103159</v>
      </c>
      <c r="Q398" s="797">
        <f t="shared" si="39"/>
        <v>36</v>
      </c>
      <c r="R398" s="797">
        <f t="shared" si="40"/>
        <v>36.131792254196839</v>
      </c>
      <c r="S398" s="797">
        <f>[1]!taqsabet(O398,C398)</f>
        <v>36.130114966747172</v>
      </c>
      <c r="T398" s="523"/>
      <c r="U398" s="523">
        <v>1</v>
      </c>
      <c r="V398" s="523">
        <v>3</v>
      </c>
      <c r="W398" s="523">
        <v>13</v>
      </c>
      <c r="X398" s="523"/>
      <c r="Y398" s="523">
        <v>7</v>
      </c>
      <c r="Z398" s="523">
        <v>51</v>
      </c>
      <c r="AA398" s="523" t="s">
        <v>179</v>
      </c>
      <c r="AB398" s="523">
        <v>3</v>
      </c>
      <c r="AC398" s="523">
        <v>3</v>
      </c>
      <c r="AD398" s="523" t="s">
        <v>2772</v>
      </c>
    </row>
    <row r="399" spans="1:31">
      <c r="C399" s="527">
        <v>362</v>
      </c>
      <c r="D399" s="527">
        <v>3</v>
      </c>
      <c r="E399" s="553" t="s">
        <v>2775</v>
      </c>
      <c r="F399" s="527">
        <v>70</v>
      </c>
      <c r="G399" s="527"/>
      <c r="H399" s="527">
        <v>66</v>
      </c>
      <c r="I399" s="527">
        <v>0</v>
      </c>
      <c r="J399" s="527">
        <v>0</v>
      </c>
      <c r="K399" s="527"/>
      <c r="L399" s="797">
        <f>[1]!tsabetm(C399)</f>
        <v>10.583333333333332</v>
      </c>
      <c r="M399" s="797">
        <f>[1]!tsabetz(C399)</f>
        <v>36.56666666666667</v>
      </c>
      <c r="N399" s="797">
        <f t="shared" si="41"/>
        <v>66.85054522129569</v>
      </c>
      <c r="O399" s="797">
        <f t="shared" si="37"/>
        <v>1445.0028169014086</v>
      </c>
      <c r="P399" s="797">
        <f t="shared" si="38"/>
        <v>29.0197993951044</v>
      </c>
      <c r="Q399" s="797">
        <f t="shared" si="39"/>
        <v>39</v>
      </c>
      <c r="R399" s="797">
        <f t="shared" si="40"/>
        <v>39.48366332325174</v>
      </c>
      <c r="S399" s="797">
        <f>[1]!taqsabet(O399,C399)</f>
        <v>39.481984959237593</v>
      </c>
      <c r="T399" s="527"/>
      <c r="U399" s="527">
        <v>1</v>
      </c>
      <c r="V399" s="527">
        <v>6</v>
      </c>
      <c r="W399" s="527">
        <v>34</v>
      </c>
      <c r="X399" s="527"/>
      <c r="Y399" s="527">
        <v>7</v>
      </c>
      <c r="Z399" s="527">
        <v>9</v>
      </c>
      <c r="AA399" s="527" t="s">
        <v>179</v>
      </c>
      <c r="AB399" s="527">
        <v>5</v>
      </c>
      <c r="AC399" s="527">
        <v>5</v>
      </c>
      <c r="AD399" s="527" t="s">
        <v>2776</v>
      </c>
    </row>
    <row r="400" spans="1:31">
      <c r="C400" s="523">
        <v>363</v>
      </c>
      <c r="D400" s="523">
        <v>4</v>
      </c>
      <c r="E400" s="543" t="s">
        <v>2718</v>
      </c>
      <c r="F400" s="523">
        <v>70</v>
      </c>
      <c r="G400" s="523"/>
      <c r="H400" s="523">
        <v>66</v>
      </c>
      <c r="I400" s="523">
        <v>0</v>
      </c>
      <c r="J400" s="523">
        <v>0</v>
      </c>
      <c r="K400" s="523"/>
      <c r="L400" s="797">
        <f>[1]!tsabetm(C400)</f>
        <v>11.083333333333332</v>
      </c>
      <c r="M400" s="797">
        <f>[1]!tsabetz(C400)</f>
        <v>37.06666666666667</v>
      </c>
      <c r="N400" s="797">
        <f t="shared" si="41"/>
        <v>66.85054522129569</v>
      </c>
      <c r="O400" s="797">
        <f t="shared" si="37"/>
        <v>1445.0028169014086</v>
      </c>
      <c r="P400" s="797">
        <f t="shared" si="38"/>
        <v>59.0197993951044</v>
      </c>
      <c r="Q400" s="797">
        <f t="shared" si="39"/>
        <v>39</v>
      </c>
      <c r="R400" s="797">
        <f t="shared" si="40"/>
        <v>39.98366332325174</v>
      </c>
      <c r="S400" s="797">
        <f>[1]!taqsabet(O400,C400)</f>
        <v>39.981984959237593</v>
      </c>
      <c r="T400" s="523"/>
      <c r="U400" s="523">
        <v>1</v>
      </c>
      <c r="V400" s="523">
        <v>7</v>
      </c>
      <c r="W400" s="523">
        <v>4</v>
      </c>
      <c r="X400" s="523"/>
      <c r="Y400" s="523">
        <v>5</v>
      </c>
      <c r="Z400" s="523">
        <v>16</v>
      </c>
      <c r="AA400" s="523" t="s">
        <v>179</v>
      </c>
      <c r="AB400" s="523">
        <v>5</v>
      </c>
      <c r="AC400" s="523">
        <v>3</v>
      </c>
      <c r="AD400" s="523" t="s">
        <v>2776</v>
      </c>
    </row>
    <row r="401" spans="1:31">
      <c r="C401" s="527">
        <v>364</v>
      </c>
      <c r="D401" s="527">
        <v>5</v>
      </c>
      <c r="E401" s="553" t="s">
        <v>2777</v>
      </c>
      <c r="F401" s="527">
        <v>70</v>
      </c>
      <c r="G401" s="527"/>
      <c r="H401" s="527">
        <v>66</v>
      </c>
      <c r="I401" s="527">
        <v>0</v>
      </c>
      <c r="J401" s="527">
        <v>0</v>
      </c>
      <c r="K401" s="527"/>
      <c r="L401" s="797">
        <f>[1]!tsabetm(C401)</f>
        <v>6.0833333333333321</v>
      </c>
      <c r="M401" s="797">
        <f>[1]!tsabetz(C401)</f>
        <v>32.116666666666667</v>
      </c>
      <c r="N401" s="797">
        <f t="shared" si="41"/>
        <v>66.722151088348269</v>
      </c>
      <c r="O401" s="797">
        <f t="shared" si="37"/>
        <v>1445.0028169014086</v>
      </c>
      <c r="P401" s="797">
        <f t="shared" si="38"/>
        <v>2.3565918249857987</v>
      </c>
      <c r="Q401" s="797">
        <f t="shared" si="39"/>
        <v>35</v>
      </c>
      <c r="R401" s="797">
        <f t="shared" si="40"/>
        <v>35.03927653041643</v>
      </c>
      <c r="S401" s="797">
        <f>[1]!taqsabet(O401,C401)</f>
        <v>35.037594936708864</v>
      </c>
      <c r="T401" s="527"/>
      <c r="U401" s="527">
        <v>1</v>
      </c>
      <c r="V401" s="527">
        <v>2</v>
      </c>
      <c r="W401" s="527">
        <v>7</v>
      </c>
      <c r="X401" s="527"/>
      <c r="Y401" s="527">
        <v>5</v>
      </c>
      <c r="Z401" s="527">
        <v>6</v>
      </c>
      <c r="AA401" s="527" t="s">
        <v>179</v>
      </c>
      <c r="AB401" s="527">
        <v>5</v>
      </c>
      <c r="AC401" s="527">
        <v>5</v>
      </c>
      <c r="AD401" s="527" t="s">
        <v>2514</v>
      </c>
    </row>
    <row r="402" spans="1:31">
      <c r="C402" s="523">
        <v>365</v>
      </c>
      <c r="D402" s="523">
        <v>6</v>
      </c>
      <c r="E402" s="543" t="s">
        <v>2778</v>
      </c>
      <c r="F402" s="523">
        <v>70</v>
      </c>
      <c r="G402" s="523"/>
      <c r="H402" s="523">
        <v>66</v>
      </c>
      <c r="I402" s="523">
        <v>0</v>
      </c>
      <c r="J402" s="523">
        <v>0</v>
      </c>
      <c r="K402" s="523"/>
      <c r="L402" s="797">
        <f>[1]!tsabetm(C402)</f>
        <v>17.25</v>
      </c>
      <c r="M402" s="797">
        <f>[1]!tsabetz(C402)</f>
        <v>43.016666666666666</v>
      </c>
      <c r="N402" s="797">
        <f t="shared" si="41"/>
        <v>67.412677878395868</v>
      </c>
      <c r="O402" s="797">
        <f t="shared" si="37"/>
        <v>1445.0028169014086</v>
      </c>
      <c r="P402" s="797">
        <f t="shared" si="38"/>
        <v>54.560365532284294</v>
      </c>
      <c r="Q402" s="797">
        <f t="shared" si="39"/>
        <v>45</v>
      </c>
      <c r="R402" s="797">
        <f t="shared" si="40"/>
        <v>45.909339425538072</v>
      </c>
      <c r="S402" s="797">
        <f>[1]!taqsabet(O402,C402)</f>
        <v>45.907675056862075</v>
      </c>
      <c r="T402" s="523"/>
      <c r="U402" s="523">
        <v>1</v>
      </c>
      <c r="V402" s="523">
        <v>13</v>
      </c>
      <c r="W402" s="523">
        <v>3</v>
      </c>
      <c r="X402" s="523"/>
      <c r="Y402" s="523">
        <v>5</v>
      </c>
      <c r="Z402" s="523">
        <v>45</v>
      </c>
      <c r="AA402" s="523" t="s">
        <v>179</v>
      </c>
      <c r="AB402" s="523">
        <v>6</v>
      </c>
      <c r="AC402" s="523">
        <v>6</v>
      </c>
      <c r="AD402" s="523" t="s">
        <v>2514</v>
      </c>
    </row>
    <row r="403" spans="1:31">
      <c r="C403" s="527">
        <v>366</v>
      </c>
      <c r="D403" s="527">
        <v>7</v>
      </c>
      <c r="E403" s="553" t="s">
        <v>2779</v>
      </c>
      <c r="F403" s="527">
        <v>70</v>
      </c>
      <c r="G403" s="527"/>
      <c r="H403" s="527">
        <v>69</v>
      </c>
      <c r="I403" s="527">
        <v>1</v>
      </c>
      <c r="J403" s="527">
        <v>25</v>
      </c>
      <c r="K403" s="527" t="s">
        <v>2780</v>
      </c>
      <c r="L403" s="797">
        <f>[1]!tsabetm(C403)</f>
        <v>20.916666666666664</v>
      </c>
      <c r="M403" s="797">
        <f>[1]!tsabetz(C403)</f>
        <v>46.616666666666667</v>
      </c>
      <c r="N403" s="797">
        <f t="shared" si="41"/>
        <v>67.58754863813229</v>
      </c>
      <c r="O403" s="797">
        <f t="shared" si="37"/>
        <v>1445.0028169014086</v>
      </c>
      <c r="P403" s="797">
        <f t="shared" si="38"/>
        <v>30.111308959108811</v>
      </c>
      <c r="Q403" s="797">
        <f t="shared" si="39"/>
        <v>49</v>
      </c>
      <c r="R403" s="797">
        <f t="shared" si="40"/>
        <v>49.50185514931848</v>
      </c>
      <c r="S403" s="797">
        <f>[1]!taqsabet(O403,C403)</f>
        <v>49.500195086900384</v>
      </c>
      <c r="T403" s="527"/>
      <c r="U403" s="527">
        <v>1</v>
      </c>
      <c r="V403" s="527">
        <v>16</v>
      </c>
      <c r="W403" s="527">
        <v>37</v>
      </c>
      <c r="X403" s="527"/>
      <c r="Y403" s="527">
        <v>3</v>
      </c>
      <c r="Z403" s="527">
        <v>12</v>
      </c>
      <c r="AA403" s="527" t="s">
        <v>179</v>
      </c>
      <c r="AB403" s="527">
        <v>5</v>
      </c>
      <c r="AC403" s="527">
        <v>5</v>
      </c>
      <c r="AD403" s="527" t="s">
        <v>2514</v>
      </c>
    </row>
    <row r="404" spans="1:31">
      <c r="C404" s="523">
        <v>367</v>
      </c>
      <c r="D404" s="523">
        <v>8</v>
      </c>
      <c r="E404" s="543" t="s">
        <v>2781</v>
      </c>
      <c r="F404" s="523">
        <v>70</v>
      </c>
      <c r="G404" s="523"/>
      <c r="H404" s="523">
        <v>66</v>
      </c>
      <c r="I404" s="523">
        <v>9</v>
      </c>
      <c r="J404" s="523">
        <v>15</v>
      </c>
      <c r="K404" s="523" t="s">
        <v>2780</v>
      </c>
      <c r="L404" s="797">
        <f>[1]!tsabetm(C404)</f>
        <v>23.416666666666664</v>
      </c>
      <c r="M404" s="797">
        <f>[1]!tsabetz(C404)</f>
        <v>50.016666666666666</v>
      </c>
      <c r="N404" s="797">
        <f t="shared" si="41"/>
        <v>65.300751879699249</v>
      </c>
      <c r="O404" s="797">
        <f t="shared" si="37"/>
        <v>1445.0028169014086</v>
      </c>
      <c r="P404" s="797">
        <f t="shared" si="38"/>
        <v>0.17357269697654942</v>
      </c>
      <c r="Q404" s="797">
        <f t="shared" si="39"/>
        <v>53</v>
      </c>
      <c r="R404" s="797">
        <f t="shared" si="40"/>
        <v>53.002892878282942</v>
      </c>
      <c r="S404" s="797">
        <f>[1]!taqsabet(O404,C404)</f>
        <v>53.001174681383276</v>
      </c>
      <c r="T404" s="523"/>
      <c r="U404" s="523">
        <v>1</v>
      </c>
      <c r="V404" s="523">
        <v>20</v>
      </c>
      <c r="W404" s="523">
        <v>1</v>
      </c>
      <c r="X404" s="523"/>
      <c r="Y404" s="523">
        <v>1</v>
      </c>
      <c r="Z404" s="523">
        <v>19</v>
      </c>
      <c r="AA404" s="523" t="s">
        <v>179</v>
      </c>
      <c r="AB404" s="523">
        <v>4</v>
      </c>
      <c r="AC404" s="523">
        <v>4</v>
      </c>
      <c r="AD404" s="523" t="s">
        <v>2514</v>
      </c>
    </row>
    <row r="405" spans="1:31">
      <c r="C405" s="527">
        <v>368</v>
      </c>
      <c r="D405" s="527">
        <v>9</v>
      </c>
      <c r="E405" s="553" t="s">
        <v>2782</v>
      </c>
      <c r="F405" s="527">
        <v>70</v>
      </c>
      <c r="G405" s="527"/>
      <c r="H405" s="527">
        <v>66</v>
      </c>
      <c r="I405" s="527">
        <v>0</v>
      </c>
      <c r="J405" s="527">
        <v>0</v>
      </c>
      <c r="K405" s="527"/>
      <c r="L405" s="797">
        <f>[1]!tsabetm(C405)</f>
        <v>24.916666666666664</v>
      </c>
      <c r="M405" s="797">
        <f>[1]!tsabetz(C405)</f>
        <v>51.016666666666666</v>
      </c>
      <c r="N405" s="797">
        <f t="shared" si="41"/>
        <v>66.551724137931032</v>
      </c>
      <c r="O405" s="797">
        <f t="shared" si="37"/>
        <v>1445.0028169014086</v>
      </c>
      <c r="P405" s="797">
        <f t="shared" si="38"/>
        <v>56.805648398160855</v>
      </c>
      <c r="Q405" s="797">
        <f t="shared" si="39"/>
        <v>53</v>
      </c>
      <c r="R405" s="797">
        <f t="shared" si="40"/>
        <v>53.946760806636014</v>
      </c>
      <c r="S405" s="797">
        <f>[1]!taqsabet(O405,C405)</f>
        <v>53.945074906670555</v>
      </c>
      <c r="T405" s="527"/>
      <c r="U405" s="527">
        <v>1</v>
      </c>
      <c r="V405" s="527">
        <v>21</v>
      </c>
      <c r="W405" s="527">
        <v>1</v>
      </c>
      <c r="X405" s="527"/>
      <c r="Y405" s="527">
        <v>2</v>
      </c>
      <c r="Z405" s="527">
        <v>30</v>
      </c>
      <c r="AA405" s="527" t="s">
        <v>179</v>
      </c>
      <c r="AB405" s="527">
        <v>4</v>
      </c>
      <c r="AC405" s="527">
        <v>4</v>
      </c>
      <c r="AD405" s="527" t="s">
        <v>2514</v>
      </c>
    </row>
    <row r="406" spans="1:31">
      <c r="C406" s="523">
        <v>369</v>
      </c>
      <c r="D406" s="523">
        <v>10</v>
      </c>
      <c r="E406" s="543" t="s">
        <v>2613</v>
      </c>
      <c r="F406" s="523">
        <v>70</v>
      </c>
      <c r="G406" s="523"/>
      <c r="H406" s="523">
        <v>66</v>
      </c>
      <c r="I406" s="523">
        <v>0</v>
      </c>
      <c r="J406" s="523">
        <v>0</v>
      </c>
      <c r="K406" s="523"/>
      <c r="L406" s="797">
        <f>[1]!tsabetm(C406)</f>
        <v>26.583333333333336</v>
      </c>
      <c r="M406" s="797">
        <f>[1]!tsabetz(C406)</f>
        <v>52.616666666666667</v>
      </c>
      <c r="N406" s="797">
        <f t="shared" si="41"/>
        <v>66.722151088348269</v>
      </c>
      <c r="O406" s="797">
        <f t="shared" si="37"/>
        <v>1445.0028169014086</v>
      </c>
      <c r="P406" s="797">
        <f t="shared" si="38"/>
        <v>32.356591824985799</v>
      </c>
      <c r="Q406" s="797">
        <f t="shared" si="39"/>
        <v>55</v>
      </c>
      <c r="R406" s="797">
        <f t="shared" si="40"/>
        <v>55.53927653041643</v>
      </c>
      <c r="S406" s="797">
        <f>[1]!taqsabet(O406,C406)</f>
        <v>55.537594936708864</v>
      </c>
      <c r="T406" s="523"/>
      <c r="U406" s="523">
        <v>1</v>
      </c>
      <c r="V406" s="523">
        <v>22</v>
      </c>
      <c r="W406" s="523">
        <v>37</v>
      </c>
      <c r="X406" s="523"/>
      <c r="Y406" s="523">
        <v>1</v>
      </c>
      <c r="Z406" s="523">
        <v>39</v>
      </c>
      <c r="AA406" s="523" t="s">
        <v>179</v>
      </c>
      <c r="AB406" s="523">
        <v>4</v>
      </c>
      <c r="AC406" s="523">
        <v>4</v>
      </c>
      <c r="AD406" s="523" t="s">
        <v>2514</v>
      </c>
    </row>
    <row r="407" spans="1:31">
      <c r="C407" s="527">
        <v>370</v>
      </c>
      <c r="D407" s="527">
        <v>11</v>
      </c>
      <c r="E407" s="553" t="s">
        <v>2783</v>
      </c>
      <c r="F407" s="527">
        <v>70</v>
      </c>
      <c r="G407" s="527"/>
      <c r="H407" s="527">
        <v>69</v>
      </c>
      <c r="I407" s="527">
        <v>11</v>
      </c>
      <c r="J407" s="527">
        <v>13</v>
      </c>
      <c r="K407" s="527" t="s">
        <v>2780</v>
      </c>
      <c r="L407" s="797">
        <f>[1]!tsabetm(C407)</f>
        <v>19.25</v>
      </c>
      <c r="M407" s="797">
        <f>[1]!tsabetz(C407)</f>
        <v>44.666666666666664</v>
      </c>
      <c r="N407" s="797">
        <f t="shared" si="41"/>
        <v>68.340983606557387</v>
      </c>
      <c r="O407" s="797">
        <f t="shared" si="37"/>
        <v>1445.0028169014086</v>
      </c>
      <c r="P407" s="797">
        <f t="shared" si="38"/>
        <v>31.202818523113223</v>
      </c>
      <c r="Q407" s="797">
        <f t="shared" si="39"/>
        <v>47</v>
      </c>
      <c r="R407" s="797">
        <f t="shared" si="40"/>
        <v>47.52004697538522</v>
      </c>
      <c r="S407" s="797">
        <f>[1]!taqsabet(O407,C407)</f>
        <v>47.518405214563174</v>
      </c>
      <c r="T407" s="527"/>
      <c r="U407" s="527">
        <v>1</v>
      </c>
      <c r="V407" s="527">
        <v>14</v>
      </c>
      <c r="W407" s="527">
        <v>40</v>
      </c>
      <c r="X407" s="527"/>
      <c r="Y407" s="527">
        <v>1</v>
      </c>
      <c r="Z407" s="527">
        <v>42</v>
      </c>
      <c r="AA407" s="527" t="s">
        <v>179</v>
      </c>
      <c r="AB407" s="527">
        <v>5</v>
      </c>
      <c r="AC407" s="527">
        <v>5</v>
      </c>
      <c r="AD407" s="527" t="s">
        <v>2514</v>
      </c>
    </row>
    <row r="408" spans="1:31">
      <c r="C408" s="523">
        <v>371</v>
      </c>
      <c r="D408" s="523">
        <v>12</v>
      </c>
      <c r="E408" s="543" t="s">
        <v>2784</v>
      </c>
      <c r="F408" s="523">
        <v>70</v>
      </c>
      <c r="G408" s="523"/>
      <c r="H408" s="523">
        <v>66</v>
      </c>
      <c r="I408" s="523">
        <v>0</v>
      </c>
      <c r="J408" s="523">
        <v>0</v>
      </c>
      <c r="K408" s="523"/>
      <c r="L408" s="797">
        <f>[1]!tsabetm(C408)</f>
        <v>17.583333333333332</v>
      </c>
      <c r="M408" s="797">
        <f>[1]!tsabetz(C408)</f>
        <v>43.766666666666666</v>
      </c>
      <c r="N408" s="797">
        <f t="shared" si="41"/>
        <v>66.339910884786761</v>
      </c>
      <c r="O408" s="797">
        <f t="shared" si="37"/>
        <v>1445.0028169014086</v>
      </c>
      <c r="P408" s="797">
        <f t="shared" si="38"/>
        <v>42.366969114630422</v>
      </c>
      <c r="Q408" s="797">
        <f t="shared" si="39"/>
        <v>46</v>
      </c>
      <c r="R408" s="797">
        <f t="shared" si="40"/>
        <v>46.706116151910507</v>
      </c>
      <c r="S408" s="797">
        <f>[1]!taqsabet(O408,C408)</f>
        <v>46.704424869122676</v>
      </c>
      <c r="T408" s="523"/>
      <c r="U408" s="523">
        <v>1</v>
      </c>
      <c r="V408" s="523">
        <v>13</v>
      </c>
      <c r="W408" s="523">
        <v>46</v>
      </c>
      <c r="X408" s="523"/>
      <c r="Y408" s="523">
        <v>1</v>
      </c>
      <c r="Z408" s="523">
        <v>24</v>
      </c>
      <c r="AA408" s="523" t="s">
        <v>274</v>
      </c>
      <c r="AB408" s="523">
        <v>5</v>
      </c>
      <c r="AC408" s="523">
        <v>5</v>
      </c>
      <c r="AD408" s="523" t="s">
        <v>2514</v>
      </c>
    </row>
    <row r="409" spans="1:31">
      <c r="C409" s="527">
        <v>372</v>
      </c>
      <c r="D409" s="527">
        <v>13</v>
      </c>
      <c r="E409" s="553" t="s">
        <v>2785</v>
      </c>
      <c r="F409" s="527">
        <v>70</v>
      </c>
      <c r="G409" s="527"/>
      <c r="H409" s="527">
        <v>66</v>
      </c>
      <c r="I409" s="527">
        <v>0</v>
      </c>
      <c r="J409" s="527">
        <v>0</v>
      </c>
      <c r="K409" s="527"/>
      <c r="L409" s="797">
        <f>[1]!tsabetm(C409)</f>
        <v>14.583333333333332</v>
      </c>
      <c r="M409" s="797">
        <f>[1]!tsabetz(C409)</f>
        <v>41.016666666666666</v>
      </c>
      <c r="N409" s="797">
        <f t="shared" si="41"/>
        <v>65.712484237074406</v>
      </c>
      <c r="O409" s="797">
        <f t="shared" si="37"/>
        <v>1445.0028169014086</v>
      </c>
      <c r="P409" s="797">
        <f t="shared" si="38"/>
        <v>59.050931264037843</v>
      </c>
      <c r="Q409" s="797">
        <f t="shared" si="39"/>
        <v>43</v>
      </c>
      <c r="R409" s="797">
        <f t="shared" si="40"/>
        <v>43.984182187733964</v>
      </c>
      <c r="S409" s="797">
        <f>[1]!taqsabet(O409,C409)</f>
        <v>43.982474756479036</v>
      </c>
      <c r="T409" s="527"/>
      <c r="U409" s="527">
        <v>1</v>
      </c>
      <c r="V409" s="527">
        <v>11</v>
      </c>
      <c r="W409" s="527">
        <v>1</v>
      </c>
      <c r="X409" s="527"/>
      <c r="Y409" s="527">
        <v>5</v>
      </c>
      <c r="Z409" s="527">
        <v>0</v>
      </c>
      <c r="AA409" s="527" t="s">
        <v>274</v>
      </c>
      <c r="AB409" s="527">
        <v>5</v>
      </c>
      <c r="AC409" s="527">
        <v>5</v>
      </c>
      <c r="AD409" s="527" t="s">
        <v>2514</v>
      </c>
    </row>
    <row r="410" spans="1:31">
      <c r="B410" s="505" t="s">
        <v>2415</v>
      </c>
      <c r="C410" s="523">
        <v>373</v>
      </c>
      <c r="D410" s="523">
        <v>1</v>
      </c>
      <c r="E410" s="524" t="s">
        <v>2786</v>
      </c>
      <c r="F410" s="523">
        <v>70</v>
      </c>
      <c r="G410" s="523"/>
      <c r="H410" s="523">
        <v>66</v>
      </c>
      <c r="I410" s="523">
        <v>10</v>
      </c>
      <c r="J410" s="523">
        <v>15</v>
      </c>
      <c r="K410" s="523" t="s">
        <v>2787</v>
      </c>
      <c r="L410" s="797">
        <f>[1]!tsabetm(C410)</f>
        <v>10.25</v>
      </c>
      <c r="M410" s="797">
        <f>[1]!tsabetz(C410)</f>
        <v>34.81666666666667</v>
      </c>
      <c r="N410" s="797">
        <f t="shared" si="41"/>
        <v>70.705563093622786</v>
      </c>
      <c r="O410" s="797">
        <f t="shared" si="37"/>
        <v>1445.0028169014086</v>
      </c>
      <c r="P410" s="797">
        <f t="shared" si="38"/>
        <v>34.477347215127736</v>
      </c>
      <c r="Q410" s="797">
        <f t="shared" si="39"/>
        <v>37</v>
      </c>
      <c r="R410" s="797">
        <f t="shared" si="40"/>
        <v>37.574622453585462</v>
      </c>
      <c r="S410" s="797">
        <f>[1]!taqsabet(O410,C410)</f>
        <v>37.573035597551559</v>
      </c>
      <c r="T410" s="524"/>
      <c r="U410" s="523">
        <v>1</v>
      </c>
      <c r="V410" s="523">
        <v>4</v>
      </c>
      <c r="W410" s="523">
        <v>49</v>
      </c>
      <c r="X410" s="523"/>
      <c r="Y410" s="523">
        <v>9</v>
      </c>
      <c r="Z410" s="523">
        <v>30</v>
      </c>
      <c r="AA410" s="523" t="s">
        <v>179</v>
      </c>
      <c r="AB410" s="523">
        <v>3</v>
      </c>
      <c r="AC410" s="523">
        <v>3</v>
      </c>
      <c r="AD410" s="523" t="s">
        <v>2788</v>
      </c>
    </row>
    <row r="411" spans="1:31">
      <c r="C411" s="527">
        <v>374</v>
      </c>
      <c r="D411" s="527">
        <v>2</v>
      </c>
      <c r="E411" s="553" t="s">
        <v>2789</v>
      </c>
      <c r="F411" s="527">
        <v>70</v>
      </c>
      <c r="G411" s="527"/>
      <c r="H411" s="527">
        <v>66</v>
      </c>
      <c r="I411" s="527">
        <v>0</v>
      </c>
      <c r="J411" s="527">
        <v>0</v>
      </c>
      <c r="K411" s="527"/>
      <c r="L411" s="797">
        <f>[1]!tsabetm(C411)</f>
        <v>21.25</v>
      </c>
      <c r="M411" s="797">
        <f>[1]!tsabetz(C411)</f>
        <v>47.116666666666667</v>
      </c>
      <c r="N411" s="797">
        <f t="shared" si="41"/>
        <v>67.152061855670098</v>
      </c>
      <c r="O411" s="797">
        <f t="shared" si="37"/>
        <v>1445.0028169014086</v>
      </c>
      <c r="P411" s="797">
        <f t="shared" si="38"/>
        <v>1.2339503920470918</v>
      </c>
      <c r="Q411" s="797">
        <f t="shared" si="39"/>
        <v>50</v>
      </c>
      <c r="R411" s="797">
        <f t="shared" si="40"/>
        <v>50.020565839867452</v>
      </c>
      <c r="S411" s="797">
        <f>[1]!taqsabet(O411,C411)</f>
        <v>50.018895011804624</v>
      </c>
      <c r="T411" s="527"/>
      <c r="U411" s="527">
        <v>1</v>
      </c>
      <c r="V411" s="527">
        <v>17</v>
      </c>
      <c r="W411" s="527">
        <v>7</v>
      </c>
      <c r="X411" s="527"/>
      <c r="Y411" s="527">
        <v>10</v>
      </c>
      <c r="Z411" s="527">
        <v>0</v>
      </c>
      <c r="AA411" s="527" t="s">
        <v>179</v>
      </c>
      <c r="AB411" s="527">
        <v>4</v>
      </c>
      <c r="AC411" s="527">
        <v>4</v>
      </c>
      <c r="AD411" s="527" t="s">
        <v>2384</v>
      </c>
    </row>
    <row r="412" spans="1:31">
      <c r="C412" s="523">
        <v>375</v>
      </c>
      <c r="D412" s="523">
        <v>3</v>
      </c>
      <c r="E412" s="543" t="s">
        <v>2790</v>
      </c>
      <c r="F412" s="523">
        <v>70</v>
      </c>
      <c r="G412" s="523"/>
      <c r="H412" s="523">
        <v>66</v>
      </c>
      <c r="I412" s="523">
        <v>0</v>
      </c>
      <c r="J412" s="523">
        <v>0</v>
      </c>
      <c r="K412" s="523"/>
      <c r="L412" s="797">
        <f>[1]!tsabetm(C412)</f>
        <v>20.916666666666664</v>
      </c>
      <c r="M412" s="797">
        <f>[1]!tsabetz(C412)</f>
        <v>47.466666666666669</v>
      </c>
      <c r="N412" s="797">
        <f t="shared" si="41"/>
        <v>65.423728813559308</v>
      </c>
      <c r="O412" s="797">
        <f t="shared" si="37"/>
        <v>1445.0028169014086</v>
      </c>
      <c r="P412" s="797">
        <f t="shared" si="38"/>
        <v>26.836780267095151</v>
      </c>
      <c r="Q412" s="797">
        <f t="shared" si="39"/>
        <v>50</v>
      </c>
      <c r="R412" s="797">
        <f t="shared" si="40"/>
        <v>50.447279671118253</v>
      </c>
      <c r="S412" s="797">
        <f>[1]!taqsabet(O412,C412)</f>
        <v>50.445564703912005</v>
      </c>
      <c r="T412" s="524"/>
      <c r="U412" s="523">
        <v>1</v>
      </c>
      <c r="V412" s="523">
        <v>17</v>
      </c>
      <c r="W412" s="523">
        <v>28</v>
      </c>
      <c r="X412" s="523"/>
      <c r="Y412" s="523">
        <v>12</v>
      </c>
      <c r="Z412" s="523">
        <v>0</v>
      </c>
      <c r="AA412" s="523" t="s">
        <v>179</v>
      </c>
      <c r="AB412" s="523">
        <v>5</v>
      </c>
      <c r="AC412" s="523">
        <v>5</v>
      </c>
      <c r="AD412" s="523" t="s">
        <v>2384</v>
      </c>
    </row>
    <row r="413" spans="1:31">
      <c r="C413" s="527">
        <v>376</v>
      </c>
      <c r="D413" s="527">
        <v>4</v>
      </c>
      <c r="E413" s="553" t="s">
        <v>2508</v>
      </c>
      <c r="F413" s="527">
        <v>70</v>
      </c>
      <c r="G413" s="527"/>
      <c r="H413" s="527">
        <v>66</v>
      </c>
      <c r="I413" s="527">
        <v>0</v>
      </c>
      <c r="J413" s="527">
        <v>0</v>
      </c>
      <c r="K413" s="527"/>
      <c r="L413" s="797">
        <f>[1]!tsabetm(C413)</f>
        <v>19.25</v>
      </c>
      <c r="M413" s="797">
        <f>[1]!tsabetz(C413)</f>
        <v>45.766666666666666</v>
      </c>
      <c r="N413" s="797">
        <f t="shared" si="41"/>
        <v>65.505971087366433</v>
      </c>
      <c r="O413" s="797">
        <f t="shared" si="37"/>
        <v>1445.0028169014086</v>
      </c>
      <c r="P413" s="797">
        <f t="shared" si="38"/>
        <v>44.612251980506983</v>
      </c>
      <c r="Q413" s="797">
        <f t="shared" si="39"/>
        <v>48</v>
      </c>
      <c r="R413" s="797">
        <f t="shared" si="40"/>
        <v>48.74353753300845</v>
      </c>
      <c r="S413" s="797">
        <f>[1]!taqsabet(O413,C413)</f>
        <v>48.741824718931156</v>
      </c>
      <c r="T413" s="527"/>
      <c r="U413" s="527">
        <v>1</v>
      </c>
      <c r="V413" s="527">
        <v>15</v>
      </c>
      <c r="W413" s="527">
        <v>46</v>
      </c>
      <c r="X413" s="527"/>
      <c r="Y413" s="527">
        <v>10</v>
      </c>
      <c r="Z413" s="527">
        <v>54</v>
      </c>
      <c r="AA413" s="527" t="s">
        <v>179</v>
      </c>
      <c r="AB413" s="527">
        <v>5</v>
      </c>
      <c r="AC413" s="527">
        <v>5</v>
      </c>
      <c r="AD413" s="527" t="s">
        <v>2384</v>
      </c>
    </row>
    <row r="414" spans="1:31">
      <c r="C414" s="523">
        <v>377</v>
      </c>
      <c r="D414" s="523">
        <v>5</v>
      </c>
      <c r="E414" s="543" t="s">
        <v>2791</v>
      </c>
      <c r="F414" s="523">
        <v>70</v>
      </c>
      <c r="G414" s="523"/>
      <c r="H414" s="523">
        <v>66</v>
      </c>
      <c r="I414" s="523">
        <v>0</v>
      </c>
      <c r="J414" s="523">
        <v>0</v>
      </c>
      <c r="K414" s="523"/>
      <c r="L414" s="797">
        <f>[1]!tsabetm(C414)</f>
        <v>18.75</v>
      </c>
      <c r="M414" s="797">
        <f>[1]!tsabetz(C414)</f>
        <v>45.016666666666666</v>
      </c>
      <c r="N414" s="797">
        <f t="shared" si="41"/>
        <v>66.129441624365484</v>
      </c>
      <c r="O414" s="797">
        <f t="shared" si="37"/>
        <v>1445.0028169014086</v>
      </c>
      <c r="P414" s="797">
        <f t="shared" si="38"/>
        <v>57.928289831099562</v>
      </c>
      <c r="Q414" s="797">
        <f t="shared" si="39"/>
        <v>47</v>
      </c>
      <c r="R414" s="797">
        <f t="shared" si="40"/>
        <v>47.965471497184993</v>
      </c>
      <c r="S414" s="797">
        <f>[1]!taqsabet(O414,C414)</f>
        <v>47.963774831574796</v>
      </c>
      <c r="T414" s="524"/>
      <c r="U414" s="523">
        <v>1</v>
      </c>
      <c r="V414" s="523">
        <v>15</v>
      </c>
      <c r="W414" s="523">
        <v>1</v>
      </c>
      <c r="X414" s="523"/>
      <c r="Y414" s="523">
        <v>10</v>
      </c>
      <c r="Z414" s="523">
        <v>36</v>
      </c>
      <c r="AA414" s="523" t="s">
        <v>179</v>
      </c>
      <c r="AB414" s="523">
        <v>5</v>
      </c>
      <c r="AC414" s="523">
        <v>5</v>
      </c>
      <c r="AD414" s="523" t="s">
        <v>2384</v>
      </c>
    </row>
    <row r="415" spans="1:31">
      <c r="C415" s="546"/>
      <c r="D415" s="546"/>
      <c r="E415" s="546"/>
      <c r="F415" s="546"/>
      <c r="G415" s="546"/>
      <c r="H415" s="546"/>
      <c r="I415" s="546"/>
      <c r="J415" s="546"/>
      <c r="K415" s="546"/>
      <c r="O415" s="797">
        <f t="shared" si="37"/>
        <v>1445.0028169014086</v>
      </c>
      <c r="T415" s="546"/>
      <c r="U415" s="546"/>
      <c r="V415" s="546"/>
      <c r="W415" s="546"/>
      <c r="X415" s="546"/>
      <c r="Y415" s="546"/>
      <c r="Z415" s="546"/>
      <c r="AA415" s="546"/>
      <c r="AB415" s="546"/>
      <c r="AC415" s="546"/>
      <c r="AD415" s="546"/>
    </row>
    <row r="416" spans="1:31">
      <c r="A416" s="563">
        <v>2</v>
      </c>
      <c r="B416" s="536" t="s">
        <v>256</v>
      </c>
      <c r="C416" s="522">
        <v>378</v>
      </c>
      <c r="D416" s="522">
        <v>1</v>
      </c>
      <c r="E416" s="550" t="s">
        <v>2792</v>
      </c>
      <c r="F416" s="522">
        <v>70</v>
      </c>
      <c r="G416" s="522"/>
      <c r="H416" s="522">
        <v>66</v>
      </c>
      <c r="I416" s="522">
        <v>0</v>
      </c>
      <c r="J416" s="522">
        <v>0</v>
      </c>
      <c r="K416" s="522"/>
      <c r="L416" s="797">
        <f>[1]!tsabetm(C416)</f>
        <v>25.916666666666664</v>
      </c>
      <c r="M416" s="797">
        <f>[1]!tsabetz(C416)</f>
        <v>52.266666666666666</v>
      </c>
      <c r="N416" s="797">
        <f t="shared" si="41"/>
        <v>65.920303605313094</v>
      </c>
      <c r="O416" s="797">
        <f t="shared" si="37"/>
        <v>1445.0028169014086</v>
      </c>
      <c r="P416" s="797">
        <f t="shared" si="38"/>
        <v>13.489610547568702</v>
      </c>
      <c r="Q416" s="797">
        <f t="shared" si="39"/>
        <v>55</v>
      </c>
      <c r="R416" s="797">
        <f t="shared" si="40"/>
        <v>55.224826842459478</v>
      </c>
      <c r="S416" s="797">
        <f>[1]!taqsabet(O416,C416)</f>
        <v>55.223124794026916</v>
      </c>
      <c r="T416" s="522"/>
      <c r="U416" s="522">
        <v>1</v>
      </c>
      <c r="V416" s="522">
        <v>22</v>
      </c>
      <c r="W416" s="522">
        <v>16</v>
      </c>
      <c r="X416" s="522"/>
      <c r="Y416" s="522">
        <v>6</v>
      </c>
      <c r="Z416" s="522">
        <v>24</v>
      </c>
      <c r="AA416" s="522" t="s">
        <v>274</v>
      </c>
      <c r="AB416" s="522">
        <v>4</v>
      </c>
      <c r="AC416" s="522">
        <v>4</v>
      </c>
      <c r="AD416" s="522" t="s">
        <v>2793</v>
      </c>
      <c r="AE416" s="327">
        <v>587</v>
      </c>
    </row>
    <row r="417" spans="3:30">
      <c r="C417" s="523">
        <v>379</v>
      </c>
      <c r="D417" s="523">
        <v>2</v>
      </c>
      <c r="E417" s="543" t="s">
        <v>2794</v>
      </c>
      <c r="F417" s="523">
        <v>70</v>
      </c>
      <c r="G417" s="523"/>
      <c r="H417" s="523">
        <v>66</v>
      </c>
      <c r="I417" s="523">
        <v>0</v>
      </c>
      <c r="J417" s="523">
        <v>0</v>
      </c>
      <c r="K417" s="523"/>
      <c r="L417" s="797">
        <f>[1]!tsabetm(C417)</f>
        <v>25.583333333333336</v>
      </c>
      <c r="M417" s="797">
        <f>[1]!tsabetz(C417)</f>
        <v>51.916666666666664</v>
      </c>
      <c r="N417" s="797">
        <f t="shared" si="41"/>
        <v>65.962025316455708</v>
      </c>
      <c r="O417" s="797">
        <f t="shared" si="37"/>
        <v>1445.0028169014086</v>
      </c>
      <c r="P417" s="797">
        <f t="shared" si="38"/>
        <v>52.377346404274618</v>
      </c>
      <c r="Q417" s="797">
        <f t="shared" si="39"/>
        <v>54</v>
      </c>
      <c r="R417" s="797">
        <f t="shared" si="40"/>
        <v>54.872955773404577</v>
      </c>
      <c r="S417" s="797">
        <f>[1]!taqsabet(O417,C417)</f>
        <v>54.871254801536487</v>
      </c>
      <c r="T417" s="523"/>
      <c r="U417" s="523">
        <v>1</v>
      </c>
      <c r="V417" s="523">
        <v>21</v>
      </c>
      <c r="W417" s="523">
        <v>55</v>
      </c>
      <c r="X417" s="523"/>
      <c r="Y417" s="523">
        <v>7</v>
      </c>
      <c r="Z417" s="523">
        <v>42</v>
      </c>
      <c r="AA417" s="523" t="s">
        <v>274</v>
      </c>
      <c r="AB417" s="523">
        <v>4</v>
      </c>
      <c r="AC417" s="523">
        <v>4</v>
      </c>
      <c r="AD417" s="523" t="s">
        <v>2793</v>
      </c>
    </row>
    <row r="418" spans="3:30">
      <c r="C418" s="522">
        <v>380</v>
      </c>
      <c r="D418" s="522">
        <v>3</v>
      </c>
      <c r="E418" s="550" t="s">
        <v>2795</v>
      </c>
      <c r="F418" s="522">
        <v>70</v>
      </c>
      <c r="G418" s="522"/>
      <c r="H418" s="522">
        <v>66</v>
      </c>
      <c r="I418" s="522">
        <v>0</v>
      </c>
      <c r="J418" s="522">
        <v>0</v>
      </c>
      <c r="K418" s="522"/>
      <c r="L418" s="797">
        <f>[1]!tsabetm(C418)</f>
        <v>24.25</v>
      </c>
      <c r="M418" s="797">
        <f>[1]!tsabetz(C418)</f>
        <v>50.666666666666664</v>
      </c>
      <c r="N418" s="797">
        <f t="shared" si="41"/>
        <v>65.753943217665622</v>
      </c>
      <c r="O418" s="797">
        <f t="shared" si="37"/>
        <v>1445.0028169014086</v>
      </c>
      <c r="P418" s="797">
        <f t="shared" si="38"/>
        <v>37.938667120744185</v>
      </c>
      <c r="Q418" s="797">
        <f t="shared" si="39"/>
        <v>53</v>
      </c>
      <c r="R418" s="797">
        <f t="shared" si="40"/>
        <v>53.63231111867907</v>
      </c>
      <c r="S418" s="797">
        <f>[1]!taqsabet(O418,C418)</f>
        <v>53.630604763988607</v>
      </c>
      <c r="T418" s="522"/>
      <c r="U418" s="522">
        <v>1</v>
      </c>
      <c r="V418" s="522">
        <v>20</v>
      </c>
      <c r="W418" s="522">
        <v>40</v>
      </c>
      <c r="X418" s="522"/>
      <c r="Y418" s="522">
        <v>8</v>
      </c>
      <c r="Z418" s="522">
        <v>54</v>
      </c>
      <c r="AA418" s="522" t="s">
        <v>274</v>
      </c>
      <c r="AB418" s="522">
        <v>4</v>
      </c>
      <c r="AC418" s="522">
        <v>4</v>
      </c>
      <c r="AD418" s="522" t="s">
        <v>2793</v>
      </c>
    </row>
    <row r="419" spans="3:30">
      <c r="C419" s="523">
        <v>381</v>
      </c>
      <c r="D419" s="523">
        <v>4</v>
      </c>
      <c r="E419" s="543" t="s">
        <v>2796</v>
      </c>
      <c r="F419" s="523">
        <v>70</v>
      </c>
      <c r="G419" s="523"/>
      <c r="H419" s="523">
        <v>66</v>
      </c>
      <c r="I419" s="523">
        <v>0</v>
      </c>
      <c r="J419" s="523">
        <v>0</v>
      </c>
      <c r="K419" s="523"/>
      <c r="L419" s="797">
        <f>[1]!tsabetm(C419)</f>
        <v>23.916666666666664</v>
      </c>
      <c r="M419" s="797">
        <f>[1]!tsabetz(C419)</f>
        <v>49.016666666666666</v>
      </c>
      <c r="N419" s="797">
        <f t="shared" si="41"/>
        <v>69.20318725099601</v>
      </c>
      <c r="O419" s="797">
        <f t="shared" si="37"/>
        <v>1445.0028169014086</v>
      </c>
      <c r="P419" s="797">
        <f t="shared" si="38"/>
        <v>50.069799800530319</v>
      </c>
      <c r="Q419" s="797">
        <f t="shared" si="39"/>
        <v>51</v>
      </c>
      <c r="R419" s="797">
        <f t="shared" si="40"/>
        <v>51.834496663342172</v>
      </c>
      <c r="S419" s="797">
        <f>[1]!taqsabet(O419,C419)</f>
        <v>51.832875357245122</v>
      </c>
      <c r="T419" s="523"/>
      <c r="U419" s="523">
        <v>1</v>
      </c>
      <c r="V419" s="523">
        <v>19</v>
      </c>
      <c r="W419" s="523">
        <v>1</v>
      </c>
      <c r="X419" s="523"/>
      <c r="Y419" s="523">
        <v>9</v>
      </c>
      <c r="Z419" s="523">
        <v>39</v>
      </c>
      <c r="AA419" s="523" t="s">
        <v>274</v>
      </c>
      <c r="AB419" s="523">
        <v>4</v>
      </c>
      <c r="AC419" s="523">
        <v>4</v>
      </c>
      <c r="AD419" s="523" t="s">
        <v>2793</v>
      </c>
    </row>
    <row r="420" spans="3:30">
      <c r="C420" s="522">
        <v>382</v>
      </c>
      <c r="D420" s="522">
        <v>5</v>
      </c>
      <c r="E420" s="550" t="s">
        <v>2797</v>
      </c>
      <c r="F420" s="522">
        <v>70</v>
      </c>
      <c r="G420" s="522"/>
      <c r="H420" s="522">
        <v>66</v>
      </c>
      <c r="I420" s="522">
        <v>0</v>
      </c>
      <c r="J420" s="522">
        <v>0</v>
      </c>
      <c r="K420" s="522"/>
      <c r="L420" s="797">
        <f>[1]!tsabetm(C420)</f>
        <v>29.25</v>
      </c>
      <c r="M420" s="797">
        <f>[1]!tsabetz(C420)</f>
        <v>56.016666666666666</v>
      </c>
      <c r="N420" s="797">
        <f t="shared" si="41"/>
        <v>64.894146948941469</v>
      </c>
      <c r="O420" s="797">
        <f t="shared" si="37"/>
        <v>1445.0028169014086</v>
      </c>
      <c r="P420" s="797">
        <f t="shared" si="38"/>
        <v>1.29621412991483</v>
      </c>
      <c r="Q420" s="797">
        <f t="shared" si="39"/>
        <v>59</v>
      </c>
      <c r="R420" s="797">
        <f t="shared" si="40"/>
        <v>59.021603568831914</v>
      </c>
      <c r="S420" s="797">
        <f>[1]!taqsabet(O420,C420)</f>
        <v>59.019874606287516</v>
      </c>
      <c r="T420" s="522"/>
      <c r="U420" s="522">
        <v>1</v>
      </c>
      <c r="V420" s="522">
        <v>26</v>
      </c>
      <c r="W420" s="522">
        <v>1</v>
      </c>
      <c r="X420" s="522"/>
      <c r="Y420" s="522">
        <v>9</v>
      </c>
      <c r="Z420" s="522">
        <v>0</v>
      </c>
      <c r="AA420" s="522" t="s">
        <v>274</v>
      </c>
      <c r="AB420" s="522">
        <v>6</v>
      </c>
      <c r="AC420" s="522">
        <v>6</v>
      </c>
      <c r="AD420" s="522" t="s">
        <v>2793</v>
      </c>
    </row>
    <row r="421" spans="3:30">
      <c r="C421" s="523">
        <v>383</v>
      </c>
      <c r="D421" s="523">
        <v>6</v>
      </c>
      <c r="E421" s="543" t="s">
        <v>2798</v>
      </c>
      <c r="F421" s="523">
        <v>70</v>
      </c>
      <c r="G421" s="523"/>
      <c r="H421" s="523">
        <v>66</v>
      </c>
      <c r="I421" s="523">
        <v>0</v>
      </c>
      <c r="J421" s="523">
        <v>0</v>
      </c>
      <c r="K421" s="523"/>
      <c r="L421" s="797">
        <f>[1]!tsabetm(C421)</f>
        <v>33.25</v>
      </c>
      <c r="M421" s="797">
        <f>[1]!tsabetz(C421)</f>
        <v>59.81666666666667</v>
      </c>
      <c r="N421" s="797">
        <f t="shared" si="41"/>
        <v>65.382685069008772</v>
      </c>
      <c r="O421" s="797">
        <f t="shared" si="37"/>
        <v>1445.0028169014086</v>
      </c>
      <c r="P421" s="797">
        <f t="shared" si="38"/>
        <v>47.949044410388808</v>
      </c>
      <c r="Q421" s="797">
        <f t="shared" si="39"/>
        <v>62</v>
      </c>
      <c r="R421" s="797">
        <f t="shared" si="40"/>
        <v>62.799150740173147</v>
      </c>
      <c r="S421" s="797">
        <f>[1]!taqsabet(O421,C421)</f>
        <v>62.797434696402433</v>
      </c>
      <c r="T421" s="523"/>
      <c r="U421" s="523">
        <v>1</v>
      </c>
      <c r="V421" s="523">
        <v>29</v>
      </c>
      <c r="W421" s="523">
        <v>49</v>
      </c>
      <c r="X421" s="523"/>
      <c r="Y421" s="523">
        <v>9</v>
      </c>
      <c r="Z421" s="523">
        <v>21</v>
      </c>
      <c r="AA421" s="523" t="s">
        <v>274</v>
      </c>
      <c r="AB421" s="523">
        <v>3</v>
      </c>
      <c r="AC421" s="523">
        <v>3</v>
      </c>
      <c r="AD421" s="523" t="s">
        <v>2793</v>
      </c>
    </row>
    <row r="422" spans="3:30">
      <c r="C422" s="522">
        <v>384</v>
      </c>
      <c r="D422" s="522">
        <v>7</v>
      </c>
      <c r="E422" s="550" t="s">
        <v>2799</v>
      </c>
      <c r="F422" s="522">
        <v>70</v>
      </c>
      <c r="G422" s="522"/>
      <c r="H422" s="522">
        <v>66</v>
      </c>
      <c r="I422" s="522">
        <v>0</v>
      </c>
      <c r="J422" s="522">
        <v>0</v>
      </c>
      <c r="K422" s="522"/>
      <c r="L422" s="797">
        <f>[1]!tsabetm(C422)</f>
        <v>36.25</v>
      </c>
      <c r="M422" s="797">
        <f>[1]!tsabetz(C422)</f>
        <v>62.516666666666666</v>
      </c>
      <c r="N422" s="797">
        <f t="shared" si="41"/>
        <v>66.129441624365484</v>
      </c>
      <c r="O422" s="797">
        <f t="shared" si="37"/>
        <v>1445.0028169014086</v>
      </c>
      <c r="P422" s="797">
        <f t="shared" si="38"/>
        <v>27.928289831099562</v>
      </c>
      <c r="Q422" s="797">
        <f t="shared" si="39"/>
        <v>65</v>
      </c>
      <c r="R422" s="797">
        <f t="shared" si="40"/>
        <v>65.465471497184993</v>
      </c>
      <c r="S422" s="797">
        <f>[1]!taqsabet(O422,C422)</f>
        <v>65.463774831574796</v>
      </c>
      <c r="T422" s="522"/>
      <c r="U422" s="522">
        <v>2</v>
      </c>
      <c r="V422" s="522">
        <v>2</v>
      </c>
      <c r="W422" s="522">
        <v>31</v>
      </c>
      <c r="X422" s="522"/>
      <c r="Y422" s="522">
        <v>12</v>
      </c>
      <c r="Z422" s="522">
        <v>42</v>
      </c>
      <c r="AA422" s="522" t="s">
        <v>274</v>
      </c>
      <c r="AB422" s="522">
        <v>4</v>
      </c>
      <c r="AC422" s="522">
        <v>4</v>
      </c>
      <c r="AD422" s="522" t="s">
        <v>2793</v>
      </c>
    </row>
    <row r="423" spans="3:30">
      <c r="C423" s="523">
        <v>385</v>
      </c>
      <c r="D423" s="523">
        <v>8</v>
      </c>
      <c r="E423" s="543" t="s">
        <v>2623</v>
      </c>
      <c r="F423" s="523">
        <v>70</v>
      </c>
      <c r="G423" s="523"/>
      <c r="H423" s="523">
        <v>66</v>
      </c>
      <c r="I423" s="523">
        <v>0</v>
      </c>
      <c r="J423" s="523">
        <v>0</v>
      </c>
      <c r="K423" s="523"/>
      <c r="L423" s="797">
        <f>[1]!tsabetm(C423)</f>
        <v>32.583333333333336</v>
      </c>
      <c r="M423" s="797">
        <f>[1]!tsabetz(C423)</f>
        <v>59.466666666666669</v>
      </c>
      <c r="N423" s="797">
        <f t="shared" si="41"/>
        <v>64.612523248605086</v>
      </c>
      <c r="O423" s="797">
        <f t="shared" si="37"/>
        <v>1445.0028169014086</v>
      </c>
      <c r="P423" s="797">
        <f t="shared" si="38"/>
        <v>29.082063132971712</v>
      </c>
      <c r="Q423" s="797">
        <f t="shared" si="39"/>
        <v>62</v>
      </c>
      <c r="R423" s="797">
        <f t="shared" si="40"/>
        <v>62.484701052216195</v>
      </c>
      <c r="S423" s="797">
        <f>[1]!taqsabet(O423,C423)</f>
        <v>62.482964553720485</v>
      </c>
      <c r="T423" s="523"/>
      <c r="U423" s="523">
        <v>1</v>
      </c>
      <c r="V423" s="523">
        <v>29</v>
      </c>
      <c r="W423" s="523">
        <v>28</v>
      </c>
      <c r="X423" s="523"/>
      <c r="Y423" s="523">
        <v>14</v>
      </c>
      <c r="Z423" s="523">
        <v>45</v>
      </c>
      <c r="AA423" s="523" t="s">
        <v>274</v>
      </c>
      <c r="AB423" s="523">
        <v>4</v>
      </c>
      <c r="AC423" s="523">
        <v>4</v>
      </c>
      <c r="AD423" s="523" t="s">
        <v>2793</v>
      </c>
    </row>
    <row r="424" spans="3:30">
      <c r="C424" s="522">
        <v>386</v>
      </c>
      <c r="D424" s="522">
        <v>9</v>
      </c>
      <c r="E424" s="550" t="s">
        <v>2800</v>
      </c>
      <c r="F424" s="522">
        <v>70</v>
      </c>
      <c r="G424" s="522"/>
      <c r="H424" s="522">
        <v>66</v>
      </c>
      <c r="I424" s="522">
        <v>0</v>
      </c>
      <c r="J424" s="522">
        <v>0</v>
      </c>
      <c r="K424" s="522"/>
      <c r="L424" s="797">
        <f>[1]!tsabetm(C424)</f>
        <v>41.75</v>
      </c>
      <c r="M424" s="797">
        <f>[1]!tsabetz(C424)</f>
        <v>67.766666666666666</v>
      </c>
      <c r="N424" s="797">
        <f t="shared" si="41"/>
        <v>66.764894298526585</v>
      </c>
      <c r="O424" s="797">
        <f t="shared" si="37"/>
        <v>1445.0028169014086</v>
      </c>
      <c r="P424" s="797">
        <f t="shared" si="38"/>
        <v>41.244327681692141</v>
      </c>
      <c r="Q424" s="797">
        <f t="shared" si="39"/>
        <v>70</v>
      </c>
      <c r="R424" s="797">
        <f t="shared" si="40"/>
        <v>70.687405461361536</v>
      </c>
      <c r="S424" s="797">
        <f>[1]!taqsabet(O424,C424)</f>
        <v>70.685724944218435</v>
      </c>
      <c r="T424" s="522"/>
      <c r="U424" s="522">
        <v>2</v>
      </c>
      <c r="V424" s="522">
        <v>7</v>
      </c>
      <c r="W424" s="522">
        <v>46</v>
      </c>
      <c r="X424" s="522"/>
      <c r="Y424" s="522">
        <v>9</v>
      </c>
      <c r="Z424" s="522">
        <v>42</v>
      </c>
      <c r="AA424" s="522" t="s">
        <v>274</v>
      </c>
      <c r="AB424" s="522">
        <v>4</v>
      </c>
      <c r="AC424" s="522">
        <v>4</v>
      </c>
      <c r="AD424" s="522" t="s">
        <v>2793</v>
      </c>
    </row>
    <row r="425" spans="3:30">
      <c r="C425" s="523">
        <v>387</v>
      </c>
      <c r="D425" s="523">
        <v>10</v>
      </c>
      <c r="E425" s="543" t="s">
        <v>2801</v>
      </c>
      <c r="F425" s="523">
        <v>70</v>
      </c>
      <c r="G425" s="523"/>
      <c r="H425" s="523">
        <v>66</v>
      </c>
      <c r="I425" s="523">
        <v>0</v>
      </c>
      <c r="J425" s="523">
        <v>0</v>
      </c>
      <c r="K425" s="523"/>
      <c r="L425" s="797">
        <f>[1]!tsabetm(C425)</f>
        <v>42.583333333333336</v>
      </c>
      <c r="M425" s="797">
        <f>[1]!tsabetz(C425)</f>
        <v>67.316666666666663</v>
      </c>
      <c r="N425" s="797">
        <f t="shared" si="41"/>
        <v>70.229110512129395</v>
      </c>
      <c r="O425" s="797">
        <f t="shared" si="37"/>
        <v>1445.0028169014086</v>
      </c>
      <c r="P425" s="797">
        <f t="shared" si="38"/>
        <v>5.5999886480651639</v>
      </c>
      <c r="Q425" s="797">
        <f t="shared" si="39"/>
        <v>70</v>
      </c>
      <c r="R425" s="797">
        <f t="shared" si="40"/>
        <v>70.093333144134419</v>
      </c>
      <c r="S425" s="797">
        <f>[1]!taqsabet(O425,C425)</f>
        <v>70.091735522455792</v>
      </c>
      <c r="T425" s="523"/>
      <c r="U425" s="523">
        <v>2</v>
      </c>
      <c r="V425" s="523">
        <v>7</v>
      </c>
      <c r="W425" s="523">
        <v>19</v>
      </c>
      <c r="X425" s="523"/>
      <c r="Y425" s="523">
        <v>12</v>
      </c>
      <c r="Z425" s="523">
        <v>35</v>
      </c>
      <c r="AA425" s="523" t="s">
        <v>274</v>
      </c>
      <c r="AB425" s="523">
        <v>4</v>
      </c>
      <c r="AC425" s="523">
        <v>4</v>
      </c>
      <c r="AD425" s="523" t="s">
        <v>2793</v>
      </c>
    </row>
    <row r="426" spans="3:30">
      <c r="C426" s="522">
        <v>388</v>
      </c>
      <c r="D426" s="522">
        <v>11</v>
      </c>
      <c r="E426" s="550" t="s">
        <v>2802</v>
      </c>
      <c r="F426" s="522">
        <v>70</v>
      </c>
      <c r="G426" s="522"/>
      <c r="H426" s="522">
        <v>66</v>
      </c>
      <c r="I426" s="522">
        <v>0</v>
      </c>
      <c r="J426" s="522">
        <v>0</v>
      </c>
      <c r="K426" s="522"/>
      <c r="L426" s="797">
        <f>[1]!tsabetm(C426)</f>
        <v>38.583333333333336</v>
      </c>
      <c r="M426" s="797">
        <f>[1]!tsabetz(C426)</f>
        <v>65.016666666666666</v>
      </c>
      <c r="N426" s="797">
        <f t="shared" si="41"/>
        <v>65.712484237074406</v>
      </c>
      <c r="O426" s="797">
        <f t="shared" si="37"/>
        <v>1445.0028169014086</v>
      </c>
      <c r="P426" s="797">
        <f t="shared" si="38"/>
        <v>59.050931264037843</v>
      </c>
      <c r="Q426" s="797">
        <f t="shared" si="39"/>
        <v>67</v>
      </c>
      <c r="R426" s="797">
        <f t="shared" si="40"/>
        <v>67.984182187733964</v>
      </c>
      <c r="S426" s="797">
        <f>[1]!taqsabet(O426,C426)</f>
        <v>67.982474756479036</v>
      </c>
      <c r="T426" s="522"/>
      <c r="U426" s="522">
        <v>2</v>
      </c>
      <c r="V426" s="522">
        <v>5</v>
      </c>
      <c r="W426" s="522">
        <v>1</v>
      </c>
      <c r="X426" s="522"/>
      <c r="Y426" s="522">
        <v>6</v>
      </c>
      <c r="Z426" s="522">
        <v>9</v>
      </c>
      <c r="AA426" s="522" t="s">
        <v>274</v>
      </c>
      <c r="AB426" s="522">
        <v>3</v>
      </c>
      <c r="AC426" s="522">
        <v>3</v>
      </c>
      <c r="AD426" s="522" t="s">
        <v>322</v>
      </c>
    </row>
    <row r="427" spans="3:30">
      <c r="C427" s="523">
        <v>389</v>
      </c>
      <c r="D427" s="523">
        <v>12</v>
      </c>
      <c r="E427" s="543" t="s">
        <v>2803</v>
      </c>
      <c r="F427" s="523">
        <v>70</v>
      </c>
      <c r="G427" s="523"/>
      <c r="H427" s="523">
        <v>66</v>
      </c>
      <c r="I427" s="523">
        <v>0</v>
      </c>
      <c r="J427" s="523">
        <v>0</v>
      </c>
      <c r="K427" s="523"/>
      <c r="L427" s="797">
        <f>[1]!tsabetm(C427)</f>
        <v>39.916666666666664</v>
      </c>
      <c r="M427" s="797">
        <f>[1]!tsabetz(C427)</f>
        <v>65.816666666666663</v>
      </c>
      <c r="N427" s="797">
        <f t="shared" si="41"/>
        <v>67.065637065637063</v>
      </c>
      <c r="O427" s="797">
        <f t="shared" si="37"/>
        <v>1445.0028169014086</v>
      </c>
      <c r="P427" s="797">
        <f t="shared" si="38"/>
        <v>43.458478678634833</v>
      </c>
      <c r="Q427" s="797">
        <f t="shared" si="39"/>
        <v>68</v>
      </c>
      <c r="R427" s="797">
        <f t="shared" si="40"/>
        <v>68.724307977977247</v>
      </c>
      <c r="S427" s="797">
        <f>[1]!taqsabet(O427,C427)</f>
        <v>68.722634996785473</v>
      </c>
      <c r="T427" s="523"/>
      <c r="U427" s="523">
        <v>2</v>
      </c>
      <c r="V427" s="523">
        <v>5</v>
      </c>
      <c r="W427" s="523">
        <v>49</v>
      </c>
      <c r="X427" s="523"/>
      <c r="Y427" s="523">
        <v>4</v>
      </c>
      <c r="Z427" s="523">
        <v>9</v>
      </c>
      <c r="AA427" s="523" t="s">
        <v>274</v>
      </c>
      <c r="AB427" s="523">
        <v>3</v>
      </c>
      <c r="AC427" s="523">
        <v>3</v>
      </c>
      <c r="AD427" s="523" t="s">
        <v>322</v>
      </c>
    </row>
    <row r="428" spans="3:30">
      <c r="C428" s="522">
        <v>390</v>
      </c>
      <c r="D428" s="522">
        <v>13</v>
      </c>
      <c r="E428" s="550" t="s">
        <v>2804</v>
      </c>
      <c r="F428" s="522">
        <v>70</v>
      </c>
      <c r="G428" s="522"/>
      <c r="H428" s="522">
        <v>66</v>
      </c>
      <c r="I428" s="522">
        <v>0</v>
      </c>
      <c r="J428" s="522">
        <v>0</v>
      </c>
      <c r="K428" s="522"/>
      <c r="L428" s="797">
        <f>[1]!tsabetm(C428)</f>
        <v>40.416666666666664</v>
      </c>
      <c r="M428" s="797">
        <f>[1]!tsabetz(C428)</f>
        <v>67.166666666666671</v>
      </c>
      <c r="N428" s="797">
        <f t="shared" si="41"/>
        <v>64.934579439252317</v>
      </c>
      <c r="O428" s="797">
        <f t="shared" si="37"/>
        <v>1445.0028169014086</v>
      </c>
      <c r="P428" s="797">
        <f t="shared" si="38"/>
        <v>10.183949986621599</v>
      </c>
      <c r="Q428" s="797">
        <f t="shared" si="39"/>
        <v>70</v>
      </c>
      <c r="R428" s="797">
        <f t="shared" si="40"/>
        <v>70.169732499777027</v>
      </c>
      <c r="S428" s="797">
        <f>[1]!taqsabet(O428,C428)</f>
        <v>70.168004613797095</v>
      </c>
      <c r="T428" s="522"/>
      <c r="U428" s="522">
        <v>2</v>
      </c>
      <c r="V428" s="522">
        <v>7</v>
      </c>
      <c r="W428" s="522">
        <v>10</v>
      </c>
      <c r="X428" s="522"/>
      <c r="Y428" s="522">
        <v>6</v>
      </c>
      <c r="Z428" s="522">
        <v>15</v>
      </c>
      <c r="AA428" s="522" t="s">
        <v>274</v>
      </c>
      <c r="AB428" s="522">
        <v>3</v>
      </c>
      <c r="AC428" s="522">
        <v>3</v>
      </c>
      <c r="AD428" s="522" t="s">
        <v>322</v>
      </c>
    </row>
    <row r="429" spans="3:30">
      <c r="C429" s="523">
        <v>391</v>
      </c>
      <c r="D429" s="523">
        <v>14</v>
      </c>
      <c r="E429" s="543" t="s">
        <v>2805</v>
      </c>
      <c r="F429" s="523">
        <v>70</v>
      </c>
      <c r="G429" s="523"/>
      <c r="H429" s="523">
        <v>67</v>
      </c>
      <c r="I429" s="523">
        <v>4</v>
      </c>
      <c r="J429" s="523">
        <v>21</v>
      </c>
      <c r="K429" s="523" t="s">
        <v>2806</v>
      </c>
      <c r="L429" s="797">
        <f>[1]!tsabetm(C429)</f>
        <v>42.25</v>
      </c>
      <c r="M429" s="797">
        <f>[1]!tsabetz(C429)</f>
        <v>68.61666666666666</v>
      </c>
      <c r="N429" s="797">
        <f t="shared" si="41"/>
        <v>65.8786346396966</v>
      </c>
      <c r="O429" s="797">
        <f t="shared" si="37"/>
        <v>1445.0028169014086</v>
      </c>
      <c r="P429" s="797">
        <f t="shared" si="38"/>
        <v>34.60187469086236</v>
      </c>
      <c r="Q429" s="797">
        <f t="shared" si="39"/>
        <v>71</v>
      </c>
      <c r="R429" s="797">
        <f t="shared" si="40"/>
        <v>71.576697911514373</v>
      </c>
      <c r="S429" s="797">
        <f>[1]!taqsabet(O429,C429)</f>
        <v>71.574994786517337</v>
      </c>
      <c r="T429" s="523"/>
      <c r="U429" s="523">
        <v>2</v>
      </c>
      <c r="V429" s="523">
        <v>8</v>
      </c>
      <c r="W429" s="523">
        <v>37</v>
      </c>
      <c r="X429" s="523"/>
      <c r="Y429" s="523">
        <v>5</v>
      </c>
      <c r="Z429" s="523">
        <v>15</v>
      </c>
      <c r="AA429" s="523" t="s">
        <v>274</v>
      </c>
      <c r="AB429" s="523">
        <v>1</v>
      </c>
      <c r="AC429" s="523">
        <v>1</v>
      </c>
      <c r="AD429" s="523" t="s">
        <v>322</v>
      </c>
    </row>
    <row r="430" spans="3:30">
      <c r="C430" s="522">
        <v>392</v>
      </c>
      <c r="D430" s="522">
        <v>15</v>
      </c>
      <c r="E430" s="550" t="s">
        <v>2807</v>
      </c>
      <c r="F430" s="522">
        <v>70</v>
      </c>
      <c r="G430" s="522"/>
      <c r="H430" s="522">
        <v>66</v>
      </c>
      <c r="I430" s="522">
        <v>0</v>
      </c>
      <c r="J430" s="522">
        <v>0</v>
      </c>
      <c r="K430" s="522"/>
      <c r="L430" s="797">
        <f>[1]!tsabetm(C430)</f>
        <v>41.416666666666664</v>
      </c>
      <c r="M430" s="797">
        <f>[1]!tsabetz(C430)</f>
        <v>67.266666666666666</v>
      </c>
      <c r="N430" s="797">
        <f t="shared" si="41"/>
        <v>67.195357833655706</v>
      </c>
      <c r="O430" s="797">
        <f t="shared" si="37"/>
        <v>1445.0028169014086</v>
      </c>
      <c r="P430" s="797">
        <f t="shared" si="38"/>
        <v>10.121686248753008</v>
      </c>
      <c r="Q430" s="797">
        <f t="shared" si="39"/>
        <v>70</v>
      </c>
      <c r="R430" s="797">
        <f t="shared" si="40"/>
        <v>70.16869477081255</v>
      </c>
      <c r="S430" s="797">
        <f>[1]!taqsabet(O430,C430)</f>
        <v>70.167025019314195</v>
      </c>
      <c r="T430" s="522"/>
      <c r="U430" s="522">
        <v>2</v>
      </c>
      <c r="V430" s="522">
        <v>7</v>
      </c>
      <c r="W430" s="522">
        <v>16</v>
      </c>
      <c r="X430" s="522"/>
      <c r="Y430" s="522">
        <v>2</v>
      </c>
      <c r="Z430" s="522">
        <v>54</v>
      </c>
      <c r="AA430" s="522" t="s">
        <v>274</v>
      </c>
      <c r="AB430" s="522">
        <v>3</v>
      </c>
      <c r="AC430" s="522">
        <v>3</v>
      </c>
      <c r="AD430" s="522" t="s">
        <v>322</v>
      </c>
    </row>
    <row r="431" spans="3:30">
      <c r="C431" s="523">
        <v>393</v>
      </c>
      <c r="D431" s="523">
        <v>16</v>
      </c>
      <c r="E431" s="543" t="s">
        <v>2808</v>
      </c>
      <c r="F431" s="523">
        <v>70</v>
      </c>
      <c r="G431" s="523"/>
      <c r="H431" s="523">
        <v>66</v>
      </c>
      <c r="I431" s="523">
        <v>0</v>
      </c>
      <c r="J431" s="523">
        <v>0</v>
      </c>
      <c r="K431" s="523"/>
      <c r="L431" s="797">
        <f>[1]!tsabetm(C431)</f>
        <v>46.75</v>
      </c>
      <c r="M431" s="797">
        <f>[1]!tsabetz(C431)</f>
        <v>72.516666666666666</v>
      </c>
      <c r="N431" s="797">
        <f t="shared" si="41"/>
        <v>67.412677878395868</v>
      </c>
      <c r="O431" s="797">
        <f t="shared" si="37"/>
        <v>1445.0028169014086</v>
      </c>
      <c r="P431" s="797">
        <f t="shared" si="38"/>
        <v>24.560365532283868</v>
      </c>
      <c r="Q431" s="797">
        <f t="shared" si="39"/>
        <v>75</v>
      </c>
      <c r="R431" s="797">
        <f t="shared" si="40"/>
        <v>75.409339425538064</v>
      </c>
      <c r="S431" s="797">
        <f>[1]!taqsabet(O431,C431)</f>
        <v>75.407675056862075</v>
      </c>
      <c r="T431" s="523"/>
      <c r="U431" s="523">
        <v>2</v>
      </c>
      <c r="V431" s="523">
        <v>12</v>
      </c>
      <c r="W431" s="523">
        <v>31</v>
      </c>
      <c r="X431" s="523"/>
      <c r="Y431" s="523">
        <v>4</v>
      </c>
      <c r="Z431" s="523">
        <v>27</v>
      </c>
      <c r="AA431" s="523" t="s">
        <v>274</v>
      </c>
      <c r="AB431" s="523">
        <v>5</v>
      </c>
      <c r="AC431" s="523">
        <v>4</v>
      </c>
      <c r="AD431" s="523" t="s">
        <v>322</v>
      </c>
    </row>
    <row r="432" spans="3:30">
      <c r="C432" s="522">
        <v>394</v>
      </c>
      <c r="D432" s="522">
        <v>17</v>
      </c>
      <c r="E432" s="550" t="s">
        <v>2809</v>
      </c>
      <c r="F432" s="522">
        <v>70</v>
      </c>
      <c r="G432" s="522"/>
      <c r="H432" s="522">
        <v>66</v>
      </c>
      <c r="I432" s="522">
        <v>0</v>
      </c>
      <c r="J432" s="522">
        <v>0</v>
      </c>
      <c r="K432" s="522"/>
      <c r="L432" s="797">
        <f>[1]!tsabetm(C432)</f>
        <v>49.916666666666664</v>
      </c>
      <c r="M432" s="797">
        <f>[1]!tsabetz(C432)</f>
        <v>75.36666666666666</v>
      </c>
      <c r="N432" s="797">
        <f t="shared" si="41"/>
        <v>68.251473477406691</v>
      </c>
      <c r="O432" s="797">
        <f t="shared" si="37"/>
        <v>1445.0028169014086</v>
      </c>
      <c r="P432" s="797">
        <f t="shared" si="38"/>
        <v>13.427346809700964</v>
      </c>
      <c r="Q432" s="797">
        <f t="shared" si="39"/>
        <v>78</v>
      </c>
      <c r="R432" s="797">
        <f t="shared" si="40"/>
        <v>78.223789113495016</v>
      </c>
      <c r="S432" s="797">
        <f>[1]!taqsabet(O432,C432)</f>
        <v>78.222145199544016</v>
      </c>
      <c r="T432" s="522"/>
      <c r="U432" s="522">
        <v>2</v>
      </c>
      <c r="V432" s="522">
        <v>15</v>
      </c>
      <c r="W432" s="522">
        <v>22</v>
      </c>
      <c r="X432" s="522"/>
      <c r="Y432" s="522">
        <v>4</v>
      </c>
      <c r="Z432" s="522">
        <v>30</v>
      </c>
      <c r="AA432" s="522" t="s">
        <v>274</v>
      </c>
      <c r="AB432" s="522">
        <v>5</v>
      </c>
      <c r="AC432" s="522">
        <v>5</v>
      </c>
      <c r="AD432" s="522" t="s">
        <v>322</v>
      </c>
    </row>
    <row r="433" spans="2:31">
      <c r="C433" s="523">
        <v>395</v>
      </c>
      <c r="D433" s="523">
        <v>18</v>
      </c>
      <c r="E433" s="543" t="s">
        <v>2582</v>
      </c>
      <c r="F433" s="523">
        <v>70</v>
      </c>
      <c r="G433" s="523"/>
      <c r="H433" s="523">
        <v>66</v>
      </c>
      <c r="I433" s="523">
        <v>0</v>
      </c>
      <c r="J433" s="523">
        <v>0</v>
      </c>
      <c r="K433" s="523"/>
      <c r="L433" s="797">
        <f>[1]!tsabetm(C433)</f>
        <v>49.583333333333336</v>
      </c>
      <c r="M433" s="797">
        <f>[1]!tsabetz(C433)</f>
        <v>75.516666666666666</v>
      </c>
      <c r="N433" s="797">
        <f t="shared" si="41"/>
        <v>66.979434447300775</v>
      </c>
      <c r="O433" s="797">
        <f t="shared" si="37"/>
        <v>1445.0028169014086</v>
      </c>
      <c r="P433" s="797">
        <f t="shared" si="38"/>
        <v>25.683006965222148</v>
      </c>
      <c r="Q433" s="797">
        <f t="shared" si="39"/>
        <v>78</v>
      </c>
      <c r="R433" s="797">
        <f t="shared" si="40"/>
        <v>78.428050116087036</v>
      </c>
      <c r="S433" s="797">
        <f>[1]!taqsabet(O433,C433)</f>
        <v>78.426374981766315</v>
      </c>
      <c r="T433" s="523"/>
      <c r="U433" s="523">
        <v>2</v>
      </c>
      <c r="V433" s="523">
        <v>15</v>
      </c>
      <c r="W433" s="523">
        <v>31</v>
      </c>
      <c r="X433" s="523"/>
      <c r="Y433" s="523">
        <v>3</v>
      </c>
      <c r="Z433" s="523">
        <v>0</v>
      </c>
      <c r="AA433" s="523" t="s">
        <v>274</v>
      </c>
      <c r="AB433" s="523">
        <v>5</v>
      </c>
      <c r="AC433" s="523">
        <v>5</v>
      </c>
      <c r="AD433" s="523" t="s">
        <v>322</v>
      </c>
    </row>
    <row r="434" spans="2:31">
      <c r="C434" s="522">
        <v>396</v>
      </c>
      <c r="D434" s="522">
        <v>19</v>
      </c>
      <c r="E434" s="550" t="s">
        <v>2810</v>
      </c>
      <c r="F434" s="522">
        <v>70</v>
      </c>
      <c r="G434" s="522"/>
      <c r="H434" s="522">
        <v>66</v>
      </c>
      <c r="I434" s="522">
        <v>0</v>
      </c>
      <c r="J434" s="522">
        <v>0</v>
      </c>
      <c r="K434" s="522"/>
      <c r="L434" s="797">
        <f>[1]!tsabetm(C434)</f>
        <v>57.249999999999993</v>
      </c>
      <c r="M434" s="797">
        <f>[1]!tsabetz(C434)</f>
        <v>83.11666666666666</v>
      </c>
      <c r="N434" s="797">
        <f t="shared" si="41"/>
        <v>67.152061855670098</v>
      </c>
      <c r="O434" s="797">
        <f t="shared" si="37"/>
        <v>1445.0028169014086</v>
      </c>
      <c r="P434" s="797">
        <f t="shared" si="38"/>
        <v>1.2339503920466655</v>
      </c>
      <c r="Q434" s="797">
        <f t="shared" si="39"/>
        <v>86</v>
      </c>
      <c r="R434" s="797">
        <f t="shared" si="40"/>
        <v>86.020565839867444</v>
      </c>
      <c r="S434" s="797">
        <f>[1]!taqsabet(O434,C434)</f>
        <v>86.018895011804617</v>
      </c>
      <c r="T434" s="522"/>
      <c r="U434" s="522">
        <v>2</v>
      </c>
      <c r="V434" s="522">
        <v>23</v>
      </c>
      <c r="W434" s="522">
        <v>7</v>
      </c>
      <c r="X434" s="522"/>
      <c r="Y434" s="522">
        <v>2</v>
      </c>
      <c r="Z434" s="522">
        <v>42</v>
      </c>
      <c r="AA434" s="522" t="s">
        <v>274</v>
      </c>
      <c r="AB434" s="522">
        <v>3</v>
      </c>
      <c r="AC434" s="522">
        <v>3</v>
      </c>
      <c r="AD434" s="522" t="s">
        <v>322</v>
      </c>
    </row>
    <row r="435" spans="2:31">
      <c r="C435" s="523">
        <v>397</v>
      </c>
      <c r="D435" s="523">
        <v>20</v>
      </c>
      <c r="E435" s="543" t="s">
        <v>2811</v>
      </c>
      <c r="F435" s="523">
        <v>70</v>
      </c>
      <c r="G435" s="523"/>
      <c r="H435" s="523">
        <v>66</v>
      </c>
      <c r="I435" s="523">
        <v>0</v>
      </c>
      <c r="J435" s="523">
        <v>0</v>
      </c>
      <c r="K435" s="523"/>
      <c r="L435" s="797">
        <f>[1]!tsabetm(C435)</f>
        <v>45.25</v>
      </c>
      <c r="M435" s="797">
        <f>[1]!tsabetz(C435)</f>
        <v>70.666666666666671</v>
      </c>
      <c r="N435" s="797">
        <f t="shared" si="41"/>
        <v>68.340983606557359</v>
      </c>
      <c r="O435" s="797">
        <f t="shared" si="37"/>
        <v>1445.0028169014086</v>
      </c>
      <c r="P435" s="797">
        <f t="shared" si="38"/>
        <v>31.202818523113649</v>
      </c>
      <c r="Q435" s="797">
        <f t="shared" si="39"/>
        <v>73</v>
      </c>
      <c r="R435" s="797">
        <f t="shared" si="40"/>
        <v>73.520046975385227</v>
      </c>
      <c r="S435" s="797">
        <f>[1]!taqsabet(O435,C435)</f>
        <v>73.518405214563188</v>
      </c>
      <c r="T435" s="523"/>
      <c r="U435" s="523">
        <v>2</v>
      </c>
      <c r="V435" s="523">
        <v>10</v>
      </c>
      <c r="W435" s="523">
        <v>40</v>
      </c>
      <c r="X435" s="523"/>
      <c r="Y435" s="523">
        <v>0</v>
      </c>
      <c r="Z435" s="523">
        <v>30</v>
      </c>
      <c r="AA435" s="523" t="s">
        <v>274</v>
      </c>
      <c r="AB435" s="523">
        <v>4</v>
      </c>
      <c r="AC435" s="523">
        <v>4</v>
      </c>
      <c r="AD435" s="523" t="s">
        <v>322</v>
      </c>
    </row>
    <row r="436" spans="2:31">
      <c r="C436" s="522">
        <v>398</v>
      </c>
      <c r="D436" s="522">
        <v>21</v>
      </c>
      <c r="E436" s="550" t="s">
        <v>2812</v>
      </c>
      <c r="F436" s="522">
        <v>70</v>
      </c>
      <c r="G436" s="522"/>
      <c r="H436" s="522">
        <v>66</v>
      </c>
      <c r="I436" s="522">
        <v>0</v>
      </c>
      <c r="J436" s="522">
        <v>0</v>
      </c>
      <c r="K436" s="522"/>
      <c r="L436" s="797">
        <f>[1]!tsabetm(C436)</f>
        <v>41.583333333333336</v>
      </c>
      <c r="M436" s="797">
        <f>[1]!tsabetz(C436)</f>
        <v>66.916666666666671</v>
      </c>
      <c r="N436" s="797">
        <f t="shared" si="41"/>
        <v>68.565789473684205</v>
      </c>
      <c r="O436" s="797">
        <f t="shared" si="37"/>
        <v>1445.0028169014086</v>
      </c>
      <c r="P436" s="797">
        <f t="shared" si="38"/>
        <v>45.641497806644509</v>
      </c>
      <c r="Q436" s="797">
        <f t="shared" si="39"/>
        <v>69</v>
      </c>
      <c r="R436" s="797">
        <f t="shared" si="40"/>
        <v>69.760691630110742</v>
      </c>
      <c r="S436" s="797">
        <f>[1]!taqsabet(O436,C436)</f>
        <v>69.759055252111068</v>
      </c>
      <c r="T436" s="522"/>
      <c r="U436" s="522">
        <v>2</v>
      </c>
      <c r="V436" s="522">
        <v>6</v>
      </c>
      <c r="W436" s="522">
        <v>55</v>
      </c>
      <c r="X436" s="522"/>
      <c r="Y436" s="522">
        <v>1</v>
      </c>
      <c r="Z436" s="522">
        <v>0</v>
      </c>
      <c r="AA436" s="522" t="s">
        <v>179</v>
      </c>
      <c r="AB436" s="522">
        <v>4</v>
      </c>
      <c r="AC436" s="522">
        <v>5</v>
      </c>
      <c r="AD436" s="522" t="s">
        <v>322</v>
      </c>
    </row>
    <row r="437" spans="2:31">
      <c r="C437" s="523">
        <v>399</v>
      </c>
      <c r="D437" s="523">
        <v>22</v>
      </c>
      <c r="E437" s="543" t="s">
        <v>2718</v>
      </c>
      <c r="F437" s="523">
        <v>70</v>
      </c>
      <c r="G437" s="523"/>
      <c r="H437" s="523">
        <v>66</v>
      </c>
      <c r="I437" s="523">
        <v>0</v>
      </c>
      <c r="J437" s="523">
        <v>0</v>
      </c>
      <c r="K437" s="523"/>
      <c r="L437" s="797">
        <f>[1]!tsabetm(C437)</f>
        <v>41.25</v>
      </c>
      <c r="M437" s="797">
        <f>[1]!tsabetz(C437)</f>
        <v>66.516666666666666</v>
      </c>
      <c r="N437" s="797">
        <f t="shared" si="41"/>
        <v>68.746701846965706</v>
      </c>
      <c r="O437" s="797">
        <f t="shared" si="37"/>
        <v>1445.0028169014086</v>
      </c>
      <c r="P437" s="797">
        <f t="shared" si="38"/>
        <v>21.192441233469026</v>
      </c>
      <c r="Q437" s="797">
        <f t="shared" si="39"/>
        <v>69</v>
      </c>
      <c r="R437" s="797">
        <f t="shared" si="40"/>
        <v>69.35320735389115</v>
      </c>
      <c r="S437" s="797">
        <f>[1]!taqsabet(O437,C437)</f>
        <v>69.351575282149355</v>
      </c>
      <c r="T437" s="523"/>
      <c r="U437" s="523">
        <v>2</v>
      </c>
      <c r="V437" s="523">
        <v>6</v>
      </c>
      <c r="W437" s="523">
        <v>31</v>
      </c>
      <c r="X437" s="523"/>
      <c r="Y437" s="523">
        <v>0</v>
      </c>
      <c r="Z437" s="523">
        <v>9</v>
      </c>
      <c r="AA437" s="523" t="s">
        <v>179</v>
      </c>
      <c r="AB437" s="523">
        <v>4</v>
      </c>
      <c r="AC437" s="523">
        <v>5</v>
      </c>
      <c r="AD437" s="523" t="s">
        <v>322</v>
      </c>
    </row>
    <row r="438" spans="2:31">
      <c r="C438" s="522">
        <v>400</v>
      </c>
      <c r="D438" s="522">
        <v>23</v>
      </c>
      <c r="E438" s="550" t="s">
        <v>2813</v>
      </c>
      <c r="F438" s="522">
        <v>70</v>
      </c>
      <c r="G438" s="522"/>
      <c r="H438" s="522">
        <v>66</v>
      </c>
      <c r="I438" s="522">
        <v>0</v>
      </c>
      <c r="J438" s="522">
        <v>0</v>
      </c>
      <c r="K438" s="522"/>
      <c r="L438" s="797">
        <f>[1]!tsabetm(C438)</f>
        <v>36.583333333333336</v>
      </c>
      <c r="M438" s="797">
        <f>[1]!tsabetz(C438)</f>
        <v>62.166666666666664</v>
      </c>
      <c r="N438" s="797">
        <f t="shared" si="41"/>
        <v>67.895765472312718</v>
      </c>
      <c r="O438" s="797">
        <f t="shared" si="37"/>
        <v>1445.0028169014086</v>
      </c>
      <c r="P438" s="797">
        <f t="shared" si="38"/>
        <v>2.3254599560519296</v>
      </c>
      <c r="Q438" s="797">
        <f t="shared" si="39"/>
        <v>65</v>
      </c>
      <c r="R438" s="797">
        <f t="shared" si="40"/>
        <v>65.038757665934199</v>
      </c>
      <c r="S438" s="797">
        <f>[1]!taqsabet(O438,C438)</f>
        <v>65.037105139467414</v>
      </c>
      <c r="T438" s="522"/>
      <c r="U438" s="522">
        <v>2</v>
      </c>
      <c r="V438" s="522">
        <v>2</v>
      </c>
      <c r="W438" s="522">
        <v>10</v>
      </c>
      <c r="X438" s="522"/>
      <c r="Y438" s="522">
        <v>0</v>
      </c>
      <c r="Z438" s="522">
        <v>39</v>
      </c>
      <c r="AA438" s="522" t="s">
        <v>179</v>
      </c>
      <c r="AB438" s="522">
        <v>6</v>
      </c>
      <c r="AC438" s="522">
        <v>6</v>
      </c>
      <c r="AD438" s="522" t="s">
        <v>322</v>
      </c>
    </row>
    <row r="439" spans="2:31">
      <c r="C439" s="523">
        <v>401</v>
      </c>
      <c r="D439" s="523">
        <v>24</v>
      </c>
      <c r="E439" s="543" t="s">
        <v>2465</v>
      </c>
      <c r="F439" s="523">
        <v>70</v>
      </c>
      <c r="G439" s="523"/>
      <c r="H439" s="523">
        <v>66</v>
      </c>
      <c r="I439" s="523">
        <v>0</v>
      </c>
      <c r="J439" s="523">
        <v>0</v>
      </c>
      <c r="K439" s="523"/>
      <c r="L439" s="797">
        <f>[1]!tsabetm(C439)</f>
        <v>38.583333333333336</v>
      </c>
      <c r="M439" s="797">
        <f>[1]!tsabetz(C439)</f>
        <v>65.166666666666671</v>
      </c>
      <c r="N439" s="797">
        <f t="shared" si="41"/>
        <v>65.341692789968647</v>
      </c>
      <c r="O439" s="797">
        <f t="shared" si="37"/>
        <v>1445.0028169014086</v>
      </c>
      <c r="P439" s="797">
        <f t="shared" si="38"/>
        <v>9.0613085536824656</v>
      </c>
      <c r="Q439" s="797">
        <f t="shared" si="39"/>
        <v>68</v>
      </c>
      <c r="R439" s="797">
        <f t="shared" si="40"/>
        <v>68.151021809228041</v>
      </c>
      <c r="S439" s="797">
        <f>[1]!taqsabet(O439,C439)</f>
        <v>68.149304688892855</v>
      </c>
      <c r="T439" s="523"/>
      <c r="U439" s="523">
        <v>2</v>
      </c>
      <c r="V439" s="523">
        <v>5</v>
      </c>
      <c r="W439" s="523">
        <v>10</v>
      </c>
      <c r="X439" s="523"/>
      <c r="Y439" s="523">
        <v>1</v>
      </c>
      <c r="Z439" s="523">
        <v>0</v>
      </c>
      <c r="AA439" s="523" t="s">
        <v>179</v>
      </c>
      <c r="AB439" s="523">
        <v>5</v>
      </c>
      <c r="AC439" s="523">
        <v>5</v>
      </c>
      <c r="AD439" s="523" t="s">
        <v>322</v>
      </c>
    </row>
    <row r="440" spans="2:31">
      <c r="C440" s="522">
        <v>402</v>
      </c>
      <c r="D440" s="522">
        <v>25</v>
      </c>
      <c r="E440" s="550" t="s">
        <v>2814</v>
      </c>
      <c r="F440" s="522">
        <v>70</v>
      </c>
      <c r="G440" s="522"/>
      <c r="H440" s="522">
        <v>66</v>
      </c>
      <c r="I440" s="522">
        <v>0</v>
      </c>
      <c r="J440" s="522">
        <v>0</v>
      </c>
      <c r="K440" s="522"/>
      <c r="L440" s="797">
        <f>[1]!tsabetm(C440)</f>
        <v>37.583333333333336</v>
      </c>
      <c r="M440" s="797">
        <f>[1]!tsabetz(C440)</f>
        <v>63.81666666666667</v>
      </c>
      <c r="N440" s="797">
        <f t="shared" si="41"/>
        <v>66.213468869123247</v>
      </c>
      <c r="O440" s="797">
        <f t="shared" si="37"/>
        <v>1445.0028169014086</v>
      </c>
      <c r="P440" s="797">
        <f t="shared" si="38"/>
        <v>45.703761544512247</v>
      </c>
      <c r="Q440" s="797">
        <f t="shared" si="39"/>
        <v>66</v>
      </c>
      <c r="R440" s="797">
        <f t="shared" si="40"/>
        <v>66.761729359075204</v>
      </c>
      <c r="S440" s="797">
        <f>[1]!taqsabet(O440,C440)</f>
        <v>66.760034846593953</v>
      </c>
      <c r="T440" s="522"/>
      <c r="U440" s="522">
        <v>2</v>
      </c>
      <c r="V440" s="522">
        <v>3</v>
      </c>
      <c r="W440" s="522">
        <v>49</v>
      </c>
      <c r="X440" s="522"/>
      <c r="Y440" s="522">
        <v>4</v>
      </c>
      <c r="Z440" s="522">
        <v>48</v>
      </c>
      <c r="AA440" s="522" t="s">
        <v>274</v>
      </c>
      <c r="AB440" s="522">
        <v>5</v>
      </c>
      <c r="AC440" s="522">
        <v>5</v>
      </c>
      <c r="AD440" s="522" t="s">
        <v>2815</v>
      </c>
      <c r="AE440" s="327">
        <v>588</v>
      </c>
    </row>
    <row r="441" spans="2:31">
      <c r="C441" s="523">
        <v>403</v>
      </c>
      <c r="D441" s="523">
        <v>26</v>
      </c>
      <c r="E441" s="543" t="s">
        <v>2582</v>
      </c>
      <c r="F441" s="523">
        <v>70</v>
      </c>
      <c r="G441" s="523"/>
      <c r="H441" s="523">
        <v>66</v>
      </c>
      <c r="I441" s="523">
        <v>0</v>
      </c>
      <c r="J441" s="523">
        <v>0</v>
      </c>
      <c r="K441" s="523"/>
      <c r="L441" s="797">
        <f>[1]!tsabetm(C441)</f>
        <v>38.083333333333336</v>
      </c>
      <c r="M441" s="797">
        <f>[1]!tsabetz(C441)</f>
        <v>63.416666666666664</v>
      </c>
      <c r="N441" s="797">
        <f t="shared" si="41"/>
        <v>68.56578947368422</v>
      </c>
      <c r="O441" s="797">
        <f t="shared" si="37"/>
        <v>1445.0028169014086</v>
      </c>
      <c r="P441" s="797">
        <f t="shared" si="38"/>
        <v>15.641497806643656</v>
      </c>
      <c r="Q441" s="797">
        <f t="shared" si="39"/>
        <v>66</v>
      </c>
      <c r="R441" s="797">
        <f t="shared" si="40"/>
        <v>66.260691630110728</v>
      </c>
      <c r="S441" s="797">
        <f>[1]!taqsabet(O441,C441)</f>
        <v>66.259055252111054</v>
      </c>
      <c r="T441" s="523"/>
      <c r="U441" s="523">
        <v>2</v>
      </c>
      <c r="V441" s="523">
        <v>3</v>
      </c>
      <c r="W441" s="523">
        <v>25</v>
      </c>
      <c r="X441" s="523"/>
      <c r="Y441" s="523">
        <v>6</v>
      </c>
      <c r="Z441" s="523">
        <v>18</v>
      </c>
      <c r="AA441" s="523" t="s">
        <v>179</v>
      </c>
      <c r="AB441" s="523">
        <v>5</v>
      </c>
      <c r="AC441" s="523">
        <v>5</v>
      </c>
      <c r="AD441" s="523" t="s">
        <v>322</v>
      </c>
    </row>
    <row r="442" spans="2:31">
      <c r="C442" s="522">
        <v>404</v>
      </c>
      <c r="D442" s="522">
        <v>27</v>
      </c>
      <c r="E442" s="550" t="s">
        <v>2816</v>
      </c>
      <c r="F442" s="522">
        <v>70</v>
      </c>
      <c r="G442" s="522"/>
      <c r="H442" s="522">
        <v>66</v>
      </c>
      <c r="I442" s="522">
        <v>0</v>
      </c>
      <c r="J442" s="522">
        <v>0</v>
      </c>
      <c r="K442" s="522"/>
      <c r="L442" s="797">
        <f>[1]!tsabetm(C442)</f>
        <v>41.583333333333336</v>
      </c>
      <c r="M442" s="797">
        <f>[1]!tsabetz(C442)</f>
        <v>66.816666666666663</v>
      </c>
      <c r="N442" s="797">
        <f t="shared" si="41"/>
        <v>68.837516512549556</v>
      </c>
      <c r="O442" s="797">
        <f t="shared" si="37"/>
        <v>1445.0028169014086</v>
      </c>
      <c r="P442" s="797">
        <f t="shared" si="38"/>
        <v>38.967912946880858</v>
      </c>
      <c r="Q442" s="797">
        <f t="shared" si="39"/>
        <v>69</v>
      </c>
      <c r="R442" s="797">
        <f t="shared" si="40"/>
        <v>69.649465215781348</v>
      </c>
      <c r="S442" s="797">
        <f>[1]!taqsabet(O442,C442)</f>
        <v>69.647835297168513</v>
      </c>
      <c r="T442" s="522"/>
      <c r="U442" s="522">
        <v>2</v>
      </c>
      <c r="V442" s="522">
        <v>6</v>
      </c>
      <c r="W442" s="522">
        <v>49</v>
      </c>
      <c r="X442" s="522"/>
      <c r="Y442" s="522">
        <v>3</v>
      </c>
      <c r="Z442" s="522">
        <v>33</v>
      </c>
      <c r="AA442" s="522" t="s">
        <v>179</v>
      </c>
      <c r="AB442" s="522">
        <v>5</v>
      </c>
      <c r="AC442" s="522">
        <v>5</v>
      </c>
      <c r="AD442" s="522" t="s">
        <v>322</v>
      </c>
    </row>
    <row r="443" spans="2:31">
      <c r="C443" s="523">
        <v>405</v>
      </c>
      <c r="D443" s="523">
        <v>28</v>
      </c>
      <c r="E443" s="543" t="s">
        <v>2582</v>
      </c>
      <c r="F443" s="523">
        <v>70</v>
      </c>
      <c r="G443" s="523"/>
      <c r="H443" s="523">
        <v>66</v>
      </c>
      <c r="I443" s="523">
        <v>0</v>
      </c>
      <c r="J443" s="523">
        <v>0</v>
      </c>
      <c r="K443" s="523"/>
      <c r="L443" s="797">
        <f>[1]!tsabetm(C443)</f>
        <v>41.25</v>
      </c>
      <c r="M443" s="797">
        <f>[1]!tsabetz(C443)</f>
        <v>66.516666666666666</v>
      </c>
      <c r="N443" s="797">
        <f t="shared" si="41"/>
        <v>68.746701846965706</v>
      </c>
      <c r="O443" s="797">
        <f t="shared" si="37"/>
        <v>1445.0028169014086</v>
      </c>
      <c r="P443" s="797">
        <f t="shared" si="38"/>
        <v>21.192441233469026</v>
      </c>
      <c r="Q443" s="797">
        <f t="shared" si="39"/>
        <v>69</v>
      </c>
      <c r="R443" s="797">
        <f t="shared" si="40"/>
        <v>69.35320735389115</v>
      </c>
      <c r="S443" s="797">
        <f>[1]!taqsabet(O443,C443)</f>
        <v>69.351575282149355</v>
      </c>
      <c r="T443" s="523"/>
      <c r="U443" s="523">
        <v>2</v>
      </c>
      <c r="V443" s="523">
        <v>6</v>
      </c>
      <c r="W443" s="523">
        <v>31</v>
      </c>
      <c r="X443" s="523"/>
      <c r="Y443" s="523">
        <v>5</v>
      </c>
      <c r="Z443" s="523">
        <v>36</v>
      </c>
      <c r="AA443" s="523" t="s">
        <v>179</v>
      </c>
      <c r="AB443" s="523">
        <v>5</v>
      </c>
      <c r="AC443" s="523">
        <v>5</v>
      </c>
      <c r="AD443" s="523" t="s">
        <v>322</v>
      </c>
    </row>
    <row r="444" spans="2:31">
      <c r="C444" s="522">
        <v>406</v>
      </c>
      <c r="D444" s="522">
        <v>29</v>
      </c>
      <c r="E444" s="550" t="s">
        <v>2817</v>
      </c>
      <c r="F444" s="522">
        <v>70</v>
      </c>
      <c r="G444" s="522"/>
      <c r="H444" s="522">
        <v>66</v>
      </c>
      <c r="I444" s="522">
        <v>0</v>
      </c>
      <c r="J444" s="522">
        <v>0</v>
      </c>
      <c r="K444" s="522"/>
      <c r="L444" s="797">
        <f>[1]!tsabetm(C444)</f>
        <v>31.75</v>
      </c>
      <c r="M444" s="797">
        <f>[1]!tsabetz(C444)</f>
        <v>58.116666666666667</v>
      </c>
      <c r="N444" s="797">
        <f t="shared" si="41"/>
        <v>65.878634639696585</v>
      </c>
      <c r="O444" s="797">
        <f t="shared" si="37"/>
        <v>1445.0028169014086</v>
      </c>
      <c r="P444" s="797">
        <f t="shared" si="38"/>
        <v>4.6018746908627861</v>
      </c>
      <c r="Q444" s="797">
        <f t="shared" si="39"/>
        <v>61</v>
      </c>
      <c r="R444" s="797">
        <f t="shared" si="40"/>
        <v>61.07669791151438</v>
      </c>
      <c r="S444" s="797">
        <f>[1]!taqsabet(O444,C444)</f>
        <v>61.074994786517344</v>
      </c>
      <c r="T444" s="522"/>
      <c r="U444" s="522">
        <v>1</v>
      </c>
      <c r="V444" s="522">
        <v>28</v>
      </c>
      <c r="W444" s="522">
        <v>7</v>
      </c>
      <c r="X444" s="522"/>
      <c r="Y444" s="522">
        <v>3</v>
      </c>
      <c r="Z444" s="522">
        <v>45</v>
      </c>
      <c r="AA444" s="522" t="s">
        <v>179</v>
      </c>
      <c r="AB444" s="522">
        <v>5</v>
      </c>
      <c r="AC444" s="522">
        <v>5</v>
      </c>
      <c r="AD444" s="522" t="s">
        <v>2818</v>
      </c>
    </row>
    <row r="445" spans="2:31">
      <c r="C445" s="523">
        <v>407</v>
      </c>
      <c r="D445" s="523">
        <v>30</v>
      </c>
      <c r="E445" s="543" t="s">
        <v>2819</v>
      </c>
      <c r="F445" s="523">
        <v>70</v>
      </c>
      <c r="G445" s="523"/>
      <c r="H445" s="523">
        <v>66</v>
      </c>
      <c r="I445" s="523">
        <v>0</v>
      </c>
      <c r="J445" s="523">
        <v>0</v>
      </c>
      <c r="K445" s="523"/>
      <c r="L445" s="797">
        <f>[1]!tsabetm(C445)</f>
        <v>32.083333333333336</v>
      </c>
      <c r="M445" s="797">
        <f>[1]!tsabetz(C445)</f>
        <v>58.366666666666667</v>
      </c>
      <c r="N445" s="797">
        <f t="shared" si="41"/>
        <v>66.087507926442612</v>
      </c>
      <c r="O445" s="797">
        <f t="shared" si="37"/>
        <v>1445.0028169014086</v>
      </c>
      <c r="P445" s="797">
        <f t="shared" si="38"/>
        <v>19.04055397439322</v>
      </c>
      <c r="Q445" s="797">
        <f t="shared" si="39"/>
        <v>61</v>
      </c>
      <c r="R445" s="797">
        <f t="shared" si="40"/>
        <v>61.317342566239887</v>
      </c>
      <c r="S445" s="797">
        <f>[1]!taqsabet(O445,C445)</f>
        <v>61.315644824065224</v>
      </c>
      <c r="T445" s="523"/>
      <c r="U445" s="523">
        <v>1</v>
      </c>
      <c r="V445" s="523">
        <v>28</v>
      </c>
      <c r="W445" s="523">
        <v>22</v>
      </c>
      <c r="X445" s="523"/>
      <c r="Y445" s="523">
        <v>3</v>
      </c>
      <c r="Z445" s="523">
        <v>30</v>
      </c>
      <c r="AA445" s="523" t="s">
        <v>179</v>
      </c>
      <c r="AB445" s="523">
        <v>5</v>
      </c>
      <c r="AC445" s="523">
        <v>5</v>
      </c>
      <c r="AD445" s="523" t="s">
        <v>2818</v>
      </c>
    </row>
    <row r="446" spans="2:31">
      <c r="C446" s="522">
        <v>408</v>
      </c>
      <c r="D446" s="522">
        <v>31</v>
      </c>
      <c r="E446" s="550" t="s">
        <v>2820</v>
      </c>
      <c r="F446" s="522">
        <v>70</v>
      </c>
      <c r="G446" s="522"/>
      <c r="H446" s="522">
        <v>66</v>
      </c>
      <c r="I446" s="522">
        <v>0</v>
      </c>
      <c r="J446" s="522">
        <v>0</v>
      </c>
      <c r="K446" s="522"/>
      <c r="L446" s="797">
        <f>[1]!tsabetm(C446)</f>
        <v>33.25</v>
      </c>
      <c r="M446" s="797">
        <f>[1]!tsabetz(C446)</f>
        <v>58.916666666666664</v>
      </c>
      <c r="N446" s="797">
        <f t="shared" si="41"/>
        <v>67.675324675324688</v>
      </c>
      <c r="O446" s="797">
        <f t="shared" si="37"/>
        <v>1445.0028169014086</v>
      </c>
      <c r="P446" s="797">
        <f t="shared" si="38"/>
        <v>47.88678067252107</v>
      </c>
      <c r="Q446" s="797">
        <f t="shared" si="39"/>
        <v>61</v>
      </c>
      <c r="R446" s="797">
        <f t="shared" si="40"/>
        <v>61.798113011208684</v>
      </c>
      <c r="S446" s="797">
        <f>[1]!taqsabet(O446,C446)</f>
        <v>61.796455101919534</v>
      </c>
      <c r="T446" s="522"/>
      <c r="U446" s="522">
        <v>1</v>
      </c>
      <c r="V446" s="522">
        <v>28</v>
      </c>
      <c r="W446" s="522">
        <v>55</v>
      </c>
      <c r="X446" s="522"/>
      <c r="Y446" s="522">
        <v>3</v>
      </c>
      <c r="Z446" s="522">
        <v>45</v>
      </c>
      <c r="AA446" s="522" t="s">
        <v>179</v>
      </c>
      <c r="AB446" s="522">
        <v>5</v>
      </c>
      <c r="AC446" s="522">
        <v>5</v>
      </c>
      <c r="AD446" s="522" t="s">
        <v>2818</v>
      </c>
    </row>
    <row r="447" spans="2:31">
      <c r="C447" s="523">
        <v>409</v>
      </c>
      <c r="D447" s="523">
        <v>32</v>
      </c>
      <c r="E447" s="543" t="s">
        <v>2821</v>
      </c>
      <c r="F447" s="523">
        <v>70</v>
      </c>
      <c r="G447" s="523"/>
      <c r="H447" s="523">
        <v>66</v>
      </c>
      <c r="I447" s="523">
        <v>0</v>
      </c>
      <c r="J447" s="523">
        <v>0</v>
      </c>
      <c r="K447" s="523"/>
      <c r="L447" s="797">
        <f>[1]!tsabetm(C447)</f>
        <v>33.25</v>
      </c>
      <c r="M447" s="797">
        <f>[1]!tsabetz(C447)</f>
        <v>59.06666666666667</v>
      </c>
      <c r="N447" s="797">
        <f t="shared" si="41"/>
        <v>67.282117495158161</v>
      </c>
      <c r="O447" s="797">
        <f t="shared" si="37"/>
        <v>1445.0028169014086</v>
      </c>
      <c r="P447" s="797">
        <f t="shared" si="38"/>
        <v>57.897157962166119</v>
      </c>
      <c r="Q447" s="797">
        <f t="shared" si="39"/>
        <v>61</v>
      </c>
      <c r="R447" s="797">
        <f t="shared" si="40"/>
        <v>61.964952632702769</v>
      </c>
      <c r="S447" s="797">
        <f>[1]!taqsabet(O447,C447)</f>
        <v>61.963285034333353</v>
      </c>
      <c r="T447" s="523"/>
      <c r="U447" s="523">
        <v>1</v>
      </c>
      <c r="V447" s="523">
        <v>29</v>
      </c>
      <c r="W447" s="523">
        <v>4</v>
      </c>
      <c r="X447" s="523"/>
      <c r="Y447" s="523">
        <v>4</v>
      </c>
      <c r="Z447" s="523">
        <v>9</v>
      </c>
      <c r="AA447" s="523" t="s">
        <v>179</v>
      </c>
      <c r="AB447" s="523">
        <v>6</v>
      </c>
      <c r="AC447" s="523">
        <v>4</v>
      </c>
      <c r="AD447" s="523" t="s">
        <v>2818</v>
      </c>
    </row>
    <row r="448" spans="2:31">
      <c r="B448" s="505" t="s">
        <v>2415</v>
      </c>
      <c r="C448" s="522">
        <v>410</v>
      </c>
      <c r="D448" s="522">
        <v>1</v>
      </c>
      <c r="E448" s="550" t="s">
        <v>2822</v>
      </c>
      <c r="F448" s="522">
        <v>70</v>
      </c>
      <c r="G448" s="522"/>
      <c r="H448" s="522">
        <v>66</v>
      </c>
      <c r="I448" s="522">
        <v>0</v>
      </c>
      <c r="J448" s="522">
        <v>0</v>
      </c>
      <c r="K448" s="522"/>
      <c r="L448" s="797">
        <f>[1]!tsabetm(C448)</f>
        <v>24.583333333333336</v>
      </c>
      <c r="M448" s="797">
        <f>[1]!tsabetz(C448)</f>
        <v>50.81666666666667</v>
      </c>
      <c r="N448" s="797">
        <f t="shared" si="41"/>
        <v>66.213468869123247</v>
      </c>
      <c r="O448" s="797">
        <f t="shared" si="37"/>
        <v>1445.0028169014086</v>
      </c>
      <c r="P448" s="797">
        <f t="shared" si="38"/>
        <v>45.703761544512247</v>
      </c>
      <c r="Q448" s="797">
        <f t="shared" si="39"/>
        <v>53</v>
      </c>
      <c r="R448" s="797">
        <f t="shared" si="40"/>
        <v>53.761729359075204</v>
      </c>
      <c r="S448" s="797">
        <f>[1]!taqsabet(O448,C448)</f>
        <v>53.760034846593953</v>
      </c>
      <c r="T448" s="522"/>
      <c r="U448" s="522">
        <v>1</v>
      </c>
      <c r="V448" s="522">
        <v>20</v>
      </c>
      <c r="W448" s="522">
        <v>49</v>
      </c>
      <c r="X448" s="522"/>
      <c r="Y448" s="522">
        <v>19</v>
      </c>
      <c r="Z448" s="522">
        <v>30</v>
      </c>
      <c r="AA448" s="522" t="s">
        <v>274</v>
      </c>
      <c r="AB448" s="522">
        <v>4</v>
      </c>
      <c r="AC448" s="522">
        <v>4</v>
      </c>
      <c r="AD448" s="522"/>
    </row>
    <row r="449" spans="1:31">
      <c r="C449" s="523">
        <v>411</v>
      </c>
      <c r="D449" s="523">
        <v>2</v>
      </c>
      <c r="E449" s="543" t="s">
        <v>2823</v>
      </c>
      <c r="F449" s="523">
        <v>70</v>
      </c>
      <c r="G449" s="523"/>
      <c r="H449" s="523">
        <v>66</v>
      </c>
      <c r="I449" s="523">
        <v>0</v>
      </c>
      <c r="J449" s="523">
        <v>0</v>
      </c>
      <c r="K449" s="523"/>
      <c r="L449" s="797">
        <f>[1]!tsabetm(C449)</f>
        <v>49.583333333333336</v>
      </c>
      <c r="M449" s="797">
        <f>[1]!tsabetz(C449)</f>
        <v>75.266666666666666</v>
      </c>
      <c r="N449" s="797">
        <f t="shared" si="41"/>
        <v>67.631408176508771</v>
      </c>
      <c r="O449" s="797">
        <f t="shared" si="37"/>
        <v>1445.0028169014086</v>
      </c>
      <c r="P449" s="797">
        <f t="shared" si="38"/>
        <v>8.9990448158147274</v>
      </c>
      <c r="Q449" s="797">
        <f t="shared" si="39"/>
        <v>78</v>
      </c>
      <c r="R449" s="797">
        <f t="shared" si="40"/>
        <v>78.149984080263579</v>
      </c>
      <c r="S449" s="797">
        <f>[1]!taqsabet(O449,C449)</f>
        <v>78.148325094409955</v>
      </c>
      <c r="T449" s="523"/>
      <c r="U449" s="523">
        <v>2</v>
      </c>
      <c r="V449" s="523">
        <v>15</v>
      </c>
      <c r="W449" s="523">
        <v>16</v>
      </c>
      <c r="X449" s="523"/>
      <c r="Y449" s="523">
        <v>1</v>
      </c>
      <c r="Z449" s="523">
        <v>35</v>
      </c>
      <c r="AA449" s="523" t="s">
        <v>274</v>
      </c>
      <c r="AB449" s="523">
        <v>5</v>
      </c>
      <c r="AC449" s="523">
        <v>5</v>
      </c>
      <c r="AD449" s="523"/>
    </row>
    <row r="450" spans="1:31">
      <c r="C450" s="522">
        <v>412</v>
      </c>
      <c r="D450" s="522">
        <v>3</v>
      </c>
      <c r="E450" s="550" t="s">
        <v>2612</v>
      </c>
      <c r="F450" s="522">
        <v>70</v>
      </c>
      <c r="G450" s="522"/>
      <c r="H450" s="522">
        <v>66</v>
      </c>
      <c r="I450" s="522">
        <v>0</v>
      </c>
      <c r="J450" s="522">
        <v>0</v>
      </c>
      <c r="K450" s="522"/>
      <c r="L450" s="797">
        <f>[1]!tsabetm(C450)</f>
        <v>53.583333333333336</v>
      </c>
      <c r="M450" s="797">
        <f>[1]!tsabetz(C450)</f>
        <v>78.816666666666663</v>
      </c>
      <c r="N450" s="797">
        <f t="shared" si="41"/>
        <v>68.837516512549556</v>
      </c>
      <c r="O450" s="797">
        <f t="shared" si="37"/>
        <v>1445.0028169014086</v>
      </c>
      <c r="P450" s="797">
        <f t="shared" si="38"/>
        <v>38.967912946880858</v>
      </c>
      <c r="Q450" s="797">
        <f t="shared" si="39"/>
        <v>81</v>
      </c>
      <c r="R450" s="797">
        <f t="shared" si="40"/>
        <v>81.649465215781348</v>
      </c>
      <c r="S450" s="797">
        <f>[1]!taqsabet(O450,C450)</f>
        <v>81.647835297168513</v>
      </c>
      <c r="T450" s="522"/>
      <c r="U450" s="522">
        <v>2</v>
      </c>
      <c r="V450" s="522">
        <v>18</v>
      </c>
      <c r="W450" s="522">
        <v>49</v>
      </c>
      <c r="X450" s="522"/>
      <c r="Y450" s="522">
        <v>1</v>
      </c>
      <c r="Z450" s="522">
        <v>9</v>
      </c>
      <c r="AA450" s="522" t="s">
        <v>274</v>
      </c>
      <c r="AB450" s="522">
        <v>5</v>
      </c>
      <c r="AC450" s="522">
        <v>5</v>
      </c>
      <c r="AD450" s="522"/>
    </row>
    <row r="451" spans="1:31">
      <c r="C451" s="523">
        <v>413</v>
      </c>
      <c r="D451" s="523">
        <v>4</v>
      </c>
      <c r="E451" s="543" t="s">
        <v>2613</v>
      </c>
      <c r="F451" s="523">
        <v>70</v>
      </c>
      <c r="G451" s="523"/>
      <c r="H451" s="523">
        <v>66</v>
      </c>
      <c r="I451" s="523">
        <v>0</v>
      </c>
      <c r="J451" s="523">
        <v>0</v>
      </c>
      <c r="K451" s="523"/>
      <c r="L451" s="797">
        <f>[1]!tsabetm(C451)</f>
        <v>55.583333333333336</v>
      </c>
      <c r="M451" s="797">
        <f>[1]!tsabetz(C451)</f>
        <v>80.86666666666666</v>
      </c>
      <c r="N451" s="797">
        <f t="shared" si="41"/>
        <v>68.70138431114043</v>
      </c>
      <c r="O451" s="797">
        <f t="shared" si="37"/>
        <v>1445.0028169014086</v>
      </c>
      <c r="P451" s="797">
        <f t="shared" si="38"/>
        <v>42.304705376761831</v>
      </c>
      <c r="Q451" s="797">
        <f t="shared" si="39"/>
        <v>83</v>
      </c>
      <c r="R451" s="797">
        <f t="shared" si="40"/>
        <v>83.705078422946031</v>
      </c>
      <c r="S451" s="797">
        <f>[1]!taqsabet(O451,C451)</f>
        <v>83.703445274639776</v>
      </c>
      <c r="T451" s="523"/>
      <c r="U451" s="523">
        <v>2</v>
      </c>
      <c r="V451" s="523">
        <v>20</v>
      </c>
      <c r="W451" s="523">
        <v>52</v>
      </c>
      <c r="X451" s="523"/>
      <c r="Y451" s="523">
        <v>1</v>
      </c>
      <c r="Z451" s="523">
        <v>30</v>
      </c>
      <c r="AA451" s="523" t="s">
        <v>274</v>
      </c>
      <c r="AB451" s="523">
        <v>5</v>
      </c>
      <c r="AC451" s="523">
        <v>5</v>
      </c>
      <c r="AD451" s="523"/>
    </row>
    <row r="452" spans="1:31">
      <c r="C452" s="522">
        <v>414</v>
      </c>
      <c r="D452" s="522">
        <v>5</v>
      </c>
      <c r="E452" s="550" t="s">
        <v>2824</v>
      </c>
      <c r="F452" s="522">
        <v>70</v>
      </c>
      <c r="G452" s="522"/>
      <c r="H452" s="522">
        <v>66</v>
      </c>
      <c r="I452" s="522">
        <v>0</v>
      </c>
      <c r="J452" s="522">
        <v>0</v>
      </c>
      <c r="K452" s="522"/>
      <c r="L452" s="797">
        <f>[1]!tsabetm(C452)</f>
        <v>58.583333333333336</v>
      </c>
      <c r="M452" s="797">
        <f>[1]!tsabetz(C452)</f>
        <v>83.666666666666671</v>
      </c>
      <c r="N452" s="797">
        <f t="shared" si="41"/>
        <v>69.249169435215947</v>
      </c>
      <c r="O452" s="797">
        <f t="shared" si="37"/>
        <v>1445.0028169014086</v>
      </c>
      <c r="P452" s="797">
        <f t="shared" si="38"/>
        <v>28.957535657237088</v>
      </c>
      <c r="Q452" s="797">
        <f t="shared" si="39"/>
        <v>86</v>
      </c>
      <c r="R452" s="797">
        <f t="shared" si="40"/>
        <v>86.482625594287285</v>
      </c>
      <c r="S452" s="797">
        <f>[1]!taqsabet(O452,C452)</f>
        <v>86.481005364754708</v>
      </c>
      <c r="T452" s="522"/>
      <c r="U452" s="522">
        <v>2</v>
      </c>
      <c r="V452" s="522">
        <v>23</v>
      </c>
      <c r="W452" s="522">
        <v>40</v>
      </c>
      <c r="X452" s="522"/>
      <c r="Y452" s="522">
        <v>6</v>
      </c>
      <c r="Z452" s="522">
        <v>34</v>
      </c>
      <c r="AA452" s="562" t="s">
        <v>2825</v>
      </c>
      <c r="AB452" s="522">
        <v>5</v>
      </c>
      <c r="AC452" s="522">
        <v>5</v>
      </c>
      <c r="AD452" s="522"/>
    </row>
    <row r="453" spans="1:31">
      <c r="C453" s="523">
        <v>415</v>
      </c>
      <c r="D453" s="523">
        <v>6</v>
      </c>
      <c r="E453" s="543" t="s">
        <v>2718</v>
      </c>
      <c r="F453" s="523">
        <v>70</v>
      </c>
      <c r="G453" s="523"/>
      <c r="H453" s="523">
        <v>66</v>
      </c>
      <c r="I453" s="523">
        <v>0</v>
      </c>
      <c r="J453" s="523">
        <v>0</v>
      </c>
      <c r="K453" s="523"/>
      <c r="L453" s="797">
        <f>[1]!tsabetm(C453)</f>
        <v>58.583333333333336</v>
      </c>
      <c r="M453" s="797">
        <f>[1]!tsabetz(C453)</f>
        <v>84.916666666666671</v>
      </c>
      <c r="N453" s="797">
        <f t="shared" si="41"/>
        <v>65.962025316455694</v>
      </c>
      <c r="O453" s="797">
        <f t="shared" si="37"/>
        <v>1445.0028169014086</v>
      </c>
      <c r="P453" s="797">
        <f t="shared" si="38"/>
        <v>52.377346404275045</v>
      </c>
      <c r="Q453" s="797">
        <f t="shared" si="39"/>
        <v>87</v>
      </c>
      <c r="R453" s="797">
        <f t="shared" si="40"/>
        <v>87.872955773404584</v>
      </c>
      <c r="S453" s="797">
        <f>[1]!taqsabet(O453,C453)</f>
        <v>87.871254801536494</v>
      </c>
      <c r="T453" s="523"/>
      <c r="U453" s="523">
        <v>2</v>
      </c>
      <c r="V453" s="523">
        <v>24</v>
      </c>
      <c r="W453" s="523">
        <v>55</v>
      </c>
      <c r="X453" s="523"/>
      <c r="Y453" s="523">
        <v>8</v>
      </c>
      <c r="Z453" s="523">
        <v>0</v>
      </c>
      <c r="AA453" s="523" t="s">
        <v>274</v>
      </c>
      <c r="AB453" s="523">
        <v>5</v>
      </c>
      <c r="AC453" s="523">
        <v>5</v>
      </c>
      <c r="AD453" s="523"/>
    </row>
    <row r="454" spans="1:31">
      <c r="C454" s="522">
        <v>416</v>
      </c>
      <c r="D454" s="522">
        <v>7</v>
      </c>
      <c r="E454" s="550" t="s">
        <v>2826</v>
      </c>
      <c r="F454" s="522">
        <v>70</v>
      </c>
      <c r="G454" s="522"/>
      <c r="H454" s="522">
        <v>66</v>
      </c>
      <c r="I454" s="522">
        <v>0</v>
      </c>
      <c r="J454" s="522">
        <v>0</v>
      </c>
      <c r="K454" s="522"/>
      <c r="L454" s="797">
        <f>[1]!tsabetm(C454)</f>
        <v>56.583333333333336</v>
      </c>
      <c r="M454" s="797">
        <f>[1]!tsabetz(C454)</f>
        <v>82.36666666666666</v>
      </c>
      <c r="N454" s="797">
        <f t="shared" si="41"/>
        <v>67.369101486748562</v>
      </c>
      <c r="O454" s="797">
        <f t="shared" si="37"/>
        <v>1445.0028169014086</v>
      </c>
      <c r="P454" s="797">
        <f t="shared" si="38"/>
        <v>15.672629675577525</v>
      </c>
      <c r="Q454" s="797">
        <f t="shared" si="39"/>
        <v>85</v>
      </c>
      <c r="R454" s="797">
        <f t="shared" si="40"/>
        <v>85.261210494592959</v>
      </c>
      <c r="S454" s="797">
        <f>[1]!taqsabet(O454,C454)</f>
        <v>85.259545049352496</v>
      </c>
      <c r="T454" s="522"/>
      <c r="U454" s="522">
        <v>2</v>
      </c>
      <c r="V454" s="522">
        <v>22</v>
      </c>
      <c r="W454" s="522">
        <v>22</v>
      </c>
      <c r="X454" s="522"/>
      <c r="Y454" s="522">
        <v>1</v>
      </c>
      <c r="Z454" s="522">
        <v>15</v>
      </c>
      <c r="AA454" s="522" t="s">
        <v>274</v>
      </c>
      <c r="AB454" s="522">
        <v>5</v>
      </c>
      <c r="AC454" s="522">
        <v>5</v>
      </c>
      <c r="AD454" s="522"/>
    </row>
    <row r="455" spans="1:31">
      <c r="C455" s="523">
        <v>417</v>
      </c>
      <c r="D455" s="523">
        <v>8</v>
      </c>
      <c r="E455" s="543" t="s">
        <v>2661</v>
      </c>
      <c r="F455" s="523">
        <v>70</v>
      </c>
      <c r="G455" s="523"/>
      <c r="H455" s="523">
        <v>66</v>
      </c>
      <c r="I455" s="523">
        <v>0</v>
      </c>
      <c r="J455" s="523">
        <v>0</v>
      </c>
      <c r="K455" s="523"/>
      <c r="L455" s="797">
        <f>[1]!tsabetm(C455)</f>
        <v>58.583333333333336</v>
      </c>
      <c r="M455" s="797">
        <f>[1]!tsabetz(C455)</f>
        <v>83.816666666666663</v>
      </c>
      <c r="N455" s="797">
        <f t="shared" ref="N455:N518" si="42">(1697+40)/((IF(M455-L455&gt;0,M455-L455,M455+360-L455)))</f>
        <v>68.837516512549556</v>
      </c>
      <c r="O455" s="797">
        <f t="shared" si="37"/>
        <v>1445.0028169014086</v>
      </c>
      <c r="P455" s="797">
        <f t="shared" si="38"/>
        <v>38.967912946880858</v>
      </c>
      <c r="Q455" s="797">
        <f t="shared" si="39"/>
        <v>86</v>
      </c>
      <c r="R455" s="797">
        <f t="shared" si="40"/>
        <v>86.649465215781348</v>
      </c>
      <c r="S455" s="797">
        <f>[1]!taqsabet(O455,C455)</f>
        <v>86.647835297168513</v>
      </c>
      <c r="T455" s="523"/>
      <c r="U455" s="523">
        <v>2</v>
      </c>
      <c r="V455" s="523">
        <v>23</v>
      </c>
      <c r="W455" s="523">
        <v>49</v>
      </c>
      <c r="X455" s="523"/>
      <c r="Y455" s="523">
        <v>2</v>
      </c>
      <c r="Z455" s="523">
        <v>30</v>
      </c>
      <c r="AA455" s="523" t="s">
        <v>179</v>
      </c>
      <c r="AB455" s="523">
        <v>5</v>
      </c>
      <c r="AC455" s="523">
        <v>5</v>
      </c>
      <c r="AD455" s="523"/>
    </row>
    <row r="456" spans="1:31">
      <c r="C456" s="522">
        <v>418</v>
      </c>
      <c r="D456" s="522">
        <v>9</v>
      </c>
      <c r="E456" s="550" t="s">
        <v>2827</v>
      </c>
      <c r="F456" s="522">
        <v>70</v>
      </c>
      <c r="G456" s="522"/>
      <c r="H456" s="522">
        <v>66</v>
      </c>
      <c r="I456" s="522">
        <v>0</v>
      </c>
      <c r="J456" s="522">
        <v>0</v>
      </c>
      <c r="K456" s="522"/>
      <c r="L456" s="797">
        <f>[1]!tsabetm(C456)</f>
        <v>60.583333333333336</v>
      </c>
      <c r="M456" s="797">
        <f>[1]!tsabetz(C456)</f>
        <v>85.716666666666669</v>
      </c>
      <c r="N456" s="797">
        <f t="shared" si="42"/>
        <v>69.111405835543763</v>
      </c>
      <c r="O456" s="797">
        <f t="shared" ref="O456:O519" si="43">O455</f>
        <v>1445.0028169014086</v>
      </c>
      <c r="P456" s="797">
        <f t="shared" ref="P456:P519" si="44">(R456-Q456)*60</f>
        <v>32.29432808711806</v>
      </c>
      <c r="Q456" s="797">
        <f t="shared" ref="Q456:Q519" si="45">INT(R456)</f>
        <v>88</v>
      </c>
      <c r="R456" s="797">
        <f t="shared" ref="R456:R519" si="46">((O456-1250)/(N456))+M456</f>
        <v>88.538238801451968</v>
      </c>
      <c r="S456" s="797">
        <f>[1]!taqsabet(O456,C456)</f>
        <v>88.536615342225971</v>
      </c>
      <c r="T456" s="522"/>
      <c r="U456" s="522">
        <v>2</v>
      </c>
      <c r="V456" s="522">
        <v>25</v>
      </c>
      <c r="W456" s="522">
        <v>43</v>
      </c>
      <c r="X456" s="522"/>
      <c r="Y456" s="522">
        <v>1</v>
      </c>
      <c r="Z456" s="522">
        <v>48</v>
      </c>
      <c r="AA456" s="522" t="s">
        <v>179</v>
      </c>
      <c r="AB456" s="522">
        <v>5</v>
      </c>
      <c r="AC456" s="522">
        <v>5</v>
      </c>
      <c r="AD456" s="522"/>
    </row>
    <row r="457" spans="1:31">
      <c r="C457" s="523">
        <v>419</v>
      </c>
      <c r="D457" s="523">
        <v>10</v>
      </c>
      <c r="E457" s="543" t="s">
        <v>2717</v>
      </c>
      <c r="F457" s="523">
        <v>70</v>
      </c>
      <c r="G457" s="523"/>
      <c r="H457" s="523">
        <v>66</v>
      </c>
      <c r="I457" s="523">
        <v>0</v>
      </c>
      <c r="J457" s="523">
        <v>0</v>
      </c>
      <c r="K457" s="523"/>
      <c r="L457" s="797">
        <f>[1]!tsabetm(C457)</f>
        <v>61.916666666666664</v>
      </c>
      <c r="M457" s="797">
        <f>[1]!tsabetz(C457)</f>
        <v>86.316666666666663</v>
      </c>
      <c r="N457" s="797">
        <f t="shared" si="42"/>
        <v>71.188524590163937</v>
      </c>
      <c r="O457" s="797">
        <f t="shared" si="43"/>
        <v>1445.0028169014086</v>
      </c>
      <c r="P457" s="797">
        <f t="shared" si="44"/>
        <v>3.3547057821886028</v>
      </c>
      <c r="Q457" s="797">
        <f t="shared" si="45"/>
        <v>89</v>
      </c>
      <c r="R457" s="797">
        <f t="shared" si="46"/>
        <v>89.055911763036477</v>
      </c>
      <c r="S457" s="797">
        <f>[1]!taqsabet(O457,C457)</f>
        <v>89.054335672647312</v>
      </c>
      <c r="T457" s="523"/>
      <c r="U457" s="523">
        <v>2</v>
      </c>
      <c r="V457" s="523">
        <v>26</v>
      </c>
      <c r="W457" s="523">
        <v>19</v>
      </c>
      <c r="X457" s="523"/>
      <c r="Y457" s="523">
        <v>3</v>
      </c>
      <c r="Z457" s="523">
        <v>42</v>
      </c>
      <c r="AA457" s="523" t="s">
        <v>179</v>
      </c>
      <c r="AB457" s="523">
        <v>5</v>
      </c>
      <c r="AC457" s="523">
        <v>5</v>
      </c>
      <c r="AD457" s="523"/>
    </row>
    <row r="458" spans="1:31">
      <c r="C458" s="522">
        <v>420</v>
      </c>
      <c r="D458" s="522">
        <v>11</v>
      </c>
      <c r="E458" s="550" t="s">
        <v>2718</v>
      </c>
      <c r="F458" s="522">
        <v>70</v>
      </c>
      <c r="G458" s="522"/>
      <c r="H458" s="522">
        <v>66</v>
      </c>
      <c r="I458" s="522">
        <v>0</v>
      </c>
      <c r="J458" s="522">
        <v>0</v>
      </c>
      <c r="K458" s="522"/>
      <c r="L458" s="797">
        <f>[1]!tsabetm(C458)</f>
        <v>62.916666666666664</v>
      </c>
      <c r="M458" s="797">
        <f>[1]!tsabetz(C458)</f>
        <v>87.566666666666663</v>
      </c>
      <c r="N458" s="797">
        <f t="shared" si="42"/>
        <v>70.466531440162271</v>
      </c>
      <c r="O458" s="797">
        <f t="shared" si="43"/>
        <v>1445.0028169014086</v>
      </c>
      <c r="P458" s="797">
        <f t="shared" si="44"/>
        <v>20.038667931596024</v>
      </c>
      <c r="Q458" s="797">
        <f t="shared" si="45"/>
        <v>90</v>
      </c>
      <c r="R458" s="797">
        <f t="shared" si="46"/>
        <v>90.333977798859934</v>
      </c>
      <c r="S458" s="797">
        <f>[1]!taqsabet(O458,C458)</f>
        <v>90.332385560003672</v>
      </c>
      <c r="T458" s="522"/>
      <c r="U458" s="522">
        <v>2</v>
      </c>
      <c r="V458" s="522">
        <v>27</v>
      </c>
      <c r="W458" s="522">
        <v>34</v>
      </c>
      <c r="X458" s="522"/>
      <c r="Y458" s="522">
        <v>2</v>
      </c>
      <c r="Z458" s="522">
        <v>20</v>
      </c>
      <c r="AA458" s="522" t="s">
        <v>179</v>
      </c>
      <c r="AB458" s="522">
        <v>5</v>
      </c>
      <c r="AC458" s="522">
        <v>5</v>
      </c>
      <c r="AD458" s="522"/>
    </row>
    <row r="459" spans="1:31">
      <c r="B459" s="505" t="s">
        <v>2355</v>
      </c>
      <c r="C459" s="506" t="s">
        <v>2356</v>
      </c>
      <c r="D459" s="507" t="s">
        <v>2357</v>
      </c>
      <c r="E459" s="511" t="s">
        <v>2358</v>
      </c>
      <c r="F459" s="511"/>
      <c r="G459" s="511"/>
      <c r="H459" s="511"/>
      <c r="I459" s="511"/>
      <c r="J459" s="511"/>
      <c r="K459" s="514" t="s">
        <v>2360</v>
      </c>
      <c r="N459" s="797">
        <f t="shared" si="42"/>
        <v>4.8250000000000002</v>
      </c>
      <c r="O459" s="797">
        <f t="shared" si="43"/>
        <v>1445.0028169014086</v>
      </c>
      <c r="P459" s="797">
        <f t="shared" si="44"/>
        <v>24.905495147049237</v>
      </c>
      <c r="Q459" s="797">
        <f t="shared" si="45"/>
        <v>40</v>
      </c>
      <c r="R459" s="797">
        <f t="shared" si="46"/>
        <v>40.415091585784154</v>
      </c>
      <c r="S459" s="797" t="e">
        <f>[1]!taqsabet(O459,C459)</f>
        <v>#VALUE!</v>
      </c>
      <c r="T459" s="507"/>
      <c r="U459" s="508" t="s">
        <v>403</v>
      </c>
      <c r="V459" s="508"/>
      <c r="W459" s="509"/>
      <c r="X459" s="507"/>
      <c r="Y459" s="509" t="s">
        <v>275</v>
      </c>
      <c r="Z459" s="510"/>
      <c r="AA459" s="506" t="s">
        <v>176</v>
      </c>
      <c r="AB459" s="511" t="s">
        <v>2361</v>
      </c>
      <c r="AC459" s="511" t="s">
        <v>2362</v>
      </c>
      <c r="AD459" s="511" t="s">
        <v>2363</v>
      </c>
    </row>
    <row r="460" spans="1:31">
      <c r="B460" s="505"/>
      <c r="C460" s="512"/>
      <c r="D460" s="512"/>
      <c r="E460" s="513"/>
      <c r="F460" s="513"/>
      <c r="G460" s="513"/>
      <c r="H460" s="513"/>
      <c r="I460" s="513"/>
      <c r="J460" s="513"/>
      <c r="K460" s="514"/>
      <c r="N460" s="797">
        <f t="shared" si="42"/>
        <v>4.8250000000000002</v>
      </c>
      <c r="O460" s="797">
        <f t="shared" si="43"/>
        <v>1445.0028169014086</v>
      </c>
      <c r="P460" s="797">
        <f t="shared" si="44"/>
        <v>24.905495147049237</v>
      </c>
      <c r="Q460" s="797">
        <f t="shared" si="45"/>
        <v>40</v>
      </c>
      <c r="R460" s="797">
        <f t="shared" si="46"/>
        <v>40.415091585784154</v>
      </c>
      <c r="S460" s="797">
        <f>[1]!taqsabet(O460,C460)</f>
        <v>1.4716840899636423</v>
      </c>
      <c r="T460" s="515" t="s">
        <v>2367</v>
      </c>
      <c r="U460" s="516" t="s">
        <v>173</v>
      </c>
      <c r="V460" s="516" t="s">
        <v>172</v>
      </c>
      <c r="W460" s="516" t="s">
        <v>166</v>
      </c>
      <c r="X460" s="517" t="s">
        <v>2367</v>
      </c>
      <c r="Y460" s="516" t="s">
        <v>172</v>
      </c>
      <c r="Z460" s="518" t="s">
        <v>166</v>
      </c>
      <c r="AA460" s="512"/>
      <c r="AB460" s="517" t="s">
        <v>2368</v>
      </c>
      <c r="AC460" s="517" t="s">
        <v>2369</v>
      </c>
      <c r="AD460" s="513"/>
    </row>
    <row r="461" spans="1:31">
      <c r="A461" s="563">
        <v>3</v>
      </c>
      <c r="B461" s="536" t="s">
        <v>2828</v>
      </c>
      <c r="C461" s="527">
        <v>421</v>
      </c>
      <c r="D461" s="527">
        <v>1</v>
      </c>
      <c r="E461" s="553" t="s">
        <v>2829</v>
      </c>
      <c r="F461" s="527">
        <v>70</v>
      </c>
      <c r="G461" s="527"/>
      <c r="H461" s="527">
        <v>68</v>
      </c>
      <c r="I461" s="527">
        <v>7</v>
      </c>
      <c r="J461" s="527">
        <v>6</v>
      </c>
      <c r="K461" s="527" t="s">
        <v>2830</v>
      </c>
      <c r="L461" s="797">
        <f>[1]!tsabetm(C461)</f>
        <v>82.916666666666657</v>
      </c>
      <c r="M461" s="797">
        <f>[1]!tsabetz(C461)</f>
        <v>108.81666666666666</v>
      </c>
      <c r="N461" s="797">
        <f t="shared" si="42"/>
        <v>67.065637065637048</v>
      </c>
      <c r="O461" s="797">
        <f t="shared" si="43"/>
        <v>1445.0028169014086</v>
      </c>
      <c r="P461" s="797">
        <f t="shared" si="44"/>
        <v>43.458478678634833</v>
      </c>
      <c r="Q461" s="797">
        <f t="shared" si="45"/>
        <v>111</v>
      </c>
      <c r="R461" s="797">
        <f t="shared" si="46"/>
        <v>111.72430797797725</v>
      </c>
      <c r="S461" s="797">
        <f>[1]!taqsabet(O461,C461)</f>
        <v>111.72263499678547</v>
      </c>
      <c r="T461" s="527"/>
      <c r="U461" s="527">
        <v>3</v>
      </c>
      <c r="V461" s="527">
        <v>18</v>
      </c>
      <c r="W461" s="527">
        <v>49</v>
      </c>
      <c r="X461" s="527"/>
      <c r="Y461" s="527">
        <v>9</v>
      </c>
      <c r="Z461" s="527">
        <v>14</v>
      </c>
      <c r="AA461" s="527" t="s">
        <v>179</v>
      </c>
      <c r="AB461" s="527">
        <v>2</v>
      </c>
      <c r="AC461" s="527">
        <v>2</v>
      </c>
      <c r="AD461" s="527" t="s">
        <v>2524</v>
      </c>
      <c r="AE461" s="327">
        <v>589</v>
      </c>
    </row>
    <row r="462" spans="1:31">
      <c r="C462" s="523">
        <v>422</v>
      </c>
      <c r="D462" s="523">
        <v>2</v>
      </c>
      <c r="E462" s="543" t="s">
        <v>2831</v>
      </c>
      <c r="F462" s="523">
        <v>70</v>
      </c>
      <c r="G462" s="523"/>
      <c r="H462" s="523">
        <v>68</v>
      </c>
      <c r="I462" s="523">
        <v>11</v>
      </c>
      <c r="J462" s="523">
        <v>24</v>
      </c>
      <c r="K462" s="523" t="s">
        <v>2832</v>
      </c>
      <c r="L462" s="797">
        <f>[1]!tsabetm(C462)</f>
        <v>86.25</v>
      </c>
      <c r="M462" s="797">
        <f>[1]!tsabetz(C462)</f>
        <v>112.01666666666667</v>
      </c>
      <c r="N462" s="797">
        <f t="shared" si="42"/>
        <v>67.412677878395868</v>
      </c>
      <c r="O462" s="797">
        <f t="shared" si="43"/>
        <v>1445.0028169014086</v>
      </c>
      <c r="P462" s="797">
        <f t="shared" si="44"/>
        <v>54.560365532283868</v>
      </c>
      <c r="Q462" s="797">
        <f t="shared" si="45"/>
        <v>114</v>
      </c>
      <c r="R462" s="797">
        <f t="shared" si="46"/>
        <v>114.90933942553806</v>
      </c>
      <c r="S462" s="797">
        <f>[1]!taqsabet(O462,C462)</f>
        <v>114.90767505686208</v>
      </c>
      <c r="T462" s="523"/>
      <c r="U462" s="523">
        <v>3</v>
      </c>
      <c r="V462" s="523">
        <v>22</v>
      </c>
      <c r="W462" s="523">
        <v>1</v>
      </c>
      <c r="X462" s="523"/>
      <c r="Y462" s="551">
        <v>6</v>
      </c>
      <c r="Z462" s="523">
        <v>30</v>
      </c>
      <c r="AA462" s="523" t="s">
        <v>179</v>
      </c>
      <c r="AB462" s="523">
        <v>4</v>
      </c>
      <c r="AC462" s="523">
        <v>4</v>
      </c>
      <c r="AD462" s="523" t="s">
        <v>2384</v>
      </c>
    </row>
    <row r="463" spans="1:31">
      <c r="C463" s="527">
        <v>423</v>
      </c>
      <c r="D463" s="527">
        <v>3</v>
      </c>
      <c r="E463" s="553" t="s">
        <v>2833</v>
      </c>
      <c r="F463" s="527">
        <v>70</v>
      </c>
      <c r="G463" s="527"/>
      <c r="H463" s="527">
        <v>66</v>
      </c>
      <c r="I463" s="527">
        <v>0</v>
      </c>
      <c r="J463" s="527">
        <v>0</v>
      </c>
      <c r="K463" s="527"/>
      <c r="L463" s="797">
        <f>[1]!tsabetm(C463)</f>
        <v>76.25</v>
      </c>
      <c r="M463" s="797">
        <f>[1]!tsabetz(C463)</f>
        <v>99.516666666666666</v>
      </c>
      <c r="N463" s="797">
        <f t="shared" si="42"/>
        <v>74.656160458452732</v>
      </c>
      <c r="O463" s="797">
        <f t="shared" si="43"/>
        <v>1445.0028169014086</v>
      </c>
      <c r="P463" s="797">
        <f t="shared" si="44"/>
        <v>7.7207440382071013</v>
      </c>
      <c r="Q463" s="797">
        <f t="shared" si="45"/>
        <v>102</v>
      </c>
      <c r="R463" s="797">
        <f t="shared" si="46"/>
        <v>102.12867906730345</v>
      </c>
      <c r="S463" s="797">
        <f>[1]!taqsabet(O463,C463)</f>
        <v>102.12717618329849</v>
      </c>
      <c r="T463" s="527"/>
      <c r="U463" s="527">
        <v>3</v>
      </c>
      <c r="V463" s="527">
        <v>9</v>
      </c>
      <c r="W463" s="527">
        <v>31</v>
      </c>
      <c r="X463" s="527"/>
      <c r="Y463" s="527">
        <v>10</v>
      </c>
      <c r="Z463" s="527">
        <v>45</v>
      </c>
      <c r="AA463" s="527" t="s">
        <v>179</v>
      </c>
      <c r="AB463" s="527">
        <v>4</v>
      </c>
      <c r="AC463" s="527">
        <v>4</v>
      </c>
      <c r="AD463" s="527" t="s">
        <v>2384</v>
      </c>
    </row>
    <row r="464" spans="1:31">
      <c r="C464" s="523">
        <v>424</v>
      </c>
      <c r="D464" s="523">
        <v>4</v>
      </c>
      <c r="E464" s="543" t="s">
        <v>2834</v>
      </c>
      <c r="F464" s="523">
        <v>70</v>
      </c>
      <c r="G464" s="523"/>
      <c r="H464" s="523">
        <v>66</v>
      </c>
      <c r="I464" s="523">
        <v>0</v>
      </c>
      <c r="J464" s="523">
        <v>0</v>
      </c>
      <c r="K464" s="523"/>
      <c r="L464" s="797">
        <f>[1]!tsabetm(C464)</f>
        <v>78.25</v>
      </c>
      <c r="M464" s="797">
        <f>[1]!tsabetz(C464)</f>
        <v>104.01666666666667</v>
      </c>
      <c r="N464" s="797">
        <f t="shared" si="42"/>
        <v>67.412677878395868</v>
      </c>
      <c r="O464" s="797">
        <f t="shared" si="43"/>
        <v>1445.0028169014086</v>
      </c>
      <c r="P464" s="797">
        <f t="shared" si="44"/>
        <v>54.560365532283868</v>
      </c>
      <c r="Q464" s="797">
        <f t="shared" si="45"/>
        <v>106</v>
      </c>
      <c r="R464" s="797">
        <f t="shared" si="46"/>
        <v>106.90933942553806</v>
      </c>
      <c r="S464" s="797">
        <f>[1]!taqsabet(O464,C464)</f>
        <v>106.90767505686208</v>
      </c>
      <c r="T464" s="523"/>
      <c r="U464" s="523">
        <v>3</v>
      </c>
      <c r="V464" s="523">
        <v>14</v>
      </c>
      <c r="W464" s="523">
        <v>1</v>
      </c>
      <c r="X464" s="523"/>
      <c r="Y464" s="523">
        <v>7</v>
      </c>
      <c r="Z464" s="523">
        <v>30</v>
      </c>
      <c r="AA464" s="523" t="s">
        <v>179</v>
      </c>
      <c r="AB464" s="523">
        <v>4</v>
      </c>
      <c r="AC464" s="523">
        <v>4</v>
      </c>
      <c r="AD464" s="523" t="s">
        <v>2384</v>
      </c>
    </row>
    <row r="465" spans="2:30">
      <c r="C465" s="527">
        <v>425</v>
      </c>
      <c r="D465" s="527">
        <v>5</v>
      </c>
      <c r="E465" s="553" t="s">
        <v>2835</v>
      </c>
      <c r="F465" s="527">
        <v>70</v>
      </c>
      <c r="G465" s="527"/>
      <c r="H465" s="527">
        <v>66</v>
      </c>
      <c r="I465" s="527">
        <v>0</v>
      </c>
      <c r="J465" s="527">
        <v>0</v>
      </c>
      <c r="K465" s="527"/>
      <c r="L465" s="797">
        <f>[1]!tsabetm(C465)</f>
        <v>81.583333333333343</v>
      </c>
      <c r="M465" s="797">
        <f>[1]!tsabetz(C465)</f>
        <v>107.56666666666666</v>
      </c>
      <c r="N465" s="797">
        <f t="shared" si="42"/>
        <v>66.850545221295732</v>
      </c>
      <c r="O465" s="797">
        <f t="shared" si="43"/>
        <v>1445.0028169014086</v>
      </c>
      <c r="P465" s="797">
        <f t="shared" si="44"/>
        <v>29.019799395103973</v>
      </c>
      <c r="Q465" s="797">
        <f t="shared" si="45"/>
        <v>110</v>
      </c>
      <c r="R465" s="797">
        <f t="shared" si="46"/>
        <v>110.48366332325173</v>
      </c>
      <c r="S465" s="797">
        <f>[1]!taqsabet(O465,C465)</f>
        <v>110.48198495923758</v>
      </c>
      <c r="T465" s="527"/>
      <c r="U465" s="527">
        <v>3</v>
      </c>
      <c r="V465" s="527">
        <v>17</v>
      </c>
      <c r="W465" s="527">
        <v>34</v>
      </c>
      <c r="X465" s="527"/>
      <c r="Y465" s="527">
        <v>5</v>
      </c>
      <c r="Z465" s="527">
        <v>30</v>
      </c>
      <c r="AA465" s="527" t="s">
        <v>179</v>
      </c>
      <c r="AB465" s="527">
        <v>4</v>
      </c>
      <c r="AC465" s="527">
        <v>4</v>
      </c>
      <c r="AD465" s="527" t="s">
        <v>2384</v>
      </c>
    </row>
    <row r="466" spans="2:30">
      <c r="C466" s="523">
        <v>426</v>
      </c>
      <c r="D466" s="523">
        <v>6</v>
      </c>
      <c r="E466" s="543" t="s">
        <v>2836</v>
      </c>
      <c r="F466" s="523">
        <v>70</v>
      </c>
      <c r="G466" s="523"/>
      <c r="H466" s="523">
        <v>66</v>
      </c>
      <c r="I466" s="523">
        <v>0</v>
      </c>
      <c r="J466" s="523">
        <v>0</v>
      </c>
      <c r="K466" s="523"/>
      <c r="L466" s="797">
        <f>[1]!tsabetm(C466)</f>
        <v>83.583333333333343</v>
      </c>
      <c r="M466" s="797">
        <f>[1]!tsabetz(C466)</f>
        <v>109.91666666666667</v>
      </c>
      <c r="N466" s="797">
        <f t="shared" si="42"/>
        <v>65.962025316455708</v>
      </c>
      <c r="O466" s="797">
        <f t="shared" si="43"/>
        <v>1445.0028169014086</v>
      </c>
      <c r="P466" s="797">
        <f t="shared" si="44"/>
        <v>52.377346404275045</v>
      </c>
      <c r="Q466" s="797">
        <f t="shared" si="45"/>
        <v>112</v>
      </c>
      <c r="R466" s="797">
        <f t="shared" si="46"/>
        <v>112.87295577340458</v>
      </c>
      <c r="S466" s="797">
        <f>[1]!taqsabet(O466,C466)</f>
        <v>112.87125480153649</v>
      </c>
      <c r="T466" s="523"/>
      <c r="U466" s="523">
        <v>3</v>
      </c>
      <c r="V466" s="523">
        <v>19</v>
      </c>
      <c r="W466" s="523">
        <v>55</v>
      </c>
      <c r="X466" s="523"/>
      <c r="Y466" s="551">
        <v>4</v>
      </c>
      <c r="Z466" s="523">
        <v>54</v>
      </c>
      <c r="AA466" s="523" t="s">
        <v>179</v>
      </c>
      <c r="AB466" s="523">
        <v>4</v>
      </c>
      <c r="AC466" s="523">
        <v>4</v>
      </c>
      <c r="AD466" s="523" t="s">
        <v>2384</v>
      </c>
    </row>
    <row r="467" spans="2:30">
      <c r="C467" s="527">
        <v>427</v>
      </c>
      <c r="D467" s="527">
        <v>7</v>
      </c>
      <c r="E467" s="553" t="s">
        <v>2837</v>
      </c>
      <c r="F467" s="527">
        <v>70</v>
      </c>
      <c r="G467" s="527"/>
      <c r="H467" s="527">
        <v>66</v>
      </c>
      <c r="I467" s="527">
        <v>0</v>
      </c>
      <c r="J467" s="527">
        <v>0</v>
      </c>
      <c r="K467" s="527"/>
      <c r="L467" s="797">
        <f>[1]!tsabetm(C467)</f>
        <v>86.25</v>
      </c>
      <c r="M467" s="797">
        <f>[1]!tsabetz(C467)</f>
        <v>112.11666666666666</v>
      </c>
      <c r="N467" s="797">
        <f t="shared" si="42"/>
        <v>67.152061855670127</v>
      </c>
      <c r="O467" s="797">
        <f t="shared" si="43"/>
        <v>1445.0028169014086</v>
      </c>
      <c r="P467" s="797">
        <f t="shared" si="44"/>
        <v>1.2339503920466655</v>
      </c>
      <c r="Q467" s="797">
        <f t="shared" si="45"/>
        <v>115</v>
      </c>
      <c r="R467" s="797">
        <f t="shared" si="46"/>
        <v>115.02056583986744</v>
      </c>
      <c r="S467" s="797">
        <f>[1]!taqsabet(O467,C467)</f>
        <v>115.01889501180462</v>
      </c>
      <c r="T467" s="527"/>
      <c r="U467" s="527">
        <v>3</v>
      </c>
      <c r="V467" s="527">
        <v>22</v>
      </c>
      <c r="W467" s="527">
        <v>7</v>
      </c>
      <c r="X467" s="527"/>
      <c r="Y467" s="527">
        <v>2</v>
      </c>
      <c r="Z467" s="527">
        <v>45</v>
      </c>
      <c r="AA467" s="527" t="s">
        <v>179</v>
      </c>
      <c r="AB467" s="527">
        <v>4</v>
      </c>
      <c r="AC467" s="527">
        <v>4</v>
      </c>
      <c r="AD467" s="527" t="s">
        <v>2384</v>
      </c>
    </row>
    <row r="468" spans="2:30">
      <c r="C468" s="523">
        <v>428</v>
      </c>
      <c r="D468" s="523">
        <v>8</v>
      </c>
      <c r="E468" s="543" t="s">
        <v>2838</v>
      </c>
      <c r="F468" s="523">
        <v>70</v>
      </c>
      <c r="G468" s="523"/>
      <c r="H468" s="523">
        <v>66</v>
      </c>
      <c r="I468" s="523">
        <v>0</v>
      </c>
      <c r="J468" s="523">
        <v>0</v>
      </c>
      <c r="K468" s="523"/>
      <c r="L468" s="797">
        <f>[1]!tsabetm(C468)</f>
        <v>81.25</v>
      </c>
      <c r="M468" s="797">
        <f>[1]!tsabetz(C468)</f>
        <v>107.11666666666666</v>
      </c>
      <c r="N468" s="797">
        <f t="shared" si="42"/>
        <v>67.152061855670127</v>
      </c>
      <c r="O468" s="797">
        <f t="shared" si="43"/>
        <v>1445.0028169014086</v>
      </c>
      <c r="P468" s="797">
        <f t="shared" si="44"/>
        <v>1.2339503920466655</v>
      </c>
      <c r="Q468" s="797">
        <f t="shared" si="45"/>
        <v>110</v>
      </c>
      <c r="R468" s="797">
        <f t="shared" si="46"/>
        <v>110.02056583986744</v>
      </c>
      <c r="S468" s="797">
        <f>[1]!taqsabet(O468,C468)</f>
        <v>110.01889501180462</v>
      </c>
      <c r="T468" s="523"/>
      <c r="U468" s="523">
        <v>3</v>
      </c>
      <c r="V468" s="523">
        <v>17</v>
      </c>
      <c r="W468" s="523">
        <v>7</v>
      </c>
      <c r="X468" s="523"/>
      <c r="Y468" s="523">
        <v>2</v>
      </c>
      <c r="Z468" s="523">
        <v>45</v>
      </c>
      <c r="AA468" s="523" t="s">
        <v>179</v>
      </c>
      <c r="AB468" s="523">
        <v>5</v>
      </c>
      <c r="AC468" s="523">
        <v>5</v>
      </c>
      <c r="AD468" s="523" t="s">
        <v>2384</v>
      </c>
    </row>
    <row r="469" spans="2:30">
      <c r="C469" s="527">
        <v>429</v>
      </c>
      <c r="D469" s="527">
        <v>9</v>
      </c>
      <c r="E469" s="553" t="s">
        <v>2839</v>
      </c>
      <c r="F469" s="527">
        <v>70</v>
      </c>
      <c r="G469" s="527"/>
      <c r="H469" s="527">
        <v>66</v>
      </c>
      <c r="I469" s="527">
        <v>0</v>
      </c>
      <c r="J469" s="527">
        <v>0</v>
      </c>
      <c r="K469" s="527"/>
      <c r="L469" s="797">
        <f>[1]!tsabetm(C469)</f>
        <v>82.75</v>
      </c>
      <c r="M469" s="797">
        <f>[1]!tsabetz(C469)</f>
        <v>108.01666666666667</v>
      </c>
      <c r="N469" s="797">
        <f t="shared" si="42"/>
        <v>68.746701846965706</v>
      </c>
      <c r="O469" s="797">
        <f t="shared" si="43"/>
        <v>1445.0028169014086</v>
      </c>
      <c r="P469" s="797">
        <f t="shared" si="44"/>
        <v>51.192441233469026</v>
      </c>
      <c r="Q469" s="797">
        <f t="shared" si="45"/>
        <v>110</v>
      </c>
      <c r="R469" s="797">
        <f t="shared" si="46"/>
        <v>110.85320735389115</v>
      </c>
      <c r="S469" s="797">
        <f>[1]!taqsabet(O469,C469)</f>
        <v>110.85157528214935</v>
      </c>
      <c r="T469" s="527"/>
      <c r="U469" s="527">
        <v>3</v>
      </c>
      <c r="V469" s="527">
        <v>18</v>
      </c>
      <c r="W469" s="527">
        <v>1</v>
      </c>
      <c r="X469" s="527"/>
      <c r="Y469" s="527">
        <v>5</v>
      </c>
      <c r="Z469" s="527">
        <v>45</v>
      </c>
      <c r="AA469" s="527" t="s">
        <v>179</v>
      </c>
      <c r="AB469" s="527">
        <v>5</v>
      </c>
      <c r="AC469" s="527">
        <v>5</v>
      </c>
      <c r="AD469" s="527" t="s">
        <v>1632</v>
      </c>
    </row>
    <row r="470" spans="2:30">
      <c r="C470" s="523">
        <v>430</v>
      </c>
      <c r="D470" s="523">
        <v>10</v>
      </c>
      <c r="E470" s="543" t="s">
        <v>2840</v>
      </c>
      <c r="F470" s="523">
        <v>70</v>
      </c>
      <c r="G470" s="523"/>
      <c r="H470" s="523">
        <v>66</v>
      </c>
      <c r="I470" s="523">
        <v>0</v>
      </c>
      <c r="J470" s="523">
        <v>0</v>
      </c>
      <c r="K470" s="523"/>
      <c r="L470" s="797">
        <f>[1]!tsabetm(C470)</f>
        <v>72.583333333333343</v>
      </c>
      <c r="M470" s="797">
        <f>[1]!tsabetz(C470)</f>
        <v>98.316666666666663</v>
      </c>
      <c r="N470" s="797">
        <f t="shared" si="42"/>
        <v>67.500000000000028</v>
      </c>
      <c r="O470" s="797">
        <f t="shared" si="43"/>
        <v>1445.0028169014086</v>
      </c>
      <c r="P470" s="797">
        <f t="shared" si="44"/>
        <v>12.335837245696553</v>
      </c>
      <c r="Q470" s="797">
        <f t="shared" si="45"/>
        <v>101</v>
      </c>
      <c r="R470" s="797">
        <f t="shared" si="46"/>
        <v>101.20559728742828</v>
      </c>
      <c r="S470" s="797">
        <f>[1]!taqsabet(O470,C470)</f>
        <v>101.20393507188123</v>
      </c>
      <c r="T470" s="523"/>
      <c r="U470" s="523">
        <v>3</v>
      </c>
      <c r="V470" s="523">
        <v>8</v>
      </c>
      <c r="W470" s="523">
        <v>19</v>
      </c>
      <c r="X470" s="523"/>
      <c r="Y470" s="523">
        <v>1</v>
      </c>
      <c r="Z470" s="523">
        <v>51</v>
      </c>
      <c r="AA470" s="523" t="s">
        <v>179</v>
      </c>
      <c r="AB470" s="523">
        <v>3</v>
      </c>
      <c r="AC470" s="523">
        <v>3</v>
      </c>
      <c r="AD470" s="523" t="s">
        <v>1632</v>
      </c>
    </row>
    <row r="471" spans="2:30">
      <c r="C471" s="527">
        <v>431</v>
      </c>
      <c r="D471" s="527">
        <v>11</v>
      </c>
      <c r="E471" s="553" t="s">
        <v>2841</v>
      </c>
      <c r="F471" s="527">
        <v>70</v>
      </c>
      <c r="G471" s="527"/>
      <c r="H471" s="527">
        <v>66</v>
      </c>
      <c r="I471" s="527">
        <v>0</v>
      </c>
      <c r="J471" s="527">
        <v>0</v>
      </c>
      <c r="K471" s="527"/>
      <c r="L471" s="797">
        <f>[1]!tsabetm(C471)</f>
        <v>81.25</v>
      </c>
      <c r="M471" s="797">
        <f>[1]!tsabetz(C471)</f>
        <v>106.81666666666666</v>
      </c>
      <c r="N471" s="797">
        <f t="shared" si="42"/>
        <v>67.940026075619301</v>
      </c>
      <c r="O471" s="797">
        <f t="shared" si="43"/>
        <v>1445.0028169014086</v>
      </c>
      <c r="P471" s="797">
        <f t="shared" si="44"/>
        <v>41.213195812757419</v>
      </c>
      <c r="Q471" s="797">
        <f t="shared" si="45"/>
        <v>109</v>
      </c>
      <c r="R471" s="797">
        <f t="shared" si="46"/>
        <v>109.68688659687929</v>
      </c>
      <c r="S471" s="797">
        <f>[1]!taqsabet(O471,C471)</f>
        <v>109.68523514697699</v>
      </c>
      <c r="T471" s="527"/>
      <c r="U471" s="527">
        <v>3</v>
      </c>
      <c r="V471" s="527">
        <v>16</v>
      </c>
      <c r="W471" s="527">
        <v>49</v>
      </c>
      <c r="X471" s="527"/>
      <c r="Y471" s="527">
        <v>0</v>
      </c>
      <c r="Z471" s="527">
        <v>21</v>
      </c>
      <c r="AA471" s="527" t="s">
        <v>274</v>
      </c>
      <c r="AB471" s="527">
        <v>3</v>
      </c>
      <c r="AC471" s="527">
        <v>3</v>
      </c>
      <c r="AD471" s="527" t="s">
        <v>1632</v>
      </c>
    </row>
    <row r="472" spans="2:30">
      <c r="C472" s="523">
        <v>432</v>
      </c>
      <c r="D472" s="523">
        <v>12</v>
      </c>
      <c r="E472" s="543" t="s">
        <v>2842</v>
      </c>
      <c r="F472" s="523">
        <v>70</v>
      </c>
      <c r="G472" s="523"/>
      <c r="H472" s="523">
        <v>66</v>
      </c>
      <c r="I472" s="523">
        <v>0</v>
      </c>
      <c r="J472" s="523">
        <v>0</v>
      </c>
      <c r="K472" s="523"/>
      <c r="L472" s="797">
        <f>[1]!tsabetm(C472)</f>
        <v>77.833333333333343</v>
      </c>
      <c r="M472" s="797">
        <f>[1]!tsabetz(C472)</f>
        <v>103.06666666666666</v>
      </c>
      <c r="N472" s="797">
        <f t="shared" si="42"/>
        <v>68.83751651254957</v>
      </c>
      <c r="O472" s="797">
        <f t="shared" si="43"/>
        <v>1445.0028169014086</v>
      </c>
      <c r="P472" s="797">
        <f t="shared" si="44"/>
        <v>53.967912946880858</v>
      </c>
      <c r="Q472" s="797">
        <f t="shared" si="45"/>
        <v>105</v>
      </c>
      <c r="R472" s="797">
        <f t="shared" si="46"/>
        <v>105.89946521578135</v>
      </c>
      <c r="S472" s="797">
        <f>[1]!taqsabet(O472,C472)</f>
        <v>105.89783529716851</v>
      </c>
      <c r="T472" s="523"/>
      <c r="U472" s="523">
        <v>3</v>
      </c>
      <c r="V472" s="523">
        <v>13</v>
      </c>
      <c r="W472" s="523">
        <v>4</v>
      </c>
      <c r="X472" s="523"/>
      <c r="Y472" s="523">
        <v>2</v>
      </c>
      <c r="Z472" s="523">
        <v>18</v>
      </c>
      <c r="AA472" s="523" t="s">
        <v>274</v>
      </c>
      <c r="AB472" s="523">
        <v>4</v>
      </c>
      <c r="AC472" s="523">
        <v>3</v>
      </c>
      <c r="AD472" s="523" t="s">
        <v>1632</v>
      </c>
    </row>
    <row r="473" spans="2:30">
      <c r="C473" s="527">
        <v>433</v>
      </c>
      <c r="D473" s="527">
        <v>13</v>
      </c>
      <c r="E473" s="553" t="s">
        <v>2843</v>
      </c>
      <c r="F473" s="527">
        <v>70</v>
      </c>
      <c r="G473" s="527"/>
      <c r="H473" s="527">
        <v>66</v>
      </c>
      <c r="I473" s="527">
        <v>0</v>
      </c>
      <c r="J473" s="527">
        <v>0</v>
      </c>
      <c r="K473" s="527"/>
      <c r="L473" s="797">
        <f>[1]!tsabetm(C473)</f>
        <v>80.916666666666657</v>
      </c>
      <c r="M473" s="797">
        <f>[1]!tsabetz(C473)</f>
        <v>107.06666666666666</v>
      </c>
      <c r="N473" s="797">
        <f t="shared" si="42"/>
        <v>66.424474187380483</v>
      </c>
      <c r="O473" s="797">
        <f t="shared" si="43"/>
        <v>1445.0028169014086</v>
      </c>
      <c r="P473" s="797">
        <f t="shared" si="44"/>
        <v>0.142440828042254</v>
      </c>
      <c r="Q473" s="797">
        <f t="shared" si="45"/>
        <v>110</v>
      </c>
      <c r="R473" s="797">
        <f t="shared" si="46"/>
        <v>110.0023740138007</v>
      </c>
      <c r="S473" s="797">
        <f>[1]!taqsabet(O473,C473)</f>
        <v>110.00068488414183</v>
      </c>
      <c r="T473" s="527"/>
      <c r="U473" s="527">
        <v>3</v>
      </c>
      <c r="V473" s="527">
        <v>17</v>
      </c>
      <c r="W473" s="527">
        <v>4</v>
      </c>
      <c r="X473" s="527"/>
      <c r="Y473" s="527">
        <v>6</v>
      </c>
      <c r="Z473" s="527">
        <v>0</v>
      </c>
      <c r="AA473" s="527" t="s">
        <v>274</v>
      </c>
      <c r="AB473" s="527">
        <v>3</v>
      </c>
      <c r="AC473" s="527">
        <v>3</v>
      </c>
      <c r="AD473" s="527" t="s">
        <v>1632</v>
      </c>
    </row>
    <row r="474" spans="2:30">
      <c r="C474" s="523">
        <v>434</v>
      </c>
      <c r="D474" s="523">
        <v>14</v>
      </c>
      <c r="E474" s="543" t="s">
        <v>2844</v>
      </c>
      <c r="F474" s="523">
        <v>70</v>
      </c>
      <c r="G474" s="523"/>
      <c r="H474" s="523">
        <v>66</v>
      </c>
      <c r="I474" s="523">
        <v>0</v>
      </c>
      <c r="J474" s="523">
        <v>0</v>
      </c>
      <c r="K474" s="523"/>
      <c r="L474" s="797">
        <f>[1]!tsabetm(C474)</f>
        <v>66.083333333333343</v>
      </c>
      <c r="M474" s="797">
        <f>[1]!tsabetz(C474)</f>
        <v>92.016666666666666</v>
      </c>
      <c r="N474" s="797">
        <f t="shared" si="42"/>
        <v>66.979434447300804</v>
      </c>
      <c r="O474" s="797">
        <f t="shared" si="43"/>
        <v>1445.0028169014086</v>
      </c>
      <c r="P474" s="797">
        <f t="shared" si="44"/>
        <v>55.683006965222148</v>
      </c>
      <c r="Q474" s="797">
        <f t="shared" si="45"/>
        <v>94</v>
      </c>
      <c r="R474" s="797">
        <f t="shared" si="46"/>
        <v>94.928050116087036</v>
      </c>
      <c r="S474" s="797">
        <f>[1]!taqsabet(O474,C474)</f>
        <v>94.926374981766315</v>
      </c>
      <c r="T474" s="523"/>
      <c r="U474" s="523">
        <v>3</v>
      </c>
      <c r="V474" s="523">
        <v>2</v>
      </c>
      <c r="W474" s="523">
        <v>1</v>
      </c>
      <c r="X474" s="523"/>
      <c r="Y474" s="523">
        <v>1</v>
      </c>
      <c r="Z474" s="523">
        <v>30</v>
      </c>
      <c r="AA474" s="523" t="s">
        <v>274</v>
      </c>
      <c r="AB474" s="523">
        <v>4</v>
      </c>
      <c r="AC474" s="523">
        <v>4</v>
      </c>
      <c r="AD474" s="523" t="s">
        <v>2524</v>
      </c>
    </row>
    <row r="475" spans="2:30">
      <c r="C475" s="527">
        <v>435</v>
      </c>
      <c r="D475" s="527">
        <v>15</v>
      </c>
      <c r="E475" s="553" t="s">
        <v>2845</v>
      </c>
      <c r="F475" s="527">
        <v>70</v>
      </c>
      <c r="G475" s="527"/>
      <c r="H475" s="527">
        <v>66</v>
      </c>
      <c r="I475" s="527">
        <v>0</v>
      </c>
      <c r="J475" s="527">
        <v>0</v>
      </c>
      <c r="K475" s="527"/>
      <c r="L475" s="797">
        <f>[1]!tsabetm(C475)</f>
        <v>67.75</v>
      </c>
      <c r="M475" s="797">
        <f>[1]!tsabetz(C475)</f>
        <v>93.61666666666666</v>
      </c>
      <c r="N475" s="797">
        <f t="shared" si="42"/>
        <v>67.152061855670127</v>
      </c>
      <c r="O475" s="797">
        <f t="shared" si="43"/>
        <v>1445.0028169014086</v>
      </c>
      <c r="P475" s="797">
        <f t="shared" si="44"/>
        <v>31.233950392046665</v>
      </c>
      <c r="Q475" s="797">
        <f t="shared" si="45"/>
        <v>96</v>
      </c>
      <c r="R475" s="797">
        <f t="shared" si="46"/>
        <v>96.520565839867444</v>
      </c>
      <c r="S475" s="797">
        <f>[1]!taqsabet(O475,C475)</f>
        <v>96.518895011804617</v>
      </c>
      <c r="T475" s="527"/>
      <c r="U475" s="527">
        <v>3</v>
      </c>
      <c r="V475" s="527">
        <v>3</v>
      </c>
      <c r="W475" s="527">
        <v>37</v>
      </c>
      <c r="X475" s="527"/>
      <c r="Y475" s="527">
        <v>1</v>
      </c>
      <c r="Z475" s="527">
        <v>15</v>
      </c>
      <c r="AA475" s="527" t="s">
        <v>274</v>
      </c>
      <c r="AB475" s="527">
        <v>4</v>
      </c>
      <c r="AC475" s="527">
        <v>4</v>
      </c>
      <c r="AD475" s="527" t="s">
        <v>2524</v>
      </c>
    </row>
    <row r="476" spans="2:30">
      <c r="C476" s="523">
        <v>436</v>
      </c>
      <c r="D476" s="523">
        <v>16</v>
      </c>
      <c r="E476" s="543" t="s">
        <v>2846</v>
      </c>
      <c r="F476" s="523">
        <v>70</v>
      </c>
      <c r="G476" s="523"/>
      <c r="H476" s="523">
        <v>66</v>
      </c>
      <c r="I476" s="523">
        <v>0</v>
      </c>
      <c r="J476" s="523">
        <v>0</v>
      </c>
      <c r="K476" s="523"/>
      <c r="L476" s="797">
        <f>[1]!tsabetm(C476)</f>
        <v>69.75</v>
      </c>
      <c r="M476" s="797">
        <f>[1]!tsabetz(C476)</f>
        <v>95.516666666666666</v>
      </c>
      <c r="N476" s="797">
        <f t="shared" si="42"/>
        <v>67.412677878395868</v>
      </c>
      <c r="O476" s="797">
        <f t="shared" si="43"/>
        <v>1445.0028169014086</v>
      </c>
      <c r="P476" s="797">
        <f t="shared" si="44"/>
        <v>24.560365532283868</v>
      </c>
      <c r="Q476" s="797">
        <f t="shared" si="45"/>
        <v>98</v>
      </c>
      <c r="R476" s="797">
        <f t="shared" si="46"/>
        <v>98.409339425538064</v>
      </c>
      <c r="S476" s="797">
        <f>[1]!taqsabet(O476,C476)</f>
        <v>98.407675056862075</v>
      </c>
      <c r="T476" s="523"/>
      <c r="U476" s="523">
        <v>3</v>
      </c>
      <c r="V476" s="523">
        <v>5</v>
      </c>
      <c r="W476" s="523">
        <v>31</v>
      </c>
      <c r="X476" s="523"/>
      <c r="Y476" s="523">
        <v>3</v>
      </c>
      <c r="Z476" s="523">
        <v>24</v>
      </c>
      <c r="AA476" s="523" t="s">
        <v>274</v>
      </c>
      <c r="AB476" s="523">
        <v>4</v>
      </c>
      <c r="AC476" s="523">
        <v>4</v>
      </c>
      <c r="AD476" s="523" t="s">
        <v>2524</v>
      </c>
    </row>
    <row r="477" spans="2:30">
      <c r="C477" s="527">
        <v>437</v>
      </c>
      <c r="D477" s="527">
        <v>17</v>
      </c>
      <c r="E477" s="553" t="s">
        <v>2847</v>
      </c>
      <c r="F477" s="527">
        <v>70</v>
      </c>
      <c r="G477" s="527"/>
      <c r="H477" s="527">
        <v>66</v>
      </c>
      <c r="I477" s="527">
        <v>0</v>
      </c>
      <c r="J477" s="527">
        <v>0</v>
      </c>
      <c r="K477" s="527"/>
      <c r="L477" s="797">
        <f>[1]!tsabetm(C477)</f>
        <v>71.583333333333343</v>
      </c>
      <c r="M477" s="797">
        <f>[1]!tsabetz(C477)</f>
        <v>97.61666666666666</v>
      </c>
      <c r="N477" s="797">
        <f t="shared" si="42"/>
        <v>66.722151088348312</v>
      </c>
      <c r="O477" s="797">
        <f t="shared" si="43"/>
        <v>1445.0028169014086</v>
      </c>
      <c r="P477" s="797">
        <f t="shared" si="44"/>
        <v>32.356591824984946</v>
      </c>
      <c r="Q477" s="797">
        <f t="shared" si="45"/>
        <v>100</v>
      </c>
      <c r="R477" s="797">
        <f t="shared" si="46"/>
        <v>100.53927653041642</v>
      </c>
      <c r="S477" s="797">
        <f>[1]!taqsabet(O477,C477)</f>
        <v>100.53759493670886</v>
      </c>
      <c r="T477" s="527"/>
      <c r="U477" s="527">
        <v>3</v>
      </c>
      <c r="V477" s="527">
        <v>7</v>
      </c>
      <c r="W477" s="527">
        <v>37</v>
      </c>
      <c r="X477" s="527"/>
      <c r="Y477" s="527">
        <v>7</v>
      </c>
      <c r="Z477" s="527">
        <v>12</v>
      </c>
      <c r="AA477" s="527" t="s">
        <v>274</v>
      </c>
      <c r="AB477" s="527">
        <v>3</v>
      </c>
      <c r="AC477" s="527">
        <v>3</v>
      </c>
      <c r="AD477" s="527" t="s">
        <v>2524</v>
      </c>
    </row>
    <row r="478" spans="2:30">
      <c r="C478" s="523">
        <v>438</v>
      </c>
      <c r="D478" s="523">
        <v>18</v>
      </c>
      <c r="E478" s="543" t="s">
        <v>2848</v>
      </c>
      <c r="F478" s="523">
        <v>70</v>
      </c>
      <c r="G478" s="523"/>
      <c r="H478" s="523">
        <v>66</v>
      </c>
      <c r="I478" s="523">
        <v>0</v>
      </c>
      <c r="J478" s="523">
        <v>0</v>
      </c>
      <c r="K478" s="523"/>
      <c r="L478" s="797">
        <f>[1]!tsabetm(C478)</f>
        <v>74.25</v>
      </c>
      <c r="M478" s="797">
        <f>[1]!tsabetz(C478)</f>
        <v>99.61666666666666</v>
      </c>
      <c r="N478" s="797">
        <f t="shared" si="42"/>
        <v>68.475689881734581</v>
      </c>
      <c r="O478" s="797">
        <f t="shared" si="43"/>
        <v>1445.0028169014086</v>
      </c>
      <c r="P478" s="797">
        <f t="shared" si="44"/>
        <v>27.866026093231824</v>
      </c>
      <c r="Q478" s="797">
        <f t="shared" si="45"/>
        <v>102</v>
      </c>
      <c r="R478" s="797">
        <f t="shared" si="46"/>
        <v>102.46443376822053</v>
      </c>
      <c r="S478" s="797">
        <f>[1]!taqsabet(O478,C478)</f>
        <v>102.4627952370919</v>
      </c>
      <c r="T478" s="523"/>
      <c r="U478" s="523">
        <v>3</v>
      </c>
      <c r="V478" s="523">
        <v>9</v>
      </c>
      <c r="W478" s="523">
        <v>37</v>
      </c>
      <c r="X478" s="523"/>
      <c r="Y478" s="523">
        <v>10</v>
      </c>
      <c r="Z478" s="523">
        <v>12</v>
      </c>
      <c r="AA478" s="523" t="s">
        <v>274</v>
      </c>
      <c r="AB478" s="523">
        <v>4</v>
      </c>
      <c r="AC478" s="523">
        <v>4</v>
      </c>
      <c r="AD478" s="523" t="s">
        <v>2524</v>
      </c>
    </row>
    <row r="479" spans="2:30">
      <c r="B479" s="505" t="s">
        <v>2415</v>
      </c>
      <c r="C479" s="527">
        <v>439</v>
      </c>
      <c r="D479" s="527">
        <v>1</v>
      </c>
      <c r="E479" s="553" t="s">
        <v>2849</v>
      </c>
      <c r="F479" s="527">
        <v>70</v>
      </c>
      <c r="G479" s="527"/>
      <c r="H479" s="527">
        <v>66</v>
      </c>
      <c r="I479" s="527">
        <v>0</v>
      </c>
      <c r="J479" s="527">
        <v>0</v>
      </c>
      <c r="K479" s="527"/>
      <c r="L479" s="797">
        <f>[1]!tsabetm(C479)</f>
        <v>63.749999999999993</v>
      </c>
      <c r="M479" s="797">
        <f>[1]!tsabetz(C479)</f>
        <v>89.316666666666663</v>
      </c>
      <c r="N479" s="797">
        <f t="shared" si="42"/>
        <v>67.940026075619286</v>
      </c>
      <c r="O479" s="797">
        <f t="shared" si="43"/>
        <v>1445.0028169014086</v>
      </c>
      <c r="P479" s="797">
        <f t="shared" si="44"/>
        <v>11.213195812758272</v>
      </c>
      <c r="Q479" s="797">
        <f t="shared" si="45"/>
        <v>92</v>
      </c>
      <c r="R479" s="797">
        <f t="shared" si="46"/>
        <v>92.186886596879305</v>
      </c>
      <c r="S479" s="797">
        <f>[1]!taqsabet(O479,C479)</f>
        <v>92.185235146976993</v>
      </c>
      <c r="T479" s="527"/>
      <c r="U479" s="527">
        <v>2</v>
      </c>
      <c r="V479" s="527">
        <v>29</v>
      </c>
      <c r="W479" s="527">
        <v>19</v>
      </c>
      <c r="X479" s="527"/>
      <c r="Y479" s="527">
        <v>0</v>
      </c>
      <c r="Z479" s="527">
        <v>45</v>
      </c>
      <c r="AA479" s="527" t="s">
        <v>274</v>
      </c>
      <c r="AB479" s="527">
        <v>4</v>
      </c>
      <c r="AC479" s="527">
        <v>4</v>
      </c>
      <c r="AD479" s="527"/>
    </row>
    <row r="480" spans="2:30">
      <c r="C480" s="523">
        <v>440</v>
      </c>
      <c r="D480" s="523">
        <v>2</v>
      </c>
      <c r="E480" s="543" t="s">
        <v>2850</v>
      </c>
      <c r="F480" s="523">
        <v>70</v>
      </c>
      <c r="G480" s="523"/>
      <c r="H480" s="523">
        <v>66</v>
      </c>
      <c r="I480" s="523">
        <v>0</v>
      </c>
      <c r="J480" s="523">
        <v>0</v>
      </c>
      <c r="K480" s="523"/>
      <c r="L480" s="797">
        <f>[1]!tsabetm(C480)</f>
        <v>66.083333333333343</v>
      </c>
      <c r="M480" s="797">
        <f>[1]!tsabetz(C480)</f>
        <v>92.016666666666666</v>
      </c>
      <c r="N480" s="797">
        <f t="shared" si="42"/>
        <v>66.979434447300804</v>
      </c>
      <c r="O480" s="797">
        <f t="shared" si="43"/>
        <v>1445.0028169014086</v>
      </c>
      <c r="P480" s="797">
        <f t="shared" si="44"/>
        <v>55.683006965222148</v>
      </c>
      <c r="Q480" s="797">
        <f t="shared" si="45"/>
        <v>94</v>
      </c>
      <c r="R480" s="797">
        <f t="shared" si="46"/>
        <v>94.928050116087036</v>
      </c>
      <c r="S480" s="797">
        <f>[1]!taqsabet(O480,C480)</f>
        <v>94.926374981766315</v>
      </c>
      <c r="T480" s="523"/>
      <c r="U480" s="523">
        <v>3</v>
      </c>
      <c r="V480" s="523">
        <v>2</v>
      </c>
      <c r="W480" s="523">
        <v>1</v>
      </c>
      <c r="X480" s="523"/>
      <c r="Y480" s="523">
        <v>6</v>
      </c>
      <c r="Z480" s="523">
        <v>0</v>
      </c>
      <c r="AA480" s="523" t="s">
        <v>179</v>
      </c>
      <c r="AB480" s="523">
        <v>4</v>
      </c>
      <c r="AC480" s="523">
        <v>4</v>
      </c>
      <c r="AD480" s="523"/>
    </row>
    <row r="481" spans="1:31">
      <c r="C481" s="527">
        <v>441</v>
      </c>
      <c r="D481" s="527">
        <v>3</v>
      </c>
      <c r="E481" s="553" t="s">
        <v>2851</v>
      </c>
      <c r="F481" s="527">
        <v>70</v>
      </c>
      <c r="G481" s="527"/>
      <c r="H481" s="527">
        <v>66</v>
      </c>
      <c r="I481" s="527">
        <v>0</v>
      </c>
      <c r="J481" s="527">
        <v>0</v>
      </c>
      <c r="K481" s="527"/>
      <c r="L481" s="797">
        <f>[1]!tsabetm(C481)</f>
        <v>74.75</v>
      </c>
      <c r="M481" s="797">
        <f>[1]!tsabetz(C481)</f>
        <v>110.16666666666667</v>
      </c>
      <c r="N481" s="797">
        <f t="shared" si="42"/>
        <v>49.044705882352936</v>
      </c>
      <c r="O481" s="797">
        <f t="shared" si="43"/>
        <v>1445.0028169014086</v>
      </c>
      <c r="P481" s="797">
        <f t="shared" si="44"/>
        <v>8.5613044994207144</v>
      </c>
      <c r="Q481" s="797">
        <f t="shared" si="45"/>
        <v>114</v>
      </c>
      <c r="R481" s="797">
        <f t="shared" si="46"/>
        <v>114.14268840832368</v>
      </c>
      <c r="S481" s="797">
        <f>[1]!taqsabet(O481,C481)</f>
        <v>114.14040070881755</v>
      </c>
      <c r="T481" s="527"/>
      <c r="U481" s="527">
        <v>3</v>
      </c>
      <c r="V481" s="527">
        <v>20</v>
      </c>
      <c r="W481" s="527">
        <v>10</v>
      </c>
      <c r="X481" s="527"/>
      <c r="Y481" s="527">
        <v>2</v>
      </c>
      <c r="Z481" s="527">
        <v>0</v>
      </c>
      <c r="AA481" s="527" t="s">
        <v>274</v>
      </c>
      <c r="AB481" s="527">
        <v>5</v>
      </c>
      <c r="AC481" s="527">
        <v>5</v>
      </c>
      <c r="AD481" s="527"/>
      <c r="AE481" s="327">
        <v>590</v>
      </c>
    </row>
    <row r="482" spans="1:31">
      <c r="C482" s="523">
        <v>442</v>
      </c>
      <c r="D482" s="523">
        <v>4</v>
      </c>
      <c r="E482" s="543" t="s">
        <v>2852</v>
      </c>
      <c r="F482" s="523">
        <v>70</v>
      </c>
      <c r="G482" s="523"/>
      <c r="H482" s="523">
        <v>66</v>
      </c>
      <c r="I482" s="523">
        <v>0</v>
      </c>
      <c r="J482" s="523">
        <v>0</v>
      </c>
      <c r="K482" s="523"/>
      <c r="L482" s="797">
        <f>[1]!tsabetm(C482)</f>
        <v>87.916666666666657</v>
      </c>
      <c r="M482" s="797">
        <f>[1]!tsabetz(C482)</f>
        <v>115.28333333333333</v>
      </c>
      <c r="N482" s="797">
        <f t="shared" si="42"/>
        <v>63.471376370280126</v>
      </c>
      <c r="O482" s="797">
        <f t="shared" si="43"/>
        <v>1445.0028169014086</v>
      </c>
      <c r="P482" s="797">
        <f t="shared" si="44"/>
        <v>21.33772328849318</v>
      </c>
      <c r="Q482" s="797">
        <f t="shared" si="45"/>
        <v>118</v>
      </c>
      <c r="R482" s="797">
        <f t="shared" si="46"/>
        <v>118.35562872147489</v>
      </c>
      <c r="S482" s="797">
        <f>[1]!taqsabet(O482,C482)</f>
        <v>118.35386100260945</v>
      </c>
      <c r="T482" s="523"/>
      <c r="U482" s="523">
        <v>3</v>
      </c>
      <c r="V482" s="523">
        <v>25</v>
      </c>
      <c r="W482" s="551">
        <v>17</v>
      </c>
      <c r="X482" s="523"/>
      <c r="Y482" s="523">
        <v>1</v>
      </c>
      <c r="Z482" s="523">
        <v>20</v>
      </c>
      <c r="AA482" s="523" t="s">
        <v>274</v>
      </c>
      <c r="AB482" s="523">
        <v>5</v>
      </c>
      <c r="AC482" s="523">
        <v>5</v>
      </c>
      <c r="AD482" s="523"/>
    </row>
    <row r="483" spans="1:31">
      <c r="C483" s="527">
        <v>443</v>
      </c>
      <c r="D483" s="527">
        <v>5</v>
      </c>
      <c r="E483" s="553" t="s">
        <v>2612</v>
      </c>
      <c r="F483" s="527">
        <v>70</v>
      </c>
      <c r="G483" s="527"/>
      <c r="H483" s="527">
        <v>66</v>
      </c>
      <c r="I483" s="527">
        <v>0</v>
      </c>
      <c r="J483" s="527">
        <v>0</v>
      </c>
      <c r="K483" s="527"/>
      <c r="L483" s="797">
        <f>[1]!tsabetm(C483)</f>
        <v>85.916666666666657</v>
      </c>
      <c r="M483" s="797">
        <f>[1]!tsabetz(C483)</f>
        <v>113.31666666666666</v>
      </c>
      <c r="N483" s="797">
        <f t="shared" si="42"/>
        <v>63.394160583941591</v>
      </c>
      <c r="O483" s="797">
        <f t="shared" si="43"/>
        <v>1445.0028169014086</v>
      </c>
      <c r="P483" s="797">
        <f t="shared" si="44"/>
        <v>23.562251575081063</v>
      </c>
      <c r="Q483" s="797">
        <f t="shared" si="45"/>
        <v>116</v>
      </c>
      <c r="R483" s="797">
        <f t="shared" si="46"/>
        <v>116.39270419291802</v>
      </c>
      <c r="S483" s="797">
        <f>[1]!taqsabet(O483,C483)</f>
        <v>116.39093432092362</v>
      </c>
      <c r="T483" s="527"/>
      <c r="U483" s="527">
        <v>3</v>
      </c>
      <c r="V483" s="527">
        <v>23</v>
      </c>
      <c r="W483" s="527">
        <v>19</v>
      </c>
      <c r="X483" s="527"/>
      <c r="Y483" s="527">
        <v>3</v>
      </c>
      <c r="Z483" s="527">
        <v>0</v>
      </c>
      <c r="AA483" s="527" t="s">
        <v>274</v>
      </c>
      <c r="AB483" s="527">
        <v>5</v>
      </c>
      <c r="AC483" s="527">
        <v>5</v>
      </c>
      <c r="AD483" s="527"/>
    </row>
    <row r="484" spans="1:31">
      <c r="C484" s="523">
        <v>444</v>
      </c>
      <c r="D484" s="523">
        <v>6</v>
      </c>
      <c r="E484" s="543" t="s">
        <v>2853</v>
      </c>
      <c r="F484" s="523">
        <v>70</v>
      </c>
      <c r="G484" s="523"/>
      <c r="H484" s="523">
        <v>66</v>
      </c>
      <c r="I484" s="523">
        <v>0</v>
      </c>
      <c r="J484" s="523">
        <v>0</v>
      </c>
      <c r="K484" s="523"/>
      <c r="L484" s="797">
        <f>[1]!tsabetm(C484)</f>
        <v>85.583333333333343</v>
      </c>
      <c r="M484" s="797">
        <f>[1]!tsabetz(C484)</f>
        <v>111.86666666666666</v>
      </c>
      <c r="N484" s="797">
        <f t="shared" si="42"/>
        <v>66.087507926442655</v>
      </c>
      <c r="O484" s="797">
        <f t="shared" si="43"/>
        <v>1445.0028169014086</v>
      </c>
      <c r="P484" s="797">
        <f t="shared" si="44"/>
        <v>49.04055397439322</v>
      </c>
      <c r="Q484" s="797">
        <f t="shared" si="45"/>
        <v>114</v>
      </c>
      <c r="R484" s="797">
        <f t="shared" si="46"/>
        <v>114.81734256623989</v>
      </c>
      <c r="S484" s="797">
        <f>[1]!taqsabet(O484,C484)</f>
        <v>114.81564482406522</v>
      </c>
      <c r="T484" s="523"/>
      <c r="U484" s="523">
        <v>3</v>
      </c>
      <c r="V484" s="523">
        <v>21</v>
      </c>
      <c r="W484" s="551">
        <v>52</v>
      </c>
      <c r="X484" s="523"/>
      <c r="Y484" s="523">
        <v>4</v>
      </c>
      <c r="Z484" s="523">
        <v>15</v>
      </c>
      <c r="AA484" s="523" t="s">
        <v>274</v>
      </c>
      <c r="AB484" s="523">
        <v>3</v>
      </c>
      <c r="AC484" s="523">
        <v>5</v>
      </c>
      <c r="AD484" s="523"/>
    </row>
    <row r="485" spans="1:31">
      <c r="C485" s="527">
        <v>445</v>
      </c>
      <c r="D485" s="527">
        <v>7</v>
      </c>
      <c r="E485" s="553" t="s">
        <v>2854</v>
      </c>
      <c r="F485" s="527">
        <v>70</v>
      </c>
      <c r="G485" s="527"/>
      <c r="H485" s="527">
        <v>66</v>
      </c>
      <c r="I485" s="527">
        <v>0</v>
      </c>
      <c r="J485" s="527">
        <v>0</v>
      </c>
      <c r="K485" s="527"/>
      <c r="L485" s="797">
        <f>[1]!tsabetm(C485)</f>
        <v>90.25</v>
      </c>
      <c r="M485" s="797">
        <f>[1]!tsabetz(C485)</f>
        <v>117.26666666666667</v>
      </c>
      <c r="N485" s="797">
        <f t="shared" si="42"/>
        <v>64.293645897594075</v>
      </c>
      <c r="O485" s="797">
        <f t="shared" si="43"/>
        <v>1445.0028169014086</v>
      </c>
      <c r="P485" s="797">
        <f t="shared" si="44"/>
        <v>17.980176279322677</v>
      </c>
      <c r="Q485" s="797">
        <f t="shared" si="45"/>
        <v>120</v>
      </c>
      <c r="R485" s="797">
        <f t="shared" si="46"/>
        <v>120.29966960465538</v>
      </c>
      <c r="S485" s="797">
        <f>[1]!taqsabet(O485,C485)</f>
        <v>120.29792449364388</v>
      </c>
      <c r="T485" s="527"/>
      <c r="U485" s="527">
        <v>3</v>
      </c>
      <c r="V485" s="527">
        <v>27</v>
      </c>
      <c r="W485" s="527">
        <v>16</v>
      </c>
      <c r="X485" s="527"/>
      <c r="Y485" s="527">
        <v>2</v>
      </c>
      <c r="Z485" s="527">
        <v>45</v>
      </c>
      <c r="AA485" s="527" t="s">
        <v>274</v>
      </c>
      <c r="AB485" s="527">
        <v>3</v>
      </c>
      <c r="AC485" s="527">
        <v>4</v>
      </c>
      <c r="AD485" s="527"/>
    </row>
    <row r="486" spans="1:31">
      <c r="C486" s="546"/>
      <c r="D486" s="546"/>
      <c r="E486" s="546"/>
      <c r="F486" s="546"/>
      <c r="G486" s="546"/>
      <c r="H486" s="546"/>
      <c r="I486" s="546"/>
      <c r="J486" s="546"/>
      <c r="K486" s="546"/>
      <c r="N486" s="797">
        <f t="shared" si="42"/>
        <v>4.8250000000000002</v>
      </c>
      <c r="O486" s="797">
        <f t="shared" si="43"/>
        <v>1445.0028169014086</v>
      </c>
      <c r="P486" s="797">
        <f t="shared" si="44"/>
        <v>24.905495147049237</v>
      </c>
      <c r="Q486" s="797">
        <f t="shared" si="45"/>
        <v>40</v>
      </c>
      <c r="R486" s="797">
        <f t="shared" si="46"/>
        <v>40.415091585784154</v>
      </c>
      <c r="S486" s="797">
        <f>[1]!taqsabet(O486,C486)</f>
        <v>1.4716840899636423</v>
      </c>
      <c r="T486" s="546"/>
      <c r="U486" s="546"/>
      <c r="V486" s="546"/>
      <c r="W486" s="546"/>
      <c r="X486" s="546"/>
      <c r="Y486" s="546"/>
      <c r="Z486" s="546"/>
      <c r="AA486" s="546"/>
      <c r="AB486" s="546"/>
      <c r="AC486" s="546"/>
      <c r="AD486" s="546"/>
    </row>
    <row r="487" spans="1:31">
      <c r="A487" s="563">
        <v>4</v>
      </c>
      <c r="B487" s="536" t="s">
        <v>273</v>
      </c>
      <c r="C487" s="522">
        <v>446</v>
      </c>
      <c r="D487" s="522">
        <v>1</v>
      </c>
      <c r="E487" s="550" t="s">
        <v>2855</v>
      </c>
      <c r="F487" s="522">
        <v>70</v>
      </c>
      <c r="G487" s="522"/>
      <c r="H487" s="522">
        <v>66</v>
      </c>
      <c r="I487" s="522">
        <v>0</v>
      </c>
      <c r="J487" s="522">
        <v>0</v>
      </c>
      <c r="K487" s="565" t="s">
        <v>2856</v>
      </c>
      <c r="L487" s="797">
        <f>[1]!tsabetm(C487)</f>
        <v>99.916666666666657</v>
      </c>
      <c r="M487" s="797">
        <f>[1]!tsabetz(C487)</f>
        <v>125.86666666666666</v>
      </c>
      <c r="N487" s="797">
        <f t="shared" si="42"/>
        <v>66.936416184971094</v>
      </c>
      <c r="O487" s="797">
        <f t="shared" si="43"/>
        <v>1445.0028169014086</v>
      </c>
      <c r="P487" s="797">
        <f t="shared" si="44"/>
        <v>46.795271108516658</v>
      </c>
      <c r="Q487" s="797">
        <f t="shared" si="45"/>
        <v>128</v>
      </c>
      <c r="R487" s="797">
        <f t="shared" si="46"/>
        <v>128.77992118514194</v>
      </c>
      <c r="S487" s="797">
        <f>[1]!taqsabet(O487,C487)</f>
        <v>128.77824497425672</v>
      </c>
      <c r="T487" s="522"/>
      <c r="U487" s="522">
        <v>4</v>
      </c>
      <c r="V487" s="522">
        <v>5</v>
      </c>
      <c r="W487" s="522">
        <v>52</v>
      </c>
      <c r="X487" s="522"/>
      <c r="Y487" s="522">
        <v>1</v>
      </c>
      <c r="Z487" s="522">
        <v>0</v>
      </c>
      <c r="AA487" s="522" t="s">
        <v>179</v>
      </c>
      <c r="AB487" s="522" t="s">
        <v>2602</v>
      </c>
      <c r="AC487" s="522" t="s">
        <v>2602</v>
      </c>
      <c r="AD487" s="522" t="s">
        <v>2384</v>
      </c>
    </row>
    <row r="488" spans="1:31">
      <c r="C488" s="523">
        <v>447</v>
      </c>
      <c r="D488" s="523">
        <v>2</v>
      </c>
      <c r="E488" s="543" t="s">
        <v>2857</v>
      </c>
      <c r="F488" s="523">
        <v>70</v>
      </c>
      <c r="G488" s="523"/>
      <c r="H488" s="523">
        <v>66</v>
      </c>
      <c r="I488" s="523">
        <v>0</v>
      </c>
      <c r="J488" s="523">
        <v>0</v>
      </c>
      <c r="K488" s="523"/>
      <c r="L488" s="797">
        <f>[1]!tsabetm(C488)</f>
        <v>97.583333333333343</v>
      </c>
      <c r="M488" s="797">
        <f>[1]!tsabetz(C488)</f>
        <v>123.51666666666667</v>
      </c>
      <c r="N488" s="797">
        <f t="shared" si="42"/>
        <v>66.979434447300804</v>
      </c>
      <c r="O488" s="797">
        <f t="shared" si="43"/>
        <v>1445.0028169014086</v>
      </c>
      <c r="P488" s="797">
        <f t="shared" si="44"/>
        <v>25.683006965222148</v>
      </c>
      <c r="Q488" s="797">
        <f t="shared" si="45"/>
        <v>126</v>
      </c>
      <c r="R488" s="797">
        <f t="shared" si="46"/>
        <v>126.42805011608704</v>
      </c>
      <c r="S488" s="797">
        <f>[1]!taqsabet(O488,C488)</f>
        <v>126.42637498176632</v>
      </c>
      <c r="T488" s="523"/>
      <c r="U488" s="523">
        <v>4</v>
      </c>
      <c r="V488" s="523">
        <v>3</v>
      </c>
      <c r="W488" s="523">
        <v>31</v>
      </c>
      <c r="X488" s="523"/>
      <c r="Y488" s="523">
        <v>1</v>
      </c>
      <c r="Z488" s="523">
        <v>21</v>
      </c>
      <c r="AA488" s="523" t="s">
        <v>2695</v>
      </c>
      <c r="AB488" s="523">
        <v>4</v>
      </c>
      <c r="AC488" s="523">
        <v>4</v>
      </c>
      <c r="AD488" s="523" t="s">
        <v>2384</v>
      </c>
    </row>
    <row r="489" spans="1:31">
      <c r="C489" s="522">
        <v>448</v>
      </c>
      <c r="D489" s="522">
        <v>3</v>
      </c>
      <c r="E489" s="550" t="s">
        <v>2718</v>
      </c>
      <c r="F489" s="522">
        <v>70</v>
      </c>
      <c r="G489" s="522"/>
      <c r="H489" s="522">
        <v>66</v>
      </c>
      <c r="I489" s="522">
        <v>0</v>
      </c>
      <c r="J489" s="522">
        <v>0</v>
      </c>
      <c r="K489" s="522"/>
      <c r="L489" s="797">
        <f>[1]!tsabetm(C489)</f>
        <v>97.583333333333343</v>
      </c>
      <c r="M489" s="797">
        <f>[1]!tsabetz(C489)</f>
        <v>123.76666666666667</v>
      </c>
      <c r="N489" s="797">
        <f t="shared" si="42"/>
        <v>66.339910884786789</v>
      </c>
      <c r="O489" s="797">
        <f t="shared" si="43"/>
        <v>1445.0028169014086</v>
      </c>
      <c r="P489" s="797">
        <f t="shared" si="44"/>
        <v>42.366969114630422</v>
      </c>
      <c r="Q489" s="797">
        <f t="shared" si="45"/>
        <v>126</v>
      </c>
      <c r="R489" s="797">
        <f t="shared" si="46"/>
        <v>126.70611615191051</v>
      </c>
      <c r="S489" s="797">
        <f>[1]!taqsabet(O489,C489)</f>
        <v>126.70442486912268</v>
      </c>
      <c r="T489" s="522"/>
      <c r="U489" s="522">
        <v>4</v>
      </c>
      <c r="V489" s="522">
        <v>3</v>
      </c>
      <c r="W489" s="522">
        <v>46</v>
      </c>
      <c r="X489" s="522"/>
      <c r="Y489" s="522">
        <v>1</v>
      </c>
      <c r="Z489" s="522">
        <v>15</v>
      </c>
      <c r="AA489" s="522" t="s">
        <v>274</v>
      </c>
      <c r="AB489" s="522">
        <v>4</v>
      </c>
      <c r="AC489" s="522">
        <v>4</v>
      </c>
      <c r="AD489" s="522" t="s">
        <v>2384</v>
      </c>
    </row>
    <row r="490" spans="1:31">
      <c r="C490" s="523">
        <v>449</v>
      </c>
      <c r="D490" s="523">
        <v>4</v>
      </c>
      <c r="E490" s="543" t="s">
        <v>2858</v>
      </c>
      <c r="F490" s="523">
        <v>70</v>
      </c>
      <c r="G490" s="523"/>
      <c r="H490" s="523">
        <v>69</v>
      </c>
      <c r="I490" s="523">
        <v>0</v>
      </c>
      <c r="J490" s="523">
        <v>9</v>
      </c>
      <c r="K490" s="523" t="s">
        <v>2859</v>
      </c>
      <c r="L490" s="797">
        <f>[1]!tsabetm(C490)</f>
        <v>99.916666666666657</v>
      </c>
      <c r="M490" s="797">
        <f>[1]!tsabetz(C490)</f>
        <v>125.66666666666667</v>
      </c>
      <c r="N490" s="797">
        <f t="shared" si="42"/>
        <v>67.456310679611619</v>
      </c>
      <c r="O490" s="797">
        <f t="shared" si="43"/>
        <v>1445.0028169014086</v>
      </c>
      <c r="P490" s="797">
        <f t="shared" si="44"/>
        <v>33.448101388991063</v>
      </c>
      <c r="Q490" s="797">
        <f t="shared" si="45"/>
        <v>128</v>
      </c>
      <c r="R490" s="797">
        <f t="shared" si="46"/>
        <v>128.55746835648318</v>
      </c>
      <c r="S490" s="797">
        <f>[1]!taqsabet(O490,C490)</f>
        <v>128.55580506437167</v>
      </c>
      <c r="T490" s="523"/>
      <c r="U490" s="523">
        <v>4</v>
      </c>
      <c r="V490" s="523">
        <v>5</v>
      </c>
      <c r="W490" s="523">
        <v>40</v>
      </c>
      <c r="X490" s="523"/>
      <c r="Y490" s="523">
        <v>3</v>
      </c>
      <c r="Z490" s="523">
        <v>6</v>
      </c>
      <c r="AA490" s="523" t="s">
        <v>2695</v>
      </c>
      <c r="AB490" s="523">
        <v>4</v>
      </c>
      <c r="AC490" s="523">
        <v>4</v>
      </c>
      <c r="AD490" s="523" t="s">
        <v>2860</v>
      </c>
    </row>
    <row r="491" spans="1:31">
      <c r="C491" s="522">
        <v>450</v>
      </c>
      <c r="D491" s="522">
        <v>5</v>
      </c>
      <c r="E491" s="550" t="s">
        <v>2718</v>
      </c>
      <c r="F491" s="522">
        <v>70</v>
      </c>
      <c r="G491" s="522"/>
      <c r="H491" s="522">
        <v>68</v>
      </c>
      <c r="I491" s="522">
        <v>7</v>
      </c>
      <c r="J491" s="522">
        <v>6</v>
      </c>
      <c r="K491" s="522" t="s">
        <v>2861</v>
      </c>
      <c r="L491" s="797">
        <f>[1]!tsabetm(C491)</f>
        <v>100.91666666666666</v>
      </c>
      <c r="M491" s="797">
        <f>[1]!tsabetz(C491)</f>
        <v>126.81666666666666</v>
      </c>
      <c r="N491" s="797">
        <f t="shared" si="42"/>
        <v>67.065637065637048</v>
      </c>
      <c r="O491" s="797">
        <f t="shared" si="43"/>
        <v>1445.0028169014086</v>
      </c>
      <c r="P491" s="797">
        <f t="shared" si="44"/>
        <v>43.458478678634833</v>
      </c>
      <c r="Q491" s="797">
        <f t="shared" si="45"/>
        <v>129</v>
      </c>
      <c r="R491" s="797">
        <f t="shared" si="46"/>
        <v>129.72430797797725</v>
      </c>
      <c r="S491" s="797">
        <f>[1]!taqsabet(O491,C491)</f>
        <v>129.72263499678547</v>
      </c>
      <c r="T491" s="522"/>
      <c r="U491" s="522">
        <v>4</v>
      </c>
      <c r="V491" s="522">
        <v>6</v>
      </c>
      <c r="W491" s="522">
        <v>49</v>
      </c>
      <c r="X491" s="522"/>
      <c r="Y491" s="522">
        <v>0</v>
      </c>
      <c r="Z491" s="522">
        <v>55</v>
      </c>
      <c r="AA491" s="522" t="s">
        <v>274</v>
      </c>
      <c r="AB491" s="522">
        <v>4</v>
      </c>
      <c r="AC491" s="522">
        <v>4</v>
      </c>
      <c r="AD491" s="522" t="s">
        <v>2860</v>
      </c>
    </row>
    <row r="492" spans="1:31">
      <c r="C492" s="523">
        <v>451</v>
      </c>
      <c r="D492" s="523">
        <v>6</v>
      </c>
      <c r="E492" s="543" t="s">
        <v>2862</v>
      </c>
      <c r="F492" s="523">
        <v>70</v>
      </c>
      <c r="G492" s="523"/>
      <c r="H492" s="523">
        <v>66</v>
      </c>
      <c r="I492" s="523">
        <v>0</v>
      </c>
      <c r="J492" s="523">
        <v>0</v>
      </c>
      <c r="K492" s="523"/>
      <c r="L492" s="797">
        <f>[1]!tsabetm(C492)</f>
        <v>106.08333333333334</v>
      </c>
      <c r="M492" s="797">
        <f>[1]!tsabetz(C492)</f>
        <v>131.81666666666666</v>
      </c>
      <c r="N492" s="797">
        <f t="shared" si="42"/>
        <v>67.500000000000028</v>
      </c>
      <c r="O492" s="797">
        <f t="shared" si="43"/>
        <v>1445.0028169014086</v>
      </c>
      <c r="P492" s="797">
        <f t="shared" si="44"/>
        <v>42.335837245696553</v>
      </c>
      <c r="Q492" s="797">
        <f t="shared" si="45"/>
        <v>134</v>
      </c>
      <c r="R492" s="797">
        <f t="shared" si="46"/>
        <v>134.70559728742828</v>
      </c>
      <c r="S492" s="797">
        <f>[1]!taqsabet(O492,C492)</f>
        <v>134.70393507188123</v>
      </c>
      <c r="T492" s="523"/>
      <c r="U492" s="523">
        <v>4</v>
      </c>
      <c r="V492" s="523">
        <v>11</v>
      </c>
      <c r="W492" s="523">
        <v>49</v>
      </c>
      <c r="X492" s="523"/>
      <c r="Y492" s="551">
        <v>3</v>
      </c>
      <c r="Z492" s="523">
        <v>21</v>
      </c>
      <c r="AA492" s="523" t="s">
        <v>274</v>
      </c>
      <c r="AB492" s="523">
        <v>4</v>
      </c>
      <c r="AC492" s="523">
        <v>4</v>
      </c>
      <c r="AD492" s="523" t="s">
        <v>322</v>
      </c>
    </row>
    <row r="493" spans="1:31">
      <c r="C493" s="522">
        <v>452</v>
      </c>
      <c r="D493" s="522">
        <v>7</v>
      </c>
      <c r="E493" s="550" t="s">
        <v>2863</v>
      </c>
      <c r="F493" s="522">
        <v>70</v>
      </c>
      <c r="G493" s="522"/>
      <c r="H493" s="522">
        <v>66</v>
      </c>
      <c r="I493" s="522">
        <v>0</v>
      </c>
      <c r="J493" s="522">
        <v>0</v>
      </c>
      <c r="K493" s="522"/>
      <c r="L493" s="797">
        <f>[1]!tsabetm(C493)</f>
        <v>97.916666666666657</v>
      </c>
      <c r="M493" s="797">
        <f>[1]!tsabetz(C493)</f>
        <v>124.21666666666667</v>
      </c>
      <c r="N493" s="797">
        <f t="shared" si="42"/>
        <v>66.045627376425827</v>
      </c>
      <c r="O493" s="797">
        <f t="shared" si="43"/>
        <v>1445.0028169014086</v>
      </c>
      <c r="P493" s="797">
        <f t="shared" si="44"/>
        <v>10.15281811768773</v>
      </c>
      <c r="Q493" s="797">
        <f t="shared" si="45"/>
        <v>127</v>
      </c>
      <c r="R493" s="797">
        <f t="shared" si="46"/>
        <v>127.1692136352948</v>
      </c>
      <c r="S493" s="797">
        <f>[1]!taqsabet(O493,C493)</f>
        <v>127.16751481655565</v>
      </c>
      <c r="T493" s="522"/>
      <c r="U493" s="522">
        <v>4</v>
      </c>
      <c r="V493" s="522">
        <v>4</v>
      </c>
      <c r="W493" s="522">
        <v>13</v>
      </c>
      <c r="X493" s="522"/>
      <c r="Y493" s="522">
        <v>10</v>
      </c>
      <c r="Z493" s="522">
        <v>15</v>
      </c>
      <c r="AA493" s="522" t="s">
        <v>2695</v>
      </c>
      <c r="AB493" s="522">
        <v>4</v>
      </c>
      <c r="AC493" s="522">
        <v>4</v>
      </c>
      <c r="AD493" s="522" t="s">
        <v>322</v>
      </c>
    </row>
    <row r="494" spans="1:31">
      <c r="C494" s="523">
        <v>453</v>
      </c>
      <c r="D494" s="523">
        <v>8</v>
      </c>
      <c r="E494" s="543" t="s">
        <v>2864</v>
      </c>
      <c r="F494" s="523">
        <v>70</v>
      </c>
      <c r="G494" s="523"/>
      <c r="H494" s="523">
        <v>66</v>
      </c>
      <c r="I494" s="523">
        <v>0</v>
      </c>
      <c r="J494" s="523">
        <v>0</v>
      </c>
      <c r="K494" s="523"/>
      <c r="L494" s="797">
        <f>[1]!tsabetm(C494)</f>
        <v>92.25</v>
      </c>
      <c r="M494" s="797">
        <f>[1]!tsabetz(C494)</f>
        <v>119.21666666666667</v>
      </c>
      <c r="N494" s="797">
        <f t="shared" si="42"/>
        <v>64.412855377008654</v>
      </c>
      <c r="O494" s="797">
        <f t="shared" si="43"/>
        <v>1445.0028169014086</v>
      </c>
      <c r="P494" s="797">
        <f t="shared" si="44"/>
        <v>14.643383849440852</v>
      </c>
      <c r="Q494" s="797">
        <f t="shared" si="45"/>
        <v>122</v>
      </c>
      <c r="R494" s="797">
        <f t="shared" si="46"/>
        <v>122.24405639749068</v>
      </c>
      <c r="S494" s="797">
        <f>[1]!taqsabet(O494,C494)</f>
        <v>122.2423145161726</v>
      </c>
      <c r="T494" s="523"/>
      <c r="U494" s="523">
        <v>3</v>
      </c>
      <c r="V494" s="523">
        <v>29</v>
      </c>
      <c r="W494" s="523">
        <v>43</v>
      </c>
      <c r="X494" s="523"/>
      <c r="Y494" s="523">
        <v>0</v>
      </c>
      <c r="Z494" s="523">
        <v>54</v>
      </c>
      <c r="AA494" s="523" t="s">
        <v>2695</v>
      </c>
      <c r="AB494" s="523">
        <v>5</v>
      </c>
      <c r="AC494" s="523">
        <v>5</v>
      </c>
      <c r="AD494" s="523" t="s">
        <v>2646</v>
      </c>
    </row>
    <row r="495" spans="1:31">
      <c r="C495" s="522">
        <v>454</v>
      </c>
      <c r="D495" s="522">
        <v>9</v>
      </c>
      <c r="E495" s="550" t="s">
        <v>2865</v>
      </c>
      <c r="F495" s="522">
        <v>70</v>
      </c>
      <c r="G495" s="522"/>
      <c r="H495" s="522">
        <v>66</v>
      </c>
      <c r="I495" s="522">
        <v>0</v>
      </c>
      <c r="J495" s="522">
        <v>0</v>
      </c>
      <c r="K495" s="522"/>
      <c r="L495" s="797">
        <f>[1]!tsabetm(C495)</f>
        <v>97.083333333333343</v>
      </c>
      <c r="M495" s="797">
        <f>[1]!tsabetz(C495)</f>
        <v>122.81666666666666</v>
      </c>
      <c r="N495" s="797">
        <f t="shared" si="42"/>
        <v>67.500000000000028</v>
      </c>
      <c r="O495" s="797">
        <f t="shared" si="43"/>
        <v>1445.0028169014086</v>
      </c>
      <c r="P495" s="797">
        <f t="shared" si="44"/>
        <v>42.335837245696553</v>
      </c>
      <c r="Q495" s="797">
        <f t="shared" si="45"/>
        <v>125</v>
      </c>
      <c r="R495" s="797">
        <f t="shared" si="46"/>
        <v>125.70559728742828</v>
      </c>
      <c r="S495" s="797">
        <f>[1]!taqsabet(O495,C495)</f>
        <v>125.70393507188123</v>
      </c>
      <c r="T495" s="522"/>
      <c r="U495" s="522">
        <v>4</v>
      </c>
      <c r="V495" s="522">
        <v>2</v>
      </c>
      <c r="W495" s="522">
        <v>49</v>
      </c>
      <c r="X495" s="522"/>
      <c r="Y495" s="522">
        <v>10</v>
      </c>
      <c r="Z495" s="522">
        <v>30</v>
      </c>
      <c r="AA495" s="522" t="s">
        <v>274</v>
      </c>
      <c r="AB495" s="522">
        <v>4</v>
      </c>
      <c r="AC495" s="522">
        <v>4</v>
      </c>
      <c r="AD495" s="522" t="s">
        <v>2646</v>
      </c>
    </row>
    <row r="496" spans="1:31">
      <c r="B496" s="505" t="s">
        <v>2415</v>
      </c>
      <c r="C496" s="523">
        <v>455</v>
      </c>
      <c r="D496" s="523">
        <v>1</v>
      </c>
      <c r="E496" s="543" t="s">
        <v>2866</v>
      </c>
      <c r="F496" s="523">
        <v>70</v>
      </c>
      <c r="G496" s="523"/>
      <c r="H496" s="523">
        <v>66</v>
      </c>
      <c r="I496" s="523">
        <v>0</v>
      </c>
      <c r="J496" s="523">
        <v>0</v>
      </c>
      <c r="K496" s="523"/>
      <c r="L496" s="797">
        <f>[1]!tsabetm(C496)</f>
        <v>109.25</v>
      </c>
      <c r="M496" s="797">
        <f>[1]!tsabetz(C496)</f>
        <v>130.26666666666668</v>
      </c>
      <c r="N496" s="797">
        <f t="shared" si="42"/>
        <v>82.648691514670844</v>
      </c>
      <c r="O496" s="797">
        <f t="shared" si="43"/>
        <v>1445.0028169014086</v>
      </c>
      <c r="P496" s="797">
        <f t="shared" si="44"/>
        <v>37.565084693539461</v>
      </c>
      <c r="Q496" s="797">
        <f t="shared" si="45"/>
        <v>132</v>
      </c>
      <c r="R496" s="797">
        <f t="shared" si="46"/>
        <v>132.62608474489232</v>
      </c>
      <c r="S496" s="797">
        <f>[1]!taqsabet(O496,C496)</f>
        <v>132.62472719709126</v>
      </c>
      <c r="T496" s="523"/>
      <c r="U496" s="523">
        <v>4</v>
      </c>
      <c r="V496" s="523">
        <v>10</v>
      </c>
      <c r="W496" s="523">
        <v>16</v>
      </c>
      <c r="X496" s="523"/>
      <c r="Y496" s="523">
        <v>2</v>
      </c>
      <c r="Z496" s="523">
        <v>15</v>
      </c>
      <c r="AA496" s="523" t="s">
        <v>274</v>
      </c>
      <c r="AB496" s="523">
        <v>4</v>
      </c>
      <c r="AC496" s="523">
        <v>4</v>
      </c>
      <c r="AD496" s="523" t="s">
        <v>2867</v>
      </c>
    </row>
    <row r="497" spans="1:31">
      <c r="C497" s="522">
        <v>456</v>
      </c>
      <c r="D497" s="522">
        <v>2</v>
      </c>
      <c r="E497" s="550" t="s">
        <v>2868</v>
      </c>
      <c r="F497" s="522">
        <v>70</v>
      </c>
      <c r="G497" s="522"/>
      <c r="H497" s="522">
        <v>66</v>
      </c>
      <c r="I497" s="522">
        <v>0</v>
      </c>
      <c r="J497" s="522">
        <v>0</v>
      </c>
      <c r="K497" s="522" t="s">
        <v>2869</v>
      </c>
      <c r="L497" s="797">
        <f>[1]!tsabetm(C497)</f>
        <v>111.25</v>
      </c>
      <c r="M497" s="797">
        <f>[1]!tsabetz(C497)</f>
        <v>134.01666666666668</v>
      </c>
      <c r="N497" s="797">
        <f t="shared" si="42"/>
        <v>76.295754026354274</v>
      </c>
      <c r="O497" s="797">
        <f t="shared" si="43"/>
        <v>1445.0028169014086</v>
      </c>
      <c r="P497" s="797">
        <f t="shared" si="44"/>
        <v>34.352819739393112</v>
      </c>
      <c r="Q497" s="797">
        <f t="shared" si="45"/>
        <v>136</v>
      </c>
      <c r="R497" s="797">
        <f t="shared" si="46"/>
        <v>136.57254699565655</v>
      </c>
      <c r="S497" s="797">
        <f>[1]!taqsabet(O497,C497)</f>
        <v>136.57107640858578</v>
      </c>
      <c r="T497" s="522"/>
      <c r="U497" s="522">
        <v>4</v>
      </c>
      <c r="V497" s="522">
        <v>14</v>
      </c>
      <c r="W497" s="522">
        <v>1</v>
      </c>
      <c r="X497" s="522"/>
      <c r="Y497" s="522">
        <v>5</v>
      </c>
      <c r="Z497" s="522">
        <v>49</v>
      </c>
      <c r="AA497" s="522" t="s">
        <v>274</v>
      </c>
      <c r="AB497" s="522">
        <v>4</v>
      </c>
      <c r="AC497" s="522">
        <v>4</v>
      </c>
      <c r="AD497" s="522" t="s">
        <v>2867</v>
      </c>
    </row>
    <row r="498" spans="1:31">
      <c r="C498" s="523">
        <v>457</v>
      </c>
      <c r="D498" s="523">
        <v>3</v>
      </c>
      <c r="E498" s="543" t="s">
        <v>2870</v>
      </c>
      <c r="F498" s="523">
        <v>70</v>
      </c>
      <c r="G498" s="523"/>
      <c r="H498" s="523">
        <v>66</v>
      </c>
      <c r="I498" s="523">
        <v>0</v>
      </c>
      <c r="J498" s="523">
        <v>0</v>
      </c>
      <c r="K498" s="523"/>
      <c r="L498" s="797">
        <f>[1]!tsabetm(C498)</f>
        <v>103.58333333333334</v>
      </c>
      <c r="M498" s="797">
        <f>[1]!tsabetz(C498)</f>
        <v>131.01666666666668</v>
      </c>
      <c r="N498" s="797">
        <f t="shared" si="42"/>
        <v>63.317132442284318</v>
      </c>
      <c r="O498" s="797">
        <f t="shared" si="43"/>
        <v>1445.0028169014086</v>
      </c>
      <c r="P498" s="797">
        <f t="shared" si="44"/>
        <v>5.7867798616700838</v>
      </c>
      <c r="Q498" s="797">
        <f t="shared" si="45"/>
        <v>134</v>
      </c>
      <c r="R498" s="797">
        <f t="shared" si="46"/>
        <v>134.09644633102783</v>
      </c>
      <c r="S498" s="797">
        <f>[1]!taqsabet(O498,C498)</f>
        <v>134.09467430590448</v>
      </c>
      <c r="T498" s="523"/>
      <c r="U498" s="523">
        <v>4</v>
      </c>
      <c r="V498" s="523">
        <v>11</v>
      </c>
      <c r="W498" s="523">
        <v>1</v>
      </c>
      <c r="X498" s="523"/>
      <c r="Y498" s="523">
        <v>5</v>
      </c>
      <c r="Z498" s="523">
        <v>0</v>
      </c>
      <c r="AA498" s="523" t="s">
        <v>2695</v>
      </c>
      <c r="AB498" s="523">
        <v>5</v>
      </c>
      <c r="AC498" s="523">
        <v>5</v>
      </c>
      <c r="AD498" s="523"/>
    </row>
    <row r="499" spans="1:31">
      <c r="C499" s="522">
        <v>458</v>
      </c>
      <c r="D499" s="522">
        <v>4</v>
      </c>
      <c r="E499" s="550" t="s">
        <v>2871</v>
      </c>
      <c r="F499" s="522">
        <v>70</v>
      </c>
      <c r="G499" s="522"/>
      <c r="H499" s="522">
        <v>66</v>
      </c>
      <c r="I499" s="522">
        <v>0</v>
      </c>
      <c r="J499" s="522">
        <v>0</v>
      </c>
      <c r="K499" s="522"/>
      <c r="L499" s="797">
        <f>[1]!tsabetm(C499)</f>
        <v>106.58333333333334</v>
      </c>
      <c r="M499" s="797">
        <f>[1]!tsabetz(C499)</f>
        <v>128.91666666666666</v>
      </c>
      <c r="N499" s="797">
        <f t="shared" si="42"/>
        <v>77.776119402985145</v>
      </c>
      <c r="O499" s="797">
        <f t="shared" si="43"/>
        <v>1445.0028169014086</v>
      </c>
      <c r="P499" s="797">
        <f t="shared" si="44"/>
        <v>25.433952013751195</v>
      </c>
      <c r="Q499" s="797">
        <f t="shared" si="45"/>
        <v>131</v>
      </c>
      <c r="R499" s="797">
        <f t="shared" si="46"/>
        <v>131.42389920022919</v>
      </c>
      <c r="S499" s="797">
        <f>[1]!taqsabet(O499,C499)</f>
        <v>131.42245660383475</v>
      </c>
      <c r="T499" s="522"/>
      <c r="U499" s="522">
        <v>4</v>
      </c>
      <c r="V499" s="522">
        <v>8</v>
      </c>
      <c r="W499" s="522">
        <v>55</v>
      </c>
      <c r="X499" s="522"/>
      <c r="Y499" s="522">
        <v>7</v>
      </c>
      <c r="Z499" s="522">
        <v>0</v>
      </c>
      <c r="AA499" s="522" t="s">
        <v>2695</v>
      </c>
      <c r="AB499" s="522">
        <v>5</v>
      </c>
      <c r="AC499" s="522">
        <v>5</v>
      </c>
      <c r="AD499" s="522"/>
    </row>
    <row r="500" spans="1:31">
      <c r="B500" s="505" t="s">
        <v>2355</v>
      </c>
      <c r="C500" s="506" t="s">
        <v>2356</v>
      </c>
      <c r="D500" s="507" t="s">
        <v>2357</v>
      </c>
      <c r="E500" s="511" t="s">
        <v>2358</v>
      </c>
      <c r="F500" s="511"/>
      <c r="G500" s="511"/>
      <c r="H500" s="511"/>
      <c r="I500" s="511"/>
      <c r="J500" s="511"/>
      <c r="K500" s="514" t="s">
        <v>2360</v>
      </c>
      <c r="N500" s="797">
        <f t="shared" si="42"/>
        <v>4.8250000000000002</v>
      </c>
      <c r="O500" s="797">
        <f t="shared" si="43"/>
        <v>1445.0028169014086</v>
      </c>
      <c r="P500" s="797">
        <f t="shared" si="44"/>
        <v>24.905495147049237</v>
      </c>
      <c r="Q500" s="797">
        <f t="shared" si="45"/>
        <v>40</v>
      </c>
      <c r="R500" s="797">
        <f t="shared" si="46"/>
        <v>40.415091585784154</v>
      </c>
      <c r="S500" s="797" t="e">
        <f>[1]!taqsabet(O500,C500)</f>
        <v>#VALUE!</v>
      </c>
      <c r="T500" s="507"/>
      <c r="U500" s="508" t="s">
        <v>403</v>
      </c>
      <c r="V500" s="508"/>
      <c r="W500" s="509"/>
      <c r="X500" s="507"/>
      <c r="Y500" s="509" t="s">
        <v>275</v>
      </c>
      <c r="Z500" s="510"/>
      <c r="AA500" s="506" t="s">
        <v>176</v>
      </c>
      <c r="AB500" s="511" t="s">
        <v>2361</v>
      </c>
      <c r="AC500" s="511" t="s">
        <v>2362</v>
      </c>
      <c r="AD500" s="511" t="s">
        <v>2363</v>
      </c>
    </row>
    <row r="501" spans="1:31">
      <c r="B501" s="505"/>
      <c r="C501" s="512"/>
      <c r="D501" s="512"/>
      <c r="E501" s="513"/>
      <c r="F501" s="513"/>
      <c r="G501" s="513"/>
      <c r="H501" s="513"/>
      <c r="I501" s="513"/>
      <c r="J501" s="513"/>
      <c r="K501" s="514"/>
      <c r="N501" s="797">
        <f t="shared" si="42"/>
        <v>4.8250000000000002</v>
      </c>
      <c r="O501" s="797">
        <f t="shared" si="43"/>
        <v>1445.0028169014086</v>
      </c>
      <c r="P501" s="797">
        <f t="shared" si="44"/>
        <v>24.905495147049237</v>
      </c>
      <c r="Q501" s="797">
        <f t="shared" si="45"/>
        <v>40</v>
      </c>
      <c r="R501" s="797">
        <f t="shared" si="46"/>
        <v>40.415091585784154</v>
      </c>
      <c r="S501" s="797">
        <f>[1]!taqsabet(O501,C501)</f>
        <v>1.4716840899636423</v>
      </c>
      <c r="T501" s="515" t="s">
        <v>2367</v>
      </c>
      <c r="U501" s="516" t="s">
        <v>173</v>
      </c>
      <c r="V501" s="516" t="s">
        <v>172</v>
      </c>
      <c r="W501" s="516" t="s">
        <v>166</v>
      </c>
      <c r="X501" s="517" t="s">
        <v>2367</v>
      </c>
      <c r="Y501" s="516" t="s">
        <v>172</v>
      </c>
      <c r="Z501" s="518" t="s">
        <v>166</v>
      </c>
      <c r="AA501" s="512"/>
      <c r="AB501" s="517" t="s">
        <v>2368</v>
      </c>
      <c r="AC501" s="517" t="s">
        <v>2369</v>
      </c>
      <c r="AD501" s="513"/>
    </row>
    <row r="502" spans="1:31">
      <c r="A502" s="563">
        <v>5</v>
      </c>
      <c r="B502" s="536" t="s">
        <v>255</v>
      </c>
      <c r="C502" s="527">
        <v>459</v>
      </c>
      <c r="D502" s="527">
        <v>1</v>
      </c>
      <c r="E502" s="553" t="s">
        <v>2872</v>
      </c>
      <c r="F502" s="527">
        <v>70</v>
      </c>
      <c r="G502" s="527"/>
      <c r="H502" s="527">
        <v>67</v>
      </c>
      <c r="I502" s="527">
        <v>5</v>
      </c>
      <c r="J502" s="527">
        <v>6</v>
      </c>
      <c r="K502" s="527" t="s">
        <v>2873</v>
      </c>
      <c r="L502" s="797">
        <f>[1]!tsabetm(C502)</f>
        <v>107.91666666666666</v>
      </c>
      <c r="M502" s="797">
        <f>[1]!tsabetz(C502)</f>
        <v>134.26666666666668</v>
      </c>
      <c r="N502" s="797">
        <f t="shared" si="42"/>
        <v>65.920303605313038</v>
      </c>
      <c r="O502" s="797">
        <f t="shared" si="43"/>
        <v>1445.0028169014086</v>
      </c>
      <c r="P502" s="797">
        <f t="shared" si="44"/>
        <v>13.489610547569555</v>
      </c>
      <c r="Q502" s="797">
        <f t="shared" si="45"/>
        <v>137</v>
      </c>
      <c r="R502" s="797">
        <f t="shared" si="46"/>
        <v>137.22482684245949</v>
      </c>
      <c r="S502" s="797">
        <f>[1]!taqsabet(O502,C502)</f>
        <v>137.22312479402694</v>
      </c>
      <c r="T502" s="527"/>
      <c r="U502" s="527">
        <v>4</v>
      </c>
      <c r="V502" s="527">
        <v>14</v>
      </c>
      <c r="W502" s="527">
        <v>16</v>
      </c>
      <c r="X502" s="527"/>
      <c r="Y502" s="527">
        <v>10</v>
      </c>
      <c r="Z502" s="527">
        <v>9</v>
      </c>
      <c r="AA502" s="527" t="s">
        <v>179</v>
      </c>
      <c r="AB502" s="527">
        <v>4</v>
      </c>
      <c r="AC502" s="527">
        <v>4</v>
      </c>
      <c r="AD502" s="527" t="s">
        <v>2867</v>
      </c>
      <c r="AE502" s="327">
        <v>591</v>
      </c>
    </row>
    <row r="503" spans="1:31">
      <c r="C503" s="523">
        <v>460</v>
      </c>
      <c r="D503" s="523">
        <v>2</v>
      </c>
      <c r="E503" s="543" t="s">
        <v>2874</v>
      </c>
      <c r="F503" s="523">
        <v>70</v>
      </c>
      <c r="G503" s="523"/>
      <c r="H503" s="523">
        <v>66</v>
      </c>
      <c r="I503" s="523">
        <v>0</v>
      </c>
      <c r="J503" s="523">
        <v>0</v>
      </c>
      <c r="K503" s="523" t="s">
        <v>2869</v>
      </c>
      <c r="L503" s="797">
        <f>[1]!tsabetm(C503)</f>
        <v>110.75</v>
      </c>
      <c r="M503" s="797">
        <f>[1]!tsabetz(C503)</f>
        <v>136.26666666666668</v>
      </c>
      <c r="N503" s="797">
        <f t="shared" si="42"/>
        <v>68.073154800783769</v>
      </c>
      <c r="O503" s="797">
        <f t="shared" si="43"/>
        <v>1445.0028169014086</v>
      </c>
      <c r="P503" s="797">
        <f t="shared" si="44"/>
        <v>7.8764033828781521</v>
      </c>
      <c r="Q503" s="797">
        <f t="shared" si="45"/>
        <v>139</v>
      </c>
      <c r="R503" s="797">
        <f t="shared" si="46"/>
        <v>139.13127338971464</v>
      </c>
      <c r="S503" s="797">
        <f>[1]!taqsabet(O503,C503)</f>
        <v>139.12962516950574</v>
      </c>
      <c r="T503" s="523"/>
      <c r="U503" s="523">
        <v>4</v>
      </c>
      <c r="V503" s="523">
        <v>16</v>
      </c>
      <c r="W503" s="551">
        <v>16</v>
      </c>
      <c r="X503" s="523"/>
      <c r="Y503" s="523">
        <v>8</v>
      </c>
      <c r="Z503" s="523">
        <v>0</v>
      </c>
      <c r="AA503" s="523" t="s">
        <v>179</v>
      </c>
      <c r="AB503" s="523">
        <v>4</v>
      </c>
      <c r="AC503" s="523">
        <v>4</v>
      </c>
      <c r="AD503" s="523" t="s">
        <v>2867</v>
      </c>
    </row>
    <row r="504" spans="1:31">
      <c r="C504" s="527">
        <v>461</v>
      </c>
      <c r="D504" s="527">
        <v>3</v>
      </c>
      <c r="E504" s="553" t="s">
        <v>2875</v>
      </c>
      <c r="F504" s="527">
        <v>70</v>
      </c>
      <c r="G504" s="527"/>
      <c r="H504" s="527">
        <v>69</v>
      </c>
      <c r="I504" s="527">
        <v>5</v>
      </c>
      <c r="J504" s="527">
        <v>5</v>
      </c>
      <c r="K504" s="527" t="s">
        <v>2876</v>
      </c>
      <c r="L504" s="797">
        <f>[1]!tsabetm(C504)</f>
        <v>113.91666666666666</v>
      </c>
      <c r="M504" s="797">
        <f>[1]!tsabetz(C504)</f>
        <v>139.51666666666668</v>
      </c>
      <c r="N504" s="797">
        <f t="shared" si="42"/>
        <v>67.851562499999943</v>
      </c>
      <c r="O504" s="797">
        <f t="shared" si="43"/>
        <v>1445.0028169014086</v>
      </c>
      <c r="P504" s="797">
        <f t="shared" si="44"/>
        <v>23.437724099347292</v>
      </c>
      <c r="Q504" s="797">
        <f t="shared" si="45"/>
        <v>142</v>
      </c>
      <c r="R504" s="797">
        <f t="shared" si="46"/>
        <v>142.39062873498912</v>
      </c>
      <c r="S504" s="797">
        <f>[1]!taqsabet(O504,C504)</f>
        <v>142.38897513195786</v>
      </c>
      <c r="T504" s="527"/>
      <c r="U504" s="527">
        <v>4</v>
      </c>
      <c r="V504" s="527">
        <v>19</v>
      </c>
      <c r="W504" s="527">
        <v>31</v>
      </c>
      <c r="X504" s="527"/>
      <c r="Y504" s="527">
        <v>12</v>
      </c>
      <c r="Z504" s="527">
        <v>21</v>
      </c>
      <c r="AA504" s="527" t="s">
        <v>2695</v>
      </c>
      <c r="AB504" s="527">
        <v>3</v>
      </c>
      <c r="AC504" s="527">
        <v>3</v>
      </c>
      <c r="AD504" s="527" t="s">
        <v>2877</v>
      </c>
    </row>
    <row r="505" spans="1:31">
      <c r="C505" s="523">
        <v>462</v>
      </c>
      <c r="D505" s="523">
        <v>4</v>
      </c>
      <c r="E505" s="543" t="s">
        <v>2718</v>
      </c>
      <c r="F505" s="523">
        <v>70</v>
      </c>
      <c r="G505" s="523"/>
      <c r="H505" s="523">
        <v>69</v>
      </c>
      <c r="I505" s="523">
        <v>9</v>
      </c>
      <c r="J505" s="523">
        <v>28</v>
      </c>
      <c r="K505" s="523" t="s">
        <v>2878</v>
      </c>
      <c r="L505" s="797">
        <f>[1]!tsabetm(C505)</f>
        <v>113.75</v>
      </c>
      <c r="M505" s="797">
        <f>[1]!tsabetz(C505)</f>
        <v>139.21666666666667</v>
      </c>
      <c r="N505" s="797">
        <f t="shared" si="42"/>
        <v>68.206806282722511</v>
      </c>
      <c r="O505" s="797">
        <f t="shared" si="43"/>
        <v>1445.0028169014086</v>
      </c>
      <c r="P505" s="797">
        <f t="shared" si="44"/>
        <v>4.5396109529946216</v>
      </c>
      <c r="Q505" s="797">
        <f t="shared" si="45"/>
        <v>142</v>
      </c>
      <c r="R505" s="797">
        <f t="shared" si="46"/>
        <v>142.07566018254991</v>
      </c>
      <c r="S505" s="797">
        <f>[1]!taqsabet(O505,C505)</f>
        <v>142.07401519203444</v>
      </c>
      <c r="T505" s="523"/>
      <c r="U505" s="523">
        <v>4</v>
      </c>
      <c r="V505" s="523">
        <v>19</v>
      </c>
      <c r="W505" s="523">
        <v>13</v>
      </c>
      <c r="X505" s="523"/>
      <c r="Y505" s="523">
        <v>9</v>
      </c>
      <c r="Z505" s="523">
        <v>45</v>
      </c>
      <c r="AA505" s="523" t="s">
        <v>179</v>
      </c>
      <c r="AB505" s="523">
        <v>3</v>
      </c>
      <c r="AC505" s="523">
        <v>3</v>
      </c>
      <c r="AD505" s="523" t="s">
        <v>2877</v>
      </c>
    </row>
    <row r="506" spans="1:31">
      <c r="C506" s="527">
        <v>463</v>
      </c>
      <c r="D506" s="527">
        <v>5</v>
      </c>
      <c r="E506" s="553" t="s">
        <v>2879</v>
      </c>
      <c r="F506" s="527">
        <v>70</v>
      </c>
      <c r="G506" s="527"/>
      <c r="H506" s="527">
        <v>66</v>
      </c>
      <c r="I506" s="527">
        <v>0</v>
      </c>
      <c r="J506" s="527">
        <v>0</v>
      </c>
      <c r="K506" s="527"/>
      <c r="L506" s="797">
        <f>[1]!tsabetm(C506)</f>
        <v>119.75</v>
      </c>
      <c r="M506" s="797">
        <f>[1]!tsabetz(C506)</f>
        <v>146.51666666666668</v>
      </c>
      <c r="N506" s="797">
        <f t="shared" si="42"/>
        <v>64.89414694894144</v>
      </c>
      <c r="O506" s="797">
        <f t="shared" si="43"/>
        <v>1445.0028169014086</v>
      </c>
      <c r="P506" s="797">
        <f t="shared" si="44"/>
        <v>31.296214129915256</v>
      </c>
      <c r="Q506" s="797">
        <f t="shared" si="45"/>
        <v>149</v>
      </c>
      <c r="R506" s="797">
        <f t="shared" si="46"/>
        <v>149.52160356883192</v>
      </c>
      <c r="S506" s="797">
        <f>[1]!taqsabet(O506,C506)</f>
        <v>149.51987460628754</v>
      </c>
      <c r="T506" s="527"/>
      <c r="U506" s="527">
        <v>4</v>
      </c>
      <c r="V506" s="527">
        <v>26</v>
      </c>
      <c r="W506" s="527">
        <v>31</v>
      </c>
      <c r="X506" s="527"/>
      <c r="Y506" s="527">
        <v>11</v>
      </c>
      <c r="Z506" s="527">
        <v>33</v>
      </c>
      <c r="AA506" s="527" t="s">
        <v>179</v>
      </c>
      <c r="AB506" s="527">
        <v>3</v>
      </c>
      <c r="AC506" s="527">
        <v>3</v>
      </c>
      <c r="AD506" s="527" t="s">
        <v>2877</v>
      </c>
    </row>
    <row r="507" spans="1:31">
      <c r="C507" s="523">
        <v>464</v>
      </c>
      <c r="D507" s="523">
        <v>6</v>
      </c>
      <c r="E507" s="543" t="s">
        <v>2880</v>
      </c>
      <c r="F507" s="523">
        <v>70</v>
      </c>
      <c r="G507" s="523"/>
      <c r="H507" s="523">
        <v>67</v>
      </c>
      <c r="I507" s="523">
        <v>6</v>
      </c>
      <c r="J507" s="523">
        <v>6</v>
      </c>
      <c r="K507" s="523" t="s">
        <v>2881</v>
      </c>
      <c r="L507" s="797">
        <f>[1]!tsabetm(C507)</f>
        <v>121.75</v>
      </c>
      <c r="M507" s="797">
        <f>[1]!tsabetz(C507)</f>
        <v>148.06666666666666</v>
      </c>
      <c r="N507" s="797">
        <f t="shared" si="42"/>
        <v>66.00379987333757</v>
      </c>
      <c r="O507" s="797">
        <f t="shared" si="43"/>
        <v>1445.0028169014086</v>
      </c>
      <c r="P507" s="797">
        <f t="shared" si="44"/>
        <v>1.2650822609805346</v>
      </c>
      <c r="Q507" s="797">
        <f t="shared" si="45"/>
        <v>151</v>
      </c>
      <c r="R507" s="797">
        <f t="shared" si="46"/>
        <v>151.02108470434968</v>
      </c>
      <c r="S507" s="797">
        <f>[1]!taqsabet(O507,C507)</f>
        <v>151.01938480904607</v>
      </c>
      <c r="T507" s="523"/>
      <c r="U507" s="523">
        <v>4</v>
      </c>
      <c r="V507" s="523">
        <v>28</v>
      </c>
      <c r="W507" s="523">
        <v>4</v>
      </c>
      <c r="X507" s="523"/>
      <c r="Y507" s="523">
        <v>9</v>
      </c>
      <c r="Z507" s="523">
        <v>45</v>
      </c>
      <c r="AA507" s="523" t="s">
        <v>179</v>
      </c>
      <c r="AB507" s="523">
        <v>2</v>
      </c>
      <c r="AC507" s="523">
        <v>2</v>
      </c>
      <c r="AD507" s="523" t="s">
        <v>2877</v>
      </c>
    </row>
    <row r="508" spans="1:31">
      <c r="C508" s="527">
        <v>465</v>
      </c>
      <c r="D508" s="527">
        <v>7</v>
      </c>
      <c r="E508" s="553" t="s">
        <v>2667</v>
      </c>
      <c r="F508" s="527">
        <v>70</v>
      </c>
      <c r="G508" s="527"/>
      <c r="H508" s="527">
        <v>66</v>
      </c>
      <c r="I508" s="527">
        <v>0</v>
      </c>
      <c r="J508" s="527">
        <v>0</v>
      </c>
      <c r="K508" s="527"/>
      <c r="L508" s="797">
        <f>[1]!tsabetm(C508)</f>
        <v>120.25</v>
      </c>
      <c r="M508" s="797">
        <f>[1]!tsabetz(C508)</f>
        <v>146.41666666666666</v>
      </c>
      <c r="N508" s="797">
        <f t="shared" si="42"/>
        <v>66.382165605095565</v>
      </c>
      <c r="O508" s="797">
        <f t="shared" si="43"/>
        <v>1445.0028169014086</v>
      </c>
      <c r="P508" s="797">
        <f t="shared" si="44"/>
        <v>21.254704971335059</v>
      </c>
      <c r="Q508" s="797">
        <f t="shared" si="45"/>
        <v>149</v>
      </c>
      <c r="R508" s="797">
        <f t="shared" si="46"/>
        <v>149.35424508285558</v>
      </c>
      <c r="S508" s="797">
        <f>[1]!taqsabet(O508,C508)</f>
        <v>149.35255487663224</v>
      </c>
      <c r="T508" s="527"/>
      <c r="U508" s="527">
        <v>4</v>
      </c>
      <c r="V508" s="527">
        <v>26</v>
      </c>
      <c r="W508" s="527">
        <v>25</v>
      </c>
      <c r="X508" s="527"/>
      <c r="Y508" s="527">
        <v>4</v>
      </c>
      <c r="Z508" s="527">
        <v>48</v>
      </c>
      <c r="AA508" s="527" t="s">
        <v>179</v>
      </c>
      <c r="AB508" s="527">
        <v>3</v>
      </c>
      <c r="AC508" s="527">
        <v>3</v>
      </c>
      <c r="AD508" s="527" t="s">
        <v>2700</v>
      </c>
    </row>
    <row r="509" spans="1:31">
      <c r="C509" s="523">
        <v>466</v>
      </c>
      <c r="D509" s="523">
        <v>8</v>
      </c>
      <c r="E509" s="543" t="s">
        <v>2882</v>
      </c>
      <c r="F509" s="523">
        <v>70</v>
      </c>
      <c r="G509" s="523"/>
      <c r="H509" s="523">
        <v>67</v>
      </c>
      <c r="I509" s="523">
        <v>8</v>
      </c>
      <c r="J509" s="523">
        <v>26</v>
      </c>
      <c r="K509" s="523" t="s">
        <v>2883</v>
      </c>
      <c r="L509" s="797">
        <f>[1]!tsabetm(C509)</f>
        <v>122.08333333333331</v>
      </c>
      <c r="M509" s="797">
        <f>[1]!tsabetz(C509)</f>
        <v>148.31666666666666</v>
      </c>
      <c r="N509" s="797">
        <f t="shared" si="42"/>
        <v>66.213468869123218</v>
      </c>
      <c r="O509" s="797">
        <f t="shared" si="43"/>
        <v>1445.0028169014086</v>
      </c>
      <c r="P509" s="797">
        <f t="shared" si="44"/>
        <v>15.703761544511394</v>
      </c>
      <c r="Q509" s="797">
        <f t="shared" si="45"/>
        <v>151</v>
      </c>
      <c r="R509" s="797">
        <f t="shared" si="46"/>
        <v>151.26172935907519</v>
      </c>
      <c r="S509" s="797">
        <f>[1]!taqsabet(O509,C509)</f>
        <v>151.26003484659395</v>
      </c>
      <c r="T509" s="523"/>
      <c r="U509" s="523">
        <v>4</v>
      </c>
      <c r="V509" s="523">
        <v>28</v>
      </c>
      <c r="W509" s="523">
        <v>19</v>
      </c>
      <c r="X509" s="523"/>
      <c r="Y509" s="523">
        <v>0</v>
      </c>
      <c r="Z509" s="523">
        <v>9</v>
      </c>
      <c r="AA509" s="523" t="s">
        <v>274</v>
      </c>
      <c r="AB509" s="523">
        <v>1</v>
      </c>
      <c r="AC509" s="523">
        <v>1</v>
      </c>
      <c r="AD509" s="523" t="s">
        <v>2700</v>
      </c>
    </row>
    <row r="510" spans="1:31">
      <c r="C510" s="527">
        <v>467</v>
      </c>
      <c r="D510" s="527">
        <v>9</v>
      </c>
      <c r="E510" s="553" t="s">
        <v>2884</v>
      </c>
      <c r="F510" s="527">
        <v>70</v>
      </c>
      <c r="G510" s="527"/>
      <c r="H510" s="527">
        <v>66</v>
      </c>
      <c r="I510" s="527">
        <v>0</v>
      </c>
      <c r="J510" s="527">
        <v>0</v>
      </c>
      <c r="K510" s="527"/>
      <c r="L510" s="797">
        <f>[1]!tsabetm(C510)</f>
        <v>123.08333333333331</v>
      </c>
      <c r="M510" s="797">
        <f>[1]!tsabetz(C510)</f>
        <v>148.46666666666667</v>
      </c>
      <c r="N510" s="797">
        <f t="shared" si="42"/>
        <v>68.43072882468806</v>
      </c>
      <c r="O510" s="797">
        <f t="shared" si="43"/>
        <v>1445.0028169014086</v>
      </c>
      <c r="P510" s="797">
        <f t="shared" si="44"/>
        <v>18.978290236525481</v>
      </c>
      <c r="Q510" s="797">
        <f t="shared" si="45"/>
        <v>151</v>
      </c>
      <c r="R510" s="797">
        <f t="shared" si="46"/>
        <v>151.31630483727542</v>
      </c>
      <c r="S510" s="797">
        <f>[1]!taqsabet(O510,C510)</f>
        <v>151.31466522958235</v>
      </c>
      <c r="T510" s="527"/>
      <c r="U510" s="527">
        <v>4</v>
      </c>
      <c r="V510" s="527">
        <v>28</v>
      </c>
      <c r="W510" s="527">
        <v>28</v>
      </c>
      <c r="X510" s="527"/>
      <c r="Y510" s="527">
        <v>1</v>
      </c>
      <c r="Z510" s="527">
        <v>27</v>
      </c>
      <c r="AA510" s="527" t="s">
        <v>274</v>
      </c>
      <c r="AB510" s="527">
        <v>4</v>
      </c>
      <c r="AC510" s="527">
        <v>4</v>
      </c>
      <c r="AD510" s="527" t="s">
        <v>2700</v>
      </c>
    </row>
    <row r="511" spans="1:31">
      <c r="C511" s="523">
        <v>468</v>
      </c>
      <c r="D511" s="523">
        <v>10</v>
      </c>
      <c r="E511" s="543" t="s">
        <v>2885</v>
      </c>
      <c r="F511" s="523">
        <v>70</v>
      </c>
      <c r="G511" s="523"/>
      <c r="H511" s="523">
        <v>66</v>
      </c>
      <c r="I511" s="523">
        <v>0</v>
      </c>
      <c r="J511" s="523">
        <v>0</v>
      </c>
      <c r="K511" s="523"/>
      <c r="L511" s="797">
        <f>[1]!tsabetm(C511)</f>
        <v>119.58333333333331</v>
      </c>
      <c r="M511" s="797">
        <f>[1]!tsabetz(C511)</f>
        <v>146.01666666666668</v>
      </c>
      <c r="N511" s="797">
        <f t="shared" si="42"/>
        <v>65.712484237074321</v>
      </c>
      <c r="O511" s="797">
        <f t="shared" si="43"/>
        <v>1445.0028169014086</v>
      </c>
      <c r="P511" s="797">
        <f t="shared" si="44"/>
        <v>59.050931264038695</v>
      </c>
      <c r="Q511" s="797">
        <f t="shared" si="45"/>
        <v>148</v>
      </c>
      <c r="R511" s="797">
        <f t="shared" si="46"/>
        <v>148.98418218773398</v>
      </c>
      <c r="S511" s="797">
        <f>[1]!taqsabet(O511,C511)</f>
        <v>148.98247475647906</v>
      </c>
      <c r="T511" s="523"/>
      <c r="U511" s="523">
        <v>4</v>
      </c>
      <c r="V511" s="523">
        <v>26</v>
      </c>
      <c r="W511" s="523">
        <v>1</v>
      </c>
      <c r="X511" s="523"/>
      <c r="Y511" s="523">
        <v>0</v>
      </c>
      <c r="Z511" s="523">
        <v>12</v>
      </c>
      <c r="AA511" s="523" t="s">
        <v>274</v>
      </c>
      <c r="AB511" s="523">
        <v>5</v>
      </c>
      <c r="AC511" s="523">
        <v>5</v>
      </c>
      <c r="AD511" s="523" t="s">
        <v>2700</v>
      </c>
    </row>
    <row r="512" spans="1:31">
      <c r="C512" s="527">
        <v>469</v>
      </c>
      <c r="D512" s="527">
        <v>11</v>
      </c>
      <c r="E512" s="553" t="s">
        <v>2886</v>
      </c>
      <c r="F512" s="527">
        <v>70</v>
      </c>
      <c r="G512" s="527"/>
      <c r="H512" s="527">
        <v>66</v>
      </c>
      <c r="I512" s="527">
        <v>0</v>
      </c>
      <c r="J512" s="527">
        <v>0</v>
      </c>
      <c r="K512" s="527"/>
      <c r="L512" s="797">
        <f>[1]!tsabetm(C512)</f>
        <v>116.91666666666666</v>
      </c>
      <c r="M512" s="797">
        <f>[1]!tsabetz(C512)</f>
        <v>143.01666666666668</v>
      </c>
      <c r="N512" s="797">
        <f t="shared" si="42"/>
        <v>66.551724137930975</v>
      </c>
      <c r="O512" s="797">
        <f t="shared" si="43"/>
        <v>1445.0028169014086</v>
      </c>
      <c r="P512" s="797">
        <f t="shared" si="44"/>
        <v>56.805648398162134</v>
      </c>
      <c r="Q512" s="797">
        <f t="shared" si="45"/>
        <v>145</v>
      </c>
      <c r="R512" s="797">
        <f t="shared" si="46"/>
        <v>145.94676080663604</v>
      </c>
      <c r="S512" s="797">
        <f>[1]!taqsabet(O512,C512)</f>
        <v>145.94507490667058</v>
      </c>
      <c r="T512" s="527"/>
      <c r="U512" s="527">
        <v>4</v>
      </c>
      <c r="V512" s="527">
        <v>23</v>
      </c>
      <c r="W512" s="527">
        <v>1</v>
      </c>
      <c r="X512" s="527"/>
      <c r="Y512" s="527">
        <v>0</v>
      </c>
      <c r="Z512" s="527">
        <v>6</v>
      </c>
      <c r="AA512" s="527" t="s">
        <v>274</v>
      </c>
      <c r="AB512" s="527">
        <v>6</v>
      </c>
      <c r="AC512" s="527">
        <v>5</v>
      </c>
      <c r="AD512" s="527" t="s">
        <v>2700</v>
      </c>
    </row>
    <row r="513" spans="3:31">
      <c r="C513" s="523">
        <v>470</v>
      </c>
      <c r="D513" s="523">
        <v>12</v>
      </c>
      <c r="E513" s="543" t="s">
        <v>2887</v>
      </c>
      <c r="F513" s="523">
        <v>70</v>
      </c>
      <c r="G513" s="523"/>
      <c r="H513" s="523">
        <v>66</v>
      </c>
      <c r="I513" s="523">
        <v>0</v>
      </c>
      <c r="J513" s="523">
        <v>0</v>
      </c>
      <c r="K513" s="523"/>
      <c r="L513" s="797">
        <f>[1]!tsabetm(C513)</f>
        <v>113.75</v>
      </c>
      <c r="M513" s="797">
        <f>[1]!tsabetz(C513)</f>
        <v>140.46666666666667</v>
      </c>
      <c r="N513" s="797">
        <f t="shared" si="42"/>
        <v>65.015595757953832</v>
      </c>
      <c r="O513" s="797">
        <f t="shared" si="43"/>
        <v>1445.0028169014086</v>
      </c>
      <c r="P513" s="797">
        <f t="shared" si="44"/>
        <v>27.959421700033431</v>
      </c>
      <c r="Q513" s="797">
        <f t="shared" si="45"/>
        <v>143</v>
      </c>
      <c r="R513" s="797">
        <f t="shared" si="46"/>
        <v>143.46599036166722</v>
      </c>
      <c r="S513" s="797">
        <f>[1]!taqsabet(O513,C513)</f>
        <v>143.46426462881624</v>
      </c>
      <c r="T513" s="523"/>
      <c r="U513" s="523">
        <v>4</v>
      </c>
      <c r="V513" s="523">
        <v>20</v>
      </c>
      <c r="W513" s="523">
        <v>28</v>
      </c>
      <c r="X513" s="523"/>
      <c r="Y513" s="523">
        <v>3</v>
      </c>
      <c r="Z513" s="523">
        <v>9</v>
      </c>
      <c r="AA513" s="523" t="s">
        <v>274</v>
      </c>
      <c r="AB513" s="523">
        <v>6</v>
      </c>
      <c r="AC513" s="523">
        <v>6</v>
      </c>
      <c r="AD513" s="523" t="s">
        <v>2700</v>
      </c>
    </row>
    <row r="514" spans="3:31">
      <c r="C514" s="527">
        <v>471</v>
      </c>
      <c r="D514" s="527">
        <v>13</v>
      </c>
      <c r="E514" s="553" t="s">
        <v>2888</v>
      </c>
      <c r="F514" s="527">
        <v>70</v>
      </c>
      <c r="G514" s="527"/>
      <c r="H514" s="527">
        <v>66</v>
      </c>
      <c r="I514" s="527">
        <v>0</v>
      </c>
      <c r="J514" s="527">
        <v>0</v>
      </c>
      <c r="K514" s="527"/>
      <c r="L514" s="797">
        <f>[1]!tsabetm(C514)</f>
        <v>116.91666666666666</v>
      </c>
      <c r="M514" s="797">
        <f>[1]!tsabetz(C514)</f>
        <v>142.46666666666667</v>
      </c>
      <c r="N514" s="797">
        <f t="shared" si="42"/>
        <v>67.984344422700559</v>
      </c>
      <c r="O514" s="797">
        <f t="shared" si="43"/>
        <v>1445.0028169014086</v>
      </c>
      <c r="P514" s="797">
        <f t="shared" si="44"/>
        <v>20.100931669463762</v>
      </c>
      <c r="Q514" s="797">
        <f t="shared" si="45"/>
        <v>145</v>
      </c>
      <c r="R514" s="797">
        <f t="shared" si="46"/>
        <v>145.3350155278244</v>
      </c>
      <c r="S514" s="797">
        <f>[1]!taqsabet(O514,C514)</f>
        <v>145.33336515448656</v>
      </c>
      <c r="T514" s="527"/>
      <c r="U514" s="527">
        <v>4</v>
      </c>
      <c r="V514" s="527">
        <v>22</v>
      </c>
      <c r="W514" s="527">
        <v>28</v>
      </c>
      <c r="X514" s="527"/>
      <c r="Y514" s="527">
        <v>3</v>
      </c>
      <c r="Z514" s="527">
        <v>9</v>
      </c>
      <c r="AA514" s="527" t="s">
        <v>274</v>
      </c>
      <c r="AB514" s="527">
        <v>4</v>
      </c>
      <c r="AC514" s="527">
        <v>4</v>
      </c>
      <c r="AD514" s="527" t="s">
        <v>2700</v>
      </c>
    </row>
    <row r="515" spans="3:31">
      <c r="C515" s="523">
        <v>472</v>
      </c>
      <c r="D515" s="523">
        <v>14</v>
      </c>
      <c r="E515" s="543" t="s">
        <v>2889</v>
      </c>
      <c r="F515" s="523">
        <v>70</v>
      </c>
      <c r="G515" s="523"/>
      <c r="H515" s="523">
        <v>66</v>
      </c>
      <c r="I515" s="523">
        <v>0</v>
      </c>
      <c r="J515" s="523">
        <v>0</v>
      </c>
      <c r="K515" s="523"/>
      <c r="L515" s="797">
        <f>[1]!tsabetm(C515)</f>
        <v>62.083333333333336</v>
      </c>
      <c r="M515" s="797">
        <f>[1]!tsabetz(C515)</f>
        <v>143.46666666666667</v>
      </c>
      <c r="N515" s="797">
        <f t="shared" si="42"/>
        <v>21.343436412041779</v>
      </c>
      <c r="O515" s="797">
        <f t="shared" si="43"/>
        <v>1445.0028169014086</v>
      </c>
      <c r="P515" s="797">
        <f t="shared" si="44"/>
        <v>36.185811703844024</v>
      </c>
      <c r="Q515" s="797">
        <f t="shared" si="45"/>
        <v>152</v>
      </c>
      <c r="R515" s="797">
        <f t="shared" si="46"/>
        <v>152.60309686173073</v>
      </c>
      <c r="S515" s="797">
        <f>[1]!taqsabet(O515,C515)</f>
        <v>152.59783999740677</v>
      </c>
      <c r="T515" s="523"/>
      <c r="U515" s="523">
        <v>4</v>
      </c>
      <c r="V515" s="523">
        <v>23</v>
      </c>
      <c r="W515" s="523">
        <v>28</v>
      </c>
      <c r="X515" s="523"/>
      <c r="Y515" s="523">
        <v>3</v>
      </c>
      <c r="Z515" s="523">
        <v>57</v>
      </c>
      <c r="AA515" s="523" t="s">
        <v>274</v>
      </c>
      <c r="AB515" s="523">
        <v>4</v>
      </c>
      <c r="AC515" s="523">
        <v>4</v>
      </c>
      <c r="AD515" s="523" t="s">
        <v>2700</v>
      </c>
    </row>
    <row r="516" spans="3:31">
      <c r="C516" s="527">
        <v>473</v>
      </c>
      <c r="D516" s="527">
        <v>15</v>
      </c>
      <c r="E516" s="553" t="s">
        <v>2890</v>
      </c>
      <c r="F516" s="527">
        <v>70</v>
      </c>
      <c r="G516" s="527"/>
      <c r="H516" s="527">
        <v>66</v>
      </c>
      <c r="I516" s="527">
        <v>0</v>
      </c>
      <c r="J516" s="527">
        <v>0</v>
      </c>
      <c r="K516" s="527"/>
      <c r="L516" s="797">
        <f>[1]!tsabetm(C516)</f>
        <v>128.75</v>
      </c>
      <c r="M516" s="797">
        <f>[1]!tsabetz(C516)</f>
        <v>147.76666666666668</v>
      </c>
      <c r="N516" s="797">
        <f t="shared" si="42"/>
        <v>91.340929009640604</v>
      </c>
      <c r="O516" s="797">
        <f t="shared" si="43"/>
        <v>1445.0028169014086</v>
      </c>
      <c r="P516" s="797">
        <f t="shared" si="44"/>
        <v>54.093387498278389</v>
      </c>
      <c r="Q516" s="797">
        <f t="shared" si="45"/>
        <v>149</v>
      </c>
      <c r="R516" s="797">
        <f t="shared" si="46"/>
        <v>149.90155645830464</v>
      </c>
      <c r="S516" s="797">
        <f>[1]!taqsabet(O516,C516)</f>
        <v>149.90032809824041</v>
      </c>
      <c r="T516" s="527"/>
      <c r="U516" s="527">
        <v>4</v>
      </c>
      <c r="V516" s="527">
        <v>27</v>
      </c>
      <c r="W516" s="527">
        <v>46</v>
      </c>
      <c r="X516" s="527"/>
      <c r="Y516" s="527">
        <v>4</v>
      </c>
      <c r="Z516" s="527">
        <v>0</v>
      </c>
      <c r="AA516" s="527" t="s">
        <v>274</v>
      </c>
      <c r="AB516" s="527">
        <v>4</v>
      </c>
      <c r="AC516" s="527">
        <v>4</v>
      </c>
      <c r="AD516" s="527" t="s">
        <v>2700</v>
      </c>
    </row>
    <row r="517" spans="3:31">
      <c r="C517" s="523">
        <v>474</v>
      </c>
      <c r="D517" s="523">
        <v>16</v>
      </c>
      <c r="E517" s="543" t="s">
        <v>2891</v>
      </c>
      <c r="F517" s="523">
        <v>70</v>
      </c>
      <c r="G517" s="523"/>
      <c r="H517" s="523">
        <v>66</v>
      </c>
      <c r="I517" s="523">
        <v>0</v>
      </c>
      <c r="J517" s="523">
        <v>0</v>
      </c>
      <c r="K517" s="523"/>
      <c r="L517" s="797">
        <f>[1]!tsabetm(C517)</f>
        <v>126.58333333333331</v>
      </c>
      <c r="M517" s="797">
        <f>[1]!tsabetz(C517)</f>
        <v>154.71666666666667</v>
      </c>
      <c r="N517" s="797">
        <f t="shared" si="42"/>
        <v>61.741706161137394</v>
      </c>
      <c r="O517" s="797">
        <f t="shared" si="43"/>
        <v>1445.0028169014086</v>
      </c>
      <c r="P517" s="797">
        <f t="shared" si="44"/>
        <v>52.501873880010521</v>
      </c>
      <c r="Q517" s="797">
        <f t="shared" si="45"/>
        <v>157</v>
      </c>
      <c r="R517" s="797">
        <f t="shared" si="46"/>
        <v>157.87503123133351</v>
      </c>
      <c r="S517" s="797">
        <f>[1]!taqsabet(O517,C517)</f>
        <v>157.87321399050228</v>
      </c>
      <c r="T517" s="523"/>
      <c r="U517" s="523">
        <v>5</v>
      </c>
      <c r="V517" s="523">
        <v>4</v>
      </c>
      <c r="W517" s="523">
        <v>43</v>
      </c>
      <c r="X517" s="523"/>
      <c r="Y517" s="523">
        <v>0</v>
      </c>
      <c r="Z517" s="523">
        <v>9</v>
      </c>
      <c r="AA517" s="523" t="s">
        <v>179</v>
      </c>
      <c r="AB517" s="523">
        <v>6</v>
      </c>
      <c r="AC517" s="523">
        <v>6</v>
      </c>
      <c r="AD517" s="523" t="s">
        <v>2700</v>
      </c>
    </row>
    <row r="518" spans="3:31">
      <c r="C518" s="527">
        <v>475</v>
      </c>
      <c r="D518" s="527">
        <v>17</v>
      </c>
      <c r="E518" s="553" t="s">
        <v>2892</v>
      </c>
      <c r="F518" s="527">
        <v>70</v>
      </c>
      <c r="G518" s="527"/>
      <c r="H518" s="527">
        <v>66</v>
      </c>
      <c r="I518" s="527">
        <v>0</v>
      </c>
      <c r="J518" s="527">
        <v>0</v>
      </c>
      <c r="K518" s="527"/>
      <c r="L518" s="797">
        <f>[1]!tsabetm(C518)</f>
        <v>132.58333333333331</v>
      </c>
      <c r="M518" s="797">
        <f>[1]!tsabetz(C518)</f>
        <v>152.51666666666668</v>
      </c>
      <c r="N518" s="797">
        <f t="shared" si="42"/>
        <v>87.140468227424606</v>
      </c>
      <c r="O518" s="797">
        <f t="shared" si="43"/>
        <v>1445.0028169014086</v>
      </c>
      <c r="P518" s="797">
        <f t="shared" si="44"/>
        <v>45.267915379438932</v>
      </c>
      <c r="Q518" s="797">
        <f t="shared" si="45"/>
        <v>154</v>
      </c>
      <c r="R518" s="797">
        <f t="shared" si="46"/>
        <v>154.75446525632398</v>
      </c>
      <c r="S518" s="797">
        <f>[1]!taqsabet(O518,C518)</f>
        <v>154.75317768521373</v>
      </c>
      <c r="T518" s="527"/>
      <c r="U518" s="527">
        <v>5</v>
      </c>
      <c r="V518" s="527">
        <v>2</v>
      </c>
      <c r="W518" s="527">
        <v>31</v>
      </c>
      <c r="X518" s="527"/>
      <c r="Y518" s="527">
        <v>4</v>
      </c>
      <c r="Z518" s="527">
        <v>15</v>
      </c>
      <c r="AA518" s="527" t="s">
        <v>2695</v>
      </c>
      <c r="AB518" s="527">
        <v>6</v>
      </c>
      <c r="AC518" s="527">
        <v>6</v>
      </c>
      <c r="AD518" s="527" t="s">
        <v>2700</v>
      </c>
    </row>
    <row r="519" spans="3:31">
      <c r="C519" s="523">
        <v>476</v>
      </c>
      <c r="D519" s="523">
        <v>18</v>
      </c>
      <c r="E519" s="543" t="s">
        <v>2718</v>
      </c>
      <c r="F519" s="523">
        <v>70</v>
      </c>
      <c r="G519" s="523"/>
      <c r="H519" s="523">
        <v>66</v>
      </c>
      <c r="I519" s="523">
        <v>0</v>
      </c>
      <c r="J519" s="523">
        <v>0</v>
      </c>
      <c r="K519" s="523"/>
      <c r="L519" s="797">
        <f>[1]!tsabetm(C519)</f>
        <v>131.91666666666666</v>
      </c>
      <c r="M519" s="797">
        <f>[1]!tsabetz(C519)</f>
        <v>156.11666666666667</v>
      </c>
      <c r="N519" s="797">
        <f t="shared" ref="N519:N582" si="47">(1697+40)/((IF(M519-L519&gt;0,M519-L519,M519+360-L519)))</f>
        <v>71.776859504132176</v>
      </c>
      <c r="O519" s="797">
        <f t="shared" si="43"/>
        <v>1445.0028169014086</v>
      </c>
      <c r="P519" s="797">
        <f t="shared" si="44"/>
        <v>50.007536062663007</v>
      </c>
      <c r="Q519" s="797">
        <f t="shared" si="45"/>
        <v>158</v>
      </c>
      <c r="R519" s="797">
        <f t="shared" si="46"/>
        <v>158.83345893437772</v>
      </c>
      <c r="S519" s="797">
        <f>[1]!taqsabet(O519,C519)</f>
        <v>158.83189576276223</v>
      </c>
      <c r="T519" s="523"/>
      <c r="U519" s="523">
        <v>5</v>
      </c>
      <c r="V519" s="523">
        <v>6</v>
      </c>
      <c r="W519" s="523">
        <v>7</v>
      </c>
      <c r="X519" s="523"/>
      <c r="Y519" s="523">
        <v>5</v>
      </c>
      <c r="Z519" s="523">
        <v>36</v>
      </c>
      <c r="AA519" s="523" t="s">
        <v>179</v>
      </c>
      <c r="AB519" s="523">
        <v>6</v>
      </c>
      <c r="AC519" s="523">
        <v>6</v>
      </c>
      <c r="AD519" s="523" t="s">
        <v>2700</v>
      </c>
    </row>
    <row r="520" spans="3:31">
      <c r="C520" s="527">
        <v>477</v>
      </c>
      <c r="D520" s="527">
        <v>19</v>
      </c>
      <c r="E520" s="553" t="s">
        <v>2893</v>
      </c>
      <c r="F520" s="527">
        <v>70</v>
      </c>
      <c r="G520" s="527"/>
      <c r="H520" s="527">
        <v>66</v>
      </c>
      <c r="I520" s="527">
        <v>0</v>
      </c>
      <c r="J520" s="527">
        <v>0</v>
      </c>
      <c r="K520" s="527"/>
      <c r="L520" s="797">
        <f>[1]!tsabetm(C520)</f>
        <v>130.91666666666666</v>
      </c>
      <c r="M520" s="797">
        <f>[1]!tsabetz(C520)</f>
        <v>158.41666666666666</v>
      </c>
      <c r="N520" s="797">
        <f t="shared" si="47"/>
        <v>63.163636363636364</v>
      </c>
      <c r="O520" s="797">
        <f t="shared" ref="O520:O583" si="48">O519</f>
        <v>1445.0028169014086</v>
      </c>
      <c r="P520" s="797">
        <f t="shared" ref="P520:P583" si="49">(R520-Q520)*60</f>
        <v>30.235836434843009</v>
      </c>
      <c r="Q520" s="797">
        <f t="shared" ref="Q520:Q583" si="50">INT(R520)</f>
        <v>161</v>
      </c>
      <c r="R520" s="797">
        <f t="shared" ref="R520:R583" si="51">((O520-1250)/(N520))+M520</f>
        <v>161.50393060724738</v>
      </c>
      <c r="S520" s="797">
        <f>[1]!taqsabet(O520,C520)</f>
        <v>161.50215427586616</v>
      </c>
      <c r="T520" s="527"/>
      <c r="U520" s="527">
        <v>5</v>
      </c>
      <c r="V520" s="527">
        <v>8</v>
      </c>
      <c r="W520" s="527">
        <v>25</v>
      </c>
      <c r="X520" s="527"/>
      <c r="Y520" s="527">
        <v>2</v>
      </c>
      <c r="Z520" s="527">
        <v>6</v>
      </c>
      <c r="AA520" s="527" t="s">
        <v>179</v>
      </c>
      <c r="AB520" s="527">
        <v>5</v>
      </c>
      <c r="AC520" s="527">
        <v>5</v>
      </c>
      <c r="AD520" s="527" t="s">
        <v>2700</v>
      </c>
    </row>
    <row r="521" spans="3:31">
      <c r="C521" s="523">
        <v>478</v>
      </c>
      <c r="D521" s="523">
        <v>20</v>
      </c>
      <c r="E521" s="543" t="s">
        <v>2894</v>
      </c>
      <c r="F521" s="523">
        <v>70</v>
      </c>
      <c r="G521" s="523"/>
      <c r="H521" s="523">
        <v>75</v>
      </c>
      <c r="I521" s="523">
        <v>3</v>
      </c>
      <c r="J521" s="523">
        <v>7</v>
      </c>
      <c r="K521" s="523" t="s">
        <v>2895</v>
      </c>
      <c r="L521" s="797">
        <f>[1]!tsabetm(C521)</f>
        <v>133.75</v>
      </c>
      <c r="M521" s="797">
        <f>[1]!tsabetz(C521)</f>
        <v>157.4</v>
      </c>
      <c r="N521" s="797">
        <f t="shared" si="47"/>
        <v>73.446088794925984</v>
      </c>
      <c r="O521" s="797">
        <f t="shared" si="48"/>
        <v>1445.0028169014086</v>
      </c>
      <c r="P521" s="797">
        <f t="shared" si="49"/>
        <v>3.3028193339669087</v>
      </c>
      <c r="Q521" s="797">
        <f t="shared" si="50"/>
        <v>160</v>
      </c>
      <c r="R521" s="797">
        <f t="shared" si="51"/>
        <v>160.05504698889945</v>
      </c>
      <c r="S521" s="797">
        <f>[1]!taqsabet(O521,C521)</f>
        <v>160.05351934391157</v>
      </c>
      <c r="T521" s="523"/>
      <c r="U521" s="523">
        <v>5</v>
      </c>
      <c r="V521" s="523">
        <v>7</v>
      </c>
      <c r="W521" s="523">
        <v>24</v>
      </c>
      <c r="X521" s="523"/>
      <c r="Y521" s="523">
        <v>13</v>
      </c>
      <c r="Z521" s="523">
        <v>6</v>
      </c>
      <c r="AA521" s="523" t="s">
        <v>179</v>
      </c>
      <c r="AB521" s="523">
        <v>2</v>
      </c>
      <c r="AC521" s="523">
        <v>2</v>
      </c>
      <c r="AD521" s="523" t="s">
        <v>2896</v>
      </c>
    </row>
    <row r="522" spans="3:31">
      <c r="C522" s="527">
        <v>479</v>
      </c>
      <c r="D522" s="527">
        <v>21</v>
      </c>
      <c r="E522" s="553" t="s">
        <v>2897</v>
      </c>
      <c r="F522" s="527">
        <v>70</v>
      </c>
      <c r="G522" s="527"/>
      <c r="H522" s="527">
        <v>66</v>
      </c>
      <c r="I522" s="527">
        <v>0</v>
      </c>
      <c r="J522" s="527">
        <v>0</v>
      </c>
      <c r="K522" s="527"/>
      <c r="L522" s="797">
        <f>[1]!tsabetm(C522)</f>
        <v>133.91666666666666</v>
      </c>
      <c r="M522" s="797">
        <f>[1]!tsabetz(C522)</f>
        <v>159.56666666666666</v>
      </c>
      <c r="N522" s="797">
        <f t="shared" si="47"/>
        <v>67.719298245614027</v>
      </c>
      <c r="O522" s="797">
        <f t="shared" si="48"/>
        <v>1445.0028169014086</v>
      </c>
      <c r="P522" s="797">
        <f t="shared" si="49"/>
        <v>26.774516529227412</v>
      </c>
      <c r="Q522" s="797">
        <f t="shared" si="50"/>
        <v>162</v>
      </c>
      <c r="R522" s="797">
        <f t="shared" si="51"/>
        <v>162.44624194215379</v>
      </c>
      <c r="S522" s="797">
        <f>[1]!taqsabet(O522,C522)</f>
        <v>162.44458510942911</v>
      </c>
      <c r="T522" s="527"/>
      <c r="U522" s="527">
        <v>5</v>
      </c>
      <c r="V522" s="527">
        <v>9</v>
      </c>
      <c r="W522" s="527">
        <v>34</v>
      </c>
      <c r="X522" s="527"/>
      <c r="Y522" s="527">
        <v>14</v>
      </c>
      <c r="Z522" s="527">
        <v>9</v>
      </c>
      <c r="AA522" s="527" t="s">
        <v>179</v>
      </c>
      <c r="AB522" s="527">
        <v>5</v>
      </c>
      <c r="AC522" s="527">
        <v>5</v>
      </c>
      <c r="AD522" s="527" t="s">
        <v>2896</v>
      </c>
    </row>
    <row r="523" spans="3:31">
      <c r="C523" s="523">
        <v>480</v>
      </c>
      <c r="D523" s="523">
        <v>22</v>
      </c>
      <c r="E523" s="543" t="s">
        <v>2718</v>
      </c>
      <c r="F523" s="523">
        <v>70</v>
      </c>
      <c r="G523" s="523"/>
      <c r="H523" s="523">
        <v>66</v>
      </c>
      <c r="I523" s="523">
        <v>0</v>
      </c>
      <c r="J523" s="523">
        <v>0</v>
      </c>
      <c r="K523" s="523" t="s">
        <v>2898</v>
      </c>
      <c r="L523" s="797">
        <f>[1]!tsabetm(C523)</f>
        <v>135.91666666666666</v>
      </c>
      <c r="M523" s="797">
        <f>[1]!tsabetz(C523)</f>
        <v>161.76666666666668</v>
      </c>
      <c r="N523" s="797">
        <f t="shared" si="47"/>
        <v>67.195357833655649</v>
      </c>
      <c r="O523" s="797">
        <f t="shared" si="48"/>
        <v>1445.0028169014086</v>
      </c>
      <c r="P523" s="797">
        <f t="shared" si="49"/>
        <v>40.121686248754713</v>
      </c>
      <c r="Q523" s="797">
        <f t="shared" si="50"/>
        <v>164</v>
      </c>
      <c r="R523" s="797">
        <f t="shared" si="51"/>
        <v>164.66869477081258</v>
      </c>
      <c r="S523" s="797">
        <f>[1]!taqsabet(O523,C523)</f>
        <v>164.66702501931422</v>
      </c>
      <c r="T523" s="523"/>
      <c r="U523" s="523">
        <v>5</v>
      </c>
      <c r="V523" s="523">
        <v>11</v>
      </c>
      <c r="W523" s="523">
        <v>46</v>
      </c>
      <c r="X523" s="523"/>
      <c r="Y523" s="523">
        <v>9</v>
      </c>
      <c r="Z523" s="523">
        <v>24</v>
      </c>
      <c r="AA523" s="523" t="s">
        <v>179</v>
      </c>
      <c r="AB523" s="523">
        <v>3</v>
      </c>
      <c r="AC523" s="523">
        <v>3</v>
      </c>
      <c r="AD523" s="523" t="s">
        <v>2896</v>
      </c>
    </row>
    <row r="524" spans="3:31">
      <c r="C524" s="527">
        <v>481</v>
      </c>
      <c r="D524" s="527">
        <v>23</v>
      </c>
      <c r="E524" s="553" t="s">
        <v>2899</v>
      </c>
      <c r="F524" s="527">
        <v>70</v>
      </c>
      <c r="G524" s="527"/>
      <c r="H524" s="527">
        <v>66</v>
      </c>
      <c r="I524" s="527">
        <v>0</v>
      </c>
      <c r="J524" s="527">
        <v>0</v>
      </c>
      <c r="K524" s="527"/>
      <c r="L524" s="797">
        <f>[1]!tsabetm(C524)</f>
        <v>139.91666666666666</v>
      </c>
      <c r="M524" s="797">
        <f>[1]!tsabetz(C524)</f>
        <v>166.06666666666666</v>
      </c>
      <c r="N524" s="797">
        <f t="shared" si="47"/>
        <v>66.424474187380483</v>
      </c>
      <c r="O524" s="797">
        <f t="shared" si="48"/>
        <v>1445.0028169014086</v>
      </c>
      <c r="P524" s="797">
        <f t="shared" si="49"/>
        <v>0.142440828042254</v>
      </c>
      <c r="Q524" s="797">
        <f t="shared" si="50"/>
        <v>169</v>
      </c>
      <c r="R524" s="797">
        <f t="shared" si="51"/>
        <v>169.0023740138007</v>
      </c>
      <c r="S524" s="797">
        <f>[1]!taqsabet(O524,C524)</f>
        <v>169.00068488414183</v>
      </c>
      <c r="T524" s="527"/>
      <c r="U524" s="527">
        <v>5</v>
      </c>
      <c r="V524" s="527">
        <v>16</v>
      </c>
      <c r="W524" s="527">
        <v>4</v>
      </c>
      <c r="X524" s="527"/>
      <c r="Y524" s="527">
        <v>6</v>
      </c>
      <c r="Z524" s="527">
        <v>9</v>
      </c>
      <c r="AA524" s="527" t="s">
        <v>179</v>
      </c>
      <c r="AB524" s="527">
        <v>3</v>
      </c>
      <c r="AC524" s="527">
        <v>3</v>
      </c>
      <c r="AD524" s="527" t="s">
        <v>286</v>
      </c>
    </row>
    <row r="525" spans="3:31">
      <c r="C525" s="523">
        <v>482</v>
      </c>
      <c r="D525" s="523">
        <v>24</v>
      </c>
      <c r="E525" s="543" t="s">
        <v>2900</v>
      </c>
      <c r="F525" s="523">
        <v>70</v>
      </c>
      <c r="G525" s="523"/>
      <c r="H525" s="523">
        <v>66</v>
      </c>
      <c r="I525" s="523">
        <v>0</v>
      </c>
      <c r="J525" s="523">
        <v>0</v>
      </c>
      <c r="K525" s="523"/>
      <c r="L525" s="797">
        <f>[1]!tsabetm(C525)</f>
        <v>141.25</v>
      </c>
      <c r="M525" s="797">
        <f>[1]!tsabetz(C525)</f>
        <v>167.36666666666667</v>
      </c>
      <c r="N525" s="797">
        <f t="shared" si="47"/>
        <v>66.509253350350974</v>
      </c>
      <c r="O525" s="797">
        <f t="shared" si="48"/>
        <v>1445.0028169014086</v>
      </c>
      <c r="P525" s="797">
        <f t="shared" si="49"/>
        <v>17.917912541454939</v>
      </c>
      <c r="Q525" s="797">
        <f t="shared" si="50"/>
        <v>170</v>
      </c>
      <c r="R525" s="797">
        <f t="shared" si="51"/>
        <v>170.29863187569092</v>
      </c>
      <c r="S525" s="797">
        <f>[1]!taqsabet(O525,C525)</f>
        <v>170.29694489916099</v>
      </c>
      <c r="T525" s="523"/>
      <c r="U525" s="523">
        <v>5</v>
      </c>
      <c r="V525" s="523">
        <v>17</v>
      </c>
      <c r="W525" s="523">
        <v>22</v>
      </c>
      <c r="X525" s="523"/>
      <c r="Y525" s="523">
        <v>1</v>
      </c>
      <c r="Z525" s="523">
        <v>15</v>
      </c>
      <c r="AA525" s="523" t="s">
        <v>179</v>
      </c>
      <c r="AB525" s="523">
        <v>4</v>
      </c>
      <c r="AC525" s="523">
        <v>4</v>
      </c>
      <c r="AD525" s="523" t="s">
        <v>286</v>
      </c>
    </row>
    <row r="526" spans="3:31">
      <c r="C526" s="527">
        <v>483</v>
      </c>
      <c r="D526" s="527">
        <v>25</v>
      </c>
      <c r="E526" s="553" t="s">
        <v>2901</v>
      </c>
      <c r="F526" s="527">
        <v>70</v>
      </c>
      <c r="G526" s="527"/>
      <c r="H526" s="527">
        <v>66</v>
      </c>
      <c r="I526" s="527">
        <v>0</v>
      </c>
      <c r="J526" s="527">
        <v>0</v>
      </c>
      <c r="K526" s="527"/>
      <c r="L526" s="797">
        <f>[1]!tsabetm(C526)</f>
        <v>141.25</v>
      </c>
      <c r="M526" s="797">
        <f>[1]!tsabetz(C526)</f>
        <v>167.61666666666667</v>
      </c>
      <c r="N526" s="797">
        <f t="shared" si="47"/>
        <v>65.878634639696571</v>
      </c>
      <c r="O526" s="797">
        <f t="shared" si="48"/>
        <v>1445.0028169014086</v>
      </c>
      <c r="P526" s="797">
        <f t="shared" si="49"/>
        <v>34.60187469086236</v>
      </c>
      <c r="Q526" s="797">
        <f t="shared" si="50"/>
        <v>170</v>
      </c>
      <c r="R526" s="797">
        <f t="shared" si="51"/>
        <v>170.57669791151437</v>
      </c>
      <c r="S526" s="797">
        <f>[1]!taqsabet(O526,C526)</f>
        <v>170.57499478651735</v>
      </c>
      <c r="T526" s="527"/>
      <c r="U526" s="527">
        <v>5</v>
      </c>
      <c r="V526" s="527">
        <v>17</v>
      </c>
      <c r="W526" s="527">
        <v>37</v>
      </c>
      <c r="X526" s="527"/>
      <c r="Y526" s="527">
        <v>5</v>
      </c>
      <c r="Z526" s="527">
        <v>0</v>
      </c>
      <c r="AA526" s="527" t="s">
        <v>274</v>
      </c>
      <c r="AB526" s="527">
        <v>4</v>
      </c>
      <c r="AC526" s="527">
        <v>4</v>
      </c>
      <c r="AD526" s="527" t="s">
        <v>2902</v>
      </c>
      <c r="AE526" s="327">
        <v>492</v>
      </c>
    </row>
    <row r="527" spans="3:31">
      <c r="C527" s="523">
        <v>484</v>
      </c>
      <c r="D527" s="523">
        <v>26</v>
      </c>
      <c r="E527" s="543" t="s">
        <v>2903</v>
      </c>
      <c r="F527" s="523">
        <v>70</v>
      </c>
      <c r="G527" s="523"/>
      <c r="H527" s="523">
        <v>66</v>
      </c>
      <c r="I527" s="523">
        <v>0</v>
      </c>
      <c r="J527" s="523">
        <v>0</v>
      </c>
      <c r="K527" s="523"/>
      <c r="L527" s="797">
        <f>[1]!tsabetm(C527)</f>
        <v>147.08333333333331</v>
      </c>
      <c r="M527" s="797">
        <f>[1]!tsabetz(C527)</f>
        <v>173.16666666666666</v>
      </c>
      <c r="N527" s="797">
        <f t="shared" si="47"/>
        <v>66.594249201277933</v>
      </c>
      <c r="O527" s="797">
        <f t="shared" si="48"/>
        <v>1445.0028169014086</v>
      </c>
      <c r="P527" s="797">
        <f t="shared" si="49"/>
        <v>5.6933842548659186</v>
      </c>
      <c r="Q527" s="797">
        <f t="shared" si="50"/>
        <v>176</v>
      </c>
      <c r="R527" s="797">
        <f t="shared" si="51"/>
        <v>176.0948897375811</v>
      </c>
      <c r="S527" s="797">
        <f>[1]!taqsabet(O527,C527)</f>
        <v>176.09320491418012</v>
      </c>
      <c r="T527" s="523"/>
      <c r="U527" s="523">
        <v>5</v>
      </c>
      <c r="V527" s="523">
        <v>23</v>
      </c>
      <c r="W527" s="523">
        <v>10</v>
      </c>
      <c r="X527" s="523"/>
      <c r="Y527" s="523">
        <v>3</v>
      </c>
      <c r="Z527" s="523">
        <v>15</v>
      </c>
      <c r="AA527" s="523" t="s">
        <v>274</v>
      </c>
      <c r="AB527" s="523">
        <v>5</v>
      </c>
      <c r="AC527" s="523">
        <v>5</v>
      </c>
      <c r="AD527" s="523" t="s">
        <v>286</v>
      </c>
    </row>
    <row r="528" spans="3:31">
      <c r="C528" s="527">
        <v>485</v>
      </c>
      <c r="D528" s="527">
        <v>27</v>
      </c>
      <c r="E528" s="553" t="s">
        <v>2904</v>
      </c>
      <c r="F528" s="527">
        <v>70</v>
      </c>
      <c r="G528" s="527"/>
      <c r="H528" s="527">
        <v>68</v>
      </c>
      <c r="I528" s="527">
        <v>9</v>
      </c>
      <c r="J528" s="527">
        <v>24</v>
      </c>
      <c r="K528" s="527" t="s">
        <v>2905</v>
      </c>
      <c r="L528" s="797">
        <f>[1]!tsabetm(C528)</f>
        <v>144.08333333333331</v>
      </c>
      <c r="M528" s="797">
        <f>[1]!tsabetz(C528)</f>
        <v>169.91666666666666</v>
      </c>
      <c r="N528" s="797">
        <f t="shared" si="47"/>
        <v>67.238709677419337</v>
      </c>
      <c r="O528" s="797">
        <f t="shared" si="48"/>
        <v>1445.0028169014086</v>
      </c>
      <c r="P528" s="797">
        <f t="shared" si="49"/>
        <v>49.009422105458498</v>
      </c>
      <c r="Q528" s="797">
        <f t="shared" si="50"/>
        <v>172</v>
      </c>
      <c r="R528" s="797">
        <f t="shared" si="51"/>
        <v>172.81682370175764</v>
      </c>
      <c r="S528" s="797">
        <f>[1]!taqsabet(O528,C528)</f>
        <v>172.81515502682376</v>
      </c>
      <c r="T528" s="527"/>
      <c r="U528" s="527">
        <v>5</v>
      </c>
      <c r="V528" s="527">
        <v>19</v>
      </c>
      <c r="W528" s="527">
        <v>55</v>
      </c>
      <c r="X528" s="527"/>
      <c r="Y528" s="527">
        <v>12</v>
      </c>
      <c r="Z528" s="527">
        <v>0</v>
      </c>
      <c r="AA528" s="527" t="s">
        <v>2906</v>
      </c>
      <c r="AB528" s="527">
        <v>1</v>
      </c>
      <c r="AC528" s="527">
        <v>1</v>
      </c>
      <c r="AD528" s="527" t="s">
        <v>286</v>
      </c>
    </row>
    <row r="529" spans="1:31">
      <c r="B529" s="505" t="s">
        <v>2415</v>
      </c>
      <c r="C529" s="523">
        <v>486</v>
      </c>
      <c r="D529" s="523">
        <v>1</v>
      </c>
      <c r="E529" s="543" t="s">
        <v>2907</v>
      </c>
      <c r="F529" s="523">
        <v>70</v>
      </c>
      <c r="G529" s="523"/>
      <c r="H529" s="523">
        <v>66</v>
      </c>
      <c r="I529" s="523">
        <v>0</v>
      </c>
      <c r="J529" s="523">
        <v>0</v>
      </c>
      <c r="K529" s="523"/>
      <c r="L529" s="797">
        <f>[1]!tsabetm(C529)</f>
        <v>125.58333333333331</v>
      </c>
      <c r="M529" s="797">
        <f>[1]!tsabetz(C529)</f>
        <v>151.76666666666668</v>
      </c>
      <c r="N529" s="797">
        <f t="shared" si="47"/>
        <v>66.339910884786676</v>
      </c>
      <c r="O529" s="797">
        <f t="shared" si="48"/>
        <v>1445.0028169014086</v>
      </c>
      <c r="P529" s="797">
        <f t="shared" si="49"/>
        <v>42.366969114631274</v>
      </c>
      <c r="Q529" s="797">
        <f t="shared" si="50"/>
        <v>154</v>
      </c>
      <c r="R529" s="797">
        <f t="shared" si="51"/>
        <v>154.70611615191052</v>
      </c>
      <c r="S529" s="797">
        <f>[1]!taqsabet(O529,C529)</f>
        <v>154.7044248691227</v>
      </c>
      <c r="T529" s="523"/>
      <c r="U529" s="523">
        <v>5</v>
      </c>
      <c r="V529" s="523">
        <v>1</v>
      </c>
      <c r="W529" s="523">
        <v>46</v>
      </c>
      <c r="X529" s="523"/>
      <c r="Y529" s="523">
        <v>14</v>
      </c>
      <c r="Z529" s="523">
        <v>0</v>
      </c>
      <c r="AA529" s="523" t="s">
        <v>179</v>
      </c>
      <c r="AB529" s="523">
        <v>5</v>
      </c>
      <c r="AC529" s="523">
        <v>5</v>
      </c>
      <c r="AD529" s="523"/>
    </row>
    <row r="530" spans="1:31">
      <c r="C530" s="527">
        <v>487</v>
      </c>
      <c r="D530" s="527">
        <v>2</v>
      </c>
      <c r="E530" s="553" t="s">
        <v>2465</v>
      </c>
      <c r="F530" s="527">
        <v>70</v>
      </c>
      <c r="G530" s="527"/>
      <c r="H530" s="527">
        <v>66</v>
      </c>
      <c r="I530" s="527">
        <v>0</v>
      </c>
      <c r="J530" s="527">
        <v>0</v>
      </c>
      <c r="K530" s="527"/>
      <c r="L530" s="797">
        <f>[1]!tsabetm(C530)</f>
        <v>127.75</v>
      </c>
      <c r="M530" s="797">
        <f>[1]!tsabetz(C530)</f>
        <v>154.01666666666668</v>
      </c>
      <c r="N530" s="797">
        <f t="shared" si="47"/>
        <v>66.129441624365455</v>
      </c>
      <c r="O530" s="797">
        <f t="shared" si="48"/>
        <v>1445.0028169014086</v>
      </c>
      <c r="P530" s="797">
        <f t="shared" si="49"/>
        <v>57.928289831100415</v>
      </c>
      <c r="Q530" s="797">
        <f t="shared" si="50"/>
        <v>156</v>
      </c>
      <c r="R530" s="797">
        <f t="shared" si="51"/>
        <v>156.96547149718501</v>
      </c>
      <c r="S530" s="797">
        <f>[1]!taqsabet(O530,C530)</f>
        <v>156.96377483157482</v>
      </c>
      <c r="T530" s="527"/>
      <c r="U530" s="527">
        <v>5</v>
      </c>
      <c r="V530" s="527">
        <v>4</v>
      </c>
      <c r="W530" s="527">
        <v>1</v>
      </c>
      <c r="X530" s="527"/>
      <c r="Y530" s="527">
        <v>16</v>
      </c>
      <c r="Z530" s="527">
        <v>30</v>
      </c>
      <c r="AA530" s="527" t="s">
        <v>179</v>
      </c>
      <c r="AB530" s="527">
        <v>5</v>
      </c>
      <c r="AC530" s="527">
        <v>5</v>
      </c>
      <c r="AD530" s="527"/>
    </row>
    <row r="531" spans="1:31">
      <c r="C531" s="523">
        <v>488</v>
      </c>
      <c r="D531" s="523">
        <v>3</v>
      </c>
      <c r="E531" s="543" t="s">
        <v>2908</v>
      </c>
      <c r="F531" s="523">
        <v>70</v>
      </c>
      <c r="G531" s="523"/>
      <c r="H531" s="523">
        <v>66</v>
      </c>
      <c r="I531" s="523">
        <v>0</v>
      </c>
      <c r="J531" s="523">
        <v>0</v>
      </c>
      <c r="K531" s="523"/>
      <c r="L531" s="797">
        <f>[1]!tsabetm(C531)</f>
        <v>137.08333333333331</v>
      </c>
      <c r="M531" s="797">
        <f>[1]!tsabetz(C531)</f>
        <v>162.81666666666666</v>
      </c>
      <c r="N531" s="797">
        <f t="shared" si="47"/>
        <v>67.499999999999957</v>
      </c>
      <c r="O531" s="797">
        <f t="shared" si="48"/>
        <v>1445.0028169014086</v>
      </c>
      <c r="P531" s="797">
        <f t="shared" si="49"/>
        <v>42.335837245696553</v>
      </c>
      <c r="Q531" s="797">
        <f t="shared" si="50"/>
        <v>165</v>
      </c>
      <c r="R531" s="797">
        <f t="shared" si="51"/>
        <v>165.70559728742828</v>
      </c>
      <c r="S531" s="797">
        <f>[1]!taqsabet(O531,C531)</f>
        <v>165.70393507188123</v>
      </c>
      <c r="T531" s="523"/>
      <c r="U531" s="523">
        <v>5</v>
      </c>
      <c r="V531" s="523">
        <v>12</v>
      </c>
      <c r="W531" s="523">
        <v>49</v>
      </c>
      <c r="X531" s="523"/>
      <c r="Y531" s="523">
        <v>1</v>
      </c>
      <c r="Z531" s="523">
        <v>14</v>
      </c>
      <c r="AA531" s="523" t="s">
        <v>179</v>
      </c>
      <c r="AB531" s="523">
        <v>4</v>
      </c>
      <c r="AC531" s="523">
        <v>4</v>
      </c>
      <c r="AD531" s="523"/>
    </row>
    <row r="532" spans="1:31">
      <c r="C532" s="527">
        <v>489</v>
      </c>
      <c r="D532" s="527">
        <v>4</v>
      </c>
      <c r="E532" s="553" t="s">
        <v>2909</v>
      </c>
      <c r="F532" s="527">
        <v>70</v>
      </c>
      <c r="G532" s="527"/>
      <c r="H532" s="527">
        <v>66</v>
      </c>
      <c r="I532" s="527">
        <v>0</v>
      </c>
      <c r="J532" s="527">
        <v>0</v>
      </c>
      <c r="K532" s="527"/>
      <c r="L532" s="797">
        <f>[1]!tsabetm(C532)</f>
        <v>136.75</v>
      </c>
      <c r="M532" s="797">
        <f>[1]!tsabetz(C532)</f>
        <v>162.41666666666666</v>
      </c>
      <c r="N532" s="797">
        <f t="shared" si="47"/>
        <v>67.675324675324703</v>
      </c>
      <c r="O532" s="797">
        <f t="shared" si="48"/>
        <v>1445.0028169014086</v>
      </c>
      <c r="P532" s="797">
        <f t="shared" si="49"/>
        <v>17.886780672520217</v>
      </c>
      <c r="Q532" s="797">
        <f t="shared" si="50"/>
        <v>165</v>
      </c>
      <c r="R532" s="797">
        <f t="shared" si="51"/>
        <v>165.29811301120867</v>
      </c>
      <c r="S532" s="797">
        <f>[1]!taqsabet(O532,C532)</f>
        <v>165.29645510191952</v>
      </c>
      <c r="T532" s="527"/>
      <c r="U532" s="527">
        <v>5</v>
      </c>
      <c r="V532" s="527">
        <v>12</v>
      </c>
      <c r="W532" s="527">
        <v>25</v>
      </c>
      <c r="X532" s="527"/>
      <c r="Y532" s="527">
        <v>0</v>
      </c>
      <c r="Z532" s="527">
        <v>30</v>
      </c>
      <c r="AA532" s="527" t="s">
        <v>274</v>
      </c>
      <c r="AB532" s="527">
        <v>5</v>
      </c>
      <c r="AC532" s="527">
        <v>5</v>
      </c>
      <c r="AD532" s="527"/>
    </row>
    <row r="533" spans="1:31">
      <c r="C533" s="523">
        <v>490</v>
      </c>
      <c r="D533" s="523">
        <v>5</v>
      </c>
      <c r="E533" s="543" t="s">
        <v>2910</v>
      </c>
      <c r="F533" s="523">
        <v>70</v>
      </c>
      <c r="G533" s="523"/>
      <c r="H533" s="523">
        <v>66</v>
      </c>
      <c r="I533" s="523">
        <v>0</v>
      </c>
      <c r="J533" s="523">
        <v>0</v>
      </c>
      <c r="K533" s="523"/>
      <c r="L533" s="797">
        <f>[1]!tsabetm(C533)</f>
        <v>137.58333333333331</v>
      </c>
      <c r="M533" s="797">
        <f>[1]!tsabetz(C533)</f>
        <v>163.36666666666667</v>
      </c>
      <c r="N533" s="797">
        <f t="shared" si="47"/>
        <v>67.369101486748477</v>
      </c>
      <c r="O533" s="797">
        <f t="shared" si="48"/>
        <v>1445.0028169014086</v>
      </c>
      <c r="P533" s="797">
        <f t="shared" si="49"/>
        <v>15.672629675578378</v>
      </c>
      <c r="Q533" s="797">
        <f t="shared" si="50"/>
        <v>166</v>
      </c>
      <c r="R533" s="797">
        <f t="shared" si="51"/>
        <v>166.26121049459297</v>
      </c>
      <c r="S533" s="797">
        <f>[1]!taqsabet(O533,C533)</f>
        <v>166.25954504935251</v>
      </c>
      <c r="T533" s="523"/>
      <c r="U533" s="523">
        <v>5</v>
      </c>
      <c r="V533" s="523">
        <v>13</v>
      </c>
      <c r="W533" s="523">
        <v>22</v>
      </c>
      <c r="X533" s="523"/>
      <c r="Y533" s="523">
        <v>3</v>
      </c>
      <c r="Z533" s="523">
        <v>0</v>
      </c>
      <c r="AA533" s="523" t="s">
        <v>274</v>
      </c>
      <c r="AB533" s="523">
        <v>5</v>
      </c>
      <c r="AC533" s="523">
        <v>5</v>
      </c>
      <c r="AD533" s="523"/>
    </row>
    <row r="534" spans="1:31">
      <c r="C534" s="527">
        <v>491</v>
      </c>
      <c r="D534" s="527">
        <v>6</v>
      </c>
      <c r="E534" s="553" t="s">
        <v>2911</v>
      </c>
      <c r="F534" s="527">
        <v>70</v>
      </c>
      <c r="G534" s="527"/>
      <c r="H534" s="527">
        <v>66</v>
      </c>
      <c r="I534" s="527">
        <v>0</v>
      </c>
      <c r="J534" s="527">
        <v>0</v>
      </c>
      <c r="K534" s="527" t="s">
        <v>2912</v>
      </c>
      <c r="L534" s="797">
        <f>[1]!tsabetm(C534)</f>
        <v>144.41666666666666</v>
      </c>
      <c r="M534" s="797">
        <f>[1]!tsabetz(C534)</f>
        <v>172.16666666666666</v>
      </c>
      <c r="N534" s="797">
        <f t="shared" si="47"/>
        <v>62.594594594594597</v>
      </c>
      <c r="O534" s="797">
        <f t="shared" si="48"/>
        <v>1445.0028169014086</v>
      </c>
      <c r="P534" s="797">
        <f t="shared" si="49"/>
        <v>16.919798584250429</v>
      </c>
      <c r="Q534" s="797">
        <f t="shared" si="50"/>
        <v>175</v>
      </c>
      <c r="R534" s="797">
        <f t="shared" si="51"/>
        <v>175.28199664307084</v>
      </c>
      <c r="S534" s="797">
        <f>[1]!taqsabet(O534,C534)</f>
        <v>175.28020416322252</v>
      </c>
      <c r="T534" s="527"/>
      <c r="U534" s="527">
        <v>5</v>
      </c>
      <c r="V534" s="527">
        <v>22</v>
      </c>
      <c r="W534" s="527">
        <v>10</v>
      </c>
      <c r="X534" s="527"/>
      <c r="Y534" s="527">
        <v>28</v>
      </c>
      <c r="Z534" s="527">
        <v>12</v>
      </c>
      <c r="AA534" s="527" t="s">
        <v>179</v>
      </c>
      <c r="AB534" s="527">
        <v>5</v>
      </c>
      <c r="AC534" s="527" t="s">
        <v>2422</v>
      </c>
      <c r="AD534" s="527"/>
    </row>
    <row r="535" spans="1:31">
      <c r="C535" s="523">
        <v>492</v>
      </c>
      <c r="D535" s="523">
        <v>7</v>
      </c>
      <c r="E535" s="543" t="s">
        <v>2913</v>
      </c>
      <c r="F535" s="523">
        <v>70</v>
      </c>
      <c r="G535" s="523"/>
      <c r="H535" s="523">
        <v>66</v>
      </c>
      <c r="I535" s="523">
        <v>0</v>
      </c>
      <c r="J535" s="523">
        <v>0</v>
      </c>
      <c r="K535" s="523" t="s">
        <v>2912</v>
      </c>
      <c r="L535" s="797">
        <f>[1]!tsabetm(C535)</f>
        <v>143.91666666666666</v>
      </c>
      <c r="M535" s="797">
        <f>[1]!tsabetz(C535)</f>
        <v>172.51666666666668</v>
      </c>
      <c r="N535" s="797">
        <f t="shared" si="47"/>
        <v>60.734265734265684</v>
      </c>
      <c r="O535" s="797">
        <f t="shared" si="48"/>
        <v>1445.0028169014086</v>
      </c>
      <c r="P535" s="797">
        <f t="shared" si="49"/>
        <v>43.645269892238048</v>
      </c>
      <c r="Q535" s="797">
        <f t="shared" si="50"/>
        <v>175</v>
      </c>
      <c r="R535" s="797">
        <f t="shared" si="51"/>
        <v>175.72742116487063</v>
      </c>
      <c r="S535" s="797">
        <f>[1]!taqsabet(O535,C535)</f>
        <v>175.72557378023416</v>
      </c>
      <c r="T535" s="523"/>
      <c r="U535" s="523">
        <v>5</v>
      </c>
      <c r="V535" s="523">
        <v>22</v>
      </c>
      <c r="W535" s="523">
        <v>31</v>
      </c>
      <c r="X535" s="523"/>
      <c r="Y535" s="523">
        <v>23</v>
      </c>
      <c r="Z535" s="523">
        <v>30</v>
      </c>
      <c r="AA535" s="523" t="s">
        <v>2914</v>
      </c>
      <c r="AB535" s="523">
        <v>5</v>
      </c>
      <c r="AC535" s="523" t="s">
        <v>2422</v>
      </c>
      <c r="AD535" s="523"/>
    </row>
    <row r="536" spans="1:31">
      <c r="C536" s="527">
        <v>493</v>
      </c>
      <c r="D536" s="527">
        <v>8</v>
      </c>
      <c r="E536" s="553" t="s">
        <v>2915</v>
      </c>
      <c r="F536" s="527">
        <v>70</v>
      </c>
      <c r="G536" s="527"/>
      <c r="H536" s="527">
        <v>66</v>
      </c>
      <c r="I536" s="527">
        <v>0</v>
      </c>
      <c r="J536" s="527">
        <v>0</v>
      </c>
      <c r="K536" s="527" t="s">
        <v>2912</v>
      </c>
      <c r="L536" s="797">
        <f>[1]!tsabetm(C536)</f>
        <v>148.08333333333331</v>
      </c>
      <c r="M536" s="797">
        <f>[1]!tsabetz(C536)</f>
        <v>176.56666666666666</v>
      </c>
      <c r="N536" s="797">
        <f t="shared" si="47"/>
        <v>60.983031012287853</v>
      </c>
      <c r="O536" s="797">
        <f t="shared" si="48"/>
        <v>1445.0028169014086</v>
      </c>
      <c r="P536" s="797">
        <f t="shared" si="49"/>
        <v>45.859420889181592</v>
      </c>
      <c r="Q536" s="797">
        <f t="shared" si="50"/>
        <v>179</v>
      </c>
      <c r="R536" s="797">
        <f t="shared" si="51"/>
        <v>179.76432368148636</v>
      </c>
      <c r="S536" s="797">
        <f>[1]!taqsabet(O536,C536)</f>
        <v>179.76248383280117</v>
      </c>
      <c r="T536" s="527"/>
      <c r="U536" s="527">
        <v>5</v>
      </c>
      <c r="V536" s="527">
        <v>26</v>
      </c>
      <c r="W536" s="527">
        <v>34</v>
      </c>
      <c r="X536" s="527"/>
      <c r="Y536" s="527">
        <v>34</v>
      </c>
      <c r="Z536" s="527">
        <v>0</v>
      </c>
      <c r="AA536" s="527" t="s">
        <v>179</v>
      </c>
      <c r="AB536" s="527">
        <v>5</v>
      </c>
      <c r="AC536" s="527" t="s">
        <v>2422</v>
      </c>
      <c r="AD536" s="527"/>
    </row>
    <row r="537" spans="1:31">
      <c r="C537" s="546"/>
      <c r="D537" s="546"/>
      <c r="E537" s="546"/>
      <c r="F537" s="546"/>
      <c r="G537" s="546"/>
      <c r="H537" s="546"/>
      <c r="I537" s="546"/>
      <c r="J537" s="546"/>
      <c r="K537" s="546"/>
      <c r="N537" s="797">
        <f t="shared" si="47"/>
        <v>4.8250000000000002</v>
      </c>
      <c r="O537" s="797">
        <f t="shared" si="48"/>
        <v>1445.0028169014086</v>
      </c>
      <c r="P537" s="797">
        <f t="shared" si="49"/>
        <v>24.905495147049237</v>
      </c>
      <c r="Q537" s="797">
        <f t="shared" si="50"/>
        <v>40</v>
      </c>
      <c r="R537" s="797">
        <f t="shared" si="51"/>
        <v>40.415091585784154</v>
      </c>
      <c r="S537" s="797">
        <f>[1]!taqsabet(O537,C537)</f>
        <v>1.4716840899636423</v>
      </c>
      <c r="T537" s="546"/>
      <c r="U537" s="546"/>
      <c r="V537" s="546"/>
      <c r="W537" s="546"/>
      <c r="X537" s="546"/>
      <c r="Y537" s="546"/>
      <c r="Z537" s="546"/>
      <c r="AA537" s="546"/>
      <c r="AB537" s="546"/>
      <c r="AC537" s="546"/>
      <c r="AD537" s="546"/>
    </row>
    <row r="538" spans="1:31">
      <c r="A538" s="563">
        <v>6</v>
      </c>
      <c r="B538" s="536" t="s">
        <v>1608</v>
      </c>
      <c r="C538" s="522">
        <v>494</v>
      </c>
      <c r="D538" s="522">
        <v>1</v>
      </c>
      <c r="E538" s="550" t="s">
        <v>2916</v>
      </c>
      <c r="F538" s="522">
        <v>70</v>
      </c>
      <c r="G538" s="522"/>
      <c r="H538" s="522">
        <v>66</v>
      </c>
      <c r="I538" s="522">
        <v>0</v>
      </c>
      <c r="J538" s="522">
        <v>0</v>
      </c>
      <c r="K538" s="522"/>
      <c r="L538" s="797">
        <f>[1]!tsabetm(C538)</f>
        <v>145.91666666666666</v>
      </c>
      <c r="M538" s="797">
        <f>[1]!tsabetz(C538)</f>
        <v>172.61666666666667</v>
      </c>
      <c r="N538" s="797">
        <f t="shared" si="47"/>
        <v>65.056179775280853</v>
      </c>
      <c r="O538" s="797">
        <f t="shared" si="48"/>
        <v>1445.0028169014086</v>
      </c>
      <c r="P538" s="797">
        <f t="shared" si="49"/>
        <v>36.847157556740626</v>
      </c>
      <c r="Q538" s="797">
        <f t="shared" si="50"/>
        <v>175</v>
      </c>
      <c r="R538" s="797">
        <f t="shared" si="51"/>
        <v>175.61411929261234</v>
      </c>
      <c r="S538" s="797">
        <f>[1]!taqsabet(O538,C538)</f>
        <v>175.61239463632583</v>
      </c>
      <c r="T538" s="522"/>
      <c r="U538" s="522">
        <v>5</v>
      </c>
      <c r="V538" s="522">
        <v>22</v>
      </c>
      <c r="W538" s="522">
        <v>37</v>
      </c>
      <c r="X538" s="522"/>
      <c r="Y538" s="522">
        <v>4</v>
      </c>
      <c r="Z538" s="522">
        <v>19</v>
      </c>
      <c r="AA538" s="522" t="s">
        <v>179</v>
      </c>
      <c r="AB538" s="522">
        <v>5</v>
      </c>
      <c r="AC538" s="522">
        <v>5</v>
      </c>
      <c r="AD538" s="522" t="s">
        <v>2917</v>
      </c>
    </row>
    <row r="539" spans="1:31">
      <c r="C539" s="523">
        <v>495</v>
      </c>
      <c r="D539" s="523">
        <v>2</v>
      </c>
      <c r="E539" s="543" t="s">
        <v>2918</v>
      </c>
      <c r="F539" s="523">
        <v>70</v>
      </c>
      <c r="G539" s="523"/>
      <c r="H539" s="523">
        <v>66</v>
      </c>
      <c r="I539" s="523">
        <v>0</v>
      </c>
      <c r="J539" s="523">
        <v>0</v>
      </c>
      <c r="K539" s="523"/>
      <c r="L539" s="797">
        <f>[1]!tsabetm(C539)</f>
        <v>146.58333333333331</v>
      </c>
      <c r="M539" s="797">
        <f>[1]!tsabetz(C539)</f>
        <v>172.51666666666668</v>
      </c>
      <c r="N539" s="797">
        <f t="shared" si="47"/>
        <v>66.97943444730069</v>
      </c>
      <c r="O539" s="797">
        <f t="shared" si="48"/>
        <v>1445.0028169014086</v>
      </c>
      <c r="P539" s="797">
        <f t="shared" si="49"/>
        <v>25.683006965223854</v>
      </c>
      <c r="Q539" s="797">
        <f t="shared" si="50"/>
        <v>175</v>
      </c>
      <c r="R539" s="797">
        <f t="shared" si="51"/>
        <v>175.42805011608706</v>
      </c>
      <c r="S539" s="797">
        <f>[1]!taqsabet(O539,C539)</f>
        <v>175.42637498176634</v>
      </c>
      <c r="T539" s="523"/>
      <c r="U539" s="523">
        <v>5</v>
      </c>
      <c r="V539" s="523">
        <v>22</v>
      </c>
      <c r="W539" s="523">
        <v>31</v>
      </c>
      <c r="X539" s="523"/>
      <c r="Y539" s="523">
        <v>6</v>
      </c>
      <c r="Z539" s="523">
        <v>15</v>
      </c>
      <c r="AA539" s="523" t="s">
        <v>179</v>
      </c>
      <c r="AB539" s="523">
        <v>5</v>
      </c>
      <c r="AC539" s="523">
        <v>5</v>
      </c>
      <c r="AD539" s="523" t="s">
        <v>2917</v>
      </c>
    </row>
    <row r="540" spans="1:31">
      <c r="C540" s="522">
        <v>496</v>
      </c>
      <c r="D540" s="522">
        <v>3</v>
      </c>
      <c r="E540" s="550" t="s">
        <v>2919</v>
      </c>
      <c r="F540" s="522">
        <v>70</v>
      </c>
      <c r="G540" s="522"/>
      <c r="H540" s="522">
        <v>66</v>
      </c>
      <c r="I540" s="522">
        <v>0</v>
      </c>
      <c r="J540" s="522">
        <v>0</v>
      </c>
      <c r="K540" s="522"/>
      <c r="L540" s="797">
        <f>[1]!tsabetm(C540)</f>
        <v>150.25</v>
      </c>
      <c r="M540" s="797">
        <f>[1]!tsabetz(C540)</f>
        <v>176.61666666666667</v>
      </c>
      <c r="N540" s="797">
        <f t="shared" si="47"/>
        <v>65.878634639696571</v>
      </c>
      <c r="O540" s="797">
        <f t="shared" si="48"/>
        <v>1445.0028169014086</v>
      </c>
      <c r="P540" s="797">
        <f t="shared" si="49"/>
        <v>34.60187469086236</v>
      </c>
      <c r="Q540" s="797">
        <f t="shared" si="50"/>
        <v>179</v>
      </c>
      <c r="R540" s="797">
        <f t="shared" si="51"/>
        <v>179.57669791151437</v>
      </c>
      <c r="S540" s="797">
        <f>[1]!taqsabet(O540,C540)</f>
        <v>179.57499478651735</v>
      </c>
      <c r="T540" s="522"/>
      <c r="U540" s="522">
        <v>5</v>
      </c>
      <c r="V540" s="522">
        <v>26</v>
      </c>
      <c r="W540" s="522">
        <v>37</v>
      </c>
      <c r="X540" s="522"/>
      <c r="Y540" s="522">
        <v>8</v>
      </c>
      <c r="Z540" s="522">
        <v>24</v>
      </c>
      <c r="AA540" s="522" t="s">
        <v>179</v>
      </c>
      <c r="AB540" s="522">
        <v>5</v>
      </c>
      <c r="AC540" s="522">
        <v>5</v>
      </c>
      <c r="AD540" s="522" t="s">
        <v>2917</v>
      </c>
    </row>
    <row r="541" spans="1:31">
      <c r="C541" s="523">
        <v>497</v>
      </c>
      <c r="D541" s="523">
        <v>4</v>
      </c>
      <c r="E541" s="543" t="s">
        <v>2920</v>
      </c>
      <c r="F541" s="523">
        <v>70</v>
      </c>
      <c r="G541" s="523"/>
      <c r="H541" s="523">
        <v>66</v>
      </c>
      <c r="I541" s="523">
        <v>0</v>
      </c>
      <c r="J541" s="523">
        <v>0</v>
      </c>
      <c r="K541" s="523"/>
      <c r="L541" s="797">
        <f>[1]!tsabetm(C541)</f>
        <v>149.75</v>
      </c>
      <c r="M541" s="797">
        <f>[1]!tsabetz(C541)</f>
        <v>176.41666666666666</v>
      </c>
      <c r="N541" s="797">
        <f t="shared" si="47"/>
        <v>65.137500000000017</v>
      </c>
      <c r="O541" s="797">
        <f t="shared" si="48"/>
        <v>1445.0028169014086</v>
      </c>
      <c r="P541" s="797">
        <f t="shared" si="49"/>
        <v>24.622629270151606</v>
      </c>
      <c r="Q541" s="797">
        <f t="shared" si="50"/>
        <v>179</v>
      </c>
      <c r="R541" s="797">
        <f t="shared" si="51"/>
        <v>179.41037715450253</v>
      </c>
      <c r="S541" s="797">
        <f>[1]!taqsabet(O541,C541)</f>
        <v>179.40865465134496</v>
      </c>
      <c r="T541" s="523"/>
      <c r="U541" s="523">
        <v>5</v>
      </c>
      <c r="V541" s="523">
        <v>26</v>
      </c>
      <c r="W541" s="523">
        <v>25</v>
      </c>
      <c r="X541" s="523"/>
      <c r="Y541" s="523">
        <v>6</v>
      </c>
      <c r="Z541" s="523">
        <v>9</v>
      </c>
      <c r="AA541" s="523" t="s">
        <v>179</v>
      </c>
      <c r="AB541" s="523">
        <v>5</v>
      </c>
      <c r="AC541" s="523">
        <v>5</v>
      </c>
      <c r="AD541" s="523" t="s">
        <v>2917</v>
      </c>
    </row>
    <row r="542" spans="1:31">
      <c r="C542" s="522">
        <v>498</v>
      </c>
      <c r="D542" s="522">
        <v>5</v>
      </c>
      <c r="E542" s="550" t="s">
        <v>2921</v>
      </c>
      <c r="F542" s="522">
        <v>70</v>
      </c>
      <c r="G542" s="522"/>
      <c r="H542" s="522">
        <v>66</v>
      </c>
      <c r="I542" s="522">
        <v>0</v>
      </c>
      <c r="J542" s="522">
        <v>0</v>
      </c>
      <c r="K542" s="522" t="s">
        <v>2922</v>
      </c>
      <c r="L542" s="797">
        <f>[1]!tsabetm(C542)</f>
        <v>148.58333333333331</v>
      </c>
      <c r="M542" s="797">
        <f>[1]!tsabetz(C542)</f>
        <v>174.61666666666667</v>
      </c>
      <c r="N542" s="797">
        <f t="shared" si="47"/>
        <v>66.722151088348198</v>
      </c>
      <c r="O542" s="797">
        <f t="shared" si="48"/>
        <v>1445.0028169014086</v>
      </c>
      <c r="P542" s="797">
        <f t="shared" si="49"/>
        <v>32.356591824985799</v>
      </c>
      <c r="Q542" s="797">
        <f t="shared" si="50"/>
        <v>177</v>
      </c>
      <c r="R542" s="797">
        <f t="shared" si="51"/>
        <v>177.53927653041643</v>
      </c>
      <c r="S542" s="797">
        <f>[1]!taqsabet(O542,C542)</f>
        <v>177.53759493670887</v>
      </c>
      <c r="T542" s="522"/>
      <c r="U542" s="522">
        <v>5</v>
      </c>
      <c r="V542" s="522">
        <v>24</v>
      </c>
      <c r="W542" s="522">
        <v>37</v>
      </c>
      <c r="X542" s="522"/>
      <c r="Y542" s="522">
        <v>5</v>
      </c>
      <c r="Z542" s="522">
        <v>15</v>
      </c>
      <c r="AA542" s="522" t="s">
        <v>179</v>
      </c>
      <c r="AB542" s="522">
        <v>3</v>
      </c>
      <c r="AC542" s="522">
        <v>3</v>
      </c>
      <c r="AD542" s="522" t="s">
        <v>2917</v>
      </c>
    </row>
    <row r="543" spans="1:31">
      <c r="C543" s="523">
        <v>499</v>
      </c>
      <c r="D543" s="523">
        <v>6</v>
      </c>
      <c r="E543" s="543" t="s">
        <v>2923</v>
      </c>
      <c r="F543" s="523">
        <v>70</v>
      </c>
      <c r="G543" s="523"/>
      <c r="H543" s="523">
        <v>66</v>
      </c>
      <c r="I543" s="523">
        <v>0</v>
      </c>
      <c r="J543" s="523">
        <v>0</v>
      </c>
      <c r="K543" s="523" t="s">
        <v>2922</v>
      </c>
      <c r="L543" s="797">
        <f>[1]!tsabetm(C543)</f>
        <v>157.83333333333331</v>
      </c>
      <c r="M543" s="797">
        <f>[1]!tsabetz(C543)</f>
        <v>183.21666666666667</v>
      </c>
      <c r="N543" s="797">
        <f t="shared" si="47"/>
        <v>68.43072882468806</v>
      </c>
      <c r="O543" s="797">
        <f t="shared" si="48"/>
        <v>1445.0028169014086</v>
      </c>
      <c r="P543" s="797">
        <f t="shared" si="49"/>
        <v>3.9782902365254813</v>
      </c>
      <c r="Q543" s="797">
        <f t="shared" si="50"/>
        <v>186</v>
      </c>
      <c r="R543" s="797">
        <f t="shared" si="51"/>
        <v>186.06630483727542</v>
      </c>
      <c r="S543" s="797">
        <f>[1]!taqsabet(O543,C543)</f>
        <v>186.06466522958235</v>
      </c>
      <c r="T543" s="523"/>
      <c r="U543" s="523">
        <v>6</v>
      </c>
      <c r="V543" s="523">
        <v>3</v>
      </c>
      <c r="W543" s="523">
        <v>13</v>
      </c>
      <c r="X543" s="523"/>
      <c r="Y543" s="523">
        <v>1</v>
      </c>
      <c r="Z543" s="523">
        <v>30</v>
      </c>
      <c r="AA543" s="523" t="s">
        <v>179</v>
      </c>
      <c r="AB543" s="523">
        <v>3</v>
      </c>
      <c r="AC543" s="523">
        <v>3</v>
      </c>
      <c r="AD543" s="523" t="s">
        <v>2917</v>
      </c>
      <c r="AE543" s="327">
        <v>593</v>
      </c>
    </row>
    <row r="544" spans="1:31">
      <c r="C544" s="522">
        <v>500</v>
      </c>
      <c r="D544" s="522">
        <v>7</v>
      </c>
      <c r="E544" s="550" t="s">
        <v>2661</v>
      </c>
      <c r="F544" s="522">
        <v>70</v>
      </c>
      <c r="G544" s="522"/>
      <c r="H544" s="522">
        <v>66</v>
      </c>
      <c r="I544" s="522">
        <v>0</v>
      </c>
      <c r="J544" s="522">
        <v>0</v>
      </c>
      <c r="K544" s="522"/>
      <c r="L544" s="797">
        <f>[1]!tsabetm(C544)</f>
        <v>162.75</v>
      </c>
      <c r="M544" s="797">
        <f>[1]!tsabetz(C544)</f>
        <v>188.31666666666666</v>
      </c>
      <c r="N544" s="797">
        <f t="shared" si="47"/>
        <v>67.940026075619301</v>
      </c>
      <c r="O544" s="797">
        <f t="shared" si="48"/>
        <v>1445.0028169014086</v>
      </c>
      <c r="P544" s="797">
        <f t="shared" si="49"/>
        <v>11.213195812758272</v>
      </c>
      <c r="Q544" s="797">
        <f t="shared" si="50"/>
        <v>191</v>
      </c>
      <c r="R544" s="797">
        <f t="shared" si="51"/>
        <v>191.1868865968793</v>
      </c>
      <c r="S544" s="797">
        <f>[1]!taqsabet(O544,C544)</f>
        <v>191.18523514697699</v>
      </c>
      <c r="T544" s="522"/>
      <c r="U544" s="522">
        <v>6</v>
      </c>
      <c r="V544" s="522">
        <v>8</v>
      </c>
      <c r="W544" s="522">
        <v>19</v>
      </c>
      <c r="X544" s="522"/>
      <c r="Y544" s="522">
        <v>2</v>
      </c>
      <c r="Z544" s="522">
        <v>54</v>
      </c>
      <c r="AA544" s="522" t="s">
        <v>179</v>
      </c>
      <c r="AB544" s="522">
        <v>3</v>
      </c>
      <c r="AC544" s="522">
        <v>3</v>
      </c>
      <c r="AD544" s="522" t="s">
        <v>1632</v>
      </c>
    </row>
    <row r="545" spans="3:36">
      <c r="C545" s="523">
        <v>501</v>
      </c>
      <c r="D545" s="523">
        <v>8</v>
      </c>
      <c r="E545" s="543" t="s">
        <v>2827</v>
      </c>
      <c r="F545" s="523">
        <v>70</v>
      </c>
      <c r="G545" s="523"/>
      <c r="H545" s="523">
        <v>66</v>
      </c>
      <c r="I545" s="523">
        <v>0</v>
      </c>
      <c r="J545" s="523">
        <v>0</v>
      </c>
      <c r="K545" s="523"/>
      <c r="L545" s="797">
        <f>[1]!tsabetm(C545)</f>
        <v>166.75</v>
      </c>
      <c r="M545" s="797">
        <f>[1]!tsabetz(C545)</f>
        <v>192.46666666666667</v>
      </c>
      <c r="N545" s="797">
        <f t="shared" si="47"/>
        <v>67.543745949449118</v>
      </c>
      <c r="O545" s="797">
        <f t="shared" si="48"/>
        <v>1445.0028169014086</v>
      </c>
      <c r="P545" s="797">
        <f t="shared" si="49"/>
        <v>21.223573102402042</v>
      </c>
      <c r="Q545" s="797">
        <f t="shared" si="50"/>
        <v>195</v>
      </c>
      <c r="R545" s="797">
        <f t="shared" si="51"/>
        <v>195.35372621837337</v>
      </c>
      <c r="S545" s="797">
        <f>[1]!taqsabet(O545,C545)</f>
        <v>195.3520650793908</v>
      </c>
      <c r="T545" s="523"/>
      <c r="U545" s="523">
        <v>6</v>
      </c>
      <c r="V545" s="523">
        <v>12</v>
      </c>
      <c r="W545" s="523">
        <v>28</v>
      </c>
      <c r="X545" s="523"/>
      <c r="Y545" s="523">
        <v>3</v>
      </c>
      <c r="Z545" s="523">
        <v>0</v>
      </c>
      <c r="AA545" s="523" t="s">
        <v>179</v>
      </c>
      <c r="AB545" s="523">
        <v>6</v>
      </c>
      <c r="AC545" s="523">
        <v>5</v>
      </c>
      <c r="AD545" s="523" t="s">
        <v>1632</v>
      </c>
    </row>
    <row r="546" spans="3:36">
      <c r="C546" s="522">
        <v>502</v>
      </c>
      <c r="D546" s="522">
        <v>9</v>
      </c>
      <c r="E546" s="550" t="s">
        <v>2924</v>
      </c>
      <c r="F546" s="522">
        <v>70</v>
      </c>
      <c r="G546" s="522"/>
      <c r="H546" s="522">
        <v>66</v>
      </c>
      <c r="I546" s="522">
        <v>0</v>
      </c>
      <c r="J546" s="522">
        <v>0</v>
      </c>
      <c r="K546" s="522"/>
      <c r="L546" s="797">
        <f>[1]!tsabetm(C546)</f>
        <v>170.58333333333331</v>
      </c>
      <c r="M546" s="797">
        <f>[1]!tsabetz(C546)</f>
        <v>196.51666666666668</v>
      </c>
      <c r="N546" s="797">
        <f t="shared" si="47"/>
        <v>66.97943444730069</v>
      </c>
      <c r="O546" s="797">
        <f t="shared" si="48"/>
        <v>1445.0028169014086</v>
      </c>
      <c r="P546" s="797">
        <f t="shared" si="49"/>
        <v>25.683006965223854</v>
      </c>
      <c r="Q546" s="797">
        <f t="shared" si="50"/>
        <v>199</v>
      </c>
      <c r="R546" s="797">
        <f t="shared" si="51"/>
        <v>199.42805011608706</v>
      </c>
      <c r="S546" s="797">
        <f>[1]!taqsabet(O546,C546)</f>
        <v>199.42637498176634</v>
      </c>
      <c r="T546" s="522"/>
      <c r="U546" s="522">
        <v>6</v>
      </c>
      <c r="V546" s="522">
        <v>16</v>
      </c>
      <c r="W546" s="522">
        <v>31</v>
      </c>
      <c r="X546" s="522"/>
      <c r="Y546" s="522">
        <v>1</v>
      </c>
      <c r="Z546" s="522">
        <v>36</v>
      </c>
      <c r="AA546" s="522" t="s">
        <v>179</v>
      </c>
      <c r="AB546" s="522">
        <v>4</v>
      </c>
      <c r="AC546" s="522">
        <v>4</v>
      </c>
      <c r="AD546" s="522" t="s">
        <v>1632</v>
      </c>
    </row>
    <row r="547" spans="3:36">
      <c r="C547" s="523">
        <v>503</v>
      </c>
      <c r="D547" s="523">
        <v>10</v>
      </c>
      <c r="E547" s="543" t="s">
        <v>2925</v>
      </c>
      <c r="F547" s="523">
        <v>70</v>
      </c>
      <c r="G547" s="523"/>
      <c r="H547" s="523">
        <v>66</v>
      </c>
      <c r="I547" s="523">
        <v>0</v>
      </c>
      <c r="J547" s="523">
        <v>0</v>
      </c>
      <c r="K547" s="523" t="s">
        <v>2922</v>
      </c>
      <c r="L547" s="797">
        <f>[1]!tsabetm(C547)</f>
        <v>163.91666666666666</v>
      </c>
      <c r="M547" s="797">
        <f>[1]!tsabetz(C547)</f>
        <v>190.11666666666667</v>
      </c>
      <c r="N547" s="797">
        <f t="shared" si="47"/>
        <v>66.297709923664073</v>
      </c>
      <c r="O547" s="797">
        <f t="shared" si="48"/>
        <v>1445.0028169014086</v>
      </c>
      <c r="P547" s="797">
        <f t="shared" si="49"/>
        <v>3.4792332579240792</v>
      </c>
      <c r="Q547" s="797">
        <f t="shared" si="50"/>
        <v>193</v>
      </c>
      <c r="R547" s="797">
        <f t="shared" si="51"/>
        <v>193.0579872209654</v>
      </c>
      <c r="S547" s="797">
        <f>[1]!taqsabet(O547,C547)</f>
        <v>193.05629486161311</v>
      </c>
      <c r="T547" s="523"/>
      <c r="U547" s="523">
        <v>6</v>
      </c>
      <c r="V547" s="523">
        <v>10</v>
      </c>
      <c r="W547" s="523">
        <v>7</v>
      </c>
      <c r="X547" s="523"/>
      <c r="Y547" s="523">
        <v>8</v>
      </c>
      <c r="Z547" s="523">
        <v>45</v>
      </c>
      <c r="AA547" s="523" t="s">
        <v>179</v>
      </c>
      <c r="AB547" s="523">
        <v>3</v>
      </c>
      <c r="AC547" s="523">
        <v>3</v>
      </c>
      <c r="AD547" s="523" t="s">
        <v>1632</v>
      </c>
    </row>
    <row r="548" spans="3:36">
      <c r="C548" s="522">
        <v>504</v>
      </c>
      <c r="D548" s="522">
        <v>11</v>
      </c>
      <c r="E548" s="550" t="s">
        <v>2926</v>
      </c>
      <c r="F548" s="522">
        <v>70</v>
      </c>
      <c r="G548" s="522"/>
      <c r="H548" s="522">
        <v>66</v>
      </c>
      <c r="I548" s="522">
        <v>0</v>
      </c>
      <c r="J548" s="522">
        <v>0</v>
      </c>
      <c r="K548" s="522"/>
      <c r="L548" s="797">
        <f>[1]!tsabetm(C548)</f>
        <v>157.75</v>
      </c>
      <c r="M548" s="797">
        <f>[1]!tsabetz(C548)</f>
        <v>183.2</v>
      </c>
      <c r="N548" s="797">
        <f t="shared" si="47"/>
        <v>68.251473477406705</v>
      </c>
      <c r="O548" s="797">
        <f t="shared" si="48"/>
        <v>1445.0028169014086</v>
      </c>
      <c r="P548" s="797">
        <f t="shared" si="49"/>
        <v>3.4273468097006798</v>
      </c>
      <c r="Q548" s="797">
        <f t="shared" si="50"/>
        <v>186</v>
      </c>
      <c r="R548" s="797">
        <f t="shared" si="51"/>
        <v>186.05712244682834</v>
      </c>
      <c r="S548" s="797">
        <f>[1]!taqsabet(O548,C548)</f>
        <v>186.05547853287734</v>
      </c>
      <c r="T548" s="522"/>
      <c r="U548" s="522">
        <v>6</v>
      </c>
      <c r="V548" s="522">
        <v>3</v>
      </c>
      <c r="W548" s="522">
        <v>12</v>
      </c>
      <c r="X548" s="522"/>
      <c r="Y548" s="522">
        <v>13</v>
      </c>
      <c r="Z548" s="522">
        <v>30</v>
      </c>
      <c r="AA548" s="522" t="s">
        <v>179</v>
      </c>
      <c r="AB548" s="522">
        <v>5</v>
      </c>
      <c r="AC548" s="522">
        <v>5</v>
      </c>
      <c r="AD548" s="522" t="s">
        <v>1632</v>
      </c>
    </row>
    <row r="549" spans="3:36">
      <c r="C549" s="523">
        <v>505</v>
      </c>
      <c r="D549" s="523">
        <v>12</v>
      </c>
      <c r="E549" s="543" t="s">
        <v>2927</v>
      </c>
      <c r="F549" s="523">
        <v>70</v>
      </c>
      <c r="G549" s="523"/>
      <c r="H549" s="523">
        <v>66</v>
      </c>
      <c r="I549" s="523">
        <v>0</v>
      </c>
      <c r="J549" s="523">
        <v>0</v>
      </c>
      <c r="K549" s="523"/>
      <c r="L549" s="797">
        <f>[1]!tsabetm(C549)</f>
        <v>159.75</v>
      </c>
      <c r="M549" s="797">
        <f>[1]!tsabetz(C549)</f>
        <v>186.11666666666667</v>
      </c>
      <c r="N549" s="797">
        <f t="shared" si="47"/>
        <v>65.878634639696571</v>
      </c>
      <c r="O549" s="797">
        <f t="shared" si="48"/>
        <v>1445.0028169014086</v>
      </c>
      <c r="P549" s="797">
        <f t="shared" si="49"/>
        <v>4.6018746908623598</v>
      </c>
      <c r="Q549" s="797">
        <f t="shared" si="50"/>
        <v>189</v>
      </c>
      <c r="R549" s="797">
        <f t="shared" si="51"/>
        <v>189.07669791151437</v>
      </c>
      <c r="S549" s="797">
        <f>[1]!taqsabet(O549,C549)</f>
        <v>189.07499478651735</v>
      </c>
      <c r="T549" s="523"/>
      <c r="U549" s="523">
        <v>6</v>
      </c>
      <c r="V549" s="523">
        <v>6</v>
      </c>
      <c r="W549" s="523">
        <v>7</v>
      </c>
      <c r="X549" s="523"/>
      <c r="Y549" s="523">
        <v>11</v>
      </c>
      <c r="Z549" s="523">
        <v>18</v>
      </c>
      <c r="AA549" s="523" t="s">
        <v>179</v>
      </c>
      <c r="AB549" s="523">
        <v>6</v>
      </c>
      <c r="AC549" s="523">
        <v>6</v>
      </c>
      <c r="AD549" s="523" t="s">
        <v>2928</v>
      </c>
    </row>
    <row r="550" spans="3:36">
      <c r="C550" s="522">
        <v>506</v>
      </c>
      <c r="D550" s="522">
        <v>13</v>
      </c>
      <c r="E550" s="550" t="s">
        <v>2929</v>
      </c>
      <c r="F550" s="522">
        <v>70</v>
      </c>
      <c r="G550" s="522"/>
      <c r="H550" s="522">
        <v>66</v>
      </c>
      <c r="I550" s="522">
        <v>0</v>
      </c>
      <c r="J550" s="522">
        <v>0</v>
      </c>
      <c r="K550" s="522" t="s">
        <v>2922</v>
      </c>
      <c r="L550" s="797">
        <f>[1]!tsabetm(C550)</f>
        <v>161.75</v>
      </c>
      <c r="M550" s="797">
        <f>[1]!tsabetz(C550)</f>
        <v>187.91666666666666</v>
      </c>
      <c r="N550" s="797">
        <f t="shared" si="47"/>
        <v>66.382165605095565</v>
      </c>
      <c r="O550" s="797">
        <f t="shared" si="48"/>
        <v>1445.0028169014086</v>
      </c>
      <c r="P550" s="797">
        <f t="shared" si="49"/>
        <v>51.254704971335059</v>
      </c>
      <c r="Q550" s="797">
        <f t="shared" si="50"/>
        <v>190</v>
      </c>
      <c r="R550" s="797">
        <f t="shared" si="51"/>
        <v>190.85424508285558</v>
      </c>
      <c r="S550" s="797">
        <f>[1]!taqsabet(O550,C550)</f>
        <v>190.85255487663224</v>
      </c>
      <c r="T550" s="522"/>
      <c r="U550" s="522">
        <v>6</v>
      </c>
      <c r="V550" s="522">
        <v>7</v>
      </c>
      <c r="W550" s="522">
        <v>55</v>
      </c>
      <c r="X550" s="522"/>
      <c r="Y550" s="522">
        <v>16</v>
      </c>
      <c r="Z550" s="522">
        <v>15</v>
      </c>
      <c r="AA550" s="522" t="s">
        <v>179</v>
      </c>
      <c r="AB550" s="522">
        <v>3</v>
      </c>
      <c r="AC550" s="522">
        <v>3</v>
      </c>
      <c r="AD550" s="522" t="s">
        <v>2928</v>
      </c>
    </row>
    <row r="551" spans="3:36">
      <c r="C551" s="523">
        <v>507</v>
      </c>
      <c r="D551" s="523">
        <v>14</v>
      </c>
      <c r="E551" s="543" t="s">
        <v>2930</v>
      </c>
      <c r="F551" s="523">
        <v>70</v>
      </c>
      <c r="G551" s="523"/>
      <c r="H551" s="523">
        <v>68</v>
      </c>
      <c r="I551" s="523">
        <v>3</v>
      </c>
      <c r="J551" s="523">
        <v>21</v>
      </c>
      <c r="K551" s="566" t="s">
        <v>2931</v>
      </c>
      <c r="L551" s="797">
        <f>[1]!tsabetm(C551)</f>
        <v>176.25</v>
      </c>
      <c r="M551" s="797">
        <f>[1]!tsabetz(C551)</f>
        <v>202.26666666666668</v>
      </c>
      <c r="N551" s="797">
        <f t="shared" si="47"/>
        <v>66.764894298526556</v>
      </c>
      <c r="O551" s="797">
        <f t="shared" si="48"/>
        <v>1445.0028169014086</v>
      </c>
      <c r="P551" s="797">
        <f t="shared" si="49"/>
        <v>11.244327681692994</v>
      </c>
      <c r="Q551" s="797">
        <f>INT(R551)</f>
        <v>205</v>
      </c>
      <c r="R551" s="797">
        <f t="shared" si="51"/>
        <v>205.18740546136155</v>
      </c>
      <c r="S551" s="797">
        <f>[1]!taqsabet(O551,C551)</f>
        <v>205.18572494421846</v>
      </c>
      <c r="T551" s="523"/>
      <c r="U551" s="523">
        <v>6</v>
      </c>
      <c r="V551" s="523">
        <v>22</v>
      </c>
      <c r="W551" s="523">
        <v>16</v>
      </c>
      <c r="X551" s="523"/>
      <c r="Y551" s="523">
        <v>2</v>
      </c>
      <c r="Z551" s="523">
        <v>9</v>
      </c>
      <c r="AA551" s="523" t="s">
        <v>274</v>
      </c>
      <c r="AB551" s="523">
        <v>1</v>
      </c>
      <c r="AC551" s="523">
        <v>1</v>
      </c>
      <c r="AD551" s="523" t="s">
        <v>2928</v>
      </c>
      <c r="AF551" s="327" t="s">
        <v>3877</v>
      </c>
      <c r="AG551" s="327">
        <v>9</v>
      </c>
      <c r="AH551" s="327">
        <v>204</v>
      </c>
      <c r="AI551" s="797">
        <f>(AG551/60)+AH551</f>
        <v>204.15</v>
      </c>
      <c r="AJ551" s="797">
        <f>R551-AI551</f>
        <v>1.0374054613615442</v>
      </c>
    </row>
    <row r="552" spans="3:36">
      <c r="C552" s="522">
        <v>508</v>
      </c>
      <c r="D552" s="522">
        <v>15</v>
      </c>
      <c r="E552" s="550" t="s">
        <v>2932</v>
      </c>
      <c r="F552" s="522">
        <v>70</v>
      </c>
      <c r="G552" s="522"/>
      <c r="H552" s="522">
        <v>66</v>
      </c>
      <c r="I552" s="522">
        <v>0</v>
      </c>
      <c r="J552" s="522">
        <v>0</v>
      </c>
      <c r="K552" s="522"/>
      <c r="L552" s="797">
        <f>[1]!tsabetm(C552)</f>
        <v>174.41666666666666</v>
      </c>
      <c r="M552" s="797">
        <f>[1]!tsabetz(C552)</f>
        <v>201.01666666666668</v>
      </c>
      <c r="N552" s="797">
        <f t="shared" si="47"/>
        <v>65.300751879699192</v>
      </c>
      <c r="O552" s="797">
        <f t="shared" si="48"/>
        <v>1445.0028169014086</v>
      </c>
      <c r="P552" s="797">
        <f t="shared" si="49"/>
        <v>0.17357269697697575</v>
      </c>
      <c r="Q552" s="797">
        <f t="shared" si="50"/>
        <v>204</v>
      </c>
      <c r="R552" s="797">
        <f t="shared" si="51"/>
        <v>204.00289287828295</v>
      </c>
      <c r="S552" s="797">
        <f>[1]!taqsabet(O552,C552)</f>
        <v>204.0011746813833</v>
      </c>
      <c r="T552" s="522"/>
      <c r="U552" s="522">
        <v>6</v>
      </c>
      <c r="V552" s="522">
        <v>21</v>
      </c>
      <c r="W552" s="522">
        <v>1</v>
      </c>
      <c r="X552" s="522"/>
      <c r="Y552" s="522">
        <v>8</v>
      </c>
      <c r="Z552" s="522">
        <v>45</v>
      </c>
      <c r="AA552" s="522" t="s">
        <v>179</v>
      </c>
      <c r="AB552" s="522">
        <v>3</v>
      </c>
      <c r="AC552" s="522">
        <v>3</v>
      </c>
      <c r="AD552" s="522" t="s">
        <v>2928</v>
      </c>
    </row>
    <row r="553" spans="3:36">
      <c r="C553" s="523">
        <v>509</v>
      </c>
      <c r="D553" s="523">
        <v>16</v>
      </c>
      <c r="E553" s="543" t="s">
        <v>2933</v>
      </c>
      <c r="F553" s="523">
        <v>70</v>
      </c>
      <c r="G553" s="523"/>
      <c r="H553" s="523">
        <v>66</v>
      </c>
      <c r="I553" s="523">
        <v>0</v>
      </c>
      <c r="J553" s="523">
        <v>0</v>
      </c>
      <c r="K553" s="523"/>
      <c r="L553" s="797">
        <f>[1]!tsabetm(C553)</f>
        <v>175.91666666666666</v>
      </c>
      <c r="M553" s="797">
        <f>[1]!tsabetz(C553)</f>
        <v>202.36666666666667</v>
      </c>
      <c r="N553" s="797">
        <f t="shared" si="47"/>
        <v>65.671077504725858</v>
      </c>
      <c r="O553" s="797">
        <f t="shared" si="48"/>
        <v>1445.0028169014086</v>
      </c>
      <c r="P553" s="797">
        <f t="shared" si="49"/>
        <v>20.163195407333205</v>
      </c>
      <c r="Q553" s="797">
        <f t="shared" si="50"/>
        <v>205</v>
      </c>
      <c r="R553" s="797">
        <f t="shared" si="51"/>
        <v>205.33605325678889</v>
      </c>
      <c r="S553" s="797">
        <f>[1]!taqsabet(O553,C553)</f>
        <v>205.33434474896947</v>
      </c>
      <c r="T553" s="523"/>
      <c r="U553" s="523">
        <v>6</v>
      </c>
      <c r="V553" s="523">
        <v>22</v>
      </c>
      <c r="W553" s="523">
        <v>22</v>
      </c>
      <c r="X553" s="523"/>
      <c r="Y553" s="523">
        <v>3</v>
      </c>
      <c r="Z553" s="523">
        <v>12</v>
      </c>
      <c r="AA553" s="523" t="s">
        <v>179</v>
      </c>
      <c r="AB553" s="523">
        <v>5</v>
      </c>
      <c r="AC553" s="523">
        <v>5</v>
      </c>
      <c r="AD553" s="523" t="s">
        <v>2928</v>
      </c>
    </row>
    <row r="554" spans="3:36">
      <c r="C554" s="522">
        <v>510</v>
      </c>
      <c r="D554" s="522">
        <v>17</v>
      </c>
      <c r="E554" s="550" t="s">
        <v>2934</v>
      </c>
      <c r="F554" s="522">
        <v>70</v>
      </c>
      <c r="G554" s="522"/>
      <c r="H554" s="522">
        <v>66</v>
      </c>
      <c r="I554" s="522">
        <v>0</v>
      </c>
      <c r="J554" s="522">
        <v>0</v>
      </c>
      <c r="K554" s="522"/>
      <c r="L554" s="797">
        <f>[1]!tsabetm(C554)</f>
        <v>176.58333333333331</v>
      </c>
      <c r="M554" s="797">
        <f>[1]!tsabetz(C554)</f>
        <v>203.41666666666666</v>
      </c>
      <c r="N554" s="797">
        <f t="shared" si="47"/>
        <v>64.732919254658356</v>
      </c>
      <c r="O554" s="797">
        <f t="shared" si="48"/>
        <v>1445.0028169014086</v>
      </c>
      <c r="P554" s="797">
        <f t="shared" si="49"/>
        <v>25.745270703089886</v>
      </c>
      <c r="Q554" s="797">
        <f t="shared" si="50"/>
        <v>206</v>
      </c>
      <c r="R554" s="797">
        <f t="shared" si="51"/>
        <v>206.4290878450515</v>
      </c>
      <c r="S554" s="797">
        <f>[1]!taqsabet(O554,C554)</f>
        <v>206.4273545762492</v>
      </c>
      <c r="T554" s="522"/>
      <c r="U554" s="522">
        <v>6</v>
      </c>
      <c r="V554" s="522">
        <v>23</v>
      </c>
      <c r="W554" s="522">
        <v>25</v>
      </c>
      <c r="X554" s="522"/>
      <c r="Y554" s="522">
        <v>0</v>
      </c>
      <c r="Z554" s="522">
        <v>24</v>
      </c>
      <c r="AA554" s="522" t="s">
        <v>274</v>
      </c>
      <c r="AB554" s="522">
        <v>6</v>
      </c>
      <c r="AC554" s="522">
        <v>6</v>
      </c>
      <c r="AD554" s="522" t="s">
        <v>2928</v>
      </c>
    </row>
    <row r="555" spans="3:36">
      <c r="C555" s="523">
        <v>511</v>
      </c>
      <c r="D555" s="523">
        <v>18</v>
      </c>
      <c r="E555" s="543" t="s">
        <v>2935</v>
      </c>
      <c r="F555" s="523">
        <v>70</v>
      </c>
      <c r="G555" s="523"/>
      <c r="H555" s="523">
        <v>66</v>
      </c>
      <c r="I555" s="523">
        <v>0</v>
      </c>
      <c r="J555" s="523">
        <v>0</v>
      </c>
      <c r="K555" s="523"/>
      <c r="L555" s="797">
        <f>[1]!tsabetm(C555)</f>
        <v>179.58333333333331</v>
      </c>
      <c r="M555" s="797">
        <f>[1]!tsabetz(C555)</f>
        <v>205.01666666666668</v>
      </c>
      <c r="N555" s="797">
        <f t="shared" si="47"/>
        <v>68.296199213630317</v>
      </c>
      <c r="O555" s="797">
        <f t="shared" si="48"/>
        <v>1445.0028169014086</v>
      </c>
      <c r="P555" s="797">
        <f t="shared" si="49"/>
        <v>52.315082666409012</v>
      </c>
      <c r="Q555" s="797">
        <f t="shared" si="50"/>
        <v>207</v>
      </c>
      <c r="R555" s="797">
        <f t="shared" si="51"/>
        <v>207.87191804444015</v>
      </c>
      <c r="S555" s="797">
        <f>[1]!taqsabet(O555,C555)</f>
        <v>207.87027520705362</v>
      </c>
      <c r="T555" s="523"/>
      <c r="U555" s="523">
        <v>6</v>
      </c>
      <c r="V555" s="523">
        <v>25</v>
      </c>
      <c r="W555" s="523">
        <v>1</v>
      </c>
      <c r="X555" s="523"/>
      <c r="Y555" s="523">
        <v>1</v>
      </c>
      <c r="Z555" s="523">
        <v>9</v>
      </c>
      <c r="AA555" s="523" t="s">
        <v>179</v>
      </c>
      <c r="AB555" s="523">
        <v>5</v>
      </c>
      <c r="AC555" s="523">
        <v>4</v>
      </c>
      <c r="AD555" s="523" t="s">
        <v>2928</v>
      </c>
    </row>
    <row r="556" spans="3:36">
      <c r="C556" s="522">
        <v>512</v>
      </c>
      <c r="D556" s="522">
        <v>19</v>
      </c>
      <c r="E556" s="550" t="s">
        <v>2936</v>
      </c>
      <c r="F556" s="522">
        <v>70</v>
      </c>
      <c r="G556" s="522"/>
      <c r="H556" s="522">
        <v>66</v>
      </c>
      <c r="I556" s="522">
        <v>0</v>
      </c>
      <c r="J556" s="522">
        <v>0</v>
      </c>
      <c r="K556" s="522"/>
      <c r="L556" s="797">
        <f>[1]!tsabetm(C556)</f>
        <v>177.58333333333331</v>
      </c>
      <c r="M556" s="797">
        <f>[1]!tsabetz(C556)</f>
        <v>204.51666666666668</v>
      </c>
      <c r="N556" s="797">
        <f t="shared" si="47"/>
        <v>64.492574257425659</v>
      </c>
      <c r="O556" s="797">
        <f t="shared" si="48"/>
        <v>1445.0028169014086</v>
      </c>
      <c r="P556" s="797">
        <f t="shared" si="49"/>
        <v>32.418855562853537</v>
      </c>
      <c r="Q556" s="797">
        <f t="shared" si="50"/>
        <v>207</v>
      </c>
      <c r="R556" s="797">
        <f t="shared" si="51"/>
        <v>207.54031425938089</v>
      </c>
      <c r="S556" s="797">
        <f>[1]!taqsabet(O556,C556)</f>
        <v>207.53857453119178</v>
      </c>
      <c r="T556" s="522"/>
      <c r="U556" s="522">
        <v>6</v>
      </c>
      <c r="V556" s="522">
        <v>24</v>
      </c>
      <c r="W556" s="522">
        <v>31</v>
      </c>
      <c r="X556" s="522"/>
      <c r="Y556" s="522">
        <v>2</v>
      </c>
      <c r="Z556" s="522">
        <v>54</v>
      </c>
      <c r="AA556" s="522" t="s">
        <v>274</v>
      </c>
      <c r="AB556" s="522">
        <v>5</v>
      </c>
      <c r="AC556" s="522">
        <v>5</v>
      </c>
      <c r="AD556" s="522" t="s">
        <v>2928</v>
      </c>
    </row>
    <row r="557" spans="3:36">
      <c r="C557" s="523">
        <v>513</v>
      </c>
      <c r="D557" s="523">
        <v>20</v>
      </c>
      <c r="E557" s="543" t="s">
        <v>2625</v>
      </c>
      <c r="F557" s="523">
        <v>70</v>
      </c>
      <c r="G557" s="523"/>
      <c r="H557" s="523">
        <v>66</v>
      </c>
      <c r="I557" s="523">
        <v>0</v>
      </c>
      <c r="J557" s="523">
        <v>0</v>
      </c>
      <c r="K557" s="523"/>
      <c r="L557" s="797">
        <f>[1]!tsabetm(C557)</f>
        <v>181.25</v>
      </c>
      <c r="M557" s="797">
        <f>[1]!tsabetz(C557)</f>
        <v>207.31666666666666</v>
      </c>
      <c r="N557" s="797">
        <f t="shared" si="47"/>
        <v>66.636828644501293</v>
      </c>
      <c r="O557" s="797">
        <f t="shared" si="48"/>
        <v>1445.0028169014086</v>
      </c>
      <c r="P557" s="797">
        <f t="shared" si="49"/>
        <v>14.581120111573114</v>
      </c>
      <c r="Q557" s="797">
        <f t="shared" si="50"/>
        <v>210</v>
      </c>
      <c r="R557" s="797">
        <f t="shared" si="51"/>
        <v>210.24301866852622</v>
      </c>
      <c r="S557" s="797">
        <f>[1]!taqsabet(O557,C557)</f>
        <v>210.24133492168971</v>
      </c>
      <c r="T557" s="523"/>
      <c r="U557" s="523">
        <v>6</v>
      </c>
      <c r="V557" s="523">
        <v>27</v>
      </c>
      <c r="W557" s="523">
        <v>19</v>
      </c>
      <c r="X557" s="523"/>
      <c r="Y557" s="523">
        <v>1</v>
      </c>
      <c r="Z557" s="523">
        <v>30</v>
      </c>
      <c r="AA557" s="523" t="s">
        <v>274</v>
      </c>
      <c r="AB557" s="523">
        <v>5</v>
      </c>
      <c r="AC557" s="523">
        <v>5</v>
      </c>
      <c r="AD557" s="523" t="s">
        <v>2928</v>
      </c>
    </row>
    <row r="558" spans="3:36">
      <c r="C558" s="522">
        <v>514</v>
      </c>
      <c r="D558" s="522">
        <v>21</v>
      </c>
      <c r="E558" s="550" t="s">
        <v>2937</v>
      </c>
      <c r="F558" s="522">
        <v>70</v>
      </c>
      <c r="G558" s="522"/>
      <c r="H558" s="522">
        <v>66</v>
      </c>
      <c r="I558" s="522">
        <v>0</v>
      </c>
      <c r="J558" s="522">
        <v>0</v>
      </c>
      <c r="K558" s="522"/>
      <c r="L558" s="797">
        <f>[1]!tsabetm(C558)</f>
        <v>177.58333333333331</v>
      </c>
      <c r="M558" s="797">
        <f>[1]!tsabetz(C558)</f>
        <v>205.06666666666666</v>
      </c>
      <c r="N558" s="797">
        <f t="shared" si="47"/>
        <v>63.201940570042417</v>
      </c>
      <c r="O558" s="797">
        <f t="shared" si="48"/>
        <v>1445.0028169014086</v>
      </c>
      <c r="P558" s="797">
        <f t="shared" si="49"/>
        <v>9.1235722915502038</v>
      </c>
      <c r="Q558" s="797">
        <f t="shared" si="50"/>
        <v>208</v>
      </c>
      <c r="R558" s="797">
        <f t="shared" si="51"/>
        <v>208.1520595381925</v>
      </c>
      <c r="S558" s="797">
        <f>[1]!taqsabet(O558,C558)</f>
        <v>208.15028428337575</v>
      </c>
      <c r="T558" s="522"/>
      <c r="U558" s="522">
        <v>6</v>
      </c>
      <c r="V558" s="522">
        <v>25</v>
      </c>
      <c r="W558" s="522">
        <v>4</v>
      </c>
      <c r="X558" s="522"/>
      <c r="Y558" s="522">
        <v>3</v>
      </c>
      <c r="Z558" s="522">
        <v>45</v>
      </c>
      <c r="AA558" s="522" t="s">
        <v>179</v>
      </c>
      <c r="AB558" s="522">
        <v>5</v>
      </c>
      <c r="AC558" s="522">
        <v>5</v>
      </c>
      <c r="AD558" s="522" t="s">
        <v>2928</v>
      </c>
    </row>
    <row r="559" spans="3:36">
      <c r="C559" s="523">
        <v>515</v>
      </c>
      <c r="D559" s="523">
        <v>22</v>
      </c>
      <c r="E559" s="543" t="s">
        <v>2938</v>
      </c>
      <c r="F559" s="523">
        <v>70</v>
      </c>
      <c r="G559" s="523"/>
      <c r="H559" s="523">
        <v>66</v>
      </c>
      <c r="I559" s="523">
        <v>0</v>
      </c>
      <c r="J559" s="523">
        <v>0</v>
      </c>
      <c r="K559" s="566" t="s">
        <v>2939</v>
      </c>
      <c r="L559" s="797">
        <f>[1]!tsabetm(C559)</f>
        <v>186.25</v>
      </c>
      <c r="M559" s="797">
        <f>[1]!tsabetz(C559)</f>
        <v>211.91666666666666</v>
      </c>
      <c r="N559" s="797">
        <f t="shared" si="47"/>
        <v>67.675324675324703</v>
      </c>
      <c r="O559" s="797">
        <f t="shared" si="48"/>
        <v>1445.0028169014086</v>
      </c>
      <c r="P559" s="797">
        <f t="shared" si="49"/>
        <v>47.886780672520217</v>
      </c>
      <c r="Q559" s="797">
        <f t="shared" si="50"/>
        <v>214</v>
      </c>
      <c r="R559" s="797">
        <f t="shared" si="51"/>
        <v>214.79811301120867</v>
      </c>
      <c r="S559" s="797">
        <f>[1]!taqsabet(O559,C559)</f>
        <v>214.79645510191952</v>
      </c>
      <c r="T559" s="523"/>
      <c r="U559" s="523">
        <v>7</v>
      </c>
      <c r="V559" s="523">
        <v>1</v>
      </c>
      <c r="W559" s="523">
        <v>55</v>
      </c>
      <c r="X559" s="523"/>
      <c r="Y559" s="523">
        <v>7</v>
      </c>
      <c r="Z559" s="523">
        <v>15</v>
      </c>
      <c r="AA559" s="523" t="s">
        <v>179</v>
      </c>
      <c r="AB559" s="523">
        <v>4</v>
      </c>
      <c r="AC559" s="523">
        <v>4</v>
      </c>
      <c r="AD559" s="523" t="s">
        <v>2928</v>
      </c>
    </row>
    <row r="560" spans="3:36">
      <c r="C560" s="522">
        <v>516</v>
      </c>
      <c r="D560" s="522">
        <v>23</v>
      </c>
      <c r="E560" s="550" t="s">
        <v>2940</v>
      </c>
      <c r="F560" s="522">
        <v>70</v>
      </c>
      <c r="G560" s="522"/>
      <c r="H560" s="522">
        <v>66</v>
      </c>
      <c r="I560" s="522">
        <v>0</v>
      </c>
      <c r="J560" s="522">
        <v>0</v>
      </c>
      <c r="K560" s="522"/>
      <c r="L560" s="797">
        <f>[1]!tsabetm(C560)</f>
        <v>186.91666666666666</v>
      </c>
      <c r="M560" s="797">
        <f>[1]!tsabetz(C560)</f>
        <v>212.96666666666667</v>
      </c>
      <c r="N560" s="797">
        <f t="shared" si="47"/>
        <v>66.679462571976941</v>
      </c>
      <c r="O560" s="797">
        <f t="shared" si="48"/>
        <v>1445.0028169014086</v>
      </c>
      <c r="P560" s="797">
        <f t="shared" si="49"/>
        <v>53.468855968280309</v>
      </c>
      <c r="Q560" s="797">
        <f t="shared" si="50"/>
        <v>215</v>
      </c>
      <c r="R560" s="797">
        <f t="shared" si="51"/>
        <v>215.89114759947134</v>
      </c>
      <c r="S560" s="797">
        <f>[1]!taqsabet(O560,C560)</f>
        <v>215.88946492919928</v>
      </c>
      <c r="T560" s="522"/>
      <c r="U560" s="522">
        <v>7</v>
      </c>
      <c r="V560" s="522">
        <v>2</v>
      </c>
      <c r="W560" s="522">
        <v>58</v>
      </c>
      <c r="X560" s="522"/>
      <c r="Y560" s="522">
        <v>3</v>
      </c>
      <c r="Z560" s="522">
        <v>0</v>
      </c>
      <c r="AA560" s="522" t="s">
        <v>179</v>
      </c>
      <c r="AB560" s="522">
        <v>4</v>
      </c>
      <c r="AC560" s="522">
        <v>4</v>
      </c>
      <c r="AD560" s="522" t="s">
        <v>2928</v>
      </c>
    </row>
    <row r="561" spans="1:31">
      <c r="C561" s="523">
        <v>517</v>
      </c>
      <c r="D561" s="523">
        <v>24</v>
      </c>
      <c r="E561" s="543" t="s">
        <v>2754</v>
      </c>
      <c r="F561" s="523">
        <v>70</v>
      </c>
      <c r="G561" s="523"/>
      <c r="H561" s="523">
        <v>66</v>
      </c>
      <c r="I561" s="523">
        <v>0</v>
      </c>
      <c r="J561" s="523">
        <v>0</v>
      </c>
      <c r="K561" s="523"/>
      <c r="L561" s="797">
        <f>[1]!tsabetm(C561)</f>
        <v>187.91666666666666</v>
      </c>
      <c r="M561" s="797">
        <f>[1]!tsabetz(C561)</f>
        <v>213.76666666666668</v>
      </c>
      <c r="N561" s="797">
        <f t="shared" si="47"/>
        <v>67.195357833655649</v>
      </c>
      <c r="O561" s="797">
        <f t="shared" si="48"/>
        <v>1445.0028169014086</v>
      </c>
      <c r="P561" s="797">
        <f t="shared" si="49"/>
        <v>40.121686248754713</v>
      </c>
      <c r="Q561" s="797">
        <f t="shared" si="50"/>
        <v>216</v>
      </c>
      <c r="R561" s="797">
        <f t="shared" si="51"/>
        <v>216.66869477081258</v>
      </c>
      <c r="S561" s="797">
        <f>[1]!taqsabet(O561,C561)</f>
        <v>216.66702501931422</v>
      </c>
      <c r="T561" s="523"/>
      <c r="U561" s="523">
        <v>7</v>
      </c>
      <c r="V561" s="523">
        <v>3</v>
      </c>
      <c r="W561" s="523">
        <v>46</v>
      </c>
      <c r="X561" s="523"/>
      <c r="Y561" s="523">
        <v>11</v>
      </c>
      <c r="Z561" s="523">
        <v>45</v>
      </c>
      <c r="AA561" s="523" t="s">
        <v>179</v>
      </c>
      <c r="AB561" s="523">
        <v>4</v>
      </c>
      <c r="AC561" s="523">
        <v>4</v>
      </c>
      <c r="AD561" s="523" t="s">
        <v>2928</v>
      </c>
    </row>
    <row r="562" spans="1:31">
      <c r="C562" s="522">
        <v>518</v>
      </c>
      <c r="D562" s="522">
        <v>25</v>
      </c>
      <c r="E562" s="550" t="s">
        <v>2941</v>
      </c>
      <c r="F562" s="522">
        <v>70</v>
      </c>
      <c r="G562" s="522"/>
      <c r="H562" s="522">
        <v>66</v>
      </c>
      <c r="I562" s="522">
        <v>0</v>
      </c>
      <c r="J562" s="522">
        <v>0</v>
      </c>
      <c r="K562" s="522" t="s">
        <v>2942</v>
      </c>
      <c r="L562" s="797">
        <f>[1]!tsabetm(C562)</f>
        <v>189.58333333333331</v>
      </c>
      <c r="M562" s="797">
        <f>[1]!tsabetz(C562)</f>
        <v>215.21666666666667</v>
      </c>
      <c r="N562" s="797">
        <f t="shared" si="47"/>
        <v>67.763328998699549</v>
      </c>
      <c r="O562" s="797">
        <f t="shared" si="48"/>
        <v>1445.0028169014086</v>
      </c>
      <c r="P562" s="797">
        <f t="shared" si="49"/>
        <v>5.6622523859329021</v>
      </c>
      <c r="Q562" s="797">
        <f t="shared" si="50"/>
        <v>218</v>
      </c>
      <c r="R562" s="797">
        <f t="shared" si="51"/>
        <v>218.09437087309888</v>
      </c>
      <c r="S562" s="797">
        <f>[1]!taqsabet(O562,C562)</f>
        <v>218.09271511693871</v>
      </c>
      <c r="T562" s="522"/>
      <c r="U562" s="522">
        <v>7</v>
      </c>
      <c r="V562" s="522">
        <v>5</v>
      </c>
      <c r="W562" s="522">
        <v>13</v>
      </c>
      <c r="X562" s="522"/>
      <c r="Y562" s="522">
        <v>0</v>
      </c>
      <c r="Z562" s="522">
        <v>42</v>
      </c>
      <c r="AA562" s="522" t="s">
        <v>179</v>
      </c>
      <c r="AB562" s="522">
        <v>4</v>
      </c>
      <c r="AC562" s="522">
        <v>4</v>
      </c>
      <c r="AD562" s="522" t="s">
        <v>2928</v>
      </c>
    </row>
    <row r="563" spans="1:31">
      <c r="C563" s="523">
        <v>519</v>
      </c>
      <c r="D563" s="523">
        <v>26</v>
      </c>
      <c r="E563" s="543" t="s">
        <v>2943</v>
      </c>
      <c r="F563" s="523">
        <v>70</v>
      </c>
      <c r="G563" s="523"/>
      <c r="H563" s="523">
        <v>66</v>
      </c>
      <c r="I563" s="523">
        <v>0</v>
      </c>
      <c r="J563" s="523">
        <v>0</v>
      </c>
      <c r="K563" s="523"/>
      <c r="L563" s="797">
        <f>[1]!tsabetm(C563)</f>
        <v>192.25</v>
      </c>
      <c r="M563" s="797">
        <f>[1]!tsabetz(C563)</f>
        <v>218.71666666666667</v>
      </c>
      <c r="N563" s="797">
        <f t="shared" si="47"/>
        <v>65.62972292191435</v>
      </c>
      <c r="O563" s="797">
        <f t="shared" si="48"/>
        <v>1445.0028169014086</v>
      </c>
      <c r="P563" s="797">
        <f t="shared" si="49"/>
        <v>41.27545955062601</v>
      </c>
      <c r="Q563" s="797">
        <f t="shared" si="50"/>
        <v>221</v>
      </c>
      <c r="R563" s="797">
        <f t="shared" si="51"/>
        <v>221.68792432584377</v>
      </c>
      <c r="S563" s="797">
        <f>[1]!taqsabet(O563,C563)</f>
        <v>221.68621474145988</v>
      </c>
      <c r="T563" s="523"/>
      <c r="U563" s="523">
        <v>7</v>
      </c>
      <c r="V563" s="523">
        <v>8</v>
      </c>
      <c r="W563" s="523">
        <v>43</v>
      </c>
      <c r="X563" s="523"/>
      <c r="Y563" s="523">
        <v>9</v>
      </c>
      <c r="Z563" s="523">
        <v>51</v>
      </c>
      <c r="AA563" s="523" t="s">
        <v>179</v>
      </c>
      <c r="AB563" s="523">
        <v>4</v>
      </c>
      <c r="AC563" s="523">
        <v>4</v>
      </c>
      <c r="AD563" s="523" t="s">
        <v>2928</v>
      </c>
    </row>
    <row r="564" spans="1:31">
      <c r="B564" s="505" t="s">
        <v>2415</v>
      </c>
      <c r="C564" s="522">
        <v>520</v>
      </c>
      <c r="D564" s="522">
        <v>1</v>
      </c>
      <c r="E564" s="550" t="s">
        <v>2944</v>
      </c>
      <c r="F564" s="522">
        <v>70</v>
      </c>
      <c r="G564" s="522"/>
      <c r="H564" s="522">
        <v>66</v>
      </c>
      <c r="I564" s="522">
        <v>0</v>
      </c>
      <c r="J564" s="522">
        <v>0</v>
      </c>
      <c r="K564" s="522"/>
      <c r="L564" s="797">
        <f>[1]!tsabetm(C564)</f>
        <v>164.25</v>
      </c>
      <c r="M564" s="797">
        <f>[1]!tsabetz(C564)</f>
        <v>190.6</v>
      </c>
      <c r="N564" s="797">
        <f t="shared" si="47"/>
        <v>65.920303605313109</v>
      </c>
      <c r="O564" s="797">
        <f t="shared" si="48"/>
        <v>1445.0028169014086</v>
      </c>
      <c r="P564" s="797">
        <f t="shared" si="49"/>
        <v>33.489610547568418</v>
      </c>
      <c r="Q564" s="797">
        <f t="shared" si="50"/>
        <v>193</v>
      </c>
      <c r="R564" s="797">
        <f t="shared" si="51"/>
        <v>193.55816017579281</v>
      </c>
      <c r="S564" s="797">
        <f>[1]!taqsabet(O564,C564)</f>
        <v>193.55645812736023</v>
      </c>
      <c r="T564" s="522"/>
      <c r="U564" s="522">
        <v>6</v>
      </c>
      <c r="V564" s="522">
        <v>10</v>
      </c>
      <c r="W564" s="522">
        <v>36</v>
      </c>
      <c r="X564" s="522"/>
      <c r="Y564" s="522">
        <v>3</v>
      </c>
      <c r="Z564" s="522">
        <v>42</v>
      </c>
      <c r="AA564" s="522" t="s">
        <v>274</v>
      </c>
      <c r="AB564" s="522">
        <v>5</v>
      </c>
      <c r="AC564" s="522">
        <v>5</v>
      </c>
      <c r="AD564" s="522"/>
    </row>
    <row r="565" spans="1:31">
      <c r="C565" s="523">
        <v>521</v>
      </c>
      <c r="D565" s="523">
        <v>2</v>
      </c>
      <c r="E565" s="543" t="s">
        <v>2945</v>
      </c>
      <c r="F565" s="523">
        <v>70</v>
      </c>
      <c r="G565" s="523"/>
      <c r="H565" s="523">
        <v>66</v>
      </c>
      <c r="I565" s="523">
        <v>0</v>
      </c>
      <c r="J565" s="523">
        <v>0</v>
      </c>
      <c r="K565" s="523"/>
      <c r="L565" s="797">
        <f>[1]!tsabetm(C565)</f>
        <v>168.58333333333331</v>
      </c>
      <c r="M565" s="797">
        <f>[1]!tsabetz(C565)</f>
        <v>194.26666666666668</v>
      </c>
      <c r="N565" s="797">
        <f t="shared" si="47"/>
        <v>67.631408176508671</v>
      </c>
      <c r="O565" s="797">
        <f t="shared" si="48"/>
        <v>1445.0028169014086</v>
      </c>
      <c r="P565" s="797">
        <f t="shared" si="49"/>
        <v>8.9990448158164327</v>
      </c>
      <c r="Q565" s="797">
        <f t="shared" si="50"/>
        <v>197</v>
      </c>
      <c r="R565" s="797">
        <f t="shared" si="51"/>
        <v>197.14998408026361</v>
      </c>
      <c r="S565" s="797">
        <f>[1]!taqsabet(O565,C565)</f>
        <v>197.14832509440998</v>
      </c>
      <c r="T565" s="523"/>
      <c r="U565" s="523">
        <v>6</v>
      </c>
      <c r="V565" s="523">
        <v>14</v>
      </c>
      <c r="W565" s="523">
        <v>16</v>
      </c>
      <c r="X565" s="523"/>
      <c r="Y565" s="523">
        <v>3</v>
      </c>
      <c r="Z565" s="523">
        <v>24</v>
      </c>
      <c r="AA565" s="523" t="s">
        <v>274</v>
      </c>
      <c r="AB565" s="523">
        <v>5</v>
      </c>
      <c r="AC565" s="523">
        <v>5</v>
      </c>
      <c r="AD565" s="523"/>
      <c r="AE565" s="327">
        <v>594</v>
      </c>
    </row>
    <row r="566" spans="1:31">
      <c r="C566" s="522">
        <v>522</v>
      </c>
      <c r="D566" s="522">
        <v>3</v>
      </c>
      <c r="E566" s="550" t="s">
        <v>2613</v>
      </c>
      <c r="F566" s="522">
        <v>70</v>
      </c>
      <c r="G566" s="522"/>
      <c r="H566" s="522">
        <v>66</v>
      </c>
      <c r="I566" s="522">
        <v>0</v>
      </c>
      <c r="J566" s="522">
        <v>0</v>
      </c>
      <c r="K566" s="522"/>
      <c r="L566" s="797">
        <f>[1]!tsabetm(C566)</f>
        <v>171.83333333333331</v>
      </c>
      <c r="M566" s="797">
        <f>[1]!tsabetz(C566)</f>
        <v>197.41666666666666</v>
      </c>
      <c r="N566" s="797">
        <f t="shared" si="47"/>
        <v>67.895765472312675</v>
      </c>
      <c r="O566" s="797">
        <f t="shared" si="48"/>
        <v>1445.0028169014086</v>
      </c>
      <c r="P566" s="797">
        <f t="shared" si="49"/>
        <v>17.325459956051077</v>
      </c>
      <c r="Q566" s="797">
        <f t="shared" si="50"/>
        <v>200</v>
      </c>
      <c r="R566" s="797">
        <f t="shared" si="51"/>
        <v>200.28875766593418</v>
      </c>
      <c r="S566" s="797">
        <f>[1]!taqsabet(O566,C566)</f>
        <v>200.2871051394674</v>
      </c>
      <c r="T566" s="522"/>
      <c r="U566" s="522">
        <v>6</v>
      </c>
      <c r="V566" s="522">
        <v>17</v>
      </c>
      <c r="W566" s="522">
        <v>25</v>
      </c>
      <c r="X566" s="522"/>
      <c r="Y566" s="522">
        <v>3</v>
      </c>
      <c r="Z566" s="522">
        <v>21</v>
      </c>
      <c r="AA566" s="522" t="s">
        <v>274</v>
      </c>
      <c r="AB566" s="522">
        <v>5</v>
      </c>
      <c r="AC566" s="522">
        <v>5</v>
      </c>
      <c r="AD566" s="522"/>
    </row>
    <row r="567" spans="1:31">
      <c r="C567" s="523">
        <v>523</v>
      </c>
      <c r="D567" s="523">
        <v>4</v>
      </c>
      <c r="E567" s="543" t="s">
        <v>2946</v>
      </c>
      <c r="F567" s="523">
        <v>70</v>
      </c>
      <c r="G567" s="523"/>
      <c r="H567" s="523">
        <v>66</v>
      </c>
      <c r="I567" s="523">
        <v>0</v>
      </c>
      <c r="J567" s="523">
        <v>0</v>
      </c>
      <c r="K567" s="523"/>
      <c r="L567" s="797">
        <f>[1]!tsabetm(C567)</f>
        <v>176.75</v>
      </c>
      <c r="M567" s="797">
        <f>[1]!tsabetz(C567)</f>
        <v>202.23333333333332</v>
      </c>
      <c r="N567" s="797">
        <f t="shared" si="47"/>
        <v>68.16219751471553</v>
      </c>
      <c r="O567" s="797">
        <f t="shared" si="48"/>
        <v>1445.0028169014086</v>
      </c>
      <c r="P567" s="797">
        <f t="shared" si="49"/>
        <v>5.6518750962885633</v>
      </c>
      <c r="Q567" s="797">
        <f t="shared" si="50"/>
        <v>205</v>
      </c>
      <c r="R567" s="797">
        <f t="shared" si="51"/>
        <v>205.09419791827148</v>
      </c>
      <c r="S567" s="797">
        <f>[1]!taqsabet(O567,C567)</f>
        <v>205.09255185119153</v>
      </c>
      <c r="T567" s="523"/>
      <c r="U567" s="523">
        <v>6</v>
      </c>
      <c r="V567" s="523">
        <v>22</v>
      </c>
      <c r="W567" s="523">
        <v>14</v>
      </c>
      <c r="X567" s="523"/>
      <c r="Y567" s="523">
        <v>8</v>
      </c>
      <c r="Z567" s="523">
        <v>0</v>
      </c>
      <c r="AA567" s="523" t="s">
        <v>274</v>
      </c>
      <c r="AB567" s="523">
        <v>6</v>
      </c>
      <c r="AC567" s="523">
        <v>6</v>
      </c>
      <c r="AD567" s="523"/>
    </row>
    <row r="568" spans="1:31">
      <c r="C568" s="522">
        <v>524</v>
      </c>
      <c r="D568" s="522">
        <v>5</v>
      </c>
      <c r="E568" s="550" t="s">
        <v>2947</v>
      </c>
      <c r="F568" s="522">
        <v>70</v>
      </c>
      <c r="G568" s="522"/>
      <c r="H568" s="522">
        <v>66</v>
      </c>
      <c r="I568" s="522">
        <v>0</v>
      </c>
      <c r="J568" s="522">
        <v>0</v>
      </c>
      <c r="K568" s="522"/>
      <c r="L568" s="797">
        <f>[1]!tsabetm(C568)</f>
        <v>177.75</v>
      </c>
      <c r="M568" s="797">
        <f>[1]!tsabetz(C568)</f>
        <v>203.41666666666666</v>
      </c>
      <c r="N568" s="797">
        <f t="shared" si="47"/>
        <v>67.675324675324703</v>
      </c>
      <c r="O568" s="797">
        <f t="shared" si="48"/>
        <v>1445.0028169014086</v>
      </c>
      <c r="P568" s="797">
        <f t="shared" si="49"/>
        <v>17.886780672520217</v>
      </c>
      <c r="Q568" s="797">
        <f t="shared" si="50"/>
        <v>206</v>
      </c>
      <c r="R568" s="797">
        <f t="shared" si="51"/>
        <v>206.29811301120867</v>
      </c>
      <c r="S568" s="797">
        <f>[1]!taqsabet(O568,C568)</f>
        <v>206.29645510191952</v>
      </c>
      <c r="T568" s="522"/>
      <c r="U568" s="522">
        <v>6</v>
      </c>
      <c r="V568" s="522">
        <v>23</v>
      </c>
      <c r="W568" s="522">
        <v>25</v>
      </c>
      <c r="X568" s="522"/>
      <c r="Y568" s="522">
        <v>8</v>
      </c>
      <c r="Z568" s="522">
        <v>36</v>
      </c>
      <c r="AA568" s="522" t="s">
        <v>274</v>
      </c>
      <c r="AB568" s="522">
        <v>5</v>
      </c>
      <c r="AC568" s="522">
        <v>5</v>
      </c>
      <c r="AD568" s="522"/>
    </row>
    <row r="569" spans="1:31">
      <c r="C569" s="523">
        <v>525</v>
      </c>
      <c r="D569" s="523">
        <v>6</v>
      </c>
      <c r="E569" s="543" t="s">
        <v>2948</v>
      </c>
      <c r="F569" s="523">
        <v>70</v>
      </c>
      <c r="G569" s="523"/>
      <c r="H569" s="523">
        <v>66</v>
      </c>
      <c r="I569" s="523">
        <v>0</v>
      </c>
      <c r="J569" s="523">
        <v>0</v>
      </c>
      <c r="K569" s="523"/>
      <c r="L569" s="797">
        <f>[1]!tsabetm(C569)</f>
        <v>184.58333333333331</v>
      </c>
      <c r="M569" s="797">
        <f>[1]!tsabetz(C569)</f>
        <v>210.26666666666668</v>
      </c>
      <c r="N569" s="797">
        <f t="shared" si="47"/>
        <v>67.631408176508671</v>
      </c>
      <c r="O569" s="797">
        <f t="shared" si="48"/>
        <v>1445.0028169014086</v>
      </c>
      <c r="P569" s="797">
        <f t="shared" si="49"/>
        <v>8.9990448158164327</v>
      </c>
      <c r="Q569" s="797">
        <f t="shared" si="50"/>
        <v>213</v>
      </c>
      <c r="R569" s="797">
        <f t="shared" si="51"/>
        <v>213.14998408026361</v>
      </c>
      <c r="S569" s="797">
        <f>[1]!taqsabet(O569,C569)</f>
        <v>213.14832509440998</v>
      </c>
      <c r="T569" s="523"/>
      <c r="U569" s="523">
        <v>7</v>
      </c>
      <c r="V569" s="523">
        <v>0</v>
      </c>
      <c r="W569" s="523">
        <v>16</v>
      </c>
      <c r="X569" s="523"/>
      <c r="Y569" s="523">
        <v>7</v>
      </c>
      <c r="Z569" s="523">
        <v>42</v>
      </c>
      <c r="AA569" s="523" t="s">
        <v>274</v>
      </c>
      <c r="AB569" s="523">
        <v>6</v>
      </c>
      <c r="AC569" s="523">
        <v>6</v>
      </c>
      <c r="AD569" s="523"/>
    </row>
    <row r="570" spans="1:31">
      <c r="B570" s="505" t="s">
        <v>2355</v>
      </c>
      <c r="C570" s="506" t="s">
        <v>2356</v>
      </c>
      <c r="D570" s="507" t="s">
        <v>2357</v>
      </c>
      <c r="E570" s="511" t="s">
        <v>2358</v>
      </c>
      <c r="F570" s="511"/>
      <c r="G570" s="511"/>
      <c r="H570" s="511"/>
      <c r="I570" s="511"/>
      <c r="J570" s="511"/>
      <c r="K570" s="514" t="s">
        <v>2360</v>
      </c>
      <c r="N570" s="797">
        <f t="shared" si="47"/>
        <v>4.8250000000000002</v>
      </c>
      <c r="O570" s="797">
        <f t="shared" si="48"/>
        <v>1445.0028169014086</v>
      </c>
      <c r="P570" s="797">
        <f t="shared" si="49"/>
        <v>24.905495147049237</v>
      </c>
      <c r="Q570" s="797">
        <f t="shared" si="50"/>
        <v>40</v>
      </c>
      <c r="R570" s="797">
        <f t="shared" si="51"/>
        <v>40.415091585784154</v>
      </c>
      <c r="S570" s="797" t="e">
        <f>[1]!taqsabet(O570,C570)</f>
        <v>#VALUE!</v>
      </c>
      <c r="T570" s="507"/>
      <c r="U570" s="508" t="s">
        <v>403</v>
      </c>
      <c r="V570" s="508"/>
      <c r="W570" s="509"/>
      <c r="X570" s="507"/>
      <c r="Y570" s="509" t="s">
        <v>275</v>
      </c>
      <c r="Z570" s="510"/>
      <c r="AA570" s="506" t="s">
        <v>176</v>
      </c>
      <c r="AB570" s="511" t="s">
        <v>2361</v>
      </c>
      <c r="AC570" s="511" t="s">
        <v>2362</v>
      </c>
      <c r="AD570" s="511" t="s">
        <v>2363</v>
      </c>
    </row>
    <row r="571" spans="1:31">
      <c r="B571" s="505"/>
      <c r="C571" s="512"/>
      <c r="D571" s="512"/>
      <c r="E571" s="513"/>
      <c r="F571" s="513"/>
      <c r="G571" s="513"/>
      <c r="H571" s="513"/>
      <c r="I571" s="513"/>
      <c r="J571" s="513"/>
      <c r="K571" s="514"/>
      <c r="N571" s="797">
        <f t="shared" si="47"/>
        <v>4.8250000000000002</v>
      </c>
      <c r="O571" s="797">
        <f t="shared" si="48"/>
        <v>1445.0028169014086</v>
      </c>
      <c r="P571" s="797">
        <f t="shared" si="49"/>
        <v>24.905495147049237</v>
      </c>
      <c r="Q571" s="797">
        <f t="shared" si="50"/>
        <v>40</v>
      </c>
      <c r="R571" s="797">
        <f t="shared" si="51"/>
        <v>40.415091585784154</v>
      </c>
      <c r="S571" s="797">
        <f>[1]!taqsabet(O571,C571)</f>
        <v>1.4716840899636423</v>
      </c>
      <c r="T571" s="515" t="s">
        <v>2367</v>
      </c>
      <c r="U571" s="516" t="s">
        <v>173</v>
      </c>
      <c r="V571" s="516" t="s">
        <v>172</v>
      </c>
      <c r="W571" s="516" t="s">
        <v>166</v>
      </c>
      <c r="X571" s="517" t="s">
        <v>2367</v>
      </c>
      <c r="Y571" s="516" t="s">
        <v>172</v>
      </c>
      <c r="Z571" s="518" t="s">
        <v>166</v>
      </c>
      <c r="AA571" s="512"/>
      <c r="AB571" s="517" t="s">
        <v>2368</v>
      </c>
      <c r="AC571" s="517" t="s">
        <v>2369</v>
      </c>
      <c r="AD571" s="513"/>
    </row>
    <row r="572" spans="1:31">
      <c r="A572" s="563">
        <v>7</v>
      </c>
      <c r="B572" s="536" t="s">
        <v>1609</v>
      </c>
      <c r="C572" s="527">
        <v>526</v>
      </c>
      <c r="D572" s="527">
        <v>1</v>
      </c>
      <c r="E572" s="553" t="s">
        <v>2949</v>
      </c>
      <c r="F572" s="527">
        <v>70</v>
      </c>
      <c r="G572" s="527"/>
      <c r="H572" s="527">
        <v>67</v>
      </c>
      <c r="I572" s="527">
        <v>4</v>
      </c>
      <c r="J572" s="527">
        <v>7</v>
      </c>
      <c r="K572" s="527" t="s">
        <v>2950</v>
      </c>
      <c r="L572" s="797">
        <f>[1]!tsabetm(C572)</f>
        <v>197.58333333333331</v>
      </c>
      <c r="M572" s="797">
        <f>[1]!tsabetz(C572)</f>
        <v>223.96666666666667</v>
      </c>
      <c r="N572" s="797">
        <f t="shared" si="47"/>
        <v>65.837018319646191</v>
      </c>
      <c r="O572" s="797">
        <f t="shared" si="48"/>
        <v>1445.0028169014086</v>
      </c>
      <c r="P572" s="797">
        <f t="shared" si="49"/>
        <v>55.71413883415687</v>
      </c>
      <c r="Q572" s="797">
        <f t="shared" si="50"/>
        <v>226</v>
      </c>
      <c r="R572" s="797">
        <f t="shared" si="51"/>
        <v>226.92856898056928</v>
      </c>
      <c r="S572" s="797">
        <f>[1]!taqsabet(O572,C572)</f>
        <v>226.92686477900776</v>
      </c>
      <c r="T572" s="527"/>
      <c r="U572" s="527">
        <v>7</v>
      </c>
      <c r="V572" s="527">
        <v>13</v>
      </c>
      <c r="W572" s="527">
        <v>58</v>
      </c>
      <c r="X572" s="527"/>
      <c r="Y572" s="527">
        <v>0</v>
      </c>
      <c r="Z572" s="527">
        <v>45</v>
      </c>
      <c r="AA572" s="527" t="s">
        <v>179</v>
      </c>
      <c r="AB572" s="527">
        <v>3</v>
      </c>
      <c r="AC572" s="527">
        <v>2</v>
      </c>
      <c r="AD572" s="527" t="s">
        <v>1632</v>
      </c>
    </row>
    <row r="573" spans="1:31">
      <c r="C573" s="523">
        <v>527</v>
      </c>
      <c r="D573" s="523">
        <v>2</v>
      </c>
      <c r="E573" s="543" t="s">
        <v>2951</v>
      </c>
      <c r="F573" s="523">
        <v>70</v>
      </c>
      <c r="G573" s="523"/>
      <c r="H573" s="523">
        <v>66</v>
      </c>
      <c r="I573" s="523">
        <v>0</v>
      </c>
      <c r="J573" s="523">
        <v>0</v>
      </c>
      <c r="K573" s="523"/>
      <c r="L573" s="797">
        <f>[1]!tsabetm(C573)</f>
        <v>196.58333333333331</v>
      </c>
      <c r="M573" s="797">
        <f>[1]!tsabetz(C573)</f>
        <v>222.61666666666667</v>
      </c>
      <c r="N573" s="797">
        <f t="shared" si="47"/>
        <v>66.722151088348198</v>
      </c>
      <c r="O573" s="797">
        <f t="shared" si="48"/>
        <v>1445.0028169014086</v>
      </c>
      <c r="P573" s="797">
        <f t="shared" si="49"/>
        <v>32.356591824985799</v>
      </c>
      <c r="Q573" s="797">
        <f t="shared" si="50"/>
        <v>225</v>
      </c>
      <c r="R573" s="797">
        <f t="shared" si="51"/>
        <v>225.53927653041643</v>
      </c>
      <c r="S573" s="797">
        <f>[1]!taqsabet(O573,C573)</f>
        <v>225.53759493670887</v>
      </c>
      <c r="T573" s="523"/>
      <c r="U573" s="523">
        <v>7</v>
      </c>
      <c r="V573" s="523">
        <v>12</v>
      </c>
      <c r="W573" s="523">
        <v>37</v>
      </c>
      <c r="X573" s="523"/>
      <c r="Y573" s="523">
        <v>1</v>
      </c>
      <c r="Z573" s="523">
        <v>45</v>
      </c>
      <c r="AA573" s="523" t="s">
        <v>179</v>
      </c>
      <c r="AB573" s="523">
        <v>3</v>
      </c>
      <c r="AC573" s="523">
        <v>5</v>
      </c>
      <c r="AD573" s="523" t="s">
        <v>1632</v>
      </c>
    </row>
    <row r="574" spans="1:31">
      <c r="C574" s="527">
        <v>528</v>
      </c>
      <c r="D574" s="527">
        <v>3</v>
      </c>
      <c r="E574" s="553" t="s">
        <v>2952</v>
      </c>
      <c r="F574" s="527">
        <v>70</v>
      </c>
      <c r="G574" s="527"/>
      <c r="H574" s="527">
        <v>67</v>
      </c>
      <c r="I574" s="527">
        <v>6</v>
      </c>
      <c r="J574" s="527">
        <v>6</v>
      </c>
      <c r="K574" s="527" t="s">
        <v>2953</v>
      </c>
      <c r="L574" s="797">
        <f>[1]!tsabetm(C574)</f>
        <v>201.75</v>
      </c>
      <c r="M574" s="797">
        <f>[1]!tsabetz(C574)</f>
        <v>228.06666666666666</v>
      </c>
      <c r="N574" s="797">
        <f t="shared" si="47"/>
        <v>66.00379987333757</v>
      </c>
      <c r="O574" s="797">
        <f t="shared" si="48"/>
        <v>1445.0028169014086</v>
      </c>
      <c r="P574" s="797">
        <f t="shared" si="49"/>
        <v>1.2650822609805346</v>
      </c>
      <c r="Q574" s="797">
        <f t="shared" si="50"/>
        <v>231</v>
      </c>
      <c r="R574" s="797">
        <f t="shared" si="51"/>
        <v>231.02108470434968</v>
      </c>
      <c r="S574" s="797">
        <f>[1]!taqsabet(O574,C574)</f>
        <v>231.01938480904607</v>
      </c>
      <c r="T574" s="527"/>
      <c r="U574" s="527">
        <v>7</v>
      </c>
      <c r="V574" s="527">
        <v>18</v>
      </c>
      <c r="W574" s="527">
        <v>4</v>
      </c>
      <c r="X574" s="527"/>
      <c r="Y574" s="527">
        <v>8</v>
      </c>
      <c r="Z574" s="527">
        <v>45</v>
      </c>
      <c r="AA574" s="527" t="s">
        <v>179</v>
      </c>
      <c r="AB574" s="527">
        <v>3</v>
      </c>
      <c r="AC574" s="527">
        <v>2</v>
      </c>
      <c r="AD574" s="527" t="s">
        <v>1632</v>
      </c>
    </row>
    <row r="575" spans="1:31">
      <c r="C575" s="523">
        <v>529</v>
      </c>
      <c r="D575" s="523">
        <v>4</v>
      </c>
      <c r="E575" s="543" t="s">
        <v>2954</v>
      </c>
      <c r="F575" s="523">
        <v>70</v>
      </c>
      <c r="G575" s="523"/>
      <c r="H575" s="523">
        <v>66</v>
      </c>
      <c r="I575" s="523">
        <v>0</v>
      </c>
      <c r="J575" s="523">
        <v>0</v>
      </c>
      <c r="K575" s="523"/>
      <c r="L575" s="797">
        <f>[1]!tsabetm(C575)</f>
        <v>197.25</v>
      </c>
      <c r="M575" s="797">
        <f>[1]!tsabetz(C575)</f>
        <v>224.06666666666666</v>
      </c>
      <c r="N575" s="797">
        <f t="shared" si="47"/>
        <v>64.773151025481681</v>
      </c>
      <c r="O575" s="797">
        <f t="shared" si="48"/>
        <v>1445.0028169014086</v>
      </c>
      <c r="P575" s="797">
        <f t="shared" si="49"/>
        <v>4.6330065597953762</v>
      </c>
      <c r="Q575" s="797">
        <f t="shared" si="50"/>
        <v>227</v>
      </c>
      <c r="R575" s="797">
        <f t="shared" si="51"/>
        <v>227.07721677599659</v>
      </c>
      <c r="S575" s="797">
        <f>[1]!taqsabet(O575,C575)</f>
        <v>227.07548458375879</v>
      </c>
      <c r="T575" s="523"/>
      <c r="U575" s="523">
        <v>7</v>
      </c>
      <c r="V575" s="523">
        <v>14</v>
      </c>
      <c r="W575" s="523">
        <v>4</v>
      </c>
      <c r="X575" s="523"/>
      <c r="Y575" s="523">
        <v>8</v>
      </c>
      <c r="Z575" s="523">
        <v>36</v>
      </c>
      <c r="AA575" s="523" t="s">
        <v>179</v>
      </c>
      <c r="AB575" s="523">
        <v>5</v>
      </c>
      <c r="AC575" s="523">
        <v>5</v>
      </c>
      <c r="AD575" s="523" t="s">
        <v>1632</v>
      </c>
    </row>
    <row r="576" spans="1:31">
      <c r="C576" s="527">
        <v>530</v>
      </c>
      <c r="D576" s="527">
        <v>5</v>
      </c>
      <c r="E576" s="553" t="s">
        <v>2955</v>
      </c>
      <c r="F576" s="527">
        <v>70</v>
      </c>
      <c r="G576" s="527"/>
      <c r="H576" s="527">
        <v>66</v>
      </c>
      <c r="I576" s="527">
        <v>0</v>
      </c>
      <c r="J576" s="527">
        <v>0</v>
      </c>
      <c r="K576" s="527"/>
      <c r="L576" s="797">
        <f>[1]!tsabetm(C576)</f>
        <v>203.58333333333331</v>
      </c>
      <c r="M576" s="797">
        <f>[1]!tsabetz(C576)</f>
        <v>229.36666666666667</v>
      </c>
      <c r="N576" s="797">
        <f t="shared" si="47"/>
        <v>67.369101486748477</v>
      </c>
      <c r="O576" s="797">
        <f t="shared" si="48"/>
        <v>1445.0028169014086</v>
      </c>
      <c r="P576" s="797">
        <f t="shared" si="49"/>
        <v>15.672629675578378</v>
      </c>
      <c r="Q576" s="797">
        <f t="shared" si="50"/>
        <v>232</v>
      </c>
      <c r="R576" s="797">
        <f t="shared" si="51"/>
        <v>232.26121049459297</v>
      </c>
      <c r="S576" s="797">
        <f>[1]!taqsabet(O576,C576)</f>
        <v>232.25954504935251</v>
      </c>
      <c r="T576" s="527"/>
      <c r="U576" s="527">
        <v>7</v>
      </c>
      <c r="V576" s="527">
        <v>19</v>
      </c>
      <c r="W576" s="527">
        <v>22</v>
      </c>
      <c r="X576" s="527"/>
      <c r="Y576" s="527">
        <v>1</v>
      </c>
      <c r="Z576" s="527">
        <v>46</v>
      </c>
      <c r="AA576" s="527" t="s">
        <v>274</v>
      </c>
      <c r="AB576" s="527">
        <v>4</v>
      </c>
      <c r="AC576" s="527">
        <v>4</v>
      </c>
      <c r="AD576" s="527" t="s">
        <v>1632</v>
      </c>
    </row>
    <row r="577" spans="1:31">
      <c r="C577" s="523">
        <v>531</v>
      </c>
      <c r="D577" s="523">
        <v>6</v>
      </c>
      <c r="E577" s="543" t="s">
        <v>2956</v>
      </c>
      <c r="F577" s="523">
        <v>70</v>
      </c>
      <c r="G577" s="523"/>
      <c r="H577" s="523">
        <v>66</v>
      </c>
      <c r="I577" s="523">
        <v>0</v>
      </c>
      <c r="J577" s="523">
        <v>0</v>
      </c>
      <c r="K577" s="523"/>
      <c r="L577" s="797">
        <f>[1]!tsabetm(C577)</f>
        <v>200.91666666666666</v>
      </c>
      <c r="M577" s="797">
        <f>[1]!tsabetz(C577)</f>
        <v>226.86666666666667</v>
      </c>
      <c r="N577" s="797">
        <f t="shared" si="47"/>
        <v>66.936416184971051</v>
      </c>
      <c r="O577" s="797">
        <f t="shared" si="48"/>
        <v>1445.0028169014086</v>
      </c>
      <c r="P577" s="797">
        <f t="shared" si="49"/>
        <v>46.795271108516658</v>
      </c>
      <c r="Q577" s="797">
        <f t="shared" si="50"/>
        <v>229</v>
      </c>
      <c r="R577" s="797">
        <f t="shared" si="51"/>
        <v>229.77992118514194</v>
      </c>
      <c r="S577" s="797">
        <f>[1]!taqsabet(O577,C577)</f>
        <v>229.77824497425675</v>
      </c>
      <c r="T577" s="523"/>
      <c r="U577" s="523">
        <v>7</v>
      </c>
      <c r="V577" s="523">
        <v>16</v>
      </c>
      <c r="W577" s="523">
        <v>52</v>
      </c>
      <c r="X577" s="523"/>
      <c r="Y577" s="523">
        <v>1</v>
      </c>
      <c r="Z577" s="523">
        <v>9</v>
      </c>
      <c r="AA577" s="523" t="s">
        <v>179</v>
      </c>
      <c r="AB577" s="523">
        <v>5</v>
      </c>
      <c r="AC577" s="523">
        <v>4</v>
      </c>
      <c r="AD577" s="523" t="s">
        <v>1632</v>
      </c>
    </row>
    <row r="578" spans="1:31">
      <c r="C578" s="527">
        <v>532</v>
      </c>
      <c r="D578" s="527">
        <v>7</v>
      </c>
      <c r="E578" s="553" t="s">
        <v>2957</v>
      </c>
      <c r="F578" s="527">
        <v>70</v>
      </c>
      <c r="G578" s="527"/>
      <c r="H578" s="527">
        <v>66</v>
      </c>
      <c r="I578" s="527">
        <v>0</v>
      </c>
      <c r="J578" s="527">
        <v>0</v>
      </c>
      <c r="K578" s="527"/>
      <c r="L578" s="797">
        <f>[1]!tsabetm(C578)</f>
        <v>207.41666666666666</v>
      </c>
      <c r="M578" s="797">
        <f>[1]!tsabetz(C578)</f>
        <v>233.91666666666666</v>
      </c>
      <c r="N578" s="797">
        <f t="shared" si="47"/>
        <v>65.547169811320757</v>
      </c>
      <c r="O578" s="797">
        <f t="shared" si="48"/>
        <v>1445.0028169014086</v>
      </c>
      <c r="P578" s="797">
        <f t="shared" si="49"/>
        <v>53.499987837213325</v>
      </c>
      <c r="Q578" s="797">
        <f t="shared" si="50"/>
        <v>236</v>
      </c>
      <c r="R578" s="797">
        <f t="shared" si="51"/>
        <v>236.89166646395356</v>
      </c>
      <c r="S578" s="797">
        <f>[1]!taqsabet(O578,C578)</f>
        <v>236.88995472644072</v>
      </c>
      <c r="T578" s="527"/>
      <c r="U578" s="527">
        <v>7</v>
      </c>
      <c r="V578" s="527">
        <v>23</v>
      </c>
      <c r="W578" s="527">
        <v>55</v>
      </c>
      <c r="X578" s="527"/>
      <c r="Y578" s="527">
        <v>4</v>
      </c>
      <c r="Z578" s="527">
        <v>45</v>
      </c>
      <c r="AA578" s="527" t="s">
        <v>179</v>
      </c>
      <c r="AB578" s="527">
        <v>4</v>
      </c>
      <c r="AC578" s="527">
        <v>4</v>
      </c>
      <c r="AD578" s="527" t="s">
        <v>1632</v>
      </c>
    </row>
    <row r="579" spans="1:31">
      <c r="C579" s="523">
        <v>533</v>
      </c>
      <c r="D579" s="523">
        <v>8</v>
      </c>
      <c r="E579" s="543" t="s">
        <v>2958</v>
      </c>
      <c r="F579" s="523">
        <v>70</v>
      </c>
      <c r="G579" s="523"/>
      <c r="H579" s="523">
        <v>66</v>
      </c>
      <c r="I579" s="523">
        <v>0</v>
      </c>
      <c r="J579" s="523">
        <v>0</v>
      </c>
      <c r="K579" s="523" t="s">
        <v>2959</v>
      </c>
      <c r="L579" s="797">
        <f>[1]!tsabetm(C579)</f>
        <v>212.58333333333331</v>
      </c>
      <c r="M579" s="797">
        <f>[1]!tsabetz(C579)</f>
        <v>238.16666666666666</v>
      </c>
      <c r="N579" s="797">
        <f t="shared" si="47"/>
        <v>67.895765472312675</v>
      </c>
      <c r="O579" s="797">
        <f t="shared" si="48"/>
        <v>1445.0028169014086</v>
      </c>
      <c r="P579" s="797">
        <f t="shared" si="49"/>
        <v>2.3254599560510769</v>
      </c>
      <c r="Q579" s="797">
        <f t="shared" si="50"/>
        <v>241</v>
      </c>
      <c r="R579" s="797">
        <f t="shared" si="51"/>
        <v>241.03875766593418</v>
      </c>
      <c r="S579" s="797">
        <f>[1]!taqsabet(O579,C579)</f>
        <v>241.0371051394674</v>
      </c>
      <c r="T579" s="523"/>
      <c r="U579" s="523">
        <v>7</v>
      </c>
      <c r="V579" s="523">
        <v>28</v>
      </c>
      <c r="W579" s="523">
        <v>10</v>
      </c>
      <c r="X579" s="523"/>
      <c r="Y579" s="523">
        <v>2</v>
      </c>
      <c r="Z579" s="523">
        <v>57</v>
      </c>
      <c r="AA579" s="523" t="s">
        <v>179</v>
      </c>
      <c r="AB579" s="523">
        <v>4</v>
      </c>
      <c r="AC579" s="523">
        <v>4</v>
      </c>
      <c r="AD579" s="523" t="s">
        <v>1632</v>
      </c>
    </row>
    <row r="580" spans="1:31">
      <c r="C580" s="527">
        <v>534</v>
      </c>
      <c r="D580" s="527">
        <v>1</v>
      </c>
      <c r="E580" s="553" t="s">
        <v>2960</v>
      </c>
      <c r="F580" s="527">
        <v>70</v>
      </c>
      <c r="G580" s="527"/>
      <c r="H580" s="527">
        <v>66</v>
      </c>
      <c r="I580" s="527">
        <v>0</v>
      </c>
      <c r="J580" s="527">
        <v>0</v>
      </c>
      <c r="K580" s="527"/>
      <c r="L580" s="797">
        <f>[1]!tsabetm(C580)</f>
        <v>205.75</v>
      </c>
      <c r="M580" s="797">
        <f>[1]!tsabetz(C580)</f>
        <v>232.01666666666668</v>
      </c>
      <c r="N580" s="797">
        <f t="shared" si="47"/>
        <v>66.129441624365455</v>
      </c>
      <c r="O580" s="797">
        <f t="shared" si="48"/>
        <v>1445.0028169014086</v>
      </c>
      <c r="P580" s="797">
        <f t="shared" si="49"/>
        <v>57.928289831100415</v>
      </c>
      <c r="Q580" s="797">
        <f t="shared" si="50"/>
        <v>234</v>
      </c>
      <c r="R580" s="797">
        <f t="shared" si="51"/>
        <v>234.96547149718501</v>
      </c>
      <c r="S580" s="797">
        <f>[1]!taqsabet(O580,C580)</f>
        <v>234.96377483157482</v>
      </c>
      <c r="T580" s="527"/>
      <c r="U580" s="527">
        <v>7</v>
      </c>
      <c r="V580" s="527">
        <v>22</v>
      </c>
      <c r="W580" s="527">
        <v>1</v>
      </c>
      <c r="X580" s="527"/>
      <c r="Y580" s="527">
        <v>8</v>
      </c>
      <c r="Z580" s="527">
        <v>42</v>
      </c>
      <c r="AA580" s="527" t="s">
        <v>179</v>
      </c>
      <c r="AB580" s="527">
        <v>5</v>
      </c>
      <c r="AC580" s="527">
        <v>5</v>
      </c>
      <c r="AD580" s="527"/>
    </row>
    <row r="581" spans="1:31">
      <c r="C581" s="523">
        <v>535</v>
      </c>
      <c r="D581" s="523">
        <v>2</v>
      </c>
      <c r="E581" s="543" t="s">
        <v>2961</v>
      </c>
      <c r="F581" s="523">
        <v>70</v>
      </c>
      <c r="G581" s="523"/>
      <c r="H581" s="523">
        <v>66</v>
      </c>
      <c r="I581" s="523">
        <v>0</v>
      </c>
      <c r="J581" s="523">
        <v>0</v>
      </c>
      <c r="K581" s="523"/>
      <c r="L581" s="797">
        <f>[1]!tsabetm(C581)</f>
        <v>213.25</v>
      </c>
      <c r="M581" s="797">
        <f>[1]!tsabetz(C581)</f>
        <v>238.86666666666667</v>
      </c>
      <c r="N581" s="797">
        <f t="shared" si="47"/>
        <v>67.807417046193862</v>
      </c>
      <c r="O581" s="797">
        <f t="shared" si="48"/>
        <v>1445.0028169014086</v>
      </c>
      <c r="P581" s="797">
        <f t="shared" si="49"/>
        <v>44.549988242640097</v>
      </c>
      <c r="Q581" s="797">
        <f t="shared" si="50"/>
        <v>241</v>
      </c>
      <c r="R581" s="797">
        <f t="shared" si="51"/>
        <v>241.742499804044</v>
      </c>
      <c r="S581" s="797">
        <f>[1]!taqsabet(O581,C581)</f>
        <v>241.74084512444827</v>
      </c>
      <c r="T581" s="523"/>
      <c r="U581" s="523">
        <v>7</v>
      </c>
      <c r="V581" s="523">
        <v>28</v>
      </c>
      <c r="W581" s="523">
        <v>52</v>
      </c>
      <c r="X581" s="523"/>
      <c r="Y581" s="523">
        <v>6</v>
      </c>
      <c r="Z581" s="523">
        <v>30</v>
      </c>
      <c r="AA581" s="523" t="s">
        <v>179</v>
      </c>
      <c r="AB581" s="523">
        <v>4</v>
      </c>
      <c r="AC581" s="523">
        <v>4</v>
      </c>
      <c r="AD581" s="523"/>
    </row>
    <row r="582" spans="1:31">
      <c r="C582" s="527">
        <v>536</v>
      </c>
      <c r="D582" s="527">
        <v>3</v>
      </c>
      <c r="E582" s="553" t="s">
        <v>2918</v>
      </c>
      <c r="F582" s="527">
        <v>70</v>
      </c>
      <c r="G582" s="527"/>
      <c r="H582" s="527">
        <v>66</v>
      </c>
      <c r="I582" s="527">
        <v>0</v>
      </c>
      <c r="J582" s="527">
        <v>0</v>
      </c>
      <c r="K582" s="527"/>
      <c r="L582" s="797">
        <f>[1]!tsabetm(C582)</f>
        <v>213.91666666666666</v>
      </c>
      <c r="M582" s="797">
        <f>[1]!tsabetz(C582)</f>
        <v>239.51666666666668</v>
      </c>
      <c r="N582" s="797">
        <f t="shared" si="47"/>
        <v>67.851562499999943</v>
      </c>
      <c r="O582" s="797">
        <f t="shared" si="48"/>
        <v>1445.0028169014086</v>
      </c>
      <c r="P582" s="797">
        <f t="shared" si="49"/>
        <v>23.437724099347292</v>
      </c>
      <c r="Q582" s="797">
        <f t="shared" si="50"/>
        <v>242</v>
      </c>
      <c r="R582" s="797">
        <f t="shared" si="51"/>
        <v>242.39062873498912</v>
      </c>
      <c r="S582" s="797">
        <f>[1]!taqsabet(O582,C582)</f>
        <v>242.38897513195786</v>
      </c>
      <c r="T582" s="527"/>
      <c r="U582" s="527">
        <v>7</v>
      </c>
      <c r="V582" s="527">
        <v>29</v>
      </c>
      <c r="W582" s="527">
        <v>31</v>
      </c>
      <c r="X582" s="527"/>
      <c r="Y582" s="527">
        <v>8</v>
      </c>
      <c r="Z582" s="527">
        <v>54</v>
      </c>
      <c r="AA582" s="527" t="s">
        <v>179</v>
      </c>
      <c r="AB582" s="527">
        <v>4</v>
      </c>
      <c r="AC582" s="527">
        <v>4</v>
      </c>
      <c r="AD582" s="527"/>
    </row>
    <row r="583" spans="1:31">
      <c r="C583" s="523">
        <v>537</v>
      </c>
      <c r="D583" s="523">
        <v>4</v>
      </c>
      <c r="E583" s="543" t="s">
        <v>2962</v>
      </c>
      <c r="F583" s="523">
        <v>70</v>
      </c>
      <c r="G583" s="523"/>
      <c r="H583" s="523">
        <v>66</v>
      </c>
      <c r="I583" s="523">
        <v>0</v>
      </c>
      <c r="J583" s="523">
        <v>0</v>
      </c>
      <c r="K583" s="523"/>
      <c r="L583" s="797">
        <f>[1]!tsabetm(C583)</f>
        <v>213.08333333333331</v>
      </c>
      <c r="M583" s="797">
        <f>[1]!tsabetz(C583)</f>
        <v>238.51666666666668</v>
      </c>
      <c r="N583" s="797">
        <f t="shared" ref="N583:N646" si="52">(1697+40)/((IF(M583-L583&gt;0,M583-L583,M583+360-L583)))</f>
        <v>68.296199213630317</v>
      </c>
      <c r="O583" s="797">
        <f t="shared" si="48"/>
        <v>1445.0028169014086</v>
      </c>
      <c r="P583" s="797">
        <f t="shared" si="49"/>
        <v>22.315082666409012</v>
      </c>
      <c r="Q583" s="797">
        <f t="shared" si="50"/>
        <v>241</v>
      </c>
      <c r="R583" s="797">
        <f t="shared" si="51"/>
        <v>241.37191804444015</v>
      </c>
      <c r="S583" s="797">
        <f>[1]!taqsabet(O583,C583)</f>
        <v>241.37027520705362</v>
      </c>
      <c r="T583" s="523"/>
      <c r="U583" s="523">
        <v>7</v>
      </c>
      <c r="V583" s="523">
        <v>28</v>
      </c>
      <c r="W583" s="523">
        <v>31</v>
      </c>
      <c r="X583" s="523"/>
      <c r="Y583" s="523">
        <v>0</v>
      </c>
      <c r="Z583" s="523">
        <v>36</v>
      </c>
      <c r="AA583" s="523" t="s">
        <v>179</v>
      </c>
      <c r="AB583" s="523">
        <v>6</v>
      </c>
      <c r="AC583" s="523">
        <v>6</v>
      </c>
      <c r="AD583" s="523"/>
    </row>
    <row r="584" spans="1:31">
      <c r="C584" s="527">
        <v>538</v>
      </c>
      <c r="D584" s="527">
        <v>5</v>
      </c>
      <c r="E584" s="553" t="s">
        <v>2963</v>
      </c>
      <c r="F584" s="527">
        <v>70</v>
      </c>
      <c r="G584" s="527"/>
      <c r="H584" s="527">
        <v>66</v>
      </c>
      <c r="I584" s="527">
        <v>0</v>
      </c>
      <c r="J584" s="527">
        <v>0</v>
      </c>
      <c r="K584" s="527"/>
      <c r="L584" s="797">
        <f>[1]!tsabetm(C584)</f>
        <v>209.91666666666666</v>
      </c>
      <c r="M584" s="797">
        <f>[1]!tsabetz(C584)</f>
        <v>235.76666666666668</v>
      </c>
      <c r="N584" s="797">
        <f t="shared" si="52"/>
        <v>67.195357833655649</v>
      </c>
      <c r="O584" s="797">
        <f t="shared" ref="O584:O647" si="53">O583</f>
        <v>1445.0028169014086</v>
      </c>
      <c r="P584" s="797">
        <f t="shared" ref="P584:P647" si="54">(R584-Q584)*60</f>
        <v>40.121686248754713</v>
      </c>
      <c r="Q584" s="797">
        <f t="shared" ref="Q584:Q647" si="55">INT(R584)</f>
        <v>238</v>
      </c>
      <c r="R584" s="797">
        <f t="shared" ref="R584:R647" si="56">((O584-1250)/(N584))+M584</f>
        <v>238.66869477081258</v>
      </c>
      <c r="S584" s="797">
        <f>[1]!taqsabet(O584,C584)</f>
        <v>238.66702501931422</v>
      </c>
      <c r="T584" s="527"/>
      <c r="U584" s="527">
        <v>7</v>
      </c>
      <c r="V584" s="527">
        <v>25</v>
      </c>
      <c r="W584" s="527">
        <v>46</v>
      </c>
      <c r="X584" s="527"/>
      <c r="Y584" s="527">
        <v>3</v>
      </c>
      <c r="Z584" s="527">
        <v>12</v>
      </c>
      <c r="AA584" s="527" t="s">
        <v>179</v>
      </c>
      <c r="AB584" s="527">
        <v>6</v>
      </c>
      <c r="AC584" s="527">
        <v>5</v>
      </c>
      <c r="AD584" s="527"/>
    </row>
    <row r="585" spans="1:31">
      <c r="C585" s="523">
        <v>539</v>
      </c>
      <c r="D585" s="523">
        <v>6</v>
      </c>
      <c r="E585" s="543" t="s">
        <v>2964</v>
      </c>
      <c r="F585" s="523">
        <v>70</v>
      </c>
      <c r="G585" s="523"/>
      <c r="H585" s="523">
        <v>66</v>
      </c>
      <c r="I585" s="523">
        <v>0</v>
      </c>
      <c r="J585" s="523">
        <v>0</v>
      </c>
      <c r="K585" s="523" t="s">
        <v>2959</v>
      </c>
      <c r="L585" s="797">
        <f>[1]!tsabetm(C585)</f>
        <v>210.75</v>
      </c>
      <c r="M585" s="797">
        <f>[1]!tsabetz(C585)</f>
        <v>236.51666666666668</v>
      </c>
      <c r="N585" s="797">
        <f t="shared" si="52"/>
        <v>67.412677878395826</v>
      </c>
      <c r="O585" s="797">
        <f t="shared" si="53"/>
        <v>1445.0028169014086</v>
      </c>
      <c r="P585" s="797">
        <f t="shared" si="54"/>
        <v>24.560365532285573</v>
      </c>
      <c r="Q585" s="797">
        <f t="shared" si="55"/>
        <v>239</v>
      </c>
      <c r="R585" s="797">
        <f t="shared" si="56"/>
        <v>239.40933942553809</v>
      </c>
      <c r="S585" s="797">
        <f>[1]!taqsabet(O585,C585)</f>
        <v>239.4076750568621</v>
      </c>
      <c r="T585" s="523"/>
      <c r="U585" s="523">
        <v>7</v>
      </c>
      <c r="V585" s="523">
        <v>26</v>
      </c>
      <c r="W585" s="523">
        <v>31</v>
      </c>
      <c r="X585" s="523"/>
      <c r="Y585" s="523">
        <v>1</v>
      </c>
      <c r="Z585" s="523">
        <v>24</v>
      </c>
      <c r="AA585" s="523" t="s">
        <v>274</v>
      </c>
      <c r="AB585" s="523">
        <v>4</v>
      </c>
      <c r="AC585" s="523">
        <v>4</v>
      </c>
      <c r="AD585" s="523"/>
      <c r="AE585" s="327">
        <v>595</v>
      </c>
    </row>
    <row r="586" spans="1:31">
      <c r="C586" s="527">
        <v>540</v>
      </c>
      <c r="D586" s="527">
        <v>7</v>
      </c>
      <c r="E586" s="553" t="s">
        <v>2965</v>
      </c>
      <c r="F586" s="527">
        <v>70</v>
      </c>
      <c r="G586" s="527"/>
      <c r="H586" s="527">
        <v>66</v>
      </c>
      <c r="I586" s="527">
        <v>0</v>
      </c>
      <c r="J586" s="527">
        <v>0</v>
      </c>
      <c r="K586" s="527"/>
      <c r="L586" s="797">
        <f>[1]!tsabetm(C586)</f>
        <v>202.58333333333331</v>
      </c>
      <c r="M586" s="797">
        <f>[1]!tsabetz(C586)</f>
        <v>229.41666666666666</v>
      </c>
      <c r="N586" s="797">
        <f t="shared" si="52"/>
        <v>64.732919254658356</v>
      </c>
      <c r="O586" s="797">
        <f t="shared" si="53"/>
        <v>1445.0028169014086</v>
      </c>
      <c r="P586" s="797">
        <f t="shared" si="54"/>
        <v>25.745270703089886</v>
      </c>
      <c r="Q586" s="797">
        <f t="shared" si="55"/>
        <v>232</v>
      </c>
      <c r="R586" s="797">
        <f t="shared" si="56"/>
        <v>232.4290878450515</v>
      </c>
      <c r="S586" s="797">
        <f>[1]!taqsabet(O586,C586)</f>
        <v>232.4273545762492</v>
      </c>
      <c r="T586" s="527"/>
      <c r="U586" s="527">
        <v>7</v>
      </c>
      <c r="V586" s="527">
        <v>19</v>
      </c>
      <c r="W586" s="527">
        <v>25</v>
      </c>
      <c r="X586" s="527"/>
      <c r="Y586" s="527">
        <v>7</v>
      </c>
      <c r="Z586" s="527">
        <v>30</v>
      </c>
      <c r="AA586" s="527" t="s">
        <v>274</v>
      </c>
      <c r="AB586" s="527">
        <v>3</v>
      </c>
      <c r="AC586" s="527">
        <v>3</v>
      </c>
      <c r="AD586" s="527"/>
    </row>
    <row r="587" spans="1:31">
      <c r="C587" s="523">
        <v>541</v>
      </c>
      <c r="D587" s="523">
        <v>8</v>
      </c>
      <c r="E587" s="543" t="s">
        <v>2966</v>
      </c>
      <c r="F587" s="523">
        <v>70</v>
      </c>
      <c r="G587" s="523"/>
      <c r="H587" s="523">
        <v>66</v>
      </c>
      <c r="I587" s="523">
        <v>0</v>
      </c>
      <c r="J587" s="523">
        <v>0</v>
      </c>
      <c r="K587" s="523"/>
      <c r="L587" s="797">
        <f>[1]!tsabetm(C587)</f>
        <v>210.75</v>
      </c>
      <c r="M587" s="797">
        <f>[1]!tsabetz(C587)</f>
        <v>237.01666666666668</v>
      </c>
      <c r="N587" s="797">
        <f t="shared" si="52"/>
        <v>66.129441624365455</v>
      </c>
      <c r="O587" s="797">
        <f t="shared" si="53"/>
        <v>1445.0028169014086</v>
      </c>
      <c r="P587" s="797">
        <f t="shared" si="54"/>
        <v>57.928289831100415</v>
      </c>
      <c r="Q587" s="797">
        <f t="shared" si="55"/>
        <v>239</v>
      </c>
      <c r="R587" s="797">
        <f t="shared" si="56"/>
        <v>239.96547149718501</v>
      </c>
      <c r="S587" s="797">
        <f>[1]!taqsabet(O587,C587)</f>
        <v>239.96377483157482</v>
      </c>
      <c r="T587" s="523"/>
      <c r="U587" s="523">
        <v>7</v>
      </c>
      <c r="V587" s="523">
        <v>27</v>
      </c>
      <c r="W587" s="523">
        <v>1</v>
      </c>
      <c r="X587" s="523"/>
      <c r="Y587" s="523">
        <v>8</v>
      </c>
      <c r="Z587" s="523">
        <v>15</v>
      </c>
      <c r="AA587" s="523" t="s">
        <v>274</v>
      </c>
      <c r="AB587" s="523">
        <v>4</v>
      </c>
      <c r="AC587" s="523">
        <v>4</v>
      </c>
      <c r="AD587" s="523"/>
    </row>
    <row r="588" spans="1:31">
      <c r="C588" s="527">
        <v>542</v>
      </c>
      <c r="D588" s="527">
        <v>9</v>
      </c>
      <c r="E588" s="553" t="s">
        <v>2967</v>
      </c>
      <c r="F588" s="527">
        <v>70</v>
      </c>
      <c r="G588" s="527"/>
      <c r="H588" s="527">
        <v>66</v>
      </c>
      <c r="I588" s="527">
        <v>0</v>
      </c>
      <c r="J588" s="527">
        <v>0</v>
      </c>
      <c r="K588" s="527"/>
      <c r="L588" s="797">
        <f>[1]!tsabetm(C588)</f>
        <v>211.58333333333331</v>
      </c>
      <c r="M588" s="797">
        <f>[1]!tsabetz(C588)</f>
        <v>237.81666666666666</v>
      </c>
      <c r="N588" s="797">
        <f t="shared" si="52"/>
        <v>66.213468869123218</v>
      </c>
      <c r="O588" s="797">
        <f t="shared" si="53"/>
        <v>1445.0028169014086</v>
      </c>
      <c r="P588" s="797">
        <f t="shared" si="54"/>
        <v>45.703761544511394</v>
      </c>
      <c r="Q588" s="797">
        <f t="shared" si="55"/>
        <v>240</v>
      </c>
      <c r="R588" s="797">
        <f t="shared" si="56"/>
        <v>240.76172935907519</v>
      </c>
      <c r="S588" s="797">
        <f>[1]!taqsabet(O588,C588)</f>
        <v>240.76003484659395</v>
      </c>
      <c r="T588" s="527"/>
      <c r="U588" s="527">
        <v>7</v>
      </c>
      <c r="V588" s="527">
        <v>27</v>
      </c>
      <c r="W588" s="527">
        <v>49</v>
      </c>
      <c r="X588" s="527"/>
      <c r="Y588" s="527">
        <v>10</v>
      </c>
      <c r="Z588" s="527">
        <v>0</v>
      </c>
      <c r="AA588" s="527" t="s">
        <v>274</v>
      </c>
      <c r="AB588" s="527">
        <v>4</v>
      </c>
      <c r="AC588" s="527">
        <v>4</v>
      </c>
      <c r="AD588" s="527"/>
    </row>
    <row r="589" spans="1:31">
      <c r="C589" s="546"/>
      <c r="D589" s="546"/>
      <c r="E589" s="546"/>
      <c r="F589" s="546"/>
      <c r="G589" s="546"/>
      <c r="H589" s="546"/>
      <c r="I589" s="546"/>
      <c r="J589" s="546"/>
      <c r="K589" s="546"/>
      <c r="N589" s="797">
        <f t="shared" si="52"/>
        <v>4.8250000000000002</v>
      </c>
      <c r="O589" s="797">
        <f t="shared" si="53"/>
        <v>1445.0028169014086</v>
      </c>
      <c r="P589" s="797">
        <f t="shared" si="54"/>
        <v>24.905495147049237</v>
      </c>
      <c r="Q589" s="797">
        <f t="shared" si="55"/>
        <v>40</v>
      </c>
      <c r="R589" s="797">
        <f t="shared" si="56"/>
        <v>40.415091585784154</v>
      </c>
      <c r="S589" s="797">
        <f>[1]!taqsabet(O589,C589)</f>
        <v>1.4716840899636423</v>
      </c>
      <c r="T589" s="546"/>
      <c r="U589" s="546"/>
      <c r="V589" s="546"/>
      <c r="W589" s="546"/>
      <c r="X589" s="546"/>
      <c r="Y589" s="546"/>
      <c r="Z589" s="546"/>
      <c r="AA589" s="546"/>
      <c r="AB589" s="546"/>
      <c r="AC589" s="546"/>
      <c r="AD589" s="546"/>
    </row>
    <row r="590" spans="1:31">
      <c r="A590" s="563">
        <v>8</v>
      </c>
      <c r="B590" s="536" t="s">
        <v>1610</v>
      </c>
      <c r="C590" s="522">
        <v>543</v>
      </c>
      <c r="D590" s="522">
        <v>1</v>
      </c>
      <c r="E590" s="550" t="s">
        <v>2968</v>
      </c>
      <c r="F590" s="522">
        <v>70</v>
      </c>
      <c r="G590" s="522"/>
      <c r="H590" s="522">
        <v>66</v>
      </c>
      <c r="I590" s="522">
        <v>0</v>
      </c>
      <c r="J590" s="522">
        <v>0</v>
      </c>
      <c r="K590" s="522" t="s">
        <v>2512</v>
      </c>
      <c r="L590" s="797">
        <f>[1]!tsabetm(C590)</f>
        <v>215.91666666666666</v>
      </c>
      <c r="M590" s="797">
        <f>[1]!tsabetz(C590)</f>
        <v>241.46666666666667</v>
      </c>
      <c r="N590" s="797">
        <f t="shared" si="52"/>
        <v>67.984344422700559</v>
      </c>
      <c r="O590" s="797">
        <f t="shared" si="53"/>
        <v>1445.0028169014086</v>
      </c>
      <c r="P590" s="797">
        <f t="shared" si="54"/>
        <v>20.100931669463762</v>
      </c>
      <c r="Q590" s="797">
        <f t="shared" si="55"/>
        <v>244</v>
      </c>
      <c r="R590" s="797">
        <f t="shared" si="56"/>
        <v>244.3350155278244</v>
      </c>
      <c r="S590" s="797">
        <f>[1]!taqsabet(O590,C590)</f>
        <v>244.33336515448656</v>
      </c>
      <c r="T590" s="522"/>
      <c r="U590" s="522">
        <v>8</v>
      </c>
      <c r="V590" s="522">
        <v>1</v>
      </c>
      <c r="W590" s="522">
        <v>28</v>
      </c>
      <c r="X590" s="522"/>
      <c r="Y590" s="522">
        <v>1</v>
      </c>
      <c r="Z590" s="522">
        <v>20</v>
      </c>
      <c r="AA590" s="522" t="s">
        <v>179</v>
      </c>
      <c r="AB590" s="522">
        <v>3</v>
      </c>
      <c r="AC590" s="522">
        <v>3</v>
      </c>
      <c r="AD590" s="565" t="s">
        <v>2969</v>
      </c>
    </row>
    <row r="591" spans="1:31">
      <c r="C591" s="523">
        <v>544</v>
      </c>
      <c r="D591" s="523">
        <v>2</v>
      </c>
      <c r="E591" s="543" t="s">
        <v>2909</v>
      </c>
      <c r="F591" s="523">
        <v>70</v>
      </c>
      <c r="G591" s="523"/>
      <c r="H591" s="523">
        <v>66</v>
      </c>
      <c r="I591" s="523">
        <v>0</v>
      </c>
      <c r="J591" s="523">
        <v>0</v>
      </c>
      <c r="K591" s="523" t="s">
        <v>2512</v>
      </c>
      <c r="L591" s="797">
        <f>[1]!tsabetm(C591)</f>
        <v>215.25</v>
      </c>
      <c r="M591" s="797">
        <f>[1]!tsabetz(C591)</f>
        <v>241.06666666666666</v>
      </c>
      <c r="N591" s="797">
        <f t="shared" si="52"/>
        <v>67.282117495158175</v>
      </c>
      <c r="O591" s="797">
        <f t="shared" si="53"/>
        <v>1445.0028169014086</v>
      </c>
      <c r="P591" s="797">
        <f t="shared" si="54"/>
        <v>57.897157962165693</v>
      </c>
      <c r="Q591" s="797">
        <f t="shared" si="55"/>
        <v>243</v>
      </c>
      <c r="R591" s="797">
        <f t="shared" si="56"/>
        <v>243.96495263270276</v>
      </c>
      <c r="S591" s="797">
        <f>[1]!taqsabet(O591,C591)</f>
        <v>243.96328503433335</v>
      </c>
      <c r="T591" s="523"/>
      <c r="U591" s="523">
        <v>8</v>
      </c>
      <c r="V591" s="523">
        <v>1</v>
      </c>
      <c r="W591" s="523">
        <v>4</v>
      </c>
      <c r="X591" s="523"/>
      <c r="Y591" s="523">
        <v>2</v>
      </c>
      <c r="Z591" s="523">
        <v>3</v>
      </c>
      <c r="AA591" s="523" t="s">
        <v>274</v>
      </c>
      <c r="AB591" s="523">
        <v>3</v>
      </c>
      <c r="AC591" s="523">
        <v>3</v>
      </c>
      <c r="AD591" s="566" t="s">
        <v>2969</v>
      </c>
    </row>
    <row r="592" spans="1:31">
      <c r="C592" s="522">
        <v>545</v>
      </c>
      <c r="D592" s="522">
        <v>3</v>
      </c>
      <c r="E592" s="550" t="s">
        <v>2970</v>
      </c>
      <c r="F592" s="522">
        <v>70</v>
      </c>
      <c r="G592" s="522"/>
      <c r="H592" s="522">
        <v>66</v>
      </c>
      <c r="I592" s="522">
        <v>0</v>
      </c>
      <c r="J592" s="522">
        <v>0</v>
      </c>
      <c r="K592" s="522" t="s">
        <v>2512</v>
      </c>
      <c r="L592" s="797">
        <f>[1]!tsabetm(C592)</f>
        <v>215.25</v>
      </c>
      <c r="M592" s="797">
        <f>[1]!tsabetz(C592)</f>
        <v>240.76666666666668</v>
      </c>
      <c r="N592" s="797">
        <f t="shared" si="52"/>
        <v>68.073154800783769</v>
      </c>
      <c r="O592" s="797">
        <f t="shared" si="53"/>
        <v>1445.0028169014086</v>
      </c>
      <c r="P592" s="797">
        <f t="shared" si="54"/>
        <v>37.876403382878152</v>
      </c>
      <c r="Q592" s="797">
        <f t="shared" si="55"/>
        <v>243</v>
      </c>
      <c r="R592" s="797">
        <f t="shared" si="56"/>
        <v>243.63127338971464</v>
      </c>
      <c r="S592" s="797">
        <f>[1]!taqsabet(O592,C592)</f>
        <v>243.62962516950574</v>
      </c>
      <c r="T592" s="522"/>
      <c r="U592" s="522">
        <v>8</v>
      </c>
      <c r="V592" s="522">
        <v>0</v>
      </c>
      <c r="W592" s="522">
        <v>46</v>
      </c>
      <c r="X592" s="522"/>
      <c r="Y592" s="522">
        <v>5</v>
      </c>
      <c r="Z592" s="522">
        <v>27</v>
      </c>
      <c r="AA592" s="522" t="s">
        <v>274</v>
      </c>
      <c r="AB592" s="522">
        <v>3</v>
      </c>
      <c r="AC592" s="522">
        <v>3</v>
      </c>
      <c r="AD592" s="565" t="s">
        <v>2969</v>
      </c>
    </row>
    <row r="593" spans="3:31">
      <c r="C593" s="523">
        <v>546</v>
      </c>
      <c r="D593" s="523">
        <v>4</v>
      </c>
      <c r="E593" s="543" t="s">
        <v>2971</v>
      </c>
      <c r="F593" s="523">
        <v>70</v>
      </c>
      <c r="G593" s="523"/>
      <c r="H593" s="523">
        <v>66</v>
      </c>
      <c r="I593" s="523">
        <v>0</v>
      </c>
      <c r="J593" s="523">
        <v>0</v>
      </c>
      <c r="K593" s="523"/>
      <c r="L593" s="797">
        <f>[1]!tsabetm(C593)</f>
        <v>215.58333333333331</v>
      </c>
      <c r="M593" s="797">
        <f>[1]!tsabetz(C593)</f>
        <v>241.01666666666668</v>
      </c>
      <c r="N593" s="797">
        <f t="shared" si="52"/>
        <v>68.296199213630317</v>
      </c>
      <c r="O593" s="797">
        <f t="shared" si="53"/>
        <v>1445.0028169014086</v>
      </c>
      <c r="P593" s="797">
        <f t="shared" si="54"/>
        <v>52.315082666409012</v>
      </c>
      <c r="Q593" s="797">
        <f t="shared" si="55"/>
        <v>243</v>
      </c>
      <c r="R593" s="797">
        <f t="shared" si="56"/>
        <v>243.87191804444015</v>
      </c>
      <c r="S593" s="797">
        <f>[1]!taqsabet(O593,C593)</f>
        <v>243.87027520705362</v>
      </c>
      <c r="T593" s="523"/>
      <c r="U593" s="523">
        <v>8</v>
      </c>
      <c r="V593" s="523">
        <v>1</v>
      </c>
      <c r="W593" s="523">
        <v>1</v>
      </c>
      <c r="X593" s="523"/>
      <c r="Y593" s="523">
        <v>8</v>
      </c>
      <c r="Z593" s="523">
        <v>51</v>
      </c>
      <c r="AA593" s="523" t="s">
        <v>274</v>
      </c>
      <c r="AB593" s="523">
        <v>3</v>
      </c>
      <c r="AC593" s="523">
        <v>3</v>
      </c>
      <c r="AD593" s="566" t="s">
        <v>2969</v>
      </c>
    </row>
    <row r="594" spans="3:31">
      <c r="C594" s="522">
        <v>547</v>
      </c>
      <c r="D594" s="522">
        <v>5</v>
      </c>
      <c r="E594" s="550" t="s">
        <v>2972</v>
      </c>
      <c r="F594" s="522">
        <v>70</v>
      </c>
      <c r="G594" s="522"/>
      <c r="H594" s="522">
        <v>66</v>
      </c>
      <c r="I594" s="522">
        <v>0</v>
      </c>
      <c r="J594" s="522">
        <v>0</v>
      </c>
      <c r="K594" s="522"/>
      <c r="L594" s="797">
        <f>[1]!tsabetm(C594)</f>
        <v>216.58333333333331</v>
      </c>
      <c r="M594" s="797">
        <f>[1]!tsabetz(C594)</f>
        <v>242.56666666666666</v>
      </c>
      <c r="N594" s="797">
        <f t="shared" si="52"/>
        <v>66.850545221295661</v>
      </c>
      <c r="O594" s="797">
        <f t="shared" si="53"/>
        <v>1445.0028169014086</v>
      </c>
      <c r="P594" s="797">
        <f t="shared" si="54"/>
        <v>29.019799395103973</v>
      </c>
      <c r="Q594" s="797">
        <f t="shared" si="55"/>
        <v>245</v>
      </c>
      <c r="R594" s="797">
        <f t="shared" si="56"/>
        <v>245.48366332325173</v>
      </c>
      <c r="S594" s="797">
        <f>[1]!taqsabet(O594,C594)</f>
        <v>245.48198495923759</v>
      </c>
      <c r="T594" s="522"/>
      <c r="U594" s="522">
        <v>8</v>
      </c>
      <c r="V594" s="522">
        <v>2</v>
      </c>
      <c r="W594" s="522">
        <v>34</v>
      </c>
      <c r="X594" s="522"/>
      <c r="Y594" s="522">
        <v>1</v>
      </c>
      <c r="Z594" s="522">
        <v>45</v>
      </c>
      <c r="AA594" s="522" t="s">
        <v>179</v>
      </c>
      <c r="AB594" s="522">
        <v>4</v>
      </c>
      <c r="AC594" s="522">
        <v>4</v>
      </c>
      <c r="AD594" s="565" t="s">
        <v>2969</v>
      </c>
    </row>
    <row r="595" spans="3:31">
      <c r="C595" s="523">
        <v>548</v>
      </c>
      <c r="D595" s="523">
        <v>6</v>
      </c>
      <c r="E595" s="543" t="s">
        <v>2964</v>
      </c>
      <c r="F595" s="523">
        <v>70</v>
      </c>
      <c r="G595" s="523"/>
      <c r="H595" s="523">
        <v>70</v>
      </c>
      <c r="I595" s="523">
        <v>1</v>
      </c>
      <c r="J595" s="523">
        <v>12</v>
      </c>
      <c r="K595" s="523" t="s">
        <v>2973</v>
      </c>
      <c r="L595" s="797">
        <f>[1]!tsabetm(C595)</f>
        <v>215.91666666666666</v>
      </c>
      <c r="M595" s="797">
        <f>[1]!tsabetz(C595)</f>
        <v>241.26666666666668</v>
      </c>
      <c r="N595" s="797">
        <f t="shared" si="52"/>
        <v>68.520710059171535</v>
      </c>
      <c r="O595" s="797">
        <f t="shared" si="53"/>
        <v>1445.0028169014086</v>
      </c>
      <c r="P595" s="797">
        <f t="shared" si="54"/>
        <v>6.7537619499398716</v>
      </c>
      <c r="Q595" s="797">
        <f t="shared" si="55"/>
        <v>244</v>
      </c>
      <c r="R595" s="797">
        <f t="shared" si="56"/>
        <v>244.11256269916566</v>
      </c>
      <c r="S595" s="797">
        <f>[1]!taqsabet(O595,C595)</f>
        <v>244.1109252446015</v>
      </c>
      <c r="T595" s="523"/>
      <c r="U595" s="523">
        <v>8</v>
      </c>
      <c r="V595" s="523">
        <v>1</v>
      </c>
      <c r="W595" s="523">
        <v>16</v>
      </c>
      <c r="X595" s="523"/>
      <c r="Y595" s="523">
        <v>0</v>
      </c>
      <c r="Z595" s="523">
        <v>30</v>
      </c>
      <c r="AA595" s="523" t="s">
        <v>179</v>
      </c>
      <c r="AB595" s="523">
        <v>4</v>
      </c>
      <c r="AC595" s="523">
        <v>4</v>
      </c>
      <c r="AD595" s="566" t="s">
        <v>2969</v>
      </c>
    </row>
    <row r="596" spans="3:31">
      <c r="C596" s="522">
        <v>549</v>
      </c>
      <c r="D596" s="522">
        <v>7</v>
      </c>
      <c r="E596" s="550" t="s">
        <v>2974</v>
      </c>
      <c r="F596" s="522">
        <v>70</v>
      </c>
      <c r="G596" s="522"/>
      <c r="H596" s="522">
        <v>66</v>
      </c>
      <c r="I596" s="522">
        <v>0</v>
      </c>
      <c r="J596" s="522">
        <v>0</v>
      </c>
      <c r="K596" s="522" t="s">
        <v>2975</v>
      </c>
      <c r="L596" s="797">
        <f>[1]!tsabetm(C596)</f>
        <v>220.25</v>
      </c>
      <c r="M596" s="797">
        <f>[1]!tsabetz(C596)</f>
        <v>246.56666666666666</v>
      </c>
      <c r="N596" s="797">
        <f t="shared" si="52"/>
        <v>66.00379987333757</v>
      </c>
      <c r="O596" s="797">
        <f t="shared" si="53"/>
        <v>1445.0028169014086</v>
      </c>
      <c r="P596" s="797">
        <f t="shared" si="54"/>
        <v>31.265082260980535</v>
      </c>
      <c r="Q596" s="797">
        <f t="shared" si="55"/>
        <v>249</v>
      </c>
      <c r="R596" s="797">
        <f t="shared" si="56"/>
        <v>249.52108470434968</v>
      </c>
      <c r="S596" s="797">
        <f>[1]!taqsabet(O596,C596)</f>
        <v>249.51938480904607</v>
      </c>
      <c r="T596" s="522"/>
      <c r="U596" s="522">
        <v>8</v>
      </c>
      <c r="V596" s="522">
        <v>6</v>
      </c>
      <c r="W596" s="522">
        <v>34</v>
      </c>
      <c r="X596" s="522"/>
      <c r="Y596" s="522">
        <v>3</v>
      </c>
      <c r="Z596" s="522">
        <v>45</v>
      </c>
      <c r="AA596" s="522" t="s">
        <v>274</v>
      </c>
      <c r="AB596" s="522">
        <v>3</v>
      </c>
      <c r="AC596" s="522">
        <v>3</v>
      </c>
      <c r="AD596" s="565" t="s">
        <v>2969</v>
      </c>
    </row>
    <row r="597" spans="3:31">
      <c r="C597" s="523">
        <v>550</v>
      </c>
      <c r="D597" s="523">
        <v>8</v>
      </c>
      <c r="E597" s="543" t="s">
        <v>2976</v>
      </c>
      <c r="F597" s="523">
        <v>70</v>
      </c>
      <c r="G597" s="523"/>
      <c r="H597" s="523">
        <v>67</v>
      </c>
      <c r="I597" s="523">
        <v>11</v>
      </c>
      <c r="J597" s="523">
        <v>4</v>
      </c>
      <c r="K597" s="523" t="s">
        <v>2977</v>
      </c>
      <c r="L597" s="797">
        <f>[1]!tsabetm(C597)</f>
        <v>222.25</v>
      </c>
      <c r="M597" s="797">
        <f>[1]!tsabetz(C597)</f>
        <v>248.36666666666667</v>
      </c>
      <c r="N597" s="797">
        <f t="shared" si="52"/>
        <v>66.509253350350974</v>
      </c>
      <c r="O597" s="797">
        <f t="shared" si="53"/>
        <v>1445.0028169014086</v>
      </c>
      <c r="P597" s="797">
        <f t="shared" si="54"/>
        <v>17.917912541454939</v>
      </c>
      <c r="Q597" s="797">
        <f t="shared" si="55"/>
        <v>251</v>
      </c>
      <c r="R597" s="797">
        <f t="shared" si="56"/>
        <v>251.29863187569092</v>
      </c>
      <c r="S597" s="797">
        <f>[1]!taqsabet(O597,C597)</f>
        <v>251.29694489916099</v>
      </c>
      <c r="T597" s="523"/>
      <c r="U597" s="523">
        <v>8</v>
      </c>
      <c r="V597" s="523">
        <v>8</v>
      </c>
      <c r="W597" s="523">
        <v>22</v>
      </c>
      <c r="X597" s="523"/>
      <c r="Y597" s="523">
        <v>4</v>
      </c>
      <c r="Z597" s="523">
        <v>30</v>
      </c>
      <c r="AA597" s="523" t="s">
        <v>274</v>
      </c>
      <c r="AB597" s="523">
        <v>2</v>
      </c>
      <c r="AC597" s="523">
        <v>2</v>
      </c>
      <c r="AD597" s="523" t="s">
        <v>2969</v>
      </c>
    </row>
    <row r="598" spans="3:31">
      <c r="C598" s="522">
        <v>551</v>
      </c>
      <c r="D598" s="522">
        <v>9</v>
      </c>
      <c r="E598" s="550" t="s">
        <v>2613</v>
      </c>
      <c r="F598" s="522">
        <v>70</v>
      </c>
      <c r="G598" s="522"/>
      <c r="H598" s="522">
        <v>66</v>
      </c>
      <c r="I598" s="522">
        <v>0</v>
      </c>
      <c r="J598" s="522">
        <v>0</v>
      </c>
      <c r="K598" s="522" t="s">
        <v>2975</v>
      </c>
      <c r="L598" s="797">
        <f>[1]!tsabetm(C598)</f>
        <v>224.08333333333331</v>
      </c>
      <c r="M598" s="797">
        <f>[1]!tsabetz(C598)</f>
        <v>249.76666666666668</v>
      </c>
      <c r="N598" s="797">
        <f t="shared" si="52"/>
        <v>67.631408176508671</v>
      </c>
      <c r="O598" s="797">
        <f t="shared" si="53"/>
        <v>1445.0028169014086</v>
      </c>
      <c r="P598" s="797">
        <f t="shared" si="54"/>
        <v>38.999044815816433</v>
      </c>
      <c r="Q598" s="797">
        <f t="shared" si="55"/>
        <v>252</v>
      </c>
      <c r="R598" s="797">
        <f t="shared" si="56"/>
        <v>252.64998408026361</v>
      </c>
      <c r="S598" s="797">
        <f>[1]!taqsabet(O598,C598)</f>
        <v>252.64832509440998</v>
      </c>
      <c r="T598" s="522"/>
      <c r="U598" s="522">
        <v>8</v>
      </c>
      <c r="V598" s="522">
        <v>9</v>
      </c>
      <c r="W598" s="522">
        <v>46</v>
      </c>
      <c r="X598" s="522"/>
      <c r="Y598" s="522">
        <v>6</v>
      </c>
      <c r="Z598" s="522">
        <v>21</v>
      </c>
      <c r="AA598" s="522" t="s">
        <v>274</v>
      </c>
      <c r="AB598" s="522">
        <v>3</v>
      </c>
      <c r="AC598" s="522">
        <v>3</v>
      </c>
      <c r="AD598" s="522" t="s">
        <v>2978</v>
      </c>
    </row>
    <row r="599" spans="3:31">
      <c r="C599" s="523">
        <v>552</v>
      </c>
      <c r="D599" s="523">
        <v>10</v>
      </c>
      <c r="E599" s="543" t="s">
        <v>2979</v>
      </c>
      <c r="F599" s="523">
        <v>70</v>
      </c>
      <c r="G599" s="523"/>
      <c r="H599" s="523">
        <v>66</v>
      </c>
      <c r="I599" s="523">
        <v>0</v>
      </c>
      <c r="J599" s="523">
        <v>0</v>
      </c>
      <c r="K599" s="523"/>
      <c r="L599" s="797">
        <f>[1]!tsabetm(C599)</f>
        <v>218.91666666666666</v>
      </c>
      <c r="M599" s="797">
        <f>[1]!tsabetz(C599)</f>
        <v>244.31666666666666</v>
      </c>
      <c r="N599" s="797">
        <f t="shared" si="52"/>
        <v>68.385826771653527</v>
      </c>
      <c r="O599" s="797">
        <f t="shared" si="53"/>
        <v>1445.0028169014086</v>
      </c>
      <c r="P599" s="797">
        <f t="shared" si="54"/>
        <v>10.090554379819991</v>
      </c>
      <c r="Q599" s="797">
        <f t="shared" si="55"/>
        <v>247</v>
      </c>
      <c r="R599" s="797">
        <f t="shared" si="56"/>
        <v>247.16817590633033</v>
      </c>
      <c r="S599" s="797">
        <f>[1]!taqsabet(O599,C599)</f>
        <v>247.16653522207275</v>
      </c>
      <c r="T599" s="523"/>
      <c r="U599" s="523">
        <v>8</v>
      </c>
      <c r="V599" s="523">
        <v>4</v>
      </c>
      <c r="W599" s="523">
        <v>19</v>
      </c>
      <c r="X599" s="523"/>
      <c r="Y599" s="523">
        <v>6</v>
      </c>
      <c r="Z599" s="523">
        <v>57</v>
      </c>
      <c r="AA599" s="523" t="s">
        <v>274</v>
      </c>
      <c r="AB599" s="523">
        <v>5</v>
      </c>
      <c r="AC599" s="523">
        <v>5</v>
      </c>
      <c r="AD599" s="523" t="s">
        <v>2978</v>
      </c>
    </row>
    <row r="600" spans="3:31">
      <c r="C600" s="522">
        <v>553</v>
      </c>
      <c r="D600" s="522">
        <v>11</v>
      </c>
      <c r="E600" s="550" t="s">
        <v>2465</v>
      </c>
      <c r="F600" s="522">
        <v>70</v>
      </c>
      <c r="G600" s="522"/>
      <c r="H600" s="522">
        <v>66</v>
      </c>
      <c r="I600" s="522">
        <v>0</v>
      </c>
      <c r="J600" s="522">
        <v>0</v>
      </c>
      <c r="K600" s="522"/>
      <c r="L600" s="797">
        <f>[1]!tsabetm(C600)</f>
        <v>220.25</v>
      </c>
      <c r="M600" s="797">
        <f>[1]!tsabetz(C600)</f>
        <v>245.51666666666668</v>
      </c>
      <c r="N600" s="797">
        <f t="shared" si="52"/>
        <v>68.746701846965664</v>
      </c>
      <c r="O600" s="797">
        <f t="shared" si="53"/>
        <v>1445.0028169014086</v>
      </c>
      <c r="P600" s="797">
        <f t="shared" si="54"/>
        <v>21.192441233469026</v>
      </c>
      <c r="Q600" s="797">
        <f t="shared" si="55"/>
        <v>248</v>
      </c>
      <c r="R600" s="797">
        <f t="shared" si="56"/>
        <v>248.35320735389115</v>
      </c>
      <c r="S600" s="797">
        <f>[1]!taqsabet(O600,C600)</f>
        <v>248.35157528214938</v>
      </c>
      <c r="T600" s="522"/>
      <c r="U600" s="522">
        <v>8</v>
      </c>
      <c r="V600" s="522">
        <v>5</v>
      </c>
      <c r="W600" s="522">
        <v>31</v>
      </c>
      <c r="X600" s="522"/>
      <c r="Y600" s="522">
        <v>7</v>
      </c>
      <c r="Z600" s="522">
        <v>12</v>
      </c>
      <c r="AA600" s="522" t="s">
        <v>274</v>
      </c>
      <c r="AB600" s="522">
        <v>5</v>
      </c>
      <c r="AC600" s="522">
        <v>5</v>
      </c>
      <c r="AD600" s="522" t="s">
        <v>2978</v>
      </c>
    </row>
    <row r="601" spans="3:31">
      <c r="C601" s="523">
        <v>554</v>
      </c>
      <c r="D601" s="523">
        <v>12</v>
      </c>
      <c r="E601" s="543" t="s">
        <v>2980</v>
      </c>
      <c r="F601" s="523">
        <v>70</v>
      </c>
      <c r="G601" s="523"/>
      <c r="H601" s="523">
        <v>66</v>
      </c>
      <c r="I601" s="523">
        <v>0</v>
      </c>
      <c r="J601" s="523">
        <v>0</v>
      </c>
      <c r="K601" s="523"/>
      <c r="L601" s="797">
        <f>[1]!tsabetm(C601)</f>
        <v>232.91666666666666</v>
      </c>
      <c r="M601" s="797">
        <f>[1]!tsabetz(C601)</f>
        <v>252.41666666666666</v>
      </c>
      <c r="N601" s="797">
        <f t="shared" si="52"/>
        <v>89.07692307692308</v>
      </c>
      <c r="O601" s="797">
        <f t="shared" si="53"/>
        <v>1445.0028169014086</v>
      </c>
      <c r="P601" s="797">
        <f t="shared" si="54"/>
        <v>36.349047653798721</v>
      </c>
      <c r="Q601" s="797">
        <f t="shared" si="55"/>
        <v>254</v>
      </c>
      <c r="R601" s="797">
        <f t="shared" si="56"/>
        <v>254.60581746089665</v>
      </c>
      <c r="S601" s="797">
        <f>[1]!taqsabet(O601,C601)</f>
        <v>254.60455788046266</v>
      </c>
      <c r="T601" s="523"/>
      <c r="U601" s="523">
        <v>8</v>
      </c>
      <c r="V601" s="523">
        <v>12</v>
      </c>
      <c r="W601" s="523">
        <v>25</v>
      </c>
      <c r="X601" s="523"/>
      <c r="Y601" s="523">
        <v>12</v>
      </c>
      <c r="Z601" s="523">
        <v>0</v>
      </c>
      <c r="AA601" s="523" t="s">
        <v>274</v>
      </c>
      <c r="AB601" s="523">
        <v>3</v>
      </c>
      <c r="AC601" s="523">
        <v>3</v>
      </c>
      <c r="AD601" s="523" t="s">
        <v>2978</v>
      </c>
    </row>
    <row r="602" spans="3:31">
      <c r="C602" s="522">
        <v>555</v>
      </c>
      <c r="D602" s="522">
        <v>13</v>
      </c>
      <c r="E602" s="550" t="s">
        <v>2981</v>
      </c>
      <c r="F602" s="522">
        <v>70</v>
      </c>
      <c r="G602" s="522"/>
      <c r="H602" s="522">
        <v>66</v>
      </c>
      <c r="I602" s="522">
        <v>0</v>
      </c>
      <c r="J602" s="522">
        <v>0</v>
      </c>
      <c r="K602" s="522"/>
      <c r="L602" s="797">
        <f>[1]!tsabetm(C602)</f>
        <v>228.41666666666666</v>
      </c>
      <c r="M602" s="797">
        <f>[1]!tsabetz(C602)</f>
        <v>254.01666666666668</v>
      </c>
      <c r="N602" s="797">
        <f t="shared" si="52"/>
        <v>67.851562499999943</v>
      </c>
      <c r="O602" s="797">
        <f t="shared" si="53"/>
        <v>1445.0028169014086</v>
      </c>
      <c r="P602" s="797">
        <f t="shared" si="54"/>
        <v>53.437724099345587</v>
      </c>
      <c r="Q602" s="797">
        <f t="shared" si="55"/>
        <v>256</v>
      </c>
      <c r="R602" s="797">
        <f t="shared" si="56"/>
        <v>256.89062873498909</v>
      </c>
      <c r="S602" s="797">
        <f>[1]!taqsabet(O602,C602)</f>
        <v>256.88897513195786</v>
      </c>
      <c r="T602" s="522"/>
      <c r="U602" s="522">
        <v>8</v>
      </c>
      <c r="V602" s="522">
        <v>14</v>
      </c>
      <c r="W602" s="522">
        <v>1</v>
      </c>
      <c r="X602" s="522"/>
      <c r="Y602" s="522">
        <v>15</v>
      </c>
      <c r="Z602" s="522">
        <v>55</v>
      </c>
      <c r="AA602" s="522" t="s">
        <v>274</v>
      </c>
      <c r="AB602" s="522">
        <v>3</v>
      </c>
      <c r="AC602" s="522">
        <v>3</v>
      </c>
      <c r="AD602" s="522" t="s">
        <v>2373</v>
      </c>
    </row>
    <row r="603" spans="3:31">
      <c r="C603" s="523">
        <v>556</v>
      </c>
      <c r="D603" s="523">
        <v>14</v>
      </c>
      <c r="E603" s="543" t="s">
        <v>2982</v>
      </c>
      <c r="F603" s="523">
        <v>70</v>
      </c>
      <c r="G603" s="523"/>
      <c r="H603" s="523">
        <v>66</v>
      </c>
      <c r="I603" s="523">
        <v>0</v>
      </c>
      <c r="J603" s="523">
        <v>0</v>
      </c>
      <c r="K603" s="523"/>
      <c r="L603" s="797">
        <f>[1]!tsabetm(C603)</f>
        <v>229.58333333333331</v>
      </c>
      <c r="M603" s="797">
        <f>[1]!tsabetz(C603)</f>
        <v>255.41666666666666</v>
      </c>
      <c r="N603" s="797">
        <f t="shared" si="52"/>
        <v>67.238709677419337</v>
      </c>
      <c r="O603" s="797">
        <f t="shared" si="53"/>
        <v>1445.0028169014086</v>
      </c>
      <c r="P603" s="797">
        <f t="shared" si="54"/>
        <v>19.009422105458498</v>
      </c>
      <c r="Q603" s="797">
        <f t="shared" si="55"/>
        <v>258</v>
      </c>
      <c r="R603" s="797">
        <f t="shared" si="56"/>
        <v>258.31682370175764</v>
      </c>
      <c r="S603" s="797">
        <f>[1]!taqsabet(O603,C603)</f>
        <v>258.31515502682379</v>
      </c>
      <c r="T603" s="523"/>
      <c r="U603" s="523">
        <v>8</v>
      </c>
      <c r="V603" s="523">
        <v>15</v>
      </c>
      <c r="W603" s="523">
        <v>25</v>
      </c>
      <c r="X603" s="523"/>
      <c r="Y603" s="523">
        <v>18</v>
      </c>
      <c r="Z603" s="523">
        <v>51</v>
      </c>
      <c r="AA603" s="523" t="s">
        <v>274</v>
      </c>
      <c r="AB603" s="523">
        <v>4</v>
      </c>
      <c r="AC603" s="523">
        <v>4</v>
      </c>
      <c r="AD603" s="523" t="s">
        <v>2373</v>
      </c>
    </row>
    <row r="604" spans="3:31">
      <c r="C604" s="522">
        <v>557</v>
      </c>
      <c r="D604" s="522">
        <v>15</v>
      </c>
      <c r="E604" s="550" t="s">
        <v>2964</v>
      </c>
      <c r="F604" s="522">
        <v>70</v>
      </c>
      <c r="G604" s="522"/>
      <c r="H604" s="522">
        <v>66</v>
      </c>
      <c r="I604" s="522">
        <v>0</v>
      </c>
      <c r="J604" s="522">
        <v>0</v>
      </c>
      <c r="K604" s="522"/>
      <c r="L604" s="797">
        <f>[1]!tsabetm(C604)</f>
        <v>229.75</v>
      </c>
      <c r="M604" s="797">
        <f>[1]!tsabetz(C604)</f>
        <v>255.51666666666668</v>
      </c>
      <c r="N604" s="797">
        <f t="shared" si="52"/>
        <v>67.412677878395826</v>
      </c>
      <c r="O604" s="797">
        <f t="shared" si="53"/>
        <v>1445.0028169014086</v>
      </c>
      <c r="P604" s="797">
        <f t="shared" si="54"/>
        <v>24.560365532283868</v>
      </c>
      <c r="Q604" s="797">
        <f t="shared" si="55"/>
        <v>258</v>
      </c>
      <c r="R604" s="797">
        <f t="shared" si="56"/>
        <v>258.40933942553806</v>
      </c>
      <c r="S604" s="797">
        <f>[1]!taqsabet(O604,C604)</f>
        <v>258.4076750568621</v>
      </c>
      <c r="T604" s="522"/>
      <c r="U604" s="522">
        <v>8</v>
      </c>
      <c r="V604" s="522">
        <v>15</v>
      </c>
      <c r="W604" s="522">
        <v>31</v>
      </c>
      <c r="X604" s="522"/>
      <c r="Y604" s="522">
        <v>19</v>
      </c>
      <c r="Z604" s="522">
        <v>15</v>
      </c>
      <c r="AA604" s="522" t="s">
        <v>274</v>
      </c>
      <c r="AB604" s="522">
        <v>4</v>
      </c>
      <c r="AC604" s="522">
        <v>4</v>
      </c>
      <c r="AD604" s="522" t="s">
        <v>2373</v>
      </c>
    </row>
    <row r="605" spans="3:31">
      <c r="C605" s="523">
        <v>558</v>
      </c>
      <c r="D605" s="523">
        <v>16</v>
      </c>
      <c r="E605" s="543" t="s">
        <v>2983</v>
      </c>
      <c r="F605" s="523">
        <v>70</v>
      </c>
      <c r="G605" s="523"/>
      <c r="H605" s="523">
        <v>66</v>
      </c>
      <c r="I605" s="523">
        <v>0</v>
      </c>
      <c r="J605" s="523">
        <v>0</v>
      </c>
      <c r="K605" s="523"/>
      <c r="L605" s="797">
        <f>[1]!tsabetm(C605)</f>
        <v>232.75</v>
      </c>
      <c r="M605" s="797">
        <f>[1]!tsabetz(C605)</f>
        <v>259.11666666666667</v>
      </c>
      <c r="N605" s="797">
        <f t="shared" si="52"/>
        <v>65.878634639696571</v>
      </c>
      <c r="O605" s="797">
        <f t="shared" si="53"/>
        <v>1445.0028169014086</v>
      </c>
      <c r="P605" s="797">
        <f t="shared" si="54"/>
        <v>4.6018746908623598</v>
      </c>
      <c r="Q605" s="797">
        <f t="shared" si="55"/>
        <v>262</v>
      </c>
      <c r="R605" s="797">
        <f t="shared" si="56"/>
        <v>262.07669791151437</v>
      </c>
      <c r="S605" s="797">
        <f>[1]!taqsabet(O605,C605)</f>
        <v>262.07499478651732</v>
      </c>
      <c r="T605" s="523"/>
      <c r="U605" s="523">
        <v>8</v>
      </c>
      <c r="V605" s="523">
        <v>19</v>
      </c>
      <c r="W605" s="523">
        <v>7</v>
      </c>
      <c r="X605" s="523"/>
      <c r="Y605" s="523">
        <v>21</v>
      </c>
      <c r="Z605" s="523">
        <v>0</v>
      </c>
      <c r="AA605" s="523" t="s">
        <v>274</v>
      </c>
      <c r="AB605" s="523">
        <v>3</v>
      </c>
      <c r="AC605" s="523">
        <v>3</v>
      </c>
      <c r="AD605" s="523" t="s">
        <v>2514</v>
      </c>
    </row>
    <row r="606" spans="3:31">
      <c r="C606" s="522">
        <v>559</v>
      </c>
      <c r="D606" s="522">
        <v>17</v>
      </c>
      <c r="E606" s="550" t="s">
        <v>2984</v>
      </c>
      <c r="F606" s="522">
        <v>70</v>
      </c>
      <c r="G606" s="522"/>
      <c r="H606" s="522">
        <v>66</v>
      </c>
      <c r="I606" s="522">
        <v>0</v>
      </c>
      <c r="J606" s="522">
        <v>0</v>
      </c>
      <c r="K606" s="522"/>
      <c r="L606" s="797">
        <f>[1]!tsabetm(C606)</f>
        <v>237.75</v>
      </c>
      <c r="M606" s="797">
        <f>[1]!tsabetz(C606)</f>
        <v>264.01666666666665</v>
      </c>
      <c r="N606" s="797">
        <f t="shared" si="52"/>
        <v>66.129441624365526</v>
      </c>
      <c r="O606" s="797">
        <f t="shared" si="53"/>
        <v>1445.0028169014086</v>
      </c>
      <c r="P606" s="797">
        <f t="shared" si="54"/>
        <v>57.928289831098709</v>
      </c>
      <c r="Q606" s="797">
        <f t="shared" si="55"/>
        <v>266</v>
      </c>
      <c r="R606" s="797">
        <f t="shared" si="56"/>
        <v>266.96547149718498</v>
      </c>
      <c r="S606" s="797">
        <f>[1]!taqsabet(O606,C606)</f>
        <v>266.96377483157477</v>
      </c>
      <c r="T606" s="522"/>
      <c r="U606" s="522">
        <v>8</v>
      </c>
      <c r="V606" s="522">
        <v>24</v>
      </c>
      <c r="W606" s="522">
        <v>1</v>
      </c>
      <c r="X606" s="522"/>
      <c r="Y606" s="522">
        <v>19</v>
      </c>
      <c r="Z606" s="522">
        <v>21</v>
      </c>
      <c r="AA606" s="522" t="s">
        <v>274</v>
      </c>
      <c r="AB606" s="522">
        <v>3</v>
      </c>
      <c r="AC606" s="522">
        <v>3</v>
      </c>
      <c r="AD606" s="522" t="s">
        <v>2514</v>
      </c>
      <c r="AE606" s="327">
        <v>596</v>
      </c>
    </row>
    <row r="607" spans="3:31">
      <c r="C607" s="523">
        <v>560</v>
      </c>
      <c r="D607" s="523">
        <v>18</v>
      </c>
      <c r="E607" s="543" t="s">
        <v>2985</v>
      </c>
      <c r="F607" s="523">
        <v>70</v>
      </c>
      <c r="G607" s="523"/>
      <c r="H607" s="523">
        <v>66</v>
      </c>
      <c r="I607" s="523">
        <v>0</v>
      </c>
      <c r="J607" s="523">
        <v>0</v>
      </c>
      <c r="K607" s="523"/>
      <c r="L607" s="797">
        <f>[1]!tsabetm(C607)</f>
        <v>240.08333333333331</v>
      </c>
      <c r="M607" s="797">
        <f>[1]!tsabetz(C607)</f>
        <v>265.56666666666666</v>
      </c>
      <c r="N607" s="797">
        <f t="shared" si="52"/>
        <v>68.162197514715459</v>
      </c>
      <c r="O607" s="797">
        <f t="shared" si="53"/>
        <v>1445.0028169014086</v>
      </c>
      <c r="P607" s="797">
        <f t="shared" si="54"/>
        <v>25.651875096289132</v>
      </c>
      <c r="Q607" s="797">
        <f t="shared" si="55"/>
        <v>268</v>
      </c>
      <c r="R607" s="797">
        <f t="shared" si="56"/>
        <v>268.42753125160482</v>
      </c>
      <c r="S607" s="797">
        <f>[1]!taqsabet(O607,C607)</f>
        <v>268.42588518452487</v>
      </c>
      <c r="T607" s="523"/>
      <c r="U607" s="523">
        <v>8</v>
      </c>
      <c r="V607" s="523">
        <v>25</v>
      </c>
      <c r="W607" s="523">
        <v>34</v>
      </c>
      <c r="X607" s="523"/>
      <c r="Y607" s="523">
        <v>16</v>
      </c>
      <c r="Z607" s="523">
        <v>58</v>
      </c>
      <c r="AA607" s="523" t="s">
        <v>274</v>
      </c>
      <c r="AB607" s="523">
        <v>3</v>
      </c>
      <c r="AC607" s="523">
        <v>3</v>
      </c>
      <c r="AD607" s="523" t="s">
        <v>2514</v>
      </c>
    </row>
    <row r="608" spans="3:31">
      <c r="C608" s="522">
        <v>561</v>
      </c>
      <c r="D608" s="522">
        <v>19</v>
      </c>
      <c r="E608" s="550" t="s">
        <v>2986</v>
      </c>
      <c r="F608" s="522">
        <v>70</v>
      </c>
      <c r="G608" s="522"/>
      <c r="H608" s="522">
        <v>66</v>
      </c>
      <c r="I608" s="522">
        <v>0</v>
      </c>
      <c r="J608" s="522">
        <v>0</v>
      </c>
      <c r="K608" s="522"/>
      <c r="L608" s="797">
        <f>[1]!tsabetm(C608)</f>
        <v>238.58333333333331</v>
      </c>
      <c r="M608" s="797">
        <f>[1]!tsabetz(C608)</f>
        <v>264.61666666666667</v>
      </c>
      <c r="N608" s="797">
        <f t="shared" si="52"/>
        <v>66.722151088348198</v>
      </c>
      <c r="O608" s="797">
        <f t="shared" si="53"/>
        <v>1445.0028169014086</v>
      </c>
      <c r="P608" s="797">
        <f t="shared" si="54"/>
        <v>32.356591824985799</v>
      </c>
      <c r="Q608" s="797">
        <f t="shared" si="55"/>
        <v>267</v>
      </c>
      <c r="R608" s="797">
        <f t="shared" si="56"/>
        <v>267.53927653041643</v>
      </c>
      <c r="S608" s="797">
        <f>[1]!taqsabet(O608,C608)</f>
        <v>267.5375949367089</v>
      </c>
      <c r="T608" s="522"/>
      <c r="U608" s="522">
        <v>8</v>
      </c>
      <c r="V608" s="522">
        <v>24</v>
      </c>
      <c r="W608" s="522">
        <v>37</v>
      </c>
      <c r="X608" s="522"/>
      <c r="Y608" s="522">
        <v>16</v>
      </c>
      <c r="Z608" s="522">
        <v>0</v>
      </c>
      <c r="AA608" s="522" t="s">
        <v>274</v>
      </c>
      <c r="AB608" s="522">
        <v>3</v>
      </c>
      <c r="AC608" s="522">
        <v>3</v>
      </c>
      <c r="AD608" s="522" t="s">
        <v>2514</v>
      </c>
    </row>
    <row r="609" spans="1:30">
      <c r="C609" s="523">
        <v>562</v>
      </c>
      <c r="D609" s="523">
        <v>20</v>
      </c>
      <c r="E609" s="543" t="s">
        <v>2987</v>
      </c>
      <c r="F609" s="523">
        <v>70</v>
      </c>
      <c r="G609" s="523"/>
      <c r="H609" s="523">
        <v>69</v>
      </c>
      <c r="I609" s="523">
        <v>7</v>
      </c>
      <c r="J609" s="523">
        <v>16</v>
      </c>
      <c r="K609" s="523" t="s">
        <v>2988</v>
      </c>
      <c r="L609" s="797">
        <f>[1]!tsabetm(C609)</f>
        <v>237.08333333333331</v>
      </c>
      <c r="M609" s="797">
        <f>[1]!tsabetz(C609)</f>
        <v>262.61666666666667</v>
      </c>
      <c r="N609" s="797">
        <f t="shared" si="52"/>
        <v>68.028720626631781</v>
      </c>
      <c r="O609" s="797">
        <f t="shared" si="53"/>
        <v>1445.0028169014086</v>
      </c>
      <c r="P609" s="797">
        <f t="shared" si="54"/>
        <v>28.988667526170957</v>
      </c>
      <c r="Q609" s="797">
        <f t="shared" si="55"/>
        <v>265</v>
      </c>
      <c r="R609" s="797">
        <f t="shared" si="56"/>
        <v>265.48314445876952</v>
      </c>
      <c r="S609" s="797">
        <f>[1]!taqsabet(O609,C609)</f>
        <v>265.48149516199618</v>
      </c>
      <c r="T609" s="523"/>
      <c r="U609" s="523">
        <v>8</v>
      </c>
      <c r="V609" s="523">
        <v>22</v>
      </c>
      <c r="W609" s="523">
        <v>37</v>
      </c>
      <c r="X609" s="523"/>
      <c r="Y609" s="523">
        <v>13</v>
      </c>
      <c r="Z609" s="523">
        <v>33</v>
      </c>
      <c r="AA609" s="523" t="s">
        <v>274</v>
      </c>
      <c r="AB609" s="523">
        <v>3</v>
      </c>
      <c r="AC609" s="523">
        <v>3</v>
      </c>
      <c r="AD609" s="523" t="s">
        <v>2514</v>
      </c>
    </row>
    <row r="610" spans="1:30">
      <c r="C610" s="522">
        <v>563</v>
      </c>
      <c r="D610" s="522">
        <v>21</v>
      </c>
      <c r="E610" s="550" t="s">
        <v>2989</v>
      </c>
      <c r="F610" s="522">
        <v>70</v>
      </c>
      <c r="G610" s="522"/>
      <c r="H610" s="522">
        <v>66</v>
      </c>
      <c r="I610" s="522">
        <v>0</v>
      </c>
      <c r="J610" s="522">
        <v>0</v>
      </c>
      <c r="K610" s="522"/>
      <c r="L610" s="797">
        <f>[1]!tsabetm(C610)</f>
        <v>236.58333333333331</v>
      </c>
      <c r="M610" s="797">
        <f>[1]!tsabetz(C610)</f>
        <v>262.01666666666665</v>
      </c>
      <c r="N610" s="797">
        <f t="shared" si="52"/>
        <v>68.296199213630402</v>
      </c>
      <c r="O610" s="797">
        <f t="shared" si="53"/>
        <v>1445.0028169014086</v>
      </c>
      <c r="P610" s="797">
        <f t="shared" si="54"/>
        <v>52.315082666407307</v>
      </c>
      <c r="Q610" s="797">
        <f t="shared" si="55"/>
        <v>264</v>
      </c>
      <c r="R610" s="797">
        <f t="shared" si="56"/>
        <v>264.87191804444012</v>
      </c>
      <c r="S610" s="797">
        <f>[1]!taqsabet(O610,C610)</f>
        <v>264.87027520705357</v>
      </c>
      <c r="T610" s="522"/>
      <c r="U610" s="522">
        <v>8</v>
      </c>
      <c r="V610" s="522">
        <v>22</v>
      </c>
      <c r="W610" s="522">
        <v>1</v>
      </c>
      <c r="X610" s="522"/>
      <c r="Y610" s="522">
        <v>13</v>
      </c>
      <c r="Z610" s="522">
        <v>54</v>
      </c>
      <c r="AA610" s="522" t="s">
        <v>274</v>
      </c>
      <c r="AB610" s="522">
        <v>3</v>
      </c>
      <c r="AC610" s="522">
        <v>4</v>
      </c>
      <c r="AD610" s="522" t="s">
        <v>2514</v>
      </c>
    </row>
    <row r="611" spans="1:30">
      <c r="B611" s="505" t="s">
        <v>2415</v>
      </c>
      <c r="C611" s="523">
        <v>564</v>
      </c>
      <c r="D611" s="523">
        <v>1</v>
      </c>
      <c r="E611" s="543" t="s">
        <v>2990</v>
      </c>
      <c r="F611" s="523">
        <v>70</v>
      </c>
      <c r="G611" s="523"/>
      <c r="H611" s="523">
        <v>66</v>
      </c>
      <c r="I611" s="523">
        <v>0</v>
      </c>
      <c r="J611" s="523">
        <v>0</v>
      </c>
      <c r="K611" s="523" t="s">
        <v>2991</v>
      </c>
      <c r="L611" s="797">
        <f>[1]!tsabetm(C611)</f>
        <v>240.75</v>
      </c>
      <c r="M611" s="797">
        <f>[1]!tsabetz(C611)</f>
        <v>266.01666666666665</v>
      </c>
      <c r="N611" s="797">
        <f t="shared" si="52"/>
        <v>68.746701846965735</v>
      </c>
      <c r="O611" s="797">
        <f t="shared" si="53"/>
        <v>1445.0028169014086</v>
      </c>
      <c r="P611" s="797">
        <f t="shared" si="54"/>
        <v>51.192441233469026</v>
      </c>
      <c r="Q611" s="797">
        <f t="shared" si="55"/>
        <v>268</v>
      </c>
      <c r="R611" s="797">
        <f t="shared" si="56"/>
        <v>268.85320735389115</v>
      </c>
      <c r="S611" s="797">
        <f>[1]!taqsabet(O611,C611)</f>
        <v>268.85157528214933</v>
      </c>
      <c r="T611" s="523"/>
      <c r="U611" s="523">
        <v>8</v>
      </c>
      <c r="V611" s="523">
        <v>26</v>
      </c>
      <c r="W611" s="523">
        <v>1</v>
      </c>
      <c r="X611" s="523"/>
      <c r="Y611" s="523">
        <v>13</v>
      </c>
      <c r="Z611" s="523">
        <v>39</v>
      </c>
      <c r="AA611" s="523" t="s">
        <v>274</v>
      </c>
      <c r="AB611" s="523">
        <v>4</v>
      </c>
      <c r="AC611" s="523" t="s">
        <v>2602</v>
      </c>
      <c r="AD611" s="523" t="s">
        <v>2992</v>
      </c>
    </row>
    <row r="612" spans="1:30">
      <c r="C612" s="522">
        <v>565</v>
      </c>
      <c r="D612" s="522">
        <v>2</v>
      </c>
      <c r="E612" s="550" t="s">
        <v>2993</v>
      </c>
      <c r="F612" s="522">
        <v>70</v>
      </c>
      <c r="G612" s="522"/>
      <c r="H612" s="522">
        <v>66</v>
      </c>
      <c r="I612" s="522">
        <v>0</v>
      </c>
      <c r="J612" s="522">
        <v>0</v>
      </c>
      <c r="K612" s="522"/>
      <c r="L612" s="797">
        <f>[1]!tsabetm(C612)</f>
        <v>235.08333333333331</v>
      </c>
      <c r="M612" s="797">
        <f>[1]!tsabetz(C612)</f>
        <v>261.21666666666664</v>
      </c>
      <c r="N612" s="797">
        <f t="shared" si="52"/>
        <v>66.466836734693899</v>
      </c>
      <c r="O612" s="797">
        <f t="shared" si="53"/>
        <v>1445.0028169014086</v>
      </c>
      <c r="P612" s="797">
        <f t="shared" si="54"/>
        <v>9.0301766847460385</v>
      </c>
      <c r="Q612" s="797">
        <f t="shared" si="55"/>
        <v>264</v>
      </c>
      <c r="R612" s="797">
        <f t="shared" si="56"/>
        <v>264.15050294474577</v>
      </c>
      <c r="S612" s="797">
        <f>[1]!taqsabet(O612,C612)</f>
        <v>264.1488148916514</v>
      </c>
      <c r="T612" s="522"/>
      <c r="U612" s="522">
        <v>8</v>
      </c>
      <c r="V612" s="522">
        <v>21</v>
      </c>
      <c r="W612" s="522">
        <v>13</v>
      </c>
      <c r="X612" s="522"/>
      <c r="Y612" s="522">
        <v>6</v>
      </c>
      <c r="Z612" s="522">
        <v>45</v>
      </c>
      <c r="AA612" s="522" t="s">
        <v>274</v>
      </c>
      <c r="AB612" s="522">
        <v>5</v>
      </c>
      <c r="AC612" s="522">
        <v>5</v>
      </c>
      <c r="AD612" s="522"/>
    </row>
    <row r="613" spans="1:30">
      <c r="C613" s="523">
        <v>566</v>
      </c>
      <c r="D613" s="523">
        <v>3</v>
      </c>
      <c r="E613" s="543" t="s">
        <v>2465</v>
      </c>
      <c r="F613" s="523">
        <v>70</v>
      </c>
      <c r="G613" s="523"/>
      <c r="H613" s="523">
        <v>66</v>
      </c>
      <c r="I613" s="523">
        <v>0</v>
      </c>
      <c r="J613" s="523">
        <v>0</v>
      </c>
      <c r="K613" s="523"/>
      <c r="L613" s="797">
        <f>[1]!tsabetm(C613)</f>
        <v>239.08333333333331</v>
      </c>
      <c r="M613" s="797">
        <f>[1]!tsabetz(C613)</f>
        <v>265.61666666666667</v>
      </c>
      <c r="N613" s="797">
        <f t="shared" si="52"/>
        <v>65.464824120602955</v>
      </c>
      <c r="O613" s="797">
        <f t="shared" si="53"/>
        <v>1445.0028169014086</v>
      </c>
      <c r="P613" s="797">
        <f t="shared" si="54"/>
        <v>35.72451612380064</v>
      </c>
      <c r="Q613" s="797">
        <f t="shared" si="55"/>
        <v>268</v>
      </c>
      <c r="R613" s="797">
        <f t="shared" si="56"/>
        <v>268.59540860206334</v>
      </c>
      <c r="S613" s="797">
        <f>[1]!taqsabet(O613,C613)</f>
        <v>268.59369471142156</v>
      </c>
      <c r="T613" s="523"/>
      <c r="U613" s="523">
        <v>8</v>
      </c>
      <c r="V613" s="523">
        <v>25</v>
      </c>
      <c r="W613" s="523">
        <v>37</v>
      </c>
      <c r="X613" s="523"/>
      <c r="Y613" s="523">
        <v>4</v>
      </c>
      <c r="Z613" s="523">
        <v>15</v>
      </c>
      <c r="AA613" s="523" t="s">
        <v>274</v>
      </c>
      <c r="AB613" s="523">
        <v>5</v>
      </c>
      <c r="AC613" s="523">
        <v>5</v>
      </c>
      <c r="AD613" s="523"/>
    </row>
    <row r="614" spans="1:30">
      <c r="B614" s="505" t="s">
        <v>2355</v>
      </c>
      <c r="C614" s="506" t="s">
        <v>2356</v>
      </c>
      <c r="D614" s="507" t="s">
        <v>2357</v>
      </c>
      <c r="E614" s="511" t="s">
        <v>2358</v>
      </c>
      <c r="F614" s="511"/>
      <c r="G614" s="511"/>
      <c r="H614" s="511"/>
      <c r="I614" s="511"/>
      <c r="J614" s="511"/>
      <c r="K614" s="514" t="s">
        <v>2360</v>
      </c>
      <c r="N614" s="797">
        <f t="shared" si="52"/>
        <v>4.8250000000000002</v>
      </c>
      <c r="O614" s="797">
        <f t="shared" si="53"/>
        <v>1445.0028169014086</v>
      </c>
      <c r="P614" s="797">
        <f t="shared" si="54"/>
        <v>24.905495147049237</v>
      </c>
      <c r="Q614" s="797">
        <f t="shared" si="55"/>
        <v>40</v>
      </c>
      <c r="R614" s="797">
        <f t="shared" si="56"/>
        <v>40.415091585784154</v>
      </c>
      <c r="S614" s="797" t="e">
        <f>[1]!taqsabet(O614,C614)</f>
        <v>#VALUE!</v>
      </c>
      <c r="T614" s="507"/>
      <c r="U614" s="508" t="s">
        <v>403</v>
      </c>
      <c r="V614" s="508"/>
      <c r="W614" s="509"/>
      <c r="X614" s="507"/>
      <c r="Y614" s="509" t="s">
        <v>275</v>
      </c>
      <c r="Z614" s="510"/>
      <c r="AA614" s="506" t="s">
        <v>176</v>
      </c>
      <c r="AB614" s="511" t="s">
        <v>2361</v>
      </c>
      <c r="AC614" s="511" t="s">
        <v>2362</v>
      </c>
      <c r="AD614" s="511" t="s">
        <v>2363</v>
      </c>
    </row>
    <row r="615" spans="1:30">
      <c r="B615" s="505"/>
      <c r="C615" s="512"/>
      <c r="D615" s="512"/>
      <c r="E615" s="513"/>
      <c r="F615" s="513"/>
      <c r="G615" s="513"/>
      <c r="H615" s="513"/>
      <c r="I615" s="513"/>
      <c r="J615" s="513"/>
      <c r="K615" s="514"/>
      <c r="N615" s="797">
        <f t="shared" si="52"/>
        <v>4.8250000000000002</v>
      </c>
      <c r="O615" s="797">
        <f t="shared" si="53"/>
        <v>1445.0028169014086</v>
      </c>
      <c r="P615" s="797">
        <f t="shared" si="54"/>
        <v>24.905495147049237</v>
      </c>
      <c r="Q615" s="797">
        <f t="shared" si="55"/>
        <v>40</v>
      </c>
      <c r="R615" s="797">
        <f t="shared" si="56"/>
        <v>40.415091585784154</v>
      </c>
      <c r="S615" s="797">
        <f>[1]!taqsabet(O615,C615)</f>
        <v>1.4716840899636423</v>
      </c>
      <c r="T615" s="515" t="s">
        <v>2367</v>
      </c>
      <c r="U615" s="516" t="s">
        <v>173</v>
      </c>
      <c r="V615" s="516" t="s">
        <v>172</v>
      </c>
      <c r="W615" s="516" t="s">
        <v>166</v>
      </c>
      <c r="X615" s="517" t="s">
        <v>2367</v>
      </c>
      <c r="Y615" s="516" t="s">
        <v>172</v>
      </c>
      <c r="Z615" s="518" t="s">
        <v>166</v>
      </c>
      <c r="AA615" s="512"/>
      <c r="AB615" s="517" t="s">
        <v>2368</v>
      </c>
      <c r="AC615" s="517" t="s">
        <v>2369</v>
      </c>
      <c r="AD615" s="513"/>
    </row>
    <row r="616" spans="1:30">
      <c r="A616" s="563">
        <v>9</v>
      </c>
      <c r="B616" s="536" t="s">
        <v>943</v>
      </c>
      <c r="C616" s="527">
        <v>567</v>
      </c>
      <c r="D616" s="527">
        <v>1</v>
      </c>
      <c r="E616" s="553" t="s">
        <v>2994</v>
      </c>
      <c r="F616" s="527">
        <v>70</v>
      </c>
      <c r="G616" s="527"/>
      <c r="H616" s="527">
        <v>66</v>
      </c>
      <c r="I616" s="527">
        <v>0</v>
      </c>
      <c r="J616" s="527">
        <v>0</v>
      </c>
      <c r="K616" s="527"/>
      <c r="L616" s="797">
        <f>[1]!tsabetm(C616)</f>
        <v>244.08333333333331</v>
      </c>
      <c r="M616" s="797">
        <f>[1]!tsabetz(C616)</f>
        <v>269.91666666666669</v>
      </c>
      <c r="N616" s="797">
        <f t="shared" si="52"/>
        <v>67.238709677419251</v>
      </c>
      <c r="O616" s="797">
        <f t="shared" si="53"/>
        <v>1445.0028169014086</v>
      </c>
      <c r="P616" s="797">
        <f t="shared" si="54"/>
        <v>49.009422105461908</v>
      </c>
      <c r="Q616" s="797">
        <f t="shared" si="55"/>
        <v>272</v>
      </c>
      <c r="R616" s="797">
        <f t="shared" si="56"/>
        <v>272.8168237017577</v>
      </c>
      <c r="S616" s="797">
        <f>[1]!taqsabet(O616,C616)</f>
        <v>272.81515502682379</v>
      </c>
      <c r="T616" s="527"/>
      <c r="U616" s="527">
        <v>8</v>
      </c>
      <c r="V616" s="527">
        <v>29</v>
      </c>
      <c r="W616" s="527">
        <v>55</v>
      </c>
      <c r="X616" s="527"/>
      <c r="Y616" s="527">
        <v>7</v>
      </c>
      <c r="Z616" s="527">
        <v>12</v>
      </c>
      <c r="AA616" s="527" t="s">
        <v>274</v>
      </c>
      <c r="AB616" s="527">
        <v>3</v>
      </c>
      <c r="AC616" s="527">
        <v>3</v>
      </c>
      <c r="AD616" s="527" t="s">
        <v>2995</v>
      </c>
    </row>
    <row r="617" spans="1:30">
      <c r="C617" s="523">
        <v>568</v>
      </c>
      <c r="D617" s="523">
        <v>2</v>
      </c>
      <c r="E617" s="543" t="s">
        <v>2996</v>
      </c>
      <c r="F617" s="523">
        <v>70</v>
      </c>
      <c r="G617" s="523"/>
      <c r="H617" s="523">
        <v>66</v>
      </c>
      <c r="I617" s="523">
        <v>0</v>
      </c>
      <c r="J617" s="523">
        <v>0</v>
      </c>
      <c r="K617" s="523"/>
      <c r="L617" s="797">
        <f>[1]!tsabetm(C617)</f>
        <v>247.25</v>
      </c>
      <c r="M617" s="797">
        <f>[1]!tsabetz(C617)</f>
        <v>273.06666666666666</v>
      </c>
      <c r="N617" s="797">
        <f t="shared" si="52"/>
        <v>67.282117495158175</v>
      </c>
      <c r="O617" s="797">
        <f t="shared" si="53"/>
        <v>1445.0028169014086</v>
      </c>
      <c r="P617" s="797">
        <f t="shared" si="54"/>
        <v>57.897157962165693</v>
      </c>
      <c r="Q617" s="797">
        <f t="shared" si="55"/>
        <v>275</v>
      </c>
      <c r="R617" s="797">
        <f t="shared" si="56"/>
        <v>275.96495263270276</v>
      </c>
      <c r="S617" s="797">
        <f>[1]!taqsabet(O617,C617)</f>
        <v>275.96328503433335</v>
      </c>
      <c r="T617" s="523"/>
      <c r="U617" s="523">
        <v>9</v>
      </c>
      <c r="V617" s="523">
        <v>3</v>
      </c>
      <c r="W617" s="523">
        <v>4</v>
      </c>
      <c r="X617" s="523"/>
      <c r="Y617" s="523">
        <v>6</v>
      </c>
      <c r="Z617" s="523">
        <v>45</v>
      </c>
      <c r="AA617" s="523" t="s">
        <v>274</v>
      </c>
      <c r="AB617" s="523">
        <v>3</v>
      </c>
      <c r="AC617" s="523">
        <v>3</v>
      </c>
      <c r="AD617" s="523" t="s">
        <v>2995</v>
      </c>
    </row>
    <row r="618" spans="1:30">
      <c r="C618" s="527">
        <v>569</v>
      </c>
      <c r="D618" s="527">
        <v>3</v>
      </c>
      <c r="E618" s="553" t="s">
        <v>2997</v>
      </c>
      <c r="F618" s="527">
        <v>70</v>
      </c>
      <c r="G618" s="527"/>
      <c r="H618" s="527">
        <v>66</v>
      </c>
      <c r="I618" s="527">
        <v>0</v>
      </c>
      <c r="J618" s="527">
        <v>0</v>
      </c>
      <c r="K618" s="527"/>
      <c r="L618" s="797">
        <f>[1]!tsabetm(C618)</f>
        <v>247.58333333333331</v>
      </c>
      <c r="M618" s="797">
        <f>[1]!tsabetz(C618)</f>
        <v>273.31666666666666</v>
      </c>
      <c r="N618" s="797">
        <f t="shared" si="52"/>
        <v>67.499999999999957</v>
      </c>
      <c r="O618" s="797">
        <f t="shared" si="53"/>
        <v>1445.0028169014086</v>
      </c>
      <c r="P618" s="797">
        <f t="shared" si="54"/>
        <v>12.335837245694847</v>
      </c>
      <c r="Q618" s="797">
        <f t="shared" si="55"/>
        <v>276</v>
      </c>
      <c r="R618" s="797">
        <f t="shared" si="56"/>
        <v>276.20559728742825</v>
      </c>
      <c r="S618" s="797">
        <f>[1]!taqsabet(O618,C618)</f>
        <v>276.20393507188123</v>
      </c>
      <c r="T618" s="527"/>
      <c r="U618" s="527">
        <v>9</v>
      </c>
      <c r="V618" s="527">
        <v>3</v>
      </c>
      <c r="W618" s="527">
        <v>19</v>
      </c>
      <c r="X618" s="527"/>
      <c r="Y618" s="527">
        <v>11</v>
      </c>
      <c r="Z618" s="527">
        <v>12</v>
      </c>
      <c r="AA618" s="527" t="s">
        <v>274</v>
      </c>
      <c r="AB618" s="527">
        <v>3</v>
      </c>
      <c r="AC618" s="527">
        <v>3</v>
      </c>
      <c r="AD618" s="527" t="s">
        <v>2995</v>
      </c>
    </row>
    <row r="619" spans="1:30">
      <c r="C619" s="523">
        <v>570</v>
      </c>
      <c r="D619" s="523">
        <v>4</v>
      </c>
      <c r="E619" s="543" t="s">
        <v>2998</v>
      </c>
      <c r="F619" s="523">
        <v>70</v>
      </c>
      <c r="G619" s="523"/>
      <c r="H619" s="523">
        <v>66</v>
      </c>
      <c r="I619" s="523">
        <v>0</v>
      </c>
      <c r="J619" s="523">
        <v>0</v>
      </c>
      <c r="K619" s="523"/>
      <c r="L619" s="797">
        <f>[1]!tsabetm(C619)</f>
        <v>248.58333333333331</v>
      </c>
      <c r="M619" s="797">
        <f>[1]!tsabetz(C619)</f>
        <v>274.51666666666665</v>
      </c>
      <c r="N619" s="797">
        <f t="shared" si="52"/>
        <v>66.979434447300761</v>
      </c>
      <c r="O619" s="797">
        <f t="shared" si="53"/>
        <v>1445.0028169014086</v>
      </c>
      <c r="P619" s="797">
        <f t="shared" si="54"/>
        <v>25.683006965222148</v>
      </c>
      <c r="Q619" s="797">
        <f t="shared" si="55"/>
        <v>277</v>
      </c>
      <c r="R619" s="797">
        <f t="shared" si="56"/>
        <v>277.42805011608704</v>
      </c>
      <c r="S619" s="797">
        <f>[1]!taqsabet(O619,C619)</f>
        <v>277.42637498176629</v>
      </c>
      <c r="T619" s="523"/>
      <c r="U619" s="523">
        <v>9</v>
      </c>
      <c r="V619" s="523">
        <v>4</v>
      </c>
      <c r="W619" s="523">
        <v>31</v>
      </c>
      <c r="X619" s="523"/>
      <c r="Y619" s="523">
        <v>2</v>
      </c>
      <c r="Z619" s="523">
        <v>0</v>
      </c>
      <c r="AA619" s="523" t="s">
        <v>274</v>
      </c>
      <c r="AB619" s="523">
        <v>3</v>
      </c>
      <c r="AC619" s="523">
        <v>3</v>
      </c>
      <c r="AD619" s="523" t="s">
        <v>2995</v>
      </c>
    </row>
    <row r="620" spans="1:30">
      <c r="C620" s="527">
        <v>571</v>
      </c>
      <c r="D620" s="527">
        <v>5</v>
      </c>
      <c r="E620" s="553" t="s">
        <v>2999</v>
      </c>
      <c r="F620" s="527">
        <v>70</v>
      </c>
      <c r="G620" s="527"/>
      <c r="H620" s="527">
        <v>66</v>
      </c>
      <c r="I620" s="527">
        <v>0</v>
      </c>
      <c r="J620" s="527">
        <v>0</v>
      </c>
      <c r="K620" s="527"/>
      <c r="L620" s="797">
        <f>[1]!tsabetm(C620)</f>
        <v>246.25</v>
      </c>
      <c r="M620" s="797">
        <f>[1]!tsabetz(C620)</f>
        <v>271.3</v>
      </c>
      <c r="N620" s="797">
        <f t="shared" si="52"/>
        <v>69.341317365269433</v>
      </c>
      <c r="O620" s="797">
        <f t="shared" si="53"/>
        <v>1445.0028169014086</v>
      </c>
      <c r="P620" s="797">
        <f t="shared" si="54"/>
        <v>6.7330073706511939</v>
      </c>
      <c r="Q620" s="797">
        <f t="shared" si="55"/>
        <v>274</v>
      </c>
      <c r="R620" s="797">
        <f t="shared" si="56"/>
        <v>274.11221678951085</v>
      </c>
      <c r="S620" s="797">
        <f>[1]!taqsabet(O620,C620)</f>
        <v>274.11059871310721</v>
      </c>
      <c r="T620" s="527"/>
      <c r="U620" s="527">
        <v>9</v>
      </c>
      <c r="V620" s="527">
        <v>1</v>
      </c>
      <c r="W620" s="527">
        <v>18</v>
      </c>
      <c r="X620" s="527"/>
      <c r="Y620" s="527">
        <v>2</v>
      </c>
      <c r="Z620" s="527">
        <v>18</v>
      </c>
      <c r="AA620" s="527" t="s">
        <v>179</v>
      </c>
      <c r="AB620" s="527">
        <v>4</v>
      </c>
      <c r="AC620" s="527">
        <v>4</v>
      </c>
      <c r="AD620" s="527" t="s">
        <v>2995</v>
      </c>
    </row>
    <row r="621" spans="1:30">
      <c r="C621" s="523">
        <v>572</v>
      </c>
      <c r="D621" s="523">
        <v>6</v>
      </c>
      <c r="E621" s="543" t="s">
        <v>3000</v>
      </c>
      <c r="F621" s="523">
        <v>70</v>
      </c>
      <c r="G621" s="523"/>
      <c r="H621" s="523">
        <v>66</v>
      </c>
      <c r="I621" s="523">
        <v>0</v>
      </c>
      <c r="J621" s="523">
        <v>0</v>
      </c>
      <c r="K621" s="523"/>
      <c r="L621" s="797">
        <f>[1]!tsabetm(C621)</f>
        <v>254.91666666666669</v>
      </c>
      <c r="M621" s="797">
        <f>[1]!tsabetz(C621)</f>
        <v>280.61666666666667</v>
      </c>
      <c r="N621" s="797">
        <f t="shared" si="52"/>
        <v>67.587548638132333</v>
      </c>
      <c r="O621" s="797">
        <f t="shared" si="53"/>
        <v>1445.0028169014086</v>
      </c>
      <c r="P621" s="797">
        <f t="shared" si="54"/>
        <v>30.111308959109238</v>
      </c>
      <c r="Q621" s="797">
        <f t="shared" si="55"/>
        <v>283</v>
      </c>
      <c r="R621" s="797">
        <f t="shared" si="56"/>
        <v>283.50185514931849</v>
      </c>
      <c r="S621" s="797">
        <f>[1]!taqsabet(O621,C621)</f>
        <v>283.50019508690036</v>
      </c>
      <c r="T621" s="523"/>
      <c r="U621" s="523">
        <v>9</v>
      </c>
      <c r="V621" s="523">
        <v>10</v>
      </c>
      <c r="W621" s="523">
        <v>37</v>
      </c>
      <c r="X621" s="523"/>
      <c r="Y621" s="523">
        <v>3</v>
      </c>
      <c r="Z621" s="523">
        <v>45</v>
      </c>
      <c r="AA621" s="523" t="s">
        <v>274</v>
      </c>
      <c r="AB621" s="523">
        <v>3</v>
      </c>
      <c r="AC621" s="523">
        <v>3</v>
      </c>
      <c r="AD621" s="523" t="s">
        <v>2995</v>
      </c>
    </row>
    <row r="622" spans="1:30">
      <c r="C622" s="527">
        <v>573</v>
      </c>
      <c r="D622" s="527">
        <v>7</v>
      </c>
      <c r="E622" s="553" t="s">
        <v>3001</v>
      </c>
      <c r="F622" s="527">
        <v>70</v>
      </c>
      <c r="G622" s="527"/>
      <c r="H622" s="527">
        <v>66</v>
      </c>
      <c r="I622" s="527">
        <v>0</v>
      </c>
      <c r="J622" s="527">
        <v>0</v>
      </c>
      <c r="K622" s="527"/>
      <c r="L622" s="797">
        <f>[1]!tsabetm(C622)</f>
        <v>252.58333333333331</v>
      </c>
      <c r="M622" s="797">
        <f>[1]!tsabetz(C622)</f>
        <v>278.41666666666669</v>
      </c>
      <c r="N622" s="797">
        <f t="shared" si="52"/>
        <v>67.238709677419251</v>
      </c>
      <c r="O622" s="797">
        <f t="shared" si="53"/>
        <v>1445.0028169014086</v>
      </c>
      <c r="P622" s="797">
        <f t="shared" si="54"/>
        <v>19.009422105461908</v>
      </c>
      <c r="Q622" s="797">
        <f t="shared" si="55"/>
        <v>281</v>
      </c>
      <c r="R622" s="797">
        <f t="shared" si="56"/>
        <v>281.3168237017577</v>
      </c>
      <c r="S622" s="797">
        <f>[1]!taqsabet(O622,C622)</f>
        <v>281.31515502682379</v>
      </c>
      <c r="T622" s="527"/>
      <c r="U622" s="527">
        <v>9</v>
      </c>
      <c r="V622" s="527">
        <v>8</v>
      </c>
      <c r="W622" s="527">
        <v>25</v>
      </c>
      <c r="X622" s="527"/>
      <c r="Y622" s="527">
        <v>3</v>
      </c>
      <c r="Z622" s="527">
        <v>54</v>
      </c>
      <c r="AA622" s="527" t="s">
        <v>274</v>
      </c>
      <c r="AB622" s="527">
        <v>4</v>
      </c>
      <c r="AC622" s="527">
        <v>4</v>
      </c>
      <c r="AD622" s="527" t="s">
        <v>2995</v>
      </c>
    </row>
    <row r="623" spans="1:30">
      <c r="C623" s="523">
        <v>574</v>
      </c>
      <c r="D623" s="523">
        <v>8</v>
      </c>
      <c r="E623" s="543" t="s">
        <v>3002</v>
      </c>
      <c r="F623" s="523">
        <v>70</v>
      </c>
      <c r="G623" s="523"/>
      <c r="H623" s="523">
        <v>67</v>
      </c>
      <c r="I623" s="523">
        <v>1</v>
      </c>
      <c r="J623" s="523">
        <v>21</v>
      </c>
      <c r="K623" s="523" t="s">
        <v>3003</v>
      </c>
      <c r="L623" s="797">
        <f>[1]!tsabetm(C623)</f>
        <v>254.75</v>
      </c>
      <c r="M623" s="797">
        <f>[1]!tsabetz(C623)</f>
        <v>281.21666666666664</v>
      </c>
      <c r="N623" s="797">
        <f t="shared" si="52"/>
        <v>65.629722921914421</v>
      </c>
      <c r="O623" s="797">
        <f t="shared" si="53"/>
        <v>1445.0028169014086</v>
      </c>
      <c r="P623" s="797">
        <f t="shared" si="54"/>
        <v>11.2754595506226</v>
      </c>
      <c r="Q623" s="797">
        <f t="shared" si="55"/>
        <v>284</v>
      </c>
      <c r="R623" s="797">
        <f t="shared" si="56"/>
        <v>284.18792432584371</v>
      </c>
      <c r="S623" s="797">
        <f>[1]!taqsabet(O623,C623)</f>
        <v>284.18621474145988</v>
      </c>
      <c r="T623" s="523"/>
      <c r="U623" s="523">
        <v>9</v>
      </c>
      <c r="V623" s="523">
        <v>11</v>
      </c>
      <c r="W623" s="523">
        <v>13</v>
      </c>
      <c r="X623" s="523"/>
      <c r="Y623" s="523">
        <v>0</v>
      </c>
      <c r="Z623" s="523">
        <v>45</v>
      </c>
      <c r="AA623" s="523" t="s">
        <v>179</v>
      </c>
      <c r="AB623" s="523" t="s">
        <v>2602</v>
      </c>
      <c r="AC623" s="523" t="s">
        <v>2602</v>
      </c>
      <c r="AD623" s="523" t="s">
        <v>2995</v>
      </c>
    </row>
    <row r="624" spans="1:30">
      <c r="C624" s="527">
        <v>575</v>
      </c>
      <c r="D624" s="527">
        <v>9</v>
      </c>
      <c r="E624" s="553" t="s">
        <v>3004</v>
      </c>
      <c r="F624" s="527">
        <v>70</v>
      </c>
      <c r="G624" s="527"/>
      <c r="H624" s="527">
        <v>66</v>
      </c>
      <c r="I624" s="527">
        <v>0</v>
      </c>
      <c r="J624" s="527">
        <v>0</v>
      </c>
      <c r="K624" s="527"/>
      <c r="L624" s="797">
        <f>[1]!tsabetm(C624)</f>
        <v>255.25</v>
      </c>
      <c r="M624" s="797">
        <f>[1]!tsabetz(C624)</f>
        <v>281.81666666666666</v>
      </c>
      <c r="N624" s="797">
        <f t="shared" si="52"/>
        <v>65.382685069008787</v>
      </c>
      <c r="O624" s="797">
        <f t="shared" si="53"/>
        <v>1445.0028169014086</v>
      </c>
      <c r="P624" s="797">
        <f t="shared" si="54"/>
        <v>47.949044410389661</v>
      </c>
      <c r="Q624" s="797">
        <f t="shared" si="55"/>
        <v>284</v>
      </c>
      <c r="R624" s="797">
        <f t="shared" si="56"/>
        <v>284.79915074017316</v>
      </c>
      <c r="S624" s="797">
        <f>[1]!taqsabet(O624,C624)</f>
        <v>284.79743469640243</v>
      </c>
      <c r="T624" s="527"/>
      <c r="U624" s="527">
        <v>9</v>
      </c>
      <c r="V624" s="527">
        <v>11</v>
      </c>
      <c r="W624" s="527">
        <v>49</v>
      </c>
      <c r="X624" s="527"/>
      <c r="Y624" s="527">
        <v>2</v>
      </c>
      <c r="Z624" s="527">
        <v>0</v>
      </c>
      <c r="AA624" s="527" t="s">
        <v>179</v>
      </c>
      <c r="AB624" s="527">
        <v>4</v>
      </c>
      <c r="AC624" s="527">
        <v>4</v>
      </c>
      <c r="AD624" s="527" t="s">
        <v>2995</v>
      </c>
    </row>
    <row r="625" spans="3:31">
      <c r="C625" s="523">
        <v>576</v>
      </c>
      <c r="D625" s="523">
        <v>10</v>
      </c>
      <c r="E625" s="543" t="s">
        <v>2945</v>
      </c>
      <c r="F625" s="523">
        <v>70</v>
      </c>
      <c r="G625" s="523"/>
      <c r="H625" s="523">
        <v>66</v>
      </c>
      <c r="I625" s="523">
        <v>0</v>
      </c>
      <c r="J625" s="523">
        <v>0</v>
      </c>
      <c r="K625" s="523"/>
      <c r="L625" s="797">
        <f>[1]!tsabetm(C625)</f>
        <v>257.25</v>
      </c>
      <c r="M625" s="797">
        <f>[1]!tsabetz(C625)</f>
        <v>283.61666666666667</v>
      </c>
      <c r="N625" s="797">
        <f t="shared" si="52"/>
        <v>65.878634639696571</v>
      </c>
      <c r="O625" s="797">
        <f t="shared" si="53"/>
        <v>1445.0028169014086</v>
      </c>
      <c r="P625" s="797">
        <f t="shared" si="54"/>
        <v>34.60187469086236</v>
      </c>
      <c r="Q625" s="797">
        <f t="shared" si="55"/>
        <v>286</v>
      </c>
      <c r="R625" s="797">
        <f t="shared" si="56"/>
        <v>286.57669791151437</v>
      </c>
      <c r="S625" s="797">
        <f>[1]!taqsabet(O625,C625)</f>
        <v>286.57499478651732</v>
      </c>
      <c r="T625" s="523"/>
      <c r="U625" s="523">
        <v>9</v>
      </c>
      <c r="V625" s="523">
        <v>13</v>
      </c>
      <c r="W625" s="523">
        <v>37</v>
      </c>
      <c r="X625" s="523"/>
      <c r="Y625" s="523">
        <v>1</v>
      </c>
      <c r="Z625" s="523">
        <v>15</v>
      </c>
      <c r="AA625" s="523" t="s">
        <v>179</v>
      </c>
      <c r="AB625" s="523">
        <v>4</v>
      </c>
      <c r="AC625" s="523">
        <v>4</v>
      </c>
      <c r="AD625" s="523" t="s">
        <v>2995</v>
      </c>
    </row>
    <row r="626" spans="3:31">
      <c r="C626" s="527">
        <v>577</v>
      </c>
      <c r="D626" s="527">
        <v>11</v>
      </c>
      <c r="E626" s="553" t="s">
        <v>2613</v>
      </c>
      <c r="F626" s="527">
        <v>70</v>
      </c>
      <c r="G626" s="527"/>
      <c r="H626" s="527">
        <v>66</v>
      </c>
      <c r="I626" s="527">
        <v>0</v>
      </c>
      <c r="J626" s="527">
        <v>0</v>
      </c>
      <c r="K626" s="527"/>
      <c r="L626" s="797">
        <f>[1]!tsabetm(C626)</f>
        <v>258.75</v>
      </c>
      <c r="M626" s="797">
        <f>[1]!tsabetz(C626)</f>
        <v>285.01666666666665</v>
      </c>
      <c r="N626" s="797">
        <f t="shared" si="52"/>
        <v>66.129441624365526</v>
      </c>
      <c r="O626" s="797">
        <f t="shared" si="53"/>
        <v>1445.0028169014086</v>
      </c>
      <c r="P626" s="797">
        <f t="shared" si="54"/>
        <v>57.928289831098709</v>
      </c>
      <c r="Q626" s="797">
        <f t="shared" si="55"/>
        <v>287</v>
      </c>
      <c r="R626" s="797">
        <f t="shared" si="56"/>
        <v>287.96547149718498</v>
      </c>
      <c r="S626" s="797">
        <f>[1]!taqsabet(O626,C626)</f>
        <v>287.96377483157477</v>
      </c>
      <c r="T626" s="527"/>
      <c r="U626" s="527">
        <v>9</v>
      </c>
      <c r="V626" s="527">
        <v>15</v>
      </c>
      <c r="W626" s="527">
        <v>1</v>
      </c>
      <c r="X626" s="527"/>
      <c r="Y626" s="527">
        <v>2</v>
      </c>
      <c r="Z626" s="527">
        <v>0</v>
      </c>
      <c r="AA626" s="527" t="s">
        <v>179</v>
      </c>
      <c r="AB626" s="527">
        <v>4</v>
      </c>
      <c r="AC626" s="527">
        <v>4</v>
      </c>
      <c r="AD626" s="527" t="s">
        <v>2995</v>
      </c>
    </row>
    <row r="627" spans="3:31">
      <c r="C627" s="523">
        <v>578</v>
      </c>
      <c r="D627" s="523">
        <v>12</v>
      </c>
      <c r="E627" s="543" t="s">
        <v>3005</v>
      </c>
      <c r="F627" s="523">
        <v>70</v>
      </c>
      <c r="G627" s="523"/>
      <c r="H627" s="523">
        <v>66</v>
      </c>
      <c r="I627" s="523">
        <v>0</v>
      </c>
      <c r="J627" s="523">
        <v>0</v>
      </c>
      <c r="K627" s="523"/>
      <c r="L627" s="797">
        <f>[1]!tsabetm(C627)</f>
        <v>260.91666666666669</v>
      </c>
      <c r="M627" s="797">
        <f>[1]!tsabetz(C627)</f>
        <v>286.91666666666669</v>
      </c>
      <c r="N627" s="797">
        <f t="shared" si="52"/>
        <v>66.807692307692307</v>
      </c>
      <c r="O627" s="797">
        <f t="shared" si="53"/>
        <v>1445.0028169014086</v>
      </c>
      <c r="P627" s="797">
        <f t="shared" si="54"/>
        <v>50.132063538400189</v>
      </c>
      <c r="Q627" s="797">
        <f t="shared" si="55"/>
        <v>289</v>
      </c>
      <c r="R627" s="797">
        <f t="shared" si="56"/>
        <v>289.83553439230667</v>
      </c>
      <c r="S627" s="797">
        <f>[1]!taqsabet(O627,C627)</f>
        <v>289.83385495172803</v>
      </c>
      <c r="T627" s="523"/>
      <c r="U627" s="523">
        <v>9</v>
      </c>
      <c r="V627" s="523">
        <v>16</v>
      </c>
      <c r="W627" s="523">
        <v>55</v>
      </c>
      <c r="X627" s="523"/>
      <c r="Y627" s="523">
        <v>3</v>
      </c>
      <c r="Z627" s="523">
        <v>15</v>
      </c>
      <c r="AA627" s="523" t="s">
        <v>179</v>
      </c>
      <c r="AB627" s="523">
        <v>5</v>
      </c>
      <c r="AC627" s="523">
        <v>5</v>
      </c>
      <c r="AD627" s="523" t="s">
        <v>3006</v>
      </c>
      <c r="AE627" s="327">
        <v>597</v>
      </c>
    </row>
    <row r="628" spans="3:31">
      <c r="C628" s="527">
        <v>579</v>
      </c>
      <c r="D628" s="527">
        <v>13</v>
      </c>
      <c r="E628" s="553" t="s">
        <v>2612</v>
      </c>
      <c r="F628" s="527">
        <v>70</v>
      </c>
      <c r="G628" s="527"/>
      <c r="H628" s="527">
        <v>66</v>
      </c>
      <c r="I628" s="527">
        <v>0</v>
      </c>
      <c r="J628" s="527">
        <v>0</v>
      </c>
      <c r="K628" s="527"/>
      <c r="L628" s="797">
        <f>[1]!tsabetm(C628)</f>
        <v>261.91666666666669</v>
      </c>
      <c r="M628" s="797">
        <f>[1]!tsabetz(C628)</f>
        <v>287.51666666666665</v>
      </c>
      <c r="N628" s="797">
        <f t="shared" si="52"/>
        <v>67.851562500000085</v>
      </c>
      <c r="O628" s="797">
        <f t="shared" si="53"/>
        <v>1445.0028169014086</v>
      </c>
      <c r="P628" s="797">
        <f t="shared" si="54"/>
        <v>23.437724099345587</v>
      </c>
      <c r="Q628" s="797">
        <f t="shared" si="55"/>
        <v>290</v>
      </c>
      <c r="R628" s="797">
        <f t="shared" si="56"/>
        <v>290.39062873498909</v>
      </c>
      <c r="S628" s="797">
        <f>[1]!taqsabet(O628,C628)</f>
        <v>290.38897513195781</v>
      </c>
      <c r="T628" s="527"/>
      <c r="U628" s="527">
        <v>9</v>
      </c>
      <c r="V628" s="527">
        <v>17</v>
      </c>
      <c r="W628" s="527">
        <v>31</v>
      </c>
      <c r="X628" s="527"/>
      <c r="Y628" s="527">
        <v>4</v>
      </c>
      <c r="Z628" s="527">
        <v>6</v>
      </c>
      <c r="AA628" s="527" t="s">
        <v>179</v>
      </c>
      <c r="AB628" s="527">
        <v>4</v>
      </c>
      <c r="AC628" s="527">
        <v>4</v>
      </c>
      <c r="AD628" s="527" t="s">
        <v>3006</v>
      </c>
    </row>
    <row r="629" spans="3:31">
      <c r="C629" s="523">
        <v>580</v>
      </c>
      <c r="D629" s="523">
        <v>14</v>
      </c>
      <c r="E629" s="543" t="s">
        <v>3007</v>
      </c>
      <c r="F629" s="523">
        <v>70</v>
      </c>
      <c r="G629" s="523"/>
      <c r="H629" s="523">
        <v>66</v>
      </c>
      <c r="I629" s="523">
        <v>0</v>
      </c>
      <c r="J629" s="523">
        <v>0</v>
      </c>
      <c r="K629" s="523"/>
      <c r="L629" s="797">
        <f>[1]!tsabetm(C629)</f>
        <v>262.41666666666669</v>
      </c>
      <c r="M629" s="797">
        <f>[1]!tsabetz(C629)</f>
        <v>288.01666666666665</v>
      </c>
      <c r="N629" s="797">
        <f t="shared" si="52"/>
        <v>67.851562500000085</v>
      </c>
      <c r="O629" s="797">
        <f t="shared" si="53"/>
        <v>1445.0028169014086</v>
      </c>
      <c r="P629" s="797">
        <f t="shared" si="54"/>
        <v>53.437724099345587</v>
      </c>
      <c r="Q629" s="797">
        <f t="shared" si="55"/>
        <v>290</v>
      </c>
      <c r="R629" s="797">
        <f t="shared" si="56"/>
        <v>290.89062873498909</v>
      </c>
      <c r="S629" s="797">
        <f>[1]!taqsabet(O629,C629)</f>
        <v>290.88897513195781</v>
      </c>
      <c r="T629" s="523"/>
      <c r="U629" s="523">
        <v>9</v>
      </c>
      <c r="V629" s="523">
        <v>18</v>
      </c>
      <c r="W629" s="523">
        <v>1</v>
      </c>
      <c r="X629" s="523"/>
      <c r="Y629" s="523">
        <v>6</v>
      </c>
      <c r="Z629" s="523">
        <v>15</v>
      </c>
      <c r="AA629" s="523" t="s">
        <v>179</v>
      </c>
      <c r="AB629" s="523">
        <v>4</v>
      </c>
      <c r="AC629" s="523">
        <v>4</v>
      </c>
      <c r="AD629" s="523" t="s">
        <v>3006</v>
      </c>
    </row>
    <row r="630" spans="3:31">
      <c r="C630" s="527">
        <v>581</v>
      </c>
      <c r="D630" s="527">
        <v>15</v>
      </c>
      <c r="E630" s="553" t="s">
        <v>3008</v>
      </c>
      <c r="F630" s="527">
        <v>70</v>
      </c>
      <c r="G630" s="527"/>
      <c r="H630" s="527">
        <v>66</v>
      </c>
      <c r="I630" s="527">
        <v>0</v>
      </c>
      <c r="J630" s="527">
        <v>0</v>
      </c>
      <c r="K630" s="527"/>
      <c r="L630" s="797">
        <f>[1]!tsabetm(C630)</f>
        <v>265.25</v>
      </c>
      <c r="M630" s="797">
        <f>[1]!tsabetz(C630)</f>
        <v>291.21666666666664</v>
      </c>
      <c r="N630" s="797">
        <f t="shared" si="52"/>
        <v>66.893453145057833</v>
      </c>
      <c r="O630" s="797">
        <f t="shared" si="53"/>
        <v>1445.0028169014086</v>
      </c>
      <c r="P630" s="797">
        <f t="shared" si="54"/>
        <v>7.907535251807758</v>
      </c>
      <c r="Q630" s="797">
        <f t="shared" si="55"/>
        <v>294</v>
      </c>
      <c r="R630" s="797">
        <f t="shared" si="56"/>
        <v>294.1317922541968</v>
      </c>
      <c r="S630" s="797">
        <f>[1]!taqsabet(O630,C630)</f>
        <v>294.13011496674716</v>
      </c>
      <c r="T630" s="527"/>
      <c r="U630" s="527">
        <v>9</v>
      </c>
      <c r="V630" s="527">
        <v>21</v>
      </c>
      <c r="W630" s="527">
        <v>13</v>
      </c>
      <c r="X630" s="527"/>
      <c r="Y630" s="527">
        <v>5</v>
      </c>
      <c r="Z630" s="527">
        <v>24</v>
      </c>
      <c r="AA630" s="527" t="s">
        <v>179</v>
      </c>
      <c r="AB630" s="527">
        <v>6</v>
      </c>
      <c r="AC630" s="527">
        <v>6</v>
      </c>
      <c r="AD630" s="527" t="s">
        <v>3006</v>
      </c>
    </row>
    <row r="631" spans="3:31">
      <c r="C631" s="523">
        <v>582</v>
      </c>
      <c r="D631" s="523">
        <v>16</v>
      </c>
      <c r="E631" s="543" t="s">
        <v>3009</v>
      </c>
      <c r="F631" s="523">
        <v>70</v>
      </c>
      <c r="G631" s="523"/>
      <c r="H631" s="523">
        <v>66</v>
      </c>
      <c r="I631" s="523">
        <v>0</v>
      </c>
      <c r="J631" s="523">
        <v>0</v>
      </c>
      <c r="K631" s="523"/>
      <c r="L631" s="797">
        <f>[1]!tsabetm(C631)</f>
        <v>269.08333333333331</v>
      </c>
      <c r="M631" s="797">
        <f>[1]!tsabetz(C631)</f>
        <v>295.26666666666665</v>
      </c>
      <c r="N631" s="797">
        <f t="shared" si="52"/>
        <v>66.339910884786747</v>
      </c>
      <c r="O631" s="797">
        <f t="shared" si="53"/>
        <v>1445.0028169014086</v>
      </c>
      <c r="P631" s="797">
        <f t="shared" si="54"/>
        <v>12.366969114627864</v>
      </c>
      <c r="Q631" s="797">
        <f t="shared" si="55"/>
        <v>298</v>
      </c>
      <c r="R631" s="797">
        <f t="shared" si="56"/>
        <v>298.20611615191046</v>
      </c>
      <c r="S631" s="797">
        <f>[1]!taqsabet(O631,C631)</f>
        <v>298.20442486912265</v>
      </c>
      <c r="T631" s="523"/>
      <c r="U631" s="523">
        <v>9</v>
      </c>
      <c r="V631" s="523">
        <v>25</v>
      </c>
      <c r="W631" s="523">
        <v>16</v>
      </c>
      <c r="X631" s="523"/>
      <c r="Y631" s="523">
        <v>6</v>
      </c>
      <c r="Z631" s="523">
        <v>0</v>
      </c>
      <c r="AA631" s="523" t="s">
        <v>179</v>
      </c>
      <c r="AB631" s="523">
        <v>5</v>
      </c>
      <c r="AC631" s="523">
        <v>5</v>
      </c>
      <c r="AD631" s="523" t="s">
        <v>3006</v>
      </c>
    </row>
    <row r="632" spans="3:31">
      <c r="C632" s="527">
        <v>583</v>
      </c>
      <c r="D632" s="527">
        <v>17</v>
      </c>
      <c r="E632" s="553" t="s">
        <v>2920</v>
      </c>
      <c r="F632" s="527">
        <v>70</v>
      </c>
      <c r="G632" s="527"/>
      <c r="H632" s="527">
        <v>66</v>
      </c>
      <c r="I632" s="527">
        <v>0</v>
      </c>
      <c r="J632" s="527">
        <v>0</v>
      </c>
      <c r="K632" s="527"/>
      <c r="L632" s="797">
        <f>[1]!tsabetm(C632)</f>
        <v>267.25</v>
      </c>
      <c r="M632" s="797">
        <f>[1]!tsabetz(C632)</f>
        <v>293.21666666666664</v>
      </c>
      <c r="N632" s="797">
        <f t="shared" si="52"/>
        <v>66.893453145057833</v>
      </c>
      <c r="O632" s="797">
        <f t="shared" si="53"/>
        <v>1445.0028169014086</v>
      </c>
      <c r="P632" s="797">
        <f t="shared" si="54"/>
        <v>7.907535251807758</v>
      </c>
      <c r="Q632" s="797">
        <f t="shared" si="55"/>
        <v>296</v>
      </c>
      <c r="R632" s="797">
        <f t="shared" si="56"/>
        <v>296.1317922541968</v>
      </c>
      <c r="S632" s="797">
        <f>[1]!taqsabet(O632,C632)</f>
        <v>296.13011496674716</v>
      </c>
      <c r="T632" s="527"/>
      <c r="U632" s="527">
        <v>9</v>
      </c>
      <c r="V632" s="527">
        <v>23</v>
      </c>
      <c r="W632" s="527">
        <v>13</v>
      </c>
      <c r="X632" s="527"/>
      <c r="Y632" s="527">
        <v>1</v>
      </c>
      <c r="Z632" s="527">
        <v>48</v>
      </c>
      <c r="AA632" s="527" t="s">
        <v>179</v>
      </c>
      <c r="AB632" s="527">
        <v>4</v>
      </c>
      <c r="AC632" s="527">
        <v>4</v>
      </c>
      <c r="AD632" s="527" t="s">
        <v>3006</v>
      </c>
    </row>
    <row r="633" spans="3:31">
      <c r="C633" s="523">
        <v>584</v>
      </c>
      <c r="D633" s="523">
        <v>18</v>
      </c>
      <c r="E633" s="543" t="s">
        <v>2640</v>
      </c>
      <c r="F633" s="523">
        <v>70</v>
      </c>
      <c r="G633" s="523"/>
      <c r="H633" s="523">
        <v>66</v>
      </c>
      <c r="I633" s="523">
        <v>0</v>
      </c>
      <c r="J633" s="523">
        <v>0</v>
      </c>
      <c r="K633" s="523"/>
      <c r="L633" s="797">
        <f>[1]!tsabetm(C633)</f>
        <v>261.91666666666669</v>
      </c>
      <c r="M633" s="797">
        <f>[1]!tsabetz(C633)</f>
        <v>288.36666666666667</v>
      </c>
      <c r="N633" s="797">
        <f t="shared" si="52"/>
        <v>65.671077504725929</v>
      </c>
      <c r="O633" s="797">
        <f t="shared" si="53"/>
        <v>1445.0028169014086</v>
      </c>
      <c r="P633" s="797">
        <f t="shared" si="54"/>
        <v>20.163195407333205</v>
      </c>
      <c r="Q633" s="797">
        <f t="shared" si="55"/>
        <v>291</v>
      </c>
      <c r="R633" s="797">
        <f t="shared" si="56"/>
        <v>291.33605325678889</v>
      </c>
      <c r="S633" s="797">
        <f>[1]!taqsabet(O633,C633)</f>
        <v>291.33434474896944</v>
      </c>
      <c r="T633" s="523"/>
      <c r="U633" s="523">
        <v>9</v>
      </c>
      <c r="V633" s="523">
        <v>18</v>
      </c>
      <c r="W633" s="523">
        <v>22</v>
      </c>
      <c r="X633" s="523"/>
      <c r="Y633" s="523">
        <v>1</v>
      </c>
      <c r="Z633" s="523">
        <v>54</v>
      </c>
      <c r="AA633" s="523" t="s">
        <v>274</v>
      </c>
      <c r="AB633" s="523">
        <v>5</v>
      </c>
      <c r="AC633" s="523">
        <v>5</v>
      </c>
      <c r="AD633" s="523" t="s">
        <v>3006</v>
      </c>
    </row>
    <row r="634" spans="3:31">
      <c r="C634" s="527">
        <v>585</v>
      </c>
      <c r="D634" s="527">
        <v>19</v>
      </c>
      <c r="E634" s="553" t="s">
        <v>2641</v>
      </c>
      <c r="F634" s="527">
        <v>70</v>
      </c>
      <c r="G634" s="527"/>
      <c r="H634" s="527">
        <v>66</v>
      </c>
      <c r="I634" s="527">
        <v>0</v>
      </c>
      <c r="J634" s="527">
        <v>0</v>
      </c>
      <c r="K634" s="527"/>
      <c r="L634" s="797">
        <f>[1]!tsabetm(C634)</f>
        <v>264.41666666666669</v>
      </c>
      <c r="M634" s="797">
        <f>[1]!tsabetz(C634)</f>
        <v>290.76666666666665</v>
      </c>
      <c r="N634" s="797">
        <f t="shared" si="52"/>
        <v>65.92030360531318</v>
      </c>
      <c r="O634" s="797">
        <f t="shared" si="53"/>
        <v>1445.0028169014086</v>
      </c>
      <c r="P634" s="797">
        <f t="shared" si="54"/>
        <v>43.489610547566144</v>
      </c>
      <c r="Q634" s="797">
        <f t="shared" si="55"/>
        <v>293</v>
      </c>
      <c r="R634" s="797">
        <f t="shared" si="56"/>
        <v>293.72482684245944</v>
      </c>
      <c r="S634" s="797">
        <f>[1]!taqsabet(O634,C634)</f>
        <v>293.72312479402689</v>
      </c>
      <c r="T634" s="527"/>
      <c r="U634" s="527">
        <v>9</v>
      </c>
      <c r="V634" s="527">
        <v>20</v>
      </c>
      <c r="W634" s="527">
        <v>46</v>
      </c>
      <c r="X634" s="527"/>
      <c r="Y634" s="527">
        <v>3</v>
      </c>
      <c r="Z634" s="527">
        <v>6</v>
      </c>
      <c r="AA634" s="527" t="s">
        <v>274</v>
      </c>
      <c r="AB634" s="527">
        <v>4</v>
      </c>
      <c r="AC634" s="527">
        <v>4</v>
      </c>
      <c r="AD634" s="527" t="s">
        <v>3006</v>
      </c>
    </row>
    <row r="635" spans="3:31">
      <c r="C635" s="523">
        <v>586</v>
      </c>
      <c r="D635" s="523">
        <v>20</v>
      </c>
      <c r="E635" s="543" t="s">
        <v>3010</v>
      </c>
      <c r="F635" s="523">
        <v>70</v>
      </c>
      <c r="G635" s="523"/>
      <c r="H635" s="523">
        <v>66</v>
      </c>
      <c r="I635" s="523">
        <v>0</v>
      </c>
      <c r="J635" s="523">
        <v>0</v>
      </c>
      <c r="K635" s="523"/>
      <c r="L635" s="797">
        <f>[1]!tsabetm(C635)</f>
        <v>259.58333333333331</v>
      </c>
      <c r="M635" s="797">
        <f>[1]!tsabetz(C635)</f>
        <v>285.11666666666667</v>
      </c>
      <c r="N635" s="797">
        <f t="shared" si="52"/>
        <v>68.028720626631781</v>
      </c>
      <c r="O635" s="797">
        <f t="shared" si="53"/>
        <v>1445.0028169014086</v>
      </c>
      <c r="P635" s="797">
        <f t="shared" si="54"/>
        <v>58.988667526170957</v>
      </c>
      <c r="Q635" s="797">
        <f t="shared" si="55"/>
        <v>287</v>
      </c>
      <c r="R635" s="797">
        <f t="shared" si="56"/>
        <v>287.98314445876952</v>
      </c>
      <c r="S635" s="797">
        <f>[1]!taqsabet(O635,C635)</f>
        <v>287.98149516199618</v>
      </c>
      <c r="T635" s="523"/>
      <c r="U635" s="523">
        <v>9</v>
      </c>
      <c r="V635" s="523">
        <v>15</v>
      </c>
      <c r="W635" s="523">
        <v>7</v>
      </c>
      <c r="X635" s="523"/>
      <c r="Y635" s="523">
        <v>2</v>
      </c>
      <c r="Z635" s="523">
        <v>18</v>
      </c>
      <c r="AA635" s="523" t="s">
        <v>274</v>
      </c>
      <c r="AB635" s="523">
        <v>5</v>
      </c>
      <c r="AC635" s="523">
        <v>5</v>
      </c>
      <c r="AD635" s="523" t="s">
        <v>3006</v>
      </c>
    </row>
    <row r="636" spans="3:31">
      <c r="C636" s="527">
        <v>587</v>
      </c>
      <c r="D636" s="527">
        <v>21</v>
      </c>
      <c r="E636" s="553" t="s">
        <v>3011</v>
      </c>
      <c r="F636" s="527">
        <v>70</v>
      </c>
      <c r="G636" s="527"/>
      <c r="H636" s="527">
        <v>66</v>
      </c>
      <c r="I636" s="527">
        <v>0</v>
      </c>
      <c r="J636" s="527">
        <v>0</v>
      </c>
      <c r="K636" s="527"/>
      <c r="L636" s="797">
        <f>[1]!tsabetm(C636)</f>
        <v>257.25</v>
      </c>
      <c r="M636" s="797">
        <f>[1]!tsabetz(C636)</f>
        <v>282.61666666666667</v>
      </c>
      <c r="N636" s="797">
        <f t="shared" si="52"/>
        <v>68.475689881734539</v>
      </c>
      <c r="O636" s="797">
        <f t="shared" si="53"/>
        <v>1445.0028169014086</v>
      </c>
      <c r="P636" s="797">
        <f t="shared" si="54"/>
        <v>27.866026093232676</v>
      </c>
      <c r="Q636" s="797">
        <f t="shared" si="55"/>
        <v>285</v>
      </c>
      <c r="R636" s="797">
        <f t="shared" si="56"/>
        <v>285.46443376822054</v>
      </c>
      <c r="S636" s="797">
        <f>[1]!taqsabet(O636,C636)</f>
        <v>285.46279523709194</v>
      </c>
      <c r="T636" s="527"/>
      <c r="U636" s="527">
        <v>9</v>
      </c>
      <c r="V636" s="527">
        <v>12</v>
      </c>
      <c r="W636" s="527">
        <v>37</v>
      </c>
      <c r="X636" s="527"/>
      <c r="Y636" s="527">
        <v>5</v>
      </c>
      <c r="Z636" s="527">
        <v>0</v>
      </c>
      <c r="AA636" s="527" t="s">
        <v>274</v>
      </c>
      <c r="AB636" s="527">
        <v>4</v>
      </c>
      <c r="AC636" s="527">
        <v>4</v>
      </c>
      <c r="AD636" s="527" t="s">
        <v>3006</v>
      </c>
    </row>
    <row r="637" spans="3:31">
      <c r="C637" s="523">
        <v>588</v>
      </c>
      <c r="D637" s="523">
        <v>22</v>
      </c>
      <c r="E637" s="543" t="s">
        <v>3012</v>
      </c>
      <c r="F637" s="523">
        <v>70</v>
      </c>
      <c r="G637" s="523"/>
      <c r="H637" s="523">
        <v>66</v>
      </c>
      <c r="I637" s="523">
        <v>0</v>
      </c>
      <c r="J637" s="523">
        <v>0</v>
      </c>
      <c r="K637" s="523"/>
      <c r="L637" s="797">
        <f>[1]!tsabetm(C637)</f>
        <v>255.91666666666669</v>
      </c>
      <c r="M637" s="797">
        <f>[1]!tsabetz(C637)</f>
        <v>281.61666666666667</v>
      </c>
      <c r="N637" s="797">
        <f t="shared" si="52"/>
        <v>67.587548638132333</v>
      </c>
      <c r="O637" s="797">
        <f t="shared" si="53"/>
        <v>1445.0028169014086</v>
      </c>
      <c r="P637" s="797">
        <f t="shared" si="54"/>
        <v>30.111308959109238</v>
      </c>
      <c r="Q637" s="797">
        <f t="shared" si="55"/>
        <v>284</v>
      </c>
      <c r="R637" s="797">
        <f t="shared" si="56"/>
        <v>284.50185514931849</v>
      </c>
      <c r="S637" s="797">
        <f>[1]!taqsabet(O637,C637)</f>
        <v>284.50019508690036</v>
      </c>
      <c r="T637" s="523"/>
      <c r="U637" s="523">
        <v>9</v>
      </c>
      <c r="V637" s="523">
        <v>11</v>
      </c>
      <c r="W637" s="523">
        <v>37</v>
      </c>
      <c r="X637" s="523"/>
      <c r="Y637" s="523">
        <v>7</v>
      </c>
      <c r="Z637" s="523">
        <v>0</v>
      </c>
      <c r="AA637" s="523" t="s">
        <v>274</v>
      </c>
      <c r="AB637" s="523">
        <v>3</v>
      </c>
      <c r="AC637" s="523">
        <v>3</v>
      </c>
      <c r="AD637" s="523" t="s">
        <v>3006</v>
      </c>
    </row>
    <row r="638" spans="3:31">
      <c r="C638" s="527">
        <v>589</v>
      </c>
      <c r="D638" s="527">
        <v>23</v>
      </c>
      <c r="E638" s="553" t="s">
        <v>3013</v>
      </c>
      <c r="F638" s="527">
        <v>70</v>
      </c>
      <c r="G638" s="527"/>
      <c r="H638" s="527">
        <v>63</v>
      </c>
      <c r="I638" s="527">
        <v>6</v>
      </c>
      <c r="J638" s="527">
        <v>7</v>
      </c>
      <c r="K638" s="527" t="s">
        <v>3014</v>
      </c>
      <c r="L638" s="797">
        <f>[1]!tsabetm(C638)</f>
        <v>257.25</v>
      </c>
      <c r="M638" s="797">
        <f>[1]!tsabetz(C638)</f>
        <v>283.86666666666667</v>
      </c>
      <c r="N638" s="797">
        <f t="shared" si="52"/>
        <v>65.259862241703175</v>
      </c>
      <c r="O638" s="797">
        <f t="shared" si="53"/>
        <v>1445.0028169014086</v>
      </c>
      <c r="P638" s="797">
        <f t="shared" si="54"/>
        <v>51.285836840271486</v>
      </c>
      <c r="Q638" s="797">
        <f t="shared" si="55"/>
        <v>286</v>
      </c>
      <c r="R638" s="797">
        <f t="shared" si="56"/>
        <v>286.85476394733786</v>
      </c>
      <c r="S638" s="797">
        <f>[1]!taqsabet(O638,C638)</f>
        <v>286.85304467387368</v>
      </c>
      <c r="T638" s="527"/>
      <c r="U638" s="527">
        <v>9</v>
      </c>
      <c r="V638" s="527">
        <v>13</v>
      </c>
      <c r="W638" s="527">
        <v>52</v>
      </c>
      <c r="X638" s="527"/>
      <c r="Y638" s="527">
        <v>22</v>
      </c>
      <c r="Z638" s="527">
        <v>18</v>
      </c>
      <c r="AA638" s="527" t="s">
        <v>274</v>
      </c>
      <c r="AB638" s="527">
        <v>4</v>
      </c>
      <c r="AC638" s="527">
        <v>2</v>
      </c>
      <c r="AD638" s="527" t="s">
        <v>3006</v>
      </c>
    </row>
    <row r="639" spans="3:31">
      <c r="C639" s="523">
        <v>590</v>
      </c>
      <c r="D639" s="523">
        <v>24</v>
      </c>
      <c r="E639" s="543" t="s">
        <v>3015</v>
      </c>
      <c r="F639" s="523">
        <v>70</v>
      </c>
      <c r="G639" s="523"/>
      <c r="H639" s="523">
        <v>65</v>
      </c>
      <c r="I639" s="523">
        <v>7</v>
      </c>
      <c r="J639" s="523">
        <v>14</v>
      </c>
      <c r="K639" s="523" t="s">
        <v>3016</v>
      </c>
      <c r="L639" s="797">
        <f>[1]!tsabetm(C639)</f>
        <v>256.58333333333331</v>
      </c>
      <c r="M639" s="797">
        <f>[1]!tsabetz(C639)</f>
        <v>284.31666666666666</v>
      </c>
      <c r="N639" s="797">
        <f t="shared" si="52"/>
        <v>62.632211538461505</v>
      </c>
      <c r="O639" s="797">
        <f t="shared" si="53"/>
        <v>1445.0028169014086</v>
      </c>
      <c r="P639" s="797">
        <f t="shared" si="54"/>
        <v>25.807534440957625</v>
      </c>
      <c r="Q639" s="797">
        <f t="shared" si="55"/>
        <v>287</v>
      </c>
      <c r="R639" s="797">
        <f t="shared" si="56"/>
        <v>287.43012557401596</v>
      </c>
      <c r="S639" s="797">
        <f>[1]!taqsabet(O639,C639)</f>
        <v>287.42833417073211</v>
      </c>
      <c r="T639" s="523"/>
      <c r="U639" s="523">
        <v>9</v>
      </c>
      <c r="V639" s="523">
        <v>14</v>
      </c>
      <c r="W639" s="523">
        <v>19</v>
      </c>
      <c r="X639" s="523"/>
      <c r="Y639" s="523">
        <v>18</v>
      </c>
      <c r="Z639" s="523">
        <v>36</v>
      </c>
      <c r="AA639" s="523" t="s">
        <v>274</v>
      </c>
      <c r="AB639" s="523">
        <v>4</v>
      </c>
      <c r="AC639" s="523">
        <v>2</v>
      </c>
      <c r="AD639" s="523" t="s">
        <v>3017</v>
      </c>
    </row>
    <row r="640" spans="3:31">
      <c r="C640" s="527">
        <v>591</v>
      </c>
      <c r="D640" s="527">
        <v>25</v>
      </c>
      <c r="E640" s="553" t="s">
        <v>3018</v>
      </c>
      <c r="F640" s="527">
        <v>70</v>
      </c>
      <c r="G640" s="527"/>
      <c r="H640" s="527">
        <v>66</v>
      </c>
      <c r="I640" s="527">
        <v>0</v>
      </c>
      <c r="J640" s="527">
        <v>0</v>
      </c>
      <c r="K640" s="527"/>
      <c r="L640" s="797">
        <f>[1]!tsabetm(C640)</f>
        <v>246.25</v>
      </c>
      <c r="M640" s="797">
        <f>[1]!tsabetz(C640)</f>
        <v>272.01666666666665</v>
      </c>
      <c r="N640" s="797">
        <f t="shared" si="52"/>
        <v>67.412677878395897</v>
      </c>
      <c r="O640" s="797">
        <f t="shared" si="53"/>
        <v>1445.0028169014086</v>
      </c>
      <c r="P640" s="797">
        <f t="shared" si="54"/>
        <v>54.560365532283868</v>
      </c>
      <c r="Q640" s="797">
        <f t="shared" si="55"/>
        <v>274</v>
      </c>
      <c r="R640" s="797">
        <f t="shared" si="56"/>
        <v>274.90933942553806</v>
      </c>
      <c r="S640" s="797">
        <f>[1]!taqsabet(O640,C640)</f>
        <v>274.90767505686205</v>
      </c>
      <c r="T640" s="527"/>
      <c r="U640" s="527">
        <v>9</v>
      </c>
      <c r="V640" s="527">
        <v>2</v>
      </c>
      <c r="W640" s="527">
        <v>1</v>
      </c>
      <c r="X640" s="527"/>
      <c r="Y640" s="527">
        <v>13</v>
      </c>
      <c r="Z640" s="527">
        <v>18</v>
      </c>
      <c r="AA640" s="527" t="s">
        <v>274</v>
      </c>
      <c r="AB640" s="527">
        <v>3</v>
      </c>
      <c r="AC640" s="527">
        <v>3</v>
      </c>
      <c r="AD640" s="527" t="s">
        <v>3017</v>
      </c>
    </row>
    <row r="641" spans="1:31">
      <c r="C641" s="523">
        <v>592</v>
      </c>
      <c r="D641" s="523">
        <v>26</v>
      </c>
      <c r="E641" s="543" t="s">
        <v>3019</v>
      </c>
      <c r="F641" s="523">
        <v>70</v>
      </c>
      <c r="G641" s="523"/>
      <c r="H641" s="523">
        <v>66</v>
      </c>
      <c r="I641" s="523">
        <v>0</v>
      </c>
      <c r="J641" s="523">
        <v>0</v>
      </c>
      <c r="K641" s="523"/>
      <c r="L641" s="797">
        <f>[1]!tsabetm(C641)</f>
        <v>266.91666666666669</v>
      </c>
      <c r="M641" s="797">
        <f>[1]!tsabetz(C641)</f>
        <v>293.01666666666665</v>
      </c>
      <c r="N641" s="797">
        <f t="shared" si="52"/>
        <v>66.551724137931117</v>
      </c>
      <c r="O641" s="797">
        <f t="shared" si="53"/>
        <v>1445.0028169014086</v>
      </c>
      <c r="P641" s="797">
        <f t="shared" si="54"/>
        <v>56.805648398160429</v>
      </c>
      <c r="Q641" s="797">
        <f t="shared" si="55"/>
        <v>295</v>
      </c>
      <c r="R641" s="797">
        <f t="shared" si="56"/>
        <v>295.94676080663601</v>
      </c>
      <c r="S641" s="797">
        <f>[1]!taqsabet(O641,C641)</f>
        <v>295.94507490667053</v>
      </c>
      <c r="T641" s="523"/>
      <c r="U641" s="523">
        <v>9</v>
      </c>
      <c r="V641" s="523">
        <v>23</v>
      </c>
      <c r="W641" s="523">
        <v>1</v>
      </c>
      <c r="X641" s="523"/>
      <c r="Y641" s="523">
        <v>13</v>
      </c>
      <c r="Z641" s="523">
        <v>21</v>
      </c>
      <c r="AA641" s="523" t="s">
        <v>274</v>
      </c>
      <c r="AB641" s="523">
        <v>4</v>
      </c>
      <c r="AC641" s="523">
        <v>3</v>
      </c>
      <c r="AD641" s="523" t="s">
        <v>3017</v>
      </c>
    </row>
    <row r="642" spans="1:31">
      <c r="C642" s="527">
        <v>593</v>
      </c>
      <c r="D642" s="527">
        <v>27</v>
      </c>
      <c r="E642" s="553" t="s">
        <v>3020</v>
      </c>
      <c r="F642" s="527">
        <v>70</v>
      </c>
      <c r="G642" s="527"/>
      <c r="H642" s="527">
        <v>66</v>
      </c>
      <c r="I642" s="527">
        <v>0</v>
      </c>
      <c r="J642" s="527">
        <v>0</v>
      </c>
      <c r="K642" s="527"/>
      <c r="L642" s="797">
        <f>[1]!tsabetm(C642)</f>
        <v>266.41666666666669</v>
      </c>
      <c r="M642" s="797">
        <f>[1]!tsabetz(C642)</f>
        <v>290.51666666666665</v>
      </c>
      <c r="N642" s="797">
        <f t="shared" si="52"/>
        <v>72.074688796680604</v>
      </c>
      <c r="O642" s="797">
        <f t="shared" si="53"/>
        <v>1445.0028169014086</v>
      </c>
      <c r="P642" s="797">
        <f t="shared" si="54"/>
        <v>13.333951202897651</v>
      </c>
      <c r="Q642" s="797">
        <f t="shared" si="55"/>
        <v>293</v>
      </c>
      <c r="R642" s="797">
        <f t="shared" si="56"/>
        <v>293.22223252004829</v>
      </c>
      <c r="S642" s="797">
        <f>[1]!taqsabet(O642,C642)</f>
        <v>293.22067580781965</v>
      </c>
      <c r="T642" s="527"/>
      <c r="U642" s="527">
        <v>9</v>
      </c>
      <c r="V642" s="527">
        <v>20</v>
      </c>
      <c r="W642" s="527">
        <v>31</v>
      </c>
      <c r="X642" s="527"/>
      <c r="Y642" s="527">
        <v>20</v>
      </c>
      <c r="Z642" s="527">
        <v>39</v>
      </c>
      <c r="AA642" s="527" t="s">
        <v>274</v>
      </c>
      <c r="AB642" s="527">
        <v>4</v>
      </c>
      <c r="AC642" s="527">
        <v>3</v>
      </c>
      <c r="AD642" s="527" t="s">
        <v>3017</v>
      </c>
    </row>
    <row r="643" spans="1:31">
      <c r="C643" s="523">
        <v>594</v>
      </c>
      <c r="D643" s="523">
        <v>28</v>
      </c>
      <c r="E643" s="543" t="s">
        <v>3021</v>
      </c>
      <c r="F643" s="523">
        <v>70</v>
      </c>
      <c r="G643" s="523"/>
      <c r="H643" s="523">
        <v>66</v>
      </c>
      <c r="I643" s="523">
        <v>0</v>
      </c>
      <c r="J643" s="523">
        <v>0</v>
      </c>
      <c r="K643" s="523"/>
      <c r="L643" s="797">
        <f>[1]!tsabetm(C643)</f>
        <v>267.25</v>
      </c>
      <c r="M643" s="797">
        <f>[1]!tsabetz(C643)</f>
        <v>294.21666666666664</v>
      </c>
      <c r="N643" s="797">
        <f t="shared" si="52"/>
        <v>64.412855377008711</v>
      </c>
      <c r="O643" s="797">
        <f t="shared" si="53"/>
        <v>1445.0028169014086</v>
      </c>
      <c r="P643" s="797">
        <f t="shared" si="54"/>
        <v>14.643383849440852</v>
      </c>
      <c r="Q643" s="797">
        <f t="shared" si="55"/>
        <v>297</v>
      </c>
      <c r="R643" s="797">
        <f t="shared" si="56"/>
        <v>297.24405639749068</v>
      </c>
      <c r="S643" s="797">
        <f>[1]!taqsabet(O643,C643)</f>
        <v>297.2423145161726</v>
      </c>
      <c r="T643" s="523"/>
      <c r="U643" s="523">
        <v>9</v>
      </c>
      <c r="V643" s="523">
        <v>24</v>
      </c>
      <c r="W643" s="523">
        <v>13</v>
      </c>
      <c r="X643" s="523"/>
      <c r="Y643" s="523">
        <v>5</v>
      </c>
      <c r="Z643" s="523">
        <v>30</v>
      </c>
      <c r="AA643" s="523" t="s">
        <v>274</v>
      </c>
      <c r="AB643" s="523">
        <v>5</v>
      </c>
      <c r="AC643" s="523">
        <v>5</v>
      </c>
      <c r="AD643" s="523" t="s">
        <v>309</v>
      </c>
    </row>
    <row r="644" spans="1:31">
      <c r="C644" s="527">
        <v>595</v>
      </c>
      <c r="D644" s="527">
        <v>29</v>
      </c>
      <c r="E644" s="553" t="s">
        <v>3022</v>
      </c>
      <c r="F644" s="527">
        <v>70</v>
      </c>
      <c r="G644" s="527"/>
      <c r="H644" s="527">
        <v>66</v>
      </c>
      <c r="I644" s="527">
        <v>0</v>
      </c>
      <c r="J644" s="527">
        <v>0</v>
      </c>
      <c r="K644" s="527"/>
      <c r="L644" s="797">
        <f>[1]!tsabetm(C644)</f>
        <v>268.41666666666669</v>
      </c>
      <c r="M644" s="797">
        <f>[1]!tsabetz(C644)</f>
        <v>295.01666666666665</v>
      </c>
      <c r="N644" s="797">
        <f t="shared" si="52"/>
        <v>65.300751879699334</v>
      </c>
      <c r="O644" s="797">
        <f t="shared" si="53"/>
        <v>1445.0028169014086</v>
      </c>
      <c r="P644" s="797">
        <f t="shared" si="54"/>
        <v>0.17357269697527045</v>
      </c>
      <c r="Q644" s="797">
        <f t="shared" si="55"/>
        <v>298</v>
      </c>
      <c r="R644" s="797">
        <f t="shared" si="56"/>
        <v>298.00289287828292</v>
      </c>
      <c r="S644" s="797">
        <f>[1]!taqsabet(O644,C644)</f>
        <v>298.00117468138325</v>
      </c>
      <c r="T644" s="527"/>
      <c r="U644" s="527">
        <v>9</v>
      </c>
      <c r="V644" s="527">
        <v>25</v>
      </c>
      <c r="W644" s="527">
        <v>1</v>
      </c>
      <c r="X644" s="527"/>
      <c r="Y644" s="527">
        <v>5</v>
      </c>
      <c r="Z644" s="527">
        <v>30</v>
      </c>
      <c r="AA644" s="527" t="s">
        <v>274</v>
      </c>
      <c r="AB644" s="527">
        <v>5</v>
      </c>
      <c r="AC644" s="527">
        <v>5</v>
      </c>
      <c r="AD644" s="527" t="s">
        <v>309</v>
      </c>
    </row>
    <row r="645" spans="1:31">
      <c r="C645" s="523">
        <v>596</v>
      </c>
      <c r="D645" s="523">
        <v>30</v>
      </c>
      <c r="E645" s="543" t="s">
        <v>3023</v>
      </c>
      <c r="F645" s="523">
        <v>70</v>
      </c>
      <c r="G645" s="523"/>
      <c r="H645" s="523">
        <v>66</v>
      </c>
      <c r="I645" s="523">
        <v>0</v>
      </c>
      <c r="J645" s="523">
        <v>0</v>
      </c>
      <c r="K645" s="523"/>
      <c r="L645" s="797">
        <f>[1]!tsabetm(C645)</f>
        <v>268.41666666666669</v>
      </c>
      <c r="M645" s="797">
        <f>[1]!tsabetz(C645)</f>
        <v>294.51666666666665</v>
      </c>
      <c r="N645" s="797">
        <f t="shared" si="52"/>
        <v>66.551724137931117</v>
      </c>
      <c r="O645" s="797">
        <f t="shared" si="53"/>
        <v>1445.0028169014086</v>
      </c>
      <c r="P645" s="797">
        <f t="shared" si="54"/>
        <v>26.805648398160429</v>
      </c>
      <c r="Q645" s="797">
        <f t="shared" si="55"/>
        <v>297</v>
      </c>
      <c r="R645" s="797">
        <f t="shared" si="56"/>
        <v>297.44676080663601</v>
      </c>
      <c r="S645" s="797">
        <f>[1]!taqsabet(O645,C645)</f>
        <v>297.44507490667053</v>
      </c>
      <c r="T645" s="523"/>
      <c r="U645" s="523">
        <v>9</v>
      </c>
      <c r="V645" s="523">
        <v>24</v>
      </c>
      <c r="W645" s="523">
        <v>31</v>
      </c>
      <c r="X645" s="523"/>
      <c r="Y645" s="523">
        <v>6</v>
      </c>
      <c r="Z645" s="523">
        <v>9</v>
      </c>
      <c r="AA645" s="523" t="s">
        <v>274</v>
      </c>
      <c r="AB645" s="523">
        <v>5</v>
      </c>
      <c r="AC645" s="523">
        <v>5</v>
      </c>
      <c r="AD645" s="523" t="s">
        <v>309</v>
      </c>
    </row>
    <row r="646" spans="1:31">
      <c r="C646" s="527">
        <v>597</v>
      </c>
      <c r="D646" s="527">
        <v>31</v>
      </c>
      <c r="E646" s="553" t="s">
        <v>3022</v>
      </c>
      <c r="F646" s="527">
        <v>70</v>
      </c>
      <c r="G646" s="527"/>
      <c r="H646" s="527">
        <v>66</v>
      </c>
      <c r="I646" s="527">
        <v>0</v>
      </c>
      <c r="J646" s="527">
        <v>0</v>
      </c>
      <c r="K646" s="527"/>
      <c r="L646" s="797">
        <f>[1]!tsabetm(C646)</f>
        <v>269.25</v>
      </c>
      <c r="M646" s="797">
        <f>[1]!tsabetz(C646)</f>
        <v>295.21666666666664</v>
      </c>
      <c r="N646" s="797">
        <f t="shared" si="52"/>
        <v>66.893453145057833</v>
      </c>
      <c r="O646" s="797">
        <f t="shared" si="53"/>
        <v>1445.0028169014086</v>
      </c>
      <c r="P646" s="797">
        <f t="shared" si="54"/>
        <v>7.907535251807758</v>
      </c>
      <c r="Q646" s="797">
        <f t="shared" si="55"/>
        <v>298</v>
      </c>
      <c r="R646" s="797">
        <f t="shared" si="56"/>
        <v>298.1317922541968</v>
      </c>
      <c r="S646" s="797">
        <f>[1]!taqsabet(O646,C646)</f>
        <v>298.13011496674716</v>
      </c>
      <c r="T646" s="527"/>
      <c r="U646" s="527">
        <v>9</v>
      </c>
      <c r="V646" s="527">
        <v>25</v>
      </c>
      <c r="W646" s="527">
        <v>13</v>
      </c>
      <c r="X646" s="527"/>
      <c r="Y646" s="527">
        <v>7</v>
      </c>
      <c r="Z646" s="527">
        <v>0</v>
      </c>
      <c r="AA646" s="527" t="s">
        <v>274</v>
      </c>
      <c r="AB646" s="527">
        <v>5</v>
      </c>
      <c r="AC646" s="527">
        <v>5</v>
      </c>
      <c r="AD646" s="527" t="s">
        <v>309</v>
      </c>
    </row>
    <row r="647" spans="1:31">
      <c r="C647" s="546"/>
      <c r="D647" s="546"/>
      <c r="E647" s="546"/>
      <c r="F647" s="546"/>
      <c r="G647" s="546"/>
      <c r="H647" s="546"/>
      <c r="I647" s="546"/>
      <c r="J647" s="546"/>
      <c r="K647" s="546"/>
      <c r="N647" s="797">
        <f t="shared" ref="N647:N710" si="57">(1697+40)/((IF(M647-L647&gt;0,M647-L647,M647+360-L647)))</f>
        <v>4.8250000000000002</v>
      </c>
      <c r="O647" s="797">
        <f t="shared" si="53"/>
        <v>1445.0028169014086</v>
      </c>
      <c r="P647" s="797">
        <f t="shared" si="54"/>
        <v>24.905495147049237</v>
      </c>
      <c r="Q647" s="797">
        <f t="shared" si="55"/>
        <v>40</v>
      </c>
      <c r="R647" s="797">
        <f t="shared" si="56"/>
        <v>40.415091585784154</v>
      </c>
      <c r="S647" s="797">
        <f>[1]!taqsabet(O647,C647)</f>
        <v>1.4716840899636423</v>
      </c>
      <c r="T647" s="546"/>
      <c r="U647" s="546"/>
      <c r="V647" s="546"/>
      <c r="W647" s="546"/>
      <c r="X647" s="546"/>
      <c r="Y647" s="546"/>
      <c r="Z647" s="546"/>
      <c r="AA647" s="546"/>
      <c r="AB647" s="546"/>
      <c r="AC647" s="546"/>
      <c r="AD647" s="546"/>
    </row>
    <row r="648" spans="1:31">
      <c r="A648" s="563">
        <v>10</v>
      </c>
      <c r="B648" s="536" t="s">
        <v>1611</v>
      </c>
      <c r="C648" s="522">
        <v>598</v>
      </c>
      <c r="D648" s="522">
        <v>1</v>
      </c>
      <c r="E648" s="550" t="s">
        <v>3024</v>
      </c>
      <c r="F648" s="522">
        <v>70</v>
      </c>
      <c r="G648" s="522"/>
      <c r="H648" s="522">
        <v>66</v>
      </c>
      <c r="I648" s="522">
        <v>0</v>
      </c>
      <c r="J648" s="522">
        <v>0</v>
      </c>
      <c r="K648" s="522" t="s">
        <v>3025</v>
      </c>
      <c r="L648" s="797">
        <f>[1]!tsabetm(C648)</f>
        <v>276.91666666666669</v>
      </c>
      <c r="M648" s="797">
        <f>[1]!tsabetz(C648)</f>
        <v>302.61666666666667</v>
      </c>
      <c r="N648" s="797">
        <f t="shared" si="57"/>
        <v>67.587548638132333</v>
      </c>
      <c r="O648" s="797">
        <f t="shared" ref="O648:O711" si="58">O647</f>
        <v>1445.0028169014086</v>
      </c>
      <c r="P648" s="797">
        <f t="shared" ref="P648:P711" si="59">(R648-Q648)*60</f>
        <v>30.111308959109238</v>
      </c>
      <c r="Q648" s="797">
        <f t="shared" ref="Q648:Q711" si="60">INT(R648)</f>
        <v>305</v>
      </c>
      <c r="R648" s="797">
        <f t="shared" ref="R648:R711" si="61">((O648-1250)/(N648))+M648</f>
        <v>305.50185514931849</v>
      </c>
      <c r="S648" s="797">
        <f>[1]!taqsabet(O648,C648)</f>
        <v>305.50019508690036</v>
      </c>
      <c r="T648" s="522"/>
      <c r="U648" s="522">
        <v>10</v>
      </c>
      <c r="V648" s="522">
        <v>2</v>
      </c>
      <c r="W648" s="522">
        <v>37</v>
      </c>
      <c r="X648" s="522"/>
      <c r="Y648" s="522">
        <v>6</v>
      </c>
      <c r="Z648" s="522">
        <v>42</v>
      </c>
      <c r="AA648" s="522" t="s">
        <v>179</v>
      </c>
      <c r="AB648" s="522">
        <v>3</v>
      </c>
      <c r="AC648" s="522">
        <v>3</v>
      </c>
      <c r="AD648" s="522" t="s">
        <v>3026</v>
      </c>
    </row>
    <row r="649" spans="1:31">
      <c r="C649" s="523">
        <v>599</v>
      </c>
      <c r="D649" s="523">
        <v>2</v>
      </c>
      <c r="E649" s="543" t="s">
        <v>2612</v>
      </c>
      <c r="F649" s="523">
        <v>70</v>
      </c>
      <c r="G649" s="523"/>
      <c r="H649" s="523">
        <v>66</v>
      </c>
      <c r="I649" s="523">
        <v>0</v>
      </c>
      <c r="J649" s="523">
        <v>0</v>
      </c>
      <c r="K649" s="523"/>
      <c r="L649" s="797">
        <f>[1]!tsabetm(C649)</f>
        <v>277.25</v>
      </c>
      <c r="M649" s="797">
        <f>[1]!tsabetz(C649)</f>
        <v>302.91666666666669</v>
      </c>
      <c r="N649" s="797">
        <f t="shared" si="57"/>
        <v>67.675324675324632</v>
      </c>
      <c r="O649" s="797">
        <f t="shared" si="58"/>
        <v>1445.0028169014086</v>
      </c>
      <c r="P649" s="797">
        <f t="shared" si="59"/>
        <v>47.886780672523628</v>
      </c>
      <c r="Q649" s="797">
        <f t="shared" si="60"/>
        <v>305</v>
      </c>
      <c r="R649" s="797">
        <f t="shared" si="61"/>
        <v>305.79811301120873</v>
      </c>
      <c r="S649" s="797">
        <f>[1]!taqsabet(O649,C649)</f>
        <v>305.79645510191955</v>
      </c>
      <c r="T649" s="523"/>
      <c r="U649" s="523">
        <v>10</v>
      </c>
      <c r="V649" s="523">
        <v>2</v>
      </c>
      <c r="W649" s="523">
        <v>55</v>
      </c>
      <c r="X649" s="523"/>
      <c r="Y649" s="523">
        <v>6</v>
      </c>
      <c r="Z649" s="523">
        <v>27</v>
      </c>
      <c r="AA649" s="523" t="s">
        <v>179</v>
      </c>
      <c r="AB649" s="523">
        <v>5</v>
      </c>
      <c r="AC649" s="523">
        <v>6</v>
      </c>
      <c r="AD649" s="523" t="s">
        <v>3027</v>
      </c>
      <c r="AE649" s="327">
        <v>598</v>
      </c>
    </row>
    <row r="650" spans="1:31">
      <c r="C650" s="522">
        <v>600</v>
      </c>
      <c r="D650" s="522">
        <v>3</v>
      </c>
      <c r="E650" s="550" t="s">
        <v>2667</v>
      </c>
      <c r="F650" s="522">
        <v>70</v>
      </c>
      <c r="G650" s="522"/>
      <c r="H650" s="522">
        <v>66</v>
      </c>
      <c r="I650" s="522">
        <v>0</v>
      </c>
      <c r="J650" s="522">
        <v>0</v>
      </c>
      <c r="K650" s="522" t="s">
        <v>3025</v>
      </c>
      <c r="L650" s="797">
        <f>[1]!tsabetm(C650)</f>
        <v>276.91666666666669</v>
      </c>
      <c r="M650" s="797">
        <f>[1]!tsabetz(C650)</f>
        <v>302.26666666666665</v>
      </c>
      <c r="N650" s="797">
        <f t="shared" si="57"/>
        <v>68.520710059171691</v>
      </c>
      <c r="O650" s="797">
        <f t="shared" si="58"/>
        <v>1445.0028169014086</v>
      </c>
      <c r="P650" s="797">
        <f t="shared" si="59"/>
        <v>6.753761949936461</v>
      </c>
      <c r="Q650" s="797">
        <f t="shared" si="60"/>
        <v>305</v>
      </c>
      <c r="R650" s="797">
        <f t="shared" si="61"/>
        <v>305.11256269916561</v>
      </c>
      <c r="S650" s="797">
        <f>[1]!taqsabet(O650,C650)</f>
        <v>305.11092524460145</v>
      </c>
      <c r="T650" s="522"/>
      <c r="U650" s="522">
        <v>10</v>
      </c>
      <c r="V650" s="522">
        <v>2</v>
      </c>
      <c r="W650" s="522">
        <v>16</v>
      </c>
      <c r="X650" s="522"/>
      <c r="Y650" s="522">
        <v>4</v>
      </c>
      <c r="Z650" s="522">
        <v>45</v>
      </c>
      <c r="AA650" s="522" t="s">
        <v>179</v>
      </c>
      <c r="AB650" s="522">
        <v>3</v>
      </c>
      <c r="AC650" s="522">
        <v>3</v>
      </c>
      <c r="AD650" s="522" t="s">
        <v>3027</v>
      </c>
    </row>
    <row r="651" spans="1:31">
      <c r="C651" s="523">
        <v>601</v>
      </c>
      <c r="D651" s="523">
        <v>4</v>
      </c>
      <c r="E651" s="543" t="s">
        <v>3028</v>
      </c>
      <c r="F651" s="523">
        <v>70</v>
      </c>
      <c r="G651" s="523"/>
      <c r="H651" s="523">
        <v>66</v>
      </c>
      <c r="I651" s="523">
        <v>0</v>
      </c>
      <c r="J651" s="523">
        <v>0</v>
      </c>
      <c r="K651" s="523"/>
      <c r="L651" s="797">
        <f>[1]!tsabetm(C651)</f>
        <v>274.58333333333331</v>
      </c>
      <c r="M651" s="797">
        <f>[1]!tsabetz(C651)</f>
        <v>301.01666666666665</v>
      </c>
      <c r="N651" s="797">
        <f t="shared" si="57"/>
        <v>65.712484237074392</v>
      </c>
      <c r="O651" s="797">
        <f t="shared" si="58"/>
        <v>1445.0028169014086</v>
      </c>
      <c r="P651" s="797">
        <f t="shared" si="59"/>
        <v>59.05093126403699</v>
      </c>
      <c r="Q651" s="797">
        <f t="shared" si="60"/>
        <v>303</v>
      </c>
      <c r="R651" s="797">
        <f t="shared" si="61"/>
        <v>303.98418218773395</v>
      </c>
      <c r="S651" s="797">
        <f>[1]!taqsabet(O651,C651)</f>
        <v>303.98247475647901</v>
      </c>
      <c r="T651" s="523"/>
      <c r="U651" s="523">
        <v>10</v>
      </c>
      <c r="V651" s="523">
        <v>1</v>
      </c>
      <c r="W651" s="523">
        <v>1</v>
      </c>
      <c r="X651" s="523"/>
      <c r="Y651" s="523">
        <v>7</v>
      </c>
      <c r="Z651" s="523">
        <v>30</v>
      </c>
      <c r="AA651" s="523" t="s">
        <v>179</v>
      </c>
      <c r="AB651" s="523">
        <v>6</v>
      </c>
      <c r="AC651" s="523">
        <v>6</v>
      </c>
      <c r="AD651" s="523" t="s">
        <v>3027</v>
      </c>
    </row>
    <row r="652" spans="1:31">
      <c r="C652" s="522">
        <v>602</v>
      </c>
      <c r="D652" s="522">
        <v>5</v>
      </c>
      <c r="E652" s="550" t="s">
        <v>3029</v>
      </c>
      <c r="F652" s="522">
        <v>70</v>
      </c>
      <c r="G652" s="522"/>
      <c r="H652" s="522">
        <v>66</v>
      </c>
      <c r="I652" s="522">
        <v>0</v>
      </c>
      <c r="J652" s="522">
        <v>0</v>
      </c>
      <c r="K652" s="522"/>
      <c r="L652" s="797">
        <f>[1]!tsabetm(C652)</f>
        <v>278.58333333333331</v>
      </c>
      <c r="M652" s="797">
        <f>[1]!tsabetz(C652)</f>
        <v>303.61666666666667</v>
      </c>
      <c r="N652" s="797">
        <f t="shared" si="57"/>
        <v>69.387483355525887</v>
      </c>
      <c r="O652" s="797">
        <f t="shared" si="58"/>
        <v>1445.0028169014086</v>
      </c>
      <c r="P652" s="797">
        <f t="shared" si="59"/>
        <v>25.620743227356115</v>
      </c>
      <c r="Q652" s="797">
        <f t="shared" si="60"/>
        <v>306</v>
      </c>
      <c r="R652" s="797">
        <f t="shared" si="61"/>
        <v>306.4270123871226</v>
      </c>
      <c r="S652" s="797">
        <f>[1]!taqsabet(O652,C652)</f>
        <v>306.42539538728346</v>
      </c>
      <c r="T652" s="522"/>
      <c r="U652" s="522">
        <v>10</v>
      </c>
      <c r="V652" s="522">
        <v>3</v>
      </c>
      <c r="W652" s="522">
        <v>37</v>
      </c>
      <c r="X652" s="522"/>
      <c r="Y652" s="522">
        <v>0</v>
      </c>
      <c r="Z652" s="522">
        <v>42</v>
      </c>
      <c r="AA652" s="522" t="s">
        <v>179</v>
      </c>
      <c r="AB652" s="522">
        <v>6</v>
      </c>
      <c r="AC652" s="522">
        <v>6</v>
      </c>
      <c r="AD652" s="522" t="s">
        <v>3030</v>
      </c>
    </row>
    <row r="653" spans="1:31">
      <c r="C653" s="523">
        <v>603</v>
      </c>
      <c r="D653" s="523">
        <v>6</v>
      </c>
      <c r="E653" s="543" t="s">
        <v>3031</v>
      </c>
      <c r="F653" s="523">
        <v>70</v>
      </c>
      <c r="G653" s="523"/>
      <c r="H653" s="523">
        <v>66</v>
      </c>
      <c r="I653" s="523">
        <v>0</v>
      </c>
      <c r="J653" s="523">
        <v>0</v>
      </c>
      <c r="K653" s="523"/>
      <c r="L653" s="797">
        <f>[1]!tsabetm(C653)</f>
        <v>278.25</v>
      </c>
      <c r="M653" s="797">
        <f>[1]!tsabetz(C653)</f>
        <v>303.91666666666669</v>
      </c>
      <c r="N653" s="797">
        <f t="shared" si="57"/>
        <v>67.675324675324632</v>
      </c>
      <c r="O653" s="797">
        <f t="shared" si="58"/>
        <v>1445.0028169014086</v>
      </c>
      <c r="P653" s="797">
        <f t="shared" si="59"/>
        <v>47.886780672523628</v>
      </c>
      <c r="Q653" s="797">
        <f t="shared" si="60"/>
        <v>306</v>
      </c>
      <c r="R653" s="797">
        <f t="shared" si="61"/>
        <v>306.79811301120873</v>
      </c>
      <c r="S653" s="797">
        <f>[1]!taqsabet(O653,C653)</f>
        <v>306.79645510191955</v>
      </c>
      <c r="T653" s="523"/>
      <c r="U653" s="523">
        <v>10</v>
      </c>
      <c r="V653" s="523">
        <v>3</v>
      </c>
      <c r="W653" s="523">
        <v>55</v>
      </c>
      <c r="X653" s="523"/>
      <c r="Y653" s="523">
        <v>1</v>
      </c>
      <c r="Z653" s="523">
        <v>39</v>
      </c>
      <c r="AA653" s="523" t="s">
        <v>179</v>
      </c>
      <c r="AB653" s="523">
        <v>6</v>
      </c>
      <c r="AC653" s="523">
        <v>6</v>
      </c>
      <c r="AD653" s="523" t="s">
        <v>3032</v>
      </c>
    </row>
    <row r="654" spans="1:31">
      <c r="C654" s="522">
        <v>604</v>
      </c>
      <c r="D654" s="522">
        <v>7</v>
      </c>
      <c r="E654" s="550" t="s">
        <v>3033</v>
      </c>
      <c r="F654" s="522">
        <v>70</v>
      </c>
      <c r="G654" s="522"/>
      <c r="H654" s="522">
        <v>66</v>
      </c>
      <c r="I654" s="522">
        <v>0</v>
      </c>
      <c r="J654" s="522">
        <v>0</v>
      </c>
      <c r="K654" s="522"/>
      <c r="L654" s="797">
        <f>[1]!tsabetm(C654)</f>
        <v>278.41666666666669</v>
      </c>
      <c r="M654" s="797">
        <f>[1]!tsabetz(C654)</f>
        <v>303.61666666666667</v>
      </c>
      <c r="N654" s="797">
        <f t="shared" si="57"/>
        <v>68.928571428571459</v>
      </c>
      <c r="O654" s="797">
        <f t="shared" si="58"/>
        <v>1445.0028169014086</v>
      </c>
      <c r="P654" s="797">
        <f t="shared" si="59"/>
        <v>26.743384660294396</v>
      </c>
      <c r="Q654" s="797">
        <f t="shared" si="60"/>
        <v>306</v>
      </c>
      <c r="R654" s="797">
        <f t="shared" si="61"/>
        <v>306.44572307767157</v>
      </c>
      <c r="S654" s="797">
        <f>[1]!taqsabet(O654,C654)</f>
        <v>306.4440953121877</v>
      </c>
      <c r="T654" s="522"/>
      <c r="U654" s="522">
        <v>10</v>
      </c>
      <c r="V654" s="522">
        <v>3</v>
      </c>
      <c r="W654" s="522">
        <v>37</v>
      </c>
      <c r="X654" s="522"/>
      <c r="Y654" s="522">
        <v>1</v>
      </c>
      <c r="Z654" s="522">
        <v>21</v>
      </c>
      <c r="AA654" s="522" t="s">
        <v>179</v>
      </c>
      <c r="AB654" s="522">
        <v>6</v>
      </c>
      <c r="AC654" s="522">
        <v>6</v>
      </c>
      <c r="AD654" s="522" t="s">
        <v>3032</v>
      </c>
    </row>
    <row r="655" spans="1:31">
      <c r="C655" s="523">
        <v>605</v>
      </c>
      <c r="D655" s="523">
        <v>8</v>
      </c>
      <c r="E655" s="543" t="s">
        <v>3034</v>
      </c>
      <c r="F655" s="523">
        <v>70</v>
      </c>
      <c r="G655" s="523"/>
      <c r="H655" s="523">
        <v>66</v>
      </c>
      <c r="I655" s="523">
        <v>0</v>
      </c>
      <c r="J655" s="523">
        <v>0</v>
      </c>
      <c r="K655" s="523"/>
      <c r="L655" s="797">
        <f>[1]!tsabetm(C655)</f>
        <v>275.75</v>
      </c>
      <c r="M655" s="797">
        <f>[1]!tsabetz(C655)</f>
        <v>301.31666666666666</v>
      </c>
      <c r="N655" s="797">
        <f t="shared" si="57"/>
        <v>67.940026075619301</v>
      </c>
      <c r="O655" s="797">
        <f t="shared" si="58"/>
        <v>1445.0028169014086</v>
      </c>
      <c r="P655" s="797">
        <f t="shared" si="59"/>
        <v>11.213195812756567</v>
      </c>
      <c r="Q655" s="797">
        <f t="shared" si="60"/>
        <v>304</v>
      </c>
      <c r="R655" s="797">
        <f t="shared" si="61"/>
        <v>304.18688659687928</v>
      </c>
      <c r="S655" s="797">
        <f>[1]!taqsabet(O655,C655)</f>
        <v>304.18523514697699</v>
      </c>
      <c r="T655" s="523"/>
      <c r="U655" s="523">
        <v>10</v>
      </c>
      <c r="V655" s="523">
        <v>1</v>
      </c>
      <c r="W655" s="523">
        <v>19</v>
      </c>
      <c r="X655" s="523"/>
      <c r="Y655" s="523">
        <v>0</v>
      </c>
      <c r="Z655" s="523">
        <v>36</v>
      </c>
      <c r="AA655" s="523" t="s">
        <v>179</v>
      </c>
      <c r="AB655" s="523">
        <v>6</v>
      </c>
      <c r="AC655" s="523">
        <v>5</v>
      </c>
      <c r="AD655" s="523" t="s">
        <v>3035</v>
      </c>
    </row>
    <row r="656" spans="1:31">
      <c r="C656" s="522">
        <v>606</v>
      </c>
      <c r="D656" s="522">
        <v>9</v>
      </c>
      <c r="E656" s="550" t="s">
        <v>3036</v>
      </c>
      <c r="F656" s="522">
        <v>70</v>
      </c>
      <c r="G656" s="522"/>
      <c r="H656" s="522">
        <v>66</v>
      </c>
      <c r="I656" s="522">
        <v>0</v>
      </c>
      <c r="J656" s="522">
        <v>0</v>
      </c>
      <c r="K656" s="522"/>
      <c r="L656" s="797">
        <f>[1]!tsabetm(C656)</f>
        <v>281.25</v>
      </c>
      <c r="M656" s="797">
        <f>[1]!tsabetz(C656)</f>
        <v>306.46666666666664</v>
      </c>
      <c r="N656" s="797">
        <f t="shared" si="57"/>
        <v>68.883013879709253</v>
      </c>
      <c r="O656" s="797">
        <f t="shared" si="58"/>
        <v>1445.0028169014086</v>
      </c>
      <c r="P656" s="797">
        <f t="shared" si="59"/>
        <v>17.855648803587201</v>
      </c>
      <c r="Q656" s="797">
        <f t="shared" si="60"/>
        <v>309</v>
      </c>
      <c r="R656" s="797">
        <f t="shared" si="61"/>
        <v>309.29759414672645</v>
      </c>
      <c r="S656" s="797">
        <f>[1]!taqsabet(O656,C656)</f>
        <v>309.29596530467808</v>
      </c>
      <c r="T656" s="522"/>
      <c r="U656" s="522">
        <v>10</v>
      </c>
      <c r="V656" s="522">
        <v>6</v>
      </c>
      <c r="W656" s="522">
        <v>28</v>
      </c>
      <c r="X656" s="522"/>
      <c r="Y656" s="522">
        <v>3</v>
      </c>
      <c r="Z656" s="522">
        <v>27</v>
      </c>
      <c r="AA656" s="522" t="s">
        <v>179</v>
      </c>
      <c r="AB656" s="522">
        <v>6</v>
      </c>
      <c r="AC656" s="522">
        <v>6</v>
      </c>
      <c r="AD656" s="522" t="s">
        <v>3035</v>
      </c>
    </row>
    <row r="657" spans="3:30">
      <c r="C657" s="523">
        <v>607</v>
      </c>
      <c r="D657" s="523">
        <v>10</v>
      </c>
      <c r="E657" s="543" t="s">
        <v>2718</v>
      </c>
      <c r="F657" s="523">
        <v>70</v>
      </c>
      <c r="G657" s="523"/>
      <c r="H657" s="523">
        <v>66</v>
      </c>
      <c r="I657" s="523">
        <v>0</v>
      </c>
      <c r="J657" s="523">
        <v>0</v>
      </c>
      <c r="K657" s="523"/>
      <c r="L657" s="797">
        <f>[1]!tsabetm(C657)</f>
        <v>281.41666666666669</v>
      </c>
      <c r="M657" s="797">
        <f>[1]!tsabetz(C657)</f>
        <v>306.26666666666665</v>
      </c>
      <c r="N657" s="797">
        <f t="shared" si="57"/>
        <v>69.899396378269714</v>
      </c>
      <c r="O657" s="797">
        <f t="shared" si="58"/>
        <v>1445.0028169014086</v>
      </c>
      <c r="P657" s="797">
        <f t="shared" si="59"/>
        <v>3.3858376511216193</v>
      </c>
      <c r="Q657" s="797">
        <f t="shared" si="60"/>
        <v>309</v>
      </c>
      <c r="R657" s="797">
        <f t="shared" si="61"/>
        <v>309.05643062751869</v>
      </c>
      <c r="S657" s="797">
        <f>[1]!taqsabet(O657,C657)</f>
        <v>309.05482546988873</v>
      </c>
      <c r="T657" s="523"/>
      <c r="U657" s="523">
        <v>10</v>
      </c>
      <c r="V657" s="523">
        <v>6</v>
      </c>
      <c r="W657" s="523">
        <v>16</v>
      </c>
      <c r="X657" s="523"/>
      <c r="Y657" s="523">
        <v>0</v>
      </c>
      <c r="Z657" s="523">
        <v>54</v>
      </c>
      <c r="AA657" s="523" t="s">
        <v>179</v>
      </c>
      <c r="AB657" s="523">
        <v>6</v>
      </c>
      <c r="AC657" s="523">
        <v>6</v>
      </c>
      <c r="AD657" s="523" t="s">
        <v>3035</v>
      </c>
    </row>
    <row r="658" spans="3:30">
      <c r="C658" s="522">
        <v>608</v>
      </c>
      <c r="D658" s="522">
        <v>11</v>
      </c>
      <c r="E658" s="550" t="s">
        <v>3037</v>
      </c>
      <c r="F658" s="522">
        <v>70</v>
      </c>
      <c r="G658" s="522"/>
      <c r="H658" s="522">
        <v>66</v>
      </c>
      <c r="I658" s="522">
        <v>0</v>
      </c>
      <c r="J658" s="522">
        <v>0</v>
      </c>
      <c r="K658" s="522"/>
      <c r="L658" s="797">
        <f>[1]!tsabetm(C658)</f>
        <v>280.41666666666669</v>
      </c>
      <c r="M658" s="797">
        <f>[1]!tsabetz(C658)</f>
        <v>305.51666666666665</v>
      </c>
      <c r="N658" s="797">
        <f t="shared" si="57"/>
        <v>69.203187250996109</v>
      </c>
      <c r="O658" s="797">
        <f t="shared" si="58"/>
        <v>1445.0028169014086</v>
      </c>
      <c r="P658" s="797">
        <f t="shared" si="59"/>
        <v>20.069799800530745</v>
      </c>
      <c r="Q658" s="797">
        <f t="shared" si="60"/>
        <v>308</v>
      </c>
      <c r="R658" s="797">
        <f t="shared" si="61"/>
        <v>308.33449666334218</v>
      </c>
      <c r="S658" s="797">
        <f>[1]!taqsabet(O658,C658)</f>
        <v>308.33287535724509</v>
      </c>
      <c r="T658" s="522"/>
      <c r="U658" s="522">
        <v>10</v>
      </c>
      <c r="V658" s="522">
        <v>5</v>
      </c>
      <c r="W658" s="522">
        <v>31</v>
      </c>
      <c r="X658" s="522"/>
      <c r="Y658" s="522">
        <v>7</v>
      </c>
      <c r="Z658" s="522">
        <v>0</v>
      </c>
      <c r="AA658" s="522" t="s">
        <v>3038</v>
      </c>
      <c r="AB658" s="522">
        <v>4</v>
      </c>
      <c r="AC658" s="522">
        <v>4</v>
      </c>
      <c r="AD658" s="522" t="s">
        <v>2636</v>
      </c>
    </row>
    <row r="659" spans="3:30">
      <c r="C659" s="523">
        <v>609</v>
      </c>
      <c r="D659" s="523">
        <v>12</v>
      </c>
      <c r="E659" s="543" t="s">
        <v>2625</v>
      </c>
      <c r="F659" s="523">
        <v>70</v>
      </c>
      <c r="G659" s="523"/>
      <c r="H659" s="523">
        <v>66</v>
      </c>
      <c r="I659" s="523">
        <v>0</v>
      </c>
      <c r="J659" s="523">
        <v>0</v>
      </c>
      <c r="K659" s="523"/>
      <c r="L659" s="797">
        <f>[1]!tsabetm(C659)</f>
        <v>281.25</v>
      </c>
      <c r="M659" s="797">
        <f>[1]!tsabetz(C659)</f>
        <v>306.11666666666667</v>
      </c>
      <c r="N659" s="797">
        <f t="shared" si="57"/>
        <v>69.852546916890063</v>
      </c>
      <c r="O659" s="797">
        <f t="shared" si="58"/>
        <v>1445.0028169014086</v>
      </c>
      <c r="P659" s="797">
        <f t="shared" si="59"/>
        <v>54.498101794417835</v>
      </c>
      <c r="Q659" s="797">
        <f t="shared" si="60"/>
        <v>308</v>
      </c>
      <c r="R659" s="797">
        <f t="shared" si="61"/>
        <v>308.90830169657363</v>
      </c>
      <c r="S659" s="797">
        <f>[1]!taqsabet(O659,C659)</f>
        <v>308.90669546237922</v>
      </c>
      <c r="T659" s="523"/>
      <c r="U659" s="523">
        <v>10</v>
      </c>
      <c r="V659" s="523">
        <v>6</v>
      </c>
      <c r="W659" s="523">
        <v>7</v>
      </c>
      <c r="X659" s="523"/>
      <c r="Y659" s="523">
        <v>8</v>
      </c>
      <c r="Z659" s="523">
        <v>45</v>
      </c>
      <c r="AA659" s="523" t="s">
        <v>3038</v>
      </c>
      <c r="AB659" s="523">
        <v>4</v>
      </c>
      <c r="AC659" s="523">
        <v>4</v>
      </c>
      <c r="AD659" s="523" t="s">
        <v>2636</v>
      </c>
    </row>
    <row r="660" spans="3:30">
      <c r="C660" s="522">
        <v>610</v>
      </c>
      <c r="D660" s="522">
        <v>13</v>
      </c>
      <c r="E660" s="550" t="s">
        <v>2638</v>
      </c>
      <c r="F660" s="522">
        <v>70</v>
      </c>
      <c r="G660" s="522"/>
      <c r="H660" s="522">
        <v>66</v>
      </c>
      <c r="I660" s="522">
        <v>0</v>
      </c>
      <c r="J660" s="522">
        <v>0</v>
      </c>
      <c r="K660" s="522"/>
      <c r="L660" s="797">
        <f>[1]!tsabetm(C660)</f>
        <v>286.25</v>
      </c>
      <c r="M660" s="797">
        <f>[1]!tsabetz(C660)</f>
        <v>310.66666666666669</v>
      </c>
      <c r="N660" s="797">
        <f t="shared" si="57"/>
        <v>71.139931740614273</v>
      </c>
      <c r="O660" s="797">
        <f t="shared" si="58"/>
        <v>1445.0028169014086</v>
      </c>
      <c r="P660" s="797">
        <f t="shared" si="59"/>
        <v>24.466969925484818</v>
      </c>
      <c r="Q660" s="797">
        <f t="shared" si="60"/>
        <v>313</v>
      </c>
      <c r="R660" s="797">
        <f t="shared" si="61"/>
        <v>313.40778283209141</v>
      </c>
      <c r="S660" s="797">
        <f>[1]!taqsabet(O660,C660)</f>
        <v>313.40620566513775</v>
      </c>
      <c r="T660" s="522"/>
      <c r="U660" s="522">
        <v>10</v>
      </c>
      <c r="V660" s="522">
        <v>10</v>
      </c>
      <c r="W660" s="522">
        <v>40</v>
      </c>
      <c r="X660" s="522"/>
      <c r="Y660" s="522">
        <v>8</v>
      </c>
      <c r="Z660" s="522">
        <v>6</v>
      </c>
      <c r="AA660" s="522" t="s">
        <v>3038</v>
      </c>
      <c r="AB660" s="522">
        <v>8</v>
      </c>
      <c r="AC660" s="522">
        <v>6</v>
      </c>
      <c r="AD660" s="522" t="s">
        <v>2636</v>
      </c>
    </row>
    <row r="661" spans="3:30">
      <c r="C661" s="523">
        <v>611</v>
      </c>
      <c r="D661" s="523">
        <v>14</v>
      </c>
      <c r="E661" s="543" t="s">
        <v>3039</v>
      </c>
      <c r="F661" s="523">
        <v>70</v>
      </c>
      <c r="G661" s="523"/>
      <c r="H661" s="523">
        <v>66</v>
      </c>
      <c r="I661" s="523">
        <v>0</v>
      </c>
      <c r="J661" s="523">
        <v>0</v>
      </c>
      <c r="K661" s="523"/>
      <c r="L661" s="797">
        <f>[1]!tsabetm(C661)</f>
        <v>289.75</v>
      </c>
      <c r="M661" s="797">
        <f>[1]!tsabetz(C661)</f>
        <v>315.36666666666667</v>
      </c>
      <c r="N661" s="797">
        <f t="shared" si="57"/>
        <v>67.807417046193862</v>
      </c>
      <c r="O661" s="797">
        <f t="shared" si="58"/>
        <v>1445.0028169014086</v>
      </c>
      <c r="P661" s="797">
        <f t="shared" si="59"/>
        <v>14.549988242638392</v>
      </c>
      <c r="Q661" s="797">
        <f t="shared" si="60"/>
        <v>318</v>
      </c>
      <c r="R661" s="797">
        <f t="shared" si="61"/>
        <v>318.24249980404397</v>
      </c>
      <c r="S661" s="797">
        <f>[1]!taqsabet(O661,C661)</f>
        <v>318.2408451244483</v>
      </c>
      <c r="T661" s="523"/>
      <c r="U661" s="523">
        <v>10</v>
      </c>
      <c r="V661" s="523">
        <v>15</v>
      </c>
      <c r="W661" s="523">
        <v>22</v>
      </c>
      <c r="X661" s="523"/>
      <c r="Y661" s="523">
        <v>7</v>
      </c>
      <c r="Z661" s="523">
        <v>0</v>
      </c>
      <c r="AA661" s="523" t="s">
        <v>3038</v>
      </c>
      <c r="AB661" s="523">
        <v>4</v>
      </c>
      <c r="AC661" s="523">
        <v>4</v>
      </c>
      <c r="AD661" s="523" t="s">
        <v>2636</v>
      </c>
    </row>
    <row r="662" spans="3:30">
      <c r="C662" s="522">
        <v>612</v>
      </c>
      <c r="D662" s="522">
        <v>15</v>
      </c>
      <c r="E662" s="550" t="s">
        <v>2465</v>
      </c>
      <c r="F662" s="522">
        <v>70</v>
      </c>
      <c r="G662" s="522"/>
      <c r="H662" s="522">
        <v>66</v>
      </c>
      <c r="I662" s="522">
        <v>0</v>
      </c>
      <c r="J662" s="522">
        <v>0</v>
      </c>
      <c r="K662" s="522"/>
      <c r="L662" s="797">
        <f>[1]!tsabetm(C662)</f>
        <v>289.91666666666669</v>
      </c>
      <c r="M662" s="797">
        <f>[1]!tsabetz(C662)</f>
        <v>315.66666666666669</v>
      </c>
      <c r="N662" s="797">
        <f t="shared" si="57"/>
        <v>67.456310679611647</v>
      </c>
      <c r="O662" s="797">
        <f t="shared" si="58"/>
        <v>1445.0028169014086</v>
      </c>
      <c r="P662" s="797">
        <f t="shared" si="59"/>
        <v>33.448101388991063</v>
      </c>
      <c r="Q662" s="797">
        <f t="shared" si="60"/>
        <v>318</v>
      </c>
      <c r="R662" s="797">
        <f t="shared" si="61"/>
        <v>318.55746835648318</v>
      </c>
      <c r="S662" s="797">
        <f>[1]!taqsabet(O662,C662)</f>
        <v>318.55580506437167</v>
      </c>
      <c r="T662" s="522"/>
      <c r="U662" s="522">
        <v>10</v>
      </c>
      <c r="V662" s="522">
        <v>15</v>
      </c>
      <c r="W662" s="522">
        <v>40</v>
      </c>
      <c r="X662" s="522"/>
      <c r="Y662" s="522">
        <v>6</v>
      </c>
      <c r="Z662" s="522">
        <v>12</v>
      </c>
      <c r="AA662" s="522" t="s">
        <v>3038</v>
      </c>
      <c r="AB662" s="522">
        <v>5</v>
      </c>
      <c r="AC662" s="522">
        <v>5</v>
      </c>
      <c r="AD662" s="522" t="s">
        <v>2636</v>
      </c>
    </row>
    <row r="663" spans="3:30">
      <c r="C663" s="523">
        <v>613</v>
      </c>
      <c r="D663" s="523">
        <v>16</v>
      </c>
      <c r="E663" s="543" t="s">
        <v>3040</v>
      </c>
      <c r="F663" s="523">
        <v>70</v>
      </c>
      <c r="G663" s="523"/>
      <c r="H663" s="523">
        <v>66</v>
      </c>
      <c r="I663" s="523">
        <v>0</v>
      </c>
      <c r="J663" s="523">
        <v>0</v>
      </c>
      <c r="K663" s="523"/>
      <c r="L663" s="797">
        <f>[1]!tsabetm(C663)</f>
        <v>288.25</v>
      </c>
      <c r="M663" s="797">
        <f>[1]!tsabetz(C663)</f>
        <v>313.01666666666665</v>
      </c>
      <c r="N663" s="797">
        <f t="shared" si="57"/>
        <v>70.134589502018883</v>
      </c>
      <c r="O663" s="797">
        <f t="shared" si="58"/>
        <v>1445.0028169014086</v>
      </c>
      <c r="P663" s="797">
        <f t="shared" si="59"/>
        <v>47.824516934654184</v>
      </c>
      <c r="Q663" s="797">
        <f t="shared" si="60"/>
        <v>315</v>
      </c>
      <c r="R663" s="797">
        <f t="shared" si="61"/>
        <v>315.79707528224424</v>
      </c>
      <c r="S663" s="797">
        <f>[1]!taqsabet(O663,C663)</f>
        <v>315.79547550743661</v>
      </c>
      <c r="T663" s="523"/>
      <c r="U663" s="523">
        <v>10</v>
      </c>
      <c r="V663" s="523">
        <v>13</v>
      </c>
      <c r="W663" s="523">
        <v>1</v>
      </c>
      <c r="X663" s="523"/>
      <c r="Y663" s="523">
        <v>4</v>
      </c>
      <c r="Z663" s="523">
        <v>36</v>
      </c>
      <c r="AA663" s="523" t="s">
        <v>3038</v>
      </c>
      <c r="AB663" s="523">
        <v>6</v>
      </c>
      <c r="AC663" s="523">
        <v>5</v>
      </c>
      <c r="AD663" s="523" t="s">
        <v>2636</v>
      </c>
    </row>
    <row r="664" spans="3:30">
      <c r="C664" s="522">
        <v>614</v>
      </c>
      <c r="D664" s="522">
        <v>17</v>
      </c>
      <c r="E664" s="550" t="s">
        <v>3041</v>
      </c>
      <c r="F664" s="522">
        <v>70</v>
      </c>
      <c r="G664" s="522"/>
      <c r="H664" s="522">
        <v>66</v>
      </c>
      <c r="I664" s="522">
        <v>0</v>
      </c>
      <c r="J664" s="522">
        <v>0</v>
      </c>
      <c r="K664" s="522"/>
      <c r="L664" s="797">
        <f>[1]!tsabetm(C664)</f>
        <v>286.25</v>
      </c>
      <c r="M664" s="797">
        <f>[1]!tsabetz(C664)</f>
        <v>311.11666666666667</v>
      </c>
      <c r="N664" s="797">
        <f t="shared" si="57"/>
        <v>69.852546916890063</v>
      </c>
      <c r="O664" s="797">
        <f t="shared" si="58"/>
        <v>1445.0028169014086</v>
      </c>
      <c r="P664" s="797">
        <f t="shared" si="59"/>
        <v>54.498101794417835</v>
      </c>
      <c r="Q664" s="797">
        <f t="shared" si="60"/>
        <v>313</v>
      </c>
      <c r="R664" s="797">
        <f t="shared" si="61"/>
        <v>313.90830169657363</v>
      </c>
      <c r="S664" s="797">
        <f>[1]!taqsabet(O664,C664)</f>
        <v>313.90669546237922</v>
      </c>
      <c r="T664" s="522"/>
      <c r="U664" s="522">
        <v>10</v>
      </c>
      <c r="V664" s="522">
        <v>11</v>
      </c>
      <c r="W664" s="522">
        <v>7</v>
      </c>
      <c r="X664" s="522"/>
      <c r="Y664" s="522">
        <v>4</v>
      </c>
      <c r="Z664" s="522">
        <v>18</v>
      </c>
      <c r="AA664" s="522" t="s">
        <v>3038</v>
      </c>
      <c r="AB664" s="522">
        <v>6</v>
      </c>
      <c r="AC664" s="522">
        <v>5</v>
      </c>
      <c r="AD664" s="522" t="s">
        <v>2636</v>
      </c>
    </row>
    <row r="665" spans="3:30">
      <c r="C665" s="523">
        <v>615</v>
      </c>
      <c r="D665" s="523">
        <v>18</v>
      </c>
      <c r="E665" s="543" t="s">
        <v>2582</v>
      </c>
      <c r="F665" s="523">
        <v>70</v>
      </c>
      <c r="G665" s="523"/>
      <c r="H665" s="523">
        <v>66</v>
      </c>
      <c r="I665" s="523">
        <v>0</v>
      </c>
      <c r="J665" s="523">
        <v>0</v>
      </c>
      <c r="K665" s="523"/>
      <c r="L665" s="797">
        <f>[1]!tsabetm(C665)</f>
        <v>286.25</v>
      </c>
      <c r="M665" s="797">
        <f>[1]!tsabetz(C665)</f>
        <v>311.01666666666665</v>
      </c>
      <c r="N665" s="797">
        <f t="shared" si="57"/>
        <v>70.134589502018883</v>
      </c>
      <c r="O665" s="797">
        <f t="shared" si="58"/>
        <v>1445.0028169014086</v>
      </c>
      <c r="P665" s="797">
        <f t="shared" si="59"/>
        <v>47.824516934654184</v>
      </c>
      <c r="Q665" s="797">
        <f t="shared" si="60"/>
        <v>313</v>
      </c>
      <c r="R665" s="797">
        <f t="shared" si="61"/>
        <v>313.79707528224424</v>
      </c>
      <c r="S665" s="797">
        <f>[1]!taqsabet(O665,C665)</f>
        <v>313.79547550743661</v>
      </c>
      <c r="T665" s="523"/>
      <c r="U665" s="523">
        <v>10</v>
      </c>
      <c r="V665" s="523">
        <v>11</v>
      </c>
      <c r="W665" s="523">
        <v>1</v>
      </c>
      <c r="X665" s="523"/>
      <c r="Y665" s="523">
        <v>2</v>
      </c>
      <c r="Z665" s="523">
        <v>42</v>
      </c>
      <c r="AA665" s="523" t="s">
        <v>3038</v>
      </c>
      <c r="AB665" s="523">
        <v>5</v>
      </c>
      <c r="AC665" s="523">
        <v>5</v>
      </c>
      <c r="AD665" s="523" t="s">
        <v>2636</v>
      </c>
    </row>
    <row r="666" spans="3:30">
      <c r="C666" s="522">
        <v>616</v>
      </c>
      <c r="D666" s="522">
        <v>19</v>
      </c>
      <c r="E666" s="550" t="s">
        <v>3042</v>
      </c>
      <c r="F666" s="522">
        <v>70</v>
      </c>
      <c r="G666" s="522"/>
      <c r="H666" s="522">
        <v>66</v>
      </c>
      <c r="I666" s="522">
        <v>0</v>
      </c>
      <c r="J666" s="522">
        <v>0</v>
      </c>
      <c r="K666" s="522"/>
      <c r="L666" s="797">
        <f>[1]!tsabetm(C666)</f>
        <v>286.25</v>
      </c>
      <c r="M666" s="797">
        <f>[1]!tsabetz(C666)</f>
        <v>312.11666666666667</v>
      </c>
      <c r="N666" s="797">
        <f t="shared" si="57"/>
        <v>67.152061855670084</v>
      </c>
      <c r="O666" s="797">
        <f t="shared" si="58"/>
        <v>1445.0028169014086</v>
      </c>
      <c r="P666" s="797">
        <f t="shared" si="59"/>
        <v>1.2339503920475181</v>
      </c>
      <c r="Q666" s="797">
        <f t="shared" si="60"/>
        <v>315</v>
      </c>
      <c r="R666" s="797">
        <f t="shared" si="61"/>
        <v>315.02056583986746</v>
      </c>
      <c r="S666" s="797">
        <f>[1]!taqsabet(O666,C666)</f>
        <v>315.01889501180466</v>
      </c>
      <c r="T666" s="522"/>
      <c r="U666" s="522">
        <v>10</v>
      </c>
      <c r="V666" s="522">
        <v>12</v>
      </c>
      <c r="W666" s="522">
        <v>7</v>
      </c>
      <c r="X666" s="522"/>
      <c r="Y666" s="522">
        <v>0</v>
      </c>
      <c r="Z666" s="522">
        <v>0</v>
      </c>
      <c r="AA666" s="522" t="s">
        <v>3043</v>
      </c>
      <c r="AB666" s="522">
        <v>4</v>
      </c>
      <c r="AC666" s="522">
        <v>4</v>
      </c>
      <c r="AD666" s="522" t="s">
        <v>2470</v>
      </c>
    </row>
    <row r="667" spans="3:30">
      <c r="C667" s="523">
        <v>617</v>
      </c>
      <c r="D667" s="523">
        <v>20</v>
      </c>
      <c r="E667" s="543" t="s">
        <v>2465</v>
      </c>
      <c r="F667" s="523">
        <v>70</v>
      </c>
      <c r="G667" s="523"/>
      <c r="H667" s="523">
        <v>66</v>
      </c>
      <c r="I667" s="523">
        <v>0</v>
      </c>
      <c r="J667" s="523">
        <v>0</v>
      </c>
      <c r="K667" s="523"/>
      <c r="L667" s="797">
        <f>[1]!tsabetm(C667)</f>
        <v>290.58333333333331</v>
      </c>
      <c r="M667" s="797">
        <f>[1]!tsabetz(C667)</f>
        <v>316.01666666666665</v>
      </c>
      <c r="N667" s="797">
        <f t="shared" si="57"/>
        <v>68.296199213630402</v>
      </c>
      <c r="O667" s="797">
        <f t="shared" si="58"/>
        <v>1445.0028169014086</v>
      </c>
      <c r="P667" s="797">
        <f t="shared" si="59"/>
        <v>52.315082666407307</v>
      </c>
      <c r="Q667" s="797">
        <f t="shared" si="60"/>
        <v>318</v>
      </c>
      <c r="R667" s="797">
        <f t="shared" si="61"/>
        <v>318.87191804444012</v>
      </c>
      <c r="S667" s="797">
        <f>[1]!taqsabet(O667,C667)</f>
        <v>318.87027520705357</v>
      </c>
      <c r="T667" s="523"/>
      <c r="U667" s="523">
        <v>10</v>
      </c>
      <c r="V667" s="523">
        <v>16</v>
      </c>
      <c r="W667" s="523">
        <v>1</v>
      </c>
      <c r="X667" s="523"/>
      <c r="Y667" s="523">
        <v>0</v>
      </c>
      <c r="Z667" s="523">
        <v>48</v>
      </c>
      <c r="AA667" s="523" t="s">
        <v>3038</v>
      </c>
      <c r="AB667" s="523">
        <v>4</v>
      </c>
      <c r="AC667" s="523">
        <v>4</v>
      </c>
      <c r="AD667" s="523" t="s">
        <v>2470</v>
      </c>
    </row>
    <row r="668" spans="3:30">
      <c r="C668" s="522">
        <v>618</v>
      </c>
      <c r="D668" s="522">
        <v>21</v>
      </c>
      <c r="E668" s="550" t="s">
        <v>3044</v>
      </c>
      <c r="F668" s="522">
        <v>70</v>
      </c>
      <c r="G668" s="522"/>
      <c r="H668" s="522">
        <v>66</v>
      </c>
      <c r="I668" s="522">
        <v>0</v>
      </c>
      <c r="J668" s="522">
        <v>0</v>
      </c>
      <c r="K668" s="522"/>
      <c r="L668" s="797">
        <f>[1]!tsabetm(C668)</f>
        <v>292.91666666666669</v>
      </c>
      <c r="M668" s="797">
        <f>[1]!tsabetz(C668)</f>
        <v>318.66666666666669</v>
      </c>
      <c r="N668" s="797">
        <f t="shared" si="57"/>
        <v>67.456310679611647</v>
      </c>
      <c r="O668" s="797">
        <f t="shared" si="58"/>
        <v>1445.0028169014086</v>
      </c>
      <c r="P668" s="797">
        <f t="shared" si="59"/>
        <v>33.448101388991063</v>
      </c>
      <c r="Q668" s="797">
        <f t="shared" si="60"/>
        <v>321</v>
      </c>
      <c r="R668" s="797">
        <f t="shared" si="61"/>
        <v>321.55746835648318</v>
      </c>
      <c r="S668" s="797">
        <f>[1]!taqsabet(O668,C668)</f>
        <v>321.55580506437167</v>
      </c>
      <c r="T668" s="522"/>
      <c r="U668" s="522">
        <v>10</v>
      </c>
      <c r="V668" s="522">
        <v>18</v>
      </c>
      <c r="W668" s="522">
        <v>40</v>
      </c>
      <c r="X668" s="522"/>
      <c r="Y668" s="522">
        <v>0</v>
      </c>
      <c r="Z668" s="522">
        <v>15</v>
      </c>
      <c r="AA668" s="522" t="s">
        <v>3038</v>
      </c>
      <c r="AB668" s="522">
        <v>4</v>
      </c>
      <c r="AC668" s="522">
        <v>4</v>
      </c>
      <c r="AD668" s="522" t="s">
        <v>2470</v>
      </c>
    </row>
    <row r="669" spans="3:30">
      <c r="C669" s="523">
        <v>619</v>
      </c>
      <c r="D669" s="523">
        <v>22</v>
      </c>
      <c r="E669" s="543" t="s">
        <v>2465</v>
      </c>
      <c r="F669" s="523">
        <v>70</v>
      </c>
      <c r="G669" s="523"/>
      <c r="H669" s="523">
        <v>66</v>
      </c>
      <c r="I669" s="523">
        <v>0</v>
      </c>
      <c r="J669" s="523">
        <v>0</v>
      </c>
      <c r="K669" s="523"/>
      <c r="L669" s="797">
        <f>[1]!tsabetm(C669)</f>
        <v>294.58333333333331</v>
      </c>
      <c r="M669" s="797">
        <f>[1]!tsabetz(C669)</f>
        <v>320.88333333333333</v>
      </c>
      <c r="N669" s="797">
        <f t="shared" si="57"/>
        <v>66.045627376425827</v>
      </c>
      <c r="O669" s="797">
        <f t="shared" si="58"/>
        <v>1445.0028169014086</v>
      </c>
      <c r="P669" s="797">
        <f t="shared" si="59"/>
        <v>50.152818117685456</v>
      </c>
      <c r="Q669" s="797">
        <f t="shared" si="60"/>
        <v>323</v>
      </c>
      <c r="R669" s="797">
        <f t="shared" si="61"/>
        <v>323.83588030196142</v>
      </c>
      <c r="S669" s="797">
        <f>[1]!taqsabet(O669,C669)</f>
        <v>323.83418148322232</v>
      </c>
      <c r="T669" s="523"/>
      <c r="U669" s="523">
        <v>10</v>
      </c>
      <c r="V669" s="523">
        <v>20</v>
      </c>
      <c r="W669" s="523">
        <v>53</v>
      </c>
      <c r="X669" s="523"/>
      <c r="Y669" s="523">
        <v>5</v>
      </c>
      <c r="Z669" s="523">
        <v>0</v>
      </c>
      <c r="AA669" s="523" t="s">
        <v>3038</v>
      </c>
      <c r="AB669" s="523">
        <v>4</v>
      </c>
      <c r="AC669" s="523">
        <v>4</v>
      </c>
      <c r="AD669" s="523" t="s">
        <v>2470</v>
      </c>
    </row>
    <row r="670" spans="3:30">
      <c r="C670" s="522">
        <v>620</v>
      </c>
      <c r="D670" s="522">
        <v>23</v>
      </c>
      <c r="E670" s="550" t="s">
        <v>3045</v>
      </c>
      <c r="F670" s="522">
        <v>70</v>
      </c>
      <c r="G670" s="522"/>
      <c r="H670" s="522">
        <v>66</v>
      </c>
      <c r="I670" s="522">
        <v>0</v>
      </c>
      <c r="J670" s="522">
        <v>0</v>
      </c>
      <c r="K670" s="522"/>
      <c r="L670" s="797">
        <f>[1]!tsabetm(C670)</f>
        <v>294.41666666666669</v>
      </c>
      <c r="M670" s="797">
        <f>[1]!tsabetz(C670)</f>
        <v>320.31666666666666</v>
      </c>
      <c r="N670" s="797">
        <f t="shared" si="57"/>
        <v>67.065637065637119</v>
      </c>
      <c r="O670" s="797">
        <f t="shared" si="58"/>
        <v>1445.0028169014086</v>
      </c>
      <c r="P670" s="797">
        <f t="shared" si="59"/>
        <v>13.458478678633128</v>
      </c>
      <c r="Q670" s="797">
        <f t="shared" si="60"/>
        <v>323</v>
      </c>
      <c r="R670" s="797">
        <f t="shared" si="61"/>
        <v>323.22430797797722</v>
      </c>
      <c r="S670" s="797">
        <f>[1]!taqsabet(O670,C670)</f>
        <v>323.22263499678547</v>
      </c>
      <c r="T670" s="522"/>
      <c r="U670" s="522">
        <v>10</v>
      </c>
      <c r="V670" s="522">
        <v>20</v>
      </c>
      <c r="W670" s="522">
        <v>19</v>
      </c>
      <c r="X670" s="522"/>
      <c r="Y670" s="522">
        <v>2</v>
      </c>
      <c r="Z670" s="522">
        <v>30</v>
      </c>
      <c r="AA670" s="522" t="s">
        <v>3038</v>
      </c>
      <c r="AB670" s="522">
        <v>3</v>
      </c>
      <c r="AC670" s="522">
        <v>3</v>
      </c>
      <c r="AD670" s="522" t="s">
        <v>2470</v>
      </c>
    </row>
    <row r="671" spans="3:30">
      <c r="C671" s="523">
        <v>621</v>
      </c>
      <c r="D671" s="523">
        <v>24</v>
      </c>
      <c r="E671" s="543" t="s">
        <v>2465</v>
      </c>
      <c r="F671" s="523">
        <v>70</v>
      </c>
      <c r="G671" s="523"/>
      <c r="H671" s="523">
        <v>69</v>
      </c>
      <c r="I671" s="523">
        <v>3</v>
      </c>
      <c r="J671" s="523">
        <v>20</v>
      </c>
      <c r="K671" s="523" t="s">
        <v>3046</v>
      </c>
      <c r="L671" s="797">
        <f>[1]!tsabetm(C671)</f>
        <v>295.91666666666669</v>
      </c>
      <c r="M671" s="797">
        <f>[1]!tsabetz(C671)</f>
        <v>321.56666666666666</v>
      </c>
      <c r="N671" s="797">
        <f t="shared" si="57"/>
        <v>67.719298245614098</v>
      </c>
      <c r="O671" s="797">
        <f t="shared" si="58"/>
        <v>1445.0028169014086</v>
      </c>
      <c r="P671" s="797">
        <f t="shared" si="59"/>
        <v>26.774516529227412</v>
      </c>
      <c r="Q671" s="797">
        <f t="shared" si="60"/>
        <v>324</v>
      </c>
      <c r="R671" s="797">
        <f t="shared" si="61"/>
        <v>324.44624194215379</v>
      </c>
      <c r="S671" s="797">
        <f>[1]!taqsabet(O671,C671)</f>
        <v>324.44458510942911</v>
      </c>
      <c r="T671" s="523"/>
      <c r="U671" s="523">
        <v>10</v>
      </c>
      <c r="V671" s="523">
        <v>21</v>
      </c>
      <c r="W671" s="523">
        <v>34</v>
      </c>
      <c r="X671" s="523"/>
      <c r="Y671" s="523">
        <v>2</v>
      </c>
      <c r="Z671" s="523">
        <v>15</v>
      </c>
      <c r="AA671" s="523" t="s">
        <v>3038</v>
      </c>
      <c r="AB671" s="523">
        <v>3</v>
      </c>
      <c r="AC671" s="523">
        <v>3</v>
      </c>
      <c r="AD671" s="523" t="s">
        <v>2470</v>
      </c>
    </row>
    <row r="672" spans="3:30">
      <c r="C672" s="522">
        <v>622</v>
      </c>
      <c r="D672" s="522">
        <v>25</v>
      </c>
      <c r="E672" s="550" t="s">
        <v>3047</v>
      </c>
      <c r="F672" s="522">
        <v>70</v>
      </c>
      <c r="G672" s="522"/>
      <c r="H672" s="522">
        <v>66</v>
      </c>
      <c r="I672" s="522">
        <v>0</v>
      </c>
      <c r="J672" s="522">
        <v>0</v>
      </c>
      <c r="K672" s="522"/>
      <c r="L672" s="797">
        <f>[1]!tsabetm(C672)</f>
        <v>296.41666666666669</v>
      </c>
      <c r="M672" s="797">
        <f>[1]!tsabetz(C672)</f>
        <v>321.81666666666666</v>
      </c>
      <c r="N672" s="797">
        <f t="shared" si="57"/>
        <v>68.385826771653598</v>
      </c>
      <c r="O672" s="797">
        <f t="shared" si="58"/>
        <v>1445.0028169014086</v>
      </c>
      <c r="P672" s="797">
        <f t="shared" si="59"/>
        <v>40.090554379818286</v>
      </c>
      <c r="Q672" s="797">
        <f t="shared" si="60"/>
        <v>324</v>
      </c>
      <c r="R672" s="797">
        <f t="shared" si="61"/>
        <v>324.6681759063303</v>
      </c>
      <c r="S672" s="797">
        <f>[1]!taqsabet(O672,C672)</f>
        <v>324.66653522207275</v>
      </c>
      <c r="T672" s="522"/>
      <c r="U672" s="522">
        <v>10</v>
      </c>
      <c r="V672" s="522">
        <v>21</v>
      </c>
      <c r="W672" s="522">
        <v>49</v>
      </c>
      <c r="X672" s="522"/>
      <c r="Y672" s="522">
        <v>0</v>
      </c>
      <c r="Z672" s="522">
        <v>15</v>
      </c>
      <c r="AA672" s="522" t="s">
        <v>179</v>
      </c>
      <c r="AB672" s="522">
        <v>5</v>
      </c>
      <c r="AC672" s="522">
        <v>5</v>
      </c>
      <c r="AD672" s="522" t="s">
        <v>2470</v>
      </c>
    </row>
    <row r="673" spans="1:31">
      <c r="C673" s="523">
        <v>623</v>
      </c>
      <c r="D673" s="523">
        <v>26</v>
      </c>
      <c r="E673" s="543" t="s">
        <v>3048</v>
      </c>
      <c r="F673" s="523">
        <v>70</v>
      </c>
      <c r="G673" s="523"/>
      <c r="H673" s="523">
        <v>66</v>
      </c>
      <c r="I673" s="523">
        <v>0</v>
      </c>
      <c r="J673" s="523">
        <v>0</v>
      </c>
      <c r="K673" s="523"/>
      <c r="L673" s="797">
        <f>[1]!tsabetm(C673)</f>
        <v>298.25</v>
      </c>
      <c r="M673" s="797">
        <f>[1]!tsabetz(C673)</f>
        <v>324.26666666666665</v>
      </c>
      <c r="N673" s="797">
        <f t="shared" si="57"/>
        <v>66.764894298526627</v>
      </c>
      <c r="O673" s="797">
        <f t="shared" si="58"/>
        <v>1445.0028169014086</v>
      </c>
      <c r="P673" s="797">
        <f t="shared" si="59"/>
        <v>11.244327681689583</v>
      </c>
      <c r="Q673" s="797">
        <f t="shared" si="60"/>
        <v>327</v>
      </c>
      <c r="R673" s="797">
        <f t="shared" si="61"/>
        <v>327.18740546136149</v>
      </c>
      <c r="S673" s="797">
        <f>[1]!taqsabet(O673,C673)</f>
        <v>327.18572494421841</v>
      </c>
      <c r="T673" s="523"/>
      <c r="U673" s="523">
        <v>10</v>
      </c>
      <c r="V673" s="523">
        <v>24</v>
      </c>
      <c r="W673" s="523">
        <v>16</v>
      </c>
      <c r="X673" s="523"/>
      <c r="Y673" s="523">
        <v>0</v>
      </c>
      <c r="Z673" s="523">
        <v>0</v>
      </c>
      <c r="AA673" s="523" t="s">
        <v>3043</v>
      </c>
      <c r="AB673" s="523">
        <v>5</v>
      </c>
      <c r="AC673" s="523">
        <v>5</v>
      </c>
      <c r="AD673" s="523" t="s">
        <v>2470</v>
      </c>
    </row>
    <row r="674" spans="1:31">
      <c r="C674" s="522">
        <v>624</v>
      </c>
      <c r="D674" s="522">
        <v>27</v>
      </c>
      <c r="E674" s="550" t="s">
        <v>2612</v>
      </c>
      <c r="F674" s="522">
        <v>70</v>
      </c>
      <c r="G674" s="522"/>
      <c r="H674" s="522">
        <v>66</v>
      </c>
      <c r="I674" s="522">
        <v>0</v>
      </c>
      <c r="J674" s="522">
        <v>0</v>
      </c>
      <c r="K674" s="522"/>
      <c r="L674" s="797">
        <f>[1]!tsabetm(C674)</f>
        <v>297.25</v>
      </c>
      <c r="M674" s="797">
        <f>[1]!tsabetz(C674)</f>
        <v>322.61666666666667</v>
      </c>
      <c r="N674" s="797">
        <f t="shared" si="57"/>
        <v>68.475689881734539</v>
      </c>
      <c r="O674" s="797">
        <f t="shared" si="58"/>
        <v>1445.0028169014086</v>
      </c>
      <c r="P674" s="797">
        <f t="shared" si="59"/>
        <v>27.866026093232676</v>
      </c>
      <c r="Q674" s="797">
        <f t="shared" si="60"/>
        <v>325</v>
      </c>
      <c r="R674" s="797">
        <f t="shared" si="61"/>
        <v>325.46443376822054</v>
      </c>
      <c r="S674" s="797">
        <f>[1]!taqsabet(O674,C674)</f>
        <v>325.46279523709194</v>
      </c>
      <c r="T674" s="522"/>
      <c r="U674" s="522">
        <v>10</v>
      </c>
      <c r="V674" s="522">
        <v>22</v>
      </c>
      <c r="W674" s="522">
        <v>37</v>
      </c>
      <c r="X674" s="522"/>
      <c r="Y674" s="522">
        <v>0</v>
      </c>
      <c r="Z674" s="522">
        <v>28</v>
      </c>
      <c r="AA674" s="522" t="s">
        <v>179</v>
      </c>
      <c r="AB674" s="522">
        <v>5</v>
      </c>
      <c r="AC674" s="522">
        <v>5</v>
      </c>
      <c r="AD674" s="522" t="s">
        <v>2470</v>
      </c>
    </row>
    <row r="675" spans="1:31">
      <c r="C675" s="523">
        <v>625</v>
      </c>
      <c r="D675" s="523">
        <v>28</v>
      </c>
      <c r="E675" s="543" t="s">
        <v>3049</v>
      </c>
      <c r="F675" s="523">
        <v>70</v>
      </c>
      <c r="G675" s="523"/>
      <c r="H675" s="523">
        <v>69</v>
      </c>
      <c r="I675" s="523">
        <v>11</v>
      </c>
      <c r="J675" s="523">
        <v>13</v>
      </c>
      <c r="K675" s="523" t="s">
        <v>3050</v>
      </c>
      <c r="L675" s="797">
        <f>[1]!tsabetm(C675)</f>
        <v>298.25</v>
      </c>
      <c r="M675" s="797">
        <f>[1]!tsabetz(C675)</f>
        <v>323.66666666666669</v>
      </c>
      <c r="N675" s="797">
        <f t="shared" si="57"/>
        <v>68.34098360655733</v>
      </c>
      <c r="O675" s="797">
        <f t="shared" si="58"/>
        <v>1445.0028169014086</v>
      </c>
      <c r="P675" s="797">
        <f t="shared" si="59"/>
        <v>31.202818523114502</v>
      </c>
      <c r="Q675" s="797">
        <f t="shared" si="60"/>
        <v>326</v>
      </c>
      <c r="R675" s="797">
        <f t="shared" si="61"/>
        <v>326.52004697538524</v>
      </c>
      <c r="S675" s="797">
        <f>[1]!taqsabet(O675,C675)</f>
        <v>326.51840521456319</v>
      </c>
      <c r="T675" s="523"/>
      <c r="U675" s="523">
        <v>10</v>
      </c>
      <c r="V675" s="523">
        <v>23</v>
      </c>
      <c r="W675" s="523">
        <v>40</v>
      </c>
      <c r="X675" s="523"/>
      <c r="Y675" s="523">
        <v>4</v>
      </c>
      <c r="Z675" s="523">
        <v>0</v>
      </c>
      <c r="AA675" s="523" t="s">
        <v>179</v>
      </c>
      <c r="AB675" s="523">
        <v>5</v>
      </c>
      <c r="AC675" s="523">
        <v>5</v>
      </c>
      <c r="AD675" s="523" t="s">
        <v>2470</v>
      </c>
    </row>
    <row r="676" spans="1:31">
      <c r="B676" s="505" t="s">
        <v>2355</v>
      </c>
      <c r="C676" s="506" t="s">
        <v>2356</v>
      </c>
      <c r="D676" s="507" t="s">
        <v>2357</v>
      </c>
      <c r="E676" s="511" t="s">
        <v>2358</v>
      </c>
      <c r="F676" s="511"/>
      <c r="G676" s="511"/>
      <c r="H676" s="511"/>
      <c r="I676" s="511"/>
      <c r="J676" s="511"/>
      <c r="K676" s="514" t="s">
        <v>2360</v>
      </c>
      <c r="N676" s="797">
        <f t="shared" si="57"/>
        <v>4.8250000000000002</v>
      </c>
      <c r="O676" s="797">
        <f t="shared" si="58"/>
        <v>1445.0028169014086</v>
      </c>
      <c r="P676" s="797">
        <f t="shared" si="59"/>
        <v>24.905495147049237</v>
      </c>
      <c r="Q676" s="797">
        <f t="shared" si="60"/>
        <v>40</v>
      </c>
      <c r="R676" s="797">
        <f t="shared" si="61"/>
        <v>40.415091585784154</v>
      </c>
      <c r="S676" s="797" t="e">
        <f>[1]!taqsabet(O676,C676)</f>
        <v>#VALUE!</v>
      </c>
      <c r="T676" s="507"/>
      <c r="U676" s="508" t="s">
        <v>403</v>
      </c>
      <c r="V676" s="508"/>
      <c r="W676" s="509"/>
      <c r="X676" s="507"/>
      <c r="Y676" s="509" t="s">
        <v>275</v>
      </c>
      <c r="Z676" s="510"/>
      <c r="AA676" s="506" t="s">
        <v>176</v>
      </c>
      <c r="AB676" s="511" t="s">
        <v>2361</v>
      </c>
      <c r="AC676" s="511" t="s">
        <v>2362</v>
      </c>
      <c r="AD676" s="511" t="s">
        <v>2363</v>
      </c>
    </row>
    <row r="677" spans="1:31">
      <c r="B677" s="505"/>
      <c r="C677" s="512"/>
      <c r="D677" s="512"/>
      <c r="E677" s="513"/>
      <c r="F677" s="513"/>
      <c r="G677" s="513"/>
      <c r="H677" s="513"/>
      <c r="I677" s="513"/>
      <c r="J677" s="513"/>
      <c r="K677" s="514"/>
      <c r="N677" s="797">
        <f t="shared" si="57"/>
        <v>4.8250000000000002</v>
      </c>
      <c r="O677" s="797">
        <f t="shared" si="58"/>
        <v>1445.0028169014086</v>
      </c>
      <c r="P677" s="797">
        <f t="shared" si="59"/>
        <v>24.905495147049237</v>
      </c>
      <c r="Q677" s="797">
        <f t="shared" si="60"/>
        <v>40</v>
      </c>
      <c r="R677" s="797">
        <f t="shared" si="61"/>
        <v>40.415091585784154</v>
      </c>
      <c r="S677" s="797">
        <f>[1]!taqsabet(O677,C677)</f>
        <v>1.4716840899636423</v>
      </c>
      <c r="T677" s="515" t="s">
        <v>2367</v>
      </c>
      <c r="U677" s="516" t="s">
        <v>173</v>
      </c>
      <c r="V677" s="516" t="s">
        <v>172</v>
      </c>
      <c r="W677" s="516" t="s">
        <v>166</v>
      </c>
      <c r="X677" s="517" t="s">
        <v>2367</v>
      </c>
      <c r="Y677" s="516" t="s">
        <v>172</v>
      </c>
      <c r="Z677" s="518" t="s">
        <v>166</v>
      </c>
      <c r="AA677" s="512"/>
      <c r="AB677" s="517" t="s">
        <v>2368</v>
      </c>
      <c r="AC677" s="517" t="s">
        <v>2369</v>
      </c>
      <c r="AD677" s="513"/>
    </row>
    <row r="678" spans="1:31">
      <c r="A678" s="563">
        <v>11</v>
      </c>
      <c r="B678" s="536" t="s">
        <v>1612</v>
      </c>
      <c r="C678" s="527">
        <v>626</v>
      </c>
      <c r="D678" s="527">
        <v>1</v>
      </c>
      <c r="E678" s="553" t="s">
        <v>3051</v>
      </c>
      <c r="F678" s="527">
        <v>70</v>
      </c>
      <c r="G678" s="527"/>
      <c r="H678" s="527">
        <v>66</v>
      </c>
      <c r="I678" s="527">
        <v>0</v>
      </c>
      <c r="J678" s="527">
        <v>0</v>
      </c>
      <c r="K678" s="527"/>
      <c r="L678" s="797">
        <f>[1]!tsabetm(C678)</f>
        <v>299.91666666666669</v>
      </c>
      <c r="M678" s="797">
        <f>[1]!tsabetz(C678)</f>
        <v>326.31666666666666</v>
      </c>
      <c r="N678" s="797">
        <f t="shared" si="57"/>
        <v>65.795454545454604</v>
      </c>
      <c r="O678" s="797">
        <f t="shared" si="58"/>
        <v>1445.0028169014086</v>
      </c>
      <c r="P678" s="797">
        <f t="shared" si="59"/>
        <v>16.82640297745138</v>
      </c>
      <c r="Q678" s="797">
        <f t="shared" si="60"/>
        <v>329</v>
      </c>
      <c r="R678" s="797">
        <f t="shared" si="61"/>
        <v>329.28044004962419</v>
      </c>
      <c r="S678" s="797">
        <f>[1]!taqsabet(O678,C678)</f>
        <v>329.27873477149819</v>
      </c>
      <c r="T678" s="527"/>
      <c r="U678" s="527">
        <v>10</v>
      </c>
      <c r="V678" s="527">
        <v>26</v>
      </c>
      <c r="W678" s="527">
        <v>19</v>
      </c>
      <c r="X678" s="527"/>
      <c r="Y678" s="527">
        <v>15</v>
      </c>
      <c r="Z678" s="527">
        <v>15</v>
      </c>
      <c r="AA678" s="527" t="s">
        <v>179</v>
      </c>
      <c r="AB678" s="527">
        <v>6</v>
      </c>
      <c r="AC678" s="527">
        <v>5</v>
      </c>
      <c r="AD678" s="527" t="s">
        <v>322</v>
      </c>
      <c r="AE678" s="327">
        <v>599</v>
      </c>
    </row>
    <row r="679" spans="1:31">
      <c r="C679" s="523">
        <v>627</v>
      </c>
      <c r="D679" s="523">
        <v>2</v>
      </c>
      <c r="E679" s="543" t="s">
        <v>3052</v>
      </c>
      <c r="F679" s="523">
        <v>70</v>
      </c>
      <c r="G679" s="523"/>
      <c r="H679" s="523">
        <v>66</v>
      </c>
      <c r="I679" s="523">
        <v>0</v>
      </c>
      <c r="J679" s="523">
        <v>0</v>
      </c>
      <c r="K679" s="523"/>
      <c r="L679" s="797">
        <f>[1]!tsabetm(C679)</f>
        <v>305.91666666666669</v>
      </c>
      <c r="M679" s="797">
        <f>[1]!tsabetz(C679)</f>
        <v>331.61666666666667</v>
      </c>
      <c r="N679" s="797">
        <f t="shared" si="57"/>
        <v>67.587548638132333</v>
      </c>
      <c r="O679" s="797">
        <f t="shared" si="58"/>
        <v>1445.0028169014086</v>
      </c>
      <c r="P679" s="797">
        <f t="shared" si="59"/>
        <v>30.111308959109238</v>
      </c>
      <c r="Q679" s="797">
        <f t="shared" si="60"/>
        <v>334</v>
      </c>
      <c r="R679" s="797">
        <f t="shared" si="61"/>
        <v>334.50185514931849</v>
      </c>
      <c r="S679" s="797">
        <f>[1]!taqsabet(O679,C679)</f>
        <v>334.50019508690036</v>
      </c>
      <c r="T679" s="523"/>
      <c r="U679" s="523">
        <v>11</v>
      </c>
      <c r="V679" s="523">
        <v>1</v>
      </c>
      <c r="W679" s="523">
        <v>37</v>
      </c>
      <c r="X679" s="523"/>
      <c r="Y679" s="523">
        <v>10</v>
      </c>
      <c r="Z679" s="523">
        <v>9</v>
      </c>
      <c r="AA679" s="523" t="s">
        <v>179</v>
      </c>
      <c r="AB679" s="523">
        <v>3</v>
      </c>
      <c r="AC679" s="523">
        <v>3</v>
      </c>
      <c r="AD679" s="523" t="s">
        <v>322</v>
      </c>
    </row>
    <row r="680" spans="1:31">
      <c r="C680" s="527">
        <v>628</v>
      </c>
      <c r="D680" s="527">
        <v>3</v>
      </c>
      <c r="E680" s="553" t="s">
        <v>3053</v>
      </c>
      <c r="F680" s="527">
        <v>70</v>
      </c>
      <c r="G680" s="527"/>
      <c r="H680" s="527">
        <v>66</v>
      </c>
      <c r="I680" s="527">
        <v>0</v>
      </c>
      <c r="J680" s="527">
        <v>0</v>
      </c>
      <c r="K680" s="527"/>
      <c r="L680" s="797">
        <f>[1]!tsabetm(C680)</f>
        <v>304.75</v>
      </c>
      <c r="M680" s="797">
        <f>[1]!tsabetz(C680)</f>
        <v>330.66666666666669</v>
      </c>
      <c r="N680" s="797">
        <f t="shared" si="57"/>
        <v>67.022508038585158</v>
      </c>
      <c r="O680" s="797">
        <f t="shared" si="58"/>
        <v>1445.0028169014086</v>
      </c>
      <c r="P680" s="797">
        <f t="shared" si="59"/>
        <v>34.570742821929343</v>
      </c>
      <c r="Q680" s="797">
        <f t="shared" si="60"/>
        <v>333</v>
      </c>
      <c r="R680" s="797">
        <f t="shared" si="61"/>
        <v>333.57617904703216</v>
      </c>
      <c r="S680" s="797">
        <f>[1]!taqsabet(O680,C680)</f>
        <v>333.57450498927591</v>
      </c>
      <c r="T680" s="527"/>
      <c r="U680" s="527">
        <v>11</v>
      </c>
      <c r="V680" s="527">
        <v>0</v>
      </c>
      <c r="W680" s="527">
        <v>40</v>
      </c>
      <c r="X680" s="527"/>
      <c r="Y680" s="527">
        <v>8</v>
      </c>
      <c r="Z680" s="527">
        <v>42</v>
      </c>
      <c r="AA680" s="527" t="s">
        <v>179</v>
      </c>
      <c r="AB680" s="527">
        <v>5</v>
      </c>
      <c r="AC680" s="527">
        <v>5</v>
      </c>
      <c r="AD680" s="527" t="s">
        <v>322</v>
      </c>
    </row>
    <row r="681" spans="1:31">
      <c r="C681" s="523">
        <v>629</v>
      </c>
      <c r="D681" s="523">
        <v>4</v>
      </c>
      <c r="E681" s="543" t="s">
        <v>2638</v>
      </c>
      <c r="F681" s="523">
        <v>70</v>
      </c>
      <c r="G681" s="523"/>
      <c r="H681" s="523">
        <v>66</v>
      </c>
      <c r="I681" s="523">
        <v>0</v>
      </c>
      <c r="J681" s="523">
        <v>0</v>
      </c>
      <c r="K681" s="523"/>
      <c r="L681" s="797">
        <f>[1]!tsabetm(C681)</f>
        <v>296.08333333333331</v>
      </c>
      <c r="M681" s="797">
        <f>[1]!tsabetz(C681)</f>
        <v>321.81666666666666</v>
      </c>
      <c r="N681" s="797">
        <f t="shared" si="57"/>
        <v>67.499999999999957</v>
      </c>
      <c r="O681" s="797">
        <f t="shared" si="58"/>
        <v>1445.0028169014086</v>
      </c>
      <c r="P681" s="797">
        <f t="shared" si="59"/>
        <v>42.335837245694847</v>
      </c>
      <c r="Q681" s="797">
        <f t="shared" si="60"/>
        <v>324</v>
      </c>
      <c r="R681" s="797">
        <f t="shared" si="61"/>
        <v>324.70559728742825</v>
      </c>
      <c r="S681" s="797">
        <f>[1]!taqsabet(O681,C681)</f>
        <v>324.70393507188123</v>
      </c>
      <c r="T681" s="523"/>
      <c r="U681" s="523">
        <v>10</v>
      </c>
      <c r="V681" s="523">
        <v>21</v>
      </c>
      <c r="W681" s="523">
        <v>49</v>
      </c>
      <c r="X681" s="523"/>
      <c r="Y681" s="523">
        <v>8</v>
      </c>
      <c r="Z681" s="523">
        <v>48</v>
      </c>
      <c r="AA681" s="523" t="s">
        <v>179</v>
      </c>
      <c r="AB681" s="523">
        <v>3</v>
      </c>
      <c r="AC681" s="523">
        <v>3</v>
      </c>
      <c r="AD681" s="523" t="s">
        <v>322</v>
      </c>
    </row>
    <row r="682" spans="1:31">
      <c r="C682" s="527">
        <v>630</v>
      </c>
      <c r="D682" s="527">
        <v>5</v>
      </c>
      <c r="E682" s="553" t="s">
        <v>3054</v>
      </c>
      <c r="F682" s="527">
        <v>70</v>
      </c>
      <c r="G682" s="527"/>
      <c r="H682" s="527">
        <v>66</v>
      </c>
      <c r="I682" s="527">
        <v>0</v>
      </c>
      <c r="J682" s="527">
        <v>0</v>
      </c>
      <c r="K682" s="527"/>
      <c r="L682" s="797">
        <f>[1]!tsabetm(C682)</f>
        <v>296.91666666666669</v>
      </c>
      <c r="M682" s="797">
        <f>[1]!tsabetz(C682)</f>
        <v>322.76666666666665</v>
      </c>
      <c r="N682" s="797">
        <f t="shared" si="57"/>
        <v>67.195357833655791</v>
      </c>
      <c r="O682" s="797">
        <f t="shared" si="58"/>
        <v>1445.0028169014086</v>
      </c>
      <c r="P682" s="797">
        <f t="shared" si="59"/>
        <v>40.121686248751303</v>
      </c>
      <c r="Q682" s="797">
        <f t="shared" si="60"/>
        <v>325</v>
      </c>
      <c r="R682" s="797">
        <f t="shared" si="61"/>
        <v>325.66869477081252</v>
      </c>
      <c r="S682" s="797">
        <f>[1]!taqsabet(O682,C682)</f>
        <v>325.66702501931417</v>
      </c>
      <c r="T682" s="527"/>
      <c r="U682" s="527">
        <v>10</v>
      </c>
      <c r="V682" s="527">
        <v>22</v>
      </c>
      <c r="W682" s="527">
        <v>46</v>
      </c>
      <c r="X682" s="527"/>
      <c r="Y682" s="527">
        <v>6</v>
      </c>
      <c r="Z682" s="527">
        <v>45</v>
      </c>
      <c r="AA682" s="527" t="s">
        <v>179</v>
      </c>
      <c r="AB682" s="527">
        <v>5</v>
      </c>
      <c r="AC682" s="527">
        <v>5</v>
      </c>
      <c r="AD682" s="527" t="s">
        <v>322</v>
      </c>
    </row>
    <row r="683" spans="1:31">
      <c r="C683" s="523">
        <v>631</v>
      </c>
      <c r="D683" s="523">
        <v>6</v>
      </c>
      <c r="E683" s="543" t="s">
        <v>3055</v>
      </c>
      <c r="F683" s="523">
        <v>70</v>
      </c>
      <c r="G683" s="523"/>
      <c r="H683" s="523">
        <v>66</v>
      </c>
      <c r="I683" s="523">
        <v>0</v>
      </c>
      <c r="J683" s="523">
        <v>0</v>
      </c>
      <c r="K683" s="523" t="s">
        <v>3056</v>
      </c>
      <c r="L683" s="797">
        <f>[1]!tsabetm(C683)</f>
        <v>292.25</v>
      </c>
      <c r="M683" s="797">
        <f>[1]!tsabetz(C683)</f>
        <v>312.21666666666664</v>
      </c>
      <c r="N683" s="797">
        <f t="shared" si="57"/>
        <v>86.994991652754706</v>
      </c>
      <c r="O683" s="797">
        <f t="shared" si="58"/>
        <v>1445.0028169014086</v>
      </c>
      <c r="P683" s="797">
        <f t="shared" si="59"/>
        <v>27.492443666022837</v>
      </c>
      <c r="Q683" s="797">
        <f t="shared" si="60"/>
        <v>314</v>
      </c>
      <c r="R683" s="797">
        <f t="shared" si="61"/>
        <v>314.45820739443371</v>
      </c>
      <c r="S683" s="797">
        <f>[1]!taqsabet(O683,C683)</f>
        <v>314.45691767019451</v>
      </c>
      <c r="T683" s="523"/>
      <c r="U683" s="523">
        <v>10</v>
      </c>
      <c r="V683" s="523">
        <v>12</v>
      </c>
      <c r="W683" s="523">
        <v>13</v>
      </c>
      <c r="X683" s="523"/>
      <c r="Y683" s="523">
        <v>7</v>
      </c>
      <c r="Z683" s="523">
        <v>6</v>
      </c>
      <c r="AA683" s="523" t="s">
        <v>179</v>
      </c>
      <c r="AB683" s="523">
        <v>4</v>
      </c>
      <c r="AC683" s="523">
        <v>3</v>
      </c>
      <c r="AD683" s="523" t="s">
        <v>322</v>
      </c>
    </row>
    <row r="684" spans="1:31">
      <c r="C684" s="527">
        <v>632</v>
      </c>
      <c r="D684" s="527">
        <v>7</v>
      </c>
      <c r="E684" s="553" t="s">
        <v>2612</v>
      </c>
      <c r="F684" s="527">
        <v>70</v>
      </c>
      <c r="G684" s="527"/>
      <c r="H684" s="527">
        <v>66</v>
      </c>
      <c r="I684" s="527">
        <v>0</v>
      </c>
      <c r="J684" s="527">
        <v>0</v>
      </c>
      <c r="K684" s="527" t="s">
        <v>3057</v>
      </c>
      <c r="L684" s="797">
        <f>[1]!tsabetm(C684)</f>
        <v>285.75</v>
      </c>
      <c r="M684" s="797">
        <f>[1]!tsabetz(C684)</f>
        <v>311.46666666666664</v>
      </c>
      <c r="N684" s="797">
        <f t="shared" si="57"/>
        <v>67.543745949449189</v>
      </c>
      <c r="O684" s="797">
        <f t="shared" si="58"/>
        <v>1445.0028169014086</v>
      </c>
      <c r="P684" s="797">
        <f t="shared" si="59"/>
        <v>21.223573102402042</v>
      </c>
      <c r="Q684" s="797">
        <f t="shared" si="60"/>
        <v>314</v>
      </c>
      <c r="R684" s="797">
        <f t="shared" si="61"/>
        <v>314.35372621837337</v>
      </c>
      <c r="S684" s="797">
        <f>[1]!taqsabet(O684,C684)</f>
        <v>314.3520650793908</v>
      </c>
      <c r="T684" s="527"/>
      <c r="U684" s="527">
        <v>10</v>
      </c>
      <c r="V684" s="527">
        <v>11</v>
      </c>
      <c r="W684" s="527">
        <v>28</v>
      </c>
      <c r="X684" s="527"/>
      <c r="Y684" s="527">
        <v>8</v>
      </c>
      <c r="Z684" s="527">
        <v>9</v>
      </c>
      <c r="AA684" s="527" t="s">
        <v>179</v>
      </c>
      <c r="AB684" s="527">
        <v>5</v>
      </c>
      <c r="AC684" s="527">
        <v>4</v>
      </c>
      <c r="AD684" s="527" t="s">
        <v>322</v>
      </c>
    </row>
    <row r="685" spans="1:31">
      <c r="C685" s="523">
        <v>633</v>
      </c>
      <c r="D685" s="523">
        <v>8</v>
      </c>
      <c r="E685" s="543" t="s">
        <v>3058</v>
      </c>
      <c r="F685" s="523">
        <v>70</v>
      </c>
      <c r="G685" s="523"/>
      <c r="H685" s="523">
        <v>66</v>
      </c>
      <c r="I685" s="523">
        <v>0</v>
      </c>
      <c r="J685" s="523">
        <v>0</v>
      </c>
      <c r="K685" s="523" t="s">
        <v>3056</v>
      </c>
      <c r="L685" s="797">
        <f>[1]!tsabetm(C685)</f>
        <v>284.25</v>
      </c>
      <c r="M685" s="33">
        <f>[1]!tsabetz(C685)</f>
        <v>309.91666666666669</v>
      </c>
      <c r="N685" s="797">
        <f t="shared" si="57"/>
        <v>67.675324675324632</v>
      </c>
      <c r="O685" s="797">
        <f t="shared" si="58"/>
        <v>1445.0028169014086</v>
      </c>
      <c r="P685" s="797">
        <f t="shared" si="59"/>
        <v>47.886780672523628</v>
      </c>
      <c r="Q685" s="797">
        <f t="shared" si="60"/>
        <v>312</v>
      </c>
      <c r="R685" s="797">
        <f t="shared" si="61"/>
        <v>312.79811301120873</v>
      </c>
      <c r="S685" s="797">
        <f>[1]!taqsabet(O685,C685)</f>
        <v>312.79645510191955</v>
      </c>
      <c r="T685" s="523"/>
      <c r="U685" s="523">
        <v>10</v>
      </c>
      <c r="V685" s="523">
        <v>9</v>
      </c>
      <c r="W685" s="523">
        <v>55</v>
      </c>
      <c r="X685" s="523"/>
      <c r="Y685" s="523">
        <v>8</v>
      </c>
      <c r="Z685" s="523">
        <v>9</v>
      </c>
      <c r="AA685" s="523" t="s">
        <v>179</v>
      </c>
      <c r="AB685" s="523">
        <v>4</v>
      </c>
      <c r="AC685" s="523">
        <v>3</v>
      </c>
      <c r="AD685" s="523" t="s">
        <v>322</v>
      </c>
    </row>
    <row r="686" spans="1:31">
      <c r="C686" s="527">
        <v>634</v>
      </c>
      <c r="D686" s="527">
        <v>9</v>
      </c>
      <c r="E686" s="553" t="s">
        <v>3059</v>
      </c>
      <c r="F686" s="527">
        <v>70</v>
      </c>
      <c r="G686" s="527"/>
      <c r="H686" s="527">
        <v>67</v>
      </c>
      <c r="I686" s="527">
        <v>5</v>
      </c>
      <c r="J686" s="527">
        <v>21</v>
      </c>
      <c r="K686" s="527" t="s">
        <v>3060</v>
      </c>
      <c r="L686" s="797">
        <f>[1]!tsabetm(C686)</f>
        <v>309.08333333333331</v>
      </c>
      <c r="M686" s="797">
        <f>[1]!tsabetz(C686)</f>
        <v>335.41666666666669</v>
      </c>
      <c r="N686" s="797">
        <f t="shared" si="57"/>
        <v>65.962025316455595</v>
      </c>
      <c r="O686" s="797">
        <f t="shared" si="58"/>
        <v>1445.0028169014086</v>
      </c>
      <c r="P686" s="797">
        <f t="shared" si="59"/>
        <v>22.37734640427675</v>
      </c>
      <c r="Q686" s="797">
        <f t="shared" si="60"/>
        <v>338</v>
      </c>
      <c r="R686" s="797">
        <f t="shared" si="61"/>
        <v>338.37295577340461</v>
      </c>
      <c r="S686" s="797">
        <f>[1]!taqsabet(O686,C686)</f>
        <v>338.37125480153651</v>
      </c>
      <c r="T686" s="527"/>
      <c r="U686" s="527">
        <v>11</v>
      </c>
      <c r="V686" s="527">
        <v>5</v>
      </c>
      <c r="W686" s="527">
        <v>25</v>
      </c>
      <c r="X686" s="527"/>
      <c r="Y686" s="527">
        <v>8</v>
      </c>
      <c r="Z686" s="527">
        <v>0</v>
      </c>
      <c r="AA686" s="527" t="s">
        <v>179</v>
      </c>
      <c r="AB686" s="527">
        <v>3</v>
      </c>
      <c r="AC686" s="527">
        <v>3</v>
      </c>
      <c r="AD686" s="527" t="s">
        <v>322</v>
      </c>
    </row>
    <row r="687" spans="1:31">
      <c r="C687" s="523">
        <v>635</v>
      </c>
      <c r="D687" s="523">
        <v>10</v>
      </c>
      <c r="E687" s="543" t="s">
        <v>3061</v>
      </c>
      <c r="F687" s="523">
        <v>70</v>
      </c>
      <c r="G687" s="523"/>
      <c r="H687" s="523">
        <v>66</v>
      </c>
      <c r="I687" s="523">
        <v>0</v>
      </c>
      <c r="J687" s="523">
        <v>0</v>
      </c>
      <c r="K687" s="523"/>
      <c r="L687" s="797">
        <f>[1]!tsabetm(C687)</f>
        <v>311.25</v>
      </c>
      <c r="M687" s="797">
        <f>[1]!tsabetz(C687)</f>
        <v>337.01666666666665</v>
      </c>
      <c r="N687" s="797">
        <f t="shared" si="57"/>
        <v>67.412677878395897</v>
      </c>
      <c r="O687" s="797">
        <f t="shared" si="58"/>
        <v>1445.0028169014086</v>
      </c>
      <c r="P687" s="797">
        <f t="shared" si="59"/>
        <v>54.560365532283868</v>
      </c>
      <c r="Q687" s="797">
        <f t="shared" si="60"/>
        <v>339</v>
      </c>
      <c r="R687" s="797">
        <f t="shared" si="61"/>
        <v>339.90933942553806</v>
      </c>
      <c r="S687" s="797">
        <f>[1]!taqsabet(O687,C687)</f>
        <v>339.90767505686205</v>
      </c>
      <c r="T687" s="523"/>
      <c r="U687" s="523">
        <v>11</v>
      </c>
      <c r="V687" s="523">
        <v>7</v>
      </c>
      <c r="W687" s="523">
        <v>1</v>
      </c>
      <c r="X687" s="523"/>
      <c r="Y687" s="523">
        <v>10</v>
      </c>
      <c r="Z687" s="523">
        <v>9</v>
      </c>
      <c r="AA687" s="523" t="s">
        <v>179</v>
      </c>
      <c r="AB687" s="523">
        <v>4</v>
      </c>
      <c r="AC687" s="523">
        <v>3</v>
      </c>
      <c r="AD687" s="523" t="s">
        <v>322</v>
      </c>
    </row>
    <row r="688" spans="1:31">
      <c r="C688" s="527">
        <v>636</v>
      </c>
      <c r="D688" s="527">
        <v>11</v>
      </c>
      <c r="E688" s="553" t="s">
        <v>3062</v>
      </c>
      <c r="F688" s="527">
        <v>70</v>
      </c>
      <c r="G688" s="527"/>
      <c r="H688" s="527">
        <v>66</v>
      </c>
      <c r="I688" s="527">
        <v>0</v>
      </c>
      <c r="J688" s="527">
        <v>0</v>
      </c>
      <c r="K688" s="527"/>
      <c r="L688" s="797">
        <f>[1]!tsabetm(C688)</f>
        <v>311.58333333333331</v>
      </c>
      <c r="M688" s="797">
        <f>[1]!tsabetz(C688)</f>
        <v>337.21666666666664</v>
      </c>
      <c r="N688" s="797">
        <f t="shared" si="57"/>
        <v>67.763328998699635</v>
      </c>
      <c r="O688" s="797">
        <f t="shared" si="58"/>
        <v>1445.0028169014086</v>
      </c>
      <c r="P688" s="797">
        <f t="shared" si="59"/>
        <v>5.6622523859311968</v>
      </c>
      <c r="Q688" s="797">
        <f t="shared" si="60"/>
        <v>340</v>
      </c>
      <c r="R688" s="797">
        <f t="shared" si="61"/>
        <v>340.09437087309885</v>
      </c>
      <c r="S688" s="797">
        <f>[1]!taqsabet(O688,C688)</f>
        <v>340.09271511693868</v>
      </c>
      <c r="T688" s="527"/>
      <c r="U688" s="527">
        <v>11</v>
      </c>
      <c r="V688" s="527">
        <v>7</v>
      </c>
      <c r="W688" s="527">
        <v>13</v>
      </c>
      <c r="X688" s="527"/>
      <c r="Y688" s="527">
        <v>8</v>
      </c>
      <c r="Z688" s="527">
        <v>48</v>
      </c>
      <c r="AA688" s="527" t="s">
        <v>179</v>
      </c>
      <c r="AB688" s="527">
        <v>3</v>
      </c>
      <c r="AC688" s="527">
        <v>3</v>
      </c>
      <c r="AD688" s="527" t="s">
        <v>322</v>
      </c>
    </row>
    <row r="689" spans="3:31">
      <c r="C689" s="523">
        <v>637</v>
      </c>
      <c r="D689" s="523">
        <v>12</v>
      </c>
      <c r="E689" s="543" t="s">
        <v>2465</v>
      </c>
      <c r="F689" s="523">
        <v>70</v>
      </c>
      <c r="G689" s="523"/>
      <c r="H689" s="523">
        <v>66</v>
      </c>
      <c r="I689" s="523">
        <v>0</v>
      </c>
      <c r="J689" s="523">
        <v>0</v>
      </c>
      <c r="K689" s="523"/>
      <c r="L689" s="797">
        <f>[1]!tsabetm(C689)</f>
        <v>312.91666666666669</v>
      </c>
      <c r="M689" s="797">
        <f>[1]!tsabetz(C689)</f>
        <v>339.01666666666665</v>
      </c>
      <c r="N689" s="797">
        <f t="shared" si="57"/>
        <v>66.551724137931117</v>
      </c>
      <c r="O689" s="797">
        <f t="shared" si="58"/>
        <v>1445.0028169014086</v>
      </c>
      <c r="P689" s="797">
        <f t="shared" si="59"/>
        <v>56.805648398160429</v>
      </c>
      <c r="Q689" s="797">
        <f t="shared" si="60"/>
        <v>341</v>
      </c>
      <c r="R689" s="797">
        <f t="shared" si="61"/>
        <v>341.94676080663601</v>
      </c>
      <c r="S689" s="797">
        <f>[1]!taqsabet(O689,C689)</f>
        <v>341.94507490667053</v>
      </c>
      <c r="T689" s="523"/>
      <c r="U689" s="523">
        <v>11</v>
      </c>
      <c r="V689" s="523">
        <v>9</v>
      </c>
      <c r="W689" s="523">
        <v>1</v>
      </c>
      <c r="X689" s="523"/>
      <c r="Y689" s="523">
        <v>8</v>
      </c>
      <c r="Z689" s="523">
        <v>0</v>
      </c>
      <c r="AA689" s="523" t="s">
        <v>179</v>
      </c>
      <c r="AB689" s="523">
        <v>3</v>
      </c>
      <c r="AC689" s="523">
        <v>3</v>
      </c>
      <c r="AD689" s="523" t="s">
        <v>1632</v>
      </c>
    </row>
    <row r="690" spans="3:31">
      <c r="C690" s="527">
        <v>638</v>
      </c>
      <c r="D690" s="527">
        <v>13</v>
      </c>
      <c r="E690" s="553" t="s">
        <v>3063</v>
      </c>
      <c r="F690" s="527">
        <v>70</v>
      </c>
      <c r="G690" s="527"/>
      <c r="H690" s="527">
        <v>66</v>
      </c>
      <c r="I690" s="527">
        <v>0</v>
      </c>
      <c r="J690" s="527">
        <v>0</v>
      </c>
      <c r="K690" s="527"/>
      <c r="L690" s="797">
        <f>[1]!tsabetm(C690)</f>
        <v>305.75</v>
      </c>
      <c r="M690" s="797">
        <f>[1]!tsabetz(C690)</f>
        <v>331.63333333333333</v>
      </c>
      <c r="N690" s="797">
        <f t="shared" si="57"/>
        <v>67.108821635544132</v>
      </c>
      <c r="O690" s="797">
        <f t="shared" si="58"/>
        <v>1445.0028169014086</v>
      </c>
      <c r="P690" s="797">
        <f t="shared" si="59"/>
        <v>32.34621453534146</v>
      </c>
      <c r="Q690" s="797">
        <f t="shared" si="60"/>
        <v>334</v>
      </c>
      <c r="R690" s="797">
        <f t="shared" si="61"/>
        <v>334.53910357558902</v>
      </c>
      <c r="S690" s="797">
        <f>[1]!taqsabet(O690,C690)</f>
        <v>334.53743167096172</v>
      </c>
      <c r="T690" s="527"/>
      <c r="U690" s="527">
        <v>11</v>
      </c>
      <c r="V690" s="527">
        <v>1</v>
      </c>
      <c r="W690" s="527">
        <v>38</v>
      </c>
      <c r="X690" s="527"/>
      <c r="Y690" s="527">
        <v>1</v>
      </c>
      <c r="Z690" s="527">
        <v>48</v>
      </c>
      <c r="AA690" s="527" t="s">
        <v>179</v>
      </c>
      <c r="AB690" s="527">
        <v>4</v>
      </c>
      <c r="AC690" s="527">
        <v>4</v>
      </c>
      <c r="AD690" s="527" t="s">
        <v>1632</v>
      </c>
    </row>
    <row r="691" spans="3:31">
      <c r="C691" s="523">
        <v>639</v>
      </c>
      <c r="D691" s="523">
        <v>14</v>
      </c>
      <c r="E691" s="543" t="s">
        <v>2465</v>
      </c>
      <c r="F691" s="523">
        <v>70</v>
      </c>
      <c r="G691" s="523"/>
      <c r="H691" s="523">
        <v>66</v>
      </c>
      <c r="I691" s="523">
        <v>0</v>
      </c>
      <c r="J691" s="523">
        <v>0</v>
      </c>
      <c r="K691" s="523"/>
      <c r="L691" s="797">
        <f>[1]!tsabetm(C691)</f>
        <v>306.58333333333331</v>
      </c>
      <c r="M691" s="797">
        <f>[1]!tsabetz(C691)</f>
        <v>332.26666666666665</v>
      </c>
      <c r="N691" s="797">
        <f t="shared" si="57"/>
        <v>67.631408176508756</v>
      </c>
      <c r="O691" s="797">
        <f t="shared" si="58"/>
        <v>1445.0028169014086</v>
      </c>
      <c r="P691" s="797">
        <f t="shared" si="59"/>
        <v>8.9990448158130221</v>
      </c>
      <c r="Q691" s="797">
        <f t="shared" si="60"/>
        <v>335</v>
      </c>
      <c r="R691" s="797">
        <f t="shared" si="61"/>
        <v>335.14998408026355</v>
      </c>
      <c r="S691" s="797">
        <f>[1]!taqsabet(O691,C691)</f>
        <v>335.14832509440993</v>
      </c>
      <c r="T691" s="523"/>
      <c r="U691" s="523">
        <v>11</v>
      </c>
      <c r="V691" s="523">
        <v>2</v>
      </c>
      <c r="W691" s="523">
        <v>16</v>
      </c>
      <c r="X691" s="523"/>
      <c r="Y691" s="523">
        <v>2</v>
      </c>
      <c r="Z691" s="523">
        <v>18</v>
      </c>
      <c r="AA691" s="523" t="s">
        <v>179</v>
      </c>
      <c r="AB691" s="523">
        <v>5</v>
      </c>
      <c r="AC691" s="523">
        <v>5</v>
      </c>
      <c r="AD691" s="523" t="s">
        <v>1632</v>
      </c>
    </row>
    <row r="692" spans="3:31">
      <c r="C692" s="527">
        <v>640</v>
      </c>
      <c r="D692" s="527">
        <v>15</v>
      </c>
      <c r="E692" s="553" t="s">
        <v>3064</v>
      </c>
      <c r="F692" s="527">
        <v>70</v>
      </c>
      <c r="G692" s="527"/>
      <c r="H692" s="527">
        <v>66</v>
      </c>
      <c r="I692" s="527">
        <v>0</v>
      </c>
      <c r="J692" s="527">
        <v>0</v>
      </c>
      <c r="K692" s="527"/>
      <c r="L692" s="797">
        <f>[1]!tsabetm(C692)</f>
        <v>308.25</v>
      </c>
      <c r="M692" s="797">
        <f>[1]!tsabetz(C692)</f>
        <v>334.11666666666667</v>
      </c>
      <c r="N692" s="797">
        <f t="shared" si="57"/>
        <v>67.152061855670084</v>
      </c>
      <c r="O692" s="797">
        <f t="shared" si="58"/>
        <v>1445.0028169014086</v>
      </c>
      <c r="P692" s="797">
        <f t="shared" si="59"/>
        <v>1.2339503920475181</v>
      </c>
      <c r="Q692" s="797">
        <f t="shared" si="60"/>
        <v>337</v>
      </c>
      <c r="R692" s="797">
        <f t="shared" si="61"/>
        <v>337.02056583986746</v>
      </c>
      <c r="S692" s="797">
        <f>[1]!taqsabet(O692,C692)</f>
        <v>337.01889501180466</v>
      </c>
      <c r="T692" s="527"/>
      <c r="U692" s="527">
        <v>11</v>
      </c>
      <c r="V692" s="527">
        <v>4</v>
      </c>
      <c r="W692" s="527">
        <v>7</v>
      </c>
      <c r="X692" s="527"/>
      <c r="Y692" s="527">
        <v>1</v>
      </c>
      <c r="Z692" s="527">
        <v>15</v>
      </c>
      <c r="AA692" s="527" t="s">
        <v>3038</v>
      </c>
      <c r="AB692" s="527">
        <v>4</v>
      </c>
      <c r="AC692" s="527">
        <v>4</v>
      </c>
      <c r="AD692" s="527" t="s">
        <v>1632</v>
      </c>
    </row>
    <row r="693" spans="3:31">
      <c r="C693" s="523">
        <v>641</v>
      </c>
      <c r="D693" s="523">
        <v>16</v>
      </c>
      <c r="E693" s="543" t="s">
        <v>3065</v>
      </c>
      <c r="F693" s="523">
        <v>70</v>
      </c>
      <c r="G693" s="523"/>
      <c r="H693" s="523">
        <v>66</v>
      </c>
      <c r="I693" s="523">
        <v>0</v>
      </c>
      <c r="J693" s="523">
        <v>0</v>
      </c>
      <c r="K693" s="523"/>
      <c r="L693" s="797">
        <f>[1]!tsabetm(C693)</f>
        <v>301.25</v>
      </c>
      <c r="M693" s="797">
        <f>[1]!tsabetz(C693)</f>
        <v>327.71666666666664</v>
      </c>
      <c r="N693" s="797">
        <f t="shared" si="57"/>
        <v>65.629722921914421</v>
      </c>
      <c r="O693" s="797">
        <f t="shared" si="58"/>
        <v>1445.0028169014086</v>
      </c>
      <c r="P693" s="797">
        <f t="shared" si="59"/>
        <v>41.2754595506226</v>
      </c>
      <c r="Q693" s="797">
        <f t="shared" si="60"/>
        <v>330</v>
      </c>
      <c r="R693" s="797">
        <f t="shared" si="61"/>
        <v>330.68792432584371</v>
      </c>
      <c r="S693" s="797">
        <f>[1]!taqsabet(O693,C693)</f>
        <v>330.68621474145988</v>
      </c>
      <c r="T693" s="523"/>
      <c r="U693" s="523">
        <v>10</v>
      </c>
      <c r="V693" s="523">
        <v>27</v>
      </c>
      <c r="W693" s="523">
        <v>43</v>
      </c>
      <c r="X693" s="523"/>
      <c r="Y693" s="523">
        <v>1</v>
      </c>
      <c r="Z693" s="523">
        <v>54</v>
      </c>
      <c r="AA693" s="523" t="s">
        <v>3038</v>
      </c>
      <c r="AB693" s="523">
        <v>4</v>
      </c>
      <c r="AC693" s="523">
        <v>4</v>
      </c>
      <c r="AD693" s="523" t="s">
        <v>1632</v>
      </c>
    </row>
    <row r="694" spans="3:31">
      <c r="C694" s="527">
        <v>642</v>
      </c>
      <c r="D694" s="527">
        <v>17</v>
      </c>
      <c r="E694" s="553" t="s">
        <v>2582</v>
      </c>
      <c r="F694" s="527">
        <v>70</v>
      </c>
      <c r="G694" s="527"/>
      <c r="H694" s="527">
        <v>66</v>
      </c>
      <c r="I694" s="527">
        <v>0</v>
      </c>
      <c r="J694" s="527">
        <v>0</v>
      </c>
      <c r="K694" s="527"/>
      <c r="L694" s="797">
        <f>[1]!tsabetm(C694)</f>
        <v>302.75</v>
      </c>
      <c r="M694" s="797">
        <f>[1]!tsabetz(C694)</f>
        <v>329.26666666666665</v>
      </c>
      <c r="N694" s="797">
        <f t="shared" si="57"/>
        <v>65.505971087366476</v>
      </c>
      <c r="O694" s="797">
        <f t="shared" si="58"/>
        <v>1445.0028169014086</v>
      </c>
      <c r="P694" s="797">
        <f t="shared" si="59"/>
        <v>14.612251980507835</v>
      </c>
      <c r="Q694" s="797">
        <f t="shared" si="60"/>
        <v>332</v>
      </c>
      <c r="R694" s="797">
        <f t="shared" si="61"/>
        <v>332.24353753300846</v>
      </c>
      <c r="S694" s="797">
        <f>[1]!taqsabet(O694,C694)</f>
        <v>332.24182471893113</v>
      </c>
      <c r="T694" s="527"/>
      <c r="U694" s="527">
        <v>10</v>
      </c>
      <c r="V694" s="527">
        <v>29</v>
      </c>
      <c r="W694" s="527">
        <v>16</v>
      </c>
      <c r="X694" s="527"/>
      <c r="Y694" s="527">
        <v>4</v>
      </c>
      <c r="Z694" s="527">
        <v>45</v>
      </c>
      <c r="AA694" s="527" t="s">
        <v>179</v>
      </c>
      <c r="AB694" s="527">
        <v>6</v>
      </c>
      <c r="AC694" s="527">
        <v>6</v>
      </c>
      <c r="AD694" s="527" t="s">
        <v>1632</v>
      </c>
    </row>
    <row r="695" spans="3:31">
      <c r="C695" s="523">
        <v>643</v>
      </c>
      <c r="D695" s="523">
        <v>18</v>
      </c>
      <c r="E695" s="543" t="s">
        <v>3066</v>
      </c>
      <c r="F695" s="523">
        <v>70</v>
      </c>
      <c r="G695" s="523"/>
      <c r="H695" s="523">
        <v>66</v>
      </c>
      <c r="I695" s="523">
        <v>0</v>
      </c>
      <c r="J695" s="523">
        <v>0</v>
      </c>
      <c r="K695" s="523"/>
      <c r="L695" s="797">
        <f>[1]!tsabetm(C695)</f>
        <v>311.25</v>
      </c>
      <c r="M695" s="797">
        <f>[1]!tsabetz(C695)</f>
        <v>338.01666666666665</v>
      </c>
      <c r="N695" s="797">
        <f t="shared" si="57"/>
        <v>64.894146948941511</v>
      </c>
      <c r="O695" s="797">
        <f t="shared" si="58"/>
        <v>1445.0028169014086</v>
      </c>
      <c r="P695" s="797">
        <f t="shared" si="59"/>
        <v>1.296214129913551</v>
      </c>
      <c r="Q695" s="797">
        <f t="shared" si="60"/>
        <v>341</v>
      </c>
      <c r="R695" s="797">
        <f t="shared" si="61"/>
        <v>341.02160356883189</v>
      </c>
      <c r="S695" s="797">
        <f>[1]!taqsabet(O695,C695)</f>
        <v>341.01987460628749</v>
      </c>
      <c r="T695" s="523"/>
      <c r="U695" s="523">
        <v>11</v>
      </c>
      <c r="V695" s="523">
        <v>8</v>
      </c>
      <c r="W695" s="523">
        <v>1</v>
      </c>
      <c r="X695" s="523"/>
      <c r="Y695" s="523">
        <v>8</v>
      </c>
      <c r="Z695" s="523">
        <v>18</v>
      </c>
      <c r="AA695" s="523" t="s">
        <v>274</v>
      </c>
      <c r="AB695" s="523">
        <v>3</v>
      </c>
      <c r="AC695" s="523">
        <v>3</v>
      </c>
      <c r="AD695" s="523" t="s">
        <v>1632</v>
      </c>
    </row>
    <row r="696" spans="3:31">
      <c r="C696" s="527">
        <v>644</v>
      </c>
      <c r="D696" s="527">
        <v>19</v>
      </c>
      <c r="E696" s="553" t="s">
        <v>3067</v>
      </c>
      <c r="F696" s="527">
        <v>70</v>
      </c>
      <c r="G696" s="527"/>
      <c r="H696" s="527">
        <v>66</v>
      </c>
      <c r="I696" s="527">
        <v>0</v>
      </c>
      <c r="J696" s="527">
        <v>0</v>
      </c>
      <c r="K696" s="527"/>
      <c r="L696" s="797">
        <f>[1]!tsabetm(C696)</f>
        <v>310.91666666666669</v>
      </c>
      <c r="M696" s="797">
        <f>[1]!tsabetz(C696)</f>
        <v>337.71666666666664</v>
      </c>
      <c r="N696" s="797">
        <f t="shared" si="57"/>
        <v>64.813432835821004</v>
      </c>
      <c r="O696" s="797">
        <f t="shared" si="58"/>
        <v>1445.0028169014086</v>
      </c>
      <c r="P696" s="797">
        <f t="shared" si="59"/>
        <v>43.520742416499161</v>
      </c>
      <c r="Q696" s="797">
        <f t="shared" si="60"/>
        <v>340</v>
      </c>
      <c r="R696" s="797">
        <f t="shared" si="61"/>
        <v>340.72534570694165</v>
      </c>
      <c r="S696" s="797">
        <f>[1]!taqsabet(O696,C696)</f>
        <v>340.72361459126836</v>
      </c>
      <c r="T696" s="527"/>
      <c r="U696" s="527">
        <v>11</v>
      </c>
      <c r="V696" s="527">
        <v>7</v>
      </c>
      <c r="W696" s="527">
        <v>43</v>
      </c>
      <c r="X696" s="527"/>
      <c r="Y696" s="527">
        <v>5</v>
      </c>
      <c r="Z696" s="527">
        <v>45</v>
      </c>
      <c r="AA696" s="527" t="s">
        <v>274</v>
      </c>
      <c r="AB696" s="527">
        <v>4</v>
      </c>
      <c r="AC696" s="527">
        <v>4</v>
      </c>
      <c r="AD696" s="527" t="s">
        <v>1632</v>
      </c>
    </row>
    <row r="697" spans="3:31">
      <c r="C697" s="523">
        <v>645</v>
      </c>
      <c r="D697" s="523">
        <v>20</v>
      </c>
      <c r="E697" s="543" t="s">
        <v>3068</v>
      </c>
      <c r="F697" s="523">
        <v>70</v>
      </c>
      <c r="G697" s="523"/>
      <c r="H697" s="523">
        <v>66</v>
      </c>
      <c r="I697" s="523">
        <v>0</v>
      </c>
      <c r="J697" s="523">
        <v>0</v>
      </c>
      <c r="K697" s="523"/>
      <c r="L697" s="797">
        <f>[1]!tsabetm(C697)</f>
        <v>304.25</v>
      </c>
      <c r="M697" s="797">
        <f>[1]!tsabetz(C697)</f>
        <v>330.81666666666666</v>
      </c>
      <c r="N697" s="797">
        <f t="shared" si="57"/>
        <v>65.382685069008787</v>
      </c>
      <c r="O697" s="797">
        <f t="shared" si="58"/>
        <v>1445.0028169014086</v>
      </c>
      <c r="P697" s="797">
        <f t="shared" si="59"/>
        <v>47.949044410389661</v>
      </c>
      <c r="Q697" s="797">
        <f t="shared" si="60"/>
        <v>333</v>
      </c>
      <c r="R697" s="797">
        <f t="shared" si="61"/>
        <v>333.79915074017316</v>
      </c>
      <c r="S697" s="797">
        <f>[1]!taqsabet(O697,C697)</f>
        <v>333.79743469640243</v>
      </c>
      <c r="T697" s="523"/>
      <c r="U697" s="523">
        <v>11</v>
      </c>
      <c r="V697" s="523">
        <v>0</v>
      </c>
      <c r="W697" s="523">
        <v>49</v>
      </c>
      <c r="X697" s="523"/>
      <c r="Y697" s="523">
        <v>6</v>
      </c>
      <c r="Z697" s="523">
        <v>9</v>
      </c>
      <c r="AA697" s="523" t="s">
        <v>274</v>
      </c>
      <c r="AB697" s="523">
        <v>6</v>
      </c>
      <c r="AC697" s="523">
        <v>5</v>
      </c>
      <c r="AD697" s="523" t="s">
        <v>1632</v>
      </c>
    </row>
    <row r="698" spans="3:31">
      <c r="C698" s="527">
        <v>646</v>
      </c>
      <c r="D698" s="527">
        <v>21</v>
      </c>
      <c r="E698" s="553" t="s">
        <v>3069</v>
      </c>
      <c r="F698" s="527">
        <v>70</v>
      </c>
      <c r="G698" s="527"/>
      <c r="H698" s="527">
        <v>66</v>
      </c>
      <c r="I698" s="527">
        <v>0</v>
      </c>
      <c r="J698" s="527">
        <v>0</v>
      </c>
      <c r="K698" s="527"/>
      <c r="L698" s="797">
        <f>[1]!tsabetm(C698)</f>
        <v>307.91666666666669</v>
      </c>
      <c r="M698" s="797">
        <f>[1]!tsabetz(C698)</f>
        <v>334.66666666666669</v>
      </c>
      <c r="N698" s="797">
        <f t="shared" si="57"/>
        <v>64.934579439252332</v>
      </c>
      <c r="O698" s="797">
        <f t="shared" si="58"/>
        <v>1445.0028169014086</v>
      </c>
      <c r="P698" s="797">
        <f t="shared" si="59"/>
        <v>40.183949986620746</v>
      </c>
      <c r="Q698" s="797">
        <f t="shared" si="60"/>
        <v>337</v>
      </c>
      <c r="R698" s="797">
        <f t="shared" si="61"/>
        <v>337.66973249977701</v>
      </c>
      <c r="S698" s="797">
        <f>[1]!taqsabet(O698,C698)</f>
        <v>337.66800461379711</v>
      </c>
      <c r="T698" s="527"/>
      <c r="U698" s="527">
        <v>11</v>
      </c>
      <c r="V698" s="527">
        <v>4</v>
      </c>
      <c r="W698" s="527">
        <v>40</v>
      </c>
      <c r="X698" s="527"/>
      <c r="Y698" s="527">
        <v>11</v>
      </c>
      <c r="Z698" s="527">
        <v>0</v>
      </c>
      <c r="AA698" s="527" t="s">
        <v>274</v>
      </c>
      <c r="AB698" s="527">
        <v>5</v>
      </c>
      <c r="AC698" s="527">
        <v>5</v>
      </c>
      <c r="AD698" s="527" t="s">
        <v>1632</v>
      </c>
    </row>
    <row r="699" spans="3:31">
      <c r="C699" s="523">
        <v>647</v>
      </c>
      <c r="D699" s="523">
        <v>22</v>
      </c>
      <c r="E699" s="543" t="s">
        <v>3070</v>
      </c>
      <c r="F699" s="523">
        <v>70</v>
      </c>
      <c r="G699" s="523"/>
      <c r="H699" s="523">
        <v>66</v>
      </c>
      <c r="I699" s="523">
        <v>0</v>
      </c>
      <c r="J699" s="523">
        <v>0</v>
      </c>
      <c r="K699" s="523"/>
      <c r="L699" s="797">
        <f>[1]!tsabetm(C699)</f>
        <v>307.41666666666669</v>
      </c>
      <c r="M699" s="797">
        <f>[1]!tsabetz(C699)</f>
        <v>333.91666666666669</v>
      </c>
      <c r="N699" s="797">
        <f t="shared" si="57"/>
        <v>65.547169811320757</v>
      </c>
      <c r="O699" s="797">
        <f t="shared" si="58"/>
        <v>1445.0028169014086</v>
      </c>
      <c r="P699" s="797">
        <f t="shared" si="59"/>
        <v>53.499987837215031</v>
      </c>
      <c r="Q699" s="797">
        <f t="shared" si="60"/>
        <v>336</v>
      </c>
      <c r="R699" s="797">
        <f t="shared" si="61"/>
        <v>336.89166646395358</v>
      </c>
      <c r="S699" s="797">
        <f>[1]!taqsabet(O699,C699)</f>
        <v>336.88995472644075</v>
      </c>
      <c r="T699" s="523"/>
      <c r="U699" s="523">
        <v>11</v>
      </c>
      <c r="V699" s="523">
        <v>3</v>
      </c>
      <c r="W699" s="523">
        <v>55</v>
      </c>
      <c r="X699" s="523"/>
      <c r="Y699" s="523">
        <v>10</v>
      </c>
      <c r="Z699" s="523">
        <v>6</v>
      </c>
      <c r="AA699" s="523" t="s">
        <v>3038</v>
      </c>
      <c r="AB699" s="523">
        <v>5</v>
      </c>
      <c r="AC699" s="523">
        <v>5</v>
      </c>
      <c r="AD699" s="523" t="s">
        <v>1632</v>
      </c>
    </row>
    <row r="700" spans="3:31">
      <c r="C700" s="527">
        <v>648</v>
      </c>
      <c r="D700" s="527">
        <v>23</v>
      </c>
      <c r="E700" s="553" t="s">
        <v>3071</v>
      </c>
      <c r="F700" s="527">
        <v>70</v>
      </c>
      <c r="G700" s="527"/>
      <c r="H700" s="527">
        <v>66</v>
      </c>
      <c r="I700" s="527">
        <v>0</v>
      </c>
      <c r="J700" s="527">
        <v>0</v>
      </c>
      <c r="K700" s="527"/>
      <c r="L700" s="797">
        <f>[1]!tsabetm(C700)</f>
        <v>314.58333333333331</v>
      </c>
      <c r="M700" s="797">
        <f>[1]!tsabetz(C700)</f>
        <v>340.61666666666667</v>
      </c>
      <c r="N700" s="797">
        <f t="shared" si="57"/>
        <v>66.722151088348198</v>
      </c>
      <c r="O700" s="797">
        <f t="shared" si="58"/>
        <v>1445.0028169014086</v>
      </c>
      <c r="P700" s="797">
        <f t="shared" si="59"/>
        <v>32.356591824985799</v>
      </c>
      <c r="Q700" s="797">
        <f t="shared" si="60"/>
        <v>343</v>
      </c>
      <c r="R700" s="797">
        <f t="shared" si="61"/>
        <v>343.53927653041643</v>
      </c>
      <c r="S700" s="797">
        <f>[1]!taqsabet(O700,C700)</f>
        <v>343.5375949367089</v>
      </c>
      <c r="T700" s="527"/>
      <c r="U700" s="527">
        <v>11</v>
      </c>
      <c r="V700" s="527">
        <v>10</v>
      </c>
      <c r="W700" s="527">
        <v>37</v>
      </c>
      <c r="X700" s="527"/>
      <c r="Y700" s="527">
        <v>0</v>
      </c>
      <c r="Z700" s="527">
        <v>18</v>
      </c>
      <c r="AA700" s="527" t="s">
        <v>274</v>
      </c>
      <c r="AB700" s="527">
        <v>4</v>
      </c>
      <c r="AC700" s="527">
        <v>4</v>
      </c>
      <c r="AD700" s="527" t="s">
        <v>3072</v>
      </c>
      <c r="AE700" s="327">
        <v>600</v>
      </c>
    </row>
    <row r="701" spans="3:31">
      <c r="C701" s="523">
        <v>649</v>
      </c>
      <c r="D701" s="523">
        <v>24</v>
      </c>
      <c r="E701" s="543" t="s">
        <v>3073</v>
      </c>
      <c r="F701" s="523">
        <v>70</v>
      </c>
      <c r="G701" s="523"/>
      <c r="H701" s="523">
        <v>66</v>
      </c>
      <c r="I701" s="523">
        <v>0</v>
      </c>
      <c r="J701" s="523">
        <v>0</v>
      </c>
      <c r="K701" s="523"/>
      <c r="L701" s="797">
        <f>[1]!tsabetm(C701)</f>
        <v>314.41666666666669</v>
      </c>
      <c r="M701" s="797">
        <f>[1]!tsabetz(C701)</f>
        <v>338.16666666666669</v>
      </c>
      <c r="N701" s="797">
        <f t="shared" si="57"/>
        <v>73.136842105263156</v>
      </c>
      <c r="O701" s="797">
        <f t="shared" si="58"/>
        <v>1445.0028169014086</v>
      </c>
      <c r="P701" s="797">
        <f t="shared" si="59"/>
        <v>49.976404193731696</v>
      </c>
      <c r="Q701" s="797">
        <f t="shared" si="60"/>
        <v>340</v>
      </c>
      <c r="R701" s="797">
        <f t="shared" si="61"/>
        <v>340.83294006989553</v>
      </c>
      <c r="S701" s="797">
        <f>[1]!taqsabet(O701,C701)</f>
        <v>340.83140596552079</v>
      </c>
      <c r="T701" s="523"/>
      <c r="U701" s="523">
        <v>11</v>
      </c>
      <c r="V701" s="523">
        <v>8</v>
      </c>
      <c r="W701" s="523">
        <v>10</v>
      </c>
      <c r="X701" s="523"/>
      <c r="Y701" s="523">
        <v>1</v>
      </c>
      <c r="Z701" s="523">
        <v>10</v>
      </c>
      <c r="AA701" s="523" t="s">
        <v>274</v>
      </c>
      <c r="AB701" s="523">
        <v>4</v>
      </c>
      <c r="AC701" s="523">
        <v>4</v>
      </c>
      <c r="AD701" s="523" t="s">
        <v>3072</v>
      </c>
    </row>
    <row r="702" spans="3:31">
      <c r="C702" s="527">
        <v>650</v>
      </c>
      <c r="D702" s="527">
        <v>25</v>
      </c>
      <c r="E702" s="553" t="s">
        <v>3074</v>
      </c>
      <c r="F702" s="527">
        <v>70</v>
      </c>
      <c r="G702" s="527"/>
      <c r="H702" s="527">
        <v>66</v>
      </c>
      <c r="I702" s="527">
        <v>0</v>
      </c>
      <c r="J702" s="527">
        <v>0</v>
      </c>
      <c r="K702" s="527"/>
      <c r="L702" s="797">
        <f>[1]!tsabetm(C702)</f>
        <v>317.25</v>
      </c>
      <c r="M702" s="797">
        <f>[1]!tsabetz(C702)</f>
        <v>345.06666666666666</v>
      </c>
      <c r="N702" s="797">
        <f t="shared" si="57"/>
        <v>62.444577591372088</v>
      </c>
      <c r="O702" s="797">
        <f t="shared" si="58"/>
        <v>1445.0028169014086</v>
      </c>
      <c r="P702" s="797">
        <f t="shared" si="59"/>
        <v>11.36885515742847</v>
      </c>
      <c r="Q702" s="797">
        <f t="shared" si="60"/>
        <v>348</v>
      </c>
      <c r="R702" s="797">
        <f t="shared" si="61"/>
        <v>348.18948091929047</v>
      </c>
      <c r="S702" s="797">
        <f>[1]!taqsabet(O702,C702)</f>
        <v>348.18768413318423</v>
      </c>
      <c r="T702" s="527"/>
      <c r="U702" s="527">
        <v>11</v>
      </c>
      <c r="V702" s="527">
        <v>15</v>
      </c>
      <c r="W702" s="527">
        <v>4</v>
      </c>
      <c r="X702" s="527"/>
      <c r="Y702" s="527">
        <v>0</v>
      </c>
      <c r="Z702" s="527">
        <v>30</v>
      </c>
      <c r="AA702" s="527" t="s">
        <v>274</v>
      </c>
      <c r="AB702" s="527">
        <v>4</v>
      </c>
      <c r="AC702" s="527">
        <v>4</v>
      </c>
      <c r="AD702" s="527" t="s">
        <v>3072</v>
      </c>
    </row>
    <row r="703" spans="3:31">
      <c r="C703" s="523">
        <v>651</v>
      </c>
      <c r="D703" s="523">
        <v>26</v>
      </c>
      <c r="E703" s="543" t="s">
        <v>3075</v>
      </c>
      <c r="F703" s="523">
        <v>70</v>
      </c>
      <c r="G703" s="523"/>
      <c r="H703" s="523">
        <v>66</v>
      </c>
      <c r="I703" s="523">
        <v>0</v>
      </c>
      <c r="J703" s="523">
        <v>0</v>
      </c>
      <c r="K703" s="523"/>
      <c r="L703" s="797">
        <f>[1]!tsabetm(C703)</f>
        <v>319.58333333333331</v>
      </c>
      <c r="M703" s="797">
        <f>[1]!tsabetz(C703)</f>
        <v>345.51666666666665</v>
      </c>
      <c r="N703" s="797">
        <f t="shared" si="57"/>
        <v>66.979434447300761</v>
      </c>
      <c r="O703" s="797">
        <f t="shared" si="58"/>
        <v>1445.0028169014086</v>
      </c>
      <c r="P703" s="797">
        <f t="shared" si="59"/>
        <v>25.683006965222148</v>
      </c>
      <c r="Q703" s="797">
        <f t="shared" si="60"/>
        <v>348</v>
      </c>
      <c r="R703" s="797">
        <f t="shared" si="61"/>
        <v>348.42805011608704</v>
      </c>
      <c r="S703" s="797">
        <f>[1]!taqsabet(O703,C703)</f>
        <v>348.42637498176629</v>
      </c>
      <c r="T703" s="523"/>
      <c r="U703" s="523">
        <v>11</v>
      </c>
      <c r="V703" s="523">
        <v>15</v>
      </c>
      <c r="W703" s="523">
        <v>31</v>
      </c>
      <c r="X703" s="523"/>
      <c r="Y703" s="523">
        <v>2</v>
      </c>
      <c r="Z703" s="523">
        <v>0</v>
      </c>
      <c r="AA703" s="523" t="s">
        <v>274</v>
      </c>
      <c r="AB703" s="523">
        <v>4</v>
      </c>
      <c r="AC703" s="523">
        <v>4</v>
      </c>
      <c r="AD703" s="523" t="s">
        <v>3072</v>
      </c>
    </row>
    <row r="704" spans="3:31">
      <c r="C704" s="527">
        <v>652</v>
      </c>
      <c r="D704" s="527">
        <v>27</v>
      </c>
      <c r="E704" s="553" t="s">
        <v>3076</v>
      </c>
      <c r="F704" s="527">
        <v>70</v>
      </c>
      <c r="G704" s="527"/>
      <c r="H704" s="527">
        <v>66</v>
      </c>
      <c r="I704" s="527">
        <v>0</v>
      </c>
      <c r="J704" s="527">
        <v>0</v>
      </c>
      <c r="K704" s="527"/>
      <c r="L704" s="797">
        <f>[1]!tsabetm(C704)</f>
        <v>320.08333333333331</v>
      </c>
      <c r="M704" s="797">
        <f>[1]!tsabetz(C704)</f>
        <v>345.01666666666665</v>
      </c>
      <c r="N704" s="797">
        <f t="shared" si="57"/>
        <v>69.66577540106951</v>
      </c>
      <c r="O704" s="797">
        <f t="shared" si="58"/>
        <v>1445.0028169014086</v>
      </c>
      <c r="P704" s="797">
        <f t="shared" si="59"/>
        <v>48.947158367592465</v>
      </c>
      <c r="Q704" s="797">
        <f t="shared" si="60"/>
        <v>347</v>
      </c>
      <c r="R704" s="797">
        <f t="shared" si="61"/>
        <v>347.81578597279321</v>
      </c>
      <c r="S704" s="797">
        <f>[1]!taqsabet(O704,C704)</f>
        <v>347.81417543234085</v>
      </c>
      <c r="T704" s="527"/>
      <c r="U704" s="527">
        <v>11</v>
      </c>
      <c r="V704" s="527">
        <v>15</v>
      </c>
      <c r="W704" s="527">
        <v>1</v>
      </c>
      <c r="X704" s="527"/>
      <c r="Y704" s="527">
        <v>3</v>
      </c>
      <c r="Z704" s="527">
        <v>24</v>
      </c>
      <c r="AA704" s="527" t="s">
        <v>274</v>
      </c>
      <c r="AB704" s="527">
        <v>4</v>
      </c>
      <c r="AC704" s="527">
        <v>4</v>
      </c>
      <c r="AD704" s="527" t="s">
        <v>3072</v>
      </c>
    </row>
    <row r="705" spans="2:31">
      <c r="C705" s="523">
        <v>653</v>
      </c>
      <c r="D705" s="523">
        <v>28</v>
      </c>
      <c r="E705" s="543" t="s">
        <v>3077</v>
      </c>
      <c r="F705" s="523">
        <v>70</v>
      </c>
      <c r="G705" s="523"/>
      <c r="H705" s="523">
        <v>66</v>
      </c>
      <c r="I705" s="523">
        <v>0</v>
      </c>
      <c r="J705" s="523">
        <v>0</v>
      </c>
      <c r="K705" s="523"/>
      <c r="L705" s="797">
        <f>[1]!tsabetm(C705)</f>
        <v>318.58333333333331</v>
      </c>
      <c r="M705" s="797">
        <f>[1]!tsabetz(C705)</f>
        <v>345.66666666666669</v>
      </c>
      <c r="N705" s="797">
        <f t="shared" si="57"/>
        <v>64.135384615384524</v>
      </c>
      <c r="O705" s="797">
        <f t="shared" si="58"/>
        <v>1445.0028169014086</v>
      </c>
      <c r="P705" s="797">
        <f t="shared" si="59"/>
        <v>42.429232852500718</v>
      </c>
      <c r="Q705" s="797">
        <f t="shared" si="60"/>
        <v>348</v>
      </c>
      <c r="R705" s="797">
        <f t="shared" si="61"/>
        <v>348.70715388087501</v>
      </c>
      <c r="S705" s="797">
        <f>[1]!taqsabet(O705,C705)</f>
        <v>348.70540446360559</v>
      </c>
      <c r="T705" s="523"/>
      <c r="U705" s="523">
        <v>11</v>
      </c>
      <c r="V705" s="523">
        <v>15</v>
      </c>
      <c r="W705" s="523">
        <v>40</v>
      </c>
      <c r="X705" s="523"/>
      <c r="Y705" s="523">
        <v>4</v>
      </c>
      <c r="Z705" s="523">
        <v>0</v>
      </c>
      <c r="AA705" s="523" t="s">
        <v>274</v>
      </c>
      <c r="AB705" s="523">
        <v>4</v>
      </c>
      <c r="AC705" s="523">
        <v>4</v>
      </c>
      <c r="AD705" s="523" t="s">
        <v>3072</v>
      </c>
    </row>
    <row r="706" spans="2:31">
      <c r="C706" s="527">
        <v>654</v>
      </c>
      <c r="D706" s="527">
        <v>29</v>
      </c>
      <c r="E706" s="553" t="s">
        <v>2718</v>
      </c>
      <c r="F706" s="527">
        <v>70</v>
      </c>
      <c r="G706" s="527"/>
      <c r="H706" s="527">
        <v>66</v>
      </c>
      <c r="I706" s="527">
        <v>0</v>
      </c>
      <c r="J706" s="527">
        <v>0</v>
      </c>
      <c r="K706" s="527"/>
      <c r="L706" s="797">
        <f>[1]!tsabetm(C706)</f>
        <v>319.41666666666669</v>
      </c>
      <c r="M706" s="797">
        <f>[1]!tsabetz(C706)</f>
        <v>345.41666666666669</v>
      </c>
      <c r="N706" s="797">
        <f t="shared" si="57"/>
        <v>66.807692307692307</v>
      </c>
      <c r="O706" s="797">
        <f t="shared" si="58"/>
        <v>1445.0028169014086</v>
      </c>
      <c r="P706" s="797">
        <f t="shared" si="59"/>
        <v>20.132063538400189</v>
      </c>
      <c r="Q706" s="797">
        <f t="shared" si="60"/>
        <v>348</v>
      </c>
      <c r="R706" s="797">
        <f t="shared" si="61"/>
        <v>348.33553439230667</v>
      </c>
      <c r="S706" s="797">
        <f>[1]!taqsabet(O706,C706)</f>
        <v>348.33385495172803</v>
      </c>
      <c r="T706" s="527"/>
      <c r="U706" s="527">
        <v>11</v>
      </c>
      <c r="V706" s="527">
        <v>15</v>
      </c>
      <c r="W706" s="527">
        <v>25</v>
      </c>
      <c r="X706" s="527"/>
      <c r="Y706" s="527">
        <v>5</v>
      </c>
      <c r="Z706" s="527">
        <v>0</v>
      </c>
      <c r="AA706" s="527" t="s">
        <v>274</v>
      </c>
      <c r="AB706" s="527">
        <v>4</v>
      </c>
      <c r="AC706" s="527">
        <v>4</v>
      </c>
      <c r="AD706" s="527" t="s">
        <v>3072</v>
      </c>
    </row>
    <row r="707" spans="2:31">
      <c r="C707" s="523">
        <v>655</v>
      </c>
      <c r="D707" s="523">
        <v>30</v>
      </c>
      <c r="E707" s="543" t="s">
        <v>3078</v>
      </c>
      <c r="F707" s="523">
        <v>70</v>
      </c>
      <c r="G707" s="523"/>
      <c r="H707" s="523">
        <v>66</v>
      </c>
      <c r="I707" s="523">
        <v>0</v>
      </c>
      <c r="J707" s="523">
        <v>0</v>
      </c>
      <c r="K707" s="523"/>
      <c r="L707" s="797">
        <f>[1]!tsabetm(C707)</f>
        <v>320.41666666666669</v>
      </c>
      <c r="M707" s="797">
        <f>[1]!tsabetz(C707)</f>
        <v>343.66666666666669</v>
      </c>
      <c r="N707" s="797">
        <f t="shared" si="57"/>
        <v>74.709677419354833</v>
      </c>
      <c r="O707" s="797">
        <f t="shared" si="58"/>
        <v>1445.0028169014086</v>
      </c>
      <c r="P707" s="797">
        <f t="shared" si="59"/>
        <v>16.608479894913444</v>
      </c>
      <c r="Q707" s="797">
        <f t="shared" si="60"/>
        <v>346</v>
      </c>
      <c r="R707" s="797">
        <f t="shared" si="61"/>
        <v>346.27680799824856</v>
      </c>
      <c r="S707" s="797">
        <f>[1]!taqsabet(O707,C707)</f>
        <v>346.27530619080807</v>
      </c>
      <c r="T707" s="523"/>
      <c r="U707" s="523">
        <v>11</v>
      </c>
      <c r="V707" s="523">
        <v>13</v>
      </c>
      <c r="W707" s="523">
        <v>40</v>
      </c>
      <c r="X707" s="523"/>
      <c r="Y707" s="523">
        <v>8</v>
      </c>
      <c r="Z707" s="523">
        <v>28</v>
      </c>
      <c r="AA707" s="523" t="s">
        <v>274</v>
      </c>
      <c r="AB707" s="523">
        <v>5</v>
      </c>
      <c r="AC707" s="523">
        <v>5</v>
      </c>
      <c r="AD707" s="523" t="s">
        <v>3072</v>
      </c>
    </row>
    <row r="708" spans="2:31">
      <c r="C708" s="527">
        <v>656</v>
      </c>
      <c r="D708" s="527">
        <v>31</v>
      </c>
      <c r="E708" s="553" t="s">
        <v>3079</v>
      </c>
      <c r="F708" s="527">
        <v>70</v>
      </c>
      <c r="G708" s="527"/>
      <c r="H708" s="527">
        <v>66</v>
      </c>
      <c r="I708" s="527">
        <v>0</v>
      </c>
      <c r="J708" s="527">
        <v>0</v>
      </c>
      <c r="K708" s="527"/>
      <c r="L708" s="797">
        <f>[1]!tsabetm(C708)</f>
        <v>322.25</v>
      </c>
      <c r="M708" s="797">
        <f>[1]!tsabetz(C708)</f>
        <v>348.01666666666665</v>
      </c>
      <c r="N708" s="797">
        <f t="shared" si="57"/>
        <v>67.412677878395897</v>
      </c>
      <c r="O708" s="797">
        <f t="shared" si="58"/>
        <v>1445.0028169014086</v>
      </c>
      <c r="P708" s="797">
        <f t="shared" si="59"/>
        <v>54.560365532283868</v>
      </c>
      <c r="Q708" s="797">
        <f t="shared" si="60"/>
        <v>350</v>
      </c>
      <c r="R708" s="797">
        <f t="shared" si="61"/>
        <v>350.90933942553806</v>
      </c>
      <c r="S708" s="797">
        <f>[1]!taqsabet(O708,C708)</f>
        <v>350.90767505686205</v>
      </c>
      <c r="T708" s="527"/>
      <c r="U708" s="527">
        <v>11</v>
      </c>
      <c r="V708" s="527">
        <v>18</v>
      </c>
      <c r="W708" s="527">
        <v>1</v>
      </c>
      <c r="X708" s="527"/>
      <c r="Y708" s="527">
        <v>11</v>
      </c>
      <c r="Z708" s="527">
        <v>30</v>
      </c>
      <c r="AA708" s="527" t="s">
        <v>274</v>
      </c>
      <c r="AB708" s="527">
        <v>5</v>
      </c>
      <c r="AC708" s="527">
        <v>5</v>
      </c>
      <c r="AD708" s="527" t="s">
        <v>3072</v>
      </c>
    </row>
    <row r="709" spans="2:31">
      <c r="C709" s="523">
        <v>657</v>
      </c>
      <c r="D709" s="523">
        <v>32</v>
      </c>
      <c r="E709" s="543" t="s">
        <v>2465</v>
      </c>
      <c r="F709" s="523">
        <v>70</v>
      </c>
      <c r="G709" s="523"/>
      <c r="H709" s="523">
        <v>66</v>
      </c>
      <c r="I709" s="523">
        <v>0</v>
      </c>
      <c r="J709" s="523">
        <v>0</v>
      </c>
      <c r="K709" s="523"/>
      <c r="L709" s="797">
        <f>[1]!tsabetm(C709)</f>
        <v>322.75</v>
      </c>
      <c r="M709" s="797">
        <f>[1]!tsabetz(C709)</f>
        <v>348.21666666666664</v>
      </c>
      <c r="N709" s="797">
        <f t="shared" si="57"/>
        <v>68.206806282722582</v>
      </c>
      <c r="O709" s="797">
        <f t="shared" si="58"/>
        <v>1445.0028169014086</v>
      </c>
      <c r="P709" s="797">
        <f t="shared" si="59"/>
        <v>4.5396109529929163</v>
      </c>
      <c r="Q709" s="797">
        <f t="shared" si="60"/>
        <v>351</v>
      </c>
      <c r="R709" s="797">
        <f t="shared" si="61"/>
        <v>351.07566018254988</v>
      </c>
      <c r="S709" s="797">
        <f>[1]!taqsabet(O709,C709)</f>
        <v>351.07401519203444</v>
      </c>
      <c r="T709" s="523"/>
      <c r="U709" s="523">
        <v>11</v>
      </c>
      <c r="V709" s="523">
        <v>18</v>
      </c>
      <c r="W709" s="523">
        <v>13</v>
      </c>
      <c r="X709" s="523"/>
      <c r="Y709" s="523">
        <v>11</v>
      </c>
      <c r="Z709" s="523">
        <v>0</v>
      </c>
      <c r="AA709" s="523" t="s">
        <v>274</v>
      </c>
      <c r="AB709" s="523">
        <v>5</v>
      </c>
      <c r="AC709" s="523">
        <v>5</v>
      </c>
      <c r="AD709" s="523" t="s">
        <v>3072</v>
      </c>
    </row>
    <row r="710" spans="2:31">
      <c r="C710" s="527">
        <v>658</v>
      </c>
      <c r="D710" s="527">
        <v>33</v>
      </c>
      <c r="E710" s="553" t="s">
        <v>3080</v>
      </c>
      <c r="F710" s="527">
        <v>70</v>
      </c>
      <c r="G710" s="527"/>
      <c r="H710" s="527">
        <v>66</v>
      </c>
      <c r="I710" s="527">
        <v>0</v>
      </c>
      <c r="J710" s="527">
        <v>0</v>
      </c>
      <c r="K710" s="527"/>
      <c r="L710" s="797">
        <f>[1]!tsabetm(C710)</f>
        <v>321.25</v>
      </c>
      <c r="M710" s="797">
        <f>[1]!tsabetz(C710)</f>
        <v>347.01666666666665</v>
      </c>
      <c r="N710" s="797">
        <f t="shared" si="57"/>
        <v>67.412677878395897</v>
      </c>
      <c r="O710" s="797">
        <f t="shared" si="58"/>
        <v>1445.0028169014086</v>
      </c>
      <c r="P710" s="797">
        <f t="shared" si="59"/>
        <v>54.560365532283868</v>
      </c>
      <c r="Q710" s="797">
        <f t="shared" si="60"/>
        <v>349</v>
      </c>
      <c r="R710" s="797">
        <f t="shared" si="61"/>
        <v>349.90933942553806</v>
      </c>
      <c r="S710" s="797">
        <f>[1]!taqsabet(O710,C710)</f>
        <v>349.90767505686205</v>
      </c>
      <c r="T710" s="527"/>
      <c r="U710" s="527">
        <v>11</v>
      </c>
      <c r="V710" s="527">
        <v>17</v>
      </c>
      <c r="W710" s="527">
        <v>1</v>
      </c>
      <c r="X710" s="527"/>
      <c r="Y710" s="527">
        <v>14</v>
      </c>
      <c r="Z710" s="527">
        <v>30</v>
      </c>
      <c r="AA710" s="527" t="s">
        <v>274</v>
      </c>
      <c r="AB710" s="527">
        <v>5</v>
      </c>
      <c r="AC710" s="527">
        <v>5</v>
      </c>
      <c r="AD710" s="527" t="s">
        <v>3072</v>
      </c>
    </row>
    <row r="711" spans="2:31">
      <c r="C711" s="523">
        <v>659</v>
      </c>
      <c r="D711" s="523">
        <v>34</v>
      </c>
      <c r="E711" s="543" t="s">
        <v>2612</v>
      </c>
      <c r="F711" s="523">
        <v>70</v>
      </c>
      <c r="G711" s="523"/>
      <c r="H711" s="523">
        <v>66</v>
      </c>
      <c r="I711" s="523">
        <v>0</v>
      </c>
      <c r="J711" s="523">
        <v>0</v>
      </c>
      <c r="K711" s="523"/>
      <c r="L711" s="797">
        <f>[1]!tsabetm(C711)</f>
        <v>321.75</v>
      </c>
      <c r="M711" s="797">
        <f>[1]!tsabetz(C711)</f>
        <v>347.66666666666669</v>
      </c>
      <c r="N711" s="797">
        <f t="shared" ref="N711:N774" si="62">(1697+40)/((IF(M711-L711&gt;0,M711-L711,M711+360-L711)))</f>
        <v>67.022508038585158</v>
      </c>
      <c r="O711" s="797">
        <f t="shared" si="58"/>
        <v>1445.0028169014086</v>
      </c>
      <c r="P711" s="797">
        <f t="shared" si="59"/>
        <v>34.570742821929343</v>
      </c>
      <c r="Q711" s="797">
        <f t="shared" si="60"/>
        <v>350</v>
      </c>
      <c r="R711" s="797">
        <f t="shared" si="61"/>
        <v>350.57617904703216</v>
      </c>
      <c r="S711" s="797">
        <f>[1]!taqsabet(O711,C711)</f>
        <v>350.57450498927591</v>
      </c>
      <c r="T711" s="523"/>
      <c r="U711" s="523">
        <v>11</v>
      </c>
      <c r="V711" s="523">
        <v>17</v>
      </c>
      <c r="W711" s="523">
        <v>40</v>
      </c>
      <c r="X711" s="523"/>
      <c r="Y711" s="523">
        <v>15</v>
      </c>
      <c r="Z711" s="523">
        <v>6</v>
      </c>
      <c r="AA711" s="523" t="s">
        <v>274</v>
      </c>
      <c r="AB711" s="523">
        <v>5</v>
      </c>
      <c r="AC711" s="523">
        <v>5</v>
      </c>
      <c r="AD711" s="523" t="s">
        <v>3072</v>
      </c>
    </row>
    <row r="712" spans="2:31">
      <c r="C712" s="527">
        <v>660</v>
      </c>
      <c r="D712" s="527">
        <v>35</v>
      </c>
      <c r="E712" s="553" t="s">
        <v>2613</v>
      </c>
      <c r="F712" s="527">
        <v>70</v>
      </c>
      <c r="G712" s="527"/>
      <c r="H712" s="527">
        <v>66</v>
      </c>
      <c r="I712" s="527">
        <v>0</v>
      </c>
      <c r="J712" s="527">
        <v>0</v>
      </c>
      <c r="K712" s="527"/>
      <c r="L712" s="797">
        <f>[1]!tsabetm(C712)</f>
        <v>322.75</v>
      </c>
      <c r="M712" s="797">
        <f>[1]!tsabetz(C712)</f>
        <v>348.51666666666665</v>
      </c>
      <c r="N712" s="797">
        <f t="shared" si="62"/>
        <v>67.412677878395897</v>
      </c>
      <c r="O712" s="797">
        <f t="shared" ref="O712:O775" si="63">O711</f>
        <v>1445.0028169014086</v>
      </c>
      <c r="P712" s="797">
        <f t="shared" ref="P712:P775" si="64">(R712-Q712)*60</f>
        <v>24.560365532283868</v>
      </c>
      <c r="Q712" s="797">
        <f t="shared" ref="Q712:Q775" si="65">INT(R712)</f>
        <v>351</v>
      </c>
      <c r="R712" s="797">
        <f t="shared" ref="R712:R775" si="66">((O712-1250)/(N712))+M712</f>
        <v>351.40933942553806</v>
      </c>
      <c r="S712" s="797">
        <f>[1]!taqsabet(O712,C712)</f>
        <v>351.40767505686205</v>
      </c>
      <c r="T712" s="527"/>
      <c r="U712" s="527">
        <v>11</v>
      </c>
      <c r="V712" s="527">
        <v>18</v>
      </c>
      <c r="W712" s="527">
        <v>31</v>
      </c>
      <c r="X712" s="527"/>
      <c r="Y712" s="527">
        <v>15</v>
      </c>
      <c r="Z712" s="527">
        <v>42</v>
      </c>
      <c r="AA712" s="527" t="s">
        <v>274</v>
      </c>
      <c r="AB712" s="527">
        <v>5</v>
      </c>
      <c r="AC712" s="527">
        <v>5</v>
      </c>
      <c r="AD712" s="527" t="s">
        <v>3072</v>
      </c>
    </row>
    <row r="713" spans="2:31">
      <c r="C713" s="523">
        <v>661</v>
      </c>
      <c r="D713" s="523">
        <v>36</v>
      </c>
      <c r="E713" s="543" t="s">
        <v>3081</v>
      </c>
      <c r="F713" s="523">
        <v>70</v>
      </c>
      <c r="G713" s="523"/>
      <c r="H713" s="523">
        <v>66</v>
      </c>
      <c r="I713" s="523">
        <v>0</v>
      </c>
      <c r="J713" s="523">
        <v>0</v>
      </c>
      <c r="K713" s="523"/>
      <c r="L713" s="797">
        <f>[1]!tsabetm(C713)</f>
        <v>316.58333333333331</v>
      </c>
      <c r="M713" s="797">
        <f>[1]!tsabetz(C713)</f>
        <v>342.81666666666666</v>
      </c>
      <c r="N713" s="797">
        <f t="shared" si="62"/>
        <v>66.213468869123218</v>
      </c>
      <c r="O713" s="797">
        <f t="shared" si="63"/>
        <v>1445.0028169014086</v>
      </c>
      <c r="P713" s="797">
        <f t="shared" si="64"/>
        <v>45.7037615445131</v>
      </c>
      <c r="Q713" s="797">
        <f t="shared" si="65"/>
        <v>345</v>
      </c>
      <c r="R713" s="797">
        <f t="shared" si="66"/>
        <v>345.76172935907522</v>
      </c>
      <c r="S713" s="797">
        <f>[1]!taqsabet(O713,C713)</f>
        <v>345.76003484659395</v>
      </c>
      <c r="T713" s="523"/>
      <c r="U713" s="523">
        <v>11</v>
      </c>
      <c r="V713" s="523">
        <v>12</v>
      </c>
      <c r="W713" s="523">
        <v>49</v>
      </c>
      <c r="X713" s="523"/>
      <c r="Y713" s="523">
        <v>15</v>
      </c>
      <c r="Z713" s="523">
        <v>0</v>
      </c>
      <c r="AA713" s="523" t="s">
        <v>274</v>
      </c>
      <c r="AB713" s="523">
        <v>4</v>
      </c>
      <c r="AC713" s="523">
        <v>4</v>
      </c>
      <c r="AD713" s="523" t="s">
        <v>3072</v>
      </c>
    </row>
    <row r="714" spans="2:31">
      <c r="C714" s="527">
        <v>662</v>
      </c>
      <c r="D714" s="527">
        <v>37</v>
      </c>
      <c r="E714" s="553" t="s">
        <v>2612</v>
      </c>
      <c r="F714" s="527">
        <v>70</v>
      </c>
      <c r="G714" s="527"/>
      <c r="H714" s="527">
        <v>66</v>
      </c>
      <c r="I714" s="527">
        <v>0</v>
      </c>
      <c r="J714" s="527">
        <v>0</v>
      </c>
      <c r="K714" s="527"/>
      <c r="L714" s="797">
        <f>[1]!tsabetm(C714)</f>
        <v>317.08333333333331</v>
      </c>
      <c r="M714" s="797">
        <f>[1]!tsabetz(C714)</f>
        <v>343.36666666666667</v>
      </c>
      <c r="N714" s="797">
        <f t="shared" si="62"/>
        <v>66.087507926442541</v>
      </c>
      <c r="O714" s="797">
        <f t="shared" si="63"/>
        <v>1445.0028169014086</v>
      </c>
      <c r="P714" s="797">
        <f t="shared" si="64"/>
        <v>19.040553974394925</v>
      </c>
      <c r="Q714" s="797">
        <f t="shared" si="65"/>
        <v>346</v>
      </c>
      <c r="R714" s="797">
        <f t="shared" si="66"/>
        <v>346.31734256623992</v>
      </c>
      <c r="S714" s="797">
        <f>[1]!taqsabet(O714,C714)</f>
        <v>346.31564482406526</v>
      </c>
      <c r="T714" s="527"/>
      <c r="U714" s="527">
        <v>11</v>
      </c>
      <c r="V714" s="527">
        <v>13</v>
      </c>
      <c r="W714" s="527">
        <v>22</v>
      </c>
      <c r="X714" s="527"/>
      <c r="Y714" s="527">
        <v>15</v>
      </c>
      <c r="Z714" s="527">
        <v>54</v>
      </c>
      <c r="AA714" s="527" t="s">
        <v>274</v>
      </c>
      <c r="AB714" s="527">
        <v>4</v>
      </c>
      <c r="AC714" s="527">
        <v>4</v>
      </c>
      <c r="AD714" s="527" t="s">
        <v>3072</v>
      </c>
    </row>
    <row r="715" spans="2:31">
      <c r="C715" s="523">
        <v>663</v>
      </c>
      <c r="D715" s="523">
        <v>38</v>
      </c>
      <c r="E715" s="543" t="s">
        <v>2791</v>
      </c>
      <c r="F715" s="523">
        <v>70</v>
      </c>
      <c r="G715" s="523"/>
      <c r="H715" s="523">
        <v>66</v>
      </c>
      <c r="I715" s="523">
        <v>0</v>
      </c>
      <c r="J715" s="523">
        <v>0</v>
      </c>
      <c r="K715" s="523"/>
      <c r="L715" s="797">
        <f>[1]!tsabetm(C715)</f>
        <v>317.91666666666669</v>
      </c>
      <c r="M715" s="797">
        <f>[1]!tsabetz(C715)</f>
        <v>344.21666666666664</v>
      </c>
      <c r="N715" s="797">
        <f t="shared" si="62"/>
        <v>66.045627376425969</v>
      </c>
      <c r="O715" s="797">
        <f t="shared" si="63"/>
        <v>1445.0028169014086</v>
      </c>
      <c r="P715" s="797">
        <f t="shared" si="64"/>
        <v>10.152818117684319</v>
      </c>
      <c r="Q715" s="797">
        <f t="shared" si="65"/>
        <v>347</v>
      </c>
      <c r="R715" s="797">
        <f t="shared" si="66"/>
        <v>347.16921363529474</v>
      </c>
      <c r="S715" s="797">
        <f>[1]!taqsabet(O715,C715)</f>
        <v>347.16751481655564</v>
      </c>
      <c r="T715" s="523"/>
      <c r="U715" s="523">
        <v>11</v>
      </c>
      <c r="V715" s="523">
        <v>14</v>
      </c>
      <c r="W715" s="523">
        <v>13</v>
      </c>
      <c r="X715" s="523"/>
      <c r="Y715" s="523">
        <v>16</v>
      </c>
      <c r="Z715" s="523">
        <v>45</v>
      </c>
      <c r="AA715" s="523" t="s">
        <v>274</v>
      </c>
      <c r="AB715" s="523">
        <v>4</v>
      </c>
      <c r="AC715" s="523">
        <v>4</v>
      </c>
      <c r="AD715" s="523" t="s">
        <v>3072</v>
      </c>
    </row>
    <row r="716" spans="2:31">
      <c r="C716" s="527">
        <v>664</v>
      </c>
      <c r="D716" s="527">
        <v>39</v>
      </c>
      <c r="E716" s="553" t="s">
        <v>3082</v>
      </c>
      <c r="F716" s="527">
        <v>70</v>
      </c>
      <c r="G716" s="527"/>
      <c r="H716" s="527">
        <v>66</v>
      </c>
      <c r="I716" s="527">
        <v>0</v>
      </c>
      <c r="J716" s="527">
        <v>0</v>
      </c>
      <c r="K716" s="527"/>
      <c r="L716" s="797">
        <f>[1]!tsabetm(C716)</f>
        <v>311.41666666666669</v>
      </c>
      <c r="M716" s="797">
        <f>[1]!tsabetz(C716)</f>
        <v>337.31666666666666</v>
      </c>
      <c r="N716" s="797">
        <f t="shared" si="62"/>
        <v>67.065637065637119</v>
      </c>
      <c r="O716" s="797">
        <f t="shared" si="63"/>
        <v>1445.0028169014086</v>
      </c>
      <c r="P716" s="797">
        <f t="shared" si="64"/>
        <v>13.458478678633128</v>
      </c>
      <c r="Q716" s="797">
        <f t="shared" si="65"/>
        <v>340</v>
      </c>
      <c r="R716" s="797">
        <f t="shared" si="66"/>
        <v>340.22430797797722</v>
      </c>
      <c r="S716" s="797">
        <f>[1]!taqsabet(O716,C716)</f>
        <v>340.22263499678547</v>
      </c>
      <c r="T716" s="527"/>
      <c r="U716" s="527">
        <v>11</v>
      </c>
      <c r="V716" s="527">
        <v>7</v>
      </c>
      <c r="W716" s="527">
        <v>19</v>
      </c>
      <c r="X716" s="527"/>
      <c r="Y716" s="527">
        <v>16</v>
      </c>
      <c r="Z716" s="527">
        <v>57</v>
      </c>
      <c r="AA716" s="527" t="s">
        <v>274</v>
      </c>
      <c r="AB716" s="527">
        <v>4</v>
      </c>
      <c r="AC716" s="527">
        <v>4</v>
      </c>
      <c r="AD716" s="527" t="s">
        <v>3072</v>
      </c>
    </row>
    <row r="717" spans="2:31">
      <c r="C717" s="523">
        <v>665</v>
      </c>
      <c r="D717" s="523">
        <v>40</v>
      </c>
      <c r="E717" s="543" t="s">
        <v>3083</v>
      </c>
      <c r="F717" s="523">
        <v>70</v>
      </c>
      <c r="G717" s="523"/>
      <c r="H717" s="523">
        <v>66</v>
      </c>
      <c r="I717" s="523">
        <v>0</v>
      </c>
      <c r="J717" s="523">
        <v>0</v>
      </c>
      <c r="K717" s="523"/>
      <c r="L717" s="797">
        <f>[1]!tsabetm(C717)</f>
        <v>312.25</v>
      </c>
      <c r="M717" s="797">
        <f>[1]!tsabetz(C717)</f>
        <v>338.16666666666669</v>
      </c>
      <c r="N717" s="797">
        <f t="shared" si="62"/>
        <v>67.022508038585158</v>
      </c>
      <c r="O717" s="797">
        <f t="shared" si="63"/>
        <v>1445.0028169014086</v>
      </c>
      <c r="P717" s="797">
        <f t="shared" si="64"/>
        <v>4.5707428219293433</v>
      </c>
      <c r="Q717" s="797">
        <f t="shared" si="65"/>
        <v>341</v>
      </c>
      <c r="R717" s="797">
        <f t="shared" si="66"/>
        <v>341.07617904703216</v>
      </c>
      <c r="S717" s="797">
        <f>[1]!taqsabet(O717,C717)</f>
        <v>341.07450498927591</v>
      </c>
      <c r="T717" s="523"/>
      <c r="U717" s="523">
        <v>11</v>
      </c>
      <c r="V717" s="523">
        <v>8</v>
      </c>
      <c r="W717" s="523">
        <v>10</v>
      </c>
      <c r="X717" s="523"/>
      <c r="Y717" s="523">
        <v>15</v>
      </c>
      <c r="Z717" s="523">
        <v>51</v>
      </c>
      <c r="AA717" s="523" t="s">
        <v>274</v>
      </c>
      <c r="AB717" s="523">
        <v>4</v>
      </c>
      <c r="AC717" s="523">
        <v>4</v>
      </c>
      <c r="AD717" s="523" t="s">
        <v>3072</v>
      </c>
    </row>
    <row r="718" spans="2:31">
      <c r="C718" s="527">
        <v>666</v>
      </c>
      <c r="D718" s="527">
        <v>41</v>
      </c>
      <c r="E718" s="553" t="s">
        <v>3049</v>
      </c>
      <c r="F718" s="527">
        <v>70</v>
      </c>
      <c r="G718" s="527"/>
      <c r="H718" s="527">
        <v>66</v>
      </c>
      <c r="I718" s="527">
        <v>0</v>
      </c>
      <c r="J718" s="527">
        <v>0</v>
      </c>
      <c r="K718" s="527"/>
      <c r="L718" s="797">
        <f>[1]!tsabetm(C718)</f>
        <v>312.75</v>
      </c>
      <c r="M718" s="797">
        <f>[1]!tsabetz(C718)</f>
        <v>338.35</v>
      </c>
      <c r="N718" s="797">
        <f t="shared" si="62"/>
        <v>67.851562499999943</v>
      </c>
      <c r="O718" s="797">
        <f t="shared" si="63"/>
        <v>1445.0028169014086</v>
      </c>
      <c r="P718" s="797">
        <f t="shared" si="64"/>
        <v>13.437724099347861</v>
      </c>
      <c r="Q718" s="797">
        <f t="shared" si="65"/>
        <v>341</v>
      </c>
      <c r="R718" s="797">
        <f t="shared" si="66"/>
        <v>341.22396206832246</v>
      </c>
      <c r="S718" s="797">
        <f>[1]!taqsabet(O718,C718)</f>
        <v>341.22230846529118</v>
      </c>
      <c r="T718" s="527"/>
      <c r="U718" s="527">
        <v>11</v>
      </c>
      <c r="V718" s="527">
        <v>8</v>
      </c>
      <c r="W718" s="527">
        <v>21</v>
      </c>
      <c r="X718" s="527"/>
      <c r="Y718" s="527">
        <v>14</v>
      </c>
      <c r="Z718" s="527">
        <v>48</v>
      </c>
      <c r="AA718" s="527" t="s">
        <v>274</v>
      </c>
      <c r="AB718" s="527">
        <v>4</v>
      </c>
      <c r="AC718" s="527">
        <v>4</v>
      </c>
      <c r="AD718" s="527" t="s">
        <v>3072</v>
      </c>
    </row>
    <row r="719" spans="2:31">
      <c r="C719" s="523">
        <v>667</v>
      </c>
      <c r="D719" s="523">
        <v>42</v>
      </c>
      <c r="E719" s="543" t="s">
        <v>3084</v>
      </c>
      <c r="F719" s="523">
        <v>70</v>
      </c>
      <c r="G719" s="523"/>
      <c r="H719" s="523">
        <v>68</v>
      </c>
      <c r="I719" s="523">
        <v>9</v>
      </c>
      <c r="J719" s="523">
        <v>24</v>
      </c>
      <c r="K719" s="523" t="s">
        <v>3085</v>
      </c>
      <c r="L719" s="797">
        <f>[1]!tsabetm(C719)</f>
        <v>306.58333333333331</v>
      </c>
      <c r="M719" s="797">
        <f>[1]!tsabetz(C719)</f>
        <v>332.41666666666669</v>
      </c>
      <c r="N719" s="797">
        <f t="shared" si="62"/>
        <v>67.238709677419251</v>
      </c>
      <c r="O719" s="797">
        <f t="shared" si="63"/>
        <v>1445.0028169014086</v>
      </c>
      <c r="P719" s="797">
        <f t="shared" si="64"/>
        <v>19.009422105461908</v>
      </c>
      <c r="Q719" s="797">
        <f t="shared" si="65"/>
        <v>335</v>
      </c>
      <c r="R719" s="797">
        <f t="shared" si="66"/>
        <v>335.3168237017577</v>
      </c>
      <c r="S719" s="797">
        <f>[1]!taqsabet(O719,C719)</f>
        <v>335.31515502682379</v>
      </c>
      <c r="T719" s="523"/>
      <c r="U719" s="523">
        <v>11</v>
      </c>
      <c r="V719" s="523">
        <v>2</v>
      </c>
      <c r="W719" s="523">
        <v>25</v>
      </c>
      <c r="X719" s="523"/>
      <c r="Y719" s="523">
        <v>21</v>
      </c>
      <c r="Z719" s="523">
        <v>24</v>
      </c>
      <c r="AA719" s="523" t="s">
        <v>274</v>
      </c>
      <c r="AB719" s="523">
        <v>1</v>
      </c>
      <c r="AC719" s="523">
        <v>1</v>
      </c>
      <c r="AD719" s="523" t="s">
        <v>3072</v>
      </c>
    </row>
    <row r="720" spans="2:31">
      <c r="B720" s="505" t="s">
        <v>2415</v>
      </c>
      <c r="C720" s="527">
        <v>668</v>
      </c>
      <c r="D720" s="527">
        <v>1</v>
      </c>
      <c r="E720" s="553" t="s">
        <v>3086</v>
      </c>
      <c r="F720" s="527">
        <v>70</v>
      </c>
      <c r="G720" s="527"/>
      <c r="H720" s="527">
        <v>66</v>
      </c>
      <c r="I720" s="527">
        <v>0</v>
      </c>
      <c r="J720" s="527">
        <v>0</v>
      </c>
      <c r="K720" s="527"/>
      <c r="L720" s="797">
        <f>[1]!tsabetm(C720)</f>
        <v>326.25</v>
      </c>
      <c r="M720" s="797">
        <f>[1]!tsabetz(C720)</f>
        <v>352.81666666666666</v>
      </c>
      <c r="N720" s="797">
        <f t="shared" si="62"/>
        <v>65.382685069008787</v>
      </c>
      <c r="O720" s="797">
        <f t="shared" si="63"/>
        <v>1445.0028169014086</v>
      </c>
      <c r="P720" s="797">
        <f t="shared" si="64"/>
        <v>47.949044410389661</v>
      </c>
      <c r="Q720" s="797">
        <f t="shared" si="65"/>
        <v>355</v>
      </c>
      <c r="R720" s="797">
        <f t="shared" si="66"/>
        <v>355.79915074017316</v>
      </c>
      <c r="S720" s="797">
        <f>[1]!taqsabet(O720,C720)</f>
        <v>355.79743469640243</v>
      </c>
      <c r="T720" s="527"/>
      <c r="U720" s="527">
        <v>11</v>
      </c>
      <c r="V720" s="527">
        <v>22</v>
      </c>
      <c r="W720" s="527">
        <v>49</v>
      </c>
      <c r="X720" s="527"/>
      <c r="Y720" s="527">
        <v>16</v>
      </c>
      <c r="Z720" s="527">
        <v>33</v>
      </c>
      <c r="AA720" s="527" t="s">
        <v>274</v>
      </c>
      <c r="AB720" s="527">
        <v>4</v>
      </c>
      <c r="AC720" s="527">
        <v>4</v>
      </c>
      <c r="AD720" s="527"/>
      <c r="AE720" s="327">
        <v>601</v>
      </c>
    </row>
    <row r="721" spans="1:30">
      <c r="C721" s="523">
        <v>669</v>
      </c>
      <c r="D721" s="523">
        <v>2</v>
      </c>
      <c r="E721" s="543" t="s">
        <v>3087</v>
      </c>
      <c r="F721" s="523">
        <v>70</v>
      </c>
      <c r="G721" s="523"/>
      <c r="H721" s="523">
        <v>66</v>
      </c>
      <c r="I721" s="523">
        <v>0</v>
      </c>
      <c r="J721" s="523">
        <v>0</v>
      </c>
      <c r="K721" s="523"/>
      <c r="L721" s="797">
        <f>[1]!tsabetm(C721)</f>
        <v>329.25</v>
      </c>
      <c r="M721" s="797">
        <f>[1]!tsabetz(C721)</f>
        <v>355.26666666666665</v>
      </c>
      <c r="N721" s="797">
        <f t="shared" si="62"/>
        <v>66.764894298526627</v>
      </c>
      <c r="O721" s="797">
        <f t="shared" si="63"/>
        <v>1445.0028169014086</v>
      </c>
      <c r="P721" s="797">
        <f t="shared" si="64"/>
        <v>11.244327681689583</v>
      </c>
      <c r="Q721" s="797">
        <f t="shared" si="65"/>
        <v>358</v>
      </c>
      <c r="R721" s="797">
        <f t="shared" si="66"/>
        <v>358.18740546136149</v>
      </c>
      <c r="S721" s="797">
        <f>[1]!taqsabet(O721,C721)</f>
        <v>358.18572494421841</v>
      </c>
      <c r="T721" s="523"/>
      <c r="U721" s="523">
        <v>11</v>
      </c>
      <c r="V721" s="523">
        <v>25</v>
      </c>
      <c r="W721" s="523">
        <v>16</v>
      </c>
      <c r="X721" s="523"/>
      <c r="Y721" s="523">
        <v>15</v>
      </c>
      <c r="Z721" s="523">
        <v>45</v>
      </c>
      <c r="AA721" s="523" t="s">
        <v>274</v>
      </c>
      <c r="AB721" s="523">
        <v>4</v>
      </c>
      <c r="AC721" s="523">
        <v>4</v>
      </c>
      <c r="AD721" s="523"/>
    </row>
    <row r="722" spans="1:30">
      <c r="C722" s="527">
        <v>670</v>
      </c>
      <c r="D722" s="527">
        <v>3</v>
      </c>
      <c r="E722" s="553" t="s">
        <v>2718</v>
      </c>
      <c r="F722" s="527">
        <v>70</v>
      </c>
      <c r="G722" s="527"/>
      <c r="H722" s="527">
        <v>66</v>
      </c>
      <c r="I722" s="527">
        <v>0</v>
      </c>
      <c r="J722" s="527">
        <v>0</v>
      </c>
      <c r="K722" s="527"/>
      <c r="L722" s="797">
        <f>[1]!tsabetm(C722)</f>
        <v>328.58333333333331</v>
      </c>
      <c r="M722" s="797">
        <f>[1]!tsabetz(C722)</f>
        <v>354.56666666666666</v>
      </c>
      <c r="N722" s="797">
        <f t="shared" si="62"/>
        <v>66.850545221295661</v>
      </c>
      <c r="O722" s="797">
        <f t="shared" si="63"/>
        <v>1445.0028169014086</v>
      </c>
      <c r="P722" s="797">
        <f t="shared" si="64"/>
        <v>29.019799395103973</v>
      </c>
      <c r="Q722" s="797">
        <f t="shared" si="65"/>
        <v>357</v>
      </c>
      <c r="R722" s="797">
        <f t="shared" si="66"/>
        <v>357.48366332325173</v>
      </c>
      <c r="S722" s="797">
        <f>[1]!taqsabet(O722,C722)</f>
        <v>357.48198495923759</v>
      </c>
      <c r="T722" s="527"/>
      <c r="U722" s="527">
        <v>11</v>
      </c>
      <c r="V722" s="527">
        <v>24</v>
      </c>
      <c r="W722" s="527">
        <v>34</v>
      </c>
      <c r="X722" s="527"/>
      <c r="Y722" s="527">
        <v>19</v>
      </c>
      <c r="Z722" s="527">
        <v>18</v>
      </c>
      <c r="AA722" s="527" t="s">
        <v>274</v>
      </c>
      <c r="AB722" s="527">
        <v>4</v>
      </c>
      <c r="AC722" s="527">
        <v>4</v>
      </c>
      <c r="AD722" s="527"/>
    </row>
    <row r="723" spans="1:30">
      <c r="C723" s="546"/>
      <c r="D723" s="546"/>
      <c r="E723" s="546"/>
      <c r="F723" s="546"/>
      <c r="G723" s="546"/>
      <c r="H723" s="546"/>
      <c r="I723" s="546"/>
      <c r="J723" s="546"/>
      <c r="K723" s="546"/>
      <c r="N723" s="797">
        <f t="shared" si="62"/>
        <v>4.8250000000000002</v>
      </c>
      <c r="O723" s="797">
        <f t="shared" si="63"/>
        <v>1445.0028169014086</v>
      </c>
      <c r="P723" s="797">
        <f t="shared" si="64"/>
        <v>24.905495147049237</v>
      </c>
      <c r="Q723" s="797">
        <f t="shared" si="65"/>
        <v>40</v>
      </c>
      <c r="R723" s="797">
        <f t="shared" si="66"/>
        <v>40.415091585784154</v>
      </c>
      <c r="S723" s="797">
        <f>[1]!taqsabet(O723,C723)</f>
        <v>1.4716840899636423</v>
      </c>
      <c r="T723" s="546"/>
      <c r="U723" s="546"/>
      <c r="V723" s="546"/>
      <c r="W723" s="546"/>
      <c r="X723" s="546"/>
      <c r="Y723" s="546"/>
      <c r="Z723" s="546"/>
      <c r="AA723" s="546"/>
      <c r="AB723" s="546"/>
      <c r="AC723" s="546"/>
      <c r="AD723" s="546"/>
    </row>
    <row r="724" spans="1:30">
      <c r="A724" s="563">
        <v>12</v>
      </c>
      <c r="B724" s="536" t="s">
        <v>1613</v>
      </c>
      <c r="C724" s="522">
        <v>671</v>
      </c>
      <c r="D724" s="522">
        <v>1</v>
      </c>
      <c r="E724" s="550" t="s">
        <v>3088</v>
      </c>
      <c r="F724" s="522">
        <v>70</v>
      </c>
      <c r="G724" s="522"/>
      <c r="H724" s="522">
        <v>66</v>
      </c>
      <c r="I724" s="522">
        <v>0</v>
      </c>
      <c r="J724" s="522">
        <v>0</v>
      </c>
      <c r="K724" s="522"/>
      <c r="L724" s="797">
        <f>[1]!tsabetm(C724)</f>
        <v>321.25</v>
      </c>
      <c r="M724" s="797">
        <f>[1]!tsabetz(C724)</f>
        <v>346.86666666666667</v>
      </c>
      <c r="N724" s="797">
        <f t="shared" si="62"/>
        <v>67.807417046193862</v>
      </c>
      <c r="O724" s="797">
        <f t="shared" si="63"/>
        <v>1445.0028169014086</v>
      </c>
      <c r="P724" s="797">
        <f t="shared" si="64"/>
        <v>44.549988242638392</v>
      </c>
      <c r="Q724" s="797">
        <f t="shared" si="65"/>
        <v>349</v>
      </c>
      <c r="R724" s="797">
        <f t="shared" si="66"/>
        <v>349.74249980404397</v>
      </c>
      <c r="S724" s="797">
        <f>[1]!taqsabet(O724,C724)</f>
        <v>349.7408451244483</v>
      </c>
      <c r="T724" s="522"/>
      <c r="U724" s="522">
        <v>11</v>
      </c>
      <c r="V724" s="522">
        <v>16</v>
      </c>
      <c r="W724" s="522">
        <v>52</v>
      </c>
      <c r="X724" s="522"/>
      <c r="Y724" s="522">
        <v>8</v>
      </c>
      <c r="Z724" s="522">
        <v>54</v>
      </c>
      <c r="AA724" s="522" t="s">
        <v>179</v>
      </c>
      <c r="AB724" s="522">
        <v>4</v>
      </c>
      <c r="AC724" s="522">
        <v>4</v>
      </c>
      <c r="AD724" s="522" t="s">
        <v>290</v>
      </c>
    </row>
    <row r="725" spans="1:30">
      <c r="C725" s="523">
        <v>672</v>
      </c>
      <c r="D725" s="523">
        <v>2</v>
      </c>
      <c r="E725" s="543" t="s">
        <v>3089</v>
      </c>
      <c r="F725" s="523">
        <v>70</v>
      </c>
      <c r="G725" s="523"/>
      <c r="H725" s="523">
        <v>66</v>
      </c>
      <c r="I725" s="523">
        <v>0</v>
      </c>
      <c r="J725" s="523">
        <v>0</v>
      </c>
      <c r="K725" s="523"/>
      <c r="L725" s="797">
        <f>[1]!tsabetm(C725)</f>
        <v>323.75</v>
      </c>
      <c r="M725" s="797">
        <f>[1]!tsabetz(C725)</f>
        <v>349.91666666666669</v>
      </c>
      <c r="N725" s="797">
        <f t="shared" si="62"/>
        <v>66.382165605095494</v>
      </c>
      <c r="O725" s="797">
        <f t="shared" si="63"/>
        <v>1445.0028169014086</v>
      </c>
      <c r="P725" s="797">
        <f t="shared" si="64"/>
        <v>51.254704971338469</v>
      </c>
      <c r="Q725" s="797">
        <f t="shared" si="65"/>
        <v>352</v>
      </c>
      <c r="R725" s="797">
        <f t="shared" si="66"/>
        <v>352.85424508285564</v>
      </c>
      <c r="S725" s="797">
        <f>[1]!taqsabet(O725,C725)</f>
        <v>352.85255487663227</v>
      </c>
      <c r="T725" s="523"/>
      <c r="U725" s="523">
        <v>11</v>
      </c>
      <c r="V725" s="523">
        <v>19</v>
      </c>
      <c r="W725" s="523">
        <v>55</v>
      </c>
      <c r="X725" s="523"/>
      <c r="Y725" s="523">
        <v>7</v>
      </c>
      <c r="Z725" s="523">
        <v>12</v>
      </c>
      <c r="AA725" s="523" t="s">
        <v>2695</v>
      </c>
      <c r="AB725" s="523">
        <v>4</v>
      </c>
      <c r="AC725" s="523">
        <v>4</v>
      </c>
      <c r="AD725" s="523" t="s">
        <v>3090</v>
      </c>
    </row>
    <row r="726" spans="1:30">
      <c r="C726" s="522">
        <v>673</v>
      </c>
      <c r="D726" s="522">
        <v>3</v>
      </c>
      <c r="E726" s="550" t="s">
        <v>2582</v>
      </c>
      <c r="F726" s="522">
        <v>70</v>
      </c>
      <c r="G726" s="522"/>
      <c r="H726" s="522">
        <v>66</v>
      </c>
      <c r="I726" s="522">
        <v>0</v>
      </c>
      <c r="J726" s="522">
        <v>0</v>
      </c>
      <c r="K726" s="522"/>
      <c r="L726" s="797">
        <f>[1]!tsabetm(C726)</f>
        <v>325.58333333333331</v>
      </c>
      <c r="M726" s="797">
        <f>[1]!tsabetz(C726)</f>
        <v>351.51666666666665</v>
      </c>
      <c r="N726" s="797">
        <f t="shared" si="62"/>
        <v>66.979434447300761</v>
      </c>
      <c r="O726" s="797">
        <f t="shared" si="63"/>
        <v>1445.0028169014086</v>
      </c>
      <c r="P726" s="797">
        <f t="shared" si="64"/>
        <v>25.683006965222148</v>
      </c>
      <c r="Q726" s="797">
        <f t="shared" si="65"/>
        <v>354</v>
      </c>
      <c r="R726" s="797">
        <f t="shared" si="66"/>
        <v>354.42805011608704</v>
      </c>
      <c r="S726" s="797">
        <f>[1]!taqsabet(O726,C726)</f>
        <v>354.42637498176629</v>
      </c>
      <c r="T726" s="522"/>
      <c r="U726" s="522">
        <v>11</v>
      </c>
      <c r="V726" s="522">
        <v>21</v>
      </c>
      <c r="W726" s="522">
        <v>31</v>
      </c>
      <c r="X726" s="522"/>
      <c r="Y726" s="522">
        <v>8</v>
      </c>
      <c r="Z726" s="522">
        <v>42</v>
      </c>
      <c r="AA726" s="522" t="s">
        <v>2695</v>
      </c>
      <c r="AB726" s="522">
        <v>4</v>
      </c>
      <c r="AC726" s="522">
        <v>4</v>
      </c>
      <c r="AD726" s="522" t="s">
        <v>3091</v>
      </c>
    </row>
    <row r="727" spans="1:30">
      <c r="C727" s="523">
        <v>674</v>
      </c>
      <c r="D727" s="523">
        <v>4</v>
      </c>
      <c r="E727" s="543" t="s">
        <v>3092</v>
      </c>
      <c r="F727" s="523">
        <v>70</v>
      </c>
      <c r="G727" s="523"/>
      <c r="H727" s="523">
        <v>66</v>
      </c>
      <c r="I727" s="523">
        <v>0</v>
      </c>
      <c r="J727" s="523">
        <v>0</v>
      </c>
      <c r="K727" s="523"/>
      <c r="L727" s="797">
        <f>[1]!tsabetm(C727)</f>
        <v>327.75</v>
      </c>
      <c r="M727" s="797">
        <f>[1]!tsabetz(C727)</f>
        <v>353.91666666666669</v>
      </c>
      <c r="N727" s="797">
        <f t="shared" si="62"/>
        <v>66.382165605095494</v>
      </c>
      <c r="O727" s="797">
        <f t="shared" si="63"/>
        <v>1445.0028169014086</v>
      </c>
      <c r="P727" s="797">
        <f t="shared" si="64"/>
        <v>51.254704971338469</v>
      </c>
      <c r="Q727" s="797">
        <f t="shared" si="65"/>
        <v>356</v>
      </c>
      <c r="R727" s="797">
        <f t="shared" si="66"/>
        <v>356.85424508285564</v>
      </c>
      <c r="S727" s="797">
        <f>[1]!taqsabet(O727,C727)</f>
        <v>356.85255487663227</v>
      </c>
      <c r="T727" s="523"/>
      <c r="U727" s="523">
        <v>11</v>
      </c>
      <c r="V727" s="523">
        <v>23</v>
      </c>
      <c r="W727" s="523">
        <v>55</v>
      </c>
      <c r="X727" s="523"/>
      <c r="Y727" s="523">
        <v>8</v>
      </c>
      <c r="Z727" s="523">
        <v>48</v>
      </c>
      <c r="AA727" s="523" t="s">
        <v>2695</v>
      </c>
      <c r="AB727" s="523">
        <v>4</v>
      </c>
      <c r="AC727" s="523">
        <v>4</v>
      </c>
      <c r="AD727" s="523" t="s">
        <v>3091</v>
      </c>
    </row>
    <row r="728" spans="1:30">
      <c r="C728" s="522">
        <v>675</v>
      </c>
      <c r="D728" s="522">
        <v>5</v>
      </c>
      <c r="E728" s="550" t="s">
        <v>2465</v>
      </c>
      <c r="F728" s="522">
        <v>70</v>
      </c>
      <c r="G728" s="522"/>
      <c r="H728" s="522">
        <v>66</v>
      </c>
      <c r="I728" s="522">
        <v>0</v>
      </c>
      <c r="J728" s="522">
        <v>0</v>
      </c>
      <c r="K728" s="522"/>
      <c r="L728" s="797">
        <f>[1]!tsabetm(C728)</f>
        <v>330.25</v>
      </c>
      <c r="M728" s="797">
        <f>[1]!tsabetz(C728)</f>
        <v>355.91666666666669</v>
      </c>
      <c r="N728" s="797">
        <f t="shared" si="62"/>
        <v>67.675324675324632</v>
      </c>
      <c r="O728" s="797">
        <f t="shared" si="63"/>
        <v>1445.0028169014086</v>
      </c>
      <c r="P728" s="797">
        <f t="shared" si="64"/>
        <v>47.886780672523628</v>
      </c>
      <c r="Q728" s="797">
        <f t="shared" si="65"/>
        <v>358</v>
      </c>
      <c r="R728" s="797">
        <f t="shared" si="66"/>
        <v>358.79811301120873</v>
      </c>
      <c r="S728" s="797">
        <f>[1]!taqsabet(O728,C728)</f>
        <v>358.79645510191955</v>
      </c>
      <c r="T728" s="522"/>
      <c r="U728" s="522">
        <v>11</v>
      </c>
      <c r="V728" s="522">
        <v>25</v>
      </c>
      <c r="W728" s="522">
        <v>55</v>
      </c>
      <c r="X728" s="522"/>
      <c r="Y728" s="522">
        <v>7</v>
      </c>
      <c r="Z728" s="522">
        <v>0</v>
      </c>
      <c r="AA728" s="522" t="s">
        <v>2695</v>
      </c>
      <c r="AB728" s="522">
        <v>4</v>
      </c>
      <c r="AC728" s="522">
        <v>4</v>
      </c>
      <c r="AD728" s="522" t="s">
        <v>3091</v>
      </c>
    </row>
    <row r="729" spans="1:30">
      <c r="C729" s="523">
        <v>676</v>
      </c>
      <c r="D729" s="523">
        <v>6</v>
      </c>
      <c r="E729" s="543" t="s">
        <v>3093</v>
      </c>
      <c r="F729" s="523">
        <v>70</v>
      </c>
      <c r="G729" s="523"/>
      <c r="H729" s="523">
        <v>66</v>
      </c>
      <c r="I729" s="523">
        <v>0</v>
      </c>
      <c r="J729" s="523">
        <v>0</v>
      </c>
      <c r="K729" s="523"/>
      <c r="L729" s="797">
        <f>[1]!tsabetm(C729)</f>
        <v>325.58333333333331</v>
      </c>
      <c r="M729" s="797">
        <f>[1]!tsabetz(C729)</f>
        <v>351.36666666666667</v>
      </c>
      <c r="N729" s="797">
        <f t="shared" si="62"/>
        <v>67.369101486748477</v>
      </c>
      <c r="O729" s="797">
        <f t="shared" si="63"/>
        <v>1445.0028169014086</v>
      </c>
      <c r="P729" s="797">
        <f t="shared" si="64"/>
        <v>15.672629675580083</v>
      </c>
      <c r="Q729" s="797">
        <f t="shared" si="65"/>
        <v>354</v>
      </c>
      <c r="R729" s="797">
        <f t="shared" si="66"/>
        <v>354.261210494593</v>
      </c>
      <c r="S729" s="797">
        <f>[1]!taqsabet(O729,C729)</f>
        <v>354.25954504935254</v>
      </c>
      <c r="T729" s="523"/>
      <c r="U729" s="523">
        <v>11</v>
      </c>
      <c r="V729" s="523">
        <v>21</v>
      </c>
      <c r="W729" s="523">
        <v>22</v>
      </c>
      <c r="X729" s="523"/>
      <c r="Y729" s="523">
        <v>4</v>
      </c>
      <c r="Z729" s="523">
        <v>0</v>
      </c>
      <c r="AA729" s="523" t="s">
        <v>2695</v>
      </c>
      <c r="AB729" s="523">
        <v>4</v>
      </c>
      <c r="AC729" s="523">
        <v>4</v>
      </c>
      <c r="AD729" s="523" t="s">
        <v>3091</v>
      </c>
    </row>
    <row r="730" spans="1:30">
      <c r="C730" s="522">
        <v>677</v>
      </c>
      <c r="D730" s="522">
        <v>7</v>
      </c>
      <c r="E730" s="550" t="s">
        <v>2465</v>
      </c>
      <c r="F730" s="522">
        <v>70</v>
      </c>
      <c r="G730" s="522"/>
      <c r="H730" s="522">
        <v>66</v>
      </c>
      <c r="I730" s="522">
        <v>0</v>
      </c>
      <c r="J730" s="522">
        <v>0</v>
      </c>
      <c r="K730" s="522"/>
      <c r="L730" s="797">
        <f>[1]!tsabetm(C730)</f>
        <v>329.25</v>
      </c>
      <c r="M730" s="797">
        <f>[1]!tsabetz(C730)</f>
        <v>355.46666666666664</v>
      </c>
      <c r="N730" s="797">
        <f t="shared" si="62"/>
        <v>66.255562619199054</v>
      </c>
      <c r="O730" s="797">
        <f t="shared" si="63"/>
        <v>1445.0028169014086</v>
      </c>
      <c r="P730" s="797">
        <f t="shared" si="64"/>
        <v>24.591497401216884</v>
      </c>
      <c r="Q730" s="797">
        <f t="shared" si="65"/>
        <v>358</v>
      </c>
      <c r="R730" s="797">
        <f t="shared" si="66"/>
        <v>358.40985829002028</v>
      </c>
      <c r="S730" s="797">
        <f>[1]!taqsabet(O730,C730)</f>
        <v>358.40816485410352</v>
      </c>
      <c r="T730" s="522"/>
      <c r="U730" s="522">
        <v>11</v>
      </c>
      <c r="V730" s="522">
        <v>25</v>
      </c>
      <c r="W730" s="522">
        <v>28</v>
      </c>
      <c r="X730" s="522"/>
      <c r="Y730" s="522">
        <v>3</v>
      </c>
      <c r="Z730" s="522">
        <v>0</v>
      </c>
      <c r="AA730" s="522" t="s">
        <v>2695</v>
      </c>
      <c r="AB730" s="522">
        <v>4</v>
      </c>
      <c r="AC730" s="522">
        <v>4</v>
      </c>
      <c r="AD730" s="522" t="s">
        <v>3091</v>
      </c>
    </row>
    <row r="731" spans="1:30">
      <c r="C731" s="523">
        <v>678</v>
      </c>
      <c r="D731" s="523">
        <v>8</v>
      </c>
      <c r="E731" s="543" t="s">
        <v>3094</v>
      </c>
      <c r="F731" s="523">
        <v>70</v>
      </c>
      <c r="G731" s="523"/>
      <c r="H731" s="523">
        <v>66</v>
      </c>
      <c r="I731" s="523">
        <v>0</v>
      </c>
      <c r="J731" s="523">
        <v>0</v>
      </c>
      <c r="K731" s="523"/>
      <c r="L731" s="797">
        <f>[1]!tsabetm(C731)</f>
        <v>335.58333333333331</v>
      </c>
      <c r="M731" s="797">
        <f>[1]!tsabetz(C731)</f>
        <v>1.2166666666666666</v>
      </c>
      <c r="N731" s="797">
        <f t="shared" si="62"/>
        <v>67.763328998699635</v>
      </c>
      <c r="O731" s="797">
        <f t="shared" si="63"/>
        <v>1445.0028169014086</v>
      </c>
      <c r="P731" s="797">
        <f t="shared" si="64"/>
        <v>5.6622523859333285</v>
      </c>
      <c r="Q731" s="797">
        <f t="shared" si="65"/>
        <v>4</v>
      </c>
      <c r="R731" s="797">
        <f t="shared" si="66"/>
        <v>4.0943708730988888</v>
      </c>
      <c r="S731" s="797">
        <f>[1]!taqsabet(O731,C731)</f>
        <v>4.0927151169386899</v>
      </c>
      <c r="T731" s="523"/>
      <c r="U731" s="523">
        <v>0</v>
      </c>
      <c r="V731" s="523">
        <v>1</v>
      </c>
      <c r="W731" s="523">
        <v>13</v>
      </c>
      <c r="X731" s="523"/>
      <c r="Y731" s="523">
        <v>6</v>
      </c>
      <c r="Z731" s="523">
        <v>18</v>
      </c>
      <c r="AA731" s="523" t="s">
        <v>2695</v>
      </c>
      <c r="AB731" s="523">
        <v>4</v>
      </c>
      <c r="AC731" s="523">
        <v>4</v>
      </c>
      <c r="AD731" s="523" t="s">
        <v>3091</v>
      </c>
    </row>
    <row r="732" spans="1:30">
      <c r="C732" s="522">
        <v>679</v>
      </c>
      <c r="D732" s="522">
        <v>9</v>
      </c>
      <c r="E732" s="550" t="s">
        <v>3095</v>
      </c>
      <c r="F732" s="522">
        <v>70</v>
      </c>
      <c r="G732" s="522"/>
      <c r="H732" s="522">
        <v>66</v>
      </c>
      <c r="I732" s="522">
        <v>0</v>
      </c>
      <c r="J732" s="522">
        <v>0</v>
      </c>
      <c r="K732" s="522"/>
      <c r="L732" s="797">
        <f>[1]!tsabetm(C732)</f>
        <v>340.58333333333331</v>
      </c>
      <c r="M732" s="797">
        <f>[1]!tsabetz(C732)</f>
        <v>6.9333333333333336</v>
      </c>
      <c r="N732" s="797">
        <f t="shared" si="62"/>
        <v>65.920303605313038</v>
      </c>
      <c r="O732" s="797">
        <f t="shared" si="63"/>
        <v>1445.0028169014086</v>
      </c>
      <c r="P732" s="797">
        <f t="shared" si="64"/>
        <v>53.48961054756888</v>
      </c>
      <c r="Q732" s="797">
        <f t="shared" si="65"/>
        <v>9</v>
      </c>
      <c r="R732" s="797">
        <f t="shared" si="66"/>
        <v>9.891493509126148</v>
      </c>
      <c r="S732" s="797">
        <f>[1]!taqsabet(O732,C732)</f>
        <v>9.8897914606935871</v>
      </c>
      <c r="T732" s="522"/>
      <c r="U732" s="522">
        <v>0</v>
      </c>
      <c r="V732" s="522">
        <v>6</v>
      </c>
      <c r="W732" s="522">
        <v>56</v>
      </c>
      <c r="X732" s="522"/>
      <c r="Y732" s="522">
        <v>5</v>
      </c>
      <c r="Z732" s="522">
        <v>24</v>
      </c>
      <c r="AA732" s="522" t="s">
        <v>2695</v>
      </c>
      <c r="AB732" s="522">
        <v>6</v>
      </c>
      <c r="AC732" s="522">
        <v>6</v>
      </c>
      <c r="AD732" s="522" t="s">
        <v>3091</v>
      </c>
    </row>
    <row r="733" spans="1:30">
      <c r="C733" s="523">
        <v>680</v>
      </c>
      <c r="D733" s="523">
        <v>10</v>
      </c>
      <c r="E733" s="543" t="s">
        <v>2661</v>
      </c>
      <c r="F733" s="523">
        <v>70</v>
      </c>
      <c r="G733" s="523"/>
      <c r="H733" s="523">
        <v>66</v>
      </c>
      <c r="I733" s="523">
        <v>0</v>
      </c>
      <c r="J733" s="523">
        <v>0</v>
      </c>
      <c r="K733" s="523"/>
      <c r="L733" s="797">
        <f>[1]!tsabetm(C733)</f>
        <v>342.75</v>
      </c>
      <c r="M733" s="797">
        <f>[1]!tsabetz(C733)</f>
        <v>8.9166666666666661</v>
      </c>
      <c r="N733" s="797">
        <f t="shared" si="62"/>
        <v>66.382165605095494</v>
      </c>
      <c r="O733" s="797">
        <f t="shared" si="63"/>
        <v>1445.0028169014086</v>
      </c>
      <c r="P733" s="797">
        <f t="shared" si="64"/>
        <v>51.254704971336551</v>
      </c>
      <c r="Q733" s="797">
        <f t="shared" si="65"/>
        <v>11</v>
      </c>
      <c r="R733" s="797">
        <f t="shared" si="66"/>
        <v>11.854245082855609</v>
      </c>
      <c r="S733" s="797">
        <f>[1]!taqsabet(O733,C733)</f>
        <v>11.852554876632253</v>
      </c>
      <c r="T733" s="523"/>
      <c r="U733" s="523">
        <v>0</v>
      </c>
      <c r="V733" s="523">
        <v>8</v>
      </c>
      <c r="W733" s="523">
        <v>55</v>
      </c>
      <c r="X733" s="523"/>
      <c r="Y733" s="523">
        <v>3</v>
      </c>
      <c r="Z733" s="523">
        <v>0</v>
      </c>
      <c r="AA733" s="523" t="s">
        <v>2695</v>
      </c>
      <c r="AB733" s="523">
        <v>6</v>
      </c>
      <c r="AC733" s="523">
        <v>6</v>
      </c>
      <c r="AD733" s="523" t="s">
        <v>3091</v>
      </c>
    </row>
    <row r="734" spans="1:30">
      <c r="C734" s="522">
        <v>681</v>
      </c>
      <c r="D734" s="522">
        <v>11</v>
      </c>
      <c r="E734" s="550" t="s">
        <v>3096</v>
      </c>
      <c r="F734" s="522">
        <v>70</v>
      </c>
      <c r="G734" s="522"/>
      <c r="H734" s="522">
        <v>66</v>
      </c>
      <c r="I734" s="522">
        <v>0</v>
      </c>
      <c r="J734" s="522">
        <v>0</v>
      </c>
      <c r="K734" s="522"/>
      <c r="L734" s="797">
        <f>[1]!tsabetm(C734)</f>
        <v>346.75</v>
      </c>
      <c r="M734" s="797">
        <f>[1]!tsabetz(C734)</f>
        <v>53.016666666666666</v>
      </c>
      <c r="N734" s="797">
        <f t="shared" si="62"/>
        <v>26.212273641851112</v>
      </c>
      <c r="O734" s="797">
        <f t="shared" si="63"/>
        <v>1445.0028169014086</v>
      </c>
      <c r="P734" s="797">
        <f t="shared" si="64"/>
        <v>27.362233736326971</v>
      </c>
      <c r="Q734" s="797">
        <f t="shared" si="65"/>
        <v>60</v>
      </c>
      <c r="R734" s="797">
        <f t="shared" si="66"/>
        <v>60.456037228938783</v>
      </c>
      <c r="S734" s="797">
        <f>[1]!taqsabet(O734,C734)</f>
        <v>60.451756808592251</v>
      </c>
      <c r="T734" s="522"/>
      <c r="U734" s="522">
        <v>0</v>
      </c>
      <c r="V734" s="522">
        <v>53</v>
      </c>
      <c r="W734" s="522">
        <v>1</v>
      </c>
      <c r="X734" s="522"/>
      <c r="Y734" s="522">
        <v>1</v>
      </c>
      <c r="Z734" s="522">
        <v>54</v>
      </c>
      <c r="AA734" s="522" t="s">
        <v>2695</v>
      </c>
      <c r="AB734" s="522">
        <v>4</v>
      </c>
      <c r="AC734" s="522">
        <v>4</v>
      </c>
      <c r="AD734" s="522" t="s">
        <v>3091</v>
      </c>
    </row>
    <row r="735" spans="1:30">
      <c r="C735" s="523">
        <v>682</v>
      </c>
      <c r="D735" s="523">
        <v>12</v>
      </c>
      <c r="E735" s="543" t="s">
        <v>2909</v>
      </c>
      <c r="F735" s="523">
        <v>70</v>
      </c>
      <c r="G735" s="523"/>
      <c r="H735" s="523">
        <v>66</v>
      </c>
      <c r="I735" s="523">
        <v>0</v>
      </c>
      <c r="J735" s="523">
        <v>0</v>
      </c>
      <c r="K735" s="523"/>
      <c r="L735" s="797">
        <f>[1]!tsabetm(C735)</f>
        <v>350.08333333333331</v>
      </c>
      <c r="M735" s="797">
        <f>[1]!tsabetz(C735)</f>
        <v>16.616666666666667</v>
      </c>
      <c r="N735" s="797">
        <f t="shared" si="62"/>
        <v>65.464824120602955</v>
      </c>
      <c r="O735" s="797">
        <f t="shared" si="63"/>
        <v>1445.0028169014086</v>
      </c>
      <c r="P735" s="797">
        <f t="shared" si="64"/>
        <v>35.72451612380128</v>
      </c>
      <c r="Q735" s="797">
        <f t="shared" si="65"/>
        <v>19</v>
      </c>
      <c r="R735" s="797">
        <f t="shared" si="66"/>
        <v>19.595408602063355</v>
      </c>
      <c r="S735" s="797">
        <f>[1]!taqsabet(O735,C735)</f>
        <v>19.593694711421584</v>
      </c>
      <c r="T735" s="523"/>
      <c r="U735" s="523">
        <v>0</v>
      </c>
      <c r="V735" s="523">
        <v>16</v>
      </c>
      <c r="W735" s="523">
        <v>37</v>
      </c>
      <c r="X735" s="523"/>
      <c r="Y735" s="523">
        <v>1</v>
      </c>
      <c r="Z735" s="523">
        <v>12</v>
      </c>
      <c r="AA735" s="523" t="s">
        <v>2695</v>
      </c>
      <c r="AB735" s="523">
        <v>4</v>
      </c>
      <c r="AC735" s="523">
        <v>4</v>
      </c>
      <c r="AD735" s="523" t="s">
        <v>3091</v>
      </c>
    </row>
    <row r="736" spans="1:30">
      <c r="C736" s="522">
        <v>683</v>
      </c>
      <c r="D736" s="522">
        <v>13</v>
      </c>
      <c r="E736" s="550" t="s">
        <v>2948</v>
      </c>
      <c r="F736" s="522">
        <v>70</v>
      </c>
      <c r="G736" s="522"/>
      <c r="H736" s="522">
        <v>66</v>
      </c>
      <c r="I736" s="522">
        <v>0</v>
      </c>
      <c r="J736" s="522">
        <v>0</v>
      </c>
      <c r="K736" s="522"/>
      <c r="L736" s="797">
        <f>[1]!tsabetm(C736)</f>
        <v>352.58333333333331</v>
      </c>
      <c r="M736" s="797">
        <f>[1]!tsabetz(C736)</f>
        <v>19.016666666666666</v>
      </c>
      <c r="N736" s="797">
        <f t="shared" si="62"/>
        <v>65.712484237074392</v>
      </c>
      <c r="O736" s="797">
        <f t="shared" si="63"/>
        <v>1445.0028169014086</v>
      </c>
      <c r="P736" s="797">
        <f t="shared" si="64"/>
        <v>59.050931264037843</v>
      </c>
      <c r="Q736" s="797">
        <f t="shared" si="65"/>
        <v>21</v>
      </c>
      <c r="R736" s="797">
        <f t="shared" si="66"/>
        <v>21.984182187733964</v>
      </c>
      <c r="S736" s="797">
        <f>[1]!taqsabet(O736,C736)</f>
        <v>21.982474756479039</v>
      </c>
      <c r="T736" s="522"/>
      <c r="U736" s="522">
        <v>0</v>
      </c>
      <c r="V736" s="522">
        <v>19</v>
      </c>
      <c r="W736" s="522">
        <v>1</v>
      </c>
      <c r="X736" s="522"/>
      <c r="Y736" s="522">
        <v>6</v>
      </c>
      <c r="Z736" s="522">
        <v>0</v>
      </c>
      <c r="AA736" s="522" t="s">
        <v>274</v>
      </c>
      <c r="AB736" s="522">
        <v>4</v>
      </c>
      <c r="AC736" s="522">
        <v>4</v>
      </c>
      <c r="AD736" s="522" t="s">
        <v>3091</v>
      </c>
    </row>
    <row r="737" spans="3:31">
      <c r="C737" s="523">
        <v>684</v>
      </c>
      <c r="D737" s="523">
        <v>14</v>
      </c>
      <c r="E737" s="543" t="s">
        <v>3097</v>
      </c>
      <c r="F737" s="523">
        <v>70</v>
      </c>
      <c r="G737" s="523"/>
      <c r="H737" s="523">
        <v>66</v>
      </c>
      <c r="I737" s="523">
        <v>0</v>
      </c>
      <c r="J737" s="523">
        <v>0</v>
      </c>
      <c r="K737" s="523"/>
      <c r="L737" s="797">
        <f>[1]!tsabetm(C737)</f>
        <v>351.91666666666669</v>
      </c>
      <c r="M737" s="797">
        <f>[1]!tsabetz(C737)</f>
        <v>18.466666666666665</v>
      </c>
      <c r="N737" s="797">
        <f t="shared" si="62"/>
        <v>65.423728813559435</v>
      </c>
      <c r="O737" s="797">
        <f t="shared" si="63"/>
        <v>1445.0028169014086</v>
      </c>
      <c r="P737" s="797">
        <f t="shared" si="64"/>
        <v>26.836780267094511</v>
      </c>
      <c r="Q737" s="797">
        <f t="shared" si="65"/>
        <v>21</v>
      </c>
      <c r="R737" s="797">
        <f t="shared" si="66"/>
        <v>21.447279671118242</v>
      </c>
      <c r="S737" s="797">
        <f>[1]!taqsabet(O737,C737)</f>
        <v>21.445564703912002</v>
      </c>
      <c r="T737" s="523"/>
      <c r="U737" s="523">
        <v>0</v>
      </c>
      <c r="V737" s="523">
        <v>18</v>
      </c>
      <c r="W737" s="523">
        <v>28</v>
      </c>
      <c r="X737" s="523"/>
      <c r="Y737" s="523">
        <v>1</v>
      </c>
      <c r="Z737" s="523">
        <v>39</v>
      </c>
      <c r="AA737" s="523" t="s">
        <v>274</v>
      </c>
      <c r="AB737" s="523">
        <v>6</v>
      </c>
      <c r="AC737" s="523">
        <v>6</v>
      </c>
      <c r="AD737" s="523" t="s">
        <v>3091</v>
      </c>
    </row>
    <row r="738" spans="3:31">
      <c r="C738" s="522">
        <v>685</v>
      </c>
      <c r="D738" s="522">
        <v>15</v>
      </c>
      <c r="E738" s="550" t="s">
        <v>2718</v>
      </c>
      <c r="F738" s="522">
        <v>70</v>
      </c>
      <c r="G738" s="522"/>
      <c r="H738" s="522">
        <v>66</v>
      </c>
      <c r="I738" s="522">
        <v>0</v>
      </c>
      <c r="J738" s="522">
        <v>0</v>
      </c>
      <c r="K738" s="522"/>
      <c r="L738" s="797">
        <f>[1]!tsabetm(C738)</f>
        <v>352.58333333333331</v>
      </c>
      <c r="M738" s="797">
        <f>[1]!tsabetz(C738)</f>
        <v>19.016666666666666</v>
      </c>
      <c r="N738" s="797">
        <f t="shared" si="62"/>
        <v>65.712484237074392</v>
      </c>
      <c r="O738" s="797">
        <f t="shared" si="63"/>
        <v>1445.0028169014086</v>
      </c>
      <c r="P738" s="797">
        <f t="shared" si="64"/>
        <v>59.050931264037843</v>
      </c>
      <c r="Q738" s="797">
        <f t="shared" si="65"/>
        <v>21</v>
      </c>
      <c r="R738" s="797">
        <f t="shared" si="66"/>
        <v>21.984182187733964</v>
      </c>
      <c r="S738" s="797">
        <f>[1]!taqsabet(O738,C738)</f>
        <v>21.982474756479039</v>
      </c>
      <c r="T738" s="522"/>
      <c r="U738" s="522">
        <v>0</v>
      </c>
      <c r="V738" s="522">
        <v>19</v>
      </c>
      <c r="W738" s="522">
        <v>1</v>
      </c>
      <c r="X738" s="522"/>
      <c r="Y738" s="522">
        <v>4</v>
      </c>
      <c r="Z738" s="522">
        <v>54</v>
      </c>
      <c r="AA738" s="522" t="s">
        <v>274</v>
      </c>
      <c r="AB738" s="522">
        <v>5</v>
      </c>
      <c r="AC738" s="522">
        <v>6</v>
      </c>
      <c r="AD738" s="522" t="s">
        <v>3091</v>
      </c>
    </row>
    <row r="739" spans="3:31">
      <c r="C739" s="523">
        <v>686</v>
      </c>
      <c r="D739" s="523">
        <v>16</v>
      </c>
      <c r="E739" s="543" t="s">
        <v>3098</v>
      </c>
      <c r="F739" s="523">
        <v>70</v>
      </c>
      <c r="G739" s="523"/>
      <c r="H739" s="523">
        <v>66</v>
      </c>
      <c r="I739" s="523">
        <v>0</v>
      </c>
      <c r="J739" s="523">
        <v>0</v>
      </c>
      <c r="K739" s="523"/>
      <c r="L739" s="797">
        <f>[1]!tsabetm(C739)</f>
        <v>356.08333333333331</v>
      </c>
      <c r="M739" s="797">
        <f>[1]!tsabetz(C739)</f>
        <v>22.016666666666666</v>
      </c>
      <c r="N739" s="797">
        <f t="shared" si="62"/>
        <v>66.979434447300761</v>
      </c>
      <c r="O739" s="797">
        <f t="shared" si="63"/>
        <v>1445.0028169014086</v>
      </c>
      <c r="P739" s="797">
        <f t="shared" si="64"/>
        <v>55.683006965222575</v>
      </c>
      <c r="Q739" s="797">
        <f t="shared" si="65"/>
        <v>24</v>
      </c>
      <c r="R739" s="797">
        <f t="shared" si="66"/>
        <v>24.928050116087043</v>
      </c>
      <c r="S739" s="797">
        <f>[1]!taqsabet(O739,C739)</f>
        <v>24.926374981766319</v>
      </c>
      <c r="T739" s="523"/>
      <c r="U739" s="523">
        <v>0</v>
      </c>
      <c r="V739" s="523">
        <v>22</v>
      </c>
      <c r="W739" s="523">
        <v>1</v>
      </c>
      <c r="X739" s="523"/>
      <c r="Y739" s="523">
        <v>2</v>
      </c>
      <c r="Z739" s="523">
        <v>30</v>
      </c>
      <c r="AA739" s="523" t="s">
        <v>274</v>
      </c>
      <c r="AB739" s="523">
        <v>4</v>
      </c>
      <c r="AC739" s="523">
        <v>4</v>
      </c>
      <c r="AD739" s="523" t="s">
        <v>3091</v>
      </c>
    </row>
    <row r="740" spans="3:31">
      <c r="C740" s="522">
        <v>687</v>
      </c>
      <c r="D740" s="522">
        <v>17</v>
      </c>
      <c r="E740" s="550" t="s">
        <v>2612</v>
      </c>
      <c r="F740" s="522">
        <v>70</v>
      </c>
      <c r="G740" s="522"/>
      <c r="H740" s="522">
        <v>66</v>
      </c>
      <c r="I740" s="522">
        <v>0</v>
      </c>
      <c r="J740" s="522">
        <v>0</v>
      </c>
      <c r="K740" s="522"/>
      <c r="L740" s="797">
        <f>[1]!tsabetm(C740)</f>
        <v>358.25</v>
      </c>
      <c r="M740" s="797">
        <f>[1]!tsabetz(C740)</f>
        <v>24.516666666666666</v>
      </c>
      <c r="N740" s="797">
        <f t="shared" si="62"/>
        <v>66.129441624365526</v>
      </c>
      <c r="O740" s="797">
        <f t="shared" si="63"/>
        <v>1445.0028169014086</v>
      </c>
      <c r="P740" s="797">
        <f t="shared" si="64"/>
        <v>27.928289831099349</v>
      </c>
      <c r="Q740" s="797">
        <f t="shared" si="65"/>
        <v>27</v>
      </c>
      <c r="R740" s="797">
        <f t="shared" si="66"/>
        <v>27.465471497184989</v>
      </c>
      <c r="S740" s="797">
        <f>[1]!taqsabet(O740,C740)</f>
        <v>27.463774831574796</v>
      </c>
      <c r="T740" s="522"/>
      <c r="U740" s="522">
        <v>0</v>
      </c>
      <c r="V740" s="522">
        <v>24</v>
      </c>
      <c r="W740" s="522">
        <v>31</v>
      </c>
      <c r="X740" s="522"/>
      <c r="Y740" s="522">
        <v>5</v>
      </c>
      <c r="Z740" s="522">
        <v>0</v>
      </c>
      <c r="AA740" s="522" t="s">
        <v>274</v>
      </c>
      <c r="AB740" s="522">
        <v>4</v>
      </c>
      <c r="AC740" s="522">
        <v>4</v>
      </c>
      <c r="AD740" s="522" t="s">
        <v>3091</v>
      </c>
    </row>
    <row r="741" spans="3:31">
      <c r="C741" s="523">
        <v>688</v>
      </c>
      <c r="D741" s="523">
        <v>18</v>
      </c>
      <c r="E741" s="543" t="s">
        <v>2613</v>
      </c>
      <c r="F741" s="523">
        <v>70</v>
      </c>
      <c r="G741" s="523"/>
      <c r="H741" s="523">
        <v>66</v>
      </c>
      <c r="I741" s="523">
        <v>0</v>
      </c>
      <c r="J741" s="523">
        <v>0</v>
      </c>
      <c r="K741" s="523"/>
      <c r="L741" s="797">
        <f>[1]!tsabetm(C741)</f>
        <v>0.25</v>
      </c>
      <c r="M741" s="797">
        <f>[1]!tsabetz(C741)</f>
        <v>25.916666666666668</v>
      </c>
      <c r="N741" s="797">
        <f t="shared" si="62"/>
        <v>67.675324675324674</v>
      </c>
      <c r="O741" s="797">
        <f t="shared" si="63"/>
        <v>1445.0028169014086</v>
      </c>
      <c r="P741" s="797">
        <f t="shared" si="64"/>
        <v>47.88678067252107</v>
      </c>
      <c r="Q741" s="797">
        <f t="shared" si="65"/>
        <v>28</v>
      </c>
      <c r="R741" s="797">
        <f t="shared" si="66"/>
        <v>28.798113011208684</v>
      </c>
      <c r="S741" s="797">
        <f>[1]!taqsabet(O741,C741)</f>
        <v>28.796455101919538</v>
      </c>
      <c r="T741" s="523"/>
      <c r="U741" s="523">
        <v>0</v>
      </c>
      <c r="V741" s="523">
        <v>25</v>
      </c>
      <c r="W741" s="523">
        <v>55</v>
      </c>
      <c r="X741" s="523"/>
      <c r="Y741" s="523">
        <v>8</v>
      </c>
      <c r="Z741" s="523">
        <v>45</v>
      </c>
      <c r="AA741" s="523" t="s">
        <v>274</v>
      </c>
      <c r="AB741" s="523">
        <v>4</v>
      </c>
      <c r="AC741" s="523">
        <v>4</v>
      </c>
      <c r="AD741" s="523" t="s">
        <v>3091</v>
      </c>
    </row>
    <row r="742" spans="3:31">
      <c r="C742" s="522">
        <v>689</v>
      </c>
      <c r="D742" s="522">
        <v>19</v>
      </c>
      <c r="E742" s="550" t="s">
        <v>3099</v>
      </c>
      <c r="F742" s="522">
        <v>70</v>
      </c>
      <c r="G742" s="522"/>
      <c r="H742" s="522">
        <v>66</v>
      </c>
      <c r="I742" s="522">
        <v>0</v>
      </c>
      <c r="J742" s="522">
        <v>0</v>
      </c>
      <c r="K742" s="522"/>
      <c r="L742" s="797">
        <f>[1]!tsabetm(C742)</f>
        <v>2.0833333333333321</v>
      </c>
      <c r="M742" s="797">
        <f>[1]!tsabetz(C742)</f>
        <v>28.016666666666666</v>
      </c>
      <c r="N742" s="797">
        <f t="shared" si="62"/>
        <v>66.979434447300775</v>
      </c>
      <c r="O742" s="797">
        <f t="shared" si="63"/>
        <v>1445.0028169014086</v>
      </c>
      <c r="P742" s="797">
        <f t="shared" si="64"/>
        <v>55.683006965222575</v>
      </c>
      <c r="Q742" s="797">
        <f t="shared" si="65"/>
        <v>30</v>
      </c>
      <c r="R742" s="797">
        <f t="shared" si="66"/>
        <v>30.928050116087043</v>
      </c>
      <c r="S742" s="797">
        <f>[1]!taqsabet(O742,C742)</f>
        <v>30.926374981766319</v>
      </c>
      <c r="T742" s="522"/>
      <c r="U742" s="522">
        <v>0</v>
      </c>
      <c r="V742" s="522">
        <v>28</v>
      </c>
      <c r="W742" s="522">
        <v>1</v>
      </c>
      <c r="X742" s="522"/>
      <c r="Y742" s="522">
        <v>9</v>
      </c>
      <c r="Z742" s="522">
        <v>30</v>
      </c>
      <c r="AA742" s="522" t="s">
        <v>274</v>
      </c>
      <c r="AB742" s="522">
        <v>3</v>
      </c>
      <c r="AC742" s="522">
        <v>3</v>
      </c>
      <c r="AD742" s="522" t="s">
        <v>3091</v>
      </c>
    </row>
    <row r="743" spans="3:31">
      <c r="C743" s="523">
        <v>690</v>
      </c>
      <c r="D743" s="523">
        <v>20</v>
      </c>
      <c r="E743" s="543" t="s">
        <v>3100</v>
      </c>
      <c r="F743" s="523">
        <v>70</v>
      </c>
      <c r="G743" s="523"/>
      <c r="H743" s="523">
        <v>66</v>
      </c>
      <c r="I743" s="523">
        <v>0</v>
      </c>
      <c r="J743" s="523">
        <v>0</v>
      </c>
      <c r="K743" s="523"/>
      <c r="L743" s="797">
        <f>[1]!tsabetm(C743)</f>
        <v>8.3333333333332149E-2</v>
      </c>
      <c r="M743" s="797">
        <f>[1]!tsabetz(C743)</f>
        <v>26.516666666666666</v>
      </c>
      <c r="N743" s="797">
        <f t="shared" si="62"/>
        <v>65.712484237074406</v>
      </c>
      <c r="O743" s="797">
        <f t="shared" si="63"/>
        <v>1445.0028169014086</v>
      </c>
      <c r="P743" s="797">
        <f t="shared" si="64"/>
        <v>29.050931264037843</v>
      </c>
      <c r="Q743" s="797">
        <f t="shared" si="65"/>
        <v>29</v>
      </c>
      <c r="R743" s="797">
        <f t="shared" si="66"/>
        <v>29.484182187733964</v>
      </c>
      <c r="S743" s="797">
        <f>[1]!taqsabet(O743,C743)</f>
        <v>29.482474756479036</v>
      </c>
      <c r="T743" s="523"/>
      <c r="U743" s="523">
        <v>0</v>
      </c>
      <c r="V743" s="523">
        <v>26</v>
      </c>
      <c r="W743" s="523">
        <v>31</v>
      </c>
      <c r="X743" s="523"/>
      <c r="Y743" s="523">
        <v>2</v>
      </c>
      <c r="Z743" s="523">
        <v>12</v>
      </c>
      <c r="AA743" s="523" t="s">
        <v>274</v>
      </c>
      <c r="AB743" s="523">
        <v>4</v>
      </c>
      <c r="AC743" s="523">
        <v>4</v>
      </c>
      <c r="AD743" s="523" t="s">
        <v>2470</v>
      </c>
    </row>
    <row r="744" spans="3:31">
      <c r="C744" s="522">
        <v>691</v>
      </c>
      <c r="D744" s="522">
        <v>21</v>
      </c>
      <c r="E744" s="550" t="s">
        <v>3101</v>
      </c>
      <c r="F744" s="522">
        <v>70</v>
      </c>
      <c r="G744" s="522"/>
      <c r="H744" s="522">
        <v>66</v>
      </c>
      <c r="I744" s="522">
        <v>0</v>
      </c>
      <c r="J744" s="522">
        <v>0</v>
      </c>
      <c r="K744" s="522"/>
      <c r="L744" s="797">
        <f>[1]!tsabetm(C744)</f>
        <v>359.75</v>
      </c>
      <c r="M744" s="797">
        <f>[1]!tsabetz(C744)</f>
        <v>26.166666666666668</v>
      </c>
      <c r="N744" s="797">
        <f t="shared" si="62"/>
        <v>65.753943217665565</v>
      </c>
      <c r="O744" s="797">
        <f t="shared" si="63"/>
        <v>1445.0028169014086</v>
      </c>
      <c r="P744" s="797">
        <f t="shared" si="64"/>
        <v>7.9386671207443982</v>
      </c>
      <c r="Q744" s="797">
        <f t="shared" si="65"/>
        <v>29</v>
      </c>
      <c r="R744" s="797">
        <f t="shared" si="66"/>
        <v>29.132311118679073</v>
      </c>
      <c r="S744" s="797">
        <f>[1]!taqsabet(O744,C744)</f>
        <v>29.130604763988615</v>
      </c>
      <c r="T744" s="522"/>
      <c r="U744" s="522">
        <v>0</v>
      </c>
      <c r="V744" s="522">
        <v>26</v>
      </c>
      <c r="W744" s="522">
        <v>10</v>
      </c>
      <c r="X744" s="522"/>
      <c r="Y744" s="522">
        <v>1</v>
      </c>
      <c r="Z744" s="522">
        <v>48</v>
      </c>
      <c r="AA744" s="522" t="s">
        <v>2695</v>
      </c>
      <c r="AB744" s="522">
        <v>5</v>
      </c>
      <c r="AC744" s="522">
        <v>4</v>
      </c>
      <c r="AD744" s="522" t="s">
        <v>2470</v>
      </c>
      <c r="AE744" s="327">
        <v>602</v>
      </c>
    </row>
    <row r="745" spans="3:31">
      <c r="C745" s="523">
        <v>692</v>
      </c>
      <c r="D745" s="523">
        <v>22</v>
      </c>
      <c r="E745" s="543" t="s">
        <v>2612</v>
      </c>
      <c r="F745" s="523">
        <v>70</v>
      </c>
      <c r="G745" s="523"/>
      <c r="H745" s="523">
        <v>66</v>
      </c>
      <c r="I745" s="523">
        <v>0</v>
      </c>
      <c r="J745" s="523">
        <v>0</v>
      </c>
      <c r="K745" s="523"/>
      <c r="L745" s="797">
        <f>[1]!tsabetm(C745)</f>
        <v>359.91666666666669</v>
      </c>
      <c r="M745" s="797">
        <f>[1]!tsabetz(C745)</f>
        <v>25.866666666666667</v>
      </c>
      <c r="N745" s="797">
        <f t="shared" si="62"/>
        <v>66.936416184971122</v>
      </c>
      <c r="O745" s="797">
        <f t="shared" si="63"/>
        <v>1445.0028169014086</v>
      </c>
      <c r="P745" s="797">
        <f t="shared" si="64"/>
        <v>46.795271108516445</v>
      </c>
      <c r="Q745" s="797">
        <f t="shared" si="65"/>
        <v>28</v>
      </c>
      <c r="R745" s="797">
        <f t="shared" si="66"/>
        <v>28.779921185141941</v>
      </c>
      <c r="S745" s="797">
        <f>[1]!taqsabet(O745,C745)</f>
        <v>28.77824497425674</v>
      </c>
      <c r="T745" s="523"/>
      <c r="U745" s="523">
        <v>0</v>
      </c>
      <c r="V745" s="523">
        <v>25</v>
      </c>
      <c r="W745" s="523">
        <v>52</v>
      </c>
      <c r="X745" s="523"/>
      <c r="Y745" s="523">
        <v>5</v>
      </c>
      <c r="Z745" s="523">
        <v>0</v>
      </c>
      <c r="AA745" s="523" t="s">
        <v>2695</v>
      </c>
      <c r="AB745" s="523">
        <v>3</v>
      </c>
      <c r="AC745" s="523">
        <v>3</v>
      </c>
      <c r="AD745" s="523" t="s">
        <v>2470</v>
      </c>
    </row>
    <row r="746" spans="3:31">
      <c r="C746" s="522">
        <v>693</v>
      </c>
      <c r="D746" s="522">
        <v>23</v>
      </c>
      <c r="E746" s="550" t="s">
        <v>3102</v>
      </c>
      <c r="F746" s="522">
        <v>70</v>
      </c>
      <c r="G746" s="522"/>
      <c r="H746" s="522">
        <v>66</v>
      </c>
      <c r="I746" s="522">
        <v>0</v>
      </c>
      <c r="J746" s="522">
        <v>0</v>
      </c>
      <c r="K746" s="522"/>
      <c r="L746" s="797">
        <f>[1]!tsabetm(C746)</f>
        <v>8.3333333333332149E-2</v>
      </c>
      <c r="M746" s="797">
        <f>[1]!tsabetz(C746)</f>
        <v>26.266666666666666</v>
      </c>
      <c r="N746" s="797">
        <f t="shared" si="62"/>
        <v>66.339910884786761</v>
      </c>
      <c r="O746" s="797">
        <f t="shared" si="63"/>
        <v>1445.0028169014086</v>
      </c>
      <c r="P746" s="797">
        <f t="shared" si="64"/>
        <v>12.366969114630209</v>
      </c>
      <c r="Q746" s="797">
        <f t="shared" si="65"/>
        <v>29</v>
      </c>
      <c r="R746" s="797">
        <f t="shared" si="66"/>
        <v>29.206116151910503</v>
      </c>
      <c r="S746" s="797">
        <f>[1]!taqsabet(O746,C746)</f>
        <v>29.204424869122676</v>
      </c>
      <c r="T746" s="522"/>
      <c r="U746" s="522">
        <v>0</v>
      </c>
      <c r="V746" s="522">
        <v>26</v>
      </c>
      <c r="W746" s="522">
        <v>16</v>
      </c>
      <c r="X746" s="522"/>
      <c r="Y746" s="522">
        <v>8</v>
      </c>
      <c r="Z746" s="522">
        <v>36</v>
      </c>
      <c r="AA746" s="522" t="s">
        <v>2695</v>
      </c>
      <c r="AB746" s="522">
        <v>5</v>
      </c>
      <c r="AC746" s="522">
        <v>5</v>
      </c>
      <c r="AD746" s="522" t="s">
        <v>2470</v>
      </c>
    </row>
    <row r="747" spans="3:31">
      <c r="C747" s="523">
        <v>694</v>
      </c>
      <c r="D747" s="523">
        <v>24</v>
      </c>
      <c r="E747" s="543" t="s">
        <v>3103</v>
      </c>
      <c r="F747" s="523">
        <v>70</v>
      </c>
      <c r="G747" s="523"/>
      <c r="H747" s="523">
        <v>66</v>
      </c>
      <c r="I747" s="523">
        <v>0</v>
      </c>
      <c r="J747" s="523">
        <v>0</v>
      </c>
      <c r="K747" s="523"/>
      <c r="L747" s="797">
        <f>[1]!tsabetm(C747)</f>
        <v>1.5833333333333321</v>
      </c>
      <c r="M747" s="797">
        <f>[1]!tsabetz(C747)</f>
        <v>27.466666666666665</v>
      </c>
      <c r="N747" s="797">
        <f t="shared" si="62"/>
        <v>67.108821635544103</v>
      </c>
      <c r="O747" s="797">
        <f t="shared" si="63"/>
        <v>1445.0028169014086</v>
      </c>
      <c r="P747" s="797">
        <f t="shared" si="64"/>
        <v>22.346214535340962</v>
      </c>
      <c r="Q747" s="797">
        <f t="shared" si="65"/>
        <v>30</v>
      </c>
      <c r="R747" s="797">
        <f t="shared" si="66"/>
        <v>30.372436908922349</v>
      </c>
      <c r="S747" s="797">
        <f>[1]!taqsabet(O747,C747)</f>
        <v>30.370765004295045</v>
      </c>
      <c r="T747" s="523"/>
      <c r="U747" s="523">
        <v>0</v>
      </c>
      <c r="V747" s="523">
        <v>27</v>
      </c>
      <c r="W747" s="523">
        <v>28</v>
      </c>
      <c r="X747" s="523"/>
      <c r="Y747" s="523">
        <v>22</v>
      </c>
      <c r="Z747" s="523">
        <v>9</v>
      </c>
      <c r="AA747" s="523" t="s">
        <v>2695</v>
      </c>
      <c r="AB747" s="523">
        <v>5</v>
      </c>
      <c r="AC747" s="523">
        <v>5</v>
      </c>
      <c r="AD747" s="523" t="s">
        <v>3104</v>
      </c>
    </row>
    <row r="748" spans="3:31">
      <c r="C748" s="522">
        <v>695</v>
      </c>
      <c r="D748" s="522">
        <v>25</v>
      </c>
      <c r="E748" s="550" t="s">
        <v>2718</v>
      </c>
      <c r="F748" s="522">
        <v>70</v>
      </c>
      <c r="G748" s="522"/>
      <c r="H748" s="522">
        <v>66</v>
      </c>
      <c r="I748" s="522">
        <v>0</v>
      </c>
      <c r="J748" s="522">
        <v>0</v>
      </c>
      <c r="K748" s="522"/>
      <c r="L748" s="797">
        <f>[1]!tsabetm(C748)</f>
        <v>1.25</v>
      </c>
      <c r="M748" s="797">
        <f>[1]!tsabetz(C748)</f>
        <v>26.866666666666667</v>
      </c>
      <c r="N748" s="797">
        <f t="shared" si="62"/>
        <v>67.807417046193876</v>
      </c>
      <c r="O748" s="797">
        <f t="shared" si="63"/>
        <v>1445.0028169014086</v>
      </c>
      <c r="P748" s="797">
        <f t="shared" si="64"/>
        <v>44.549988242639671</v>
      </c>
      <c r="Q748" s="797">
        <f t="shared" si="65"/>
        <v>29</v>
      </c>
      <c r="R748" s="797">
        <f t="shared" si="66"/>
        <v>29.742499804043995</v>
      </c>
      <c r="S748" s="797">
        <f>[1]!taqsabet(O748,C748)</f>
        <v>29.740845124448263</v>
      </c>
      <c r="T748" s="522"/>
      <c r="U748" s="522">
        <v>0</v>
      </c>
      <c r="V748" s="522">
        <v>26</v>
      </c>
      <c r="W748" s="522">
        <v>52</v>
      </c>
      <c r="X748" s="522"/>
      <c r="Y748" s="522">
        <v>21</v>
      </c>
      <c r="Z748" s="522">
        <v>21</v>
      </c>
      <c r="AA748" s="522" t="s">
        <v>2695</v>
      </c>
      <c r="AB748" s="522">
        <v>5</v>
      </c>
      <c r="AC748" s="522">
        <v>5</v>
      </c>
      <c r="AD748" s="522" t="s">
        <v>3105</v>
      </c>
    </row>
    <row r="749" spans="3:31">
      <c r="C749" s="523">
        <v>696</v>
      </c>
      <c r="D749" s="523">
        <v>26</v>
      </c>
      <c r="E749" s="543" t="s">
        <v>3106</v>
      </c>
      <c r="F749" s="523">
        <v>70</v>
      </c>
      <c r="G749" s="523"/>
      <c r="H749" s="523">
        <v>66</v>
      </c>
      <c r="I749" s="523">
        <v>0</v>
      </c>
      <c r="J749" s="523">
        <v>0</v>
      </c>
      <c r="K749" s="523"/>
      <c r="L749" s="797">
        <f>[1]!tsabetm(C749)</f>
        <v>358.25</v>
      </c>
      <c r="M749" s="797">
        <f>[1]!tsabetz(C749)</f>
        <v>23.666666666666668</v>
      </c>
      <c r="N749" s="797">
        <f t="shared" si="62"/>
        <v>68.34098360655733</v>
      </c>
      <c r="O749" s="797">
        <f t="shared" si="63"/>
        <v>1445.0028169014086</v>
      </c>
      <c r="P749" s="797">
        <f t="shared" si="64"/>
        <v>31.202818523113649</v>
      </c>
      <c r="Q749" s="797">
        <f t="shared" si="65"/>
        <v>26</v>
      </c>
      <c r="R749" s="797">
        <f t="shared" si="66"/>
        <v>26.520046975385227</v>
      </c>
      <c r="S749" s="797">
        <f>[1]!taqsabet(O749,C749)</f>
        <v>26.518405214563177</v>
      </c>
      <c r="T749" s="523"/>
      <c r="U749" s="523">
        <v>0</v>
      </c>
      <c r="V749" s="523">
        <v>23</v>
      </c>
      <c r="W749" s="523">
        <v>40</v>
      </c>
      <c r="X749" s="523"/>
      <c r="Y749" s="523">
        <v>20</v>
      </c>
      <c r="Z749" s="523">
        <v>45</v>
      </c>
      <c r="AA749" s="523" t="s">
        <v>2695</v>
      </c>
      <c r="AB749" s="523">
        <v>6</v>
      </c>
      <c r="AC749" s="523">
        <v>6</v>
      </c>
      <c r="AD749" s="523" t="s">
        <v>3104</v>
      </c>
    </row>
    <row r="750" spans="3:31">
      <c r="C750" s="522">
        <v>697</v>
      </c>
      <c r="D750" s="522">
        <v>27</v>
      </c>
      <c r="E750" s="550" t="s">
        <v>2612</v>
      </c>
      <c r="F750" s="522">
        <v>70</v>
      </c>
      <c r="G750" s="522"/>
      <c r="H750" s="522">
        <v>66</v>
      </c>
      <c r="I750" s="522">
        <v>0</v>
      </c>
      <c r="J750" s="522">
        <v>0</v>
      </c>
      <c r="K750" s="522"/>
      <c r="L750" s="797">
        <f>[1]!tsabetm(C750)</f>
        <v>357.25</v>
      </c>
      <c r="M750" s="797">
        <f>[1]!tsabetz(C750)</f>
        <v>22.816666666666666</v>
      </c>
      <c r="N750" s="797">
        <f t="shared" si="62"/>
        <v>67.940026075619301</v>
      </c>
      <c r="O750" s="797">
        <f t="shared" si="63"/>
        <v>1445.0028169014086</v>
      </c>
      <c r="P750" s="797">
        <f t="shared" si="64"/>
        <v>41.213195812758059</v>
      </c>
      <c r="Q750" s="797">
        <f t="shared" si="65"/>
        <v>25</v>
      </c>
      <c r="R750" s="797">
        <f t="shared" si="66"/>
        <v>25.686886596879301</v>
      </c>
      <c r="S750" s="797">
        <f>[1]!taqsabet(O750,C750)</f>
        <v>25.685235146976993</v>
      </c>
      <c r="T750" s="522"/>
      <c r="U750" s="522">
        <v>0</v>
      </c>
      <c r="V750" s="522">
        <v>22</v>
      </c>
      <c r="W750" s="522">
        <v>49</v>
      </c>
      <c r="X750" s="522"/>
      <c r="Y750" s="522">
        <v>19</v>
      </c>
      <c r="Z750" s="522">
        <v>42</v>
      </c>
      <c r="AA750" s="522" t="s">
        <v>2695</v>
      </c>
      <c r="AB750" s="522">
        <v>6</v>
      </c>
      <c r="AC750" s="522">
        <v>6</v>
      </c>
      <c r="AD750" s="522" t="s">
        <v>3104</v>
      </c>
    </row>
    <row r="751" spans="3:31">
      <c r="C751" s="523">
        <v>698</v>
      </c>
      <c r="D751" s="523">
        <v>28</v>
      </c>
      <c r="E751" s="543" t="s">
        <v>3107</v>
      </c>
      <c r="F751" s="523">
        <v>70</v>
      </c>
      <c r="G751" s="523"/>
      <c r="H751" s="523">
        <v>66</v>
      </c>
      <c r="I751" s="523">
        <v>0</v>
      </c>
      <c r="J751" s="523">
        <v>0</v>
      </c>
      <c r="K751" s="523"/>
      <c r="L751" s="797">
        <f>[1]!tsabetm(C751)</f>
        <v>356.58333333333331</v>
      </c>
      <c r="M751" s="797">
        <f>[1]!tsabetz(C751)</f>
        <v>21.766666666666666</v>
      </c>
      <c r="N751" s="797">
        <f t="shared" si="62"/>
        <v>68.974189278623413</v>
      </c>
      <c r="O751" s="797">
        <f t="shared" si="63"/>
        <v>1445.0028169014086</v>
      </c>
      <c r="P751" s="797">
        <f t="shared" si="64"/>
        <v>35.631120516999673</v>
      </c>
      <c r="Q751" s="797">
        <f t="shared" si="65"/>
        <v>24</v>
      </c>
      <c r="R751" s="797">
        <f t="shared" si="66"/>
        <v>24.593852008616661</v>
      </c>
      <c r="S751" s="797">
        <f>[1]!taqsabet(O751,C751)</f>
        <v>24.592225319697242</v>
      </c>
      <c r="T751" s="523"/>
      <c r="U751" s="523">
        <v>0</v>
      </c>
      <c r="V751" s="523">
        <v>21</v>
      </c>
      <c r="W751" s="523">
        <v>46</v>
      </c>
      <c r="X751" s="523"/>
      <c r="Y751" s="523">
        <v>20</v>
      </c>
      <c r="Z751" s="523">
        <v>30</v>
      </c>
      <c r="AA751" s="523" t="s">
        <v>2695</v>
      </c>
      <c r="AB751" s="523">
        <v>6</v>
      </c>
      <c r="AC751" s="523">
        <v>6</v>
      </c>
      <c r="AD751" s="523" t="s">
        <v>3104</v>
      </c>
    </row>
    <row r="752" spans="3:31">
      <c r="C752" s="522">
        <v>699</v>
      </c>
      <c r="D752" s="522">
        <v>29</v>
      </c>
      <c r="E752" s="550" t="s">
        <v>3108</v>
      </c>
      <c r="F752" s="522">
        <v>70</v>
      </c>
      <c r="G752" s="522"/>
      <c r="H752" s="522">
        <v>66</v>
      </c>
      <c r="I752" s="522">
        <v>0</v>
      </c>
      <c r="J752" s="522">
        <v>0</v>
      </c>
      <c r="K752" s="522"/>
      <c r="L752" s="797">
        <f>[1]!tsabetm(C752)</f>
        <v>355.25</v>
      </c>
      <c r="M752" s="797">
        <f>[1]!tsabetz(C752)</f>
        <v>22.416666666666668</v>
      </c>
      <c r="N752" s="797">
        <f t="shared" si="62"/>
        <v>63.938650306748421</v>
      </c>
      <c r="O752" s="797">
        <f t="shared" si="63"/>
        <v>1445.0028169014086</v>
      </c>
      <c r="P752" s="797">
        <f t="shared" si="64"/>
        <v>27.9905535689673</v>
      </c>
      <c r="Q752" s="797">
        <f t="shared" si="65"/>
        <v>25</v>
      </c>
      <c r="R752" s="797">
        <f t="shared" si="66"/>
        <v>25.466509226149455</v>
      </c>
      <c r="S752" s="797">
        <f>[1]!taqsabet(O752,C752)</f>
        <v>25.464754426057691</v>
      </c>
      <c r="T752" s="522"/>
      <c r="U752" s="522">
        <v>0</v>
      </c>
      <c r="V752" s="522">
        <v>22</v>
      </c>
      <c r="W752" s="522">
        <v>25</v>
      </c>
      <c r="X752" s="522"/>
      <c r="Y752" s="522">
        <v>12</v>
      </c>
      <c r="Z752" s="522">
        <v>51</v>
      </c>
      <c r="AA752" s="522" t="s">
        <v>2695</v>
      </c>
      <c r="AB752" s="522">
        <v>4</v>
      </c>
      <c r="AC752" s="522">
        <v>4</v>
      </c>
      <c r="AD752" s="522" t="s">
        <v>3104</v>
      </c>
    </row>
    <row r="753" spans="1:31">
      <c r="C753" s="523">
        <v>700</v>
      </c>
      <c r="D753" s="523">
        <v>30</v>
      </c>
      <c r="E753" s="543" t="s">
        <v>2612</v>
      </c>
      <c r="F753" s="523">
        <v>70</v>
      </c>
      <c r="G753" s="523"/>
      <c r="H753" s="523">
        <v>66</v>
      </c>
      <c r="I753" s="523">
        <v>0</v>
      </c>
      <c r="J753" s="523">
        <v>0</v>
      </c>
      <c r="K753" s="523"/>
      <c r="L753" s="797">
        <f>[1]!tsabetm(C753)</f>
        <v>355.91666666666669</v>
      </c>
      <c r="M753" s="797">
        <f>[1]!tsabetz(C753)</f>
        <v>22.566666666666666</v>
      </c>
      <c r="N753" s="797">
        <f t="shared" si="62"/>
        <v>65.178236397748648</v>
      </c>
      <c r="O753" s="797">
        <f t="shared" si="63"/>
        <v>1445.0028169014086</v>
      </c>
      <c r="P753" s="797">
        <f t="shared" si="64"/>
        <v>33.510365126857735</v>
      </c>
      <c r="Q753" s="797">
        <f t="shared" si="65"/>
        <v>25</v>
      </c>
      <c r="R753" s="797">
        <f t="shared" si="66"/>
        <v>25.558506085447629</v>
      </c>
      <c r="S753" s="797">
        <f>[1]!taqsabet(O753,C753)</f>
        <v>25.556784658854546</v>
      </c>
      <c r="T753" s="523"/>
      <c r="U753" s="523">
        <v>0</v>
      </c>
      <c r="V753" s="523">
        <v>22</v>
      </c>
      <c r="W753" s="523">
        <v>34</v>
      </c>
      <c r="X753" s="523"/>
      <c r="Y753" s="523">
        <v>11</v>
      </c>
      <c r="Z753" s="523">
        <v>54</v>
      </c>
      <c r="AA753" s="523" t="s">
        <v>2695</v>
      </c>
      <c r="AB753" s="523">
        <v>4</v>
      </c>
      <c r="AC753" s="523">
        <v>4</v>
      </c>
      <c r="AD753" s="523" t="s">
        <v>3104</v>
      </c>
    </row>
    <row r="754" spans="1:31">
      <c r="C754" s="522">
        <v>701</v>
      </c>
      <c r="D754" s="522">
        <v>31</v>
      </c>
      <c r="E754" s="550" t="s">
        <v>2613</v>
      </c>
      <c r="F754" s="522">
        <v>70</v>
      </c>
      <c r="G754" s="522"/>
      <c r="H754" s="522">
        <v>66</v>
      </c>
      <c r="I754" s="522">
        <v>0</v>
      </c>
      <c r="J754" s="522">
        <v>0</v>
      </c>
      <c r="K754" s="522"/>
      <c r="L754" s="797">
        <f>[1]!tsabetm(C754)</f>
        <v>357.25</v>
      </c>
      <c r="M754" s="797">
        <f>[1]!tsabetz(C754)</f>
        <v>22.866666666666667</v>
      </c>
      <c r="N754" s="797">
        <f t="shared" si="62"/>
        <v>67.807417046193862</v>
      </c>
      <c r="O754" s="797">
        <f t="shared" si="63"/>
        <v>1445.0028169014086</v>
      </c>
      <c r="P754" s="797">
        <f t="shared" si="64"/>
        <v>44.549988242639671</v>
      </c>
      <c r="Q754" s="797">
        <f t="shared" si="65"/>
        <v>25</v>
      </c>
      <c r="R754" s="797">
        <f t="shared" si="66"/>
        <v>25.742499804043995</v>
      </c>
      <c r="S754" s="797">
        <f>[1]!taqsabet(O754,C754)</f>
        <v>25.740845124448263</v>
      </c>
      <c r="T754" s="522"/>
      <c r="U754" s="522">
        <v>0</v>
      </c>
      <c r="V754" s="522">
        <v>22</v>
      </c>
      <c r="W754" s="522">
        <v>52</v>
      </c>
      <c r="X754" s="522"/>
      <c r="Y754" s="522">
        <v>10</v>
      </c>
      <c r="Z754" s="522">
        <v>57</v>
      </c>
      <c r="AA754" s="522" t="s">
        <v>2695</v>
      </c>
      <c r="AB754" s="522">
        <v>4</v>
      </c>
      <c r="AC754" s="522">
        <v>4</v>
      </c>
      <c r="AD754" s="522" t="s">
        <v>3104</v>
      </c>
    </row>
    <row r="755" spans="1:31">
      <c r="C755" s="523">
        <v>702</v>
      </c>
      <c r="D755" s="523">
        <v>32</v>
      </c>
      <c r="E755" s="543" t="s">
        <v>3109</v>
      </c>
      <c r="F755" s="523">
        <v>70</v>
      </c>
      <c r="G755" s="523"/>
      <c r="H755" s="523">
        <v>66</v>
      </c>
      <c r="I755" s="523">
        <v>0</v>
      </c>
      <c r="J755" s="523">
        <v>0</v>
      </c>
      <c r="K755" s="523"/>
      <c r="L755" s="797">
        <f>[1]!tsabetm(C755)</f>
        <v>1.75</v>
      </c>
      <c r="M755" s="797">
        <f>[1]!tsabetz(C755)</f>
        <v>27.016666666666666</v>
      </c>
      <c r="N755" s="797">
        <f t="shared" si="62"/>
        <v>68.746701846965706</v>
      </c>
      <c r="O755" s="797">
        <f t="shared" si="63"/>
        <v>1445.0028169014086</v>
      </c>
      <c r="P755" s="797">
        <f t="shared" si="64"/>
        <v>51.192441233468813</v>
      </c>
      <c r="Q755" s="797">
        <f t="shared" si="65"/>
        <v>29</v>
      </c>
      <c r="R755" s="797">
        <f t="shared" si="66"/>
        <v>29.853207353891147</v>
      </c>
      <c r="S755" s="797">
        <f>[1]!taqsabet(O755,C755)</f>
        <v>29.851575282149359</v>
      </c>
      <c r="T755" s="523"/>
      <c r="U755" s="523">
        <v>0</v>
      </c>
      <c r="V755" s="523">
        <v>27</v>
      </c>
      <c r="W755" s="523">
        <v>1</v>
      </c>
      <c r="X755" s="523"/>
      <c r="Y755" s="523">
        <v>18</v>
      </c>
      <c r="Z755" s="523">
        <v>0</v>
      </c>
      <c r="AA755" s="523" t="s">
        <v>2695</v>
      </c>
      <c r="AB755" s="523">
        <v>4</v>
      </c>
      <c r="AC755" s="523">
        <v>4</v>
      </c>
      <c r="AD755" s="523" t="s">
        <v>3104</v>
      </c>
    </row>
    <row r="756" spans="1:31">
      <c r="C756" s="522">
        <v>703</v>
      </c>
      <c r="D756" s="522">
        <v>33</v>
      </c>
      <c r="E756" s="550" t="s">
        <v>2718</v>
      </c>
      <c r="F756" s="522">
        <v>70</v>
      </c>
      <c r="G756" s="522"/>
      <c r="H756" s="522">
        <v>66</v>
      </c>
      <c r="I756" s="522">
        <v>0</v>
      </c>
      <c r="J756" s="522">
        <v>0</v>
      </c>
      <c r="K756" s="522"/>
      <c r="L756" s="797">
        <f>[1]!tsabetm(C756)</f>
        <v>359.41666666666669</v>
      </c>
      <c r="M756" s="797">
        <f>[1]!tsabetz(C756)</f>
        <v>25.566666666666666</v>
      </c>
      <c r="N756" s="797">
        <f t="shared" si="62"/>
        <v>66.424474187380554</v>
      </c>
      <c r="O756" s="797">
        <f t="shared" si="63"/>
        <v>1445.0028169014086</v>
      </c>
      <c r="P756" s="797">
        <f t="shared" si="64"/>
        <v>30.142440828042467</v>
      </c>
      <c r="Q756" s="797">
        <f t="shared" si="65"/>
        <v>28</v>
      </c>
      <c r="R756" s="797">
        <f t="shared" si="66"/>
        <v>28.502374013800708</v>
      </c>
      <c r="S756" s="797">
        <f>[1]!taqsabet(O756,C756)</f>
        <v>28.500684884141826</v>
      </c>
      <c r="T756" s="522"/>
      <c r="U756" s="522">
        <v>0</v>
      </c>
      <c r="V756" s="522">
        <v>25</v>
      </c>
      <c r="W756" s="522">
        <v>34</v>
      </c>
      <c r="X756" s="522"/>
      <c r="Y756" s="522">
        <v>14</v>
      </c>
      <c r="Z756" s="522">
        <v>45</v>
      </c>
      <c r="AA756" s="522" t="s">
        <v>2695</v>
      </c>
      <c r="AB756" s="522">
        <v>4</v>
      </c>
      <c r="AC756" s="522">
        <v>4</v>
      </c>
      <c r="AD756" s="522" t="s">
        <v>3104</v>
      </c>
    </row>
    <row r="757" spans="1:31">
      <c r="C757" s="523">
        <v>704</v>
      </c>
      <c r="D757" s="523">
        <v>34</v>
      </c>
      <c r="E757" s="543" t="s">
        <v>3110</v>
      </c>
      <c r="F757" s="523">
        <v>70</v>
      </c>
      <c r="G757" s="523"/>
      <c r="H757" s="523">
        <v>66</v>
      </c>
      <c r="I757" s="523">
        <v>0</v>
      </c>
      <c r="J757" s="523">
        <v>0</v>
      </c>
      <c r="K757" s="523"/>
      <c r="L757" s="797">
        <f>[1]!tsabetm(C757)</f>
        <v>359.58333333333331</v>
      </c>
      <c r="M757" s="797">
        <f>[1]!tsabetz(C757)</f>
        <v>23.266666666666666</v>
      </c>
      <c r="N757" s="797">
        <f t="shared" si="62"/>
        <v>73.342716396903583</v>
      </c>
      <c r="O757" s="797">
        <f t="shared" si="63"/>
        <v>1445.0028169014086</v>
      </c>
      <c r="P757" s="797">
        <f t="shared" si="64"/>
        <v>55.527347620553442</v>
      </c>
      <c r="Q757" s="797">
        <f t="shared" si="65"/>
        <v>25</v>
      </c>
      <c r="R757" s="797">
        <f t="shared" si="66"/>
        <v>25.925455793675891</v>
      </c>
      <c r="S757" s="797">
        <f>[1]!taqsabet(O757,C757)</f>
        <v>25.923925995559088</v>
      </c>
      <c r="T757" s="523"/>
      <c r="U757" s="523">
        <v>0</v>
      </c>
      <c r="V757" s="523">
        <v>23</v>
      </c>
      <c r="W757" s="523">
        <v>16</v>
      </c>
      <c r="X757" s="523"/>
      <c r="Y757" s="523">
        <v>12</v>
      </c>
      <c r="Z757" s="523">
        <v>0</v>
      </c>
      <c r="AA757" s="523" t="s">
        <v>2695</v>
      </c>
      <c r="AB757" s="523">
        <v>4</v>
      </c>
      <c r="AC757" s="523">
        <v>4</v>
      </c>
      <c r="AD757" s="523" t="s">
        <v>3104</v>
      </c>
    </row>
    <row r="758" spans="1:31">
      <c r="B758" s="505" t="s">
        <v>2415</v>
      </c>
      <c r="C758" s="522">
        <v>705</v>
      </c>
      <c r="D758" s="522">
        <v>1</v>
      </c>
      <c r="E758" s="550" t="s">
        <v>3111</v>
      </c>
      <c r="F758" s="522">
        <v>70</v>
      </c>
      <c r="G758" s="522"/>
      <c r="H758" s="522">
        <v>66</v>
      </c>
      <c r="I758" s="522">
        <v>0</v>
      </c>
      <c r="J758" s="522">
        <v>0</v>
      </c>
      <c r="K758" s="522"/>
      <c r="L758" s="797">
        <f>[1]!tsabetm(C758)</f>
        <v>330.75</v>
      </c>
      <c r="M758" s="797">
        <f>[1]!tsabetz(C758)</f>
        <v>356.86666666666667</v>
      </c>
      <c r="N758" s="797">
        <f t="shared" si="62"/>
        <v>66.509253350350974</v>
      </c>
      <c r="O758" s="797">
        <f t="shared" si="63"/>
        <v>1445.0028169014086</v>
      </c>
      <c r="P758" s="797">
        <f t="shared" si="64"/>
        <v>47.917912541456644</v>
      </c>
      <c r="Q758" s="797">
        <f t="shared" si="65"/>
        <v>359</v>
      </c>
      <c r="R758" s="797">
        <f t="shared" si="66"/>
        <v>359.79863187569094</v>
      </c>
      <c r="S758" s="797">
        <f>[1]!taqsabet(O758,C758)</f>
        <v>359.79694489916096</v>
      </c>
      <c r="T758" s="522"/>
      <c r="U758" s="522">
        <v>11</v>
      </c>
      <c r="V758" s="522">
        <v>26</v>
      </c>
      <c r="W758" s="522">
        <v>52</v>
      </c>
      <c r="X758" s="522"/>
      <c r="Y758" s="522">
        <v>3</v>
      </c>
      <c r="Z758" s="522">
        <v>12</v>
      </c>
      <c r="AA758" s="522" t="s">
        <v>274</v>
      </c>
      <c r="AB758" s="522">
        <v>4</v>
      </c>
      <c r="AC758" s="522">
        <v>4</v>
      </c>
      <c r="AD758" s="522"/>
    </row>
    <row r="759" spans="1:31">
      <c r="C759" s="523">
        <v>706</v>
      </c>
      <c r="D759" s="523">
        <v>2</v>
      </c>
      <c r="E759" s="543" t="s">
        <v>2465</v>
      </c>
      <c r="F759" s="523">
        <v>70</v>
      </c>
      <c r="G759" s="523"/>
      <c r="H759" s="523">
        <v>66</v>
      </c>
      <c r="I759" s="523">
        <v>0</v>
      </c>
      <c r="J759" s="523">
        <v>0</v>
      </c>
      <c r="K759" s="523"/>
      <c r="L759" s="797">
        <f>[1]!tsabetm(C759)</f>
        <v>331.83333333333331</v>
      </c>
      <c r="M759" s="797">
        <f>[1]!tsabetz(C759)</f>
        <v>357.26666666666665</v>
      </c>
      <c r="N759" s="797">
        <f t="shared" si="62"/>
        <v>68.296199213630402</v>
      </c>
      <c r="O759" s="797">
        <f t="shared" si="63"/>
        <v>1445.0028169014086</v>
      </c>
      <c r="P759" s="797">
        <f t="shared" si="64"/>
        <v>7.3150826664073065</v>
      </c>
      <c r="Q759" s="797">
        <f t="shared" si="65"/>
        <v>360</v>
      </c>
      <c r="R759" s="797">
        <f t="shared" si="66"/>
        <v>360.12191804444012</v>
      </c>
      <c r="S759" s="797">
        <f>[1]!taqsabet(O759,C759)</f>
        <v>360.12027520705357</v>
      </c>
      <c r="T759" s="523"/>
      <c r="U759" s="523">
        <v>11</v>
      </c>
      <c r="V759" s="523">
        <v>27</v>
      </c>
      <c r="W759" s="523">
        <v>16</v>
      </c>
      <c r="X759" s="523"/>
      <c r="Y759" s="523">
        <v>3</v>
      </c>
      <c r="Z759" s="523">
        <v>0</v>
      </c>
      <c r="AA759" s="523" t="s">
        <v>274</v>
      </c>
      <c r="AB759" s="523">
        <v>4</v>
      </c>
      <c r="AC759" s="523">
        <v>4</v>
      </c>
      <c r="AD759" s="523"/>
    </row>
    <row r="760" spans="1:31">
      <c r="C760" s="522">
        <v>707</v>
      </c>
      <c r="D760" s="522">
        <v>3</v>
      </c>
      <c r="E760" s="550" t="s">
        <v>3112</v>
      </c>
      <c r="F760" s="522">
        <v>70</v>
      </c>
      <c r="G760" s="522"/>
      <c r="H760" s="522">
        <v>66</v>
      </c>
      <c r="I760" s="522">
        <v>0</v>
      </c>
      <c r="J760" s="522">
        <v>0</v>
      </c>
      <c r="K760" s="522"/>
      <c r="L760" s="797">
        <f>[1]!tsabetm(C760)</f>
        <v>330.25</v>
      </c>
      <c r="M760" s="797">
        <f>[1]!tsabetz(C760)</f>
        <v>357.51666666666665</v>
      </c>
      <c r="N760" s="797">
        <f t="shared" si="62"/>
        <v>63.704156479217637</v>
      </c>
      <c r="O760" s="797">
        <f t="shared" si="63"/>
        <v>1445.0028169014086</v>
      </c>
      <c r="P760" s="797">
        <f t="shared" si="64"/>
        <v>34.664138428728393</v>
      </c>
      <c r="Q760" s="797">
        <f t="shared" si="65"/>
        <v>360</v>
      </c>
      <c r="R760" s="797">
        <f t="shared" si="66"/>
        <v>360.57773564047881</v>
      </c>
      <c r="S760" s="797">
        <f>[1]!taqsabet(O760,C760)</f>
        <v>360.57597438100021</v>
      </c>
      <c r="T760" s="522"/>
      <c r="U760" s="522">
        <v>11</v>
      </c>
      <c r="V760" s="522">
        <v>27</v>
      </c>
      <c r="W760" s="522">
        <v>31</v>
      </c>
      <c r="X760" s="522"/>
      <c r="Y760" s="522">
        <v>6</v>
      </c>
      <c r="Z760" s="522">
        <v>12</v>
      </c>
      <c r="AA760" s="522" t="s">
        <v>274</v>
      </c>
      <c r="AB760" s="522">
        <v>4</v>
      </c>
      <c r="AC760" s="522">
        <v>4</v>
      </c>
      <c r="AD760" s="522"/>
    </row>
    <row r="761" spans="1:31">
      <c r="C761" s="523">
        <v>708</v>
      </c>
      <c r="D761" s="523">
        <v>4</v>
      </c>
      <c r="E761" s="543" t="s">
        <v>2465</v>
      </c>
      <c r="F761" s="523">
        <v>70</v>
      </c>
      <c r="G761" s="523"/>
      <c r="H761" s="523">
        <v>66</v>
      </c>
      <c r="I761" s="523">
        <v>0</v>
      </c>
      <c r="J761" s="523">
        <v>0</v>
      </c>
      <c r="K761" s="523"/>
      <c r="L761" s="797">
        <f>[1]!tsabetm(C761)</f>
        <v>331.91666666666669</v>
      </c>
      <c r="M761" s="797">
        <f>[1]!tsabetz(C761)</f>
        <v>358.31666666666666</v>
      </c>
      <c r="N761" s="797">
        <f t="shared" si="62"/>
        <v>65.795454545454604</v>
      </c>
      <c r="O761" s="797">
        <f t="shared" si="63"/>
        <v>1445.0028169014086</v>
      </c>
      <c r="P761" s="797">
        <f t="shared" si="64"/>
        <v>16.82640297745138</v>
      </c>
      <c r="Q761" s="797">
        <f t="shared" si="65"/>
        <v>361</v>
      </c>
      <c r="R761" s="797">
        <f t="shared" si="66"/>
        <v>361.28044004962419</v>
      </c>
      <c r="S761" s="797">
        <f>[1]!taqsabet(O761,C761)</f>
        <v>361.27873477149819</v>
      </c>
      <c r="T761" s="523"/>
      <c r="U761" s="523">
        <v>11</v>
      </c>
      <c r="V761" s="523">
        <v>28</v>
      </c>
      <c r="W761" s="523">
        <v>19</v>
      </c>
      <c r="X761" s="523"/>
      <c r="Y761" s="523">
        <v>6</v>
      </c>
      <c r="Z761" s="523">
        <v>12</v>
      </c>
      <c r="AA761" s="523" t="s">
        <v>274</v>
      </c>
      <c r="AB761" s="523">
        <v>4</v>
      </c>
      <c r="AC761" s="523">
        <v>4</v>
      </c>
      <c r="AD761" s="523"/>
    </row>
    <row r="762" spans="1:31">
      <c r="B762" s="505" t="s">
        <v>2355</v>
      </c>
      <c r="C762" s="506" t="s">
        <v>2356</v>
      </c>
      <c r="D762" s="507" t="s">
        <v>2357</v>
      </c>
      <c r="E762" s="511" t="s">
        <v>2358</v>
      </c>
      <c r="F762" s="511"/>
      <c r="G762" s="511"/>
      <c r="H762" s="511"/>
      <c r="I762" s="511"/>
      <c r="J762" s="511" t="s">
        <v>2359</v>
      </c>
      <c r="K762" s="514" t="s">
        <v>2360</v>
      </c>
      <c r="N762" s="797">
        <f t="shared" si="62"/>
        <v>4.8250000000000002</v>
      </c>
      <c r="O762" s="797">
        <f t="shared" si="63"/>
        <v>1445.0028169014086</v>
      </c>
      <c r="P762" s="797">
        <f t="shared" si="64"/>
        <v>24.905495147049237</v>
      </c>
      <c r="Q762" s="797">
        <f t="shared" si="65"/>
        <v>40</v>
      </c>
      <c r="R762" s="797">
        <f t="shared" si="66"/>
        <v>40.415091585784154</v>
      </c>
      <c r="S762" s="797" t="e">
        <f>[1]!taqsabet(O762,C762)</f>
        <v>#VALUE!</v>
      </c>
      <c r="T762" s="507"/>
      <c r="U762" s="508" t="s">
        <v>403</v>
      </c>
      <c r="V762" s="508"/>
      <c r="W762" s="509"/>
      <c r="X762" s="507"/>
      <c r="Y762" s="509" t="s">
        <v>275</v>
      </c>
      <c r="Z762" s="510"/>
      <c r="AA762" s="506" t="s">
        <v>176</v>
      </c>
      <c r="AB762" s="511" t="s">
        <v>2361</v>
      </c>
      <c r="AC762" s="511" t="s">
        <v>2362</v>
      </c>
      <c r="AD762" s="511" t="s">
        <v>2363</v>
      </c>
    </row>
    <row r="763" spans="1:31">
      <c r="A763" s="6" t="s">
        <v>3113</v>
      </c>
      <c r="B763" s="505"/>
      <c r="C763" s="512"/>
      <c r="D763" s="512"/>
      <c r="E763" s="513"/>
      <c r="F763" s="513"/>
      <c r="G763" s="513"/>
      <c r="H763" s="513"/>
      <c r="I763" s="513"/>
      <c r="J763" s="513"/>
      <c r="K763" s="514"/>
      <c r="N763" s="797">
        <f t="shared" si="62"/>
        <v>4.8250000000000002</v>
      </c>
      <c r="O763" s="797">
        <f t="shared" si="63"/>
        <v>1445.0028169014086</v>
      </c>
      <c r="P763" s="797">
        <f t="shared" si="64"/>
        <v>24.905495147049237</v>
      </c>
      <c r="Q763" s="797">
        <f t="shared" si="65"/>
        <v>40</v>
      </c>
      <c r="R763" s="797">
        <f t="shared" si="66"/>
        <v>40.415091585784154</v>
      </c>
      <c r="S763" s="797">
        <f>[1]!taqsabet(O763,C763)</f>
        <v>1.4716840899636423</v>
      </c>
      <c r="T763" s="515" t="s">
        <v>2367</v>
      </c>
      <c r="U763" s="516" t="s">
        <v>173</v>
      </c>
      <c r="V763" s="516" t="s">
        <v>172</v>
      </c>
      <c r="W763" s="516" t="s">
        <v>166</v>
      </c>
      <c r="X763" s="517" t="s">
        <v>2367</v>
      </c>
      <c r="Y763" s="516" t="s">
        <v>172</v>
      </c>
      <c r="Z763" s="518" t="s">
        <v>166</v>
      </c>
      <c r="AA763" s="512"/>
      <c r="AB763" s="517" t="s">
        <v>2368</v>
      </c>
      <c r="AC763" s="517" t="s">
        <v>2369</v>
      </c>
      <c r="AD763" s="513"/>
    </row>
    <row r="764" spans="1:31">
      <c r="A764" s="567">
        <v>1</v>
      </c>
      <c r="B764" s="536" t="s">
        <v>3114</v>
      </c>
      <c r="C764" s="527">
        <v>709</v>
      </c>
      <c r="D764" s="527">
        <v>1</v>
      </c>
      <c r="E764" s="553" t="s">
        <v>3115</v>
      </c>
      <c r="F764" s="527">
        <v>70</v>
      </c>
      <c r="G764" s="527"/>
      <c r="H764" s="527">
        <v>66</v>
      </c>
      <c r="I764" s="527">
        <v>0</v>
      </c>
      <c r="J764" s="527">
        <v>0</v>
      </c>
      <c r="K764" s="568" t="s">
        <v>3116</v>
      </c>
      <c r="L764" s="797">
        <f>[1]!tsabetm(C764)</f>
        <v>17.25</v>
      </c>
      <c r="M764" s="797">
        <f>[1]!tsabetz(C764)</f>
        <v>43.616666666666667</v>
      </c>
      <c r="N764" s="797">
        <f t="shared" si="62"/>
        <v>65.878634639696585</v>
      </c>
      <c r="O764" s="797">
        <f t="shared" si="63"/>
        <v>1445.0028169014086</v>
      </c>
      <c r="P764" s="797">
        <f t="shared" si="64"/>
        <v>34.601874690862786</v>
      </c>
      <c r="Q764" s="797">
        <f t="shared" si="65"/>
        <v>46</v>
      </c>
      <c r="R764" s="797">
        <f t="shared" si="66"/>
        <v>46.57669791151438</v>
      </c>
      <c r="S764" s="797">
        <f>[1]!taqsabet(O764,C764)</f>
        <v>46.574994786517344</v>
      </c>
      <c r="T764" s="527"/>
      <c r="U764" s="527">
        <v>1</v>
      </c>
      <c r="V764" s="527">
        <v>13</v>
      </c>
      <c r="W764" s="527">
        <v>37</v>
      </c>
      <c r="X764" s="527"/>
      <c r="Y764" s="527">
        <v>8</v>
      </c>
      <c r="Z764" s="527">
        <v>18</v>
      </c>
      <c r="AA764" s="527" t="s">
        <v>274</v>
      </c>
      <c r="AB764" s="527">
        <v>4</v>
      </c>
      <c r="AC764" s="527">
        <v>3</v>
      </c>
      <c r="AD764" s="527"/>
      <c r="AE764" s="327">
        <v>603</v>
      </c>
    </row>
    <row r="765" spans="1:31">
      <c r="C765" s="523">
        <v>710</v>
      </c>
      <c r="D765" s="523">
        <v>2</v>
      </c>
      <c r="E765" s="543" t="s">
        <v>3117</v>
      </c>
      <c r="F765" s="523">
        <v>70</v>
      </c>
      <c r="G765" s="523"/>
      <c r="H765" s="523">
        <v>66</v>
      </c>
      <c r="I765" s="523">
        <v>0</v>
      </c>
      <c r="J765" s="523">
        <v>0</v>
      </c>
      <c r="K765" s="535" t="s">
        <v>3116</v>
      </c>
      <c r="L765" s="797">
        <f>[1]!tsabetm(C765)</f>
        <v>17.25</v>
      </c>
      <c r="M765" s="797">
        <f>[1]!tsabetz(C765)</f>
        <v>43.016666666666666</v>
      </c>
      <c r="N765" s="797">
        <f t="shared" si="62"/>
        <v>67.412677878395868</v>
      </c>
      <c r="O765" s="797">
        <f t="shared" si="63"/>
        <v>1445.0028169014086</v>
      </c>
      <c r="P765" s="797">
        <f t="shared" si="64"/>
        <v>54.560365532284294</v>
      </c>
      <c r="Q765" s="797">
        <f t="shared" si="65"/>
        <v>45</v>
      </c>
      <c r="R765" s="797">
        <f t="shared" si="66"/>
        <v>45.909339425538072</v>
      </c>
      <c r="S765" s="797">
        <f>[1]!taqsabet(O765,C765)</f>
        <v>45.907675056862075</v>
      </c>
      <c r="T765" s="523"/>
      <c r="U765" s="523">
        <v>1</v>
      </c>
      <c r="V765" s="523">
        <v>13</v>
      </c>
      <c r="W765" s="523">
        <v>1</v>
      </c>
      <c r="X765" s="523"/>
      <c r="Y765" s="523">
        <v>12</v>
      </c>
      <c r="Z765" s="523">
        <v>51</v>
      </c>
      <c r="AA765" s="523" t="s">
        <v>274</v>
      </c>
      <c r="AB765" s="523">
        <v>3</v>
      </c>
      <c r="AC765" s="523">
        <v>3</v>
      </c>
      <c r="AD765" s="523"/>
    </row>
    <row r="766" spans="1:31">
      <c r="C766" s="527">
        <v>711</v>
      </c>
      <c r="D766" s="527">
        <v>3</v>
      </c>
      <c r="E766" s="553" t="s">
        <v>3118</v>
      </c>
      <c r="F766" s="527">
        <v>70</v>
      </c>
      <c r="G766" s="527"/>
      <c r="H766" s="527">
        <v>66</v>
      </c>
      <c r="I766" s="527">
        <v>0</v>
      </c>
      <c r="J766" s="527">
        <v>0</v>
      </c>
      <c r="K766" s="568" t="s">
        <v>3116</v>
      </c>
      <c r="L766" s="797">
        <f>[1]!tsabetm(C766)</f>
        <v>12.25</v>
      </c>
      <c r="M766" s="797">
        <f>[1]!tsabetz(C766)</f>
        <v>38.266666666666666</v>
      </c>
      <c r="N766" s="797">
        <f t="shared" si="62"/>
        <v>66.764894298526585</v>
      </c>
      <c r="O766" s="797">
        <f t="shared" si="63"/>
        <v>1445.0028169014086</v>
      </c>
      <c r="P766" s="797">
        <f t="shared" si="64"/>
        <v>11.244327681691715</v>
      </c>
      <c r="Q766" s="797">
        <f t="shared" si="65"/>
        <v>41</v>
      </c>
      <c r="R766" s="797">
        <f t="shared" si="66"/>
        <v>41.187405461361529</v>
      </c>
      <c r="S766" s="797">
        <f>[1]!taqsabet(O766,C766)</f>
        <v>41.185724944218435</v>
      </c>
      <c r="T766" s="527"/>
      <c r="U766" s="527">
        <v>1</v>
      </c>
      <c r="V766" s="527">
        <v>8</v>
      </c>
      <c r="W766" s="527">
        <v>16</v>
      </c>
      <c r="X766" s="527"/>
      <c r="Y766" s="527">
        <v>12</v>
      </c>
      <c r="Z766" s="527">
        <v>18</v>
      </c>
      <c r="AA766" s="527" t="s">
        <v>274</v>
      </c>
      <c r="AB766" s="527">
        <v>3</v>
      </c>
      <c r="AC766" s="527">
        <v>3</v>
      </c>
      <c r="AD766" s="527"/>
    </row>
    <row r="767" spans="1:31">
      <c r="C767" s="523">
        <v>712</v>
      </c>
      <c r="D767" s="523">
        <v>4</v>
      </c>
      <c r="E767" s="543" t="s">
        <v>3119</v>
      </c>
      <c r="F767" s="523">
        <v>70</v>
      </c>
      <c r="G767" s="523"/>
      <c r="H767" s="523">
        <v>66</v>
      </c>
      <c r="I767" s="523">
        <v>0</v>
      </c>
      <c r="J767" s="523">
        <v>0</v>
      </c>
      <c r="K767" s="535" t="s">
        <v>3116</v>
      </c>
      <c r="L767" s="797">
        <f>[1]!tsabetm(C767)</f>
        <v>10.083333333333332</v>
      </c>
      <c r="M767" s="797">
        <f>[1]!tsabetz(C767)</f>
        <v>36.466666666666669</v>
      </c>
      <c r="N767" s="797">
        <f t="shared" si="62"/>
        <v>65.837018319646234</v>
      </c>
      <c r="O767" s="797">
        <f t="shared" si="63"/>
        <v>1445.0028169014086</v>
      </c>
      <c r="P767" s="797">
        <f t="shared" si="64"/>
        <v>25.714138834156444</v>
      </c>
      <c r="Q767" s="797">
        <f t="shared" si="65"/>
        <v>39</v>
      </c>
      <c r="R767" s="797">
        <f t="shared" si="66"/>
        <v>39.428568980569274</v>
      </c>
      <c r="S767" s="797">
        <f>[1]!taqsabet(O767,C767)</f>
        <v>39.426864779007765</v>
      </c>
      <c r="T767" s="523"/>
      <c r="U767" s="523">
        <v>1</v>
      </c>
      <c r="V767" s="523">
        <v>6</v>
      </c>
      <c r="W767" s="523">
        <v>28</v>
      </c>
      <c r="X767" s="523"/>
      <c r="Y767" s="523">
        <v>14</v>
      </c>
      <c r="Z767" s="523">
        <v>42</v>
      </c>
      <c r="AA767" s="523" t="s">
        <v>274</v>
      </c>
      <c r="AB767" s="523">
        <v>3</v>
      </c>
      <c r="AC767" s="523">
        <v>3</v>
      </c>
      <c r="AD767" s="523"/>
    </row>
    <row r="768" spans="1:31">
      <c r="C768" s="527">
        <v>713</v>
      </c>
      <c r="D768" s="527">
        <v>5</v>
      </c>
      <c r="E768" s="553" t="s">
        <v>3120</v>
      </c>
      <c r="F768" s="527">
        <v>70</v>
      </c>
      <c r="G768" s="527"/>
      <c r="H768" s="527">
        <v>66</v>
      </c>
      <c r="I768" s="527">
        <v>0</v>
      </c>
      <c r="J768" s="527">
        <v>0</v>
      </c>
      <c r="K768" s="568" t="s">
        <v>3116</v>
      </c>
      <c r="L768" s="797">
        <f>[1]!tsabetm(C768)</f>
        <v>9.75</v>
      </c>
      <c r="M768" s="797">
        <f>[1]!tsabetz(C768)</f>
        <v>35.200000000000003</v>
      </c>
      <c r="N768" s="797">
        <f t="shared" si="62"/>
        <v>68.251473477406677</v>
      </c>
      <c r="O768" s="797">
        <f t="shared" si="63"/>
        <v>1445.0028169014086</v>
      </c>
      <c r="P768" s="797">
        <f t="shared" si="64"/>
        <v>3.4273468097011062</v>
      </c>
      <c r="Q768" s="797">
        <f t="shared" si="65"/>
        <v>38</v>
      </c>
      <c r="R768" s="797">
        <f t="shared" si="66"/>
        <v>38.057122446828352</v>
      </c>
      <c r="S768" s="797">
        <f>[1]!taqsabet(O768,C768)</f>
        <v>38.055478532877359</v>
      </c>
      <c r="T768" s="527"/>
      <c r="U768" s="527">
        <v>1</v>
      </c>
      <c r="V768" s="527">
        <v>5</v>
      </c>
      <c r="W768" s="527">
        <v>12</v>
      </c>
      <c r="X768" s="527"/>
      <c r="Y768" s="527">
        <v>8</v>
      </c>
      <c r="Z768" s="527">
        <v>9</v>
      </c>
      <c r="AA768" s="527" t="s">
        <v>274</v>
      </c>
      <c r="AB768" s="527">
        <v>4</v>
      </c>
      <c r="AC768" s="527">
        <v>4</v>
      </c>
      <c r="AD768" s="527"/>
    </row>
    <row r="769" spans="3:30">
      <c r="C769" s="523">
        <v>714</v>
      </c>
      <c r="D769" s="523">
        <v>6</v>
      </c>
      <c r="E769" s="543" t="s">
        <v>3121</v>
      </c>
      <c r="F769" s="523">
        <v>70</v>
      </c>
      <c r="G769" s="523"/>
      <c r="H769" s="523">
        <v>66</v>
      </c>
      <c r="I769" s="523">
        <v>0</v>
      </c>
      <c r="J769" s="523">
        <v>0</v>
      </c>
      <c r="K769" s="535" t="s">
        <v>3116</v>
      </c>
      <c r="L769" s="797">
        <f>[1]!tsabetm(C769)</f>
        <v>12.25</v>
      </c>
      <c r="M769" s="797">
        <f>[1]!tsabetz(C769)</f>
        <v>39.216666666666669</v>
      </c>
      <c r="N769" s="797">
        <f t="shared" si="62"/>
        <v>64.412855377008654</v>
      </c>
      <c r="O769" s="797">
        <f t="shared" si="63"/>
        <v>1445.0028169014086</v>
      </c>
      <c r="P769" s="797">
        <f t="shared" si="64"/>
        <v>14.643383849441278</v>
      </c>
      <c r="Q769" s="797">
        <f t="shared" si="65"/>
        <v>42</v>
      </c>
      <c r="R769" s="797">
        <f t="shared" si="66"/>
        <v>42.244056397490688</v>
      </c>
      <c r="S769" s="797">
        <f>[1]!taqsabet(O769,C769)</f>
        <v>42.242314516172605</v>
      </c>
      <c r="T769" s="523"/>
      <c r="U769" s="523">
        <v>1</v>
      </c>
      <c r="V769" s="523">
        <v>9</v>
      </c>
      <c r="W769" s="523">
        <v>13</v>
      </c>
      <c r="X769" s="523"/>
      <c r="Y769" s="523">
        <v>6</v>
      </c>
      <c r="Z769" s="523">
        <v>30</v>
      </c>
      <c r="AA769" s="523" t="s">
        <v>274</v>
      </c>
      <c r="AB769" s="523">
        <v>4</v>
      </c>
      <c r="AC769" s="523">
        <v>4</v>
      </c>
      <c r="AD769" s="523"/>
    </row>
    <row r="770" spans="3:30">
      <c r="C770" s="527">
        <v>715</v>
      </c>
      <c r="D770" s="527">
        <v>7</v>
      </c>
      <c r="E770" s="553" t="s">
        <v>3122</v>
      </c>
      <c r="F770" s="527">
        <v>70</v>
      </c>
      <c r="G770" s="527"/>
      <c r="H770" s="527">
        <v>66</v>
      </c>
      <c r="I770" s="527">
        <v>0</v>
      </c>
      <c r="J770" s="527">
        <v>0</v>
      </c>
      <c r="K770" s="527"/>
      <c r="L770" s="797">
        <f>[1]!tsabetm(C770)</f>
        <v>7.25</v>
      </c>
      <c r="M770" s="797">
        <f>[1]!tsabetz(C770)</f>
        <v>34.016666666666666</v>
      </c>
      <c r="N770" s="797">
        <f t="shared" si="62"/>
        <v>64.894146948941469</v>
      </c>
      <c r="O770" s="797">
        <f t="shared" si="63"/>
        <v>1445.0028169014086</v>
      </c>
      <c r="P770" s="797">
        <f t="shared" si="64"/>
        <v>1.29621412991483</v>
      </c>
      <c r="Q770" s="797">
        <f t="shared" si="65"/>
        <v>37</v>
      </c>
      <c r="R770" s="797">
        <f t="shared" si="66"/>
        <v>37.021603568831914</v>
      </c>
      <c r="S770" s="797">
        <f>[1]!taqsabet(O770,C770)</f>
        <v>37.019874606287516</v>
      </c>
      <c r="T770" s="527"/>
      <c r="U770" s="527">
        <v>1</v>
      </c>
      <c r="V770" s="527">
        <v>4</v>
      </c>
      <c r="W770" s="527">
        <v>1</v>
      </c>
      <c r="X770" s="527"/>
      <c r="Y770" s="527">
        <v>4</v>
      </c>
      <c r="Z770" s="527">
        <v>27</v>
      </c>
      <c r="AA770" s="527" t="s">
        <v>274</v>
      </c>
      <c r="AB770" s="527">
        <v>4</v>
      </c>
      <c r="AC770" s="527">
        <v>4</v>
      </c>
      <c r="AD770" s="527"/>
    </row>
    <row r="771" spans="3:30">
      <c r="C771" s="523">
        <v>716</v>
      </c>
      <c r="D771" s="523">
        <v>8</v>
      </c>
      <c r="E771" s="543" t="s">
        <v>3123</v>
      </c>
      <c r="F771" s="523">
        <v>70</v>
      </c>
      <c r="G771" s="523"/>
      <c r="H771" s="523">
        <v>66</v>
      </c>
      <c r="I771" s="523">
        <v>0</v>
      </c>
      <c r="J771" s="523">
        <v>0</v>
      </c>
      <c r="K771" s="523"/>
      <c r="L771" s="797">
        <f>[1]!tsabetm(C771)</f>
        <v>2.5833333333333321</v>
      </c>
      <c r="M771" s="797">
        <f>[1]!tsabetz(C771)</f>
        <v>28.716666666666665</v>
      </c>
      <c r="N771" s="797">
        <f t="shared" si="62"/>
        <v>66.466836734693885</v>
      </c>
      <c r="O771" s="797">
        <f t="shared" si="63"/>
        <v>1445.0028169014086</v>
      </c>
      <c r="P771" s="797">
        <f t="shared" si="64"/>
        <v>39.030176684748596</v>
      </c>
      <c r="Q771" s="797">
        <f t="shared" si="65"/>
        <v>31</v>
      </c>
      <c r="R771" s="797">
        <f t="shared" si="66"/>
        <v>31.65050294474581</v>
      </c>
      <c r="S771" s="797">
        <f>[1]!taqsabet(O771,C771)</f>
        <v>31.648814891651405</v>
      </c>
      <c r="T771" s="523"/>
      <c r="U771" s="523">
        <v>0</v>
      </c>
      <c r="V771" s="523">
        <v>28</v>
      </c>
      <c r="W771" s="523">
        <v>43</v>
      </c>
      <c r="X771" s="523"/>
      <c r="Y771" s="523">
        <v>25</v>
      </c>
      <c r="Z771" s="523">
        <v>42</v>
      </c>
      <c r="AA771" s="523" t="s">
        <v>274</v>
      </c>
      <c r="AB771" s="523">
        <v>4</v>
      </c>
      <c r="AC771" s="523">
        <v>4</v>
      </c>
      <c r="AD771" s="523"/>
    </row>
    <row r="772" spans="3:30">
      <c r="C772" s="527">
        <v>717</v>
      </c>
      <c r="D772" s="527">
        <v>9</v>
      </c>
      <c r="E772" s="553" t="s">
        <v>3124</v>
      </c>
      <c r="F772" s="527">
        <v>70</v>
      </c>
      <c r="G772" s="527"/>
      <c r="H772" s="527">
        <v>66</v>
      </c>
      <c r="I772" s="527">
        <v>0</v>
      </c>
      <c r="J772" s="527">
        <v>0</v>
      </c>
      <c r="K772" s="527"/>
      <c r="L772" s="797">
        <f>[1]!tsabetm(C772)</f>
        <v>2.9166666666666679</v>
      </c>
      <c r="M772" s="797">
        <f>[1]!tsabetz(C772)</f>
        <v>29.166666666666668</v>
      </c>
      <c r="N772" s="797">
        <f t="shared" si="62"/>
        <v>66.171428571428578</v>
      </c>
      <c r="O772" s="797">
        <f t="shared" si="63"/>
        <v>1445.0028169014086</v>
      </c>
      <c r="P772" s="797">
        <f t="shared" si="64"/>
        <v>6.8160256878059045</v>
      </c>
      <c r="Q772" s="797">
        <f t="shared" si="65"/>
        <v>32</v>
      </c>
      <c r="R772" s="797">
        <f t="shared" si="66"/>
        <v>32.113600428130098</v>
      </c>
      <c r="S772" s="797">
        <f>[1]!taqsabet(O772,C772)</f>
        <v>32.111904839084374</v>
      </c>
      <c r="T772" s="527"/>
      <c r="U772" s="527">
        <v>0</v>
      </c>
      <c r="V772" s="527">
        <v>29</v>
      </c>
      <c r="W772" s="527">
        <v>10</v>
      </c>
      <c r="X772" s="527"/>
      <c r="Y772" s="527">
        <v>29</v>
      </c>
      <c r="Z772" s="527">
        <v>15</v>
      </c>
      <c r="AA772" s="527" t="s">
        <v>274</v>
      </c>
      <c r="AB772" s="527">
        <v>4</v>
      </c>
      <c r="AC772" s="527">
        <v>4</v>
      </c>
      <c r="AD772" s="527"/>
    </row>
    <row r="773" spans="3:30">
      <c r="C773" s="523">
        <v>718</v>
      </c>
      <c r="D773" s="523">
        <v>10</v>
      </c>
      <c r="E773" s="543" t="s">
        <v>3125</v>
      </c>
      <c r="F773" s="523">
        <v>70</v>
      </c>
      <c r="G773" s="523"/>
      <c r="H773" s="523">
        <v>66</v>
      </c>
      <c r="I773" s="523">
        <v>0</v>
      </c>
      <c r="J773" s="523">
        <v>0</v>
      </c>
      <c r="K773" s="523"/>
      <c r="L773" s="797">
        <f>[1]!tsabetm(C773)</f>
        <v>6.25</v>
      </c>
      <c r="M773" s="797">
        <f>[1]!tsabetz(C773)</f>
        <v>32.516666666666666</v>
      </c>
      <c r="N773" s="797">
        <f t="shared" si="62"/>
        <v>66.129441624365484</v>
      </c>
      <c r="O773" s="797">
        <f t="shared" si="63"/>
        <v>1445.0028169014086</v>
      </c>
      <c r="P773" s="797">
        <f t="shared" si="64"/>
        <v>27.928289831099562</v>
      </c>
      <c r="Q773" s="797">
        <f t="shared" si="65"/>
        <v>35</v>
      </c>
      <c r="R773" s="797">
        <f t="shared" si="66"/>
        <v>35.465471497184993</v>
      </c>
      <c r="S773" s="797">
        <f>[1]!taqsabet(O773,C773)</f>
        <v>35.463774831574796</v>
      </c>
      <c r="T773" s="523"/>
      <c r="U773" s="523">
        <v>1</v>
      </c>
      <c r="V773" s="523">
        <v>2</v>
      </c>
      <c r="W773" s="523">
        <v>31</v>
      </c>
      <c r="X773" s="523"/>
      <c r="Y773" s="523">
        <v>26</v>
      </c>
      <c r="Z773" s="523">
        <v>15</v>
      </c>
      <c r="AA773" s="523" t="s">
        <v>274</v>
      </c>
      <c r="AB773" s="523">
        <v>4</v>
      </c>
      <c r="AC773" s="523">
        <v>4</v>
      </c>
      <c r="AD773" s="523"/>
    </row>
    <row r="774" spans="3:30">
      <c r="C774" s="527">
        <v>719</v>
      </c>
      <c r="D774" s="527">
        <v>11</v>
      </c>
      <c r="E774" s="553" t="s">
        <v>3126</v>
      </c>
      <c r="F774" s="527">
        <v>70</v>
      </c>
      <c r="G774" s="527"/>
      <c r="H774" s="527">
        <v>66</v>
      </c>
      <c r="I774" s="527">
        <v>0</v>
      </c>
      <c r="J774" s="527">
        <v>0</v>
      </c>
      <c r="K774" s="527"/>
      <c r="L774" s="797">
        <f>[1]!tsabetm(C774)</f>
        <v>6.5833333333333321</v>
      </c>
      <c r="M774" s="797">
        <f>[1]!tsabetz(C774)</f>
        <v>32.81666666666667</v>
      </c>
      <c r="N774" s="797">
        <f t="shared" si="62"/>
        <v>66.213468869123247</v>
      </c>
      <c r="O774" s="797">
        <f t="shared" si="63"/>
        <v>1445.0028169014086</v>
      </c>
      <c r="P774" s="797">
        <f t="shared" si="64"/>
        <v>45.703761544512247</v>
      </c>
      <c r="Q774" s="797">
        <f t="shared" si="65"/>
        <v>35</v>
      </c>
      <c r="R774" s="797">
        <f t="shared" si="66"/>
        <v>35.761729359075204</v>
      </c>
      <c r="S774" s="797">
        <f>[1]!taqsabet(O774,C774)</f>
        <v>35.760034846593953</v>
      </c>
      <c r="T774" s="527"/>
      <c r="U774" s="527">
        <v>1</v>
      </c>
      <c r="V774" s="527">
        <v>2</v>
      </c>
      <c r="W774" s="527">
        <v>49</v>
      </c>
      <c r="X774" s="527"/>
      <c r="Y774" s="527">
        <v>23</v>
      </c>
      <c r="Z774" s="527">
        <v>51</v>
      </c>
      <c r="AA774" s="527" t="s">
        <v>274</v>
      </c>
      <c r="AB774" s="527">
        <v>4</v>
      </c>
      <c r="AC774" s="527">
        <v>3</v>
      </c>
      <c r="AD774" s="527"/>
    </row>
    <row r="775" spans="3:30">
      <c r="C775" s="523">
        <v>720</v>
      </c>
      <c r="D775" s="523">
        <v>12</v>
      </c>
      <c r="E775" s="543" t="s">
        <v>3127</v>
      </c>
      <c r="F775" s="523">
        <v>70</v>
      </c>
      <c r="G775" s="523"/>
      <c r="H775" s="523">
        <v>66</v>
      </c>
      <c r="I775" s="523">
        <v>0</v>
      </c>
      <c r="J775" s="523">
        <v>0</v>
      </c>
      <c r="K775" s="523" t="s">
        <v>3128</v>
      </c>
      <c r="L775" s="797">
        <f>[1]!tsabetm(C775)</f>
        <v>351.58333333333331</v>
      </c>
      <c r="M775" s="797">
        <f>[1]!tsabetz(C775)</f>
        <v>17.016666666666666</v>
      </c>
      <c r="N775" s="797">
        <f t="shared" ref="N775:N838" si="67">(1697+40)/((IF(M775-L775&gt;0,M775-L775,M775+360-L775)))</f>
        <v>68.296199213630402</v>
      </c>
      <c r="O775" s="797">
        <f t="shared" si="63"/>
        <v>1445.0028169014086</v>
      </c>
      <c r="P775" s="797">
        <f t="shared" si="64"/>
        <v>52.315082666407307</v>
      </c>
      <c r="Q775" s="797">
        <f t="shared" si="65"/>
        <v>19</v>
      </c>
      <c r="R775" s="797">
        <f t="shared" si="66"/>
        <v>19.871918044440122</v>
      </c>
      <c r="S775" s="797">
        <f>[1]!taqsabet(O775,C775)</f>
        <v>19.870275207053602</v>
      </c>
      <c r="T775" s="523"/>
      <c r="U775" s="523">
        <v>0</v>
      </c>
      <c r="V775" s="523">
        <v>17</v>
      </c>
      <c r="W775" s="523">
        <v>1</v>
      </c>
      <c r="X775" s="523"/>
      <c r="Y775" s="523">
        <v>25</v>
      </c>
      <c r="Z775" s="523">
        <v>30</v>
      </c>
      <c r="AA775" s="523" t="s">
        <v>274</v>
      </c>
      <c r="AB775" s="523">
        <v>3</v>
      </c>
      <c r="AC775" s="523">
        <v>3</v>
      </c>
      <c r="AD775" s="523"/>
    </row>
    <row r="776" spans="3:30">
      <c r="C776" s="527">
        <v>721</v>
      </c>
      <c r="D776" s="527">
        <v>13</v>
      </c>
      <c r="E776" s="553" t="s">
        <v>3129</v>
      </c>
      <c r="F776" s="527">
        <v>70</v>
      </c>
      <c r="G776" s="527"/>
      <c r="H776" s="527">
        <v>66</v>
      </c>
      <c r="I776" s="527">
        <v>0</v>
      </c>
      <c r="J776" s="527">
        <v>0</v>
      </c>
      <c r="K776" s="527" t="s">
        <v>3128</v>
      </c>
      <c r="L776" s="797">
        <f>[1]!tsabetm(C776)</f>
        <v>352.58333333333331</v>
      </c>
      <c r="M776" s="797">
        <f>[1]!tsabetz(C776)</f>
        <v>18.216666666666665</v>
      </c>
      <c r="N776" s="797">
        <f t="shared" si="67"/>
        <v>67.763328998699635</v>
      </c>
      <c r="O776" s="797">
        <f t="shared" ref="O776:O839" si="68">O775</f>
        <v>1445.0028169014086</v>
      </c>
      <c r="P776" s="797">
        <f t="shared" ref="P776:P839" si="69">(R776-Q776)*60</f>
        <v>5.6622523859333285</v>
      </c>
      <c r="Q776" s="797">
        <f t="shared" ref="Q776:Q839" si="70">INT(R776)</f>
        <v>21</v>
      </c>
      <c r="R776" s="797">
        <f t="shared" ref="R776:R839" si="71">((O776-1250)/(N776))+M776</f>
        <v>21.094370873098889</v>
      </c>
      <c r="S776" s="797">
        <f>[1]!taqsabet(O776,C776)</f>
        <v>21.092715116938688</v>
      </c>
      <c r="T776" s="527"/>
      <c r="U776" s="527">
        <v>0</v>
      </c>
      <c r="V776" s="527">
        <v>18</v>
      </c>
      <c r="W776" s="527">
        <v>13</v>
      </c>
      <c r="X776" s="527"/>
      <c r="Y776" s="527">
        <v>31</v>
      </c>
      <c r="Z776" s="527">
        <v>0</v>
      </c>
      <c r="AA776" s="527" t="s">
        <v>274</v>
      </c>
      <c r="AB776" s="527">
        <v>4</v>
      </c>
      <c r="AC776" s="527">
        <v>4</v>
      </c>
      <c r="AD776" s="527"/>
    </row>
    <row r="777" spans="3:30">
      <c r="C777" s="523">
        <v>722</v>
      </c>
      <c r="D777" s="523">
        <v>14</v>
      </c>
      <c r="E777" s="543" t="s">
        <v>3007</v>
      </c>
      <c r="F777" s="523">
        <v>70</v>
      </c>
      <c r="G777" s="523"/>
      <c r="H777" s="523">
        <v>66</v>
      </c>
      <c r="I777" s="523">
        <v>0</v>
      </c>
      <c r="J777" s="523">
        <v>0</v>
      </c>
      <c r="K777" s="523" t="s">
        <v>3128</v>
      </c>
      <c r="L777" s="797">
        <f>[1]!tsabetm(C777)</f>
        <v>354.58333333333331</v>
      </c>
      <c r="M777" s="797">
        <f>[1]!tsabetz(C777)</f>
        <v>20.716666666666665</v>
      </c>
      <c r="N777" s="797">
        <f t="shared" si="67"/>
        <v>66.466836734693899</v>
      </c>
      <c r="O777" s="797">
        <f t="shared" si="68"/>
        <v>1445.0028169014086</v>
      </c>
      <c r="P777" s="797">
        <f t="shared" si="69"/>
        <v>39.030176684748596</v>
      </c>
      <c r="Q777" s="797">
        <f t="shared" si="70"/>
        <v>23</v>
      </c>
      <c r="R777" s="797">
        <f t="shared" si="71"/>
        <v>23.65050294474581</v>
      </c>
      <c r="S777" s="797">
        <f>[1]!taqsabet(O777,C777)</f>
        <v>23.648814891651405</v>
      </c>
      <c r="T777" s="523"/>
      <c r="U777" s="523">
        <v>0</v>
      </c>
      <c r="V777" s="523">
        <v>20</v>
      </c>
      <c r="W777" s="523">
        <v>43</v>
      </c>
      <c r="X777" s="523"/>
      <c r="Y777" s="523">
        <v>21</v>
      </c>
      <c r="Z777" s="523">
        <v>9</v>
      </c>
      <c r="AA777" s="523" t="s">
        <v>274</v>
      </c>
      <c r="AB777" s="523">
        <v>3</v>
      </c>
      <c r="AC777" s="523">
        <v>3</v>
      </c>
      <c r="AD777" s="523"/>
    </row>
    <row r="778" spans="3:30">
      <c r="C778" s="527">
        <v>723</v>
      </c>
      <c r="D778" s="527">
        <v>15</v>
      </c>
      <c r="E778" s="553" t="s">
        <v>3130</v>
      </c>
      <c r="F778" s="527">
        <v>70</v>
      </c>
      <c r="G778" s="527"/>
      <c r="H778" s="527">
        <v>66</v>
      </c>
      <c r="I778" s="527">
        <v>0</v>
      </c>
      <c r="J778" s="527">
        <v>0</v>
      </c>
      <c r="K778" s="527" t="s">
        <v>3128</v>
      </c>
      <c r="L778" s="797">
        <f>[1]!tsabetm(C778)</f>
        <v>349.25</v>
      </c>
      <c r="M778" s="797">
        <f>[1]!tsabetz(C778)</f>
        <v>15.016666666666667</v>
      </c>
      <c r="N778" s="797">
        <f t="shared" si="67"/>
        <v>67.412677878395897</v>
      </c>
      <c r="O778" s="797">
        <f t="shared" si="68"/>
        <v>1445.0028169014086</v>
      </c>
      <c r="P778" s="797">
        <f t="shared" si="69"/>
        <v>54.560365532284081</v>
      </c>
      <c r="Q778" s="797">
        <f t="shared" si="70"/>
        <v>17</v>
      </c>
      <c r="R778" s="797">
        <f t="shared" si="71"/>
        <v>17.909339425538068</v>
      </c>
      <c r="S778" s="797">
        <f>[1]!taqsabet(O778,C778)</f>
        <v>17.907675056862079</v>
      </c>
      <c r="T778" s="527"/>
      <c r="U778" s="527">
        <v>0</v>
      </c>
      <c r="V778" s="527">
        <v>15</v>
      </c>
      <c r="W778" s="527">
        <v>1</v>
      </c>
      <c r="X778" s="527"/>
      <c r="Y778" s="527">
        <v>16</v>
      </c>
      <c r="Z778" s="527">
        <v>15</v>
      </c>
      <c r="AA778" s="527" t="s">
        <v>274</v>
      </c>
      <c r="AB778" s="527">
        <v>3</v>
      </c>
      <c r="AC778" s="527">
        <v>3</v>
      </c>
      <c r="AD778" s="527"/>
    </row>
    <row r="779" spans="3:30">
      <c r="C779" s="523">
        <v>724</v>
      </c>
      <c r="D779" s="523">
        <v>16</v>
      </c>
      <c r="E779" s="543" t="s">
        <v>3131</v>
      </c>
      <c r="F779" s="523">
        <v>70</v>
      </c>
      <c r="G779" s="523"/>
      <c r="H779" s="523">
        <v>66</v>
      </c>
      <c r="I779" s="523">
        <v>0</v>
      </c>
      <c r="J779" s="523">
        <v>0</v>
      </c>
      <c r="K779" s="523"/>
      <c r="L779" s="797">
        <f>[1]!tsabetm(C779)</f>
        <v>344.58333333333331</v>
      </c>
      <c r="M779" s="797">
        <f>[1]!tsabetz(C779)</f>
        <v>10.766666666666667</v>
      </c>
      <c r="N779" s="797">
        <f t="shared" si="67"/>
        <v>66.339910884786747</v>
      </c>
      <c r="O779" s="797">
        <f t="shared" si="68"/>
        <v>1445.0028169014086</v>
      </c>
      <c r="P779" s="797">
        <f t="shared" si="69"/>
        <v>42.366969114630422</v>
      </c>
      <c r="Q779" s="797">
        <f t="shared" si="70"/>
        <v>13</v>
      </c>
      <c r="R779" s="797">
        <f t="shared" si="71"/>
        <v>13.706116151910507</v>
      </c>
      <c r="S779" s="797">
        <f>[1]!taqsabet(O779,C779)</f>
        <v>13.704424869122681</v>
      </c>
      <c r="T779" s="523"/>
      <c r="U779" s="523">
        <v>0</v>
      </c>
      <c r="V779" s="523">
        <v>10</v>
      </c>
      <c r="W779" s="523">
        <v>46</v>
      </c>
      <c r="X779" s="523"/>
      <c r="Y779" s="523">
        <v>16</v>
      </c>
      <c r="Z779" s="523">
        <v>42</v>
      </c>
      <c r="AA779" s="523" t="s">
        <v>274</v>
      </c>
      <c r="AB779" s="523">
        <v>3</v>
      </c>
      <c r="AC779" s="523">
        <v>3</v>
      </c>
      <c r="AD779" s="523"/>
    </row>
    <row r="780" spans="3:30">
      <c r="C780" s="527">
        <v>725</v>
      </c>
      <c r="D780" s="527">
        <v>17</v>
      </c>
      <c r="E780" s="553" t="s">
        <v>3132</v>
      </c>
      <c r="F780" s="527">
        <v>70</v>
      </c>
      <c r="G780" s="527"/>
      <c r="H780" s="527">
        <v>66</v>
      </c>
      <c r="I780" s="527">
        <v>0</v>
      </c>
      <c r="J780" s="527">
        <v>0</v>
      </c>
      <c r="K780" s="527"/>
      <c r="L780" s="797">
        <f>[1]!tsabetm(C780)</f>
        <v>340.58333333333331</v>
      </c>
      <c r="M780" s="797">
        <f>[1]!tsabetz(C780)</f>
        <v>6.416666666666667</v>
      </c>
      <c r="N780" s="797">
        <f t="shared" si="67"/>
        <v>67.238709677419251</v>
      </c>
      <c r="O780" s="797">
        <f t="shared" si="68"/>
        <v>1445.0028169014086</v>
      </c>
      <c r="P780" s="797">
        <f t="shared" si="69"/>
        <v>19.009422105459883</v>
      </c>
      <c r="Q780" s="797">
        <f t="shared" si="70"/>
        <v>9</v>
      </c>
      <c r="R780" s="797">
        <f t="shared" si="71"/>
        <v>9.3168237017576647</v>
      </c>
      <c r="S780" s="797">
        <f>[1]!taqsabet(O780,C780)</f>
        <v>9.3151550268237777</v>
      </c>
      <c r="T780" s="527"/>
      <c r="U780" s="527">
        <v>0</v>
      </c>
      <c r="V780" s="527">
        <v>6</v>
      </c>
      <c r="W780" s="527">
        <v>25</v>
      </c>
      <c r="X780" s="527"/>
      <c r="Y780" s="527">
        <v>15</v>
      </c>
      <c r="Z780" s="527">
        <v>6</v>
      </c>
      <c r="AA780" s="527" t="s">
        <v>274</v>
      </c>
      <c r="AB780" s="527">
        <v>6</v>
      </c>
      <c r="AC780" s="527">
        <v>6</v>
      </c>
      <c r="AD780" s="527"/>
    </row>
    <row r="781" spans="3:30">
      <c r="C781" s="523">
        <v>726</v>
      </c>
      <c r="D781" s="523">
        <v>18</v>
      </c>
      <c r="E781" s="543" t="s">
        <v>3126</v>
      </c>
      <c r="F781" s="523">
        <v>70</v>
      </c>
      <c r="G781" s="523"/>
      <c r="H781" s="523">
        <v>66</v>
      </c>
      <c r="I781" s="523">
        <v>0</v>
      </c>
      <c r="J781" s="523">
        <v>0</v>
      </c>
      <c r="K781" s="523"/>
      <c r="L781" s="797">
        <f>[1]!tsabetm(C781)</f>
        <v>338.25</v>
      </c>
      <c r="M781" s="797">
        <f>[1]!tsabetz(C781)</f>
        <v>4.7666666666666666</v>
      </c>
      <c r="N781" s="797">
        <f t="shared" si="67"/>
        <v>65.505971087366476</v>
      </c>
      <c r="O781" s="797">
        <f t="shared" si="68"/>
        <v>1445.0028169014086</v>
      </c>
      <c r="P781" s="797">
        <f t="shared" si="69"/>
        <v>44.612251980507089</v>
      </c>
      <c r="Q781" s="797">
        <f t="shared" si="70"/>
        <v>7</v>
      </c>
      <c r="R781" s="797">
        <f t="shared" si="71"/>
        <v>7.7435375330084515</v>
      </c>
      <c r="S781" s="797">
        <f>[1]!taqsabet(O781,C781)</f>
        <v>7.7418247189311566</v>
      </c>
      <c r="T781" s="523"/>
      <c r="U781" s="523">
        <v>0</v>
      </c>
      <c r="V781" s="523">
        <v>4</v>
      </c>
      <c r="W781" s="523">
        <v>46</v>
      </c>
      <c r="X781" s="523"/>
      <c r="Y781" s="523">
        <v>17</v>
      </c>
      <c r="Z781" s="523">
        <v>12</v>
      </c>
      <c r="AA781" s="523" t="s">
        <v>274</v>
      </c>
      <c r="AB781" s="523">
        <v>6</v>
      </c>
      <c r="AC781" s="523">
        <v>6</v>
      </c>
      <c r="AD781" s="523"/>
    </row>
    <row r="782" spans="3:30">
      <c r="C782" s="527">
        <v>727</v>
      </c>
      <c r="D782" s="527">
        <v>19</v>
      </c>
      <c r="E782" s="553" t="s">
        <v>3133</v>
      </c>
      <c r="F782" s="527">
        <v>70</v>
      </c>
      <c r="G782" s="527"/>
      <c r="H782" s="527">
        <v>66</v>
      </c>
      <c r="I782" s="527">
        <v>0</v>
      </c>
      <c r="J782" s="527">
        <v>0</v>
      </c>
      <c r="K782" s="527"/>
      <c r="L782" s="797">
        <f>[1]!tsabetm(C782)</f>
        <v>338.91666666666669</v>
      </c>
      <c r="M782" s="797">
        <f>[1]!tsabetz(C782)</f>
        <v>4.7666666666666666</v>
      </c>
      <c r="N782" s="797">
        <f t="shared" si="67"/>
        <v>67.195357833655791</v>
      </c>
      <c r="O782" s="797">
        <f t="shared" si="68"/>
        <v>1445.0028169014086</v>
      </c>
      <c r="P782" s="797">
        <f t="shared" si="69"/>
        <v>40.121686248753164</v>
      </c>
      <c r="Q782" s="797">
        <f t="shared" si="70"/>
        <v>7</v>
      </c>
      <c r="R782" s="797">
        <f t="shared" si="71"/>
        <v>7.6686947708125528</v>
      </c>
      <c r="S782" s="797">
        <f>[1]!taqsabet(O782,C782)</f>
        <v>7.6670250193141971</v>
      </c>
      <c r="T782" s="527"/>
      <c r="U782" s="527">
        <v>0</v>
      </c>
      <c r="V782" s="527">
        <v>4</v>
      </c>
      <c r="W782" s="527">
        <v>46</v>
      </c>
      <c r="X782" s="527"/>
      <c r="Y782" s="527">
        <v>15</v>
      </c>
      <c r="Z782" s="527">
        <v>21</v>
      </c>
      <c r="AA782" s="527" t="s">
        <v>274</v>
      </c>
      <c r="AB782" s="527">
        <v>5</v>
      </c>
      <c r="AC782" s="527">
        <v>5</v>
      </c>
      <c r="AD782" s="527"/>
    </row>
    <row r="783" spans="3:30">
      <c r="C783" s="523">
        <v>728</v>
      </c>
      <c r="D783" s="523">
        <v>20</v>
      </c>
      <c r="E783" s="543" t="s">
        <v>3134</v>
      </c>
      <c r="F783" s="523">
        <v>70</v>
      </c>
      <c r="G783" s="523"/>
      <c r="H783" s="523">
        <v>66</v>
      </c>
      <c r="I783" s="523">
        <v>0</v>
      </c>
      <c r="J783" s="523">
        <v>0</v>
      </c>
      <c r="K783" s="523"/>
      <c r="L783" s="797">
        <f>[1]!tsabetm(C783)</f>
        <v>338.58333333333331</v>
      </c>
      <c r="M783" s="797">
        <f>[1]!tsabetz(C783)</f>
        <v>4.3</v>
      </c>
      <c r="N783" s="797">
        <f t="shared" si="67"/>
        <v>67.543745949449047</v>
      </c>
      <c r="O783" s="797">
        <f t="shared" si="68"/>
        <v>1445.0028169014086</v>
      </c>
      <c r="P783" s="797">
        <f t="shared" si="69"/>
        <v>11.223573102402824</v>
      </c>
      <c r="Q783" s="797">
        <f t="shared" si="70"/>
        <v>7</v>
      </c>
      <c r="R783" s="797">
        <f t="shared" si="71"/>
        <v>7.1870595517067137</v>
      </c>
      <c r="S783" s="797">
        <f>[1]!taqsabet(O783,C783)</f>
        <v>7.185398412724143</v>
      </c>
      <c r="T783" s="523"/>
      <c r="U783" s="523">
        <v>0</v>
      </c>
      <c r="V783" s="523">
        <v>4</v>
      </c>
      <c r="W783" s="523">
        <v>18</v>
      </c>
      <c r="X783" s="523"/>
      <c r="Y783" s="523">
        <v>16</v>
      </c>
      <c r="Z783" s="523">
        <v>6</v>
      </c>
      <c r="AA783" s="523" t="s">
        <v>274</v>
      </c>
      <c r="AB783" s="523">
        <v>5</v>
      </c>
      <c r="AC783" s="523">
        <v>5</v>
      </c>
      <c r="AD783" s="523"/>
    </row>
    <row r="784" spans="3:30">
      <c r="C784" s="527">
        <v>729</v>
      </c>
      <c r="D784" s="527">
        <v>21</v>
      </c>
      <c r="E784" s="553" t="s">
        <v>3135</v>
      </c>
      <c r="F784" s="527">
        <v>70</v>
      </c>
      <c r="G784" s="527"/>
      <c r="H784" s="527">
        <v>68</v>
      </c>
      <c r="I784" s="527">
        <v>1</v>
      </c>
      <c r="J784" s="527">
        <v>7</v>
      </c>
      <c r="K784" s="527" t="s">
        <v>3136</v>
      </c>
      <c r="L784" s="797">
        <f>[1]!tsabetm(C784)</f>
        <v>333.91666666666669</v>
      </c>
      <c r="M784" s="797">
        <f>[1]!tsabetz(C784)</f>
        <v>1.6666666666666666E-2</v>
      </c>
      <c r="N784" s="797">
        <f t="shared" si="67"/>
        <v>66.551724137931117</v>
      </c>
      <c r="O784" s="797">
        <f t="shared" si="68"/>
        <v>1445.0028169014086</v>
      </c>
      <c r="P784" s="797">
        <f t="shared" si="69"/>
        <v>56.805648398160855</v>
      </c>
      <c r="Q784" s="797">
        <f t="shared" si="70"/>
        <v>2</v>
      </c>
      <c r="R784" s="797">
        <f t="shared" si="71"/>
        <v>2.9467608066360143</v>
      </c>
      <c r="S784" s="797">
        <f>[1]!taqsabet(O784,C784)</f>
        <v>2.9450749066705559</v>
      </c>
      <c r="T784" s="527"/>
      <c r="U784" s="527">
        <v>0</v>
      </c>
      <c r="V784" s="527">
        <v>0</v>
      </c>
      <c r="W784" s="527">
        <v>1</v>
      </c>
      <c r="X784" s="527"/>
      <c r="Y784" s="527">
        <v>10</v>
      </c>
      <c r="Z784" s="527">
        <v>30</v>
      </c>
      <c r="AA784" s="527" t="s">
        <v>274</v>
      </c>
      <c r="AB784" s="527">
        <v>3</v>
      </c>
      <c r="AC784" s="527">
        <v>3</v>
      </c>
      <c r="AD784" s="527"/>
    </row>
    <row r="785" spans="1:31">
      <c r="C785" s="523">
        <v>730</v>
      </c>
      <c r="D785" s="523">
        <v>22</v>
      </c>
      <c r="E785" s="543" t="s">
        <v>3137</v>
      </c>
      <c r="F785" s="523">
        <v>70</v>
      </c>
      <c r="G785" s="523"/>
      <c r="H785" s="523">
        <v>67</v>
      </c>
      <c r="I785" s="523">
        <v>7</v>
      </c>
      <c r="J785" s="523">
        <v>26</v>
      </c>
      <c r="K785" s="523" t="s">
        <v>3138</v>
      </c>
      <c r="L785" s="797">
        <f>[1]!tsabetm(C785)</f>
        <v>335.25</v>
      </c>
      <c r="M785" s="797">
        <f>[1]!tsabetz(C785)</f>
        <v>1.5166666666666666</v>
      </c>
      <c r="N785" s="797">
        <f t="shared" si="67"/>
        <v>66.129441624365526</v>
      </c>
      <c r="O785" s="797">
        <f t="shared" si="68"/>
        <v>1445.0028169014086</v>
      </c>
      <c r="P785" s="797">
        <f t="shared" si="69"/>
        <v>27.928289831099402</v>
      </c>
      <c r="Q785" s="797">
        <f t="shared" si="70"/>
        <v>4</v>
      </c>
      <c r="R785" s="797">
        <f t="shared" si="71"/>
        <v>4.46547149718499</v>
      </c>
      <c r="S785" s="797">
        <f>[1]!taqsabet(O785,C785)</f>
        <v>4.4637748315747974</v>
      </c>
      <c r="T785" s="523"/>
      <c r="U785" s="523">
        <v>0</v>
      </c>
      <c r="V785" s="523">
        <v>1</v>
      </c>
      <c r="W785" s="523">
        <v>31</v>
      </c>
      <c r="X785" s="523"/>
      <c r="Y785" s="523">
        <v>21</v>
      </c>
      <c r="Z785" s="523">
        <v>0</v>
      </c>
      <c r="AA785" s="523" t="s">
        <v>274</v>
      </c>
      <c r="AB785" s="523">
        <v>3</v>
      </c>
      <c r="AC785" s="523">
        <v>3</v>
      </c>
      <c r="AD785" s="523"/>
    </row>
    <row r="786" spans="1:31">
      <c r="C786" s="546"/>
      <c r="D786" s="546"/>
      <c r="E786" s="546"/>
      <c r="F786" s="546"/>
      <c r="G786" s="546"/>
      <c r="H786" s="546"/>
      <c r="I786" s="546"/>
      <c r="J786" s="546"/>
      <c r="K786" s="546"/>
      <c r="N786" s="797">
        <f t="shared" si="67"/>
        <v>4.8250000000000002</v>
      </c>
      <c r="O786" s="797">
        <f t="shared" si="68"/>
        <v>1445.0028169014086</v>
      </c>
      <c r="P786" s="797">
        <f t="shared" si="69"/>
        <v>24.905495147049237</v>
      </c>
      <c r="Q786" s="797">
        <f t="shared" si="70"/>
        <v>40</v>
      </c>
      <c r="R786" s="797">
        <f t="shared" si="71"/>
        <v>40.415091585784154</v>
      </c>
      <c r="S786" s="797">
        <f>[1]!taqsabet(O786,C786)</f>
        <v>1.4716840899636423</v>
      </c>
      <c r="T786" s="546"/>
      <c r="U786" s="546"/>
      <c r="V786" s="546"/>
      <c r="W786" s="546"/>
      <c r="X786" s="546"/>
      <c r="Y786" s="546"/>
      <c r="Z786" s="546"/>
      <c r="AA786" s="546"/>
      <c r="AB786" s="546"/>
      <c r="AC786" s="546"/>
      <c r="AD786" s="546"/>
    </row>
    <row r="787" spans="1:31">
      <c r="A787" s="567">
        <v>2</v>
      </c>
      <c r="B787" s="536" t="s">
        <v>3139</v>
      </c>
      <c r="C787" s="522">
        <v>731</v>
      </c>
      <c r="D787" s="522">
        <v>1</v>
      </c>
      <c r="E787" s="550" t="s">
        <v>3140</v>
      </c>
      <c r="F787" s="522">
        <v>70</v>
      </c>
      <c r="G787" s="522"/>
      <c r="H787" s="522">
        <v>68</v>
      </c>
      <c r="I787" s="522">
        <v>2</v>
      </c>
      <c r="J787" s="522">
        <v>26</v>
      </c>
      <c r="K787" s="522" t="s">
        <v>3141</v>
      </c>
      <c r="L787" s="797">
        <f>[1]!tsabetm(C787)</f>
        <v>56.583333333333336</v>
      </c>
      <c r="M787" s="797">
        <f>[1]!tsabetz(C787)</f>
        <v>82.61666666666666</v>
      </c>
      <c r="N787" s="797">
        <f t="shared" si="67"/>
        <v>66.722151088348298</v>
      </c>
      <c r="O787" s="797">
        <f t="shared" si="68"/>
        <v>1445.0028169014086</v>
      </c>
      <c r="P787" s="797">
        <f t="shared" si="69"/>
        <v>32.356591824984946</v>
      </c>
      <c r="Q787" s="797">
        <f t="shared" si="70"/>
        <v>85</v>
      </c>
      <c r="R787" s="797">
        <f t="shared" si="71"/>
        <v>85.539276530416416</v>
      </c>
      <c r="S787" s="797">
        <f>[1]!taqsabet(O787,C787)</f>
        <v>85.537594936708857</v>
      </c>
      <c r="T787" s="522"/>
      <c r="U787" s="522">
        <v>2</v>
      </c>
      <c r="V787" s="522">
        <v>22</v>
      </c>
      <c r="W787" s="522">
        <v>37</v>
      </c>
      <c r="X787" s="522"/>
      <c r="Y787" s="522">
        <v>13</v>
      </c>
      <c r="Z787" s="522">
        <v>30</v>
      </c>
      <c r="AA787" s="522" t="s">
        <v>274</v>
      </c>
      <c r="AB787" s="522" t="s">
        <v>2602</v>
      </c>
      <c r="AC787" s="522" t="s">
        <v>2602</v>
      </c>
      <c r="AD787" s="522" t="s">
        <v>3142</v>
      </c>
      <c r="AE787" s="327">
        <v>604</v>
      </c>
    </row>
    <row r="788" spans="1:31">
      <c r="C788" s="523">
        <v>732</v>
      </c>
      <c r="D788" s="523">
        <v>2</v>
      </c>
      <c r="E788" s="543" t="s">
        <v>3143</v>
      </c>
      <c r="F788" s="523">
        <v>70</v>
      </c>
      <c r="G788" s="523"/>
      <c r="H788" s="523">
        <v>68</v>
      </c>
      <c r="I788" s="523">
        <v>10</v>
      </c>
      <c r="J788" s="523">
        <v>24</v>
      </c>
      <c r="K788" s="523" t="s">
        <v>3144</v>
      </c>
      <c r="L788" s="797">
        <f>[1]!tsabetm(C788)</f>
        <v>61.583333333333336</v>
      </c>
      <c r="M788" s="797">
        <f>[1]!tsabetz(C788)</f>
        <v>87.316666666666663</v>
      </c>
      <c r="N788" s="797">
        <f t="shared" si="67"/>
        <v>67.500000000000014</v>
      </c>
      <c r="O788" s="797">
        <f t="shared" si="68"/>
        <v>1445.0028169014086</v>
      </c>
      <c r="P788" s="797">
        <f t="shared" si="69"/>
        <v>12.335837245696553</v>
      </c>
      <c r="Q788" s="797">
        <f t="shared" si="70"/>
        <v>90</v>
      </c>
      <c r="R788" s="797">
        <f t="shared" si="71"/>
        <v>90.205597287428276</v>
      </c>
      <c r="S788" s="797">
        <f>[1]!taqsabet(O788,C788)</f>
        <v>90.203935071881233</v>
      </c>
      <c r="T788" s="523"/>
      <c r="U788" s="523">
        <v>2</v>
      </c>
      <c r="V788" s="523">
        <v>27</v>
      </c>
      <c r="W788" s="523">
        <v>19</v>
      </c>
      <c r="X788" s="523"/>
      <c r="Y788" s="523">
        <v>16</v>
      </c>
      <c r="Z788" s="523">
        <v>45</v>
      </c>
      <c r="AA788" s="523" t="s">
        <v>274</v>
      </c>
      <c r="AB788" s="523">
        <v>1</v>
      </c>
      <c r="AC788" s="523">
        <v>1</v>
      </c>
      <c r="AD788" s="523" t="s">
        <v>2636</v>
      </c>
    </row>
    <row r="789" spans="1:31">
      <c r="C789" s="522">
        <v>733</v>
      </c>
      <c r="D789" s="522">
        <v>3</v>
      </c>
      <c r="E789" s="550" t="s">
        <v>3145</v>
      </c>
      <c r="F789" s="522">
        <v>70</v>
      </c>
      <c r="G789" s="522"/>
      <c r="H789" s="522">
        <v>66</v>
      </c>
      <c r="I789" s="522">
        <v>0</v>
      </c>
      <c r="J789" s="522">
        <v>0</v>
      </c>
      <c r="K789" s="522" t="s">
        <v>3146</v>
      </c>
      <c r="L789" s="797">
        <f>[1]!tsabetm(C789)</f>
        <v>53.583333333333336</v>
      </c>
      <c r="M789" s="797">
        <f>[1]!tsabetz(C789)</f>
        <v>79.666666666666671</v>
      </c>
      <c r="N789" s="797">
        <f t="shared" si="67"/>
        <v>66.594249201277947</v>
      </c>
      <c r="O789" s="797">
        <f t="shared" si="68"/>
        <v>1445.0028169014086</v>
      </c>
      <c r="P789" s="797">
        <f t="shared" si="69"/>
        <v>35.693384254867624</v>
      </c>
      <c r="Q789" s="797">
        <f t="shared" si="70"/>
        <v>82</v>
      </c>
      <c r="R789" s="797">
        <f t="shared" si="71"/>
        <v>82.594889737581127</v>
      </c>
      <c r="S789" s="797">
        <f>[1]!taqsabet(O789,C789)</f>
        <v>82.593204914180134</v>
      </c>
      <c r="T789" s="522"/>
      <c r="U789" s="522">
        <v>2</v>
      </c>
      <c r="V789" s="522">
        <v>19</v>
      </c>
      <c r="W789" s="522">
        <v>40</v>
      </c>
      <c r="X789" s="522"/>
      <c r="Y789" s="522">
        <v>17</v>
      </c>
      <c r="Z789" s="522">
        <v>45</v>
      </c>
      <c r="AA789" s="522" t="s">
        <v>274</v>
      </c>
      <c r="AB789" s="522">
        <v>2</v>
      </c>
      <c r="AC789" s="522">
        <v>2</v>
      </c>
      <c r="AD789" s="522" t="s">
        <v>3147</v>
      </c>
    </row>
    <row r="790" spans="1:31">
      <c r="C790" s="523">
        <v>734</v>
      </c>
      <c r="D790" s="523">
        <v>4</v>
      </c>
      <c r="E790" s="543" t="s">
        <v>3148</v>
      </c>
      <c r="F790" s="523">
        <v>70</v>
      </c>
      <c r="G790" s="523"/>
      <c r="H790" s="523">
        <v>66</v>
      </c>
      <c r="I790" s="523">
        <v>0</v>
      </c>
      <c r="J790" s="523">
        <v>0</v>
      </c>
      <c r="K790" s="523"/>
      <c r="L790" s="797">
        <f>[1]!tsabetm(C790)</f>
        <v>54.749999999999993</v>
      </c>
      <c r="M790" s="797">
        <f>[1]!tsabetz(C790)</f>
        <v>80.766666666666666</v>
      </c>
      <c r="N790" s="797">
        <f t="shared" si="67"/>
        <v>66.764894298526571</v>
      </c>
      <c r="O790" s="797">
        <f t="shared" si="68"/>
        <v>1445.0028169014086</v>
      </c>
      <c r="P790" s="797">
        <f t="shared" si="69"/>
        <v>41.244327681692141</v>
      </c>
      <c r="Q790" s="797">
        <f t="shared" si="70"/>
        <v>83</v>
      </c>
      <c r="R790" s="797">
        <f t="shared" si="71"/>
        <v>83.687405461361536</v>
      </c>
      <c r="S790" s="797">
        <f>[1]!taqsabet(O790,C790)</f>
        <v>83.685724944218435</v>
      </c>
      <c r="T790" s="523"/>
      <c r="U790" s="523">
        <v>2</v>
      </c>
      <c r="V790" s="523">
        <v>20</v>
      </c>
      <c r="W790" s="523">
        <v>46</v>
      </c>
      <c r="X790" s="523"/>
      <c r="Y790" s="523">
        <v>17</v>
      </c>
      <c r="Z790" s="523">
        <v>40</v>
      </c>
      <c r="AA790" s="523" t="s">
        <v>274</v>
      </c>
      <c r="AB790" s="523">
        <v>4</v>
      </c>
      <c r="AC790" s="523">
        <v>4</v>
      </c>
      <c r="AD790" s="523" t="s">
        <v>3147</v>
      </c>
    </row>
    <row r="791" spans="1:31">
      <c r="C791" s="522">
        <v>735</v>
      </c>
      <c r="D791" s="522">
        <v>5</v>
      </c>
      <c r="E791" s="550" t="s">
        <v>3149</v>
      </c>
      <c r="F791" s="522">
        <v>70</v>
      </c>
      <c r="G791" s="522"/>
      <c r="H791" s="522">
        <v>66</v>
      </c>
      <c r="I791" s="522">
        <v>0</v>
      </c>
      <c r="J791" s="522">
        <v>0</v>
      </c>
      <c r="K791" s="522"/>
      <c r="L791" s="797">
        <f>[1]!tsabetm(C791)</f>
        <v>63.916666666666664</v>
      </c>
      <c r="M791" s="797">
        <f>[1]!tsabetz(C791)</f>
        <v>88.766666666666666</v>
      </c>
      <c r="N791" s="797">
        <f t="shared" si="67"/>
        <v>69.899396378269614</v>
      </c>
      <c r="O791" s="797">
        <f t="shared" si="68"/>
        <v>1445.0028169014086</v>
      </c>
      <c r="P791" s="797">
        <f t="shared" si="69"/>
        <v>33.385837651122472</v>
      </c>
      <c r="Q791" s="797">
        <f t="shared" si="70"/>
        <v>91</v>
      </c>
      <c r="R791" s="797">
        <f t="shared" si="71"/>
        <v>91.556430627518708</v>
      </c>
      <c r="S791" s="797">
        <f>[1]!taqsabet(O791,C791)</f>
        <v>91.554825469888755</v>
      </c>
      <c r="T791" s="522"/>
      <c r="U791" s="522">
        <v>2</v>
      </c>
      <c r="V791" s="522">
        <v>28</v>
      </c>
      <c r="W791" s="522">
        <v>46</v>
      </c>
      <c r="X791" s="522"/>
      <c r="Y791" s="522">
        <v>17</v>
      </c>
      <c r="Z791" s="522">
        <v>0</v>
      </c>
      <c r="AA791" s="522" t="s">
        <v>274</v>
      </c>
      <c r="AB791" s="522">
        <v>4</v>
      </c>
      <c r="AC791" s="522">
        <v>4</v>
      </c>
      <c r="AD791" s="522" t="s">
        <v>3147</v>
      </c>
    </row>
    <row r="792" spans="1:31">
      <c r="C792" s="523">
        <v>736</v>
      </c>
      <c r="D792" s="523">
        <v>6</v>
      </c>
      <c r="E792" s="543" t="s">
        <v>3150</v>
      </c>
      <c r="F792" s="523">
        <v>70</v>
      </c>
      <c r="G792" s="523"/>
      <c r="H792" s="523">
        <v>66</v>
      </c>
      <c r="I792" s="523">
        <v>0</v>
      </c>
      <c r="J792" s="523">
        <v>0</v>
      </c>
      <c r="K792" s="523"/>
      <c r="L792" s="797">
        <f>[1]!tsabetm(C792)</f>
        <v>65.916666666666657</v>
      </c>
      <c r="M792" s="797">
        <f>[1]!tsabetz(C792)</f>
        <v>92.36666666666666</v>
      </c>
      <c r="N792" s="797">
        <f t="shared" si="67"/>
        <v>65.671077504725886</v>
      </c>
      <c r="O792" s="797">
        <f t="shared" si="68"/>
        <v>1445.0028169014086</v>
      </c>
      <c r="P792" s="797">
        <f t="shared" si="69"/>
        <v>20.1631954073315</v>
      </c>
      <c r="Q792" s="797">
        <f t="shared" si="70"/>
        <v>95</v>
      </c>
      <c r="R792" s="797">
        <f t="shared" si="71"/>
        <v>95.336053256788858</v>
      </c>
      <c r="S792" s="797">
        <f>[1]!taqsabet(O792,C792)</f>
        <v>95.334344748969457</v>
      </c>
      <c r="T792" s="523"/>
      <c r="U792" s="523">
        <v>3</v>
      </c>
      <c r="V792" s="523">
        <v>2</v>
      </c>
      <c r="W792" s="523">
        <v>22</v>
      </c>
      <c r="X792" s="523"/>
      <c r="Y792" s="523">
        <v>11</v>
      </c>
      <c r="Z792" s="523">
        <v>15</v>
      </c>
      <c r="AA792" s="523" t="s">
        <v>274</v>
      </c>
      <c r="AB792" s="523">
        <v>6</v>
      </c>
      <c r="AC792" s="523">
        <v>6</v>
      </c>
      <c r="AD792" s="523" t="s">
        <v>3147</v>
      </c>
    </row>
    <row r="793" spans="1:31">
      <c r="C793" s="522">
        <v>737</v>
      </c>
      <c r="D793" s="522">
        <v>7</v>
      </c>
      <c r="E793" s="550" t="s">
        <v>3151</v>
      </c>
      <c r="F793" s="522">
        <v>70</v>
      </c>
      <c r="G793" s="522"/>
      <c r="H793" s="522">
        <v>66</v>
      </c>
      <c r="I793" s="522">
        <v>0</v>
      </c>
      <c r="J793" s="522">
        <v>0</v>
      </c>
      <c r="K793" s="522"/>
      <c r="L793" s="797">
        <f>[1]!tsabetm(C793)</f>
        <v>66.083333333333343</v>
      </c>
      <c r="M793" s="797">
        <f>[1]!tsabetz(C793)</f>
        <v>91.716666666666669</v>
      </c>
      <c r="N793" s="797">
        <f t="shared" si="67"/>
        <v>67.763328998699635</v>
      </c>
      <c r="O793" s="797">
        <f t="shared" si="68"/>
        <v>1445.0028169014086</v>
      </c>
      <c r="P793" s="797">
        <f t="shared" si="69"/>
        <v>35.662252385933755</v>
      </c>
      <c r="Q793" s="797">
        <f t="shared" si="70"/>
        <v>94</v>
      </c>
      <c r="R793" s="797">
        <f t="shared" si="71"/>
        <v>94.594370873098896</v>
      </c>
      <c r="S793" s="797">
        <f>[1]!taqsabet(O793,C793)</f>
        <v>94.592715116938692</v>
      </c>
      <c r="T793" s="522"/>
      <c r="U793" s="522">
        <v>3</v>
      </c>
      <c r="V793" s="522">
        <v>1</v>
      </c>
      <c r="W793" s="522">
        <v>43</v>
      </c>
      <c r="X793" s="522"/>
      <c r="Y793" s="522">
        <v>9</v>
      </c>
      <c r="Z793" s="522">
        <v>15</v>
      </c>
      <c r="AA793" s="522" t="s">
        <v>274</v>
      </c>
      <c r="AB793" s="522">
        <v>5</v>
      </c>
      <c r="AC793" s="522">
        <v>4</v>
      </c>
      <c r="AD793" s="522" t="s">
        <v>3147</v>
      </c>
    </row>
    <row r="794" spans="1:31">
      <c r="C794" s="523">
        <v>738</v>
      </c>
      <c r="D794" s="523">
        <v>8</v>
      </c>
      <c r="E794" s="543" t="s">
        <v>3152</v>
      </c>
      <c r="F794" s="523">
        <v>70</v>
      </c>
      <c r="G794" s="523"/>
      <c r="H794" s="523">
        <v>66</v>
      </c>
      <c r="I794" s="523">
        <v>0</v>
      </c>
      <c r="J794" s="523">
        <v>0</v>
      </c>
      <c r="K794" s="523"/>
      <c r="L794" s="797">
        <f>[1]!tsabetm(C794)</f>
        <v>65.583333333333343</v>
      </c>
      <c r="M794" s="797">
        <f>[1]!tsabetz(C794)</f>
        <v>91.166666666666671</v>
      </c>
      <c r="N794" s="797">
        <f t="shared" si="67"/>
        <v>67.895765472312718</v>
      </c>
      <c r="O794" s="797">
        <f t="shared" si="68"/>
        <v>1445.0028169014086</v>
      </c>
      <c r="P794" s="797">
        <f t="shared" si="69"/>
        <v>2.3254599560519296</v>
      </c>
      <c r="Q794" s="797">
        <f t="shared" si="70"/>
        <v>94</v>
      </c>
      <c r="R794" s="797">
        <f t="shared" si="71"/>
        <v>94.038757665934199</v>
      </c>
      <c r="S794" s="797">
        <f>[1]!taqsabet(O794,C794)</f>
        <v>94.037105139467414</v>
      </c>
      <c r="T794" s="523"/>
      <c r="U794" s="523">
        <v>3</v>
      </c>
      <c r="V794" s="523">
        <v>1</v>
      </c>
      <c r="W794" s="523">
        <v>10</v>
      </c>
      <c r="X794" s="523"/>
      <c r="Y794" s="523">
        <v>8</v>
      </c>
      <c r="Z794" s="523">
        <v>42</v>
      </c>
      <c r="AA794" s="523" t="s">
        <v>274</v>
      </c>
      <c r="AB794" s="523">
        <v>5</v>
      </c>
      <c r="AC794" s="523">
        <v>4</v>
      </c>
      <c r="AD794" s="523" t="s">
        <v>3147</v>
      </c>
    </row>
    <row r="795" spans="1:31">
      <c r="C795" s="522">
        <v>739</v>
      </c>
      <c r="D795" s="522">
        <v>9</v>
      </c>
      <c r="E795" s="550" t="s">
        <v>3153</v>
      </c>
      <c r="F795" s="522">
        <v>70</v>
      </c>
      <c r="G795" s="522"/>
      <c r="H795" s="522">
        <v>66</v>
      </c>
      <c r="I795" s="522">
        <v>0</v>
      </c>
      <c r="J795" s="522">
        <v>0</v>
      </c>
      <c r="K795" s="522"/>
      <c r="L795" s="797">
        <f>[1]!tsabetm(C795)</f>
        <v>66.916666666666657</v>
      </c>
      <c r="M795" s="797">
        <f>[1]!tsabetz(C795)</f>
        <v>92.166666666666671</v>
      </c>
      <c r="N795" s="797">
        <f t="shared" si="67"/>
        <v>68.79207920792075</v>
      </c>
      <c r="O795" s="797">
        <f t="shared" si="68"/>
        <v>1445.0028169014086</v>
      </c>
      <c r="P795" s="797">
        <f t="shared" si="69"/>
        <v>8.0177090175368448E-2</v>
      </c>
      <c r="Q795" s="797">
        <f t="shared" si="70"/>
        <v>95</v>
      </c>
      <c r="R795" s="797">
        <f t="shared" si="71"/>
        <v>95.001336284836256</v>
      </c>
      <c r="S795" s="797">
        <f>[1]!taqsabet(O795,C795)</f>
        <v>94.999705289658948</v>
      </c>
      <c r="T795" s="522"/>
      <c r="U795" s="522">
        <v>3</v>
      </c>
      <c r="V795" s="522">
        <v>2</v>
      </c>
      <c r="W795" s="522">
        <v>10</v>
      </c>
      <c r="X795" s="522"/>
      <c r="Y795" s="522">
        <v>7</v>
      </c>
      <c r="Z795" s="522">
        <v>15</v>
      </c>
      <c r="AA795" s="522" t="s">
        <v>274</v>
      </c>
      <c r="AB795" s="522">
        <v>6</v>
      </c>
      <c r="AC795" s="522">
        <v>6</v>
      </c>
      <c r="AD795" s="522" t="s">
        <v>3147</v>
      </c>
    </row>
    <row r="796" spans="1:31">
      <c r="C796" s="523">
        <v>740</v>
      </c>
      <c r="D796" s="523">
        <v>10</v>
      </c>
      <c r="E796" s="543" t="s">
        <v>3154</v>
      </c>
      <c r="F796" s="523">
        <v>70</v>
      </c>
      <c r="G796" s="523"/>
      <c r="H796" s="523">
        <v>66</v>
      </c>
      <c r="I796" s="523">
        <v>0</v>
      </c>
      <c r="J796" s="523">
        <v>0</v>
      </c>
      <c r="K796" s="523"/>
      <c r="L796" s="797">
        <f>[1]!tsabetm(C796)</f>
        <v>66.25</v>
      </c>
      <c r="M796" s="797">
        <f>[1]!tsabetz(C796)</f>
        <v>91.266666666666666</v>
      </c>
      <c r="N796" s="797">
        <f t="shared" si="67"/>
        <v>69.433710859427052</v>
      </c>
      <c r="O796" s="797">
        <f t="shared" si="68"/>
        <v>1445.0028169014086</v>
      </c>
      <c r="P796" s="797">
        <f t="shared" si="69"/>
        <v>4.5084790840607525</v>
      </c>
      <c r="Q796" s="797">
        <f t="shared" si="70"/>
        <v>94</v>
      </c>
      <c r="R796" s="797">
        <f t="shared" si="71"/>
        <v>94.075141318067679</v>
      </c>
      <c r="S796" s="797">
        <f>[1]!taqsabet(O796,C796)</f>
        <v>94.073525394792995</v>
      </c>
      <c r="T796" s="523"/>
      <c r="U796" s="523">
        <v>3</v>
      </c>
      <c r="V796" s="523">
        <v>1</v>
      </c>
      <c r="W796" s="523">
        <v>16</v>
      </c>
      <c r="X796" s="523"/>
      <c r="Y796" s="523">
        <v>7</v>
      </c>
      <c r="Z796" s="523">
        <v>15</v>
      </c>
      <c r="AA796" s="523" t="s">
        <v>274</v>
      </c>
      <c r="AB796" s="523">
        <v>6</v>
      </c>
      <c r="AC796" s="523">
        <v>6</v>
      </c>
      <c r="AD796" s="523" t="s">
        <v>3147</v>
      </c>
    </row>
    <row r="797" spans="1:31">
      <c r="C797" s="522">
        <v>741</v>
      </c>
      <c r="D797" s="522">
        <v>11</v>
      </c>
      <c r="E797" s="550" t="s">
        <v>3155</v>
      </c>
      <c r="F797" s="522">
        <v>70</v>
      </c>
      <c r="G797" s="522"/>
      <c r="H797" s="522">
        <v>66</v>
      </c>
      <c r="I797" s="522">
        <v>0</v>
      </c>
      <c r="J797" s="522">
        <v>0</v>
      </c>
      <c r="K797" s="522"/>
      <c r="L797" s="797">
        <f>[1]!tsabetm(C797)</f>
        <v>61.249999999999993</v>
      </c>
      <c r="M797" s="797">
        <f>[1]!tsabetz(C797)</f>
        <v>87.216666666666669</v>
      </c>
      <c r="N797" s="797">
        <f t="shared" si="67"/>
        <v>66.893453145057748</v>
      </c>
      <c r="O797" s="797">
        <f t="shared" si="68"/>
        <v>1445.0028169014086</v>
      </c>
      <c r="P797" s="797">
        <f t="shared" si="69"/>
        <v>7.9075352518103159</v>
      </c>
      <c r="Q797" s="797">
        <f t="shared" si="70"/>
        <v>90</v>
      </c>
      <c r="R797" s="797">
        <f t="shared" si="71"/>
        <v>90.131792254196839</v>
      </c>
      <c r="S797" s="797">
        <f>[1]!taqsabet(O797,C797)</f>
        <v>90.130114966747172</v>
      </c>
      <c r="T797" s="522"/>
      <c r="U797" s="522">
        <v>2</v>
      </c>
      <c r="V797" s="522">
        <v>27</v>
      </c>
      <c r="W797" s="522">
        <v>13</v>
      </c>
      <c r="X797" s="522"/>
      <c r="Y797" s="522">
        <v>3</v>
      </c>
      <c r="Z797" s="522">
        <v>24</v>
      </c>
      <c r="AA797" s="522" t="s">
        <v>274</v>
      </c>
      <c r="AB797" s="522">
        <v>5</v>
      </c>
      <c r="AC797" s="522">
        <v>5</v>
      </c>
      <c r="AD797" s="522" t="s">
        <v>3147</v>
      </c>
    </row>
    <row r="798" spans="1:31">
      <c r="C798" s="523">
        <v>742</v>
      </c>
      <c r="D798" s="523">
        <v>12</v>
      </c>
      <c r="E798" s="543" t="s">
        <v>2465</v>
      </c>
      <c r="F798" s="523">
        <v>70</v>
      </c>
      <c r="G798" s="523"/>
      <c r="H798" s="523">
        <v>66</v>
      </c>
      <c r="I798" s="523">
        <v>0</v>
      </c>
      <c r="J798" s="523">
        <v>0</v>
      </c>
      <c r="K798" s="523"/>
      <c r="L798" s="797">
        <f>[1]!tsabetm(C798)</f>
        <v>63.916666666666664</v>
      </c>
      <c r="M798" s="797">
        <f>[1]!tsabetz(C798)</f>
        <v>89.36666666666666</v>
      </c>
      <c r="N798" s="797">
        <f t="shared" si="67"/>
        <v>68.251473477406691</v>
      </c>
      <c r="O798" s="797">
        <f t="shared" si="68"/>
        <v>1445.0028169014086</v>
      </c>
      <c r="P798" s="797">
        <f t="shared" si="69"/>
        <v>13.427346809700964</v>
      </c>
      <c r="Q798" s="797">
        <f t="shared" si="70"/>
        <v>92</v>
      </c>
      <c r="R798" s="797">
        <f t="shared" si="71"/>
        <v>92.223789113495016</v>
      </c>
      <c r="S798" s="797">
        <f>[1]!taqsabet(O798,C798)</f>
        <v>92.222145199544016</v>
      </c>
      <c r="T798" s="523"/>
      <c r="U798" s="523">
        <v>2</v>
      </c>
      <c r="V798" s="523">
        <v>29</v>
      </c>
      <c r="W798" s="523">
        <v>22</v>
      </c>
      <c r="X798" s="523"/>
      <c r="Y798" s="523">
        <v>19</v>
      </c>
      <c r="Z798" s="523">
        <v>45</v>
      </c>
      <c r="AA798" s="523" t="s">
        <v>274</v>
      </c>
      <c r="AB798" s="523">
        <v>5</v>
      </c>
      <c r="AC798" s="523">
        <v>5</v>
      </c>
      <c r="AD798" s="523" t="s">
        <v>3147</v>
      </c>
    </row>
    <row r="799" spans="1:31">
      <c r="C799" s="522">
        <v>743</v>
      </c>
      <c r="D799" s="522">
        <v>13</v>
      </c>
      <c r="E799" s="550" t="s">
        <v>3156</v>
      </c>
      <c r="F799" s="522">
        <v>70</v>
      </c>
      <c r="G799" s="522"/>
      <c r="H799" s="522">
        <v>66</v>
      </c>
      <c r="I799" s="522">
        <v>0</v>
      </c>
      <c r="J799" s="522">
        <v>0</v>
      </c>
      <c r="K799" s="522"/>
      <c r="L799" s="797">
        <f>[1]!tsabetm(C799)</f>
        <v>57.083333333333336</v>
      </c>
      <c r="M799" s="797">
        <f>[1]!tsabetz(C799)</f>
        <v>83.016666666666666</v>
      </c>
      <c r="N799" s="797">
        <f t="shared" si="67"/>
        <v>66.979434447300775</v>
      </c>
      <c r="O799" s="797">
        <f t="shared" si="68"/>
        <v>1445.0028169014086</v>
      </c>
      <c r="P799" s="797">
        <f t="shared" si="69"/>
        <v>55.683006965222148</v>
      </c>
      <c r="Q799" s="797">
        <f t="shared" si="70"/>
        <v>85</v>
      </c>
      <c r="R799" s="797">
        <f t="shared" si="71"/>
        <v>85.928050116087036</v>
      </c>
      <c r="S799" s="797">
        <f>[1]!taqsabet(O799,C799)</f>
        <v>85.926374981766315</v>
      </c>
      <c r="T799" s="522"/>
      <c r="U799" s="522">
        <v>2</v>
      </c>
      <c r="V799" s="522">
        <v>23</v>
      </c>
      <c r="W799" s="522">
        <v>1</v>
      </c>
      <c r="X799" s="522"/>
      <c r="Y799" s="522">
        <v>19</v>
      </c>
      <c r="Z799" s="522">
        <v>24</v>
      </c>
      <c r="AA799" s="522" t="s">
        <v>274</v>
      </c>
      <c r="AB799" s="522">
        <v>4</v>
      </c>
      <c r="AC799" s="522">
        <v>4</v>
      </c>
      <c r="AD799" s="522" t="s">
        <v>3147</v>
      </c>
    </row>
    <row r="800" spans="1:31">
      <c r="C800" s="523">
        <v>744</v>
      </c>
      <c r="D800" s="523">
        <v>14</v>
      </c>
      <c r="E800" s="543" t="s">
        <v>3157</v>
      </c>
      <c r="F800" s="523">
        <v>70</v>
      </c>
      <c r="G800" s="523"/>
      <c r="H800" s="523">
        <v>66</v>
      </c>
      <c r="I800" s="523">
        <v>0</v>
      </c>
      <c r="J800" s="523">
        <v>0</v>
      </c>
      <c r="K800" s="523"/>
      <c r="L800" s="797">
        <f>[1]!tsabetm(C800)</f>
        <v>55.916666666666664</v>
      </c>
      <c r="M800" s="797">
        <f>[1]!tsabetz(C800)</f>
        <v>82.36666666666666</v>
      </c>
      <c r="N800" s="797">
        <f t="shared" si="67"/>
        <v>65.671077504725915</v>
      </c>
      <c r="O800" s="797">
        <f t="shared" si="68"/>
        <v>1445.0028169014086</v>
      </c>
      <c r="P800" s="797">
        <f t="shared" si="69"/>
        <v>20.1631954073315</v>
      </c>
      <c r="Q800" s="797">
        <f t="shared" si="70"/>
        <v>85</v>
      </c>
      <c r="R800" s="797">
        <f t="shared" si="71"/>
        <v>85.336053256788858</v>
      </c>
      <c r="S800" s="797">
        <f>[1]!taqsabet(O800,C800)</f>
        <v>85.334344748969457</v>
      </c>
      <c r="T800" s="523"/>
      <c r="U800" s="523">
        <v>2</v>
      </c>
      <c r="V800" s="523">
        <v>22</v>
      </c>
      <c r="W800" s="523">
        <v>22</v>
      </c>
      <c r="X800" s="523"/>
      <c r="Y800" s="523">
        <v>19</v>
      </c>
      <c r="Z800" s="523">
        <v>42</v>
      </c>
      <c r="AA800" s="523" t="s">
        <v>274</v>
      </c>
      <c r="AB800" s="523">
        <v>6</v>
      </c>
      <c r="AC800" s="523">
        <v>6</v>
      </c>
      <c r="AD800" s="523" t="s">
        <v>3147</v>
      </c>
    </row>
    <row r="801" spans="3:31">
      <c r="C801" s="522">
        <v>745</v>
      </c>
      <c r="D801" s="522">
        <v>15</v>
      </c>
      <c r="E801" s="550" t="s">
        <v>3158</v>
      </c>
      <c r="F801" s="522">
        <v>70</v>
      </c>
      <c r="G801" s="522"/>
      <c r="H801" s="522">
        <v>66</v>
      </c>
      <c r="I801" s="522">
        <v>0</v>
      </c>
      <c r="J801" s="522">
        <v>0</v>
      </c>
      <c r="K801" s="522"/>
      <c r="L801" s="797">
        <f>[1]!tsabetm(C801)</f>
        <v>54.916666666666664</v>
      </c>
      <c r="M801" s="797">
        <f>[1]!tsabetz(C801)</f>
        <v>80.316666666666663</v>
      </c>
      <c r="N801" s="797">
        <f t="shared" si="67"/>
        <v>68.385826771653541</v>
      </c>
      <c r="O801" s="797">
        <f t="shared" si="68"/>
        <v>1445.0028169014086</v>
      </c>
      <c r="P801" s="797">
        <f t="shared" si="69"/>
        <v>10.090554379819139</v>
      </c>
      <c r="Q801" s="797">
        <f t="shared" si="70"/>
        <v>83</v>
      </c>
      <c r="R801" s="797">
        <f t="shared" si="71"/>
        <v>83.168175906330319</v>
      </c>
      <c r="S801" s="797">
        <f>[1]!taqsabet(O801,C801)</f>
        <v>83.166535222072753</v>
      </c>
      <c r="T801" s="522"/>
      <c r="U801" s="522">
        <v>2</v>
      </c>
      <c r="V801" s="522">
        <v>20</v>
      </c>
      <c r="W801" s="522">
        <v>19</v>
      </c>
      <c r="X801" s="522"/>
      <c r="Y801" s="522">
        <v>20</v>
      </c>
      <c r="Z801" s="522">
        <v>9</v>
      </c>
      <c r="AA801" s="522" t="s">
        <v>274</v>
      </c>
      <c r="AB801" s="522">
        <v>6</v>
      </c>
      <c r="AC801" s="522">
        <v>6</v>
      </c>
      <c r="AD801" s="522" t="s">
        <v>3147</v>
      </c>
    </row>
    <row r="802" spans="3:31">
      <c r="C802" s="523">
        <v>746</v>
      </c>
      <c r="D802" s="523">
        <v>16</v>
      </c>
      <c r="E802" s="543" t="s">
        <v>3159</v>
      </c>
      <c r="F802" s="523">
        <v>70</v>
      </c>
      <c r="G802" s="523"/>
      <c r="H802" s="523">
        <v>66</v>
      </c>
      <c r="I802" s="523">
        <v>0</v>
      </c>
      <c r="J802" s="523">
        <v>0</v>
      </c>
      <c r="K802" s="523" t="s">
        <v>3160</v>
      </c>
      <c r="L802" s="797">
        <f>[1]!tsabetm(C802)</f>
        <v>53.749999999999993</v>
      </c>
      <c r="M802" s="797">
        <f>[1]!tsabetz(C802)</f>
        <v>79.61666666666666</v>
      </c>
      <c r="N802" s="797">
        <f t="shared" si="67"/>
        <v>67.152061855670098</v>
      </c>
      <c r="O802" s="797">
        <f t="shared" si="68"/>
        <v>1445.0028169014086</v>
      </c>
      <c r="P802" s="797">
        <f t="shared" si="69"/>
        <v>31.233950392046665</v>
      </c>
      <c r="Q802" s="797">
        <f t="shared" si="70"/>
        <v>82</v>
      </c>
      <c r="R802" s="797">
        <f t="shared" si="71"/>
        <v>82.520565839867444</v>
      </c>
      <c r="S802" s="797">
        <f>[1]!taqsabet(O802,C802)</f>
        <v>82.518895011804617</v>
      </c>
      <c r="T802" s="523"/>
      <c r="U802" s="523">
        <v>2</v>
      </c>
      <c r="V802" s="523">
        <v>19</v>
      </c>
      <c r="W802" s="523">
        <v>37</v>
      </c>
      <c r="X802" s="523"/>
      <c r="Y802" s="523">
        <v>20</v>
      </c>
      <c r="Z802" s="523">
        <v>30</v>
      </c>
      <c r="AA802" s="523" t="s">
        <v>274</v>
      </c>
      <c r="AB802" s="523">
        <v>5</v>
      </c>
      <c r="AC802" s="523">
        <v>5</v>
      </c>
      <c r="AD802" s="523" t="s">
        <v>3147</v>
      </c>
    </row>
    <row r="803" spans="3:31">
      <c r="C803" s="522">
        <v>747</v>
      </c>
      <c r="D803" s="522">
        <v>17</v>
      </c>
      <c r="E803" s="550" t="s">
        <v>3161</v>
      </c>
      <c r="F803" s="522">
        <v>70</v>
      </c>
      <c r="G803" s="522"/>
      <c r="H803" s="522">
        <v>66</v>
      </c>
      <c r="I803" s="522">
        <v>0</v>
      </c>
      <c r="J803" s="522">
        <v>0</v>
      </c>
      <c r="K803" s="522" t="s">
        <v>3160</v>
      </c>
      <c r="L803" s="797">
        <f>[1]!tsabetm(C803)</f>
        <v>50.083333333333336</v>
      </c>
      <c r="M803" s="797">
        <f>[1]!tsabetz(C803)</f>
        <v>75.766666666666666</v>
      </c>
      <c r="N803" s="797">
        <f t="shared" si="67"/>
        <v>67.631408176508771</v>
      </c>
      <c r="O803" s="797">
        <f t="shared" si="68"/>
        <v>1445.0028169014086</v>
      </c>
      <c r="P803" s="797">
        <f t="shared" si="69"/>
        <v>38.999044815814727</v>
      </c>
      <c r="Q803" s="797">
        <f t="shared" si="70"/>
        <v>78</v>
      </c>
      <c r="R803" s="797">
        <f t="shared" si="71"/>
        <v>78.649984080263579</v>
      </c>
      <c r="S803" s="797">
        <f>[1]!taqsabet(O803,C803)</f>
        <v>78.648325094409955</v>
      </c>
      <c r="T803" s="522"/>
      <c r="U803" s="522">
        <v>2</v>
      </c>
      <c r="V803" s="522">
        <v>15</v>
      </c>
      <c r="W803" s="522">
        <v>46</v>
      </c>
      <c r="X803" s="522"/>
      <c r="Y803" s="522">
        <v>7</v>
      </c>
      <c r="Z803" s="522">
        <v>45</v>
      </c>
      <c r="AA803" s="522" t="s">
        <v>274</v>
      </c>
      <c r="AB803" s="522">
        <v>4</v>
      </c>
      <c r="AC803" s="522">
        <v>4</v>
      </c>
      <c r="AD803" s="522" t="s">
        <v>3147</v>
      </c>
    </row>
    <row r="804" spans="3:31">
      <c r="C804" s="523">
        <v>748</v>
      </c>
      <c r="D804" s="523">
        <v>18</v>
      </c>
      <c r="E804" s="543" t="s">
        <v>3162</v>
      </c>
      <c r="F804" s="523">
        <v>70</v>
      </c>
      <c r="G804" s="523"/>
      <c r="H804" s="523">
        <v>66</v>
      </c>
      <c r="I804" s="523">
        <v>0</v>
      </c>
      <c r="J804" s="523">
        <v>0</v>
      </c>
      <c r="K804" s="523" t="s">
        <v>3160</v>
      </c>
      <c r="L804" s="797">
        <f>[1]!tsabetm(C804)</f>
        <v>48.916666666666664</v>
      </c>
      <c r="M804" s="797">
        <f>[1]!tsabetz(C804)</f>
        <v>74.86666666666666</v>
      </c>
      <c r="N804" s="797">
        <f t="shared" si="67"/>
        <v>66.936416184971108</v>
      </c>
      <c r="O804" s="797">
        <f t="shared" si="68"/>
        <v>1445.0028169014086</v>
      </c>
      <c r="P804" s="797">
        <f t="shared" si="69"/>
        <v>46.795271108515806</v>
      </c>
      <c r="Q804" s="797">
        <f t="shared" si="70"/>
        <v>77</v>
      </c>
      <c r="R804" s="797">
        <f t="shared" si="71"/>
        <v>77.77992118514193</v>
      </c>
      <c r="S804" s="797">
        <f>[1]!taqsabet(O804,C804)</f>
        <v>77.778244974256737</v>
      </c>
      <c r="T804" s="523"/>
      <c r="U804" s="523">
        <v>2</v>
      </c>
      <c r="V804" s="523">
        <v>14</v>
      </c>
      <c r="W804" s="523">
        <v>52</v>
      </c>
      <c r="X804" s="523"/>
      <c r="Y804" s="551">
        <v>57</v>
      </c>
      <c r="Z804" s="523">
        <v>54</v>
      </c>
      <c r="AA804" s="523" t="s">
        <v>274</v>
      </c>
      <c r="AB804" s="523">
        <v>4</v>
      </c>
      <c r="AC804" s="523">
        <v>4</v>
      </c>
      <c r="AD804" s="523" t="s">
        <v>3147</v>
      </c>
    </row>
    <row r="805" spans="3:31">
      <c r="C805" s="522">
        <v>749</v>
      </c>
      <c r="D805" s="522">
        <v>19</v>
      </c>
      <c r="E805" s="550" t="s">
        <v>3163</v>
      </c>
      <c r="F805" s="522">
        <v>70</v>
      </c>
      <c r="G805" s="522"/>
      <c r="H805" s="522">
        <v>66</v>
      </c>
      <c r="I805" s="522">
        <v>0</v>
      </c>
      <c r="J805" s="522">
        <v>0</v>
      </c>
      <c r="K805" s="522" t="s">
        <v>3160</v>
      </c>
      <c r="L805" s="797">
        <f>[1]!tsabetm(C805)</f>
        <v>47.583333333333336</v>
      </c>
      <c r="M805" s="797">
        <f>[1]!tsabetz(C805)</f>
        <v>74.316666666666663</v>
      </c>
      <c r="N805" s="797">
        <f t="shared" si="67"/>
        <v>64.975062344139673</v>
      </c>
      <c r="O805" s="797">
        <f t="shared" si="68"/>
        <v>1445.0028169014086</v>
      </c>
      <c r="P805" s="797">
        <f t="shared" si="69"/>
        <v>19.071685843327089</v>
      </c>
      <c r="Q805" s="797">
        <f t="shared" si="70"/>
        <v>77</v>
      </c>
      <c r="R805" s="797">
        <f t="shared" si="71"/>
        <v>77.317861430722118</v>
      </c>
      <c r="S805" s="797">
        <f>[1]!taqsabet(O805,C805)</f>
        <v>77.316134621306659</v>
      </c>
      <c r="T805" s="522"/>
      <c r="U805" s="522">
        <v>2</v>
      </c>
      <c r="V805" s="522">
        <v>14</v>
      </c>
      <c r="W805" s="522">
        <v>19</v>
      </c>
      <c r="X805" s="522"/>
      <c r="Y805" s="522">
        <v>10</v>
      </c>
      <c r="Z805" s="522">
        <v>6</v>
      </c>
      <c r="AA805" s="522" t="s">
        <v>274</v>
      </c>
      <c r="AB805" s="522">
        <v>4</v>
      </c>
      <c r="AC805" s="522">
        <v>4</v>
      </c>
      <c r="AD805" s="522" t="s">
        <v>3147</v>
      </c>
    </row>
    <row r="806" spans="3:31">
      <c r="C806" s="523">
        <v>750</v>
      </c>
      <c r="D806" s="523">
        <v>20</v>
      </c>
      <c r="E806" s="543" t="s">
        <v>3164</v>
      </c>
      <c r="F806" s="523">
        <v>70</v>
      </c>
      <c r="G806" s="523"/>
      <c r="H806" s="523">
        <v>66</v>
      </c>
      <c r="I806" s="523">
        <v>0</v>
      </c>
      <c r="J806" s="523">
        <v>0</v>
      </c>
      <c r="K806" s="523" t="s">
        <v>3160</v>
      </c>
      <c r="L806" s="797">
        <f>[1]!tsabetm(C806)</f>
        <v>45.916666666666664</v>
      </c>
      <c r="M806" s="797">
        <f>[1]!tsabetz(C806)</f>
        <v>71.766666666666666</v>
      </c>
      <c r="N806" s="797">
        <f t="shared" si="67"/>
        <v>67.195357833655706</v>
      </c>
      <c r="O806" s="797">
        <f t="shared" si="68"/>
        <v>1445.0028169014086</v>
      </c>
      <c r="P806" s="797">
        <f t="shared" si="69"/>
        <v>40.121686248753008</v>
      </c>
      <c r="Q806" s="797">
        <f t="shared" si="70"/>
        <v>74</v>
      </c>
      <c r="R806" s="797">
        <f t="shared" si="71"/>
        <v>74.66869477081255</v>
      </c>
      <c r="S806" s="797">
        <f>[1]!taqsabet(O806,C806)</f>
        <v>74.667025019314195</v>
      </c>
      <c r="T806" s="523"/>
      <c r="U806" s="523">
        <v>2</v>
      </c>
      <c r="V806" s="523">
        <v>11</v>
      </c>
      <c r="W806" s="523">
        <v>46</v>
      </c>
      <c r="X806" s="523"/>
      <c r="Y806" s="523">
        <v>12</v>
      </c>
      <c r="Z806" s="523">
        <v>42</v>
      </c>
      <c r="AA806" s="523" t="s">
        <v>274</v>
      </c>
      <c r="AB806" s="523">
        <v>4</v>
      </c>
      <c r="AC806" s="523">
        <v>4</v>
      </c>
      <c r="AD806" s="523" t="s">
        <v>3147</v>
      </c>
    </row>
    <row r="807" spans="3:31">
      <c r="C807" s="522">
        <v>751</v>
      </c>
      <c r="D807" s="522">
        <v>21</v>
      </c>
      <c r="E807" s="550" t="s">
        <v>3165</v>
      </c>
      <c r="F807" s="522">
        <v>70</v>
      </c>
      <c r="G807" s="522"/>
      <c r="H807" s="522">
        <v>66</v>
      </c>
      <c r="I807" s="522">
        <v>0</v>
      </c>
      <c r="J807" s="522">
        <v>0</v>
      </c>
      <c r="K807" s="522" t="s">
        <v>3160</v>
      </c>
      <c r="L807" s="797">
        <f>[1]!tsabetm(C807)</f>
        <v>44.75</v>
      </c>
      <c r="M807" s="797">
        <f>[1]!tsabetz(C807)</f>
        <v>70.816666666666663</v>
      </c>
      <c r="N807" s="797">
        <f t="shared" si="67"/>
        <v>66.636828644501293</v>
      </c>
      <c r="O807" s="797">
        <f t="shared" si="68"/>
        <v>1445.0028169014086</v>
      </c>
      <c r="P807" s="797">
        <f t="shared" si="69"/>
        <v>44.581120111573114</v>
      </c>
      <c r="Q807" s="797">
        <f t="shared" si="70"/>
        <v>73</v>
      </c>
      <c r="R807" s="797">
        <f t="shared" si="71"/>
        <v>73.743018668526219</v>
      </c>
      <c r="S807" s="797">
        <f>[1]!taqsabet(O807,C807)</f>
        <v>73.741334921689699</v>
      </c>
      <c r="T807" s="522"/>
      <c r="U807" s="522">
        <v>2</v>
      </c>
      <c r="V807" s="522">
        <v>10</v>
      </c>
      <c r="W807" s="522">
        <v>49</v>
      </c>
      <c r="X807" s="522"/>
      <c r="Y807" s="522">
        <v>14</v>
      </c>
      <c r="Z807" s="522">
        <v>18</v>
      </c>
      <c r="AA807" s="522" t="s">
        <v>274</v>
      </c>
      <c r="AB807" s="522">
        <v>4</v>
      </c>
      <c r="AC807" s="522">
        <v>4</v>
      </c>
      <c r="AD807" s="522" t="s">
        <v>3147</v>
      </c>
    </row>
    <row r="808" spans="3:31">
      <c r="C808" s="523">
        <v>752</v>
      </c>
      <c r="D808" s="523">
        <v>22</v>
      </c>
      <c r="E808" s="543" t="s">
        <v>3166</v>
      </c>
      <c r="F808" s="523">
        <v>70</v>
      </c>
      <c r="G808" s="523"/>
      <c r="H808" s="523">
        <v>66</v>
      </c>
      <c r="I808" s="523">
        <v>0</v>
      </c>
      <c r="J808" s="523">
        <v>0</v>
      </c>
      <c r="K808" s="523" t="s">
        <v>3160</v>
      </c>
      <c r="L808" s="797">
        <f>[1]!tsabetm(C808)</f>
        <v>44.416666666666664</v>
      </c>
      <c r="M808" s="797">
        <f>[1]!tsabetz(C808)</f>
        <v>70.316666666666663</v>
      </c>
      <c r="N808" s="797">
        <f t="shared" si="67"/>
        <v>67.065637065637063</v>
      </c>
      <c r="O808" s="797">
        <f t="shared" si="68"/>
        <v>1445.0028169014086</v>
      </c>
      <c r="P808" s="797">
        <f t="shared" si="69"/>
        <v>13.458478678634833</v>
      </c>
      <c r="Q808" s="797">
        <f t="shared" si="70"/>
        <v>73</v>
      </c>
      <c r="R808" s="797">
        <f t="shared" si="71"/>
        <v>73.224307977977247</v>
      </c>
      <c r="S808" s="797">
        <f>[1]!taqsabet(O808,C808)</f>
        <v>73.222634996785473</v>
      </c>
      <c r="T808" s="523"/>
      <c r="U808" s="523">
        <v>2</v>
      </c>
      <c r="V808" s="523">
        <v>10</v>
      </c>
      <c r="W808" s="523">
        <v>19</v>
      </c>
      <c r="X808" s="523"/>
      <c r="Y808" s="523">
        <v>10</v>
      </c>
      <c r="Z808" s="523">
        <v>30</v>
      </c>
      <c r="AA808" s="523" t="s">
        <v>274</v>
      </c>
      <c r="AB808" s="523">
        <v>3</v>
      </c>
      <c r="AC808" s="523">
        <v>3</v>
      </c>
      <c r="AD808" s="523" t="s">
        <v>3147</v>
      </c>
    </row>
    <row r="809" spans="3:31">
      <c r="C809" s="522">
        <v>753</v>
      </c>
      <c r="D809" s="522">
        <v>23</v>
      </c>
      <c r="E809" s="550" t="s">
        <v>3167</v>
      </c>
      <c r="F809" s="522">
        <v>70</v>
      </c>
      <c r="G809" s="522"/>
      <c r="H809" s="522">
        <v>66</v>
      </c>
      <c r="I809" s="522">
        <v>0</v>
      </c>
      <c r="J809" s="522">
        <v>0</v>
      </c>
      <c r="K809" s="522" t="s">
        <v>3160</v>
      </c>
      <c r="L809" s="797">
        <f>[1]!tsabetm(C809)</f>
        <v>44.416666666666664</v>
      </c>
      <c r="M809" s="797">
        <f>[1]!tsabetz(C809)</f>
        <v>70.666666666666671</v>
      </c>
      <c r="N809" s="797">
        <f t="shared" si="67"/>
        <v>66.17142857142855</v>
      </c>
      <c r="O809" s="797">
        <f t="shared" si="68"/>
        <v>1445.0028169014086</v>
      </c>
      <c r="P809" s="797">
        <f t="shared" si="69"/>
        <v>36.816025687805904</v>
      </c>
      <c r="Q809" s="797">
        <f t="shared" si="70"/>
        <v>73</v>
      </c>
      <c r="R809" s="797">
        <f t="shared" si="71"/>
        <v>73.613600428130098</v>
      </c>
      <c r="S809" s="797">
        <f>[1]!taqsabet(O809,C809)</f>
        <v>73.611904839084374</v>
      </c>
      <c r="T809" s="522"/>
      <c r="U809" s="522">
        <v>2</v>
      </c>
      <c r="V809" s="522">
        <v>10</v>
      </c>
      <c r="W809" s="522">
        <v>40</v>
      </c>
      <c r="X809" s="522"/>
      <c r="Y809" s="522">
        <v>16</v>
      </c>
      <c r="Z809" s="522">
        <v>45</v>
      </c>
      <c r="AA809" s="522" t="s">
        <v>274</v>
      </c>
      <c r="AB809" s="522">
        <v>3</v>
      </c>
      <c r="AC809" s="522">
        <v>3</v>
      </c>
      <c r="AD809" s="522" t="s">
        <v>3147</v>
      </c>
    </row>
    <row r="810" spans="3:31">
      <c r="C810" s="523">
        <v>754</v>
      </c>
      <c r="D810" s="523">
        <v>24</v>
      </c>
      <c r="E810" s="543" t="s">
        <v>3168</v>
      </c>
      <c r="F810" s="523">
        <v>70</v>
      </c>
      <c r="G810" s="523"/>
      <c r="H810" s="523">
        <v>66</v>
      </c>
      <c r="I810" s="523">
        <v>0</v>
      </c>
      <c r="J810" s="523">
        <v>0</v>
      </c>
      <c r="K810" s="523" t="s">
        <v>3160</v>
      </c>
      <c r="L810" s="797">
        <f>[1]!tsabetm(C810)</f>
        <v>44.916666666666664</v>
      </c>
      <c r="M810" s="797">
        <f>[1]!tsabetz(C810)</f>
        <v>70.86666666666666</v>
      </c>
      <c r="N810" s="797">
        <f t="shared" si="67"/>
        <v>66.936416184971108</v>
      </c>
      <c r="O810" s="797">
        <f t="shared" si="68"/>
        <v>1445.0028169014086</v>
      </c>
      <c r="P810" s="797">
        <f t="shared" si="69"/>
        <v>46.795271108515806</v>
      </c>
      <c r="Q810" s="797">
        <f t="shared" si="70"/>
        <v>73</v>
      </c>
      <c r="R810" s="797">
        <f t="shared" si="71"/>
        <v>73.77992118514193</v>
      </c>
      <c r="S810" s="797">
        <f>[1]!taqsabet(O810,C810)</f>
        <v>73.778244974256737</v>
      </c>
      <c r="T810" s="523"/>
      <c r="U810" s="523">
        <v>2</v>
      </c>
      <c r="V810" s="523">
        <v>10</v>
      </c>
      <c r="W810" s="523">
        <v>52</v>
      </c>
      <c r="X810" s="523"/>
      <c r="Y810" s="523">
        <v>20</v>
      </c>
      <c r="Z810" s="551">
        <v>18</v>
      </c>
      <c r="AA810" s="523" t="s">
        <v>274</v>
      </c>
      <c r="AB810" s="523">
        <v>3</v>
      </c>
      <c r="AC810" s="523">
        <v>3</v>
      </c>
      <c r="AD810" s="523" t="s">
        <v>3147</v>
      </c>
    </row>
    <row r="811" spans="3:31">
      <c r="C811" s="522">
        <v>755</v>
      </c>
      <c r="D811" s="522">
        <v>25</v>
      </c>
      <c r="E811" s="550" t="s">
        <v>3169</v>
      </c>
      <c r="F811" s="522">
        <v>70</v>
      </c>
      <c r="G811" s="522"/>
      <c r="H811" s="522">
        <v>66</v>
      </c>
      <c r="I811" s="522">
        <v>0</v>
      </c>
      <c r="J811" s="522">
        <v>0</v>
      </c>
      <c r="K811" s="522" t="s">
        <v>3160</v>
      </c>
      <c r="L811" s="797">
        <f>[1]!tsabetm(C811)</f>
        <v>45.916666666666664</v>
      </c>
      <c r="M811" s="797">
        <f>[1]!tsabetz(C811)</f>
        <v>71.916666666666671</v>
      </c>
      <c r="N811" s="797">
        <f t="shared" si="67"/>
        <v>66.807692307692292</v>
      </c>
      <c r="O811" s="797">
        <f t="shared" si="68"/>
        <v>1445.0028169014086</v>
      </c>
      <c r="P811" s="797">
        <f t="shared" si="69"/>
        <v>50.132063538398484</v>
      </c>
      <c r="Q811" s="797">
        <f t="shared" si="70"/>
        <v>74</v>
      </c>
      <c r="R811" s="797">
        <f t="shared" si="71"/>
        <v>74.835534392306641</v>
      </c>
      <c r="S811" s="797">
        <f>[1]!taqsabet(O811,C811)</f>
        <v>74.833854951728014</v>
      </c>
      <c r="T811" s="522"/>
      <c r="U811" s="522">
        <v>2</v>
      </c>
      <c r="V811" s="522">
        <v>11</v>
      </c>
      <c r="W811" s="522">
        <v>55</v>
      </c>
      <c r="X811" s="522"/>
      <c r="Y811" s="522">
        <v>21</v>
      </c>
      <c r="Z811" s="522">
        <v>12</v>
      </c>
      <c r="AA811" s="522" t="s">
        <v>274</v>
      </c>
      <c r="AB811" s="522">
        <v>4</v>
      </c>
      <c r="AC811" s="522">
        <v>3</v>
      </c>
      <c r="AD811" s="522" t="s">
        <v>3147</v>
      </c>
      <c r="AE811" s="327">
        <v>605</v>
      </c>
    </row>
    <row r="812" spans="3:31">
      <c r="C812" s="523">
        <v>756</v>
      </c>
      <c r="D812" s="523">
        <v>26</v>
      </c>
      <c r="E812" s="543" t="s">
        <v>3170</v>
      </c>
      <c r="F812" s="523">
        <v>70</v>
      </c>
      <c r="G812" s="523"/>
      <c r="H812" s="523">
        <v>66</v>
      </c>
      <c r="I812" s="523">
        <v>0</v>
      </c>
      <c r="J812" s="523">
        <v>0</v>
      </c>
      <c r="K812" s="523"/>
      <c r="L812" s="797">
        <f>[1]!tsabetm(C812)</f>
        <v>54.916666666666664</v>
      </c>
      <c r="M812" s="797">
        <f>[1]!tsabetz(C812)</f>
        <v>80.666666666666671</v>
      </c>
      <c r="N812" s="797">
        <f t="shared" si="67"/>
        <v>67.456310679611633</v>
      </c>
      <c r="O812" s="797">
        <f t="shared" si="68"/>
        <v>1445.0028169014086</v>
      </c>
      <c r="P812" s="797">
        <f t="shared" si="69"/>
        <v>33.448101388991063</v>
      </c>
      <c r="Q812" s="797">
        <f t="shared" si="70"/>
        <v>83</v>
      </c>
      <c r="R812" s="797">
        <f t="shared" si="71"/>
        <v>83.557468356483184</v>
      </c>
      <c r="S812" s="797">
        <f>[1]!taqsabet(O812,C812)</f>
        <v>83.555805064371654</v>
      </c>
      <c r="T812" s="523"/>
      <c r="U812" s="523">
        <v>2</v>
      </c>
      <c r="V812" s="523">
        <v>20</v>
      </c>
      <c r="W812" s="523">
        <v>40</v>
      </c>
      <c r="X812" s="523"/>
      <c r="Y812" s="523">
        <v>23</v>
      </c>
      <c r="Z812" s="523">
        <v>57</v>
      </c>
      <c r="AA812" s="523" t="s">
        <v>274</v>
      </c>
      <c r="AB812" s="523">
        <v>2</v>
      </c>
      <c r="AC812" s="523">
        <v>2</v>
      </c>
      <c r="AD812" s="523" t="s">
        <v>3147</v>
      </c>
    </row>
    <row r="813" spans="3:31">
      <c r="C813" s="522">
        <v>757</v>
      </c>
      <c r="D813" s="522">
        <v>27</v>
      </c>
      <c r="E813" s="550" t="s">
        <v>2612</v>
      </c>
      <c r="F813" s="522">
        <v>70</v>
      </c>
      <c r="G813" s="522"/>
      <c r="H813" s="522">
        <v>66</v>
      </c>
      <c r="I813" s="522">
        <v>0</v>
      </c>
      <c r="J813" s="522">
        <v>0</v>
      </c>
      <c r="K813" s="522"/>
      <c r="L813" s="797">
        <f>[1]!tsabetm(C813)</f>
        <v>56.916666666666664</v>
      </c>
      <c r="M813" s="797">
        <f>[1]!tsabetz(C813)</f>
        <v>82.266666666666666</v>
      </c>
      <c r="N813" s="797">
        <f t="shared" si="67"/>
        <v>68.520710059171591</v>
      </c>
      <c r="O813" s="797">
        <f t="shared" si="68"/>
        <v>1445.0028169014086</v>
      </c>
      <c r="P813" s="797">
        <f t="shared" si="69"/>
        <v>6.7537619499381663</v>
      </c>
      <c r="Q813" s="797">
        <f t="shared" si="70"/>
        <v>85</v>
      </c>
      <c r="R813" s="797">
        <f t="shared" si="71"/>
        <v>85.112562699165636</v>
      </c>
      <c r="S813" s="797">
        <f>[1]!taqsabet(O813,C813)</f>
        <v>85.110925244601475</v>
      </c>
      <c r="T813" s="522"/>
      <c r="U813" s="522">
        <v>2</v>
      </c>
      <c r="V813" s="522">
        <v>22</v>
      </c>
      <c r="W813" s="522">
        <v>16</v>
      </c>
      <c r="X813" s="522"/>
      <c r="Y813" s="522">
        <v>24</v>
      </c>
      <c r="Z813" s="522">
        <v>36</v>
      </c>
      <c r="AA813" s="522" t="s">
        <v>274</v>
      </c>
      <c r="AB813" s="522">
        <v>2</v>
      </c>
      <c r="AC813" s="522">
        <v>2</v>
      </c>
      <c r="AD813" s="522" t="s">
        <v>3147</v>
      </c>
    </row>
    <row r="814" spans="3:31">
      <c r="C814" s="523">
        <v>758</v>
      </c>
      <c r="D814" s="523">
        <v>28</v>
      </c>
      <c r="E814" s="543" t="s">
        <v>2613</v>
      </c>
      <c r="F814" s="523">
        <v>70</v>
      </c>
      <c r="G814" s="523"/>
      <c r="H814" s="523">
        <v>66</v>
      </c>
      <c r="I814" s="523">
        <v>0</v>
      </c>
      <c r="J814" s="523">
        <v>0</v>
      </c>
      <c r="K814" s="523"/>
      <c r="L814" s="797">
        <f>[1]!tsabetm(C814)</f>
        <v>57.749999999999993</v>
      </c>
      <c r="M814" s="797">
        <f>[1]!tsabetz(C814)</f>
        <v>82.166666666666671</v>
      </c>
      <c r="N814" s="797">
        <f t="shared" si="67"/>
        <v>71.139931740614301</v>
      </c>
      <c r="O814" s="797">
        <f t="shared" si="68"/>
        <v>1445.0028169014086</v>
      </c>
      <c r="P814" s="797">
        <f t="shared" si="69"/>
        <v>54.466969925483113</v>
      </c>
      <c r="Q814" s="797">
        <f t="shared" si="70"/>
        <v>84</v>
      </c>
      <c r="R814" s="797">
        <f t="shared" si="71"/>
        <v>84.907782832091385</v>
      </c>
      <c r="S814" s="797">
        <f>[1]!taqsabet(O814,C814)</f>
        <v>84.906205665137747</v>
      </c>
      <c r="T814" s="523"/>
      <c r="U814" s="523">
        <v>2</v>
      </c>
      <c r="V814" s="523">
        <v>22</v>
      </c>
      <c r="W814" s="523">
        <v>10</v>
      </c>
      <c r="X814" s="523"/>
      <c r="Y814" s="523">
        <v>25</v>
      </c>
      <c r="Z814" s="523">
        <v>24</v>
      </c>
      <c r="AA814" s="523" t="s">
        <v>274</v>
      </c>
      <c r="AB814" s="523">
        <v>2</v>
      </c>
      <c r="AC814" s="523">
        <v>2</v>
      </c>
      <c r="AD814" s="523" t="s">
        <v>3147</v>
      </c>
    </row>
    <row r="815" spans="3:31">
      <c r="C815" s="522">
        <v>759</v>
      </c>
      <c r="D815" s="522">
        <v>29</v>
      </c>
      <c r="E815" s="550" t="s">
        <v>3171</v>
      </c>
      <c r="F815" s="522">
        <v>70</v>
      </c>
      <c r="G815" s="522"/>
      <c r="H815" s="522">
        <v>66</v>
      </c>
      <c r="I815" s="522">
        <v>0</v>
      </c>
      <c r="J815" s="522">
        <v>0</v>
      </c>
      <c r="K815" s="522"/>
      <c r="L815" s="797">
        <f>[1]!tsabetm(C815)</f>
        <v>53.416666666666664</v>
      </c>
      <c r="M815" s="797">
        <f>[1]!tsabetz(C815)</f>
        <v>78.016666666666666</v>
      </c>
      <c r="N815" s="797">
        <f t="shared" si="67"/>
        <v>70.609756097560975</v>
      </c>
      <c r="O815" s="797">
        <f t="shared" si="68"/>
        <v>1445.0028169014086</v>
      </c>
      <c r="P815" s="797">
        <f t="shared" si="69"/>
        <v>46.701875501715051</v>
      </c>
      <c r="Q815" s="797">
        <f t="shared" si="70"/>
        <v>80</v>
      </c>
      <c r="R815" s="797">
        <f t="shared" si="71"/>
        <v>80.778364591695251</v>
      </c>
      <c r="S815" s="797">
        <f>[1]!taqsabet(O815,C815)</f>
        <v>80.776775582532409</v>
      </c>
      <c r="T815" s="522"/>
      <c r="U815" s="522">
        <v>2</v>
      </c>
      <c r="V815" s="522">
        <v>18</v>
      </c>
      <c r="W815" s="522">
        <v>1</v>
      </c>
      <c r="X815" s="522"/>
      <c r="Y815" s="522">
        <v>25</v>
      </c>
      <c r="Z815" s="522">
        <v>39</v>
      </c>
      <c r="AA815" s="522" t="s">
        <v>274</v>
      </c>
      <c r="AB815" s="522">
        <v>3</v>
      </c>
      <c r="AC815" s="522">
        <v>3</v>
      </c>
      <c r="AD815" s="522" t="s">
        <v>3147</v>
      </c>
    </row>
    <row r="816" spans="3:31">
      <c r="C816" s="523">
        <v>760</v>
      </c>
      <c r="D816" s="523">
        <v>30</v>
      </c>
      <c r="E816" s="543" t="s">
        <v>3172</v>
      </c>
      <c r="F816" s="523">
        <v>70</v>
      </c>
      <c r="G816" s="523"/>
      <c r="H816" s="523">
        <v>66</v>
      </c>
      <c r="I816" s="523">
        <v>0</v>
      </c>
      <c r="J816" s="523">
        <v>0</v>
      </c>
      <c r="K816" s="523"/>
      <c r="L816" s="797">
        <f>[1]!tsabetm(C816)</f>
        <v>56.083333333333336</v>
      </c>
      <c r="M816" s="797">
        <f>[1]!tsabetz(C816)</f>
        <v>81.316666666666663</v>
      </c>
      <c r="N816" s="797">
        <f t="shared" si="67"/>
        <v>68.837516512549556</v>
      </c>
      <c r="O816" s="797">
        <f t="shared" si="68"/>
        <v>1445.0028169014086</v>
      </c>
      <c r="P816" s="797">
        <f t="shared" si="69"/>
        <v>8.9679129468808583</v>
      </c>
      <c r="Q816" s="797">
        <f t="shared" si="70"/>
        <v>84</v>
      </c>
      <c r="R816" s="797">
        <f t="shared" si="71"/>
        <v>84.149465215781348</v>
      </c>
      <c r="S816" s="797">
        <f>[1]!taqsabet(O816,C816)</f>
        <v>84.147835297168513</v>
      </c>
      <c r="T816" s="523"/>
      <c r="U816" s="523">
        <v>2</v>
      </c>
      <c r="V816" s="523">
        <v>21</v>
      </c>
      <c r="W816" s="523">
        <v>19</v>
      </c>
      <c r="X816" s="523"/>
      <c r="Y816" s="523">
        <v>27</v>
      </c>
      <c r="Z816" s="523">
        <v>54</v>
      </c>
      <c r="AA816" s="523" t="s">
        <v>274</v>
      </c>
      <c r="AB816" s="523">
        <v>4</v>
      </c>
      <c r="AC816" s="523">
        <v>4</v>
      </c>
      <c r="AD816" s="523" t="s">
        <v>3147</v>
      </c>
    </row>
    <row r="817" spans="1:31">
      <c r="C817" s="522">
        <v>761</v>
      </c>
      <c r="D817" s="522">
        <v>31</v>
      </c>
      <c r="E817" s="550" t="s">
        <v>2612</v>
      </c>
      <c r="F817" s="522">
        <v>70</v>
      </c>
      <c r="G817" s="522"/>
      <c r="H817" s="522">
        <v>66</v>
      </c>
      <c r="I817" s="522">
        <v>0</v>
      </c>
      <c r="J817" s="522">
        <v>0</v>
      </c>
      <c r="K817" s="522"/>
      <c r="L817" s="797">
        <f>[1]!tsabetm(C817)</f>
        <v>56.249999999999993</v>
      </c>
      <c r="M817" s="797">
        <f>[1]!tsabetz(C817)</f>
        <v>81.416666666666671</v>
      </c>
      <c r="N817" s="797">
        <f t="shared" si="67"/>
        <v>69.019867549668845</v>
      </c>
      <c r="O817" s="797">
        <f t="shared" si="68"/>
        <v>1445.0028169014086</v>
      </c>
      <c r="P817" s="797">
        <f t="shared" si="69"/>
        <v>14.518856373706228</v>
      </c>
      <c r="Q817" s="797">
        <f t="shared" si="70"/>
        <v>84</v>
      </c>
      <c r="R817" s="797">
        <f t="shared" si="71"/>
        <v>84.24198093956177</v>
      </c>
      <c r="S817" s="797">
        <f>[1]!taqsabet(O817,C817)</f>
        <v>84.240355327206828</v>
      </c>
      <c r="T817" s="522"/>
      <c r="U817" s="522">
        <v>2</v>
      </c>
      <c r="V817" s="522">
        <v>21</v>
      </c>
      <c r="W817" s="522">
        <v>25</v>
      </c>
      <c r="X817" s="522"/>
      <c r="Y817" s="522">
        <v>28</v>
      </c>
      <c r="Z817" s="522">
        <v>27</v>
      </c>
      <c r="AA817" s="522" t="s">
        <v>274</v>
      </c>
      <c r="AB817" s="522">
        <v>3</v>
      </c>
      <c r="AC817" s="522">
        <v>3</v>
      </c>
      <c r="AD817" s="522" t="s">
        <v>3147</v>
      </c>
    </row>
    <row r="818" spans="1:31">
      <c r="C818" s="523">
        <v>762</v>
      </c>
      <c r="D818" s="523">
        <v>32</v>
      </c>
      <c r="E818" s="543" t="s">
        <v>3129</v>
      </c>
      <c r="F818" s="523">
        <v>70</v>
      </c>
      <c r="G818" s="523"/>
      <c r="H818" s="523">
        <v>66</v>
      </c>
      <c r="I818" s="523">
        <v>0</v>
      </c>
      <c r="J818" s="523">
        <v>0</v>
      </c>
      <c r="K818" s="523"/>
      <c r="L818" s="797">
        <f>[1]!tsabetm(C818)</f>
        <v>56.583333333333336</v>
      </c>
      <c r="M818" s="797">
        <f>[1]!tsabetz(C818)</f>
        <v>81.666666666666671</v>
      </c>
      <c r="N818" s="797">
        <f t="shared" si="67"/>
        <v>69.249169435215947</v>
      </c>
      <c r="O818" s="797">
        <f t="shared" si="68"/>
        <v>1445.0028169014086</v>
      </c>
      <c r="P818" s="797">
        <f t="shared" si="69"/>
        <v>28.957535657237088</v>
      </c>
      <c r="Q818" s="797">
        <f t="shared" si="70"/>
        <v>84</v>
      </c>
      <c r="R818" s="797">
        <f t="shared" si="71"/>
        <v>84.482625594287285</v>
      </c>
      <c r="S818" s="797">
        <f>[1]!taqsabet(O818,C818)</f>
        <v>84.481005364754708</v>
      </c>
      <c r="T818" s="523"/>
      <c r="U818" s="523">
        <v>2</v>
      </c>
      <c r="V818" s="523">
        <v>21</v>
      </c>
      <c r="W818" s="523">
        <v>40</v>
      </c>
      <c r="X818" s="523"/>
      <c r="Y818" s="523">
        <v>29</v>
      </c>
      <c r="Z818" s="523">
        <v>12</v>
      </c>
      <c r="AA818" s="523" t="s">
        <v>274</v>
      </c>
      <c r="AB818" s="523">
        <v>3</v>
      </c>
      <c r="AC818" s="523">
        <v>3</v>
      </c>
      <c r="AD818" s="523" t="s">
        <v>3147</v>
      </c>
    </row>
    <row r="819" spans="1:31">
      <c r="C819" s="522">
        <v>763</v>
      </c>
      <c r="D819" s="522">
        <v>33</v>
      </c>
      <c r="E819" s="550" t="s">
        <v>3173</v>
      </c>
      <c r="F819" s="522">
        <v>70</v>
      </c>
      <c r="G819" s="522"/>
      <c r="H819" s="522">
        <v>66</v>
      </c>
      <c r="I819" s="522">
        <v>0</v>
      </c>
      <c r="J819" s="522">
        <v>0</v>
      </c>
      <c r="K819" s="522"/>
      <c r="L819" s="797">
        <f>[1]!tsabetm(C819)</f>
        <v>57.249999999999993</v>
      </c>
      <c r="M819" s="797">
        <f>[1]!tsabetz(C819)</f>
        <v>82.516666666666666</v>
      </c>
      <c r="N819" s="797">
        <f t="shared" si="67"/>
        <v>68.746701846965678</v>
      </c>
      <c r="O819" s="797">
        <f t="shared" si="68"/>
        <v>1445.0028169014086</v>
      </c>
      <c r="P819" s="797">
        <f t="shared" si="69"/>
        <v>21.192441233469026</v>
      </c>
      <c r="Q819" s="797">
        <f t="shared" si="70"/>
        <v>85</v>
      </c>
      <c r="R819" s="797">
        <f t="shared" si="71"/>
        <v>85.35320735389115</v>
      </c>
      <c r="S819" s="797">
        <f>[1]!taqsabet(O819,C819)</f>
        <v>85.351575282149355</v>
      </c>
      <c r="T819" s="522"/>
      <c r="U819" s="522">
        <v>2</v>
      </c>
      <c r="V819" s="522">
        <v>22</v>
      </c>
      <c r="W819" s="522">
        <v>31</v>
      </c>
      <c r="X819" s="522"/>
      <c r="Y819" s="522">
        <v>30</v>
      </c>
      <c r="Z819" s="522">
        <v>42</v>
      </c>
      <c r="AA819" s="522" t="s">
        <v>274</v>
      </c>
      <c r="AB819" s="522">
        <v>4</v>
      </c>
      <c r="AC819" s="522">
        <v>4</v>
      </c>
      <c r="AD819" s="522" t="s">
        <v>3147</v>
      </c>
    </row>
    <row r="820" spans="1:31">
      <c r="C820" s="523">
        <v>764</v>
      </c>
      <c r="D820" s="523">
        <v>34</v>
      </c>
      <c r="E820" s="543" t="s">
        <v>2455</v>
      </c>
      <c r="F820" s="523">
        <v>70</v>
      </c>
      <c r="G820" s="523"/>
      <c r="H820" s="523">
        <v>66</v>
      </c>
      <c r="I820" s="523">
        <v>0</v>
      </c>
      <c r="J820" s="523">
        <v>0</v>
      </c>
      <c r="K820" s="523"/>
      <c r="L820" s="797">
        <f>[1]!tsabetm(C820)</f>
        <v>55.749999999999993</v>
      </c>
      <c r="M820" s="797">
        <f>[1]!tsabetz(C820)</f>
        <v>80.61666666666666</v>
      </c>
      <c r="N820" s="797">
        <f t="shared" si="67"/>
        <v>69.852546916890077</v>
      </c>
      <c r="O820" s="797">
        <f t="shared" si="68"/>
        <v>1445.0028169014086</v>
      </c>
      <c r="P820" s="797">
        <f t="shared" si="69"/>
        <v>24.498101794416129</v>
      </c>
      <c r="Q820" s="797">
        <f t="shared" si="70"/>
        <v>83</v>
      </c>
      <c r="R820" s="797">
        <f t="shared" si="71"/>
        <v>83.408301696573602</v>
      </c>
      <c r="S820" s="797">
        <f>[1]!taqsabet(O820,C820)</f>
        <v>83.406695462379176</v>
      </c>
      <c r="T820" s="523"/>
      <c r="U820" s="523">
        <v>2</v>
      </c>
      <c r="V820" s="523">
        <v>20</v>
      </c>
      <c r="W820" s="523">
        <v>37</v>
      </c>
      <c r="X820" s="523"/>
      <c r="Y820" s="523">
        <v>30</v>
      </c>
      <c r="Z820" s="523">
        <v>51</v>
      </c>
      <c r="AA820" s="523" t="s">
        <v>274</v>
      </c>
      <c r="AB820" s="523">
        <v>4</v>
      </c>
      <c r="AC820" s="523">
        <v>4</v>
      </c>
      <c r="AD820" s="523" t="s">
        <v>3147</v>
      </c>
    </row>
    <row r="821" spans="1:31">
      <c r="C821" s="522">
        <v>765</v>
      </c>
      <c r="D821" s="522">
        <v>35</v>
      </c>
      <c r="E821" s="550" t="s">
        <v>3174</v>
      </c>
      <c r="F821" s="522">
        <v>70</v>
      </c>
      <c r="G821" s="522"/>
      <c r="H821" s="522">
        <v>68</v>
      </c>
      <c r="I821" s="522">
        <v>1</v>
      </c>
      <c r="J821" s="522">
        <v>7</v>
      </c>
      <c r="K821" s="522" t="s">
        <v>3175</v>
      </c>
      <c r="L821" s="797">
        <f>[1]!tsabetm(C821)</f>
        <v>49.416666666666664</v>
      </c>
      <c r="M821" s="797">
        <f>[1]!tsabetz(C821)</f>
        <v>75.516666666666666</v>
      </c>
      <c r="N821" s="797">
        <f t="shared" si="67"/>
        <v>66.551724137931032</v>
      </c>
      <c r="O821" s="797">
        <f t="shared" si="68"/>
        <v>1445.0028169014086</v>
      </c>
      <c r="P821" s="797">
        <f t="shared" si="69"/>
        <v>26.805648398161281</v>
      </c>
      <c r="Q821" s="797">
        <f t="shared" si="70"/>
        <v>78</v>
      </c>
      <c r="R821" s="797">
        <f t="shared" si="71"/>
        <v>78.446760806636021</v>
      </c>
      <c r="S821" s="797">
        <f>[1]!taqsabet(O821,C821)</f>
        <v>78.445074906670555</v>
      </c>
      <c r="T821" s="522"/>
      <c r="U821" s="522">
        <v>2</v>
      </c>
      <c r="V821" s="522">
        <v>15</v>
      </c>
      <c r="W821" s="522">
        <v>31</v>
      </c>
      <c r="X821" s="522"/>
      <c r="Y821" s="522">
        <v>31</v>
      </c>
      <c r="Z821" s="522">
        <v>18</v>
      </c>
      <c r="AA821" s="522" t="s">
        <v>274</v>
      </c>
      <c r="AB821" s="522">
        <v>1</v>
      </c>
      <c r="AC821" s="522">
        <v>1</v>
      </c>
      <c r="AD821" s="522" t="s">
        <v>3147</v>
      </c>
    </row>
    <row r="822" spans="1:31">
      <c r="C822" s="523">
        <v>766</v>
      </c>
      <c r="D822" s="523">
        <v>36</v>
      </c>
      <c r="E822" s="543" t="s">
        <v>3176</v>
      </c>
      <c r="F822" s="523">
        <v>70</v>
      </c>
      <c r="G822" s="523"/>
      <c r="H822" s="523">
        <v>66</v>
      </c>
      <c r="I822" s="523">
        <v>0</v>
      </c>
      <c r="J822" s="523">
        <v>0</v>
      </c>
      <c r="K822" s="523"/>
      <c r="L822" s="797">
        <f>[1]!tsabetm(C822)</f>
        <v>50.583333333333336</v>
      </c>
      <c r="M822" s="797">
        <f>[1]!tsabetz(C822)</f>
        <v>76.716666666666669</v>
      </c>
      <c r="N822" s="797">
        <f t="shared" si="67"/>
        <v>66.466836734693885</v>
      </c>
      <c r="O822" s="797">
        <f t="shared" si="68"/>
        <v>1445.0028169014086</v>
      </c>
      <c r="P822" s="797">
        <f t="shared" si="69"/>
        <v>39.030176684748596</v>
      </c>
      <c r="Q822" s="797">
        <f t="shared" si="70"/>
        <v>79</v>
      </c>
      <c r="R822" s="797">
        <f t="shared" si="71"/>
        <v>79.65050294474581</v>
      </c>
      <c r="S822" s="797">
        <f>[1]!taqsabet(O822,C822)</f>
        <v>79.648814891651412</v>
      </c>
      <c r="T822" s="523"/>
      <c r="U822" s="523">
        <v>2</v>
      </c>
      <c r="V822" s="523">
        <v>16</v>
      </c>
      <c r="W822" s="523">
        <v>43</v>
      </c>
      <c r="X822" s="523"/>
      <c r="Y822" s="523">
        <v>30</v>
      </c>
      <c r="Z822" s="523">
        <v>24</v>
      </c>
      <c r="AA822" s="523" t="s">
        <v>274</v>
      </c>
      <c r="AB822" s="523">
        <v>4</v>
      </c>
      <c r="AC822" s="523">
        <v>4</v>
      </c>
      <c r="AD822" s="523" t="s">
        <v>3147</v>
      </c>
    </row>
    <row r="823" spans="1:31">
      <c r="C823" s="522">
        <v>767</v>
      </c>
      <c r="D823" s="522">
        <v>37</v>
      </c>
      <c r="E823" s="550" t="s">
        <v>3177</v>
      </c>
      <c r="F823" s="522">
        <v>70</v>
      </c>
      <c r="G823" s="522"/>
      <c r="H823" s="522">
        <v>66</v>
      </c>
      <c r="I823" s="522">
        <v>0</v>
      </c>
      <c r="J823" s="522">
        <v>0</v>
      </c>
      <c r="K823" s="522"/>
      <c r="L823" s="797">
        <f>[1]!tsabetm(C823)</f>
        <v>52.916666666666664</v>
      </c>
      <c r="M823" s="797">
        <f>[1]!tsabetz(C823)</f>
        <v>78.11666666666666</v>
      </c>
      <c r="N823" s="797">
        <f t="shared" si="67"/>
        <v>68.928571428571445</v>
      </c>
      <c r="O823" s="797">
        <f t="shared" si="68"/>
        <v>1445.0028169014086</v>
      </c>
      <c r="P823" s="797">
        <f t="shared" si="69"/>
        <v>56.743384660292691</v>
      </c>
      <c r="Q823" s="797">
        <f t="shared" si="70"/>
        <v>80</v>
      </c>
      <c r="R823" s="797">
        <f t="shared" si="71"/>
        <v>80.945723077671545</v>
      </c>
      <c r="S823" s="797">
        <f>[1]!taqsabet(O823,C823)</f>
        <v>80.944095312187656</v>
      </c>
      <c r="T823" s="522"/>
      <c r="U823" s="522">
        <v>2</v>
      </c>
      <c r="V823" s="522">
        <v>18</v>
      </c>
      <c r="W823" s="522">
        <v>7</v>
      </c>
      <c r="X823" s="522"/>
      <c r="Y823" s="522">
        <v>31</v>
      </c>
      <c r="Z823" s="522">
        <v>15</v>
      </c>
      <c r="AA823" s="522" t="s">
        <v>274</v>
      </c>
      <c r="AB823" s="522">
        <v>4</v>
      </c>
      <c r="AC823" s="522">
        <v>4</v>
      </c>
      <c r="AD823" s="522" t="s">
        <v>3147</v>
      </c>
    </row>
    <row r="824" spans="1:31">
      <c r="C824" s="523">
        <v>768</v>
      </c>
      <c r="D824" s="523">
        <v>38</v>
      </c>
      <c r="E824" s="543" t="s">
        <v>3178</v>
      </c>
      <c r="F824" s="523">
        <v>70</v>
      </c>
      <c r="G824" s="523"/>
      <c r="H824" s="523">
        <v>71</v>
      </c>
      <c r="I824" s="523">
        <v>1</v>
      </c>
      <c r="J824" s="523">
        <v>3</v>
      </c>
      <c r="K824" s="523" t="s">
        <v>3179</v>
      </c>
      <c r="L824" s="797">
        <f>[1]!tsabetm(C824)</f>
        <v>59.749999999999993</v>
      </c>
      <c r="M824" s="797">
        <f>[1]!tsabetz(C824)</f>
        <v>84.766666666666666</v>
      </c>
      <c r="N824" s="797">
        <f t="shared" si="67"/>
        <v>69.433710859427038</v>
      </c>
      <c r="O824" s="797">
        <f t="shared" si="68"/>
        <v>1445.0028169014086</v>
      </c>
      <c r="P824" s="797">
        <f t="shared" si="69"/>
        <v>34.508479084060752</v>
      </c>
      <c r="Q824" s="797">
        <f t="shared" si="70"/>
        <v>87</v>
      </c>
      <c r="R824" s="797">
        <f t="shared" si="71"/>
        <v>87.575141318067679</v>
      </c>
      <c r="S824" s="797">
        <f>[1]!taqsabet(O824,C824)</f>
        <v>87.573525394792995</v>
      </c>
      <c r="T824" s="523"/>
      <c r="U824" s="523">
        <v>2</v>
      </c>
      <c r="V824" s="523">
        <v>24</v>
      </c>
      <c r="W824" s="523">
        <v>46</v>
      </c>
      <c r="X824" s="523"/>
      <c r="Y824" s="523">
        <v>33</v>
      </c>
      <c r="Z824" s="523">
        <v>21</v>
      </c>
      <c r="AA824" s="523" t="s">
        <v>274</v>
      </c>
      <c r="AB824" s="523">
        <v>3</v>
      </c>
      <c r="AC824" s="523">
        <v>3</v>
      </c>
      <c r="AD824" s="523" t="s">
        <v>3147</v>
      </c>
    </row>
    <row r="825" spans="1:31">
      <c r="B825" s="505" t="s">
        <v>2355</v>
      </c>
      <c r="C825" s="506" t="s">
        <v>2356</v>
      </c>
      <c r="D825" s="507" t="s">
        <v>2357</v>
      </c>
      <c r="E825" s="511" t="s">
        <v>2358</v>
      </c>
      <c r="F825" s="511"/>
      <c r="G825" s="511"/>
      <c r="H825" s="511"/>
      <c r="I825" s="511"/>
      <c r="J825" s="511"/>
      <c r="K825" s="514" t="s">
        <v>2360</v>
      </c>
      <c r="N825" s="797">
        <f t="shared" si="67"/>
        <v>4.8250000000000002</v>
      </c>
      <c r="O825" s="797">
        <f t="shared" si="68"/>
        <v>1445.0028169014086</v>
      </c>
      <c r="P825" s="797">
        <f t="shared" si="69"/>
        <v>24.905495147049237</v>
      </c>
      <c r="Q825" s="797">
        <f t="shared" si="70"/>
        <v>40</v>
      </c>
      <c r="R825" s="797">
        <f t="shared" si="71"/>
        <v>40.415091585784154</v>
      </c>
      <c r="S825" s="797" t="e">
        <f>[1]!taqsabet(O825,C825)</f>
        <v>#VALUE!</v>
      </c>
      <c r="T825" s="507"/>
      <c r="U825" s="508" t="s">
        <v>403</v>
      </c>
      <c r="V825" s="508"/>
      <c r="W825" s="509"/>
      <c r="X825" s="507"/>
      <c r="Y825" s="509" t="s">
        <v>275</v>
      </c>
      <c r="Z825" s="510"/>
      <c r="AA825" s="506" t="s">
        <v>176</v>
      </c>
      <c r="AB825" s="511" t="s">
        <v>2361</v>
      </c>
      <c r="AC825" s="511" t="s">
        <v>2362</v>
      </c>
      <c r="AD825" s="511" t="s">
        <v>2363</v>
      </c>
    </row>
    <row r="826" spans="1:31">
      <c r="B826" s="505"/>
      <c r="C826" s="512"/>
      <c r="D826" s="512"/>
      <c r="E826" s="513"/>
      <c r="F826" s="513"/>
      <c r="G826" s="513"/>
      <c r="H826" s="513"/>
      <c r="I826" s="513"/>
      <c r="J826" s="513"/>
      <c r="K826" s="514"/>
      <c r="N826" s="797">
        <f t="shared" si="67"/>
        <v>4.8250000000000002</v>
      </c>
      <c r="O826" s="797">
        <f t="shared" si="68"/>
        <v>1445.0028169014086</v>
      </c>
      <c r="P826" s="797">
        <f t="shared" si="69"/>
        <v>24.905495147049237</v>
      </c>
      <c r="Q826" s="797">
        <f t="shared" si="70"/>
        <v>40</v>
      </c>
      <c r="R826" s="797">
        <f t="shared" si="71"/>
        <v>40.415091585784154</v>
      </c>
      <c r="S826" s="797">
        <f>[1]!taqsabet(O826,C826)</f>
        <v>1.4716840899636423</v>
      </c>
      <c r="T826" s="515" t="s">
        <v>2367</v>
      </c>
      <c r="U826" s="516" t="s">
        <v>173</v>
      </c>
      <c r="V826" s="516" t="s">
        <v>172</v>
      </c>
      <c r="W826" s="516" t="s">
        <v>166</v>
      </c>
      <c r="X826" s="517" t="s">
        <v>2367</v>
      </c>
      <c r="Y826" s="516" t="s">
        <v>172</v>
      </c>
      <c r="Z826" s="518" t="s">
        <v>166</v>
      </c>
      <c r="AA826" s="512"/>
      <c r="AB826" s="517" t="s">
        <v>2368</v>
      </c>
      <c r="AC826" s="517" t="s">
        <v>2369</v>
      </c>
      <c r="AD826" s="513"/>
    </row>
    <row r="827" spans="1:31">
      <c r="A827" s="567">
        <v>3</v>
      </c>
      <c r="B827" s="536" t="s">
        <v>3180</v>
      </c>
      <c r="C827" s="527">
        <v>769</v>
      </c>
      <c r="D827" s="527">
        <v>1</v>
      </c>
      <c r="E827" s="553" t="s">
        <v>3181</v>
      </c>
      <c r="F827" s="527">
        <v>70</v>
      </c>
      <c r="G827" s="527"/>
      <c r="H827" s="527">
        <v>66</v>
      </c>
      <c r="I827" s="527">
        <v>0</v>
      </c>
      <c r="J827" s="527">
        <v>0</v>
      </c>
      <c r="K827" s="527"/>
      <c r="L827" s="797">
        <f>[1]!tsabetm(C827)</f>
        <v>47.916666666666664</v>
      </c>
      <c r="M827" s="797">
        <f>[1]!tsabetz(C827)</f>
        <v>74.016666666666666</v>
      </c>
      <c r="N827" s="797">
        <f t="shared" si="67"/>
        <v>66.551724137931032</v>
      </c>
      <c r="O827" s="797">
        <f t="shared" si="68"/>
        <v>1445.0028169014086</v>
      </c>
      <c r="P827" s="797">
        <f t="shared" si="69"/>
        <v>56.805648398161281</v>
      </c>
      <c r="Q827" s="797">
        <f t="shared" si="70"/>
        <v>76</v>
      </c>
      <c r="R827" s="797">
        <f t="shared" si="71"/>
        <v>76.946760806636021</v>
      </c>
      <c r="S827" s="797">
        <f>[1]!taqsabet(O827,C827)</f>
        <v>76.945074906670555</v>
      </c>
      <c r="T827" s="527"/>
      <c r="U827" s="527">
        <v>2</v>
      </c>
      <c r="V827" s="527">
        <v>14</v>
      </c>
      <c r="W827" s="527">
        <v>1</v>
      </c>
      <c r="X827" s="527"/>
      <c r="Y827" s="527">
        <v>31</v>
      </c>
      <c r="Z827" s="527">
        <v>54</v>
      </c>
      <c r="AA827" s="527" t="s">
        <v>274</v>
      </c>
      <c r="AB827" s="527">
        <v>4</v>
      </c>
      <c r="AC827" s="527">
        <v>4</v>
      </c>
      <c r="AD827" s="527" t="s">
        <v>1632</v>
      </c>
    </row>
    <row r="828" spans="1:31">
      <c r="C828" s="523">
        <v>770</v>
      </c>
      <c r="D828" s="523">
        <v>2</v>
      </c>
      <c r="E828" s="543" t="s">
        <v>3182</v>
      </c>
      <c r="F828" s="523">
        <v>70</v>
      </c>
      <c r="G828" s="523"/>
      <c r="H828" s="523">
        <v>66</v>
      </c>
      <c r="I828" s="523">
        <v>0</v>
      </c>
      <c r="J828" s="523">
        <v>0</v>
      </c>
      <c r="K828" s="523"/>
      <c r="L828" s="797">
        <f>[1]!tsabetm(C828)</f>
        <v>48.25</v>
      </c>
      <c r="M828" s="797">
        <f>[1]!tsabetz(C828)</f>
        <v>74.216666666666669</v>
      </c>
      <c r="N828" s="797">
        <f t="shared" si="67"/>
        <v>66.893453145057762</v>
      </c>
      <c r="O828" s="797">
        <f t="shared" si="68"/>
        <v>1445.0028169014086</v>
      </c>
      <c r="P828" s="797">
        <f t="shared" si="69"/>
        <v>7.9075352518103159</v>
      </c>
      <c r="Q828" s="797">
        <f t="shared" si="70"/>
        <v>77</v>
      </c>
      <c r="R828" s="797">
        <f t="shared" si="71"/>
        <v>77.131792254196839</v>
      </c>
      <c r="S828" s="797">
        <f>[1]!taqsabet(O828,C828)</f>
        <v>77.130114966747172</v>
      </c>
      <c r="T828" s="523"/>
      <c r="U828" s="523">
        <v>2</v>
      </c>
      <c r="V828" s="523">
        <v>14</v>
      </c>
      <c r="W828" s="523">
        <v>13</v>
      </c>
      <c r="X828" s="523"/>
      <c r="Y828" s="523">
        <v>28</v>
      </c>
      <c r="Z828" s="523">
        <v>12</v>
      </c>
      <c r="AA828" s="523" t="s">
        <v>274</v>
      </c>
      <c r="AB828" s="523">
        <v>4</v>
      </c>
      <c r="AC828" s="523">
        <v>4</v>
      </c>
      <c r="AD828" s="523" t="s">
        <v>1632</v>
      </c>
    </row>
    <row r="829" spans="1:31">
      <c r="C829" s="527">
        <v>771</v>
      </c>
      <c r="D829" s="527">
        <v>3</v>
      </c>
      <c r="E829" s="553" t="s">
        <v>3183</v>
      </c>
      <c r="F829" s="527">
        <v>70</v>
      </c>
      <c r="G829" s="527"/>
      <c r="H829" s="527">
        <v>66</v>
      </c>
      <c r="I829" s="527">
        <v>0</v>
      </c>
      <c r="J829" s="527">
        <v>0</v>
      </c>
      <c r="K829" s="527"/>
      <c r="L829" s="797">
        <f>[1]!tsabetm(C829)</f>
        <v>47.583333333333336</v>
      </c>
      <c r="M829" s="797">
        <f>[1]!tsabetz(C829)</f>
        <v>71.766666666666666</v>
      </c>
      <c r="N829" s="797">
        <f t="shared" si="67"/>
        <v>71.826326671261214</v>
      </c>
      <c r="O829" s="797">
        <f t="shared" si="68"/>
        <v>1445.0028169014086</v>
      </c>
      <c r="P829" s="797">
        <f t="shared" si="69"/>
        <v>28.895271919368497</v>
      </c>
      <c r="Q829" s="797">
        <f t="shared" si="70"/>
        <v>74</v>
      </c>
      <c r="R829" s="797">
        <f t="shared" si="71"/>
        <v>74.481587865322808</v>
      </c>
      <c r="S829" s="797">
        <f>[1]!taqsabet(O829,C829)</f>
        <v>74.480025770271808</v>
      </c>
      <c r="T829" s="527"/>
      <c r="U829" s="527">
        <v>2</v>
      </c>
      <c r="V829" s="527">
        <v>11</v>
      </c>
      <c r="W829" s="527">
        <v>46</v>
      </c>
      <c r="X829" s="527"/>
      <c r="Y829" s="527">
        <v>29</v>
      </c>
      <c r="Z829" s="527">
        <v>54</v>
      </c>
      <c r="AA829" s="527" t="s">
        <v>274</v>
      </c>
      <c r="AB829" s="527">
        <v>4</v>
      </c>
      <c r="AC829" s="527">
        <v>4</v>
      </c>
      <c r="AD829" s="527" t="s">
        <v>1632</v>
      </c>
    </row>
    <row r="830" spans="1:31">
      <c r="C830" s="523">
        <v>772</v>
      </c>
      <c r="D830" s="523">
        <v>4</v>
      </c>
      <c r="E830" s="543" t="s">
        <v>2989</v>
      </c>
      <c r="F830" s="523">
        <v>70</v>
      </c>
      <c r="G830" s="523"/>
      <c r="H830" s="523">
        <v>66</v>
      </c>
      <c r="I830" s="523">
        <v>0</v>
      </c>
      <c r="J830" s="523">
        <v>0</v>
      </c>
      <c r="K830" s="523"/>
      <c r="L830" s="797">
        <f>[1]!tsabetm(C830)</f>
        <v>44.25</v>
      </c>
      <c r="M830" s="797">
        <f>[1]!tsabetz(C830)</f>
        <v>69.316666666666663</v>
      </c>
      <c r="N830" s="797">
        <f t="shared" si="67"/>
        <v>69.295212765957459</v>
      </c>
      <c r="O830" s="797">
        <f t="shared" si="68"/>
        <v>1445.0028169014086</v>
      </c>
      <c r="P830" s="797">
        <f t="shared" si="69"/>
        <v>7.8452715139425777</v>
      </c>
      <c r="Q830" s="797">
        <f t="shared" si="70"/>
        <v>72</v>
      </c>
      <c r="R830" s="797">
        <f t="shared" si="71"/>
        <v>72.130754525232376</v>
      </c>
      <c r="S830" s="797">
        <f>[1]!taqsabet(O830,C830)</f>
        <v>72.129135372264273</v>
      </c>
      <c r="T830" s="523"/>
      <c r="U830" s="523">
        <v>2</v>
      </c>
      <c r="V830" s="523">
        <v>9</v>
      </c>
      <c r="W830" s="523">
        <v>19</v>
      </c>
      <c r="X830" s="523"/>
      <c r="Y830" s="523">
        <v>27</v>
      </c>
      <c r="Z830" s="523">
        <v>48</v>
      </c>
      <c r="AA830" s="523" t="s">
        <v>274</v>
      </c>
      <c r="AB830" s="523">
        <v>4</v>
      </c>
      <c r="AC830" s="523">
        <v>4</v>
      </c>
      <c r="AD830" s="523" t="s">
        <v>1632</v>
      </c>
    </row>
    <row r="831" spans="1:31">
      <c r="C831" s="527">
        <v>773</v>
      </c>
      <c r="D831" s="527">
        <v>5</v>
      </c>
      <c r="E831" s="553" t="s">
        <v>3184</v>
      </c>
      <c r="F831" s="527">
        <v>70</v>
      </c>
      <c r="G831" s="527"/>
      <c r="H831" s="527">
        <v>66</v>
      </c>
      <c r="I831" s="527">
        <v>0</v>
      </c>
      <c r="J831" s="527">
        <v>0</v>
      </c>
      <c r="K831" s="527"/>
      <c r="L831" s="797">
        <f>[1]!tsabetm(C831)</f>
        <v>43.25</v>
      </c>
      <c r="M831" s="797">
        <f>[1]!tsabetz(C831)</f>
        <v>68.11666666666666</v>
      </c>
      <c r="N831" s="797">
        <f t="shared" si="67"/>
        <v>69.852546916890105</v>
      </c>
      <c r="O831" s="797">
        <f t="shared" si="68"/>
        <v>1445.0028169014086</v>
      </c>
      <c r="P831" s="797">
        <f t="shared" si="69"/>
        <v>54.498101794416129</v>
      </c>
      <c r="Q831" s="797">
        <f t="shared" si="70"/>
        <v>70</v>
      </c>
      <c r="R831" s="797">
        <f t="shared" si="71"/>
        <v>70.908301696573602</v>
      </c>
      <c r="S831" s="797">
        <f>[1]!taqsabet(O831,C831)</f>
        <v>70.906695462379176</v>
      </c>
      <c r="T831" s="527"/>
      <c r="U831" s="527">
        <v>2</v>
      </c>
      <c r="V831" s="527">
        <v>8</v>
      </c>
      <c r="W831" s="527">
        <v>7</v>
      </c>
      <c r="X831" s="527"/>
      <c r="Y831" s="527">
        <v>25</v>
      </c>
      <c r="Z831" s="527">
        <v>48</v>
      </c>
      <c r="AA831" s="527" t="s">
        <v>274</v>
      </c>
      <c r="AB831" s="527">
        <v>4</v>
      </c>
      <c r="AC831" s="527">
        <v>4</v>
      </c>
      <c r="AD831" s="527" t="s">
        <v>1632</v>
      </c>
    </row>
    <row r="832" spans="1:31">
      <c r="C832" s="523">
        <v>774</v>
      </c>
      <c r="D832" s="523">
        <v>6</v>
      </c>
      <c r="E832" s="543" t="s">
        <v>2455</v>
      </c>
      <c r="F832" s="523">
        <v>70</v>
      </c>
      <c r="G832" s="523"/>
      <c r="H832" s="523">
        <v>66</v>
      </c>
      <c r="I832" s="523">
        <v>0</v>
      </c>
      <c r="J832" s="523">
        <v>0</v>
      </c>
      <c r="K832" s="523"/>
      <c r="L832" s="797">
        <f>[1]!tsabetm(C832)</f>
        <v>39.75</v>
      </c>
      <c r="M832" s="797">
        <f>[1]!tsabetz(C832)</f>
        <v>65.36666666666666</v>
      </c>
      <c r="N832" s="797">
        <f t="shared" si="67"/>
        <v>67.807417046193905</v>
      </c>
      <c r="O832" s="797">
        <f t="shared" si="68"/>
        <v>1445.0028169014086</v>
      </c>
      <c r="P832" s="797">
        <f t="shared" si="69"/>
        <v>14.549988242639245</v>
      </c>
      <c r="Q832" s="797">
        <f t="shared" si="70"/>
        <v>68</v>
      </c>
      <c r="R832" s="797">
        <f t="shared" si="71"/>
        <v>68.242499804043987</v>
      </c>
      <c r="S832" s="797">
        <f>[1]!taqsabet(O832,C832)</f>
        <v>68.240845124448256</v>
      </c>
      <c r="T832" s="523"/>
      <c r="U832" s="523">
        <v>2</v>
      </c>
      <c r="V832" s="523">
        <v>5</v>
      </c>
      <c r="W832" s="523">
        <v>22</v>
      </c>
      <c r="X832" s="523"/>
      <c r="Y832" s="523">
        <v>25</v>
      </c>
      <c r="Z832" s="523">
        <v>24</v>
      </c>
      <c r="AA832" s="523" t="s">
        <v>274</v>
      </c>
      <c r="AB832" s="523">
        <v>4</v>
      </c>
      <c r="AC832" s="523">
        <v>4</v>
      </c>
      <c r="AD832" s="523" t="s">
        <v>1632</v>
      </c>
      <c r="AE832" s="327">
        <v>606</v>
      </c>
    </row>
    <row r="833" spans="3:30">
      <c r="C833" s="527">
        <v>775</v>
      </c>
      <c r="D833" s="527">
        <v>7</v>
      </c>
      <c r="E833" s="553" t="s">
        <v>3185</v>
      </c>
      <c r="F833" s="527">
        <v>70</v>
      </c>
      <c r="G833" s="527"/>
      <c r="H833" s="527">
        <v>66</v>
      </c>
      <c r="I833" s="527">
        <v>0</v>
      </c>
      <c r="J833" s="527">
        <v>0</v>
      </c>
      <c r="K833" s="527"/>
      <c r="L833" s="797">
        <f>[1]!tsabetm(C833)</f>
        <v>36.583333333333336</v>
      </c>
      <c r="M833" s="797">
        <f>[1]!tsabetz(C833)</f>
        <v>61.416666666666664</v>
      </c>
      <c r="N833" s="797">
        <f t="shared" si="67"/>
        <v>69.946308724832221</v>
      </c>
      <c r="O833" s="797">
        <f t="shared" si="68"/>
        <v>1445.0028169014086</v>
      </c>
      <c r="P833" s="797">
        <f t="shared" si="69"/>
        <v>12.273573507828814</v>
      </c>
      <c r="Q833" s="797">
        <f t="shared" si="70"/>
        <v>64</v>
      </c>
      <c r="R833" s="797">
        <f t="shared" si="71"/>
        <v>64.204559558463814</v>
      </c>
      <c r="S833" s="797">
        <f>[1]!taqsabet(O833,C833)</f>
        <v>64.202955477398334</v>
      </c>
      <c r="T833" s="527"/>
      <c r="U833" s="527">
        <v>2</v>
      </c>
      <c r="V833" s="527">
        <v>1</v>
      </c>
      <c r="W833" s="527">
        <v>25</v>
      </c>
      <c r="X833" s="527"/>
      <c r="Y833" s="527">
        <v>26</v>
      </c>
      <c r="Z833" s="527">
        <v>0</v>
      </c>
      <c r="AA833" s="527" t="s">
        <v>274</v>
      </c>
      <c r="AB833" s="527">
        <v>5</v>
      </c>
      <c r="AC833" s="527">
        <v>5</v>
      </c>
      <c r="AD833" s="527" t="s">
        <v>1632</v>
      </c>
    </row>
    <row r="834" spans="3:30">
      <c r="C834" s="523">
        <v>776</v>
      </c>
      <c r="D834" s="523">
        <v>8</v>
      </c>
      <c r="E834" s="543" t="s">
        <v>2756</v>
      </c>
      <c r="F834" s="523">
        <v>70</v>
      </c>
      <c r="G834" s="523"/>
      <c r="H834" s="523">
        <v>66</v>
      </c>
      <c r="I834" s="523">
        <v>0</v>
      </c>
      <c r="J834" s="523">
        <v>0</v>
      </c>
      <c r="K834" s="523"/>
      <c r="L834" s="797">
        <f>[1]!tsabetm(C834)</f>
        <v>35.083333333333336</v>
      </c>
      <c r="M834" s="797">
        <f>[1]!tsabetz(C834)</f>
        <v>59.016666666666666</v>
      </c>
      <c r="N834" s="797">
        <f t="shared" si="67"/>
        <v>72.576601671309206</v>
      </c>
      <c r="O834" s="797">
        <f t="shared" si="68"/>
        <v>1445.0028169014086</v>
      </c>
      <c r="P834" s="797">
        <f t="shared" si="69"/>
        <v>42.211309769961076</v>
      </c>
      <c r="Q834" s="797">
        <f t="shared" si="70"/>
        <v>61</v>
      </c>
      <c r="R834" s="797">
        <f t="shared" si="71"/>
        <v>61.703521829499351</v>
      </c>
      <c r="S834" s="797">
        <f>[1]!taqsabet(O834,C834)</f>
        <v>61.701975882915441</v>
      </c>
      <c r="T834" s="523"/>
      <c r="U834" s="523">
        <v>1</v>
      </c>
      <c r="V834" s="523">
        <v>29</v>
      </c>
      <c r="W834" s="523">
        <v>1</v>
      </c>
      <c r="X834" s="523"/>
      <c r="Y834" s="523">
        <v>28</v>
      </c>
      <c r="Z834" s="523">
        <v>15</v>
      </c>
      <c r="AA834" s="523" t="s">
        <v>274</v>
      </c>
      <c r="AB834" s="523">
        <v>4</v>
      </c>
      <c r="AC834" s="523">
        <v>4</v>
      </c>
      <c r="AD834" s="523" t="s">
        <v>1632</v>
      </c>
    </row>
    <row r="835" spans="3:30">
      <c r="C835" s="527">
        <v>777</v>
      </c>
      <c r="D835" s="527">
        <v>9</v>
      </c>
      <c r="E835" s="553" t="s">
        <v>3186</v>
      </c>
      <c r="F835" s="527">
        <v>70</v>
      </c>
      <c r="G835" s="527"/>
      <c r="H835" s="527">
        <v>66</v>
      </c>
      <c r="I835" s="527">
        <v>0</v>
      </c>
      <c r="J835" s="527">
        <v>0</v>
      </c>
      <c r="K835" s="527"/>
      <c r="L835" s="797">
        <f>[1]!tsabetm(C835)</f>
        <v>32.416666666666664</v>
      </c>
      <c r="M835" s="797">
        <f>[1]!tsabetz(C835)</f>
        <v>237.76666666666668</v>
      </c>
      <c r="N835" s="797">
        <f t="shared" si="67"/>
        <v>8.4587289992695389</v>
      </c>
      <c r="O835" s="797">
        <f t="shared" si="68"/>
        <v>1445.0028169014086</v>
      </c>
      <c r="P835" s="797">
        <f t="shared" si="69"/>
        <v>49.206509523463637</v>
      </c>
      <c r="Q835" s="797">
        <f t="shared" si="70"/>
        <v>260</v>
      </c>
      <c r="R835" s="797">
        <f t="shared" si="71"/>
        <v>260.82010849205773</v>
      </c>
      <c r="S835" s="797">
        <f>[1]!taqsabet(O835,C835)</f>
        <v>260.80684414118008</v>
      </c>
      <c r="T835" s="527"/>
      <c r="U835" s="527">
        <v>7</v>
      </c>
      <c r="V835" s="527">
        <v>27</v>
      </c>
      <c r="W835" s="527">
        <v>46</v>
      </c>
      <c r="X835" s="527"/>
      <c r="Y835" s="527">
        <v>27</v>
      </c>
      <c r="Z835" s="527">
        <v>39</v>
      </c>
      <c r="AA835" s="527" t="s">
        <v>274</v>
      </c>
      <c r="AB835" s="527">
        <v>4</v>
      </c>
      <c r="AC835" s="527">
        <v>4</v>
      </c>
      <c r="AD835" s="527" t="s">
        <v>1632</v>
      </c>
    </row>
    <row r="836" spans="3:30">
      <c r="C836" s="523">
        <v>778</v>
      </c>
      <c r="D836" s="523">
        <v>10</v>
      </c>
      <c r="E836" s="543" t="s">
        <v>3187</v>
      </c>
      <c r="F836" s="523">
        <v>70</v>
      </c>
      <c r="G836" s="523"/>
      <c r="H836" s="523">
        <v>66</v>
      </c>
      <c r="I836" s="523">
        <v>0</v>
      </c>
      <c r="J836" s="523">
        <v>0</v>
      </c>
      <c r="K836" s="523"/>
      <c r="L836" s="797">
        <f>[1]!tsabetm(C836)</f>
        <v>26.583333333333336</v>
      </c>
      <c r="M836" s="797">
        <f>[1]!tsabetz(C836)</f>
        <v>52.766666666666666</v>
      </c>
      <c r="N836" s="797">
        <f t="shared" si="67"/>
        <v>66.339910884786775</v>
      </c>
      <c r="O836" s="797">
        <f t="shared" si="68"/>
        <v>1445.0028169014086</v>
      </c>
      <c r="P836" s="797">
        <f t="shared" si="69"/>
        <v>42.366969114630422</v>
      </c>
      <c r="Q836" s="797">
        <f t="shared" si="70"/>
        <v>55</v>
      </c>
      <c r="R836" s="797">
        <f t="shared" si="71"/>
        <v>55.706116151910507</v>
      </c>
      <c r="S836" s="797">
        <f>[1]!taqsabet(O836,C836)</f>
        <v>55.704424869122676</v>
      </c>
      <c r="T836" s="523"/>
      <c r="U836" s="523">
        <v>1</v>
      </c>
      <c r="V836" s="523">
        <v>22</v>
      </c>
      <c r="W836" s="523">
        <v>46</v>
      </c>
      <c r="X836" s="523"/>
      <c r="Y836" s="523">
        <v>33</v>
      </c>
      <c r="Z836" s="523">
        <v>15</v>
      </c>
      <c r="AA836" s="523" t="s">
        <v>274</v>
      </c>
      <c r="AB836" s="523">
        <v>3</v>
      </c>
      <c r="AC836" s="523">
        <v>3</v>
      </c>
      <c r="AD836" s="523" t="s">
        <v>1632</v>
      </c>
    </row>
    <row r="837" spans="3:30">
      <c r="C837" s="527">
        <v>779</v>
      </c>
      <c r="D837" s="527">
        <v>11</v>
      </c>
      <c r="E837" s="553" t="s">
        <v>3188</v>
      </c>
      <c r="F837" s="527">
        <v>70</v>
      </c>
      <c r="G837" s="527"/>
      <c r="H837" s="527">
        <v>66</v>
      </c>
      <c r="I837" s="527">
        <v>0</v>
      </c>
      <c r="J837" s="527">
        <v>0</v>
      </c>
      <c r="K837" s="527"/>
      <c r="L837" s="797">
        <f>[1]!tsabetm(C837)</f>
        <v>24.25</v>
      </c>
      <c r="M837" s="797">
        <f>[1]!tsabetz(C837)</f>
        <v>49.616666666666667</v>
      </c>
      <c r="N837" s="797">
        <f t="shared" si="67"/>
        <v>68.475689881734553</v>
      </c>
      <c r="O837" s="797">
        <f t="shared" si="68"/>
        <v>1445.0028169014086</v>
      </c>
      <c r="P837" s="797">
        <f t="shared" si="69"/>
        <v>27.866026093231824</v>
      </c>
      <c r="Q837" s="797">
        <f t="shared" si="70"/>
        <v>52</v>
      </c>
      <c r="R837" s="797">
        <f t="shared" si="71"/>
        <v>52.46443376822053</v>
      </c>
      <c r="S837" s="797">
        <f>[1]!taqsabet(O837,C837)</f>
        <v>52.462795237091903</v>
      </c>
      <c r="T837" s="527"/>
      <c r="U837" s="527">
        <v>1</v>
      </c>
      <c r="V837" s="527">
        <v>19</v>
      </c>
      <c r="W837" s="527">
        <v>37</v>
      </c>
      <c r="X837" s="527"/>
      <c r="Y837" s="527">
        <v>31</v>
      </c>
      <c r="Z837" s="527">
        <v>15</v>
      </c>
      <c r="AA837" s="527" t="s">
        <v>274</v>
      </c>
      <c r="AB837" s="527">
        <v>4</v>
      </c>
      <c r="AC837" s="527">
        <v>4</v>
      </c>
      <c r="AD837" s="527" t="s">
        <v>1632</v>
      </c>
    </row>
    <row r="838" spans="3:30">
      <c r="C838" s="523">
        <v>780</v>
      </c>
      <c r="D838" s="523">
        <v>12</v>
      </c>
      <c r="E838" s="543" t="s">
        <v>3189</v>
      </c>
      <c r="F838" s="523">
        <v>70</v>
      </c>
      <c r="G838" s="523"/>
      <c r="H838" s="523">
        <v>66</v>
      </c>
      <c r="I838" s="523">
        <v>0</v>
      </c>
      <c r="J838" s="523">
        <v>0</v>
      </c>
      <c r="K838" s="523"/>
      <c r="L838" s="797">
        <f>[1]!tsabetm(C838)</f>
        <v>23.75</v>
      </c>
      <c r="M838" s="797">
        <f>[1]!tsabetz(C838)</f>
        <v>49.266666666666666</v>
      </c>
      <c r="N838" s="797">
        <f t="shared" si="67"/>
        <v>68.073154800783797</v>
      </c>
      <c r="O838" s="797">
        <f t="shared" si="68"/>
        <v>1445.0028169014086</v>
      </c>
      <c r="P838" s="797">
        <f t="shared" si="69"/>
        <v>7.8764033828764468</v>
      </c>
      <c r="Q838" s="797">
        <f t="shared" si="70"/>
        <v>52</v>
      </c>
      <c r="R838" s="797">
        <f t="shared" si="71"/>
        <v>52.131273389714607</v>
      </c>
      <c r="S838" s="797">
        <f>[1]!taqsabet(O838,C838)</f>
        <v>52.129625169505722</v>
      </c>
      <c r="T838" s="523"/>
      <c r="U838" s="523">
        <v>1</v>
      </c>
      <c r="V838" s="523">
        <v>19</v>
      </c>
      <c r="W838" s="523">
        <v>16</v>
      </c>
      <c r="X838" s="523"/>
      <c r="Y838" s="523">
        <v>29</v>
      </c>
      <c r="Z838" s="523">
        <v>0</v>
      </c>
      <c r="AA838" s="523" t="s">
        <v>274</v>
      </c>
      <c r="AB838" s="523">
        <v>3</v>
      </c>
      <c r="AC838" s="523">
        <v>3</v>
      </c>
      <c r="AD838" s="523" t="s">
        <v>1632</v>
      </c>
    </row>
    <row r="839" spans="3:30">
      <c r="C839" s="527">
        <v>781</v>
      </c>
      <c r="D839" s="527">
        <v>13</v>
      </c>
      <c r="E839" s="553" t="s">
        <v>3190</v>
      </c>
      <c r="F839" s="527">
        <v>70</v>
      </c>
      <c r="G839" s="527"/>
      <c r="H839" s="527">
        <v>66</v>
      </c>
      <c r="I839" s="527">
        <v>0</v>
      </c>
      <c r="J839" s="527">
        <v>0</v>
      </c>
      <c r="K839" s="527"/>
      <c r="L839" s="797">
        <f>[1]!tsabetm(C839)</f>
        <v>21.583333333333336</v>
      </c>
      <c r="M839" s="797">
        <f>[1]!tsabetz(C839)</f>
        <v>46.866666666666667</v>
      </c>
      <c r="N839" s="797">
        <f t="shared" ref="N839:N902" si="72">(1697+40)/((IF(M839-L839&gt;0,M839-L839,M839+360-L839)))</f>
        <v>68.701384311140416</v>
      </c>
      <c r="O839" s="797">
        <f t="shared" si="68"/>
        <v>1445.0028169014086</v>
      </c>
      <c r="P839" s="797">
        <f t="shared" si="69"/>
        <v>42.304705376762683</v>
      </c>
      <c r="Q839" s="797">
        <f t="shared" si="70"/>
        <v>49</v>
      </c>
      <c r="R839" s="797">
        <f t="shared" si="71"/>
        <v>49.705078422946045</v>
      </c>
      <c r="S839" s="797">
        <f>[1]!taqsabet(O839,C839)</f>
        <v>49.703445274639783</v>
      </c>
      <c r="T839" s="527"/>
      <c r="U839" s="527">
        <v>1</v>
      </c>
      <c r="V839" s="527">
        <v>16</v>
      </c>
      <c r="W839" s="527">
        <v>52</v>
      </c>
      <c r="X839" s="527"/>
      <c r="Y839" s="527">
        <v>27</v>
      </c>
      <c r="Z839" s="527">
        <v>48</v>
      </c>
      <c r="AA839" s="527" t="s">
        <v>274</v>
      </c>
      <c r="AB839" s="527">
        <v>3</v>
      </c>
      <c r="AC839" s="527">
        <v>3</v>
      </c>
      <c r="AD839" s="527" t="s">
        <v>1632</v>
      </c>
    </row>
    <row r="840" spans="3:30">
      <c r="C840" s="523">
        <v>782</v>
      </c>
      <c r="D840" s="523">
        <v>14</v>
      </c>
      <c r="E840" s="543" t="s">
        <v>3191</v>
      </c>
      <c r="F840" s="523">
        <v>70</v>
      </c>
      <c r="G840" s="523"/>
      <c r="H840" s="523">
        <v>66</v>
      </c>
      <c r="I840" s="523">
        <v>0</v>
      </c>
      <c r="J840" s="523">
        <v>0</v>
      </c>
      <c r="K840" s="523"/>
      <c r="L840" s="797">
        <f>[1]!tsabetm(C840)</f>
        <v>16.75</v>
      </c>
      <c r="M840" s="797">
        <f>[1]!tsabetz(C840)</f>
        <v>42.666666666666664</v>
      </c>
      <c r="N840" s="797">
        <f t="shared" si="72"/>
        <v>67.022508038585215</v>
      </c>
      <c r="O840" s="797">
        <f t="shared" ref="O840:O903" si="73">O839</f>
        <v>1445.0028169014086</v>
      </c>
      <c r="P840" s="797">
        <f t="shared" ref="P840:P903" si="74">(R840-Q840)*60</f>
        <v>34.570742821928491</v>
      </c>
      <c r="Q840" s="797">
        <f t="shared" ref="Q840:Q903" si="75">INT(R840)</f>
        <v>45</v>
      </c>
      <c r="R840" s="797">
        <f t="shared" ref="R840:R903" si="76">((O840-1250)/(N840))+M840</f>
        <v>45.576179047032142</v>
      </c>
      <c r="S840" s="797">
        <f>[1]!taqsabet(O840,C840)</f>
        <v>45.574504989275894</v>
      </c>
      <c r="T840" s="523"/>
      <c r="U840" s="523">
        <v>1</v>
      </c>
      <c r="V840" s="523">
        <v>12</v>
      </c>
      <c r="W840" s="523">
        <v>40</v>
      </c>
      <c r="X840" s="523"/>
      <c r="Y840" s="523">
        <v>26</v>
      </c>
      <c r="Z840" s="523">
        <v>9</v>
      </c>
      <c r="AA840" s="523" t="s">
        <v>274</v>
      </c>
      <c r="AB840" s="523">
        <v>4</v>
      </c>
      <c r="AC840" s="523">
        <v>3</v>
      </c>
      <c r="AD840" s="523" t="s">
        <v>1632</v>
      </c>
    </row>
    <row r="841" spans="3:30">
      <c r="C841" s="527">
        <v>783</v>
      </c>
      <c r="D841" s="527">
        <v>15</v>
      </c>
      <c r="E841" s="553" t="s">
        <v>3192</v>
      </c>
      <c r="F841" s="527">
        <v>70</v>
      </c>
      <c r="G841" s="527"/>
      <c r="H841" s="527">
        <v>66</v>
      </c>
      <c r="I841" s="527">
        <v>0</v>
      </c>
      <c r="J841" s="527">
        <v>0</v>
      </c>
      <c r="K841" s="527"/>
      <c r="L841" s="797">
        <f>[1]!tsabetm(C841)</f>
        <v>14.416666666666668</v>
      </c>
      <c r="M841" s="797">
        <f>[1]!tsabetz(C841)</f>
        <v>40.216666666666669</v>
      </c>
      <c r="N841" s="797">
        <f t="shared" si="72"/>
        <v>67.325581395348834</v>
      </c>
      <c r="O841" s="797">
        <f t="shared" si="73"/>
        <v>1445.0028169014086</v>
      </c>
      <c r="P841" s="797">
        <f t="shared" si="74"/>
        <v>6.7848938188720354</v>
      </c>
      <c r="Q841" s="797">
        <f t="shared" si="75"/>
        <v>43</v>
      </c>
      <c r="R841" s="797">
        <f t="shared" si="76"/>
        <v>43.113081563647867</v>
      </c>
      <c r="S841" s="797">
        <f>[1]!taqsabet(O841,C841)</f>
        <v>43.111415041842932</v>
      </c>
      <c r="T841" s="527"/>
      <c r="U841" s="527">
        <v>1</v>
      </c>
      <c r="V841" s="527">
        <v>10</v>
      </c>
      <c r="W841" s="527">
        <v>13</v>
      </c>
      <c r="X841" s="527"/>
      <c r="Y841" s="527">
        <v>23</v>
      </c>
      <c r="Z841" s="527">
        <v>54</v>
      </c>
      <c r="AA841" s="527" t="s">
        <v>274</v>
      </c>
      <c r="AB841" s="527">
        <v>5</v>
      </c>
      <c r="AC841" s="527">
        <v>4</v>
      </c>
      <c r="AD841" s="527" t="s">
        <v>1632</v>
      </c>
    </row>
    <row r="842" spans="3:30">
      <c r="C842" s="523">
        <v>784</v>
      </c>
      <c r="D842" s="523">
        <v>16</v>
      </c>
      <c r="E842" s="543" t="s">
        <v>3193</v>
      </c>
      <c r="F842" s="523">
        <v>70</v>
      </c>
      <c r="G842" s="523"/>
      <c r="H842" s="523">
        <v>66</v>
      </c>
      <c r="I842" s="523">
        <v>0</v>
      </c>
      <c r="J842" s="523">
        <v>0</v>
      </c>
      <c r="K842" s="523"/>
      <c r="L842" s="797">
        <f>[1]!tsabetm(C842)</f>
        <v>11.75</v>
      </c>
      <c r="M842" s="797">
        <f>[1]!tsabetz(C842)</f>
        <v>37.366666666666667</v>
      </c>
      <c r="N842" s="797">
        <f t="shared" si="72"/>
        <v>67.807417046193876</v>
      </c>
      <c r="O842" s="797">
        <f t="shared" si="73"/>
        <v>1445.0028169014086</v>
      </c>
      <c r="P842" s="797">
        <f t="shared" si="74"/>
        <v>14.549988242639671</v>
      </c>
      <c r="Q842" s="797">
        <f t="shared" si="75"/>
        <v>40</v>
      </c>
      <c r="R842" s="797">
        <f t="shared" si="76"/>
        <v>40.242499804043995</v>
      </c>
      <c r="S842" s="797">
        <f>[1]!taqsabet(O842,C842)</f>
        <v>40.240845124448263</v>
      </c>
      <c r="T842" s="523"/>
      <c r="U842" s="523">
        <v>1</v>
      </c>
      <c r="V842" s="523">
        <v>7</v>
      </c>
      <c r="W842" s="523">
        <v>22</v>
      </c>
      <c r="X842" s="523"/>
      <c r="Y842" s="523">
        <v>24</v>
      </c>
      <c r="Z842" s="523">
        <v>30</v>
      </c>
      <c r="AA842" s="523" t="s">
        <v>274</v>
      </c>
      <c r="AB842" s="523">
        <v>4</v>
      </c>
      <c r="AC842" s="523">
        <v>3</v>
      </c>
      <c r="AD842" s="523" t="s">
        <v>1632</v>
      </c>
    </row>
    <row r="843" spans="3:30">
      <c r="C843" s="527">
        <v>785</v>
      </c>
      <c r="D843" s="527">
        <v>17</v>
      </c>
      <c r="E843" s="553" t="s">
        <v>3194</v>
      </c>
      <c r="F843" s="527">
        <v>70</v>
      </c>
      <c r="G843" s="527"/>
      <c r="H843" s="527">
        <v>66</v>
      </c>
      <c r="I843" s="527">
        <v>0</v>
      </c>
      <c r="J843" s="527">
        <v>0</v>
      </c>
      <c r="K843" s="527"/>
      <c r="L843" s="797">
        <f>[1]!tsabetm(C843)</f>
        <v>10.083333333333332</v>
      </c>
      <c r="M843" s="797">
        <f>[1]!tsabetz(C843)</f>
        <v>36.333333333333336</v>
      </c>
      <c r="N843" s="797">
        <f t="shared" si="72"/>
        <v>66.171428571428564</v>
      </c>
      <c r="O843" s="797">
        <f t="shared" si="73"/>
        <v>1445.0028169014086</v>
      </c>
      <c r="P843" s="797">
        <f t="shared" si="74"/>
        <v>16.816025687805762</v>
      </c>
      <c r="Q843" s="797">
        <f t="shared" si="75"/>
        <v>39</v>
      </c>
      <c r="R843" s="797">
        <f t="shared" si="76"/>
        <v>39.280267094796763</v>
      </c>
      <c r="S843" s="797">
        <f>[1]!taqsabet(O843,C843)</f>
        <v>39.278571505751046</v>
      </c>
      <c r="T843" s="527"/>
      <c r="U843" s="527">
        <v>1</v>
      </c>
      <c r="V843" s="527">
        <v>6</v>
      </c>
      <c r="W843" s="527">
        <v>20</v>
      </c>
      <c r="X843" s="527"/>
      <c r="Y843" s="527">
        <v>24</v>
      </c>
      <c r="Z843" s="527">
        <v>2</v>
      </c>
      <c r="AA843" s="527" t="s">
        <v>274</v>
      </c>
      <c r="AB843" s="527">
        <v>5</v>
      </c>
      <c r="AC843" s="527">
        <v>5</v>
      </c>
      <c r="AD843" s="527" t="s">
        <v>1632</v>
      </c>
    </row>
    <row r="844" spans="3:30">
      <c r="C844" s="523">
        <v>786</v>
      </c>
      <c r="D844" s="523">
        <v>18</v>
      </c>
      <c r="E844" s="543" t="s">
        <v>3195</v>
      </c>
      <c r="F844" s="523">
        <v>70</v>
      </c>
      <c r="G844" s="523"/>
      <c r="H844" s="523">
        <v>66</v>
      </c>
      <c r="I844" s="523">
        <v>0</v>
      </c>
      <c r="J844" s="523">
        <v>0</v>
      </c>
      <c r="K844" s="523"/>
      <c r="L844" s="797">
        <f>[1]!tsabetm(C844)</f>
        <v>4.75</v>
      </c>
      <c r="M844" s="797">
        <f>[1]!tsabetz(C844)</f>
        <v>30.766666666666666</v>
      </c>
      <c r="N844" s="797">
        <f t="shared" si="72"/>
        <v>66.764894298526585</v>
      </c>
      <c r="O844" s="797">
        <f t="shared" si="73"/>
        <v>1445.0028169014086</v>
      </c>
      <c r="P844" s="797">
        <f t="shared" si="74"/>
        <v>41.244327681691715</v>
      </c>
      <c r="Q844" s="797">
        <f t="shared" si="75"/>
        <v>33</v>
      </c>
      <c r="R844" s="797">
        <f t="shared" si="76"/>
        <v>33.687405461361529</v>
      </c>
      <c r="S844" s="797">
        <f>[1]!taqsabet(O844,C844)</f>
        <v>33.685724944218435</v>
      </c>
      <c r="T844" s="523"/>
      <c r="U844" s="523">
        <v>1</v>
      </c>
      <c r="V844" s="523">
        <v>0</v>
      </c>
      <c r="W844" s="523">
        <v>46</v>
      </c>
      <c r="X844" s="523"/>
      <c r="Y844" s="523">
        <v>33</v>
      </c>
      <c r="Z844" s="523">
        <v>0</v>
      </c>
      <c r="AA844" s="523" t="s">
        <v>274</v>
      </c>
      <c r="AB844" s="523">
        <v>4</v>
      </c>
      <c r="AC844" s="523">
        <v>4</v>
      </c>
      <c r="AD844" s="523" t="s">
        <v>1632</v>
      </c>
    </row>
    <row r="845" spans="3:30">
      <c r="C845" s="527">
        <v>787</v>
      </c>
      <c r="D845" s="527">
        <v>19</v>
      </c>
      <c r="E845" s="553" t="s">
        <v>3196</v>
      </c>
      <c r="F845" s="527">
        <v>70</v>
      </c>
      <c r="G845" s="527"/>
      <c r="H845" s="527">
        <v>66</v>
      </c>
      <c r="I845" s="527">
        <v>0</v>
      </c>
      <c r="J845" s="527">
        <v>0</v>
      </c>
      <c r="K845" s="527"/>
      <c r="L845" s="797">
        <f>[1]!tsabetm(C845)</f>
        <v>5.4166666666666679</v>
      </c>
      <c r="M845" s="797">
        <f>[1]!tsabetz(C845)</f>
        <v>31.516666666666666</v>
      </c>
      <c r="N845" s="797">
        <f t="shared" si="72"/>
        <v>66.551724137931046</v>
      </c>
      <c r="O845" s="797">
        <f t="shared" si="73"/>
        <v>1445.0028169014086</v>
      </c>
      <c r="P845" s="797">
        <f t="shared" si="74"/>
        <v>26.805648398160855</v>
      </c>
      <c r="Q845" s="797">
        <f t="shared" si="75"/>
        <v>34</v>
      </c>
      <c r="R845" s="797">
        <f t="shared" si="76"/>
        <v>34.446760806636014</v>
      </c>
      <c r="S845" s="797">
        <f>[1]!taqsabet(O845,C845)</f>
        <v>34.445074906670555</v>
      </c>
      <c r="T845" s="527"/>
      <c r="U845" s="527">
        <v>1</v>
      </c>
      <c r="V845" s="527">
        <v>1</v>
      </c>
      <c r="W845" s="527">
        <v>31</v>
      </c>
      <c r="X845" s="527"/>
      <c r="Y845" s="527">
        <v>35</v>
      </c>
      <c r="Z845" s="527">
        <v>39</v>
      </c>
      <c r="AA845" s="527" t="s">
        <v>274</v>
      </c>
      <c r="AB845" s="527">
        <v>4</v>
      </c>
      <c r="AC845" s="527">
        <v>4</v>
      </c>
      <c r="AD845" s="527" t="s">
        <v>1632</v>
      </c>
    </row>
    <row r="846" spans="3:30">
      <c r="C846" s="523">
        <v>788</v>
      </c>
      <c r="D846" s="523">
        <v>20</v>
      </c>
      <c r="E846" s="543" t="s">
        <v>3197</v>
      </c>
      <c r="F846" s="523">
        <v>70</v>
      </c>
      <c r="G846" s="523"/>
      <c r="H846" s="523">
        <v>66</v>
      </c>
      <c r="I846" s="523">
        <v>0</v>
      </c>
      <c r="J846" s="523">
        <v>0</v>
      </c>
      <c r="K846" s="523"/>
      <c r="L846" s="797">
        <f>[1]!tsabetm(C846)</f>
        <v>8.4166666666666679</v>
      </c>
      <c r="M846" s="797">
        <f>[1]!tsabetz(C846)</f>
        <v>33.766666666666666</v>
      </c>
      <c r="N846" s="797">
        <f t="shared" si="72"/>
        <v>68.520710059171606</v>
      </c>
      <c r="O846" s="797">
        <f t="shared" si="73"/>
        <v>1445.0028169014086</v>
      </c>
      <c r="P846" s="797">
        <f t="shared" si="74"/>
        <v>36.753761949938166</v>
      </c>
      <c r="Q846" s="797">
        <f t="shared" si="75"/>
        <v>36</v>
      </c>
      <c r="R846" s="797">
        <f t="shared" si="76"/>
        <v>36.612562699165636</v>
      </c>
      <c r="S846" s="797">
        <f>[1]!taqsabet(O846,C846)</f>
        <v>36.610925244601482</v>
      </c>
      <c r="T846" s="523"/>
      <c r="U846" s="523">
        <v>1</v>
      </c>
      <c r="V846" s="523">
        <v>3</v>
      </c>
      <c r="W846" s="523">
        <v>46</v>
      </c>
      <c r="X846" s="523"/>
      <c r="Y846" s="523">
        <v>38</v>
      </c>
      <c r="Z846" s="523">
        <v>45</v>
      </c>
      <c r="AA846" s="523" t="s">
        <v>274</v>
      </c>
      <c r="AB846" s="523">
        <v>4</v>
      </c>
      <c r="AC846" s="523">
        <v>4</v>
      </c>
      <c r="AD846" s="523" t="s">
        <v>1632</v>
      </c>
    </row>
    <row r="847" spans="3:30">
      <c r="C847" s="527">
        <v>789</v>
      </c>
      <c r="D847" s="527">
        <v>21</v>
      </c>
      <c r="E847" s="553" t="s">
        <v>2612</v>
      </c>
      <c r="F847" s="527">
        <v>70</v>
      </c>
      <c r="G847" s="527"/>
      <c r="H847" s="527">
        <v>66</v>
      </c>
      <c r="I847" s="527">
        <v>0</v>
      </c>
      <c r="J847" s="527">
        <v>0</v>
      </c>
      <c r="K847" s="527"/>
      <c r="L847" s="797">
        <f>[1]!tsabetm(C847)</f>
        <v>13.416666666666668</v>
      </c>
      <c r="M847" s="797">
        <f>[1]!tsabetz(C847)</f>
        <v>39.216666666666669</v>
      </c>
      <c r="N847" s="797">
        <f t="shared" si="72"/>
        <v>67.325581395348834</v>
      </c>
      <c r="O847" s="797">
        <f t="shared" si="73"/>
        <v>1445.0028169014086</v>
      </c>
      <c r="P847" s="797">
        <f t="shared" si="74"/>
        <v>6.7848938188720354</v>
      </c>
      <c r="Q847" s="797">
        <f t="shared" si="75"/>
        <v>42</v>
      </c>
      <c r="R847" s="797">
        <f t="shared" si="76"/>
        <v>42.113081563647867</v>
      </c>
      <c r="S847" s="797">
        <f>[1]!taqsabet(O847,C847)</f>
        <v>42.111415041842932</v>
      </c>
      <c r="T847" s="527"/>
      <c r="U847" s="527">
        <v>1</v>
      </c>
      <c r="V847" s="527">
        <v>9</v>
      </c>
      <c r="W847" s="527">
        <v>13</v>
      </c>
      <c r="X847" s="527"/>
      <c r="Y847" s="527">
        <v>39</v>
      </c>
      <c r="Z847" s="527">
        <v>27</v>
      </c>
      <c r="AA847" s="527" t="s">
        <v>274</v>
      </c>
      <c r="AB847" s="527">
        <v>4</v>
      </c>
      <c r="AC847" s="527">
        <v>4</v>
      </c>
      <c r="AD847" s="527" t="s">
        <v>1632</v>
      </c>
    </row>
    <row r="848" spans="3:30">
      <c r="C848" s="523">
        <v>790</v>
      </c>
      <c r="D848" s="523">
        <v>22</v>
      </c>
      <c r="E848" s="543" t="s">
        <v>2613</v>
      </c>
      <c r="F848" s="523">
        <v>70</v>
      </c>
      <c r="G848" s="523"/>
      <c r="H848" s="523">
        <v>66</v>
      </c>
      <c r="I848" s="523">
        <v>0</v>
      </c>
      <c r="J848" s="523">
        <v>0</v>
      </c>
      <c r="K848" s="523"/>
      <c r="L848" s="797">
        <f>[1]!tsabetm(C848)</f>
        <v>17.083333333333332</v>
      </c>
      <c r="M848" s="797">
        <f>[1]!tsabetz(C848)</f>
        <v>42.916666666666664</v>
      </c>
      <c r="N848" s="797">
        <f t="shared" si="72"/>
        <v>67.238709677419351</v>
      </c>
      <c r="O848" s="797">
        <f t="shared" si="73"/>
        <v>1445.0028169014086</v>
      </c>
      <c r="P848" s="797">
        <f t="shared" si="74"/>
        <v>49.00942210545935</v>
      </c>
      <c r="Q848" s="797">
        <f t="shared" si="75"/>
        <v>45</v>
      </c>
      <c r="R848" s="797">
        <f t="shared" si="76"/>
        <v>45.816823701757656</v>
      </c>
      <c r="S848" s="797">
        <f>[1]!taqsabet(O848,C848)</f>
        <v>45.815155026823774</v>
      </c>
      <c r="T848" s="523"/>
      <c r="U848" s="523">
        <v>1</v>
      </c>
      <c r="V848" s="523">
        <v>12</v>
      </c>
      <c r="W848" s="523">
        <v>55</v>
      </c>
      <c r="X848" s="523"/>
      <c r="Y848" s="523">
        <v>39</v>
      </c>
      <c r="Z848" s="523">
        <v>27</v>
      </c>
      <c r="AA848" s="523" t="s">
        <v>274</v>
      </c>
      <c r="AB848" s="523">
        <v>4</v>
      </c>
      <c r="AC848" s="523">
        <v>4</v>
      </c>
      <c r="AD848" s="523" t="s">
        <v>1632</v>
      </c>
    </row>
    <row r="849" spans="1:31">
      <c r="C849" s="527">
        <v>791</v>
      </c>
      <c r="D849" s="527">
        <v>23</v>
      </c>
      <c r="E849" s="553" t="s">
        <v>3198</v>
      </c>
      <c r="F849" s="527">
        <v>70</v>
      </c>
      <c r="G849" s="527"/>
      <c r="H849" s="527">
        <v>66</v>
      </c>
      <c r="I849" s="527">
        <v>0</v>
      </c>
      <c r="J849" s="527">
        <v>0</v>
      </c>
      <c r="K849" s="527"/>
      <c r="L849" s="797">
        <f>[1]!tsabetm(C849)</f>
        <v>20.916666666666664</v>
      </c>
      <c r="M849" s="797">
        <f>[1]!tsabetz(C849)</f>
        <v>46.516666666666666</v>
      </c>
      <c r="N849" s="797">
        <f t="shared" si="72"/>
        <v>67.8515625</v>
      </c>
      <c r="O849" s="797">
        <f t="shared" si="73"/>
        <v>1445.0028169014086</v>
      </c>
      <c r="P849" s="797">
        <f t="shared" si="74"/>
        <v>23.437724099345587</v>
      </c>
      <c r="Q849" s="797">
        <f t="shared" si="75"/>
        <v>49</v>
      </c>
      <c r="R849" s="797">
        <f t="shared" si="76"/>
        <v>49.390628734989093</v>
      </c>
      <c r="S849" s="797">
        <f>[1]!taqsabet(O849,C849)</f>
        <v>49.388975131957842</v>
      </c>
      <c r="T849" s="527"/>
      <c r="U849" s="527">
        <v>1</v>
      </c>
      <c r="V849" s="527">
        <v>16</v>
      </c>
      <c r="W849" s="527">
        <v>31</v>
      </c>
      <c r="X849" s="527"/>
      <c r="Y849" s="527">
        <v>41</v>
      </c>
      <c r="Z849" s="527">
        <v>30</v>
      </c>
      <c r="AA849" s="527" t="s">
        <v>274</v>
      </c>
      <c r="AB849" s="527">
        <v>4</v>
      </c>
      <c r="AC849" s="527">
        <v>4</v>
      </c>
      <c r="AD849" s="527" t="s">
        <v>1632</v>
      </c>
    </row>
    <row r="850" spans="1:31">
      <c r="C850" s="523">
        <v>792</v>
      </c>
      <c r="D850" s="523">
        <v>24</v>
      </c>
      <c r="E850" s="543" t="s">
        <v>3199</v>
      </c>
      <c r="F850" s="523">
        <v>70</v>
      </c>
      <c r="G850" s="523"/>
      <c r="H850" s="523">
        <v>66</v>
      </c>
      <c r="I850" s="523">
        <v>0</v>
      </c>
      <c r="J850" s="523">
        <v>0</v>
      </c>
      <c r="K850" s="523"/>
      <c r="L850" s="797">
        <f>[1]!tsabetm(C850)</f>
        <v>21.083333333333336</v>
      </c>
      <c r="M850" s="797">
        <f>[1]!tsabetz(C850)</f>
        <v>46.716666666666669</v>
      </c>
      <c r="N850" s="797">
        <f t="shared" si="72"/>
        <v>67.763328998699606</v>
      </c>
      <c r="O850" s="797">
        <f t="shared" si="73"/>
        <v>1445.0028169014086</v>
      </c>
      <c r="P850" s="797">
        <f t="shared" si="74"/>
        <v>35.662252385933755</v>
      </c>
      <c r="Q850" s="797">
        <f t="shared" si="75"/>
        <v>49</v>
      </c>
      <c r="R850" s="797">
        <f t="shared" si="76"/>
        <v>49.594370873098896</v>
      </c>
      <c r="S850" s="797">
        <f>[1]!taqsabet(O850,C850)</f>
        <v>49.592715116938692</v>
      </c>
      <c r="T850" s="523"/>
      <c r="U850" s="523">
        <v>1</v>
      </c>
      <c r="V850" s="523">
        <v>16</v>
      </c>
      <c r="W850" s="523">
        <v>43</v>
      </c>
      <c r="X850" s="523"/>
      <c r="Y850" s="523">
        <v>42</v>
      </c>
      <c r="Z850" s="523">
        <v>30</v>
      </c>
      <c r="AA850" s="523" t="s">
        <v>274</v>
      </c>
      <c r="AB850" s="523">
        <v>5</v>
      </c>
      <c r="AC850" s="523">
        <v>5</v>
      </c>
      <c r="AD850" s="523" t="s">
        <v>1632</v>
      </c>
    </row>
    <row r="851" spans="1:31">
      <c r="C851" s="527">
        <v>793</v>
      </c>
      <c r="D851" s="527">
        <v>25</v>
      </c>
      <c r="E851" s="553" t="s">
        <v>3200</v>
      </c>
      <c r="F851" s="527">
        <v>70</v>
      </c>
      <c r="G851" s="527"/>
      <c r="H851" s="527">
        <v>66</v>
      </c>
      <c r="I851" s="527">
        <v>0</v>
      </c>
      <c r="J851" s="527">
        <v>0</v>
      </c>
      <c r="K851" s="527"/>
      <c r="L851" s="797">
        <f>[1]!tsabetm(C851)</f>
        <v>21.75</v>
      </c>
      <c r="M851" s="797">
        <f>[1]!tsabetz(C851)</f>
        <v>47.133333333333333</v>
      </c>
      <c r="N851" s="797">
        <f t="shared" si="72"/>
        <v>68.430728824688117</v>
      </c>
      <c r="O851" s="797">
        <f t="shared" si="73"/>
        <v>1445.0028169014086</v>
      </c>
      <c r="P851" s="797">
        <f t="shared" si="74"/>
        <v>58.978290236525766</v>
      </c>
      <c r="Q851" s="797">
        <f t="shared" si="75"/>
        <v>49</v>
      </c>
      <c r="R851" s="797">
        <f t="shared" si="76"/>
        <v>49.982971503942096</v>
      </c>
      <c r="S851" s="797">
        <f>[1]!taqsabet(O851,C851)</f>
        <v>49.981331896248996</v>
      </c>
      <c r="T851" s="527"/>
      <c r="U851" s="527">
        <v>1</v>
      </c>
      <c r="V851" s="527">
        <v>17</v>
      </c>
      <c r="W851" s="527">
        <v>8</v>
      </c>
      <c r="X851" s="527"/>
      <c r="Y851" s="527">
        <v>44</v>
      </c>
      <c r="Z851" s="527">
        <v>0</v>
      </c>
      <c r="AA851" s="527" t="s">
        <v>274</v>
      </c>
      <c r="AB851" s="527">
        <v>4</v>
      </c>
      <c r="AC851" s="527">
        <v>4</v>
      </c>
      <c r="AD851" s="527" t="s">
        <v>1632</v>
      </c>
    </row>
    <row r="852" spans="1:31">
      <c r="C852" s="523">
        <v>794</v>
      </c>
      <c r="D852" s="523">
        <v>26</v>
      </c>
      <c r="E852" s="543" t="s">
        <v>3201</v>
      </c>
      <c r="F852" s="523">
        <v>70</v>
      </c>
      <c r="G852" s="523"/>
      <c r="H852" s="523">
        <v>66</v>
      </c>
      <c r="I852" s="523">
        <v>0</v>
      </c>
      <c r="J852" s="523">
        <v>0</v>
      </c>
      <c r="K852" s="523"/>
      <c r="L852" s="797">
        <f>[1]!tsabetm(C852)</f>
        <v>24.25</v>
      </c>
      <c r="M852" s="797">
        <f>[1]!tsabetz(C852)</f>
        <v>49.266666666666666</v>
      </c>
      <c r="N852" s="797">
        <f t="shared" si="72"/>
        <v>69.433710859427052</v>
      </c>
      <c r="O852" s="797">
        <f t="shared" si="73"/>
        <v>1445.0028169014086</v>
      </c>
      <c r="P852" s="797">
        <f t="shared" si="74"/>
        <v>4.5084790840611788</v>
      </c>
      <c r="Q852" s="797">
        <f t="shared" si="75"/>
        <v>52</v>
      </c>
      <c r="R852" s="797">
        <f t="shared" si="76"/>
        <v>52.075141318067686</v>
      </c>
      <c r="S852" s="797">
        <f>[1]!taqsabet(O852,C852)</f>
        <v>52.073525394793002</v>
      </c>
      <c r="T852" s="523"/>
      <c r="U852" s="523">
        <v>1</v>
      </c>
      <c r="V852" s="523">
        <v>19</v>
      </c>
      <c r="W852" s="523">
        <v>16</v>
      </c>
      <c r="X852" s="523"/>
      <c r="Y852" s="523">
        <v>44</v>
      </c>
      <c r="Z852" s="523">
        <v>6</v>
      </c>
      <c r="AA852" s="523" t="s">
        <v>274</v>
      </c>
      <c r="AB852" s="523">
        <v>4</v>
      </c>
      <c r="AC852" s="523">
        <v>4</v>
      </c>
      <c r="AD852" s="523" t="s">
        <v>1632</v>
      </c>
    </row>
    <row r="853" spans="1:31">
      <c r="C853" s="527">
        <v>795</v>
      </c>
      <c r="D853" s="527">
        <v>27</v>
      </c>
      <c r="E853" s="553" t="s">
        <v>3202</v>
      </c>
      <c r="F853" s="527">
        <v>70</v>
      </c>
      <c r="G853" s="527"/>
      <c r="H853" s="527">
        <v>66</v>
      </c>
      <c r="I853" s="527">
        <v>0</v>
      </c>
      <c r="J853" s="527">
        <v>0</v>
      </c>
      <c r="K853" s="527"/>
      <c r="L853" s="797">
        <f>[1]!tsabetm(C853)</f>
        <v>33.75</v>
      </c>
      <c r="M853" s="797">
        <f>[1]!tsabetz(C853)</f>
        <v>57.81666666666667</v>
      </c>
      <c r="N853" s="797">
        <f t="shared" si="72"/>
        <v>72.174515235457051</v>
      </c>
      <c r="O853" s="797">
        <f t="shared" si="73"/>
        <v>1445.0028169014086</v>
      </c>
      <c r="P853" s="797">
        <f t="shared" si="74"/>
        <v>31.109422916312042</v>
      </c>
      <c r="Q853" s="797">
        <f t="shared" si="75"/>
        <v>60</v>
      </c>
      <c r="R853" s="797">
        <f t="shared" si="76"/>
        <v>60.518490381938534</v>
      </c>
      <c r="S853" s="797">
        <f>[1]!taqsabet(O853,C853)</f>
        <v>60.516935822838839</v>
      </c>
      <c r="T853" s="527"/>
      <c r="U853" s="527">
        <v>1</v>
      </c>
      <c r="V853" s="527">
        <v>27</v>
      </c>
      <c r="W853" s="527">
        <v>49</v>
      </c>
      <c r="X853" s="527"/>
      <c r="Y853" s="527">
        <v>50</v>
      </c>
      <c r="Z853" s="527">
        <v>42</v>
      </c>
      <c r="AA853" s="527" t="s">
        <v>274</v>
      </c>
      <c r="AB853" s="527">
        <v>4</v>
      </c>
      <c r="AC853" s="527">
        <v>4</v>
      </c>
      <c r="AD853" s="527" t="s">
        <v>1632</v>
      </c>
    </row>
    <row r="854" spans="1:31">
      <c r="C854" s="523">
        <v>796</v>
      </c>
      <c r="D854" s="523">
        <v>28</v>
      </c>
      <c r="E854" s="543" t="s">
        <v>2920</v>
      </c>
      <c r="F854" s="523">
        <v>70</v>
      </c>
      <c r="G854" s="523"/>
      <c r="H854" s="523">
        <v>66</v>
      </c>
      <c r="I854" s="523">
        <v>0</v>
      </c>
      <c r="J854" s="523">
        <v>0</v>
      </c>
      <c r="K854" s="523"/>
      <c r="L854" s="797">
        <f>[1]!tsabetm(C854)</f>
        <v>34.583333333333336</v>
      </c>
      <c r="M854" s="797">
        <f>[1]!tsabetz(C854)</f>
        <v>58.266666666666666</v>
      </c>
      <c r="N854" s="797">
        <f t="shared" si="72"/>
        <v>73.342716396903597</v>
      </c>
      <c r="O854" s="797">
        <f t="shared" si="73"/>
        <v>1445.0028169014086</v>
      </c>
      <c r="P854" s="797">
        <f t="shared" si="74"/>
        <v>55.527347620553655</v>
      </c>
      <c r="Q854" s="797">
        <f t="shared" si="75"/>
        <v>60</v>
      </c>
      <c r="R854" s="797">
        <f t="shared" si="76"/>
        <v>60.925455793675894</v>
      </c>
      <c r="S854" s="797">
        <f>[1]!taqsabet(O854,C854)</f>
        <v>60.923925995559088</v>
      </c>
      <c r="T854" s="523"/>
      <c r="U854" s="523">
        <v>1</v>
      </c>
      <c r="V854" s="523">
        <v>28</v>
      </c>
      <c r="W854" s="523">
        <v>16</v>
      </c>
      <c r="X854" s="523"/>
      <c r="Y854" s="523">
        <v>51</v>
      </c>
      <c r="Z854" s="523">
        <v>45</v>
      </c>
      <c r="AA854" s="523" t="s">
        <v>274</v>
      </c>
      <c r="AB854" s="523">
        <v>4</v>
      </c>
      <c r="AC854" s="523">
        <v>4</v>
      </c>
      <c r="AD854" s="523" t="s">
        <v>1632</v>
      </c>
    </row>
    <row r="855" spans="1:31">
      <c r="C855" s="527">
        <v>797</v>
      </c>
      <c r="D855" s="527">
        <v>29</v>
      </c>
      <c r="E855" s="553" t="s">
        <v>3203</v>
      </c>
      <c r="F855" s="527">
        <v>70</v>
      </c>
      <c r="G855" s="527"/>
      <c r="H855" s="527">
        <v>66</v>
      </c>
      <c r="I855" s="527">
        <v>0</v>
      </c>
      <c r="J855" s="527">
        <v>0</v>
      </c>
      <c r="K855" s="527"/>
      <c r="L855" s="797">
        <f>[1]!tsabetm(C855)</f>
        <v>27.75</v>
      </c>
      <c r="M855" s="797">
        <f>[1]!tsabetz(C855)</f>
        <v>52.516666666666666</v>
      </c>
      <c r="N855" s="797">
        <f t="shared" si="72"/>
        <v>70.134589502018841</v>
      </c>
      <c r="O855" s="797">
        <f t="shared" si="73"/>
        <v>1445.0028169014086</v>
      </c>
      <c r="P855" s="797">
        <f t="shared" si="74"/>
        <v>17.824516934653332</v>
      </c>
      <c r="Q855" s="797">
        <f t="shared" si="75"/>
        <v>55</v>
      </c>
      <c r="R855" s="797">
        <f t="shared" si="76"/>
        <v>55.297075282244222</v>
      </c>
      <c r="S855" s="797">
        <f>[1]!taqsabet(O855,C855)</f>
        <v>55.295475507436642</v>
      </c>
      <c r="T855" s="527"/>
      <c r="U855" s="527">
        <v>1</v>
      </c>
      <c r="V855" s="527">
        <v>22</v>
      </c>
      <c r="W855" s="527">
        <v>31</v>
      </c>
      <c r="X855" s="527"/>
      <c r="Y855" s="527">
        <v>54</v>
      </c>
      <c r="Z855" s="527">
        <v>30</v>
      </c>
      <c r="AA855" s="527" t="s">
        <v>274</v>
      </c>
      <c r="AB855" s="527">
        <v>4</v>
      </c>
      <c r="AC855" s="527">
        <v>4</v>
      </c>
      <c r="AD855" s="527" t="s">
        <v>1632</v>
      </c>
    </row>
    <row r="856" spans="1:31">
      <c r="C856" s="523">
        <v>798</v>
      </c>
      <c r="D856" s="523">
        <v>30</v>
      </c>
      <c r="E856" s="543" t="s">
        <v>2455</v>
      </c>
      <c r="F856" s="523">
        <v>70</v>
      </c>
      <c r="G856" s="523"/>
      <c r="H856" s="523">
        <v>66</v>
      </c>
      <c r="I856" s="523">
        <v>0</v>
      </c>
      <c r="J856" s="523">
        <v>0</v>
      </c>
      <c r="K856" s="523"/>
      <c r="L856" s="797">
        <f>[1]!tsabetm(C856)</f>
        <v>25.416666666666664</v>
      </c>
      <c r="M856" s="797">
        <f>[1]!tsabetz(C856)</f>
        <v>50.116666666666667</v>
      </c>
      <c r="N856" s="797">
        <f t="shared" si="72"/>
        <v>70.323886639676104</v>
      </c>
      <c r="O856" s="797">
        <f t="shared" si="73"/>
        <v>1445.0028169014086</v>
      </c>
      <c r="P856" s="797">
        <f t="shared" si="74"/>
        <v>53.375460361478275</v>
      </c>
      <c r="Q856" s="797">
        <f t="shared" si="75"/>
        <v>52</v>
      </c>
      <c r="R856" s="797">
        <f t="shared" si="76"/>
        <v>52.889591006024638</v>
      </c>
      <c r="S856" s="797">
        <f>[1]!taqsabet(O856,C856)</f>
        <v>52.88799553747495</v>
      </c>
      <c r="T856" s="523"/>
      <c r="U856" s="523">
        <v>1</v>
      </c>
      <c r="V856" s="523">
        <v>20</v>
      </c>
      <c r="W856" s="523">
        <v>7</v>
      </c>
      <c r="X856" s="523"/>
      <c r="Y856" s="523">
        <v>54</v>
      </c>
      <c r="Z856" s="523">
        <v>9</v>
      </c>
      <c r="AA856" s="523" t="s">
        <v>274</v>
      </c>
      <c r="AB856" s="523">
        <v>4</v>
      </c>
      <c r="AC856" s="523">
        <v>4</v>
      </c>
      <c r="AD856" s="523" t="s">
        <v>1632</v>
      </c>
    </row>
    <row r="857" spans="1:31">
      <c r="C857" s="527">
        <v>799</v>
      </c>
      <c r="D857" s="527">
        <v>31</v>
      </c>
      <c r="E857" s="553" t="s">
        <v>3204</v>
      </c>
      <c r="F857" s="527">
        <v>70</v>
      </c>
      <c r="G857" s="527"/>
      <c r="H857" s="527">
        <v>66</v>
      </c>
      <c r="I857" s="527">
        <v>0</v>
      </c>
      <c r="J857" s="527">
        <v>0</v>
      </c>
      <c r="K857" s="527"/>
      <c r="L857" s="797">
        <f>[1]!tsabetm(C857)</f>
        <v>22.416666666666664</v>
      </c>
      <c r="M857" s="797">
        <f>[1]!tsabetz(C857)</f>
        <v>40.116666666666667</v>
      </c>
      <c r="N857" s="797">
        <f t="shared" si="72"/>
        <v>98.135593220338961</v>
      </c>
      <c r="O857" s="797">
        <f t="shared" si="73"/>
        <v>1445.0028169014086</v>
      </c>
      <c r="P857" s="797">
        <f t="shared" si="74"/>
        <v>6.2245201780632442</v>
      </c>
      <c r="Q857" s="797">
        <f t="shared" si="75"/>
        <v>42</v>
      </c>
      <c r="R857" s="797">
        <f t="shared" si="76"/>
        <v>42.103742002967721</v>
      </c>
      <c r="S857" s="797">
        <f>[1]!taqsabet(O857,C857)</f>
        <v>42.102598691496894</v>
      </c>
      <c r="T857" s="527"/>
      <c r="U857" s="527">
        <v>1</v>
      </c>
      <c r="V857" s="527">
        <v>10</v>
      </c>
      <c r="W857" s="527">
        <v>7</v>
      </c>
      <c r="X857" s="527"/>
      <c r="Y857" s="527">
        <v>54</v>
      </c>
      <c r="Z857" s="527">
        <v>3</v>
      </c>
      <c r="AA857" s="527" t="s">
        <v>274</v>
      </c>
      <c r="AB857" s="527">
        <v>4</v>
      </c>
      <c r="AC857" s="527">
        <v>4</v>
      </c>
      <c r="AD857" s="527" t="s">
        <v>1632</v>
      </c>
    </row>
    <row r="858" spans="1:31">
      <c r="C858" s="523">
        <v>800</v>
      </c>
      <c r="D858" s="523">
        <v>32</v>
      </c>
      <c r="E858" s="543" t="s">
        <v>2612</v>
      </c>
      <c r="F858" s="523">
        <v>70</v>
      </c>
      <c r="G858" s="523"/>
      <c r="H858" s="523">
        <v>66</v>
      </c>
      <c r="I858" s="523">
        <v>0</v>
      </c>
      <c r="J858" s="523">
        <v>0</v>
      </c>
      <c r="K858" s="523" t="s">
        <v>3862</v>
      </c>
      <c r="L858" s="797">
        <f>[1]!tsabetm(C858)</f>
        <v>14.416666666666668</v>
      </c>
      <c r="M858" s="797">
        <f>[1]!tsabetz(C858)</f>
        <v>38.766666666666666</v>
      </c>
      <c r="N858" s="797">
        <f t="shared" si="72"/>
        <v>71.334702258726907</v>
      </c>
      <c r="O858" s="797">
        <f t="shared" si="73"/>
        <v>1445.0028169014086</v>
      </c>
      <c r="P858" s="797">
        <f t="shared" si="74"/>
        <v>30.017913352307204</v>
      </c>
      <c r="Q858" s="797">
        <f t="shared" si="75"/>
        <v>41</v>
      </c>
      <c r="R858" s="797">
        <f t="shared" si="76"/>
        <v>41.500298555871787</v>
      </c>
      <c r="S858" s="797">
        <f>[1]!taqsabet(O858,C858)</f>
        <v>41.498725695176041</v>
      </c>
      <c r="T858" s="523"/>
      <c r="U858" s="551">
        <v>6</v>
      </c>
      <c r="V858" s="523">
        <v>8</v>
      </c>
      <c r="W858" s="523">
        <v>46</v>
      </c>
      <c r="X858" s="523"/>
      <c r="Y858" s="523">
        <v>55</v>
      </c>
      <c r="Z858" s="523">
        <v>39</v>
      </c>
      <c r="AA858" s="523" t="s">
        <v>274</v>
      </c>
      <c r="AB858" s="523">
        <v>4</v>
      </c>
      <c r="AC858" s="523">
        <v>4</v>
      </c>
      <c r="AD858" s="523" t="s">
        <v>1632</v>
      </c>
    </row>
    <row r="859" spans="1:31">
      <c r="C859" s="527">
        <v>801</v>
      </c>
      <c r="D859" s="527">
        <v>33</v>
      </c>
      <c r="E859" s="553" t="s">
        <v>3186</v>
      </c>
      <c r="F859" s="527">
        <v>70</v>
      </c>
      <c r="G859" s="527"/>
      <c r="H859" s="527">
        <v>66</v>
      </c>
      <c r="I859" s="527">
        <v>0</v>
      </c>
      <c r="J859" s="527">
        <v>0</v>
      </c>
      <c r="K859" s="527"/>
      <c r="L859" s="797">
        <f>[1]!tsabetm(C859)</f>
        <v>11.416666666666668</v>
      </c>
      <c r="M859" s="797">
        <f>[1]!tsabetz(C859)</f>
        <v>36.516666666666666</v>
      </c>
      <c r="N859" s="797">
        <f t="shared" si="72"/>
        <v>69.203187250996024</v>
      </c>
      <c r="O859" s="797">
        <f t="shared" si="73"/>
        <v>1445.0028169014086</v>
      </c>
      <c r="P859" s="797">
        <f t="shared" si="74"/>
        <v>20.069799800530319</v>
      </c>
      <c r="Q859" s="797">
        <f t="shared" si="75"/>
        <v>39</v>
      </c>
      <c r="R859" s="797">
        <f t="shared" si="76"/>
        <v>39.334496663342172</v>
      </c>
      <c r="S859" s="797">
        <f>[1]!taqsabet(O859,C859)</f>
        <v>39.332875357245122</v>
      </c>
      <c r="T859" s="527"/>
      <c r="U859" s="527">
        <v>1</v>
      </c>
      <c r="V859" s="527">
        <v>6</v>
      </c>
      <c r="W859" s="527">
        <v>31</v>
      </c>
      <c r="X859" s="527"/>
      <c r="Y859" s="527">
        <v>55</v>
      </c>
      <c r="Z859" s="527">
        <v>0</v>
      </c>
      <c r="AA859" s="527" t="s">
        <v>274</v>
      </c>
      <c r="AB859" s="527">
        <v>4</v>
      </c>
      <c r="AC859" s="527">
        <v>4</v>
      </c>
      <c r="AD859" s="527" t="s">
        <v>1632</v>
      </c>
    </row>
    <row r="860" spans="1:31">
      <c r="C860" s="523">
        <v>802</v>
      </c>
      <c r="D860" s="523">
        <v>34</v>
      </c>
      <c r="E860" s="543" t="s">
        <v>3205</v>
      </c>
      <c r="F860" s="523">
        <v>70</v>
      </c>
      <c r="G860" s="523"/>
      <c r="H860" s="523">
        <v>68</v>
      </c>
      <c r="I860" s="523">
        <v>3</v>
      </c>
      <c r="J860" s="523">
        <v>21</v>
      </c>
      <c r="K860" s="523" t="s">
        <v>3206</v>
      </c>
      <c r="L860" s="797">
        <f>[1]!tsabetm(C860)</f>
        <v>359.75</v>
      </c>
      <c r="M860" s="797">
        <f>[1]!tsabetz(C860)</f>
        <v>25.766666666666666</v>
      </c>
      <c r="N860" s="797">
        <f t="shared" si="72"/>
        <v>66.764894298526627</v>
      </c>
      <c r="O860" s="797">
        <f t="shared" si="73"/>
        <v>1445.0028169014086</v>
      </c>
      <c r="P860" s="797">
        <f t="shared" si="74"/>
        <v>41.244327681691715</v>
      </c>
      <c r="Q860" s="797">
        <f t="shared" si="75"/>
        <v>28</v>
      </c>
      <c r="R860" s="797">
        <f t="shared" si="76"/>
        <v>28.687405461361529</v>
      </c>
      <c r="S860" s="797">
        <f>[1]!taqsabet(O860,C860)</f>
        <v>28.685724944218439</v>
      </c>
      <c r="T860" s="523"/>
      <c r="U860" s="523">
        <v>0</v>
      </c>
      <c r="V860" s="523">
        <v>25</v>
      </c>
      <c r="W860" s="523">
        <v>46</v>
      </c>
      <c r="X860" s="523"/>
      <c r="Y860" s="523">
        <v>53</v>
      </c>
      <c r="Z860" s="523">
        <v>45</v>
      </c>
      <c r="AA860" s="523" t="s">
        <v>274</v>
      </c>
      <c r="AB860" s="523">
        <v>1</v>
      </c>
      <c r="AC860" s="523">
        <v>1</v>
      </c>
      <c r="AD860" s="523" t="s">
        <v>1632</v>
      </c>
      <c r="AE860" s="327">
        <v>607</v>
      </c>
    </row>
    <row r="861" spans="1:31">
      <c r="C861" s="546"/>
      <c r="D861" s="546"/>
      <c r="E861" s="546"/>
      <c r="F861" s="546"/>
      <c r="G861" s="546"/>
      <c r="H861" s="546"/>
      <c r="I861" s="546"/>
      <c r="J861" s="546"/>
      <c r="K861" s="546"/>
      <c r="N861" s="797">
        <f t="shared" si="72"/>
        <v>4.8250000000000002</v>
      </c>
      <c r="O861" s="797">
        <f t="shared" si="73"/>
        <v>1445.0028169014086</v>
      </c>
      <c r="P861" s="797">
        <f t="shared" si="74"/>
        <v>24.905495147049237</v>
      </c>
      <c r="Q861" s="797">
        <f t="shared" si="75"/>
        <v>40</v>
      </c>
      <c r="R861" s="797">
        <f t="shared" si="76"/>
        <v>40.415091585784154</v>
      </c>
      <c r="S861" s="797">
        <f>[1]!taqsabet(O861,C861)</f>
        <v>1.4716840899636423</v>
      </c>
      <c r="T861" s="546"/>
      <c r="U861" s="546"/>
      <c r="V861" s="546"/>
      <c r="W861" s="546"/>
      <c r="X861" s="546"/>
      <c r="Y861" s="546"/>
      <c r="Z861" s="546"/>
      <c r="AA861" s="546"/>
      <c r="AB861" s="546"/>
      <c r="AC861" s="546"/>
      <c r="AD861" s="546"/>
    </row>
    <row r="862" spans="1:31">
      <c r="A862" s="567">
        <v>4</v>
      </c>
      <c r="B862" s="536" t="s">
        <v>3207</v>
      </c>
      <c r="C862" s="522">
        <v>803</v>
      </c>
      <c r="D862" s="522">
        <v>1</v>
      </c>
      <c r="E862" s="550" t="s">
        <v>3208</v>
      </c>
      <c r="F862" s="522">
        <v>70</v>
      </c>
      <c r="G862" s="522"/>
      <c r="H862" s="522">
        <v>66</v>
      </c>
      <c r="I862" s="522">
        <v>0</v>
      </c>
      <c r="J862" s="522">
        <v>0</v>
      </c>
      <c r="K862" s="522"/>
      <c r="L862" s="797">
        <f>[1]!tsabetm(C862)</f>
        <v>49.25</v>
      </c>
      <c r="M862" s="797">
        <f>[1]!tsabetz(C862)</f>
        <v>73.766666666666666</v>
      </c>
      <c r="N862" s="797">
        <f t="shared" si="72"/>
        <v>70.849762066621352</v>
      </c>
      <c r="O862" s="797">
        <f t="shared" si="73"/>
        <v>1445.0028169014086</v>
      </c>
      <c r="P862" s="797">
        <f t="shared" si="74"/>
        <v>31.140554785245911</v>
      </c>
      <c r="Q862" s="797">
        <f t="shared" si="75"/>
        <v>76</v>
      </c>
      <c r="R862" s="797">
        <f t="shared" si="76"/>
        <v>76.519009246420765</v>
      </c>
      <c r="S862" s="797">
        <f>[1]!taqsabet(O862,C862)</f>
        <v>76.517425620080289</v>
      </c>
      <c r="T862" s="522"/>
      <c r="U862" s="522">
        <v>2</v>
      </c>
      <c r="V862" s="522">
        <v>13</v>
      </c>
      <c r="W862" s="522">
        <v>46</v>
      </c>
      <c r="X862" s="522"/>
      <c r="Y862" s="522">
        <v>35</v>
      </c>
      <c r="Z862" s="522">
        <v>0</v>
      </c>
      <c r="AA862" s="522" t="s">
        <v>274</v>
      </c>
      <c r="AB862" s="522">
        <v>5</v>
      </c>
      <c r="AC862" s="522">
        <v>5</v>
      </c>
      <c r="AD862" s="522" t="s">
        <v>1632</v>
      </c>
    </row>
    <row r="863" spans="1:31">
      <c r="C863" s="523">
        <v>804</v>
      </c>
      <c r="D863" s="523">
        <v>2</v>
      </c>
      <c r="E863" s="543" t="s">
        <v>3209</v>
      </c>
      <c r="F863" s="523">
        <v>70</v>
      </c>
      <c r="G863" s="523"/>
      <c r="H863" s="523">
        <v>66</v>
      </c>
      <c r="I863" s="523">
        <v>0</v>
      </c>
      <c r="J863" s="523">
        <v>0</v>
      </c>
      <c r="K863" s="523"/>
      <c r="L863" s="797">
        <f>[1]!tsabetm(C863)</f>
        <v>49.416666666666664</v>
      </c>
      <c r="M863" s="797">
        <f>[1]!tsabetz(C863)</f>
        <v>73.61666666666666</v>
      </c>
      <c r="N863" s="797">
        <f t="shared" si="72"/>
        <v>71.776859504132247</v>
      </c>
      <c r="O863" s="797">
        <f t="shared" si="73"/>
        <v>1445.0028169014086</v>
      </c>
      <c r="P863" s="797">
        <f t="shared" si="74"/>
        <v>20.007536062662155</v>
      </c>
      <c r="Q863" s="797">
        <f t="shared" si="75"/>
        <v>76</v>
      </c>
      <c r="R863" s="797">
        <f t="shared" si="76"/>
        <v>76.333458934377703</v>
      </c>
      <c r="S863" s="797">
        <f>[1]!taqsabet(O863,C863)</f>
        <v>76.331895762762215</v>
      </c>
      <c r="T863" s="523"/>
      <c r="U863" s="523">
        <v>2</v>
      </c>
      <c r="V863" s="523">
        <v>13</v>
      </c>
      <c r="W863" s="523">
        <v>37</v>
      </c>
      <c r="X863" s="523"/>
      <c r="Y863" s="523">
        <v>36</v>
      </c>
      <c r="Z863" s="523">
        <v>0</v>
      </c>
      <c r="AA863" s="523" t="s">
        <v>274</v>
      </c>
      <c r="AB863" s="523">
        <v>5</v>
      </c>
      <c r="AC863" s="523">
        <v>5</v>
      </c>
      <c r="AD863" s="523" t="s">
        <v>1632</v>
      </c>
    </row>
    <row r="864" spans="1:31">
      <c r="C864" s="522">
        <v>805</v>
      </c>
      <c r="D864" s="522">
        <v>3</v>
      </c>
      <c r="E864" s="550" t="s">
        <v>3210</v>
      </c>
      <c r="F864" s="522">
        <v>70</v>
      </c>
      <c r="G864" s="522"/>
      <c r="H864" s="522">
        <v>66</v>
      </c>
      <c r="I864" s="522">
        <v>0</v>
      </c>
      <c r="J864" s="522">
        <v>0</v>
      </c>
      <c r="K864" s="522"/>
      <c r="L864" s="797">
        <f>[1]!tsabetm(C864)</f>
        <v>50.916666666666664</v>
      </c>
      <c r="M864" s="797">
        <f>[1]!tsabetz(C864)</f>
        <v>76.016666666666666</v>
      </c>
      <c r="N864" s="797">
        <f t="shared" si="72"/>
        <v>69.20318725099601</v>
      </c>
      <c r="O864" s="797">
        <f t="shared" si="73"/>
        <v>1445.0028169014086</v>
      </c>
      <c r="P864" s="797">
        <f t="shared" si="74"/>
        <v>50.069799800530745</v>
      </c>
      <c r="Q864" s="797">
        <f t="shared" si="75"/>
        <v>78</v>
      </c>
      <c r="R864" s="797">
        <f t="shared" si="76"/>
        <v>78.834496663342179</v>
      </c>
      <c r="S864" s="797">
        <f>[1]!taqsabet(O864,C864)</f>
        <v>78.832875357245115</v>
      </c>
      <c r="T864" s="522"/>
      <c r="U864" s="522">
        <v>2</v>
      </c>
      <c r="V864" s="522">
        <v>16</v>
      </c>
      <c r="W864" s="522">
        <v>1</v>
      </c>
      <c r="X864" s="522"/>
      <c r="Y864" s="522">
        <v>35</v>
      </c>
      <c r="Z864" s="522">
        <v>30</v>
      </c>
      <c r="AA864" s="522" t="s">
        <v>274</v>
      </c>
      <c r="AB864" s="522">
        <v>5</v>
      </c>
      <c r="AC864" s="522">
        <v>5</v>
      </c>
      <c r="AD864" s="522" t="s">
        <v>1632</v>
      </c>
    </row>
    <row r="865" spans="1:30">
      <c r="C865" s="523">
        <v>806</v>
      </c>
      <c r="D865" s="523">
        <v>4</v>
      </c>
      <c r="E865" s="543" t="s">
        <v>2445</v>
      </c>
      <c r="F865" s="523">
        <v>70</v>
      </c>
      <c r="G865" s="523"/>
      <c r="H865" s="523">
        <v>66</v>
      </c>
      <c r="I865" s="523">
        <v>0</v>
      </c>
      <c r="J865" s="523">
        <v>0</v>
      </c>
      <c r="K865" s="523"/>
      <c r="L865" s="797">
        <f>[1]!tsabetm(C865)</f>
        <v>50.916666666666664</v>
      </c>
      <c r="M865" s="797">
        <f>[1]!tsabetz(C865)</f>
        <v>75.816666666666663</v>
      </c>
      <c r="N865" s="797">
        <f t="shared" si="72"/>
        <v>69.759036144578317</v>
      </c>
      <c r="O865" s="797">
        <f t="shared" si="73"/>
        <v>1445.0028169014086</v>
      </c>
      <c r="P865" s="797">
        <f t="shared" si="74"/>
        <v>36.722630081004297</v>
      </c>
      <c r="Q865" s="797">
        <f t="shared" si="75"/>
        <v>78</v>
      </c>
      <c r="R865" s="797">
        <f t="shared" si="76"/>
        <v>78.612043834683405</v>
      </c>
      <c r="S865" s="797">
        <f>[1]!taqsabet(O865,C865)</f>
        <v>78.610435447360032</v>
      </c>
      <c r="T865" s="523"/>
      <c r="U865" s="523">
        <v>2</v>
      </c>
      <c r="V865" s="523">
        <v>15</v>
      </c>
      <c r="W865" s="523">
        <v>49</v>
      </c>
      <c r="X865" s="523"/>
      <c r="Y865" s="523">
        <v>35</v>
      </c>
      <c r="Z865" s="523">
        <v>18</v>
      </c>
      <c r="AA865" s="523" t="s">
        <v>274</v>
      </c>
      <c r="AB865" s="523">
        <v>5</v>
      </c>
      <c r="AC865" s="523">
        <v>5</v>
      </c>
      <c r="AD865" s="523" t="s">
        <v>1632</v>
      </c>
    </row>
    <row r="866" spans="1:30">
      <c r="C866" s="522">
        <v>807</v>
      </c>
      <c r="D866" s="522">
        <v>5</v>
      </c>
      <c r="E866" s="550" t="s">
        <v>3211</v>
      </c>
      <c r="F866" s="522">
        <v>70</v>
      </c>
      <c r="G866" s="522"/>
      <c r="H866" s="522">
        <v>66</v>
      </c>
      <c r="I866" s="522">
        <v>0</v>
      </c>
      <c r="J866" s="522">
        <v>0</v>
      </c>
      <c r="K866" s="522"/>
      <c r="L866" s="797">
        <f>[1]!tsabetm(C866)</f>
        <v>48.75</v>
      </c>
      <c r="M866" s="797">
        <f>[1]!tsabetz(C866)</f>
        <v>73.266666666666666</v>
      </c>
      <c r="N866" s="797">
        <f t="shared" si="72"/>
        <v>70.849762066621352</v>
      </c>
      <c r="O866" s="797">
        <f t="shared" si="73"/>
        <v>1445.0028169014086</v>
      </c>
      <c r="P866" s="797">
        <f t="shared" si="74"/>
        <v>1.1405547852459108</v>
      </c>
      <c r="Q866" s="797">
        <f t="shared" si="75"/>
        <v>76</v>
      </c>
      <c r="R866" s="797">
        <f t="shared" si="76"/>
        <v>76.019009246420765</v>
      </c>
      <c r="S866" s="797">
        <f>[1]!taqsabet(O866,C866)</f>
        <v>76.017425620080289</v>
      </c>
      <c r="T866" s="522"/>
      <c r="U866" s="522">
        <v>2</v>
      </c>
      <c r="V866" s="522">
        <v>13</v>
      </c>
      <c r="W866" s="522">
        <v>16</v>
      </c>
      <c r="X866" s="522"/>
      <c r="Y866" s="522">
        <v>39</v>
      </c>
      <c r="Z866" s="522">
        <v>30</v>
      </c>
      <c r="AA866" s="522" t="s">
        <v>274</v>
      </c>
      <c r="AB866" s="522">
        <v>4</v>
      </c>
      <c r="AC866" s="522">
        <v>4</v>
      </c>
      <c r="AD866" s="522" t="s">
        <v>1632</v>
      </c>
    </row>
    <row r="867" spans="1:30">
      <c r="C867" s="523">
        <v>808</v>
      </c>
      <c r="D867" s="523">
        <v>6</v>
      </c>
      <c r="E867" s="543" t="s">
        <v>3212</v>
      </c>
      <c r="F867" s="523">
        <v>70</v>
      </c>
      <c r="G867" s="523"/>
      <c r="H867" s="523">
        <v>66</v>
      </c>
      <c r="I867" s="523">
        <v>0</v>
      </c>
      <c r="J867" s="523">
        <v>0</v>
      </c>
      <c r="K867" s="523"/>
      <c r="L867" s="797">
        <f>[1]!tsabetm(C867)</f>
        <v>45.75</v>
      </c>
      <c r="M867" s="797">
        <f>[1]!tsabetz(C867)</f>
        <v>70.266666666666666</v>
      </c>
      <c r="N867" s="797">
        <f t="shared" si="72"/>
        <v>70.849762066621352</v>
      </c>
      <c r="O867" s="797">
        <f t="shared" si="73"/>
        <v>1445.0028169014086</v>
      </c>
      <c r="P867" s="797">
        <f t="shared" si="74"/>
        <v>1.1405547852459108</v>
      </c>
      <c r="Q867" s="797">
        <f t="shared" si="75"/>
        <v>73</v>
      </c>
      <c r="R867" s="797">
        <f t="shared" si="76"/>
        <v>73.019009246420765</v>
      </c>
      <c r="S867" s="797">
        <f>[1]!taqsabet(O867,C867)</f>
        <v>73.017425620080289</v>
      </c>
      <c r="T867" s="523"/>
      <c r="U867" s="523">
        <v>2</v>
      </c>
      <c r="V867" s="523">
        <v>10</v>
      </c>
      <c r="W867" s="523">
        <v>16</v>
      </c>
      <c r="X867" s="523"/>
      <c r="Y867" s="523">
        <v>45</v>
      </c>
      <c r="Z867" s="523">
        <v>30</v>
      </c>
      <c r="AA867" s="523" t="s">
        <v>274</v>
      </c>
      <c r="AB867" s="523">
        <v>4</v>
      </c>
      <c r="AC867" s="523">
        <v>4</v>
      </c>
      <c r="AD867" s="523" t="s">
        <v>1632</v>
      </c>
    </row>
    <row r="868" spans="1:30">
      <c r="C868" s="522">
        <v>809</v>
      </c>
      <c r="D868" s="522">
        <v>7</v>
      </c>
      <c r="E868" s="550" t="s">
        <v>3213</v>
      </c>
      <c r="F868" s="522">
        <v>70</v>
      </c>
      <c r="G868" s="522"/>
      <c r="H868" s="522">
        <v>66</v>
      </c>
      <c r="I868" s="522">
        <v>0</v>
      </c>
      <c r="J868" s="522">
        <v>0</v>
      </c>
      <c r="K868" s="569" t="s">
        <v>3214</v>
      </c>
      <c r="L868" s="797">
        <f>[1]!tsabetm(C868)</f>
        <v>55.416666666666664</v>
      </c>
      <c r="M868" s="797">
        <f>[1]!tsabetz(C868)</f>
        <v>68.166666666666671</v>
      </c>
      <c r="N868" s="797">
        <f t="shared" si="72"/>
        <v>136.23529411764699</v>
      </c>
      <c r="O868" s="797">
        <f t="shared" si="73"/>
        <v>1445.0028169014086</v>
      </c>
      <c r="P868" s="797">
        <f t="shared" si="74"/>
        <v>35.882069619791537</v>
      </c>
      <c r="Q868" s="797">
        <f t="shared" si="75"/>
        <v>69</v>
      </c>
      <c r="R868" s="797">
        <f t="shared" si="76"/>
        <v>69.598034493663192</v>
      </c>
      <c r="S868" s="797">
        <f>[1]!taqsabet(O868,C868)</f>
        <v>69.597210921840983</v>
      </c>
      <c r="T868" s="522"/>
      <c r="U868" s="522">
        <v>2</v>
      </c>
      <c r="V868" s="522">
        <v>8</v>
      </c>
      <c r="W868" s="522">
        <v>10</v>
      </c>
      <c r="X868" s="522"/>
      <c r="Y868" s="522">
        <v>41</v>
      </c>
      <c r="Z868" s="522">
        <v>18</v>
      </c>
      <c r="AA868" s="522" t="s">
        <v>274</v>
      </c>
      <c r="AB868" s="522">
        <v>3</v>
      </c>
      <c r="AC868" s="522">
        <v>3</v>
      </c>
      <c r="AD868" s="522" t="s">
        <v>1632</v>
      </c>
    </row>
    <row r="869" spans="1:30">
      <c r="C869" s="523">
        <v>810</v>
      </c>
      <c r="D869" s="523">
        <v>8</v>
      </c>
      <c r="E869" s="543" t="s">
        <v>3215</v>
      </c>
      <c r="F869" s="523">
        <v>70</v>
      </c>
      <c r="G869" s="523"/>
      <c r="H869" s="523">
        <v>66</v>
      </c>
      <c r="I869" s="523">
        <v>0</v>
      </c>
      <c r="J869" s="523">
        <v>0</v>
      </c>
      <c r="K869" s="523"/>
      <c r="L869" s="797">
        <f>[1]!tsabetm(C869)</f>
        <v>53.916666666666664</v>
      </c>
      <c r="M869" s="797">
        <f>[1]!tsabetz(C869)</f>
        <v>77.766666666666666</v>
      </c>
      <c r="N869" s="797">
        <f t="shared" si="72"/>
        <v>72.830188679245282</v>
      </c>
      <c r="O869" s="797">
        <f t="shared" si="73"/>
        <v>1445.0028169014086</v>
      </c>
      <c r="P869" s="797">
        <f t="shared" si="74"/>
        <v>26.649989053491936</v>
      </c>
      <c r="Q869" s="797">
        <f t="shared" si="75"/>
        <v>80</v>
      </c>
      <c r="R869" s="797">
        <f t="shared" si="76"/>
        <v>80.444166484224866</v>
      </c>
      <c r="S869" s="797">
        <f>[1]!taqsabet(O869,C869)</f>
        <v>80.442625920463328</v>
      </c>
      <c r="T869" s="523"/>
      <c r="U869" s="523">
        <v>2</v>
      </c>
      <c r="V869" s="523">
        <v>17</v>
      </c>
      <c r="W869" s="523">
        <v>46</v>
      </c>
      <c r="X869" s="523"/>
      <c r="Y869" s="523">
        <v>44</v>
      </c>
      <c r="Z869" s="523">
        <v>12</v>
      </c>
      <c r="AA869" s="523" t="s">
        <v>274</v>
      </c>
      <c r="AB869" s="523">
        <v>3</v>
      </c>
      <c r="AC869" s="523">
        <v>3</v>
      </c>
      <c r="AD869" s="523" t="s">
        <v>1632</v>
      </c>
    </row>
    <row r="870" spans="1:30">
      <c r="C870" s="522">
        <v>811</v>
      </c>
      <c r="D870" s="522">
        <v>9</v>
      </c>
      <c r="E870" s="550" t="s">
        <v>3216</v>
      </c>
      <c r="F870" s="522">
        <v>70</v>
      </c>
      <c r="G870" s="522"/>
      <c r="H870" s="522">
        <v>66</v>
      </c>
      <c r="I870" s="522">
        <v>0</v>
      </c>
      <c r="J870" s="522">
        <v>0</v>
      </c>
      <c r="K870" s="522"/>
      <c r="L870" s="797">
        <f>[1]!tsabetm(C870)</f>
        <v>60.583333333333336</v>
      </c>
      <c r="M870" s="797">
        <f>[1]!tsabetz(C870)</f>
        <v>85.266666666666666</v>
      </c>
      <c r="N870" s="797">
        <f t="shared" si="72"/>
        <v>70.371370695476045</v>
      </c>
      <c r="O870" s="797">
        <f t="shared" si="73"/>
        <v>1445.0028169014086</v>
      </c>
      <c r="P870" s="797">
        <f t="shared" si="74"/>
        <v>2.2631962181841914</v>
      </c>
      <c r="Q870" s="797">
        <f t="shared" si="75"/>
        <v>88</v>
      </c>
      <c r="R870" s="797">
        <f t="shared" si="76"/>
        <v>88.037719936969737</v>
      </c>
      <c r="S870" s="797">
        <f>[1]!taqsabet(O870,C870)</f>
        <v>88.036125544984529</v>
      </c>
      <c r="T870" s="522"/>
      <c r="U870" s="522">
        <v>2</v>
      </c>
      <c r="V870" s="522">
        <v>25</v>
      </c>
      <c r="W870" s="522">
        <v>16</v>
      </c>
      <c r="X870" s="522"/>
      <c r="Y870" s="522">
        <v>44</v>
      </c>
      <c r="Z870" s="522">
        <v>9</v>
      </c>
      <c r="AA870" s="522" t="s">
        <v>274</v>
      </c>
      <c r="AB870" s="522">
        <v>4</v>
      </c>
      <c r="AC870" s="522">
        <v>4</v>
      </c>
      <c r="AD870" s="522" t="s">
        <v>1632</v>
      </c>
    </row>
    <row r="871" spans="1:30">
      <c r="C871" s="523">
        <v>812</v>
      </c>
      <c r="D871" s="523">
        <v>10</v>
      </c>
      <c r="E871" s="543" t="s">
        <v>2718</v>
      </c>
      <c r="F871" s="523">
        <v>70</v>
      </c>
      <c r="G871" s="523"/>
      <c r="H871" s="523">
        <v>66</v>
      </c>
      <c r="I871" s="523">
        <v>0</v>
      </c>
      <c r="J871" s="523">
        <v>0</v>
      </c>
      <c r="K871" s="523"/>
      <c r="L871" s="797">
        <f>[1]!tsabetm(C871)</f>
        <v>58.583333333333336</v>
      </c>
      <c r="M871" s="797">
        <f>[1]!tsabetz(C871)</f>
        <v>82.816666666666663</v>
      </c>
      <c r="N871" s="797">
        <f t="shared" si="72"/>
        <v>71.678129298486951</v>
      </c>
      <c r="O871" s="797">
        <f t="shared" si="73"/>
        <v>1445.0028169014086</v>
      </c>
      <c r="P871" s="797">
        <f t="shared" si="74"/>
        <v>32.232064349250322</v>
      </c>
      <c r="Q871" s="797">
        <f t="shared" si="75"/>
        <v>85</v>
      </c>
      <c r="R871" s="797">
        <f t="shared" si="76"/>
        <v>85.537201072487505</v>
      </c>
      <c r="S871" s="797">
        <f>[1]!taqsabet(O871,C871)</f>
        <v>85.535635747743072</v>
      </c>
      <c r="T871" s="523"/>
      <c r="U871" s="523">
        <v>2</v>
      </c>
      <c r="V871" s="523">
        <v>22</v>
      </c>
      <c r="W871" s="523">
        <v>49</v>
      </c>
      <c r="X871" s="523"/>
      <c r="Y871" s="523">
        <v>46</v>
      </c>
      <c r="Z871" s="523">
        <v>9</v>
      </c>
      <c r="AA871" s="523" t="s">
        <v>274</v>
      </c>
      <c r="AB871" s="523">
        <v>4</v>
      </c>
      <c r="AC871" s="523">
        <v>4</v>
      </c>
      <c r="AD871" s="523" t="s">
        <v>1632</v>
      </c>
    </row>
    <row r="872" spans="1:30">
      <c r="C872" s="522">
        <v>813</v>
      </c>
      <c r="D872" s="522">
        <v>11</v>
      </c>
      <c r="E872" s="550" t="s">
        <v>3217</v>
      </c>
      <c r="F872" s="522">
        <v>70</v>
      </c>
      <c r="G872" s="522"/>
      <c r="H872" s="522">
        <v>66</v>
      </c>
      <c r="I872" s="522">
        <v>0</v>
      </c>
      <c r="J872" s="522">
        <v>0</v>
      </c>
      <c r="K872" s="522"/>
      <c r="L872" s="797">
        <f>[1]!tsabetm(C872)</f>
        <v>59.583333333333336</v>
      </c>
      <c r="M872" s="797">
        <f>[1]!tsabetz(C872)</f>
        <v>84.066666666666663</v>
      </c>
      <c r="N872" s="797">
        <f t="shared" si="72"/>
        <v>70.946221919673263</v>
      </c>
      <c r="O872" s="797">
        <f t="shared" si="73"/>
        <v>1445.0028169014086</v>
      </c>
      <c r="P872" s="797">
        <f t="shared" si="74"/>
        <v>48.916026498657743</v>
      </c>
      <c r="Q872" s="797">
        <f t="shared" si="75"/>
        <v>86</v>
      </c>
      <c r="R872" s="797">
        <f t="shared" si="76"/>
        <v>86.815267108310962</v>
      </c>
      <c r="S872" s="797">
        <f>[1]!taqsabet(O872,C872)</f>
        <v>86.813685635099432</v>
      </c>
      <c r="T872" s="522"/>
      <c r="U872" s="522">
        <v>2</v>
      </c>
      <c r="V872" s="522">
        <v>24</v>
      </c>
      <c r="W872" s="522">
        <v>4</v>
      </c>
      <c r="X872" s="522"/>
      <c r="Y872" s="522">
        <v>38</v>
      </c>
      <c r="Z872" s="522">
        <v>30</v>
      </c>
      <c r="AA872" s="522" t="s">
        <v>274</v>
      </c>
      <c r="AB872" s="522">
        <v>4</v>
      </c>
      <c r="AC872" s="522">
        <v>4</v>
      </c>
      <c r="AD872" s="522" t="s">
        <v>1632</v>
      </c>
    </row>
    <row r="873" spans="1:30">
      <c r="C873" s="523">
        <v>814</v>
      </c>
      <c r="D873" s="523">
        <v>12</v>
      </c>
      <c r="E873" s="543" t="s">
        <v>3218</v>
      </c>
      <c r="F873" s="523">
        <v>70</v>
      </c>
      <c r="G873" s="523"/>
      <c r="H873" s="523">
        <v>66</v>
      </c>
      <c r="I873" s="523">
        <v>0</v>
      </c>
      <c r="J873" s="523">
        <v>0</v>
      </c>
      <c r="K873" s="523"/>
      <c r="L873" s="797">
        <f>[1]!tsabetm(C873)</f>
        <v>62.249999999999993</v>
      </c>
      <c r="M873" s="797">
        <f>[1]!tsabetz(C873)</f>
        <v>86.666666666666671</v>
      </c>
      <c r="N873" s="797">
        <f t="shared" si="72"/>
        <v>71.139931740614301</v>
      </c>
      <c r="O873" s="797">
        <f t="shared" si="73"/>
        <v>1445.0028169014086</v>
      </c>
      <c r="P873" s="797">
        <f t="shared" si="74"/>
        <v>24.466969925483113</v>
      </c>
      <c r="Q873" s="797">
        <f t="shared" si="75"/>
        <v>89</v>
      </c>
      <c r="R873" s="797">
        <f t="shared" si="76"/>
        <v>89.407782832091385</v>
      </c>
      <c r="S873" s="797">
        <f>[1]!taqsabet(O873,C873)</f>
        <v>89.406205665137747</v>
      </c>
      <c r="T873" s="523"/>
      <c r="U873" s="523">
        <v>2</v>
      </c>
      <c r="V873" s="523">
        <v>26</v>
      </c>
      <c r="W873" s="523">
        <v>40</v>
      </c>
      <c r="X873" s="523"/>
      <c r="Y873" s="523">
        <v>38</v>
      </c>
      <c r="Z873" s="523">
        <v>0</v>
      </c>
      <c r="AA873" s="523" t="s">
        <v>274</v>
      </c>
      <c r="AB873" s="523">
        <v>4</v>
      </c>
      <c r="AC873" s="523">
        <v>4</v>
      </c>
      <c r="AD873" s="523" t="s">
        <v>1632</v>
      </c>
    </row>
    <row r="874" spans="1:30">
      <c r="B874" s="505" t="s">
        <v>2355</v>
      </c>
      <c r="C874" s="506" t="s">
        <v>2356</v>
      </c>
      <c r="D874" s="507" t="s">
        <v>2357</v>
      </c>
      <c r="E874" s="511" t="s">
        <v>2358</v>
      </c>
      <c r="F874" s="511"/>
      <c r="G874" s="511"/>
      <c r="H874" s="511"/>
      <c r="I874" s="511"/>
      <c r="J874" s="511"/>
      <c r="K874" s="514" t="s">
        <v>2360</v>
      </c>
      <c r="N874" s="797">
        <f t="shared" si="72"/>
        <v>4.8250000000000002</v>
      </c>
      <c r="O874" s="797">
        <f t="shared" si="73"/>
        <v>1445.0028169014086</v>
      </c>
      <c r="P874" s="797">
        <f t="shared" si="74"/>
        <v>24.905495147049237</v>
      </c>
      <c r="Q874" s="797">
        <f t="shared" si="75"/>
        <v>40</v>
      </c>
      <c r="R874" s="797">
        <f t="shared" si="76"/>
        <v>40.415091585784154</v>
      </c>
      <c r="S874" s="797" t="e">
        <f>[1]!taqsabet(O874,C874)</f>
        <v>#VALUE!</v>
      </c>
      <c r="T874" s="507"/>
      <c r="U874" s="508" t="s">
        <v>403</v>
      </c>
      <c r="V874" s="508"/>
      <c r="W874" s="509"/>
      <c r="X874" s="507"/>
      <c r="Y874" s="509" t="s">
        <v>275</v>
      </c>
      <c r="Z874" s="510"/>
      <c r="AA874" s="506" t="s">
        <v>176</v>
      </c>
      <c r="AB874" s="511" t="s">
        <v>2361</v>
      </c>
      <c r="AC874" s="511" t="s">
        <v>2362</v>
      </c>
      <c r="AD874" s="511" t="s">
        <v>2363</v>
      </c>
    </row>
    <row r="875" spans="1:30">
      <c r="B875" s="505"/>
      <c r="C875" s="512"/>
      <c r="D875" s="512"/>
      <c r="E875" s="513"/>
      <c r="F875" s="513"/>
      <c r="G875" s="513"/>
      <c r="H875" s="513"/>
      <c r="I875" s="513"/>
      <c r="J875" s="513"/>
      <c r="K875" s="514"/>
      <c r="N875" s="797">
        <f t="shared" si="72"/>
        <v>4.8250000000000002</v>
      </c>
      <c r="O875" s="797">
        <f t="shared" si="73"/>
        <v>1445.0028169014086</v>
      </c>
      <c r="P875" s="797">
        <f t="shared" si="74"/>
        <v>24.905495147049237</v>
      </c>
      <c r="Q875" s="797">
        <f t="shared" si="75"/>
        <v>40</v>
      </c>
      <c r="R875" s="797">
        <f t="shared" si="76"/>
        <v>40.415091585784154</v>
      </c>
      <c r="S875" s="797">
        <f>[1]!taqsabet(O875,C875)</f>
        <v>1.4716840899636423</v>
      </c>
      <c r="T875" s="515" t="s">
        <v>2367</v>
      </c>
      <c r="U875" s="516" t="s">
        <v>173</v>
      </c>
      <c r="V875" s="516" t="s">
        <v>172</v>
      </c>
      <c r="W875" s="516" t="s">
        <v>166</v>
      </c>
      <c r="X875" s="517" t="s">
        <v>2367</v>
      </c>
      <c r="Y875" s="516" t="s">
        <v>172</v>
      </c>
      <c r="Z875" s="518" t="s">
        <v>166</v>
      </c>
      <c r="AA875" s="512"/>
      <c r="AB875" s="517" t="s">
        <v>2368</v>
      </c>
      <c r="AC875" s="517" t="s">
        <v>2369</v>
      </c>
      <c r="AD875" s="513"/>
    </row>
    <row r="876" spans="1:30">
      <c r="A876" s="567">
        <v>5</v>
      </c>
      <c r="B876" s="536" t="s">
        <v>3219</v>
      </c>
      <c r="C876" s="527">
        <v>815</v>
      </c>
      <c r="D876" s="527">
        <v>1</v>
      </c>
      <c r="E876" s="553" t="s">
        <v>3220</v>
      </c>
      <c r="F876" s="527">
        <v>70</v>
      </c>
      <c r="G876" s="527"/>
      <c r="H876" s="527">
        <v>70</v>
      </c>
      <c r="I876" s="527">
        <v>7</v>
      </c>
      <c r="J876" s="527">
        <v>19</v>
      </c>
      <c r="K876" s="527" t="s">
        <v>3221</v>
      </c>
      <c r="L876" s="797">
        <f>[1]!tsabetm(C876)</f>
        <v>77.25</v>
      </c>
      <c r="M876" s="797">
        <f>[1]!tsabetz(C876)</f>
        <v>102.41666666666667</v>
      </c>
      <c r="N876" s="797">
        <f t="shared" si="72"/>
        <v>69.019867549668859</v>
      </c>
      <c r="O876" s="797">
        <f t="shared" si="73"/>
        <v>1445.0028169014086</v>
      </c>
      <c r="P876" s="797">
        <f t="shared" si="74"/>
        <v>14.518856373706228</v>
      </c>
      <c r="Q876" s="797">
        <f t="shared" si="75"/>
        <v>105</v>
      </c>
      <c r="R876" s="797">
        <f t="shared" si="76"/>
        <v>105.24198093956177</v>
      </c>
      <c r="S876" s="797">
        <f>[1]!taqsabet(O876,C876)</f>
        <v>105.24035532720683</v>
      </c>
      <c r="T876" s="527"/>
      <c r="U876" s="527">
        <v>3</v>
      </c>
      <c r="V876" s="527">
        <v>12</v>
      </c>
      <c r="W876" s="527">
        <v>25</v>
      </c>
      <c r="X876" s="527"/>
      <c r="Y876" s="527">
        <v>39</v>
      </c>
      <c r="Z876" s="527">
        <v>30</v>
      </c>
      <c r="AA876" s="527" t="s">
        <v>274</v>
      </c>
      <c r="AB876" s="527">
        <v>1</v>
      </c>
      <c r="AC876" s="527">
        <v>1</v>
      </c>
      <c r="AD876" s="527" t="s">
        <v>2514</v>
      </c>
    </row>
    <row r="877" spans="1:30">
      <c r="C877" s="523">
        <v>816</v>
      </c>
      <c r="D877" s="523">
        <v>2</v>
      </c>
      <c r="E877" s="543" t="s">
        <v>3222</v>
      </c>
      <c r="F877" s="523">
        <v>70</v>
      </c>
      <c r="G877" s="523"/>
      <c r="H877" s="523">
        <v>66</v>
      </c>
      <c r="I877" s="523">
        <v>0</v>
      </c>
      <c r="J877" s="523">
        <v>0</v>
      </c>
      <c r="K877" s="523"/>
      <c r="L877" s="797">
        <f>[1]!tsabetm(C877)</f>
        <v>82.25</v>
      </c>
      <c r="M877" s="797">
        <f>[1]!tsabetz(C877)</f>
        <v>105.01666666666667</v>
      </c>
      <c r="N877" s="797">
        <f t="shared" si="72"/>
        <v>76.295754026354317</v>
      </c>
      <c r="O877" s="797">
        <f t="shared" si="73"/>
        <v>1445.0028169014086</v>
      </c>
      <c r="P877" s="797">
        <f t="shared" si="74"/>
        <v>34.35281973939226</v>
      </c>
      <c r="Q877" s="797">
        <f t="shared" si="75"/>
        <v>107</v>
      </c>
      <c r="R877" s="797">
        <f t="shared" si="76"/>
        <v>107.57254699565654</v>
      </c>
      <c r="S877" s="797">
        <f>[1]!taqsabet(O877,C877)</f>
        <v>107.57107640858577</v>
      </c>
      <c r="T877" s="523"/>
      <c r="U877" s="523">
        <v>3</v>
      </c>
      <c r="V877" s="523">
        <v>15</v>
      </c>
      <c r="W877" s="523">
        <v>1</v>
      </c>
      <c r="X877" s="523"/>
      <c r="Y877" s="523">
        <v>34</v>
      </c>
      <c r="Z877" s="523">
        <v>45</v>
      </c>
      <c r="AA877" s="523" t="s">
        <v>274</v>
      </c>
      <c r="AB877" s="523">
        <v>4</v>
      </c>
      <c r="AC877" s="523">
        <v>4</v>
      </c>
      <c r="AD877" s="523" t="s">
        <v>2514</v>
      </c>
    </row>
    <row r="878" spans="1:30">
      <c r="C878" s="527">
        <v>817</v>
      </c>
      <c r="D878" s="527">
        <v>3</v>
      </c>
      <c r="E878" s="553" t="s">
        <v>2607</v>
      </c>
      <c r="F878" s="527">
        <v>70</v>
      </c>
      <c r="G878" s="527"/>
      <c r="H878" s="527">
        <v>66</v>
      </c>
      <c r="I878" s="527">
        <v>0</v>
      </c>
      <c r="J878" s="527">
        <v>0</v>
      </c>
      <c r="K878" s="527"/>
      <c r="L878" s="797">
        <f>[1]!tsabetm(C878)</f>
        <v>80.916666666666657</v>
      </c>
      <c r="M878" s="797">
        <f>[1]!tsabetz(C878)</f>
        <v>105.51666666666667</v>
      </c>
      <c r="N878" s="797">
        <f t="shared" si="72"/>
        <v>70.609756097560947</v>
      </c>
      <c r="O878" s="797">
        <f t="shared" si="73"/>
        <v>1445.0028169014086</v>
      </c>
      <c r="P878" s="797">
        <f t="shared" si="74"/>
        <v>16.701875501715051</v>
      </c>
      <c r="Q878" s="797">
        <f t="shared" si="75"/>
        <v>108</v>
      </c>
      <c r="R878" s="797">
        <f t="shared" si="76"/>
        <v>108.27836459169525</v>
      </c>
      <c r="S878" s="797">
        <f>[1]!taqsabet(O878,C878)</f>
        <v>108.27677558253241</v>
      </c>
      <c r="T878" s="527"/>
      <c r="U878" s="527">
        <v>3</v>
      </c>
      <c r="V878" s="527">
        <v>15</v>
      </c>
      <c r="W878" s="527">
        <v>31</v>
      </c>
      <c r="X878" s="527"/>
      <c r="Y878" s="527">
        <v>36</v>
      </c>
      <c r="Z878" s="527">
        <v>15</v>
      </c>
      <c r="AA878" s="527" t="s">
        <v>274</v>
      </c>
      <c r="AB878" s="527">
        <v>5</v>
      </c>
      <c r="AC878" s="527">
        <v>5</v>
      </c>
      <c r="AD878" s="527" t="s">
        <v>2514</v>
      </c>
    </row>
    <row r="879" spans="1:30">
      <c r="C879" s="523">
        <v>818</v>
      </c>
      <c r="D879" s="523">
        <v>4</v>
      </c>
      <c r="E879" s="543" t="s">
        <v>3223</v>
      </c>
      <c r="F879" s="523">
        <v>70</v>
      </c>
      <c r="G879" s="523"/>
      <c r="H879" s="523">
        <v>66</v>
      </c>
      <c r="I879" s="523">
        <v>0</v>
      </c>
      <c r="J879" s="523">
        <v>0</v>
      </c>
      <c r="K879" s="523"/>
      <c r="L879" s="797">
        <f>[1]!tsabetm(C879)</f>
        <v>82.916666666666657</v>
      </c>
      <c r="M879" s="797">
        <f>[1]!tsabetz(C879)</f>
        <v>108.51666666666667</v>
      </c>
      <c r="N879" s="797">
        <f t="shared" si="72"/>
        <v>67.851562499999972</v>
      </c>
      <c r="O879" s="797">
        <f t="shared" si="73"/>
        <v>1445.0028169014086</v>
      </c>
      <c r="P879" s="797">
        <f t="shared" si="74"/>
        <v>23.437724099345587</v>
      </c>
      <c r="Q879" s="797">
        <f t="shared" si="75"/>
        <v>111</v>
      </c>
      <c r="R879" s="797">
        <f t="shared" si="76"/>
        <v>111.39062873498909</v>
      </c>
      <c r="S879" s="797">
        <f>[1]!taqsabet(O879,C879)</f>
        <v>111.38897513195784</v>
      </c>
      <c r="T879" s="523"/>
      <c r="U879" s="523">
        <v>3</v>
      </c>
      <c r="V879" s="523">
        <v>18</v>
      </c>
      <c r="W879" s="523">
        <v>31</v>
      </c>
      <c r="X879" s="523"/>
      <c r="Y879" s="523">
        <v>38</v>
      </c>
      <c r="Z879" s="523">
        <v>0</v>
      </c>
      <c r="AA879" s="523" t="s">
        <v>274</v>
      </c>
      <c r="AB879" s="523">
        <v>4</v>
      </c>
      <c r="AC879" s="523">
        <v>4</v>
      </c>
      <c r="AD879" s="523" t="s">
        <v>2514</v>
      </c>
    </row>
    <row r="880" spans="1:30">
      <c r="C880" s="527">
        <v>819</v>
      </c>
      <c r="D880" s="527">
        <v>5</v>
      </c>
      <c r="E880" s="553" t="s">
        <v>2718</v>
      </c>
      <c r="F880" s="527">
        <v>70</v>
      </c>
      <c r="G880" s="527"/>
      <c r="H880" s="527">
        <v>66</v>
      </c>
      <c r="I880" s="527">
        <v>0</v>
      </c>
      <c r="J880" s="527">
        <v>0</v>
      </c>
      <c r="K880" s="527"/>
      <c r="L880" s="797">
        <f>[1]!tsabetm(C880)</f>
        <v>84.916666666666657</v>
      </c>
      <c r="M880" s="797">
        <f>[1]!tsabetz(C880)</f>
        <v>107.76666666666667</v>
      </c>
      <c r="N880" s="797">
        <f t="shared" si="72"/>
        <v>76.017505470459497</v>
      </c>
      <c r="O880" s="797">
        <f t="shared" si="73"/>
        <v>1445.0028169014086</v>
      </c>
      <c r="P880" s="797">
        <f t="shared" si="74"/>
        <v>19.9141404558614</v>
      </c>
      <c r="Q880" s="797">
        <f t="shared" si="75"/>
        <v>110</v>
      </c>
      <c r="R880" s="797">
        <f t="shared" si="76"/>
        <v>110.33190234093102</v>
      </c>
      <c r="S880" s="797">
        <f>[1]!taqsabet(O880,C880)</f>
        <v>110.33042637103789</v>
      </c>
      <c r="T880" s="527"/>
      <c r="U880" s="527">
        <v>3</v>
      </c>
      <c r="V880" s="527">
        <v>17</v>
      </c>
      <c r="W880" s="527">
        <v>46</v>
      </c>
      <c r="X880" s="527"/>
      <c r="Y880" s="527">
        <v>39</v>
      </c>
      <c r="Z880" s="527">
        <v>45</v>
      </c>
      <c r="AA880" s="527" t="s">
        <v>274</v>
      </c>
      <c r="AB880" s="527">
        <v>4</v>
      </c>
      <c r="AC880" s="527">
        <v>4</v>
      </c>
      <c r="AD880" s="527" t="s">
        <v>2514</v>
      </c>
    </row>
    <row r="881" spans="2:31">
      <c r="C881" s="523">
        <v>820</v>
      </c>
      <c r="D881" s="523">
        <v>6</v>
      </c>
      <c r="E881" s="543" t="s">
        <v>2798</v>
      </c>
      <c r="F881" s="523">
        <v>70</v>
      </c>
      <c r="G881" s="523"/>
      <c r="H881" s="523">
        <v>66</v>
      </c>
      <c r="I881" s="523">
        <v>0</v>
      </c>
      <c r="J881" s="523">
        <v>0</v>
      </c>
      <c r="K881" s="523"/>
      <c r="L881" s="797">
        <f>[1]!tsabetm(C881)</f>
        <v>80.083333333333343</v>
      </c>
      <c r="M881" s="797">
        <f>[1]!tsabetz(C881)</f>
        <v>103.51666666666667</v>
      </c>
      <c r="N881" s="797">
        <f t="shared" si="72"/>
        <v>74.125177809388376</v>
      </c>
      <c r="O881" s="797">
        <f t="shared" si="73"/>
        <v>1445.0028169014086</v>
      </c>
      <c r="P881" s="797">
        <f t="shared" si="74"/>
        <v>8.8433854711453819</v>
      </c>
      <c r="Q881" s="797">
        <f t="shared" si="75"/>
        <v>106</v>
      </c>
      <c r="R881" s="797">
        <f t="shared" si="76"/>
        <v>106.14738975785242</v>
      </c>
      <c r="S881" s="797">
        <f>[1]!taqsabet(O881,C881)</f>
        <v>106.14587610820273</v>
      </c>
      <c r="T881" s="523"/>
      <c r="U881" s="523">
        <v>3</v>
      </c>
      <c r="V881" s="523">
        <v>13</v>
      </c>
      <c r="W881" s="523">
        <v>31</v>
      </c>
      <c r="X881" s="523"/>
      <c r="Y881" s="523">
        <v>43</v>
      </c>
      <c r="Z881" s="523">
        <v>53</v>
      </c>
      <c r="AA881" s="523" t="s">
        <v>274</v>
      </c>
      <c r="AB881" s="523">
        <v>4</v>
      </c>
      <c r="AC881" s="523">
        <v>5</v>
      </c>
      <c r="AD881" s="523" t="s">
        <v>2514</v>
      </c>
    </row>
    <row r="882" spans="2:31">
      <c r="C882" s="527">
        <v>821</v>
      </c>
      <c r="D882" s="527">
        <v>7</v>
      </c>
      <c r="E882" s="553" t="s">
        <v>2741</v>
      </c>
      <c r="F882" s="527">
        <v>70</v>
      </c>
      <c r="G882" s="527"/>
      <c r="H882" s="527">
        <v>66</v>
      </c>
      <c r="I882" s="527">
        <v>0</v>
      </c>
      <c r="J882" s="527">
        <v>0</v>
      </c>
      <c r="K882" s="527"/>
      <c r="L882" s="797">
        <f>[1]!tsabetm(C882)</f>
        <v>75.75</v>
      </c>
      <c r="M882" s="797">
        <f>[1]!tsabetz(C882)</f>
        <v>100.81666666666666</v>
      </c>
      <c r="N882" s="797">
        <f t="shared" si="72"/>
        <v>69.295212765957459</v>
      </c>
      <c r="O882" s="797">
        <f t="shared" si="73"/>
        <v>1445.0028169014086</v>
      </c>
      <c r="P882" s="797">
        <f t="shared" si="74"/>
        <v>37.845271513942578</v>
      </c>
      <c r="Q882" s="797">
        <f t="shared" si="75"/>
        <v>103</v>
      </c>
      <c r="R882" s="797">
        <f t="shared" si="76"/>
        <v>103.63075452523238</v>
      </c>
      <c r="S882" s="797">
        <f>[1]!taqsabet(O882,C882)</f>
        <v>103.62913537226427</v>
      </c>
      <c r="T882" s="527"/>
      <c r="U882" s="527">
        <v>3</v>
      </c>
      <c r="V882" s="527">
        <v>10</v>
      </c>
      <c r="W882" s="527">
        <v>49</v>
      </c>
      <c r="X882" s="527"/>
      <c r="Y882" s="527">
        <v>41</v>
      </c>
      <c r="Z882" s="527">
        <v>19</v>
      </c>
      <c r="AA882" s="527" t="s">
        <v>274</v>
      </c>
      <c r="AB882" s="527">
        <v>5</v>
      </c>
      <c r="AC882" s="527">
        <v>5</v>
      </c>
      <c r="AD882" s="527" t="s">
        <v>2514</v>
      </c>
      <c r="AE882" s="327">
        <v>608</v>
      </c>
    </row>
    <row r="883" spans="2:31">
      <c r="C883" s="523">
        <v>822</v>
      </c>
      <c r="D883" s="523">
        <v>8</v>
      </c>
      <c r="E883" s="543" t="s">
        <v>2718</v>
      </c>
      <c r="F883" s="523">
        <v>70</v>
      </c>
      <c r="G883" s="523"/>
      <c r="H883" s="523">
        <v>66</v>
      </c>
      <c r="I883" s="523">
        <v>0</v>
      </c>
      <c r="J883" s="523">
        <v>0</v>
      </c>
      <c r="K883" s="523"/>
      <c r="L883" s="797">
        <f>[1]!tsabetm(C883)</f>
        <v>75.583333333333343</v>
      </c>
      <c r="M883" s="797">
        <f>[1]!tsabetz(C883)</f>
        <v>100.61666666666666</v>
      </c>
      <c r="N883" s="797">
        <f t="shared" si="72"/>
        <v>69.387483355526015</v>
      </c>
      <c r="O883" s="797">
        <f t="shared" si="73"/>
        <v>1445.0028169014086</v>
      </c>
      <c r="P883" s="797">
        <f t="shared" si="74"/>
        <v>25.62074322735441</v>
      </c>
      <c r="Q883" s="797">
        <f t="shared" si="75"/>
        <v>103</v>
      </c>
      <c r="R883" s="797">
        <f t="shared" si="76"/>
        <v>103.42701238712257</v>
      </c>
      <c r="S883" s="797">
        <f>[1]!taqsabet(O883,C883)</f>
        <v>103.42539538728342</v>
      </c>
      <c r="T883" s="523"/>
      <c r="U883" s="523">
        <v>3</v>
      </c>
      <c r="V883" s="523">
        <v>10</v>
      </c>
      <c r="W883" s="523">
        <v>37</v>
      </c>
      <c r="X883" s="523"/>
      <c r="Y883" s="523">
        <v>42</v>
      </c>
      <c r="Z883" s="523">
        <v>30</v>
      </c>
      <c r="AA883" s="523" t="s">
        <v>274</v>
      </c>
      <c r="AB883" s="523">
        <v>5</v>
      </c>
      <c r="AC883" s="523">
        <v>5</v>
      </c>
      <c r="AD883" s="523" t="s">
        <v>2514</v>
      </c>
    </row>
    <row r="884" spans="2:31">
      <c r="C884" s="527">
        <v>823</v>
      </c>
      <c r="D884" s="527">
        <v>9</v>
      </c>
      <c r="E884" s="553" t="s">
        <v>3224</v>
      </c>
      <c r="F884" s="527">
        <v>70</v>
      </c>
      <c r="G884" s="527"/>
      <c r="H884" s="527">
        <v>71</v>
      </c>
      <c r="I884" s="527">
        <v>4</v>
      </c>
      <c r="J884" s="527">
        <v>0</v>
      </c>
      <c r="K884" s="527" t="s">
        <v>3225</v>
      </c>
      <c r="L884" s="797">
        <f>[1]!tsabetm(C884)</f>
        <v>70.583333333333343</v>
      </c>
      <c r="M884" s="797">
        <f>[1]!tsabetz(C884)</f>
        <v>95.516666666666666</v>
      </c>
      <c r="N884" s="797">
        <f t="shared" si="72"/>
        <v>69.665775401069553</v>
      </c>
      <c r="O884" s="797">
        <f t="shared" si="73"/>
        <v>1445.0028169014086</v>
      </c>
      <c r="P884" s="797">
        <f t="shared" si="74"/>
        <v>18.947158367591612</v>
      </c>
      <c r="Q884" s="797">
        <f t="shared" si="75"/>
        <v>98</v>
      </c>
      <c r="R884" s="797">
        <f t="shared" si="76"/>
        <v>98.315785972793194</v>
      </c>
      <c r="S884" s="797">
        <f>[1]!taqsabet(O884,C884)</f>
        <v>98.314175432340875</v>
      </c>
      <c r="T884" s="527"/>
      <c r="U884" s="527">
        <v>3</v>
      </c>
      <c r="V884" s="527">
        <v>5</v>
      </c>
      <c r="W884" s="527">
        <v>31</v>
      </c>
      <c r="X884" s="527"/>
      <c r="Y884" s="527">
        <v>41</v>
      </c>
      <c r="Z884" s="527">
        <v>30</v>
      </c>
      <c r="AA884" s="527" t="s">
        <v>274</v>
      </c>
      <c r="AB884" s="527">
        <v>3</v>
      </c>
      <c r="AC884" s="527">
        <v>3</v>
      </c>
      <c r="AD884" s="527" t="s">
        <v>2514</v>
      </c>
    </row>
    <row r="885" spans="2:31">
      <c r="C885" s="523">
        <v>824</v>
      </c>
      <c r="D885" s="523">
        <v>10</v>
      </c>
      <c r="E885" s="543" t="s">
        <v>3226</v>
      </c>
      <c r="F885" s="523">
        <v>70</v>
      </c>
      <c r="G885" s="523"/>
      <c r="H885" s="523">
        <v>66</v>
      </c>
      <c r="I885" s="523">
        <v>0</v>
      </c>
      <c r="J885" s="523">
        <v>0</v>
      </c>
      <c r="K885" s="523"/>
      <c r="L885" s="797">
        <f>[1]!tsabetm(C885)</f>
        <v>74.25</v>
      </c>
      <c r="M885" s="797">
        <f>[1]!tsabetz(C885)</f>
        <v>99.166666666666671</v>
      </c>
      <c r="N885" s="797">
        <f t="shared" si="72"/>
        <v>69.712374581939784</v>
      </c>
      <c r="O885" s="797">
        <f t="shared" si="73"/>
        <v>1445.0028169014086</v>
      </c>
      <c r="P885" s="797">
        <f t="shared" si="74"/>
        <v>57.834894224298807</v>
      </c>
      <c r="Q885" s="797">
        <f t="shared" si="75"/>
        <v>101</v>
      </c>
      <c r="R885" s="797">
        <f t="shared" si="76"/>
        <v>101.96391490373831</v>
      </c>
      <c r="S885" s="797">
        <f>[1]!taqsabet(O885,C885)</f>
        <v>101.96230543985047</v>
      </c>
      <c r="T885" s="523"/>
      <c r="U885" s="523">
        <v>3</v>
      </c>
      <c r="V885" s="523">
        <v>9</v>
      </c>
      <c r="W885" s="523">
        <v>10</v>
      </c>
      <c r="X885" s="523"/>
      <c r="Y885" s="523">
        <v>46</v>
      </c>
      <c r="Z885" s="523">
        <v>36</v>
      </c>
      <c r="AA885" s="523" t="s">
        <v>274</v>
      </c>
      <c r="AB885" s="523">
        <v>4</v>
      </c>
      <c r="AC885" s="523">
        <v>5</v>
      </c>
      <c r="AD885" s="523" t="s">
        <v>2514</v>
      </c>
    </row>
    <row r="886" spans="2:31">
      <c r="C886" s="527">
        <v>825</v>
      </c>
      <c r="D886" s="527">
        <v>11</v>
      </c>
      <c r="E886" s="553" t="s">
        <v>2465</v>
      </c>
      <c r="F886" s="527">
        <v>70</v>
      </c>
      <c r="G886" s="527"/>
      <c r="H886" s="527">
        <v>66</v>
      </c>
      <c r="I886" s="527">
        <v>0</v>
      </c>
      <c r="J886" s="527">
        <v>0</v>
      </c>
      <c r="K886" s="527"/>
      <c r="L886" s="797">
        <f>[1]!tsabetm(C886)</f>
        <v>75.75</v>
      </c>
      <c r="M886" s="797">
        <f>[1]!tsabetz(C886)</f>
        <v>100.76666666666667</v>
      </c>
      <c r="N886" s="797">
        <f t="shared" si="72"/>
        <v>69.433710859427052</v>
      </c>
      <c r="O886" s="797">
        <f t="shared" si="73"/>
        <v>1445.0028169014086</v>
      </c>
      <c r="P886" s="797">
        <f t="shared" si="74"/>
        <v>34.508479084060752</v>
      </c>
      <c r="Q886" s="797">
        <f t="shared" si="75"/>
        <v>103</v>
      </c>
      <c r="R886" s="797">
        <f t="shared" si="76"/>
        <v>103.57514131806768</v>
      </c>
      <c r="S886" s="797">
        <f>[1]!taqsabet(O886,C886)</f>
        <v>103.57352539479299</v>
      </c>
      <c r="T886" s="527"/>
      <c r="U886" s="527">
        <v>3</v>
      </c>
      <c r="V886" s="527">
        <v>10</v>
      </c>
      <c r="W886" s="527">
        <v>46</v>
      </c>
      <c r="X886" s="527"/>
      <c r="Y886" s="527">
        <v>46</v>
      </c>
      <c r="Z886" s="527">
        <v>0</v>
      </c>
      <c r="AA886" s="527" t="s">
        <v>274</v>
      </c>
      <c r="AB886" s="527">
        <v>5</v>
      </c>
      <c r="AC886" s="527">
        <v>5</v>
      </c>
      <c r="AD886" s="527" t="s">
        <v>2514</v>
      </c>
    </row>
    <row r="887" spans="2:31">
      <c r="C887" s="523">
        <v>826</v>
      </c>
      <c r="D887" s="523">
        <v>12</v>
      </c>
      <c r="E887" s="543" t="s">
        <v>3227</v>
      </c>
      <c r="F887" s="523">
        <v>70</v>
      </c>
      <c r="G887" s="523"/>
      <c r="H887" s="523">
        <v>66</v>
      </c>
      <c r="I887" s="523">
        <v>0</v>
      </c>
      <c r="J887" s="523">
        <v>0</v>
      </c>
      <c r="K887" s="523"/>
      <c r="L887" s="797">
        <f>[1]!tsabetm(C887)</f>
        <v>84.25</v>
      </c>
      <c r="M887" s="797">
        <f>[1]!tsabetz(C887)</f>
        <v>109.41666666666667</v>
      </c>
      <c r="N887" s="797">
        <f t="shared" si="72"/>
        <v>69.019867549668859</v>
      </c>
      <c r="O887" s="797">
        <f t="shared" si="73"/>
        <v>1445.0028169014086</v>
      </c>
      <c r="P887" s="797">
        <f t="shared" si="74"/>
        <v>14.518856373706228</v>
      </c>
      <c r="Q887" s="797">
        <f t="shared" si="75"/>
        <v>112</v>
      </c>
      <c r="R887" s="797">
        <f t="shared" si="76"/>
        <v>112.24198093956177</v>
      </c>
      <c r="S887" s="797">
        <f>[1]!taqsabet(O887,C887)</f>
        <v>112.24035532720683</v>
      </c>
      <c r="T887" s="523"/>
      <c r="U887" s="523">
        <v>3</v>
      </c>
      <c r="V887" s="523">
        <v>19</v>
      </c>
      <c r="W887" s="523">
        <v>25</v>
      </c>
      <c r="X887" s="523"/>
      <c r="Y887" s="523">
        <v>46</v>
      </c>
      <c r="Z887" s="523">
        <v>15</v>
      </c>
      <c r="AA887" s="523" t="s">
        <v>274</v>
      </c>
      <c r="AB887" s="523">
        <v>3</v>
      </c>
      <c r="AC887" s="523">
        <v>4</v>
      </c>
      <c r="AD887" s="523" t="s">
        <v>2514</v>
      </c>
    </row>
    <row r="888" spans="2:31">
      <c r="C888" s="527">
        <v>827</v>
      </c>
      <c r="D888" s="527">
        <v>13</v>
      </c>
      <c r="E888" s="553" t="s">
        <v>2455</v>
      </c>
      <c r="F888" s="527">
        <v>70</v>
      </c>
      <c r="G888" s="527"/>
      <c r="H888" s="527">
        <v>66</v>
      </c>
      <c r="I888" s="527">
        <v>0</v>
      </c>
      <c r="J888" s="527">
        <v>0</v>
      </c>
      <c r="K888" s="527"/>
      <c r="L888" s="797">
        <f>[1]!tsabetm(C888)</f>
        <v>81.25</v>
      </c>
      <c r="M888" s="797">
        <f>[1]!tsabetz(C888)</f>
        <v>106.21666666666667</v>
      </c>
      <c r="N888" s="797">
        <f t="shared" si="72"/>
        <v>69.572763684913213</v>
      </c>
      <c r="O888" s="797">
        <f t="shared" si="73"/>
        <v>1445.0028169014086</v>
      </c>
      <c r="P888" s="797">
        <f t="shared" si="74"/>
        <v>1.1716866541797799</v>
      </c>
      <c r="Q888" s="797">
        <f t="shared" si="75"/>
        <v>109</v>
      </c>
      <c r="R888" s="797">
        <f t="shared" si="76"/>
        <v>109.019528110903</v>
      </c>
      <c r="S888" s="797">
        <f>[1]!taqsabet(O888,C888)</f>
        <v>109.01791541732173</v>
      </c>
      <c r="T888" s="527"/>
      <c r="U888" s="527">
        <v>3</v>
      </c>
      <c r="V888" s="527">
        <v>16</v>
      </c>
      <c r="W888" s="527">
        <v>13</v>
      </c>
      <c r="X888" s="527"/>
      <c r="Y888" s="527">
        <v>46</v>
      </c>
      <c r="Z888" s="527">
        <v>45</v>
      </c>
      <c r="AA888" s="527" t="s">
        <v>274</v>
      </c>
      <c r="AB888" s="527">
        <v>5</v>
      </c>
      <c r="AC888" s="527">
        <v>5</v>
      </c>
      <c r="AD888" s="527" t="s">
        <v>2514</v>
      </c>
    </row>
    <row r="889" spans="2:31">
      <c r="C889" s="523">
        <v>828</v>
      </c>
      <c r="D889" s="523">
        <v>14</v>
      </c>
      <c r="E889" s="543" t="s">
        <v>3019</v>
      </c>
      <c r="F889" s="523">
        <v>70</v>
      </c>
      <c r="G889" s="523"/>
      <c r="H889" s="523">
        <v>66</v>
      </c>
      <c r="I889" s="523">
        <v>0</v>
      </c>
      <c r="J889" s="523">
        <v>0</v>
      </c>
      <c r="K889" s="523"/>
      <c r="L889" s="797">
        <f>[1]!tsabetm(C889)</f>
        <v>86.25</v>
      </c>
      <c r="M889" s="797">
        <f>[1]!tsabetz(C889)</f>
        <v>111.26666666666667</v>
      </c>
      <c r="N889" s="797">
        <f t="shared" si="72"/>
        <v>69.433710859427052</v>
      </c>
      <c r="O889" s="797">
        <f t="shared" si="73"/>
        <v>1445.0028169014086</v>
      </c>
      <c r="P889" s="797">
        <f t="shared" si="74"/>
        <v>4.5084790840607525</v>
      </c>
      <c r="Q889" s="797">
        <f t="shared" si="75"/>
        <v>114</v>
      </c>
      <c r="R889" s="797">
        <f t="shared" si="76"/>
        <v>114.07514131806768</v>
      </c>
      <c r="S889" s="797">
        <f>[1]!taqsabet(O889,C889)</f>
        <v>114.07352539479299</v>
      </c>
      <c r="T889" s="523"/>
      <c r="U889" s="523">
        <v>3</v>
      </c>
      <c r="V889" s="523">
        <v>21</v>
      </c>
      <c r="W889" s="523">
        <v>16</v>
      </c>
      <c r="X889" s="523"/>
      <c r="Y889" s="523">
        <v>48</v>
      </c>
      <c r="Z889" s="523">
        <v>21</v>
      </c>
      <c r="AA889" s="523" t="s">
        <v>274</v>
      </c>
      <c r="AB889" s="523">
        <v>3</v>
      </c>
      <c r="AC889" s="523">
        <v>3</v>
      </c>
      <c r="AD889" s="523" t="s">
        <v>2514</v>
      </c>
    </row>
    <row r="890" spans="2:31">
      <c r="C890" s="527">
        <v>829</v>
      </c>
      <c r="D890" s="527">
        <v>15</v>
      </c>
      <c r="E890" s="553" t="s">
        <v>3228</v>
      </c>
      <c r="F890" s="527">
        <v>70</v>
      </c>
      <c r="G890" s="527"/>
      <c r="H890" s="527">
        <v>66</v>
      </c>
      <c r="I890" s="527">
        <v>0</v>
      </c>
      <c r="J890" s="527">
        <v>0</v>
      </c>
      <c r="K890" s="527"/>
      <c r="L890" s="797">
        <f>[1]!tsabetm(C890)</f>
        <v>83.25</v>
      </c>
      <c r="M890" s="797">
        <f>[1]!tsabetz(C890)</f>
        <v>108.76666666666667</v>
      </c>
      <c r="N890" s="797">
        <f t="shared" si="72"/>
        <v>68.073154800783797</v>
      </c>
      <c r="O890" s="797">
        <f t="shared" si="73"/>
        <v>1445.0028169014086</v>
      </c>
      <c r="P890" s="797">
        <f t="shared" si="74"/>
        <v>37.876403382876447</v>
      </c>
      <c r="Q890" s="797">
        <f t="shared" si="75"/>
        <v>111</v>
      </c>
      <c r="R890" s="797">
        <f t="shared" si="76"/>
        <v>111.63127338971461</v>
      </c>
      <c r="S890" s="797">
        <f>[1]!taqsabet(O890,C890)</f>
        <v>111.62962516950572</v>
      </c>
      <c r="T890" s="527"/>
      <c r="U890" s="527">
        <v>3</v>
      </c>
      <c r="V890" s="527">
        <v>18</v>
      </c>
      <c r="W890" s="527">
        <v>46</v>
      </c>
      <c r="X890" s="527"/>
      <c r="Y890" s="527">
        <v>51</v>
      </c>
      <c r="Z890" s="527">
        <v>42</v>
      </c>
      <c r="AA890" s="527" t="s">
        <v>274</v>
      </c>
      <c r="AB890" s="527">
        <v>3</v>
      </c>
      <c r="AC890" s="527">
        <v>3</v>
      </c>
      <c r="AD890" s="527" t="s">
        <v>2514</v>
      </c>
    </row>
    <row r="891" spans="2:31">
      <c r="C891" s="523">
        <v>830</v>
      </c>
      <c r="D891" s="523">
        <v>16</v>
      </c>
      <c r="E891" s="543" t="s">
        <v>3229</v>
      </c>
      <c r="F891" s="523">
        <v>70</v>
      </c>
      <c r="G891" s="523"/>
      <c r="H891" s="523">
        <v>66</v>
      </c>
      <c r="I891" s="523">
        <v>0</v>
      </c>
      <c r="J891" s="523">
        <v>0</v>
      </c>
      <c r="K891" s="523"/>
      <c r="L891" s="797">
        <f>[1]!tsabetm(C891)</f>
        <v>82.583333333333343</v>
      </c>
      <c r="M891" s="797">
        <f>[1]!tsabetz(C891)</f>
        <v>106.51666666666667</v>
      </c>
      <c r="N891" s="797">
        <f t="shared" si="72"/>
        <v>72.57660167130922</v>
      </c>
      <c r="O891" s="797">
        <f t="shared" si="73"/>
        <v>1445.0028169014086</v>
      </c>
      <c r="P891" s="797">
        <f t="shared" si="74"/>
        <v>12.211309769961076</v>
      </c>
      <c r="Q891" s="797">
        <f t="shared" si="75"/>
        <v>109</v>
      </c>
      <c r="R891" s="797">
        <f t="shared" si="76"/>
        <v>109.20352182949935</v>
      </c>
      <c r="S891" s="797">
        <f>[1]!taqsabet(O891,C891)</f>
        <v>109.20197588291545</v>
      </c>
      <c r="T891" s="523"/>
      <c r="U891" s="523">
        <v>3</v>
      </c>
      <c r="V891" s="523">
        <v>16</v>
      </c>
      <c r="W891" s="523">
        <v>31</v>
      </c>
      <c r="X891" s="523"/>
      <c r="Y891" s="523">
        <v>55</v>
      </c>
      <c r="Z891" s="523">
        <v>15</v>
      </c>
      <c r="AA891" s="523" t="s">
        <v>274</v>
      </c>
      <c r="AB891" s="523">
        <v>4</v>
      </c>
      <c r="AC891" s="523">
        <v>4</v>
      </c>
      <c r="AD891" s="523" t="s">
        <v>2514</v>
      </c>
    </row>
    <row r="892" spans="2:31">
      <c r="C892" s="527">
        <v>831</v>
      </c>
      <c r="D892" s="527">
        <v>17</v>
      </c>
      <c r="E892" s="553" t="s">
        <v>3230</v>
      </c>
      <c r="F892" s="527">
        <v>70</v>
      </c>
      <c r="G892" s="527"/>
      <c r="H892" s="527">
        <v>66</v>
      </c>
      <c r="I892" s="527">
        <v>0</v>
      </c>
      <c r="J892" s="527">
        <v>0</v>
      </c>
      <c r="K892" s="527"/>
      <c r="L892" s="797">
        <f>[1]!tsabetm(C892)</f>
        <v>69.25</v>
      </c>
      <c r="M892" s="797">
        <f>[1]!tsabetz(C892)</f>
        <v>96.216666666666669</v>
      </c>
      <c r="N892" s="797">
        <f t="shared" si="72"/>
        <v>64.412855377008654</v>
      </c>
      <c r="O892" s="797">
        <f t="shared" si="73"/>
        <v>1445.0028169014086</v>
      </c>
      <c r="P892" s="797">
        <f t="shared" si="74"/>
        <v>14.643383849440852</v>
      </c>
      <c r="Q892" s="797">
        <f t="shared" si="75"/>
        <v>99</v>
      </c>
      <c r="R892" s="797">
        <f t="shared" si="76"/>
        <v>99.244056397490681</v>
      </c>
      <c r="S892" s="797">
        <f>[1]!taqsabet(O892,C892)</f>
        <v>99.242314516172598</v>
      </c>
      <c r="T892" s="527"/>
      <c r="U892" s="527">
        <v>3</v>
      </c>
      <c r="V892" s="527">
        <v>6</v>
      </c>
      <c r="W892" s="527">
        <v>13</v>
      </c>
      <c r="X892" s="527"/>
      <c r="Y892" s="527">
        <v>53</v>
      </c>
      <c r="Z892" s="527">
        <v>45</v>
      </c>
      <c r="AA892" s="527" t="s">
        <v>274</v>
      </c>
      <c r="AB892" s="527">
        <v>3</v>
      </c>
      <c r="AC892" s="527">
        <v>3</v>
      </c>
      <c r="AD892" s="527" t="s">
        <v>2514</v>
      </c>
    </row>
    <row r="893" spans="2:31">
      <c r="C893" s="523">
        <v>832</v>
      </c>
      <c r="D893" s="523">
        <v>18</v>
      </c>
      <c r="E893" s="543" t="s">
        <v>2904</v>
      </c>
      <c r="F893" s="523">
        <v>70</v>
      </c>
      <c r="G893" s="523"/>
      <c r="H893" s="523">
        <v>66</v>
      </c>
      <c r="I893" s="523">
        <v>0</v>
      </c>
      <c r="J893" s="523">
        <v>0</v>
      </c>
      <c r="K893" s="523"/>
      <c r="L893" s="797">
        <f>[1]!tsabetm(C893)</f>
        <v>91.75</v>
      </c>
      <c r="M893" s="797">
        <f>[1]!tsabetz(C893)</f>
        <v>117.51666666666667</v>
      </c>
      <c r="N893" s="797">
        <f t="shared" si="72"/>
        <v>67.412677878395868</v>
      </c>
      <c r="O893" s="797">
        <f t="shared" si="73"/>
        <v>1445.0028169014086</v>
      </c>
      <c r="P893" s="797">
        <f t="shared" si="74"/>
        <v>24.560365532283868</v>
      </c>
      <c r="Q893" s="797">
        <f t="shared" si="75"/>
        <v>120</v>
      </c>
      <c r="R893" s="797">
        <f t="shared" si="76"/>
        <v>120.40933942553806</v>
      </c>
      <c r="S893" s="797">
        <f>[1]!taqsabet(O893,C893)</f>
        <v>120.40767505686208</v>
      </c>
      <c r="T893" s="523"/>
      <c r="U893" s="523">
        <v>3</v>
      </c>
      <c r="V893" s="523">
        <v>27</v>
      </c>
      <c r="W893" s="523">
        <v>31</v>
      </c>
      <c r="X893" s="523"/>
      <c r="Y893" s="523">
        <v>50</v>
      </c>
      <c r="Z893" s="523">
        <v>45</v>
      </c>
      <c r="AA893" s="523" t="s">
        <v>274</v>
      </c>
      <c r="AB893" s="523">
        <v>3</v>
      </c>
      <c r="AC893" s="523">
        <v>3</v>
      </c>
      <c r="AD893" s="523" t="s">
        <v>2514</v>
      </c>
    </row>
    <row r="894" spans="2:31">
      <c r="B894" s="505" t="s">
        <v>2415</v>
      </c>
      <c r="C894" s="527">
        <v>833</v>
      </c>
      <c r="D894" s="527">
        <v>1</v>
      </c>
      <c r="E894" s="553" t="s">
        <v>3231</v>
      </c>
      <c r="F894" s="527">
        <v>70</v>
      </c>
      <c r="G894" s="527"/>
      <c r="H894" s="527">
        <v>66</v>
      </c>
      <c r="I894" s="527">
        <v>0</v>
      </c>
      <c r="J894" s="527">
        <v>0</v>
      </c>
      <c r="K894" s="527"/>
      <c r="L894" s="797">
        <f>[1]!tsabetm(C894)</f>
        <v>79.083333333333343</v>
      </c>
      <c r="M894" s="797">
        <f>[1]!tsabetz(C894)</f>
        <v>107.61666666666666</v>
      </c>
      <c r="N894" s="797">
        <f t="shared" si="72"/>
        <v>60.8761682242991</v>
      </c>
      <c r="O894" s="797">
        <f t="shared" si="73"/>
        <v>1445.0028169014086</v>
      </c>
      <c r="P894" s="797">
        <f t="shared" si="74"/>
        <v>49.196213319061712</v>
      </c>
      <c r="Q894" s="797">
        <f t="shared" si="75"/>
        <v>110</v>
      </c>
      <c r="R894" s="797">
        <f t="shared" si="76"/>
        <v>110.81993688865103</v>
      </c>
      <c r="S894" s="797">
        <f>[1]!taqsabet(O894,C894)</f>
        <v>110.81809381027244</v>
      </c>
      <c r="T894" s="527"/>
      <c r="U894" s="527">
        <v>3</v>
      </c>
      <c r="V894" s="527">
        <v>17</v>
      </c>
      <c r="W894" s="527">
        <v>37</v>
      </c>
      <c r="X894" s="527"/>
      <c r="Y894" s="527">
        <v>22</v>
      </c>
      <c r="Z894" s="527">
        <v>45</v>
      </c>
      <c r="AA894" s="527" t="s">
        <v>274</v>
      </c>
      <c r="AB894" s="527">
        <v>4</v>
      </c>
      <c r="AC894" s="527">
        <v>4</v>
      </c>
      <c r="AD894" s="527"/>
    </row>
    <row r="895" spans="2:31">
      <c r="C895" s="523">
        <v>834</v>
      </c>
      <c r="D895" s="523">
        <v>2</v>
      </c>
      <c r="E895" s="543" t="s">
        <v>3232</v>
      </c>
      <c r="F895" s="523">
        <v>70</v>
      </c>
      <c r="G895" s="523"/>
      <c r="H895" s="523">
        <v>66</v>
      </c>
      <c r="I895" s="523">
        <v>0</v>
      </c>
      <c r="J895" s="523">
        <v>0</v>
      </c>
      <c r="K895" s="523"/>
      <c r="L895" s="797">
        <f>[1]!tsabetm(C895)</f>
        <v>69.583333333333343</v>
      </c>
      <c r="M895" s="797">
        <f>[1]!tsabetz(C895)</f>
        <v>91.11666666666666</v>
      </c>
      <c r="N895" s="797">
        <f t="shared" si="72"/>
        <v>80.665634674922657</v>
      </c>
      <c r="O895" s="797">
        <f t="shared" si="73"/>
        <v>1445.0028169014086</v>
      </c>
      <c r="P895" s="797">
        <f t="shared" si="74"/>
        <v>32.045273135647108</v>
      </c>
      <c r="Q895" s="797">
        <f t="shared" si="75"/>
        <v>93</v>
      </c>
      <c r="R895" s="797">
        <f t="shared" si="76"/>
        <v>93.534087885594118</v>
      </c>
      <c r="S895" s="797">
        <f>[1]!taqsabet(O895,C895)</f>
        <v>93.532696964294388</v>
      </c>
      <c r="T895" s="523"/>
      <c r="U895" s="523">
        <v>3</v>
      </c>
      <c r="V895" s="523">
        <v>1</v>
      </c>
      <c r="W895" s="523">
        <v>7</v>
      </c>
      <c r="X895" s="523"/>
      <c r="Y895" s="523">
        <v>57</v>
      </c>
      <c r="Z895" s="523">
        <v>45</v>
      </c>
      <c r="AA895" s="523" t="s">
        <v>274</v>
      </c>
      <c r="AB895" s="523">
        <v>4</v>
      </c>
      <c r="AC895" s="523">
        <v>4</v>
      </c>
      <c r="AD895" s="523"/>
    </row>
    <row r="896" spans="2:31">
      <c r="C896" s="527">
        <v>835</v>
      </c>
      <c r="D896" s="527">
        <v>3</v>
      </c>
      <c r="E896" s="553" t="s">
        <v>2517</v>
      </c>
      <c r="F896" s="527">
        <v>70</v>
      </c>
      <c r="G896" s="527"/>
      <c r="H896" s="527">
        <v>66</v>
      </c>
      <c r="I896" s="527">
        <v>0</v>
      </c>
      <c r="J896" s="527">
        <v>0</v>
      </c>
      <c r="K896" s="527"/>
      <c r="L896" s="797">
        <f>[1]!tsabetm(C896)</f>
        <v>70.916666666666657</v>
      </c>
      <c r="M896" s="797">
        <f>[1]!tsabetz(C896)</f>
        <v>95.016666666666666</v>
      </c>
      <c r="N896" s="797">
        <f t="shared" si="72"/>
        <v>72.074688796680476</v>
      </c>
      <c r="O896" s="797">
        <f t="shared" si="73"/>
        <v>1445.0028169014086</v>
      </c>
      <c r="P896" s="797">
        <f t="shared" si="74"/>
        <v>43.333951202899357</v>
      </c>
      <c r="Q896" s="797">
        <f t="shared" si="75"/>
        <v>97</v>
      </c>
      <c r="R896" s="797">
        <f t="shared" si="76"/>
        <v>97.722232520048323</v>
      </c>
      <c r="S896" s="797">
        <f>[1]!taqsabet(O896,C896)</f>
        <v>97.720675807819688</v>
      </c>
      <c r="T896" s="527"/>
      <c r="U896" s="527">
        <v>3</v>
      </c>
      <c r="V896" s="527">
        <v>5</v>
      </c>
      <c r="W896" s="527">
        <v>1</v>
      </c>
      <c r="X896" s="527"/>
      <c r="Y896" s="527">
        <v>58</v>
      </c>
      <c r="Z896" s="527">
        <v>45</v>
      </c>
      <c r="AA896" s="527" t="s">
        <v>274</v>
      </c>
      <c r="AB896" s="527">
        <v>4</v>
      </c>
      <c r="AC896" s="527">
        <v>4</v>
      </c>
      <c r="AD896" s="527"/>
    </row>
    <row r="897" spans="1:31">
      <c r="C897" s="523">
        <v>836</v>
      </c>
      <c r="D897" s="523">
        <v>4</v>
      </c>
      <c r="E897" s="543" t="s">
        <v>3233</v>
      </c>
      <c r="F897" s="523">
        <v>70</v>
      </c>
      <c r="G897" s="523"/>
      <c r="H897" s="523">
        <v>66</v>
      </c>
      <c r="I897" s="523">
        <v>0</v>
      </c>
      <c r="J897" s="523">
        <v>0</v>
      </c>
      <c r="K897" s="523" t="s">
        <v>3862</v>
      </c>
      <c r="L897" s="797">
        <f>[1]!tsabetm(C897)</f>
        <v>72.583333333333343</v>
      </c>
      <c r="M897" s="797">
        <f>[1]!tsabetz(C897)</f>
        <v>97.216666666666669</v>
      </c>
      <c r="N897" s="797">
        <f t="shared" si="72"/>
        <v>70.514208389715847</v>
      </c>
      <c r="O897" s="797">
        <f t="shared" si="73"/>
        <v>1445.0028169014086</v>
      </c>
      <c r="P897" s="797">
        <f t="shared" si="74"/>
        <v>58.926403788303219</v>
      </c>
      <c r="Q897" s="797">
        <f t="shared" si="75"/>
        <v>99</v>
      </c>
      <c r="R897" s="797">
        <f t="shared" si="76"/>
        <v>99.982106729805054</v>
      </c>
      <c r="S897" s="797">
        <f>[1]!taqsabet(O897,C897)</f>
        <v>99.980515567513251</v>
      </c>
      <c r="T897" s="523"/>
      <c r="U897" s="523">
        <v>2</v>
      </c>
      <c r="V897" s="523">
        <v>7</v>
      </c>
      <c r="W897" s="523">
        <v>13</v>
      </c>
      <c r="X897" s="523"/>
      <c r="Y897" s="523">
        <v>57</v>
      </c>
      <c r="Z897" s="523">
        <v>51</v>
      </c>
      <c r="AA897" s="523" t="s">
        <v>274</v>
      </c>
      <c r="AB897" s="523">
        <v>5</v>
      </c>
      <c r="AC897" s="523">
        <v>4</v>
      </c>
      <c r="AD897" s="523"/>
    </row>
    <row r="898" spans="1:31">
      <c r="C898" s="527">
        <v>837</v>
      </c>
      <c r="D898" s="527">
        <v>5</v>
      </c>
      <c r="E898" s="553" t="s">
        <v>3234</v>
      </c>
      <c r="F898" s="527">
        <v>70</v>
      </c>
      <c r="G898" s="527"/>
      <c r="H898" s="527">
        <v>66</v>
      </c>
      <c r="I898" s="527">
        <v>0</v>
      </c>
      <c r="J898" s="527">
        <v>0</v>
      </c>
      <c r="K898" s="527"/>
      <c r="L898" s="797">
        <f>[1]!tsabetm(C898)</f>
        <v>73.75</v>
      </c>
      <c r="M898" s="797">
        <f>[1]!tsabetz(C898)</f>
        <v>98.516666666666666</v>
      </c>
      <c r="N898" s="797">
        <f t="shared" si="72"/>
        <v>70.134589502018841</v>
      </c>
      <c r="O898" s="797">
        <f t="shared" si="73"/>
        <v>1445.0028169014086</v>
      </c>
      <c r="P898" s="797">
        <f t="shared" si="74"/>
        <v>17.824516934653332</v>
      </c>
      <c r="Q898" s="797">
        <f t="shared" si="75"/>
        <v>101</v>
      </c>
      <c r="R898" s="797">
        <f t="shared" si="76"/>
        <v>101.29707528224422</v>
      </c>
      <c r="S898" s="797">
        <f>[1]!taqsabet(O898,C898)</f>
        <v>101.29547550743663</v>
      </c>
      <c r="T898" s="527"/>
      <c r="U898" s="527">
        <v>3</v>
      </c>
      <c r="V898" s="527">
        <v>8</v>
      </c>
      <c r="W898" s="527">
        <v>31</v>
      </c>
      <c r="X898" s="527"/>
      <c r="Y898" s="527">
        <v>55</v>
      </c>
      <c r="Z898" s="527">
        <v>48</v>
      </c>
      <c r="AA898" s="527" t="s">
        <v>274</v>
      </c>
      <c r="AB898" s="527">
        <v>4</v>
      </c>
      <c r="AC898" s="527">
        <v>4</v>
      </c>
      <c r="AD898" s="527"/>
    </row>
    <row r="899" spans="1:31">
      <c r="C899" s="523">
        <v>838</v>
      </c>
      <c r="D899" s="523">
        <v>6</v>
      </c>
      <c r="E899" s="543" t="s">
        <v>3235</v>
      </c>
      <c r="F899" s="523">
        <v>70</v>
      </c>
      <c r="G899" s="523"/>
      <c r="H899" s="523">
        <v>66</v>
      </c>
      <c r="I899" s="523">
        <v>0</v>
      </c>
      <c r="J899" s="523">
        <v>0</v>
      </c>
      <c r="K899" s="523"/>
      <c r="L899" s="797">
        <f>[1]!tsabetm(C899)</f>
        <v>57.583333333333336</v>
      </c>
      <c r="M899" s="797">
        <f>[1]!tsabetz(C899)</f>
        <v>82.766666666666666</v>
      </c>
      <c r="N899" s="797">
        <f t="shared" si="72"/>
        <v>68.974189278623442</v>
      </c>
      <c r="O899" s="797">
        <f t="shared" si="73"/>
        <v>1445.0028169014086</v>
      </c>
      <c r="P899" s="797">
        <f t="shared" si="74"/>
        <v>35.631120516999886</v>
      </c>
      <c r="Q899" s="797">
        <f t="shared" si="75"/>
        <v>85</v>
      </c>
      <c r="R899" s="797">
        <f t="shared" si="76"/>
        <v>85.593852008616665</v>
      </c>
      <c r="S899" s="797">
        <f>[1]!taqsabet(O899,C899)</f>
        <v>85.592225319697235</v>
      </c>
      <c r="T899" s="523"/>
      <c r="U899" s="523">
        <v>2</v>
      </c>
      <c r="V899" s="523">
        <v>22</v>
      </c>
      <c r="W899" s="523">
        <v>46</v>
      </c>
      <c r="X899" s="523"/>
      <c r="Y899" s="523">
        <v>55</v>
      </c>
      <c r="Z899" s="523">
        <v>21</v>
      </c>
      <c r="AA899" s="523" t="s">
        <v>274</v>
      </c>
      <c r="AB899" s="523">
        <v>4</v>
      </c>
      <c r="AC899" s="523">
        <v>4</v>
      </c>
      <c r="AD899" s="523"/>
    </row>
    <row r="900" spans="1:31">
      <c r="C900" s="527">
        <v>839</v>
      </c>
      <c r="D900" s="527">
        <v>7</v>
      </c>
      <c r="E900" s="553" t="s">
        <v>2612</v>
      </c>
      <c r="F900" s="527">
        <v>70</v>
      </c>
      <c r="G900" s="527"/>
      <c r="H900" s="527">
        <v>66</v>
      </c>
      <c r="I900" s="527">
        <v>0</v>
      </c>
      <c r="J900" s="527">
        <v>0</v>
      </c>
      <c r="K900" s="527"/>
      <c r="L900" s="797">
        <f>[1]!tsabetm(C900)</f>
        <v>59.916666666666664</v>
      </c>
      <c r="M900" s="797">
        <f>[1]!tsabetz(C900)</f>
        <v>85.45</v>
      </c>
      <c r="N900" s="797">
        <f t="shared" si="72"/>
        <v>68.028720626631838</v>
      </c>
      <c r="O900" s="797">
        <f t="shared" si="73"/>
        <v>1445.0028169014086</v>
      </c>
      <c r="P900" s="797">
        <f t="shared" si="74"/>
        <v>18.988667526170673</v>
      </c>
      <c r="Q900" s="797">
        <f t="shared" si="75"/>
        <v>88</v>
      </c>
      <c r="R900" s="797">
        <f t="shared" si="76"/>
        <v>88.316477792102845</v>
      </c>
      <c r="S900" s="797">
        <f>[1]!taqsabet(O900,C900)</f>
        <v>88.314828495329479</v>
      </c>
      <c r="T900" s="527"/>
      <c r="U900" s="527">
        <v>2</v>
      </c>
      <c r="V900" s="527">
        <v>25</v>
      </c>
      <c r="W900" s="527">
        <v>27</v>
      </c>
      <c r="X900" s="527"/>
      <c r="Y900" s="527">
        <v>57</v>
      </c>
      <c r="Z900" s="527">
        <v>15</v>
      </c>
      <c r="AA900" s="527" t="s">
        <v>274</v>
      </c>
      <c r="AB900" s="527">
        <v>4</v>
      </c>
      <c r="AC900" s="527">
        <v>4</v>
      </c>
      <c r="AD900" s="527"/>
    </row>
    <row r="901" spans="1:31">
      <c r="C901" s="523">
        <v>840</v>
      </c>
      <c r="D901" s="523">
        <v>8</v>
      </c>
      <c r="E901" s="543" t="s">
        <v>2613</v>
      </c>
      <c r="F901" s="523">
        <v>70</v>
      </c>
      <c r="G901" s="523"/>
      <c r="H901" s="523">
        <v>66</v>
      </c>
      <c r="I901" s="523">
        <v>0</v>
      </c>
      <c r="J901" s="523">
        <v>0</v>
      </c>
      <c r="K901" s="523"/>
      <c r="L901" s="797">
        <f>[1]!tsabetm(C901)</f>
        <v>61.916666666666664</v>
      </c>
      <c r="M901" s="797">
        <f>[1]!tsabetz(C901)</f>
        <v>87.016666666666666</v>
      </c>
      <c r="N901" s="797">
        <f t="shared" si="72"/>
        <v>69.20318725099601</v>
      </c>
      <c r="O901" s="797">
        <f t="shared" si="73"/>
        <v>1445.0028169014086</v>
      </c>
      <c r="P901" s="797">
        <f t="shared" si="74"/>
        <v>50.069799800530745</v>
      </c>
      <c r="Q901" s="797">
        <f t="shared" si="75"/>
        <v>89</v>
      </c>
      <c r="R901" s="797">
        <f t="shared" si="76"/>
        <v>89.834496663342179</v>
      </c>
      <c r="S901" s="797">
        <f>[1]!taqsabet(O901,C901)</f>
        <v>89.832875357245115</v>
      </c>
      <c r="T901" s="523"/>
      <c r="U901" s="523">
        <v>2</v>
      </c>
      <c r="V901" s="523">
        <v>27</v>
      </c>
      <c r="W901" s="523">
        <v>1</v>
      </c>
      <c r="X901" s="523"/>
      <c r="Y901" s="523">
        <v>58</v>
      </c>
      <c r="Z901" s="523">
        <v>30</v>
      </c>
      <c r="AA901" s="523" t="s">
        <v>274</v>
      </c>
      <c r="AB901" s="523">
        <v>4</v>
      </c>
      <c r="AC901" s="523">
        <v>4</v>
      </c>
      <c r="AD901" s="523"/>
    </row>
    <row r="902" spans="1:31">
      <c r="C902" s="527">
        <v>841</v>
      </c>
      <c r="D902" s="527">
        <v>9</v>
      </c>
      <c r="E902" s="553" t="s">
        <v>3236</v>
      </c>
      <c r="F902" s="527">
        <v>70</v>
      </c>
      <c r="G902" s="527"/>
      <c r="H902" s="527">
        <v>66</v>
      </c>
      <c r="I902" s="527">
        <v>0</v>
      </c>
      <c r="J902" s="527">
        <v>0</v>
      </c>
      <c r="K902" s="527"/>
      <c r="L902" s="797">
        <f>[1]!tsabetm(C902)</f>
        <v>58.583333333333336</v>
      </c>
      <c r="M902" s="797">
        <f>[1]!tsabetz(C902)</f>
        <v>84.016666666666666</v>
      </c>
      <c r="N902" s="797">
        <f t="shared" si="72"/>
        <v>68.296199213630416</v>
      </c>
      <c r="O902" s="797">
        <f t="shared" si="73"/>
        <v>1445.0028169014086</v>
      </c>
      <c r="P902" s="797">
        <f t="shared" si="74"/>
        <v>52.315082666407307</v>
      </c>
      <c r="Q902" s="797">
        <f t="shared" si="75"/>
        <v>86</v>
      </c>
      <c r="R902" s="797">
        <f t="shared" si="76"/>
        <v>86.871918044440122</v>
      </c>
      <c r="S902" s="797">
        <f>[1]!taqsabet(O902,C902)</f>
        <v>86.870275207053595</v>
      </c>
      <c r="T902" s="527"/>
      <c r="U902" s="527">
        <v>2</v>
      </c>
      <c r="V902" s="527">
        <v>24</v>
      </c>
      <c r="W902" s="527">
        <v>1</v>
      </c>
      <c r="X902" s="527"/>
      <c r="Y902" s="527">
        <v>59</v>
      </c>
      <c r="Z902" s="527">
        <v>30</v>
      </c>
      <c r="AA902" s="527" t="s">
        <v>274</v>
      </c>
      <c r="AB902" s="527">
        <v>3</v>
      </c>
      <c r="AC902" s="527">
        <v>2</v>
      </c>
      <c r="AD902" s="527"/>
    </row>
    <row r="903" spans="1:31">
      <c r="C903" s="523">
        <v>842</v>
      </c>
      <c r="D903" s="523">
        <v>10</v>
      </c>
      <c r="E903" s="543" t="s">
        <v>3237</v>
      </c>
      <c r="F903" s="523">
        <v>70</v>
      </c>
      <c r="G903" s="523"/>
      <c r="H903" s="523">
        <v>66</v>
      </c>
      <c r="I903" s="523">
        <v>0</v>
      </c>
      <c r="J903" s="523">
        <v>0</v>
      </c>
      <c r="K903" s="523"/>
      <c r="L903" s="797">
        <f>[1]!tsabetm(C903)</f>
        <v>55.583333333333336</v>
      </c>
      <c r="M903" s="797">
        <f>[1]!tsabetz(C903)</f>
        <v>80.016666666666666</v>
      </c>
      <c r="N903" s="797">
        <f t="shared" ref="N903:N966" si="77">(1697+40)/((IF(M903-L903&gt;0,M903-L903,M903+360-L903)))</f>
        <v>71.091405184174633</v>
      </c>
      <c r="O903" s="797">
        <f t="shared" si="73"/>
        <v>1445.0028169014086</v>
      </c>
      <c r="P903" s="797">
        <f t="shared" si="74"/>
        <v>45.579234068776771</v>
      </c>
      <c r="Q903" s="797">
        <f t="shared" si="75"/>
        <v>82</v>
      </c>
      <c r="R903" s="797">
        <f t="shared" si="76"/>
        <v>82.75965390114628</v>
      </c>
      <c r="S903" s="797">
        <f>[1]!taqsabet(O903,C903)</f>
        <v>82.758075657628169</v>
      </c>
      <c r="T903" s="523"/>
      <c r="U903" s="523">
        <v>2</v>
      </c>
      <c r="V903" s="523">
        <v>20</v>
      </c>
      <c r="W903" s="523">
        <v>31</v>
      </c>
      <c r="X903" s="523"/>
      <c r="Y903" s="523">
        <v>59</v>
      </c>
      <c r="Z903" s="523">
        <v>24</v>
      </c>
      <c r="AA903" s="523" t="s">
        <v>274</v>
      </c>
      <c r="AB903" s="523">
        <v>2</v>
      </c>
      <c r="AC903" s="523">
        <v>2</v>
      </c>
      <c r="AD903" s="523"/>
      <c r="AE903" s="327">
        <v>609</v>
      </c>
    </row>
    <row r="904" spans="1:31">
      <c r="C904" s="527">
        <v>843</v>
      </c>
      <c r="D904" s="527">
        <v>11</v>
      </c>
      <c r="E904" s="553" t="s">
        <v>3238</v>
      </c>
      <c r="F904" s="527">
        <v>70</v>
      </c>
      <c r="G904" s="527"/>
      <c r="H904" s="527">
        <v>66</v>
      </c>
      <c r="I904" s="527">
        <v>0</v>
      </c>
      <c r="J904" s="527">
        <v>0</v>
      </c>
      <c r="K904" s="527"/>
      <c r="L904" s="797">
        <f>[1]!tsabetm(C904)</f>
        <v>51.749999999999993</v>
      </c>
      <c r="M904" s="797">
        <f>[1]!tsabetz(C904)</f>
        <v>76.516666666666666</v>
      </c>
      <c r="N904" s="797">
        <f t="shared" si="77"/>
        <v>70.134589502018827</v>
      </c>
      <c r="O904" s="797">
        <f t="shared" ref="O904:O967" si="78">O903</f>
        <v>1445.0028169014086</v>
      </c>
      <c r="P904" s="797">
        <f t="shared" ref="P904:P967" si="79">(R904-Q904)*60</f>
        <v>17.824516934653332</v>
      </c>
      <c r="Q904" s="797">
        <f t="shared" ref="Q904:Q967" si="80">INT(R904)</f>
        <v>79</v>
      </c>
      <c r="R904" s="797">
        <f t="shared" ref="R904:R967" si="81">((O904-1250)/(N904))+M904</f>
        <v>79.297075282244222</v>
      </c>
      <c r="S904" s="797">
        <f>[1]!taqsabet(O904,C904)</f>
        <v>79.295475507436649</v>
      </c>
      <c r="T904" s="527"/>
      <c r="U904" s="527">
        <v>2</v>
      </c>
      <c r="V904" s="527">
        <v>16</v>
      </c>
      <c r="W904" s="527">
        <v>31</v>
      </c>
      <c r="X904" s="527"/>
      <c r="Y904" s="527">
        <v>58</v>
      </c>
      <c r="Z904" s="527">
        <v>30</v>
      </c>
      <c r="AA904" s="527" t="s">
        <v>274</v>
      </c>
      <c r="AB904" s="527">
        <v>4</v>
      </c>
      <c r="AC904" s="527">
        <v>4</v>
      </c>
      <c r="AD904" s="527"/>
    </row>
    <row r="905" spans="1:31">
      <c r="C905" s="546"/>
      <c r="D905" s="546"/>
      <c r="E905" s="546"/>
      <c r="F905" s="546"/>
      <c r="G905" s="546"/>
      <c r="H905" s="546"/>
      <c r="I905" s="546"/>
      <c r="J905" s="546"/>
      <c r="K905" s="546"/>
      <c r="N905" s="797">
        <f t="shared" si="77"/>
        <v>4.8250000000000002</v>
      </c>
      <c r="O905" s="797">
        <f t="shared" si="78"/>
        <v>1445.0028169014086</v>
      </c>
      <c r="P905" s="797">
        <f t="shared" si="79"/>
        <v>24.905495147049237</v>
      </c>
      <c r="Q905" s="797">
        <f t="shared" si="80"/>
        <v>40</v>
      </c>
      <c r="R905" s="797">
        <f t="shared" si="81"/>
        <v>40.415091585784154</v>
      </c>
      <c r="S905" s="797">
        <f>[1]!taqsabet(O905,C905)</f>
        <v>1.4716840899636423</v>
      </c>
      <c r="T905" s="546"/>
      <c r="U905" s="546"/>
      <c r="V905" s="546"/>
      <c r="W905" s="546"/>
      <c r="X905" s="546"/>
      <c r="Y905" s="546"/>
      <c r="Z905" s="546"/>
      <c r="AA905" s="546"/>
      <c r="AB905" s="546"/>
      <c r="AC905" s="546"/>
      <c r="AD905" s="546"/>
    </row>
    <row r="906" spans="1:31">
      <c r="A906" s="567">
        <v>6</v>
      </c>
      <c r="B906" s="536" t="s">
        <v>3239</v>
      </c>
      <c r="C906" s="522">
        <v>844</v>
      </c>
      <c r="D906" s="522">
        <v>1</v>
      </c>
      <c r="E906" s="550" t="s">
        <v>3240</v>
      </c>
      <c r="F906" s="522">
        <v>70</v>
      </c>
      <c r="G906" s="522"/>
      <c r="H906" s="522">
        <v>66</v>
      </c>
      <c r="I906" s="522">
        <v>0</v>
      </c>
      <c r="J906" s="522">
        <v>0</v>
      </c>
      <c r="K906" s="522"/>
      <c r="L906" s="797">
        <f>[1]!tsabetm(C906)</f>
        <v>84.583333333333343</v>
      </c>
      <c r="M906" s="797">
        <f>[1]!tsabetz(C906)</f>
        <v>110.51666666666667</v>
      </c>
      <c r="N906" s="797">
        <f t="shared" si="77"/>
        <v>66.979434447300804</v>
      </c>
      <c r="O906" s="797">
        <f t="shared" si="78"/>
        <v>1445.0028169014086</v>
      </c>
      <c r="P906" s="797">
        <f t="shared" si="79"/>
        <v>25.683006965222148</v>
      </c>
      <c r="Q906" s="797">
        <f t="shared" si="80"/>
        <v>113</v>
      </c>
      <c r="R906" s="797">
        <f t="shared" si="81"/>
        <v>113.42805011608704</v>
      </c>
      <c r="S906" s="797">
        <f>[1]!taqsabet(O906,C906)</f>
        <v>113.42637498176632</v>
      </c>
      <c r="T906" s="522"/>
      <c r="U906" s="522">
        <v>3</v>
      </c>
      <c r="V906" s="522">
        <v>20</v>
      </c>
      <c r="W906" s="522">
        <v>31</v>
      </c>
      <c r="X906" s="522"/>
      <c r="Y906" s="522">
        <v>13</v>
      </c>
      <c r="Z906" s="522">
        <v>54</v>
      </c>
      <c r="AA906" s="522" t="s">
        <v>274</v>
      </c>
      <c r="AB906" s="522">
        <v>4</v>
      </c>
      <c r="AC906" s="522">
        <v>4</v>
      </c>
      <c r="AD906" s="522" t="s">
        <v>1632</v>
      </c>
    </row>
    <row r="907" spans="1:31">
      <c r="C907" s="523">
        <v>845</v>
      </c>
      <c r="D907" s="523">
        <v>2</v>
      </c>
      <c r="E907" s="543" t="s">
        <v>3241</v>
      </c>
      <c r="F907" s="523">
        <v>70</v>
      </c>
      <c r="G907" s="523"/>
      <c r="H907" s="523">
        <v>69</v>
      </c>
      <c r="I907" s="523">
        <v>1</v>
      </c>
      <c r="J907" s="523">
        <v>10</v>
      </c>
      <c r="K907" s="523" t="s">
        <v>3242</v>
      </c>
      <c r="L907" s="797">
        <f>[1]!tsabetm(C907)</f>
        <v>88.75</v>
      </c>
      <c r="M907" s="797">
        <f>[1]!tsabetz(C907)</f>
        <v>114.46666666666667</v>
      </c>
      <c r="N907" s="797">
        <f t="shared" si="77"/>
        <v>67.543745949449118</v>
      </c>
      <c r="O907" s="797">
        <f t="shared" si="78"/>
        <v>1445.0028169014086</v>
      </c>
      <c r="P907" s="797">
        <f t="shared" si="79"/>
        <v>21.223573102402895</v>
      </c>
      <c r="Q907" s="797">
        <f t="shared" si="80"/>
        <v>117</v>
      </c>
      <c r="R907" s="797">
        <f t="shared" si="81"/>
        <v>117.35372621837338</v>
      </c>
      <c r="S907" s="797">
        <f>[1]!taqsabet(O907,C907)</f>
        <v>117.35206507939081</v>
      </c>
      <c r="T907" s="523"/>
      <c r="U907" s="523">
        <v>3</v>
      </c>
      <c r="V907" s="523">
        <v>24</v>
      </c>
      <c r="W907" s="523">
        <v>28</v>
      </c>
      <c r="X907" s="523"/>
      <c r="Y907" s="523">
        <v>16</v>
      </c>
      <c r="Z907" s="523">
        <v>0</v>
      </c>
      <c r="AA907" s="523" t="s">
        <v>274</v>
      </c>
      <c r="AB907" s="523">
        <v>1</v>
      </c>
      <c r="AC907" s="523">
        <v>1</v>
      </c>
      <c r="AD907" s="523" t="s">
        <v>1632</v>
      </c>
    </row>
    <row r="908" spans="1:31">
      <c r="B908" s="505" t="s">
        <v>2355</v>
      </c>
      <c r="C908" s="506" t="s">
        <v>2356</v>
      </c>
      <c r="D908" s="507" t="s">
        <v>2357</v>
      </c>
      <c r="E908" s="511" t="s">
        <v>2358</v>
      </c>
      <c r="F908" s="511"/>
      <c r="G908" s="511"/>
      <c r="H908" s="511"/>
      <c r="I908" s="511"/>
      <c r="J908" s="511"/>
      <c r="K908" s="514" t="s">
        <v>2360</v>
      </c>
      <c r="N908" s="797">
        <f t="shared" si="77"/>
        <v>4.8250000000000002</v>
      </c>
      <c r="O908" s="797">
        <f t="shared" si="78"/>
        <v>1445.0028169014086</v>
      </c>
      <c r="P908" s="797">
        <f t="shared" si="79"/>
        <v>24.905495147049237</v>
      </c>
      <c r="Q908" s="797">
        <f t="shared" si="80"/>
        <v>40</v>
      </c>
      <c r="R908" s="797">
        <f t="shared" si="81"/>
        <v>40.415091585784154</v>
      </c>
      <c r="S908" s="797" t="e">
        <f>[1]!taqsabet(O908,C908)</f>
        <v>#VALUE!</v>
      </c>
      <c r="T908" s="507"/>
      <c r="U908" s="508" t="s">
        <v>403</v>
      </c>
      <c r="V908" s="508"/>
      <c r="W908" s="509"/>
      <c r="X908" s="507"/>
      <c r="Y908" s="509" t="s">
        <v>275</v>
      </c>
      <c r="Z908" s="510"/>
      <c r="AA908" s="506" t="s">
        <v>176</v>
      </c>
      <c r="AB908" s="511" t="s">
        <v>2361</v>
      </c>
      <c r="AC908" s="511" t="s">
        <v>2362</v>
      </c>
      <c r="AD908" s="511" t="s">
        <v>2363</v>
      </c>
    </row>
    <row r="909" spans="1:31">
      <c r="B909" s="505"/>
      <c r="C909" s="512"/>
      <c r="D909" s="512"/>
      <c r="E909" s="513"/>
      <c r="F909" s="513"/>
      <c r="G909" s="513"/>
      <c r="H909" s="513"/>
      <c r="I909" s="513"/>
      <c r="J909" s="513"/>
      <c r="K909" s="514"/>
      <c r="N909" s="797">
        <f t="shared" si="77"/>
        <v>4.8250000000000002</v>
      </c>
      <c r="O909" s="797">
        <f t="shared" si="78"/>
        <v>1445.0028169014086</v>
      </c>
      <c r="P909" s="797">
        <f t="shared" si="79"/>
        <v>24.905495147049237</v>
      </c>
      <c r="Q909" s="797">
        <f t="shared" si="80"/>
        <v>40</v>
      </c>
      <c r="R909" s="797">
        <f t="shared" si="81"/>
        <v>40.415091585784154</v>
      </c>
      <c r="S909" s="797">
        <f>[1]!taqsabet(O909,C909)</f>
        <v>1.4716840899636423</v>
      </c>
      <c r="T909" s="515" t="s">
        <v>2367</v>
      </c>
      <c r="U909" s="516" t="s">
        <v>173</v>
      </c>
      <c r="V909" s="516" t="s">
        <v>172</v>
      </c>
      <c r="W909" s="516" t="s">
        <v>166</v>
      </c>
      <c r="X909" s="517" t="s">
        <v>2367</v>
      </c>
      <c r="Y909" s="516" t="s">
        <v>172</v>
      </c>
      <c r="Z909" s="518" t="s">
        <v>166</v>
      </c>
      <c r="AA909" s="512"/>
      <c r="AB909" s="517" t="s">
        <v>2368</v>
      </c>
      <c r="AC909" s="517" t="s">
        <v>2369</v>
      </c>
      <c r="AD909" s="513"/>
    </row>
    <row r="910" spans="1:31">
      <c r="A910" s="567">
        <v>7</v>
      </c>
      <c r="B910" s="536" t="s">
        <v>3243</v>
      </c>
      <c r="C910" s="527">
        <v>846</v>
      </c>
      <c r="D910" s="527">
        <v>1</v>
      </c>
      <c r="E910" s="553" t="s">
        <v>3244</v>
      </c>
      <c r="F910" s="527">
        <v>70</v>
      </c>
      <c r="G910" s="527"/>
      <c r="H910" s="527">
        <v>66</v>
      </c>
      <c r="I910" s="527">
        <v>0</v>
      </c>
      <c r="J910" s="527">
        <v>0</v>
      </c>
      <c r="K910" s="527"/>
      <c r="L910" s="797">
        <f>[1]!tsabetm(C910)</f>
        <v>99.916666666666657</v>
      </c>
      <c r="M910" s="797">
        <f>[1]!tsabetz(C910)</f>
        <v>125.36666666666666</v>
      </c>
      <c r="N910" s="797">
        <f t="shared" si="77"/>
        <v>68.251473477406677</v>
      </c>
      <c r="O910" s="797">
        <f t="shared" si="78"/>
        <v>1445.0028169014086</v>
      </c>
      <c r="P910" s="797">
        <f t="shared" si="79"/>
        <v>13.427346809700111</v>
      </c>
      <c r="Q910" s="797">
        <f t="shared" si="80"/>
        <v>128</v>
      </c>
      <c r="R910" s="797">
        <f t="shared" si="81"/>
        <v>128.223789113495</v>
      </c>
      <c r="S910" s="797">
        <f>[1]!taqsabet(O910,C910)</f>
        <v>128.22214519954403</v>
      </c>
      <c r="T910" s="527"/>
      <c r="U910" s="527">
        <v>4</v>
      </c>
      <c r="V910" s="527">
        <v>5</v>
      </c>
      <c r="W910" s="527">
        <v>22</v>
      </c>
      <c r="X910" s="527"/>
      <c r="Y910" s="527">
        <v>42</v>
      </c>
      <c r="Z910" s="527">
        <v>42</v>
      </c>
      <c r="AA910" s="527" t="s">
        <v>274</v>
      </c>
      <c r="AB910" s="527">
        <v>5</v>
      </c>
      <c r="AC910" s="527">
        <v>5</v>
      </c>
      <c r="AD910" s="527" t="s">
        <v>2867</v>
      </c>
    </row>
    <row r="911" spans="1:31">
      <c r="C911" s="523">
        <v>847</v>
      </c>
      <c r="D911" s="523">
        <v>2</v>
      </c>
      <c r="E911" s="543" t="s">
        <v>2465</v>
      </c>
      <c r="F911" s="523">
        <v>70</v>
      </c>
      <c r="G911" s="523"/>
      <c r="H911" s="523">
        <v>66</v>
      </c>
      <c r="I911" s="523">
        <v>0</v>
      </c>
      <c r="J911" s="523">
        <v>0</v>
      </c>
      <c r="K911" s="523"/>
      <c r="L911" s="797">
        <f>[1]!tsabetm(C911)</f>
        <v>103.91666666666666</v>
      </c>
      <c r="M911" s="797">
        <f>[1]!tsabetz(C911)</f>
        <v>129.26666666666668</v>
      </c>
      <c r="N911" s="797">
        <f t="shared" si="77"/>
        <v>68.520710059171535</v>
      </c>
      <c r="O911" s="797">
        <f t="shared" si="78"/>
        <v>1445.0028169014086</v>
      </c>
      <c r="P911" s="797">
        <f t="shared" si="79"/>
        <v>6.7537619499398716</v>
      </c>
      <c r="Q911" s="797">
        <f t="shared" si="80"/>
        <v>132</v>
      </c>
      <c r="R911" s="797">
        <f t="shared" si="81"/>
        <v>132.11256269916566</v>
      </c>
      <c r="S911" s="797">
        <f>[1]!taqsabet(O911,C911)</f>
        <v>132.1109252446015</v>
      </c>
      <c r="T911" s="523"/>
      <c r="U911" s="523">
        <v>4</v>
      </c>
      <c r="V911" s="523">
        <v>9</v>
      </c>
      <c r="W911" s="523">
        <v>16</v>
      </c>
      <c r="X911" s="523"/>
      <c r="Y911" s="523">
        <v>43</v>
      </c>
      <c r="Z911" s="523">
        <v>33</v>
      </c>
      <c r="AA911" s="523" t="s">
        <v>274</v>
      </c>
      <c r="AB911" s="523">
        <v>3</v>
      </c>
      <c r="AC911" s="523">
        <v>3</v>
      </c>
      <c r="AD911" s="523" t="s">
        <v>2867</v>
      </c>
    </row>
    <row r="912" spans="1:31">
      <c r="C912" s="527">
        <v>848</v>
      </c>
      <c r="D912" s="527">
        <v>3</v>
      </c>
      <c r="E912" s="553" t="s">
        <v>3245</v>
      </c>
      <c r="F912" s="527">
        <v>70</v>
      </c>
      <c r="G912" s="527"/>
      <c r="H912" s="527">
        <v>66</v>
      </c>
      <c r="I912" s="527">
        <v>0</v>
      </c>
      <c r="J912" s="527">
        <v>0</v>
      </c>
      <c r="K912" s="527"/>
      <c r="L912" s="797">
        <f>[1]!tsabetm(C912)</f>
        <v>98.416666666666657</v>
      </c>
      <c r="M912" s="797">
        <f>[1]!tsabetz(C912)</f>
        <v>124.31666666666666</v>
      </c>
      <c r="N912" s="797">
        <f t="shared" si="77"/>
        <v>67.065637065637048</v>
      </c>
      <c r="O912" s="797">
        <f t="shared" si="78"/>
        <v>1445.0028169014086</v>
      </c>
      <c r="P912" s="797">
        <f t="shared" si="79"/>
        <v>13.458478678634833</v>
      </c>
      <c r="Q912" s="797">
        <f t="shared" si="80"/>
        <v>127</v>
      </c>
      <c r="R912" s="797">
        <f t="shared" si="81"/>
        <v>127.22430797797725</v>
      </c>
      <c r="S912" s="797">
        <f>[1]!taqsabet(O912,C912)</f>
        <v>127.22263499678547</v>
      </c>
      <c r="T912" s="527"/>
      <c r="U912" s="527">
        <v>4</v>
      </c>
      <c r="V912" s="527">
        <v>4</v>
      </c>
      <c r="W912" s="527">
        <v>19</v>
      </c>
      <c r="X912" s="527"/>
      <c r="Y912" s="527">
        <v>45</v>
      </c>
      <c r="Z912" s="527">
        <v>12</v>
      </c>
      <c r="AA912" s="527" t="s">
        <v>274</v>
      </c>
      <c r="AB912" s="527">
        <v>4</v>
      </c>
      <c r="AC912" s="527">
        <v>4</v>
      </c>
      <c r="AD912" s="527" t="s">
        <v>2867</v>
      </c>
    </row>
    <row r="913" spans="3:31">
      <c r="C913" s="523">
        <v>849</v>
      </c>
      <c r="D913" s="523">
        <v>4</v>
      </c>
      <c r="E913" s="543" t="s">
        <v>2718</v>
      </c>
      <c r="F913" s="523">
        <v>70</v>
      </c>
      <c r="G913" s="523"/>
      <c r="H913" s="523">
        <v>66</v>
      </c>
      <c r="I913" s="523">
        <v>0</v>
      </c>
      <c r="J913" s="523">
        <v>0</v>
      </c>
      <c r="K913" s="523"/>
      <c r="L913" s="797">
        <f>[1]!tsabetm(C913)</f>
        <v>98.25</v>
      </c>
      <c r="M913" s="797">
        <f>[1]!tsabetz(C913)</f>
        <v>123.81666666666666</v>
      </c>
      <c r="N913" s="797">
        <f t="shared" si="77"/>
        <v>67.940026075619301</v>
      </c>
      <c r="O913" s="797">
        <f t="shared" si="78"/>
        <v>1445.0028169014086</v>
      </c>
      <c r="P913" s="797">
        <f t="shared" si="79"/>
        <v>41.213195812757419</v>
      </c>
      <c r="Q913" s="797">
        <f t="shared" si="80"/>
        <v>126</v>
      </c>
      <c r="R913" s="797">
        <f t="shared" si="81"/>
        <v>126.68688659687929</v>
      </c>
      <c r="S913" s="797">
        <f>[1]!taqsabet(O913,C913)</f>
        <v>126.68523514697699</v>
      </c>
      <c r="T913" s="523"/>
      <c r="U913" s="523">
        <v>4</v>
      </c>
      <c r="V913" s="523">
        <v>3</v>
      </c>
      <c r="W913" s="523">
        <v>49</v>
      </c>
      <c r="X913" s="523"/>
      <c r="Y913" s="523">
        <v>46</v>
      </c>
      <c r="Z913" s="523">
        <v>21</v>
      </c>
      <c r="AA913" s="523" t="s">
        <v>274</v>
      </c>
      <c r="AB913" s="523">
        <v>4</v>
      </c>
      <c r="AC913" s="523">
        <v>4</v>
      </c>
      <c r="AD913" s="523" t="s">
        <v>2867</v>
      </c>
    </row>
    <row r="914" spans="3:31">
      <c r="C914" s="527">
        <v>850</v>
      </c>
      <c r="D914" s="527">
        <v>5</v>
      </c>
      <c r="E914" s="553" t="s">
        <v>3246</v>
      </c>
      <c r="F914" s="527">
        <v>70</v>
      </c>
      <c r="G914" s="527"/>
      <c r="H914" s="527">
        <v>66</v>
      </c>
      <c r="I914" s="527">
        <v>0</v>
      </c>
      <c r="J914" s="527">
        <v>0</v>
      </c>
      <c r="K914" s="527"/>
      <c r="L914" s="797">
        <f>[1]!tsabetm(C914)</f>
        <v>94.916666666666657</v>
      </c>
      <c r="M914" s="797">
        <f>[1]!tsabetz(C914)</f>
        <v>120.46666666666667</v>
      </c>
      <c r="N914" s="797">
        <f t="shared" si="77"/>
        <v>67.984344422700559</v>
      </c>
      <c r="O914" s="797">
        <f t="shared" si="78"/>
        <v>1445.0028169014086</v>
      </c>
      <c r="P914" s="797">
        <f t="shared" si="79"/>
        <v>20.100931669464615</v>
      </c>
      <c r="Q914" s="797">
        <f t="shared" si="80"/>
        <v>123</v>
      </c>
      <c r="R914" s="797">
        <f t="shared" si="81"/>
        <v>123.33501552782441</v>
      </c>
      <c r="S914" s="797">
        <f>[1]!taqsabet(O914,C914)</f>
        <v>123.33336515448657</v>
      </c>
      <c r="T914" s="527"/>
      <c r="U914" s="527">
        <v>4</v>
      </c>
      <c r="V914" s="527">
        <v>0</v>
      </c>
      <c r="W914" s="527">
        <v>28</v>
      </c>
      <c r="X914" s="527"/>
      <c r="Y914" s="527">
        <v>46</v>
      </c>
      <c r="Z914" s="527">
        <v>24</v>
      </c>
      <c r="AA914" s="527" t="s">
        <v>274</v>
      </c>
      <c r="AB914" s="527">
        <v>4</v>
      </c>
      <c r="AC914" s="527">
        <v>4</v>
      </c>
      <c r="AD914" s="527" t="s">
        <v>2867</v>
      </c>
    </row>
    <row r="915" spans="3:31">
      <c r="C915" s="523">
        <v>851</v>
      </c>
      <c r="D915" s="523">
        <v>6</v>
      </c>
      <c r="E915" s="543" t="s">
        <v>3247</v>
      </c>
      <c r="F915" s="523">
        <v>70</v>
      </c>
      <c r="G915" s="523"/>
      <c r="H915" s="523">
        <v>66</v>
      </c>
      <c r="I915" s="523">
        <v>0</v>
      </c>
      <c r="J915" s="523">
        <v>0</v>
      </c>
      <c r="K915" s="523"/>
      <c r="L915" s="797">
        <f>[1]!tsabetm(C915)</f>
        <v>95.916666666666657</v>
      </c>
      <c r="M915" s="797">
        <f>[1]!tsabetz(C915)</f>
        <v>121.26666666666667</v>
      </c>
      <c r="N915" s="797">
        <f t="shared" si="77"/>
        <v>68.520710059171577</v>
      </c>
      <c r="O915" s="797">
        <f t="shared" si="78"/>
        <v>1445.0028169014086</v>
      </c>
      <c r="P915" s="797">
        <f t="shared" si="79"/>
        <v>6.7537619499381663</v>
      </c>
      <c r="Q915" s="797">
        <f t="shared" si="80"/>
        <v>124</v>
      </c>
      <c r="R915" s="797">
        <f t="shared" si="81"/>
        <v>124.11256269916564</v>
      </c>
      <c r="S915" s="797">
        <f>[1]!taqsabet(O915,C915)</f>
        <v>124.11092524460148</v>
      </c>
      <c r="T915" s="523"/>
      <c r="U915" s="523">
        <v>4</v>
      </c>
      <c r="V915" s="523">
        <v>1</v>
      </c>
      <c r="W915" s="523">
        <v>16</v>
      </c>
      <c r="X915" s="523"/>
      <c r="Y915" s="523">
        <v>47</v>
      </c>
      <c r="Z915" s="523">
        <v>42</v>
      </c>
      <c r="AA915" s="523" t="s">
        <v>274</v>
      </c>
      <c r="AB915" s="523">
        <v>4</v>
      </c>
      <c r="AC915" s="523">
        <v>3</v>
      </c>
      <c r="AD915" s="523" t="s">
        <v>2867</v>
      </c>
    </row>
    <row r="916" spans="3:31">
      <c r="C916" s="527">
        <v>852</v>
      </c>
      <c r="D916" s="527">
        <v>7</v>
      </c>
      <c r="E916" s="553" t="s">
        <v>3248</v>
      </c>
      <c r="F916" s="527">
        <v>70</v>
      </c>
      <c r="G916" s="527"/>
      <c r="H916" s="527">
        <v>66</v>
      </c>
      <c r="I916" s="527">
        <v>0</v>
      </c>
      <c r="J916" s="527">
        <v>0</v>
      </c>
      <c r="K916" s="527"/>
      <c r="L916" s="797">
        <f>[1]!tsabetm(C916)</f>
        <v>94.916666666666657</v>
      </c>
      <c r="M916" s="797">
        <f>[1]!tsabetz(C916)</f>
        <v>121.01666666666667</v>
      </c>
      <c r="N916" s="797">
        <f t="shared" si="77"/>
        <v>66.551724137931018</v>
      </c>
      <c r="O916" s="797">
        <f t="shared" si="78"/>
        <v>1445.0028169014086</v>
      </c>
      <c r="P916" s="797">
        <f t="shared" si="79"/>
        <v>56.805648398161281</v>
      </c>
      <c r="Q916" s="797">
        <f t="shared" si="80"/>
        <v>123</v>
      </c>
      <c r="R916" s="797">
        <f t="shared" si="81"/>
        <v>123.94676080663602</v>
      </c>
      <c r="S916" s="797">
        <f>[1]!taqsabet(O916,C916)</f>
        <v>123.94507490667056</v>
      </c>
      <c r="T916" s="527"/>
      <c r="U916" s="527">
        <v>4</v>
      </c>
      <c r="V916" s="527">
        <v>1</v>
      </c>
      <c r="W916" s="527">
        <v>1</v>
      </c>
      <c r="X916" s="527"/>
      <c r="Y916" s="527">
        <v>49</v>
      </c>
      <c r="Z916" s="527">
        <v>9</v>
      </c>
      <c r="AA916" s="527" t="s">
        <v>274</v>
      </c>
      <c r="AB916" s="527">
        <v>4</v>
      </c>
      <c r="AC916" s="527">
        <v>4</v>
      </c>
      <c r="AD916" s="527" t="s">
        <v>2867</v>
      </c>
    </row>
    <row r="917" spans="3:31">
      <c r="C917" s="523">
        <v>853</v>
      </c>
      <c r="D917" s="523">
        <v>8</v>
      </c>
      <c r="E917" s="543" t="s">
        <v>3249</v>
      </c>
      <c r="F917" s="523">
        <v>70</v>
      </c>
      <c r="G917" s="523"/>
      <c r="H917" s="523">
        <v>66</v>
      </c>
      <c r="I917" s="523">
        <v>0</v>
      </c>
      <c r="J917" s="523">
        <v>0</v>
      </c>
      <c r="K917" s="523"/>
      <c r="L917" s="797">
        <f>[1]!tsabetm(C917)</f>
        <v>98.916666666666657</v>
      </c>
      <c r="M917" s="797">
        <f>[1]!tsabetz(C917)</f>
        <v>123.71666666666667</v>
      </c>
      <c r="N917" s="797">
        <f t="shared" si="77"/>
        <v>70.040322580645125</v>
      </c>
      <c r="O917" s="797">
        <f t="shared" si="78"/>
        <v>1445.0028169014086</v>
      </c>
      <c r="P917" s="797">
        <f t="shared" si="79"/>
        <v>30.049045221241499</v>
      </c>
      <c r="Q917" s="797">
        <f t="shared" si="80"/>
        <v>126</v>
      </c>
      <c r="R917" s="797">
        <f t="shared" si="81"/>
        <v>126.50081742035402</v>
      </c>
      <c r="S917" s="797">
        <f>[1]!taqsabet(O917,C917)</f>
        <v>126.49921549241749</v>
      </c>
      <c r="T917" s="523"/>
      <c r="U917" s="523">
        <v>4</v>
      </c>
      <c r="V917" s="523">
        <v>3</v>
      </c>
      <c r="W917" s="523">
        <v>43</v>
      </c>
      <c r="X917" s="523"/>
      <c r="Y917" s="523">
        <v>49</v>
      </c>
      <c r="Z917" s="523">
        <v>24</v>
      </c>
      <c r="AA917" s="523" t="s">
        <v>274</v>
      </c>
      <c r="AB917" s="523">
        <v>4</v>
      </c>
      <c r="AC917" s="523">
        <v>4</v>
      </c>
      <c r="AD917" s="523" t="s">
        <v>2867</v>
      </c>
    </row>
    <row r="918" spans="3:31">
      <c r="C918" s="527">
        <v>854</v>
      </c>
      <c r="D918" s="527">
        <v>9</v>
      </c>
      <c r="E918" s="553" t="s">
        <v>3250</v>
      </c>
      <c r="F918" s="527">
        <v>70</v>
      </c>
      <c r="G918" s="527"/>
      <c r="H918" s="527">
        <v>66</v>
      </c>
      <c r="I918" s="527">
        <v>0</v>
      </c>
      <c r="J918" s="527">
        <v>0</v>
      </c>
      <c r="K918" s="527"/>
      <c r="L918" s="797">
        <f>[1]!tsabetm(C918)</f>
        <v>98.083333333333343</v>
      </c>
      <c r="M918" s="797">
        <f>[1]!tsabetz(C918)</f>
        <v>123.41666666666667</v>
      </c>
      <c r="N918" s="797">
        <f t="shared" si="77"/>
        <v>68.56578947368422</v>
      </c>
      <c r="O918" s="797">
        <f t="shared" si="78"/>
        <v>1445.0028169014086</v>
      </c>
      <c r="P918" s="797">
        <f t="shared" si="79"/>
        <v>15.641497806644509</v>
      </c>
      <c r="Q918" s="797">
        <f t="shared" si="80"/>
        <v>126</v>
      </c>
      <c r="R918" s="797">
        <f t="shared" si="81"/>
        <v>126.26069163011074</v>
      </c>
      <c r="S918" s="797">
        <f>[1]!taqsabet(O918,C918)</f>
        <v>126.25905525211105</v>
      </c>
      <c r="T918" s="527"/>
      <c r="U918" s="527">
        <v>4</v>
      </c>
      <c r="V918" s="527">
        <v>3</v>
      </c>
      <c r="W918" s="527">
        <v>25</v>
      </c>
      <c r="X918" s="527"/>
      <c r="Y918" s="527">
        <v>49</v>
      </c>
      <c r="Z918" s="527">
        <v>6</v>
      </c>
      <c r="AA918" s="527" t="s">
        <v>274</v>
      </c>
      <c r="AB918" s="527">
        <v>4</v>
      </c>
      <c r="AC918" s="527">
        <v>4</v>
      </c>
      <c r="AD918" s="527" t="s">
        <v>2867</v>
      </c>
    </row>
    <row r="919" spans="3:31">
      <c r="C919" s="523">
        <v>855</v>
      </c>
      <c r="D919" s="523">
        <v>10</v>
      </c>
      <c r="E919" s="543" t="s">
        <v>3251</v>
      </c>
      <c r="F919" s="523">
        <v>70</v>
      </c>
      <c r="G919" s="523"/>
      <c r="H919" s="523">
        <v>66</v>
      </c>
      <c r="I919" s="523">
        <v>0</v>
      </c>
      <c r="J919" s="523">
        <v>0</v>
      </c>
      <c r="K919" s="523"/>
      <c r="L919" s="797">
        <f>[1]!tsabetm(C919)</f>
        <v>103.58333333333334</v>
      </c>
      <c r="M919" s="797">
        <f>[1]!tsabetz(C919)</f>
        <v>128.01666666666668</v>
      </c>
      <c r="N919" s="797">
        <f t="shared" si="77"/>
        <v>71.091405184174619</v>
      </c>
      <c r="O919" s="797">
        <f t="shared" si="78"/>
        <v>1445.0028169014086</v>
      </c>
      <c r="P919" s="797">
        <f t="shared" si="79"/>
        <v>45.579234068777623</v>
      </c>
      <c r="Q919" s="797">
        <f t="shared" si="80"/>
        <v>130</v>
      </c>
      <c r="R919" s="797">
        <f t="shared" si="81"/>
        <v>130.75965390114629</v>
      </c>
      <c r="S919" s="797">
        <f>[1]!taqsabet(O919,C919)</f>
        <v>130.75807565762818</v>
      </c>
      <c r="T919" s="523"/>
      <c r="U919" s="523">
        <v>4</v>
      </c>
      <c r="V919" s="523">
        <v>8</v>
      </c>
      <c r="W919" s="523">
        <v>1</v>
      </c>
      <c r="X919" s="523"/>
      <c r="Y919" s="523">
        <v>49</v>
      </c>
      <c r="Z919" s="523">
        <v>48</v>
      </c>
      <c r="AA919" s="523" t="s">
        <v>274</v>
      </c>
      <c r="AB919" s="523">
        <v>4</v>
      </c>
      <c r="AC919" s="523">
        <v>4</v>
      </c>
      <c r="AD919" s="523" t="s">
        <v>2867</v>
      </c>
    </row>
    <row r="920" spans="3:31">
      <c r="C920" s="527">
        <v>856</v>
      </c>
      <c r="D920" s="527">
        <v>11</v>
      </c>
      <c r="E920" s="553" t="s">
        <v>3252</v>
      </c>
      <c r="F920" s="527">
        <v>70</v>
      </c>
      <c r="G920" s="527"/>
      <c r="H920" s="527">
        <v>66</v>
      </c>
      <c r="I920" s="527">
        <v>0</v>
      </c>
      <c r="J920" s="527">
        <v>0</v>
      </c>
      <c r="K920" s="527"/>
      <c r="L920" s="797">
        <f>[1]!tsabetm(C920)</f>
        <v>93.583333333333343</v>
      </c>
      <c r="M920" s="797">
        <f>[1]!tsabetz(C920)</f>
        <v>120.01666666666667</v>
      </c>
      <c r="N920" s="797">
        <f t="shared" si="77"/>
        <v>65.71248423707442</v>
      </c>
      <c r="O920" s="797">
        <f t="shared" si="78"/>
        <v>1445.0028169014086</v>
      </c>
      <c r="P920" s="797">
        <f t="shared" si="79"/>
        <v>59.050931264037843</v>
      </c>
      <c r="Q920" s="797">
        <f t="shared" si="80"/>
        <v>122</v>
      </c>
      <c r="R920" s="797">
        <f t="shared" si="81"/>
        <v>122.98418218773396</v>
      </c>
      <c r="S920" s="797">
        <f>[1]!taqsabet(O920,C920)</f>
        <v>122.98247475647904</v>
      </c>
      <c r="T920" s="527"/>
      <c r="U920" s="527">
        <v>4</v>
      </c>
      <c r="V920" s="527">
        <v>0</v>
      </c>
      <c r="W920" s="527">
        <v>1</v>
      </c>
      <c r="X920" s="527"/>
      <c r="Y920" s="527">
        <v>51</v>
      </c>
      <c r="Z920" s="527">
        <v>54</v>
      </c>
      <c r="AA920" s="527" t="s">
        <v>274</v>
      </c>
      <c r="AB920" s="527">
        <v>3</v>
      </c>
      <c r="AC920" s="527">
        <v>3</v>
      </c>
      <c r="AD920" s="527" t="s">
        <v>2867</v>
      </c>
    </row>
    <row r="921" spans="3:31">
      <c r="C921" s="523">
        <v>857</v>
      </c>
      <c r="D921" s="523">
        <v>12</v>
      </c>
      <c r="E921" s="543" t="s">
        <v>2718</v>
      </c>
      <c r="F921" s="523">
        <v>70</v>
      </c>
      <c r="G921" s="523"/>
      <c r="H921" s="523">
        <v>66</v>
      </c>
      <c r="I921" s="523">
        <v>0</v>
      </c>
      <c r="J921" s="523">
        <v>0</v>
      </c>
      <c r="K921" s="523"/>
      <c r="L921" s="797">
        <f>[1]!tsabetm(C921)</f>
        <v>93.583333333333343</v>
      </c>
      <c r="M921" s="797">
        <f>[1]!tsabetz(C921)</f>
        <v>119.11666666666666</v>
      </c>
      <c r="N921" s="797">
        <f t="shared" si="77"/>
        <v>68.028720626631895</v>
      </c>
      <c r="O921" s="797">
        <f t="shared" si="78"/>
        <v>1445.0028169014086</v>
      </c>
      <c r="P921" s="797">
        <f t="shared" si="79"/>
        <v>58.988667526170104</v>
      </c>
      <c r="Q921" s="797">
        <f t="shared" si="80"/>
        <v>121</v>
      </c>
      <c r="R921" s="797">
        <f t="shared" si="81"/>
        <v>121.9831444587695</v>
      </c>
      <c r="S921" s="797">
        <f>[1]!taqsabet(O921,C921)</f>
        <v>121.98149516199614</v>
      </c>
      <c r="T921" s="523"/>
      <c r="U921" s="523">
        <v>3</v>
      </c>
      <c r="V921" s="523">
        <v>29</v>
      </c>
      <c r="W921" s="523">
        <v>7</v>
      </c>
      <c r="X921" s="523"/>
      <c r="Y921" s="523">
        <v>58</v>
      </c>
      <c r="Z921" s="523">
        <v>30</v>
      </c>
      <c r="AA921" s="523" t="s">
        <v>274</v>
      </c>
      <c r="AB921" s="523">
        <v>3</v>
      </c>
      <c r="AC921" s="523">
        <v>3</v>
      </c>
      <c r="AD921" s="523" t="s">
        <v>2867</v>
      </c>
    </row>
    <row r="922" spans="3:31">
      <c r="C922" s="527">
        <v>858</v>
      </c>
      <c r="D922" s="527">
        <v>13</v>
      </c>
      <c r="E922" s="553" t="s">
        <v>3253</v>
      </c>
      <c r="F922" s="527">
        <v>70</v>
      </c>
      <c r="G922" s="527"/>
      <c r="H922" s="527">
        <v>66</v>
      </c>
      <c r="I922" s="527">
        <v>0</v>
      </c>
      <c r="J922" s="527">
        <v>0</v>
      </c>
      <c r="K922" s="527"/>
      <c r="L922" s="797">
        <f>[1]!tsabetm(C922)</f>
        <v>99.75</v>
      </c>
      <c r="M922" s="797">
        <f>[1]!tsabetz(C922)</f>
        <v>125.21666666666667</v>
      </c>
      <c r="N922" s="797">
        <f t="shared" si="77"/>
        <v>68.206806282722511</v>
      </c>
      <c r="O922" s="797">
        <f t="shared" si="78"/>
        <v>1445.0028169014086</v>
      </c>
      <c r="P922" s="797">
        <f t="shared" si="79"/>
        <v>4.5396109529946216</v>
      </c>
      <c r="Q922" s="797">
        <f t="shared" si="80"/>
        <v>128</v>
      </c>
      <c r="R922" s="797">
        <f t="shared" si="81"/>
        <v>128.07566018254991</v>
      </c>
      <c r="S922" s="797">
        <f>[1]!taqsabet(O922,C922)</f>
        <v>128.07401519203444</v>
      </c>
      <c r="T922" s="527"/>
      <c r="U922" s="527">
        <v>4</v>
      </c>
      <c r="V922" s="527">
        <v>5</v>
      </c>
      <c r="W922" s="527">
        <v>13</v>
      </c>
      <c r="X922" s="527"/>
      <c r="Y922" s="527">
        <v>55</v>
      </c>
      <c r="Z922" s="527">
        <v>30</v>
      </c>
      <c r="AA922" s="527" t="s">
        <v>274</v>
      </c>
      <c r="AB922" s="527">
        <v>5</v>
      </c>
      <c r="AC922" s="527">
        <v>5</v>
      </c>
      <c r="AD922" s="527" t="s">
        <v>2867</v>
      </c>
    </row>
    <row r="923" spans="3:31">
      <c r="C923" s="523">
        <v>859</v>
      </c>
      <c r="D923" s="523">
        <v>14</v>
      </c>
      <c r="E923" s="543" t="s">
        <v>3254</v>
      </c>
      <c r="F923" s="523">
        <v>70</v>
      </c>
      <c r="G923" s="523"/>
      <c r="H923" s="523">
        <v>66</v>
      </c>
      <c r="I923" s="523">
        <v>0</v>
      </c>
      <c r="J923" s="523">
        <v>0</v>
      </c>
      <c r="K923" s="523" t="s">
        <v>3862</v>
      </c>
      <c r="L923" s="797">
        <f>[1]!tsabetm(C923)</f>
        <v>101.75</v>
      </c>
      <c r="M923" s="797">
        <f>[1]!tsabetz(C923)</f>
        <v>128.1</v>
      </c>
      <c r="N923" s="797">
        <f t="shared" si="77"/>
        <v>65.920303605313109</v>
      </c>
      <c r="O923" s="797">
        <f t="shared" si="78"/>
        <v>1445.0028169014086</v>
      </c>
      <c r="P923" s="797">
        <f t="shared" si="79"/>
        <v>3.489610547568418</v>
      </c>
      <c r="Q923" s="797">
        <f t="shared" si="80"/>
        <v>131</v>
      </c>
      <c r="R923" s="797">
        <f t="shared" si="81"/>
        <v>131.05816017579281</v>
      </c>
      <c r="S923" s="797">
        <f>[1]!taqsabet(O923,C923)</f>
        <v>131.05645812736023</v>
      </c>
      <c r="T923" s="523"/>
      <c r="U923" s="523">
        <v>4</v>
      </c>
      <c r="V923" s="523">
        <v>21</v>
      </c>
      <c r="W923" s="523">
        <v>6</v>
      </c>
      <c r="X923" s="523"/>
      <c r="Y923" s="523">
        <v>59</v>
      </c>
      <c r="Z923" s="523">
        <v>0</v>
      </c>
      <c r="AA923" s="523" t="s">
        <v>274</v>
      </c>
      <c r="AB923" s="523">
        <v>5</v>
      </c>
      <c r="AC923" s="523">
        <v>5</v>
      </c>
      <c r="AD923" s="523" t="s">
        <v>2867</v>
      </c>
    </row>
    <row r="924" spans="3:31">
      <c r="C924" s="527">
        <v>860</v>
      </c>
      <c r="D924" s="527">
        <v>15</v>
      </c>
      <c r="E924" s="553" t="s">
        <v>2612</v>
      </c>
      <c r="F924" s="527">
        <v>70</v>
      </c>
      <c r="G924" s="527"/>
      <c r="H924" s="527">
        <v>66</v>
      </c>
      <c r="I924" s="527">
        <v>0</v>
      </c>
      <c r="J924" s="527">
        <v>0</v>
      </c>
      <c r="K924" s="527"/>
      <c r="L924" s="797">
        <f>[1]!tsabetm(C924)</f>
        <v>103.25</v>
      </c>
      <c r="M924" s="797">
        <f>[1]!tsabetz(C924)</f>
        <v>128.51666666666668</v>
      </c>
      <c r="N924" s="797">
        <f t="shared" si="77"/>
        <v>68.746701846965664</v>
      </c>
      <c r="O924" s="797">
        <f t="shared" si="78"/>
        <v>1445.0028169014086</v>
      </c>
      <c r="P924" s="797">
        <f t="shared" si="79"/>
        <v>21.192441233469026</v>
      </c>
      <c r="Q924" s="797">
        <f t="shared" si="80"/>
        <v>131</v>
      </c>
      <c r="R924" s="797">
        <f t="shared" si="81"/>
        <v>131.35320735389115</v>
      </c>
      <c r="S924" s="797">
        <f>[1]!taqsabet(O924,C924)</f>
        <v>131.35157528214938</v>
      </c>
      <c r="T924" s="527"/>
      <c r="U924" s="527">
        <v>4</v>
      </c>
      <c r="V924" s="527">
        <v>8</v>
      </c>
      <c r="W924" s="527">
        <v>31</v>
      </c>
      <c r="X924" s="527"/>
      <c r="Y924" s="527">
        <v>57</v>
      </c>
      <c r="Z924" s="527">
        <v>57</v>
      </c>
      <c r="AA924" s="527" t="s">
        <v>274</v>
      </c>
      <c r="AB924" s="527">
        <v>4</v>
      </c>
      <c r="AC924" s="527">
        <v>4</v>
      </c>
      <c r="AD924" s="527" t="s">
        <v>2867</v>
      </c>
    </row>
    <row r="925" spans="3:31">
      <c r="C925" s="523">
        <v>861</v>
      </c>
      <c r="D925" s="523">
        <v>16</v>
      </c>
      <c r="E925" s="543" t="s">
        <v>2613</v>
      </c>
      <c r="F925" s="523">
        <v>70</v>
      </c>
      <c r="G925" s="523"/>
      <c r="H925" s="523">
        <v>66</v>
      </c>
      <c r="I925" s="523">
        <v>0</v>
      </c>
      <c r="J925" s="523">
        <v>0</v>
      </c>
      <c r="K925" s="523"/>
      <c r="L925" s="797">
        <f>[1]!tsabetm(C925)</f>
        <v>106.08333333333334</v>
      </c>
      <c r="M925" s="797">
        <f>[1]!tsabetz(C925)</f>
        <v>131.81666666666666</v>
      </c>
      <c r="N925" s="797">
        <f t="shared" si="77"/>
        <v>67.500000000000028</v>
      </c>
      <c r="O925" s="797">
        <f t="shared" si="78"/>
        <v>1445.0028169014086</v>
      </c>
      <c r="P925" s="797">
        <f t="shared" si="79"/>
        <v>42.335837245696553</v>
      </c>
      <c r="Q925" s="797">
        <f t="shared" si="80"/>
        <v>134</v>
      </c>
      <c r="R925" s="797">
        <f t="shared" si="81"/>
        <v>134.70559728742828</v>
      </c>
      <c r="S925" s="797">
        <f>[1]!taqsabet(O925,C925)</f>
        <v>134.70393507188123</v>
      </c>
      <c r="T925" s="523"/>
      <c r="U925" s="523">
        <v>4</v>
      </c>
      <c r="V925" s="523">
        <v>11</v>
      </c>
      <c r="W925" s="523">
        <v>49</v>
      </c>
      <c r="X925" s="523"/>
      <c r="Y925" s="523">
        <v>58</v>
      </c>
      <c r="Z925" s="523">
        <v>9</v>
      </c>
      <c r="AA925" s="523" t="s">
        <v>274</v>
      </c>
      <c r="AB925" s="523">
        <v>4</v>
      </c>
      <c r="AC925" s="523">
        <v>4</v>
      </c>
      <c r="AD925" s="523" t="s">
        <v>2867</v>
      </c>
      <c r="AE925" s="327">
        <v>610</v>
      </c>
    </row>
    <row r="926" spans="3:31">
      <c r="C926" s="527">
        <v>862</v>
      </c>
      <c r="D926" s="527">
        <v>17</v>
      </c>
      <c r="E926" s="553" t="s">
        <v>3255</v>
      </c>
      <c r="F926" s="527">
        <v>70</v>
      </c>
      <c r="G926" s="527"/>
      <c r="H926" s="527">
        <v>66</v>
      </c>
      <c r="I926" s="527">
        <v>0</v>
      </c>
      <c r="J926" s="527">
        <v>0</v>
      </c>
      <c r="K926" s="527"/>
      <c r="L926" s="797">
        <f>[1]!tsabetm(C926)</f>
        <v>110.75</v>
      </c>
      <c r="M926" s="797">
        <f>[1]!tsabetz(C926)</f>
        <v>136.26666666666668</v>
      </c>
      <c r="N926" s="797">
        <f t="shared" si="77"/>
        <v>68.073154800783769</v>
      </c>
      <c r="O926" s="797">
        <f t="shared" si="78"/>
        <v>1445.0028169014086</v>
      </c>
      <c r="P926" s="797">
        <f t="shared" si="79"/>
        <v>7.8764033828781521</v>
      </c>
      <c r="Q926" s="797">
        <f t="shared" si="80"/>
        <v>139</v>
      </c>
      <c r="R926" s="797">
        <f t="shared" si="81"/>
        <v>139.13127338971464</v>
      </c>
      <c r="S926" s="797">
        <f>[1]!taqsabet(O926,C926)</f>
        <v>139.12962516950574</v>
      </c>
      <c r="T926" s="527"/>
      <c r="U926" s="527">
        <v>4</v>
      </c>
      <c r="V926" s="527">
        <v>16</v>
      </c>
      <c r="W926" s="527">
        <v>16</v>
      </c>
      <c r="X926" s="527"/>
      <c r="Y926" s="527">
        <v>58</v>
      </c>
      <c r="Z926" s="527">
        <v>36</v>
      </c>
      <c r="AA926" s="527" t="s">
        <v>274</v>
      </c>
      <c r="AB926" s="527">
        <v>2</v>
      </c>
      <c r="AC926" s="527">
        <v>2</v>
      </c>
      <c r="AD926" s="527" t="s">
        <v>2867</v>
      </c>
    </row>
    <row r="927" spans="3:31">
      <c r="C927" s="523">
        <v>863</v>
      </c>
      <c r="D927" s="523">
        <v>18</v>
      </c>
      <c r="E927" s="543" t="s">
        <v>3256</v>
      </c>
      <c r="F927" s="523">
        <v>70</v>
      </c>
      <c r="G927" s="523"/>
      <c r="H927" s="523">
        <v>66</v>
      </c>
      <c r="I927" s="523">
        <v>0</v>
      </c>
      <c r="J927" s="523">
        <v>0</v>
      </c>
      <c r="K927" s="523"/>
      <c r="L927" s="797">
        <f>[1]!tsabetm(C927)</f>
        <v>107.75</v>
      </c>
      <c r="M927" s="797">
        <f>[1]!tsabetz(C927)</f>
        <v>132.81666666666666</v>
      </c>
      <c r="N927" s="797">
        <f t="shared" si="77"/>
        <v>69.295212765957459</v>
      </c>
      <c r="O927" s="797">
        <f t="shared" si="78"/>
        <v>1445.0028169014086</v>
      </c>
      <c r="P927" s="797">
        <f t="shared" si="79"/>
        <v>37.845271513941725</v>
      </c>
      <c r="Q927" s="797">
        <f t="shared" si="80"/>
        <v>135</v>
      </c>
      <c r="R927" s="797">
        <f t="shared" si="81"/>
        <v>135.63075452523236</v>
      </c>
      <c r="S927" s="797">
        <f>[1]!taqsabet(O927,C927)</f>
        <v>135.62913537226427</v>
      </c>
      <c r="T927" s="523"/>
      <c r="U927" s="523">
        <v>4</v>
      </c>
      <c r="V927" s="523">
        <v>12</v>
      </c>
      <c r="W927" s="523">
        <v>49</v>
      </c>
      <c r="X927" s="523"/>
      <c r="Y927" s="523">
        <v>3</v>
      </c>
      <c r="Z927" s="523">
        <v>0</v>
      </c>
      <c r="AA927" s="523" t="s">
        <v>274</v>
      </c>
      <c r="AB927" s="523">
        <v>5</v>
      </c>
      <c r="AC927" s="523">
        <v>5</v>
      </c>
      <c r="AD927" s="523" t="s">
        <v>2867</v>
      </c>
    </row>
    <row r="928" spans="3:31">
      <c r="C928" s="527">
        <v>864</v>
      </c>
      <c r="D928" s="527">
        <v>19</v>
      </c>
      <c r="E928" s="553" t="s">
        <v>2465</v>
      </c>
      <c r="F928" s="527">
        <v>70</v>
      </c>
      <c r="G928" s="527"/>
      <c r="H928" s="527">
        <v>66</v>
      </c>
      <c r="I928" s="527">
        <v>0</v>
      </c>
      <c r="J928" s="527">
        <v>0</v>
      </c>
      <c r="K928" s="527"/>
      <c r="L928" s="797">
        <f>[1]!tsabetm(C928)</f>
        <v>110.58333333333334</v>
      </c>
      <c r="M928" s="797">
        <f>[1]!tsabetz(C928)</f>
        <v>136.76666666666668</v>
      </c>
      <c r="N928" s="797">
        <f t="shared" si="77"/>
        <v>66.339910884786747</v>
      </c>
      <c r="O928" s="797">
        <f t="shared" si="78"/>
        <v>1445.0028169014086</v>
      </c>
      <c r="P928" s="797">
        <f t="shared" si="79"/>
        <v>42.366969114631274</v>
      </c>
      <c r="Q928" s="797">
        <f t="shared" si="80"/>
        <v>139</v>
      </c>
      <c r="R928" s="797">
        <f t="shared" si="81"/>
        <v>139.70611615191052</v>
      </c>
      <c r="S928" s="797">
        <f>[1]!taqsabet(O928,C928)</f>
        <v>139.7044248691227</v>
      </c>
      <c r="T928" s="527"/>
      <c r="U928" s="527">
        <v>4</v>
      </c>
      <c r="V928" s="527">
        <v>16</v>
      </c>
      <c r="W928" s="527">
        <v>46</v>
      </c>
      <c r="X928" s="527"/>
      <c r="Y928" s="527">
        <v>59</v>
      </c>
      <c r="Z928" s="527">
        <v>51</v>
      </c>
      <c r="AA928" s="527" t="s">
        <v>274</v>
      </c>
      <c r="AB928" s="527">
        <v>5</v>
      </c>
      <c r="AC928" s="527">
        <v>5</v>
      </c>
      <c r="AD928" s="527" t="s">
        <v>2867</v>
      </c>
    </row>
    <row r="929" spans="3:30">
      <c r="C929" s="523">
        <v>865</v>
      </c>
      <c r="D929" s="523">
        <v>20</v>
      </c>
      <c r="E929" s="543" t="s">
        <v>3257</v>
      </c>
      <c r="F929" s="523">
        <v>70</v>
      </c>
      <c r="G929" s="523"/>
      <c r="H929" s="523">
        <v>66</v>
      </c>
      <c r="I929" s="523">
        <v>0</v>
      </c>
      <c r="J929" s="523">
        <v>0</v>
      </c>
      <c r="K929" s="523"/>
      <c r="L929" s="797">
        <f>[1]!tsabetm(C929)</f>
        <v>112.58333333333334</v>
      </c>
      <c r="M929" s="797">
        <f>[1]!tsabetz(C929)</f>
        <v>135.35</v>
      </c>
      <c r="N929" s="797">
        <f t="shared" si="77"/>
        <v>76.295754026354373</v>
      </c>
      <c r="O929" s="797">
        <f t="shared" si="78"/>
        <v>1445.0028169014086</v>
      </c>
      <c r="P929" s="797">
        <f t="shared" si="79"/>
        <v>54.352819739391975</v>
      </c>
      <c r="Q929" s="797">
        <f t="shared" si="80"/>
        <v>137</v>
      </c>
      <c r="R929" s="797">
        <f t="shared" si="81"/>
        <v>137.90588032898987</v>
      </c>
      <c r="S929" s="797">
        <f>[1]!taqsabet(O929,C929)</f>
        <v>137.9044097419191</v>
      </c>
      <c r="T929" s="523"/>
      <c r="U929" s="523">
        <v>4</v>
      </c>
      <c r="V929" s="523">
        <v>15</v>
      </c>
      <c r="W929" s="523">
        <v>21</v>
      </c>
      <c r="X929" s="523"/>
      <c r="Y929" s="523">
        <v>57</v>
      </c>
      <c r="Z929" s="523">
        <v>21</v>
      </c>
      <c r="AA929" s="523" t="s">
        <v>274</v>
      </c>
      <c r="AB929" s="523">
        <v>5</v>
      </c>
      <c r="AC929" s="523">
        <v>5</v>
      </c>
      <c r="AD929" s="523" t="s">
        <v>2867</v>
      </c>
    </row>
    <row r="930" spans="3:30">
      <c r="C930" s="527">
        <v>866</v>
      </c>
      <c r="D930" s="527">
        <v>21</v>
      </c>
      <c r="E930" s="553" t="s">
        <v>2465</v>
      </c>
      <c r="F930" s="527">
        <v>70</v>
      </c>
      <c r="G930" s="527"/>
      <c r="H930" s="527">
        <v>66</v>
      </c>
      <c r="I930" s="527">
        <v>0</v>
      </c>
      <c r="J930" s="527">
        <v>0</v>
      </c>
      <c r="K930" s="527"/>
      <c r="L930" s="797">
        <f>[1]!tsabetm(C930)</f>
        <v>113.91666666666666</v>
      </c>
      <c r="M930" s="797">
        <f>[1]!tsabetz(C930)</f>
        <v>137.51666666666668</v>
      </c>
      <c r="N930" s="797">
        <f t="shared" si="77"/>
        <v>73.601694915254171</v>
      </c>
      <c r="O930" s="797">
        <f t="shared" si="78"/>
        <v>1445.0028169014086</v>
      </c>
      <c r="P930" s="797">
        <f t="shared" si="79"/>
        <v>9.9660269040845151</v>
      </c>
      <c r="Q930" s="797">
        <f t="shared" si="80"/>
        <v>140</v>
      </c>
      <c r="R930" s="797">
        <f t="shared" si="81"/>
        <v>140.16610044840141</v>
      </c>
      <c r="S930" s="797">
        <f>[1]!taqsabet(O930,C930)</f>
        <v>140.16457603310698</v>
      </c>
      <c r="T930" s="527"/>
      <c r="U930" s="527">
        <v>4</v>
      </c>
      <c r="V930" s="527">
        <v>17</v>
      </c>
      <c r="W930" s="527">
        <v>31</v>
      </c>
      <c r="X930" s="527"/>
      <c r="Y930" s="527">
        <v>57</v>
      </c>
      <c r="Z930" s="527">
        <v>49</v>
      </c>
      <c r="AA930" s="527" t="s">
        <v>274</v>
      </c>
      <c r="AB930" s="527">
        <v>6</v>
      </c>
      <c r="AC930" s="527">
        <v>5</v>
      </c>
      <c r="AD930" s="527" t="s">
        <v>2867</v>
      </c>
    </row>
    <row r="931" spans="3:30">
      <c r="C931" s="523">
        <v>867</v>
      </c>
      <c r="D931" s="523">
        <v>22</v>
      </c>
      <c r="E931" s="543" t="s">
        <v>3258</v>
      </c>
      <c r="F931" s="523">
        <v>70</v>
      </c>
      <c r="G931" s="523"/>
      <c r="H931" s="523">
        <v>66</v>
      </c>
      <c r="I931" s="523">
        <v>0</v>
      </c>
      <c r="J931" s="523">
        <v>0</v>
      </c>
      <c r="K931" s="523"/>
      <c r="L931" s="797">
        <f>[1]!tsabetm(C931)</f>
        <v>125.25</v>
      </c>
      <c r="M931" s="797">
        <f>[1]!tsabetz(C931)</f>
        <v>151.36666666666667</v>
      </c>
      <c r="N931" s="797">
        <f t="shared" si="77"/>
        <v>66.509253350350974</v>
      </c>
      <c r="O931" s="797">
        <f t="shared" si="78"/>
        <v>1445.0028169014086</v>
      </c>
      <c r="P931" s="797">
        <f t="shared" si="79"/>
        <v>17.917912541454939</v>
      </c>
      <c r="Q931" s="797">
        <f t="shared" si="80"/>
        <v>154</v>
      </c>
      <c r="R931" s="797">
        <f t="shared" si="81"/>
        <v>154.29863187569092</v>
      </c>
      <c r="S931" s="797">
        <f>[1]!taqsabet(O931,C931)</f>
        <v>154.29694489916099</v>
      </c>
      <c r="T931" s="523"/>
      <c r="U931" s="523">
        <v>5</v>
      </c>
      <c r="V931" s="523">
        <v>1</v>
      </c>
      <c r="W931" s="523">
        <v>22</v>
      </c>
      <c r="X931" s="523"/>
      <c r="Y931" s="523">
        <v>52</v>
      </c>
      <c r="Z931" s="523">
        <v>30</v>
      </c>
      <c r="AA931" s="523" t="s">
        <v>274</v>
      </c>
      <c r="AB931" s="523">
        <v>4</v>
      </c>
      <c r="AC931" s="523">
        <v>4</v>
      </c>
      <c r="AD931" s="523" t="s">
        <v>2867</v>
      </c>
    </row>
    <row r="932" spans="3:30">
      <c r="C932" s="527">
        <v>868</v>
      </c>
      <c r="D932" s="527">
        <v>23</v>
      </c>
      <c r="E932" s="553" t="s">
        <v>2612</v>
      </c>
      <c r="F932" s="527">
        <v>70</v>
      </c>
      <c r="G932" s="527"/>
      <c r="H932" s="527">
        <v>66</v>
      </c>
      <c r="I932" s="527">
        <v>0</v>
      </c>
      <c r="J932" s="527">
        <v>0</v>
      </c>
      <c r="K932" s="527"/>
      <c r="L932" s="797">
        <f>[1]!tsabetm(C932)</f>
        <v>125.75</v>
      </c>
      <c r="M932" s="797">
        <f>[1]!tsabetz(C932)</f>
        <v>151.51666666666668</v>
      </c>
      <c r="N932" s="797">
        <f t="shared" si="77"/>
        <v>67.412677878395826</v>
      </c>
      <c r="O932" s="797">
        <f t="shared" si="78"/>
        <v>1445.0028169014086</v>
      </c>
      <c r="P932" s="797">
        <f t="shared" si="79"/>
        <v>24.560365532285573</v>
      </c>
      <c r="Q932" s="797">
        <f t="shared" si="80"/>
        <v>154</v>
      </c>
      <c r="R932" s="797">
        <f t="shared" si="81"/>
        <v>154.40933942553809</v>
      </c>
      <c r="S932" s="797">
        <f>[1]!taqsabet(O932,C932)</f>
        <v>154.4076750568621</v>
      </c>
      <c r="T932" s="527"/>
      <c r="U932" s="527">
        <v>5</v>
      </c>
      <c r="V932" s="527">
        <v>1</v>
      </c>
      <c r="W932" s="527">
        <v>31</v>
      </c>
      <c r="X932" s="527"/>
      <c r="Y932" s="527">
        <v>57</v>
      </c>
      <c r="Z932" s="527">
        <v>0</v>
      </c>
      <c r="AA932" s="527" t="s">
        <v>274</v>
      </c>
      <c r="AB932" s="527">
        <v>4</v>
      </c>
      <c r="AC932" s="527">
        <v>4</v>
      </c>
      <c r="AD932" s="527" t="s">
        <v>2867</v>
      </c>
    </row>
    <row r="933" spans="3:30">
      <c r="C933" s="523">
        <v>869</v>
      </c>
      <c r="D933" s="523">
        <v>24</v>
      </c>
      <c r="E933" s="543" t="s">
        <v>3129</v>
      </c>
      <c r="F933" s="523">
        <v>70</v>
      </c>
      <c r="G933" s="523"/>
      <c r="H933" s="523">
        <v>66</v>
      </c>
      <c r="I933" s="523">
        <v>0</v>
      </c>
      <c r="J933" s="523">
        <v>0</v>
      </c>
      <c r="K933" s="523"/>
      <c r="L933" s="797">
        <f>[1]!tsabetm(C933)</f>
        <v>123.58333333333331</v>
      </c>
      <c r="M933" s="797">
        <f>[1]!tsabetz(C933)</f>
        <v>150.01666666666668</v>
      </c>
      <c r="N933" s="797">
        <f t="shared" si="77"/>
        <v>65.712484237074321</v>
      </c>
      <c r="O933" s="797">
        <f t="shared" si="78"/>
        <v>1445.0028169014086</v>
      </c>
      <c r="P933" s="797">
        <f t="shared" si="79"/>
        <v>59.050931264038695</v>
      </c>
      <c r="Q933" s="797">
        <f t="shared" si="80"/>
        <v>152</v>
      </c>
      <c r="R933" s="797">
        <f t="shared" si="81"/>
        <v>152.98418218773398</v>
      </c>
      <c r="S933" s="797">
        <f>[1]!taqsabet(O933,C933)</f>
        <v>152.98247475647906</v>
      </c>
      <c r="T933" s="523"/>
      <c r="U933" s="523">
        <v>5</v>
      </c>
      <c r="V933" s="523">
        <v>0</v>
      </c>
      <c r="W933" s="523">
        <v>1</v>
      </c>
      <c r="X933" s="523"/>
      <c r="Y933" s="523">
        <v>59</v>
      </c>
      <c r="Z933" s="523">
        <v>0</v>
      </c>
      <c r="AA933" s="523" t="s">
        <v>274</v>
      </c>
      <c r="AB933" s="523">
        <v>4</v>
      </c>
      <c r="AC933" s="523">
        <v>4</v>
      </c>
      <c r="AD933" s="523" t="s">
        <v>2867</v>
      </c>
    </row>
    <row r="934" spans="3:30">
      <c r="C934" s="527">
        <v>870</v>
      </c>
      <c r="D934" s="527">
        <v>25</v>
      </c>
      <c r="E934" s="553" t="s">
        <v>3259</v>
      </c>
      <c r="F934" s="527">
        <v>70</v>
      </c>
      <c r="G934" s="527"/>
      <c r="H934" s="527">
        <v>66</v>
      </c>
      <c r="I934" s="527">
        <v>0</v>
      </c>
      <c r="J934" s="527">
        <v>0</v>
      </c>
      <c r="K934" s="527"/>
      <c r="L934" s="797">
        <f>[1]!tsabetm(C934)</f>
        <v>128.75</v>
      </c>
      <c r="M934" s="797">
        <f>[1]!tsabetz(C934)</f>
        <v>154.51666666666668</v>
      </c>
      <c r="N934" s="797">
        <f t="shared" si="77"/>
        <v>67.412677878395826</v>
      </c>
      <c r="O934" s="797">
        <f t="shared" si="78"/>
        <v>1445.0028169014086</v>
      </c>
      <c r="P934" s="797">
        <f t="shared" si="79"/>
        <v>24.560365532285573</v>
      </c>
      <c r="Q934" s="797">
        <f t="shared" si="80"/>
        <v>157</v>
      </c>
      <c r="R934" s="797">
        <f t="shared" si="81"/>
        <v>157.40933942553809</v>
      </c>
      <c r="S934" s="797">
        <f>[1]!taqsabet(O934,C934)</f>
        <v>157.4076750568621</v>
      </c>
      <c r="T934" s="527"/>
      <c r="U934" s="527">
        <v>5</v>
      </c>
      <c r="V934" s="527">
        <v>4</v>
      </c>
      <c r="W934" s="527">
        <v>31</v>
      </c>
      <c r="X934" s="527"/>
      <c r="Y934" s="527">
        <v>60</v>
      </c>
      <c r="Z934" s="527">
        <v>15</v>
      </c>
      <c r="AA934" s="527" t="s">
        <v>274</v>
      </c>
      <c r="AB934" s="527">
        <v>4</v>
      </c>
      <c r="AC934" s="527">
        <v>4</v>
      </c>
      <c r="AD934" s="527" t="s">
        <v>2867</v>
      </c>
    </row>
    <row r="935" spans="3:30">
      <c r="C935" s="523">
        <v>871</v>
      </c>
      <c r="D935" s="523">
        <v>26</v>
      </c>
      <c r="E935" s="543" t="s">
        <v>2718</v>
      </c>
      <c r="F935" s="523">
        <v>70</v>
      </c>
      <c r="G935" s="523"/>
      <c r="H935" s="523">
        <v>66</v>
      </c>
      <c r="I935" s="523">
        <v>0</v>
      </c>
      <c r="J935" s="523">
        <v>0</v>
      </c>
      <c r="K935" s="523"/>
      <c r="L935" s="797">
        <f>[1]!tsabetm(C935)</f>
        <v>128.58333333333331</v>
      </c>
      <c r="M935" s="797">
        <f>[1]!tsabetz(C935)</f>
        <v>154.41666666666666</v>
      </c>
      <c r="N935" s="797">
        <f t="shared" si="77"/>
        <v>67.238709677419337</v>
      </c>
      <c r="O935" s="797">
        <f t="shared" si="78"/>
        <v>1445.0028169014086</v>
      </c>
      <c r="P935" s="797">
        <f t="shared" si="79"/>
        <v>19.009422105458498</v>
      </c>
      <c r="Q935" s="797">
        <f t="shared" si="80"/>
        <v>157</v>
      </c>
      <c r="R935" s="797">
        <f t="shared" si="81"/>
        <v>157.31682370175764</v>
      </c>
      <c r="S935" s="797">
        <f>[1]!taqsabet(O935,C935)</f>
        <v>157.31515502682376</v>
      </c>
      <c r="T935" s="523"/>
      <c r="U935" s="523">
        <v>5</v>
      </c>
      <c r="V935" s="523">
        <v>4</v>
      </c>
      <c r="W935" s="523">
        <v>25</v>
      </c>
      <c r="X935" s="523"/>
      <c r="Y935" s="523">
        <v>61</v>
      </c>
      <c r="Z935" s="523">
        <v>24</v>
      </c>
      <c r="AA935" s="523" t="s">
        <v>274</v>
      </c>
      <c r="AB935" s="523">
        <v>4</v>
      </c>
      <c r="AC935" s="523">
        <v>4</v>
      </c>
      <c r="AD935" s="523" t="s">
        <v>2867</v>
      </c>
    </row>
    <row r="936" spans="3:30">
      <c r="C936" s="527">
        <v>872</v>
      </c>
      <c r="D936" s="527">
        <v>27</v>
      </c>
      <c r="E936" s="553" t="s">
        <v>3260</v>
      </c>
      <c r="F936" s="527">
        <v>70</v>
      </c>
      <c r="G936" s="527"/>
      <c r="H936" s="527">
        <v>66</v>
      </c>
      <c r="I936" s="527">
        <v>0</v>
      </c>
      <c r="J936" s="527">
        <v>0</v>
      </c>
      <c r="K936" s="527"/>
      <c r="L936" s="797">
        <f>[1]!tsabetm(C936)</f>
        <v>119.75</v>
      </c>
      <c r="M936" s="797">
        <f>[1]!tsabetz(C936)</f>
        <v>144.86666666666667</v>
      </c>
      <c r="N936" s="797">
        <f t="shared" si="77"/>
        <v>69.157266091572637</v>
      </c>
      <c r="O936" s="797">
        <f t="shared" si="78"/>
        <v>1445.0028169014086</v>
      </c>
      <c r="P936" s="797">
        <f t="shared" si="79"/>
        <v>41.182063943825256</v>
      </c>
      <c r="Q936" s="797">
        <f t="shared" si="80"/>
        <v>147</v>
      </c>
      <c r="R936" s="797">
        <f t="shared" si="81"/>
        <v>147.68636773239709</v>
      </c>
      <c r="S936" s="797">
        <f>[1]!taqsabet(O936,C936)</f>
        <v>147.68474534973555</v>
      </c>
      <c r="T936" s="527"/>
      <c r="U936" s="527">
        <v>4</v>
      </c>
      <c r="V936" s="527">
        <v>24</v>
      </c>
      <c r="W936" s="527">
        <v>52</v>
      </c>
      <c r="X936" s="527"/>
      <c r="Y936" s="527">
        <v>51</v>
      </c>
      <c r="Z936" s="527">
        <v>24</v>
      </c>
      <c r="AA936" s="527" t="s">
        <v>274</v>
      </c>
      <c r="AB936" s="527">
        <v>3</v>
      </c>
      <c r="AC936" s="527">
        <v>3</v>
      </c>
      <c r="AD936" s="527" t="s">
        <v>2867</v>
      </c>
    </row>
    <row r="937" spans="3:30">
      <c r="C937" s="523">
        <v>873</v>
      </c>
      <c r="D937" s="523">
        <v>28</v>
      </c>
      <c r="E937" s="543" t="s">
        <v>2582</v>
      </c>
      <c r="F937" s="523">
        <v>70</v>
      </c>
      <c r="G937" s="523"/>
      <c r="H937" s="523">
        <v>66</v>
      </c>
      <c r="I937" s="523">
        <v>0</v>
      </c>
      <c r="J937" s="523">
        <v>0</v>
      </c>
      <c r="K937" s="523"/>
      <c r="L937" s="797">
        <f>[1]!tsabetm(C937)</f>
        <v>118.91666666666666</v>
      </c>
      <c r="M937" s="797">
        <f>[1]!tsabetz(C937)</f>
        <v>144.66666666666666</v>
      </c>
      <c r="N937" s="797">
        <f t="shared" si="77"/>
        <v>67.456310679611647</v>
      </c>
      <c r="O937" s="797">
        <f t="shared" si="78"/>
        <v>1445.0028169014086</v>
      </c>
      <c r="P937" s="797">
        <f t="shared" si="79"/>
        <v>33.448101388989357</v>
      </c>
      <c r="Q937" s="797">
        <f t="shared" si="80"/>
        <v>147</v>
      </c>
      <c r="R937" s="797">
        <f t="shared" si="81"/>
        <v>147.55746835648316</v>
      </c>
      <c r="S937" s="797">
        <f>[1]!taqsabet(O937,C937)</f>
        <v>147.55580506437164</v>
      </c>
      <c r="T937" s="523"/>
      <c r="U937" s="523">
        <v>4</v>
      </c>
      <c r="V937" s="523">
        <v>24</v>
      </c>
      <c r="W937" s="523">
        <v>40</v>
      </c>
      <c r="X937" s="523"/>
      <c r="Y937" s="523">
        <v>49</v>
      </c>
      <c r="Z937" s="523">
        <v>6</v>
      </c>
      <c r="AA937" s="523" t="s">
        <v>274</v>
      </c>
      <c r="AB937" s="523">
        <v>3</v>
      </c>
      <c r="AC937" s="523">
        <v>3</v>
      </c>
      <c r="AD937" s="523" t="s">
        <v>2867</v>
      </c>
    </row>
    <row r="938" spans="3:30">
      <c r="C938" s="527">
        <v>874</v>
      </c>
      <c r="D938" s="527">
        <v>29</v>
      </c>
      <c r="E938" s="553" t="s">
        <v>3261</v>
      </c>
      <c r="F938" s="527">
        <v>70</v>
      </c>
      <c r="G938" s="527"/>
      <c r="H938" s="527">
        <v>66</v>
      </c>
      <c r="I938" s="527">
        <v>0</v>
      </c>
      <c r="J938" s="527">
        <v>0</v>
      </c>
      <c r="K938" s="527"/>
      <c r="L938" s="797">
        <f>[1]!tsabetm(C938)</f>
        <v>117.58333333333331</v>
      </c>
      <c r="M938" s="797">
        <f>[1]!tsabetz(C938)</f>
        <v>143.46666666666667</v>
      </c>
      <c r="N938" s="797">
        <f t="shared" si="77"/>
        <v>67.108821635544061</v>
      </c>
      <c r="O938" s="797">
        <f t="shared" si="78"/>
        <v>1445.0028169014086</v>
      </c>
      <c r="P938" s="797">
        <f t="shared" si="79"/>
        <v>22.346214535342028</v>
      </c>
      <c r="Q938" s="797">
        <f t="shared" si="80"/>
        <v>146</v>
      </c>
      <c r="R938" s="797">
        <f t="shared" si="81"/>
        <v>146.37243690892237</v>
      </c>
      <c r="S938" s="797">
        <f>[1]!taqsabet(O938,C938)</f>
        <v>146.37076500429504</v>
      </c>
      <c r="T938" s="527"/>
      <c r="U938" s="527">
        <v>4</v>
      </c>
      <c r="V938" s="527">
        <v>23</v>
      </c>
      <c r="W938" s="527">
        <v>28</v>
      </c>
      <c r="X938" s="527"/>
      <c r="Y938" s="527">
        <v>43</v>
      </c>
      <c r="Z938" s="527">
        <v>39</v>
      </c>
      <c r="AA938" s="527" t="s">
        <v>274</v>
      </c>
      <c r="AB938" s="527">
        <v>4</v>
      </c>
      <c r="AC938" s="527">
        <v>4</v>
      </c>
      <c r="AD938" s="527" t="s">
        <v>2867</v>
      </c>
    </row>
    <row r="939" spans="3:30">
      <c r="C939" s="523">
        <v>875</v>
      </c>
      <c r="D939" s="523">
        <v>30</v>
      </c>
      <c r="E939" s="543" t="s">
        <v>2465</v>
      </c>
      <c r="F939" s="523">
        <v>70</v>
      </c>
      <c r="G939" s="523"/>
      <c r="H939" s="523">
        <v>66</v>
      </c>
      <c r="I939" s="523">
        <v>0</v>
      </c>
      <c r="J939" s="523">
        <v>0</v>
      </c>
      <c r="K939" s="523"/>
      <c r="L939" s="797">
        <f>[1]!tsabetm(C939)</f>
        <v>118.58333333333331</v>
      </c>
      <c r="M939" s="797">
        <f>[1]!tsabetz(C939)</f>
        <v>145.01666666666668</v>
      </c>
      <c r="N939" s="797">
        <f t="shared" si="77"/>
        <v>65.712484237074321</v>
      </c>
      <c r="O939" s="797">
        <f t="shared" si="78"/>
        <v>1445.0028169014086</v>
      </c>
      <c r="P939" s="797">
        <f t="shared" si="79"/>
        <v>59.050931264038695</v>
      </c>
      <c r="Q939" s="797">
        <f t="shared" si="80"/>
        <v>147</v>
      </c>
      <c r="R939" s="797">
        <f t="shared" si="81"/>
        <v>147.98418218773398</v>
      </c>
      <c r="S939" s="797">
        <f>[1]!taqsabet(O939,C939)</f>
        <v>147.98247475647906</v>
      </c>
      <c r="T939" s="523"/>
      <c r="U939" s="523">
        <v>4</v>
      </c>
      <c r="V939" s="523">
        <v>25</v>
      </c>
      <c r="W939" s="523">
        <v>1</v>
      </c>
      <c r="X939" s="523"/>
      <c r="Y939" s="523">
        <v>43</v>
      </c>
      <c r="Z939" s="523">
        <v>15</v>
      </c>
      <c r="AA939" s="523" t="s">
        <v>274</v>
      </c>
      <c r="AB939" s="523">
        <v>4</v>
      </c>
      <c r="AC939" s="523">
        <v>4</v>
      </c>
      <c r="AD939" s="523" t="s">
        <v>2867</v>
      </c>
    </row>
    <row r="940" spans="3:30">
      <c r="C940" s="527">
        <v>876</v>
      </c>
      <c r="D940" s="527">
        <v>31</v>
      </c>
      <c r="E940" s="553" t="s">
        <v>3262</v>
      </c>
      <c r="F940" s="527">
        <v>70</v>
      </c>
      <c r="G940" s="527"/>
      <c r="H940" s="527">
        <v>66</v>
      </c>
      <c r="I940" s="527">
        <v>0</v>
      </c>
      <c r="J940" s="527">
        <v>0</v>
      </c>
      <c r="K940" s="527"/>
      <c r="L940" s="797">
        <f>[1]!tsabetm(C940)</f>
        <v>133.75</v>
      </c>
      <c r="M940" s="797">
        <f>[1]!tsabetz(C940)</f>
        <v>159.16666666666666</v>
      </c>
      <c r="N940" s="797">
        <f t="shared" si="77"/>
        <v>68.340983606557401</v>
      </c>
      <c r="O940" s="797">
        <f t="shared" si="78"/>
        <v>1445.0028169014086</v>
      </c>
      <c r="P940" s="797">
        <f t="shared" si="79"/>
        <v>1.2028185231127964</v>
      </c>
      <c r="Q940" s="797">
        <f t="shared" si="80"/>
        <v>162</v>
      </c>
      <c r="R940" s="797">
        <f t="shared" si="81"/>
        <v>162.02004697538521</v>
      </c>
      <c r="S940" s="797">
        <f>[1]!taqsabet(O940,C940)</f>
        <v>162.01840521456316</v>
      </c>
      <c r="T940" s="527"/>
      <c r="U940" s="527">
        <v>5</v>
      </c>
      <c r="V940" s="527">
        <v>9</v>
      </c>
      <c r="W940" s="527">
        <v>10</v>
      </c>
      <c r="X940" s="527"/>
      <c r="Y940" s="527">
        <v>56</v>
      </c>
      <c r="Z940" s="527">
        <v>9</v>
      </c>
      <c r="AA940" s="527" t="s">
        <v>274</v>
      </c>
      <c r="AB940" s="527">
        <v>2</v>
      </c>
      <c r="AC940" s="527">
        <v>2</v>
      </c>
      <c r="AD940" s="527" t="s">
        <v>2867</v>
      </c>
    </row>
    <row r="941" spans="3:30">
      <c r="C941" s="523">
        <v>877</v>
      </c>
      <c r="D941" s="523">
        <v>32</v>
      </c>
      <c r="E941" s="543" t="s">
        <v>3263</v>
      </c>
      <c r="F941" s="523">
        <v>70</v>
      </c>
      <c r="G941" s="523"/>
      <c r="H941" s="523">
        <v>66</v>
      </c>
      <c r="I941" s="523">
        <v>0</v>
      </c>
      <c r="J941" s="523">
        <v>0</v>
      </c>
      <c r="K941" s="523"/>
      <c r="L941" s="797">
        <f>[1]!tsabetm(C941)</f>
        <v>137.58333333333331</v>
      </c>
      <c r="M941" s="797">
        <f>[1]!tsabetz(C941)</f>
        <v>163.81666666666666</v>
      </c>
      <c r="N941" s="797">
        <f t="shared" si="77"/>
        <v>66.213468869123218</v>
      </c>
      <c r="O941" s="797">
        <f t="shared" si="78"/>
        <v>1445.0028169014086</v>
      </c>
      <c r="P941" s="797">
        <f t="shared" si="79"/>
        <v>45.703761544511394</v>
      </c>
      <c r="Q941" s="797">
        <f t="shared" si="80"/>
        <v>166</v>
      </c>
      <c r="R941" s="797">
        <f t="shared" si="81"/>
        <v>166.76172935907519</v>
      </c>
      <c r="S941" s="797">
        <f>[1]!taqsabet(O941,C941)</f>
        <v>166.76003484659395</v>
      </c>
      <c r="T941" s="523"/>
      <c r="U941" s="523">
        <v>5</v>
      </c>
      <c r="V941" s="523">
        <v>13</v>
      </c>
      <c r="W941" s="523">
        <v>49</v>
      </c>
      <c r="X941" s="523"/>
      <c r="Y941" s="523">
        <v>51</v>
      </c>
      <c r="Z941" s="523">
        <v>15</v>
      </c>
      <c r="AA941" s="523" t="s">
        <v>274</v>
      </c>
      <c r="AB941" s="523">
        <v>2</v>
      </c>
      <c r="AC941" s="523">
        <v>2</v>
      </c>
      <c r="AD941" s="523" t="s">
        <v>2867</v>
      </c>
    </row>
    <row r="942" spans="3:30">
      <c r="C942" s="527">
        <v>878</v>
      </c>
      <c r="D942" s="527">
        <v>33</v>
      </c>
      <c r="E942" s="553" t="s">
        <v>3264</v>
      </c>
      <c r="F942" s="527">
        <v>70</v>
      </c>
      <c r="G942" s="527"/>
      <c r="H942" s="527">
        <v>66</v>
      </c>
      <c r="I942" s="527">
        <v>0</v>
      </c>
      <c r="J942" s="527">
        <v>0</v>
      </c>
      <c r="K942" s="527"/>
      <c r="L942" s="797">
        <f>[1]!tsabetm(C942)</f>
        <v>100.75</v>
      </c>
      <c r="M942" s="797">
        <f>[1]!tsabetz(C942)</f>
        <v>126.26666666666667</v>
      </c>
      <c r="N942" s="797">
        <f t="shared" si="77"/>
        <v>68.073154800783797</v>
      </c>
      <c r="O942" s="797">
        <f t="shared" si="78"/>
        <v>1445.0028169014086</v>
      </c>
      <c r="P942" s="797">
        <f t="shared" si="79"/>
        <v>7.8764033828764468</v>
      </c>
      <c r="Q942" s="797">
        <f t="shared" si="80"/>
        <v>129</v>
      </c>
      <c r="R942" s="797">
        <f t="shared" si="81"/>
        <v>129.13127338971461</v>
      </c>
      <c r="S942" s="797">
        <f>[1]!taqsabet(O942,C942)</f>
        <v>129.12962516950572</v>
      </c>
      <c r="T942" s="527"/>
      <c r="U942" s="527">
        <v>4</v>
      </c>
      <c r="V942" s="527">
        <v>6</v>
      </c>
      <c r="W942" s="527">
        <v>16</v>
      </c>
      <c r="X942" s="527"/>
      <c r="Y942" s="527">
        <v>63</v>
      </c>
      <c r="Z942" s="527">
        <v>55</v>
      </c>
      <c r="AA942" s="527" t="s">
        <v>274</v>
      </c>
      <c r="AB942" s="527">
        <v>4</v>
      </c>
      <c r="AC942" s="527">
        <v>4</v>
      </c>
      <c r="AD942" s="527" t="s">
        <v>2867</v>
      </c>
    </row>
    <row r="943" spans="3:30">
      <c r="C943" s="523">
        <v>879</v>
      </c>
      <c r="D943" s="523">
        <v>34</v>
      </c>
      <c r="E943" s="543" t="s">
        <v>3265</v>
      </c>
      <c r="F943" s="523">
        <v>70</v>
      </c>
      <c r="G943" s="523"/>
      <c r="H943" s="523">
        <v>66</v>
      </c>
      <c r="I943" s="523">
        <v>0</v>
      </c>
      <c r="J943" s="523">
        <v>0</v>
      </c>
      <c r="K943" s="523"/>
      <c r="L943" s="797">
        <f>[1]!tsabetm(C943)</f>
        <v>108.58333333333334</v>
      </c>
      <c r="M943" s="797">
        <f>[1]!tsabetz(C943)</f>
        <v>136.36666666666667</v>
      </c>
      <c r="N943" s="797">
        <f t="shared" si="77"/>
        <v>62.519496100779847</v>
      </c>
      <c r="O943" s="797">
        <f t="shared" si="78"/>
        <v>1445.0028169014086</v>
      </c>
      <c r="P943" s="797">
        <f t="shared" si="79"/>
        <v>29.14432687083945</v>
      </c>
      <c r="Q943" s="797">
        <f t="shared" si="80"/>
        <v>139</v>
      </c>
      <c r="R943" s="797">
        <f t="shared" si="81"/>
        <v>139.48573878118066</v>
      </c>
      <c r="S943" s="797">
        <f>[1]!taqsabet(O943,C943)</f>
        <v>139.48394414820339</v>
      </c>
      <c r="T943" s="523"/>
      <c r="U943" s="523">
        <v>4</v>
      </c>
      <c r="V943" s="523">
        <v>16</v>
      </c>
      <c r="W943" s="523">
        <v>22</v>
      </c>
      <c r="X943" s="523"/>
      <c r="Y943" s="523">
        <v>65</v>
      </c>
      <c r="Z943" s="551">
        <v>25</v>
      </c>
      <c r="AA943" s="523" t="s">
        <v>274</v>
      </c>
      <c r="AB943" s="523">
        <v>5</v>
      </c>
      <c r="AC943" s="523">
        <v>6</v>
      </c>
      <c r="AD943" s="523" t="s">
        <v>2867</v>
      </c>
    </row>
    <row r="944" spans="3:30">
      <c r="C944" s="527">
        <v>880</v>
      </c>
      <c r="D944" s="527">
        <v>35</v>
      </c>
      <c r="E944" s="553" t="s">
        <v>3266</v>
      </c>
      <c r="F944" s="527">
        <v>70</v>
      </c>
      <c r="G944" s="527"/>
      <c r="H944" s="527">
        <v>66</v>
      </c>
      <c r="I944" s="527">
        <v>0</v>
      </c>
      <c r="J944" s="527">
        <v>0</v>
      </c>
      <c r="K944" s="527"/>
      <c r="L944" s="797">
        <f>[1]!tsabetm(C944)</f>
        <v>119.58333333333331</v>
      </c>
      <c r="M944" s="797">
        <f>[1]!tsabetz(C944)</f>
        <v>139.41666666666666</v>
      </c>
      <c r="N944" s="797">
        <f t="shared" si="77"/>
        <v>87.579831932773061</v>
      </c>
      <c r="O944" s="797">
        <f t="shared" si="78"/>
        <v>1445.0028169014086</v>
      </c>
      <c r="P944" s="797">
        <f t="shared" si="79"/>
        <v>38.594330519675282</v>
      </c>
      <c r="Q944" s="797">
        <f t="shared" si="80"/>
        <v>141</v>
      </c>
      <c r="R944" s="797">
        <f t="shared" si="81"/>
        <v>141.64323884199459</v>
      </c>
      <c r="S944" s="797">
        <f>[1]!taqsabet(O944,C944)</f>
        <v>141.64195773027114</v>
      </c>
      <c r="T944" s="527"/>
      <c r="U944" s="527">
        <v>4</v>
      </c>
      <c r="V944" s="527">
        <v>19</v>
      </c>
      <c r="W944" s="527">
        <v>25</v>
      </c>
      <c r="X944" s="527"/>
      <c r="Y944" s="527">
        <v>64</v>
      </c>
      <c r="Z944" s="527">
        <v>15</v>
      </c>
      <c r="AA944" s="527" t="s">
        <v>274</v>
      </c>
      <c r="AB944" s="527">
        <v>2</v>
      </c>
      <c r="AC944" s="527">
        <v>2</v>
      </c>
      <c r="AD944" s="527" t="s">
        <v>2867</v>
      </c>
    </row>
    <row r="945" spans="1:31">
      <c r="C945" s="523">
        <v>881</v>
      </c>
      <c r="D945" s="523">
        <v>36</v>
      </c>
      <c r="E945" s="543" t="s">
        <v>3267</v>
      </c>
      <c r="F945" s="523">
        <v>70</v>
      </c>
      <c r="G945" s="523"/>
      <c r="H945" s="523">
        <v>66</v>
      </c>
      <c r="I945" s="523">
        <v>0</v>
      </c>
      <c r="J945" s="523">
        <v>0</v>
      </c>
      <c r="K945" s="523"/>
      <c r="L945" s="797">
        <f>[1]!tsabetm(C945)</f>
        <v>128.08333333333331</v>
      </c>
      <c r="M945" s="797">
        <f>[1]!tsabetz(C945)</f>
        <v>154.94999999999999</v>
      </c>
      <c r="N945" s="797">
        <f t="shared" si="77"/>
        <v>64.652605459057057</v>
      </c>
      <c r="O945" s="797">
        <f t="shared" si="78"/>
        <v>1445.0028169014086</v>
      </c>
      <c r="P945" s="797">
        <f t="shared" si="79"/>
        <v>57.96979898967777</v>
      </c>
      <c r="Q945" s="797">
        <f t="shared" si="80"/>
        <v>157</v>
      </c>
      <c r="R945" s="797">
        <f t="shared" si="81"/>
        <v>157.96616331649463</v>
      </c>
      <c r="S945" s="797">
        <f>[1]!taqsabet(O945,C945)</f>
        <v>157.96442789456339</v>
      </c>
      <c r="T945" s="523"/>
      <c r="U945" s="523">
        <v>5</v>
      </c>
      <c r="V945" s="523">
        <v>4</v>
      </c>
      <c r="W945" s="523">
        <v>57</v>
      </c>
      <c r="X945" s="523"/>
      <c r="Y945" s="523">
        <v>69</v>
      </c>
      <c r="Z945" s="523">
        <v>40</v>
      </c>
      <c r="AA945" s="523" t="s">
        <v>274</v>
      </c>
      <c r="AB945" s="523">
        <v>3</v>
      </c>
      <c r="AC945" s="523">
        <v>2</v>
      </c>
      <c r="AD945" s="523" t="s">
        <v>2867</v>
      </c>
    </row>
    <row r="946" spans="1:31">
      <c r="C946" s="527">
        <v>882</v>
      </c>
      <c r="D946" s="527">
        <v>37</v>
      </c>
      <c r="E946" s="553" t="s">
        <v>3268</v>
      </c>
      <c r="F946" s="527">
        <v>70</v>
      </c>
      <c r="G946" s="527"/>
      <c r="H946" s="527">
        <v>66</v>
      </c>
      <c r="I946" s="527">
        <v>0</v>
      </c>
      <c r="J946" s="527">
        <v>0</v>
      </c>
      <c r="K946" s="527"/>
      <c r="L946" s="797">
        <f>[1]!tsabetm(C946)</f>
        <v>134.75</v>
      </c>
      <c r="M946" s="797">
        <f>[1]!tsabetz(C946)</f>
        <v>160.94999999999999</v>
      </c>
      <c r="N946" s="797">
        <f t="shared" si="77"/>
        <v>66.297709923664158</v>
      </c>
      <c r="O946" s="797">
        <f t="shared" si="78"/>
        <v>1445.0028169014086</v>
      </c>
      <c r="P946" s="797">
        <f t="shared" si="79"/>
        <v>53.479233257922942</v>
      </c>
      <c r="Q946" s="797">
        <f t="shared" si="80"/>
        <v>163</v>
      </c>
      <c r="R946" s="797">
        <f t="shared" si="81"/>
        <v>163.89132055429872</v>
      </c>
      <c r="S946" s="797">
        <f>[1]!taqsabet(O946,C946)</f>
        <v>163.88962819494643</v>
      </c>
      <c r="T946" s="527"/>
      <c r="U946" s="527">
        <v>5</v>
      </c>
      <c r="V946" s="527">
        <v>10</v>
      </c>
      <c r="W946" s="527">
        <v>57</v>
      </c>
      <c r="X946" s="527"/>
      <c r="Y946" s="527">
        <v>65</v>
      </c>
      <c r="Z946" s="527">
        <v>40</v>
      </c>
      <c r="AA946" s="527" t="s">
        <v>274</v>
      </c>
      <c r="AB946" s="527">
        <v>3</v>
      </c>
      <c r="AC946" s="527">
        <v>3</v>
      </c>
      <c r="AD946" s="527" t="s">
        <v>2867</v>
      </c>
    </row>
    <row r="947" spans="1:31">
      <c r="C947" s="523">
        <v>883</v>
      </c>
      <c r="D947" s="523">
        <v>38</v>
      </c>
      <c r="E947" s="543" t="s">
        <v>2612</v>
      </c>
      <c r="F947" s="523">
        <v>70</v>
      </c>
      <c r="G947" s="523"/>
      <c r="H947" s="523">
        <v>66</v>
      </c>
      <c r="I947" s="523">
        <v>0</v>
      </c>
      <c r="J947" s="523">
        <v>0</v>
      </c>
      <c r="K947" s="523"/>
      <c r="L947" s="797">
        <f>[1]!tsabetm(C947)</f>
        <v>140.91666666666666</v>
      </c>
      <c r="M947" s="797">
        <f>[1]!tsabetz(C947)</f>
        <v>166.45</v>
      </c>
      <c r="N947" s="797">
        <f t="shared" si="77"/>
        <v>68.028720626631852</v>
      </c>
      <c r="O947" s="797">
        <f t="shared" si="78"/>
        <v>1445.0028169014086</v>
      </c>
      <c r="P947" s="797">
        <f t="shared" si="79"/>
        <v>18.98866752616982</v>
      </c>
      <c r="Q947" s="797">
        <f t="shared" si="80"/>
        <v>169</v>
      </c>
      <c r="R947" s="797">
        <f t="shared" si="81"/>
        <v>169.31647779210283</v>
      </c>
      <c r="S947" s="797">
        <f>[1]!taqsabet(O947,C947)</f>
        <v>169.31482849532946</v>
      </c>
      <c r="T947" s="523"/>
      <c r="U947" s="523">
        <v>5</v>
      </c>
      <c r="V947" s="523">
        <v>16</v>
      </c>
      <c r="W947" s="523">
        <v>27</v>
      </c>
      <c r="X947" s="523"/>
      <c r="Y947" s="523">
        <v>65</v>
      </c>
      <c r="Z947" s="523">
        <v>50</v>
      </c>
      <c r="AA947" s="523" t="s">
        <v>274</v>
      </c>
      <c r="AB947" s="523">
        <v>3</v>
      </c>
      <c r="AC947" s="523">
        <v>3</v>
      </c>
      <c r="AD947" s="523" t="s">
        <v>2867</v>
      </c>
    </row>
    <row r="948" spans="1:31">
      <c r="C948" s="527">
        <v>884</v>
      </c>
      <c r="D948" s="527">
        <v>39</v>
      </c>
      <c r="E948" s="553" t="s">
        <v>2613</v>
      </c>
      <c r="F948" s="527">
        <v>70</v>
      </c>
      <c r="G948" s="527"/>
      <c r="H948" s="527">
        <v>66</v>
      </c>
      <c r="I948" s="527">
        <v>0</v>
      </c>
      <c r="J948" s="527">
        <v>0</v>
      </c>
      <c r="K948" s="527"/>
      <c r="L948" s="797">
        <f>[1]!tsabetm(C948)</f>
        <v>145.58333333333331</v>
      </c>
      <c r="M948" s="797">
        <f>[1]!tsabetz(C948)</f>
        <v>171.78333333333333</v>
      </c>
      <c r="N948" s="797">
        <f t="shared" si="77"/>
        <v>66.297709923664073</v>
      </c>
      <c r="O948" s="797">
        <f t="shared" si="78"/>
        <v>1445.0028169014086</v>
      </c>
      <c r="P948" s="797">
        <f t="shared" si="79"/>
        <v>43.479233257923511</v>
      </c>
      <c r="Q948" s="797">
        <f t="shared" si="80"/>
        <v>174</v>
      </c>
      <c r="R948" s="797">
        <f t="shared" si="81"/>
        <v>174.72465388763206</v>
      </c>
      <c r="S948" s="797">
        <f>[1]!taqsabet(O948,C948)</f>
        <v>174.72296152827977</v>
      </c>
      <c r="T948" s="527"/>
      <c r="U948" s="527">
        <v>5</v>
      </c>
      <c r="V948" s="527">
        <v>21</v>
      </c>
      <c r="W948" s="527">
        <v>47</v>
      </c>
      <c r="X948" s="527"/>
      <c r="Y948" s="527">
        <v>66</v>
      </c>
      <c r="Z948" s="527">
        <v>20</v>
      </c>
      <c r="AA948" s="527" t="s">
        <v>274</v>
      </c>
      <c r="AB948" s="527">
        <v>2</v>
      </c>
      <c r="AC948" s="527">
        <v>2</v>
      </c>
      <c r="AD948" s="527" t="s">
        <v>2867</v>
      </c>
    </row>
    <row r="949" spans="1:31">
      <c r="C949" s="523">
        <v>885</v>
      </c>
      <c r="D949" s="523">
        <v>40</v>
      </c>
      <c r="E949" s="543" t="s">
        <v>3269</v>
      </c>
      <c r="F949" s="523">
        <v>70</v>
      </c>
      <c r="G949" s="523"/>
      <c r="H949" s="523">
        <v>66</v>
      </c>
      <c r="I949" s="523">
        <v>0</v>
      </c>
      <c r="J949" s="523">
        <v>0</v>
      </c>
      <c r="K949" s="523"/>
      <c r="L949" s="797">
        <f>[1]!tsabetm(C949)</f>
        <v>150.58333333333331</v>
      </c>
      <c r="M949" s="797">
        <f>[1]!tsabetz(C949)</f>
        <v>176.78333333333333</v>
      </c>
      <c r="N949" s="797">
        <f t="shared" si="77"/>
        <v>66.297709923664073</v>
      </c>
      <c r="O949" s="797">
        <f t="shared" si="78"/>
        <v>1445.0028169014086</v>
      </c>
      <c r="P949" s="797">
        <f t="shared" si="79"/>
        <v>43.479233257923511</v>
      </c>
      <c r="Q949" s="797">
        <f t="shared" si="80"/>
        <v>179</v>
      </c>
      <c r="R949" s="797">
        <f t="shared" si="81"/>
        <v>179.72465388763206</v>
      </c>
      <c r="S949" s="797">
        <f>[1]!taqsabet(O949,C949)</f>
        <v>179.72296152827977</v>
      </c>
      <c r="T949" s="523"/>
      <c r="U949" s="523">
        <v>5</v>
      </c>
      <c r="V949" s="523">
        <v>26</v>
      </c>
      <c r="W949" s="523">
        <v>47</v>
      </c>
      <c r="X949" s="523"/>
      <c r="Y949" s="523">
        <v>62</v>
      </c>
      <c r="Z949" s="523">
        <v>50</v>
      </c>
      <c r="AA949" s="523" t="s">
        <v>274</v>
      </c>
      <c r="AB949" s="523">
        <v>3</v>
      </c>
      <c r="AC949" s="523">
        <v>3</v>
      </c>
      <c r="AD949" s="523" t="s">
        <v>2867</v>
      </c>
    </row>
    <row r="950" spans="1:31">
      <c r="C950" s="527">
        <v>886</v>
      </c>
      <c r="D950" s="527">
        <v>41</v>
      </c>
      <c r="E950" s="553" t="s">
        <v>2465</v>
      </c>
      <c r="F950" s="527">
        <v>70</v>
      </c>
      <c r="G950" s="527"/>
      <c r="H950" s="527">
        <v>66</v>
      </c>
      <c r="I950" s="527">
        <v>0</v>
      </c>
      <c r="J950" s="527">
        <v>0</v>
      </c>
      <c r="K950" s="527"/>
      <c r="L950" s="797">
        <f>[1]!tsabetm(C950)</f>
        <v>157.58333333333331</v>
      </c>
      <c r="M950" s="797">
        <f>[1]!tsabetz(C950)</f>
        <v>183.78333333333333</v>
      </c>
      <c r="N950" s="797">
        <f t="shared" si="77"/>
        <v>66.297709923664073</v>
      </c>
      <c r="O950" s="797">
        <f t="shared" si="78"/>
        <v>1445.0028169014086</v>
      </c>
      <c r="P950" s="797">
        <f t="shared" si="79"/>
        <v>43.479233257923511</v>
      </c>
      <c r="Q950" s="797">
        <f t="shared" si="80"/>
        <v>186</v>
      </c>
      <c r="R950" s="797">
        <f t="shared" si="81"/>
        <v>186.72465388763206</v>
      </c>
      <c r="S950" s="797">
        <f>[1]!taqsabet(O950,C950)</f>
        <v>186.72296152827977</v>
      </c>
      <c r="T950" s="527"/>
      <c r="U950" s="527">
        <v>6</v>
      </c>
      <c r="V950" s="527">
        <v>3</v>
      </c>
      <c r="W950" s="527">
        <v>47</v>
      </c>
      <c r="X950" s="527"/>
      <c r="Y950" s="527">
        <v>62</v>
      </c>
      <c r="Z950" s="527">
        <v>15</v>
      </c>
      <c r="AA950" s="527" t="s">
        <v>274</v>
      </c>
      <c r="AB950" s="527">
        <v>3</v>
      </c>
      <c r="AC950" s="527">
        <v>3</v>
      </c>
      <c r="AD950" s="527" t="s">
        <v>2867</v>
      </c>
      <c r="AE950" s="327">
        <v>611</v>
      </c>
    </row>
    <row r="951" spans="1:31">
      <c r="C951" s="523">
        <v>887</v>
      </c>
      <c r="D951" s="523">
        <v>42</v>
      </c>
      <c r="E951" s="543" t="s">
        <v>3270</v>
      </c>
      <c r="F951" s="523">
        <v>70</v>
      </c>
      <c r="G951" s="523"/>
      <c r="H951" s="523">
        <v>66</v>
      </c>
      <c r="I951" s="523">
        <v>0</v>
      </c>
      <c r="J951" s="523">
        <v>0</v>
      </c>
      <c r="K951" s="523"/>
      <c r="L951" s="797">
        <f>[1]!tsabetm(C951)</f>
        <v>63.583333333333336</v>
      </c>
      <c r="M951" s="797">
        <f>[1]!tsabetz(C951)</f>
        <v>88.316666666666663</v>
      </c>
      <c r="N951" s="797">
        <f t="shared" si="77"/>
        <v>70.229110512129395</v>
      </c>
      <c r="O951" s="797">
        <f t="shared" si="78"/>
        <v>1445.0028169014086</v>
      </c>
      <c r="P951" s="797">
        <f t="shared" si="79"/>
        <v>5.5999886480651639</v>
      </c>
      <c r="Q951" s="797">
        <f t="shared" si="80"/>
        <v>91</v>
      </c>
      <c r="R951" s="797">
        <f t="shared" si="81"/>
        <v>91.093333144134419</v>
      </c>
      <c r="S951" s="797">
        <f>[1]!taqsabet(O951,C951)</f>
        <v>91.091735522455792</v>
      </c>
      <c r="T951" s="523"/>
      <c r="U951" s="523">
        <v>2</v>
      </c>
      <c r="V951" s="523">
        <v>28</v>
      </c>
      <c r="W951" s="523">
        <v>19</v>
      </c>
      <c r="X951" s="523"/>
      <c r="Y951" s="523">
        <v>66</v>
      </c>
      <c r="Z951" s="523">
        <v>9</v>
      </c>
      <c r="AA951" s="523" t="s">
        <v>274</v>
      </c>
      <c r="AB951" s="523">
        <v>3</v>
      </c>
      <c r="AC951" s="523">
        <v>4</v>
      </c>
      <c r="AD951" s="523" t="s">
        <v>2867</v>
      </c>
    </row>
    <row r="952" spans="1:31">
      <c r="C952" s="527">
        <v>888</v>
      </c>
      <c r="D952" s="527">
        <v>43</v>
      </c>
      <c r="E952" s="553" t="s">
        <v>2465</v>
      </c>
      <c r="F952" s="527">
        <v>70</v>
      </c>
      <c r="G952" s="527"/>
      <c r="H952" s="527">
        <v>66</v>
      </c>
      <c r="I952" s="527">
        <v>0</v>
      </c>
      <c r="J952" s="527">
        <v>0</v>
      </c>
      <c r="K952" s="527"/>
      <c r="L952" s="797">
        <f>[1]!tsabetm(C952)</f>
        <v>79.75</v>
      </c>
      <c r="M952" s="797">
        <f>[1]!tsabetz(C952)</f>
        <v>104.61666666666666</v>
      </c>
      <c r="N952" s="797">
        <f t="shared" si="77"/>
        <v>69.852546916890105</v>
      </c>
      <c r="O952" s="797">
        <f t="shared" si="78"/>
        <v>1445.0028169014086</v>
      </c>
      <c r="P952" s="797">
        <f t="shared" si="79"/>
        <v>24.498101794416129</v>
      </c>
      <c r="Q952" s="797">
        <f t="shared" si="80"/>
        <v>107</v>
      </c>
      <c r="R952" s="797">
        <f t="shared" si="81"/>
        <v>107.4083016965736</v>
      </c>
      <c r="S952" s="797">
        <f>[1]!taqsabet(O952,C952)</f>
        <v>107.40669546237918</v>
      </c>
      <c r="T952" s="527"/>
      <c r="U952" s="527">
        <v>3</v>
      </c>
      <c r="V952" s="527">
        <v>14</v>
      </c>
      <c r="W952" s="527">
        <v>37</v>
      </c>
      <c r="X952" s="527"/>
      <c r="Y952" s="527">
        <v>66</v>
      </c>
      <c r="Z952" s="527">
        <v>12</v>
      </c>
      <c r="AA952" s="527" t="s">
        <v>274</v>
      </c>
      <c r="AB952" s="527">
        <v>3</v>
      </c>
      <c r="AC952" s="527">
        <v>3</v>
      </c>
      <c r="AD952" s="527" t="s">
        <v>2867</v>
      </c>
    </row>
    <row r="953" spans="1:31">
      <c r="C953" s="523">
        <v>889</v>
      </c>
      <c r="D953" s="523">
        <v>44</v>
      </c>
      <c r="E953" s="543" t="s">
        <v>3271</v>
      </c>
      <c r="F953" s="523">
        <v>70</v>
      </c>
      <c r="G953" s="523"/>
      <c r="H953" s="523">
        <v>66</v>
      </c>
      <c r="I953" s="523">
        <v>2</v>
      </c>
      <c r="J953" s="523">
        <v>12</v>
      </c>
      <c r="K953" s="523" t="s">
        <v>3272</v>
      </c>
      <c r="L953" s="797">
        <f>[1]!tsabetm(C953)</f>
        <v>76.75</v>
      </c>
      <c r="M953" s="797">
        <f>[1]!tsabetz(C953)</f>
        <v>103.93333333333334</v>
      </c>
      <c r="N953" s="797">
        <f t="shared" si="77"/>
        <v>63.899448191293679</v>
      </c>
      <c r="O953" s="797">
        <f t="shared" si="78"/>
        <v>1445.0028169014086</v>
      </c>
      <c r="P953" s="797">
        <f t="shared" si="79"/>
        <v>59.102817712261242</v>
      </c>
      <c r="Q953" s="797">
        <f t="shared" si="80"/>
        <v>106</v>
      </c>
      <c r="R953" s="797">
        <f t="shared" si="81"/>
        <v>106.98504696187102</v>
      </c>
      <c r="S953" s="797">
        <f>[1]!taqsabet(O953,C953)</f>
        <v>106.98329108521479</v>
      </c>
      <c r="T953" s="523"/>
      <c r="U953" s="523">
        <v>3</v>
      </c>
      <c r="V953" s="523">
        <v>13</v>
      </c>
      <c r="W953" s="523">
        <v>56</v>
      </c>
      <c r="X953" s="523"/>
      <c r="Y953" s="523">
        <v>71</v>
      </c>
      <c r="Z953" s="523">
        <v>0</v>
      </c>
      <c r="AA953" s="523" t="s">
        <v>274</v>
      </c>
      <c r="AB953" s="523">
        <v>1</v>
      </c>
      <c r="AC953" s="523">
        <v>1</v>
      </c>
      <c r="AD953" s="523" t="s">
        <v>2867</v>
      </c>
    </row>
    <row r="954" spans="1:31">
      <c r="C954" s="527">
        <v>890</v>
      </c>
      <c r="D954" s="527">
        <v>45</v>
      </c>
      <c r="E954" s="553" t="s">
        <v>2465</v>
      </c>
      <c r="F954" s="527">
        <v>70</v>
      </c>
      <c r="G954" s="527"/>
      <c r="H954" s="527">
        <v>66</v>
      </c>
      <c r="I954" s="527">
        <v>0</v>
      </c>
      <c r="J954" s="527">
        <v>0</v>
      </c>
      <c r="K954" s="527"/>
      <c r="L954" s="797">
        <f>[1]!tsabetm(C954)</f>
        <v>88.583333333333343</v>
      </c>
      <c r="M954" s="797">
        <f>[1]!tsabetz(C954)</f>
        <v>114.28333333333333</v>
      </c>
      <c r="N954" s="797">
        <f t="shared" si="77"/>
        <v>67.587548638132333</v>
      </c>
      <c r="O954" s="797">
        <f t="shared" si="78"/>
        <v>1445.0028169014086</v>
      </c>
      <c r="P954" s="797">
        <f t="shared" si="79"/>
        <v>10.111308959108669</v>
      </c>
      <c r="Q954" s="797">
        <f t="shared" si="80"/>
        <v>117</v>
      </c>
      <c r="R954" s="797">
        <f t="shared" si="81"/>
        <v>117.16852181598514</v>
      </c>
      <c r="S954" s="797">
        <f>[1]!taqsabet(O954,C954)</f>
        <v>117.16686175356705</v>
      </c>
      <c r="T954" s="527"/>
      <c r="U954" s="527">
        <v>3</v>
      </c>
      <c r="V954" s="527">
        <v>24</v>
      </c>
      <c r="W954" s="527">
        <v>17</v>
      </c>
      <c r="X954" s="527"/>
      <c r="Y954" s="527">
        <v>71</v>
      </c>
      <c r="Z954" s="527">
        <v>15</v>
      </c>
      <c r="AA954" s="527" t="s">
        <v>274</v>
      </c>
      <c r="AB954" s="527">
        <v>3</v>
      </c>
      <c r="AC954" s="527">
        <v>3</v>
      </c>
      <c r="AD954" s="527" t="s">
        <v>2867</v>
      </c>
    </row>
    <row r="955" spans="1:31">
      <c r="C955" s="546"/>
      <c r="D955" s="546"/>
      <c r="E955" s="546"/>
      <c r="F955" s="546"/>
      <c r="G955" s="546"/>
      <c r="H955" s="546"/>
      <c r="I955" s="546"/>
      <c r="J955" s="546"/>
      <c r="K955" s="546"/>
      <c r="N955" s="797">
        <f t="shared" si="77"/>
        <v>4.8250000000000002</v>
      </c>
      <c r="O955" s="797">
        <f t="shared" si="78"/>
        <v>1445.0028169014086</v>
      </c>
      <c r="P955" s="797">
        <f t="shared" si="79"/>
        <v>24.905495147049237</v>
      </c>
      <c r="Q955" s="797">
        <f t="shared" si="80"/>
        <v>40</v>
      </c>
      <c r="R955" s="797">
        <f t="shared" si="81"/>
        <v>40.415091585784154</v>
      </c>
      <c r="S955" s="797">
        <f>[1]!taqsabet(O955,C955)</f>
        <v>1.4716840899636423</v>
      </c>
      <c r="T955" s="546"/>
      <c r="U955" s="546"/>
      <c r="V955" s="546"/>
      <c r="W955" s="546"/>
      <c r="X955" s="546"/>
      <c r="Y955" s="546"/>
      <c r="Z955" s="546"/>
      <c r="AA955" s="546"/>
      <c r="AB955" s="546"/>
      <c r="AC955" s="546"/>
      <c r="AD955" s="546"/>
    </row>
    <row r="956" spans="1:31">
      <c r="A956" s="567">
        <v>8</v>
      </c>
      <c r="B956" s="536" t="s">
        <v>3273</v>
      </c>
      <c r="C956" s="522">
        <v>891</v>
      </c>
      <c r="D956" s="522">
        <v>1</v>
      </c>
      <c r="E956" s="550" t="s">
        <v>3274</v>
      </c>
      <c r="F956" s="522">
        <v>70</v>
      </c>
      <c r="G956" s="522"/>
      <c r="H956" s="522">
        <v>66</v>
      </c>
      <c r="I956" s="522">
        <v>0</v>
      </c>
      <c r="J956" s="522">
        <v>0</v>
      </c>
      <c r="K956" s="522"/>
      <c r="L956" s="797">
        <f>[1]!tsabetm(C956)</f>
        <v>103.58333333333334</v>
      </c>
      <c r="M956" s="797">
        <f>[1]!tsabetz(C956)</f>
        <v>129.56666666666666</v>
      </c>
      <c r="N956" s="797">
        <f t="shared" si="77"/>
        <v>66.850545221295732</v>
      </c>
      <c r="O956" s="797">
        <f t="shared" si="78"/>
        <v>1445.0028169014086</v>
      </c>
      <c r="P956" s="797">
        <f t="shared" si="79"/>
        <v>29.019799395103973</v>
      </c>
      <c r="Q956" s="797">
        <f t="shared" si="80"/>
        <v>132</v>
      </c>
      <c r="R956" s="797">
        <f t="shared" si="81"/>
        <v>132.48366332325173</v>
      </c>
      <c r="S956" s="797">
        <f>[1]!taqsabet(O956,C956)</f>
        <v>132.48198495923759</v>
      </c>
      <c r="T956" s="522"/>
      <c r="U956" s="522">
        <v>4</v>
      </c>
      <c r="V956" s="522">
        <v>9</v>
      </c>
      <c r="W956" s="522">
        <v>34</v>
      </c>
      <c r="X956" s="522"/>
      <c r="Y956" s="522">
        <v>14</v>
      </c>
      <c r="Z956" s="522">
        <v>33</v>
      </c>
      <c r="AA956" s="522" t="s">
        <v>274</v>
      </c>
      <c r="AB956" s="522">
        <v>4</v>
      </c>
      <c r="AC956" s="522">
        <v>4</v>
      </c>
      <c r="AD956" s="522" t="s">
        <v>2430</v>
      </c>
    </row>
    <row r="957" spans="1:31">
      <c r="C957" s="523">
        <v>892</v>
      </c>
      <c r="D957" s="523">
        <v>2</v>
      </c>
      <c r="E957" s="543" t="s">
        <v>3275</v>
      </c>
      <c r="F957" s="523">
        <v>70</v>
      </c>
      <c r="G957" s="523"/>
      <c r="H957" s="523">
        <v>66</v>
      </c>
      <c r="I957" s="523">
        <v>0</v>
      </c>
      <c r="J957" s="523">
        <v>0</v>
      </c>
      <c r="K957" s="523"/>
      <c r="L957" s="797">
        <f>[1]!tsabetm(C957)</f>
        <v>102.91666666666666</v>
      </c>
      <c r="M957" s="797">
        <f>[1]!tsabetz(C957)</f>
        <v>128.51666666666668</v>
      </c>
      <c r="N957" s="797">
        <f t="shared" si="77"/>
        <v>67.851562499999943</v>
      </c>
      <c r="O957" s="797">
        <f t="shared" si="78"/>
        <v>1445.0028169014086</v>
      </c>
      <c r="P957" s="797">
        <f t="shared" si="79"/>
        <v>23.437724099347292</v>
      </c>
      <c r="Q957" s="797">
        <f t="shared" si="80"/>
        <v>131</v>
      </c>
      <c r="R957" s="797">
        <f t="shared" si="81"/>
        <v>131.39062873498912</v>
      </c>
      <c r="S957" s="797">
        <f>[1]!taqsabet(O957,C957)</f>
        <v>131.38897513195786</v>
      </c>
      <c r="T957" s="523"/>
      <c r="U957" s="523">
        <v>4</v>
      </c>
      <c r="V957" s="523">
        <v>8</v>
      </c>
      <c r="W957" s="523">
        <v>31</v>
      </c>
      <c r="X957" s="523"/>
      <c r="Y957" s="523">
        <v>12</v>
      </c>
      <c r="Z957" s="523">
        <v>30</v>
      </c>
      <c r="AA957" s="523" t="s">
        <v>274</v>
      </c>
      <c r="AB957" s="523">
        <v>4</v>
      </c>
      <c r="AC957" s="523">
        <v>4</v>
      </c>
      <c r="AD957" s="523" t="s">
        <v>2430</v>
      </c>
    </row>
    <row r="958" spans="1:31">
      <c r="C958" s="522">
        <v>893</v>
      </c>
      <c r="D958" s="522">
        <v>3</v>
      </c>
      <c r="E958" s="550" t="s">
        <v>3276</v>
      </c>
      <c r="F958" s="522">
        <v>70</v>
      </c>
      <c r="G958" s="522"/>
      <c r="H958" s="522">
        <v>66</v>
      </c>
      <c r="I958" s="522">
        <v>0</v>
      </c>
      <c r="J958" s="522">
        <v>0</v>
      </c>
      <c r="K958" s="522"/>
      <c r="L958" s="797">
        <f>[1]!tsabetm(C958)</f>
        <v>104.91666666666666</v>
      </c>
      <c r="M958" s="797">
        <f>[1]!tsabetz(C958)</f>
        <v>130.56666666666666</v>
      </c>
      <c r="N958" s="797">
        <f t="shared" si="77"/>
        <v>67.719298245614027</v>
      </c>
      <c r="O958" s="797">
        <f t="shared" si="78"/>
        <v>1445.0028169014086</v>
      </c>
      <c r="P958" s="797">
        <f t="shared" si="79"/>
        <v>26.774516529227412</v>
      </c>
      <c r="Q958" s="797">
        <f t="shared" si="80"/>
        <v>133</v>
      </c>
      <c r="R958" s="797">
        <f t="shared" si="81"/>
        <v>133.44624194215379</v>
      </c>
      <c r="S958" s="797">
        <f>[1]!taqsabet(O958,C958)</f>
        <v>133.44458510942911</v>
      </c>
      <c r="T958" s="522"/>
      <c r="U958" s="522">
        <v>4</v>
      </c>
      <c r="V958" s="522">
        <v>10</v>
      </c>
      <c r="W958" s="522">
        <v>34</v>
      </c>
      <c r="X958" s="522"/>
      <c r="Y958" s="522">
        <v>11</v>
      </c>
      <c r="Z958" s="522">
        <v>15</v>
      </c>
      <c r="AA958" s="522" t="s">
        <v>274</v>
      </c>
      <c r="AB958" s="522">
        <v>4</v>
      </c>
      <c r="AC958" s="522">
        <v>4</v>
      </c>
      <c r="AD958" s="522" t="s">
        <v>2430</v>
      </c>
    </row>
    <row r="959" spans="1:31">
      <c r="C959" s="523">
        <v>894</v>
      </c>
      <c r="D959" s="523">
        <v>4</v>
      </c>
      <c r="E959" s="543" t="s">
        <v>3277</v>
      </c>
      <c r="F959" s="523">
        <v>70</v>
      </c>
      <c r="G959" s="523"/>
      <c r="H959" s="523">
        <v>66</v>
      </c>
      <c r="I959" s="523">
        <v>0</v>
      </c>
      <c r="J959" s="523">
        <v>0</v>
      </c>
      <c r="K959" s="523"/>
      <c r="L959" s="797">
        <f>[1]!tsabetm(C959)</f>
        <v>105.08333333333334</v>
      </c>
      <c r="M959" s="797">
        <f>[1]!tsabetz(C959)</f>
        <v>130.51666666666668</v>
      </c>
      <c r="N959" s="797">
        <f t="shared" si="77"/>
        <v>68.296199213630402</v>
      </c>
      <c r="O959" s="797">
        <f t="shared" si="78"/>
        <v>1445.0028169014086</v>
      </c>
      <c r="P959" s="797">
        <f t="shared" si="79"/>
        <v>22.315082666407307</v>
      </c>
      <c r="Q959" s="797">
        <f t="shared" si="80"/>
        <v>133</v>
      </c>
      <c r="R959" s="797">
        <f t="shared" si="81"/>
        <v>133.37191804444012</v>
      </c>
      <c r="S959" s="797">
        <f>[1]!taqsabet(O959,C959)</f>
        <v>133.37027520705362</v>
      </c>
      <c r="T959" s="523"/>
      <c r="U959" s="523">
        <v>4</v>
      </c>
      <c r="V959" s="523">
        <v>10</v>
      </c>
      <c r="W959" s="523">
        <v>31</v>
      </c>
      <c r="X959" s="523"/>
      <c r="Y959" s="523">
        <v>14</v>
      </c>
      <c r="Z959" s="523">
        <v>9</v>
      </c>
      <c r="AA959" s="523" t="s">
        <v>274</v>
      </c>
      <c r="AB959" s="523">
        <v>5</v>
      </c>
      <c r="AC959" s="523">
        <v>4</v>
      </c>
      <c r="AD959" s="523" t="s">
        <v>2430</v>
      </c>
    </row>
    <row r="960" spans="1:31">
      <c r="C960" s="522">
        <v>895</v>
      </c>
      <c r="D960" s="522">
        <v>5</v>
      </c>
      <c r="E960" s="550" t="s">
        <v>3278</v>
      </c>
      <c r="F960" s="522">
        <v>70</v>
      </c>
      <c r="G960" s="522"/>
      <c r="H960" s="522">
        <v>66</v>
      </c>
      <c r="I960" s="522">
        <v>0</v>
      </c>
      <c r="J960" s="522">
        <v>0</v>
      </c>
      <c r="K960" s="522"/>
      <c r="L960" s="797">
        <f>[1]!tsabetm(C960)</f>
        <v>107.41666666666666</v>
      </c>
      <c r="M960" s="797">
        <f>[1]!tsabetz(C960)</f>
        <v>131.01666666666668</v>
      </c>
      <c r="N960" s="797">
        <f t="shared" si="77"/>
        <v>73.601694915254171</v>
      </c>
      <c r="O960" s="797">
        <f t="shared" si="78"/>
        <v>1445.0028169014086</v>
      </c>
      <c r="P960" s="797">
        <f t="shared" si="79"/>
        <v>39.966026904084515</v>
      </c>
      <c r="Q960" s="797">
        <f t="shared" si="80"/>
        <v>133</v>
      </c>
      <c r="R960" s="797">
        <f t="shared" si="81"/>
        <v>133.66610044840141</v>
      </c>
      <c r="S960" s="797">
        <f>[1]!taqsabet(O960,C960)</f>
        <v>133.66457603310698</v>
      </c>
      <c r="T960" s="522"/>
      <c r="U960" s="522">
        <v>4</v>
      </c>
      <c r="V960" s="522">
        <v>11</v>
      </c>
      <c r="W960" s="522">
        <v>1</v>
      </c>
      <c r="X960" s="522"/>
      <c r="Y960" s="522">
        <v>11</v>
      </c>
      <c r="Z960" s="522">
        <v>9</v>
      </c>
      <c r="AA960" s="522" t="s">
        <v>274</v>
      </c>
      <c r="AB960" s="522">
        <v>4</v>
      </c>
      <c r="AC960" s="522">
        <v>4</v>
      </c>
      <c r="AD960" s="522" t="s">
        <v>2430</v>
      </c>
    </row>
    <row r="961" spans="3:31">
      <c r="C961" s="523">
        <v>896</v>
      </c>
      <c r="D961" s="523">
        <v>6</v>
      </c>
      <c r="E961" s="543" t="s">
        <v>3279</v>
      </c>
      <c r="F961" s="523">
        <v>70</v>
      </c>
      <c r="G961" s="523"/>
      <c r="H961" s="523">
        <v>66</v>
      </c>
      <c r="I961" s="523">
        <v>0</v>
      </c>
      <c r="J961" s="523">
        <v>0</v>
      </c>
      <c r="K961" s="523"/>
      <c r="L961" s="797">
        <f>[1]!tsabetm(C961)</f>
        <v>109.91666666666666</v>
      </c>
      <c r="M961" s="797">
        <f>[1]!tsabetz(C961)</f>
        <v>135.76666666666668</v>
      </c>
      <c r="N961" s="797">
        <f t="shared" si="77"/>
        <v>67.195357833655649</v>
      </c>
      <c r="O961" s="797">
        <f t="shared" si="78"/>
        <v>1445.0028169014086</v>
      </c>
      <c r="P961" s="797">
        <f t="shared" si="79"/>
        <v>40.121686248754713</v>
      </c>
      <c r="Q961" s="797">
        <f t="shared" si="80"/>
        <v>138</v>
      </c>
      <c r="R961" s="797">
        <f t="shared" si="81"/>
        <v>138.66869477081258</v>
      </c>
      <c r="S961" s="797">
        <f>[1]!taqsabet(O961,C961)</f>
        <v>138.66702501931422</v>
      </c>
      <c r="T961" s="523"/>
      <c r="U961" s="523">
        <v>4</v>
      </c>
      <c r="V961" s="523">
        <v>15</v>
      </c>
      <c r="W961" s="523">
        <v>46</v>
      </c>
      <c r="X961" s="523"/>
      <c r="Y961" s="523">
        <v>12</v>
      </c>
      <c r="Z961" s="523">
        <v>9</v>
      </c>
      <c r="AA961" s="523" t="s">
        <v>274</v>
      </c>
      <c r="AB961" s="523">
        <v>6</v>
      </c>
      <c r="AC961" s="523">
        <v>5</v>
      </c>
      <c r="AD961" s="523" t="s">
        <v>2430</v>
      </c>
    </row>
    <row r="962" spans="3:31">
      <c r="C962" s="522">
        <v>897</v>
      </c>
      <c r="D962" s="522">
        <v>7</v>
      </c>
      <c r="E962" s="550" t="s">
        <v>2465</v>
      </c>
      <c r="F962" s="522">
        <v>70</v>
      </c>
      <c r="G962" s="522"/>
      <c r="H962" s="522">
        <v>66</v>
      </c>
      <c r="I962" s="522">
        <v>0</v>
      </c>
      <c r="J962" s="522">
        <v>0</v>
      </c>
      <c r="K962" s="522" t="s">
        <v>3863</v>
      </c>
      <c r="L962" s="797">
        <f>[1]!tsabetm(C962)</f>
        <v>112.91666666666666</v>
      </c>
      <c r="M962" s="797">
        <f>[1]!tsabetz(C962)</f>
        <v>138.56666666666666</v>
      </c>
      <c r="N962" s="797">
        <f t="shared" si="77"/>
        <v>67.719298245614027</v>
      </c>
      <c r="O962" s="797">
        <f t="shared" si="78"/>
        <v>1445.0028169014086</v>
      </c>
      <c r="P962" s="797">
        <f t="shared" si="79"/>
        <v>26.774516529227412</v>
      </c>
      <c r="Q962" s="797">
        <f t="shared" si="80"/>
        <v>141</v>
      </c>
      <c r="R962" s="797">
        <f t="shared" si="81"/>
        <v>141.44624194215379</v>
      </c>
      <c r="S962" s="797">
        <f>[1]!taqsabet(O962,C962)</f>
        <v>141.44458510942911</v>
      </c>
      <c r="T962" s="522"/>
      <c r="U962" s="522">
        <v>4</v>
      </c>
      <c r="V962" s="522">
        <v>8</v>
      </c>
      <c r="W962" s="522">
        <v>34</v>
      </c>
      <c r="X962" s="522"/>
      <c r="Y962" s="522">
        <v>13</v>
      </c>
      <c r="Z962" s="522">
        <v>0</v>
      </c>
      <c r="AA962" s="522" t="s">
        <v>274</v>
      </c>
      <c r="AB962" s="522">
        <v>4</v>
      </c>
      <c r="AC962" s="522">
        <v>4</v>
      </c>
      <c r="AD962" s="522" t="s">
        <v>2430</v>
      </c>
    </row>
    <row r="963" spans="3:31">
      <c r="C963" s="523">
        <v>898</v>
      </c>
      <c r="D963" s="523">
        <v>8</v>
      </c>
      <c r="E963" s="543" t="s">
        <v>3280</v>
      </c>
      <c r="F963" s="523">
        <v>70</v>
      </c>
      <c r="G963" s="523"/>
      <c r="H963" s="523">
        <v>66</v>
      </c>
      <c r="I963" s="523">
        <v>0</v>
      </c>
      <c r="J963" s="523">
        <v>0</v>
      </c>
      <c r="K963" s="523"/>
      <c r="L963" s="797">
        <f>[1]!tsabetm(C963)</f>
        <v>118.41666666666666</v>
      </c>
      <c r="M963" s="797">
        <f>[1]!tsabetz(C963)</f>
        <v>144.11666666666667</v>
      </c>
      <c r="N963" s="797">
        <f t="shared" si="77"/>
        <v>67.587548638132247</v>
      </c>
      <c r="O963" s="797">
        <f t="shared" si="78"/>
        <v>1445.0028169014086</v>
      </c>
      <c r="P963" s="797">
        <f t="shared" si="79"/>
        <v>0.11130895910923755</v>
      </c>
      <c r="Q963" s="797">
        <f t="shared" si="80"/>
        <v>147</v>
      </c>
      <c r="R963" s="797">
        <f t="shared" si="81"/>
        <v>147.00185514931849</v>
      </c>
      <c r="S963" s="797">
        <f>[1]!taqsabet(O963,C963)</f>
        <v>147.00019508690039</v>
      </c>
      <c r="T963" s="523"/>
      <c r="U963" s="523">
        <v>4</v>
      </c>
      <c r="V963" s="523">
        <v>24</v>
      </c>
      <c r="W963" s="523">
        <v>7</v>
      </c>
      <c r="X963" s="523"/>
      <c r="Y963" s="523">
        <v>15</v>
      </c>
      <c r="Z963" s="523">
        <v>9</v>
      </c>
      <c r="AA963" s="523" t="s">
        <v>274</v>
      </c>
      <c r="AB963" s="523">
        <v>4</v>
      </c>
      <c r="AC963" s="523">
        <v>4</v>
      </c>
      <c r="AD963" s="523" t="s">
        <v>2430</v>
      </c>
    </row>
    <row r="964" spans="3:31">
      <c r="C964" s="522">
        <v>899</v>
      </c>
      <c r="D964" s="522">
        <v>9</v>
      </c>
      <c r="E964" s="550" t="s">
        <v>3281</v>
      </c>
      <c r="F964" s="522">
        <v>70</v>
      </c>
      <c r="G964" s="522"/>
      <c r="H964" s="522">
        <v>66</v>
      </c>
      <c r="I964" s="522">
        <v>0</v>
      </c>
      <c r="J964" s="522">
        <v>0</v>
      </c>
      <c r="K964" s="522"/>
      <c r="L964" s="797">
        <f>[1]!tsabetm(C964)</f>
        <v>120.25</v>
      </c>
      <c r="M964" s="797">
        <f>[1]!tsabetz(C964)</f>
        <v>141.56666666666666</v>
      </c>
      <c r="N964" s="797">
        <f t="shared" si="77"/>
        <v>81.485535574667722</v>
      </c>
      <c r="O964" s="797">
        <f t="shared" si="78"/>
        <v>1445.0028169014086</v>
      </c>
      <c r="P964" s="797">
        <f t="shared" si="79"/>
        <v>57.585839272827002</v>
      </c>
      <c r="Q964" s="797">
        <f t="shared" si="80"/>
        <v>143</v>
      </c>
      <c r="R964" s="797">
        <f t="shared" si="81"/>
        <v>143.95976398788045</v>
      </c>
      <c r="S964" s="797">
        <f>[1]!taqsabet(O964,C964)</f>
        <v>143.95838706191887</v>
      </c>
      <c r="T964" s="522"/>
      <c r="U964" s="522">
        <v>4</v>
      </c>
      <c r="V964" s="522">
        <v>21</v>
      </c>
      <c r="W964" s="522">
        <v>34</v>
      </c>
      <c r="X964" s="522"/>
      <c r="Y964" s="522">
        <v>14</v>
      </c>
      <c r="Z964" s="522">
        <v>39</v>
      </c>
      <c r="AA964" s="522" t="s">
        <v>274</v>
      </c>
      <c r="AB964" s="522">
        <v>4</v>
      </c>
      <c r="AC964" s="522">
        <v>4</v>
      </c>
      <c r="AD964" s="522" t="s">
        <v>2430</v>
      </c>
    </row>
    <row r="965" spans="3:31">
      <c r="C965" s="523">
        <v>900</v>
      </c>
      <c r="D965" s="523">
        <v>10</v>
      </c>
      <c r="E965" s="543" t="s">
        <v>2667</v>
      </c>
      <c r="F965" s="523">
        <v>70</v>
      </c>
      <c r="G965" s="523"/>
      <c r="H965" s="523">
        <v>66</v>
      </c>
      <c r="I965" s="523">
        <v>0</v>
      </c>
      <c r="J965" s="523">
        <v>0</v>
      </c>
      <c r="K965" s="523"/>
      <c r="L965" s="797">
        <f>[1]!tsabetm(C965)</f>
        <v>118.08333333333331</v>
      </c>
      <c r="M965" s="797">
        <f>[1]!tsabetz(C965)</f>
        <v>144.01666666666668</v>
      </c>
      <c r="N965" s="797">
        <f t="shared" si="77"/>
        <v>66.97943444730069</v>
      </c>
      <c r="O965" s="797">
        <f t="shared" si="78"/>
        <v>1445.0028169014086</v>
      </c>
      <c r="P965" s="797">
        <f t="shared" si="79"/>
        <v>55.683006965223854</v>
      </c>
      <c r="Q965" s="797">
        <f t="shared" si="80"/>
        <v>146</v>
      </c>
      <c r="R965" s="797">
        <f t="shared" si="81"/>
        <v>146.92805011608706</v>
      </c>
      <c r="S965" s="797">
        <f>[1]!taqsabet(O965,C965)</f>
        <v>146.92637498176634</v>
      </c>
      <c r="T965" s="523"/>
      <c r="U965" s="523">
        <v>4</v>
      </c>
      <c r="V965" s="523">
        <v>24</v>
      </c>
      <c r="W965" s="523">
        <v>1</v>
      </c>
      <c r="X965" s="523"/>
      <c r="Y965" s="523">
        <v>16</v>
      </c>
      <c r="Z965" s="523">
        <v>12</v>
      </c>
      <c r="AA965" s="523" t="s">
        <v>274</v>
      </c>
      <c r="AB965" s="523">
        <v>4</v>
      </c>
      <c r="AC965" s="523">
        <v>4</v>
      </c>
      <c r="AD965" s="523" t="s">
        <v>2430</v>
      </c>
    </row>
    <row r="966" spans="3:31">
      <c r="C966" s="522">
        <v>901</v>
      </c>
      <c r="D966" s="522">
        <v>11</v>
      </c>
      <c r="E966" s="550" t="s">
        <v>3282</v>
      </c>
      <c r="F966" s="522">
        <v>70</v>
      </c>
      <c r="G966" s="522"/>
      <c r="H966" s="522">
        <v>66</v>
      </c>
      <c r="I966" s="522">
        <v>0</v>
      </c>
      <c r="J966" s="522">
        <v>0</v>
      </c>
      <c r="K966" s="522"/>
      <c r="L966" s="797">
        <f>[1]!tsabetm(C966)</f>
        <v>118.75</v>
      </c>
      <c r="M966" s="797">
        <f>[1]!tsabetz(C966)</f>
        <v>144.81666666666666</v>
      </c>
      <c r="N966" s="797">
        <f t="shared" si="77"/>
        <v>66.636828644501293</v>
      </c>
      <c r="O966" s="797">
        <f t="shared" si="78"/>
        <v>1445.0028169014086</v>
      </c>
      <c r="P966" s="797">
        <f t="shared" si="79"/>
        <v>44.581120111573114</v>
      </c>
      <c r="Q966" s="797">
        <f t="shared" si="80"/>
        <v>147</v>
      </c>
      <c r="R966" s="797">
        <f t="shared" si="81"/>
        <v>147.74301866852622</v>
      </c>
      <c r="S966" s="797">
        <f>[1]!taqsabet(O966,C966)</f>
        <v>147.74133492168971</v>
      </c>
      <c r="T966" s="522"/>
      <c r="U966" s="522">
        <v>4</v>
      </c>
      <c r="V966" s="522">
        <v>24</v>
      </c>
      <c r="W966" s="522">
        <v>49</v>
      </c>
      <c r="X966" s="522"/>
      <c r="Y966" s="522">
        <v>21</v>
      </c>
      <c r="Z966" s="522">
        <v>42</v>
      </c>
      <c r="AA966" s="522" t="s">
        <v>274</v>
      </c>
      <c r="AB966" s="522">
        <v>6</v>
      </c>
      <c r="AC966" s="522">
        <v>6</v>
      </c>
      <c r="AD966" s="522" t="s">
        <v>2430</v>
      </c>
    </row>
    <row r="967" spans="3:31">
      <c r="C967" s="523">
        <v>902</v>
      </c>
      <c r="D967" s="523">
        <v>12</v>
      </c>
      <c r="E967" s="543" t="s">
        <v>3283</v>
      </c>
      <c r="F967" s="523">
        <v>70</v>
      </c>
      <c r="G967" s="523"/>
      <c r="H967" s="523">
        <v>68</v>
      </c>
      <c r="I967" s="523">
        <v>3</v>
      </c>
      <c r="J967" s="523">
        <v>7</v>
      </c>
      <c r="K967" s="523" t="s">
        <v>3284</v>
      </c>
      <c r="L967" s="797">
        <f>[1]!tsabetm(C967)</f>
        <v>119.58333333333331</v>
      </c>
      <c r="M967" s="797">
        <f>[1]!tsabetz(C967)</f>
        <v>145.61666666666667</v>
      </c>
      <c r="N967" s="797">
        <f t="shared" ref="N967:N1030" si="82">(1697+40)/((IF(M967-L967&gt;0,M967-L967,M967+360-L967)))</f>
        <v>66.722151088348198</v>
      </c>
      <c r="O967" s="797">
        <f t="shared" si="78"/>
        <v>1445.0028169014086</v>
      </c>
      <c r="P967" s="797">
        <f t="shared" si="79"/>
        <v>32.356591824985799</v>
      </c>
      <c r="Q967" s="797">
        <f t="shared" si="80"/>
        <v>148</v>
      </c>
      <c r="R967" s="797">
        <f t="shared" si="81"/>
        <v>148.53927653041643</v>
      </c>
      <c r="S967" s="797">
        <f>[1]!taqsabet(O967,C967)</f>
        <v>148.53759493670887</v>
      </c>
      <c r="T967" s="523"/>
      <c r="U967" s="523">
        <v>4</v>
      </c>
      <c r="V967" s="523">
        <v>25</v>
      </c>
      <c r="W967" s="523">
        <v>37</v>
      </c>
      <c r="X967" s="523"/>
      <c r="Y967" s="523">
        <v>22</v>
      </c>
      <c r="Z967" s="523">
        <v>30</v>
      </c>
      <c r="AA967" s="523" t="s">
        <v>274</v>
      </c>
      <c r="AB967" s="523">
        <v>2</v>
      </c>
      <c r="AC967" s="523">
        <v>2</v>
      </c>
      <c r="AD967" s="523" t="s">
        <v>2430</v>
      </c>
    </row>
    <row r="968" spans="3:31">
      <c r="C968" s="522">
        <v>903</v>
      </c>
      <c r="D968" s="522">
        <v>13</v>
      </c>
      <c r="E968" s="550" t="s">
        <v>3285</v>
      </c>
      <c r="F968" s="522">
        <v>70</v>
      </c>
      <c r="G968" s="522"/>
      <c r="H968" s="522">
        <v>66</v>
      </c>
      <c r="I968" s="522">
        <v>0</v>
      </c>
      <c r="J968" s="522">
        <v>0</v>
      </c>
      <c r="K968" s="522"/>
      <c r="L968" s="797">
        <f>[1]!tsabetm(C968)</f>
        <v>125.58333333333331</v>
      </c>
      <c r="M968" s="797">
        <f>[1]!tsabetz(C968)</f>
        <v>154.26666666666668</v>
      </c>
      <c r="N968" s="797">
        <f t="shared" si="82"/>
        <v>60.557815223707081</v>
      </c>
      <c r="O968" s="797">
        <f t="shared" ref="O968:O1031" si="83">O967</f>
        <v>1445.0028169014086</v>
      </c>
      <c r="P968" s="797">
        <f t="shared" ref="P968:P1031" si="84">(R968-Q968)*60</f>
        <v>29.206590608708893</v>
      </c>
      <c r="Q968" s="797">
        <f t="shared" ref="Q968:Q1031" si="85">INT(R968)</f>
        <v>157</v>
      </c>
      <c r="R968" s="797">
        <f t="shared" ref="R968:R1031" si="86">((O968-1250)/(N968))+M968</f>
        <v>157.48677651014515</v>
      </c>
      <c r="S968" s="797">
        <f>[1]!taqsabet(O968,C968)</f>
        <v>157.48492374268628</v>
      </c>
      <c r="T968" s="522"/>
      <c r="U968" s="522">
        <v>5</v>
      </c>
      <c r="V968" s="522">
        <v>4</v>
      </c>
      <c r="W968" s="522">
        <v>16</v>
      </c>
      <c r="X968" s="522"/>
      <c r="Y968" s="522">
        <v>26</v>
      </c>
      <c r="Z968" s="522">
        <v>0</v>
      </c>
      <c r="AA968" s="522" t="s">
        <v>274</v>
      </c>
      <c r="AB968" s="522">
        <v>4</v>
      </c>
      <c r="AC968" s="522">
        <v>4</v>
      </c>
      <c r="AD968" s="522" t="s">
        <v>2430</v>
      </c>
    </row>
    <row r="969" spans="3:31">
      <c r="C969" s="523">
        <v>904</v>
      </c>
      <c r="D969" s="523">
        <v>14</v>
      </c>
      <c r="E969" s="543" t="s">
        <v>2782</v>
      </c>
      <c r="F969" s="523">
        <v>70</v>
      </c>
      <c r="G969" s="523"/>
      <c r="H969" s="523">
        <v>66</v>
      </c>
      <c r="I969" s="523">
        <v>0</v>
      </c>
      <c r="J969" s="523">
        <v>0</v>
      </c>
      <c r="K969" s="523" t="s">
        <v>3858</v>
      </c>
      <c r="L969" s="797">
        <f>[1]!tsabetm(C969)</f>
        <v>128.25</v>
      </c>
      <c r="M969" s="797">
        <f>[1]!tsabetz(C969)</f>
        <v>156.98333333333332</v>
      </c>
      <c r="N969" s="797">
        <f t="shared" si="82"/>
        <v>60.452436194895618</v>
      </c>
      <c r="O969" s="797">
        <f t="shared" si="83"/>
        <v>1445.0028169014086</v>
      </c>
      <c r="P969" s="797">
        <f t="shared" si="84"/>
        <v>12.543383038588445</v>
      </c>
      <c r="Q969" s="797">
        <f t="shared" si="85"/>
        <v>160</v>
      </c>
      <c r="R969" s="797">
        <f t="shared" si="86"/>
        <v>160.20905638397647</v>
      </c>
      <c r="S969" s="797">
        <f>[1]!taqsabet(O969,C969)</f>
        <v>160.20720038682418</v>
      </c>
      <c r="T969" s="523"/>
      <c r="U969" s="523">
        <v>4</v>
      </c>
      <c r="V969" s="551">
        <v>6</v>
      </c>
      <c r="W969" s="523">
        <v>59</v>
      </c>
      <c r="X969" s="523"/>
      <c r="Y969" s="523">
        <v>18</v>
      </c>
      <c r="Z969" s="523">
        <v>15</v>
      </c>
      <c r="AA969" s="523" t="s">
        <v>274</v>
      </c>
      <c r="AB969" s="523">
        <v>4</v>
      </c>
      <c r="AC969" s="523">
        <v>4</v>
      </c>
      <c r="AD969" s="523" t="s">
        <v>2430</v>
      </c>
    </row>
    <row r="970" spans="3:31">
      <c r="C970" s="522">
        <v>905</v>
      </c>
      <c r="D970" s="522">
        <v>15</v>
      </c>
      <c r="E970" s="550" t="s">
        <v>2613</v>
      </c>
      <c r="F970" s="522">
        <v>70</v>
      </c>
      <c r="G970" s="522"/>
      <c r="H970" s="522">
        <v>66</v>
      </c>
      <c r="I970" s="522">
        <v>0</v>
      </c>
      <c r="J970" s="522">
        <v>0</v>
      </c>
      <c r="K970" s="522"/>
      <c r="L970" s="797">
        <f>[1]!tsabetm(C970)</f>
        <v>130.75</v>
      </c>
      <c r="M970" s="797">
        <f>[1]!tsabetz(C970)</f>
        <v>157.26666666666668</v>
      </c>
      <c r="N970" s="797">
        <f t="shared" si="82"/>
        <v>65.505971087366405</v>
      </c>
      <c r="O970" s="797">
        <f t="shared" si="83"/>
        <v>1445.0028169014086</v>
      </c>
      <c r="P970" s="797">
        <f t="shared" si="84"/>
        <v>14.612251980507835</v>
      </c>
      <c r="Q970" s="797">
        <f t="shared" si="85"/>
        <v>160</v>
      </c>
      <c r="R970" s="797">
        <f t="shared" si="86"/>
        <v>160.24353753300846</v>
      </c>
      <c r="S970" s="797">
        <f>[1]!taqsabet(O970,C970)</f>
        <v>160.24182471893118</v>
      </c>
      <c r="T970" s="522"/>
      <c r="U970" s="522">
        <v>5</v>
      </c>
      <c r="V970" s="522">
        <v>7</v>
      </c>
      <c r="W970" s="522">
        <v>16</v>
      </c>
      <c r="X970" s="522"/>
      <c r="Y970" s="522">
        <v>22</v>
      </c>
      <c r="Z970" s="522">
        <v>0</v>
      </c>
      <c r="AA970" s="522" t="s">
        <v>274</v>
      </c>
      <c r="AB970" s="522">
        <v>4</v>
      </c>
      <c r="AC970" s="522">
        <v>4</v>
      </c>
      <c r="AD970" s="522" t="s">
        <v>2430</v>
      </c>
    </row>
    <row r="971" spans="3:31">
      <c r="C971" s="523">
        <v>906</v>
      </c>
      <c r="D971" s="523">
        <v>16</v>
      </c>
      <c r="E971" s="543" t="s">
        <v>3286</v>
      </c>
      <c r="F971" s="523">
        <v>70</v>
      </c>
      <c r="G971" s="523"/>
      <c r="H971" s="523">
        <v>66</v>
      </c>
      <c r="I971" s="523">
        <v>0</v>
      </c>
      <c r="J971" s="523">
        <v>0</v>
      </c>
      <c r="K971" s="523"/>
      <c r="L971" s="797">
        <f>[1]!tsabetm(C971)</f>
        <v>137.58333333333331</v>
      </c>
      <c r="M971" s="797">
        <f>[1]!tsabetz(C971)</f>
        <v>163.16666666666666</v>
      </c>
      <c r="N971" s="797">
        <f t="shared" si="82"/>
        <v>67.895765472312675</v>
      </c>
      <c r="O971" s="797">
        <f t="shared" si="83"/>
        <v>1445.0028169014086</v>
      </c>
      <c r="P971" s="797">
        <f t="shared" si="84"/>
        <v>2.3254599560510769</v>
      </c>
      <c r="Q971" s="797">
        <f t="shared" si="85"/>
        <v>166</v>
      </c>
      <c r="R971" s="797">
        <f t="shared" si="86"/>
        <v>166.03875766593418</v>
      </c>
      <c r="S971" s="797">
        <f>[1]!taqsabet(O971,C971)</f>
        <v>166.0371051394674</v>
      </c>
      <c r="T971" s="523"/>
      <c r="U971" s="523">
        <v>5</v>
      </c>
      <c r="V971" s="523">
        <v>13</v>
      </c>
      <c r="W971" s="523">
        <v>10</v>
      </c>
      <c r="X971" s="523"/>
      <c r="Y971" s="523">
        <v>24</v>
      </c>
      <c r="Z971" s="523">
        <v>15</v>
      </c>
      <c r="AA971" s="523" t="s">
        <v>274</v>
      </c>
      <c r="AB971" s="523">
        <v>3</v>
      </c>
      <c r="AC971" s="523">
        <v>3</v>
      </c>
      <c r="AD971" s="523" t="s">
        <v>2430</v>
      </c>
      <c r="AE971" s="327">
        <v>612</v>
      </c>
    </row>
    <row r="972" spans="3:31">
      <c r="C972" s="522">
        <v>907</v>
      </c>
      <c r="D972" s="522">
        <v>17</v>
      </c>
      <c r="E972" s="550" t="s">
        <v>2782</v>
      </c>
      <c r="F972" s="522">
        <v>70</v>
      </c>
      <c r="G972" s="522"/>
      <c r="H972" s="522">
        <v>66</v>
      </c>
      <c r="I972" s="522">
        <v>0</v>
      </c>
      <c r="J972" s="522">
        <v>0</v>
      </c>
      <c r="K972" s="522"/>
      <c r="L972" s="797">
        <f>[1]!tsabetm(C972)</f>
        <v>139.58333333333331</v>
      </c>
      <c r="M972" s="797">
        <f>[1]!tsabetz(C972)</f>
        <v>166.11666666666667</v>
      </c>
      <c r="N972" s="797">
        <f t="shared" si="82"/>
        <v>65.464824120602955</v>
      </c>
      <c r="O972" s="797">
        <f t="shared" si="83"/>
        <v>1445.0028169014086</v>
      </c>
      <c r="P972" s="797">
        <f t="shared" si="84"/>
        <v>5.7245161238023456</v>
      </c>
      <c r="Q972" s="797">
        <f t="shared" si="85"/>
        <v>169</v>
      </c>
      <c r="R972" s="797">
        <f t="shared" si="86"/>
        <v>169.09540860206337</v>
      </c>
      <c r="S972" s="797">
        <f>[1]!taqsabet(O972,C972)</f>
        <v>169.09369471142159</v>
      </c>
      <c r="T972" s="522"/>
      <c r="U972" s="522">
        <v>5</v>
      </c>
      <c r="V972" s="522">
        <v>16</v>
      </c>
      <c r="W972" s="522">
        <v>7</v>
      </c>
      <c r="X972" s="522"/>
      <c r="Y972" s="522">
        <v>23</v>
      </c>
      <c r="Z972" s="522">
        <v>36</v>
      </c>
      <c r="AA972" s="522" t="s">
        <v>274</v>
      </c>
      <c r="AB972" s="522">
        <v>4</v>
      </c>
      <c r="AC972" s="522">
        <v>4</v>
      </c>
      <c r="AD972" s="522" t="s">
        <v>2430</v>
      </c>
    </row>
    <row r="973" spans="3:31">
      <c r="C973" s="523">
        <v>908</v>
      </c>
      <c r="D973" s="523">
        <v>18</v>
      </c>
      <c r="E973" s="543" t="s">
        <v>2613</v>
      </c>
      <c r="F973" s="523">
        <v>70</v>
      </c>
      <c r="G973" s="523"/>
      <c r="H973" s="523">
        <v>66</v>
      </c>
      <c r="I973" s="523">
        <v>0</v>
      </c>
      <c r="J973" s="523">
        <v>0</v>
      </c>
      <c r="K973" s="523"/>
      <c r="L973" s="797">
        <f>[1]!tsabetm(C973)</f>
        <v>142.58333333333331</v>
      </c>
      <c r="M973" s="797">
        <f>[1]!tsabetz(C973)</f>
        <v>168.71666666666667</v>
      </c>
      <c r="N973" s="797">
        <f t="shared" si="82"/>
        <v>66.466836734693828</v>
      </c>
      <c r="O973" s="797">
        <f t="shared" si="83"/>
        <v>1445.0028169014086</v>
      </c>
      <c r="P973" s="797">
        <f t="shared" si="84"/>
        <v>39.030176684749449</v>
      </c>
      <c r="Q973" s="797">
        <f t="shared" si="85"/>
        <v>171</v>
      </c>
      <c r="R973" s="797">
        <f t="shared" si="86"/>
        <v>171.65050294474582</v>
      </c>
      <c r="S973" s="797">
        <f>[1]!taqsabet(O973,C973)</f>
        <v>171.6488148916514</v>
      </c>
      <c r="T973" s="523"/>
      <c r="U973" s="523">
        <v>5</v>
      </c>
      <c r="V973" s="523">
        <v>18</v>
      </c>
      <c r="W973" s="523">
        <v>43</v>
      </c>
      <c r="X973" s="523"/>
      <c r="Y973" s="523">
        <v>24</v>
      </c>
      <c r="Z973" s="523">
        <v>0</v>
      </c>
      <c r="AA973" s="523" t="s">
        <v>274</v>
      </c>
      <c r="AB973" s="523">
        <v>3</v>
      </c>
      <c r="AC973" s="523">
        <v>3</v>
      </c>
      <c r="AD973" s="523" t="s">
        <v>2430</v>
      </c>
    </row>
    <row r="974" spans="3:31">
      <c r="C974" s="522">
        <v>909</v>
      </c>
      <c r="D974" s="522">
        <v>19</v>
      </c>
      <c r="E974" s="550" t="s">
        <v>3287</v>
      </c>
      <c r="F974" s="522">
        <v>70</v>
      </c>
      <c r="G974" s="522"/>
      <c r="H974" s="522">
        <v>66</v>
      </c>
      <c r="I974" s="522">
        <v>0</v>
      </c>
      <c r="J974" s="522">
        <v>0</v>
      </c>
      <c r="K974" s="522"/>
      <c r="L974" s="797">
        <f>[1]!tsabetm(C974)</f>
        <v>151.08333333333331</v>
      </c>
      <c r="M974" s="797">
        <f>[1]!tsabetz(C974)</f>
        <v>176.86666666666667</v>
      </c>
      <c r="N974" s="797">
        <f t="shared" si="82"/>
        <v>67.369101486748477</v>
      </c>
      <c r="O974" s="797">
        <f t="shared" si="83"/>
        <v>1445.0028169014086</v>
      </c>
      <c r="P974" s="797">
        <f t="shared" si="84"/>
        <v>45.672629675578378</v>
      </c>
      <c r="Q974" s="797">
        <f t="shared" si="85"/>
        <v>179</v>
      </c>
      <c r="R974" s="797">
        <f t="shared" si="86"/>
        <v>179.76121049459297</v>
      </c>
      <c r="S974" s="797">
        <f>[1]!taqsabet(O974,C974)</f>
        <v>179.75954504935251</v>
      </c>
      <c r="T974" s="522"/>
      <c r="U974" s="522">
        <v>5</v>
      </c>
      <c r="V974" s="522">
        <v>26</v>
      </c>
      <c r="W974" s="522">
        <v>52</v>
      </c>
      <c r="X974" s="522"/>
      <c r="Y974" s="522">
        <v>25</v>
      </c>
      <c r="Z974" s="522">
        <v>39</v>
      </c>
      <c r="AA974" s="522" t="s">
        <v>274</v>
      </c>
      <c r="AB974" s="522">
        <v>4</v>
      </c>
      <c r="AC974" s="522">
        <v>4</v>
      </c>
      <c r="AD974" s="522" t="s">
        <v>2430</v>
      </c>
    </row>
    <row r="975" spans="3:31">
      <c r="C975" s="523">
        <v>910</v>
      </c>
      <c r="D975" s="523">
        <v>20</v>
      </c>
      <c r="E975" s="543" t="s">
        <v>2920</v>
      </c>
      <c r="F975" s="523">
        <v>70</v>
      </c>
      <c r="G975" s="523"/>
      <c r="H975" s="523">
        <v>66</v>
      </c>
      <c r="I975" s="523">
        <v>0</v>
      </c>
      <c r="J975" s="523">
        <v>0</v>
      </c>
      <c r="K975" s="523" t="s">
        <v>3858</v>
      </c>
      <c r="L975" s="797">
        <f>[1]!tsabetm(C975)</f>
        <v>151.91666666666666</v>
      </c>
      <c r="M975" s="797">
        <f>[1]!tsabetz(C975)</f>
        <v>177.26666666666668</v>
      </c>
      <c r="N975" s="797">
        <f t="shared" si="82"/>
        <v>68.520710059171535</v>
      </c>
      <c r="O975" s="797">
        <f t="shared" si="83"/>
        <v>1445.0028169014086</v>
      </c>
      <c r="P975" s="797">
        <f t="shared" si="84"/>
        <v>6.7537619499398716</v>
      </c>
      <c r="Q975" s="797">
        <f t="shared" si="85"/>
        <v>180</v>
      </c>
      <c r="R975" s="797">
        <f t="shared" si="86"/>
        <v>180.11256269916566</v>
      </c>
      <c r="S975" s="797">
        <f>[1]!taqsabet(O975,C975)</f>
        <v>180.1109252446015</v>
      </c>
      <c r="T975" s="523"/>
      <c r="U975" s="523">
        <v>6</v>
      </c>
      <c r="V975" s="523">
        <v>27</v>
      </c>
      <c r="W975" s="523">
        <v>16</v>
      </c>
      <c r="X975" s="523"/>
      <c r="Y975" s="523">
        <v>30</v>
      </c>
      <c r="Z975" s="523">
        <v>21</v>
      </c>
      <c r="AA975" s="523" t="s">
        <v>274</v>
      </c>
      <c r="AB975" s="523">
        <v>4</v>
      </c>
      <c r="AC975" s="551">
        <v>4</v>
      </c>
      <c r="AD975" s="523" t="s">
        <v>2430</v>
      </c>
    </row>
    <row r="976" spans="3:31">
      <c r="C976" s="522">
        <v>911</v>
      </c>
      <c r="D976" s="522">
        <v>21</v>
      </c>
      <c r="E976" s="550" t="s">
        <v>3288</v>
      </c>
      <c r="F976" s="522">
        <v>70</v>
      </c>
      <c r="G976" s="522"/>
      <c r="H976" s="522">
        <v>66</v>
      </c>
      <c r="I976" s="522">
        <v>0</v>
      </c>
      <c r="J976" s="522">
        <v>0</v>
      </c>
      <c r="K976" s="522"/>
      <c r="L976" s="797">
        <f>[1]!tsabetm(C976)</f>
        <v>161.75</v>
      </c>
      <c r="M976" s="797">
        <f>[1]!tsabetz(C976)</f>
        <v>189.11666666666667</v>
      </c>
      <c r="N976" s="797">
        <f t="shared" si="82"/>
        <v>63.471376370280126</v>
      </c>
      <c r="O976" s="797">
        <f t="shared" si="83"/>
        <v>1445.0028169014086</v>
      </c>
      <c r="P976" s="797">
        <f t="shared" si="84"/>
        <v>11.337723288493748</v>
      </c>
      <c r="Q976" s="797">
        <f t="shared" si="85"/>
        <v>192</v>
      </c>
      <c r="R976" s="797">
        <f t="shared" si="86"/>
        <v>192.18896205480823</v>
      </c>
      <c r="S976" s="797">
        <f>[1]!taqsabet(O976,C976)</f>
        <v>192.18719433594279</v>
      </c>
      <c r="T976" s="522"/>
      <c r="U976" s="522">
        <v>6</v>
      </c>
      <c r="V976" s="522">
        <v>9</v>
      </c>
      <c r="W976" s="522">
        <v>7</v>
      </c>
      <c r="X976" s="522"/>
      <c r="Y976" s="522">
        <v>31</v>
      </c>
      <c r="Z976" s="522">
        <v>42</v>
      </c>
      <c r="AA976" s="522" t="s">
        <v>274</v>
      </c>
      <c r="AB976" s="522">
        <v>4</v>
      </c>
      <c r="AC976" s="522">
        <v>4</v>
      </c>
      <c r="AD976" s="522" t="s">
        <v>2430</v>
      </c>
    </row>
    <row r="977" spans="1:30">
      <c r="C977" s="523">
        <v>912</v>
      </c>
      <c r="D977" s="523">
        <v>22</v>
      </c>
      <c r="E977" s="543" t="s">
        <v>3289</v>
      </c>
      <c r="F977" s="523">
        <v>70</v>
      </c>
      <c r="G977" s="523"/>
      <c r="H977" s="523">
        <v>66</v>
      </c>
      <c r="I977" s="523">
        <v>0</v>
      </c>
      <c r="J977" s="523">
        <v>0</v>
      </c>
      <c r="K977" s="523"/>
      <c r="L977" s="797">
        <f>[1]!tsabetm(C977)</f>
        <v>164.08333333333331</v>
      </c>
      <c r="M977" s="797">
        <f>[1]!tsabetz(C977)</f>
        <v>189.26666666666668</v>
      </c>
      <c r="N977" s="797">
        <f t="shared" si="82"/>
        <v>68.974189278623342</v>
      </c>
      <c r="O977" s="797">
        <f t="shared" si="83"/>
        <v>1445.0028169014086</v>
      </c>
      <c r="P977" s="797">
        <f t="shared" si="84"/>
        <v>5.6311205169998857</v>
      </c>
      <c r="Q977" s="797">
        <f t="shared" si="85"/>
        <v>192</v>
      </c>
      <c r="R977" s="797">
        <f t="shared" si="86"/>
        <v>192.09385200861666</v>
      </c>
      <c r="S977" s="797">
        <f>[1]!taqsabet(O977,C977)</f>
        <v>192.09222531969726</v>
      </c>
      <c r="T977" s="523"/>
      <c r="U977" s="523">
        <v>6</v>
      </c>
      <c r="V977" s="523">
        <v>9</v>
      </c>
      <c r="W977" s="523">
        <v>16</v>
      </c>
      <c r="X977" s="523"/>
      <c r="Y977" s="523">
        <v>33</v>
      </c>
      <c r="Z977" s="523">
        <v>45</v>
      </c>
      <c r="AA977" s="523" t="s">
        <v>274</v>
      </c>
      <c r="AB977" s="523">
        <v>4</v>
      </c>
      <c r="AC977" s="523">
        <v>4</v>
      </c>
      <c r="AD977" s="523" t="s">
        <v>2430</v>
      </c>
    </row>
    <row r="978" spans="1:30">
      <c r="C978" s="522">
        <v>913</v>
      </c>
      <c r="D978" s="522">
        <v>23</v>
      </c>
      <c r="E978" s="550" t="s">
        <v>2613</v>
      </c>
      <c r="F978" s="522">
        <v>70</v>
      </c>
      <c r="G978" s="522"/>
      <c r="H978" s="522">
        <v>66</v>
      </c>
      <c r="I978" s="522">
        <v>0</v>
      </c>
      <c r="J978" s="522">
        <v>0</v>
      </c>
      <c r="K978" s="522"/>
      <c r="L978" s="797">
        <f>[1]!tsabetm(C978)</f>
        <v>165.75</v>
      </c>
      <c r="M978" s="797">
        <f>[1]!tsabetz(C978)</f>
        <v>191.93333333333334</v>
      </c>
      <c r="N978" s="797">
        <f t="shared" si="82"/>
        <v>66.339910884786747</v>
      </c>
      <c r="O978" s="797">
        <f t="shared" si="83"/>
        <v>1445.0028169014086</v>
      </c>
      <c r="P978" s="797">
        <f t="shared" si="84"/>
        <v>52.366969114630706</v>
      </c>
      <c r="Q978" s="797">
        <f t="shared" si="85"/>
        <v>194</v>
      </c>
      <c r="R978" s="797">
        <f t="shared" si="86"/>
        <v>194.87278281857718</v>
      </c>
      <c r="S978" s="797">
        <f>[1]!taqsabet(O978,C978)</f>
        <v>194.87109153578936</v>
      </c>
      <c r="T978" s="522"/>
      <c r="U978" s="522">
        <v>6</v>
      </c>
      <c r="V978" s="522">
        <v>11</v>
      </c>
      <c r="W978" s="522">
        <v>56</v>
      </c>
      <c r="X978" s="522"/>
      <c r="Y978" s="522">
        <v>31</v>
      </c>
      <c r="Z978" s="522">
        <v>15</v>
      </c>
      <c r="AA978" s="522" t="s">
        <v>274</v>
      </c>
      <c r="AB978" s="522">
        <v>3</v>
      </c>
      <c r="AC978" s="522">
        <v>3</v>
      </c>
      <c r="AD978" s="522" t="s">
        <v>2430</v>
      </c>
    </row>
    <row r="979" spans="1:30">
      <c r="C979" s="523">
        <v>914</v>
      </c>
      <c r="D979" s="523">
        <v>24</v>
      </c>
      <c r="E979" s="543" t="s">
        <v>3290</v>
      </c>
      <c r="F979" s="523">
        <v>70</v>
      </c>
      <c r="G979" s="523"/>
      <c r="H979" s="523">
        <v>66</v>
      </c>
      <c r="I979" s="523">
        <v>0</v>
      </c>
      <c r="J979" s="523">
        <v>0</v>
      </c>
      <c r="K979" s="523"/>
      <c r="L979" s="797">
        <f>[1]!tsabetm(C979)</f>
        <v>179.58333333333331</v>
      </c>
      <c r="M979" s="797">
        <f>[1]!tsabetz(C979)</f>
        <v>205.01666666666668</v>
      </c>
      <c r="N979" s="797">
        <f t="shared" si="82"/>
        <v>68.296199213630317</v>
      </c>
      <c r="O979" s="797">
        <f t="shared" si="83"/>
        <v>1445.0028169014086</v>
      </c>
      <c r="P979" s="797">
        <f t="shared" si="84"/>
        <v>52.315082666409012</v>
      </c>
      <c r="Q979" s="797">
        <f t="shared" si="85"/>
        <v>207</v>
      </c>
      <c r="R979" s="797">
        <f t="shared" si="86"/>
        <v>207.87191804444015</v>
      </c>
      <c r="S979" s="797">
        <f>[1]!taqsabet(O979,C979)</f>
        <v>207.87027520705362</v>
      </c>
      <c r="T979" s="523"/>
      <c r="U979" s="523">
        <v>6</v>
      </c>
      <c r="V979" s="523">
        <v>25</v>
      </c>
      <c r="W979" s="523">
        <v>1</v>
      </c>
      <c r="X979" s="523"/>
      <c r="Y979" s="523">
        <v>13</v>
      </c>
      <c r="Z979" s="523">
        <v>15</v>
      </c>
      <c r="AA979" s="523" t="s">
        <v>274</v>
      </c>
      <c r="AB979" s="523">
        <v>3</v>
      </c>
      <c r="AC979" s="523">
        <v>4</v>
      </c>
      <c r="AD979" s="523" t="s">
        <v>2430</v>
      </c>
    </row>
    <row r="980" spans="1:30">
      <c r="C980" s="522">
        <v>915</v>
      </c>
      <c r="D980" s="522">
        <v>25</v>
      </c>
      <c r="E980" s="550" t="s">
        <v>3218</v>
      </c>
      <c r="F980" s="522">
        <v>70</v>
      </c>
      <c r="G980" s="522"/>
      <c r="H980" s="522">
        <v>66</v>
      </c>
      <c r="I980" s="522">
        <v>0</v>
      </c>
      <c r="J980" s="522">
        <v>0</v>
      </c>
      <c r="K980" s="522"/>
      <c r="L980" s="797">
        <f>[1]!tsabetm(C980)</f>
        <v>193.08333333333331</v>
      </c>
      <c r="M980" s="797">
        <f>[1]!tsabetz(C980)</f>
        <v>220.26666666666668</v>
      </c>
      <c r="N980" s="797">
        <f t="shared" si="82"/>
        <v>63.899448191293608</v>
      </c>
      <c r="O980" s="797">
        <f t="shared" si="83"/>
        <v>1445.0028169014086</v>
      </c>
      <c r="P980" s="797">
        <f t="shared" si="84"/>
        <v>19.102817712262663</v>
      </c>
      <c r="Q980" s="797">
        <f t="shared" si="85"/>
        <v>223</v>
      </c>
      <c r="R980" s="797">
        <f t="shared" si="86"/>
        <v>223.31838029520438</v>
      </c>
      <c r="S980" s="797">
        <f>[1]!taqsabet(O980,C980)</f>
        <v>223.31662441854814</v>
      </c>
      <c r="T980" s="522"/>
      <c r="U980" s="522">
        <v>7</v>
      </c>
      <c r="V980" s="522">
        <v>10</v>
      </c>
      <c r="W980" s="522">
        <v>16</v>
      </c>
      <c r="X980" s="522"/>
      <c r="Y980" s="522">
        <v>13</v>
      </c>
      <c r="Z980" s="522">
        <v>9</v>
      </c>
      <c r="AA980" s="522" t="s">
        <v>274</v>
      </c>
      <c r="AB980" s="522">
        <v>3</v>
      </c>
      <c r="AC980" s="522">
        <v>4</v>
      </c>
      <c r="AD980" s="522" t="s">
        <v>2430</v>
      </c>
    </row>
    <row r="981" spans="1:30">
      <c r="B981" s="505" t="s">
        <v>2415</v>
      </c>
      <c r="C981" s="523">
        <v>916</v>
      </c>
      <c r="D981" s="523">
        <v>1</v>
      </c>
      <c r="E981" s="543" t="s">
        <v>3291</v>
      </c>
      <c r="F981" s="523">
        <v>70</v>
      </c>
      <c r="G981" s="523"/>
      <c r="H981" s="523">
        <v>66</v>
      </c>
      <c r="I981" s="523">
        <v>0</v>
      </c>
      <c r="J981" s="523">
        <v>0</v>
      </c>
      <c r="K981" s="523" t="s">
        <v>3859</v>
      </c>
      <c r="L981" s="797">
        <f>[1]!tsabetm(C981)</f>
        <v>102.08333333333334</v>
      </c>
      <c r="M981" s="797">
        <f>[1]!tsabetz(C981)</f>
        <v>128.36666666666667</v>
      </c>
      <c r="N981" s="797">
        <f t="shared" si="82"/>
        <v>66.087507926442612</v>
      </c>
      <c r="O981" s="797">
        <f t="shared" si="83"/>
        <v>1445.0028169014086</v>
      </c>
      <c r="P981" s="797">
        <f t="shared" si="84"/>
        <v>19.04055397439322</v>
      </c>
      <c r="Q981" s="797">
        <f t="shared" si="85"/>
        <v>131</v>
      </c>
      <c r="R981" s="797">
        <f t="shared" si="86"/>
        <v>131.31734256623989</v>
      </c>
      <c r="S981" s="797">
        <f>[1]!taqsabet(O981,C981)</f>
        <v>131.31564482406523</v>
      </c>
      <c r="T981" s="523"/>
      <c r="U981" s="523">
        <v>7</v>
      </c>
      <c r="V981" s="523">
        <v>8</v>
      </c>
      <c r="W981" s="523">
        <v>22</v>
      </c>
      <c r="X981" s="523"/>
      <c r="Y981" s="523">
        <v>22</v>
      </c>
      <c r="Z981" s="523">
        <v>39</v>
      </c>
      <c r="AA981" s="523" t="s">
        <v>274</v>
      </c>
      <c r="AB981" s="523">
        <v>3</v>
      </c>
      <c r="AC981" s="523">
        <v>3</v>
      </c>
      <c r="AD981" s="523"/>
    </row>
    <row r="982" spans="1:30">
      <c r="C982" s="522">
        <v>917</v>
      </c>
      <c r="D982" s="522">
        <v>2</v>
      </c>
      <c r="E982" s="550" t="s">
        <v>3292</v>
      </c>
      <c r="F982" s="522">
        <v>70</v>
      </c>
      <c r="G982" s="522"/>
      <c r="H982" s="522">
        <v>66</v>
      </c>
      <c r="I982" s="522">
        <v>0</v>
      </c>
      <c r="J982" s="522">
        <v>0</v>
      </c>
      <c r="K982" s="522" t="s">
        <v>3859</v>
      </c>
      <c r="L982" s="797">
        <f>[1]!tsabetm(C982)</f>
        <v>130.58333333333331</v>
      </c>
      <c r="M982" s="797">
        <f>[1]!tsabetz(C982)</f>
        <v>155.16666666666666</v>
      </c>
      <c r="N982" s="797">
        <f t="shared" si="82"/>
        <v>70.657627118644044</v>
      </c>
      <c r="O982" s="797">
        <f t="shared" si="83"/>
        <v>1445.0028169014086</v>
      </c>
      <c r="P982" s="797">
        <f t="shared" si="84"/>
        <v>55.589611358421394</v>
      </c>
      <c r="Q982" s="797">
        <f t="shared" si="85"/>
        <v>157</v>
      </c>
      <c r="R982" s="797">
        <f t="shared" si="86"/>
        <v>157.92649352264036</v>
      </c>
      <c r="S982" s="797">
        <f>[1]!taqsabet(O982,C982)</f>
        <v>157.92490559004196</v>
      </c>
      <c r="T982" s="522"/>
      <c r="U982" s="522">
        <v>8</v>
      </c>
      <c r="V982" s="522">
        <v>5</v>
      </c>
      <c r="W982" s="522">
        <v>10</v>
      </c>
      <c r="X982" s="522"/>
      <c r="Y982" s="522">
        <v>10</v>
      </c>
      <c r="Z982" s="522">
        <v>12</v>
      </c>
      <c r="AA982" s="522" t="s">
        <v>274</v>
      </c>
      <c r="AB982" s="522">
        <v>3</v>
      </c>
      <c r="AC982" s="522">
        <v>3</v>
      </c>
      <c r="AD982" s="522"/>
    </row>
    <row r="983" spans="1:30">
      <c r="B983" s="505" t="s">
        <v>2355</v>
      </c>
      <c r="C983" s="506" t="s">
        <v>2356</v>
      </c>
      <c r="D983" s="507" t="s">
        <v>2357</v>
      </c>
      <c r="E983" s="511" t="s">
        <v>2358</v>
      </c>
      <c r="F983" s="511"/>
      <c r="G983" s="511"/>
      <c r="H983" s="511"/>
      <c r="I983" s="511"/>
      <c r="J983" s="511"/>
      <c r="K983" s="514" t="s">
        <v>2360</v>
      </c>
      <c r="N983" s="797">
        <f t="shared" si="82"/>
        <v>4.8250000000000002</v>
      </c>
      <c r="O983" s="797">
        <f t="shared" si="83"/>
        <v>1445.0028169014086</v>
      </c>
      <c r="P983" s="797">
        <f t="shared" si="84"/>
        <v>24.905495147049237</v>
      </c>
      <c r="Q983" s="797">
        <f t="shared" si="85"/>
        <v>40</v>
      </c>
      <c r="R983" s="797">
        <f t="shared" si="86"/>
        <v>40.415091585784154</v>
      </c>
      <c r="S983" s="797" t="e">
        <f>[1]!taqsabet(O983,C983)</f>
        <v>#VALUE!</v>
      </c>
      <c r="T983" s="507"/>
      <c r="U983" s="508" t="s">
        <v>403</v>
      </c>
      <c r="V983" s="508"/>
      <c r="W983" s="509"/>
      <c r="X983" s="507"/>
      <c r="Y983" s="509" t="s">
        <v>275</v>
      </c>
      <c r="Z983" s="510"/>
      <c r="AA983" s="506" t="s">
        <v>176</v>
      </c>
      <c r="AB983" s="511" t="s">
        <v>2361</v>
      </c>
      <c r="AC983" s="511" t="s">
        <v>2362</v>
      </c>
      <c r="AD983" s="511" t="s">
        <v>2363</v>
      </c>
    </row>
    <row r="984" spans="1:30">
      <c r="B984" s="505"/>
      <c r="C984" s="512"/>
      <c r="D984" s="512"/>
      <c r="E984" s="513"/>
      <c r="F984" s="513"/>
      <c r="G984" s="513"/>
      <c r="H984" s="513"/>
      <c r="I984" s="513"/>
      <c r="J984" s="513"/>
      <c r="K984" s="514"/>
      <c r="L984" s="348">
        <f>L985</f>
        <v>145.91666666666666</v>
      </c>
      <c r="M984" s="348">
        <f>(6*30)+9+(39/60)</f>
        <v>189.65</v>
      </c>
      <c r="N984" s="797">
        <f t="shared" si="82"/>
        <v>39.717987804878035</v>
      </c>
      <c r="O984" s="797">
        <f t="shared" si="83"/>
        <v>1445.0028169014086</v>
      </c>
      <c r="P984" s="797">
        <f t="shared" si="84"/>
        <v>33.58111200305018</v>
      </c>
      <c r="Q984" s="797">
        <f t="shared" si="85"/>
        <v>194</v>
      </c>
      <c r="R984" s="797">
        <f t="shared" si="86"/>
        <v>194.55968520005084</v>
      </c>
      <c r="S984" s="797">
        <f>[1]!taqsabet(O984,C984)</f>
        <v>1.4716840899636423</v>
      </c>
      <c r="T984" s="515" t="s">
        <v>2367</v>
      </c>
      <c r="U984" s="516" t="s">
        <v>173</v>
      </c>
      <c r="V984" s="516" t="s">
        <v>172</v>
      </c>
      <c r="W984" s="516" t="s">
        <v>166</v>
      </c>
      <c r="X984" s="517" t="s">
        <v>2367</v>
      </c>
      <c r="Y984" s="516" t="s">
        <v>172</v>
      </c>
      <c r="Z984" s="518" t="s">
        <v>166</v>
      </c>
      <c r="AA984" s="512"/>
      <c r="AB984" s="517" t="s">
        <v>2368</v>
      </c>
      <c r="AC984" s="517" t="s">
        <v>2369</v>
      </c>
      <c r="AD984" s="513"/>
    </row>
    <row r="985" spans="1:30">
      <c r="A985" s="567">
        <v>9</v>
      </c>
      <c r="B985" s="536" t="s">
        <v>3293</v>
      </c>
      <c r="C985" s="527">
        <v>918</v>
      </c>
      <c r="D985" s="527">
        <v>1</v>
      </c>
      <c r="E985" s="553" t="s">
        <v>3860</v>
      </c>
      <c r="F985" s="527">
        <v>70</v>
      </c>
      <c r="G985" s="527"/>
      <c r="H985" s="527">
        <v>66</v>
      </c>
      <c r="I985" s="527">
        <v>0</v>
      </c>
      <c r="J985" s="527">
        <v>0</v>
      </c>
      <c r="K985" s="527" t="s">
        <v>3294</v>
      </c>
      <c r="L985" s="797">
        <f>[1]!tsabetm(C985)</f>
        <v>145.91666666666666</v>
      </c>
      <c r="M985" s="33">
        <f>[1]!tsabetz(C985)</f>
        <v>171.66666666666666</v>
      </c>
      <c r="N985" s="797">
        <f t="shared" si="82"/>
        <v>67.456310679611647</v>
      </c>
      <c r="O985" s="797">
        <f t="shared" si="83"/>
        <v>1445.0028169014086</v>
      </c>
      <c r="P985" s="797">
        <f t="shared" si="84"/>
        <v>33.448101388989357</v>
      </c>
      <c r="Q985" s="797">
        <f t="shared" si="85"/>
        <v>174</v>
      </c>
      <c r="R985" s="797">
        <f t="shared" si="86"/>
        <v>174.55746835648316</v>
      </c>
      <c r="S985" s="797">
        <f>[1]!taqsabet(O985,C985)</f>
        <v>174.55580506437164</v>
      </c>
      <c r="T985" s="527"/>
      <c r="U985" s="527">
        <v>7</v>
      </c>
      <c r="V985" s="527">
        <v>6</v>
      </c>
      <c r="W985" s="527">
        <v>31</v>
      </c>
      <c r="X985" s="527"/>
      <c r="Y985" s="527">
        <v>24</v>
      </c>
      <c r="Z985" s="527">
        <v>42</v>
      </c>
      <c r="AA985" s="527" t="s">
        <v>274</v>
      </c>
      <c r="AB985" s="527">
        <v>4</v>
      </c>
      <c r="AC985" s="527">
        <v>4</v>
      </c>
      <c r="AD985" s="527" t="s">
        <v>2556</v>
      </c>
    </row>
    <row r="986" spans="1:30">
      <c r="C986" s="523">
        <v>919</v>
      </c>
      <c r="D986" s="523">
        <v>2</v>
      </c>
      <c r="E986" s="543" t="s">
        <v>3295</v>
      </c>
      <c r="F986" s="523">
        <v>70</v>
      </c>
      <c r="G986" s="523"/>
      <c r="H986" s="523">
        <v>66</v>
      </c>
      <c r="I986" s="523">
        <v>0</v>
      </c>
      <c r="J986" s="523">
        <v>0</v>
      </c>
      <c r="K986" s="523" t="s">
        <v>3861</v>
      </c>
      <c r="L986" s="797">
        <f>[1]!tsabetm(C986)</f>
        <v>152.08333333333331</v>
      </c>
      <c r="M986" s="33">
        <f>[1]!tsabetz(C986)</f>
        <v>177.66666666666666</v>
      </c>
      <c r="N986" s="797">
        <f t="shared" si="82"/>
        <v>67.895765472312675</v>
      </c>
      <c r="O986" s="797">
        <f t="shared" si="83"/>
        <v>1445.0028169014086</v>
      </c>
      <c r="P986" s="797">
        <f t="shared" si="84"/>
        <v>32.325459956051077</v>
      </c>
      <c r="Q986" s="797">
        <f t="shared" si="85"/>
        <v>180</v>
      </c>
      <c r="R986" s="797">
        <f t="shared" si="86"/>
        <v>180.53875766593418</v>
      </c>
      <c r="S986" s="797">
        <f>[1]!taqsabet(O986,C986)</f>
        <v>180.5371051394674</v>
      </c>
      <c r="T986" s="523"/>
      <c r="U986" s="523">
        <v>7</v>
      </c>
      <c r="V986" s="523">
        <v>5</v>
      </c>
      <c r="W986" s="523">
        <v>43</v>
      </c>
      <c r="X986" s="523"/>
      <c r="Y986" s="523">
        <v>19</v>
      </c>
      <c r="Z986" s="523">
        <v>45</v>
      </c>
      <c r="AA986" s="523" t="s">
        <v>274</v>
      </c>
      <c r="AB986" s="523">
        <v>4</v>
      </c>
      <c r="AC986" s="523">
        <v>4</v>
      </c>
      <c r="AD986" s="523" t="s">
        <v>2556</v>
      </c>
    </row>
    <row r="987" spans="1:30">
      <c r="C987" s="527">
        <v>920</v>
      </c>
      <c r="D987" s="527">
        <v>3</v>
      </c>
      <c r="E987" s="553" t="s">
        <v>3296</v>
      </c>
      <c r="F987" s="527">
        <v>70</v>
      </c>
      <c r="G987" s="527"/>
      <c r="H987" s="527">
        <v>66</v>
      </c>
      <c r="I987" s="527">
        <v>0</v>
      </c>
      <c r="J987" s="527">
        <v>0</v>
      </c>
      <c r="K987" s="527" t="s">
        <v>3861</v>
      </c>
      <c r="L987" s="797">
        <f>[1]!tsabetm(C987)</f>
        <v>149.58333333333331</v>
      </c>
      <c r="M987" s="33">
        <f>[1]!tsabetz(C987)</f>
        <v>174.73333333333332</v>
      </c>
      <c r="N987" s="797">
        <f t="shared" si="82"/>
        <v>69.065606361829012</v>
      </c>
      <c r="O987" s="797">
        <f t="shared" si="83"/>
        <v>1445.0028169014086</v>
      </c>
      <c r="P987" s="797">
        <f t="shared" si="84"/>
        <v>33.406592230410297</v>
      </c>
      <c r="Q987" s="797">
        <f t="shared" si="85"/>
        <v>177</v>
      </c>
      <c r="R987" s="797">
        <f t="shared" si="86"/>
        <v>177.5567765371735</v>
      </c>
      <c r="S987" s="797">
        <f>[1]!taqsabet(O987,C987)</f>
        <v>177.55515200138305</v>
      </c>
      <c r="T987" s="527"/>
      <c r="U987" s="527">
        <v>7</v>
      </c>
      <c r="V987" s="527">
        <v>5</v>
      </c>
      <c r="W987" s="527">
        <v>22</v>
      </c>
      <c r="X987" s="527"/>
      <c r="Y987" s="527">
        <v>17</v>
      </c>
      <c r="Z987" s="527">
        <v>42</v>
      </c>
      <c r="AA987" s="527" t="s">
        <v>274</v>
      </c>
      <c r="AB987" s="527">
        <v>4</v>
      </c>
      <c r="AC987" s="527">
        <v>4</v>
      </c>
      <c r="AD987" s="527" t="s">
        <v>2556</v>
      </c>
    </row>
    <row r="988" spans="1:30">
      <c r="C988" s="523">
        <v>921</v>
      </c>
      <c r="D988" s="523">
        <v>4</v>
      </c>
      <c r="E988" s="543" t="s">
        <v>3297</v>
      </c>
      <c r="F988" s="523">
        <v>70</v>
      </c>
      <c r="G988" s="523"/>
      <c r="H988" s="523">
        <v>66</v>
      </c>
      <c r="I988" s="523">
        <v>0</v>
      </c>
      <c r="J988" s="523">
        <v>0</v>
      </c>
      <c r="K988" s="523" t="s">
        <v>3861</v>
      </c>
      <c r="L988" s="797">
        <f>[1]!tsabetm(C988)</f>
        <v>156.58333333333331</v>
      </c>
      <c r="M988" s="33">
        <f>[1]!tsabetz(C988)</f>
        <v>181.3</v>
      </c>
      <c r="N988" s="797">
        <f t="shared" si="82"/>
        <v>70.276466621712657</v>
      </c>
      <c r="O988" s="797">
        <f t="shared" si="83"/>
        <v>1445.0028169014086</v>
      </c>
      <c r="P988" s="797">
        <f t="shared" si="84"/>
        <v>4.4877245047729275</v>
      </c>
      <c r="Q988" s="797">
        <f t="shared" si="85"/>
        <v>184</v>
      </c>
      <c r="R988" s="797">
        <f t="shared" si="86"/>
        <v>184.07479540841288</v>
      </c>
      <c r="S988" s="797">
        <f>[1]!taqsabet(O988,C988)</f>
        <v>184.07319886329873</v>
      </c>
      <c r="T988" s="523"/>
      <c r="U988" s="523">
        <v>7</v>
      </c>
      <c r="V988" s="523">
        <v>6</v>
      </c>
      <c r="W988" s="523">
        <v>7</v>
      </c>
      <c r="X988" s="523"/>
      <c r="Y988" s="523">
        <v>18</v>
      </c>
      <c r="Z988" s="523">
        <v>33</v>
      </c>
      <c r="AA988" s="523" t="s">
        <v>274</v>
      </c>
      <c r="AB988" s="523">
        <v>5</v>
      </c>
      <c r="AC988" s="523">
        <v>4</v>
      </c>
      <c r="AD988" s="523" t="s">
        <v>2556</v>
      </c>
    </row>
    <row r="989" spans="1:30">
      <c r="C989" s="527">
        <v>922</v>
      </c>
      <c r="D989" s="527">
        <v>5</v>
      </c>
      <c r="E989" s="553" t="s">
        <v>3298</v>
      </c>
      <c r="F989" s="527">
        <v>70</v>
      </c>
      <c r="G989" s="527"/>
      <c r="H989" s="527">
        <v>66</v>
      </c>
      <c r="I989" s="527">
        <v>0</v>
      </c>
      <c r="J989" s="527">
        <v>0</v>
      </c>
      <c r="K989" s="527" t="s">
        <v>3861</v>
      </c>
      <c r="L989" s="797">
        <f>[1]!tsabetm(C989)</f>
        <v>148.91666666666666</v>
      </c>
      <c r="M989" s="33">
        <f>[1]!tsabetz(C989)</f>
        <v>174.08333333333334</v>
      </c>
      <c r="N989" s="797">
        <f t="shared" si="82"/>
        <v>69.019867549668817</v>
      </c>
      <c r="O989" s="797">
        <f t="shared" si="83"/>
        <v>1445.0028169014086</v>
      </c>
      <c r="P989" s="797">
        <f t="shared" si="84"/>
        <v>54.518856373706512</v>
      </c>
      <c r="Q989" s="797">
        <f t="shared" si="85"/>
        <v>176</v>
      </c>
      <c r="R989" s="797">
        <f t="shared" si="86"/>
        <v>176.90864760622844</v>
      </c>
      <c r="S989" s="797">
        <f>[1]!taqsabet(O989,C989)</f>
        <v>176.90702199387349</v>
      </c>
      <c r="T989" s="527"/>
      <c r="U989" s="527">
        <v>7</v>
      </c>
      <c r="V989" s="527">
        <v>1</v>
      </c>
      <c r="W989" s="527">
        <v>19</v>
      </c>
      <c r="X989" s="527"/>
      <c r="Y989" s="527">
        <v>13</v>
      </c>
      <c r="Z989" s="527">
        <v>21</v>
      </c>
      <c r="AA989" s="527" t="s">
        <v>274</v>
      </c>
      <c r="AB989" s="527">
        <v>4</v>
      </c>
      <c r="AC989" s="527">
        <v>4</v>
      </c>
      <c r="AD989" s="527" t="s">
        <v>2556</v>
      </c>
    </row>
    <row r="990" spans="1:30">
      <c r="C990" s="523">
        <v>923</v>
      </c>
      <c r="D990" s="523">
        <v>6</v>
      </c>
      <c r="E990" s="543" t="s">
        <v>3299</v>
      </c>
      <c r="F990" s="523">
        <v>70</v>
      </c>
      <c r="G990" s="523"/>
      <c r="H990" s="523">
        <v>66</v>
      </c>
      <c r="I990" s="523">
        <v>0</v>
      </c>
      <c r="J990" s="523">
        <v>0</v>
      </c>
      <c r="K990" s="523" t="s">
        <v>3861</v>
      </c>
      <c r="L990" s="797">
        <f>[1]!tsabetm(C990)</f>
        <v>158.75</v>
      </c>
      <c r="M990" s="33">
        <f>[1]!tsabetz(C990)</f>
        <v>185.75</v>
      </c>
      <c r="N990" s="797">
        <f t="shared" si="82"/>
        <v>64.333333333333329</v>
      </c>
      <c r="O990" s="797">
        <f t="shared" si="83"/>
        <v>1445.0028169014086</v>
      </c>
      <c r="P990" s="797">
        <f t="shared" si="84"/>
        <v>46.867912136028735</v>
      </c>
      <c r="Q990" s="797">
        <f t="shared" si="85"/>
        <v>188</v>
      </c>
      <c r="R990" s="797">
        <f t="shared" si="86"/>
        <v>188.78113186893381</v>
      </c>
      <c r="S990" s="797">
        <f>[1]!taqsabet(O990,C990)</f>
        <v>188.77938783448678</v>
      </c>
      <c r="T990" s="523"/>
      <c r="U990" s="551">
        <v>6</v>
      </c>
      <c r="V990" s="523">
        <v>12</v>
      </c>
      <c r="W990" s="551">
        <v>7</v>
      </c>
      <c r="X990" s="523"/>
      <c r="Y990" s="523">
        <v>16</v>
      </c>
      <c r="Z990" s="523">
        <v>18</v>
      </c>
      <c r="AA990" s="523" t="s">
        <v>274</v>
      </c>
      <c r="AB990" s="523">
        <v>4</v>
      </c>
      <c r="AC990" s="523">
        <v>4</v>
      </c>
      <c r="AD990" s="523" t="s">
        <v>2556</v>
      </c>
    </row>
    <row r="991" spans="1:30">
      <c r="C991" s="527">
        <v>924</v>
      </c>
      <c r="D991" s="527">
        <v>7</v>
      </c>
      <c r="E991" s="553" t="s">
        <v>3300</v>
      </c>
      <c r="F991" s="527">
        <v>70</v>
      </c>
      <c r="G991" s="527"/>
      <c r="H991" s="527">
        <v>66</v>
      </c>
      <c r="I991" s="527">
        <v>0</v>
      </c>
      <c r="J991" s="527">
        <v>0</v>
      </c>
      <c r="K991" s="527" t="s">
        <v>3861</v>
      </c>
      <c r="L991" s="797">
        <f>[1]!tsabetm(C991)</f>
        <v>151.25</v>
      </c>
      <c r="M991" s="33">
        <f>[1]!tsabetz(C991)</f>
        <v>176.65</v>
      </c>
      <c r="N991" s="797">
        <f t="shared" si="82"/>
        <v>68.385826771653527</v>
      </c>
      <c r="O991" s="797">
        <f t="shared" si="83"/>
        <v>1445.0028169014086</v>
      </c>
      <c r="P991" s="797">
        <f t="shared" si="84"/>
        <v>30.09055437982056</v>
      </c>
      <c r="Q991" s="797">
        <f t="shared" si="85"/>
        <v>179</v>
      </c>
      <c r="R991" s="797">
        <f t="shared" si="86"/>
        <v>179.50150923966368</v>
      </c>
      <c r="S991" s="797">
        <f>[1]!taqsabet(O991,C991)</f>
        <v>179.4998685554061</v>
      </c>
      <c r="T991" s="527"/>
      <c r="U991" s="527">
        <v>6</v>
      </c>
      <c r="V991" s="527">
        <v>15</v>
      </c>
      <c r="W991" s="527">
        <v>46</v>
      </c>
      <c r="X991" s="527"/>
      <c r="Y991" s="527">
        <v>11</v>
      </c>
      <c r="Z991" s="527">
        <v>24</v>
      </c>
      <c r="AA991" s="527" t="s">
        <v>274</v>
      </c>
      <c r="AB991" s="527">
        <v>4</v>
      </c>
      <c r="AC991" s="527">
        <v>4</v>
      </c>
      <c r="AD991" s="527" t="s">
        <v>2556</v>
      </c>
    </row>
    <row r="992" spans="1:30">
      <c r="C992" s="546"/>
      <c r="D992" s="546"/>
      <c r="E992" s="546"/>
      <c r="F992" s="546"/>
      <c r="G992" s="546"/>
      <c r="H992" s="546"/>
      <c r="I992" s="546"/>
      <c r="J992" s="546"/>
      <c r="K992" s="546"/>
      <c r="N992" s="797">
        <f t="shared" si="82"/>
        <v>4.8250000000000002</v>
      </c>
      <c r="O992" s="797">
        <f t="shared" si="83"/>
        <v>1445.0028169014086</v>
      </c>
      <c r="P992" s="797">
        <f t="shared" si="84"/>
        <v>24.905495147049237</v>
      </c>
      <c r="Q992" s="797">
        <f t="shared" si="85"/>
        <v>40</v>
      </c>
      <c r="R992" s="797">
        <f t="shared" si="86"/>
        <v>40.415091585784154</v>
      </c>
      <c r="S992" s="797">
        <f>[1]!taqsabet(O992,C992)</f>
        <v>1.4716840899636423</v>
      </c>
      <c r="T992" s="546"/>
      <c r="U992" s="546"/>
      <c r="V992" s="546"/>
      <c r="W992" s="546"/>
      <c r="X992" s="546"/>
      <c r="Y992" s="546"/>
      <c r="Z992" s="546"/>
      <c r="AA992" s="546"/>
      <c r="AB992" s="546"/>
      <c r="AC992" s="546"/>
      <c r="AD992" s="546"/>
    </row>
    <row r="993" spans="1:31">
      <c r="A993" s="567">
        <v>10</v>
      </c>
      <c r="B993" s="536" t="s">
        <v>3301</v>
      </c>
      <c r="C993" s="522">
        <v>925</v>
      </c>
      <c r="D993" s="522">
        <v>1</v>
      </c>
      <c r="E993" s="550" t="s">
        <v>3302</v>
      </c>
      <c r="F993" s="522">
        <v>70</v>
      </c>
      <c r="G993" s="522"/>
      <c r="H993" s="522">
        <v>66</v>
      </c>
      <c r="I993" s="522">
        <v>0</v>
      </c>
      <c r="J993" s="522">
        <v>0</v>
      </c>
      <c r="K993" s="522"/>
      <c r="L993" s="797">
        <f>[1]!tsabetm(C993)</f>
        <v>164.91666666666666</v>
      </c>
      <c r="M993" s="797">
        <f>[1]!tsabetz(C993)</f>
        <v>186.51666666666668</v>
      </c>
      <c r="N993" s="797">
        <f t="shared" si="82"/>
        <v>80.416666666666586</v>
      </c>
      <c r="O993" s="797">
        <f t="shared" si="83"/>
        <v>1445.0028169014086</v>
      </c>
      <c r="P993" s="797">
        <f t="shared" si="84"/>
        <v>56.494329708823443</v>
      </c>
      <c r="Q993" s="797">
        <f t="shared" si="85"/>
        <v>188</v>
      </c>
      <c r="R993" s="797">
        <f t="shared" si="86"/>
        <v>188.94157216181372</v>
      </c>
      <c r="S993" s="797">
        <f>[1]!taqsabet(O993,C993)</f>
        <v>188.9401769342561</v>
      </c>
      <c r="T993" s="522"/>
      <c r="U993" s="522">
        <v>6</v>
      </c>
      <c r="V993" s="522">
        <v>6</v>
      </c>
      <c r="W993" s="522">
        <v>31</v>
      </c>
      <c r="X993" s="522"/>
      <c r="Y993" s="522">
        <v>22</v>
      </c>
      <c r="Z993" s="522">
        <v>9</v>
      </c>
      <c r="AA993" s="522" t="s">
        <v>274</v>
      </c>
      <c r="AB993" s="522">
        <v>5</v>
      </c>
      <c r="AC993" s="522">
        <v>3</v>
      </c>
      <c r="AD993" s="522" t="s">
        <v>322</v>
      </c>
      <c r="AE993" s="327">
        <v>613</v>
      </c>
    </row>
    <row r="994" spans="1:31">
      <c r="C994" s="523">
        <v>926</v>
      </c>
      <c r="D994" s="523">
        <v>2</v>
      </c>
      <c r="E994" s="543" t="s">
        <v>3303</v>
      </c>
      <c r="F994" s="523">
        <v>70</v>
      </c>
      <c r="G994" s="523"/>
      <c r="H994" s="523">
        <v>66</v>
      </c>
      <c r="I994" s="523">
        <v>0</v>
      </c>
      <c r="J994" s="523">
        <v>0</v>
      </c>
      <c r="K994" s="523"/>
      <c r="L994" s="797">
        <f>[1]!tsabetm(C994)</f>
        <v>163.91666666666666</v>
      </c>
      <c r="M994" s="797">
        <f>[1]!tsabetz(C994)</f>
        <v>185.71666666666667</v>
      </c>
      <c r="N994" s="797">
        <f t="shared" si="82"/>
        <v>79.678899082568762</v>
      </c>
      <c r="O994" s="797">
        <f t="shared" si="83"/>
        <v>1445.0028169014086</v>
      </c>
      <c r="P994" s="797">
        <f t="shared" si="84"/>
        <v>9.8414994283490387</v>
      </c>
      <c r="Q994" s="797">
        <f t="shared" si="85"/>
        <v>188</v>
      </c>
      <c r="R994" s="797">
        <f t="shared" si="86"/>
        <v>188.16402499047248</v>
      </c>
      <c r="S994" s="797">
        <f>[1]!taqsabet(O994,C994)</f>
        <v>188.16261684414118</v>
      </c>
      <c r="T994" s="523"/>
      <c r="U994" s="523">
        <v>6</v>
      </c>
      <c r="V994" s="523">
        <v>5</v>
      </c>
      <c r="W994" s="523">
        <v>43</v>
      </c>
      <c r="X994" s="523"/>
      <c r="Y994" s="523">
        <v>19</v>
      </c>
      <c r="Z994" s="523">
        <v>17</v>
      </c>
      <c r="AA994" s="523" t="s">
        <v>274</v>
      </c>
      <c r="AB994" s="523">
        <v>5</v>
      </c>
      <c r="AC994" s="523">
        <v>3</v>
      </c>
      <c r="AD994" s="523" t="s">
        <v>322</v>
      </c>
    </row>
    <row r="995" spans="1:31">
      <c r="C995" s="522">
        <v>927</v>
      </c>
      <c r="D995" s="522">
        <v>3</v>
      </c>
      <c r="E995" s="550" t="s">
        <v>2798</v>
      </c>
      <c r="F995" s="522">
        <v>70</v>
      </c>
      <c r="G995" s="522"/>
      <c r="H995" s="522">
        <v>66</v>
      </c>
      <c r="I995" s="522">
        <v>0</v>
      </c>
      <c r="J995" s="522">
        <v>0</v>
      </c>
      <c r="K995" s="522"/>
      <c r="L995" s="797">
        <f>[1]!tsabetm(C995)</f>
        <v>166.25</v>
      </c>
      <c r="M995" s="797">
        <f>[1]!tsabetz(C995)</f>
        <v>185.36666666666667</v>
      </c>
      <c r="N995" s="797">
        <f t="shared" si="82"/>
        <v>90.8631211857018</v>
      </c>
      <c r="O995" s="797">
        <f t="shared" si="83"/>
        <v>1445.0028169014086</v>
      </c>
      <c r="P995" s="797">
        <f t="shared" si="84"/>
        <v>30.766972358040334</v>
      </c>
      <c r="Q995" s="797">
        <f t="shared" si="85"/>
        <v>187</v>
      </c>
      <c r="R995" s="797">
        <f t="shared" si="86"/>
        <v>187.51278287263401</v>
      </c>
      <c r="S995" s="797">
        <f>[1]!taqsabet(O995,C995)</f>
        <v>187.51154805318293</v>
      </c>
      <c r="T995" s="522"/>
      <c r="U995" s="522">
        <v>6</v>
      </c>
      <c r="V995" s="522">
        <v>5</v>
      </c>
      <c r="W995" s="522">
        <v>22</v>
      </c>
      <c r="X995" s="522"/>
      <c r="Y995" s="522">
        <v>20</v>
      </c>
      <c r="Z995" s="522">
        <v>48</v>
      </c>
      <c r="AA995" s="522" t="s">
        <v>274</v>
      </c>
      <c r="AB995" s="522">
        <v>4</v>
      </c>
      <c r="AC995" s="522">
        <v>5</v>
      </c>
      <c r="AD995" s="522" t="s">
        <v>322</v>
      </c>
    </row>
    <row r="996" spans="1:31">
      <c r="C996" s="523">
        <v>928</v>
      </c>
      <c r="D996" s="523">
        <v>4</v>
      </c>
      <c r="E996" s="543" t="s">
        <v>3304</v>
      </c>
      <c r="F996" s="523">
        <v>70</v>
      </c>
      <c r="G996" s="523"/>
      <c r="H996" s="523">
        <v>66</v>
      </c>
      <c r="I996" s="523">
        <v>0</v>
      </c>
      <c r="J996" s="523">
        <v>0</v>
      </c>
      <c r="K996" s="523"/>
      <c r="L996" s="797">
        <f>[1]!tsabetm(C996)</f>
        <v>163.08333333333331</v>
      </c>
      <c r="M996" s="797">
        <f>[1]!tsabetz(C996)</f>
        <v>186.11666666666667</v>
      </c>
      <c r="N996" s="797">
        <f t="shared" si="82"/>
        <v>75.4124457308248</v>
      </c>
      <c r="O996" s="797">
        <f t="shared" si="83"/>
        <v>1445.0028169014086</v>
      </c>
      <c r="P996" s="797">
        <f t="shared" si="84"/>
        <v>42.149046032095043</v>
      </c>
      <c r="Q996" s="797">
        <f t="shared" si="85"/>
        <v>188</v>
      </c>
      <c r="R996" s="797">
        <f t="shared" si="86"/>
        <v>188.70248410053492</v>
      </c>
      <c r="S996" s="797">
        <f>[1]!taqsabet(O996,C996)</f>
        <v>188.70099628843258</v>
      </c>
      <c r="T996" s="523"/>
      <c r="U996" s="523">
        <v>6</v>
      </c>
      <c r="V996" s="523">
        <v>6</v>
      </c>
      <c r="W996" s="523">
        <v>7</v>
      </c>
      <c r="X996" s="523"/>
      <c r="Y996" s="523">
        <v>20</v>
      </c>
      <c r="Z996" s="523">
        <v>0</v>
      </c>
      <c r="AA996" s="523" t="s">
        <v>274</v>
      </c>
      <c r="AB996" s="523">
        <v>3</v>
      </c>
      <c r="AC996" s="523">
        <v>3</v>
      </c>
      <c r="AD996" s="523" t="s">
        <v>322</v>
      </c>
    </row>
    <row r="997" spans="1:31">
      <c r="C997" s="522">
        <v>929</v>
      </c>
      <c r="D997" s="522">
        <v>5</v>
      </c>
      <c r="E997" s="550" t="s">
        <v>3305</v>
      </c>
      <c r="F997" s="522">
        <v>70</v>
      </c>
      <c r="G997" s="522"/>
      <c r="H997" s="522">
        <v>66</v>
      </c>
      <c r="I997" s="522">
        <v>0</v>
      </c>
      <c r="J997" s="522">
        <v>0</v>
      </c>
      <c r="K997" s="522" t="s">
        <v>3861</v>
      </c>
      <c r="L997" s="797">
        <f>[1]!tsabetm(C997)</f>
        <v>166.25</v>
      </c>
      <c r="M997" s="797">
        <f>[1]!tsabetz(C997)</f>
        <v>190.43333333333334</v>
      </c>
      <c r="N997" s="797">
        <f t="shared" si="82"/>
        <v>71.826326671261185</v>
      </c>
      <c r="O997" s="797">
        <f t="shared" si="83"/>
        <v>1445.0028169014086</v>
      </c>
      <c r="P997" s="797">
        <f t="shared" si="84"/>
        <v>8.8952719193696339</v>
      </c>
      <c r="Q997" s="797">
        <f t="shared" si="85"/>
        <v>193</v>
      </c>
      <c r="R997" s="797">
        <f t="shared" si="86"/>
        <v>193.14825453198949</v>
      </c>
      <c r="S997" s="797">
        <f>[1]!taqsabet(O997,C997)</f>
        <v>193.14669243693848</v>
      </c>
      <c r="T997" s="522"/>
      <c r="U997" s="522">
        <v>6</v>
      </c>
      <c r="V997" s="522">
        <v>1</v>
      </c>
      <c r="W997" s="522">
        <v>19</v>
      </c>
      <c r="X997" s="522"/>
      <c r="Y997" s="522">
        <v>25</v>
      </c>
      <c r="Z997" s="522">
        <v>48</v>
      </c>
      <c r="AA997" s="522" t="s">
        <v>274</v>
      </c>
      <c r="AB997" s="522">
        <v>3</v>
      </c>
      <c r="AC997" s="522">
        <v>3</v>
      </c>
      <c r="AD997" s="522" t="s">
        <v>322</v>
      </c>
    </row>
    <row r="998" spans="1:31">
      <c r="C998" s="523">
        <v>930</v>
      </c>
      <c r="D998" s="523">
        <v>6</v>
      </c>
      <c r="E998" s="543" t="s">
        <v>2465</v>
      </c>
      <c r="F998" s="523">
        <v>70</v>
      </c>
      <c r="G998" s="523"/>
      <c r="H998" s="523">
        <v>66</v>
      </c>
      <c r="I998" s="523">
        <v>0</v>
      </c>
      <c r="J998" s="523">
        <v>0</v>
      </c>
      <c r="K998" s="523"/>
      <c r="L998" s="797">
        <f>[1]!tsabetm(C998)</f>
        <v>166.58333333333331</v>
      </c>
      <c r="M998" s="797">
        <f>[1]!tsabetz(C998)</f>
        <v>192.11666666666667</v>
      </c>
      <c r="N998" s="797">
        <f t="shared" si="82"/>
        <v>68.028720626631781</v>
      </c>
      <c r="O998" s="797">
        <f t="shared" si="83"/>
        <v>1445.0028169014086</v>
      </c>
      <c r="P998" s="797">
        <f t="shared" si="84"/>
        <v>58.988667526170957</v>
      </c>
      <c r="Q998" s="797">
        <f t="shared" si="85"/>
        <v>194</v>
      </c>
      <c r="R998" s="797">
        <f t="shared" si="86"/>
        <v>194.98314445876952</v>
      </c>
      <c r="S998" s="797">
        <f>[1]!taqsabet(O998,C998)</f>
        <v>194.98149516199615</v>
      </c>
      <c r="T998" s="523"/>
      <c r="U998" s="523">
        <v>6</v>
      </c>
      <c r="V998" s="523">
        <v>12</v>
      </c>
      <c r="W998" s="523">
        <v>7</v>
      </c>
      <c r="X998" s="523"/>
      <c r="Y998" s="523">
        <v>11</v>
      </c>
      <c r="Z998" s="523">
        <v>39</v>
      </c>
      <c r="AA998" s="523" t="s">
        <v>274</v>
      </c>
      <c r="AB998" s="523">
        <v>4</v>
      </c>
      <c r="AC998" s="523">
        <v>4</v>
      </c>
      <c r="AD998" s="523" t="s">
        <v>322</v>
      </c>
    </row>
    <row r="999" spans="1:31">
      <c r="C999" s="522">
        <v>931</v>
      </c>
      <c r="D999" s="522">
        <v>7</v>
      </c>
      <c r="E999" s="550" t="s">
        <v>3306</v>
      </c>
      <c r="F999" s="522">
        <v>70</v>
      </c>
      <c r="G999" s="522"/>
      <c r="H999" s="522">
        <v>66</v>
      </c>
      <c r="I999" s="522">
        <v>0</v>
      </c>
      <c r="J999" s="522">
        <v>0</v>
      </c>
      <c r="K999" s="522"/>
      <c r="L999" s="797">
        <f>[1]!tsabetm(C999)</f>
        <v>170.08333333333331</v>
      </c>
      <c r="M999" s="797">
        <f>[1]!tsabetz(C999)</f>
        <v>195.76666666666668</v>
      </c>
      <c r="N999" s="797">
        <f t="shared" si="82"/>
        <v>67.631408176508671</v>
      </c>
      <c r="O999" s="797">
        <f t="shared" si="83"/>
        <v>1445.0028169014086</v>
      </c>
      <c r="P999" s="797">
        <f t="shared" si="84"/>
        <v>38.999044815816433</v>
      </c>
      <c r="Q999" s="797">
        <f t="shared" si="85"/>
        <v>198</v>
      </c>
      <c r="R999" s="797">
        <f t="shared" si="86"/>
        <v>198.64998408026361</v>
      </c>
      <c r="S999" s="797">
        <f>[1]!taqsabet(O999,C999)</f>
        <v>198.64832509440998</v>
      </c>
      <c r="T999" s="522"/>
      <c r="U999" s="522">
        <v>6</v>
      </c>
      <c r="V999" s="522">
        <v>15</v>
      </c>
      <c r="W999" s="522">
        <v>46</v>
      </c>
      <c r="X999" s="522"/>
      <c r="Y999" s="522">
        <v>17</v>
      </c>
      <c r="Z999" s="522">
        <v>49</v>
      </c>
      <c r="AA999" s="522" t="s">
        <v>274</v>
      </c>
      <c r="AB999" s="522">
        <v>3</v>
      </c>
      <c r="AC999" s="522">
        <v>3</v>
      </c>
      <c r="AD999" s="522" t="s">
        <v>322</v>
      </c>
    </row>
    <row r="1000" spans="1:31">
      <c r="B1000" s="505" t="s">
        <v>2355</v>
      </c>
      <c r="C1000" s="506" t="s">
        <v>2356</v>
      </c>
      <c r="D1000" s="507" t="s">
        <v>2357</v>
      </c>
      <c r="E1000" s="511" t="s">
        <v>2358</v>
      </c>
      <c r="F1000" s="511"/>
      <c r="G1000" s="511"/>
      <c r="H1000" s="511"/>
      <c r="I1000" s="511"/>
      <c r="J1000" s="511"/>
      <c r="K1000" s="514" t="s">
        <v>2360</v>
      </c>
      <c r="N1000" s="797">
        <f t="shared" si="82"/>
        <v>4.8250000000000002</v>
      </c>
      <c r="O1000" s="797">
        <f t="shared" si="83"/>
        <v>1445.0028169014086</v>
      </c>
      <c r="P1000" s="797">
        <f t="shared" si="84"/>
        <v>24.905495147049237</v>
      </c>
      <c r="Q1000" s="797">
        <f t="shared" si="85"/>
        <v>40</v>
      </c>
      <c r="R1000" s="797">
        <f t="shared" si="86"/>
        <v>40.415091585784154</v>
      </c>
      <c r="S1000" s="797" t="e">
        <f>[1]!taqsabet(O1000,C1000)</f>
        <v>#VALUE!</v>
      </c>
      <c r="T1000" s="507"/>
      <c r="U1000" s="508" t="s">
        <v>403</v>
      </c>
      <c r="V1000" s="508"/>
      <c r="W1000" s="509"/>
      <c r="X1000" s="507"/>
      <c r="Y1000" s="509" t="s">
        <v>275</v>
      </c>
      <c r="Z1000" s="510"/>
      <c r="AA1000" s="506" t="s">
        <v>176</v>
      </c>
      <c r="AB1000" s="511" t="s">
        <v>2361</v>
      </c>
      <c r="AC1000" s="511" t="s">
        <v>2362</v>
      </c>
      <c r="AD1000" s="511" t="s">
        <v>2363</v>
      </c>
    </row>
    <row r="1001" spans="1:31">
      <c r="B1001" s="505"/>
      <c r="C1001" s="512"/>
      <c r="D1001" s="512"/>
      <c r="E1001" s="513"/>
      <c r="F1001" s="513"/>
      <c r="G1001" s="513"/>
      <c r="H1001" s="513"/>
      <c r="I1001" s="513"/>
      <c r="J1001" s="513"/>
      <c r="K1001" s="514"/>
      <c r="N1001" s="797">
        <f t="shared" si="82"/>
        <v>4.8250000000000002</v>
      </c>
      <c r="O1001" s="797">
        <f t="shared" si="83"/>
        <v>1445.0028169014086</v>
      </c>
      <c r="P1001" s="797">
        <f t="shared" si="84"/>
        <v>24.905495147049237</v>
      </c>
      <c r="Q1001" s="797">
        <f t="shared" si="85"/>
        <v>40</v>
      </c>
      <c r="R1001" s="797">
        <f t="shared" si="86"/>
        <v>40.415091585784154</v>
      </c>
      <c r="S1001" s="797">
        <f>[1]!taqsabet(O1001,C1001)</f>
        <v>1.4716840899636423</v>
      </c>
      <c r="T1001" s="515" t="s">
        <v>2367</v>
      </c>
      <c r="U1001" s="516" t="s">
        <v>173</v>
      </c>
      <c r="V1001" s="516" t="s">
        <v>172</v>
      </c>
      <c r="W1001" s="516" t="s">
        <v>166</v>
      </c>
      <c r="X1001" s="517" t="s">
        <v>2367</v>
      </c>
      <c r="Y1001" s="516" t="s">
        <v>172</v>
      </c>
      <c r="Z1001" s="518" t="s">
        <v>166</v>
      </c>
      <c r="AA1001" s="512"/>
      <c r="AB1001" s="517" t="s">
        <v>2368</v>
      </c>
      <c r="AC1001" s="517" t="s">
        <v>2369</v>
      </c>
      <c r="AD1001" s="513"/>
    </row>
    <row r="1002" spans="1:31">
      <c r="A1002" s="567">
        <v>11</v>
      </c>
      <c r="B1002" s="536" t="s">
        <v>3307</v>
      </c>
      <c r="C1002" s="527">
        <v>932</v>
      </c>
      <c r="D1002" s="527">
        <v>1</v>
      </c>
      <c r="E1002" s="553" t="s">
        <v>3308</v>
      </c>
      <c r="F1002" s="527">
        <v>70</v>
      </c>
      <c r="G1002" s="527"/>
      <c r="H1002" s="527">
        <v>66</v>
      </c>
      <c r="I1002" s="527">
        <v>0</v>
      </c>
      <c r="J1002" s="527">
        <v>0</v>
      </c>
      <c r="K1002" s="527"/>
      <c r="L1002" s="797">
        <f>[1]!tsabetm(C1002)</f>
        <v>190.08333333333331</v>
      </c>
      <c r="M1002" s="797">
        <f>[1]!tsabetz(C1002)</f>
        <v>216.51666666666668</v>
      </c>
      <c r="N1002" s="797">
        <f t="shared" si="82"/>
        <v>65.712484237074321</v>
      </c>
      <c r="O1002" s="797">
        <f t="shared" si="83"/>
        <v>1445.0028169014086</v>
      </c>
      <c r="P1002" s="797">
        <f t="shared" si="84"/>
        <v>29.050931264038695</v>
      </c>
      <c r="Q1002" s="797">
        <f t="shared" si="85"/>
        <v>219</v>
      </c>
      <c r="R1002" s="797">
        <f t="shared" si="86"/>
        <v>219.48418218773398</v>
      </c>
      <c r="S1002" s="797">
        <f>[1]!taqsabet(O1002,C1002)</f>
        <v>219.48247475647906</v>
      </c>
      <c r="T1002" s="527"/>
      <c r="U1002" s="527">
        <v>7</v>
      </c>
      <c r="V1002" s="527">
        <v>6</v>
      </c>
      <c r="W1002" s="527">
        <v>31</v>
      </c>
      <c r="X1002" s="527"/>
      <c r="Y1002" s="527">
        <v>22</v>
      </c>
      <c r="Z1002" s="527">
        <v>9</v>
      </c>
      <c r="AA1002" s="527" t="s">
        <v>274</v>
      </c>
      <c r="AB1002" s="527">
        <v>5</v>
      </c>
      <c r="AC1002" s="527">
        <v>5</v>
      </c>
      <c r="AD1002" s="527" t="s">
        <v>2860</v>
      </c>
    </row>
    <row r="1003" spans="1:31">
      <c r="C1003" s="523">
        <v>933</v>
      </c>
      <c r="D1003" s="523">
        <v>2</v>
      </c>
      <c r="E1003" s="543" t="s">
        <v>2458</v>
      </c>
      <c r="F1003" s="523">
        <v>70</v>
      </c>
      <c r="G1003" s="523"/>
      <c r="H1003" s="523">
        <v>66</v>
      </c>
      <c r="I1003" s="523">
        <v>0</v>
      </c>
      <c r="J1003" s="523">
        <v>0</v>
      </c>
      <c r="K1003" s="523"/>
      <c r="L1003" s="797">
        <f>[1]!tsabetm(C1003)</f>
        <v>189.58333333333331</v>
      </c>
      <c r="M1003" s="797">
        <f>[1]!tsabetz(C1003)</f>
        <v>215.71666666666667</v>
      </c>
      <c r="N1003" s="797">
        <f t="shared" si="82"/>
        <v>66.466836734693828</v>
      </c>
      <c r="O1003" s="797">
        <f t="shared" si="83"/>
        <v>1445.0028169014086</v>
      </c>
      <c r="P1003" s="797">
        <f t="shared" si="84"/>
        <v>39.030176684749449</v>
      </c>
      <c r="Q1003" s="797">
        <f t="shared" si="85"/>
        <v>218</v>
      </c>
      <c r="R1003" s="797">
        <f t="shared" si="86"/>
        <v>218.65050294474582</v>
      </c>
      <c r="S1003" s="797">
        <f>[1]!taqsabet(O1003,C1003)</f>
        <v>218.6488148916514</v>
      </c>
      <c r="T1003" s="523"/>
      <c r="U1003" s="523">
        <v>7</v>
      </c>
      <c r="V1003" s="523">
        <v>5</v>
      </c>
      <c r="W1003" s="523">
        <v>43</v>
      </c>
      <c r="X1003" s="523"/>
      <c r="Y1003" s="523">
        <v>19</v>
      </c>
      <c r="Z1003" s="523">
        <v>17</v>
      </c>
      <c r="AA1003" s="523" t="s">
        <v>274</v>
      </c>
      <c r="AB1003" s="523">
        <v>5</v>
      </c>
      <c r="AC1003" s="523">
        <v>5</v>
      </c>
      <c r="AD1003" s="523" t="s">
        <v>2860</v>
      </c>
    </row>
    <row r="1004" spans="1:31">
      <c r="C1004" s="527">
        <v>934</v>
      </c>
      <c r="D1004" s="527">
        <v>3</v>
      </c>
      <c r="E1004" s="553" t="s">
        <v>3309</v>
      </c>
      <c r="F1004" s="527">
        <v>70</v>
      </c>
      <c r="G1004" s="527"/>
      <c r="H1004" s="527">
        <v>66</v>
      </c>
      <c r="I1004" s="527">
        <v>0</v>
      </c>
      <c r="J1004" s="527">
        <v>0</v>
      </c>
      <c r="K1004" s="527"/>
      <c r="L1004" s="797">
        <f>[1]!tsabetm(C1004)</f>
        <v>188.75</v>
      </c>
      <c r="M1004" s="797">
        <f>[1]!tsabetz(C1004)</f>
        <v>215.36666666666667</v>
      </c>
      <c r="N1004" s="797">
        <f t="shared" si="82"/>
        <v>65.259862241703175</v>
      </c>
      <c r="O1004" s="797">
        <f t="shared" si="83"/>
        <v>1445.0028169014086</v>
      </c>
      <c r="P1004" s="797">
        <f t="shared" si="84"/>
        <v>21.285836840271486</v>
      </c>
      <c r="Q1004" s="797">
        <f t="shared" si="85"/>
        <v>218</v>
      </c>
      <c r="R1004" s="797">
        <f t="shared" si="86"/>
        <v>218.35476394733786</v>
      </c>
      <c r="S1004" s="797">
        <f>[1]!taqsabet(O1004,C1004)</f>
        <v>218.35304467387371</v>
      </c>
      <c r="T1004" s="527"/>
      <c r="U1004" s="527">
        <v>7</v>
      </c>
      <c r="V1004" s="527">
        <v>5</v>
      </c>
      <c r="W1004" s="527">
        <v>22</v>
      </c>
      <c r="X1004" s="527"/>
      <c r="Y1004" s="527">
        <v>20</v>
      </c>
      <c r="Z1004" s="527">
        <v>48</v>
      </c>
      <c r="AA1004" s="527" t="s">
        <v>274</v>
      </c>
      <c r="AB1004" s="527">
        <v>4</v>
      </c>
      <c r="AC1004" s="527">
        <v>4</v>
      </c>
      <c r="AD1004" s="527" t="s">
        <v>2860</v>
      </c>
    </row>
    <row r="1005" spans="1:31">
      <c r="C1005" s="523">
        <v>935</v>
      </c>
      <c r="D1005" s="523">
        <v>4</v>
      </c>
      <c r="E1005" s="543" t="s">
        <v>3310</v>
      </c>
      <c r="F1005" s="523">
        <v>70</v>
      </c>
      <c r="G1005" s="523"/>
      <c r="H1005" s="523">
        <v>66</v>
      </c>
      <c r="I1005" s="523">
        <v>0</v>
      </c>
      <c r="J1005" s="523">
        <v>0</v>
      </c>
      <c r="K1005" s="523"/>
      <c r="L1005" s="797">
        <f>[1]!tsabetm(C1005)</f>
        <v>189.58333333333331</v>
      </c>
      <c r="M1005" s="797">
        <f>[1]!tsabetz(C1005)</f>
        <v>216.11666666666667</v>
      </c>
      <c r="N1005" s="797">
        <f t="shared" si="82"/>
        <v>65.464824120602955</v>
      </c>
      <c r="O1005" s="797">
        <f t="shared" si="83"/>
        <v>1445.0028169014086</v>
      </c>
      <c r="P1005" s="797">
        <f t="shared" si="84"/>
        <v>5.7245161238023456</v>
      </c>
      <c r="Q1005" s="797">
        <f t="shared" si="85"/>
        <v>219</v>
      </c>
      <c r="R1005" s="797">
        <f t="shared" si="86"/>
        <v>219.09540860206337</v>
      </c>
      <c r="S1005" s="797">
        <f>[1]!taqsabet(O1005,C1005)</f>
        <v>219.09369471142159</v>
      </c>
      <c r="T1005" s="523"/>
      <c r="U1005" s="523">
        <v>7</v>
      </c>
      <c r="V1005" s="523">
        <v>6</v>
      </c>
      <c r="W1005" s="523">
        <v>7</v>
      </c>
      <c r="X1005" s="523"/>
      <c r="Y1005" s="523">
        <v>25</v>
      </c>
      <c r="Z1005" s="523">
        <v>48</v>
      </c>
      <c r="AA1005" s="523" t="s">
        <v>274</v>
      </c>
      <c r="AB1005" s="523">
        <v>5</v>
      </c>
      <c r="AC1005" s="523">
        <v>5</v>
      </c>
      <c r="AD1005" s="523" t="s">
        <v>2860</v>
      </c>
    </row>
    <row r="1006" spans="1:31">
      <c r="C1006" s="527">
        <v>936</v>
      </c>
      <c r="D1006" s="527">
        <v>5</v>
      </c>
      <c r="E1006" s="553" t="s">
        <v>3311</v>
      </c>
      <c r="F1006" s="527">
        <v>70</v>
      </c>
      <c r="G1006" s="527"/>
      <c r="H1006" s="527">
        <v>66</v>
      </c>
      <c r="I1006" s="527">
        <v>0</v>
      </c>
      <c r="J1006" s="527">
        <v>0</v>
      </c>
      <c r="K1006" s="527"/>
      <c r="L1006" s="797">
        <f>[1]!tsabetm(C1006)</f>
        <v>185.75</v>
      </c>
      <c r="M1006" s="797">
        <f>[1]!tsabetz(C1006)</f>
        <v>211.31666666666666</v>
      </c>
      <c r="N1006" s="797">
        <f t="shared" si="82"/>
        <v>67.940026075619301</v>
      </c>
      <c r="O1006" s="797">
        <f t="shared" si="83"/>
        <v>1445.0028169014086</v>
      </c>
      <c r="P1006" s="797">
        <f t="shared" si="84"/>
        <v>11.213195812758272</v>
      </c>
      <c r="Q1006" s="797">
        <f t="shared" si="85"/>
        <v>214</v>
      </c>
      <c r="R1006" s="797">
        <f t="shared" si="86"/>
        <v>214.1868865968793</v>
      </c>
      <c r="S1006" s="797">
        <f>[1]!taqsabet(O1006,C1006)</f>
        <v>214.18523514697699</v>
      </c>
      <c r="T1006" s="527"/>
      <c r="U1006" s="527">
        <v>7</v>
      </c>
      <c r="V1006" s="527">
        <v>1</v>
      </c>
      <c r="W1006" s="527">
        <v>19</v>
      </c>
      <c r="X1006" s="527"/>
      <c r="Y1006" s="527">
        <v>21</v>
      </c>
      <c r="Z1006" s="527">
        <v>57</v>
      </c>
      <c r="AA1006" s="527" t="s">
        <v>274</v>
      </c>
      <c r="AB1006" s="527">
        <v>3</v>
      </c>
      <c r="AC1006" s="527">
        <v>3</v>
      </c>
      <c r="AD1006" s="527" t="s">
        <v>2860</v>
      </c>
    </row>
    <row r="1007" spans="1:31">
      <c r="C1007" s="523">
        <v>937</v>
      </c>
      <c r="D1007" s="523">
        <v>6</v>
      </c>
      <c r="E1007" s="543" t="s">
        <v>2640</v>
      </c>
      <c r="F1007" s="523">
        <v>70</v>
      </c>
      <c r="G1007" s="523"/>
      <c r="H1007" s="523">
        <v>66</v>
      </c>
      <c r="I1007" s="523">
        <v>0</v>
      </c>
      <c r="J1007" s="523">
        <v>0</v>
      </c>
      <c r="K1007" s="523"/>
      <c r="L1007" s="797">
        <f>[1]!tsabetm(C1007)</f>
        <v>195.25</v>
      </c>
      <c r="M1007" s="797">
        <f>[1]!tsabetz(C1007)</f>
        <v>220.76666666666668</v>
      </c>
      <c r="N1007" s="797">
        <f t="shared" si="82"/>
        <v>68.073154800783769</v>
      </c>
      <c r="O1007" s="797">
        <f t="shared" si="83"/>
        <v>1445.0028169014086</v>
      </c>
      <c r="P1007" s="797">
        <f t="shared" si="84"/>
        <v>37.876403382878152</v>
      </c>
      <c r="Q1007" s="797">
        <f t="shared" si="85"/>
        <v>223</v>
      </c>
      <c r="R1007" s="797">
        <f t="shared" si="86"/>
        <v>223.63127338971464</v>
      </c>
      <c r="S1007" s="797">
        <f>[1]!taqsabet(O1007,C1007)</f>
        <v>223.62962516950574</v>
      </c>
      <c r="T1007" s="523"/>
      <c r="U1007" s="523">
        <v>7</v>
      </c>
      <c r="V1007" s="523">
        <v>10</v>
      </c>
      <c r="W1007" s="523">
        <v>46</v>
      </c>
      <c r="X1007" s="523"/>
      <c r="Y1007" s="523">
        <v>23</v>
      </c>
      <c r="Z1007" s="523">
        <v>41</v>
      </c>
      <c r="AA1007" s="523" t="s">
        <v>274</v>
      </c>
      <c r="AB1007" s="523">
        <v>3</v>
      </c>
      <c r="AC1007" s="523">
        <v>3</v>
      </c>
      <c r="AD1007" s="523" t="s">
        <v>2860</v>
      </c>
    </row>
    <row r="1008" spans="1:31">
      <c r="C1008" s="527">
        <v>938</v>
      </c>
      <c r="D1008" s="527">
        <v>7</v>
      </c>
      <c r="E1008" s="553" t="s">
        <v>3312</v>
      </c>
      <c r="F1008" s="527">
        <v>70</v>
      </c>
      <c r="G1008" s="527"/>
      <c r="H1008" s="527">
        <v>66</v>
      </c>
      <c r="I1008" s="527">
        <v>0</v>
      </c>
      <c r="J1008" s="527">
        <v>0</v>
      </c>
      <c r="K1008" s="527"/>
      <c r="L1008" s="797">
        <f>[1]!tsabetm(C1008)</f>
        <v>188.75</v>
      </c>
      <c r="M1008" s="797">
        <f>[1]!tsabetz(C1008)</f>
        <v>214.51666666666668</v>
      </c>
      <c r="N1008" s="797">
        <f t="shared" si="82"/>
        <v>67.412677878395826</v>
      </c>
      <c r="O1008" s="797">
        <f t="shared" si="83"/>
        <v>1445.0028169014086</v>
      </c>
      <c r="P1008" s="797">
        <f t="shared" si="84"/>
        <v>24.560365532285573</v>
      </c>
      <c r="Q1008" s="797">
        <f t="shared" si="85"/>
        <v>217</v>
      </c>
      <c r="R1008" s="797">
        <f t="shared" si="86"/>
        <v>217.40933942553809</v>
      </c>
      <c r="S1008" s="797">
        <f>[1]!taqsabet(O1008,C1008)</f>
        <v>217.4076750568621</v>
      </c>
      <c r="T1008" s="527"/>
      <c r="U1008" s="527">
        <v>7</v>
      </c>
      <c r="V1008" s="527">
        <v>4</v>
      </c>
      <c r="W1008" s="527">
        <v>31</v>
      </c>
      <c r="X1008" s="527"/>
      <c r="Y1008" s="527">
        <v>23</v>
      </c>
      <c r="Z1008" s="527">
        <v>0</v>
      </c>
      <c r="AA1008" s="527" t="s">
        <v>274</v>
      </c>
      <c r="AB1008" s="527">
        <v>4</v>
      </c>
      <c r="AC1008" s="527">
        <v>4</v>
      </c>
      <c r="AD1008" s="527" t="s">
        <v>2860</v>
      </c>
    </row>
    <row r="1009" spans="3:31">
      <c r="C1009" s="523">
        <v>939</v>
      </c>
      <c r="D1009" s="523">
        <v>8</v>
      </c>
      <c r="E1009" s="543" t="s">
        <v>3313</v>
      </c>
      <c r="F1009" s="523">
        <v>70</v>
      </c>
      <c r="G1009" s="523"/>
      <c r="H1009" s="523">
        <v>66</v>
      </c>
      <c r="I1009" s="523">
        <v>0</v>
      </c>
      <c r="J1009" s="523">
        <v>0</v>
      </c>
      <c r="K1009" s="523"/>
      <c r="L1009" s="797">
        <f>[1]!tsabetm(C1009)</f>
        <v>197.75</v>
      </c>
      <c r="M1009" s="797">
        <f>[1]!tsabetz(C1009)</f>
        <v>223.2</v>
      </c>
      <c r="N1009" s="797">
        <f t="shared" si="82"/>
        <v>68.251473477406705</v>
      </c>
      <c r="O1009" s="797">
        <f t="shared" si="83"/>
        <v>1445.0028169014086</v>
      </c>
      <c r="P1009" s="797">
        <f t="shared" si="84"/>
        <v>3.4273468097006798</v>
      </c>
      <c r="Q1009" s="797">
        <f t="shared" si="85"/>
        <v>226</v>
      </c>
      <c r="R1009" s="797">
        <f t="shared" si="86"/>
        <v>226.05712244682834</v>
      </c>
      <c r="S1009" s="797">
        <f>[1]!taqsabet(O1009,C1009)</f>
        <v>226.05547853287734</v>
      </c>
      <c r="T1009" s="523"/>
      <c r="U1009" s="523">
        <v>7</v>
      </c>
      <c r="V1009" s="523">
        <v>13</v>
      </c>
      <c r="W1009" s="523">
        <v>12</v>
      </c>
      <c r="X1009" s="523"/>
      <c r="Y1009" s="523">
        <v>24</v>
      </c>
      <c r="Z1009" s="523">
        <v>0</v>
      </c>
      <c r="AA1009" s="523" t="s">
        <v>274</v>
      </c>
      <c r="AB1009" s="523">
        <v>4</v>
      </c>
      <c r="AC1009" s="523">
        <v>4</v>
      </c>
      <c r="AD1009" s="523" t="s">
        <v>2860</v>
      </c>
    </row>
    <row r="1010" spans="3:31">
      <c r="C1010" s="527">
        <v>940</v>
      </c>
      <c r="D1010" s="527">
        <v>9</v>
      </c>
      <c r="E1010" s="553" t="s">
        <v>2718</v>
      </c>
      <c r="F1010" s="527">
        <v>70</v>
      </c>
      <c r="G1010" s="527"/>
      <c r="H1010" s="527">
        <v>66</v>
      </c>
      <c r="I1010" s="527">
        <v>0</v>
      </c>
      <c r="J1010" s="527">
        <v>0</v>
      </c>
      <c r="K1010" s="527"/>
      <c r="L1010" s="797">
        <f>[1]!tsabetm(C1010)</f>
        <v>198.75</v>
      </c>
      <c r="M1010" s="797">
        <f>[1]!tsabetz(C1010)</f>
        <v>224.66666666666666</v>
      </c>
      <c r="N1010" s="797">
        <f t="shared" si="82"/>
        <v>67.022508038585229</v>
      </c>
      <c r="O1010" s="797">
        <f t="shared" si="83"/>
        <v>1445.0028169014086</v>
      </c>
      <c r="P1010" s="797">
        <f t="shared" si="84"/>
        <v>34.570742821927638</v>
      </c>
      <c r="Q1010" s="797">
        <f t="shared" si="85"/>
        <v>227</v>
      </c>
      <c r="R1010" s="797">
        <f t="shared" si="86"/>
        <v>227.57617904703213</v>
      </c>
      <c r="S1010" s="797">
        <f>[1]!taqsabet(O1010,C1010)</f>
        <v>227.57450498927588</v>
      </c>
      <c r="T1010" s="527"/>
      <c r="U1010" s="527">
        <v>7</v>
      </c>
      <c r="V1010" s="527">
        <v>14</v>
      </c>
      <c r="W1010" s="527">
        <v>40</v>
      </c>
      <c r="X1010" s="527"/>
      <c r="Y1010" s="527">
        <v>18</v>
      </c>
      <c r="Z1010" s="527">
        <v>17</v>
      </c>
      <c r="AA1010" s="527" t="s">
        <v>274</v>
      </c>
      <c r="AB1010" s="527">
        <v>4</v>
      </c>
      <c r="AC1010" s="527">
        <v>4</v>
      </c>
      <c r="AD1010" s="527" t="s">
        <v>2860</v>
      </c>
    </row>
    <row r="1011" spans="3:31">
      <c r="C1011" s="523">
        <v>941</v>
      </c>
      <c r="D1011" s="523">
        <v>10</v>
      </c>
      <c r="E1011" s="543" t="s">
        <v>3314</v>
      </c>
      <c r="F1011" s="523">
        <v>70</v>
      </c>
      <c r="G1011" s="523"/>
      <c r="H1011" s="523">
        <v>66</v>
      </c>
      <c r="I1011" s="523">
        <v>0</v>
      </c>
      <c r="J1011" s="523">
        <v>0</v>
      </c>
      <c r="K1011" s="523"/>
      <c r="L1011" s="797">
        <f>[1]!tsabetm(C1011)</f>
        <v>201.58333333333331</v>
      </c>
      <c r="M1011" s="797">
        <f>[1]!tsabetz(C1011)</f>
        <v>227.71666666666667</v>
      </c>
      <c r="N1011" s="797">
        <f t="shared" si="82"/>
        <v>66.466836734693828</v>
      </c>
      <c r="O1011" s="797">
        <f t="shared" si="83"/>
        <v>1445.0028169014086</v>
      </c>
      <c r="P1011" s="797">
        <f t="shared" si="84"/>
        <v>39.030176684749449</v>
      </c>
      <c r="Q1011" s="797">
        <f t="shared" si="85"/>
        <v>230</v>
      </c>
      <c r="R1011" s="797">
        <f t="shared" si="86"/>
        <v>230.65050294474582</v>
      </c>
      <c r="S1011" s="797">
        <f>[1]!taqsabet(O1011,C1011)</f>
        <v>230.6488148916514</v>
      </c>
      <c r="T1011" s="523"/>
      <c r="U1011" s="523">
        <v>7</v>
      </c>
      <c r="V1011" s="523">
        <v>17</v>
      </c>
      <c r="W1011" s="523">
        <v>43</v>
      </c>
      <c r="X1011" s="523"/>
      <c r="Y1011" s="523">
        <v>21</v>
      </c>
      <c r="Z1011" s="523">
        <v>18</v>
      </c>
      <c r="AA1011" s="523" t="s">
        <v>274</v>
      </c>
      <c r="AB1011" s="523">
        <v>4</v>
      </c>
      <c r="AC1011" s="523">
        <v>4</v>
      </c>
      <c r="AD1011" s="523" t="s">
        <v>2860</v>
      </c>
    </row>
    <row r="1012" spans="3:31">
      <c r="C1012" s="527">
        <v>942</v>
      </c>
      <c r="D1012" s="527">
        <v>11</v>
      </c>
      <c r="E1012" s="553" t="s">
        <v>3315</v>
      </c>
      <c r="F1012" s="527">
        <v>70</v>
      </c>
      <c r="G1012" s="527"/>
      <c r="H1012" s="527">
        <v>66</v>
      </c>
      <c r="I1012" s="527">
        <v>0</v>
      </c>
      <c r="J1012" s="527">
        <v>0</v>
      </c>
      <c r="K1012" s="527"/>
      <c r="L1012" s="797">
        <f>[1]!tsabetm(C1012)</f>
        <v>202.08333333333331</v>
      </c>
      <c r="M1012" s="797">
        <f>[1]!tsabetz(C1012)</f>
        <v>228.83333333333334</v>
      </c>
      <c r="N1012" s="797">
        <f t="shared" si="82"/>
        <v>64.934579439252261</v>
      </c>
      <c r="O1012" s="797">
        <f t="shared" si="83"/>
        <v>1445.0028169014086</v>
      </c>
      <c r="P1012" s="797">
        <f t="shared" si="84"/>
        <v>50.183949986621883</v>
      </c>
      <c r="Q1012" s="797">
        <f t="shared" si="85"/>
        <v>231</v>
      </c>
      <c r="R1012" s="797">
        <f t="shared" si="86"/>
        <v>231.8363991664437</v>
      </c>
      <c r="S1012" s="797">
        <f>[1]!taqsabet(O1012,C1012)</f>
        <v>231.83467128046377</v>
      </c>
      <c r="T1012" s="527"/>
      <c r="U1012" s="527">
        <v>7</v>
      </c>
      <c r="V1012" s="527">
        <v>18</v>
      </c>
      <c r="W1012" s="527">
        <v>50</v>
      </c>
      <c r="X1012" s="527"/>
      <c r="Y1012" s="527">
        <v>28</v>
      </c>
      <c r="Z1012" s="527">
        <v>45</v>
      </c>
      <c r="AA1012" s="527" t="s">
        <v>274</v>
      </c>
      <c r="AB1012" s="527">
        <v>4</v>
      </c>
      <c r="AC1012" s="527">
        <v>4</v>
      </c>
      <c r="AD1012" s="527" t="s">
        <v>2860</v>
      </c>
      <c r="AE1012" s="327">
        <v>614</v>
      </c>
    </row>
    <row r="1013" spans="3:31">
      <c r="C1013" s="523">
        <v>943</v>
      </c>
      <c r="D1013" s="523">
        <v>12</v>
      </c>
      <c r="E1013" s="543" t="s">
        <v>3316</v>
      </c>
      <c r="F1013" s="523">
        <v>70</v>
      </c>
      <c r="G1013" s="523"/>
      <c r="H1013" s="523">
        <v>66</v>
      </c>
      <c r="I1013" s="523">
        <v>0</v>
      </c>
      <c r="J1013" s="523">
        <v>0</v>
      </c>
      <c r="K1013" s="523"/>
      <c r="L1013" s="797">
        <f>[1]!tsabetm(C1013)</f>
        <v>192.91666666666666</v>
      </c>
      <c r="M1013" s="797">
        <f>[1]!tsabetz(C1013)</f>
        <v>219.78333333333333</v>
      </c>
      <c r="N1013" s="797">
        <f t="shared" si="82"/>
        <v>64.652605459057057</v>
      </c>
      <c r="O1013" s="797">
        <f t="shared" si="83"/>
        <v>1445.0028169014086</v>
      </c>
      <c r="P1013" s="797">
        <f t="shared" si="84"/>
        <v>47.969798989678338</v>
      </c>
      <c r="Q1013" s="797">
        <f t="shared" si="85"/>
        <v>222</v>
      </c>
      <c r="R1013" s="797">
        <f t="shared" si="86"/>
        <v>222.79949664982797</v>
      </c>
      <c r="S1013" s="797">
        <f>[1]!taqsabet(O1013,C1013)</f>
        <v>222.79776122789673</v>
      </c>
      <c r="T1013" s="523"/>
      <c r="U1013" s="523">
        <v>7</v>
      </c>
      <c r="V1013" s="523">
        <v>9</v>
      </c>
      <c r="W1013" s="523">
        <v>47</v>
      </c>
      <c r="X1013" s="523"/>
      <c r="Y1013" s="523">
        <v>29</v>
      </c>
      <c r="Z1013" s="523">
        <v>25</v>
      </c>
      <c r="AA1013" s="523" t="s">
        <v>274</v>
      </c>
      <c r="AB1013" s="523">
        <v>4</v>
      </c>
      <c r="AC1013" s="523">
        <v>4</v>
      </c>
      <c r="AD1013" s="523" t="s">
        <v>2860</v>
      </c>
    </row>
    <row r="1014" spans="3:31">
      <c r="C1014" s="527">
        <v>944</v>
      </c>
      <c r="D1014" s="527">
        <v>13</v>
      </c>
      <c r="E1014" s="553" t="s">
        <v>2945</v>
      </c>
      <c r="F1014" s="527">
        <v>70</v>
      </c>
      <c r="G1014" s="527"/>
      <c r="H1014" s="527">
        <v>66</v>
      </c>
      <c r="I1014" s="527">
        <v>0</v>
      </c>
      <c r="J1014" s="527">
        <v>0</v>
      </c>
      <c r="K1014" s="527"/>
      <c r="L1014" s="797">
        <f>[1]!tsabetm(C1014)</f>
        <v>193.58333333333331</v>
      </c>
      <c r="M1014" s="797">
        <f>[1]!tsabetz(C1014)</f>
        <v>219.71666666666667</v>
      </c>
      <c r="N1014" s="797">
        <f t="shared" si="82"/>
        <v>66.466836734693828</v>
      </c>
      <c r="O1014" s="797">
        <f t="shared" si="83"/>
        <v>1445.0028169014086</v>
      </c>
      <c r="P1014" s="797">
        <f t="shared" si="84"/>
        <v>39.030176684749449</v>
      </c>
      <c r="Q1014" s="797">
        <f t="shared" si="85"/>
        <v>222</v>
      </c>
      <c r="R1014" s="797">
        <f t="shared" si="86"/>
        <v>222.65050294474582</v>
      </c>
      <c r="S1014" s="797">
        <f>[1]!taqsabet(O1014,C1014)</f>
        <v>222.6488148916514</v>
      </c>
      <c r="T1014" s="527"/>
      <c r="U1014" s="527">
        <v>7</v>
      </c>
      <c r="V1014" s="527">
        <v>9</v>
      </c>
      <c r="W1014" s="527">
        <v>43</v>
      </c>
      <c r="X1014" s="527"/>
      <c r="Y1014" s="527">
        <v>27</v>
      </c>
      <c r="Z1014" s="527">
        <v>55</v>
      </c>
      <c r="AA1014" s="527" t="s">
        <v>274</v>
      </c>
      <c r="AB1014" s="527">
        <v>4</v>
      </c>
      <c r="AC1014" s="527">
        <v>4</v>
      </c>
      <c r="AD1014" s="527" t="s">
        <v>2860</v>
      </c>
    </row>
    <row r="1015" spans="3:31">
      <c r="C1015" s="523">
        <v>945</v>
      </c>
      <c r="D1015" s="523">
        <v>14</v>
      </c>
      <c r="E1015" s="543" t="s">
        <v>2613</v>
      </c>
      <c r="F1015" s="523">
        <v>70</v>
      </c>
      <c r="G1015" s="523"/>
      <c r="H1015" s="523">
        <v>66</v>
      </c>
      <c r="I1015" s="523">
        <v>0</v>
      </c>
      <c r="J1015" s="523">
        <v>0</v>
      </c>
      <c r="K1015" s="523"/>
      <c r="L1015" s="797">
        <f>[1]!tsabetm(C1015)</f>
        <v>194.75</v>
      </c>
      <c r="M1015" s="797">
        <f>[1]!tsabetz(C1015)</f>
        <v>220.88333333333333</v>
      </c>
      <c r="N1015" s="797">
        <f t="shared" si="82"/>
        <v>66.466836734693899</v>
      </c>
      <c r="O1015" s="797">
        <f t="shared" si="83"/>
        <v>1445.0028169014086</v>
      </c>
      <c r="P1015" s="797">
        <f t="shared" si="84"/>
        <v>49.030176684748881</v>
      </c>
      <c r="Q1015" s="797">
        <f t="shared" si="85"/>
        <v>223</v>
      </c>
      <c r="R1015" s="797">
        <f t="shared" si="86"/>
        <v>223.81716961141248</v>
      </c>
      <c r="S1015" s="797">
        <f>[1]!taqsabet(O1015,C1015)</f>
        <v>223.81548155831806</v>
      </c>
      <c r="T1015" s="523"/>
      <c r="U1015" s="523">
        <v>7</v>
      </c>
      <c r="V1015" s="523">
        <v>10</v>
      </c>
      <c r="W1015" s="523">
        <v>53</v>
      </c>
      <c r="X1015" s="523"/>
      <c r="Y1015" s="523">
        <v>26</v>
      </c>
      <c r="Z1015" s="523">
        <v>42</v>
      </c>
      <c r="AA1015" s="523" t="s">
        <v>274</v>
      </c>
      <c r="AB1015" s="523">
        <v>4</v>
      </c>
      <c r="AC1015" s="523">
        <v>4</v>
      </c>
      <c r="AD1015" s="523" t="s">
        <v>2860</v>
      </c>
    </row>
    <row r="1016" spans="3:31">
      <c r="C1016" s="527">
        <v>946</v>
      </c>
      <c r="D1016" s="527">
        <v>15</v>
      </c>
      <c r="E1016" s="553" t="s">
        <v>2526</v>
      </c>
      <c r="F1016" s="527">
        <v>70</v>
      </c>
      <c r="G1016" s="527"/>
      <c r="H1016" s="527">
        <v>66</v>
      </c>
      <c r="I1016" s="527">
        <v>0</v>
      </c>
      <c r="J1016" s="527">
        <v>0</v>
      </c>
      <c r="K1016" s="527"/>
      <c r="L1016" s="797">
        <f>[1]!tsabetm(C1016)</f>
        <v>195.91666666666666</v>
      </c>
      <c r="M1016" s="797">
        <f>[1]!tsabetz(C1016)</f>
        <v>228.46666666666667</v>
      </c>
      <c r="N1016" s="797">
        <f t="shared" si="82"/>
        <v>53.364055299539153</v>
      </c>
      <c r="O1016" s="797">
        <f t="shared" si="83"/>
        <v>1445.0028169014086</v>
      </c>
      <c r="P1016" s="797">
        <f t="shared" si="84"/>
        <v>7.2518718528783666</v>
      </c>
      <c r="Q1016" s="797">
        <f t="shared" si="85"/>
        <v>232</v>
      </c>
      <c r="R1016" s="797">
        <f t="shared" si="86"/>
        <v>232.12086453088131</v>
      </c>
      <c r="S1016" s="797">
        <f>[1]!taqsabet(O1016,C1016)</f>
        <v>232.11876200046461</v>
      </c>
      <c r="T1016" s="527"/>
      <c r="U1016" s="527">
        <v>7</v>
      </c>
      <c r="V1016" s="527">
        <v>18</v>
      </c>
      <c r="W1016" s="527">
        <v>28</v>
      </c>
      <c r="X1016" s="527"/>
      <c r="Y1016" s="527">
        <v>25</v>
      </c>
      <c r="Z1016" s="527">
        <v>33</v>
      </c>
      <c r="AA1016" s="527" t="s">
        <v>274</v>
      </c>
      <c r="AB1016" s="527">
        <v>3</v>
      </c>
      <c r="AC1016" s="527">
        <v>4</v>
      </c>
      <c r="AD1016" s="527" t="s">
        <v>2860</v>
      </c>
    </row>
    <row r="1017" spans="3:31">
      <c r="C1017" s="523">
        <v>947</v>
      </c>
      <c r="D1017" s="523">
        <v>16</v>
      </c>
      <c r="E1017" s="543" t="s">
        <v>2594</v>
      </c>
      <c r="F1017" s="523">
        <v>70</v>
      </c>
      <c r="G1017" s="523"/>
      <c r="H1017" s="523">
        <v>66</v>
      </c>
      <c r="I1017" s="523">
        <v>0</v>
      </c>
      <c r="J1017" s="523">
        <v>0</v>
      </c>
      <c r="K1017" s="523"/>
      <c r="L1017" s="797">
        <f>[1]!tsabetm(C1017)</f>
        <v>202.41666666666666</v>
      </c>
      <c r="M1017" s="797">
        <f>[1]!tsabetz(C1017)</f>
        <v>227.86666666666667</v>
      </c>
      <c r="N1017" s="797">
        <f t="shared" si="82"/>
        <v>68.251473477406634</v>
      </c>
      <c r="O1017" s="797">
        <f t="shared" si="83"/>
        <v>1445.0028169014086</v>
      </c>
      <c r="P1017" s="797">
        <f t="shared" si="84"/>
        <v>43.427346809701817</v>
      </c>
      <c r="Q1017" s="797">
        <f t="shared" si="85"/>
        <v>230</v>
      </c>
      <c r="R1017" s="797">
        <f t="shared" si="86"/>
        <v>230.72378911349503</v>
      </c>
      <c r="S1017" s="797">
        <f>[1]!taqsabet(O1017,C1017)</f>
        <v>230.72214519954403</v>
      </c>
      <c r="T1017" s="523"/>
      <c r="U1017" s="523">
        <v>7</v>
      </c>
      <c r="V1017" s="523">
        <v>17</v>
      </c>
      <c r="W1017" s="523">
        <v>52</v>
      </c>
      <c r="X1017" s="523"/>
      <c r="Y1017" s="523">
        <v>24</v>
      </c>
      <c r="Z1017" s="523">
        <v>55</v>
      </c>
      <c r="AA1017" s="523" t="s">
        <v>274</v>
      </c>
      <c r="AB1017" s="523">
        <v>3</v>
      </c>
      <c r="AC1017" s="523">
        <v>3</v>
      </c>
      <c r="AD1017" s="523" t="s">
        <v>2860</v>
      </c>
    </row>
    <row r="1018" spans="3:31">
      <c r="C1018" s="527">
        <v>948</v>
      </c>
      <c r="D1018" s="527">
        <v>17</v>
      </c>
      <c r="E1018" s="553" t="s">
        <v>3317</v>
      </c>
      <c r="F1018" s="527">
        <v>70</v>
      </c>
      <c r="G1018" s="527"/>
      <c r="H1018" s="527">
        <v>66</v>
      </c>
      <c r="I1018" s="527">
        <v>0</v>
      </c>
      <c r="J1018" s="527">
        <v>0</v>
      </c>
      <c r="K1018" s="527"/>
      <c r="L1018" s="797">
        <f>[1]!tsabetm(C1018)</f>
        <v>207.08333333333331</v>
      </c>
      <c r="M1018" s="797">
        <f>[1]!tsabetz(C1018)</f>
        <v>231.88333333333333</v>
      </c>
      <c r="N1018" s="797">
        <f t="shared" si="82"/>
        <v>70.040322580645125</v>
      </c>
      <c r="O1018" s="797">
        <f t="shared" si="83"/>
        <v>1445.0028169014086</v>
      </c>
      <c r="P1018" s="797">
        <f t="shared" si="84"/>
        <v>40.049045221240931</v>
      </c>
      <c r="Q1018" s="797">
        <f t="shared" si="85"/>
        <v>234</v>
      </c>
      <c r="R1018" s="797">
        <f t="shared" si="86"/>
        <v>234.66748408702068</v>
      </c>
      <c r="S1018" s="797">
        <f>[1]!taqsabet(O1018,C1018)</f>
        <v>234.66588215908416</v>
      </c>
      <c r="T1018" s="527"/>
      <c r="U1018" s="527">
        <v>7</v>
      </c>
      <c r="V1018" s="527">
        <v>21</v>
      </c>
      <c r="W1018" s="527">
        <v>53</v>
      </c>
      <c r="X1018" s="527"/>
      <c r="Y1018" s="527">
        <v>32</v>
      </c>
      <c r="Z1018" s="527">
        <v>48</v>
      </c>
      <c r="AA1018" s="527" t="s">
        <v>274</v>
      </c>
      <c r="AB1018" s="527">
        <v>4</v>
      </c>
      <c r="AC1018" s="527">
        <v>4</v>
      </c>
      <c r="AD1018" s="527" t="s">
        <v>2860</v>
      </c>
    </row>
    <row r="1019" spans="3:31">
      <c r="C1019" s="523">
        <v>949</v>
      </c>
      <c r="D1019" s="523">
        <v>18</v>
      </c>
      <c r="E1019" s="543" t="s">
        <v>3318</v>
      </c>
      <c r="F1019" s="523">
        <v>70</v>
      </c>
      <c r="G1019" s="523"/>
      <c r="H1019" s="523">
        <v>66</v>
      </c>
      <c r="I1019" s="523">
        <v>0</v>
      </c>
      <c r="J1019" s="523">
        <v>0</v>
      </c>
      <c r="K1019" s="523"/>
      <c r="L1019" s="797">
        <f>[1]!tsabetm(C1019)</f>
        <v>197.58333333333331</v>
      </c>
      <c r="M1019" s="797">
        <f>[1]!tsabetz(C1019)</f>
        <v>222.81666666666666</v>
      </c>
      <c r="N1019" s="797">
        <f t="shared" si="82"/>
        <v>68.837516512549499</v>
      </c>
      <c r="O1019" s="797">
        <f t="shared" si="83"/>
        <v>1445.0028169014086</v>
      </c>
      <c r="P1019" s="797">
        <f t="shared" si="84"/>
        <v>38.967912946881711</v>
      </c>
      <c r="Q1019" s="797">
        <f t="shared" si="85"/>
        <v>225</v>
      </c>
      <c r="R1019" s="797">
        <f t="shared" si="86"/>
        <v>225.64946521578136</v>
      </c>
      <c r="S1019" s="797">
        <f>[1]!taqsabet(O1019,C1019)</f>
        <v>225.64783529716851</v>
      </c>
      <c r="T1019" s="523"/>
      <c r="U1019" s="523">
        <v>7</v>
      </c>
      <c r="V1019" s="523">
        <v>12</v>
      </c>
      <c r="W1019" s="523">
        <v>49</v>
      </c>
      <c r="X1019" s="523"/>
      <c r="Y1019" s="523">
        <v>30</v>
      </c>
      <c r="Z1019" s="523">
        <v>48</v>
      </c>
      <c r="AA1019" s="523" t="s">
        <v>274</v>
      </c>
      <c r="AB1019" s="523">
        <v>3</v>
      </c>
      <c r="AC1019" s="523">
        <v>3</v>
      </c>
      <c r="AD1019" s="523" t="s">
        <v>2860</v>
      </c>
    </row>
    <row r="1020" spans="3:31">
      <c r="C1020" s="527">
        <v>950</v>
      </c>
      <c r="D1020" s="527">
        <v>19</v>
      </c>
      <c r="E1020" s="553" t="s">
        <v>3319</v>
      </c>
      <c r="F1020" s="527">
        <v>70</v>
      </c>
      <c r="G1020" s="527"/>
      <c r="H1020" s="527">
        <v>66</v>
      </c>
      <c r="I1020" s="527">
        <v>0</v>
      </c>
      <c r="J1020" s="527">
        <v>0</v>
      </c>
      <c r="K1020" s="527"/>
      <c r="L1020" s="797">
        <f>[1]!tsabetm(C1020)</f>
        <v>197.25</v>
      </c>
      <c r="M1020" s="797">
        <f>[1]!tsabetz(C1020)</f>
        <v>232.01666666666668</v>
      </c>
      <c r="N1020" s="797">
        <f t="shared" si="82"/>
        <v>49.961649089165846</v>
      </c>
      <c r="O1020" s="797">
        <f t="shared" si="83"/>
        <v>1445.0028169014086</v>
      </c>
      <c r="P1020" s="797">
        <f t="shared" si="84"/>
        <v>55.18300291096125</v>
      </c>
      <c r="Q1020" s="797">
        <f t="shared" si="85"/>
        <v>235</v>
      </c>
      <c r="R1020" s="797">
        <f t="shared" si="86"/>
        <v>235.91971671518269</v>
      </c>
      <c r="S1020" s="797">
        <f>[1]!taqsabet(O1020,C1020)</f>
        <v>235.91747100169101</v>
      </c>
      <c r="T1020" s="527"/>
      <c r="U1020" s="527">
        <v>7</v>
      </c>
      <c r="V1020" s="527">
        <v>22</v>
      </c>
      <c r="W1020" s="527">
        <v>1</v>
      </c>
      <c r="X1020" s="527"/>
      <c r="Y1020" s="527">
        <v>30</v>
      </c>
      <c r="Z1020" s="527">
        <v>0</v>
      </c>
      <c r="AA1020" s="527" t="s">
        <v>274</v>
      </c>
      <c r="AB1020" s="527">
        <v>4</v>
      </c>
      <c r="AC1020" s="527">
        <v>5</v>
      </c>
      <c r="AD1020" s="527" t="s">
        <v>2860</v>
      </c>
    </row>
    <row r="1021" spans="3:31">
      <c r="C1021" s="523">
        <v>951</v>
      </c>
      <c r="D1021" s="523">
        <v>20</v>
      </c>
      <c r="E1021" s="543" t="s">
        <v>2989</v>
      </c>
      <c r="F1021" s="523">
        <v>70</v>
      </c>
      <c r="G1021" s="523"/>
      <c r="H1021" s="523">
        <v>66</v>
      </c>
      <c r="I1021" s="523">
        <v>0</v>
      </c>
      <c r="J1021" s="523">
        <v>0</v>
      </c>
      <c r="K1021" s="523"/>
      <c r="L1021" s="797">
        <f>[1]!tsabetm(C1021)</f>
        <v>226.41666666666666</v>
      </c>
      <c r="M1021" s="797">
        <f>[1]!tsabetz(C1021)</f>
        <v>218.01666666666668</v>
      </c>
      <c r="N1021" s="797">
        <f t="shared" si="82"/>
        <v>4.9402730375426618</v>
      </c>
      <c r="O1021" s="797">
        <f t="shared" si="83"/>
        <v>1445.0028169014086</v>
      </c>
      <c r="P1021" s="797">
        <f t="shared" si="84"/>
        <v>29.324366926953189</v>
      </c>
      <c r="Q1021" s="797">
        <f t="shared" si="85"/>
        <v>257</v>
      </c>
      <c r="R1021" s="797">
        <f t="shared" si="86"/>
        <v>257.48873944878255</v>
      </c>
      <c r="S1021" s="797">
        <f>[1]!taqsabet(O1021,C1021)</f>
        <v>257.46602824465015</v>
      </c>
      <c r="T1021" s="523"/>
      <c r="U1021" s="523">
        <v>7</v>
      </c>
      <c r="V1021" s="523">
        <v>8</v>
      </c>
      <c r="W1021" s="523">
        <v>1</v>
      </c>
      <c r="X1021" s="523"/>
      <c r="Y1021" s="523">
        <v>34</v>
      </c>
      <c r="Z1021" s="523">
        <v>54</v>
      </c>
      <c r="AA1021" s="523" t="s">
        <v>274</v>
      </c>
      <c r="AB1021" s="523">
        <v>5</v>
      </c>
      <c r="AC1021" s="523">
        <v>5</v>
      </c>
      <c r="AD1021" s="523" t="s">
        <v>2860</v>
      </c>
    </row>
    <row r="1022" spans="3:31">
      <c r="C1022" s="527">
        <v>952</v>
      </c>
      <c r="D1022" s="527">
        <v>21</v>
      </c>
      <c r="E1022" s="553" t="s">
        <v>3320</v>
      </c>
      <c r="F1022" s="527">
        <v>70</v>
      </c>
      <c r="G1022" s="527"/>
      <c r="H1022" s="527">
        <v>66</v>
      </c>
      <c r="I1022" s="527">
        <v>0</v>
      </c>
      <c r="J1022" s="527">
        <v>0</v>
      </c>
      <c r="K1022" s="527"/>
      <c r="L1022" s="797">
        <f>[1]!tsabetm(C1022)</f>
        <v>191.75</v>
      </c>
      <c r="M1022" s="797">
        <f>[1]!tsabetz(C1022)</f>
        <v>214.11666666666667</v>
      </c>
      <c r="N1022" s="797">
        <f t="shared" si="82"/>
        <v>77.660208643815182</v>
      </c>
      <c r="O1022" s="797">
        <f t="shared" si="83"/>
        <v>1445.0028169014086</v>
      </c>
      <c r="P1022" s="797">
        <f t="shared" si="84"/>
        <v>37.658480300340216</v>
      </c>
      <c r="Q1022" s="797">
        <f t="shared" si="85"/>
        <v>216</v>
      </c>
      <c r="R1022" s="797">
        <f t="shared" si="86"/>
        <v>216.627641338339</v>
      </c>
      <c r="S1022" s="797">
        <f>[1]!taqsabet(O1022,C1022)</f>
        <v>216.62619658881562</v>
      </c>
      <c r="T1022" s="527"/>
      <c r="U1022" s="527">
        <v>7</v>
      </c>
      <c r="V1022" s="527">
        <v>4</v>
      </c>
      <c r="W1022" s="527">
        <v>7</v>
      </c>
      <c r="X1022" s="527"/>
      <c r="Y1022" s="527">
        <v>34</v>
      </c>
      <c r="Z1022" s="527">
        <v>42</v>
      </c>
      <c r="AA1022" s="527" t="s">
        <v>274</v>
      </c>
      <c r="AB1022" s="527">
        <v>5</v>
      </c>
      <c r="AC1022" s="527">
        <v>5</v>
      </c>
      <c r="AD1022" s="527" t="s">
        <v>2860</v>
      </c>
    </row>
    <row r="1023" spans="3:31">
      <c r="C1023" s="523">
        <v>953</v>
      </c>
      <c r="D1023" s="523">
        <v>22</v>
      </c>
      <c r="E1023" s="543" t="s">
        <v>3321</v>
      </c>
      <c r="F1023" s="523">
        <v>70</v>
      </c>
      <c r="G1023" s="523"/>
      <c r="H1023" s="523">
        <v>66</v>
      </c>
      <c r="I1023" s="523">
        <v>0</v>
      </c>
      <c r="J1023" s="523">
        <v>0</v>
      </c>
      <c r="K1023" s="523"/>
      <c r="L1023" s="797">
        <f>[1]!tsabetm(C1023)</f>
        <v>188.58333333333331</v>
      </c>
      <c r="M1023" s="797">
        <f>[1]!tsabetz(C1023)</f>
        <v>210.76666666666668</v>
      </c>
      <c r="N1023" s="797">
        <f t="shared" si="82"/>
        <v>78.302028549962316</v>
      </c>
      <c r="O1023" s="797">
        <f t="shared" si="83"/>
        <v>1445.0028169014086</v>
      </c>
      <c r="P1023" s="797">
        <f t="shared" si="84"/>
        <v>15.42357472410913</v>
      </c>
      <c r="Q1023" s="797">
        <f t="shared" si="85"/>
        <v>213</v>
      </c>
      <c r="R1023" s="797">
        <f t="shared" si="86"/>
        <v>213.25705957873515</v>
      </c>
      <c r="S1023" s="797">
        <f>[1]!taqsabet(O1023,C1023)</f>
        <v>213.25562667142094</v>
      </c>
      <c r="T1023" s="523"/>
      <c r="U1023" s="523">
        <v>7</v>
      </c>
      <c r="V1023" s="523">
        <v>0</v>
      </c>
      <c r="W1023" s="523">
        <v>46</v>
      </c>
      <c r="X1023" s="523"/>
      <c r="Y1023" s="523">
        <v>37</v>
      </c>
      <c r="Z1023" s="523">
        <v>40</v>
      </c>
      <c r="AA1023" s="523" t="s">
        <v>274</v>
      </c>
      <c r="AB1023" s="523">
        <v>5</v>
      </c>
      <c r="AC1023" s="523">
        <v>5</v>
      </c>
      <c r="AD1023" s="523" t="s">
        <v>2860</v>
      </c>
    </row>
    <row r="1024" spans="3:31">
      <c r="C1024" s="527">
        <v>954</v>
      </c>
      <c r="D1024" s="527">
        <v>23</v>
      </c>
      <c r="E1024" s="553" t="s">
        <v>3322</v>
      </c>
      <c r="F1024" s="527">
        <v>70</v>
      </c>
      <c r="G1024" s="527"/>
      <c r="H1024" s="527">
        <v>66</v>
      </c>
      <c r="I1024" s="527">
        <v>0</v>
      </c>
      <c r="J1024" s="527">
        <v>0</v>
      </c>
      <c r="K1024" s="527"/>
      <c r="L1024" s="797">
        <f>[1]!tsabetm(C1024)</f>
        <v>185.41666666666666</v>
      </c>
      <c r="M1024" s="797">
        <f>[1]!tsabetz(C1024)</f>
        <v>211.55</v>
      </c>
      <c r="N1024" s="797">
        <f t="shared" si="82"/>
        <v>66.466836734693828</v>
      </c>
      <c r="O1024" s="797">
        <f t="shared" si="83"/>
        <v>1445.0028169014086</v>
      </c>
      <c r="P1024" s="797">
        <f t="shared" si="84"/>
        <v>29.030176684750018</v>
      </c>
      <c r="Q1024" s="797">
        <f t="shared" si="85"/>
        <v>214</v>
      </c>
      <c r="R1024" s="797">
        <f t="shared" si="86"/>
        <v>214.48383627807917</v>
      </c>
      <c r="S1024" s="797">
        <f>[1]!taqsabet(O1024,C1024)</f>
        <v>214.48214822498474</v>
      </c>
      <c r="T1024" s="527"/>
      <c r="U1024" s="527">
        <v>7</v>
      </c>
      <c r="V1024" s="527">
        <v>1</v>
      </c>
      <c r="W1024" s="527">
        <v>33</v>
      </c>
      <c r="X1024" s="527"/>
      <c r="Y1024" s="527">
        <v>40</v>
      </c>
      <c r="Z1024" s="527">
        <v>0</v>
      </c>
      <c r="AA1024" s="527" t="s">
        <v>274</v>
      </c>
      <c r="AB1024" s="527">
        <v>4</v>
      </c>
      <c r="AC1024" s="527">
        <v>3</v>
      </c>
      <c r="AD1024" s="527" t="s">
        <v>2860</v>
      </c>
    </row>
    <row r="1025" spans="1:31">
      <c r="C1025" s="523">
        <v>955</v>
      </c>
      <c r="D1025" s="523">
        <v>24</v>
      </c>
      <c r="E1025" s="543" t="s">
        <v>3323</v>
      </c>
      <c r="F1025" s="523">
        <v>70</v>
      </c>
      <c r="G1025" s="523"/>
      <c r="H1025" s="523">
        <v>66</v>
      </c>
      <c r="I1025" s="523">
        <v>0</v>
      </c>
      <c r="J1025" s="523">
        <v>0</v>
      </c>
      <c r="K1025" s="523"/>
      <c r="L1025" s="797">
        <f>[1]!tsabetm(C1025)</f>
        <v>184.58333333333331</v>
      </c>
      <c r="M1025" s="797">
        <f>[1]!tsabetz(C1025)</f>
        <v>210.71666666666667</v>
      </c>
      <c r="N1025" s="797">
        <f t="shared" si="82"/>
        <v>66.466836734693828</v>
      </c>
      <c r="O1025" s="797">
        <f t="shared" si="83"/>
        <v>1445.0028169014086</v>
      </c>
      <c r="P1025" s="797">
        <f t="shared" si="84"/>
        <v>39.030176684749449</v>
      </c>
      <c r="Q1025" s="797">
        <f t="shared" si="85"/>
        <v>213</v>
      </c>
      <c r="R1025" s="797">
        <f t="shared" si="86"/>
        <v>213.65050294474582</v>
      </c>
      <c r="S1025" s="797">
        <f>[1]!taqsabet(O1025,C1025)</f>
        <v>213.6488148916514</v>
      </c>
      <c r="T1025" s="523"/>
      <c r="U1025" s="523">
        <v>7</v>
      </c>
      <c r="V1025" s="523">
        <v>0</v>
      </c>
      <c r="W1025" s="523">
        <v>43</v>
      </c>
      <c r="X1025" s="523"/>
      <c r="Y1025" s="523">
        <v>40</v>
      </c>
      <c r="Z1025" s="523">
        <v>20</v>
      </c>
      <c r="AA1025" s="523" t="s">
        <v>274</v>
      </c>
      <c r="AB1025" s="523">
        <v>5</v>
      </c>
      <c r="AC1025" s="523">
        <v>4</v>
      </c>
      <c r="AD1025" s="523" t="s">
        <v>2860</v>
      </c>
    </row>
    <row r="1026" spans="1:31">
      <c r="C1026" s="527">
        <v>956</v>
      </c>
      <c r="D1026" s="527">
        <v>25</v>
      </c>
      <c r="E1026" s="553" t="s">
        <v>3324</v>
      </c>
      <c r="F1026" s="527">
        <v>70</v>
      </c>
      <c r="G1026" s="527"/>
      <c r="H1026" s="527">
        <v>66</v>
      </c>
      <c r="I1026" s="527">
        <v>0</v>
      </c>
      <c r="J1026" s="527">
        <v>0</v>
      </c>
      <c r="K1026" s="527"/>
      <c r="L1026" s="797">
        <f>[1]!tsabetm(C1026)</f>
        <v>182.25</v>
      </c>
      <c r="M1026" s="797">
        <f>[1]!tsabetz(C1026)</f>
        <v>208.38333333333333</v>
      </c>
      <c r="N1026" s="797">
        <f t="shared" si="82"/>
        <v>66.466836734693899</v>
      </c>
      <c r="O1026" s="797">
        <f t="shared" si="83"/>
        <v>1445.0028169014086</v>
      </c>
      <c r="P1026" s="797">
        <f t="shared" si="84"/>
        <v>19.030176684748881</v>
      </c>
      <c r="Q1026" s="797">
        <f t="shared" si="85"/>
        <v>211</v>
      </c>
      <c r="R1026" s="797">
        <f t="shared" si="86"/>
        <v>211.31716961141248</v>
      </c>
      <c r="S1026" s="797">
        <f>[1]!taqsabet(O1026,C1026)</f>
        <v>211.31548155831806</v>
      </c>
      <c r="T1026" s="527"/>
      <c r="U1026" s="527">
        <v>6</v>
      </c>
      <c r="V1026" s="527">
        <v>28</v>
      </c>
      <c r="W1026" s="527">
        <v>23</v>
      </c>
      <c r="X1026" s="527"/>
      <c r="Y1026" s="527">
        <v>41</v>
      </c>
      <c r="Z1026" s="527">
        <v>0</v>
      </c>
      <c r="AA1026" s="527" t="s">
        <v>274</v>
      </c>
      <c r="AB1026" s="527">
        <v>5</v>
      </c>
      <c r="AC1026" s="527">
        <v>5</v>
      </c>
      <c r="AD1026" s="527" t="s">
        <v>2860</v>
      </c>
    </row>
    <row r="1027" spans="1:31">
      <c r="C1027" s="523">
        <v>957</v>
      </c>
      <c r="D1027" s="523">
        <v>26</v>
      </c>
      <c r="E1027" s="543" t="s">
        <v>3325</v>
      </c>
      <c r="F1027" s="523">
        <v>70</v>
      </c>
      <c r="G1027" s="523"/>
      <c r="H1027" s="523">
        <v>66</v>
      </c>
      <c r="I1027" s="523">
        <v>0</v>
      </c>
      <c r="J1027" s="523">
        <v>0</v>
      </c>
      <c r="K1027" s="523"/>
      <c r="L1027" s="797">
        <f>[1]!tsabetm(C1027)</f>
        <v>182.25</v>
      </c>
      <c r="M1027" s="797">
        <f>[1]!tsabetz(C1027)</f>
        <v>208.55</v>
      </c>
      <c r="N1027" s="797">
        <f t="shared" si="82"/>
        <v>66.045627376425827</v>
      </c>
      <c r="O1027" s="797">
        <f t="shared" si="83"/>
        <v>1445.0028169014086</v>
      </c>
      <c r="P1027" s="797">
        <f t="shared" si="84"/>
        <v>30.152818117688298</v>
      </c>
      <c r="Q1027" s="797">
        <f t="shared" si="85"/>
        <v>211</v>
      </c>
      <c r="R1027" s="797">
        <f t="shared" si="86"/>
        <v>211.50254696862814</v>
      </c>
      <c r="S1027" s="797">
        <f>[1]!taqsabet(O1027,C1027)</f>
        <v>211.50084814988898</v>
      </c>
      <c r="T1027" s="523"/>
      <c r="U1027" s="523">
        <v>6</v>
      </c>
      <c r="V1027" s="523">
        <v>28</v>
      </c>
      <c r="W1027" s="523">
        <v>33</v>
      </c>
      <c r="X1027" s="523"/>
      <c r="Y1027" s="523">
        <v>46</v>
      </c>
      <c r="Z1027" s="523">
        <v>10</v>
      </c>
      <c r="AA1027" s="523" t="s">
        <v>274</v>
      </c>
      <c r="AB1027" s="523">
        <v>3</v>
      </c>
      <c r="AC1027" s="523">
        <v>3</v>
      </c>
      <c r="AD1027" s="523" t="s">
        <v>2860</v>
      </c>
    </row>
    <row r="1028" spans="1:31">
      <c r="C1028" s="527">
        <v>958</v>
      </c>
      <c r="D1028" s="527">
        <v>27</v>
      </c>
      <c r="E1028" s="553" t="s">
        <v>3326</v>
      </c>
      <c r="F1028" s="527">
        <v>70</v>
      </c>
      <c r="G1028" s="527"/>
      <c r="H1028" s="527">
        <v>66</v>
      </c>
      <c r="I1028" s="527">
        <v>0</v>
      </c>
      <c r="J1028" s="527">
        <v>0</v>
      </c>
      <c r="K1028" s="527"/>
      <c r="L1028" s="797">
        <f>[1]!tsabetm(C1028)</f>
        <v>183.08333333333331</v>
      </c>
      <c r="M1028" s="797">
        <f>[1]!tsabetz(C1028)</f>
        <v>209.21666666666667</v>
      </c>
      <c r="N1028" s="797">
        <f t="shared" si="82"/>
        <v>66.466836734693828</v>
      </c>
      <c r="O1028" s="797">
        <f t="shared" si="83"/>
        <v>1445.0028169014086</v>
      </c>
      <c r="P1028" s="797">
        <f t="shared" si="84"/>
        <v>9.0301766847494491</v>
      </c>
      <c r="Q1028" s="797">
        <f t="shared" si="85"/>
        <v>212</v>
      </c>
      <c r="R1028" s="797">
        <f t="shared" si="86"/>
        <v>212.15050294474582</v>
      </c>
      <c r="S1028" s="797">
        <f>[1]!taqsabet(O1028,C1028)</f>
        <v>212.1488148916514</v>
      </c>
      <c r="T1028" s="527"/>
      <c r="U1028" s="527">
        <v>6</v>
      </c>
      <c r="V1028" s="527">
        <v>29</v>
      </c>
      <c r="W1028" s="527">
        <v>13</v>
      </c>
      <c r="X1028" s="527"/>
      <c r="Y1028" s="527">
        <v>46</v>
      </c>
      <c r="Z1028" s="527">
        <v>45</v>
      </c>
      <c r="AA1028" s="527" t="s">
        <v>274</v>
      </c>
      <c r="AB1028" s="527">
        <v>4</v>
      </c>
      <c r="AC1028" s="527">
        <v>4</v>
      </c>
      <c r="AD1028" s="527" t="s">
        <v>2860</v>
      </c>
    </row>
    <row r="1029" spans="1:31">
      <c r="C1029" s="523">
        <v>959</v>
      </c>
      <c r="D1029" s="523">
        <v>28</v>
      </c>
      <c r="E1029" s="543" t="s">
        <v>3327</v>
      </c>
      <c r="F1029" s="523">
        <v>70</v>
      </c>
      <c r="G1029" s="523"/>
      <c r="H1029" s="523">
        <v>66</v>
      </c>
      <c r="I1029" s="523">
        <v>0</v>
      </c>
      <c r="J1029" s="523">
        <v>0</v>
      </c>
      <c r="K1029" s="523"/>
      <c r="L1029" s="797">
        <f>[1]!tsabetm(C1029)</f>
        <v>197.91666666666666</v>
      </c>
      <c r="M1029" s="797">
        <f>[1]!tsabetz(C1029)</f>
        <v>224.05</v>
      </c>
      <c r="N1029" s="797">
        <f t="shared" si="82"/>
        <v>66.466836734693828</v>
      </c>
      <c r="O1029" s="797">
        <f t="shared" si="83"/>
        <v>1445.0028169014086</v>
      </c>
      <c r="P1029" s="797">
        <f t="shared" si="84"/>
        <v>59.030176684750018</v>
      </c>
      <c r="Q1029" s="797">
        <f t="shared" si="85"/>
        <v>226</v>
      </c>
      <c r="R1029" s="797">
        <f t="shared" si="86"/>
        <v>226.98383627807917</v>
      </c>
      <c r="S1029" s="797">
        <f>[1]!taqsabet(O1029,C1029)</f>
        <v>226.98214822498474</v>
      </c>
      <c r="T1029" s="523"/>
      <c r="U1029" s="523">
        <v>7</v>
      </c>
      <c r="V1029" s="523">
        <v>14</v>
      </c>
      <c r="W1029" s="523">
        <v>3</v>
      </c>
      <c r="X1029" s="523"/>
      <c r="Y1029" s="523">
        <v>40</v>
      </c>
      <c r="Z1029" s="523">
        <v>45</v>
      </c>
      <c r="AA1029" s="523" t="s">
        <v>274</v>
      </c>
      <c r="AB1029" s="523">
        <v>4</v>
      </c>
      <c r="AC1029" s="523">
        <v>4</v>
      </c>
      <c r="AD1029" s="523" t="s">
        <v>2860</v>
      </c>
    </row>
    <row r="1030" spans="1:31">
      <c r="C1030" s="527">
        <v>960</v>
      </c>
      <c r="D1030" s="527">
        <v>29</v>
      </c>
      <c r="E1030" s="553" t="s">
        <v>3328</v>
      </c>
      <c r="F1030" s="527">
        <v>70</v>
      </c>
      <c r="G1030" s="527"/>
      <c r="H1030" s="527">
        <v>66</v>
      </c>
      <c r="I1030" s="527">
        <v>0</v>
      </c>
      <c r="J1030" s="527">
        <v>0</v>
      </c>
      <c r="K1030" s="527"/>
      <c r="L1030" s="797">
        <f>[1]!tsabetm(C1030)</f>
        <v>195.91666666666666</v>
      </c>
      <c r="M1030" s="797">
        <f>[1]!tsabetz(C1030)</f>
        <v>222.05</v>
      </c>
      <c r="N1030" s="797">
        <f t="shared" si="82"/>
        <v>66.466836734693828</v>
      </c>
      <c r="O1030" s="797">
        <f t="shared" si="83"/>
        <v>1445.0028169014086</v>
      </c>
      <c r="P1030" s="797">
        <f t="shared" si="84"/>
        <v>59.030176684750018</v>
      </c>
      <c r="Q1030" s="797">
        <f t="shared" si="85"/>
        <v>224</v>
      </c>
      <c r="R1030" s="797">
        <f t="shared" si="86"/>
        <v>224.98383627807917</v>
      </c>
      <c r="S1030" s="797">
        <f>[1]!taqsabet(O1030,C1030)</f>
        <v>224.98214822498474</v>
      </c>
      <c r="T1030" s="527"/>
      <c r="U1030" s="527">
        <v>7</v>
      </c>
      <c r="V1030" s="527">
        <v>12</v>
      </c>
      <c r="W1030" s="527">
        <v>3</v>
      </c>
      <c r="X1030" s="527"/>
      <c r="Y1030" s="527">
        <v>43</v>
      </c>
      <c r="Z1030" s="527">
        <v>0</v>
      </c>
      <c r="AA1030" s="527" t="s">
        <v>274</v>
      </c>
      <c r="AB1030" s="527">
        <v>2</v>
      </c>
      <c r="AC1030" s="527">
        <v>2</v>
      </c>
      <c r="AD1030" s="527" t="s">
        <v>2860</v>
      </c>
    </row>
    <row r="1031" spans="1:31">
      <c r="C1031" s="523">
        <v>961</v>
      </c>
      <c r="D1031" s="523">
        <v>30</v>
      </c>
      <c r="E1031" s="543" t="s">
        <v>3329</v>
      </c>
      <c r="F1031" s="523">
        <v>70</v>
      </c>
      <c r="G1031" s="523"/>
      <c r="H1031" s="523">
        <v>66</v>
      </c>
      <c r="I1031" s="523">
        <v>0</v>
      </c>
      <c r="J1031" s="523">
        <v>0</v>
      </c>
      <c r="K1031" s="523"/>
      <c r="L1031" s="797">
        <f>[1]!tsabetm(C1031)</f>
        <v>202.25</v>
      </c>
      <c r="M1031" s="797">
        <f>[1]!tsabetz(C1031)</f>
        <v>223.38333333333333</v>
      </c>
      <c r="N1031" s="797">
        <f t="shared" ref="N1031:N1094" si="87">(1697+40)/((IF(M1031-L1031&gt;0,M1031-L1031,M1031+360-L1031)))</f>
        <v>82.192429022082052</v>
      </c>
      <c r="O1031" s="797">
        <f t="shared" si="83"/>
        <v>1445.0028169014086</v>
      </c>
      <c r="P1031" s="797">
        <f t="shared" si="84"/>
        <v>45.350933696595348</v>
      </c>
      <c r="Q1031" s="797">
        <f t="shared" si="85"/>
        <v>225</v>
      </c>
      <c r="R1031" s="797">
        <f t="shared" si="86"/>
        <v>225.75584889494326</v>
      </c>
      <c r="S1031" s="797">
        <f>[1]!taqsabet(O1031,C1031)</f>
        <v>225.75448381119088</v>
      </c>
      <c r="T1031" s="523"/>
      <c r="U1031" s="523">
        <v>7</v>
      </c>
      <c r="V1031" s="523">
        <v>13</v>
      </c>
      <c r="W1031" s="523">
        <v>23</v>
      </c>
      <c r="X1031" s="523"/>
      <c r="Y1031" s="523">
        <v>43</v>
      </c>
      <c r="Z1031" s="523">
        <v>45</v>
      </c>
      <c r="AA1031" s="523" t="s">
        <v>274</v>
      </c>
      <c r="AB1031" s="523">
        <v>3</v>
      </c>
      <c r="AC1031" s="523">
        <v>3</v>
      </c>
      <c r="AD1031" s="523" t="s">
        <v>2860</v>
      </c>
    </row>
    <row r="1032" spans="1:31">
      <c r="C1032" s="527">
        <v>962</v>
      </c>
      <c r="D1032" s="527">
        <v>31</v>
      </c>
      <c r="E1032" s="553" t="s">
        <v>3229</v>
      </c>
      <c r="F1032" s="527">
        <v>70</v>
      </c>
      <c r="G1032" s="527"/>
      <c r="H1032" s="527">
        <v>66</v>
      </c>
      <c r="I1032" s="527">
        <v>0</v>
      </c>
      <c r="J1032" s="527">
        <v>0</v>
      </c>
      <c r="K1032" s="527"/>
      <c r="L1032" s="797">
        <f>[1]!tsabetm(C1032)</f>
        <v>189.58333333333331</v>
      </c>
      <c r="M1032" s="797">
        <f>[1]!tsabetz(C1032)</f>
        <v>215.71666666666667</v>
      </c>
      <c r="N1032" s="797">
        <f t="shared" si="87"/>
        <v>66.466836734693828</v>
      </c>
      <c r="O1032" s="797">
        <f t="shared" ref="O1032:O1095" si="88">O1031</f>
        <v>1445.0028169014086</v>
      </c>
      <c r="P1032" s="797">
        <f t="shared" ref="P1032:P1095" si="89">(R1032-Q1032)*60</f>
        <v>39.030176684749449</v>
      </c>
      <c r="Q1032" s="797">
        <f t="shared" ref="Q1032:Q1095" si="90">INT(R1032)</f>
        <v>218</v>
      </c>
      <c r="R1032" s="797">
        <f t="shared" ref="R1032:R1095" si="91">((O1032-1250)/(N1032))+M1032</f>
        <v>218.65050294474582</v>
      </c>
      <c r="S1032" s="797">
        <f>[1]!taqsabet(O1032,C1032)</f>
        <v>218.6488148916514</v>
      </c>
      <c r="T1032" s="527"/>
      <c r="U1032" s="527">
        <v>7</v>
      </c>
      <c r="V1032" s="527">
        <v>5</v>
      </c>
      <c r="W1032" s="527">
        <v>43</v>
      </c>
      <c r="X1032" s="527"/>
      <c r="Y1032" s="527">
        <v>51</v>
      </c>
      <c r="Z1032" s="527">
        <v>10</v>
      </c>
      <c r="AA1032" s="527" t="s">
        <v>274</v>
      </c>
      <c r="AB1032" s="527">
        <v>3</v>
      </c>
      <c r="AC1032" s="527">
        <v>2</v>
      </c>
      <c r="AD1032" s="527" t="s">
        <v>2860</v>
      </c>
    </row>
    <row r="1033" spans="1:31">
      <c r="C1033" s="523">
        <v>963</v>
      </c>
      <c r="D1033" s="523">
        <v>32</v>
      </c>
      <c r="E1033" s="543" t="s">
        <v>3330</v>
      </c>
      <c r="F1033" s="523">
        <v>70</v>
      </c>
      <c r="G1033" s="523"/>
      <c r="H1033" s="523">
        <v>66</v>
      </c>
      <c r="I1033" s="523">
        <v>0</v>
      </c>
      <c r="J1033" s="523">
        <v>0</v>
      </c>
      <c r="K1033" s="523" t="s">
        <v>3862</v>
      </c>
      <c r="L1033" s="797">
        <f>[1]!tsabetm(C1033)</f>
        <v>194.91666666666666</v>
      </c>
      <c r="M1033" s="797">
        <f>[1]!tsabetz(C1033)</f>
        <v>221.05</v>
      </c>
      <c r="N1033" s="797">
        <f t="shared" si="87"/>
        <v>66.466836734693828</v>
      </c>
      <c r="O1033" s="797">
        <f t="shared" si="88"/>
        <v>1445.0028169014086</v>
      </c>
      <c r="P1033" s="797">
        <f t="shared" si="89"/>
        <v>59.030176684750018</v>
      </c>
      <c r="Q1033" s="797">
        <f t="shared" si="90"/>
        <v>223</v>
      </c>
      <c r="R1033" s="797">
        <f t="shared" si="91"/>
        <v>223.98383627807917</v>
      </c>
      <c r="S1033" s="797">
        <f>[1]!taqsabet(O1033,C1033)</f>
        <v>223.98214822498474</v>
      </c>
      <c r="T1033" s="523"/>
      <c r="U1033" s="523">
        <v>7</v>
      </c>
      <c r="V1033" s="523">
        <v>1</v>
      </c>
      <c r="W1033" s="523">
        <v>3</v>
      </c>
      <c r="X1033" s="523"/>
      <c r="Y1033" s="523">
        <v>51</v>
      </c>
      <c r="Z1033" s="523">
        <v>40</v>
      </c>
      <c r="AA1033" s="523" t="s">
        <v>274</v>
      </c>
      <c r="AB1033" s="523">
        <v>2</v>
      </c>
      <c r="AC1033" s="523">
        <v>2</v>
      </c>
      <c r="AD1033" s="523" t="s">
        <v>2860</v>
      </c>
    </row>
    <row r="1034" spans="1:31">
      <c r="C1034" s="527">
        <v>964</v>
      </c>
      <c r="D1034" s="527">
        <v>33</v>
      </c>
      <c r="E1034" s="553" t="s">
        <v>3331</v>
      </c>
      <c r="F1034" s="527">
        <v>70</v>
      </c>
      <c r="G1034" s="527"/>
      <c r="H1034" s="527">
        <v>66</v>
      </c>
      <c r="I1034" s="527">
        <v>0</v>
      </c>
      <c r="J1034" s="527">
        <v>0</v>
      </c>
      <c r="K1034" s="527"/>
      <c r="L1034" s="797">
        <f>[1]!tsabetm(C1034)</f>
        <v>185.91666666666666</v>
      </c>
      <c r="M1034" s="797">
        <f>[1]!tsabetz(C1034)</f>
        <v>212.05</v>
      </c>
      <c r="N1034" s="797">
        <f t="shared" si="87"/>
        <v>66.466836734693828</v>
      </c>
      <c r="O1034" s="797">
        <f t="shared" si="88"/>
        <v>1445.0028169014086</v>
      </c>
      <c r="P1034" s="797">
        <f t="shared" si="89"/>
        <v>59.030176684750018</v>
      </c>
      <c r="Q1034" s="797">
        <f t="shared" si="90"/>
        <v>214</v>
      </c>
      <c r="R1034" s="797">
        <f t="shared" si="91"/>
        <v>214.98383627807917</v>
      </c>
      <c r="S1034" s="797">
        <f>[1]!taqsabet(O1034,C1034)</f>
        <v>214.98214822498474</v>
      </c>
      <c r="T1034" s="527"/>
      <c r="U1034" s="527">
        <v>7</v>
      </c>
      <c r="V1034" s="527">
        <v>2</v>
      </c>
      <c r="W1034" s="527">
        <v>3</v>
      </c>
      <c r="X1034" s="527"/>
      <c r="Y1034" s="527">
        <v>55</v>
      </c>
      <c r="Z1034" s="527">
        <v>10</v>
      </c>
      <c r="AA1034" s="527" t="s">
        <v>274</v>
      </c>
      <c r="AB1034" s="527">
        <v>3</v>
      </c>
      <c r="AC1034" s="527">
        <v>4</v>
      </c>
      <c r="AD1034" s="527" t="s">
        <v>2860</v>
      </c>
    </row>
    <row r="1035" spans="1:31">
      <c r="C1035" s="523">
        <v>965</v>
      </c>
      <c r="D1035" s="523">
        <v>34</v>
      </c>
      <c r="E1035" s="543" t="s">
        <v>3332</v>
      </c>
      <c r="F1035" s="523">
        <v>70</v>
      </c>
      <c r="G1035" s="523"/>
      <c r="H1035" s="523">
        <v>66</v>
      </c>
      <c r="I1035" s="523">
        <v>0</v>
      </c>
      <c r="J1035" s="523">
        <v>0</v>
      </c>
      <c r="K1035" s="523"/>
      <c r="L1035" s="797">
        <f>[1]!tsabetm(C1035)</f>
        <v>190.75</v>
      </c>
      <c r="M1035" s="797">
        <f>[1]!tsabetz(C1035)</f>
        <v>216.88333333333333</v>
      </c>
      <c r="N1035" s="797">
        <f t="shared" si="87"/>
        <v>66.466836734693899</v>
      </c>
      <c r="O1035" s="797">
        <f t="shared" si="88"/>
        <v>1445.0028169014086</v>
      </c>
      <c r="P1035" s="797">
        <f t="shared" si="89"/>
        <v>49.030176684748881</v>
      </c>
      <c r="Q1035" s="797">
        <f t="shared" si="90"/>
        <v>219</v>
      </c>
      <c r="R1035" s="797">
        <f t="shared" si="91"/>
        <v>219.81716961141248</v>
      </c>
      <c r="S1035" s="797">
        <f>[1]!taqsabet(O1035,C1035)</f>
        <v>219.81548155831806</v>
      </c>
      <c r="T1035" s="523"/>
      <c r="U1035" s="523">
        <v>7</v>
      </c>
      <c r="V1035" s="523">
        <v>6</v>
      </c>
      <c r="W1035" s="523">
        <v>53</v>
      </c>
      <c r="X1035" s="523"/>
      <c r="Y1035" s="523">
        <v>55</v>
      </c>
      <c r="Z1035" s="523">
        <v>20</v>
      </c>
      <c r="AA1035" s="523" t="s">
        <v>274</v>
      </c>
      <c r="AB1035" s="523">
        <v>2</v>
      </c>
      <c r="AC1035" s="523">
        <v>2</v>
      </c>
      <c r="AD1035" s="523" t="s">
        <v>2860</v>
      </c>
    </row>
    <row r="1036" spans="1:31">
      <c r="C1036" s="527">
        <v>966</v>
      </c>
      <c r="D1036" s="527">
        <v>35</v>
      </c>
      <c r="E1036" s="553" t="s">
        <v>3333</v>
      </c>
      <c r="F1036" s="527">
        <v>70</v>
      </c>
      <c r="G1036" s="527"/>
      <c r="H1036" s="527">
        <v>68</v>
      </c>
      <c r="I1036" s="527">
        <v>0</v>
      </c>
      <c r="J1036" s="527">
        <v>15</v>
      </c>
      <c r="K1036" s="527" t="s">
        <v>3334</v>
      </c>
      <c r="L1036" s="797">
        <f>[1]!tsabetm(C1036)</f>
        <v>187.91666666666666</v>
      </c>
      <c r="M1036" s="797">
        <f>[1]!tsabetz(C1036)</f>
        <v>214.05</v>
      </c>
      <c r="N1036" s="797">
        <f t="shared" si="87"/>
        <v>66.466836734693828</v>
      </c>
      <c r="O1036" s="797">
        <f t="shared" si="88"/>
        <v>1445.0028169014086</v>
      </c>
      <c r="P1036" s="797">
        <f t="shared" si="89"/>
        <v>59.030176684750018</v>
      </c>
      <c r="Q1036" s="797">
        <f t="shared" si="90"/>
        <v>216</v>
      </c>
      <c r="R1036" s="797">
        <f t="shared" si="91"/>
        <v>216.98383627807917</v>
      </c>
      <c r="S1036" s="797">
        <f>[1]!taqsabet(O1036,C1036)</f>
        <v>216.98214822498474</v>
      </c>
      <c r="T1036" s="527"/>
      <c r="U1036" s="527">
        <v>7</v>
      </c>
      <c r="V1036" s="527">
        <v>4</v>
      </c>
      <c r="W1036" s="527">
        <v>3</v>
      </c>
      <c r="X1036" s="527"/>
      <c r="Y1036" s="527">
        <v>41</v>
      </c>
      <c r="Z1036" s="527">
        <v>10</v>
      </c>
      <c r="AA1036" s="527" t="s">
        <v>274</v>
      </c>
      <c r="AB1036" s="527">
        <v>1</v>
      </c>
      <c r="AC1036" s="527">
        <v>1</v>
      </c>
      <c r="AD1036" s="527" t="s">
        <v>2860</v>
      </c>
    </row>
    <row r="1037" spans="1:31">
      <c r="C1037" s="523">
        <v>967</v>
      </c>
      <c r="D1037" s="523">
        <v>36</v>
      </c>
      <c r="E1037" s="543" t="s">
        <v>3335</v>
      </c>
      <c r="F1037" s="523">
        <v>70</v>
      </c>
      <c r="G1037" s="523"/>
      <c r="H1037" s="523">
        <v>66</v>
      </c>
      <c r="I1037" s="523">
        <v>0</v>
      </c>
      <c r="J1037" s="523">
        <v>0</v>
      </c>
      <c r="K1037" s="523"/>
      <c r="L1037" s="797">
        <f>[1]!tsabetm(C1037)</f>
        <v>203.75</v>
      </c>
      <c r="M1037" s="797">
        <f>[1]!tsabetz(C1037)</f>
        <v>229.88333333333333</v>
      </c>
      <c r="N1037" s="797">
        <f t="shared" si="87"/>
        <v>66.466836734693899</v>
      </c>
      <c r="O1037" s="797">
        <f t="shared" si="88"/>
        <v>1445.0028169014086</v>
      </c>
      <c r="P1037" s="797">
        <f t="shared" si="89"/>
        <v>49.030176684748881</v>
      </c>
      <c r="Q1037" s="797">
        <f t="shared" si="90"/>
        <v>232</v>
      </c>
      <c r="R1037" s="797">
        <f t="shared" si="91"/>
        <v>232.81716961141248</v>
      </c>
      <c r="S1037" s="797">
        <f>[1]!taqsabet(O1037,C1037)</f>
        <v>232.81548155831806</v>
      </c>
      <c r="T1037" s="523"/>
      <c r="U1037" s="523">
        <v>7</v>
      </c>
      <c r="V1037" s="523">
        <v>19</v>
      </c>
      <c r="W1037" s="523">
        <v>53</v>
      </c>
      <c r="X1037" s="523"/>
      <c r="Y1037" s="523">
        <v>45</v>
      </c>
      <c r="Z1037" s="523">
        <v>20</v>
      </c>
      <c r="AA1037" s="523" t="s">
        <v>274</v>
      </c>
      <c r="AB1037" s="523">
        <v>2</v>
      </c>
      <c r="AC1037" s="523">
        <v>2</v>
      </c>
      <c r="AD1037" s="523" t="s">
        <v>2860</v>
      </c>
    </row>
    <row r="1038" spans="1:31">
      <c r="C1038" s="527">
        <v>968</v>
      </c>
      <c r="D1038" s="527">
        <v>37</v>
      </c>
      <c r="E1038" s="553" t="s">
        <v>3336</v>
      </c>
      <c r="F1038" s="527">
        <v>70</v>
      </c>
      <c r="G1038" s="527"/>
      <c r="H1038" s="527">
        <v>66</v>
      </c>
      <c r="I1038" s="527">
        <v>0</v>
      </c>
      <c r="J1038" s="527">
        <v>0</v>
      </c>
      <c r="K1038" s="527"/>
      <c r="L1038" s="797">
        <f>[1]!tsabetm(C1038)</f>
        <v>194.25</v>
      </c>
      <c r="M1038" s="797">
        <f>[1]!tsabetz(C1038)</f>
        <v>220.38333333333333</v>
      </c>
      <c r="N1038" s="797">
        <f t="shared" si="87"/>
        <v>66.466836734693899</v>
      </c>
      <c r="O1038" s="797">
        <f t="shared" si="88"/>
        <v>1445.0028169014086</v>
      </c>
      <c r="P1038" s="797">
        <f t="shared" si="89"/>
        <v>19.030176684748881</v>
      </c>
      <c r="Q1038" s="797">
        <f t="shared" si="90"/>
        <v>223</v>
      </c>
      <c r="R1038" s="797">
        <f t="shared" si="91"/>
        <v>223.31716961141248</v>
      </c>
      <c r="S1038" s="797">
        <f>[1]!taqsabet(O1038,C1038)</f>
        <v>223.31548155831806</v>
      </c>
      <c r="T1038" s="527"/>
      <c r="U1038" s="527">
        <v>7</v>
      </c>
      <c r="V1038" s="527">
        <v>10</v>
      </c>
      <c r="W1038" s="527">
        <v>23</v>
      </c>
      <c r="X1038" s="527"/>
      <c r="Y1038" s="527">
        <v>49</v>
      </c>
      <c r="Z1038" s="527">
        <v>10</v>
      </c>
      <c r="AA1038" s="527" t="s">
        <v>274</v>
      </c>
      <c r="AB1038" s="527">
        <v>4</v>
      </c>
      <c r="AC1038" s="527">
        <v>4</v>
      </c>
      <c r="AD1038" s="527" t="s">
        <v>2860</v>
      </c>
      <c r="AE1038" s="327">
        <v>615</v>
      </c>
    </row>
    <row r="1039" spans="1:31">
      <c r="C1039" s="546"/>
      <c r="D1039" s="546"/>
      <c r="E1039" s="546"/>
      <c r="F1039" s="546"/>
      <c r="G1039" s="546"/>
      <c r="H1039" s="546"/>
      <c r="I1039" s="546"/>
      <c r="J1039" s="546"/>
      <c r="K1039" s="546"/>
      <c r="N1039" s="797">
        <f t="shared" si="87"/>
        <v>4.8250000000000002</v>
      </c>
      <c r="O1039" s="797">
        <f t="shared" si="88"/>
        <v>1445.0028169014086</v>
      </c>
      <c r="P1039" s="797">
        <f t="shared" si="89"/>
        <v>24.905495147049237</v>
      </c>
      <c r="Q1039" s="797">
        <f t="shared" si="90"/>
        <v>40</v>
      </c>
      <c r="R1039" s="797">
        <f t="shared" si="91"/>
        <v>40.415091585784154</v>
      </c>
      <c r="S1039" s="797">
        <f>[1]!taqsabet(O1039,C1039)</f>
        <v>1.4716840899636423</v>
      </c>
      <c r="T1039" s="546"/>
      <c r="U1039" s="546"/>
      <c r="V1039" s="546"/>
      <c r="W1039" s="546"/>
      <c r="X1039" s="546"/>
      <c r="Y1039" s="546"/>
      <c r="Z1039" s="546"/>
      <c r="AA1039" s="546"/>
      <c r="AB1039" s="546"/>
      <c r="AC1039" s="546"/>
      <c r="AD1039" s="546"/>
    </row>
    <row r="1040" spans="1:31">
      <c r="A1040" s="567">
        <v>12</v>
      </c>
      <c r="B1040" s="536" t="s">
        <v>3337</v>
      </c>
      <c r="C1040" s="522">
        <v>969</v>
      </c>
      <c r="D1040" s="522">
        <v>1</v>
      </c>
      <c r="E1040" s="550" t="s">
        <v>3338</v>
      </c>
      <c r="F1040" s="522">
        <v>70</v>
      </c>
      <c r="G1040" s="522"/>
      <c r="H1040" s="522">
        <v>66</v>
      </c>
      <c r="I1040" s="522">
        <v>0</v>
      </c>
      <c r="J1040" s="522">
        <v>0</v>
      </c>
      <c r="K1040" s="522"/>
      <c r="L1040" s="797">
        <f>[1]!tsabetm(C1040)</f>
        <v>207.58333333333331</v>
      </c>
      <c r="M1040" s="797">
        <f>[1]!tsabetz(C1040)</f>
        <v>233.2</v>
      </c>
      <c r="N1040" s="797">
        <f t="shared" si="87"/>
        <v>67.807417046193862</v>
      </c>
      <c r="O1040" s="797">
        <f t="shared" si="88"/>
        <v>1445.0028169014086</v>
      </c>
      <c r="P1040" s="797">
        <f t="shared" si="89"/>
        <v>4.5499882426389604</v>
      </c>
      <c r="Q1040" s="797">
        <f t="shared" si="90"/>
        <v>236</v>
      </c>
      <c r="R1040" s="797">
        <f t="shared" si="91"/>
        <v>236.07583313737732</v>
      </c>
      <c r="S1040" s="797">
        <f>[1]!taqsabet(O1040,C1040)</f>
        <v>236.07417845778158</v>
      </c>
      <c r="T1040" s="522"/>
      <c r="U1040" s="522">
        <v>7</v>
      </c>
      <c r="V1040" s="522">
        <v>23</v>
      </c>
      <c r="W1040" s="522">
        <v>12</v>
      </c>
      <c r="X1040" s="522"/>
      <c r="Y1040" s="522">
        <v>25</v>
      </c>
      <c r="Z1040" s="522">
        <v>0</v>
      </c>
      <c r="AA1040" s="522" t="s">
        <v>274</v>
      </c>
      <c r="AB1040" s="522">
        <v>3</v>
      </c>
      <c r="AC1040" s="522">
        <v>3</v>
      </c>
      <c r="AD1040" s="522" t="s">
        <v>2384</v>
      </c>
    </row>
    <row r="1041" spans="3:30">
      <c r="C1041" s="523">
        <v>970</v>
      </c>
      <c r="D1041" s="523">
        <v>2</v>
      </c>
      <c r="E1041" s="543" t="s">
        <v>3339</v>
      </c>
      <c r="F1041" s="523">
        <v>70</v>
      </c>
      <c r="G1041" s="523"/>
      <c r="H1041" s="523">
        <v>66</v>
      </c>
      <c r="I1041" s="523">
        <v>0</v>
      </c>
      <c r="J1041" s="523">
        <v>0</v>
      </c>
      <c r="K1041" s="523"/>
      <c r="L1041" s="797">
        <f>[1]!tsabetm(C1041)</f>
        <v>205.41666666666666</v>
      </c>
      <c r="M1041" s="797">
        <f>[1]!tsabetz(C1041)</f>
        <v>231.35</v>
      </c>
      <c r="N1041" s="797">
        <f t="shared" si="87"/>
        <v>66.979434447300761</v>
      </c>
      <c r="O1041" s="797">
        <f t="shared" si="88"/>
        <v>1445.0028169014086</v>
      </c>
      <c r="P1041" s="797">
        <f t="shared" si="89"/>
        <v>15.683006965222717</v>
      </c>
      <c r="Q1041" s="797">
        <f t="shared" si="90"/>
        <v>234</v>
      </c>
      <c r="R1041" s="797">
        <f t="shared" si="91"/>
        <v>234.26138344942038</v>
      </c>
      <c r="S1041" s="797">
        <f>[1]!taqsabet(O1041,C1041)</f>
        <v>234.25970831509966</v>
      </c>
      <c r="T1041" s="523"/>
      <c r="U1041" s="523">
        <v>7</v>
      </c>
      <c r="V1041" s="523">
        <v>21</v>
      </c>
      <c r="W1041" s="523">
        <v>21</v>
      </c>
      <c r="X1041" s="523"/>
      <c r="Y1041" s="523">
        <v>30</v>
      </c>
      <c r="Z1041" s="523">
        <v>3</v>
      </c>
      <c r="AA1041" s="523" t="s">
        <v>274</v>
      </c>
      <c r="AB1041" s="523">
        <v>3</v>
      </c>
      <c r="AC1041" s="523">
        <v>3</v>
      </c>
      <c r="AD1041" s="523" t="s">
        <v>2384</v>
      </c>
    </row>
    <row r="1042" spans="3:30">
      <c r="C1042" s="522">
        <v>971</v>
      </c>
      <c r="D1042" s="522">
        <v>3</v>
      </c>
      <c r="E1042" s="550" t="s">
        <v>3340</v>
      </c>
      <c r="F1042" s="522">
        <v>70</v>
      </c>
      <c r="G1042" s="522"/>
      <c r="H1042" s="522">
        <v>66</v>
      </c>
      <c r="I1042" s="522">
        <v>0</v>
      </c>
      <c r="J1042" s="522">
        <v>0</v>
      </c>
      <c r="K1042" s="522"/>
      <c r="L1042" s="797">
        <f>[1]!tsabetm(C1042)</f>
        <v>210.58333333333331</v>
      </c>
      <c r="M1042" s="797">
        <f>[1]!tsabetz(C1042)</f>
        <v>237.16666666666666</v>
      </c>
      <c r="N1042" s="797">
        <f t="shared" si="87"/>
        <v>65.341692789968633</v>
      </c>
      <c r="O1042" s="797">
        <f t="shared" si="88"/>
        <v>1445.0028169014086</v>
      </c>
      <c r="P1042" s="797">
        <f t="shared" si="89"/>
        <v>9.0613085536824656</v>
      </c>
      <c r="Q1042" s="797">
        <f t="shared" si="90"/>
        <v>240</v>
      </c>
      <c r="R1042" s="797">
        <f t="shared" si="91"/>
        <v>240.15102180922804</v>
      </c>
      <c r="S1042" s="797">
        <f>[1]!taqsabet(O1042,C1042)</f>
        <v>240.14930468889284</v>
      </c>
      <c r="T1042" s="522"/>
      <c r="U1042" s="522">
        <v>7</v>
      </c>
      <c r="V1042" s="522">
        <v>27</v>
      </c>
      <c r="W1042" s="522">
        <v>10</v>
      </c>
      <c r="X1042" s="522"/>
      <c r="Y1042" s="522">
        <v>21</v>
      </c>
      <c r="Z1042" s="522">
        <v>18</v>
      </c>
      <c r="AA1042" s="522" t="s">
        <v>274</v>
      </c>
      <c r="AB1042" s="522">
        <v>4</v>
      </c>
      <c r="AC1042" s="522">
        <v>4</v>
      </c>
      <c r="AD1042" s="522" t="s">
        <v>2384</v>
      </c>
    </row>
    <row r="1043" spans="3:30">
      <c r="C1043" s="523">
        <v>972</v>
      </c>
      <c r="D1043" s="523">
        <v>4</v>
      </c>
      <c r="E1043" s="543" t="s">
        <v>2465</v>
      </c>
      <c r="F1043" s="523">
        <v>70</v>
      </c>
      <c r="G1043" s="523"/>
      <c r="H1043" s="523">
        <v>66</v>
      </c>
      <c r="I1043" s="523">
        <v>0</v>
      </c>
      <c r="J1043" s="523">
        <v>0</v>
      </c>
      <c r="K1043" s="523"/>
      <c r="L1043" s="797">
        <f>[1]!tsabetm(C1043)</f>
        <v>213.75</v>
      </c>
      <c r="M1043" s="797">
        <f>[1]!tsabetz(C1043)</f>
        <v>239.51666666666668</v>
      </c>
      <c r="N1043" s="797">
        <f t="shared" si="87"/>
        <v>67.412677878395826</v>
      </c>
      <c r="O1043" s="797">
        <f t="shared" si="88"/>
        <v>1445.0028169014086</v>
      </c>
      <c r="P1043" s="797">
        <f t="shared" si="89"/>
        <v>24.560365532285573</v>
      </c>
      <c r="Q1043" s="797">
        <f t="shared" si="90"/>
        <v>242</v>
      </c>
      <c r="R1043" s="797">
        <f t="shared" si="91"/>
        <v>242.40933942553809</v>
      </c>
      <c r="S1043" s="797">
        <f>[1]!taqsabet(O1043,C1043)</f>
        <v>242.4076750568621</v>
      </c>
      <c r="T1043" s="523"/>
      <c r="U1043" s="523">
        <v>7</v>
      </c>
      <c r="V1043" s="523">
        <v>29</v>
      </c>
      <c r="W1043" s="523">
        <v>31</v>
      </c>
      <c r="X1043" s="523"/>
      <c r="Y1043" s="523">
        <v>21</v>
      </c>
      <c r="Z1043" s="523">
        <v>18</v>
      </c>
      <c r="AA1043" s="523" t="s">
        <v>274</v>
      </c>
      <c r="AB1043" s="523">
        <v>3</v>
      </c>
      <c r="AC1043" s="523">
        <v>4</v>
      </c>
      <c r="AD1043" s="523" t="s">
        <v>2384</v>
      </c>
    </row>
    <row r="1044" spans="3:30">
      <c r="C1044" s="522">
        <v>973</v>
      </c>
      <c r="D1044" s="522">
        <v>5</v>
      </c>
      <c r="E1044" s="550" t="s">
        <v>3341</v>
      </c>
      <c r="F1044" s="522">
        <v>70</v>
      </c>
      <c r="G1044" s="522"/>
      <c r="H1044" s="522">
        <v>66</v>
      </c>
      <c r="I1044" s="522">
        <v>0</v>
      </c>
      <c r="J1044" s="522">
        <v>0</v>
      </c>
      <c r="K1044" s="522"/>
      <c r="L1044" s="797">
        <f>[1]!tsabetm(C1044)</f>
        <v>212.58333333333331</v>
      </c>
      <c r="M1044" s="797">
        <f>[1]!tsabetz(C1044)</f>
        <v>238.71666666666667</v>
      </c>
      <c r="N1044" s="797">
        <f t="shared" si="87"/>
        <v>66.466836734693828</v>
      </c>
      <c r="O1044" s="797">
        <f t="shared" si="88"/>
        <v>1445.0028169014086</v>
      </c>
      <c r="P1044" s="797">
        <f t="shared" si="89"/>
        <v>39.030176684749449</v>
      </c>
      <c r="Q1044" s="797">
        <f t="shared" si="90"/>
        <v>241</v>
      </c>
      <c r="R1044" s="797">
        <f t="shared" si="91"/>
        <v>241.65050294474582</v>
      </c>
      <c r="S1044" s="797">
        <f>[1]!taqsabet(O1044,C1044)</f>
        <v>241.6488148916514</v>
      </c>
      <c r="T1044" s="522"/>
      <c r="U1044" s="522">
        <v>7</v>
      </c>
      <c r="V1044" s="522">
        <v>28</v>
      </c>
      <c r="W1044" s="522">
        <v>43</v>
      </c>
      <c r="X1044" s="522"/>
      <c r="Y1044" s="522">
        <v>25</v>
      </c>
      <c r="Z1044" s="522">
        <v>12</v>
      </c>
      <c r="AA1044" s="522" t="s">
        <v>274</v>
      </c>
      <c r="AB1044" s="522">
        <v>4</v>
      </c>
      <c r="AC1044" s="522">
        <v>4</v>
      </c>
      <c r="AD1044" s="522" t="s">
        <v>2384</v>
      </c>
    </row>
    <row r="1045" spans="3:30">
      <c r="C1045" s="523">
        <v>974</v>
      </c>
      <c r="D1045" s="523">
        <v>6</v>
      </c>
      <c r="E1045" s="543" t="s">
        <v>3342</v>
      </c>
      <c r="F1045" s="523">
        <v>70</v>
      </c>
      <c r="G1045" s="523"/>
      <c r="H1045" s="523">
        <v>66</v>
      </c>
      <c r="I1045" s="523">
        <v>0</v>
      </c>
      <c r="J1045" s="523">
        <v>0</v>
      </c>
      <c r="K1045" s="523"/>
      <c r="L1045" s="797">
        <f>[1]!tsabetm(C1045)</f>
        <v>209.75</v>
      </c>
      <c r="M1045" s="797">
        <f>[1]!tsabetz(C1045)</f>
        <v>238.16666666666666</v>
      </c>
      <c r="N1045" s="797">
        <f t="shared" si="87"/>
        <v>61.126099706744888</v>
      </c>
      <c r="O1045" s="797">
        <f t="shared" si="88"/>
        <v>1445.0028169014086</v>
      </c>
      <c r="P1045" s="797">
        <f t="shared" si="89"/>
        <v>21.410364316005257</v>
      </c>
      <c r="Q1045" s="797">
        <f t="shared" si="90"/>
        <v>241</v>
      </c>
      <c r="R1045" s="797">
        <f t="shared" si="91"/>
        <v>241.35683940526675</v>
      </c>
      <c r="S1045" s="797">
        <f>[1]!taqsabet(O1045,C1045)</f>
        <v>241.35500386283948</v>
      </c>
      <c r="T1045" s="523"/>
      <c r="U1045" s="523">
        <v>7</v>
      </c>
      <c r="V1045" s="523">
        <v>28</v>
      </c>
      <c r="W1045" s="523">
        <v>10</v>
      </c>
      <c r="X1045" s="523"/>
      <c r="Y1045" s="523">
        <v>27</v>
      </c>
      <c r="Z1045" s="523">
        <v>30</v>
      </c>
      <c r="AA1045" s="523" t="s">
        <v>274</v>
      </c>
      <c r="AB1045" s="523">
        <v>5</v>
      </c>
      <c r="AC1045" s="523">
        <v>5</v>
      </c>
      <c r="AD1045" s="523" t="s">
        <v>2384</v>
      </c>
    </row>
    <row r="1046" spans="3:30">
      <c r="C1046" s="522">
        <v>975</v>
      </c>
      <c r="D1046" s="522">
        <v>7</v>
      </c>
      <c r="E1046" s="550" t="s">
        <v>3343</v>
      </c>
      <c r="F1046" s="522">
        <v>70</v>
      </c>
      <c r="G1046" s="522"/>
      <c r="H1046" s="522">
        <v>66</v>
      </c>
      <c r="I1046" s="522">
        <v>0</v>
      </c>
      <c r="J1046" s="522">
        <v>0</v>
      </c>
      <c r="K1046" s="522"/>
      <c r="L1046" s="797">
        <f>[1]!tsabetm(C1046)</f>
        <v>210.08333333333331</v>
      </c>
      <c r="M1046" s="797">
        <f>[1]!tsabetz(C1046)</f>
        <v>241.45</v>
      </c>
      <c r="N1046" s="797">
        <f t="shared" si="87"/>
        <v>55.377258235919221</v>
      </c>
      <c r="O1046" s="797">
        <f t="shared" si="88"/>
        <v>1445.0028169014086</v>
      </c>
      <c r="P1046" s="797">
        <f t="shared" si="89"/>
        <v>58.281117679014756</v>
      </c>
      <c r="Q1046" s="797">
        <f t="shared" si="90"/>
        <v>244</v>
      </c>
      <c r="R1046" s="797">
        <f t="shared" si="91"/>
        <v>244.97135196131691</v>
      </c>
      <c r="S1046" s="797">
        <f>[1]!taqsabet(O1046,C1046)</f>
        <v>244.96932586697784</v>
      </c>
      <c r="T1046" s="522"/>
      <c r="U1046" s="522">
        <v>8</v>
      </c>
      <c r="V1046" s="522">
        <v>1</v>
      </c>
      <c r="W1046" s="522">
        <v>27</v>
      </c>
      <c r="X1046" s="522"/>
      <c r="Y1046" s="522">
        <v>29</v>
      </c>
      <c r="Z1046" s="522">
        <v>12</v>
      </c>
      <c r="AA1046" s="522" t="s">
        <v>274</v>
      </c>
      <c r="AB1046" s="522">
        <v>5</v>
      </c>
      <c r="AC1046" s="522">
        <v>5</v>
      </c>
      <c r="AD1046" s="522" t="s">
        <v>2384</v>
      </c>
    </row>
    <row r="1047" spans="3:30">
      <c r="C1047" s="523">
        <v>976</v>
      </c>
      <c r="D1047" s="523">
        <v>8</v>
      </c>
      <c r="E1047" s="543" t="s">
        <v>3344</v>
      </c>
      <c r="F1047" s="523">
        <v>70</v>
      </c>
      <c r="G1047" s="523"/>
      <c r="H1047" s="523">
        <v>66</v>
      </c>
      <c r="I1047" s="523">
        <v>0</v>
      </c>
      <c r="J1047" s="523">
        <v>0</v>
      </c>
      <c r="K1047" s="523"/>
      <c r="L1047" s="797">
        <f>[1]!tsabetm(C1047)</f>
        <v>214.25</v>
      </c>
      <c r="M1047" s="797">
        <f>[1]!tsabetz(C1047)</f>
        <v>240.38333333333333</v>
      </c>
      <c r="N1047" s="797">
        <f t="shared" si="87"/>
        <v>66.466836734693899</v>
      </c>
      <c r="O1047" s="797">
        <f t="shared" si="88"/>
        <v>1445.0028169014086</v>
      </c>
      <c r="P1047" s="797">
        <f t="shared" si="89"/>
        <v>19.030176684748881</v>
      </c>
      <c r="Q1047" s="797">
        <f t="shared" si="90"/>
        <v>243</v>
      </c>
      <c r="R1047" s="797">
        <f t="shared" si="91"/>
        <v>243.31716961141248</v>
      </c>
      <c r="S1047" s="797">
        <f>[1]!taqsabet(O1047,C1047)</f>
        <v>243.31548155831806</v>
      </c>
      <c r="T1047" s="523"/>
      <c r="U1047" s="523">
        <v>8</v>
      </c>
      <c r="V1047" s="523">
        <v>0</v>
      </c>
      <c r="W1047" s="523">
        <v>23</v>
      </c>
      <c r="X1047" s="523"/>
      <c r="Y1047" s="523">
        <v>28</v>
      </c>
      <c r="Z1047" s="523">
        <v>30</v>
      </c>
      <c r="AA1047" s="523" t="s">
        <v>274</v>
      </c>
      <c r="AB1047" s="523">
        <v>5</v>
      </c>
      <c r="AC1047" s="523">
        <v>5</v>
      </c>
      <c r="AD1047" s="523" t="s">
        <v>2384</v>
      </c>
    </row>
    <row r="1048" spans="3:30">
      <c r="C1048" s="522">
        <v>977</v>
      </c>
      <c r="D1048" s="522">
        <v>9</v>
      </c>
      <c r="E1048" s="550" t="s">
        <v>2396</v>
      </c>
      <c r="F1048" s="522">
        <v>70</v>
      </c>
      <c r="G1048" s="522"/>
      <c r="H1048" s="522">
        <v>66</v>
      </c>
      <c r="I1048" s="522">
        <v>0</v>
      </c>
      <c r="J1048" s="522">
        <v>0</v>
      </c>
      <c r="K1048" s="522"/>
      <c r="L1048" s="797">
        <f>[1]!tsabetm(C1048)</f>
        <v>213.25</v>
      </c>
      <c r="M1048" s="797">
        <f>[1]!tsabetz(C1048)</f>
        <v>239.38333333333333</v>
      </c>
      <c r="N1048" s="797">
        <f t="shared" si="87"/>
        <v>66.466836734693899</v>
      </c>
      <c r="O1048" s="797">
        <f t="shared" si="88"/>
        <v>1445.0028169014086</v>
      </c>
      <c r="P1048" s="797">
        <f t="shared" si="89"/>
        <v>19.030176684748881</v>
      </c>
      <c r="Q1048" s="797">
        <f t="shared" si="90"/>
        <v>242</v>
      </c>
      <c r="R1048" s="797">
        <f t="shared" si="91"/>
        <v>242.31716961141248</v>
      </c>
      <c r="S1048" s="797">
        <f>[1]!taqsabet(O1048,C1048)</f>
        <v>242.31548155831806</v>
      </c>
      <c r="T1048" s="522"/>
      <c r="U1048" s="522">
        <v>7</v>
      </c>
      <c r="V1048" s="522">
        <v>29</v>
      </c>
      <c r="W1048" s="522">
        <v>23</v>
      </c>
      <c r="X1048" s="522"/>
      <c r="Y1048" s="522">
        <v>30</v>
      </c>
      <c r="Z1048" s="522">
        <v>10</v>
      </c>
      <c r="AA1048" s="522" t="s">
        <v>274</v>
      </c>
      <c r="AB1048" s="522">
        <v>5</v>
      </c>
      <c r="AC1048" s="522">
        <v>5</v>
      </c>
      <c r="AD1048" s="522" t="s">
        <v>2384</v>
      </c>
    </row>
    <row r="1049" spans="3:30">
      <c r="C1049" s="523">
        <v>978</v>
      </c>
      <c r="D1049" s="523">
        <v>10</v>
      </c>
      <c r="E1049" s="543" t="s">
        <v>3345</v>
      </c>
      <c r="F1049" s="523">
        <v>70</v>
      </c>
      <c r="G1049" s="523"/>
      <c r="H1049" s="523">
        <v>66</v>
      </c>
      <c r="I1049" s="523">
        <v>0</v>
      </c>
      <c r="J1049" s="523">
        <v>0</v>
      </c>
      <c r="K1049" s="523"/>
      <c r="L1049" s="797">
        <f>[1]!tsabetm(C1049)</f>
        <v>215.25</v>
      </c>
      <c r="M1049" s="797">
        <f>[1]!tsabetz(C1049)</f>
        <v>241.38333333333333</v>
      </c>
      <c r="N1049" s="797">
        <f t="shared" si="87"/>
        <v>66.466836734693899</v>
      </c>
      <c r="O1049" s="797">
        <f t="shared" si="88"/>
        <v>1445.0028169014086</v>
      </c>
      <c r="P1049" s="797">
        <f t="shared" si="89"/>
        <v>19.030176684748881</v>
      </c>
      <c r="Q1049" s="797">
        <f t="shared" si="90"/>
        <v>244</v>
      </c>
      <c r="R1049" s="797">
        <f t="shared" si="91"/>
        <v>244.31716961141248</v>
      </c>
      <c r="S1049" s="797">
        <f>[1]!taqsabet(O1049,C1049)</f>
        <v>244.31548155831806</v>
      </c>
      <c r="T1049" s="523"/>
      <c r="U1049" s="523">
        <v>8</v>
      </c>
      <c r="V1049" s="523">
        <v>1</v>
      </c>
      <c r="W1049" s="523">
        <v>23</v>
      </c>
      <c r="X1049" s="523"/>
      <c r="Y1049" s="523">
        <v>33</v>
      </c>
      <c r="Z1049" s="523">
        <v>10</v>
      </c>
      <c r="AA1049" s="523" t="s">
        <v>274</v>
      </c>
      <c r="AB1049" s="523">
        <v>4</v>
      </c>
      <c r="AC1049" s="523">
        <v>4</v>
      </c>
      <c r="AD1049" s="523" t="s">
        <v>2384</v>
      </c>
    </row>
    <row r="1050" spans="3:30">
      <c r="C1050" s="522">
        <v>979</v>
      </c>
      <c r="D1050" s="522">
        <v>11</v>
      </c>
      <c r="E1050" s="550" t="s">
        <v>3346</v>
      </c>
      <c r="F1050" s="522">
        <v>70</v>
      </c>
      <c r="G1050" s="522"/>
      <c r="H1050" s="522">
        <v>66</v>
      </c>
      <c r="I1050" s="522">
        <v>0</v>
      </c>
      <c r="J1050" s="522">
        <v>0</v>
      </c>
      <c r="K1050" s="522"/>
      <c r="L1050" s="797">
        <f>[1]!tsabetm(C1050)</f>
        <v>199.08333333333331</v>
      </c>
      <c r="M1050" s="797">
        <f>[1]!tsabetz(C1050)</f>
        <v>225.71666666666667</v>
      </c>
      <c r="N1050" s="797">
        <f t="shared" si="87"/>
        <v>65.219023779724608</v>
      </c>
      <c r="O1050" s="797">
        <f t="shared" si="88"/>
        <v>1445.0028169014086</v>
      </c>
      <c r="P1050" s="797">
        <f t="shared" si="89"/>
        <v>42.398100983564291</v>
      </c>
      <c r="Q1050" s="797">
        <f t="shared" si="90"/>
        <v>228</v>
      </c>
      <c r="R1050" s="797">
        <f t="shared" si="91"/>
        <v>228.70663501639274</v>
      </c>
      <c r="S1050" s="797">
        <f>[1]!taqsabet(O1050,C1050)</f>
        <v>228.70491466636412</v>
      </c>
      <c r="T1050" s="522"/>
      <c r="U1050" s="522">
        <v>7</v>
      </c>
      <c r="V1050" s="522">
        <v>15</v>
      </c>
      <c r="W1050" s="522">
        <v>43</v>
      </c>
      <c r="X1050" s="522"/>
      <c r="Y1050" s="522">
        <v>31</v>
      </c>
      <c r="Z1050" s="522">
        <v>20</v>
      </c>
      <c r="AA1050" s="522" t="s">
        <v>274</v>
      </c>
      <c r="AB1050" s="522">
        <v>5</v>
      </c>
      <c r="AC1050" s="522">
        <v>4</v>
      </c>
      <c r="AD1050" s="522" t="s">
        <v>2384</v>
      </c>
    </row>
    <row r="1051" spans="3:30">
      <c r="C1051" s="523">
        <v>980</v>
      </c>
      <c r="D1051" s="523">
        <v>12</v>
      </c>
      <c r="E1051" s="543" t="s">
        <v>3250</v>
      </c>
      <c r="F1051" s="523">
        <v>70</v>
      </c>
      <c r="G1051" s="523"/>
      <c r="H1051" s="523">
        <v>66</v>
      </c>
      <c r="I1051" s="523">
        <v>0</v>
      </c>
      <c r="J1051" s="523">
        <v>0</v>
      </c>
      <c r="K1051" s="523"/>
      <c r="L1051" s="797">
        <f>[1]!tsabetm(C1051)</f>
        <v>201.41666666666666</v>
      </c>
      <c r="M1051" s="797">
        <f>[1]!tsabetz(C1051)</f>
        <v>226.55</v>
      </c>
      <c r="N1051" s="797">
        <f t="shared" si="87"/>
        <v>69.111405835543707</v>
      </c>
      <c r="O1051" s="797">
        <f t="shared" si="88"/>
        <v>1445.0028169014086</v>
      </c>
      <c r="P1051" s="797">
        <f t="shared" si="89"/>
        <v>22.294328087118629</v>
      </c>
      <c r="Q1051" s="797">
        <f t="shared" si="90"/>
        <v>229</v>
      </c>
      <c r="R1051" s="797">
        <f t="shared" si="91"/>
        <v>229.37157213478531</v>
      </c>
      <c r="S1051" s="797">
        <f>[1]!taqsabet(O1051,C1051)</f>
        <v>229.36994867555933</v>
      </c>
      <c r="T1051" s="523"/>
      <c r="U1051" s="523">
        <v>7</v>
      </c>
      <c r="V1051" s="523">
        <v>16</v>
      </c>
      <c r="W1051" s="523">
        <v>33</v>
      </c>
      <c r="X1051" s="523"/>
      <c r="Y1051" s="523">
        <v>30</v>
      </c>
      <c r="Z1051" s="523">
        <v>30</v>
      </c>
      <c r="AA1051" s="523" t="s">
        <v>274</v>
      </c>
      <c r="AB1051" s="523">
        <v>4</v>
      </c>
      <c r="AC1051" s="523">
        <v>4</v>
      </c>
      <c r="AD1051" s="523" t="s">
        <v>2384</v>
      </c>
    </row>
    <row r="1052" spans="3:30">
      <c r="C1052" s="522">
        <v>981</v>
      </c>
      <c r="D1052" s="522">
        <v>13</v>
      </c>
      <c r="E1052" s="550" t="s">
        <v>3347</v>
      </c>
      <c r="F1052" s="522">
        <v>70</v>
      </c>
      <c r="G1052" s="522"/>
      <c r="H1052" s="522">
        <v>66</v>
      </c>
      <c r="I1052" s="522">
        <v>0</v>
      </c>
      <c r="J1052" s="522">
        <v>0</v>
      </c>
      <c r="K1052" s="522"/>
      <c r="L1052" s="797">
        <f>[1]!tsabetm(C1052)</f>
        <v>202.58333333333331</v>
      </c>
      <c r="M1052" s="797">
        <f>[1]!tsabetz(C1052)</f>
        <v>228.71666666666667</v>
      </c>
      <c r="N1052" s="797">
        <f t="shared" si="87"/>
        <v>66.466836734693828</v>
      </c>
      <c r="O1052" s="797">
        <f t="shared" si="88"/>
        <v>1445.0028169014086</v>
      </c>
      <c r="P1052" s="797">
        <f t="shared" si="89"/>
        <v>39.030176684749449</v>
      </c>
      <c r="Q1052" s="797">
        <f t="shared" si="90"/>
        <v>231</v>
      </c>
      <c r="R1052" s="797">
        <f t="shared" si="91"/>
        <v>231.65050294474582</v>
      </c>
      <c r="S1052" s="797">
        <f>[1]!taqsabet(O1052,C1052)</f>
        <v>231.6488148916514</v>
      </c>
      <c r="T1052" s="522"/>
      <c r="U1052" s="522">
        <v>7</v>
      </c>
      <c r="V1052" s="522">
        <v>18</v>
      </c>
      <c r="W1052" s="522">
        <v>43</v>
      </c>
      <c r="X1052" s="522"/>
      <c r="Y1052" s="522">
        <v>29</v>
      </c>
      <c r="Z1052" s="522">
        <v>20</v>
      </c>
      <c r="AA1052" s="522" t="s">
        <v>274</v>
      </c>
      <c r="AB1052" s="522">
        <v>5</v>
      </c>
      <c r="AC1052" s="522">
        <v>4</v>
      </c>
      <c r="AD1052" s="522" t="s">
        <v>2384</v>
      </c>
    </row>
    <row r="1053" spans="3:30">
      <c r="C1053" s="523">
        <v>982</v>
      </c>
      <c r="D1053" s="523">
        <v>14</v>
      </c>
      <c r="E1053" s="543" t="s">
        <v>3348</v>
      </c>
      <c r="F1053" s="523">
        <v>70</v>
      </c>
      <c r="G1053" s="523"/>
      <c r="H1053" s="523">
        <v>66</v>
      </c>
      <c r="I1053" s="523">
        <v>0</v>
      </c>
      <c r="J1053" s="523">
        <v>0</v>
      </c>
      <c r="K1053" s="523"/>
      <c r="L1053" s="797">
        <f>[1]!tsabetm(C1053)</f>
        <v>218.41666666666666</v>
      </c>
      <c r="M1053" s="797">
        <f>[1]!tsabetz(C1053)</f>
        <v>244.55</v>
      </c>
      <c r="N1053" s="797">
        <f t="shared" si="87"/>
        <v>66.466836734693828</v>
      </c>
      <c r="O1053" s="797">
        <f t="shared" si="88"/>
        <v>1445.0028169014086</v>
      </c>
      <c r="P1053" s="797">
        <f t="shared" si="89"/>
        <v>29.030176684750018</v>
      </c>
      <c r="Q1053" s="797">
        <f t="shared" si="90"/>
        <v>247</v>
      </c>
      <c r="R1053" s="797">
        <f t="shared" si="91"/>
        <v>247.48383627807917</v>
      </c>
      <c r="S1053" s="797">
        <f>[1]!taqsabet(O1053,C1053)</f>
        <v>247.48214822498474</v>
      </c>
      <c r="T1053" s="523"/>
      <c r="U1053" s="523">
        <v>8</v>
      </c>
      <c r="V1053" s="523">
        <v>4</v>
      </c>
      <c r="W1053" s="523">
        <v>33</v>
      </c>
      <c r="X1053" s="523"/>
      <c r="Y1053" s="523">
        <v>16</v>
      </c>
      <c r="Z1053" s="523">
        <v>50</v>
      </c>
      <c r="AA1053" s="523" t="s">
        <v>274</v>
      </c>
      <c r="AB1053" s="523">
        <v>4</v>
      </c>
      <c r="AC1053" s="523">
        <v>4</v>
      </c>
      <c r="AD1053" s="523" t="s">
        <v>2384</v>
      </c>
    </row>
    <row r="1054" spans="3:30">
      <c r="C1054" s="522">
        <v>983</v>
      </c>
      <c r="D1054" s="522">
        <v>15</v>
      </c>
      <c r="E1054" s="550" t="s">
        <v>2458</v>
      </c>
      <c r="F1054" s="522">
        <v>70</v>
      </c>
      <c r="G1054" s="522"/>
      <c r="H1054" s="522">
        <v>66</v>
      </c>
      <c r="I1054" s="522">
        <v>0</v>
      </c>
      <c r="J1054" s="522">
        <v>0</v>
      </c>
      <c r="K1054" s="522"/>
      <c r="L1054" s="797">
        <f>[1]!tsabetm(C1054)</f>
        <v>218.91666666666666</v>
      </c>
      <c r="M1054" s="797">
        <f>[1]!tsabetz(C1054)</f>
        <v>245.38333333333333</v>
      </c>
      <c r="N1054" s="797">
        <f t="shared" si="87"/>
        <v>65.62972292191435</v>
      </c>
      <c r="O1054" s="797">
        <f t="shared" si="88"/>
        <v>1445.0028169014086</v>
      </c>
      <c r="P1054" s="797">
        <f t="shared" si="89"/>
        <v>21.275459550625442</v>
      </c>
      <c r="Q1054" s="797">
        <f t="shared" si="90"/>
        <v>248</v>
      </c>
      <c r="R1054" s="797">
        <f t="shared" si="91"/>
        <v>248.35459099251042</v>
      </c>
      <c r="S1054" s="797">
        <f>[1]!taqsabet(O1054,C1054)</f>
        <v>248.35288140812654</v>
      </c>
      <c r="T1054" s="522"/>
      <c r="U1054" s="522">
        <v>8</v>
      </c>
      <c r="V1054" s="522">
        <v>5</v>
      </c>
      <c r="W1054" s="522">
        <v>23</v>
      </c>
      <c r="X1054" s="522"/>
      <c r="Y1054" s="522">
        <v>15</v>
      </c>
      <c r="Z1054" s="522">
        <v>20</v>
      </c>
      <c r="AA1054" s="522" t="s">
        <v>274</v>
      </c>
      <c r="AB1054" s="522">
        <v>5</v>
      </c>
      <c r="AC1054" s="522">
        <v>4</v>
      </c>
      <c r="AD1054" s="522" t="s">
        <v>2384</v>
      </c>
    </row>
    <row r="1055" spans="3:30">
      <c r="C1055" s="523">
        <v>984</v>
      </c>
      <c r="D1055" s="523">
        <v>16</v>
      </c>
      <c r="E1055" s="543" t="s">
        <v>3349</v>
      </c>
      <c r="F1055" s="523">
        <v>70</v>
      </c>
      <c r="G1055" s="523"/>
      <c r="H1055" s="523">
        <v>66</v>
      </c>
      <c r="I1055" s="523">
        <v>0</v>
      </c>
      <c r="J1055" s="523">
        <v>0</v>
      </c>
      <c r="K1055" s="523"/>
      <c r="L1055" s="797">
        <f>[1]!tsabetm(C1055)</f>
        <v>215.25</v>
      </c>
      <c r="M1055" s="797">
        <f>[1]!tsabetz(C1055)</f>
        <v>241.38333333333333</v>
      </c>
      <c r="N1055" s="797">
        <f t="shared" si="87"/>
        <v>66.466836734693899</v>
      </c>
      <c r="O1055" s="797">
        <f t="shared" si="88"/>
        <v>1445.0028169014086</v>
      </c>
      <c r="P1055" s="797">
        <f t="shared" si="89"/>
        <v>19.030176684748881</v>
      </c>
      <c r="Q1055" s="797">
        <f t="shared" si="90"/>
        <v>244</v>
      </c>
      <c r="R1055" s="797">
        <f t="shared" si="91"/>
        <v>244.31716961141248</v>
      </c>
      <c r="S1055" s="797">
        <f>[1]!taqsabet(O1055,C1055)</f>
        <v>244.31548155831806</v>
      </c>
      <c r="T1055" s="523"/>
      <c r="U1055" s="523">
        <v>8</v>
      </c>
      <c r="V1055" s="523">
        <v>1</v>
      </c>
      <c r="W1055" s="523">
        <v>23</v>
      </c>
      <c r="X1055" s="523"/>
      <c r="Y1055" s="523">
        <v>13</v>
      </c>
      <c r="Z1055" s="523">
        <v>20</v>
      </c>
      <c r="AA1055" s="523" t="s">
        <v>274</v>
      </c>
      <c r="AB1055" s="523">
        <v>5</v>
      </c>
      <c r="AC1055" s="523">
        <v>4</v>
      </c>
      <c r="AD1055" s="523" t="s">
        <v>2384</v>
      </c>
    </row>
    <row r="1056" spans="3:30">
      <c r="C1056" s="522">
        <v>985</v>
      </c>
      <c r="D1056" s="522">
        <v>17</v>
      </c>
      <c r="E1056" s="550" t="s">
        <v>2388</v>
      </c>
      <c r="F1056" s="522">
        <v>70</v>
      </c>
      <c r="G1056" s="522"/>
      <c r="H1056" s="522">
        <v>66</v>
      </c>
      <c r="I1056" s="522">
        <v>0</v>
      </c>
      <c r="J1056" s="522">
        <v>0</v>
      </c>
      <c r="K1056" s="522"/>
      <c r="L1056" s="797">
        <f>[1]!tsabetm(C1056)</f>
        <v>216.25</v>
      </c>
      <c r="M1056" s="797">
        <f>[1]!tsabetz(C1056)</f>
        <v>242.38333333333333</v>
      </c>
      <c r="N1056" s="797">
        <f t="shared" si="87"/>
        <v>66.466836734693899</v>
      </c>
      <c r="O1056" s="797">
        <f t="shared" si="88"/>
        <v>1445.0028169014086</v>
      </c>
      <c r="P1056" s="797">
        <f t="shared" si="89"/>
        <v>19.030176684748881</v>
      </c>
      <c r="Q1056" s="797">
        <f t="shared" si="90"/>
        <v>245</v>
      </c>
      <c r="R1056" s="797">
        <f t="shared" si="91"/>
        <v>245.31716961141248</v>
      </c>
      <c r="S1056" s="797">
        <f>[1]!taqsabet(O1056,C1056)</f>
        <v>245.31548155831806</v>
      </c>
      <c r="T1056" s="522"/>
      <c r="U1056" s="522">
        <v>8</v>
      </c>
      <c r="V1056" s="522">
        <v>2</v>
      </c>
      <c r="W1056" s="522">
        <v>23</v>
      </c>
      <c r="X1056" s="522"/>
      <c r="Y1056" s="522">
        <v>11</v>
      </c>
      <c r="Z1056" s="522">
        <v>50</v>
      </c>
      <c r="AA1056" s="522" t="s">
        <v>274</v>
      </c>
      <c r="AB1056" s="522">
        <v>5</v>
      </c>
      <c r="AC1056" s="522">
        <v>4</v>
      </c>
      <c r="AD1056" s="522" t="s">
        <v>2384</v>
      </c>
    </row>
    <row r="1057" spans="1:31">
      <c r="C1057" s="523">
        <v>986</v>
      </c>
      <c r="D1057" s="523">
        <v>18</v>
      </c>
      <c r="E1057" s="543" t="s">
        <v>3350</v>
      </c>
      <c r="F1057" s="523">
        <v>70</v>
      </c>
      <c r="G1057" s="523"/>
      <c r="H1057" s="523">
        <v>66</v>
      </c>
      <c r="I1057" s="523">
        <v>0</v>
      </c>
      <c r="J1057" s="523">
        <v>0</v>
      </c>
      <c r="K1057" s="523"/>
      <c r="L1057" s="797">
        <f>[1]!tsabetm(C1057)</f>
        <v>206.91666666666666</v>
      </c>
      <c r="M1057" s="797">
        <f>[1]!tsabetz(C1057)</f>
        <v>232.88333333333333</v>
      </c>
      <c r="N1057" s="797">
        <f t="shared" si="87"/>
        <v>66.893453145057762</v>
      </c>
      <c r="O1057" s="797">
        <f t="shared" si="88"/>
        <v>1445.0028169014086</v>
      </c>
      <c r="P1057" s="797">
        <f t="shared" si="89"/>
        <v>47.9075352518106</v>
      </c>
      <c r="Q1057" s="797">
        <f t="shared" si="90"/>
        <v>235</v>
      </c>
      <c r="R1057" s="797">
        <f t="shared" si="91"/>
        <v>235.79845892086351</v>
      </c>
      <c r="S1057" s="797">
        <f>[1]!taqsabet(O1057,C1057)</f>
        <v>235.79678163341381</v>
      </c>
      <c r="T1057" s="523"/>
      <c r="U1057" s="523">
        <v>7</v>
      </c>
      <c r="V1057" s="523">
        <v>22</v>
      </c>
      <c r="W1057" s="551">
        <v>53</v>
      </c>
      <c r="X1057" s="523"/>
      <c r="Y1057" s="523">
        <v>11</v>
      </c>
      <c r="Z1057" s="523">
        <v>30</v>
      </c>
      <c r="AA1057" s="523" t="s">
        <v>274</v>
      </c>
      <c r="AB1057" s="523">
        <v>6</v>
      </c>
      <c r="AC1057" s="523">
        <v>4</v>
      </c>
      <c r="AD1057" s="523" t="s">
        <v>2384</v>
      </c>
    </row>
    <row r="1058" spans="1:31">
      <c r="C1058" s="522">
        <v>987</v>
      </c>
      <c r="D1058" s="522">
        <v>19</v>
      </c>
      <c r="E1058" s="550" t="s">
        <v>3351</v>
      </c>
      <c r="F1058" s="522">
        <v>70</v>
      </c>
      <c r="G1058" s="522"/>
      <c r="H1058" s="522">
        <v>66</v>
      </c>
      <c r="I1058" s="522">
        <v>0</v>
      </c>
      <c r="J1058" s="522">
        <v>0</v>
      </c>
      <c r="K1058" s="522"/>
      <c r="L1058" s="797">
        <f>[1]!tsabetm(C1058)</f>
        <v>206.08333333333331</v>
      </c>
      <c r="M1058" s="797">
        <f>[1]!tsabetz(C1058)</f>
        <v>232.21666666666667</v>
      </c>
      <c r="N1058" s="797">
        <f t="shared" si="87"/>
        <v>66.466836734693828</v>
      </c>
      <c r="O1058" s="797">
        <f t="shared" si="88"/>
        <v>1445.0028169014086</v>
      </c>
      <c r="P1058" s="797">
        <f t="shared" si="89"/>
        <v>9.0301766847494491</v>
      </c>
      <c r="Q1058" s="797">
        <f t="shared" si="90"/>
        <v>235</v>
      </c>
      <c r="R1058" s="797">
        <f t="shared" si="91"/>
        <v>235.15050294474582</v>
      </c>
      <c r="S1058" s="797">
        <f>[1]!taqsabet(O1058,C1058)</f>
        <v>235.1488148916514</v>
      </c>
      <c r="T1058" s="522"/>
      <c r="U1058" s="522">
        <v>7</v>
      </c>
      <c r="V1058" s="522">
        <v>22</v>
      </c>
      <c r="W1058" s="522">
        <v>13</v>
      </c>
      <c r="X1058" s="522"/>
      <c r="Y1058" s="522">
        <v>10</v>
      </c>
      <c r="Z1058" s="522">
        <v>0</v>
      </c>
      <c r="AA1058" s="522" t="s">
        <v>274</v>
      </c>
      <c r="AB1058" s="522">
        <v>5</v>
      </c>
      <c r="AC1058" s="522">
        <v>4</v>
      </c>
      <c r="AD1058" s="522" t="s">
        <v>2384</v>
      </c>
    </row>
    <row r="1059" spans="1:31">
      <c r="B1059" s="570" t="s">
        <v>2415</v>
      </c>
      <c r="C1059" s="523">
        <v>988</v>
      </c>
      <c r="D1059" s="523">
        <v>1</v>
      </c>
      <c r="E1059" s="561" t="s">
        <v>3352</v>
      </c>
      <c r="F1059" s="523">
        <v>70</v>
      </c>
      <c r="G1059" s="523"/>
      <c r="H1059" s="523">
        <v>66</v>
      </c>
      <c r="I1059" s="523">
        <v>0</v>
      </c>
      <c r="J1059" s="523">
        <v>0</v>
      </c>
      <c r="K1059" s="523" t="s">
        <v>3865</v>
      </c>
      <c r="L1059" s="828"/>
      <c r="M1059" s="797">
        <f>[1]!tsabetz(C1059)</f>
        <v>242.51666666666668</v>
      </c>
      <c r="N1059" s="797">
        <f t="shared" si="87"/>
        <v>7.1623943371589576</v>
      </c>
      <c r="O1059" s="797">
        <f t="shared" si="88"/>
        <v>1445.0028169014086</v>
      </c>
      <c r="P1059" s="797">
        <f t="shared" si="89"/>
        <v>44.555549068737719</v>
      </c>
      <c r="Q1059" s="797">
        <f t="shared" si="90"/>
        <v>269</v>
      </c>
      <c r="R1059" s="797">
        <f t="shared" si="91"/>
        <v>269.74259248447896</v>
      </c>
      <c r="S1059" s="797">
        <f>[1]!taqsabet(O1059,C1059)</f>
        <v>271.19861148478907</v>
      </c>
      <c r="T1059" s="523"/>
      <c r="U1059" s="523">
        <v>8</v>
      </c>
      <c r="V1059" s="523">
        <v>2</v>
      </c>
      <c r="W1059" s="551">
        <v>31</v>
      </c>
      <c r="X1059" s="523"/>
      <c r="Y1059" s="523">
        <v>24</v>
      </c>
      <c r="Z1059" s="523">
        <v>50</v>
      </c>
      <c r="AA1059" s="523" t="s">
        <v>274</v>
      </c>
      <c r="AB1059" s="523">
        <v>6</v>
      </c>
      <c r="AC1059" s="523">
        <v>0</v>
      </c>
      <c r="AD1059" s="523"/>
      <c r="AE1059" s="327">
        <v>616</v>
      </c>
    </row>
    <row r="1060" spans="1:31">
      <c r="B1060" s="505" t="s">
        <v>2355</v>
      </c>
      <c r="C1060" s="506" t="s">
        <v>2356</v>
      </c>
      <c r="D1060" s="507" t="s">
        <v>2357</v>
      </c>
      <c r="E1060" s="511" t="s">
        <v>2358</v>
      </c>
      <c r="F1060" s="511"/>
      <c r="G1060" s="511"/>
      <c r="H1060" s="511"/>
      <c r="I1060" s="511"/>
      <c r="J1060" s="511"/>
      <c r="K1060" s="514" t="s">
        <v>2360</v>
      </c>
      <c r="N1060" s="797">
        <f t="shared" si="87"/>
        <v>4.8250000000000002</v>
      </c>
      <c r="O1060" s="797">
        <f t="shared" si="88"/>
        <v>1445.0028169014086</v>
      </c>
      <c r="P1060" s="797">
        <f t="shared" si="89"/>
        <v>24.905495147049237</v>
      </c>
      <c r="Q1060" s="797">
        <f t="shared" si="90"/>
        <v>40</v>
      </c>
      <c r="R1060" s="797">
        <f t="shared" si="91"/>
        <v>40.415091585784154</v>
      </c>
      <c r="S1060" s="797" t="e">
        <f>[1]!taqsabet(O1060,C1060)</f>
        <v>#VALUE!</v>
      </c>
      <c r="T1060" s="507"/>
      <c r="U1060" s="508" t="s">
        <v>403</v>
      </c>
      <c r="V1060" s="508"/>
      <c r="W1060" s="509"/>
      <c r="X1060" s="507"/>
      <c r="Y1060" s="509" t="s">
        <v>275</v>
      </c>
      <c r="Z1060" s="510"/>
      <c r="AA1060" s="506" t="s">
        <v>176</v>
      </c>
      <c r="AB1060" s="511" t="s">
        <v>2361</v>
      </c>
      <c r="AC1060" s="511" t="s">
        <v>2362</v>
      </c>
      <c r="AD1060" s="511" t="s">
        <v>2363</v>
      </c>
    </row>
    <row r="1061" spans="1:31">
      <c r="B1061" s="505"/>
      <c r="C1061" s="512"/>
      <c r="D1061" s="512"/>
      <c r="E1061" s="513"/>
      <c r="F1061" s="513"/>
      <c r="G1061" s="513"/>
      <c r="H1061" s="513"/>
      <c r="I1061" s="513"/>
      <c r="J1061" s="513"/>
      <c r="K1061" s="514"/>
      <c r="N1061" s="797">
        <f t="shared" si="87"/>
        <v>4.8250000000000002</v>
      </c>
      <c r="O1061" s="797">
        <f t="shared" si="88"/>
        <v>1445.0028169014086</v>
      </c>
      <c r="P1061" s="797">
        <f t="shared" si="89"/>
        <v>24.905495147049237</v>
      </c>
      <c r="Q1061" s="797">
        <f t="shared" si="90"/>
        <v>40</v>
      </c>
      <c r="R1061" s="797">
        <f t="shared" si="91"/>
        <v>40.415091585784154</v>
      </c>
      <c r="S1061" s="797">
        <f>[1]!taqsabet(O1061,C1061)</f>
        <v>1.4716840899636423</v>
      </c>
      <c r="T1061" s="515" t="s">
        <v>2367</v>
      </c>
      <c r="U1061" s="516" t="s">
        <v>173</v>
      </c>
      <c r="V1061" s="516" t="s">
        <v>172</v>
      </c>
      <c r="W1061" s="516" t="s">
        <v>166</v>
      </c>
      <c r="X1061" s="517" t="s">
        <v>2367</v>
      </c>
      <c r="Y1061" s="516" t="s">
        <v>172</v>
      </c>
      <c r="Z1061" s="518" t="s">
        <v>166</v>
      </c>
      <c r="AA1061" s="512"/>
      <c r="AB1061" s="517" t="s">
        <v>2368</v>
      </c>
      <c r="AC1061" s="517" t="s">
        <v>2369</v>
      </c>
      <c r="AD1061" s="513"/>
    </row>
    <row r="1062" spans="1:31">
      <c r="A1062" s="567">
        <v>12</v>
      </c>
      <c r="B1062" s="536" t="s">
        <v>3864</v>
      </c>
      <c r="C1062" s="527">
        <v>989</v>
      </c>
      <c r="D1062" s="527">
        <v>1</v>
      </c>
      <c r="E1062" s="553" t="s">
        <v>3353</v>
      </c>
      <c r="F1062" s="527">
        <v>70</v>
      </c>
      <c r="G1062" s="527"/>
      <c r="H1062" s="527">
        <v>66</v>
      </c>
      <c r="I1062" s="527">
        <v>0</v>
      </c>
      <c r="J1062" s="527">
        <v>0</v>
      </c>
      <c r="K1062" s="527"/>
      <c r="L1062" s="797">
        <f>[1]!tsabetm(C1062)</f>
        <v>237.25</v>
      </c>
      <c r="M1062" s="797">
        <f>[1]!tsabetz(C1062)</f>
        <v>263.38333333333333</v>
      </c>
      <c r="N1062" s="797">
        <f t="shared" si="87"/>
        <v>66.466836734693899</v>
      </c>
      <c r="O1062" s="797">
        <f t="shared" si="88"/>
        <v>1445.0028169014086</v>
      </c>
      <c r="P1062" s="797">
        <f t="shared" si="89"/>
        <v>19.030176684747175</v>
      </c>
      <c r="Q1062" s="797">
        <f t="shared" si="90"/>
        <v>266</v>
      </c>
      <c r="R1062" s="797">
        <f t="shared" si="91"/>
        <v>266.31716961141245</v>
      </c>
      <c r="S1062" s="797">
        <f>[1]!taqsabet(O1062,C1062)</f>
        <v>266.31548155831808</v>
      </c>
      <c r="T1062" s="527"/>
      <c r="U1062" s="527">
        <v>8</v>
      </c>
      <c r="V1062" s="527">
        <v>23</v>
      </c>
      <c r="W1062" s="527">
        <v>23</v>
      </c>
      <c r="X1062" s="527"/>
      <c r="Y1062" s="527">
        <v>22</v>
      </c>
      <c r="Z1062" s="527">
        <v>40</v>
      </c>
      <c r="AA1062" s="527" t="s">
        <v>274</v>
      </c>
      <c r="AB1062" s="527">
        <v>5</v>
      </c>
      <c r="AC1062" s="527">
        <v>5</v>
      </c>
      <c r="AD1062" s="527" t="s">
        <v>2693</v>
      </c>
    </row>
    <row r="1063" spans="1:31">
      <c r="C1063" s="523">
        <v>990</v>
      </c>
      <c r="D1063" s="523">
        <v>2</v>
      </c>
      <c r="E1063" s="543" t="s">
        <v>3354</v>
      </c>
      <c r="F1063" s="523">
        <v>70</v>
      </c>
      <c r="G1063" s="523"/>
      <c r="H1063" s="523">
        <v>66</v>
      </c>
      <c r="I1063" s="523">
        <v>0</v>
      </c>
      <c r="J1063" s="523">
        <v>0</v>
      </c>
      <c r="K1063" s="523"/>
      <c r="L1063" s="797">
        <f>[1]!tsabetm(C1063)</f>
        <v>239.91666666666666</v>
      </c>
      <c r="M1063" s="797">
        <f>[1]!tsabetz(C1063)</f>
        <v>266.05</v>
      </c>
      <c r="N1063" s="797">
        <f t="shared" si="87"/>
        <v>66.466836734693828</v>
      </c>
      <c r="O1063" s="797">
        <f t="shared" si="88"/>
        <v>1445.0028169014086</v>
      </c>
      <c r="P1063" s="797">
        <f t="shared" si="89"/>
        <v>59.030176684748312</v>
      </c>
      <c r="Q1063" s="797">
        <f t="shared" si="90"/>
        <v>268</v>
      </c>
      <c r="R1063" s="797">
        <f t="shared" si="91"/>
        <v>268.98383627807914</v>
      </c>
      <c r="S1063" s="797">
        <f>[1]!taqsabet(O1063,C1063)</f>
        <v>268.98214822498477</v>
      </c>
      <c r="T1063" s="523"/>
      <c r="U1063" s="523">
        <v>8</v>
      </c>
      <c r="V1063" s="523">
        <v>26</v>
      </c>
      <c r="W1063" s="523">
        <v>3</v>
      </c>
      <c r="X1063" s="523"/>
      <c r="Y1063" s="523">
        <v>25</v>
      </c>
      <c r="Z1063" s="523">
        <v>45</v>
      </c>
      <c r="AA1063" s="523" t="s">
        <v>274</v>
      </c>
      <c r="AB1063" s="523">
        <v>5</v>
      </c>
      <c r="AC1063" s="523">
        <v>4</v>
      </c>
      <c r="AD1063" s="523" t="s">
        <v>2693</v>
      </c>
    </row>
    <row r="1064" spans="1:31">
      <c r="C1064" s="527">
        <v>991</v>
      </c>
      <c r="D1064" s="527">
        <v>3</v>
      </c>
      <c r="E1064" s="553" t="s">
        <v>3355</v>
      </c>
      <c r="F1064" s="527">
        <v>70</v>
      </c>
      <c r="G1064" s="527"/>
      <c r="H1064" s="527">
        <v>66</v>
      </c>
      <c r="I1064" s="527">
        <v>0</v>
      </c>
      <c r="J1064" s="527">
        <v>0</v>
      </c>
      <c r="K1064" s="527"/>
      <c r="L1064" s="797">
        <f>[1]!tsabetm(C1064)</f>
        <v>235.75</v>
      </c>
      <c r="M1064" s="797">
        <f>[1]!tsabetz(C1064)</f>
        <v>261.88333333333333</v>
      </c>
      <c r="N1064" s="797">
        <f t="shared" si="87"/>
        <v>66.466836734693899</v>
      </c>
      <c r="O1064" s="797">
        <f t="shared" si="88"/>
        <v>1445.0028169014086</v>
      </c>
      <c r="P1064" s="797">
        <f t="shared" si="89"/>
        <v>49.030176684747175</v>
      </c>
      <c r="Q1064" s="797">
        <f t="shared" si="90"/>
        <v>264</v>
      </c>
      <c r="R1064" s="797">
        <f t="shared" si="91"/>
        <v>264.81716961141245</v>
      </c>
      <c r="S1064" s="797">
        <f>[1]!taqsabet(O1064,C1064)</f>
        <v>264.81548155831808</v>
      </c>
      <c r="T1064" s="527"/>
      <c r="U1064" s="527">
        <v>8</v>
      </c>
      <c r="V1064" s="527">
        <v>21</v>
      </c>
      <c r="W1064" s="527">
        <v>53</v>
      </c>
      <c r="X1064" s="527"/>
      <c r="Y1064" s="527">
        <v>27</v>
      </c>
      <c r="Z1064" s="527">
        <v>30</v>
      </c>
      <c r="AA1064" s="527" t="s">
        <v>274</v>
      </c>
      <c r="AB1064" s="527">
        <v>4</v>
      </c>
      <c r="AC1064" s="527">
        <v>4</v>
      </c>
      <c r="AD1064" s="527" t="s">
        <v>2693</v>
      </c>
    </row>
    <row r="1065" spans="1:31">
      <c r="C1065" s="523">
        <v>992</v>
      </c>
      <c r="D1065" s="523">
        <v>4</v>
      </c>
      <c r="E1065" s="543" t="s">
        <v>3356</v>
      </c>
      <c r="F1065" s="523">
        <v>70</v>
      </c>
      <c r="G1065" s="523"/>
      <c r="H1065" s="523">
        <v>66</v>
      </c>
      <c r="I1065" s="523">
        <v>0</v>
      </c>
      <c r="J1065" s="523">
        <v>0</v>
      </c>
      <c r="K1065" s="523"/>
      <c r="L1065" s="797">
        <f>[1]!tsabetm(C1065)</f>
        <v>230.25</v>
      </c>
      <c r="M1065" s="797">
        <f>[1]!tsabetz(C1065)</f>
        <v>256.38333333333333</v>
      </c>
      <c r="N1065" s="797">
        <f t="shared" si="87"/>
        <v>66.466836734693899</v>
      </c>
      <c r="O1065" s="797">
        <f t="shared" si="88"/>
        <v>1445.0028169014086</v>
      </c>
      <c r="P1065" s="797">
        <f t="shared" si="89"/>
        <v>19.030176684747175</v>
      </c>
      <c r="Q1065" s="797">
        <f t="shared" si="90"/>
        <v>259</v>
      </c>
      <c r="R1065" s="797">
        <f t="shared" si="91"/>
        <v>259.31716961141245</v>
      </c>
      <c r="S1065" s="797">
        <f>[1]!taqsabet(O1065,C1065)</f>
        <v>259.31548155831808</v>
      </c>
      <c r="T1065" s="523"/>
      <c r="U1065" s="523">
        <v>8</v>
      </c>
      <c r="V1065" s="523">
        <v>16</v>
      </c>
      <c r="W1065" s="523">
        <v>23</v>
      </c>
      <c r="X1065" s="523"/>
      <c r="Y1065" s="523">
        <v>30</v>
      </c>
      <c r="Z1065" s="523">
        <v>20</v>
      </c>
      <c r="AA1065" s="523" t="s">
        <v>274</v>
      </c>
      <c r="AB1065" s="523">
        <v>5</v>
      </c>
      <c r="AC1065" s="523">
        <v>5</v>
      </c>
      <c r="AD1065" s="523" t="s">
        <v>2693</v>
      </c>
    </row>
    <row r="1066" spans="1:31">
      <c r="C1066" s="527">
        <v>993</v>
      </c>
      <c r="D1066" s="527">
        <v>5</v>
      </c>
      <c r="E1066" s="553" t="s">
        <v>3357</v>
      </c>
      <c r="F1066" s="527">
        <v>70</v>
      </c>
      <c r="G1066" s="527"/>
      <c r="H1066" s="527">
        <v>66</v>
      </c>
      <c r="I1066" s="527">
        <v>0</v>
      </c>
      <c r="J1066" s="527">
        <v>0</v>
      </c>
      <c r="K1066" s="527"/>
      <c r="L1066" s="797">
        <f>[1]!tsabetm(C1066)</f>
        <v>234.75</v>
      </c>
      <c r="M1066" s="797">
        <f>[1]!tsabetz(C1066)</f>
        <v>260.88333333333333</v>
      </c>
      <c r="N1066" s="797">
        <f t="shared" si="87"/>
        <v>66.466836734693899</v>
      </c>
      <c r="O1066" s="797">
        <f t="shared" si="88"/>
        <v>1445.0028169014086</v>
      </c>
      <c r="P1066" s="797">
        <f t="shared" si="89"/>
        <v>49.030176684747175</v>
      </c>
      <c r="Q1066" s="797">
        <f t="shared" si="90"/>
        <v>263</v>
      </c>
      <c r="R1066" s="797">
        <f t="shared" si="91"/>
        <v>263.81716961141245</v>
      </c>
      <c r="S1066" s="797">
        <f>[1]!taqsabet(O1066,C1066)</f>
        <v>263.81548155831808</v>
      </c>
      <c r="T1066" s="527"/>
      <c r="U1066" s="527">
        <v>8</v>
      </c>
      <c r="V1066" s="527">
        <v>20</v>
      </c>
      <c r="W1066" s="527">
        <v>53</v>
      </c>
      <c r="X1066" s="527"/>
      <c r="Y1066" s="527">
        <v>34</v>
      </c>
      <c r="Z1066" s="527">
        <v>10</v>
      </c>
      <c r="AA1066" s="527" t="s">
        <v>274</v>
      </c>
      <c r="AB1066" s="527">
        <v>4</v>
      </c>
      <c r="AC1066" s="527">
        <v>4</v>
      </c>
      <c r="AD1066" s="527" t="s">
        <v>2693</v>
      </c>
    </row>
    <row r="1067" spans="1:31">
      <c r="C1067" s="523">
        <v>994</v>
      </c>
      <c r="D1067" s="523">
        <v>6</v>
      </c>
      <c r="E1067" s="543" t="s">
        <v>3358</v>
      </c>
      <c r="F1067" s="523">
        <v>70</v>
      </c>
      <c r="G1067" s="523"/>
      <c r="H1067" s="523">
        <v>66</v>
      </c>
      <c r="I1067" s="523">
        <v>0</v>
      </c>
      <c r="J1067" s="523">
        <v>0</v>
      </c>
      <c r="K1067" s="523"/>
      <c r="L1067" s="797">
        <f>[1]!tsabetm(C1067)</f>
        <v>234.58333333333331</v>
      </c>
      <c r="M1067" s="797">
        <f>[1]!tsabetz(C1067)</f>
        <v>260.71666666666664</v>
      </c>
      <c r="N1067" s="797">
        <f t="shared" si="87"/>
        <v>66.466836734693899</v>
      </c>
      <c r="O1067" s="797">
        <f t="shared" si="88"/>
        <v>1445.0028169014086</v>
      </c>
      <c r="P1067" s="797">
        <f t="shared" si="89"/>
        <v>39.030176684746039</v>
      </c>
      <c r="Q1067" s="797">
        <f t="shared" si="90"/>
        <v>263</v>
      </c>
      <c r="R1067" s="797">
        <f t="shared" si="91"/>
        <v>263.65050294474577</v>
      </c>
      <c r="S1067" s="797">
        <f>[1]!taqsabet(O1067,C1067)</f>
        <v>263.6488148916514</v>
      </c>
      <c r="T1067" s="523"/>
      <c r="U1067" s="523">
        <v>8</v>
      </c>
      <c r="V1067" s="523">
        <v>20</v>
      </c>
      <c r="W1067" s="523">
        <v>43</v>
      </c>
      <c r="X1067" s="523"/>
      <c r="Y1067" s="523">
        <v>33</v>
      </c>
      <c r="Z1067" s="523">
        <v>20</v>
      </c>
      <c r="AA1067" s="523" t="s">
        <v>274</v>
      </c>
      <c r="AB1067" s="523">
        <v>4</v>
      </c>
      <c r="AC1067" s="523">
        <v>4</v>
      </c>
      <c r="AD1067" s="523" t="s">
        <v>2693</v>
      </c>
    </row>
    <row r="1068" spans="1:31">
      <c r="C1068" s="527">
        <v>995</v>
      </c>
      <c r="D1068" s="527">
        <v>7</v>
      </c>
      <c r="E1068" s="553" t="s">
        <v>3359</v>
      </c>
      <c r="F1068" s="527">
        <v>70</v>
      </c>
      <c r="G1068" s="527"/>
      <c r="H1068" s="527">
        <v>66</v>
      </c>
      <c r="I1068" s="527">
        <v>0</v>
      </c>
      <c r="J1068" s="527">
        <v>0</v>
      </c>
      <c r="K1068" s="527"/>
      <c r="L1068" s="797">
        <f>[1]!tsabetm(C1068)</f>
        <v>230.41666666666666</v>
      </c>
      <c r="M1068" s="797">
        <f>[1]!tsabetz(C1068)</f>
        <v>256.55</v>
      </c>
      <c r="N1068" s="797">
        <f t="shared" si="87"/>
        <v>66.466836734693828</v>
      </c>
      <c r="O1068" s="797">
        <f t="shared" si="88"/>
        <v>1445.0028169014086</v>
      </c>
      <c r="P1068" s="797">
        <f t="shared" si="89"/>
        <v>29.030176684748312</v>
      </c>
      <c r="Q1068" s="797">
        <f t="shared" si="90"/>
        <v>259</v>
      </c>
      <c r="R1068" s="797">
        <f t="shared" si="91"/>
        <v>259.48383627807914</v>
      </c>
      <c r="S1068" s="797">
        <f>[1]!taqsabet(O1068,C1068)</f>
        <v>259.48214822498477</v>
      </c>
      <c r="T1068" s="527"/>
      <c r="U1068" s="527">
        <v>8</v>
      </c>
      <c r="V1068" s="527">
        <v>16</v>
      </c>
      <c r="W1068" s="527">
        <v>33</v>
      </c>
      <c r="X1068" s="527"/>
      <c r="Y1068" s="527">
        <v>34</v>
      </c>
      <c r="Z1068" s="527">
        <v>0</v>
      </c>
      <c r="AA1068" s="527" t="s">
        <v>274</v>
      </c>
      <c r="AB1068" s="527">
        <v>4</v>
      </c>
      <c r="AC1068" s="527">
        <v>4</v>
      </c>
      <c r="AD1068" s="527" t="s">
        <v>2693</v>
      </c>
    </row>
    <row r="1069" spans="1:31">
      <c r="C1069" s="546"/>
      <c r="D1069" s="546"/>
      <c r="E1069" s="546"/>
      <c r="F1069" s="546"/>
      <c r="G1069" s="546"/>
      <c r="H1069" s="546"/>
      <c r="I1069" s="546"/>
      <c r="J1069" s="546"/>
      <c r="K1069" s="546"/>
      <c r="N1069" s="797">
        <f t="shared" si="87"/>
        <v>4.8250000000000002</v>
      </c>
      <c r="O1069" s="797">
        <f t="shared" si="88"/>
        <v>1445.0028169014086</v>
      </c>
      <c r="P1069" s="797">
        <f t="shared" si="89"/>
        <v>24.905495147049237</v>
      </c>
      <c r="Q1069" s="797">
        <f t="shared" si="90"/>
        <v>40</v>
      </c>
      <c r="R1069" s="797">
        <f t="shared" si="91"/>
        <v>40.415091585784154</v>
      </c>
      <c r="S1069" s="797">
        <f>[1]!taqsabet(O1069,C1069)</f>
        <v>1.4716840899636423</v>
      </c>
      <c r="T1069" s="546"/>
      <c r="U1069" s="546"/>
      <c r="V1069" s="546"/>
      <c r="W1069" s="546"/>
      <c r="X1069" s="546"/>
      <c r="Y1069" s="546"/>
      <c r="Z1069" s="546"/>
      <c r="AA1069" s="546"/>
      <c r="AB1069" s="546"/>
      <c r="AC1069" s="546"/>
      <c r="AD1069" s="546"/>
    </row>
    <row r="1070" spans="1:31">
      <c r="A1070" s="567">
        <v>13</v>
      </c>
      <c r="B1070" s="536" t="s">
        <v>3360</v>
      </c>
      <c r="C1070" s="522">
        <v>996</v>
      </c>
      <c r="D1070" s="522">
        <v>1</v>
      </c>
      <c r="E1070" s="550" t="s">
        <v>3361</v>
      </c>
      <c r="F1070" s="522">
        <v>70</v>
      </c>
      <c r="G1070" s="522"/>
      <c r="H1070" s="522">
        <v>66</v>
      </c>
      <c r="I1070" s="522">
        <v>0</v>
      </c>
      <c r="J1070" s="522">
        <v>0</v>
      </c>
      <c r="K1070" s="522"/>
      <c r="L1070" s="797">
        <f>[1]!tsabetm(C1070)</f>
        <v>248.75</v>
      </c>
      <c r="M1070" s="797">
        <f>[1]!tsabetz(C1070)</f>
        <v>274.2</v>
      </c>
      <c r="N1070" s="797">
        <f t="shared" si="87"/>
        <v>68.251473477406705</v>
      </c>
      <c r="O1070" s="797">
        <f t="shared" si="88"/>
        <v>1445.0028169014086</v>
      </c>
      <c r="P1070" s="797">
        <f t="shared" si="89"/>
        <v>3.4273468096989745</v>
      </c>
      <c r="Q1070" s="797">
        <f t="shared" si="90"/>
        <v>277</v>
      </c>
      <c r="R1070" s="797">
        <f t="shared" si="91"/>
        <v>277.05712244682832</v>
      </c>
      <c r="S1070" s="797">
        <f>[1]!taqsabet(O1070,C1070)</f>
        <v>277.05547853287737</v>
      </c>
      <c r="T1070" s="522"/>
      <c r="U1070" s="522">
        <v>9</v>
      </c>
      <c r="V1070" s="522">
        <v>4</v>
      </c>
      <c r="W1070" s="522">
        <v>12</v>
      </c>
      <c r="X1070" s="522"/>
      <c r="Y1070" s="522">
        <v>22</v>
      </c>
      <c r="Z1070" s="522">
        <v>0</v>
      </c>
      <c r="AA1070" s="522" t="s">
        <v>274</v>
      </c>
      <c r="AB1070" s="522">
        <v>4</v>
      </c>
      <c r="AC1070" s="522">
        <v>4</v>
      </c>
      <c r="AD1070" s="522" t="s">
        <v>3362</v>
      </c>
    </row>
    <row r="1071" spans="1:31">
      <c r="C1071" s="523">
        <v>997</v>
      </c>
      <c r="D1071" s="523">
        <v>2</v>
      </c>
      <c r="E1071" s="543" t="s">
        <v>3363</v>
      </c>
      <c r="F1071" s="523">
        <v>70</v>
      </c>
      <c r="G1071" s="523"/>
      <c r="H1071" s="523">
        <v>66</v>
      </c>
      <c r="I1071" s="523">
        <v>0</v>
      </c>
      <c r="J1071" s="523">
        <v>0</v>
      </c>
      <c r="K1071" s="523"/>
      <c r="L1071" s="797">
        <f>[1]!tsabetm(C1071)</f>
        <v>251.25</v>
      </c>
      <c r="M1071" s="797">
        <f>[1]!tsabetz(C1071)</f>
        <v>277.66666666666669</v>
      </c>
      <c r="N1071" s="797">
        <f t="shared" si="87"/>
        <v>65.753943217665565</v>
      </c>
      <c r="O1071" s="797">
        <f t="shared" si="88"/>
        <v>1445.0028169014086</v>
      </c>
      <c r="P1071" s="797">
        <f t="shared" si="89"/>
        <v>37.938667120744185</v>
      </c>
      <c r="Q1071" s="797">
        <f t="shared" si="90"/>
        <v>280</v>
      </c>
      <c r="R1071" s="797">
        <f t="shared" si="91"/>
        <v>280.63231111867907</v>
      </c>
      <c r="S1071" s="797">
        <f>[1]!taqsabet(O1071,C1071)</f>
        <v>280.63060476398863</v>
      </c>
      <c r="T1071" s="523"/>
      <c r="U1071" s="523">
        <v>9</v>
      </c>
      <c r="V1071" s="523">
        <v>7</v>
      </c>
      <c r="W1071" s="523">
        <v>40</v>
      </c>
      <c r="X1071" s="523"/>
      <c r="Y1071" s="523">
        <v>21</v>
      </c>
      <c r="Z1071" s="523">
        <v>18</v>
      </c>
      <c r="AA1071" s="523" t="s">
        <v>274</v>
      </c>
      <c r="AB1071" s="523">
        <v>6</v>
      </c>
      <c r="AC1071" s="523">
        <v>5</v>
      </c>
      <c r="AD1071" s="523" t="s">
        <v>3362</v>
      </c>
    </row>
    <row r="1072" spans="1:31">
      <c r="C1072" s="522">
        <v>998</v>
      </c>
      <c r="D1072" s="522">
        <v>3</v>
      </c>
      <c r="E1072" s="550" t="s">
        <v>3364</v>
      </c>
      <c r="F1072" s="522">
        <v>70</v>
      </c>
      <c r="G1072" s="522"/>
      <c r="H1072" s="522">
        <v>66</v>
      </c>
      <c r="I1072" s="522">
        <v>0</v>
      </c>
      <c r="J1072" s="522">
        <v>0</v>
      </c>
      <c r="K1072" s="522"/>
      <c r="L1072" s="797">
        <f>[1]!tsabetm(C1072)</f>
        <v>252.75</v>
      </c>
      <c r="M1072" s="797">
        <f>[1]!tsabetz(C1072)</f>
        <v>278.36666666666667</v>
      </c>
      <c r="N1072" s="797">
        <f t="shared" si="87"/>
        <v>67.807417046193862</v>
      </c>
      <c r="O1072" s="797">
        <f t="shared" si="88"/>
        <v>1445.0028169014086</v>
      </c>
      <c r="P1072" s="797">
        <f t="shared" si="89"/>
        <v>14.549988242638392</v>
      </c>
      <c r="Q1072" s="797">
        <f t="shared" si="90"/>
        <v>281</v>
      </c>
      <c r="R1072" s="797">
        <f t="shared" si="91"/>
        <v>281.24249980404397</v>
      </c>
      <c r="S1072" s="797">
        <f>[1]!taqsabet(O1072,C1072)</f>
        <v>281.2408451244483</v>
      </c>
      <c r="T1072" s="522"/>
      <c r="U1072" s="522">
        <v>9</v>
      </c>
      <c r="V1072" s="522">
        <v>8</v>
      </c>
      <c r="W1072" s="522">
        <v>22</v>
      </c>
      <c r="X1072" s="522"/>
      <c r="Y1072" s="522">
        <v>20</v>
      </c>
      <c r="Z1072" s="522">
        <v>30</v>
      </c>
      <c r="AA1072" s="522" t="s">
        <v>274</v>
      </c>
      <c r="AB1072" s="522">
        <v>6</v>
      </c>
      <c r="AC1072" s="522">
        <v>5</v>
      </c>
      <c r="AD1072" s="522" t="s">
        <v>3362</v>
      </c>
    </row>
    <row r="1073" spans="1:31">
      <c r="C1073" s="523">
        <v>999</v>
      </c>
      <c r="D1073" s="523">
        <v>4</v>
      </c>
      <c r="E1073" s="543" t="s">
        <v>3365</v>
      </c>
      <c r="F1073" s="523">
        <v>70</v>
      </c>
      <c r="G1073" s="523"/>
      <c r="H1073" s="523">
        <v>66</v>
      </c>
      <c r="I1073" s="523">
        <v>0</v>
      </c>
      <c r="J1073" s="523">
        <v>0</v>
      </c>
      <c r="K1073" s="523"/>
      <c r="L1073" s="797">
        <f>[1]!tsabetm(C1073)</f>
        <v>254.41666666666669</v>
      </c>
      <c r="M1073" s="797">
        <f>[1]!tsabetz(C1073)</f>
        <v>279.96666666666664</v>
      </c>
      <c r="N1073" s="797">
        <f t="shared" si="87"/>
        <v>67.984344422700701</v>
      </c>
      <c r="O1073" s="797">
        <f t="shared" si="88"/>
        <v>1445.0028169014086</v>
      </c>
      <c r="P1073" s="797">
        <f t="shared" si="89"/>
        <v>50.100931669463762</v>
      </c>
      <c r="Q1073" s="797">
        <f t="shared" si="90"/>
        <v>282</v>
      </c>
      <c r="R1073" s="797">
        <f t="shared" si="91"/>
        <v>282.8350155278244</v>
      </c>
      <c r="S1073" s="797">
        <f>[1]!taqsabet(O1073,C1073)</f>
        <v>282.83336515448656</v>
      </c>
      <c r="T1073" s="523"/>
      <c r="U1073" s="523">
        <v>9</v>
      </c>
      <c r="V1073" s="523">
        <v>9</v>
      </c>
      <c r="W1073" s="523">
        <v>58</v>
      </c>
      <c r="X1073" s="523"/>
      <c r="Y1073" s="523">
        <v>19</v>
      </c>
      <c r="Z1073" s="523">
        <v>51</v>
      </c>
      <c r="AA1073" s="523" t="s">
        <v>274</v>
      </c>
      <c r="AB1073" s="523">
        <v>5</v>
      </c>
      <c r="AC1073" s="523">
        <v>4</v>
      </c>
      <c r="AD1073" s="523" t="s">
        <v>3362</v>
      </c>
    </row>
    <row r="1074" spans="1:31">
      <c r="C1074" s="522">
        <v>1000</v>
      </c>
      <c r="D1074" s="522">
        <v>5</v>
      </c>
      <c r="E1074" s="550" t="s">
        <v>3366</v>
      </c>
      <c r="F1074" s="522">
        <v>70</v>
      </c>
      <c r="G1074" s="522"/>
      <c r="H1074" s="522">
        <v>66</v>
      </c>
      <c r="I1074" s="522">
        <v>0</v>
      </c>
      <c r="J1074" s="522">
        <v>0</v>
      </c>
      <c r="K1074" s="522"/>
      <c r="L1074" s="797">
        <f>[1]!tsabetm(C1074)</f>
        <v>255.75</v>
      </c>
      <c r="M1074" s="797">
        <f>[1]!tsabetz(C1074)</f>
        <v>281.36666666666667</v>
      </c>
      <c r="N1074" s="797">
        <f t="shared" si="87"/>
        <v>67.807417046193862</v>
      </c>
      <c r="O1074" s="797">
        <f t="shared" si="88"/>
        <v>1445.0028169014086</v>
      </c>
      <c r="P1074" s="797">
        <f t="shared" si="89"/>
        <v>14.549988242638392</v>
      </c>
      <c r="Q1074" s="797">
        <f t="shared" si="90"/>
        <v>284</v>
      </c>
      <c r="R1074" s="797">
        <f t="shared" si="91"/>
        <v>284.24249980404397</v>
      </c>
      <c r="S1074" s="797">
        <f>[1]!taqsabet(O1074,C1074)</f>
        <v>284.2408451244483</v>
      </c>
      <c r="T1074" s="522"/>
      <c r="U1074" s="522">
        <v>9</v>
      </c>
      <c r="V1074" s="522">
        <v>11</v>
      </c>
      <c r="W1074" s="522">
        <v>22</v>
      </c>
      <c r="X1074" s="522"/>
      <c r="Y1074" s="522">
        <v>18</v>
      </c>
      <c r="Z1074" s="522">
        <v>18</v>
      </c>
      <c r="AA1074" s="522" t="s">
        <v>274</v>
      </c>
      <c r="AB1074" s="522">
        <v>5</v>
      </c>
      <c r="AC1074" s="522">
        <v>5</v>
      </c>
      <c r="AD1074" s="522" t="s">
        <v>3362</v>
      </c>
    </row>
    <row r="1075" spans="1:31">
      <c r="C1075" s="523">
        <v>1001</v>
      </c>
      <c r="D1075" s="523">
        <v>6</v>
      </c>
      <c r="E1075" s="543" t="s">
        <v>3367</v>
      </c>
      <c r="F1075" s="523">
        <v>70</v>
      </c>
      <c r="G1075" s="523"/>
      <c r="H1075" s="523">
        <v>66</v>
      </c>
      <c r="I1075" s="523">
        <v>0</v>
      </c>
      <c r="J1075" s="523">
        <v>0</v>
      </c>
      <c r="K1075" s="523"/>
      <c r="L1075" s="797">
        <f>[1]!tsabetm(C1075)</f>
        <v>256.58333333333331</v>
      </c>
      <c r="M1075" s="797">
        <f>[1]!tsabetz(C1075)</f>
        <v>279.26666666666665</v>
      </c>
      <c r="N1075" s="797">
        <f t="shared" si="87"/>
        <v>76.576047024246861</v>
      </c>
      <c r="O1075" s="797">
        <f t="shared" si="88"/>
        <v>1445.0028169014086</v>
      </c>
      <c r="P1075" s="797">
        <f t="shared" si="89"/>
        <v>48.791499022920561</v>
      </c>
      <c r="Q1075" s="797">
        <f t="shared" si="90"/>
        <v>281</v>
      </c>
      <c r="R1075" s="797">
        <f t="shared" si="91"/>
        <v>281.81319165038201</v>
      </c>
      <c r="S1075" s="797">
        <f>[1]!taqsabet(O1075,C1075)</f>
        <v>281.81172644613366</v>
      </c>
      <c r="T1075" s="523"/>
      <c r="U1075" s="523">
        <v>9</v>
      </c>
      <c r="V1075" s="523">
        <v>9</v>
      </c>
      <c r="W1075" s="523">
        <v>16</v>
      </c>
      <c r="X1075" s="523"/>
      <c r="Y1075" s="523">
        <v>17</v>
      </c>
      <c r="Z1075" s="523">
        <v>18</v>
      </c>
      <c r="AA1075" s="523" t="s">
        <v>274</v>
      </c>
      <c r="AB1075" s="523">
        <v>5</v>
      </c>
      <c r="AC1075" s="523">
        <v>4</v>
      </c>
      <c r="AD1075" s="523" t="s">
        <v>3362</v>
      </c>
    </row>
    <row r="1076" spans="1:31">
      <c r="C1076" s="522">
        <v>1002</v>
      </c>
      <c r="D1076" s="522">
        <v>7</v>
      </c>
      <c r="E1076" s="550" t="s">
        <v>3368</v>
      </c>
      <c r="F1076" s="522">
        <v>70</v>
      </c>
      <c r="G1076" s="522"/>
      <c r="H1076" s="522">
        <v>66</v>
      </c>
      <c r="I1076" s="522">
        <v>0</v>
      </c>
      <c r="J1076" s="522">
        <v>0</v>
      </c>
      <c r="K1076" s="522"/>
      <c r="L1076" s="797">
        <f>[1]!tsabetm(C1076)</f>
        <v>256.41666666666669</v>
      </c>
      <c r="M1076" s="797">
        <f>[1]!tsabetz(C1076)</f>
        <v>281.66666666666669</v>
      </c>
      <c r="N1076" s="797">
        <f t="shared" si="87"/>
        <v>68.792079207920793</v>
      </c>
      <c r="O1076" s="797">
        <f t="shared" si="88"/>
        <v>1445.0028169014086</v>
      </c>
      <c r="P1076" s="797">
        <f t="shared" si="89"/>
        <v>30.080177090176221</v>
      </c>
      <c r="Q1076" s="797">
        <f t="shared" si="90"/>
        <v>284</v>
      </c>
      <c r="R1076" s="797">
        <f t="shared" si="91"/>
        <v>284.50133628483627</v>
      </c>
      <c r="S1076" s="797">
        <f>[1]!taqsabet(O1076,C1076)</f>
        <v>284.49970528965895</v>
      </c>
      <c r="T1076" s="522"/>
      <c r="U1076" s="522">
        <v>9</v>
      </c>
      <c r="V1076" s="522">
        <v>11</v>
      </c>
      <c r="W1076" s="522">
        <v>40</v>
      </c>
      <c r="X1076" s="522"/>
      <c r="Y1076" s="522">
        <v>16</v>
      </c>
      <c r="Z1076" s="522">
        <v>12</v>
      </c>
      <c r="AA1076" s="522" t="s">
        <v>274</v>
      </c>
      <c r="AB1076" s="522">
        <v>5</v>
      </c>
      <c r="AC1076" s="522">
        <v>4</v>
      </c>
      <c r="AD1076" s="522" t="s">
        <v>3362</v>
      </c>
    </row>
    <row r="1077" spans="1:31">
      <c r="C1077" s="523">
        <v>1003</v>
      </c>
      <c r="D1077" s="523">
        <v>8</v>
      </c>
      <c r="E1077" s="543" t="s">
        <v>3369</v>
      </c>
      <c r="F1077" s="523">
        <v>70</v>
      </c>
      <c r="G1077" s="523"/>
      <c r="H1077" s="523">
        <v>66</v>
      </c>
      <c r="I1077" s="523">
        <v>0</v>
      </c>
      <c r="J1077" s="523">
        <v>0</v>
      </c>
      <c r="K1077" s="523"/>
      <c r="L1077" s="797">
        <f>[1]!tsabetm(C1077)</f>
        <v>256.08333333333331</v>
      </c>
      <c r="M1077" s="797">
        <f>[1]!tsabetz(C1077)</f>
        <v>280.33333333333331</v>
      </c>
      <c r="N1077" s="797">
        <f t="shared" si="87"/>
        <v>71.628865979381445</v>
      </c>
      <c r="O1077" s="797">
        <f t="shared" si="88"/>
        <v>1445.0028169014086</v>
      </c>
      <c r="P1077" s="797">
        <f t="shared" si="89"/>
        <v>3.344328492544264</v>
      </c>
      <c r="Q1077" s="797">
        <f t="shared" si="90"/>
        <v>283</v>
      </c>
      <c r="R1077" s="797">
        <f t="shared" si="91"/>
        <v>283.05573880820907</v>
      </c>
      <c r="S1077" s="797">
        <f>[1]!taqsabet(O1077,C1077)</f>
        <v>283.05417240690014</v>
      </c>
      <c r="T1077" s="523"/>
      <c r="U1077" s="523">
        <v>9</v>
      </c>
      <c r="V1077" s="523">
        <v>10</v>
      </c>
      <c r="W1077" s="523">
        <v>20</v>
      </c>
      <c r="X1077" s="523"/>
      <c r="Y1077" s="523">
        <v>15</v>
      </c>
      <c r="Z1077" s="523">
        <v>15</v>
      </c>
      <c r="AA1077" s="523" t="s">
        <v>274</v>
      </c>
      <c r="AB1077" s="523">
        <v>6</v>
      </c>
      <c r="AC1077" s="523">
        <v>4</v>
      </c>
      <c r="AD1077" s="523" t="s">
        <v>3362</v>
      </c>
    </row>
    <row r="1078" spans="1:31">
      <c r="C1078" s="522">
        <v>1004</v>
      </c>
      <c r="D1078" s="522">
        <v>9</v>
      </c>
      <c r="E1078" s="550" t="s">
        <v>3370</v>
      </c>
      <c r="F1078" s="522">
        <v>70</v>
      </c>
      <c r="G1078" s="522"/>
      <c r="H1078" s="522">
        <v>66</v>
      </c>
      <c r="I1078" s="522">
        <v>0</v>
      </c>
      <c r="J1078" s="522">
        <v>0</v>
      </c>
      <c r="K1078" s="522"/>
      <c r="L1078" s="797">
        <f>[1]!tsabetm(C1078)</f>
        <v>254.75</v>
      </c>
      <c r="M1078" s="797">
        <f>[1]!tsabetz(C1078)</f>
        <v>280.11666666666667</v>
      </c>
      <c r="N1078" s="797">
        <f t="shared" si="87"/>
        <v>68.475689881734539</v>
      </c>
      <c r="O1078" s="797">
        <f t="shared" si="88"/>
        <v>1445.0028169014086</v>
      </c>
      <c r="P1078" s="797">
        <f t="shared" si="89"/>
        <v>57.866026093232676</v>
      </c>
      <c r="Q1078" s="797">
        <f t="shared" si="90"/>
        <v>282</v>
      </c>
      <c r="R1078" s="797">
        <f t="shared" si="91"/>
        <v>282.96443376822054</v>
      </c>
      <c r="S1078" s="797">
        <f>[1]!taqsabet(O1078,C1078)</f>
        <v>282.96279523709194</v>
      </c>
      <c r="T1078" s="522"/>
      <c r="U1078" s="522">
        <v>9</v>
      </c>
      <c r="V1078" s="522">
        <v>10</v>
      </c>
      <c r="W1078" s="522">
        <v>7</v>
      </c>
      <c r="X1078" s="522"/>
      <c r="Y1078" s="522">
        <v>15</v>
      </c>
      <c r="Z1078" s="522">
        <v>12</v>
      </c>
      <c r="AA1078" s="522" t="s">
        <v>274</v>
      </c>
      <c r="AB1078" s="522">
        <v>6</v>
      </c>
      <c r="AC1078" s="522">
        <v>6</v>
      </c>
      <c r="AD1078" s="522" t="s">
        <v>3362</v>
      </c>
    </row>
    <row r="1079" spans="1:31">
      <c r="C1079" s="523">
        <v>1005</v>
      </c>
      <c r="D1079" s="523">
        <v>10</v>
      </c>
      <c r="E1079" s="543" t="s">
        <v>3371</v>
      </c>
      <c r="F1079" s="523">
        <v>70</v>
      </c>
      <c r="G1079" s="523"/>
      <c r="H1079" s="523">
        <v>66</v>
      </c>
      <c r="I1079" s="523">
        <v>0</v>
      </c>
      <c r="J1079" s="523">
        <v>0</v>
      </c>
      <c r="K1079" s="523"/>
      <c r="L1079" s="797">
        <f>[1]!tsabetm(C1079)</f>
        <v>254.25</v>
      </c>
      <c r="M1079" s="797">
        <f>[1]!tsabetz(C1079)</f>
        <v>277.51666666666665</v>
      </c>
      <c r="N1079" s="797">
        <f t="shared" si="87"/>
        <v>74.656160458452774</v>
      </c>
      <c r="O1079" s="797">
        <f t="shared" si="88"/>
        <v>1445.0028169014086</v>
      </c>
      <c r="P1079" s="797">
        <f t="shared" si="89"/>
        <v>7.7207440382062487</v>
      </c>
      <c r="Q1079" s="797">
        <f t="shared" si="90"/>
        <v>280</v>
      </c>
      <c r="R1079" s="797">
        <f t="shared" si="91"/>
        <v>280.12867906730344</v>
      </c>
      <c r="S1079" s="797">
        <f>[1]!taqsabet(O1079,C1079)</f>
        <v>280.12717618329845</v>
      </c>
      <c r="T1079" s="523"/>
      <c r="U1079" s="523">
        <v>9</v>
      </c>
      <c r="V1079" s="523">
        <v>7</v>
      </c>
      <c r="W1079" s="523">
        <v>31</v>
      </c>
      <c r="X1079" s="523"/>
      <c r="Y1079" s="523">
        <v>14</v>
      </c>
      <c r="Z1079" s="523">
        <v>39</v>
      </c>
      <c r="AA1079" s="523" t="s">
        <v>274</v>
      </c>
      <c r="AB1079" s="523">
        <v>6</v>
      </c>
      <c r="AC1079" s="523">
        <v>5</v>
      </c>
      <c r="AD1079" s="523" t="s">
        <v>3362</v>
      </c>
    </row>
    <row r="1080" spans="1:31">
      <c r="C1080" s="522">
        <v>1006</v>
      </c>
      <c r="D1080" s="522">
        <v>11</v>
      </c>
      <c r="E1080" s="550" t="s">
        <v>3372</v>
      </c>
      <c r="F1080" s="522">
        <v>70</v>
      </c>
      <c r="G1080" s="522"/>
      <c r="H1080" s="522">
        <v>66</v>
      </c>
      <c r="I1080" s="522">
        <v>0</v>
      </c>
      <c r="J1080" s="522">
        <v>0</v>
      </c>
      <c r="K1080" s="522"/>
      <c r="L1080" s="797">
        <f>[1]!tsabetm(C1080)</f>
        <v>251.41666666666669</v>
      </c>
      <c r="M1080" s="797">
        <f>[1]!tsabetz(C1080)</f>
        <v>276.85000000000002</v>
      </c>
      <c r="N1080" s="797">
        <f t="shared" si="87"/>
        <v>68.296199213630402</v>
      </c>
      <c r="O1080" s="797">
        <f t="shared" si="88"/>
        <v>1445.0028169014086</v>
      </c>
      <c r="P1080" s="797">
        <f t="shared" si="89"/>
        <v>42.31508266640958</v>
      </c>
      <c r="Q1080" s="797">
        <f t="shared" si="90"/>
        <v>279</v>
      </c>
      <c r="R1080" s="797">
        <f t="shared" si="91"/>
        <v>279.70525137777349</v>
      </c>
      <c r="S1080" s="797">
        <f>[1]!taqsabet(O1080,C1080)</f>
        <v>279.70360854038694</v>
      </c>
      <c r="T1080" s="522"/>
      <c r="U1080" s="522">
        <v>9</v>
      </c>
      <c r="V1080" s="522">
        <v>6</v>
      </c>
      <c r="W1080" s="522">
        <v>51</v>
      </c>
      <c r="X1080" s="522"/>
      <c r="Y1080" s="522">
        <v>15</v>
      </c>
      <c r="Z1080" s="522">
        <v>0</v>
      </c>
      <c r="AA1080" s="522" t="s">
        <v>274</v>
      </c>
      <c r="AB1080" s="522">
        <v>5</v>
      </c>
      <c r="AC1080" s="522">
        <v>5</v>
      </c>
      <c r="AD1080" s="522" t="s">
        <v>3362</v>
      </c>
    </row>
    <row r="1081" spans="1:31">
      <c r="C1081" s="523">
        <v>1007</v>
      </c>
      <c r="D1081" s="523">
        <v>12</v>
      </c>
      <c r="E1081" s="543" t="s">
        <v>3373</v>
      </c>
      <c r="F1081" s="523">
        <v>70</v>
      </c>
      <c r="G1081" s="523"/>
      <c r="H1081" s="523">
        <v>66</v>
      </c>
      <c r="I1081" s="523">
        <v>0</v>
      </c>
      <c r="J1081" s="523">
        <v>0</v>
      </c>
      <c r="K1081" s="523"/>
      <c r="L1081" s="797">
        <f>[1]!tsabetm(C1081)</f>
        <v>249.25</v>
      </c>
      <c r="M1081" s="797">
        <f>[1]!tsabetz(C1081)</f>
        <v>275.2</v>
      </c>
      <c r="N1081" s="797">
        <f t="shared" si="87"/>
        <v>66.936416184971122</v>
      </c>
      <c r="O1081" s="797">
        <f t="shared" si="88"/>
        <v>1445.0028169014086</v>
      </c>
      <c r="P1081" s="797">
        <f t="shared" si="89"/>
        <v>6.7952711085172268</v>
      </c>
      <c r="Q1081" s="797">
        <f t="shared" si="90"/>
        <v>278</v>
      </c>
      <c r="R1081" s="797">
        <f t="shared" si="91"/>
        <v>278.11325451847529</v>
      </c>
      <c r="S1081" s="797">
        <f>[1]!taqsabet(O1081,C1081)</f>
        <v>278.11157830759004</v>
      </c>
      <c r="T1081" s="523"/>
      <c r="U1081" s="523">
        <v>9</v>
      </c>
      <c r="V1081" s="523">
        <v>5</v>
      </c>
      <c r="W1081" s="523">
        <v>12</v>
      </c>
      <c r="X1081" s="523"/>
      <c r="Y1081" s="523">
        <v>16</v>
      </c>
      <c r="Z1081" s="523">
        <v>0</v>
      </c>
      <c r="AA1081" s="523" t="s">
        <v>274</v>
      </c>
      <c r="AB1081" s="523">
        <v>5</v>
      </c>
      <c r="AC1081" s="523">
        <v>5</v>
      </c>
      <c r="AD1081" s="523" t="s">
        <v>3362</v>
      </c>
    </row>
    <row r="1082" spans="1:31">
      <c r="C1082" s="522">
        <v>1008</v>
      </c>
      <c r="D1082" s="522">
        <v>13</v>
      </c>
      <c r="E1082" s="550" t="s">
        <v>3374</v>
      </c>
      <c r="F1082" s="522">
        <v>70</v>
      </c>
      <c r="G1082" s="522"/>
      <c r="H1082" s="522">
        <v>66</v>
      </c>
      <c r="I1082" s="522">
        <v>0</v>
      </c>
      <c r="J1082" s="522">
        <v>0</v>
      </c>
      <c r="K1082" s="522"/>
      <c r="L1082" s="797">
        <f>[1]!tsabetm(C1082)</f>
        <v>248.75</v>
      </c>
      <c r="M1082" s="797">
        <f>[1]!tsabetz(C1082)</f>
        <v>274.60000000000002</v>
      </c>
      <c r="N1082" s="797">
        <f t="shared" si="87"/>
        <v>67.195357833655649</v>
      </c>
      <c r="O1082" s="797">
        <f t="shared" si="88"/>
        <v>1445.0028169014086</v>
      </c>
      <c r="P1082" s="797">
        <f t="shared" si="89"/>
        <v>30.121686248753576</v>
      </c>
      <c r="Q1082" s="797">
        <f t="shared" si="90"/>
        <v>277</v>
      </c>
      <c r="R1082" s="797">
        <f t="shared" si="91"/>
        <v>277.50202810414589</v>
      </c>
      <c r="S1082" s="797">
        <f>[1]!taqsabet(O1082,C1082)</f>
        <v>277.50035835264754</v>
      </c>
      <c r="T1082" s="522"/>
      <c r="U1082" s="522">
        <v>9</v>
      </c>
      <c r="V1082" s="522">
        <v>4</v>
      </c>
      <c r="W1082" s="522">
        <v>36</v>
      </c>
      <c r="X1082" s="522"/>
      <c r="Y1082" s="522">
        <v>18</v>
      </c>
      <c r="Z1082" s="522">
        <v>1</v>
      </c>
      <c r="AA1082" s="522" t="s">
        <v>274</v>
      </c>
      <c r="AB1082" s="522">
        <v>5</v>
      </c>
      <c r="AC1082" s="522">
        <v>5</v>
      </c>
      <c r="AD1082" s="522" t="s">
        <v>3362</v>
      </c>
    </row>
    <row r="1083" spans="1:31">
      <c r="B1083" s="505" t="s">
        <v>2355</v>
      </c>
      <c r="C1083" s="506" t="s">
        <v>2356</v>
      </c>
      <c r="D1083" s="507" t="s">
        <v>2357</v>
      </c>
      <c r="E1083" s="511" t="s">
        <v>2358</v>
      </c>
      <c r="F1083" s="511"/>
      <c r="G1083" s="511"/>
      <c r="H1083" s="511"/>
      <c r="I1083" s="511"/>
      <c r="J1083" s="511"/>
      <c r="K1083" s="514" t="s">
        <v>2360</v>
      </c>
      <c r="N1083" s="797">
        <f t="shared" si="87"/>
        <v>4.8250000000000002</v>
      </c>
      <c r="O1083" s="797">
        <f t="shared" si="88"/>
        <v>1445.0028169014086</v>
      </c>
      <c r="P1083" s="797">
        <f t="shared" si="89"/>
        <v>24.905495147049237</v>
      </c>
      <c r="Q1083" s="797">
        <f t="shared" si="90"/>
        <v>40</v>
      </c>
      <c r="R1083" s="797">
        <f t="shared" si="91"/>
        <v>40.415091585784154</v>
      </c>
      <c r="S1083" s="797" t="e">
        <f>[1]!taqsabet(O1083,C1083)</f>
        <v>#VALUE!</v>
      </c>
      <c r="T1083" s="507"/>
      <c r="U1083" s="508" t="s">
        <v>403</v>
      </c>
      <c r="V1083" s="508"/>
      <c r="W1083" s="509"/>
      <c r="X1083" s="507"/>
      <c r="Y1083" s="509" t="s">
        <v>275</v>
      </c>
      <c r="Z1083" s="510"/>
      <c r="AA1083" s="506" t="s">
        <v>176</v>
      </c>
      <c r="AB1083" s="511" t="s">
        <v>2361</v>
      </c>
      <c r="AC1083" s="511" t="s">
        <v>2362</v>
      </c>
      <c r="AD1083" s="511" t="s">
        <v>2363</v>
      </c>
    </row>
    <row r="1084" spans="1:31">
      <c r="B1084" s="505"/>
      <c r="C1084" s="512"/>
      <c r="D1084" s="512"/>
      <c r="E1084" s="513"/>
      <c r="F1084" s="513"/>
      <c r="G1084" s="513"/>
      <c r="H1084" s="513"/>
      <c r="I1084" s="513"/>
      <c r="J1084" s="513"/>
      <c r="K1084" s="514"/>
      <c r="N1084" s="797">
        <f t="shared" si="87"/>
        <v>4.8250000000000002</v>
      </c>
      <c r="O1084" s="797">
        <f t="shared" si="88"/>
        <v>1445.0028169014086</v>
      </c>
      <c r="P1084" s="797">
        <f t="shared" si="89"/>
        <v>24.905495147049237</v>
      </c>
      <c r="Q1084" s="797">
        <f t="shared" si="90"/>
        <v>40</v>
      </c>
      <c r="R1084" s="797">
        <f t="shared" si="91"/>
        <v>40.415091585784154</v>
      </c>
      <c r="S1084" s="797">
        <f>[1]!taqsabet(O1084,C1084)</f>
        <v>1.4716840899636423</v>
      </c>
      <c r="T1084" s="515" t="s">
        <v>2367</v>
      </c>
      <c r="U1084" s="516" t="s">
        <v>173</v>
      </c>
      <c r="V1084" s="516" t="s">
        <v>172</v>
      </c>
      <c r="W1084" s="516" t="s">
        <v>166</v>
      </c>
      <c r="X1084" s="517" t="s">
        <v>2367</v>
      </c>
      <c r="Y1084" s="516" t="s">
        <v>172</v>
      </c>
      <c r="Z1084" s="518" t="s">
        <v>166</v>
      </c>
      <c r="AA1084" s="512"/>
      <c r="AB1084" s="517" t="s">
        <v>2368</v>
      </c>
      <c r="AC1084" s="517" t="s">
        <v>2369</v>
      </c>
      <c r="AD1084" s="513"/>
    </row>
    <row r="1085" spans="1:31">
      <c r="A1085" s="567">
        <v>15</v>
      </c>
      <c r="B1085" s="536" t="s">
        <v>3375</v>
      </c>
      <c r="C1085" s="527">
        <v>1009</v>
      </c>
      <c r="D1085" s="527">
        <v>1</v>
      </c>
      <c r="E1085" s="553" t="s">
        <v>3376</v>
      </c>
      <c r="F1085" s="527">
        <v>70</v>
      </c>
      <c r="G1085" s="527"/>
      <c r="H1085" s="527">
        <v>66</v>
      </c>
      <c r="I1085" s="527">
        <v>0</v>
      </c>
      <c r="J1085" s="527">
        <v>0</v>
      </c>
      <c r="K1085" s="527"/>
      <c r="L1085" s="797">
        <f>[1]!tsabetm(C1085)</f>
        <v>300.25</v>
      </c>
      <c r="M1085" s="797">
        <f>[1]!tsabetz(C1085)</f>
        <v>326.76666666666665</v>
      </c>
      <c r="N1085" s="797">
        <f t="shared" si="87"/>
        <v>65.505971087366476</v>
      </c>
      <c r="O1085" s="797">
        <f t="shared" si="88"/>
        <v>1445.0028169014086</v>
      </c>
      <c r="P1085" s="797">
        <f t="shared" si="89"/>
        <v>44.612251980507835</v>
      </c>
      <c r="Q1085" s="797">
        <f t="shared" si="90"/>
        <v>329</v>
      </c>
      <c r="R1085" s="797">
        <f t="shared" si="91"/>
        <v>329.74353753300846</v>
      </c>
      <c r="S1085" s="797">
        <f>[1]!taqsabet(O1085,C1085)</f>
        <v>329.74182471893113</v>
      </c>
      <c r="T1085" s="527"/>
      <c r="U1085" s="527">
        <v>10</v>
      </c>
      <c r="V1085" s="527">
        <v>26</v>
      </c>
      <c r="W1085" s="527">
        <v>46</v>
      </c>
      <c r="X1085" s="527"/>
      <c r="Y1085" s="527">
        <v>21</v>
      </c>
      <c r="Z1085" s="527">
        <v>30</v>
      </c>
      <c r="AA1085" s="527" t="s">
        <v>274</v>
      </c>
      <c r="AB1085" s="527">
        <v>4</v>
      </c>
      <c r="AC1085" s="527">
        <v>4</v>
      </c>
      <c r="AD1085" s="527" t="s">
        <v>3377</v>
      </c>
      <c r="AE1085" s="327">
        <v>617</v>
      </c>
    </row>
    <row r="1086" spans="1:31">
      <c r="C1086" s="523">
        <v>1010</v>
      </c>
      <c r="D1086" s="523">
        <v>2</v>
      </c>
      <c r="E1086" s="543" t="s">
        <v>3378</v>
      </c>
      <c r="F1086" s="523">
        <v>70</v>
      </c>
      <c r="G1086" s="523"/>
      <c r="H1086" s="523">
        <v>66</v>
      </c>
      <c r="I1086" s="523">
        <v>0</v>
      </c>
      <c r="J1086" s="523">
        <v>0</v>
      </c>
      <c r="K1086" s="523"/>
      <c r="L1086" s="797">
        <f>[1]!tsabetm(C1086)</f>
        <v>303.75</v>
      </c>
      <c r="M1086" s="797">
        <f>[1]!tsabetz(C1086)</f>
        <v>330.26666666666665</v>
      </c>
      <c r="N1086" s="797">
        <f t="shared" si="87"/>
        <v>65.505971087366476</v>
      </c>
      <c r="O1086" s="797">
        <f t="shared" si="88"/>
        <v>1445.0028169014086</v>
      </c>
      <c r="P1086" s="797">
        <f t="shared" si="89"/>
        <v>14.612251980507835</v>
      </c>
      <c r="Q1086" s="797">
        <f t="shared" si="90"/>
        <v>333</v>
      </c>
      <c r="R1086" s="797">
        <f t="shared" si="91"/>
        <v>333.24353753300846</v>
      </c>
      <c r="S1086" s="797">
        <f>[1]!taqsabet(O1086,C1086)</f>
        <v>333.24182471893113</v>
      </c>
      <c r="T1086" s="523"/>
      <c r="U1086" s="523">
        <v>11</v>
      </c>
      <c r="V1086" s="523">
        <v>0</v>
      </c>
      <c r="W1086" s="523">
        <v>16</v>
      </c>
      <c r="X1086" s="523"/>
      <c r="Y1086" s="523">
        <v>23</v>
      </c>
      <c r="Z1086" s="523">
        <v>30</v>
      </c>
      <c r="AA1086" s="523" t="s">
        <v>274</v>
      </c>
      <c r="AB1086" s="523">
        <v>4</v>
      </c>
      <c r="AC1086" s="523">
        <v>4</v>
      </c>
      <c r="AD1086" s="523" t="s">
        <v>3377</v>
      </c>
    </row>
    <row r="1087" spans="1:31">
      <c r="C1087" s="527">
        <v>1011</v>
      </c>
      <c r="D1087" s="527">
        <v>3</v>
      </c>
      <c r="E1087" s="553" t="s">
        <v>2756</v>
      </c>
      <c r="F1087" s="527">
        <v>70</v>
      </c>
      <c r="G1087" s="527"/>
      <c r="H1087" s="527">
        <v>66</v>
      </c>
      <c r="I1087" s="527">
        <v>0</v>
      </c>
      <c r="J1087" s="527">
        <v>0</v>
      </c>
      <c r="K1087" s="527"/>
      <c r="L1087" s="797">
        <f>[1]!tsabetm(C1087)</f>
        <v>305.08333333333331</v>
      </c>
      <c r="M1087" s="797">
        <f>[1]!tsabetz(C1087)</f>
        <v>331.01666666666665</v>
      </c>
      <c r="N1087" s="797">
        <f t="shared" si="87"/>
        <v>66.979434447300761</v>
      </c>
      <c r="O1087" s="797">
        <f t="shared" si="88"/>
        <v>1445.0028169014086</v>
      </c>
      <c r="P1087" s="797">
        <f t="shared" si="89"/>
        <v>55.683006965222148</v>
      </c>
      <c r="Q1087" s="797">
        <f t="shared" si="90"/>
        <v>333</v>
      </c>
      <c r="R1087" s="797">
        <f t="shared" si="91"/>
        <v>333.92805011608704</v>
      </c>
      <c r="S1087" s="797">
        <f>[1]!taqsabet(O1087,C1087)</f>
        <v>333.92637498176629</v>
      </c>
      <c r="T1087" s="527"/>
      <c r="U1087" s="527">
        <v>11</v>
      </c>
      <c r="V1087" s="527">
        <v>1</v>
      </c>
      <c r="W1087" s="527">
        <v>1</v>
      </c>
      <c r="X1087" s="527"/>
      <c r="Y1087" s="527">
        <v>23</v>
      </c>
      <c r="Z1087" s="527">
        <v>48</v>
      </c>
      <c r="AA1087" s="527" t="s">
        <v>274</v>
      </c>
      <c r="AB1087" s="527">
        <v>4</v>
      </c>
      <c r="AC1087" s="527">
        <v>4</v>
      </c>
      <c r="AD1087" s="527" t="s">
        <v>3377</v>
      </c>
    </row>
    <row r="1088" spans="1:31">
      <c r="C1088" s="523">
        <v>1012</v>
      </c>
      <c r="D1088" s="523">
        <v>4</v>
      </c>
      <c r="E1088" s="543" t="s">
        <v>3379</v>
      </c>
      <c r="F1088" s="523">
        <v>70</v>
      </c>
      <c r="G1088" s="523"/>
      <c r="H1088" s="523">
        <v>66</v>
      </c>
      <c r="I1088" s="523">
        <v>0</v>
      </c>
      <c r="J1088" s="523">
        <v>0</v>
      </c>
      <c r="K1088" s="523"/>
      <c r="L1088" s="797">
        <f>[1]!tsabetm(C1088)</f>
        <v>303.91666666666669</v>
      </c>
      <c r="M1088" s="797">
        <f>[1]!tsabetz(C1088)</f>
        <v>330.86666666666667</v>
      </c>
      <c r="N1088" s="797">
        <f t="shared" si="87"/>
        <v>64.452690166975913</v>
      </c>
      <c r="O1088" s="797">
        <f t="shared" si="88"/>
        <v>1445.0028169014086</v>
      </c>
      <c r="P1088" s="797">
        <f t="shared" si="89"/>
        <v>53.531119706148047</v>
      </c>
      <c r="Q1088" s="797">
        <f t="shared" si="90"/>
        <v>333</v>
      </c>
      <c r="R1088" s="797">
        <f t="shared" si="91"/>
        <v>333.8921853284358</v>
      </c>
      <c r="S1088" s="797">
        <f>[1]!taqsabet(O1088,C1088)</f>
        <v>333.89044452368216</v>
      </c>
      <c r="T1088" s="523"/>
      <c r="U1088" s="523">
        <v>11</v>
      </c>
      <c r="V1088" s="523">
        <v>0</v>
      </c>
      <c r="W1088" s="523">
        <v>52</v>
      </c>
      <c r="X1088" s="523"/>
      <c r="Y1088" s="523">
        <v>17</v>
      </c>
      <c r="Z1088" s="523">
        <v>45</v>
      </c>
      <c r="AA1088" s="523" t="s">
        <v>274</v>
      </c>
      <c r="AB1088" s="523">
        <v>4</v>
      </c>
      <c r="AC1088" s="523">
        <v>4</v>
      </c>
      <c r="AD1088" s="523" t="s">
        <v>3377</v>
      </c>
    </row>
    <row r="1089" spans="1:30">
      <c r="C1089" s="527">
        <v>1013</v>
      </c>
      <c r="D1089" s="527">
        <v>5</v>
      </c>
      <c r="E1089" s="553" t="s">
        <v>3380</v>
      </c>
      <c r="F1089" s="527">
        <v>70</v>
      </c>
      <c r="G1089" s="527"/>
      <c r="H1089" s="527">
        <v>66</v>
      </c>
      <c r="I1089" s="527">
        <v>0</v>
      </c>
      <c r="J1089" s="527">
        <v>0</v>
      </c>
      <c r="K1089" s="527"/>
      <c r="L1089" s="797">
        <f>[1]!tsabetm(C1089)</f>
        <v>294.75</v>
      </c>
      <c r="M1089" s="797">
        <f>[1]!tsabetz(C1089)</f>
        <v>322.01666666666665</v>
      </c>
      <c r="N1089" s="797">
        <f t="shared" si="87"/>
        <v>63.704156479217637</v>
      </c>
      <c r="O1089" s="797">
        <f t="shared" si="88"/>
        <v>1445.0028169014086</v>
      </c>
      <c r="P1089" s="797">
        <f t="shared" si="89"/>
        <v>4.6641384287283927</v>
      </c>
      <c r="Q1089" s="797">
        <f t="shared" si="90"/>
        <v>325</v>
      </c>
      <c r="R1089" s="797">
        <f t="shared" si="91"/>
        <v>325.07773564047881</v>
      </c>
      <c r="S1089" s="797">
        <f>[1]!taqsabet(O1089,C1089)</f>
        <v>325.07597438100021</v>
      </c>
      <c r="T1089" s="527"/>
      <c r="U1089" s="527">
        <v>10</v>
      </c>
      <c r="V1089" s="527">
        <v>22</v>
      </c>
      <c r="W1089" s="527">
        <v>1</v>
      </c>
      <c r="X1089" s="527"/>
      <c r="Y1089" s="527">
        <v>21</v>
      </c>
      <c r="Z1089" s="527">
        <v>0</v>
      </c>
      <c r="AA1089" s="527" t="s">
        <v>274</v>
      </c>
      <c r="AB1089" s="527">
        <v>5</v>
      </c>
      <c r="AC1089" s="527">
        <v>5</v>
      </c>
      <c r="AD1089" s="527" t="s">
        <v>3377</v>
      </c>
    </row>
    <row r="1090" spans="1:30">
      <c r="C1090" s="523">
        <v>1014</v>
      </c>
      <c r="D1090" s="523">
        <v>6</v>
      </c>
      <c r="E1090" s="543" t="s">
        <v>3381</v>
      </c>
      <c r="F1090" s="523">
        <v>70</v>
      </c>
      <c r="G1090" s="523"/>
      <c r="H1090" s="523">
        <v>66</v>
      </c>
      <c r="I1090" s="523">
        <v>0</v>
      </c>
      <c r="J1090" s="523">
        <v>0</v>
      </c>
      <c r="K1090" s="523"/>
      <c r="L1090" s="797">
        <f>[1]!tsabetm(C1090)</f>
        <v>300.75</v>
      </c>
      <c r="M1090" s="797">
        <f>[1]!tsabetz(C1090)</f>
        <v>328.21666666666664</v>
      </c>
      <c r="N1090" s="797">
        <f t="shared" si="87"/>
        <v>63.240291262135983</v>
      </c>
      <c r="O1090" s="797">
        <f t="shared" si="88"/>
        <v>1445.0028169014086</v>
      </c>
      <c r="P1090" s="797">
        <f t="shared" si="89"/>
        <v>18.011308148255694</v>
      </c>
      <c r="Q1090" s="797">
        <f t="shared" si="90"/>
        <v>331</v>
      </c>
      <c r="R1090" s="797">
        <f t="shared" si="91"/>
        <v>331.30018846913759</v>
      </c>
      <c r="S1090" s="797">
        <f>[1]!taqsabet(O1090,C1090)</f>
        <v>331.29841429088532</v>
      </c>
      <c r="T1090" s="523"/>
      <c r="U1090" s="523">
        <v>10</v>
      </c>
      <c r="V1090" s="523">
        <v>28</v>
      </c>
      <c r="W1090" s="523">
        <v>13</v>
      </c>
      <c r="X1090" s="523"/>
      <c r="Y1090" s="523">
        <v>16</v>
      </c>
      <c r="Z1090" s="523">
        <v>45</v>
      </c>
      <c r="AA1090" s="523" t="s">
        <v>274</v>
      </c>
      <c r="AB1090" s="523">
        <v>6</v>
      </c>
      <c r="AC1090" s="523">
        <v>5</v>
      </c>
      <c r="AD1090" s="523" t="s">
        <v>3377</v>
      </c>
    </row>
    <row r="1091" spans="1:30">
      <c r="C1091" s="527">
        <v>1015</v>
      </c>
      <c r="D1091" s="527">
        <v>7</v>
      </c>
      <c r="E1091" s="553" t="s">
        <v>3382</v>
      </c>
      <c r="F1091" s="527">
        <v>70</v>
      </c>
      <c r="G1091" s="527"/>
      <c r="H1091" s="527">
        <v>66</v>
      </c>
      <c r="I1091" s="527">
        <v>0</v>
      </c>
      <c r="J1091" s="527">
        <v>0</v>
      </c>
      <c r="K1091" s="527"/>
      <c r="L1091" s="797">
        <f>[1]!tsabetm(C1091)</f>
        <v>298.41666666666669</v>
      </c>
      <c r="M1091" s="797">
        <f>[1]!tsabetz(C1091)</f>
        <v>324.86666666666667</v>
      </c>
      <c r="N1091" s="797">
        <f t="shared" si="87"/>
        <v>65.671077504725929</v>
      </c>
      <c r="O1091" s="797">
        <f t="shared" si="88"/>
        <v>1445.0028169014086</v>
      </c>
      <c r="P1091" s="797">
        <f t="shared" si="89"/>
        <v>50.163195407333205</v>
      </c>
      <c r="Q1091" s="797">
        <f t="shared" si="90"/>
        <v>327</v>
      </c>
      <c r="R1091" s="797">
        <f t="shared" si="91"/>
        <v>327.83605325678889</v>
      </c>
      <c r="S1091" s="797">
        <f>[1]!taqsabet(O1091,C1091)</f>
        <v>327.83434474896944</v>
      </c>
      <c r="T1091" s="527"/>
      <c r="U1091" s="527">
        <v>10</v>
      </c>
      <c r="V1091" s="527">
        <v>24</v>
      </c>
      <c r="W1091" s="527">
        <v>52</v>
      </c>
      <c r="X1091" s="527"/>
      <c r="Y1091" s="527">
        <v>16</v>
      </c>
      <c r="Z1091" s="527">
        <v>15</v>
      </c>
      <c r="AA1091" s="527" t="s">
        <v>274</v>
      </c>
      <c r="AB1091" s="527">
        <v>5</v>
      </c>
      <c r="AC1091" s="527">
        <v>4</v>
      </c>
      <c r="AD1091" s="527" t="s">
        <v>3377</v>
      </c>
    </row>
    <row r="1092" spans="1:30">
      <c r="C1092" s="523">
        <v>1016</v>
      </c>
      <c r="D1092" s="523">
        <v>8</v>
      </c>
      <c r="E1092" s="543" t="s">
        <v>3131</v>
      </c>
      <c r="F1092" s="523">
        <v>70</v>
      </c>
      <c r="G1092" s="523"/>
      <c r="H1092" s="523">
        <v>66</v>
      </c>
      <c r="I1092" s="523">
        <v>0</v>
      </c>
      <c r="J1092" s="523">
        <v>0</v>
      </c>
      <c r="K1092" s="523"/>
      <c r="L1092" s="797">
        <f>[1]!tsabetm(C1092)</f>
        <v>294.75</v>
      </c>
      <c r="M1092" s="797">
        <f>[1]!tsabetz(C1092)</f>
        <v>321.46666666666664</v>
      </c>
      <c r="N1092" s="797">
        <f t="shared" si="87"/>
        <v>65.015595757953903</v>
      </c>
      <c r="O1092" s="797">
        <f t="shared" si="88"/>
        <v>1445.0028169014086</v>
      </c>
      <c r="P1092" s="797">
        <f t="shared" si="89"/>
        <v>27.959421700031726</v>
      </c>
      <c r="Q1092" s="797">
        <f t="shared" si="90"/>
        <v>324</v>
      </c>
      <c r="R1092" s="797">
        <f t="shared" si="91"/>
        <v>324.4659903616672</v>
      </c>
      <c r="S1092" s="797">
        <f>[1]!taqsabet(O1092,C1092)</f>
        <v>324.46426462881624</v>
      </c>
      <c r="T1092" s="523"/>
      <c r="U1092" s="523">
        <v>10</v>
      </c>
      <c r="V1092" s="523">
        <v>21</v>
      </c>
      <c r="W1092" s="523">
        <v>28</v>
      </c>
      <c r="X1092" s="523"/>
      <c r="Y1092" s="523">
        <v>15</v>
      </c>
      <c r="Z1092" s="523">
        <v>30</v>
      </c>
      <c r="AA1092" s="523" t="s">
        <v>274</v>
      </c>
      <c r="AB1092" s="523">
        <v>5</v>
      </c>
      <c r="AC1092" s="523">
        <v>4</v>
      </c>
      <c r="AD1092" s="523" t="s">
        <v>3377</v>
      </c>
    </row>
    <row r="1093" spans="1:30">
      <c r="C1093" s="527">
        <v>1017</v>
      </c>
      <c r="D1093" s="527">
        <v>9</v>
      </c>
      <c r="E1093" s="553" t="s">
        <v>3383</v>
      </c>
      <c r="F1093" s="527">
        <v>70</v>
      </c>
      <c r="G1093" s="527"/>
      <c r="H1093" s="527">
        <v>66</v>
      </c>
      <c r="I1093" s="527">
        <v>0</v>
      </c>
      <c r="J1093" s="527">
        <v>0</v>
      </c>
      <c r="K1093" s="527"/>
      <c r="L1093" s="797">
        <f>[1]!tsabetm(C1093)</f>
        <v>291.41666666666669</v>
      </c>
      <c r="M1093" s="797">
        <f>[1]!tsabetz(C1093)</f>
        <v>317.41666666666669</v>
      </c>
      <c r="N1093" s="797">
        <f t="shared" si="87"/>
        <v>66.807692307692307</v>
      </c>
      <c r="O1093" s="797">
        <f t="shared" si="88"/>
        <v>1445.0028169014086</v>
      </c>
      <c r="P1093" s="797">
        <f t="shared" si="89"/>
        <v>20.132063538400189</v>
      </c>
      <c r="Q1093" s="797">
        <f t="shared" si="90"/>
        <v>320</v>
      </c>
      <c r="R1093" s="797">
        <f t="shared" si="91"/>
        <v>320.33553439230667</v>
      </c>
      <c r="S1093" s="797">
        <f>[1]!taqsabet(O1093,C1093)</f>
        <v>320.33385495172803</v>
      </c>
      <c r="T1093" s="527"/>
      <c r="U1093" s="527">
        <v>10</v>
      </c>
      <c r="V1093" s="527">
        <v>17</v>
      </c>
      <c r="W1093" s="527">
        <v>25</v>
      </c>
      <c r="X1093" s="527"/>
      <c r="Y1093" s="527">
        <v>16</v>
      </c>
      <c r="Z1093" s="527">
        <v>14</v>
      </c>
      <c r="AA1093" s="527" t="s">
        <v>274</v>
      </c>
      <c r="AB1093" s="527">
        <v>5</v>
      </c>
      <c r="AC1093" s="527">
        <v>4</v>
      </c>
      <c r="AD1093" s="527" t="s">
        <v>3377</v>
      </c>
    </row>
    <row r="1094" spans="1:30">
      <c r="C1094" s="523">
        <v>1018</v>
      </c>
      <c r="D1094" s="523">
        <v>10</v>
      </c>
      <c r="E1094" s="543" t="s">
        <v>2612</v>
      </c>
      <c r="F1094" s="523">
        <v>70</v>
      </c>
      <c r="G1094" s="523"/>
      <c r="H1094" s="523">
        <v>66</v>
      </c>
      <c r="I1094" s="523">
        <v>0</v>
      </c>
      <c r="J1094" s="523">
        <v>0</v>
      </c>
      <c r="K1094" s="523"/>
      <c r="L1094" s="797">
        <f>[1]!tsabetm(C1094)</f>
        <v>290.58333333333331</v>
      </c>
      <c r="M1094" s="797">
        <f>[1]!tsabetz(C1094)</f>
        <v>316.51666666666665</v>
      </c>
      <c r="N1094" s="797">
        <f t="shared" si="87"/>
        <v>66.979434447300761</v>
      </c>
      <c r="O1094" s="797">
        <f t="shared" si="88"/>
        <v>1445.0028169014086</v>
      </c>
      <c r="P1094" s="797">
        <f t="shared" si="89"/>
        <v>25.683006965222148</v>
      </c>
      <c r="Q1094" s="797">
        <f t="shared" si="90"/>
        <v>319</v>
      </c>
      <c r="R1094" s="797">
        <f t="shared" si="91"/>
        <v>319.42805011608704</v>
      </c>
      <c r="S1094" s="797">
        <f>[1]!taqsabet(O1094,C1094)</f>
        <v>319.42637498176629</v>
      </c>
      <c r="T1094" s="523"/>
      <c r="U1094" s="523">
        <v>10</v>
      </c>
      <c r="V1094" s="523">
        <v>16</v>
      </c>
      <c r="W1094" s="523">
        <v>31</v>
      </c>
      <c r="X1094" s="523"/>
      <c r="Y1094" s="523">
        <v>18</v>
      </c>
      <c r="Z1094" s="523">
        <v>33</v>
      </c>
      <c r="AA1094" s="523" t="s">
        <v>274</v>
      </c>
      <c r="AB1094" s="523">
        <v>4</v>
      </c>
      <c r="AC1094" s="523">
        <v>4</v>
      </c>
      <c r="AD1094" s="523" t="s">
        <v>3377</v>
      </c>
    </row>
    <row r="1095" spans="1:30">
      <c r="C1095" s="527">
        <v>1019</v>
      </c>
      <c r="D1095" s="527">
        <v>11</v>
      </c>
      <c r="E1095" s="553" t="s">
        <v>3384</v>
      </c>
      <c r="F1095" s="527">
        <v>70</v>
      </c>
      <c r="G1095" s="527"/>
      <c r="H1095" s="527">
        <v>66</v>
      </c>
      <c r="I1095" s="527">
        <v>0</v>
      </c>
      <c r="J1095" s="527">
        <v>0</v>
      </c>
      <c r="K1095" s="527"/>
      <c r="L1095" s="797">
        <f>[1]!tsabetm(C1095)</f>
        <v>295.58333333333331</v>
      </c>
      <c r="M1095" s="797">
        <f>[1]!tsabetz(C1095)</f>
        <v>321.51666666666665</v>
      </c>
      <c r="N1095" s="797">
        <f t="shared" ref="N1095:N1113" si="92">(1697+40)/((IF(M1095-L1095&gt;0,M1095-L1095,M1095+360-L1095)))</f>
        <v>66.979434447300761</v>
      </c>
      <c r="O1095" s="797">
        <f t="shared" si="88"/>
        <v>1445.0028169014086</v>
      </c>
      <c r="P1095" s="797">
        <f t="shared" si="89"/>
        <v>25.683006965222148</v>
      </c>
      <c r="Q1095" s="797">
        <f t="shared" si="90"/>
        <v>324</v>
      </c>
      <c r="R1095" s="797">
        <f t="shared" si="91"/>
        <v>324.42805011608704</v>
      </c>
      <c r="S1095" s="797">
        <f>[1]!taqsabet(O1095,C1095)</f>
        <v>324.42637498176629</v>
      </c>
      <c r="T1095" s="527"/>
      <c r="U1095" s="527">
        <v>10</v>
      </c>
      <c r="V1095" s="527">
        <v>21</v>
      </c>
      <c r="W1095" s="527">
        <v>31</v>
      </c>
      <c r="X1095" s="527"/>
      <c r="Y1095" s="527">
        <v>23</v>
      </c>
      <c r="Z1095" s="527">
        <v>11</v>
      </c>
      <c r="AA1095" s="527" t="s">
        <v>274</v>
      </c>
      <c r="AB1095" s="527">
        <v>3</v>
      </c>
      <c r="AC1095" s="527">
        <v>4</v>
      </c>
      <c r="AD1095" s="527" t="s">
        <v>3377</v>
      </c>
    </row>
    <row r="1096" spans="1:30">
      <c r="C1096" s="523">
        <v>1020</v>
      </c>
      <c r="D1096" s="523">
        <v>1</v>
      </c>
      <c r="E1096" s="543" t="s">
        <v>3385</v>
      </c>
      <c r="F1096" s="523">
        <v>70</v>
      </c>
      <c r="G1096" s="523"/>
      <c r="H1096" s="523">
        <v>66</v>
      </c>
      <c r="I1096" s="523">
        <v>0</v>
      </c>
      <c r="J1096" s="523">
        <v>0</v>
      </c>
      <c r="K1096" s="523"/>
      <c r="L1096" s="797">
        <f>[1]!tsabetm(C1096)</f>
        <v>277.58333333333331</v>
      </c>
      <c r="M1096" s="797">
        <f>[1]!tsabetz(C1096)</f>
        <v>303.71666666666664</v>
      </c>
      <c r="N1096" s="797">
        <f t="shared" si="92"/>
        <v>66.466836734693899</v>
      </c>
      <c r="O1096" s="797">
        <f t="shared" ref="O1096:O1113" si="93">O1095</f>
        <v>1445.0028169014086</v>
      </c>
      <c r="P1096" s="797">
        <f t="shared" ref="P1096:P1113" si="94">(R1096-Q1096)*60</f>
        <v>39.030176684746039</v>
      </c>
      <c r="Q1096" s="797">
        <f t="shared" ref="Q1096:Q1113" si="95">INT(R1096)</f>
        <v>306</v>
      </c>
      <c r="R1096" s="797">
        <f t="shared" ref="R1096:R1113" si="96">((O1096-1250)/(N1096))+M1096</f>
        <v>306.65050294474577</v>
      </c>
      <c r="S1096" s="797">
        <f>[1]!taqsabet(O1096,C1096)</f>
        <v>306.6488148916514</v>
      </c>
      <c r="T1096" s="523"/>
      <c r="U1096" s="523">
        <v>10</v>
      </c>
      <c r="V1096" s="523">
        <v>3</v>
      </c>
      <c r="W1096" s="523">
        <v>43</v>
      </c>
      <c r="X1096" s="523"/>
      <c r="Y1096" s="523">
        <v>22</v>
      </c>
      <c r="Z1096" s="523">
        <v>20</v>
      </c>
      <c r="AA1096" s="523" t="s">
        <v>274</v>
      </c>
      <c r="AB1096" s="523">
        <v>3</v>
      </c>
      <c r="AC1096" s="523">
        <v>3</v>
      </c>
      <c r="AD1096" s="523"/>
    </row>
    <row r="1097" spans="1:30">
      <c r="C1097" s="527">
        <v>1021</v>
      </c>
      <c r="D1097" s="527">
        <v>2</v>
      </c>
      <c r="E1097" s="553" t="s">
        <v>3386</v>
      </c>
      <c r="F1097" s="527">
        <v>70</v>
      </c>
      <c r="G1097" s="527"/>
      <c r="H1097" s="527">
        <v>66</v>
      </c>
      <c r="I1097" s="527">
        <v>0</v>
      </c>
      <c r="J1097" s="527">
        <v>0</v>
      </c>
      <c r="K1097" s="527"/>
      <c r="L1097" s="797">
        <f>[1]!tsabetm(C1097)</f>
        <v>280.58333333333331</v>
      </c>
      <c r="M1097" s="797">
        <f>[1]!tsabetz(C1097)</f>
        <v>306.88333333333333</v>
      </c>
      <c r="N1097" s="797">
        <f t="shared" si="92"/>
        <v>66.045627376425827</v>
      </c>
      <c r="O1097" s="797">
        <f t="shared" si="93"/>
        <v>1445.0028169014086</v>
      </c>
      <c r="P1097" s="797">
        <f t="shared" si="94"/>
        <v>50.152818117685456</v>
      </c>
      <c r="Q1097" s="797">
        <f t="shared" si="95"/>
        <v>309</v>
      </c>
      <c r="R1097" s="797">
        <f t="shared" si="96"/>
        <v>309.83588030196142</v>
      </c>
      <c r="S1097" s="797">
        <f>[1]!taqsabet(O1097,C1097)</f>
        <v>309.83418148322232</v>
      </c>
      <c r="T1097" s="527"/>
      <c r="U1097" s="527">
        <v>10</v>
      </c>
      <c r="V1097" s="527">
        <v>6</v>
      </c>
      <c r="W1097" s="527">
        <v>53</v>
      </c>
      <c r="X1097" s="527"/>
      <c r="Y1097" s="527">
        <v>22</v>
      </c>
      <c r="Z1097" s="527">
        <v>10</v>
      </c>
      <c r="AA1097" s="527" t="s">
        <v>274</v>
      </c>
      <c r="AB1097" s="527">
        <v>3</v>
      </c>
      <c r="AC1097" s="527">
        <v>3</v>
      </c>
      <c r="AD1097" s="527"/>
    </row>
    <row r="1098" spans="1:30">
      <c r="C1098" s="523">
        <v>1022</v>
      </c>
      <c r="D1098" s="523">
        <v>3</v>
      </c>
      <c r="E1098" s="543" t="s">
        <v>2388</v>
      </c>
      <c r="F1098" s="523">
        <v>70</v>
      </c>
      <c r="G1098" s="523"/>
      <c r="H1098" s="523">
        <v>66</v>
      </c>
      <c r="I1098" s="523">
        <v>0</v>
      </c>
      <c r="J1098" s="523">
        <v>0</v>
      </c>
      <c r="K1098" s="523"/>
      <c r="L1098" s="797">
        <f>[1]!tsabetm(C1098)</f>
        <v>283.58333333333331</v>
      </c>
      <c r="M1098" s="797">
        <f>[1]!tsabetz(C1098)</f>
        <v>309.71666666666664</v>
      </c>
      <c r="N1098" s="797">
        <f t="shared" si="92"/>
        <v>66.466836734693899</v>
      </c>
      <c r="O1098" s="797">
        <f t="shared" si="93"/>
        <v>1445.0028169014086</v>
      </c>
      <c r="P1098" s="797">
        <f t="shared" si="94"/>
        <v>39.030176684746039</v>
      </c>
      <c r="Q1098" s="797">
        <f t="shared" si="95"/>
        <v>312</v>
      </c>
      <c r="R1098" s="797">
        <f t="shared" si="96"/>
        <v>312.65050294474577</v>
      </c>
      <c r="S1098" s="797">
        <f>[1]!taqsabet(O1098,C1098)</f>
        <v>312.6488148916514</v>
      </c>
      <c r="T1098" s="523"/>
      <c r="U1098" s="523">
        <v>10</v>
      </c>
      <c r="V1098" s="523">
        <v>9</v>
      </c>
      <c r="W1098" s="523">
        <v>43</v>
      </c>
      <c r="X1098" s="523"/>
      <c r="Y1098" s="523">
        <v>21</v>
      </c>
      <c r="Z1098" s="523">
        <v>0</v>
      </c>
      <c r="AA1098" s="523" t="s">
        <v>274</v>
      </c>
      <c r="AB1098" s="523">
        <v>4</v>
      </c>
      <c r="AC1098" s="523">
        <v>3</v>
      </c>
      <c r="AD1098" s="523"/>
    </row>
    <row r="1099" spans="1:30">
      <c r="C1099" s="527">
        <v>1023</v>
      </c>
      <c r="D1099" s="527">
        <v>4</v>
      </c>
      <c r="E1099" s="553" t="s">
        <v>3387</v>
      </c>
      <c r="F1099" s="527">
        <v>70</v>
      </c>
      <c r="G1099" s="527"/>
      <c r="H1099" s="527">
        <v>66</v>
      </c>
      <c r="I1099" s="527">
        <v>0</v>
      </c>
      <c r="J1099" s="527">
        <v>0</v>
      </c>
      <c r="K1099" s="527" t="s">
        <v>3862</v>
      </c>
      <c r="L1099" s="797">
        <f>[1]!tsabetm(C1099)</f>
        <v>281.58333333333331</v>
      </c>
      <c r="M1099" s="797">
        <f>[1]!tsabetz(C1099)</f>
        <v>307.71666666666664</v>
      </c>
      <c r="N1099" s="797">
        <f t="shared" si="92"/>
        <v>66.466836734693899</v>
      </c>
      <c r="O1099" s="797">
        <f t="shared" si="93"/>
        <v>1445.0028169014086</v>
      </c>
      <c r="P1099" s="797">
        <f t="shared" si="94"/>
        <v>39.030176684746039</v>
      </c>
      <c r="Q1099" s="797">
        <f t="shared" si="95"/>
        <v>310</v>
      </c>
      <c r="R1099" s="797">
        <f t="shared" si="96"/>
        <v>310.65050294474577</v>
      </c>
      <c r="S1099" s="797">
        <f>[1]!taqsabet(O1099,C1099)</f>
        <v>310.6488148916514</v>
      </c>
      <c r="T1099" s="527"/>
      <c r="U1099" s="527">
        <v>9</v>
      </c>
      <c r="V1099" s="527">
        <v>7</v>
      </c>
      <c r="W1099" s="527">
        <v>43</v>
      </c>
      <c r="X1099" s="527"/>
      <c r="Y1099" s="527">
        <v>20</v>
      </c>
      <c r="Z1099" s="527">
        <v>50</v>
      </c>
      <c r="AA1099" s="527" t="s">
        <v>274</v>
      </c>
      <c r="AB1099" s="527">
        <v>5</v>
      </c>
      <c r="AC1099" s="527">
        <v>5</v>
      </c>
      <c r="AD1099" s="527"/>
    </row>
    <row r="1100" spans="1:30">
      <c r="C1100" s="523">
        <v>1024</v>
      </c>
      <c r="D1100" s="523">
        <v>5</v>
      </c>
      <c r="E1100" s="543" t="s">
        <v>3388</v>
      </c>
      <c r="F1100" s="523">
        <v>70</v>
      </c>
      <c r="G1100" s="523"/>
      <c r="H1100" s="523">
        <v>66</v>
      </c>
      <c r="I1100" s="523">
        <v>0</v>
      </c>
      <c r="J1100" s="523">
        <v>0</v>
      </c>
      <c r="K1100" s="523" t="s">
        <v>3862</v>
      </c>
      <c r="L1100" s="797">
        <f>[1]!tsabetm(C1100)</f>
        <v>283.41666666666669</v>
      </c>
      <c r="M1100" s="797">
        <f>[1]!tsabetz(C1100)</f>
        <v>309.55</v>
      </c>
      <c r="N1100" s="797">
        <f t="shared" si="92"/>
        <v>66.466836734693899</v>
      </c>
      <c r="O1100" s="797">
        <f t="shared" si="93"/>
        <v>1445.0028169014086</v>
      </c>
      <c r="P1100" s="797">
        <f t="shared" si="94"/>
        <v>29.030176684748312</v>
      </c>
      <c r="Q1100" s="797">
        <f t="shared" si="95"/>
        <v>312</v>
      </c>
      <c r="R1100" s="797">
        <f t="shared" si="96"/>
        <v>312.48383627807914</v>
      </c>
      <c r="S1100" s="797">
        <f>[1]!taqsabet(O1100,C1100)</f>
        <v>312.48214822498477</v>
      </c>
      <c r="T1100" s="523"/>
      <c r="U1100" s="523">
        <v>9</v>
      </c>
      <c r="V1100" s="523">
        <v>9</v>
      </c>
      <c r="W1100" s="523">
        <v>33</v>
      </c>
      <c r="X1100" s="523"/>
      <c r="Y1100" s="523">
        <v>17</v>
      </c>
      <c r="Z1100" s="523">
        <v>0</v>
      </c>
      <c r="AA1100" s="523" t="s">
        <v>274</v>
      </c>
      <c r="AB1100" s="523">
        <v>5</v>
      </c>
      <c r="AC1100" s="523">
        <v>4</v>
      </c>
      <c r="AD1100" s="523"/>
    </row>
    <row r="1101" spans="1:30">
      <c r="C1101" s="527">
        <v>1025</v>
      </c>
      <c r="D1101" s="527">
        <v>6</v>
      </c>
      <c r="E1101" s="553" t="s">
        <v>3389</v>
      </c>
      <c r="F1101" s="527">
        <v>70</v>
      </c>
      <c r="G1101" s="527"/>
      <c r="H1101" s="527">
        <v>66</v>
      </c>
      <c r="I1101" s="527">
        <v>0</v>
      </c>
      <c r="J1101" s="527">
        <v>0</v>
      </c>
      <c r="K1101" s="527" t="s">
        <v>3862</v>
      </c>
      <c r="L1101" s="797">
        <f>[1]!tsabetm(C1101)</f>
        <v>283.08333333333331</v>
      </c>
      <c r="M1101" s="797">
        <f>[1]!tsabetz(C1101)</f>
        <v>309.38333333333333</v>
      </c>
      <c r="N1101" s="797">
        <f t="shared" si="92"/>
        <v>66.045627376425827</v>
      </c>
      <c r="O1101" s="797">
        <f t="shared" si="93"/>
        <v>1445.0028169014086</v>
      </c>
      <c r="P1101" s="797">
        <f t="shared" si="94"/>
        <v>20.152818117685456</v>
      </c>
      <c r="Q1101" s="797">
        <f t="shared" si="95"/>
        <v>312</v>
      </c>
      <c r="R1101" s="797">
        <f t="shared" si="96"/>
        <v>312.33588030196142</v>
      </c>
      <c r="S1101" s="797">
        <f>[1]!taqsabet(O1101,C1101)</f>
        <v>312.33418148322232</v>
      </c>
      <c r="T1101" s="527"/>
      <c r="U1101" s="527">
        <v>9</v>
      </c>
      <c r="V1101" s="527">
        <v>9</v>
      </c>
      <c r="W1101" s="527">
        <v>23</v>
      </c>
      <c r="X1101" s="527"/>
      <c r="Y1101" s="527">
        <v>17</v>
      </c>
      <c r="Z1101" s="527">
        <v>50</v>
      </c>
      <c r="AA1101" s="527" t="s">
        <v>274</v>
      </c>
      <c r="AB1101" s="527">
        <v>4</v>
      </c>
      <c r="AC1101" s="527">
        <v>4</v>
      </c>
      <c r="AD1101" s="527"/>
    </row>
    <row r="1102" spans="1:30">
      <c r="C1102" s="546"/>
      <c r="D1102" s="546"/>
      <c r="E1102" s="546"/>
      <c r="F1102" s="546"/>
      <c r="G1102" s="546"/>
      <c r="H1102" s="546"/>
      <c r="I1102" s="546"/>
      <c r="J1102" s="546"/>
      <c r="K1102" s="546"/>
      <c r="N1102" s="797">
        <f t="shared" si="92"/>
        <v>4.8250000000000002</v>
      </c>
      <c r="O1102" s="797">
        <f t="shared" si="93"/>
        <v>1445.0028169014086</v>
      </c>
      <c r="P1102" s="797">
        <f t="shared" si="94"/>
        <v>24.905495147049237</v>
      </c>
      <c r="Q1102" s="797">
        <f t="shared" si="95"/>
        <v>40</v>
      </c>
      <c r="R1102" s="797">
        <f t="shared" si="96"/>
        <v>40.415091585784154</v>
      </c>
      <c r="S1102" s="797">
        <f>[1]!taqsabet(O1102,C1102)</f>
        <v>1.4716840899636423</v>
      </c>
      <c r="T1102" s="546"/>
      <c r="U1102" s="546"/>
      <c r="V1102" s="546"/>
      <c r="W1102" s="546"/>
      <c r="X1102" s="546"/>
      <c r="Y1102" s="546"/>
      <c r="Z1102" s="546"/>
      <c r="AA1102" s="546"/>
      <c r="AB1102" s="546"/>
      <c r="AC1102" s="546"/>
      <c r="AD1102" s="546"/>
    </row>
    <row r="1103" spans="1:30">
      <c r="A1103" s="363"/>
      <c r="B1103" s="327" t="s">
        <v>3390</v>
      </c>
      <c r="C1103" s="522">
        <v>1026</v>
      </c>
      <c r="D1103" s="522">
        <v>1</v>
      </c>
      <c r="E1103" s="550" t="s">
        <v>3391</v>
      </c>
      <c r="F1103" s="550"/>
      <c r="G1103" s="550"/>
      <c r="H1103" s="550"/>
      <c r="I1103" s="550"/>
      <c r="J1103" s="522"/>
      <c r="K1103" s="522" t="s">
        <v>3865</v>
      </c>
      <c r="M1103" s="797">
        <f>[1]!tsabetz(C1103)</f>
        <v>6.6166666666666663</v>
      </c>
      <c r="N1103" s="797">
        <f t="shared" si="92"/>
        <v>262.51889168765746</v>
      </c>
      <c r="O1103" s="797">
        <f t="shared" si="93"/>
        <v>1445.0028169014086</v>
      </c>
      <c r="P1103" s="797">
        <f t="shared" si="94"/>
        <v>21.568864887656396</v>
      </c>
      <c r="Q1103" s="797">
        <f t="shared" si="95"/>
        <v>7</v>
      </c>
      <c r="R1103" s="797">
        <f t="shared" si="96"/>
        <v>7.3594810814609399</v>
      </c>
      <c r="S1103" s="797">
        <f>[1]!taqsabet(O1103,C1103)</f>
        <v>8.8307377753286129</v>
      </c>
      <c r="T1103" s="522"/>
      <c r="U1103" s="522">
        <v>0</v>
      </c>
      <c r="V1103" s="522">
        <v>6</v>
      </c>
      <c r="W1103" s="522">
        <v>37</v>
      </c>
      <c r="X1103" s="522"/>
      <c r="Y1103" s="522">
        <v>77</v>
      </c>
      <c r="Z1103" s="522">
        <v>35</v>
      </c>
      <c r="AA1103" s="522" t="s">
        <v>274</v>
      </c>
      <c r="AB1103" s="522"/>
      <c r="AC1103" s="522"/>
      <c r="AD1103" s="522" t="s">
        <v>1033</v>
      </c>
    </row>
    <row r="1104" spans="1:30">
      <c r="C1104" s="523">
        <v>1027</v>
      </c>
      <c r="D1104" s="523">
        <v>2</v>
      </c>
      <c r="E1104" s="543" t="s">
        <v>2918</v>
      </c>
      <c r="F1104" s="543"/>
      <c r="G1104" s="543"/>
      <c r="H1104" s="543"/>
      <c r="I1104" s="543"/>
      <c r="J1104" s="523"/>
      <c r="K1104" s="523" t="s">
        <v>3865</v>
      </c>
      <c r="M1104" s="797">
        <f>[1]!tsabetz(C1104)</f>
        <v>37.666666666666664</v>
      </c>
      <c r="N1104" s="797">
        <f t="shared" si="92"/>
        <v>46.115044247787615</v>
      </c>
      <c r="O1104" s="797">
        <f t="shared" si="93"/>
        <v>1445.0028169014086</v>
      </c>
      <c r="P1104" s="797">
        <f t="shared" si="94"/>
        <v>53.716963844089207</v>
      </c>
      <c r="Q1104" s="797">
        <f t="shared" si="95"/>
        <v>41</v>
      </c>
      <c r="R1104" s="797">
        <f t="shared" si="96"/>
        <v>41.89528273073482</v>
      </c>
      <c r="S1104" s="797">
        <f>[1]!taqsabet(O1104,C1104)</f>
        <v>43.36453378498841</v>
      </c>
      <c r="T1104" s="523"/>
      <c r="U1104" s="523">
        <v>1</v>
      </c>
      <c r="V1104" s="523">
        <v>7</v>
      </c>
      <c r="W1104" s="523">
        <v>40</v>
      </c>
      <c r="X1104" s="523"/>
      <c r="Y1104" s="523">
        <v>75</v>
      </c>
      <c r="Z1104" s="523">
        <v>10</v>
      </c>
      <c r="AA1104" s="523" t="s">
        <v>274</v>
      </c>
      <c r="AB1104" s="523"/>
      <c r="AC1104" s="523"/>
      <c r="AD1104" s="523" t="s">
        <v>2524</v>
      </c>
    </row>
    <row r="1105" spans="3:30">
      <c r="C1105" s="522">
        <v>1028</v>
      </c>
      <c r="D1105" s="522">
        <v>3</v>
      </c>
      <c r="E1105" s="550" t="s">
        <v>3392</v>
      </c>
      <c r="F1105" s="550"/>
      <c r="G1105" s="550"/>
      <c r="H1105" s="550"/>
      <c r="I1105" s="550"/>
      <c r="J1105" s="522"/>
      <c r="K1105" s="522" t="s">
        <v>3865</v>
      </c>
      <c r="M1105" s="797">
        <f>[1]!tsabetz(C1105)</f>
        <v>140.16666666666666</v>
      </c>
      <c r="N1105" s="797">
        <f t="shared" si="92"/>
        <v>12.392390011890607</v>
      </c>
      <c r="O1105" s="797">
        <f t="shared" si="93"/>
        <v>1445.0028169014086</v>
      </c>
      <c r="P1105" s="797">
        <f t="shared" si="94"/>
        <v>54.141445101234922</v>
      </c>
      <c r="Q1105" s="797">
        <f t="shared" si="95"/>
        <v>155</v>
      </c>
      <c r="R1105" s="797">
        <f t="shared" si="96"/>
        <v>155.90235741835392</v>
      </c>
      <c r="S1105" s="797">
        <f>[1]!taqsabet(O1105,C1105)</f>
        <v>157.36498760109563</v>
      </c>
      <c r="T1105" s="522"/>
      <c r="U1105" s="522">
        <v>4</v>
      </c>
      <c r="V1105" s="522">
        <v>20</v>
      </c>
      <c r="W1105" s="522">
        <v>10</v>
      </c>
      <c r="X1105" s="522"/>
      <c r="Y1105" s="522">
        <v>83</v>
      </c>
      <c r="Z1105" s="522">
        <v>50</v>
      </c>
      <c r="AA1105" s="522" t="s">
        <v>274</v>
      </c>
      <c r="AB1105" s="522"/>
      <c r="AC1105" s="522"/>
      <c r="AD1105" s="522" t="s">
        <v>3393</v>
      </c>
    </row>
    <row r="1106" spans="3:30">
      <c r="C1106" s="523">
        <v>1029</v>
      </c>
      <c r="D1106" s="523">
        <v>4</v>
      </c>
      <c r="E1106" s="543" t="s">
        <v>3394</v>
      </c>
      <c r="F1106" s="543"/>
      <c r="G1106" s="543"/>
      <c r="H1106" s="543"/>
      <c r="I1106" s="543"/>
      <c r="J1106" s="523"/>
      <c r="K1106" s="523" t="s">
        <v>3865</v>
      </c>
      <c r="M1106" s="797">
        <f>[1]!tsabetz(C1106)</f>
        <v>202.05</v>
      </c>
      <c r="N1106" s="797">
        <f t="shared" si="92"/>
        <v>8.5968819599109132</v>
      </c>
      <c r="O1106" s="797">
        <f t="shared" si="93"/>
        <v>1445.0028169014086</v>
      </c>
      <c r="P1106" s="797">
        <f t="shared" si="94"/>
        <v>43.978209151282499</v>
      </c>
      <c r="Q1106" s="797">
        <f t="shared" si="95"/>
        <v>224</v>
      </c>
      <c r="R1106" s="797">
        <f t="shared" si="96"/>
        <v>224.73297015252137</v>
      </c>
      <c r="S1106" s="797">
        <f>[1]!taqsabet(O1106,C1106)</f>
        <v>226.19160305137308</v>
      </c>
      <c r="T1106" s="523"/>
      <c r="U1106" s="523">
        <v>6</v>
      </c>
      <c r="V1106" s="523">
        <v>22</v>
      </c>
      <c r="W1106" s="523">
        <v>30</v>
      </c>
      <c r="X1106" s="523"/>
      <c r="Y1106" s="523">
        <v>71</v>
      </c>
      <c r="Z1106" s="523">
        <v>52</v>
      </c>
      <c r="AA1106" s="523" t="s">
        <v>274</v>
      </c>
      <c r="AB1106" s="523"/>
      <c r="AC1106" s="523"/>
      <c r="AD1106" s="523" t="s">
        <v>1036</v>
      </c>
    </row>
    <row r="1107" spans="3:30">
      <c r="C1107" s="522">
        <v>1030</v>
      </c>
      <c r="D1107" s="522">
        <v>5</v>
      </c>
      <c r="E1107" s="550" t="s">
        <v>3395</v>
      </c>
      <c r="F1107" s="550"/>
      <c r="G1107" s="550"/>
      <c r="H1107" s="550"/>
      <c r="I1107" s="550"/>
      <c r="J1107" s="522"/>
      <c r="K1107" s="522" t="s">
        <v>3865</v>
      </c>
      <c r="M1107" s="797">
        <f>[1]!tsabetz(C1107)</f>
        <v>237.33333333333334</v>
      </c>
      <c r="N1107" s="797">
        <f t="shared" si="92"/>
        <v>7.3188202247191008</v>
      </c>
      <c r="O1107" s="797">
        <f t="shared" si="93"/>
        <v>1445.0028169014086</v>
      </c>
      <c r="P1107" s="797">
        <f t="shared" si="94"/>
        <v>58.641400504352532</v>
      </c>
      <c r="Q1107" s="797">
        <f t="shared" si="95"/>
        <v>263</v>
      </c>
      <c r="R1107" s="797">
        <f t="shared" si="96"/>
        <v>263.97735667507254</v>
      </c>
      <c r="S1107" s="797">
        <f>[1]!taqsabet(O1107,C1107)</f>
        <v>265.43371048693393</v>
      </c>
      <c r="T1107" s="522"/>
      <c r="U1107" s="522">
        <v>7</v>
      </c>
      <c r="V1107" s="522">
        <v>27</v>
      </c>
      <c r="W1107" s="522">
        <v>20</v>
      </c>
      <c r="X1107" s="522"/>
      <c r="Y1107" s="522">
        <v>47</v>
      </c>
      <c r="Z1107" s="522">
        <v>10</v>
      </c>
      <c r="AA1107" s="522" t="s">
        <v>274</v>
      </c>
      <c r="AB1107" s="522"/>
      <c r="AC1107" s="522"/>
      <c r="AD1107" s="522" t="s">
        <v>2524</v>
      </c>
    </row>
    <row r="1108" spans="3:30">
      <c r="C1108" s="523">
        <v>1031</v>
      </c>
      <c r="D1108" s="523">
        <v>6</v>
      </c>
      <c r="E1108" s="543" t="s">
        <v>3396</v>
      </c>
      <c r="F1108" s="543"/>
      <c r="G1108" s="543"/>
      <c r="H1108" s="543"/>
      <c r="I1108" s="543"/>
      <c r="J1108" s="523"/>
      <c r="K1108" s="523" t="s">
        <v>3865</v>
      </c>
      <c r="M1108" s="797">
        <f>[1]!tsabetz(C1108)</f>
        <v>295.8</v>
      </c>
      <c r="N1108" s="797">
        <f t="shared" si="92"/>
        <v>5.8722109533468556</v>
      </c>
      <c r="O1108" s="797">
        <f t="shared" si="93"/>
        <v>1445.0028169014086</v>
      </c>
      <c r="P1108" s="797">
        <f t="shared" si="94"/>
        <v>0.46401517915910517</v>
      </c>
      <c r="Q1108" s="797">
        <f t="shared" si="95"/>
        <v>329</v>
      </c>
      <c r="R1108" s="797">
        <f t="shared" si="96"/>
        <v>329.00773358631932</v>
      </c>
      <c r="S1108" s="797">
        <f>[1]!taqsabet(O1108,C1108)</f>
        <v>330.46031081000774</v>
      </c>
      <c r="T1108" s="523"/>
      <c r="U1108" s="523">
        <v>8</v>
      </c>
      <c r="V1108" s="523">
        <v>55</v>
      </c>
      <c r="W1108" s="523">
        <v>48</v>
      </c>
      <c r="X1108" s="523"/>
      <c r="Y1108" s="523">
        <v>42</v>
      </c>
      <c r="Z1108" s="523">
        <v>50</v>
      </c>
      <c r="AA1108" s="523" t="s">
        <v>274</v>
      </c>
      <c r="AB1108" s="523"/>
      <c r="AC1108" s="523"/>
      <c r="AD1108" s="523" t="s">
        <v>2524</v>
      </c>
    </row>
    <row r="1109" spans="3:30">
      <c r="C1109" s="522">
        <v>1032</v>
      </c>
      <c r="D1109" s="522">
        <v>7</v>
      </c>
      <c r="E1109" s="550" t="s">
        <v>3397</v>
      </c>
      <c r="F1109" s="550"/>
      <c r="G1109" s="550"/>
      <c r="H1109" s="550"/>
      <c r="I1109" s="550"/>
      <c r="J1109" s="522"/>
      <c r="K1109" s="522" t="s">
        <v>3865</v>
      </c>
      <c r="M1109" s="797">
        <f>[1]!tsabetz(C1109)</f>
        <v>280.85000000000002</v>
      </c>
      <c r="N1109" s="797">
        <f t="shared" si="92"/>
        <v>6.184796154530888</v>
      </c>
      <c r="O1109" s="797">
        <f t="shared" si="93"/>
        <v>1445.0028169014086</v>
      </c>
      <c r="P1109" s="797">
        <f t="shared" si="94"/>
        <v>22.763078644582038</v>
      </c>
      <c r="Q1109" s="797">
        <f t="shared" si="95"/>
        <v>312</v>
      </c>
      <c r="R1109" s="797">
        <f t="shared" si="96"/>
        <v>312.37938464407637</v>
      </c>
      <c r="S1109" s="797">
        <f>[1]!taqsabet(O1109,C1109)</f>
        <v>313.83292754609749</v>
      </c>
      <c r="T1109" s="522"/>
      <c r="U1109" s="522">
        <v>9</v>
      </c>
      <c r="V1109" s="522">
        <v>10</v>
      </c>
      <c r="W1109" s="522">
        <v>51</v>
      </c>
      <c r="X1109" s="522"/>
      <c r="Y1109" s="522">
        <v>37</v>
      </c>
      <c r="Z1109" s="522">
        <v>5</v>
      </c>
      <c r="AA1109" s="522" t="s">
        <v>274</v>
      </c>
      <c r="AB1109" s="522"/>
      <c r="AC1109" s="522"/>
      <c r="AD1109" s="522" t="s">
        <v>1626</v>
      </c>
    </row>
    <row r="1110" spans="3:30">
      <c r="C1110" s="523">
        <v>1033</v>
      </c>
      <c r="D1110" s="523">
        <v>8</v>
      </c>
      <c r="E1110" s="543" t="s">
        <v>3398</v>
      </c>
      <c r="F1110" s="543"/>
      <c r="G1110" s="543"/>
      <c r="H1110" s="543"/>
      <c r="I1110" s="543"/>
      <c r="J1110" s="523"/>
      <c r="K1110" s="523" t="s">
        <v>3865</v>
      </c>
      <c r="M1110" s="797">
        <f>[1]!tsabetz(C1110)</f>
        <v>282.83333333333331</v>
      </c>
      <c r="N1110" s="797">
        <f t="shared" si="92"/>
        <v>6.1414260459634651</v>
      </c>
      <c r="O1110" s="797">
        <f t="shared" si="93"/>
        <v>1445.0028169014086</v>
      </c>
      <c r="P1110" s="797">
        <f t="shared" si="94"/>
        <v>35.122511696547463</v>
      </c>
      <c r="Q1110" s="797">
        <f t="shared" si="95"/>
        <v>314</v>
      </c>
      <c r="R1110" s="797">
        <f t="shared" si="96"/>
        <v>314.58537519494246</v>
      </c>
      <c r="S1110" s="797">
        <f>[1]!taqsabet(O1110,C1110)</f>
        <v>316.03878998579125</v>
      </c>
      <c r="T1110" s="523"/>
      <c r="U1110" s="523">
        <v>9</v>
      </c>
      <c r="V1110" s="523">
        <v>12</v>
      </c>
      <c r="W1110" s="523">
        <v>50</v>
      </c>
      <c r="X1110" s="523"/>
      <c r="Y1110" s="523">
        <v>40</v>
      </c>
      <c r="Z1110" s="523">
        <v>36</v>
      </c>
      <c r="AA1110" s="523" t="s">
        <v>274</v>
      </c>
      <c r="AB1110" s="523"/>
      <c r="AC1110" s="523"/>
      <c r="AD1110" s="523" t="s">
        <v>2514</v>
      </c>
    </row>
    <row r="1111" spans="3:30">
      <c r="C1111" s="522">
        <v>1034</v>
      </c>
      <c r="D1111" s="522">
        <v>9</v>
      </c>
      <c r="E1111" s="550" t="s">
        <v>3399</v>
      </c>
      <c r="F1111" s="550"/>
      <c r="G1111" s="550"/>
      <c r="H1111" s="550"/>
      <c r="I1111" s="550"/>
      <c r="J1111" s="522"/>
      <c r="K1111" s="522" t="s">
        <v>3865</v>
      </c>
      <c r="M1111" s="797">
        <f>[1]!tsabetz(C1111)</f>
        <v>284.41666666666669</v>
      </c>
      <c r="N1111" s="797">
        <f t="shared" si="92"/>
        <v>6.107237034866686</v>
      </c>
      <c r="O1111" s="797">
        <f t="shared" si="93"/>
        <v>1445.0028169014086</v>
      </c>
      <c r="P1111" s="797">
        <f t="shared" si="94"/>
        <v>20.787605309465107</v>
      </c>
      <c r="Q1111" s="797">
        <f t="shared" si="95"/>
        <v>316</v>
      </c>
      <c r="R1111" s="797">
        <f t="shared" si="96"/>
        <v>316.34646008849109</v>
      </c>
      <c r="S1111" s="797">
        <f>[1]!taqsabet(O1111,C1111)</f>
        <v>317.79977260571491</v>
      </c>
      <c r="T1111" s="522"/>
      <c r="U1111" s="522">
        <v>9</v>
      </c>
      <c r="V1111" s="522">
        <v>14</v>
      </c>
      <c r="W1111" s="522">
        <v>25</v>
      </c>
      <c r="X1111" s="522"/>
      <c r="Y1111" s="522">
        <v>36</v>
      </c>
      <c r="Z1111" s="522">
        <v>10</v>
      </c>
      <c r="AA1111" s="522" t="s">
        <v>274</v>
      </c>
      <c r="AB1111" s="522"/>
      <c r="AC1111" s="522"/>
      <c r="AD1111" s="522" t="s">
        <v>2514</v>
      </c>
    </row>
    <row r="1112" spans="3:30">
      <c r="C1112" s="523">
        <v>1035</v>
      </c>
      <c r="D1112" s="523">
        <v>10</v>
      </c>
      <c r="E1112" s="543" t="s">
        <v>3400</v>
      </c>
      <c r="F1112" s="543"/>
      <c r="G1112" s="543"/>
      <c r="H1112" s="543"/>
      <c r="I1112" s="543"/>
      <c r="J1112" s="523"/>
      <c r="K1112" s="523" t="s">
        <v>3865</v>
      </c>
      <c r="M1112" s="797">
        <f>[1]!tsabetz(C1112)</f>
        <v>306.08333333333331</v>
      </c>
      <c r="N1112" s="797">
        <f t="shared" si="92"/>
        <v>5.6749251293220802</v>
      </c>
      <c r="O1112" s="797">
        <f t="shared" si="93"/>
        <v>1445.0028169014086</v>
      </c>
      <c r="P1112" s="797">
        <f t="shared" si="94"/>
        <v>26.73099159145977</v>
      </c>
      <c r="Q1112" s="797">
        <f t="shared" si="95"/>
        <v>340</v>
      </c>
      <c r="R1112" s="797">
        <f t="shared" si="96"/>
        <v>340.44551652652433</v>
      </c>
      <c r="S1112" s="797">
        <f>[1]!taqsabet(O1112,C1112)</f>
        <v>341.89742950993264</v>
      </c>
      <c r="T1112" s="523"/>
      <c r="U1112" s="523">
        <v>10</v>
      </c>
      <c r="V1112" s="523">
        <v>6</v>
      </c>
      <c r="W1112" s="523">
        <v>5</v>
      </c>
      <c r="X1112" s="523"/>
      <c r="Y1112" s="523">
        <v>46</v>
      </c>
      <c r="Z1112" s="523">
        <v>20</v>
      </c>
      <c r="AA1112" s="523" t="s">
        <v>274</v>
      </c>
      <c r="AB1112" s="523"/>
      <c r="AC1112" s="523"/>
      <c r="AD1112" s="523" t="s">
        <v>2514</v>
      </c>
    </row>
    <row r="1113" spans="3:30">
      <c r="C1113" s="522">
        <v>1036</v>
      </c>
      <c r="D1113" s="522">
        <v>11</v>
      </c>
      <c r="E1113" s="550" t="s">
        <v>2661</v>
      </c>
      <c r="F1113" s="550"/>
      <c r="G1113" s="550"/>
      <c r="H1113" s="550"/>
      <c r="I1113" s="550"/>
      <c r="J1113" s="522"/>
      <c r="K1113" s="522" t="s">
        <v>3865</v>
      </c>
      <c r="M1113" s="797">
        <f>[1]!tsabetz(C1113)</f>
        <v>316.33333333333331</v>
      </c>
      <c r="N1113" s="797">
        <f t="shared" si="92"/>
        <v>5.4910432033719712</v>
      </c>
      <c r="O1113" s="797">
        <f t="shared" si="93"/>
        <v>1445.0028169014086</v>
      </c>
      <c r="P1113" s="797">
        <f t="shared" si="94"/>
        <v>50.77343971717255</v>
      </c>
      <c r="Q1113" s="797">
        <f t="shared" si="95"/>
        <v>351</v>
      </c>
      <c r="R1113" s="797">
        <f t="shared" si="96"/>
        <v>351.84622399528621</v>
      </c>
      <c r="S1113" s="797">
        <f>[1]!taqsabet(O1113,C1113)</f>
        <v>353.29747489154335</v>
      </c>
      <c r="T1113" s="522"/>
      <c r="U1113" s="522">
        <v>10</v>
      </c>
      <c r="V1113" s="522">
        <v>16</v>
      </c>
      <c r="W1113" s="522">
        <v>20</v>
      </c>
      <c r="X1113" s="522"/>
      <c r="Y1113" s="522">
        <v>47</v>
      </c>
      <c r="Z1113" s="522">
        <v>50</v>
      </c>
      <c r="AA1113" s="522" t="s">
        <v>274</v>
      </c>
      <c r="AB1113" s="522"/>
      <c r="AC1113" s="522"/>
      <c r="AD1113" s="522" t="s">
        <v>2524</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G564"/>
  <sheetViews>
    <sheetView rightToLeft="1" zoomScale="82" zoomScaleNormal="82" workbookViewId="0"/>
  </sheetViews>
  <sheetFormatPr defaultRowHeight="15"/>
  <cols>
    <col min="1" max="1" width="9.42578125" bestFit="1" customWidth="1"/>
    <col min="2" max="2" width="7.85546875" customWidth="1"/>
    <col min="3" max="3" width="9.5703125" customWidth="1"/>
    <col min="4" max="5" width="9.5703125" bestFit="1" customWidth="1"/>
    <col min="6" max="6" width="12.5703125" customWidth="1"/>
    <col min="7" max="7" width="14.5703125" customWidth="1"/>
    <col min="8" max="8" width="13.42578125" customWidth="1"/>
    <col min="9" max="9" width="12.85546875" customWidth="1"/>
    <col min="10" max="10" width="16" customWidth="1"/>
    <col min="11" max="11" width="12.85546875" customWidth="1"/>
    <col min="12" max="12" width="9.7109375" bestFit="1" customWidth="1"/>
    <col min="13" max="13" width="19.7109375" customWidth="1"/>
    <col min="14" max="14" width="12.28515625" customWidth="1"/>
    <col min="15" max="15" width="18.28515625" customWidth="1"/>
    <col min="16" max="16" width="14.85546875" customWidth="1"/>
    <col min="17" max="17" width="17.5703125" customWidth="1"/>
    <col min="18" max="18" width="16.28515625" customWidth="1"/>
    <col min="19" max="19" width="10.42578125" bestFit="1" customWidth="1"/>
    <col min="20" max="20" width="15" customWidth="1"/>
    <col min="21" max="22" width="10.5703125" bestFit="1" customWidth="1"/>
    <col min="23" max="23" width="10.42578125" bestFit="1" customWidth="1"/>
    <col min="24" max="24" width="9.5703125" bestFit="1" customWidth="1"/>
    <col min="25" max="25" width="10.7109375" bestFit="1" customWidth="1"/>
    <col min="26" max="26" width="11.85546875" customWidth="1"/>
    <col min="27" max="27" width="9.85546875" bestFit="1" customWidth="1"/>
    <col min="28" max="28" width="14.5703125" customWidth="1"/>
    <col min="29" max="29" width="9.85546875" bestFit="1" customWidth="1"/>
    <col min="30" max="30" width="9.5703125" bestFit="1" customWidth="1"/>
    <col min="31" max="31" width="15.42578125" customWidth="1"/>
    <col min="32" max="32" width="9.42578125" bestFit="1" customWidth="1"/>
    <col min="33" max="34" width="9.28515625" bestFit="1" customWidth="1"/>
    <col min="35" max="35" width="9.42578125" bestFit="1" customWidth="1"/>
    <col min="36" max="36" width="17" customWidth="1"/>
    <col min="37" max="37" width="16" bestFit="1" customWidth="1"/>
    <col min="38" max="38" width="9.42578125" bestFit="1" customWidth="1"/>
    <col min="39" max="39" width="22.42578125" customWidth="1"/>
    <col min="40" max="40" width="9.42578125" bestFit="1" customWidth="1"/>
    <col min="41" max="41" width="15.140625" bestFit="1" customWidth="1"/>
    <col min="42" max="42" width="9.28515625" bestFit="1" customWidth="1"/>
    <col min="43" max="43" width="15" customWidth="1"/>
    <col min="44" max="47" width="9.28515625" bestFit="1" customWidth="1"/>
    <col min="57" max="57" width="12.85546875" bestFit="1" customWidth="1"/>
  </cols>
  <sheetData>
    <row r="2" spans="2:24" ht="24.75">
      <c r="B2" s="10"/>
      <c r="C2" s="10" t="s">
        <v>172</v>
      </c>
      <c r="D2" s="10" t="s">
        <v>173</v>
      </c>
      <c r="E2" s="10"/>
      <c r="F2" s="10"/>
      <c r="G2" s="10"/>
      <c r="H2" s="10"/>
      <c r="I2" s="10"/>
      <c r="J2" s="10"/>
      <c r="K2" s="8" t="s">
        <v>176</v>
      </c>
      <c r="L2" s="8"/>
      <c r="O2" s="1" t="s">
        <v>170</v>
      </c>
      <c r="P2" s="1">
        <f>C7</f>
        <v>23.45</v>
      </c>
      <c r="Q2" s="31">
        <f>INT(P2)</f>
        <v>23</v>
      </c>
      <c r="R2" s="31">
        <f>INT((P2-Q2)*60)</f>
        <v>27</v>
      </c>
      <c r="S2" s="31">
        <f>INT((((P2-Q2)*60)-R2)*60)</f>
        <v>-1</v>
      </c>
      <c r="T2" s="31">
        <f>INT((((((P2-Q2)*60)-R2)*60)-S2)*60)</f>
        <v>59</v>
      </c>
      <c r="U2" s="31">
        <f>INT((((((((P2-Q2)*60)-R2)*60)-S2)*60)-T2)*60)</f>
        <v>59</v>
      </c>
      <c r="V2" s="31">
        <f>INT((((((((((P2-Q2)*60)-R2)*60)-S2)*60)-T2)*60)-U2)*60)</f>
        <v>59</v>
      </c>
      <c r="W2" s="31">
        <f>INT((((((((((((P2-Q2)*60)-R2)*60)-S2)*60)-T2)*60)-U2)*60)-V2)*60)</f>
        <v>59</v>
      </c>
    </row>
    <row r="3" spans="2:24" ht="24.75">
      <c r="B3" s="10" t="s">
        <v>243</v>
      </c>
      <c r="C3" s="10">
        <v>4</v>
      </c>
      <c r="D3" s="10" t="s">
        <v>255</v>
      </c>
      <c r="E3" s="10">
        <f>IF(D3="حمل",1,IF(D3="ثور",2,IF(D3="جوزاء",3,IF(D3="سرطان",4,IF(D3="اسد",5,IF(D3="سنبله",6,IF(D3="میزان",7,IF(D3="عقرب",8,IF(D3="قوس",9,IF(D3="جدی",10,IF(D3="دلو",11,IF(D3="حوت",12,"خطا"))))))))))))</f>
        <v>5</v>
      </c>
      <c r="F3" s="10"/>
      <c r="G3" s="10"/>
      <c r="H3" s="10"/>
      <c r="I3" s="10"/>
      <c r="J3" s="10"/>
      <c r="K3" s="8"/>
      <c r="L3" s="8"/>
      <c r="O3" s="2" t="s">
        <v>218</v>
      </c>
      <c r="P3" s="2">
        <v>1.7323999999999999</v>
      </c>
      <c r="Q3" s="32">
        <f>INT(P3)</f>
        <v>1</v>
      </c>
      <c r="R3" s="32">
        <f>INT((P3-Q3)*60)</f>
        <v>43</v>
      </c>
      <c r="S3" s="32">
        <f>INT((((P3-Q3)*60)-R3)*60)</f>
        <v>56</v>
      </c>
      <c r="T3" s="32">
        <f>INT((((((P3-Q3)*60)-R3)*60)-S3)*60)</f>
        <v>38</v>
      </c>
      <c r="U3" s="32">
        <f>INT((((((((P3-Q3)*60)-R3)*60)-S3)*60)-T3)*60)</f>
        <v>23</v>
      </c>
      <c r="V3" s="32">
        <f>INT((((((((((P3-Q3)*60)-R3)*60)-S3)*60)-T3)*60)-U3)*60)</f>
        <v>59</v>
      </c>
      <c r="W3" s="32">
        <f>INT((((((((((((P3-Q3)*60)-R3)*60)-S3)*60)-T3)*60)-U3)*60)-V3)*60)</f>
        <v>59</v>
      </c>
    </row>
    <row r="4" spans="2:24" ht="24.75">
      <c r="B4" s="7"/>
      <c r="C4" s="7" t="s">
        <v>202</v>
      </c>
      <c r="D4" s="7" t="s">
        <v>172</v>
      </c>
      <c r="E4" s="7" t="s">
        <v>166</v>
      </c>
      <c r="F4" s="7" t="s">
        <v>167</v>
      </c>
      <c r="G4" s="7" t="s">
        <v>168</v>
      </c>
      <c r="H4" s="7" t="s">
        <v>199</v>
      </c>
      <c r="I4" s="7" t="s">
        <v>200</v>
      </c>
      <c r="J4" s="7" t="s">
        <v>201</v>
      </c>
      <c r="K4" s="8"/>
      <c r="L4" s="8"/>
      <c r="O4" s="1" t="s">
        <v>215</v>
      </c>
      <c r="P4" s="1">
        <f>DEGREES(ASIN(ABS(COS(RADIANS(P3)))*ABS(COS(RADIANS(ABS(DEGREES(ATAN(SIN(RADIANS(P3))*TAN(RADIANS(P2))))))))))</f>
        <v>88.111743891529713</v>
      </c>
      <c r="Q4" s="31">
        <f>INT(P4)</f>
        <v>88</v>
      </c>
      <c r="R4" s="31">
        <f>INT((P4-Q4)*60)</f>
        <v>6</v>
      </c>
      <c r="S4" s="31">
        <f>INT((((P4-Q4)*60)-R4)*60)</f>
        <v>42</v>
      </c>
      <c r="T4" s="31">
        <f>INT((((((P4-Q4)*60)-R4)*60)-S4)*60)</f>
        <v>16</v>
      </c>
      <c r="U4" s="31">
        <f>INT((((((((P4-Q4)*60)-R4)*60)-S4)*60)-T4)*60)</f>
        <v>40</v>
      </c>
      <c r="V4" s="31">
        <f>INT((((((((((P4-Q4)*60)-R4)*60)-S4)*60)-T4)*60)-U4)*60)</f>
        <v>50</v>
      </c>
      <c r="W4" s="31">
        <f>INT((((((((((((P4-Q4)*60)-R4)*60)-S4)*60)-T4)*60)-U4)*60)-V4)*60)</f>
        <v>3</v>
      </c>
    </row>
    <row r="5" spans="2:24" ht="24.75">
      <c r="B5" s="24" t="s">
        <v>194</v>
      </c>
      <c r="C5" s="24">
        <v>61</v>
      </c>
      <c r="D5" s="24"/>
      <c r="E5" s="24"/>
      <c r="F5" s="24"/>
      <c r="G5" s="24"/>
      <c r="H5" s="24"/>
      <c r="I5" s="24"/>
      <c r="J5" s="24"/>
      <c r="K5" s="8"/>
      <c r="L5" s="8"/>
      <c r="O5" s="1" t="s">
        <v>229</v>
      </c>
      <c r="P5" s="1">
        <f>IF(P3&lt;=90,90-P4,IF(P3&lt;=180,90+P4,IF(P3&lt;=270,270-P4,270+P4)))</f>
        <v>1.8882561084702871</v>
      </c>
      <c r="Q5" s="31">
        <f>INT(P5)</f>
        <v>1</v>
      </c>
      <c r="R5" s="31">
        <f>INT((P5-Q5)*60)</f>
        <v>53</v>
      </c>
      <c r="S5" s="31">
        <f>INT((((P5-Q5)*60)-R5)*60)</f>
        <v>17</v>
      </c>
      <c r="T5" s="31">
        <f>INT((((((P5-Q5)*60)-R5)*60)-S5)*60)</f>
        <v>43</v>
      </c>
      <c r="U5" s="31">
        <f>INT((((((((P5-Q5)*60)-R5)*60)-S5)*60)-T5)*60)</f>
        <v>19</v>
      </c>
      <c r="V5" s="31">
        <f>INT((((((((((P5-Q5)*60)-R5)*60)-S5)*60)-T5)*60)-U5)*60)</f>
        <v>9</v>
      </c>
      <c r="W5" s="31">
        <f>INT((((((((((((P5-Q5)*60)-R5)*60)-S5)*60)-T5)*60)-U5)*60)-V5)*60)</f>
        <v>56</v>
      </c>
    </row>
    <row r="6" spans="2:24" ht="24.75">
      <c r="K6" s="8"/>
      <c r="L6" s="8"/>
      <c r="O6" s="1" t="s">
        <v>226</v>
      </c>
      <c r="P6" s="1">
        <f>ABS(DEGREES(ATAN(SIN(RADIANS(P3))*TAN(RADIANS(C7)))))</f>
        <v>0.75131444908409217</v>
      </c>
      <c r="Q6" s="31">
        <f>INT(P6)</f>
        <v>0</v>
      </c>
      <c r="R6" s="31">
        <f>INT((P6-Q6)*60)</f>
        <v>45</v>
      </c>
      <c r="S6" s="31">
        <f>INT((((P6-Q6)*60)-R6)*60)</f>
        <v>4</v>
      </c>
      <c r="T6" s="31">
        <f>INT((((((P6-Q6)*60)-R6)*60)-S6)*60)</f>
        <v>43</v>
      </c>
      <c r="U6" s="31">
        <f>INT((((((((P6-Q6)*60)-R6)*60)-S6)*60)-T6)*60)</f>
        <v>55</v>
      </c>
      <c r="V6" s="31">
        <f>INT((((((((((P6-Q6)*60)-R6)*60)-S6)*60)-T6)*60)-U6)*60)</f>
        <v>15</v>
      </c>
      <c r="W6" s="31">
        <f>INT((((((((((((P6-Q6)*60)-R6)*60)-S6)*60)-T6)*60)-U6)*60)-V6)*60)</f>
        <v>36</v>
      </c>
    </row>
    <row r="7" spans="2:24" ht="24.75">
      <c r="B7" s="24" t="s">
        <v>170</v>
      </c>
      <c r="C7" s="24">
        <v>23.45</v>
      </c>
      <c r="D7" s="26">
        <f t="shared" ref="D7:D18" si="0">INT(C7)</f>
        <v>23</v>
      </c>
      <c r="E7" s="26">
        <f t="shared" ref="E7:E18" si="1">INT((C7-D7)*60)</f>
        <v>27</v>
      </c>
      <c r="F7" s="26">
        <f t="shared" ref="F7:F18" si="2">INT((((C7-D7)*60)-E7)*60)</f>
        <v>-1</v>
      </c>
      <c r="G7" s="26">
        <f t="shared" ref="G7:G18" si="3">INT((((((C7-D7)*60)-E7)*60)-F7)*60)</f>
        <v>59</v>
      </c>
      <c r="H7" s="26">
        <f t="shared" ref="H7:H18" si="4">INT((((((((C7-D7)*60)-E7)*60)-F7)*60)-G7)*60)</f>
        <v>59</v>
      </c>
      <c r="I7" s="26">
        <f t="shared" ref="I7:I18" si="5">INT((((((((((C7-D7)*60)-E7)*60)-F7)*60)-G7)*60)-H7)*60)</f>
        <v>59</v>
      </c>
      <c r="J7" s="26">
        <f t="shared" ref="J7:J18" si="6">INT((((((((((((C7-D7)*60)-E7)*60)-F7)*60)-G7)*60)-H7)*60)-I7)*60)</f>
        <v>59</v>
      </c>
      <c r="K7" s="8"/>
      <c r="L7" s="8"/>
    </row>
    <row r="8" spans="2:24" ht="24.75">
      <c r="B8" s="24" t="s">
        <v>169</v>
      </c>
      <c r="C8" s="24">
        <f>SIN(RADIANS(C7))*60</f>
        <v>23.876917878456624</v>
      </c>
      <c r="D8" s="26">
        <f t="shared" si="0"/>
        <v>23</v>
      </c>
      <c r="E8" s="26">
        <f t="shared" si="1"/>
        <v>52</v>
      </c>
      <c r="F8" s="26">
        <f t="shared" si="2"/>
        <v>36</v>
      </c>
      <c r="G8" s="26">
        <f t="shared" si="3"/>
        <v>54</v>
      </c>
      <c r="H8" s="26">
        <f t="shared" si="4"/>
        <v>15</v>
      </c>
      <c r="I8" s="26">
        <f t="shared" si="5"/>
        <v>42</v>
      </c>
      <c r="J8" s="26">
        <f t="shared" si="6"/>
        <v>17</v>
      </c>
      <c r="K8" s="8"/>
      <c r="L8" s="8"/>
      <c r="O8" s="31"/>
      <c r="P8" s="1"/>
      <c r="Q8" s="31"/>
      <c r="R8" s="31"/>
      <c r="S8" s="31"/>
      <c r="T8" s="31"/>
      <c r="U8" s="31"/>
      <c r="V8" s="31"/>
      <c r="W8" s="31"/>
    </row>
    <row r="9" spans="2:24" ht="24.75">
      <c r="B9" s="24" t="s">
        <v>171</v>
      </c>
      <c r="C9" s="24">
        <f>'تقویم متحیره'!DU24</f>
        <v>3.7161953202191622E-9</v>
      </c>
      <c r="D9" s="26">
        <f t="shared" si="0"/>
        <v>0</v>
      </c>
      <c r="E9" s="26">
        <f t="shared" si="1"/>
        <v>0</v>
      </c>
      <c r="F9" s="26">
        <f t="shared" si="2"/>
        <v>0</v>
      </c>
      <c r="G9" s="26">
        <f t="shared" si="3"/>
        <v>0</v>
      </c>
      <c r="H9" s="26">
        <f t="shared" si="4"/>
        <v>0</v>
      </c>
      <c r="I9" s="26">
        <f t="shared" si="5"/>
        <v>2</v>
      </c>
      <c r="J9" s="26">
        <f t="shared" si="6"/>
        <v>53</v>
      </c>
      <c r="K9" s="8"/>
      <c r="L9" s="8"/>
      <c r="O9" s="1" t="s">
        <v>193</v>
      </c>
      <c r="P9" s="1">
        <f>IF(P3&lt;=90,90-P3,IF(P3&lt;=180,P3-90,IF(P3&lt;=270,270-P3,P3-270)))</f>
        <v>88.267600000000002</v>
      </c>
      <c r="Q9" s="31">
        <f>INT(P9)</f>
        <v>88</v>
      </c>
      <c r="R9" s="31">
        <f>INT((P9-Q9)*60)</f>
        <v>16</v>
      </c>
      <c r="S9" s="31">
        <f>INT((((P9-Q9)*60)-R9)*60)</f>
        <v>3</v>
      </c>
      <c r="T9" s="31">
        <f>INT((((((P9-Q9)*60)-R9)*60)-S9)*60)</f>
        <v>21</v>
      </c>
      <c r="U9" s="31">
        <f>INT((((((((P9-Q9)*60)-R9)*60)-S9)*60)-T9)*60)</f>
        <v>36</v>
      </c>
      <c r="V9" s="31">
        <f>INT((((((((((P9-Q9)*60)-R9)*60)-S9)*60)-T9)*60)-U9)*60)</f>
        <v>0</v>
      </c>
      <c r="W9" s="31">
        <f>INT((((((((((((P9-Q9)*60)-R9)*60)-S9)*60)-T9)*60)-U9)*60)-V9)*60)</f>
        <v>0</v>
      </c>
    </row>
    <row r="10" spans="2:24" ht="24.75">
      <c r="B10" s="24" t="s">
        <v>197</v>
      </c>
      <c r="C10" s="24">
        <f>ABS(DEGREES(ATAN(SIN(RADIANS(C5))*TAN(RADIANS(C7)))))</f>
        <v>20.77615753620956</v>
      </c>
      <c r="D10" s="26">
        <f t="shared" si="0"/>
        <v>20</v>
      </c>
      <c r="E10" s="26">
        <f t="shared" si="1"/>
        <v>46</v>
      </c>
      <c r="F10" s="26">
        <f t="shared" si="2"/>
        <v>34</v>
      </c>
      <c r="G10" s="26">
        <f t="shared" si="3"/>
        <v>10</v>
      </c>
      <c r="H10" s="26">
        <f t="shared" si="4"/>
        <v>1</v>
      </c>
      <c r="I10" s="26">
        <f t="shared" si="5"/>
        <v>40</v>
      </c>
      <c r="J10" s="26">
        <f t="shared" si="6"/>
        <v>9</v>
      </c>
      <c r="K10" s="8" t="str">
        <f>IF(C5&lt;=180,"شمالی","جنوبی")</f>
        <v>شمالی</v>
      </c>
      <c r="L10" s="8">
        <f>IF(K10="شمالی",1,2)</f>
        <v>1</v>
      </c>
      <c r="O10" s="1" t="s">
        <v>228</v>
      </c>
      <c r="P10" s="1">
        <f>ABS(DEGREES(ASIN(SIN(RADIANS(C7))*SIN(RADIANS(P9)))))</f>
        <v>23.43864056846521</v>
      </c>
      <c r="Q10" s="31">
        <f>INT(P10)</f>
        <v>23</v>
      </c>
      <c r="R10" s="31">
        <f>INT((P10-Q10)*60)</f>
        <v>26</v>
      </c>
      <c r="S10" s="31">
        <f>INT((((P10-Q10)*60)-R10)*60)</f>
        <v>19</v>
      </c>
      <c r="T10" s="31">
        <f>INT((((((P10-Q10)*60)-R10)*60)-S10)*60)</f>
        <v>6</v>
      </c>
      <c r="U10" s="31">
        <f>INT((((((((P10-Q10)*60)-R10)*60)-S10)*60)-T10)*60)</f>
        <v>21</v>
      </c>
      <c r="V10" s="31">
        <f>INT((((((((((P10-Q10)*60)-R10)*60)-S10)*60)-T10)*60)-U10)*60)</f>
        <v>46</v>
      </c>
      <c r="W10" s="31">
        <f>INT((((((((((((P10-Q10)*60)-R10)*60)-S10)*60)-T10)*60)-U10)*60)-V10)*60)</f>
        <v>2</v>
      </c>
    </row>
    <row r="11" spans="2:24" ht="24.75">
      <c r="B11" s="24" t="s">
        <v>193</v>
      </c>
      <c r="C11" s="24">
        <f>IF(C5&lt;=90,90-C5,IF(C5&lt;=180,C5-90,IF(C5&lt;=270,270-C5,C5-270)))</f>
        <v>29</v>
      </c>
      <c r="D11" s="26">
        <f t="shared" si="0"/>
        <v>29</v>
      </c>
      <c r="E11" s="26">
        <f t="shared" si="1"/>
        <v>0</v>
      </c>
      <c r="F11" s="26">
        <f t="shared" si="2"/>
        <v>0</v>
      </c>
      <c r="G11" s="26">
        <f t="shared" si="3"/>
        <v>0</v>
      </c>
      <c r="H11" s="26">
        <f t="shared" si="4"/>
        <v>0</v>
      </c>
      <c r="I11" s="26">
        <f t="shared" si="5"/>
        <v>0</v>
      </c>
      <c r="J11" s="26">
        <f t="shared" si="6"/>
        <v>0</v>
      </c>
      <c r="K11" s="8"/>
      <c r="L11" s="8"/>
      <c r="O11" s="1" t="s">
        <v>224</v>
      </c>
      <c r="P11">
        <f>DEGREES(ASIN(ABS(SIN(RADIANS(P3))/COS(RADIANS(P10)))))</f>
        <v>1.8882561084704728</v>
      </c>
      <c r="Q11" s="31">
        <f>INT(P11)</f>
        <v>1</v>
      </c>
      <c r="R11" s="31">
        <f>INT((P11-Q11)*60)</f>
        <v>53</v>
      </c>
      <c r="S11" s="31">
        <f>INT((((P11-Q11)*60)-R11)*60)</f>
        <v>17</v>
      </c>
      <c r="T11" s="31">
        <f>INT((((((P11-Q11)*60)-R11)*60)-S11)*60)</f>
        <v>43</v>
      </c>
      <c r="U11" s="31">
        <f>INT((((((((P11-Q11)*60)-R11)*60)-S11)*60)-T11)*60)</f>
        <v>19</v>
      </c>
      <c r="V11" s="31">
        <f>INT((((((((((P11-Q11)*60)-R11)*60)-S11)*60)-T11)*60)-U11)*60)</f>
        <v>9</v>
      </c>
      <c r="W11" s="31">
        <f>INT((((((((((((P11-Q11)*60)-R11)*60)-S11)*60)-T11)*60)-U11)*60)-V11)*60)</f>
        <v>56</v>
      </c>
    </row>
    <row r="12" spans="2:24" ht="24.75">
      <c r="B12" s="24" t="s">
        <v>195</v>
      </c>
      <c r="C12" s="24">
        <f>ABS(DEGREES(ASIN(SIN(RADIANS(C7))*SIN(RADIANS(C11)))))</f>
        <v>11.123785831849657</v>
      </c>
      <c r="D12" s="26">
        <f t="shared" si="0"/>
        <v>11</v>
      </c>
      <c r="E12" s="26">
        <f t="shared" si="1"/>
        <v>7</v>
      </c>
      <c r="F12" s="26">
        <f t="shared" si="2"/>
        <v>25</v>
      </c>
      <c r="G12" s="26">
        <f t="shared" si="3"/>
        <v>37</v>
      </c>
      <c r="H12" s="26">
        <f t="shared" si="4"/>
        <v>44</v>
      </c>
      <c r="I12" s="26">
        <f t="shared" si="5"/>
        <v>22</v>
      </c>
      <c r="J12" s="26">
        <f t="shared" si="6"/>
        <v>50</v>
      </c>
      <c r="K12" s="8"/>
      <c r="L12" s="8"/>
      <c r="O12" s="1" t="s">
        <v>225</v>
      </c>
      <c r="P12">
        <f>IF(P3&lt;=90,P11,IF(P3&lt;=180,180-P11,IF(P3&lt;=270,180+P11,360-P11)))</f>
        <v>1.8882561084704728</v>
      </c>
      <c r="Q12" s="31">
        <f>INT(P12)</f>
        <v>1</v>
      </c>
      <c r="R12" s="31">
        <f>INT((P12-Q12)*60)</f>
        <v>53</v>
      </c>
      <c r="S12" s="31">
        <f>INT((((P12-Q12)*60)-R12)*60)</f>
        <v>17</v>
      </c>
      <c r="T12" s="31">
        <f>INT((((((P12-Q12)*60)-R12)*60)-S12)*60)</f>
        <v>43</v>
      </c>
      <c r="U12" s="31">
        <f>INT((((((((P12-Q12)*60)-R12)*60)-S12)*60)-T12)*60)</f>
        <v>19</v>
      </c>
      <c r="V12" s="31">
        <f>INT((((((((((P12-Q12)*60)-R12)*60)-S12)*60)-T12)*60)-U12)*60)</f>
        <v>9</v>
      </c>
      <c r="W12" s="31">
        <f>INT((((((((((((P12-Q12)*60)-R12)*60)-S12)*60)-T12)*60)-U12)*60)-V12)*60)</f>
        <v>56</v>
      </c>
    </row>
    <row r="13" spans="2:24" ht="24.75">
      <c r="B13" s="24" t="s">
        <v>196</v>
      </c>
      <c r="C13" s="24">
        <f>DEGREES(ASIN(SIN(RADIANS(C9))/COS(RADIANS(C12))))</f>
        <v>3.7873495605561142E-9</v>
      </c>
      <c r="D13" s="26">
        <f t="shared" si="0"/>
        <v>0</v>
      </c>
      <c r="E13" s="26">
        <f t="shared" si="1"/>
        <v>0</v>
      </c>
      <c r="F13" s="26">
        <f t="shared" si="2"/>
        <v>0</v>
      </c>
      <c r="G13" s="26">
        <f t="shared" si="3"/>
        <v>0</v>
      </c>
      <c r="H13" s="26">
        <f t="shared" si="4"/>
        <v>0</v>
      </c>
      <c r="I13" s="26">
        <f t="shared" si="5"/>
        <v>2</v>
      </c>
      <c r="J13" s="26">
        <f t="shared" si="6"/>
        <v>56</v>
      </c>
      <c r="K13" s="8"/>
      <c r="L13" s="8"/>
    </row>
    <row r="14" spans="2:24" ht="24.75">
      <c r="B14" s="24" t="s">
        <v>198</v>
      </c>
      <c r="C14" s="24">
        <f>DEGREES(ACOS(COS(RADIANS(C7))/COS(RADIANS(C12))))</f>
        <v>20.776157536209574</v>
      </c>
      <c r="D14" s="26">
        <f t="shared" si="0"/>
        <v>20</v>
      </c>
      <c r="E14" s="26">
        <f t="shared" si="1"/>
        <v>46</v>
      </c>
      <c r="F14" s="26">
        <f t="shared" si="2"/>
        <v>34</v>
      </c>
      <c r="G14" s="26">
        <f t="shared" si="3"/>
        <v>10</v>
      </c>
      <c r="H14" s="26">
        <f t="shared" si="4"/>
        <v>1</v>
      </c>
      <c r="I14" s="26">
        <f t="shared" si="5"/>
        <v>40</v>
      </c>
      <c r="J14" s="26">
        <f t="shared" si="6"/>
        <v>9</v>
      </c>
      <c r="K14" s="8"/>
      <c r="L14" s="8"/>
      <c r="O14" s="2" t="s">
        <v>235</v>
      </c>
      <c r="P14" s="2">
        <v>50</v>
      </c>
      <c r="Q14" s="32">
        <f t="shared" ref="Q14:Q28" si="7">INT(P14)</f>
        <v>50</v>
      </c>
      <c r="R14" s="32">
        <f t="shared" ref="R14:R28" si="8">INT((P14-Q14)*60)</f>
        <v>0</v>
      </c>
      <c r="S14" s="32">
        <f t="shared" ref="S14:S28" si="9">INT((((P14-Q14)*60)-R14)*60)</f>
        <v>0</v>
      </c>
      <c r="T14" s="32">
        <f t="shared" ref="T14:T28" si="10">INT((((((P14-Q14)*60)-R14)*60)-S14)*60)</f>
        <v>0</v>
      </c>
      <c r="U14" s="32">
        <f t="shared" ref="U14:U28" si="11">INT((((((((P14-Q14)*60)-R14)*60)-S14)*60)-T14)*60)</f>
        <v>0</v>
      </c>
      <c r="V14" s="32">
        <f t="shared" ref="V14:V28" si="12">INT((((((((((P14-Q14)*60)-R14)*60)-S14)*60)-T14)*60)-U14)*60)</f>
        <v>0</v>
      </c>
      <c r="W14" s="32">
        <f t="shared" ref="W14:W28" si="13">INT((((((((((((P14-Q14)*60)-R14)*60)-S14)*60)-T14)*60)-U14)*60)-V14)*60)</f>
        <v>0</v>
      </c>
    </row>
    <row r="15" spans="2:24" ht="24.75">
      <c r="B15" s="10" t="s">
        <v>175</v>
      </c>
      <c r="C15" s="10">
        <v>5</v>
      </c>
      <c r="D15" s="28">
        <f t="shared" si="0"/>
        <v>5</v>
      </c>
      <c r="E15" s="28">
        <f t="shared" si="1"/>
        <v>0</v>
      </c>
      <c r="F15" s="28">
        <f t="shared" si="2"/>
        <v>0</v>
      </c>
      <c r="G15" s="28">
        <f t="shared" si="3"/>
        <v>0</v>
      </c>
      <c r="H15" s="28">
        <f t="shared" si="4"/>
        <v>0</v>
      </c>
      <c r="I15" s="28">
        <f t="shared" si="5"/>
        <v>0</v>
      </c>
      <c r="J15" s="28">
        <f t="shared" si="6"/>
        <v>0</v>
      </c>
      <c r="K15" s="8" t="s">
        <v>179</v>
      </c>
      <c r="L15" s="8">
        <f>IF(K15="شمالی",1,2)</f>
        <v>1</v>
      </c>
      <c r="O15" s="1" t="s">
        <v>227</v>
      </c>
      <c r="P15" s="31">
        <f>ABS(DEGREES(ASIN(SIN(RADIANS(C7))*SIN(RADIANS(P14)))))</f>
        <v>17.748919453996344</v>
      </c>
      <c r="Q15" s="31">
        <f t="shared" si="7"/>
        <v>17</v>
      </c>
      <c r="R15" s="31">
        <f t="shared" si="8"/>
        <v>44</v>
      </c>
      <c r="S15" s="31">
        <f t="shared" si="9"/>
        <v>56</v>
      </c>
      <c r="T15" s="31">
        <f t="shared" si="10"/>
        <v>6</v>
      </c>
      <c r="U15" s="31">
        <f t="shared" si="11"/>
        <v>36</v>
      </c>
      <c r="V15" s="31">
        <f t="shared" si="12"/>
        <v>7</v>
      </c>
      <c r="W15" s="31">
        <f t="shared" si="13"/>
        <v>25</v>
      </c>
    </row>
    <row r="16" spans="2:24" ht="24.75">
      <c r="B16" s="24" t="s">
        <v>203</v>
      </c>
      <c r="C16" s="24">
        <f>IF(L10=L15,C15+C10,ABS(C15-C10))</f>
        <v>25.77615753620956</v>
      </c>
      <c r="D16" s="26">
        <f t="shared" si="0"/>
        <v>25</v>
      </c>
      <c r="E16" s="26">
        <f t="shared" si="1"/>
        <v>46</v>
      </c>
      <c r="F16" s="26">
        <f t="shared" si="2"/>
        <v>34</v>
      </c>
      <c r="G16" s="26">
        <f t="shared" si="3"/>
        <v>10</v>
      </c>
      <c r="H16" s="26">
        <f t="shared" si="4"/>
        <v>1</v>
      </c>
      <c r="I16" s="26">
        <f t="shared" si="5"/>
        <v>40</v>
      </c>
      <c r="J16" s="26">
        <f t="shared" si="6"/>
        <v>9</v>
      </c>
      <c r="K16" s="8" t="str">
        <f>IF(L15=L10,K10,IF(C15&gt;C10,K15,K10))</f>
        <v>شمالی</v>
      </c>
      <c r="L16" s="8">
        <f>IF(K16="شمالی",1,2)</f>
        <v>1</v>
      </c>
      <c r="O16" s="31" t="s">
        <v>218</v>
      </c>
      <c r="P16" s="1">
        <f>DEGREES(ACOS(ABS(COS(RADIANS(P14)))/COS(RADIANS(P15))))</f>
        <v>47.552652514683295</v>
      </c>
      <c r="Q16" s="31">
        <f t="shared" si="7"/>
        <v>47</v>
      </c>
      <c r="R16" s="31">
        <f t="shared" si="8"/>
        <v>33</v>
      </c>
      <c r="S16" s="31">
        <f t="shared" si="9"/>
        <v>9</v>
      </c>
      <c r="T16" s="31">
        <f t="shared" si="10"/>
        <v>32</v>
      </c>
      <c r="U16" s="31">
        <f t="shared" si="11"/>
        <v>56</v>
      </c>
      <c r="V16" s="31">
        <f t="shared" si="12"/>
        <v>35</v>
      </c>
      <c r="W16" s="31">
        <f t="shared" si="13"/>
        <v>25</v>
      </c>
      <c r="X16" t="s">
        <v>174</v>
      </c>
    </row>
    <row r="17" spans="2:25" ht="24.75">
      <c r="B17" s="24" t="s">
        <v>204</v>
      </c>
      <c r="C17" s="24">
        <f>DEGREES(ASIN(SIN(RADIANS(C16))*COS(RADIANS(C12))))</f>
        <v>25.257467449286167</v>
      </c>
      <c r="D17" s="26">
        <f t="shared" si="0"/>
        <v>25</v>
      </c>
      <c r="E17" s="26">
        <f t="shared" si="1"/>
        <v>15</v>
      </c>
      <c r="F17" s="26">
        <f t="shared" si="2"/>
        <v>26</v>
      </c>
      <c r="G17" s="26">
        <f t="shared" si="3"/>
        <v>52</v>
      </c>
      <c r="H17" s="26">
        <f t="shared" si="4"/>
        <v>58</v>
      </c>
      <c r="I17" s="26">
        <f t="shared" si="5"/>
        <v>8</v>
      </c>
      <c r="J17" s="26">
        <f t="shared" si="6"/>
        <v>33</v>
      </c>
      <c r="K17" s="40" t="str">
        <f>K16</f>
        <v>شمالی</v>
      </c>
      <c r="L17" s="8">
        <f>IF(K17="شمالی",1,2)</f>
        <v>1</v>
      </c>
      <c r="O17" s="1" t="s">
        <v>193</v>
      </c>
      <c r="P17" s="1">
        <f>IF(P14&lt;=90,90-P14,IF(P14&lt;=180,P14-90,IF(P14&lt;=270,270-P14,P14-270)))</f>
        <v>40</v>
      </c>
      <c r="Q17" s="31">
        <f t="shared" si="7"/>
        <v>40</v>
      </c>
      <c r="R17" s="31">
        <f t="shared" si="8"/>
        <v>0</v>
      </c>
      <c r="S17" s="31">
        <f t="shared" si="9"/>
        <v>0</v>
      </c>
      <c r="T17" s="31">
        <f t="shared" si="10"/>
        <v>0</v>
      </c>
      <c r="U17" s="31">
        <f t="shared" si="11"/>
        <v>0</v>
      </c>
      <c r="V17" s="31">
        <f t="shared" si="12"/>
        <v>0</v>
      </c>
      <c r="W17" s="31">
        <f t="shared" si="13"/>
        <v>0</v>
      </c>
    </row>
    <row r="18" spans="2:25" ht="24.75">
      <c r="B18" s="24" t="s">
        <v>205</v>
      </c>
      <c r="C18" s="24">
        <f>DEGREES(ASIN(COS(RADIANS(C7))*SIN(RADIANS(C16))/COS(RADIANS(C10))))</f>
        <v>25.257467449286167</v>
      </c>
      <c r="D18" s="26">
        <f t="shared" si="0"/>
        <v>25</v>
      </c>
      <c r="E18" s="26">
        <f t="shared" si="1"/>
        <v>15</v>
      </c>
      <c r="F18" s="26">
        <f t="shared" si="2"/>
        <v>26</v>
      </c>
      <c r="G18" s="26">
        <f t="shared" si="3"/>
        <v>52</v>
      </c>
      <c r="H18" s="26">
        <f t="shared" si="4"/>
        <v>58</v>
      </c>
      <c r="I18" s="26">
        <f t="shared" si="5"/>
        <v>8</v>
      </c>
      <c r="J18" s="26">
        <f t="shared" si="6"/>
        <v>33</v>
      </c>
      <c r="K18" s="8"/>
      <c r="L18" s="8"/>
      <c r="O18" s="1" t="s">
        <v>228</v>
      </c>
      <c r="P18" s="1">
        <f>ABS(DEGREES(ASIN(SIN(RADIANS(C7))*SIN(RADIANS(P17)))))</f>
        <v>14.820783640446253</v>
      </c>
      <c r="Q18" s="31">
        <f t="shared" si="7"/>
        <v>14</v>
      </c>
      <c r="R18" s="31">
        <f t="shared" si="8"/>
        <v>49</v>
      </c>
      <c r="S18" s="31">
        <f t="shared" si="9"/>
        <v>14</v>
      </c>
      <c r="T18" s="31">
        <f t="shared" si="10"/>
        <v>49</v>
      </c>
      <c r="U18" s="31">
        <f t="shared" si="11"/>
        <v>15</v>
      </c>
      <c r="V18" s="31">
        <f t="shared" si="12"/>
        <v>58</v>
      </c>
      <c r="W18" s="31">
        <f t="shared" si="13"/>
        <v>48</v>
      </c>
    </row>
    <row r="19" spans="2:25" ht="24.75">
      <c r="D19" s="10" t="s">
        <v>219</v>
      </c>
      <c r="K19" s="8"/>
      <c r="L19" s="8"/>
      <c r="O19" s="1" t="s">
        <v>177</v>
      </c>
      <c r="P19" s="1">
        <v>30</v>
      </c>
      <c r="Q19" s="31">
        <f t="shared" si="7"/>
        <v>30</v>
      </c>
      <c r="R19" s="31">
        <f t="shared" si="8"/>
        <v>0</v>
      </c>
      <c r="S19" s="31">
        <f t="shared" si="9"/>
        <v>0</v>
      </c>
      <c r="T19" s="31">
        <f t="shared" si="10"/>
        <v>0</v>
      </c>
      <c r="U19" s="31">
        <f t="shared" si="11"/>
        <v>0</v>
      </c>
      <c r="V19" s="31">
        <f t="shared" si="12"/>
        <v>0</v>
      </c>
      <c r="W19" s="31">
        <f t="shared" si="13"/>
        <v>0</v>
      </c>
      <c r="X19" t="s">
        <v>179</v>
      </c>
      <c r="Y19">
        <f>IF(X19="شمالی",1,2)</f>
        <v>1</v>
      </c>
    </row>
    <row r="20" spans="2:25" ht="24.75">
      <c r="B20" s="10" t="s">
        <v>217</v>
      </c>
      <c r="C20" s="10">
        <v>14.357590760000001</v>
      </c>
      <c r="D20" s="28">
        <f>INT(C20)</f>
        <v>14</v>
      </c>
      <c r="E20" s="28">
        <f>INT((C20-D20)*60)</f>
        <v>21</v>
      </c>
      <c r="F20" s="28">
        <f>INT((((C20-D20)*60)-E20)*60)</f>
        <v>27</v>
      </c>
      <c r="G20" s="28">
        <f>INT((((((C20-D20)*60)-E20)*60)-F20)*60)</f>
        <v>19</v>
      </c>
      <c r="H20" s="28">
        <f>INT((((((((C20-D20)*60)-E20)*60)-F20)*60)-G20)*60)</f>
        <v>36</v>
      </c>
      <c r="I20" s="28">
        <f>INT((((((((((C20-D20)*60)-E20)*60)-F20)*60)-G20)*60)-H20)*60)</f>
        <v>14</v>
      </c>
      <c r="J20" s="28">
        <f>INT((((((((((((C20-D20)*60)-E20)*60)-F20)*60)-G20)*60)-H20)*60)-I20)*60)</f>
        <v>58</v>
      </c>
      <c r="K20" s="8"/>
      <c r="L20" s="8"/>
      <c r="O20" s="1" t="s">
        <v>230</v>
      </c>
      <c r="P20" s="1">
        <f>IF(Y19=1,IF(OR(P16&lt;=90,P16&gt;=270),(90-P19)-P18,(90-P19)+P18),IF(OR(P16&lt;=90,P16&gt;=270),(90-P19)+P18,(90-P19)-P18))</f>
        <v>45.179216359553749</v>
      </c>
      <c r="Q20" s="31">
        <f t="shared" si="7"/>
        <v>45</v>
      </c>
      <c r="R20" s="31">
        <f t="shared" si="8"/>
        <v>10</v>
      </c>
      <c r="S20" s="31">
        <f t="shared" si="9"/>
        <v>45</v>
      </c>
      <c r="T20" s="31">
        <f t="shared" si="10"/>
        <v>10</v>
      </c>
      <c r="U20" s="31">
        <f t="shared" si="11"/>
        <v>44</v>
      </c>
      <c r="V20" s="31">
        <f t="shared" si="12"/>
        <v>1</v>
      </c>
      <c r="W20" s="31">
        <f t="shared" si="13"/>
        <v>11</v>
      </c>
    </row>
    <row r="21" spans="2:25" ht="24.75">
      <c r="B21" s="10" t="s">
        <v>177</v>
      </c>
      <c r="C21" s="10">
        <v>24.8</v>
      </c>
      <c r="D21" s="28">
        <f>INT(C21)</f>
        <v>24</v>
      </c>
      <c r="E21" s="28">
        <f>INT((C21-D21)*60)</f>
        <v>48</v>
      </c>
      <c r="F21" s="28">
        <f>INT((((C21-D21)*60)-E21)*60)</f>
        <v>0</v>
      </c>
      <c r="G21" s="28">
        <f>INT((((((C21-D21)*60)-E21)*60)-F21)*60)</f>
        <v>0</v>
      </c>
      <c r="H21" s="28">
        <f>INT((((((((C21-D21)*60)-E21)*60)-F21)*60)-G21)*60)</f>
        <v>0</v>
      </c>
      <c r="I21" s="28">
        <f>INT((((((((((C21-D21)*60)-E21)*60)-F21)*60)-G21)*60)-H21)*60)</f>
        <v>0</v>
      </c>
      <c r="J21" s="28">
        <f>INT((((((((((((C21-D21)*60)-E21)*60)-F21)*60)-G21)*60)-H21)*60)-I21)*60)</f>
        <v>0</v>
      </c>
      <c r="K21" s="8" t="s">
        <v>179</v>
      </c>
      <c r="L21" s="8">
        <f>IF(K21="شمالی",1,2)</f>
        <v>1</v>
      </c>
      <c r="O21" s="1" t="s">
        <v>231</v>
      </c>
      <c r="P21" s="1">
        <v>0</v>
      </c>
      <c r="Q21" s="31">
        <f t="shared" si="7"/>
        <v>0</v>
      </c>
      <c r="R21" s="31">
        <f t="shared" si="8"/>
        <v>0</v>
      </c>
      <c r="S21" s="31">
        <f t="shared" si="9"/>
        <v>0</v>
      </c>
      <c r="T21" s="31">
        <f t="shared" si="10"/>
        <v>0</v>
      </c>
      <c r="U21" s="31">
        <f t="shared" si="11"/>
        <v>0</v>
      </c>
      <c r="V21" s="31">
        <f t="shared" si="12"/>
        <v>0</v>
      </c>
      <c r="W21" s="31">
        <f t="shared" si="13"/>
        <v>0</v>
      </c>
      <c r="X21" t="s">
        <v>179</v>
      </c>
      <c r="Y21">
        <f>IF(X21="شمالی",1,2)</f>
        <v>1</v>
      </c>
    </row>
    <row r="22" spans="2:25" ht="24.75">
      <c r="B22" s="24" t="s">
        <v>178</v>
      </c>
      <c r="C22" s="24">
        <f>IF((IF(C21=0,90-C18,IF(L17=L15,C18+(90-C21),ABS((C18-(90-C21))))))&lt;90,IF(C21=0,90-C18,IF(L17=L15,C18+(90-C21),ABS((C18-(90-C21))))),180-IF(C21=0,90-C18,IF(L17=L15,C18+(90-C21),ABS((C18-(90-C21))))))</f>
        <v>89.54253255071383</v>
      </c>
      <c r="D22" s="26">
        <f>INT(C22)</f>
        <v>89</v>
      </c>
      <c r="E22" s="26">
        <f>INT((C22-D22)*60)</f>
        <v>32</v>
      </c>
      <c r="F22" s="26">
        <f>INT((((C22-D22)*60)-E22)*60)</f>
        <v>33</v>
      </c>
      <c r="G22" s="26">
        <f>INT((((((C22-D22)*60)-E22)*60)-F22)*60)</f>
        <v>7</v>
      </c>
      <c r="H22" s="26">
        <f>INT((((((((C22-D22)*60)-E22)*60)-F22)*60)-G22)*60)</f>
        <v>1</v>
      </c>
      <c r="I22" s="26">
        <f>INT((((((((((C22-D22)*60)-E22)*60)-F22)*60)-G22)*60)-H22)*60)</f>
        <v>51</v>
      </c>
      <c r="J22" s="26">
        <f>INT((((((((((((C22-D22)*60)-E22)*60)-F22)*60)-G22)*60)-H22)*60)-I22)*60)</f>
        <v>26</v>
      </c>
      <c r="K22" s="8"/>
      <c r="L22" s="8"/>
      <c r="O22" s="1" t="s">
        <v>232</v>
      </c>
      <c r="P22" s="1">
        <f>DEGREES(ASIN(SIN(RADIANS(P20))/COS(RADIANS(P21))))</f>
        <v>45.179216359553749</v>
      </c>
      <c r="Q22" s="31">
        <f t="shared" si="7"/>
        <v>45</v>
      </c>
      <c r="R22" s="31">
        <f t="shared" si="8"/>
        <v>10</v>
      </c>
      <c r="S22" s="31">
        <f t="shared" si="9"/>
        <v>45</v>
      </c>
      <c r="T22" s="31">
        <f t="shared" si="10"/>
        <v>10</v>
      </c>
      <c r="U22" s="31">
        <f t="shared" si="11"/>
        <v>44</v>
      </c>
      <c r="V22" s="31">
        <f t="shared" si="12"/>
        <v>1</v>
      </c>
      <c r="W22" s="31">
        <f t="shared" si="13"/>
        <v>11</v>
      </c>
    </row>
    <row r="23" spans="2:25" ht="24.75">
      <c r="K23" s="8"/>
      <c r="L23" s="8"/>
      <c r="O23" s="1" t="s">
        <v>233</v>
      </c>
      <c r="P23" s="1"/>
      <c r="Q23" s="31">
        <f t="shared" si="7"/>
        <v>0</v>
      </c>
      <c r="R23" s="31">
        <f t="shared" si="8"/>
        <v>0</v>
      </c>
      <c r="S23" s="31">
        <f t="shared" si="9"/>
        <v>0</v>
      </c>
      <c r="T23" s="31">
        <f t="shared" si="10"/>
        <v>0</v>
      </c>
      <c r="U23" s="31">
        <f t="shared" si="11"/>
        <v>0</v>
      </c>
      <c r="V23" s="31">
        <f t="shared" si="12"/>
        <v>0</v>
      </c>
      <c r="W23" s="31">
        <f t="shared" si="13"/>
        <v>0</v>
      </c>
      <c r="X23" t="str">
        <f>IF(P14&lt;180,"شمالی","جنوبی")</f>
        <v>شمالی</v>
      </c>
      <c r="Y23">
        <f>IF(X23="شمالی",1,2)</f>
        <v>1</v>
      </c>
    </row>
    <row r="24" spans="2:25" ht="24.75">
      <c r="B24" s="24"/>
      <c r="C24" s="24">
        <f>DEGREES(ASIN(TAN(RADIANS(C9))/TAN(RADIANS(C7))))</f>
        <v>8.5671012057081227E-9</v>
      </c>
      <c r="D24" s="26">
        <f t="shared" ref="D24:D39" si="14">INT(C24)</f>
        <v>0</v>
      </c>
      <c r="E24" s="26">
        <f t="shared" ref="E24:E39" si="15">INT((C24-D24)*60)</f>
        <v>0</v>
      </c>
      <c r="F24" s="26">
        <f t="shared" ref="F24:F39" si="16">INT((((C24-D24)*60)-E24)*60)</f>
        <v>0</v>
      </c>
      <c r="G24" s="26">
        <f t="shared" ref="G24:G39" si="17">INT((((((C24-D24)*60)-E24)*60)-F24)*60)</f>
        <v>0</v>
      </c>
      <c r="H24" s="26">
        <f t="shared" ref="H24:H39" si="18">INT((((((((C24-D24)*60)-E24)*60)-F24)*60)-G24)*60)</f>
        <v>0</v>
      </c>
      <c r="I24" s="26">
        <f t="shared" ref="I24:I39" si="19">INT((((((((((C24-D24)*60)-E24)*60)-F24)*60)-G24)*60)-H24)*60)</f>
        <v>6</v>
      </c>
      <c r="J24" s="26">
        <f t="shared" ref="J24:J39" si="20">INT((((((((((((C24-D24)*60)-E24)*60)-F24)*60)-G24)*60)-H24)*60)-I24)*60)</f>
        <v>39</v>
      </c>
      <c r="K24" s="8"/>
      <c r="L24" s="8"/>
      <c r="O24" s="1"/>
      <c r="P24" s="1">
        <f>DEGREES(ASIN(SIN(RADIANS(P18))/SIN(RADIANS(P2))))</f>
        <v>40.000000000000014</v>
      </c>
      <c r="Q24" s="31">
        <f t="shared" si="7"/>
        <v>40</v>
      </c>
      <c r="R24" s="31">
        <f t="shared" si="8"/>
        <v>0</v>
      </c>
      <c r="S24" s="31">
        <f t="shared" si="9"/>
        <v>0</v>
      </c>
      <c r="T24" s="31">
        <f t="shared" si="10"/>
        <v>0</v>
      </c>
      <c r="U24" s="31">
        <f t="shared" si="11"/>
        <v>0</v>
      </c>
      <c r="V24" s="31">
        <f t="shared" si="12"/>
        <v>0</v>
      </c>
      <c r="W24" s="31">
        <f t="shared" si="13"/>
        <v>0</v>
      </c>
    </row>
    <row r="25" spans="2:25" ht="24.75">
      <c r="B25" s="24" t="s">
        <v>208</v>
      </c>
      <c r="C25">
        <f>IF(C5&lt;=90,DEGREES(ACOS(ABS(COS(RADIANS(C5)))/COS(RADIANS(C9)))),IF(C5&lt;=180,180-DEGREES(ACOS(ABS(COS(RADIANS(C5)))/COS(RADIANS(C9)))),IF(C5&lt;=270,180+DEGREES(ACOS(ABS(COS(RADIANS(C5)))/COS(RADIANS(C9)))),360-DEGREES(ACOS(ABS(COS(RADIANS(C5)))/COS(RADIANS(C9)))))))</f>
        <v>61</v>
      </c>
      <c r="D25" s="26">
        <f t="shared" si="14"/>
        <v>61</v>
      </c>
      <c r="E25" s="26">
        <f t="shared" si="15"/>
        <v>0</v>
      </c>
      <c r="F25" s="26">
        <f t="shared" si="16"/>
        <v>0</v>
      </c>
      <c r="G25" s="26">
        <f t="shared" si="17"/>
        <v>0</v>
      </c>
      <c r="H25" s="26">
        <f t="shared" si="18"/>
        <v>0</v>
      </c>
      <c r="I25" s="26">
        <f t="shared" si="19"/>
        <v>0</v>
      </c>
      <c r="J25" s="26">
        <f t="shared" si="20"/>
        <v>0</v>
      </c>
      <c r="K25" s="8"/>
      <c r="L25" s="8"/>
      <c r="O25" s="1" t="s">
        <v>234</v>
      </c>
      <c r="P25" s="1">
        <f>IF(P14&lt;90,360-P24,IF(P14&lt;=180,P24,IF(P14&lt;=270,180-P24,180+P24)))</f>
        <v>320</v>
      </c>
      <c r="Q25" s="31">
        <f t="shared" si="7"/>
        <v>320</v>
      </c>
      <c r="R25" s="31">
        <f t="shared" si="8"/>
        <v>0</v>
      </c>
      <c r="S25" s="31">
        <f t="shared" si="9"/>
        <v>0</v>
      </c>
      <c r="T25" s="31">
        <f t="shared" si="10"/>
        <v>0</v>
      </c>
      <c r="U25" s="31">
        <f t="shared" si="11"/>
        <v>0</v>
      </c>
      <c r="V25" s="31">
        <f t="shared" si="12"/>
        <v>0</v>
      </c>
      <c r="W25" s="31">
        <f t="shared" si="13"/>
        <v>0</v>
      </c>
    </row>
    <row r="26" spans="2:25" ht="24.75">
      <c r="B26" s="24" t="s">
        <v>209</v>
      </c>
      <c r="C26">
        <f>IF(C5&lt;=90,DEGREES(ASIN((((ABS(SIN(RADIANS(C5))))*COS(RADIANS(C7)))/COS(RADIANS(C9))))),IF(C5&lt;=180,180-DEGREES(ASIN((((ABS(SIN(RADIANS(C5))))*COS(RADIANS(C7)))/COS(RADIANS(C9))))),IF(C5&lt;=270,180+DEGREES(ASIN((((ABS(SIN(RADIANS(C5))))*COS(RADIANS(C7)))/COS(RADIANS(C9))))),360-DEGREES(ASIN((((ABS(SIN(RADIANS(C5))))*COS(RADIANS(C7)))/COS(RADIANS(C9))))))))</f>
        <v>53.35825435695341</v>
      </c>
      <c r="D26" s="26">
        <f t="shared" si="14"/>
        <v>53</v>
      </c>
      <c r="E26" s="26">
        <f t="shared" si="15"/>
        <v>21</v>
      </c>
      <c r="F26" s="26">
        <f t="shared" si="16"/>
        <v>29</v>
      </c>
      <c r="G26" s="26">
        <f t="shared" si="17"/>
        <v>42</v>
      </c>
      <c r="H26" s="26">
        <f t="shared" si="18"/>
        <v>56</v>
      </c>
      <c r="I26" s="26">
        <f t="shared" si="19"/>
        <v>27</v>
      </c>
      <c r="J26" s="26">
        <f t="shared" si="20"/>
        <v>58</v>
      </c>
      <c r="K26" s="8"/>
      <c r="L26" s="8"/>
      <c r="O26" s="1" t="s">
        <v>237</v>
      </c>
      <c r="P26" s="1">
        <f>IF(IF(Y23=Y21,180-P22+P25,P22+P25)&gt;360,IF(Y23=Y21,180-P22+P25,P22+P25)-360,IF(Y23=Y21,180-P22+P25,P22+P25))</f>
        <v>94.82078364044628</v>
      </c>
      <c r="Q26" s="31">
        <f t="shared" si="7"/>
        <v>94</v>
      </c>
      <c r="R26" s="31">
        <f t="shared" si="8"/>
        <v>49</v>
      </c>
      <c r="S26" s="31">
        <f t="shared" si="9"/>
        <v>14</v>
      </c>
      <c r="T26" s="31">
        <f t="shared" si="10"/>
        <v>49</v>
      </c>
      <c r="U26" s="31">
        <f t="shared" si="11"/>
        <v>15</v>
      </c>
      <c r="V26" s="31">
        <f t="shared" si="12"/>
        <v>58</v>
      </c>
      <c r="W26" s="31">
        <f t="shared" si="13"/>
        <v>48</v>
      </c>
    </row>
    <row r="27" spans="2:25" ht="24.75">
      <c r="B27" s="24" t="s">
        <v>207</v>
      </c>
      <c r="C27" s="24">
        <f>IF(C5&lt;=90,C24,IF(C5&lt;=180,180-C24,IF(C5&lt;=270,180+C24,360-C24)))</f>
        <v>8.5671012057081227E-9</v>
      </c>
      <c r="D27" s="26">
        <f t="shared" si="14"/>
        <v>0</v>
      </c>
      <c r="E27" s="26">
        <f t="shared" si="15"/>
        <v>0</v>
      </c>
      <c r="F27" s="26">
        <f t="shared" si="16"/>
        <v>0</v>
      </c>
      <c r="G27" s="26">
        <f t="shared" si="17"/>
        <v>0</v>
      </c>
      <c r="H27" s="26">
        <f t="shared" si="18"/>
        <v>0</v>
      </c>
      <c r="I27" s="26">
        <f t="shared" si="19"/>
        <v>6</v>
      </c>
      <c r="J27" s="26">
        <f t="shared" si="20"/>
        <v>39</v>
      </c>
      <c r="K27" s="8"/>
      <c r="L27" s="8"/>
      <c r="O27" s="1" t="s">
        <v>236</v>
      </c>
      <c r="P27" s="31">
        <f>DEGREES(ATAN(SIN(RADIANS(P15))*_xlfn.COT(RADIANS(P20))))</f>
        <v>16.853933282177074</v>
      </c>
      <c r="Q27" s="31">
        <f t="shared" si="7"/>
        <v>16</v>
      </c>
      <c r="R27" s="31">
        <f t="shared" si="8"/>
        <v>51</v>
      </c>
      <c r="S27" s="31">
        <f t="shared" si="9"/>
        <v>14</v>
      </c>
      <c r="T27" s="31">
        <f t="shared" si="10"/>
        <v>9</v>
      </c>
      <c r="U27" s="31">
        <f t="shared" si="11"/>
        <v>35</v>
      </c>
      <c r="V27" s="31">
        <f t="shared" si="12"/>
        <v>20</v>
      </c>
      <c r="W27" s="31">
        <f t="shared" si="13"/>
        <v>13</v>
      </c>
    </row>
    <row r="28" spans="2:25" ht="24.75">
      <c r="B28" s="24" t="s">
        <v>210</v>
      </c>
      <c r="C28" s="24">
        <f>DEGREES(ASIN(TAN(RADIANS(C9))*TAN(RADIANS(C21))))</f>
        <v>1.7171233068723431E-9</v>
      </c>
      <c r="D28" s="26">
        <f t="shared" si="14"/>
        <v>0</v>
      </c>
      <c r="E28" s="26">
        <f t="shared" si="15"/>
        <v>0</v>
      </c>
      <c r="F28" s="26">
        <f t="shared" si="16"/>
        <v>0</v>
      </c>
      <c r="G28" s="26">
        <f t="shared" si="17"/>
        <v>0</v>
      </c>
      <c r="H28" s="26">
        <f t="shared" si="18"/>
        <v>0</v>
      </c>
      <c r="I28" s="26">
        <f t="shared" si="19"/>
        <v>1</v>
      </c>
      <c r="J28" s="26">
        <f t="shared" si="20"/>
        <v>20</v>
      </c>
      <c r="K28" s="8" t="str">
        <f>IF(C5&lt;=180,"شمالی","جنوبی")</f>
        <v>شمالی</v>
      </c>
      <c r="L28" s="8">
        <f>IF(K28="شمالی",1,2)</f>
        <v>1</v>
      </c>
      <c r="O28" s="1" t="s">
        <v>238</v>
      </c>
      <c r="P28">
        <f>IF(P19&gt;=P2,IF(AND(Y19=1,P25&gt;270),P16+P27,IF(AND(Y19=2,P25&gt;90),P16+P27,P16-P27)),IF(180&gt;=P25&gt;90,IF(Y19=1,IF(P25&lt;180-Y28,P16+P27,P16-P27),P16+P27),IF(P25&gt;270,IF(Y19=2,IF(P25&lt;360-Y28,P16+P27,P16-P27),P16+P27),P16-P27)))</f>
        <v>64.406585796860369</v>
      </c>
      <c r="Q28" s="31">
        <f t="shared" si="7"/>
        <v>64</v>
      </c>
      <c r="R28" s="31">
        <f t="shared" si="8"/>
        <v>24</v>
      </c>
      <c r="S28" s="31">
        <f t="shared" si="9"/>
        <v>23</v>
      </c>
      <c r="T28" s="31">
        <f t="shared" si="10"/>
        <v>42</v>
      </c>
      <c r="U28" s="31">
        <f t="shared" si="11"/>
        <v>31</v>
      </c>
      <c r="V28" s="31">
        <f t="shared" si="12"/>
        <v>55</v>
      </c>
      <c r="W28" s="31">
        <f t="shared" si="13"/>
        <v>38</v>
      </c>
      <c r="X28" t="s">
        <v>239</v>
      </c>
      <c r="Y28" t="e">
        <f>DEGREES(ASIN(SIN(RADIANS(P19))/SIN(RADIANS(P2))))</f>
        <v>#NUM!</v>
      </c>
    </row>
    <row r="29" spans="2:25" ht="24.75">
      <c r="B29" s="24" t="s">
        <v>214</v>
      </c>
      <c r="C29" s="24">
        <f>DEGREES(ASIN(SIN(RADIANS(C9))/COS(RADIANS(C21))))</f>
        <v>4.093729364408817E-9</v>
      </c>
      <c r="D29" s="26">
        <f t="shared" si="14"/>
        <v>0</v>
      </c>
      <c r="E29" s="26">
        <f t="shared" si="15"/>
        <v>0</v>
      </c>
      <c r="F29" s="26">
        <f t="shared" si="16"/>
        <v>0</v>
      </c>
      <c r="G29" s="26">
        <f t="shared" si="17"/>
        <v>0</v>
      </c>
      <c r="H29" s="26">
        <f t="shared" si="18"/>
        <v>0</v>
      </c>
      <c r="I29" s="26">
        <f t="shared" si="19"/>
        <v>3</v>
      </c>
      <c r="J29" s="26">
        <f t="shared" si="20"/>
        <v>10</v>
      </c>
      <c r="K29" s="8" t="str">
        <f>K17</f>
        <v>شمالی</v>
      </c>
      <c r="L29" s="8">
        <f>L17</f>
        <v>1</v>
      </c>
    </row>
    <row r="30" spans="2:25" ht="24.75">
      <c r="B30" s="24" t="s">
        <v>211</v>
      </c>
      <c r="C30" s="24">
        <f>DEGREES(ACOS(COS(RADIANS(C29))/COS(RADIANS(C9))))</f>
        <v>0</v>
      </c>
      <c r="D30" s="26">
        <f t="shared" si="14"/>
        <v>0</v>
      </c>
      <c r="E30" s="26">
        <f t="shared" si="15"/>
        <v>0</v>
      </c>
      <c r="F30" s="26">
        <f t="shared" si="16"/>
        <v>0</v>
      </c>
      <c r="G30" s="26">
        <f t="shared" si="17"/>
        <v>0</v>
      </c>
      <c r="H30" s="26">
        <f t="shared" si="18"/>
        <v>0</v>
      </c>
      <c r="I30" s="26">
        <f t="shared" si="19"/>
        <v>0</v>
      </c>
      <c r="J30" s="26">
        <f t="shared" si="20"/>
        <v>0</v>
      </c>
      <c r="K30" s="8"/>
      <c r="L30" s="8"/>
    </row>
    <row r="31" spans="2:25" ht="24.75">
      <c r="B31" s="24" t="s">
        <v>212</v>
      </c>
      <c r="C31" s="24">
        <f>DEGREES(ASIN(((SIN(RADIANS(C29))*SIN(RADIANS(C21)))/COS(RADIANS(C9)))))</f>
        <v>1.7171233068723431E-9</v>
      </c>
      <c r="D31" s="26">
        <f t="shared" si="14"/>
        <v>0</v>
      </c>
      <c r="E31" s="26">
        <f t="shared" si="15"/>
        <v>0</v>
      </c>
      <c r="F31" s="26">
        <f t="shared" si="16"/>
        <v>0</v>
      </c>
      <c r="G31" s="26">
        <f t="shared" si="17"/>
        <v>0</v>
      </c>
      <c r="H31" s="26">
        <f t="shared" si="18"/>
        <v>0</v>
      </c>
      <c r="I31" s="26">
        <f t="shared" si="19"/>
        <v>1</v>
      </c>
      <c r="J31" s="26">
        <f t="shared" si="20"/>
        <v>20</v>
      </c>
      <c r="K31" s="8"/>
      <c r="L31" s="8"/>
    </row>
    <row r="32" spans="2:25" ht="24.75">
      <c r="B32" s="24" t="s">
        <v>216</v>
      </c>
      <c r="C32" s="24">
        <f>((C20-12)/2)*15</f>
        <v>17.681930700000006</v>
      </c>
      <c r="D32" s="26">
        <f t="shared" si="14"/>
        <v>17</v>
      </c>
      <c r="E32" s="26">
        <f t="shared" si="15"/>
        <v>40</v>
      </c>
      <c r="F32" s="26">
        <f t="shared" si="16"/>
        <v>54</v>
      </c>
      <c r="G32" s="26">
        <f t="shared" si="17"/>
        <v>57</v>
      </c>
      <c r="H32" s="26">
        <f t="shared" si="18"/>
        <v>1</v>
      </c>
      <c r="I32" s="26">
        <f t="shared" si="19"/>
        <v>52</v>
      </c>
      <c r="J32" s="26">
        <f t="shared" si="20"/>
        <v>19</v>
      </c>
      <c r="K32" s="8"/>
      <c r="L32" s="8"/>
    </row>
    <row r="33" spans="2:15" ht="24.75">
      <c r="B33" s="24" t="s">
        <v>213</v>
      </c>
      <c r="C33" s="24">
        <f>DEGREES(ASIN(SIN(RADIANS(C32))*SIN(RADIANS(C25))))</f>
        <v>15.405610556120804</v>
      </c>
      <c r="D33" s="26">
        <f t="shared" si="14"/>
        <v>15</v>
      </c>
      <c r="E33" s="26">
        <f t="shared" si="15"/>
        <v>24</v>
      </c>
      <c r="F33" s="26">
        <f t="shared" si="16"/>
        <v>20</v>
      </c>
      <c r="G33" s="26">
        <f t="shared" si="17"/>
        <v>11</v>
      </c>
      <c r="H33" s="26">
        <f t="shared" si="18"/>
        <v>52</v>
      </c>
      <c r="I33" s="26">
        <f t="shared" si="19"/>
        <v>48</v>
      </c>
      <c r="J33" s="26">
        <f t="shared" si="20"/>
        <v>26</v>
      </c>
      <c r="K33" s="8"/>
      <c r="L33" s="8"/>
    </row>
    <row r="34" spans="2:15" ht="24.75">
      <c r="B34" s="24" t="s">
        <v>206</v>
      </c>
      <c r="C34" s="24">
        <f>IF(L28=L21,ABS(C28-C27),C28+C27)</f>
        <v>6.8499778988357794E-9</v>
      </c>
      <c r="D34" s="26">
        <f t="shared" si="14"/>
        <v>0</v>
      </c>
      <c r="E34" s="26">
        <f t="shared" si="15"/>
        <v>0</v>
      </c>
      <c r="F34" s="26">
        <f t="shared" si="16"/>
        <v>0</v>
      </c>
      <c r="G34" s="26">
        <f t="shared" si="17"/>
        <v>0</v>
      </c>
      <c r="H34" s="26">
        <f t="shared" si="18"/>
        <v>0</v>
      </c>
      <c r="I34" s="26">
        <f t="shared" si="19"/>
        <v>5</v>
      </c>
      <c r="J34" s="26">
        <f t="shared" si="20"/>
        <v>19</v>
      </c>
      <c r="K34" s="8"/>
      <c r="L34" s="8"/>
    </row>
    <row r="35" spans="2:15" ht="24.75">
      <c r="B35" s="2" t="s">
        <v>242</v>
      </c>
      <c r="C35" s="2">
        <v>34.133333999999998</v>
      </c>
      <c r="D35" s="26">
        <f t="shared" si="14"/>
        <v>34</v>
      </c>
      <c r="E35" s="26">
        <f t="shared" si="15"/>
        <v>8</v>
      </c>
      <c r="F35" s="26">
        <f t="shared" si="16"/>
        <v>0</v>
      </c>
      <c r="G35" s="26">
        <f t="shared" si="17"/>
        <v>0</v>
      </c>
      <c r="H35" s="26">
        <f t="shared" si="18"/>
        <v>8</v>
      </c>
      <c r="I35" s="26">
        <f t="shared" si="19"/>
        <v>38</v>
      </c>
      <c r="J35" s="26">
        <f t="shared" si="20"/>
        <v>23</v>
      </c>
      <c r="K35" s="8"/>
      <c r="L35" s="8"/>
    </row>
    <row r="36" spans="2:15" ht="24.75">
      <c r="B36" s="24" t="s">
        <v>241</v>
      </c>
      <c r="C36" s="24">
        <f>DEGREES(ASIN(SIN(RADIANS(C11))*COS(RADIANS(C15))))</f>
        <v>28.879215731248603</v>
      </c>
      <c r="D36" s="26">
        <f t="shared" si="14"/>
        <v>28</v>
      </c>
      <c r="E36" s="26">
        <f t="shared" si="15"/>
        <v>52</v>
      </c>
      <c r="F36" s="26">
        <f t="shared" si="16"/>
        <v>45</v>
      </c>
      <c r="G36" s="26">
        <f t="shared" si="17"/>
        <v>10</v>
      </c>
      <c r="H36" s="26">
        <f t="shared" si="18"/>
        <v>35</v>
      </c>
      <c r="I36" s="26">
        <f t="shared" si="19"/>
        <v>52</v>
      </c>
      <c r="J36" s="26">
        <f t="shared" si="20"/>
        <v>37</v>
      </c>
      <c r="K36" s="8"/>
      <c r="L36" s="8"/>
    </row>
    <row r="37" spans="2:15" ht="24.75">
      <c r="B37" s="24" t="s">
        <v>240</v>
      </c>
      <c r="C37" s="24">
        <f>DEGREES(ASIN(SIN(RADIANS(C36))/COS(RADIANS(C17))))</f>
        <v>32.277274517670882</v>
      </c>
      <c r="D37" s="26">
        <f t="shared" si="14"/>
        <v>32</v>
      </c>
      <c r="E37" s="26">
        <f t="shared" si="15"/>
        <v>16</v>
      </c>
      <c r="F37" s="26">
        <f t="shared" si="16"/>
        <v>38</v>
      </c>
      <c r="G37" s="26">
        <f t="shared" si="17"/>
        <v>11</v>
      </c>
      <c r="H37" s="26">
        <f t="shared" si="18"/>
        <v>17</v>
      </c>
      <c r="I37" s="26">
        <f t="shared" si="19"/>
        <v>44</v>
      </c>
      <c r="J37" s="26">
        <f t="shared" si="20"/>
        <v>56</v>
      </c>
      <c r="K37" s="8"/>
      <c r="L37" s="8"/>
      <c r="M37" t="s">
        <v>275</v>
      </c>
      <c r="N37" t="s">
        <v>403</v>
      </c>
    </row>
    <row r="38" spans="2:15" ht="24.75">
      <c r="B38" s="24" t="s">
        <v>247</v>
      </c>
      <c r="C38" s="24">
        <f>IF(L15=L10,IF((TAN(RADIANS(C15))*TAN(RADIANS(C7)))&lt;=ABS(SIN(RADIANS(C5))),IF(C5&lt;=90,90-C37,IF(C5&lt;=180,90+C37,IF(C5&lt;=270,270-C37,270+C37))),IF(C5&lt;=90,270+C37,IF(C5&lt;=180,2700-C37,IF(C5&lt;=270,90+C37,90-C37)))),IF(C5&lt;=90,90-C37,IF(C5&lt;=180,90+C37,IF(C5&lt;=270,270-C37,270+C37))))</f>
        <v>57.722725482329118</v>
      </c>
      <c r="D38" s="26">
        <f t="shared" si="14"/>
        <v>57</v>
      </c>
      <c r="E38" s="26">
        <f t="shared" si="15"/>
        <v>43</v>
      </c>
      <c r="F38" s="26">
        <f t="shared" si="16"/>
        <v>21</v>
      </c>
      <c r="G38" s="26">
        <f t="shared" si="17"/>
        <v>48</v>
      </c>
      <c r="H38" s="26">
        <f t="shared" si="18"/>
        <v>42</v>
      </c>
      <c r="I38" s="26">
        <f t="shared" si="19"/>
        <v>15</v>
      </c>
      <c r="J38" s="26">
        <f t="shared" si="20"/>
        <v>3</v>
      </c>
      <c r="K38" s="8"/>
      <c r="L38" s="8"/>
      <c r="M38">
        <v>5</v>
      </c>
      <c r="N38">
        <v>61</v>
      </c>
    </row>
    <row r="39" spans="2:15" ht="24.75">
      <c r="B39" s="7" t="s">
        <v>244</v>
      </c>
      <c r="C39" s="7">
        <f>IF((90+C5)&lt;360,90+C5,(90+C5)-360)</f>
        <v>151</v>
      </c>
      <c r="D39" s="26">
        <f t="shared" si="14"/>
        <v>151</v>
      </c>
      <c r="E39" s="26">
        <f t="shared" si="15"/>
        <v>0</v>
      </c>
      <c r="F39" s="26">
        <f t="shared" si="16"/>
        <v>0</v>
      </c>
      <c r="G39" s="26">
        <f t="shared" si="17"/>
        <v>0</v>
      </c>
      <c r="H39" s="26">
        <f t="shared" si="18"/>
        <v>0</v>
      </c>
      <c r="I39" s="26">
        <f t="shared" si="19"/>
        <v>0</v>
      </c>
      <c r="J39" s="26">
        <f t="shared" si="20"/>
        <v>0</v>
      </c>
      <c r="K39" s="8"/>
      <c r="L39" s="8"/>
    </row>
    <row r="40" spans="2:15">
      <c r="B40" s="7"/>
      <c r="C40" s="7">
        <f>ABS(DEGREES(ASIN(SIN(RADIANS(C7))*SIN(RADIANS(C39)))))</f>
        <v>11.123785831849661</v>
      </c>
      <c r="K40" s="8"/>
      <c r="L40" s="8"/>
      <c r="M40" t="e">
        <f ca="1">[4]!bkm(M38,N38)</f>
        <v>#NAME?</v>
      </c>
    </row>
    <row r="41" spans="2:15" ht="24.75">
      <c r="B41" s="7"/>
      <c r="C41" s="7">
        <f>DEGREES(ASIN(TAN(RADIANS(C40))*TAN(RADIANS(C17))))</f>
        <v>5.3226911996168571</v>
      </c>
      <c r="D41" s="26">
        <f>INT(C41)</f>
        <v>5</v>
      </c>
      <c r="E41" s="26">
        <f>INT((C41-D41)*60)</f>
        <v>19</v>
      </c>
      <c r="F41" s="26">
        <f>INT((((C41-D41)*60)-E41)*60)</f>
        <v>21</v>
      </c>
      <c r="G41" s="26">
        <f>INT((((((C41-D41)*60)-E41)*60)-F41)*60)</f>
        <v>41</v>
      </c>
      <c r="H41" s="26">
        <f>INT((((((((C41-D41)*60)-E41)*60)-F41)*60)-G41)*60)</f>
        <v>17</v>
      </c>
      <c r="I41" s="26">
        <f>INT((((((((((C41-D41)*60)-E41)*60)-F41)*60)-G41)*60)-H41)*60)</f>
        <v>56</v>
      </c>
      <c r="J41" s="26">
        <f>INT((((((((((((C41-D41)*60)-E41)*60)-F41)*60)-G41)*60)-H41)*60)-I41)*60)</f>
        <v>49</v>
      </c>
      <c r="K41" s="8"/>
      <c r="L41" s="8"/>
      <c r="M41">
        <f>N38+90</f>
        <v>151</v>
      </c>
      <c r="N41">
        <f>N38-90</f>
        <v>-29</v>
      </c>
      <c r="O41" t="e">
        <f ca="1">[4]!mtl(M41)</f>
        <v>#NAME?</v>
      </c>
    </row>
    <row r="42" spans="2:15" ht="24.75">
      <c r="B42" s="7" t="s">
        <v>245</v>
      </c>
      <c r="C42" s="7">
        <f>IF(L28=L17,ABS(C41-C44),C41+C44)</f>
        <v>21.631892118437179</v>
      </c>
      <c r="D42" s="26">
        <f>INT(C42)</f>
        <v>21</v>
      </c>
      <c r="E42" s="26">
        <f>INT((C42-D42)*60)</f>
        <v>37</v>
      </c>
      <c r="F42" s="26">
        <f>INT((((C42-D42)*60)-E42)*60)</f>
        <v>54</v>
      </c>
      <c r="G42" s="26">
        <f>INT((((((C42-D42)*60)-E42)*60)-F42)*60)</f>
        <v>48</v>
      </c>
      <c r="H42" s="26">
        <f>INT((((((((C42-D42)*60)-E42)*60)-F42)*60)-G42)*60)</f>
        <v>41</v>
      </c>
      <c r="I42" s="26">
        <f>INT((((((((((C42-D42)*60)-E42)*60)-F42)*60)-G42)*60)-H42)*60)</f>
        <v>51</v>
      </c>
      <c r="J42" s="26">
        <f>INT((((((((((((C42-D42)*60)-E42)*60)-F42)*60)-G42)*60)-H42)*60)-I42)*60)</f>
        <v>17</v>
      </c>
      <c r="K42" s="8"/>
      <c r="L42" s="8"/>
      <c r="M42" t="e">
        <f ca="1">[4]!MTB(M41,M40)</f>
        <v>#NAME?</v>
      </c>
      <c r="N42" t="e">
        <f ca="1">[4]!MTB(N41,M38)</f>
        <v>#NAME?</v>
      </c>
      <c r="O42" t="e">
        <f ca="1">[4]!tadna(M41,M40)</f>
        <v>#NAME?</v>
      </c>
    </row>
    <row r="43" spans="2:15" ht="24.75">
      <c r="B43" s="7" t="s">
        <v>246</v>
      </c>
      <c r="C43" s="7">
        <f>IF(C42&lt;90,360+C42-90,C42-90)</f>
        <v>291.63189211843718</v>
      </c>
      <c r="D43" s="26">
        <f>INT(C43)</f>
        <v>291</v>
      </c>
      <c r="E43" s="26">
        <f>INT((C43-D43)*60)</f>
        <v>37</v>
      </c>
      <c r="F43" s="26">
        <f>INT((((C43-D43)*60)-E43)*60)</f>
        <v>54</v>
      </c>
      <c r="G43" s="26">
        <f>INT((((((C43-D43)*60)-E43)*60)-F43)*60)</f>
        <v>48</v>
      </c>
      <c r="H43" s="26">
        <f>INT((((((((C43-D43)*60)-E43)*60)-F43)*60)-G43)*60)</f>
        <v>41</v>
      </c>
      <c r="I43" s="26">
        <f>INT((((((((((C43-D43)*60)-E43)*60)-F43)*60)-G43)*60)-H43)*60)</f>
        <v>51</v>
      </c>
      <c r="J43" s="26">
        <f>INT((((((((((((C43-D43)*60)-E43)*60)-F43)*60)-G43)*60)-H43)*60)-I43)*60)</f>
        <v>17</v>
      </c>
      <c r="K43" s="8"/>
      <c r="L43" s="8"/>
      <c r="M43" t="e">
        <f ca="1">M42-90</f>
        <v>#NAME?</v>
      </c>
      <c r="N43" t="e">
        <f ca="1">N42+90</f>
        <v>#NAME?</v>
      </c>
      <c r="O43" t="s">
        <v>404</v>
      </c>
    </row>
    <row r="44" spans="2:15">
      <c r="B44" s="7" t="s">
        <v>218</v>
      </c>
      <c r="C44" s="7">
        <f>DEGREES(ACOS(ABS(COS(RADIANS(C39)))/COS(RADIANS(C40))))</f>
        <v>26.954583318054038</v>
      </c>
      <c r="K44" s="8"/>
      <c r="L44" s="8"/>
      <c r="M44" t="s">
        <v>405</v>
      </c>
      <c r="N44" t="s">
        <v>406</v>
      </c>
    </row>
    <row r="45" spans="2:15">
      <c r="B45" s="24" t="s">
        <v>220</v>
      </c>
      <c r="C45" s="24">
        <v>40</v>
      </c>
      <c r="D45" s="24"/>
      <c r="E45" s="24"/>
      <c r="F45" s="24"/>
      <c r="G45" s="24"/>
      <c r="H45" s="24"/>
      <c r="I45" s="24"/>
      <c r="J45" s="24"/>
      <c r="K45" s="8" t="s">
        <v>222</v>
      </c>
      <c r="L45" s="8"/>
      <c r="M45" t="e">
        <f ca="1">[4]!mtm(M38,N38)</f>
        <v>#NAME?</v>
      </c>
    </row>
    <row r="46" spans="2:15" ht="24.75">
      <c r="B46" s="24" t="s">
        <v>221</v>
      </c>
      <c r="C46" s="24">
        <f>SIN(RADIANS(ABS(C45)))*TAN(RADIANS(C21))</f>
        <v>0.29700957319337723</v>
      </c>
      <c r="D46" s="26">
        <f>INT(C46)</f>
        <v>0</v>
      </c>
      <c r="E46" s="26">
        <f>INT((C46-D46)*60)</f>
        <v>17</v>
      </c>
      <c r="F46" s="26">
        <f>INT((((C46-D46)*60)-E46)*60)</f>
        <v>49</v>
      </c>
      <c r="G46" s="26">
        <f>INT((((((C46-D46)*60)-E46)*60)-F46)*60)</f>
        <v>14</v>
      </c>
      <c r="H46" s="26">
        <f>INT((((((((C46-D46)*60)-E46)*60)-F46)*60)-G46)*60)</f>
        <v>4</v>
      </c>
      <c r="I46" s="26">
        <f>INT((((((((((C46-D46)*60)-E46)*60)-F46)*60)-G46)*60)-H46)*60)</f>
        <v>4</v>
      </c>
      <c r="J46" s="26">
        <f>INT((((((((((((C46-D46)*60)-E46)*60)-F46)*60)-G46)*60)-H46)*60)-I46)*60)</f>
        <v>6</v>
      </c>
      <c r="K46" s="8" t="str">
        <f>IF(C45&lt;0,K21,IF(L21=1,"جنوبی","شمالی"))</f>
        <v>جنوبی</v>
      </c>
      <c r="L46" s="8">
        <f>IF(K46="شمالی",1,2)</f>
        <v>2</v>
      </c>
    </row>
    <row r="47" spans="2:15" ht="24.75">
      <c r="B47" s="24" t="s">
        <v>223</v>
      </c>
      <c r="C47" s="24">
        <f>IF(L17=L46,C46+SIN(RADIANS(C29)),ABS(SIN(RADIANS(C29))-C46))</f>
        <v>0.29700957312192816</v>
      </c>
      <c r="D47" s="26">
        <f>INT(C47)</f>
        <v>0</v>
      </c>
      <c r="E47" s="26">
        <f>INT((C47-D47)*60)</f>
        <v>17</v>
      </c>
      <c r="F47" s="26">
        <f>INT((((C47-D47)*60)-E47)*60)</f>
        <v>49</v>
      </c>
      <c r="G47" s="26">
        <f>INT((((((C47-D47)*60)-E47)*60)-F47)*60)</f>
        <v>14</v>
      </c>
      <c r="H47" s="26">
        <f>INT((((((((C47-D47)*60)-E47)*60)-F47)*60)-G47)*60)</f>
        <v>4</v>
      </c>
      <c r="I47" s="26">
        <f>INT((((((((((C47-D47)*60)-E47)*60)-F47)*60)-G47)*60)-H47)*60)</f>
        <v>4</v>
      </c>
      <c r="J47" s="26">
        <f>INT((((((((((((C47-D47)*60)-E47)*60)-F47)*60)-G47)*60)-H47)*60)-I47)*60)</f>
        <v>3</v>
      </c>
      <c r="K47" s="8" t="str">
        <f>IF(L46=L17,K46,IF(C46&gt;SIN(RADIANS(C29)),K46,K29))</f>
        <v>جنوبی</v>
      </c>
      <c r="L47" s="8">
        <f>IF(K47="شمالی",1,2)</f>
        <v>2</v>
      </c>
    </row>
    <row r="48" spans="2:15">
      <c r="B48" s="6" t="s">
        <v>248</v>
      </c>
      <c r="C48" s="6">
        <f>DEGREES(ASIN((C47))/COS(RADIANS(ABS(C45))))</f>
        <v>22.554930757537193</v>
      </c>
      <c r="D48" s="6"/>
      <c r="E48" s="6"/>
      <c r="F48" s="6"/>
      <c r="G48" s="6"/>
      <c r="H48" s="6"/>
      <c r="I48" s="6"/>
      <c r="J48" s="6"/>
      <c r="K48" s="8" t="str">
        <f>K47</f>
        <v>جنوبی</v>
      </c>
      <c r="L48" s="8">
        <f>IF(K48="شمالی",1,2)</f>
        <v>2</v>
      </c>
    </row>
    <row r="49" spans="2:12">
      <c r="B49" s="6" t="s">
        <v>249</v>
      </c>
      <c r="C49" s="6">
        <f>ABS(C45)+(90-C21)</f>
        <v>105.2</v>
      </c>
      <c r="D49" s="6"/>
      <c r="E49" s="6"/>
      <c r="F49" s="6"/>
      <c r="G49" s="6"/>
      <c r="H49" s="6"/>
      <c r="I49" s="6"/>
      <c r="J49" s="6"/>
      <c r="K49" s="8"/>
      <c r="L49" s="8"/>
    </row>
    <row r="50" spans="2:12">
      <c r="B50" s="6" t="s">
        <v>250</v>
      </c>
      <c r="C50" s="6">
        <f>ABS(ABS(C45)-(90-C21))</f>
        <v>25.200000000000003</v>
      </c>
      <c r="D50" s="6"/>
      <c r="E50" s="6"/>
      <c r="F50" s="6"/>
      <c r="G50" s="6"/>
      <c r="H50" s="6"/>
      <c r="I50" s="6"/>
      <c r="J50" s="6"/>
      <c r="K50" s="8"/>
      <c r="L50" s="8"/>
    </row>
    <row r="51" spans="2:12">
      <c r="B51" s="6" t="s">
        <v>251</v>
      </c>
      <c r="C51" s="6">
        <f>(SIN(RADIANS(C49))+SIN(RADIANS(C50)))/2</f>
        <v>0.69539789301869204</v>
      </c>
      <c r="D51" s="6"/>
      <c r="E51" s="6"/>
      <c r="F51" s="6"/>
      <c r="G51" s="6"/>
      <c r="H51" s="6"/>
      <c r="I51" s="6"/>
      <c r="J51" s="6"/>
      <c r="K51" s="8"/>
      <c r="L51" s="8"/>
    </row>
    <row r="52" spans="2:12">
      <c r="B52" s="6" t="s">
        <v>252</v>
      </c>
      <c r="C52" s="6">
        <f>ABS(SIN(RADIANS(C49))-SIN(RADIANS(C50)))/2</f>
        <v>0.26961860145361938</v>
      </c>
      <c r="D52" s="6"/>
      <c r="E52" s="6"/>
      <c r="F52" s="6"/>
      <c r="G52" s="6"/>
      <c r="H52" s="6"/>
      <c r="I52" s="6"/>
      <c r="J52" s="6"/>
      <c r="K52" s="8"/>
      <c r="L52" s="8"/>
    </row>
    <row r="53" spans="2:12">
      <c r="B53" s="6" t="s">
        <v>253</v>
      </c>
      <c r="C53" s="6"/>
      <c r="D53" s="6"/>
      <c r="E53" s="6"/>
      <c r="F53" s="6"/>
      <c r="G53" s="6"/>
      <c r="H53" s="6"/>
      <c r="I53" s="6"/>
      <c r="J53" s="6"/>
      <c r="K53" s="8"/>
      <c r="L53" s="8"/>
    </row>
    <row r="58" spans="2:12">
      <c r="B58" s="5">
        <v>40</v>
      </c>
      <c r="C58" s="5" t="s">
        <v>282</v>
      </c>
      <c r="D58" s="5"/>
    </row>
    <row r="59" spans="2:12">
      <c r="B59" s="5">
        <v>10</v>
      </c>
      <c r="C59" s="5" t="s">
        <v>177</v>
      </c>
      <c r="D59" s="5"/>
    </row>
    <row r="60" spans="2:12">
      <c r="B60" s="5" t="e">
        <f ca="1">[4]!ctn([4]!MTB(B58,B59))</f>
        <v>#NAME?</v>
      </c>
      <c r="C60" s="5"/>
      <c r="D60" s="5"/>
    </row>
    <row r="61" spans="2:12">
      <c r="B61" s="5" t="e">
        <f ca="1">[4]!asher(B58,B59)</f>
        <v>#NAME?</v>
      </c>
      <c r="C61" s="5" t="s">
        <v>281</v>
      </c>
      <c r="D61" s="5"/>
    </row>
    <row r="62" spans="2:12">
      <c r="B62" s="5" t="e">
        <f ca="1">[4]!ml(B61)</f>
        <v>#NAME?</v>
      </c>
      <c r="C62" s="5" t="s">
        <v>280</v>
      </c>
      <c r="D62" s="5"/>
    </row>
    <row r="63" spans="2:12">
      <c r="B63" s="5" t="e">
        <f ca="1">[4]!MTB(B58,B59)</f>
        <v>#NAME?</v>
      </c>
      <c r="C63" s="5" t="s">
        <v>206</v>
      </c>
      <c r="D63" s="5"/>
    </row>
    <row r="64" spans="2:12">
      <c r="B64" s="5" t="e">
        <f ca="1">[4]!tazmb(B63,B59)</f>
        <v>#NAME?</v>
      </c>
      <c r="C64" s="5" t="s">
        <v>279</v>
      </c>
      <c r="D64" s="5"/>
    </row>
    <row r="65" spans="2:10">
      <c r="B65" s="5" t="e">
        <f ca="1">[4]!qrk(B62,B59)</f>
        <v>#NAME?</v>
      </c>
      <c r="C65" s="5" t="s">
        <v>278</v>
      </c>
      <c r="D65" s="5"/>
    </row>
    <row r="66" spans="2:10">
      <c r="B66" s="5" t="e">
        <f ca="1">ABS(B61-B64)</f>
        <v>#NAME?</v>
      </c>
      <c r="C66" s="5" t="s">
        <v>277</v>
      </c>
      <c r="D66" s="5"/>
    </row>
    <row r="67" spans="2:10">
      <c r="B67" s="5" t="e">
        <f ca="1">[4]!sn(B65)/[4]!sn(B66)*60</f>
        <v>#NAME?</v>
      </c>
      <c r="C67" s="5" t="s">
        <v>231</v>
      </c>
      <c r="D67" s="5"/>
    </row>
    <row r="71" spans="2:10">
      <c r="B71" s="38">
        <v>40</v>
      </c>
      <c r="C71" s="38" t="s">
        <v>177</v>
      </c>
      <c r="D71" s="36"/>
      <c r="E71" s="36"/>
      <c r="F71" s="36"/>
      <c r="G71" s="36"/>
      <c r="H71" s="39">
        <v>57.37</v>
      </c>
      <c r="I71" s="39" t="s">
        <v>177</v>
      </c>
      <c r="J71" s="39"/>
    </row>
    <row r="72" spans="2:10">
      <c r="B72" s="38">
        <v>30</v>
      </c>
      <c r="C72" s="38" t="s">
        <v>298</v>
      </c>
      <c r="D72" s="36"/>
      <c r="E72" s="36"/>
      <c r="F72" s="36"/>
      <c r="G72" s="36"/>
      <c r="H72" s="39">
        <v>17.95</v>
      </c>
      <c r="I72" s="39" t="s">
        <v>298</v>
      </c>
      <c r="J72" s="39"/>
    </row>
    <row r="73" spans="2:10">
      <c r="B73" s="38">
        <v>20</v>
      </c>
      <c r="C73" s="38" t="s">
        <v>297</v>
      </c>
      <c r="D73" s="36"/>
      <c r="E73" s="36"/>
      <c r="F73" s="36"/>
      <c r="G73" s="36"/>
      <c r="H73" s="39">
        <v>46.43</v>
      </c>
      <c r="I73" s="39" t="s">
        <v>297</v>
      </c>
      <c r="J73" s="39"/>
    </row>
    <row r="74" spans="2:10">
      <c r="B74" s="38" t="e">
        <f ca="1">[4]!sn(B73)/[4]!sn(B71)</f>
        <v>#NAME?</v>
      </c>
      <c r="C74" s="38" t="s">
        <v>296</v>
      </c>
      <c r="D74" s="36"/>
      <c r="E74" s="36"/>
      <c r="F74" s="36"/>
      <c r="G74" s="36"/>
      <c r="H74" s="39">
        <v>65.5</v>
      </c>
      <c r="I74" s="39" t="s">
        <v>295</v>
      </c>
      <c r="J74" s="39"/>
    </row>
    <row r="75" spans="2:10">
      <c r="B75" s="38">
        <v>1</v>
      </c>
      <c r="C75" s="38" t="s">
        <v>294</v>
      </c>
      <c r="D75" s="36"/>
      <c r="E75" s="36"/>
      <c r="F75" s="36"/>
      <c r="G75" s="36"/>
      <c r="H75" s="39"/>
      <c r="I75" s="39"/>
      <c r="J75" s="39"/>
    </row>
    <row r="76" spans="2:10">
      <c r="B76" s="38" t="e">
        <f ca="1">(2*[4]!sn(90-B72)*B75)/ABS(B74-B75)</f>
        <v>#NAME?</v>
      </c>
      <c r="C76" s="38" t="s">
        <v>293</v>
      </c>
      <c r="D76" s="36"/>
      <c r="E76" s="36"/>
      <c r="F76" s="36"/>
      <c r="G76" s="36"/>
      <c r="H76" s="39" t="e">
        <f ca="1">[4]!atj([4]!sn(H74)*[4]!tn(90-H71)/60)</f>
        <v>#NAME?</v>
      </c>
      <c r="I76" s="39" t="s">
        <v>292</v>
      </c>
      <c r="J76" s="39">
        <v>1</v>
      </c>
    </row>
    <row r="77" spans="2:10">
      <c r="B77" s="38" t="e">
        <f ca="1">SQRT(POWER(B76+([4]!sn(90-B72)/2),2))+POWER([4]!csn((90-B72)/2),2)</f>
        <v>#NAME?</v>
      </c>
      <c r="C77" s="38" t="s">
        <v>291</v>
      </c>
      <c r="D77" s="36"/>
      <c r="E77" s="36"/>
      <c r="F77" s="36"/>
      <c r="G77" s="36"/>
      <c r="H77" s="39" t="e">
        <f ca="1">[4]!asn([4]!sn(H76)*60/[4]!sn(90-H71))</f>
        <v>#NAME?</v>
      </c>
      <c r="I77" s="39" t="s">
        <v>290</v>
      </c>
      <c r="J77" s="39">
        <v>2</v>
      </c>
    </row>
    <row r="78" spans="2:10">
      <c r="B78" s="38" t="e">
        <f ca="1">[4]!asn(POWER([4]!csn((90-B72)/2),2)/B77*60)</f>
        <v>#NAME?</v>
      </c>
      <c r="C78" s="38" t="s">
        <v>289</v>
      </c>
      <c r="D78" s="36"/>
      <c r="E78" s="36"/>
      <c r="F78" s="36"/>
      <c r="G78" s="36"/>
      <c r="H78" s="39" t="e">
        <f ca="1">[4]!acs([4]!csn(H72+H76)*60/[4]!csn(H73))</f>
        <v>#NAME?</v>
      </c>
      <c r="I78" s="39" t="s">
        <v>288</v>
      </c>
      <c r="J78" s="39">
        <v>3</v>
      </c>
    </row>
    <row r="79" spans="2:10">
      <c r="B79" s="38" t="e">
        <f ca="1">B76+2*([4]!sn((90-B72)/2))</f>
        <v>#NAME?</v>
      </c>
      <c r="C79" s="38" t="s">
        <v>287</v>
      </c>
      <c r="D79" s="36"/>
      <c r="E79" s="36"/>
      <c r="F79" s="36"/>
      <c r="G79" s="36"/>
      <c r="H79" s="39" t="e">
        <f ca="1">H78-H77</f>
        <v>#NAME?</v>
      </c>
      <c r="I79" s="39" t="s">
        <v>286</v>
      </c>
      <c r="J79" s="39">
        <v>4</v>
      </c>
    </row>
    <row r="80" spans="2:10">
      <c r="B80" s="38" t="e">
        <f ca="1">[4]!sn(B78)*B79/60</f>
        <v>#NAME?</v>
      </c>
      <c r="C80" s="38" t="s">
        <v>285</v>
      </c>
      <c r="D80" s="36"/>
      <c r="E80" s="36"/>
      <c r="F80" s="36"/>
      <c r="G80" s="36"/>
      <c r="H80" s="39" t="e">
        <f ca="1">IF(H79&gt;0,H79,H79+360)</f>
        <v>#NAME?</v>
      </c>
      <c r="I80" s="39" t="s">
        <v>284</v>
      </c>
      <c r="J80" s="39"/>
    </row>
    <row r="81" spans="2:24">
      <c r="B81" s="38" t="e">
        <f ca="1">IF([4]!asn(B80)&lt;(90-B72),[4]!asn(B80),180-[4]!asn(B80))</f>
        <v>#NAME?</v>
      </c>
      <c r="C81" s="38" t="s">
        <v>283</v>
      </c>
      <c r="D81" s="36"/>
      <c r="E81" s="36"/>
      <c r="F81" s="36"/>
      <c r="G81" s="36"/>
      <c r="H81" s="39"/>
      <c r="I81" s="39"/>
      <c r="J81" s="39"/>
    </row>
    <row r="82" spans="2:24">
      <c r="B82" s="36"/>
      <c r="C82" s="36"/>
      <c r="D82" s="36"/>
      <c r="E82" s="36"/>
      <c r="F82" s="36"/>
      <c r="G82" s="36"/>
      <c r="H82" s="39" t="e">
        <f ca="1">[4]!sazr(H71,H72,H73,H74)</f>
        <v>#NAME?</v>
      </c>
      <c r="I82" s="39"/>
      <c r="J82" s="39"/>
    </row>
    <row r="86" spans="2:24">
      <c r="B86" s="12" t="s">
        <v>317</v>
      </c>
      <c r="C86" s="12" t="s">
        <v>318</v>
      </c>
      <c r="D86" s="12" t="s">
        <v>319</v>
      </c>
      <c r="E86" s="12"/>
      <c r="F86" s="12"/>
      <c r="G86" s="12"/>
      <c r="H86" s="12"/>
    </row>
    <row r="87" spans="2:24">
      <c r="B87" s="12">
        <v>134.03</v>
      </c>
      <c r="C87" s="12">
        <v>68.94</v>
      </c>
      <c r="D87" s="12">
        <v>40.56</v>
      </c>
      <c r="E87" s="12"/>
      <c r="F87" s="12"/>
      <c r="G87" s="12"/>
      <c r="H87" s="12"/>
    </row>
    <row r="88" spans="2:24">
      <c r="B88" s="12"/>
      <c r="C88" s="12"/>
      <c r="D88" s="12"/>
      <c r="E88" s="12"/>
      <c r="F88" s="12"/>
      <c r="G88" s="12"/>
      <c r="H88" s="12"/>
      <c r="J88" s="2"/>
      <c r="K88" s="2"/>
      <c r="L88" s="2"/>
      <c r="M88" s="2"/>
      <c r="N88" s="2"/>
      <c r="O88" s="2"/>
      <c r="P88" s="2"/>
      <c r="Q88" s="2"/>
      <c r="R88" s="2"/>
      <c r="S88" s="2"/>
      <c r="T88" s="2"/>
      <c r="U88" s="2"/>
      <c r="V88" s="2"/>
      <c r="W88" s="2"/>
      <c r="X88" s="2"/>
    </row>
    <row r="89" spans="2:24">
      <c r="B89" s="12" t="s">
        <v>299</v>
      </c>
      <c r="C89" s="12" t="s">
        <v>300</v>
      </c>
      <c r="D89" s="12" t="s">
        <v>301</v>
      </c>
      <c r="E89" s="12" t="s">
        <v>302</v>
      </c>
      <c r="F89" s="12" t="s">
        <v>303</v>
      </c>
      <c r="G89" s="12" t="s">
        <v>304</v>
      </c>
      <c r="H89" s="12" t="s">
        <v>305</v>
      </c>
      <c r="J89" s="2" t="s">
        <v>306</v>
      </c>
      <c r="K89" s="2" t="s">
        <v>307</v>
      </c>
      <c r="L89" s="2" t="s">
        <v>308</v>
      </c>
      <c r="M89" s="2" t="s">
        <v>309</v>
      </c>
      <c r="N89" s="2" t="s">
        <v>286</v>
      </c>
      <c r="O89" s="2" t="s">
        <v>310</v>
      </c>
      <c r="P89" s="2"/>
      <c r="Q89" s="2"/>
      <c r="R89" s="2"/>
      <c r="S89" s="2"/>
      <c r="T89" s="2"/>
      <c r="U89" s="2"/>
      <c r="V89" s="2"/>
      <c r="W89" s="2"/>
      <c r="X89" s="2"/>
    </row>
    <row r="90" spans="2:24">
      <c r="B90" s="12">
        <v>20</v>
      </c>
      <c r="C90" s="12">
        <v>30</v>
      </c>
      <c r="D90" s="12">
        <v>40</v>
      </c>
      <c r="E90" s="12">
        <v>50</v>
      </c>
      <c r="F90" s="12" t="e">
        <f ca="1">[4]!bkm(B90,D90)</f>
        <v>#NAME?</v>
      </c>
      <c r="G90" s="12" t="e">
        <f ca="1">[4]!bkm(C90,E90)</f>
        <v>#NAME?</v>
      </c>
      <c r="H90" s="12" t="e">
        <f ca="1">ABS([4]!mtm(B90,D90)-[4]!mtm(C90,E90))</f>
        <v>#NAME?</v>
      </c>
      <c r="J90" s="2" t="e">
        <f ca="1">[4]!sn(H90)*[4]!csn(F90)/60</f>
        <v>#NAME?</v>
      </c>
      <c r="K90" s="2" t="e">
        <f ca="1">[4]!csn(H90)*[4]!csn(F90)/60</f>
        <v>#NAME?</v>
      </c>
      <c r="L90" s="2" t="e">
        <f ca="1">SQRT(POWER(([4]!csn(G90)-K90),2)+POWER(J90,2))</f>
        <v>#NAME?</v>
      </c>
      <c r="M90" s="2" t="e">
        <f ca="1">ABS([4]!sn(F90)-[4]!sn(G90))</f>
        <v>#NAME?</v>
      </c>
      <c r="N90" s="2" t="e">
        <f ca="1">SQRT(POWER(M90,2)+POWER(L90,2))</f>
        <v>#NAME?</v>
      </c>
      <c r="O90" s="2" t="e">
        <f ca="1">2*[4]!asn(N90/2)</f>
        <v>#NAME?</v>
      </c>
      <c r="P90" s="2" t="e">
        <f ca="1">[4]!b2k(F90,G90,H90)</f>
        <v>#NAME?</v>
      </c>
      <c r="Q90" s="2"/>
      <c r="R90" s="2"/>
      <c r="S90" s="2"/>
      <c r="T90" s="2"/>
      <c r="U90" s="2" t="s">
        <v>311</v>
      </c>
      <c r="V90" s="2" t="s">
        <v>312</v>
      </c>
      <c r="W90" s="2"/>
      <c r="X90" s="2"/>
    </row>
    <row r="91" spans="2:24">
      <c r="B91" s="12"/>
      <c r="C91" s="12"/>
      <c r="D91" s="12"/>
      <c r="E91" s="12"/>
      <c r="F91" s="12"/>
      <c r="G91" s="12"/>
      <c r="H91" s="12"/>
      <c r="J91" s="2"/>
      <c r="K91" s="2"/>
      <c r="L91" s="2"/>
      <c r="M91" s="2"/>
      <c r="N91" s="2" t="s">
        <v>306</v>
      </c>
      <c r="O91" s="2" t="s">
        <v>307</v>
      </c>
      <c r="P91" s="2" t="s">
        <v>308</v>
      </c>
      <c r="Q91" s="2" t="s">
        <v>309</v>
      </c>
      <c r="R91" s="2" t="s">
        <v>286</v>
      </c>
      <c r="S91" s="2"/>
      <c r="T91" s="2" t="s">
        <v>313</v>
      </c>
      <c r="U91" s="2" t="s">
        <v>314</v>
      </c>
      <c r="V91" s="2" t="s">
        <v>315</v>
      </c>
      <c r="W91" s="2" t="s">
        <v>316</v>
      </c>
      <c r="X91" s="2"/>
    </row>
    <row r="92" spans="2:24">
      <c r="B92" s="12">
        <v>20</v>
      </c>
      <c r="C92" s="12">
        <v>-30</v>
      </c>
      <c r="D92" s="12">
        <v>40</v>
      </c>
      <c r="E92" s="12">
        <v>50</v>
      </c>
      <c r="F92" s="12" t="e">
        <f ca="1">[4]!bkm(B92,D92)</f>
        <v>#NAME?</v>
      </c>
      <c r="G92" s="12" t="e">
        <f ca="1">[4]!bkm(C92,E92)</f>
        <v>#NAME?</v>
      </c>
      <c r="H92" s="12" t="e">
        <f ca="1">ABS([4]!mtm(B92,D92)-[4]!mtm(C92,E92))</f>
        <v>#NAME?</v>
      </c>
      <c r="J92" s="2" t="e">
        <f ca="1">ABS(F92)</f>
        <v>#NAME?</v>
      </c>
      <c r="K92" s="2" t="e">
        <f ca="1">ABS(G92)</f>
        <v>#NAME?</v>
      </c>
      <c r="L92" s="2">
        <f>B87</f>
        <v>134.03</v>
      </c>
      <c r="M92" s="2"/>
      <c r="N92" s="2" t="e">
        <f ca="1">[4]!sn(H92)*[4]!csn(J92)/60</f>
        <v>#NAME?</v>
      </c>
      <c r="O92" s="2" t="e">
        <f ca="1">[4]!csn(H92)*[4]!csn(J92)/60</f>
        <v>#NAME?</v>
      </c>
      <c r="P92" s="2" t="e">
        <f ca="1">SQRT(POWER(([4]!csn(K92)-O92),2)+POWER(N92,2))</f>
        <v>#NAME?</v>
      </c>
      <c r="Q92" s="2" t="e">
        <f ca="1">ABS([4]!sn(J92)-[4]!sn(K92))</f>
        <v>#NAME?</v>
      </c>
      <c r="R92" s="2" t="e">
        <f ca="1">SQRT(POWER(Q92,2)+POWER(P92,2))</f>
        <v>#NAME?</v>
      </c>
      <c r="S92" s="2"/>
      <c r="T92" s="2" t="e">
        <f ca="1">SQRT(POWER(R92,2)-POWER(P92,2))</f>
        <v>#NAME?</v>
      </c>
      <c r="U92" s="2" t="e">
        <f ca="1">(2*[4]!sn(J92))-T92</f>
        <v>#NAME?</v>
      </c>
      <c r="V92" s="2" t="e">
        <f ca="1">SQRT(POWER(U92,2)+POWER(P92,2))</f>
        <v>#NAME?</v>
      </c>
      <c r="W92" s="2" t="e">
        <f ca="1">2*[4]!asn(V92/2)</f>
        <v>#NAME?</v>
      </c>
      <c r="X92" s="2"/>
    </row>
    <row r="93" spans="2:24">
      <c r="J93" s="2"/>
      <c r="K93" s="2"/>
      <c r="L93" s="2"/>
      <c r="M93" s="2"/>
      <c r="N93" s="2"/>
      <c r="O93" s="2"/>
      <c r="P93" s="2"/>
      <c r="Q93" s="2"/>
      <c r="R93" s="2"/>
      <c r="S93" s="2"/>
      <c r="T93" s="2"/>
      <c r="U93" s="2"/>
      <c r="V93" s="2"/>
      <c r="W93" s="2"/>
      <c r="X93" s="2"/>
    </row>
    <row r="94" spans="2:24">
      <c r="J94" s="2"/>
      <c r="K94" s="2"/>
      <c r="L94" s="2"/>
      <c r="M94" s="2"/>
      <c r="N94" s="2"/>
      <c r="O94" s="2"/>
      <c r="P94" s="2" t="e">
        <f ca="1">[4]!b2k(B92,D92,C92,E92)</f>
        <v>#NAME?</v>
      </c>
      <c r="Q94" s="2"/>
      <c r="R94" s="2"/>
      <c r="S94" s="2"/>
      <c r="T94" s="2"/>
      <c r="U94" s="2"/>
      <c r="V94" s="2"/>
      <c r="W94" s="2"/>
      <c r="X94" s="2"/>
    </row>
    <row r="98" spans="10:20">
      <c r="J98" s="24" t="s">
        <v>338</v>
      </c>
      <c r="K98" s="24"/>
      <c r="L98" s="24"/>
      <c r="M98" s="24"/>
      <c r="N98" s="24"/>
      <c r="O98" s="24"/>
      <c r="P98" s="24"/>
      <c r="Q98" s="24"/>
      <c r="R98" s="24"/>
      <c r="S98" s="24"/>
      <c r="T98" s="24"/>
    </row>
    <row r="99" spans="10:20">
      <c r="J99" s="24" t="s">
        <v>329</v>
      </c>
      <c r="K99" s="24"/>
      <c r="L99" s="24"/>
      <c r="M99" s="24"/>
      <c r="N99" s="24"/>
      <c r="O99" s="24"/>
      <c r="P99" s="24"/>
      <c r="Q99" s="24"/>
      <c r="R99" s="24"/>
      <c r="S99" s="24"/>
      <c r="T99" s="24"/>
    </row>
    <row r="100" spans="10:20">
      <c r="J100" s="24" t="s">
        <v>324</v>
      </c>
      <c r="K100" s="24">
        <v>21.389099999999999</v>
      </c>
      <c r="L100" s="24"/>
      <c r="M100" s="24"/>
      <c r="N100" s="24"/>
      <c r="O100" s="24"/>
      <c r="P100" s="24"/>
      <c r="Q100" s="24"/>
      <c r="R100" s="24"/>
      <c r="S100" s="24"/>
      <c r="T100" s="24"/>
    </row>
    <row r="101" spans="10:20">
      <c r="J101" s="24" t="s">
        <v>325</v>
      </c>
      <c r="K101" s="24">
        <v>39.833333333330003</v>
      </c>
      <c r="L101" s="24"/>
      <c r="M101" s="24"/>
      <c r="N101" s="24"/>
      <c r="O101" s="24"/>
      <c r="P101" s="24"/>
      <c r="Q101" s="24"/>
      <c r="R101" s="24"/>
      <c r="S101" s="24"/>
      <c r="T101" s="24"/>
    </row>
    <row r="102" spans="10:20">
      <c r="J102" s="24" t="s">
        <v>177</v>
      </c>
      <c r="K102" s="24">
        <v>34.64</v>
      </c>
      <c r="L102" s="24"/>
      <c r="M102" s="24"/>
      <c r="N102" s="24"/>
      <c r="O102" s="24"/>
      <c r="P102" s="24"/>
      <c r="Q102" s="24"/>
      <c r="R102" s="24"/>
      <c r="S102" s="24"/>
      <c r="T102" s="24"/>
    </row>
    <row r="103" spans="10:20">
      <c r="J103" s="24" t="s">
        <v>326</v>
      </c>
      <c r="K103" s="24">
        <v>-209.47</v>
      </c>
      <c r="L103" s="24"/>
      <c r="M103" s="24"/>
      <c r="N103" s="24"/>
      <c r="O103" s="24"/>
      <c r="P103" s="24"/>
      <c r="Q103" s="24"/>
      <c r="R103" s="24"/>
      <c r="S103" s="24"/>
      <c r="T103" s="24"/>
    </row>
    <row r="104" spans="10:20">
      <c r="J104" s="24" t="s">
        <v>327</v>
      </c>
      <c r="K104" s="24">
        <f>ABS(K103-K101)</f>
        <v>249.30333333332999</v>
      </c>
      <c r="L104" s="24"/>
      <c r="M104" s="24"/>
      <c r="N104" s="24"/>
      <c r="O104" s="24"/>
      <c r="P104" s="24"/>
      <c r="Q104" s="24"/>
      <c r="R104" s="24"/>
      <c r="S104" s="24"/>
      <c r="T104" s="24"/>
    </row>
    <row r="105" spans="10:20">
      <c r="J105" s="24" t="s">
        <v>320</v>
      </c>
      <c r="K105" s="24" t="s">
        <v>321</v>
      </c>
      <c r="L105" s="24" t="s">
        <v>322</v>
      </c>
      <c r="M105" s="24" t="s">
        <v>323</v>
      </c>
      <c r="N105" s="24" t="s">
        <v>328</v>
      </c>
      <c r="O105" s="24"/>
      <c r="P105" s="24"/>
      <c r="Q105" s="24"/>
      <c r="R105" s="24"/>
      <c r="S105" s="24"/>
      <c r="T105" s="24"/>
    </row>
    <row r="106" spans="10:20">
      <c r="J106" s="24" t="e">
        <f ca="1">[4]!acs([4]!csn(K104)*[4]!csn(K100)/60)</f>
        <v>#NAME?</v>
      </c>
      <c r="K106" s="24" t="e">
        <f ca="1">[4]!asn([4]!sn(K100)*60/[4]!sn(J106))</f>
        <v>#NAME?</v>
      </c>
      <c r="L106" s="24" t="e">
        <f ca="1">[4]!asn([4]!sn(K106+90)*[4]!sn(J106)/60)</f>
        <v>#NAME?</v>
      </c>
      <c r="M106" s="24" t="e">
        <f ca="1">[4]!acs([4]!csn(J106)*60/[4]!csn(L106))</f>
        <v>#NAME?</v>
      </c>
      <c r="N106" s="37" t="e">
        <f ca="1">IF([4]!atj(60*[4]!tn(L106)/[4]!sn(M106+K102))&lt;0,180+[4]!atj(60*[4]!tn(L106)/[4]!sn(M106+K102)),[4]!atj(60*[4]!tn(L106)/[4]!sn(M106+K102)))</f>
        <v>#NAME?</v>
      </c>
      <c r="O106" s="24"/>
      <c r="P106" s="24"/>
      <c r="Q106" s="24"/>
      <c r="R106" s="24"/>
      <c r="S106" s="24"/>
      <c r="T106" s="24"/>
    </row>
    <row r="107" spans="10:20">
      <c r="J107" s="5" t="s">
        <v>341</v>
      </c>
      <c r="K107" s="5" t="s">
        <v>333</v>
      </c>
      <c r="L107" s="5" t="s">
        <v>342</v>
      </c>
      <c r="M107" s="5" t="s">
        <v>343</v>
      </c>
      <c r="N107" s="5"/>
      <c r="O107" s="5"/>
      <c r="P107" s="5"/>
      <c r="Q107" s="5"/>
      <c r="R107" s="5"/>
      <c r="S107" s="5"/>
      <c r="T107" s="5"/>
    </row>
    <row r="108" spans="10:20">
      <c r="J108" s="5"/>
      <c r="K108" s="5"/>
      <c r="L108" s="5"/>
      <c r="M108" s="5"/>
      <c r="N108" s="5"/>
      <c r="O108" s="5"/>
      <c r="P108" s="5"/>
      <c r="Q108" s="5"/>
      <c r="R108" s="5"/>
      <c r="S108" s="5"/>
      <c r="T108" s="5"/>
    </row>
    <row r="109" spans="10:20">
      <c r="J109" s="5"/>
      <c r="K109" s="5"/>
      <c r="L109" s="5"/>
      <c r="M109" s="5"/>
      <c r="N109" s="5"/>
      <c r="O109" s="5"/>
      <c r="P109" s="5"/>
      <c r="Q109" s="5"/>
      <c r="R109" s="5"/>
      <c r="S109" s="5"/>
      <c r="T109" s="5"/>
    </row>
    <row r="110" spans="10:20">
      <c r="J110" s="5" t="s">
        <v>339</v>
      </c>
      <c r="K110" s="5"/>
      <c r="L110" s="5"/>
      <c r="M110" s="5"/>
      <c r="N110" s="5"/>
      <c r="O110" s="5"/>
      <c r="P110" s="5"/>
      <c r="Q110" s="5"/>
      <c r="R110" s="5"/>
      <c r="S110" s="5"/>
      <c r="T110" s="5"/>
    </row>
    <row r="111" spans="10:20">
      <c r="J111" s="5" t="e">
        <f ca="1">[4]!acs(([4]!csn(S112)*[4]!csn(R112)/60))</f>
        <v>#NAME?</v>
      </c>
      <c r="K111" s="5" t="e">
        <f ca="1">[4]!asn([4]!sn(S112) *60 /[4]!sn(J111))</f>
        <v>#NAME?</v>
      </c>
      <c r="L111" s="5" t="e">
        <f ca="1">[4]!asn(([4]!sn(90-K111)* [4]!sn(T112))/60)</f>
        <v>#NAME?</v>
      </c>
      <c r="M111" s="5" t="e">
        <f ca="1">[4]!acs([4]!csn(T112) *( 60)/[4]!csn(L111))</f>
        <v>#NAME?</v>
      </c>
      <c r="N111" s="5" t="e">
        <f ca="1">[4]!asn([4]!sn(M111) * (60) /[4]!sn(T112))</f>
        <v>#NAME?</v>
      </c>
      <c r="O111" s="5" t="e">
        <f ca="1">[4]!atj([4]!tn(J111 - M111) * (60)/[4]!sn(L111))</f>
        <v>#NAME?</v>
      </c>
      <c r="P111" s="37" t="e">
        <f ca="1">180-(N111+O111)</f>
        <v>#NAME?</v>
      </c>
      <c r="Q111" s="5"/>
      <c r="R111" s="5" t="s">
        <v>330</v>
      </c>
      <c r="S111" s="5" t="s">
        <v>331</v>
      </c>
      <c r="T111" s="5" t="s">
        <v>177</v>
      </c>
    </row>
    <row r="112" spans="10:20">
      <c r="J112" s="5" t="s">
        <v>332</v>
      </c>
      <c r="K112" s="5" t="s">
        <v>333</v>
      </c>
      <c r="L112" s="5" t="s">
        <v>334</v>
      </c>
      <c r="M112" s="5" t="s">
        <v>335</v>
      </c>
      <c r="N112" s="5" t="s">
        <v>336</v>
      </c>
      <c r="O112" s="5" t="s">
        <v>337</v>
      </c>
      <c r="P112" s="5" t="s">
        <v>328</v>
      </c>
      <c r="Q112" s="5"/>
      <c r="R112" s="5">
        <f>K104</f>
        <v>249.30333333332999</v>
      </c>
      <c r="S112" s="5">
        <f>K100</f>
        <v>21.389099999999999</v>
      </c>
      <c r="T112" s="5">
        <f>K102</f>
        <v>34.64</v>
      </c>
    </row>
    <row r="113" spans="9:20">
      <c r="J113" s="4" t="s">
        <v>344</v>
      </c>
      <c r="K113" s="4" t="s">
        <v>345</v>
      </c>
      <c r="L113" s="4" t="s">
        <v>346</v>
      </c>
      <c r="M113" s="4" t="s">
        <v>347</v>
      </c>
      <c r="N113" s="4" t="s">
        <v>348</v>
      </c>
      <c r="O113" s="4" t="s">
        <v>349</v>
      </c>
      <c r="P113" s="4"/>
      <c r="Q113" s="4"/>
      <c r="R113" s="4">
        <v>12</v>
      </c>
      <c r="S113" s="4"/>
      <c r="T113" s="4"/>
    </row>
    <row r="114" spans="9:20">
      <c r="J114" s="4"/>
      <c r="K114" s="4"/>
      <c r="L114" s="4"/>
      <c r="M114" s="4"/>
      <c r="N114" s="4"/>
      <c r="O114" s="4"/>
      <c r="P114" s="4"/>
      <c r="Q114" s="4"/>
      <c r="R114" s="4"/>
      <c r="S114" s="4"/>
      <c r="T114" s="4"/>
    </row>
    <row r="115" spans="9:20">
      <c r="J115" s="4"/>
      <c r="K115" s="4"/>
      <c r="L115" s="4"/>
      <c r="M115" s="4"/>
      <c r="N115" s="4"/>
      <c r="O115" s="4" t="s">
        <v>340</v>
      </c>
      <c r="P115" s="37" t="e">
        <f ca="1">90-[4]!atj(60*[4]!tn(S112)/[4]!sn(R112))</f>
        <v>#NAME?</v>
      </c>
      <c r="Q115" s="4"/>
      <c r="R115" s="4"/>
      <c r="S115" s="4"/>
      <c r="T115" s="4"/>
    </row>
    <row r="116" spans="9:20">
      <c r="J116" s="10"/>
      <c r="K116" s="10"/>
      <c r="L116" s="10" t="e">
        <f ca="1">[4]!enq(K102,K103)</f>
        <v>#NAME?</v>
      </c>
      <c r="M116" s="10"/>
      <c r="N116" s="10"/>
      <c r="O116" s="10"/>
      <c r="P116" s="10"/>
      <c r="Q116" s="10"/>
      <c r="R116" s="10"/>
      <c r="S116" s="10"/>
      <c r="T116" s="10"/>
    </row>
    <row r="117" spans="9:20">
      <c r="J117" s="10"/>
      <c r="K117" s="10"/>
      <c r="L117" s="10" t="e">
        <f ca="1">180-L116</f>
        <v>#NAME?</v>
      </c>
      <c r="M117" s="10"/>
      <c r="N117" s="10"/>
      <c r="O117" s="10"/>
      <c r="P117" s="10"/>
      <c r="Q117" s="10"/>
      <c r="R117" s="10"/>
      <c r="S117" s="10"/>
      <c r="T117" s="10"/>
    </row>
    <row r="118" spans="9:20">
      <c r="J118" s="10"/>
      <c r="K118" s="10"/>
      <c r="L118" s="10" t="e">
        <f ca="1">360-N106</f>
        <v>#NAME?</v>
      </c>
      <c r="M118" s="10"/>
      <c r="N118" s="10"/>
      <c r="O118" s="10"/>
      <c r="P118" s="10"/>
      <c r="Q118" s="10"/>
      <c r="R118" s="10"/>
      <c r="S118" s="10"/>
      <c r="T118" s="10"/>
    </row>
    <row r="123" spans="9:20">
      <c r="I123" s="41" t="s">
        <v>373</v>
      </c>
      <c r="J123" s="41"/>
      <c r="K123" s="41"/>
      <c r="L123" s="41">
        <v>30</v>
      </c>
      <c r="M123" s="41"/>
      <c r="N123" s="41" t="e">
        <f ca="1">[4]!ertastl(M125,P125,O125,J148)</f>
        <v>#NAME?</v>
      </c>
      <c r="O123" s="41"/>
      <c r="P123" s="41"/>
    </row>
    <row r="124" spans="9:20">
      <c r="I124" s="41"/>
      <c r="J124" s="41"/>
      <c r="K124" s="41" t="s">
        <v>357</v>
      </c>
      <c r="L124" s="41" t="s">
        <v>356</v>
      </c>
      <c r="M124" s="41" t="s">
        <v>353</v>
      </c>
      <c r="N124" s="41" t="s">
        <v>352</v>
      </c>
      <c r="O124" s="41" t="s">
        <v>351</v>
      </c>
      <c r="P124" s="41" t="s">
        <v>350</v>
      </c>
    </row>
    <row r="125" spans="9:20">
      <c r="I125" s="41"/>
      <c r="J125" s="41" t="e">
        <f ca="1">[4]!acs(69-37)</f>
        <v>#NAME?</v>
      </c>
      <c r="K125" s="41" t="e">
        <f ca="1">[4]!matert(P125,O125,N125,M125)</f>
        <v>#NAME?</v>
      </c>
      <c r="L125" s="41" t="e">
        <f ca="1">[4]!fdaer(P125,O125,N125,M125)</f>
        <v>#NAME?</v>
      </c>
      <c r="M125" s="41">
        <v>35</v>
      </c>
      <c r="N125" s="41">
        <v>40</v>
      </c>
      <c r="O125" s="41">
        <v>30</v>
      </c>
      <c r="P125" s="41">
        <v>20</v>
      </c>
    </row>
    <row r="126" spans="9:20">
      <c r="I126" s="41"/>
      <c r="J126" s="41"/>
      <c r="K126" s="41"/>
      <c r="L126" s="41"/>
      <c r="M126" s="41"/>
      <c r="N126" s="41"/>
      <c r="O126" s="41"/>
      <c r="P126" s="41"/>
    </row>
    <row r="127" spans="9:20">
      <c r="I127" s="41"/>
      <c r="J127" s="41"/>
      <c r="K127" s="47" t="s">
        <v>359</v>
      </c>
      <c r="L127" s="41" t="e">
        <f ca="1">[4]!bkm(P125,O125)</f>
        <v>#NAME?</v>
      </c>
      <c r="M127" s="41">
        <f>90-M125</f>
        <v>55</v>
      </c>
      <c r="N127" s="41"/>
      <c r="O127" s="41"/>
      <c r="P127" s="41"/>
    </row>
    <row r="128" spans="9:20">
      <c r="I128" s="41"/>
      <c r="J128" s="41"/>
      <c r="K128" s="41">
        <v>84.53</v>
      </c>
      <c r="L128" s="41" t="e">
        <f ca="1">[4]!sn([4]!qrk(L127,M125))</f>
        <v>#NAME?</v>
      </c>
      <c r="M128" s="48" t="s">
        <v>358</v>
      </c>
      <c r="N128" s="1"/>
      <c r="O128" s="41" t="e">
        <f ca="1">[4]!sn(N125)</f>
        <v>#NAME?</v>
      </c>
      <c r="P128" s="41"/>
    </row>
    <row r="129" spans="9:16">
      <c r="I129" s="41"/>
      <c r="J129" s="41"/>
      <c r="K129" s="41"/>
      <c r="L129" s="41" t="e">
        <f ca="1">[4]!mtm(P125,O125)</f>
        <v>#NAME?</v>
      </c>
      <c r="M129" s="41"/>
      <c r="N129" s="41"/>
      <c r="O129" s="41"/>
      <c r="P129" s="41"/>
    </row>
    <row r="130" spans="9:16">
      <c r="I130" s="41"/>
      <c r="J130" s="41"/>
      <c r="K130" s="41"/>
      <c r="L130" s="41"/>
      <c r="M130" s="41"/>
      <c r="N130" s="41"/>
      <c r="O130" s="41"/>
      <c r="P130" s="41"/>
    </row>
    <row r="131" spans="9:16">
      <c r="I131" s="41"/>
      <c r="J131" s="42"/>
      <c r="K131" s="42" t="e">
        <f ca="1">[4]!sn(L127)*[4]!sn(M125)/60</f>
        <v>#NAME?</v>
      </c>
      <c r="L131" s="41"/>
      <c r="M131" s="41"/>
      <c r="N131" s="41"/>
      <c r="O131" s="41"/>
      <c r="P131" s="41"/>
    </row>
    <row r="132" spans="9:16">
      <c r="I132" s="41"/>
      <c r="J132" s="42" t="s">
        <v>354</v>
      </c>
      <c r="K132" s="42" t="e">
        <f ca="1">L128-K131</f>
        <v>#NAME?</v>
      </c>
      <c r="L132" s="41"/>
      <c r="M132" s="41"/>
      <c r="N132" s="41"/>
      <c r="O132" s="41"/>
      <c r="P132" s="41"/>
    </row>
    <row r="133" spans="9:16">
      <c r="I133" s="41"/>
      <c r="J133" s="43"/>
      <c r="K133" s="43" t="e">
        <f ca="1">L127+(90-M125)</f>
        <v>#NAME?</v>
      </c>
      <c r="L133" s="41"/>
      <c r="M133" s="41"/>
      <c r="N133" s="41"/>
      <c r="O133" s="41"/>
      <c r="P133" s="41"/>
    </row>
    <row r="134" spans="9:16">
      <c r="I134" s="41"/>
      <c r="J134" s="43"/>
      <c r="K134" s="43" t="e">
        <f ca="1">ABS(L127-(90-M125))</f>
        <v>#NAME?</v>
      </c>
      <c r="L134" s="41"/>
      <c r="M134" s="41"/>
      <c r="N134" s="41"/>
      <c r="O134" s="41"/>
      <c r="P134" s="41"/>
    </row>
    <row r="135" spans="9:16">
      <c r="I135" s="41"/>
      <c r="J135" s="43" t="s">
        <v>355</v>
      </c>
      <c r="K135" s="43" t="e">
        <f ca="1">([4]!sn(K133)+[4]!sn(K134))/2</f>
        <v>#NAME?</v>
      </c>
      <c r="L135" s="41"/>
      <c r="M135" s="41"/>
      <c r="N135" s="41"/>
      <c r="O135" s="41"/>
      <c r="P135" s="41"/>
    </row>
    <row r="136" spans="9:16">
      <c r="I136" s="47" t="s">
        <v>376</v>
      </c>
      <c r="J136" s="42" t="s">
        <v>362</v>
      </c>
      <c r="K136" s="42" t="e">
        <f ca="1">[4]!csn(L127)*[4]!csn(M125)/60</f>
        <v>#NAME?</v>
      </c>
      <c r="L136" s="41" t="e">
        <f ca="1">[4]!jowsat(M125,L127,L128)</f>
        <v>#NAME?</v>
      </c>
      <c r="M136" s="41" t="e">
        <f ca="1">[4]!jowsat2(L127,M125)</f>
        <v>#NAME?</v>
      </c>
      <c r="N136" s="41"/>
      <c r="O136" s="41"/>
      <c r="P136" s="41"/>
    </row>
    <row r="137" spans="9:16">
      <c r="I137" s="41"/>
      <c r="J137" s="41" t="e">
        <f ca="1">(L128-O128)/(K132)*60</f>
        <v>#NAME?</v>
      </c>
      <c r="K137" s="41"/>
      <c r="L137" s="41"/>
      <c r="M137" s="41"/>
      <c r="N137" s="41"/>
      <c r="O137" s="41"/>
      <c r="P137" s="41"/>
    </row>
    <row r="138" spans="9:16">
      <c r="I138" s="41"/>
      <c r="J138" s="41" t="e">
        <f ca="1">60-J137</f>
        <v>#NAME?</v>
      </c>
      <c r="K138" s="41"/>
      <c r="L138" s="41"/>
      <c r="M138" s="41"/>
      <c r="N138" s="41"/>
      <c r="O138" s="41"/>
      <c r="P138" s="41"/>
    </row>
    <row r="139" spans="9:16">
      <c r="I139" s="41"/>
      <c r="J139" s="44" t="e">
        <f ca="1">[4]!acs(J138)</f>
        <v>#NAME?</v>
      </c>
      <c r="K139" s="44" t="s">
        <v>356</v>
      </c>
      <c r="L139" s="41"/>
      <c r="M139" s="41"/>
      <c r="N139" s="41"/>
      <c r="O139" s="41"/>
      <c r="P139" s="41"/>
    </row>
    <row r="140" spans="9:16">
      <c r="I140" s="41"/>
      <c r="J140" s="41" t="e">
        <f ca="1">L129-L125</f>
        <v>#NAME?</v>
      </c>
      <c r="K140" s="41"/>
      <c r="L140" s="41"/>
      <c r="M140" s="41"/>
      <c r="N140" s="41"/>
      <c r="O140" s="41"/>
      <c r="P140" s="41"/>
    </row>
    <row r="141" spans="9:16">
      <c r="I141" s="41"/>
      <c r="J141" s="41" t="e">
        <f ca="1">J140+360</f>
        <v>#NAME?</v>
      </c>
      <c r="K141" s="41"/>
      <c r="L141" s="41"/>
      <c r="M141" s="41"/>
      <c r="N141" s="41"/>
      <c r="O141" s="41"/>
      <c r="P141" s="41"/>
    </row>
    <row r="142" spans="9:16">
      <c r="I142" s="41"/>
      <c r="J142" s="41" t="e">
        <f ca="1">J141+90</f>
        <v>#NAME?</v>
      </c>
      <c r="K142" s="41"/>
      <c r="L142" s="41"/>
      <c r="M142" s="41"/>
      <c r="N142" s="41"/>
      <c r="O142" s="41"/>
      <c r="P142" s="41"/>
    </row>
    <row r="143" spans="9:16">
      <c r="I143" s="41"/>
      <c r="J143" s="44" t="e">
        <f ca="1">J142-360</f>
        <v>#NAME?</v>
      </c>
      <c r="K143" s="45" t="s">
        <v>361</v>
      </c>
      <c r="L143" s="41"/>
      <c r="M143" s="41"/>
      <c r="N143" s="41"/>
      <c r="O143" s="41"/>
      <c r="P143" s="41"/>
    </row>
    <row r="144" spans="9:16">
      <c r="I144" s="41"/>
      <c r="J144" s="41" t="e">
        <f ca="1">[4]!TQ(-2)</f>
        <v>#NAME?</v>
      </c>
      <c r="K144" s="41"/>
      <c r="L144" s="41"/>
      <c r="M144" s="41"/>
      <c r="N144" s="41"/>
      <c r="O144" s="41"/>
      <c r="P144" s="41"/>
    </row>
    <row r="146" spans="9:16">
      <c r="I146" s="10"/>
      <c r="J146" s="10" t="s">
        <v>372</v>
      </c>
      <c r="K146" s="10"/>
      <c r="L146" s="10"/>
      <c r="M146" s="10"/>
      <c r="N146" s="10"/>
      <c r="O146" s="10"/>
      <c r="P146" s="10"/>
    </row>
    <row r="147" spans="9:16">
      <c r="I147" s="10"/>
      <c r="J147" s="10" t="e">
        <f ca="1">[4]!matert(P125,O125,N125,M125)</f>
        <v>#NAME?</v>
      </c>
      <c r="K147" s="46" t="s">
        <v>361</v>
      </c>
      <c r="L147" s="10"/>
      <c r="M147" s="10"/>
      <c r="N147" s="10"/>
      <c r="O147" s="10"/>
      <c r="P147" s="10"/>
    </row>
    <row r="148" spans="9:16">
      <c r="I148" s="10" t="s">
        <v>379</v>
      </c>
      <c r="J148" s="10" t="e">
        <f ca="1">[4]!tazmb(J147,M125)</f>
        <v>#NAME?</v>
      </c>
      <c r="K148" s="46" t="s">
        <v>360</v>
      </c>
      <c r="L148" s="10"/>
      <c r="M148" s="10" t="e">
        <f ca="1">[4]!tdnk(M125,[4]!bkm(P125,O125))</f>
        <v>#NAME?</v>
      </c>
      <c r="N148" s="10" t="s">
        <v>374</v>
      </c>
      <c r="O148" s="10"/>
      <c r="P148" s="10"/>
    </row>
    <row r="149" spans="9:16">
      <c r="I149" s="10"/>
      <c r="J149" s="10" t="e">
        <f ca="1">[4]!mtdt(P125,O125,M125)</f>
        <v>#NAME?</v>
      </c>
      <c r="K149" s="10" t="s">
        <v>366</v>
      </c>
      <c r="L149" s="10"/>
      <c r="M149" s="10" t="e">
        <f ca="1">[4]!mtm(P125,O125)</f>
        <v>#NAME?</v>
      </c>
      <c r="N149" s="10" t="s">
        <v>375</v>
      </c>
      <c r="O149" s="10"/>
      <c r="P149" s="10"/>
    </row>
    <row r="150" spans="9:16">
      <c r="I150" s="10"/>
      <c r="J150" s="10" t="e">
        <f ca="1">[4]!TQ(J147-J149)</f>
        <v>#NAME?</v>
      </c>
      <c r="K150" s="10" t="s">
        <v>295</v>
      </c>
      <c r="L150" s="10"/>
      <c r="M150" s="10" t="e">
        <f ca="1">[4]!bkm(P125,O125)</f>
        <v>#NAME?</v>
      </c>
      <c r="N150" s="10"/>
      <c r="O150" s="10"/>
      <c r="P150" s="10"/>
    </row>
    <row r="151" spans="9:16">
      <c r="I151" s="10"/>
      <c r="J151" s="10" t="e">
        <f ca="1">[4]!qsn([4]!bkm(P125,O125),M125)</f>
        <v>#NAME?</v>
      </c>
      <c r="K151" s="10" t="s">
        <v>364</v>
      </c>
      <c r="L151" s="10"/>
      <c r="M151" s="10" t="e">
        <f ca="1">[4]!asher(J148,M125)</f>
        <v>#NAME?</v>
      </c>
      <c r="N151" s="10"/>
      <c r="O151" s="10"/>
      <c r="P151" s="10"/>
    </row>
    <row r="152" spans="9:16">
      <c r="I152" s="10"/>
      <c r="J152" s="10" t="e">
        <f ca="1">[4]!qsn([4]!bkm(P125,O125),M125)/2</f>
        <v>#NAME?</v>
      </c>
      <c r="K152" s="10" t="s">
        <v>363</v>
      </c>
      <c r="L152" s="10"/>
      <c r="M152" s="10" t="e">
        <f ca="1">[4]!MTB(J148,M125)</f>
        <v>#NAME?</v>
      </c>
      <c r="N152" s="10"/>
      <c r="O152" s="10"/>
      <c r="P152" s="10"/>
    </row>
    <row r="153" spans="9:16">
      <c r="I153" s="10"/>
      <c r="J153" s="10" t="e">
        <f ca="1">J152-J150</f>
        <v>#NAME?</v>
      </c>
      <c r="K153" s="10" t="s">
        <v>356</v>
      </c>
      <c r="L153" s="10"/>
      <c r="M153" s="10" t="e">
        <f ca="1">[4]!tadna(M125,J148)</f>
        <v>#NAME?</v>
      </c>
      <c r="N153" s="10"/>
      <c r="O153" s="10"/>
      <c r="P153" s="10"/>
    </row>
    <row r="154" spans="9:16">
      <c r="I154" s="10"/>
      <c r="J154" s="10" t="e">
        <f ca="1">IF(J152&gt;0,60+[4]!sn(J152-90),60-[4]!csn(J152))</f>
        <v>#NAME?</v>
      </c>
      <c r="K154" s="10" t="s">
        <v>367</v>
      </c>
      <c r="L154" s="10"/>
      <c r="M154" s="10"/>
      <c r="N154" s="10"/>
      <c r="O154" s="10"/>
      <c r="P154" s="10"/>
    </row>
    <row r="155" spans="9:16">
      <c r="I155" s="10"/>
      <c r="J155" s="10" t="e">
        <f ca="1">IF(J153&gt;0,60+[4]!sn(J153-90),60-[4]!csn(J153))</f>
        <v>#NAME?</v>
      </c>
      <c r="K155" s="10" t="s">
        <v>368</v>
      </c>
      <c r="L155" s="10"/>
      <c r="M155" s="10"/>
      <c r="N155" s="10"/>
      <c r="O155" s="10"/>
      <c r="P155" s="10"/>
    </row>
    <row r="156" spans="9:16">
      <c r="I156" s="10"/>
      <c r="J156" s="10" t="e">
        <f ca="1">J154-J155</f>
        <v>#NAME?</v>
      </c>
      <c r="K156" s="10" t="s">
        <v>369</v>
      </c>
      <c r="L156" s="10"/>
      <c r="M156" s="10"/>
      <c r="N156" s="10"/>
      <c r="O156" s="10"/>
      <c r="P156" s="10"/>
    </row>
    <row r="157" spans="9:16">
      <c r="I157" s="10"/>
      <c r="J157" s="10" t="e">
        <f ca="1">[4]!sn([4]!qrk(L127,M125))</f>
        <v>#NAME?</v>
      </c>
      <c r="K157" s="10" t="s">
        <v>365</v>
      </c>
      <c r="L157" s="10"/>
      <c r="M157" s="10"/>
      <c r="N157" s="10"/>
      <c r="O157" s="10"/>
      <c r="P157" s="10"/>
    </row>
    <row r="158" spans="9:16">
      <c r="I158" s="10"/>
      <c r="J158" s="10" t="e">
        <f ca="1">J157*J156/J154</f>
        <v>#NAME?</v>
      </c>
      <c r="K158" s="10" t="s">
        <v>370</v>
      </c>
      <c r="L158" s="10"/>
      <c r="M158" s="10"/>
      <c r="N158" s="10"/>
      <c r="O158" s="10"/>
      <c r="P158" s="10"/>
    </row>
    <row r="159" spans="9:16">
      <c r="I159" s="10"/>
      <c r="J159" s="10" t="e">
        <f ca="1">[4]!asn(J158)</f>
        <v>#NAME?</v>
      </c>
      <c r="K159" s="10" t="s">
        <v>371</v>
      </c>
      <c r="L159" s="10"/>
      <c r="M159" s="10"/>
      <c r="N159" s="10"/>
      <c r="O159" s="10"/>
      <c r="P159" s="10"/>
    </row>
    <row r="160" spans="9:16">
      <c r="I160" s="10"/>
      <c r="J160" s="10"/>
      <c r="K160" s="10"/>
      <c r="L160" s="10"/>
      <c r="M160" s="10"/>
      <c r="N160" s="10"/>
      <c r="O160" s="10"/>
      <c r="P160" s="10"/>
    </row>
    <row r="161" spans="2:58">
      <c r="I161" s="10"/>
      <c r="J161" s="10"/>
      <c r="K161" s="10"/>
      <c r="L161" s="10"/>
      <c r="M161" s="10"/>
      <c r="N161" s="10"/>
      <c r="O161" s="10"/>
      <c r="P161" s="10"/>
    </row>
    <row r="162" spans="2:58">
      <c r="I162" s="2"/>
      <c r="J162" s="50"/>
      <c r="K162" s="50"/>
      <c r="L162" s="50"/>
      <c r="M162" s="50"/>
    </row>
    <row r="163" spans="2:58">
      <c r="I163" s="2"/>
      <c r="J163" s="50"/>
      <c r="K163" s="50"/>
      <c r="L163" s="50"/>
      <c r="M163" s="50"/>
    </row>
    <row r="164" spans="2:58">
      <c r="I164" s="2"/>
      <c r="J164" s="2"/>
      <c r="K164" s="2"/>
      <c r="L164" s="2"/>
      <c r="M164" s="2"/>
    </row>
    <row r="165" spans="2:58">
      <c r="I165" s="2"/>
      <c r="J165" s="2"/>
      <c r="K165" s="2">
        <f>90+(29+(57/60))+L165</f>
        <v>128.56</v>
      </c>
      <c r="L165" s="2">
        <f>(14+(21/60))/15*9</f>
        <v>8.61</v>
      </c>
      <c r="M165" s="2"/>
    </row>
    <row r="166" spans="2:58">
      <c r="I166" s="2"/>
      <c r="J166" s="2" t="s">
        <v>60</v>
      </c>
      <c r="K166" s="2" t="s">
        <v>4</v>
      </c>
      <c r="L166" s="2" t="s">
        <v>5</v>
      </c>
      <c r="M166" s="2" t="s">
        <v>377</v>
      </c>
    </row>
    <row r="167" spans="2:58">
      <c r="I167" s="2"/>
      <c r="J167" s="2">
        <v>1441</v>
      </c>
      <c r="K167" s="2">
        <v>12</v>
      </c>
      <c r="L167" s="2">
        <v>8.1041666669999994</v>
      </c>
      <c r="M167" s="2">
        <f>2.28333/24</f>
        <v>9.5138749999999994E-2</v>
      </c>
    </row>
    <row r="168" spans="2:58">
      <c r="I168" s="2" t="s">
        <v>378</v>
      </c>
      <c r="J168" s="2" t="e">
        <f ca="1">[4]!taq(J167,K167,L167,M167)</f>
        <v>#NAME?</v>
      </c>
      <c r="K168" s="2"/>
      <c r="L168" s="2"/>
      <c r="M168" s="2"/>
    </row>
    <row r="169" spans="2:58">
      <c r="I169" s="2"/>
      <c r="J169" s="2"/>
      <c r="K169" s="2"/>
      <c r="L169" s="2"/>
      <c r="M169" s="2"/>
    </row>
    <row r="170" spans="2:58" ht="18.75">
      <c r="B170" s="49" t="s">
        <v>442</v>
      </c>
    </row>
    <row r="171" spans="2:58">
      <c r="B171" s="2" t="s">
        <v>438</v>
      </c>
      <c r="C171" s="2"/>
      <c r="D171" s="2" t="s">
        <v>172</v>
      </c>
      <c r="E171" s="2" t="s">
        <v>166</v>
      </c>
      <c r="F171" s="2" t="s">
        <v>167</v>
      </c>
      <c r="G171" s="2" t="s">
        <v>168</v>
      </c>
      <c r="H171" s="4" t="s">
        <v>434</v>
      </c>
      <c r="I171" s="4"/>
      <c r="J171" s="4" t="s">
        <v>172</v>
      </c>
      <c r="K171" s="4" t="s">
        <v>166</v>
      </c>
      <c r="L171" s="4" t="s">
        <v>167</v>
      </c>
      <c r="M171" s="4" t="s">
        <v>168</v>
      </c>
      <c r="N171" s="24" t="s">
        <v>439</v>
      </c>
      <c r="O171" s="24"/>
      <c r="P171" s="24" t="s">
        <v>172</v>
      </c>
      <c r="Q171" s="24" t="s">
        <v>166</v>
      </c>
      <c r="R171" s="24" t="s">
        <v>167</v>
      </c>
      <c r="S171" s="24" t="s">
        <v>168</v>
      </c>
      <c r="T171" s="7" t="s">
        <v>440</v>
      </c>
      <c r="U171" s="7"/>
      <c r="V171" s="7" t="s">
        <v>172</v>
      </c>
      <c r="W171" s="7" t="s">
        <v>166</v>
      </c>
      <c r="X171" s="7" t="s">
        <v>167</v>
      </c>
      <c r="Y171" s="7" t="s">
        <v>168</v>
      </c>
      <c r="Z171" s="10" t="s">
        <v>441</v>
      </c>
      <c r="AA171" s="10"/>
      <c r="AB171" s="10" t="s">
        <v>172</v>
      </c>
      <c r="AC171" s="10" t="s">
        <v>166</v>
      </c>
      <c r="AD171" s="10" t="s">
        <v>167</v>
      </c>
      <c r="AE171" s="10" t="s">
        <v>168</v>
      </c>
      <c r="AI171" s="33"/>
      <c r="AJ171" s="33" t="s">
        <v>844</v>
      </c>
      <c r="AK171" s="33"/>
      <c r="AL171" s="33"/>
      <c r="AM171" s="33"/>
      <c r="AN171" s="33"/>
      <c r="AR171" s="33"/>
      <c r="AS171" s="33"/>
      <c r="AT171" s="33"/>
      <c r="AU171" s="33"/>
      <c r="AV171" s="33"/>
      <c r="AW171" s="33"/>
      <c r="AX171" s="33"/>
      <c r="AY171" s="33"/>
      <c r="AZ171" s="33"/>
      <c r="BA171" s="33"/>
      <c r="BB171" s="33"/>
      <c r="BC171" s="33"/>
      <c r="BD171" s="33"/>
      <c r="BE171" s="33"/>
      <c r="BF171" s="33"/>
    </row>
    <row r="172" spans="2:58" ht="24.75">
      <c r="B172" s="2" t="s">
        <v>436</v>
      </c>
      <c r="C172" s="2">
        <f>[2]!sn(10.675)</f>
        <v>11.114271120643949</v>
      </c>
      <c r="D172" s="31">
        <f t="shared" ref="D172:D179" si="21">INT(ABS(C172))</f>
        <v>11</v>
      </c>
      <c r="E172" s="31">
        <f>INT((ABS(C172)-D172)*60)</f>
        <v>6</v>
      </c>
      <c r="F172" s="31">
        <f>INT((((ABS(C172)-D172)*60)-E172)*60)</f>
        <v>51</v>
      </c>
      <c r="G172" s="31">
        <f>INT((((((ABS(C172)-D172)*60)-E172)*60)-F172)*60)</f>
        <v>22</v>
      </c>
      <c r="H172" s="4" t="s">
        <v>436</v>
      </c>
      <c r="I172" s="4">
        <f>[2]!sn(5.6038)</f>
        <v>5.8589343315143489</v>
      </c>
      <c r="J172" s="31">
        <f t="shared" ref="J172:J180" si="22">INT(ABS(I172))</f>
        <v>5</v>
      </c>
      <c r="K172" s="31">
        <f>INT((ABS(I172)-J172)*60)</f>
        <v>51</v>
      </c>
      <c r="L172" s="31">
        <f>INT((((ABS(I172)-J172)*60)-K172)*60)</f>
        <v>32</v>
      </c>
      <c r="M172" s="31">
        <f>INT((((((ABS(I172)-J172)*60)-K172)*60)-L172)*60)</f>
        <v>9</v>
      </c>
      <c r="N172" s="24" t="s">
        <v>436</v>
      </c>
      <c r="O172" s="24">
        <f>[2]!sn(6.4975)</f>
        <v>6.7895916545740338</v>
      </c>
      <c r="P172" s="31">
        <f t="shared" ref="P172:P180" si="23">INT(ABS(O172))</f>
        <v>6</v>
      </c>
      <c r="Q172" s="31">
        <f>INT((ABS(O172)-P172)*60)</f>
        <v>47</v>
      </c>
      <c r="R172" s="31">
        <f>INT((((ABS(O172)-P172)*60)-Q172)*60)</f>
        <v>22</v>
      </c>
      <c r="S172" s="31">
        <f>INT((((((ABS(O172)-P172)*60)-Q172)*60)-R172)*60)</f>
        <v>31</v>
      </c>
      <c r="T172" s="7" t="s">
        <v>436</v>
      </c>
      <c r="U172" s="7">
        <f>[2]!sn(0.837777778)</f>
        <v>0.87728757576928795</v>
      </c>
      <c r="V172" s="31">
        <f t="shared" ref="V172:V180" si="24">INT(ABS(U172))</f>
        <v>0</v>
      </c>
      <c r="W172" s="31">
        <f>INT((ABS(U172)-V172)*60)</f>
        <v>52</v>
      </c>
      <c r="X172" s="31">
        <f>INT((((ABS(U172)-V172)*60)-W172)*60)</f>
        <v>38</v>
      </c>
      <c r="Y172" s="31">
        <f>INT((((((ABS(U172)-V172)*60)-W172)*60)-X172)*60)</f>
        <v>14</v>
      </c>
      <c r="Z172" s="10" t="s">
        <v>436</v>
      </c>
      <c r="AA172" s="10">
        <v>25.263680000000001</v>
      </c>
      <c r="AB172" s="31">
        <f t="shared" ref="AB172:AB180" si="25">INT(ABS(AA172))</f>
        <v>25</v>
      </c>
      <c r="AC172" s="31">
        <f t="shared" ref="AC172:AC180" si="26">INT((ABS(AA172)-AB172)*60)</f>
        <v>15</v>
      </c>
      <c r="AD172" s="31">
        <f t="shared" ref="AD172:AD180" si="27">INT((((ABS(AA172)-AB172)*60)-AC172)*60)</f>
        <v>49</v>
      </c>
      <c r="AE172" s="31">
        <f t="shared" ref="AE172:AE180" si="28">INT((((((ABS(AA172)-AB172)*60)-AC172)*60)-AD172)*60)</f>
        <v>14</v>
      </c>
      <c r="AI172" s="33"/>
      <c r="AJ172" s="33" t="s">
        <v>771</v>
      </c>
      <c r="AK172" s="128">
        <f>(((((((((AQ172/60)+AP172)/60)+AO172)/60)+AN172)/60)+AM172)/60)+AL172</f>
        <v>41.037245370370371</v>
      </c>
      <c r="AL172" s="27">
        <v>41</v>
      </c>
      <c r="AM172" s="27">
        <v>2</v>
      </c>
      <c r="AN172" s="27">
        <v>14</v>
      </c>
      <c r="AO172" s="27">
        <v>5</v>
      </c>
      <c r="AP172" s="27"/>
      <c r="AR172" s="33"/>
      <c r="AS172" s="72"/>
      <c r="AT172" s="27"/>
      <c r="AU172" s="27"/>
      <c r="AV172" s="27"/>
      <c r="AW172" s="27"/>
      <c r="AX172" s="27"/>
      <c r="AY172" s="33"/>
      <c r="AZ172" s="33"/>
      <c r="BA172" s="72"/>
      <c r="BB172" s="27"/>
      <c r="BC172" s="27"/>
      <c r="BD172" s="27"/>
      <c r="BE172" s="27"/>
      <c r="BF172" s="27"/>
    </row>
    <row r="173" spans="2:58" ht="24.75">
      <c r="B173" s="2" t="s">
        <v>437</v>
      </c>
      <c r="C173" s="2">
        <v>170</v>
      </c>
      <c r="D173" s="31">
        <f t="shared" si="21"/>
        <v>170</v>
      </c>
      <c r="E173" s="31">
        <f>INT((ABS(C173)-D173)*60)</f>
        <v>0</v>
      </c>
      <c r="F173" s="31">
        <f>INT((((ABS(C173)-D173)*60)-E173)*60)</f>
        <v>0</v>
      </c>
      <c r="G173" s="31">
        <f>INT((((((ABS(C173)-D173)*60)-E173)*60)-F173)*60)</f>
        <v>0</v>
      </c>
      <c r="H173" s="4" t="s">
        <v>437</v>
      </c>
      <c r="I173" s="4">
        <v>355</v>
      </c>
      <c r="J173" s="31">
        <f t="shared" si="22"/>
        <v>355</v>
      </c>
      <c r="K173" s="31">
        <f t="shared" ref="K173:K180" si="29">INT((ABS(I173)-J173)*60)</f>
        <v>0</v>
      </c>
      <c r="L173" s="31">
        <f t="shared" ref="L173:L180" si="30">INT((((ABS(I173)-J173)*60)-K173)*60)</f>
        <v>0</v>
      </c>
      <c r="M173" s="31">
        <f t="shared" ref="M173:M180" si="31">INT((((((ABS(I173)-J173)*60)-K173)*60)-L173)*60)</f>
        <v>0</v>
      </c>
      <c r="N173" s="24" t="s">
        <v>437</v>
      </c>
      <c r="O173" s="22">
        <v>151</v>
      </c>
      <c r="P173" s="31">
        <f t="shared" si="23"/>
        <v>151</v>
      </c>
      <c r="Q173" s="31">
        <f t="shared" ref="Q173:Q180" si="32">INT((ABS(O173)-P173)*60)</f>
        <v>0</v>
      </c>
      <c r="R173" s="31">
        <f t="shared" ref="R173:R180" si="33">INT((((ABS(O173)-P173)*60)-Q173)*60)</f>
        <v>0</v>
      </c>
      <c r="S173" s="31">
        <f t="shared" ref="S173:S180" si="34">INT((((((ABS(O173)-P173)*60)-Q173)*60)-R173)*60)</f>
        <v>0</v>
      </c>
      <c r="T173" s="7" t="s">
        <v>437</v>
      </c>
      <c r="U173" s="22">
        <v>140</v>
      </c>
      <c r="V173" s="31">
        <f t="shared" si="24"/>
        <v>140</v>
      </c>
      <c r="W173" s="31">
        <f t="shared" ref="W173:W180" si="35">INT((ABS(U173)-V173)*60)</f>
        <v>0</v>
      </c>
      <c r="X173" s="31">
        <f t="shared" ref="X173:X180" si="36">INT((((ABS(U173)-V173)*60)-W173)*60)</f>
        <v>0</v>
      </c>
      <c r="Y173" s="31">
        <f t="shared" ref="Y173:Y180" si="37">INT((((((ABS(U173)-V173)*60)-W173)*60)-X173)*60)</f>
        <v>0</v>
      </c>
      <c r="Z173" s="10" t="s">
        <v>437</v>
      </c>
      <c r="AA173" s="38">
        <v>105</v>
      </c>
      <c r="AB173" s="31">
        <v>43</v>
      </c>
      <c r="AC173" s="31">
        <v>26</v>
      </c>
      <c r="AD173" s="31">
        <v>8</v>
      </c>
      <c r="AE173" s="31">
        <v>0</v>
      </c>
      <c r="AI173" s="33"/>
      <c r="AJ173" s="72" t="s">
        <v>552</v>
      </c>
      <c r="AK173" s="128">
        <f>(((((((((AQ173/60)+AP173)/60)+AO173)/60)+AN173)/60)+AM173)/60)+AL173</f>
        <v>98.160925925925923</v>
      </c>
      <c r="AL173" s="27">
        <v>98</v>
      </c>
      <c r="AM173" s="27">
        <v>9</v>
      </c>
      <c r="AN173" s="27">
        <v>39</v>
      </c>
      <c r="AO173" s="27">
        <v>20</v>
      </c>
      <c r="AP173" s="27"/>
      <c r="AR173" s="72"/>
      <c r="AS173" s="72"/>
      <c r="AT173" s="27"/>
      <c r="AU173" s="27"/>
      <c r="AV173" s="27"/>
      <c r="AW173" s="27"/>
      <c r="AX173" s="27"/>
      <c r="AY173" s="33"/>
      <c r="AZ173" s="72"/>
      <c r="BA173" s="72"/>
      <c r="BB173" s="27"/>
      <c r="BC173" s="27"/>
      <c r="BD173" s="27"/>
      <c r="BE173" s="27"/>
      <c r="BF173" s="27"/>
    </row>
    <row r="174" spans="2:58" ht="24.75">
      <c r="B174" s="2" t="s">
        <v>430</v>
      </c>
      <c r="C174" s="2">
        <v>90</v>
      </c>
      <c r="D174" s="31">
        <f t="shared" si="21"/>
        <v>90</v>
      </c>
      <c r="E174" s="31">
        <f t="shared" ref="E174:E179" si="38">INT((ABS(C174)-D174)*60)</f>
        <v>0</v>
      </c>
      <c r="F174" s="31">
        <f t="shared" ref="F174:F179" si="39">INT((((ABS(C174)-D174)*60)-E174)*60)</f>
        <v>0</v>
      </c>
      <c r="G174" s="31">
        <f t="shared" ref="G174:G179" si="40">INT((((((ABS(C174)-D174)*60)-E174)*60)-F174)*60)</f>
        <v>0</v>
      </c>
      <c r="H174" s="4" t="s">
        <v>430</v>
      </c>
      <c r="I174" s="4">
        <v>90</v>
      </c>
      <c r="J174" s="31">
        <f t="shared" si="22"/>
        <v>90</v>
      </c>
      <c r="K174" s="31">
        <f t="shared" si="29"/>
        <v>0</v>
      </c>
      <c r="L174" s="31">
        <f t="shared" si="30"/>
        <v>0</v>
      </c>
      <c r="M174" s="31">
        <f t="shared" si="31"/>
        <v>0</v>
      </c>
      <c r="N174" s="24" t="s">
        <v>430</v>
      </c>
      <c r="O174" s="24">
        <v>90</v>
      </c>
      <c r="P174" s="31">
        <f t="shared" si="23"/>
        <v>90</v>
      </c>
      <c r="Q174" s="31">
        <f t="shared" si="32"/>
        <v>0</v>
      </c>
      <c r="R174" s="31">
        <f t="shared" si="33"/>
        <v>0</v>
      </c>
      <c r="S174" s="31">
        <f t="shared" si="34"/>
        <v>0</v>
      </c>
      <c r="T174" s="7" t="s">
        <v>430</v>
      </c>
      <c r="U174" s="7">
        <v>90</v>
      </c>
      <c r="V174" s="31">
        <f t="shared" si="24"/>
        <v>90</v>
      </c>
      <c r="W174" s="31">
        <f t="shared" si="35"/>
        <v>0</v>
      </c>
      <c r="X174" s="31">
        <f t="shared" si="36"/>
        <v>0</v>
      </c>
      <c r="Y174" s="31">
        <f t="shared" si="37"/>
        <v>0</v>
      </c>
      <c r="Z174" s="10" t="s">
        <v>430</v>
      </c>
      <c r="AA174" s="10">
        <v>90</v>
      </c>
      <c r="AB174" s="31">
        <f t="shared" si="25"/>
        <v>90</v>
      </c>
      <c r="AC174" s="31">
        <f t="shared" si="26"/>
        <v>0</v>
      </c>
      <c r="AD174" s="31">
        <f t="shared" si="27"/>
        <v>0</v>
      </c>
      <c r="AE174" s="31">
        <f t="shared" si="28"/>
        <v>0</v>
      </c>
      <c r="AI174" s="33"/>
      <c r="AJ174" s="33" t="s">
        <v>543</v>
      </c>
      <c r="AK174" s="27">
        <v>155</v>
      </c>
      <c r="AL174" s="31">
        <f>INT(ABS(AK174))</f>
        <v>155</v>
      </c>
      <c r="AM174" s="31">
        <f>INT((ABS(AK174)-AL174)*60)</f>
        <v>0</v>
      </c>
      <c r="AN174" s="31">
        <f>INT((((ABS(AK174)-AL174)*60)-AM174)*60)</f>
        <v>0</v>
      </c>
      <c r="AO174" s="31">
        <f>INT((((((ABS(AK174)-AL174)*60)-AM174)*60)-AN174)*60)</f>
        <v>0</v>
      </c>
      <c r="AR174" s="33"/>
      <c r="AS174" s="27"/>
      <c r="AT174" s="27"/>
      <c r="AU174" s="27"/>
      <c r="AV174" s="27"/>
      <c r="AW174" s="27"/>
      <c r="AX174" s="33"/>
      <c r="AY174" s="33"/>
      <c r="AZ174" s="33"/>
      <c r="BA174" s="27"/>
      <c r="BB174" s="27"/>
      <c r="BC174" s="27"/>
      <c r="BD174" s="27"/>
      <c r="BE174" s="27"/>
      <c r="BF174" s="33"/>
    </row>
    <row r="175" spans="2:58" ht="24.75">
      <c r="B175" s="2" t="s">
        <v>429</v>
      </c>
      <c r="C175" s="4">
        <f>C172*[2]!sn(C173)/[2]!sn(C174)</f>
        <v>1.9299729261960128</v>
      </c>
      <c r="D175" s="31">
        <f t="shared" si="21"/>
        <v>1</v>
      </c>
      <c r="E175" s="31">
        <f t="shared" si="38"/>
        <v>55</v>
      </c>
      <c r="F175" s="31">
        <f t="shared" si="39"/>
        <v>47</v>
      </c>
      <c r="G175" s="31">
        <f t="shared" si="40"/>
        <v>54</v>
      </c>
      <c r="H175" s="4" t="s">
        <v>429</v>
      </c>
      <c r="I175" s="4">
        <f>I172*[2]!sn(I173)/[2]!sn(I174)</f>
        <v>-0.51063977337288802</v>
      </c>
      <c r="J175" s="31">
        <f t="shared" si="22"/>
        <v>0</v>
      </c>
      <c r="K175" s="31">
        <f t="shared" si="29"/>
        <v>30</v>
      </c>
      <c r="L175" s="31">
        <f t="shared" si="30"/>
        <v>38</v>
      </c>
      <c r="M175" s="31">
        <f t="shared" si="31"/>
        <v>18</v>
      </c>
      <c r="N175" s="24" t="s">
        <v>429</v>
      </c>
      <c r="O175" s="4">
        <f>O172*[2]!sn(O173)/[2]!sn(O174)</f>
        <v>3.2916593516817372</v>
      </c>
      <c r="P175" s="31">
        <f t="shared" si="23"/>
        <v>3</v>
      </c>
      <c r="Q175" s="31">
        <f t="shared" si="32"/>
        <v>17</v>
      </c>
      <c r="R175" s="31">
        <f t="shared" si="33"/>
        <v>29</v>
      </c>
      <c r="S175" s="31">
        <f t="shared" si="34"/>
        <v>58</v>
      </c>
      <c r="T175" s="7" t="s">
        <v>429</v>
      </c>
      <c r="U175" s="4">
        <f>U172*[2]!sn(U173)/[2]!sn(U174)</f>
        <v>0.56390958383643952</v>
      </c>
      <c r="V175" s="31">
        <f t="shared" si="24"/>
        <v>0</v>
      </c>
      <c r="W175" s="31">
        <f t="shared" si="35"/>
        <v>33</v>
      </c>
      <c r="X175" s="31">
        <f t="shared" si="36"/>
        <v>50</v>
      </c>
      <c r="Y175" s="31">
        <f t="shared" si="37"/>
        <v>4</v>
      </c>
      <c r="Z175" s="10" t="s">
        <v>429</v>
      </c>
      <c r="AA175" s="10">
        <f>AA172*[2]!sn(AA173)/[2]!sn(AA174)</f>
        <v>24.40284097910261</v>
      </c>
      <c r="AB175" s="31">
        <f t="shared" si="25"/>
        <v>24</v>
      </c>
      <c r="AC175" s="31">
        <f t="shared" si="26"/>
        <v>24</v>
      </c>
      <c r="AD175" s="31">
        <f t="shared" si="27"/>
        <v>10</v>
      </c>
      <c r="AE175" s="31">
        <f t="shared" si="28"/>
        <v>13</v>
      </c>
      <c r="AI175" s="33"/>
      <c r="AJ175" s="33" t="s">
        <v>842</v>
      </c>
      <c r="AK175" s="27">
        <f>360-AK174</f>
        <v>205</v>
      </c>
      <c r="AL175" s="31">
        <f>INT(ABS(AK175))</f>
        <v>205</v>
      </c>
      <c r="AM175" s="31">
        <f>INT((ABS(AK175)-AL175)*60)</f>
        <v>0</v>
      </c>
      <c r="AN175" s="31">
        <f>INT((((ABS(AK175)-AL175)*60)-AM175)*60)</f>
        <v>0</v>
      </c>
      <c r="AO175" s="31">
        <f>INT((((((ABS(AK175)-AL175)*60)-AM175)*60)-AN175)*60)</f>
        <v>0</v>
      </c>
      <c r="AR175" s="33"/>
      <c r="AS175" s="27"/>
      <c r="AT175" s="27"/>
      <c r="AU175" s="27"/>
      <c r="AV175" s="27"/>
      <c r="AW175" s="27"/>
      <c r="AX175" s="33"/>
      <c r="AY175" s="33"/>
      <c r="AZ175" s="33"/>
      <c r="BA175" s="27"/>
      <c r="BB175" s="27"/>
      <c r="BC175" s="27"/>
      <c r="BD175" s="27"/>
      <c r="BE175" s="27"/>
      <c r="BF175" s="33"/>
    </row>
    <row r="176" spans="2:58" ht="24.75">
      <c r="B176" s="2" t="s">
        <v>431</v>
      </c>
      <c r="C176" s="4">
        <f>C172*[2]!csn(C173)/[2]!sn(C174)</f>
        <v>-10.945420368689842</v>
      </c>
      <c r="D176" s="31">
        <f t="shared" si="21"/>
        <v>10</v>
      </c>
      <c r="E176" s="31">
        <f t="shared" si="38"/>
        <v>56</v>
      </c>
      <c r="F176" s="31">
        <f t="shared" si="39"/>
        <v>43</v>
      </c>
      <c r="G176" s="31">
        <f t="shared" si="40"/>
        <v>30</v>
      </c>
      <c r="H176" s="4" t="s">
        <v>431</v>
      </c>
      <c r="I176" s="4">
        <f>I172*[2]!csn(I173)/[2]!sn(I174)</f>
        <v>5.8366393175222999</v>
      </c>
      <c r="J176" s="31">
        <f t="shared" si="22"/>
        <v>5</v>
      </c>
      <c r="K176" s="31">
        <f t="shared" si="29"/>
        <v>50</v>
      </c>
      <c r="L176" s="31">
        <f t="shared" si="30"/>
        <v>11</v>
      </c>
      <c r="M176" s="31">
        <f t="shared" si="31"/>
        <v>54</v>
      </c>
      <c r="N176" s="24" t="s">
        <v>431</v>
      </c>
      <c r="O176" s="4">
        <f>O172*[2]!csn(O173)/[2]!sn(O174)</f>
        <v>-5.9383106645196273</v>
      </c>
      <c r="P176" s="31">
        <f t="shared" si="23"/>
        <v>5</v>
      </c>
      <c r="Q176" s="31">
        <f t="shared" si="32"/>
        <v>56</v>
      </c>
      <c r="R176" s="31">
        <f t="shared" si="33"/>
        <v>17</v>
      </c>
      <c r="S176" s="31">
        <f t="shared" si="34"/>
        <v>55</v>
      </c>
      <c r="T176" s="7" t="s">
        <v>431</v>
      </c>
      <c r="U176" s="4">
        <f>U172*[2]!csn(U173)/[2]!sn(U174)</f>
        <v>-0.67204127243538225</v>
      </c>
      <c r="V176" s="31">
        <f t="shared" si="24"/>
        <v>0</v>
      </c>
      <c r="W176" s="31">
        <f t="shared" si="35"/>
        <v>40</v>
      </c>
      <c r="X176" s="31">
        <f t="shared" si="36"/>
        <v>19</v>
      </c>
      <c r="Y176" s="31">
        <f t="shared" si="37"/>
        <v>20</v>
      </c>
      <c r="Z176" s="10" t="s">
        <v>431</v>
      </c>
      <c r="AA176" s="10">
        <f>AA172*[2]!csn(AA173)/[2]!sn(AA174)</f>
        <v>-6.5387215333756483</v>
      </c>
      <c r="AB176" s="31">
        <f t="shared" si="25"/>
        <v>6</v>
      </c>
      <c r="AC176" s="31">
        <f t="shared" si="26"/>
        <v>32</v>
      </c>
      <c r="AD176" s="31">
        <f t="shared" si="27"/>
        <v>19</v>
      </c>
      <c r="AE176" s="31">
        <f t="shared" si="28"/>
        <v>23</v>
      </c>
      <c r="AI176" s="33"/>
      <c r="AJ176" s="33" t="s">
        <v>843</v>
      </c>
      <c r="AK176" s="27">
        <f>180-AK175</f>
        <v>-25</v>
      </c>
      <c r="AL176" s="31">
        <f>INT(ABS(AK176))</f>
        <v>25</v>
      </c>
      <c r="AM176" s="31">
        <f>INT((ABS(AK176)-AL176)*60)</f>
        <v>0</v>
      </c>
      <c r="AN176" s="31">
        <f>INT((((ABS(AK176)-AL176)*60)-AM176)*60)</f>
        <v>0</v>
      </c>
      <c r="AO176" s="31">
        <f>INT((((((ABS(AK176)-AL176)*60)-AM176)*60)-AN176)*60)</f>
        <v>0</v>
      </c>
      <c r="AR176" s="33"/>
      <c r="AS176" s="27"/>
      <c r="AT176" s="27"/>
      <c r="AU176" s="27"/>
      <c r="AV176" s="27"/>
      <c r="AW176" s="27"/>
      <c r="AX176" s="33"/>
      <c r="AY176" s="33"/>
      <c r="AZ176" s="33"/>
      <c r="BA176" s="27"/>
      <c r="BB176" s="27"/>
      <c r="BC176" s="27"/>
      <c r="BD176" s="27"/>
      <c r="BE176" s="27"/>
      <c r="BF176" s="33"/>
    </row>
    <row r="177" spans="2:58" ht="24.75">
      <c r="B177" s="2" t="s">
        <v>433</v>
      </c>
      <c r="C177" s="4">
        <f>120+C176</f>
        <v>109.05457963131016</v>
      </c>
      <c r="D177" s="31">
        <f t="shared" si="21"/>
        <v>109</v>
      </c>
      <c r="E177" s="31">
        <f t="shared" si="38"/>
        <v>3</v>
      </c>
      <c r="F177" s="31">
        <f t="shared" si="39"/>
        <v>16</v>
      </c>
      <c r="G177" s="31">
        <f t="shared" si="40"/>
        <v>29</v>
      </c>
      <c r="H177" s="4" t="s">
        <v>433</v>
      </c>
      <c r="I177" s="4">
        <f>120+I176</f>
        <v>125.8366393175223</v>
      </c>
      <c r="J177" s="31">
        <f t="shared" si="22"/>
        <v>125</v>
      </c>
      <c r="K177" s="31">
        <f t="shared" si="29"/>
        <v>50</v>
      </c>
      <c r="L177" s="31">
        <f t="shared" si="30"/>
        <v>11</v>
      </c>
      <c r="M177" s="31">
        <f t="shared" si="31"/>
        <v>54</v>
      </c>
      <c r="N177" s="24" t="s">
        <v>433</v>
      </c>
      <c r="O177" s="4">
        <f>120+O176</f>
        <v>114.06168933548037</v>
      </c>
      <c r="P177" s="31">
        <f t="shared" si="23"/>
        <v>114</v>
      </c>
      <c r="Q177" s="31">
        <f t="shared" si="32"/>
        <v>3</v>
      </c>
      <c r="R177" s="31">
        <f t="shared" si="33"/>
        <v>42</v>
      </c>
      <c r="S177" s="31">
        <f t="shared" si="34"/>
        <v>4</v>
      </c>
      <c r="T177" s="7" t="s">
        <v>433</v>
      </c>
      <c r="U177" s="4">
        <f>120+U176</f>
        <v>119.32795872756462</v>
      </c>
      <c r="V177" s="31">
        <f t="shared" si="24"/>
        <v>119</v>
      </c>
      <c r="W177" s="31">
        <f t="shared" si="35"/>
        <v>19</v>
      </c>
      <c r="X177" s="31">
        <f t="shared" si="36"/>
        <v>40</v>
      </c>
      <c r="Y177" s="31">
        <f t="shared" si="37"/>
        <v>39</v>
      </c>
      <c r="Z177" s="10" t="s">
        <v>433</v>
      </c>
      <c r="AA177" s="10">
        <f>120+AA176</f>
        <v>113.46127846662435</v>
      </c>
      <c r="AB177" s="31">
        <f t="shared" si="25"/>
        <v>113</v>
      </c>
      <c r="AC177" s="31">
        <f t="shared" si="26"/>
        <v>27</v>
      </c>
      <c r="AD177" s="31">
        <f t="shared" si="27"/>
        <v>40</v>
      </c>
      <c r="AE177" s="31">
        <f t="shared" si="28"/>
        <v>36</v>
      </c>
      <c r="AI177" s="33"/>
      <c r="AJ177" s="33" t="s">
        <v>259</v>
      </c>
      <c r="AK177" s="27">
        <v>120</v>
      </c>
      <c r="AL177" s="31">
        <f>INT(ABS(AK177))</f>
        <v>120</v>
      </c>
      <c r="AM177" s="31">
        <f>INT((ABS(AK177)-AL177)*60)</f>
        <v>0</v>
      </c>
      <c r="AN177" s="31">
        <f>INT((((ABS(AK177)-AL177)*60)-AM177)*60)</f>
        <v>0</v>
      </c>
      <c r="AO177" s="31">
        <f>INT((((((ABS(AK177)-AL177)*60)-AM177)*60)-AN177)*60)</f>
        <v>0</v>
      </c>
      <c r="AR177" s="33"/>
      <c r="AS177" s="27"/>
      <c r="AT177" s="27"/>
      <c r="AU177" s="27"/>
      <c r="AV177" s="27"/>
      <c r="AW177" s="27"/>
      <c r="AX177" s="33"/>
      <c r="AY177" s="33"/>
      <c r="AZ177" s="33"/>
      <c r="BA177" s="27"/>
      <c r="BB177" s="27"/>
      <c r="BC177" s="27"/>
      <c r="BD177" s="27"/>
      <c r="BE177" s="27"/>
      <c r="BF177" s="33"/>
    </row>
    <row r="178" spans="2:58" ht="24.75">
      <c r="B178" s="2" t="s">
        <v>432</v>
      </c>
      <c r="C178" s="4">
        <f>SQRT(POWER(C175,2)+POWER(C177,2))</f>
        <v>109.07165596092148</v>
      </c>
      <c r="D178" s="31">
        <f t="shared" si="21"/>
        <v>109</v>
      </c>
      <c r="E178" s="31">
        <f t="shared" si="38"/>
        <v>4</v>
      </c>
      <c r="F178" s="31">
        <f t="shared" si="39"/>
        <v>17</v>
      </c>
      <c r="G178" s="31">
        <f t="shared" si="40"/>
        <v>57</v>
      </c>
      <c r="H178" s="4" t="s">
        <v>432</v>
      </c>
      <c r="I178" s="4">
        <f>SQRT(POWER(I175,2)+POWER(I177,2))</f>
        <v>125.83767539058543</v>
      </c>
      <c r="J178" s="31">
        <f t="shared" si="22"/>
        <v>125</v>
      </c>
      <c r="K178" s="31">
        <f t="shared" si="29"/>
        <v>50</v>
      </c>
      <c r="L178" s="31">
        <f t="shared" si="30"/>
        <v>15</v>
      </c>
      <c r="M178" s="31">
        <f t="shared" si="31"/>
        <v>37</v>
      </c>
      <c r="N178" s="24" t="s">
        <v>432</v>
      </c>
      <c r="O178" s="4">
        <f>SQRT(POWER(O175,2)+POWER(O177,2))</f>
        <v>114.10917577193847</v>
      </c>
      <c r="P178" s="31">
        <f t="shared" si="23"/>
        <v>114</v>
      </c>
      <c r="Q178" s="31">
        <f t="shared" si="32"/>
        <v>6</v>
      </c>
      <c r="R178" s="31">
        <f t="shared" si="33"/>
        <v>33</v>
      </c>
      <c r="S178" s="31">
        <f t="shared" si="34"/>
        <v>1</v>
      </c>
      <c r="T178" s="7" t="s">
        <v>432</v>
      </c>
      <c r="U178" s="4">
        <f>SQRT(POWER(U175,2)+POWER(U177,2))</f>
        <v>119.32929115731019</v>
      </c>
      <c r="V178" s="31">
        <f t="shared" si="24"/>
        <v>119</v>
      </c>
      <c r="W178" s="31">
        <f t="shared" si="35"/>
        <v>19</v>
      </c>
      <c r="X178" s="31">
        <f t="shared" si="36"/>
        <v>45</v>
      </c>
      <c r="Y178" s="31">
        <f t="shared" si="37"/>
        <v>26</v>
      </c>
      <c r="Z178" s="10" t="s">
        <v>432</v>
      </c>
      <c r="AA178" s="10">
        <f>SQRT(POWER(AA175,2)+POWER(AA177,2))</f>
        <v>116.05585017194197</v>
      </c>
      <c r="AB178" s="31">
        <f t="shared" si="25"/>
        <v>116</v>
      </c>
      <c r="AC178" s="31">
        <f t="shared" si="26"/>
        <v>3</v>
      </c>
      <c r="AD178" s="31">
        <f t="shared" si="27"/>
        <v>21</v>
      </c>
      <c r="AE178" s="31">
        <f t="shared" si="28"/>
        <v>3</v>
      </c>
      <c r="AI178" s="33"/>
      <c r="AJ178" s="33" t="s">
        <v>845</v>
      </c>
      <c r="AK178" s="128">
        <f>(((((((((AQ178/60)+AP178)/60)+AO178)/60)+AN178)/60)+AM178)/60)+AL178</f>
        <v>2.0189691358024691</v>
      </c>
      <c r="AL178" s="27">
        <v>2</v>
      </c>
      <c r="AM178" s="27">
        <v>1</v>
      </c>
      <c r="AN178" s="27">
        <v>8</v>
      </c>
      <c r="AO178" s="27">
        <v>17</v>
      </c>
      <c r="AP178" s="27">
        <v>20</v>
      </c>
      <c r="AR178" s="33"/>
      <c r="AS178" s="72"/>
      <c r="AT178" s="27"/>
      <c r="AU178" s="27"/>
      <c r="AV178" s="27"/>
      <c r="AW178" s="27"/>
      <c r="AX178" s="27"/>
      <c r="AY178" s="33"/>
      <c r="AZ178" s="33"/>
      <c r="BA178" s="72"/>
      <c r="BB178" s="27"/>
      <c r="BC178" s="27"/>
      <c r="BD178" s="27"/>
      <c r="BE178" s="27"/>
      <c r="BF178" s="27"/>
    </row>
    <row r="179" spans="2:58" ht="24.75">
      <c r="B179" s="2" t="s">
        <v>435</v>
      </c>
      <c r="C179" s="4">
        <f>[2]!asn([2]!sn(C174)*C175/C178)</f>
        <v>1.0138754511608961</v>
      </c>
      <c r="D179" s="31">
        <f t="shared" si="21"/>
        <v>1</v>
      </c>
      <c r="E179" s="31">
        <f t="shared" si="38"/>
        <v>0</v>
      </c>
      <c r="F179" s="31">
        <f t="shared" si="39"/>
        <v>49</v>
      </c>
      <c r="G179" s="31">
        <f t="shared" si="40"/>
        <v>57</v>
      </c>
      <c r="H179" s="4" t="s">
        <v>435</v>
      </c>
      <c r="I179" s="4">
        <f>[2]!asn([2]!sn(I174)*I175/I178)</f>
        <v>-0.23250257978438185</v>
      </c>
      <c r="J179" s="31">
        <f t="shared" si="22"/>
        <v>0</v>
      </c>
      <c r="K179" s="31">
        <f t="shared" si="29"/>
        <v>13</v>
      </c>
      <c r="L179" s="31">
        <f t="shared" si="30"/>
        <v>57</v>
      </c>
      <c r="M179" s="31">
        <f t="shared" si="31"/>
        <v>0</v>
      </c>
      <c r="N179" s="24" t="s">
        <v>435</v>
      </c>
      <c r="O179" s="4">
        <f>[2]!asn([2]!sn(O174)*O175/O178)</f>
        <v>1.653016536000034</v>
      </c>
      <c r="P179" s="31">
        <f t="shared" si="23"/>
        <v>1</v>
      </c>
      <c r="Q179" s="31">
        <f t="shared" si="32"/>
        <v>39</v>
      </c>
      <c r="R179" s="31">
        <f t="shared" si="33"/>
        <v>10</v>
      </c>
      <c r="S179" s="31">
        <f t="shared" si="34"/>
        <v>51</v>
      </c>
      <c r="T179" s="7" t="s">
        <v>435</v>
      </c>
      <c r="U179" s="4">
        <f>[2]!asn([2]!sn(U174)*U175/U178)</f>
        <v>0.27076134555367665</v>
      </c>
      <c r="V179" s="31">
        <f t="shared" si="24"/>
        <v>0</v>
      </c>
      <c r="W179" s="31">
        <f t="shared" si="35"/>
        <v>16</v>
      </c>
      <c r="X179" s="31">
        <f t="shared" si="36"/>
        <v>14</v>
      </c>
      <c r="Y179" s="31">
        <f t="shared" si="37"/>
        <v>44</v>
      </c>
      <c r="Z179" s="10" t="s">
        <v>435</v>
      </c>
      <c r="AA179" s="10">
        <f>[2]!asn([2]!sn(AA174)*AA175/AA178)</f>
        <v>12.138062971455971</v>
      </c>
      <c r="AB179" s="31">
        <f t="shared" si="25"/>
        <v>12</v>
      </c>
      <c r="AC179" s="31">
        <f t="shared" si="26"/>
        <v>8</v>
      </c>
      <c r="AD179" s="31">
        <f t="shared" si="27"/>
        <v>17</v>
      </c>
      <c r="AE179" s="31">
        <f t="shared" si="28"/>
        <v>1</v>
      </c>
      <c r="AI179" s="33"/>
      <c r="AJ179" s="33"/>
      <c r="AK179" s="27">
        <f>AK177+AK178</f>
        <v>122.01896913580246</v>
      </c>
      <c r="AL179" s="31">
        <f t="shared" ref="AL179:AL186" si="41">INT(ABS(AK179))</f>
        <v>122</v>
      </c>
      <c r="AM179" s="31">
        <f t="shared" ref="AM179:AM186" si="42">INT((ABS(AK179)-AL179)*60)</f>
        <v>1</v>
      </c>
      <c r="AN179" s="31">
        <f t="shared" ref="AN179:AN186" si="43">INT((((ABS(AK179)-AL179)*60)-AM179)*60)</f>
        <v>8</v>
      </c>
      <c r="AO179" s="31">
        <f t="shared" ref="AO179:AO186" si="44">INT((((((ABS(AK179)-AL179)*60)-AM179)*60)-AN179)*60)</f>
        <v>17</v>
      </c>
      <c r="AR179" s="33"/>
      <c r="AS179" s="27"/>
      <c r="AT179" s="27"/>
      <c r="AU179" s="27"/>
      <c r="AV179" s="27"/>
      <c r="AW179" s="27"/>
      <c r="AX179" s="33"/>
      <c r="AY179" s="33"/>
      <c r="AZ179" s="33"/>
      <c r="BA179" s="27"/>
      <c r="BB179" s="27"/>
      <c r="BC179" s="27"/>
      <c r="BD179" s="27"/>
      <c r="BE179" s="27"/>
      <c r="BF179" s="33"/>
    </row>
    <row r="180" spans="2:58" ht="24.75">
      <c r="B180" s="2" t="s">
        <v>466</v>
      </c>
      <c r="C180" s="4">
        <f>2*C179</f>
        <v>2.0277509023217921</v>
      </c>
      <c r="D180" s="31">
        <f>INT(ABS(C180))</f>
        <v>2</v>
      </c>
      <c r="E180" s="31">
        <f>INT((ABS(C180)-D180)*60)</f>
        <v>1</v>
      </c>
      <c r="F180" s="31">
        <f>INT((((ABS(C180)-D180)*60)-E180)*60)</f>
        <v>39</v>
      </c>
      <c r="G180" s="31">
        <f>INT((((((ABS(C180)-D180)*60)-E180)*60)-F180)*60)</f>
        <v>54</v>
      </c>
      <c r="H180" s="4" t="s">
        <v>466</v>
      </c>
      <c r="I180" s="4">
        <f>2*I179</f>
        <v>-0.4650051595687637</v>
      </c>
      <c r="J180" s="31">
        <f t="shared" si="22"/>
        <v>0</v>
      </c>
      <c r="K180" s="31">
        <f t="shared" si="29"/>
        <v>27</v>
      </c>
      <c r="L180" s="31">
        <f t="shared" si="30"/>
        <v>54</v>
      </c>
      <c r="M180" s="31">
        <f t="shared" si="31"/>
        <v>1</v>
      </c>
      <c r="N180" s="24" t="s">
        <v>466</v>
      </c>
      <c r="O180" s="4">
        <f>2*O179</f>
        <v>3.3060330720000679</v>
      </c>
      <c r="P180" s="31">
        <f t="shared" si="23"/>
        <v>3</v>
      </c>
      <c r="Q180" s="31">
        <f t="shared" si="32"/>
        <v>18</v>
      </c>
      <c r="R180" s="31">
        <f t="shared" si="33"/>
        <v>21</v>
      </c>
      <c r="S180" s="31">
        <f t="shared" si="34"/>
        <v>43</v>
      </c>
      <c r="T180" s="7" t="s">
        <v>466</v>
      </c>
      <c r="U180" s="4">
        <f>2*U179</f>
        <v>0.54152269110735329</v>
      </c>
      <c r="V180" s="31">
        <f t="shared" si="24"/>
        <v>0</v>
      </c>
      <c r="W180" s="31">
        <f t="shared" si="35"/>
        <v>32</v>
      </c>
      <c r="X180" s="31">
        <f t="shared" si="36"/>
        <v>29</v>
      </c>
      <c r="Y180" s="31">
        <f t="shared" si="37"/>
        <v>28</v>
      </c>
      <c r="Z180" s="10" t="s">
        <v>466</v>
      </c>
      <c r="AA180" s="10">
        <f>2*AA179</f>
        <v>24.276125942911943</v>
      </c>
      <c r="AB180" s="31">
        <f t="shared" si="25"/>
        <v>24</v>
      </c>
      <c r="AC180" s="31">
        <f t="shared" si="26"/>
        <v>16</v>
      </c>
      <c r="AD180" s="31">
        <f t="shared" si="27"/>
        <v>34</v>
      </c>
      <c r="AE180" s="31">
        <f t="shared" si="28"/>
        <v>3</v>
      </c>
      <c r="AI180" s="33"/>
      <c r="AJ180" s="33"/>
      <c r="AK180" s="27">
        <f>AK177-AK178</f>
        <v>117.98103086419754</v>
      </c>
      <c r="AL180" s="31">
        <f t="shared" si="41"/>
        <v>117</v>
      </c>
      <c r="AM180" s="31">
        <f t="shared" si="42"/>
        <v>58</v>
      </c>
      <c r="AN180" s="31">
        <f t="shared" si="43"/>
        <v>51</v>
      </c>
      <c r="AO180" s="31">
        <f t="shared" si="44"/>
        <v>42</v>
      </c>
      <c r="AR180" s="33"/>
      <c r="AS180" s="27"/>
      <c r="AT180" s="27"/>
      <c r="AU180" s="27"/>
      <c r="AV180" s="27"/>
      <c r="AW180" s="27"/>
      <c r="AX180" s="33"/>
      <c r="AY180" s="33"/>
      <c r="AZ180" s="33"/>
      <c r="BA180" s="27"/>
      <c r="BB180" s="27"/>
      <c r="BC180" s="27"/>
      <c r="BD180" s="27"/>
      <c r="BE180" s="27"/>
      <c r="BF180" s="33"/>
    </row>
    <row r="181" spans="2:58" ht="24.75">
      <c r="B181" s="2" t="s">
        <v>466</v>
      </c>
      <c r="C181" s="2">
        <f>[2]!tmer1(C173)</f>
        <v>-2.089722222222222</v>
      </c>
      <c r="D181" s="31">
        <f>INT(ABS(C181))</f>
        <v>2</v>
      </c>
      <c r="E181" s="31">
        <f>INT((ABS(C181)-D181)*60)</f>
        <v>5</v>
      </c>
      <c r="F181" s="31">
        <f>INT((((ABS(C181)-D181)*60)-E181)*60)</f>
        <v>22</v>
      </c>
      <c r="G181" s="31">
        <f>INT((((((ABS(C181)-D181)*60)-E181)*60)-F181)*60)</f>
        <v>59</v>
      </c>
      <c r="H181" s="4" t="s">
        <v>466</v>
      </c>
      <c r="I181" s="4">
        <f>[2]!tmosh1(I173)</f>
        <v>0.45833333333333331</v>
      </c>
      <c r="J181" s="31">
        <f>INT(ABS(I181))</f>
        <v>0</v>
      </c>
      <c r="K181" s="31">
        <f>INT((ABS(I181)-J181)*60)</f>
        <v>27</v>
      </c>
      <c r="L181" s="31">
        <f>INT((((ABS(I181)-J181)*60)-K181)*60)</f>
        <v>30</v>
      </c>
      <c r="M181" s="31">
        <f>INT((((((ABS(I181)-J181)*60)-K181)*60)-L181)*60)</f>
        <v>0</v>
      </c>
      <c r="N181" s="24" t="s">
        <v>466</v>
      </c>
      <c r="O181" s="24">
        <f>[2]!tzohal1(O173)</f>
        <v>-3.3552777777777778</v>
      </c>
      <c r="P181" s="31">
        <f>INT(ABS(O181))</f>
        <v>3</v>
      </c>
      <c r="Q181" s="31">
        <f>INT((ABS(O181)-P181)*60)</f>
        <v>21</v>
      </c>
      <c r="R181" s="31">
        <f>INT((((ABS(O181)-P181)*60)-Q181)*60)</f>
        <v>19</v>
      </c>
      <c r="S181" s="31">
        <f>INT((((((ABS(O181)-P181)*60)-Q181)*60)-R181)*60)</f>
        <v>0</v>
      </c>
      <c r="T181" s="7" t="s">
        <v>466</v>
      </c>
      <c r="U181" s="7">
        <f>[2]!tzohre1(U173)</f>
        <v>0.54152269110735329</v>
      </c>
      <c r="V181" s="31">
        <f>INT(ABS(U181))</f>
        <v>0</v>
      </c>
      <c r="W181" s="31">
        <f>INT((ABS(U181)-V181)*60)</f>
        <v>32</v>
      </c>
      <c r="X181" s="31">
        <f>INT((((ABS(U181)-V181)*60)-W181)*60)</f>
        <v>29</v>
      </c>
      <c r="Y181" s="31">
        <f>INT((((((ABS(U181)-V181)*60)-W181)*60)-X181)*60)</f>
        <v>28</v>
      </c>
      <c r="Z181" s="10" t="s">
        <v>466</v>
      </c>
      <c r="AA181" s="10">
        <f>[2]!tota1(AA173)</f>
        <v>-24.27611111111111</v>
      </c>
      <c r="AB181" s="31">
        <f t="shared" ref="AB181:AB186" si="45">INT(ABS(AA181))</f>
        <v>24</v>
      </c>
      <c r="AC181" s="31">
        <f t="shared" ref="AC181:AC186" si="46">INT((ABS(AA181)-AB181)*60)</f>
        <v>16</v>
      </c>
      <c r="AD181" s="31">
        <f t="shared" ref="AD181:AD186" si="47">INT((((ABS(AA181)-AB181)*60)-AC181)*60)</f>
        <v>33</v>
      </c>
      <c r="AE181" s="31">
        <f t="shared" ref="AE181:AE186" si="48">INT((((((ABS(AA181)-AB181)*60)-AC181)*60)-AD181)*60)</f>
        <v>59</v>
      </c>
      <c r="AI181" s="33"/>
      <c r="AJ181" s="33"/>
      <c r="AK181" s="27">
        <f>AK175/2</f>
        <v>102.5</v>
      </c>
      <c r="AL181" s="31">
        <f t="shared" si="41"/>
        <v>102</v>
      </c>
      <c r="AM181" s="31">
        <f t="shared" si="42"/>
        <v>30</v>
      </c>
      <c r="AN181" s="31">
        <f t="shared" si="43"/>
        <v>0</v>
      </c>
      <c r="AO181" s="31">
        <f t="shared" si="44"/>
        <v>0</v>
      </c>
      <c r="AR181" s="33"/>
      <c r="AS181" s="27"/>
      <c r="AT181" s="27"/>
      <c r="AU181" s="27"/>
      <c r="AV181" s="27"/>
      <c r="AW181" s="27"/>
      <c r="AX181" s="33"/>
      <c r="AY181" s="33"/>
      <c r="AZ181" s="33"/>
      <c r="BA181" s="27"/>
      <c r="BB181" s="27"/>
      <c r="BC181" s="27"/>
      <c r="BD181" s="27"/>
      <c r="BE181" s="27"/>
      <c r="BF181" s="33"/>
    </row>
    <row r="182" spans="2:58" ht="24.75">
      <c r="B182" s="2"/>
      <c r="C182" s="2"/>
      <c r="H182" s="4"/>
      <c r="I182" s="4"/>
      <c r="N182" s="24"/>
      <c r="O182" s="24"/>
      <c r="T182" s="7"/>
      <c r="U182" s="7"/>
      <c r="Z182" s="10"/>
      <c r="AA182" s="22">
        <f>[2]!asn(AA172)</f>
        <v>24.901612045128378</v>
      </c>
      <c r="AB182" s="190">
        <f t="shared" si="45"/>
        <v>24</v>
      </c>
      <c r="AC182" s="190">
        <f t="shared" si="46"/>
        <v>54</v>
      </c>
      <c r="AD182" s="190">
        <f t="shared" si="47"/>
        <v>5</v>
      </c>
      <c r="AE182" s="190">
        <f t="shared" si="48"/>
        <v>48</v>
      </c>
      <c r="AI182" s="33"/>
      <c r="AJ182" s="33"/>
      <c r="AK182" s="33">
        <f>[2]!tn(AK181)</f>
        <v>-270.64251021972353</v>
      </c>
      <c r="AL182" s="31">
        <f t="shared" si="41"/>
        <v>270</v>
      </c>
      <c r="AM182" s="31">
        <f t="shared" si="42"/>
        <v>38</v>
      </c>
      <c r="AN182" s="31">
        <f t="shared" si="43"/>
        <v>33</v>
      </c>
      <c r="AO182" s="31">
        <f t="shared" si="44"/>
        <v>2</v>
      </c>
      <c r="AR182" s="33"/>
      <c r="AS182" s="33"/>
      <c r="AT182" s="27"/>
      <c r="AU182" s="27"/>
      <c r="AV182" s="27"/>
      <c r="AW182" s="27"/>
      <c r="AX182" s="33"/>
      <c r="AY182" s="33"/>
      <c r="AZ182" s="33"/>
      <c r="BA182" s="33"/>
      <c r="BB182" s="27"/>
      <c r="BC182" s="27"/>
      <c r="BD182" s="27"/>
      <c r="BE182" s="27"/>
      <c r="BF182" s="33"/>
    </row>
    <row r="183" spans="2:58" ht="24.75">
      <c r="B183" s="2" t="s">
        <v>443</v>
      </c>
      <c r="C183" s="2">
        <f>C173</f>
        <v>170</v>
      </c>
      <c r="D183" s="31">
        <f>INT(ABS(C183))</f>
        <v>170</v>
      </c>
      <c r="E183" s="31">
        <f>INT((ABS(C183)-D183)*60)</f>
        <v>0</v>
      </c>
      <c r="F183" s="31">
        <f>INT((((ABS(C183)-D183)*60)-E183)*60)</f>
        <v>0</v>
      </c>
      <c r="G183" s="31">
        <f>INT((((((ABS(C183)-D183)*60)-E183)*60)-F183)*60)</f>
        <v>0</v>
      </c>
      <c r="H183" s="4" t="s">
        <v>443</v>
      </c>
      <c r="I183" s="39">
        <v>324.99527776999997</v>
      </c>
      <c r="J183" s="31">
        <v>182</v>
      </c>
      <c r="K183" s="31">
        <v>37</v>
      </c>
      <c r="L183" s="31">
        <v>17</v>
      </c>
      <c r="M183" s="31">
        <v>0</v>
      </c>
      <c r="N183" s="24"/>
      <c r="O183" s="24">
        <v>30</v>
      </c>
      <c r="P183" s="31">
        <f>INT(ABS(O183))</f>
        <v>30</v>
      </c>
      <c r="Q183" s="31">
        <f>INT((ABS(O183)-P183)*60)</f>
        <v>0</v>
      </c>
      <c r="R183" s="31">
        <f>INT((((ABS(O183)-P183)*60)-Q183)*60)</f>
        <v>0</v>
      </c>
      <c r="S183" s="31">
        <f>INT((((((ABS(O183)-P183)*60)-Q183)*60)-R183)*60)</f>
        <v>0</v>
      </c>
      <c r="T183" s="7" t="s">
        <v>443</v>
      </c>
      <c r="U183" s="7">
        <v>257</v>
      </c>
      <c r="V183" s="31">
        <f>INT(ABS(U183))</f>
        <v>257</v>
      </c>
      <c r="W183" s="31">
        <f>INT((ABS(U183)-V183)*60)</f>
        <v>0</v>
      </c>
      <c r="X183" s="31">
        <f>INT((((ABS(U183)-V183)*60)-W183)*60)</f>
        <v>0</v>
      </c>
      <c r="Y183" s="31">
        <f>INT((((((ABS(U183)-V183)*60)-W183)*60)-X183)*60)</f>
        <v>0</v>
      </c>
      <c r="Z183" s="10" t="s">
        <v>443</v>
      </c>
      <c r="AA183" s="10">
        <v>228</v>
      </c>
      <c r="AB183" s="31">
        <f t="shared" si="45"/>
        <v>228</v>
      </c>
      <c r="AC183" s="31">
        <f t="shared" si="46"/>
        <v>0</v>
      </c>
      <c r="AD183" s="31">
        <f t="shared" si="47"/>
        <v>0</v>
      </c>
      <c r="AE183" s="31">
        <f t="shared" si="48"/>
        <v>0</v>
      </c>
      <c r="AI183" s="33"/>
      <c r="AJ183" s="33"/>
      <c r="AK183" s="27">
        <f>AK182*AK180/AK179</f>
        <v>-261.6862163116578</v>
      </c>
      <c r="AL183" s="31">
        <f t="shared" si="41"/>
        <v>261</v>
      </c>
      <c r="AM183" s="31">
        <f t="shared" si="42"/>
        <v>41</v>
      </c>
      <c r="AN183" s="31">
        <f t="shared" si="43"/>
        <v>10</v>
      </c>
      <c r="AO183" s="31">
        <f t="shared" si="44"/>
        <v>22</v>
      </c>
      <c r="AR183" s="33"/>
      <c r="AS183" s="27"/>
      <c r="AT183" s="27"/>
      <c r="AU183" s="27"/>
      <c r="AV183" s="27"/>
      <c r="AW183" s="27"/>
      <c r="AX183" s="33"/>
      <c r="AY183" s="33"/>
      <c r="AZ183" s="33"/>
      <c r="BA183" s="27"/>
      <c r="BB183" s="27"/>
      <c r="BC183" s="27"/>
      <c r="BD183" s="27"/>
      <c r="BE183" s="27"/>
      <c r="BF183" s="33"/>
    </row>
    <row r="184" spans="2:58" ht="24.75">
      <c r="B184" s="2" t="s">
        <v>444</v>
      </c>
      <c r="C184" s="2">
        <f>(((5/60)+51)/60)+1</f>
        <v>1.851388888888889</v>
      </c>
      <c r="D184" s="31">
        <f>INT(ABS(C184))</f>
        <v>1</v>
      </c>
      <c r="E184" s="31">
        <f>INT((ABS(C184)-D184)*60)</f>
        <v>51</v>
      </c>
      <c r="F184" s="31">
        <f>INT((((ABS(C184)-D184)*60)-E184)*60)</f>
        <v>5</v>
      </c>
      <c r="G184" s="31">
        <f>INT((((((ABS(C184)-D184)*60)-E184)*60)-F184)*60)</f>
        <v>0</v>
      </c>
      <c r="H184" s="4" t="s">
        <v>444</v>
      </c>
      <c r="I184" s="4">
        <f>(((26/60)+19)/60)+1</f>
        <v>1.3238888888888889</v>
      </c>
      <c r="J184" s="31">
        <f t="shared" ref="J184:J189" si="49">INT(ABS(I184))</f>
        <v>1</v>
      </c>
      <c r="K184" s="31">
        <f t="shared" ref="K184:K189" si="50">INT((ABS(I184)-J184)*60)</f>
        <v>19</v>
      </c>
      <c r="L184" s="31">
        <f t="shared" ref="L184:L189" si="51">INT((((ABS(I184)-J184)*60)-K184)*60)</f>
        <v>26</v>
      </c>
      <c r="M184" s="31">
        <f t="shared" ref="M184:M189" si="52">INT((((((ABS(I184)-J184)*60)-K184)*60)-L184)*60)</f>
        <v>0</v>
      </c>
      <c r="N184" s="24"/>
      <c r="O184" s="24">
        <f>IF(O183&lt;=315,O183+45,360-O183+45)</f>
        <v>75</v>
      </c>
      <c r="T184" s="7" t="s">
        <v>444</v>
      </c>
      <c r="U184" s="7">
        <f>(((20/60)+23)/60)+3</f>
        <v>3.3888888888888888</v>
      </c>
      <c r="V184" s="31">
        <f>INT(ABS(U184))</f>
        <v>3</v>
      </c>
      <c r="W184" s="31">
        <f>INT((ABS(U184)-V184)*60)</f>
        <v>23</v>
      </c>
      <c r="X184" s="31">
        <f>INT((((ABS(U184)-V184)*60)-W184)*60)</f>
        <v>19</v>
      </c>
      <c r="Y184" s="31">
        <f>INT((((((ABS(U184)-V184)*60)-W184)*60)-X184)*60)</f>
        <v>59</v>
      </c>
      <c r="Z184" s="10" t="s">
        <v>444</v>
      </c>
      <c r="AA184" s="10">
        <f>(((13/60)+52)/60)+6</f>
        <v>6.8702777777777779</v>
      </c>
      <c r="AB184" s="31">
        <f t="shared" si="45"/>
        <v>6</v>
      </c>
      <c r="AC184" s="31">
        <f t="shared" si="46"/>
        <v>52</v>
      </c>
      <c r="AD184" s="31">
        <f t="shared" si="47"/>
        <v>13</v>
      </c>
      <c r="AE184" s="31">
        <f t="shared" si="48"/>
        <v>0</v>
      </c>
      <c r="AI184" s="33"/>
      <c r="AJ184" s="33"/>
      <c r="AK184" s="27">
        <f>[2]!atj(AK183)</f>
        <v>-77.086300418855231</v>
      </c>
      <c r="AL184" s="31">
        <f t="shared" si="41"/>
        <v>77</v>
      </c>
      <c r="AM184" s="31">
        <f t="shared" si="42"/>
        <v>5</v>
      </c>
      <c r="AN184" s="31">
        <f t="shared" si="43"/>
        <v>10</v>
      </c>
      <c r="AO184" s="31">
        <f t="shared" si="44"/>
        <v>40</v>
      </c>
      <c r="AR184" s="33"/>
      <c r="AS184" s="27"/>
      <c r="AT184" s="27"/>
      <c r="AU184" s="27"/>
      <c r="AV184" s="27"/>
      <c r="AW184" s="27"/>
      <c r="AX184" s="33"/>
      <c r="AY184" s="33"/>
      <c r="AZ184" s="33"/>
      <c r="BA184" s="27"/>
      <c r="BB184" s="27"/>
      <c r="BC184" s="27"/>
      <c r="BD184" s="27"/>
      <c r="BE184" s="27"/>
      <c r="BF184" s="33"/>
    </row>
    <row r="185" spans="2:58" ht="24.75">
      <c r="B185" s="2" t="s">
        <v>465</v>
      </c>
      <c r="C185" s="2">
        <f>[2]!asn([2]!sn(C184)*[2]!sn(C183)/60)</f>
        <v>0.32143605004643716</v>
      </c>
      <c r="D185" s="31">
        <f>INT(ABS(C185))</f>
        <v>0</v>
      </c>
      <c r="E185" s="31">
        <f>INT((ABS(C185)-D185)*60)</f>
        <v>19</v>
      </c>
      <c r="F185" s="31">
        <f>INT((((ABS(C185)-D185)*60)-E185)*60)</f>
        <v>17</v>
      </c>
      <c r="G185" s="31">
        <f>INT((((((ABS(C185)-D185)*60)-E185)*60)-F185)*60)</f>
        <v>10</v>
      </c>
      <c r="H185" s="4" t="s">
        <v>446</v>
      </c>
      <c r="I185" s="4">
        <f>[2]!asn([2]!sn(I184)*[2]!sn(I183)/60)</f>
        <v>-0.75939550632226038</v>
      </c>
      <c r="J185" s="31">
        <f t="shared" si="49"/>
        <v>0</v>
      </c>
      <c r="K185" s="31">
        <f t="shared" si="50"/>
        <v>45</v>
      </c>
      <c r="L185" s="31">
        <f t="shared" si="51"/>
        <v>33</v>
      </c>
      <c r="M185" s="31">
        <f t="shared" si="52"/>
        <v>49</v>
      </c>
      <c r="N185" s="24" t="s">
        <v>453</v>
      </c>
      <c r="O185" s="24">
        <f>(((9/60)+30)/60)+2</f>
        <v>2.5024999999999999</v>
      </c>
      <c r="P185" s="31">
        <f>INT(ABS(O185))</f>
        <v>2</v>
      </c>
      <c r="Q185" s="31">
        <f>INT((ABS(O185)-P185)*60)</f>
        <v>30</v>
      </c>
      <c r="R185" s="31">
        <f>INT((((ABS(O185)-P185)*60)-Q185)*60)</f>
        <v>8</v>
      </c>
      <c r="S185" s="31">
        <f>INT((((((ABS(O185)-P185)*60)-Q185)*60)-R185)*60)</f>
        <v>59</v>
      </c>
      <c r="T185" s="7" t="s">
        <v>448</v>
      </c>
      <c r="U185" s="7">
        <f>[2]!asn([2]!sn(U184)*[2]!sn(U183)/60)</f>
        <v>-3.301934331340592</v>
      </c>
      <c r="V185" s="31">
        <f>INT(ABS(U185))</f>
        <v>3</v>
      </c>
      <c r="W185" s="31">
        <f>INT((ABS(U185)-V185)*60)</f>
        <v>18</v>
      </c>
      <c r="X185" s="31">
        <f>INT((((ABS(U185)-V185)*60)-W185)*60)</f>
        <v>6</v>
      </c>
      <c r="Y185" s="31">
        <f>INT((((((ABS(U185)-V185)*60)-W185)*60)-X185)*60)</f>
        <v>57</v>
      </c>
      <c r="Z185" s="10" t="s">
        <v>449</v>
      </c>
      <c r="AA185" s="10">
        <f>[2]!asn([2]!sn(AA184)*[2]!sn(AA183)/60)</f>
        <v>-5.100117722377008</v>
      </c>
      <c r="AB185" s="31">
        <f t="shared" si="45"/>
        <v>5</v>
      </c>
      <c r="AC185" s="31">
        <f t="shared" si="46"/>
        <v>6</v>
      </c>
      <c r="AD185" s="31">
        <f t="shared" si="47"/>
        <v>0</v>
      </c>
      <c r="AE185" s="31">
        <f t="shared" si="48"/>
        <v>25</v>
      </c>
      <c r="AI185" s="33"/>
      <c r="AJ185" s="33" t="s">
        <v>846</v>
      </c>
      <c r="AK185" s="27">
        <f>360-((AK181-AK184)*2)</f>
        <v>0.82739916228956645</v>
      </c>
      <c r="AL185" s="31">
        <f t="shared" si="41"/>
        <v>0</v>
      </c>
      <c r="AM185" s="31">
        <f t="shared" si="42"/>
        <v>49</v>
      </c>
      <c r="AN185" s="31">
        <f t="shared" si="43"/>
        <v>38</v>
      </c>
      <c r="AO185" s="31">
        <f t="shared" si="44"/>
        <v>38</v>
      </c>
      <c r="AR185" s="33"/>
      <c r="AS185" s="27"/>
      <c r="AT185" s="27"/>
      <c r="AU185" s="27"/>
      <c r="AV185" s="27"/>
      <c r="AW185" s="27"/>
      <c r="AX185" s="33"/>
      <c r="AY185" s="33"/>
      <c r="AZ185" s="33"/>
      <c r="BA185" s="27"/>
      <c r="BB185" s="27"/>
      <c r="BC185" s="27"/>
      <c r="BD185" s="27"/>
      <c r="BE185" s="27"/>
      <c r="BF185" s="33"/>
    </row>
    <row r="186" spans="2:58" ht="24.75">
      <c r="B186" s="2"/>
      <c r="C186" s="2">
        <f>[2]!acs(60*[2]!csn(C183)/[2]!csn(ABS(C185)))</f>
        <v>170.00511485602578</v>
      </c>
      <c r="D186" s="31">
        <f>INT(ABS(C186))</f>
        <v>170</v>
      </c>
      <c r="E186" s="31">
        <f>INT((ABS(C186)-D186)*60)</f>
        <v>0</v>
      </c>
      <c r="F186" s="31">
        <f>INT((((ABS(C186)-D186)*60)-E186)*60)</f>
        <v>18</v>
      </c>
      <c r="G186" s="31">
        <f>INT((((((ABS(C186)-D186)*60)-E186)*60)-F186)*60)</f>
        <v>24</v>
      </c>
      <c r="H186" s="4"/>
      <c r="I186" s="4">
        <f>[2]!arzmo(I183)</f>
        <v>0.75939550632226038</v>
      </c>
      <c r="J186" s="31">
        <f t="shared" si="49"/>
        <v>0</v>
      </c>
      <c r="K186" s="31">
        <f t="shared" si="50"/>
        <v>45</v>
      </c>
      <c r="L186" s="31">
        <f t="shared" si="51"/>
        <v>33</v>
      </c>
      <c r="M186" s="31">
        <f t="shared" si="52"/>
        <v>49</v>
      </c>
      <c r="N186" s="24" t="s">
        <v>454</v>
      </c>
      <c r="O186" s="24">
        <f>(((40/60)+33)/60)+2</f>
        <v>2.5611111111111109</v>
      </c>
      <c r="P186" s="31">
        <f>INT(ABS(O186))</f>
        <v>2</v>
      </c>
      <c r="Q186" s="31">
        <f>INT((ABS(O186)-P186)*60)</f>
        <v>33</v>
      </c>
      <c r="R186" s="31">
        <f>INT((((ABS(O186)-P186)*60)-Q186)*60)</f>
        <v>39</v>
      </c>
      <c r="S186" s="31">
        <f>INT((((((ABS(O186)-P186)*60)-Q186)*60)-R186)*60)</f>
        <v>59</v>
      </c>
      <c r="T186" s="7"/>
      <c r="U186" s="7">
        <f>[2]!arzzr(U183)</f>
        <v>3.301934331340592</v>
      </c>
      <c r="Z186" s="10"/>
      <c r="AA186" s="10">
        <f>[2]!acs(60*[2]!csn(AA183)/[2]!csn(ABS(AA185)))</f>
        <v>132.20539206390623</v>
      </c>
      <c r="AB186" s="31">
        <f t="shared" si="45"/>
        <v>132</v>
      </c>
      <c r="AC186" s="31">
        <f t="shared" si="46"/>
        <v>12</v>
      </c>
      <c r="AD186" s="31">
        <f t="shared" si="47"/>
        <v>19</v>
      </c>
      <c r="AE186" s="31">
        <f t="shared" si="48"/>
        <v>24</v>
      </c>
      <c r="AI186" s="33"/>
      <c r="AJ186" s="33" t="s">
        <v>847</v>
      </c>
      <c r="AK186" s="27" t="e">
        <f>[2]!tash(AK174,0)</f>
        <v>#VALUE!</v>
      </c>
      <c r="AL186" s="31" t="e">
        <f t="shared" si="41"/>
        <v>#VALUE!</v>
      </c>
      <c r="AM186" s="31" t="e">
        <f t="shared" si="42"/>
        <v>#VALUE!</v>
      </c>
      <c r="AN186" s="31" t="e">
        <f t="shared" si="43"/>
        <v>#VALUE!</v>
      </c>
      <c r="AO186" s="31" t="e">
        <f t="shared" si="44"/>
        <v>#VALUE!</v>
      </c>
      <c r="AR186" s="33"/>
      <c r="AS186" s="27"/>
      <c r="AT186" s="27"/>
      <c r="AU186" s="27"/>
      <c r="AV186" s="27"/>
      <c r="AW186" s="27"/>
      <c r="AX186" s="33"/>
      <c r="AY186" s="33"/>
      <c r="AZ186" s="33"/>
      <c r="BA186" s="27"/>
      <c r="BB186" s="27"/>
      <c r="BC186" s="27"/>
      <c r="BD186" s="27"/>
      <c r="BE186" s="27"/>
      <c r="BF186" s="33"/>
    </row>
    <row r="187" spans="2:58" ht="24.75">
      <c r="B187" s="2"/>
      <c r="C187" s="2"/>
      <c r="H187" s="4"/>
      <c r="I187" s="4">
        <f>[2]!acs(60*[2]!csn(I183)/[2]!csn(ABS(I185)))</f>
        <v>34.997535172130618</v>
      </c>
      <c r="J187" s="31">
        <f t="shared" si="49"/>
        <v>34</v>
      </c>
      <c r="K187" s="31">
        <f t="shared" si="50"/>
        <v>59</v>
      </c>
      <c r="L187" s="31">
        <f t="shared" si="51"/>
        <v>51</v>
      </c>
      <c r="M187" s="31">
        <f t="shared" si="52"/>
        <v>7</v>
      </c>
      <c r="N187" s="24" t="s">
        <v>705</v>
      </c>
      <c r="O187" s="24">
        <f>IF(O183&lt;=180,[2]!asn([2]!sn(O185)*[2]!sn(O183)/60),[2]!asn([2]!sn(O186)*[2]!sn(O183)/60))</f>
        <v>1.2509515931594366</v>
      </c>
      <c r="P187" s="31">
        <f>INT(ABS(O187))</f>
        <v>1</v>
      </c>
      <c r="Q187" s="31">
        <f>INT((ABS(O187)-P187)*60)</f>
        <v>15</v>
      </c>
      <c r="R187" s="31">
        <f>INT((((ABS(O187)-P187)*60)-Q187)*60)</f>
        <v>3</v>
      </c>
      <c r="S187" s="31">
        <f>INT((((((ABS(O187)-P187)*60)-Q187)*60)-R187)*60)</f>
        <v>25</v>
      </c>
      <c r="T187" s="7"/>
      <c r="U187" s="7">
        <f>[2]!acs(60*[2]!csn(U183)/[2]!csn(ABS(U185)))</f>
        <v>103.02199727967809</v>
      </c>
      <c r="Z187" s="10"/>
      <c r="AA187" s="10">
        <f>[2]!arzota(AA183)</f>
        <v>5.100117722377008</v>
      </c>
      <c r="AI187" s="33"/>
      <c r="AJ187" s="33"/>
      <c r="AK187" s="33"/>
      <c r="AL187" s="33"/>
      <c r="AM187" s="33"/>
      <c r="AN187" s="33"/>
      <c r="AR187" s="33"/>
      <c r="AS187" s="33"/>
      <c r="AT187" s="33"/>
      <c r="AU187" s="33"/>
      <c r="AV187" s="33"/>
      <c r="AW187" s="33"/>
      <c r="AX187" s="33"/>
      <c r="AY187" s="33"/>
      <c r="AZ187" s="33"/>
      <c r="BA187" s="33"/>
      <c r="BB187" s="33"/>
      <c r="BC187" s="33"/>
      <c r="BD187" s="33"/>
      <c r="BE187" s="33"/>
      <c r="BF187" s="33"/>
    </row>
    <row r="188" spans="2:58" ht="24.75">
      <c r="B188" s="2" t="s">
        <v>450</v>
      </c>
      <c r="C188" s="2">
        <f>IF(C183&lt;180,C186-C183,360-C186-C183)</f>
        <v>5.1148560257843201E-3</v>
      </c>
      <c r="D188" s="31">
        <f>INT(ABS(C188))</f>
        <v>0</v>
      </c>
      <c r="E188" s="31">
        <f>INT((ABS(C188)-D188)*60)</f>
        <v>0</v>
      </c>
      <c r="F188" s="31">
        <f>INT((((ABS(C188)-D188)*60)-E188)*60)</f>
        <v>18</v>
      </c>
      <c r="G188" s="31">
        <f>INT((((((ABS(C188)-D188)*60)-E188)*60)-F188)*60)</f>
        <v>24</v>
      </c>
      <c r="H188" s="4" t="s">
        <v>445</v>
      </c>
      <c r="I188" s="4">
        <f>IF(I183&lt;180,I187-I183,360-I187-I183)</f>
        <v>7.1870578694301912E-3</v>
      </c>
      <c r="J188" s="31">
        <f t="shared" si="49"/>
        <v>0</v>
      </c>
      <c r="K188" s="31">
        <f t="shared" si="50"/>
        <v>0</v>
      </c>
      <c r="L188" s="31">
        <f t="shared" si="51"/>
        <v>25</v>
      </c>
      <c r="M188" s="31">
        <f t="shared" si="52"/>
        <v>52</v>
      </c>
      <c r="N188" s="24"/>
      <c r="O188" s="24">
        <f>[2]!acs(60*[2]!csn(O184)/[2]!csn(ABS(O187)))</f>
        <v>74.996340086522679</v>
      </c>
      <c r="T188" s="7" t="s">
        <v>451</v>
      </c>
      <c r="U188" s="7">
        <f>IF(U183&lt;180,U187-U183,360-U187-U183)</f>
        <v>-2.1997279678089399E-2</v>
      </c>
      <c r="V188" s="31">
        <f>INT(ABS(U188))</f>
        <v>0</v>
      </c>
      <c r="W188" s="31">
        <f>INT((ABS(U188)-V188)*60)</f>
        <v>1</v>
      </c>
      <c r="X188" s="31">
        <f>INT((((ABS(U188)-V188)*60)-W188)*60)</f>
        <v>19</v>
      </c>
      <c r="Y188" s="31">
        <f>INT((((((ABS(U188)-V188)*60)-W188)*60)-X188)*60)</f>
        <v>11</v>
      </c>
      <c r="Z188" s="10" t="s">
        <v>452</v>
      </c>
      <c r="AA188" s="10">
        <f>IF(AA183&lt;180,AA186-AA183,360-AA186-AA183)</f>
        <v>-0.20539206390623121</v>
      </c>
      <c r="AB188" s="31">
        <f>INT(ABS(AA188))</f>
        <v>0</v>
      </c>
      <c r="AC188" s="31">
        <f>INT((ABS(AA188)-AB188)*60)</f>
        <v>12</v>
      </c>
      <c r="AD188" s="31">
        <f>INT((((ABS(AA188)-AB188)*60)-AC188)*60)</f>
        <v>19</v>
      </c>
      <c r="AE188" s="31">
        <f>INT((((((ABS(AA188)-AB188)*60)-AC188)*60)-AD188)*60)</f>
        <v>24</v>
      </c>
      <c r="AI188" s="33"/>
      <c r="AJ188" s="33"/>
      <c r="AK188" s="27"/>
      <c r="AL188" s="27"/>
      <c r="AM188" s="27"/>
      <c r="AN188" s="27"/>
    </row>
    <row r="189" spans="2:58" ht="24.75">
      <c r="B189" s="33"/>
      <c r="H189" s="4"/>
      <c r="I189" s="4">
        <f>[2]!tmosh2(I183)</f>
        <v>7.1870578694088749E-3</v>
      </c>
      <c r="J189" s="31">
        <f t="shared" si="49"/>
        <v>0</v>
      </c>
      <c r="K189" s="31">
        <f t="shared" si="50"/>
        <v>0</v>
      </c>
      <c r="L189" s="31">
        <f t="shared" si="51"/>
        <v>25</v>
      </c>
      <c r="M189" s="31">
        <f t="shared" si="52"/>
        <v>52</v>
      </c>
      <c r="N189" s="24" t="s">
        <v>455</v>
      </c>
      <c r="O189" s="24">
        <f>IF(O184&lt;180,O188-O184,360-O188-O184)</f>
        <v>-3.6599134773211972E-3</v>
      </c>
      <c r="P189" s="31">
        <f>INT(ABS(O189))</f>
        <v>0</v>
      </c>
      <c r="Q189" s="31">
        <f>INT((ABS(O189)-P189)*60)</f>
        <v>0</v>
      </c>
      <c r="R189" s="31">
        <f>INT((((ABS(O189)-P189)*60)-Q189)*60)</f>
        <v>13</v>
      </c>
      <c r="S189" s="31">
        <f>INT((((((ABS(O189)-P189)*60)-Q189)*60)-R189)*60)</f>
        <v>10</v>
      </c>
      <c r="T189" s="7"/>
      <c r="U189" s="7">
        <f>[2]!tzohre2(U183)</f>
        <v>-2.1997279678089399E-2</v>
      </c>
      <c r="AA189">
        <f>[2]!tota2(AA183)</f>
        <v>-0.20539206390623121</v>
      </c>
      <c r="AI189" s="33"/>
      <c r="AJ189" s="33"/>
      <c r="AK189" s="33"/>
      <c r="AL189" s="33"/>
      <c r="AM189" s="33"/>
      <c r="AN189" s="33"/>
    </row>
    <row r="192" spans="2:58">
      <c r="B192" s="30" t="s">
        <v>456</v>
      </c>
      <c r="C192" s="30">
        <v>10</v>
      </c>
    </row>
    <row r="193" spans="1:43">
      <c r="B193" s="30" t="s">
        <v>457</v>
      </c>
      <c r="C193" s="30">
        <v>12</v>
      </c>
    </row>
    <row r="194" spans="1:43">
      <c r="B194" s="30" t="s">
        <v>459</v>
      </c>
      <c r="C194" s="30">
        <v>30</v>
      </c>
    </row>
    <row r="195" spans="1:43">
      <c r="B195" s="30" t="s">
        <v>378</v>
      </c>
      <c r="C195" s="30">
        <v>5</v>
      </c>
    </row>
    <row r="196" spans="1:43">
      <c r="B196" s="30" t="s">
        <v>458</v>
      </c>
      <c r="C196" s="30">
        <f>C194-C195</f>
        <v>25</v>
      </c>
    </row>
    <row r="197" spans="1:43">
      <c r="B197" s="30" t="s">
        <v>430</v>
      </c>
      <c r="C197" s="30">
        <v>90</v>
      </c>
    </row>
    <row r="198" spans="1:43">
      <c r="B198" s="30" t="s">
        <v>460</v>
      </c>
      <c r="C198" s="30" t="e">
        <f ca="1">[4]!sn(C196)*C193/[4]!sn(C197)</f>
        <v>#NAME?</v>
      </c>
    </row>
    <row r="199" spans="1:43">
      <c r="B199" s="30" t="s">
        <v>461</v>
      </c>
      <c r="C199" s="30" t="e">
        <f ca="1">SQRT(POWER(C193,2)-POWER(C198,2))</f>
        <v>#NAME?</v>
      </c>
    </row>
    <row r="200" spans="1:43">
      <c r="B200" s="30" t="s">
        <v>462</v>
      </c>
      <c r="C200" s="30" t="e">
        <f ca="1">C192-C199</f>
        <v>#NAME?</v>
      </c>
    </row>
    <row r="201" spans="1:43">
      <c r="B201" s="30" t="s">
        <v>463</v>
      </c>
      <c r="C201" s="30" t="e">
        <f ca="1">SQRT(POWER(C198,2)+POWER(C200,2))</f>
        <v>#NAME?</v>
      </c>
    </row>
    <row r="202" spans="1:43">
      <c r="B202" s="30" t="s">
        <v>464</v>
      </c>
      <c r="C202" s="30" t="e">
        <f ca="1">[4]!asn(60*C198/C201)</f>
        <v>#NAME?</v>
      </c>
    </row>
    <row r="205" spans="1:43">
      <c r="B205" s="7" t="s">
        <v>474</v>
      </c>
      <c r="C205" s="30"/>
      <c r="H205" s="33"/>
      <c r="J205" s="7" t="s">
        <v>668</v>
      </c>
      <c r="K205" s="30"/>
      <c r="Q205" s="7" t="s">
        <v>677</v>
      </c>
      <c r="R205" s="30"/>
      <c r="X205" s="7" t="s">
        <v>670</v>
      </c>
      <c r="Y205" s="30"/>
      <c r="AE205" s="7" t="s">
        <v>671</v>
      </c>
      <c r="AF205" s="30"/>
    </row>
    <row r="206" spans="1:43" ht="24.75">
      <c r="B206" s="30" t="s">
        <v>471</v>
      </c>
      <c r="C206" s="2">
        <v>140</v>
      </c>
      <c r="D206" s="31">
        <f t="shared" ref="D206:D214" si="53">INT(ABS(C206))</f>
        <v>140</v>
      </c>
      <c r="E206" s="31">
        <f>INT((ABS(C206)-D206)*60)</f>
        <v>0</v>
      </c>
      <c r="F206" s="31">
        <f>INT((((ABS(C206)-D206)*60)-E206)*60)</f>
        <v>0</v>
      </c>
      <c r="G206" s="31">
        <f>INT((((((ABS(C206)-D206)*60)-E206)*60)-F206)*60)</f>
        <v>0</v>
      </c>
      <c r="H206" s="33"/>
      <c r="J206" s="30" t="s">
        <v>471</v>
      </c>
      <c r="K206" s="39">
        <f>((((((((P206)/60)+O206)/60)+N206)/60)+M206)/60)+L206</f>
        <v>122.30861111111111</v>
      </c>
      <c r="L206" s="31">
        <v>122</v>
      </c>
      <c r="M206" s="31">
        <v>18</v>
      </c>
      <c r="N206" s="31">
        <v>31</v>
      </c>
      <c r="O206" s="31">
        <v>0</v>
      </c>
      <c r="Q206" s="30" t="s">
        <v>471</v>
      </c>
      <c r="R206" s="2">
        <v>50</v>
      </c>
      <c r="S206" s="31">
        <f t="shared" ref="S206:S214" si="54">INT(ABS(R206))</f>
        <v>50</v>
      </c>
      <c r="T206" s="31">
        <f t="shared" ref="T206:T214" si="55">INT((ABS(R206)-S206)*60)</f>
        <v>0</v>
      </c>
      <c r="U206" s="31">
        <f t="shared" ref="U206:U214" si="56">INT((((ABS(R206)-S206)*60)-T206)*60)</f>
        <v>0</v>
      </c>
      <c r="V206" s="31">
        <f t="shared" ref="V206:V214" si="57">INT((((((ABS(R206)-S206)*60)-T206)*60)-U206)*60)</f>
        <v>0</v>
      </c>
      <c r="X206" s="30" t="s">
        <v>471</v>
      </c>
      <c r="Y206" s="2">
        <v>345</v>
      </c>
      <c r="Z206" s="31">
        <f t="shared" ref="Z206:Z214" si="58">INT(ABS(Y206))</f>
        <v>345</v>
      </c>
      <c r="AA206" s="31">
        <f t="shared" ref="AA206:AA214" si="59">INT((ABS(Y206)-Z206)*60)</f>
        <v>0</v>
      </c>
      <c r="AB206" s="31">
        <f t="shared" ref="AB206:AB214" si="60">INT((((ABS(Y206)-Z206)*60)-AA206)*60)</f>
        <v>0</v>
      </c>
      <c r="AC206" s="31">
        <f t="shared" ref="AC206:AC214" si="61">INT((((((ABS(Y206)-Z206)*60)-AA206)*60)-AB206)*60)</f>
        <v>0</v>
      </c>
      <c r="AE206" s="30" t="s">
        <v>471</v>
      </c>
      <c r="AF206" s="2">
        <v>80</v>
      </c>
      <c r="AG206" s="31">
        <f t="shared" ref="AG206:AG214" si="62">INT(ABS(AF206))</f>
        <v>80</v>
      </c>
      <c r="AH206" s="31">
        <f t="shared" ref="AH206:AH214" si="63">INT((ABS(AF206)-AG206)*60)</f>
        <v>0</v>
      </c>
      <c r="AI206" s="31">
        <f t="shared" ref="AI206:AI214" si="64">INT((((ABS(AF206)-AG206)*60)-AH206)*60)</f>
        <v>0</v>
      </c>
      <c r="AJ206" s="31">
        <f t="shared" ref="AJ206:AJ214" si="65">INT((((((ABS(AF206)-AG206)*60)-AH206)*60)-AI206)*60)</f>
        <v>0</v>
      </c>
    </row>
    <row r="207" spans="1:43" ht="24.75">
      <c r="A207" t="s">
        <v>680</v>
      </c>
      <c r="B207" s="30" t="s">
        <v>472</v>
      </c>
      <c r="C207" s="30">
        <v>10.675000000000001</v>
      </c>
      <c r="D207" s="31">
        <v>10</v>
      </c>
      <c r="E207" s="31">
        <v>40</v>
      </c>
      <c r="F207" s="31">
        <v>30</v>
      </c>
      <c r="G207" s="31">
        <f t="shared" ref="G207:G214" si="66">INT((((((ABS(C207)-D207)*60)-E207)*60)-F207)*60)</f>
        <v>0</v>
      </c>
      <c r="H207" s="33"/>
      <c r="I207" t="s">
        <v>681</v>
      </c>
      <c r="J207" s="30" t="s">
        <v>472</v>
      </c>
      <c r="K207" s="30">
        <f>(((59 / 60) + 36) / 60) + 5</f>
        <v>5.6163888888888884</v>
      </c>
      <c r="L207" s="31">
        <f t="shared" ref="L207:L214" si="67">INT(ABS(K207))</f>
        <v>5</v>
      </c>
      <c r="M207" s="31">
        <f t="shared" ref="M207:M214" si="68">INT((ABS(K207)-L207)*60)</f>
        <v>36</v>
      </c>
      <c r="N207" s="31">
        <f t="shared" ref="N207:N214" si="69">INT((((ABS(K207)-L207)*60)-M207)*60)</f>
        <v>58</v>
      </c>
      <c r="O207" s="31">
        <f t="shared" ref="O207:O214" si="70">INT((((((ABS(K207)-L207)*60)-M207)*60)-N207)*60)</f>
        <v>59</v>
      </c>
      <c r="P207" t="s">
        <v>676</v>
      </c>
      <c r="Q207" s="30" t="s">
        <v>472</v>
      </c>
      <c r="R207" s="30">
        <f>(((51 / 60) + 29) / 60) + 6</f>
        <v>6.4974999999999996</v>
      </c>
      <c r="S207" s="31">
        <f t="shared" si="54"/>
        <v>6</v>
      </c>
      <c r="T207" s="31">
        <f t="shared" si="55"/>
        <v>29</v>
      </c>
      <c r="U207" s="31">
        <f t="shared" si="56"/>
        <v>50</v>
      </c>
      <c r="V207" s="31">
        <f t="shared" si="57"/>
        <v>59</v>
      </c>
      <c r="W207" t="s">
        <v>679</v>
      </c>
      <c r="X207" s="30" t="s">
        <v>472</v>
      </c>
      <c r="Y207" s="30">
        <f>(((16 / 60) + 50) / 60) + 0</f>
        <v>0.83777777777777773</v>
      </c>
      <c r="Z207" s="31">
        <f t="shared" si="58"/>
        <v>0</v>
      </c>
      <c r="AA207" s="31">
        <f t="shared" si="59"/>
        <v>50</v>
      </c>
      <c r="AB207" s="31">
        <f t="shared" si="60"/>
        <v>15</v>
      </c>
      <c r="AC207" s="31">
        <f t="shared" si="61"/>
        <v>59</v>
      </c>
      <c r="AD207" t="s">
        <v>676</v>
      </c>
      <c r="AE207" s="30" t="s">
        <v>472</v>
      </c>
      <c r="AF207" s="30">
        <f>(((34 / 60) + 16) / 60) + 24</f>
        <v>24.27611111111111</v>
      </c>
      <c r="AG207" s="31">
        <f t="shared" si="62"/>
        <v>24</v>
      </c>
      <c r="AH207" s="31">
        <f t="shared" si="63"/>
        <v>16</v>
      </c>
      <c r="AI207" s="31">
        <f t="shared" si="64"/>
        <v>33</v>
      </c>
      <c r="AJ207" s="31">
        <f t="shared" si="65"/>
        <v>59</v>
      </c>
      <c r="AL207">
        <v>183</v>
      </c>
      <c r="AM207" t="e">
        <f>[2]!bshams(AL207,AK207)</f>
        <v>#VALUE!</v>
      </c>
      <c r="AN207" s="31" t="e">
        <f>INT(ABS(AM207))</f>
        <v>#VALUE!</v>
      </c>
      <c r="AO207" s="31" t="e">
        <f>INT((ABS(AM207)-AN207)*60)</f>
        <v>#VALUE!</v>
      </c>
      <c r="AP207" s="31" t="e">
        <f>INT((((ABS(AM207)-AN207)*60)-AO207)*60)</f>
        <v>#VALUE!</v>
      </c>
      <c r="AQ207" s="31" t="e">
        <f>INT((((((ABS(AM207)-AN207)*60)-AO207)*60)-AP207)*60)</f>
        <v>#VALUE!</v>
      </c>
    </row>
    <row r="208" spans="1:43" ht="24.75">
      <c r="A208" t="s">
        <v>341</v>
      </c>
      <c r="B208" s="30"/>
      <c r="C208" s="30">
        <f>183*[2]!sn(C207)/120</f>
        <v>16.949263458982021</v>
      </c>
      <c r="D208" s="31">
        <f t="shared" si="53"/>
        <v>16</v>
      </c>
      <c r="E208" s="31">
        <f t="shared" ref="E208:E214" si="71">INT((ABS(C208)-D208)*60)</f>
        <v>56</v>
      </c>
      <c r="F208" s="31">
        <f t="shared" ref="F208:F214" si="72">INT((((ABS(C208)-D208)*60)-E208)*60)</f>
        <v>57</v>
      </c>
      <c r="G208" s="31">
        <f t="shared" si="66"/>
        <v>20</v>
      </c>
      <c r="H208" s="33"/>
      <c r="I208" t="s">
        <v>341</v>
      </c>
      <c r="J208" s="30"/>
      <c r="K208" s="30">
        <f>((((7 / 60) + 5) / 60) + 625)*[2]!sn(K207)/120</f>
        <v>30.587788802036485</v>
      </c>
      <c r="L208" s="31">
        <f t="shared" si="67"/>
        <v>30</v>
      </c>
      <c r="M208" s="31">
        <f t="shared" si="68"/>
        <v>35</v>
      </c>
      <c r="N208" s="31">
        <f t="shared" si="69"/>
        <v>16</v>
      </c>
      <c r="O208" s="31">
        <f t="shared" si="70"/>
        <v>2</v>
      </c>
      <c r="Q208" s="30"/>
      <c r="R208" s="30">
        <f>((((40 / 60) + 11) / 60) + 1141)*[2]!sn(R207)/120</f>
        <v>64.568702302052088</v>
      </c>
      <c r="S208" s="31">
        <f t="shared" si="54"/>
        <v>64</v>
      </c>
      <c r="T208" s="31">
        <f t="shared" si="55"/>
        <v>34</v>
      </c>
      <c r="U208" s="31">
        <f t="shared" si="56"/>
        <v>7</v>
      </c>
      <c r="V208" s="31">
        <f t="shared" si="57"/>
        <v>19</v>
      </c>
      <c r="X208" s="30"/>
      <c r="Y208" s="30">
        <f>((((51 / 60) + 46) / 60) + 86)*[2]!sn(Y207)/120</f>
        <v>0.63443122398371632</v>
      </c>
      <c r="Z208" s="31">
        <f t="shared" si="58"/>
        <v>0</v>
      </c>
      <c r="AA208" s="31">
        <f t="shared" si="59"/>
        <v>38</v>
      </c>
      <c r="AB208" s="31">
        <f t="shared" si="60"/>
        <v>3</v>
      </c>
      <c r="AC208" s="31">
        <f t="shared" si="61"/>
        <v>57</v>
      </c>
      <c r="AE208" s="30"/>
      <c r="AF208" s="30">
        <f>((((36 / 60) + 32) / 60) + 46)*[2]!sn(AF207)/120</f>
        <v>9.5677809102814209</v>
      </c>
      <c r="AG208" s="31">
        <f t="shared" si="62"/>
        <v>9</v>
      </c>
      <c r="AH208" s="31">
        <f t="shared" si="63"/>
        <v>34</v>
      </c>
      <c r="AI208" s="31">
        <f t="shared" si="64"/>
        <v>4</v>
      </c>
      <c r="AJ208" s="31">
        <f t="shared" si="65"/>
        <v>0</v>
      </c>
    </row>
    <row r="209" spans="1:36" ht="24.75">
      <c r="A209" t="s">
        <v>333</v>
      </c>
      <c r="B209" s="30" t="s">
        <v>467</v>
      </c>
      <c r="C209" s="30">
        <f>[2]!sn(C206)*C208/60</f>
        <v>10.894776544746462</v>
      </c>
      <c r="D209" s="31">
        <f t="shared" si="53"/>
        <v>10</v>
      </c>
      <c r="E209" s="31">
        <f t="shared" si="71"/>
        <v>53</v>
      </c>
      <c r="F209" s="31">
        <f t="shared" si="72"/>
        <v>41</v>
      </c>
      <c r="G209" s="31">
        <f t="shared" si="66"/>
        <v>11</v>
      </c>
      <c r="H209" s="33"/>
      <c r="I209" t="s">
        <v>333</v>
      </c>
      <c r="J209" s="30" t="s">
        <v>467</v>
      </c>
      <c r="K209" s="30">
        <f>[2]!sn(K206)*K208/60</f>
        <v>25.852233669919276</v>
      </c>
      <c r="L209" s="31">
        <f t="shared" si="67"/>
        <v>25</v>
      </c>
      <c r="M209" s="31">
        <f t="shared" si="68"/>
        <v>51</v>
      </c>
      <c r="N209" s="31">
        <f t="shared" si="69"/>
        <v>8</v>
      </c>
      <c r="O209" s="31">
        <f t="shared" si="70"/>
        <v>2</v>
      </c>
      <c r="Q209" s="30" t="s">
        <v>467</v>
      </c>
      <c r="R209" s="30">
        <f>[2]!sn(R206)*R208/60</f>
        <v>49.462495597890559</v>
      </c>
      <c r="S209" s="31">
        <f t="shared" si="54"/>
        <v>49</v>
      </c>
      <c r="T209" s="31">
        <f t="shared" si="55"/>
        <v>27</v>
      </c>
      <c r="U209" s="31">
        <f t="shared" si="56"/>
        <v>44</v>
      </c>
      <c r="V209" s="31">
        <f t="shared" si="57"/>
        <v>59</v>
      </c>
      <c r="X209" s="30" t="s">
        <v>467</v>
      </c>
      <c r="Y209" s="30">
        <f>[2]!sn(Y206)*Y208/60</f>
        <v>-0.16420288357468887</v>
      </c>
      <c r="Z209" s="31">
        <f t="shared" si="58"/>
        <v>0</v>
      </c>
      <c r="AA209" s="31">
        <f t="shared" si="59"/>
        <v>9</v>
      </c>
      <c r="AB209" s="31">
        <f t="shared" si="60"/>
        <v>51</v>
      </c>
      <c r="AC209" s="31">
        <f t="shared" si="61"/>
        <v>7</v>
      </c>
      <c r="AE209" s="30" t="s">
        <v>467</v>
      </c>
      <c r="AF209" s="30">
        <f>[2]!sn(AF206)*AF208/60</f>
        <v>9.422424819567345</v>
      </c>
      <c r="AG209" s="31">
        <f t="shared" si="62"/>
        <v>9</v>
      </c>
      <c r="AH209" s="31">
        <f t="shared" si="63"/>
        <v>25</v>
      </c>
      <c r="AI209" s="31">
        <f t="shared" si="64"/>
        <v>20</v>
      </c>
      <c r="AJ209" s="31">
        <f t="shared" si="65"/>
        <v>43</v>
      </c>
    </row>
    <row r="210" spans="1:36" ht="24.75">
      <c r="A210" t="s">
        <v>342</v>
      </c>
      <c r="B210" s="30" t="s">
        <v>468</v>
      </c>
      <c r="C210" s="30">
        <f>[2]!csn(C206)*C208/60</f>
        <v>-12.983889087712722</v>
      </c>
      <c r="D210" s="31">
        <f t="shared" si="53"/>
        <v>12</v>
      </c>
      <c r="E210" s="31">
        <f t="shared" si="71"/>
        <v>59</v>
      </c>
      <c r="F210" s="31">
        <f t="shared" si="72"/>
        <v>2</v>
      </c>
      <c r="G210" s="31">
        <f t="shared" si="66"/>
        <v>0</v>
      </c>
      <c r="H210" s="33"/>
      <c r="I210" t="s">
        <v>342</v>
      </c>
      <c r="J210" s="30" t="s">
        <v>468</v>
      </c>
      <c r="K210" s="30">
        <f>[2]!csn(K206)*K208/60</f>
        <v>-16.34854238376867</v>
      </c>
      <c r="L210" s="31">
        <f t="shared" si="67"/>
        <v>16</v>
      </c>
      <c r="M210" s="31">
        <f t="shared" si="68"/>
        <v>20</v>
      </c>
      <c r="N210" s="31">
        <f t="shared" si="69"/>
        <v>54</v>
      </c>
      <c r="O210" s="31">
        <f t="shared" si="70"/>
        <v>45</v>
      </c>
      <c r="Q210" s="30" t="s">
        <v>468</v>
      </c>
      <c r="R210" s="30">
        <f>[2]!csn(R206)*R208/60</f>
        <v>41.503961813297813</v>
      </c>
      <c r="S210" s="31">
        <f t="shared" si="54"/>
        <v>41</v>
      </c>
      <c r="T210" s="31">
        <f t="shared" si="55"/>
        <v>30</v>
      </c>
      <c r="U210" s="31">
        <f t="shared" si="56"/>
        <v>14</v>
      </c>
      <c r="V210" s="31">
        <f t="shared" si="57"/>
        <v>15</v>
      </c>
      <c r="X210" s="30" t="s">
        <v>468</v>
      </c>
      <c r="Y210" s="30">
        <f>[2]!csn(Y206)*Y208/60</f>
        <v>0.61281350425005621</v>
      </c>
      <c r="Z210" s="31">
        <f t="shared" si="58"/>
        <v>0</v>
      </c>
      <c r="AA210" s="31">
        <f t="shared" si="59"/>
        <v>36</v>
      </c>
      <c r="AB210" s="31">
        <f t="shared" si="60"/>
        <v>46</v>
      </c>
      <c r="AC210" s="31">
        <f t="shared" si="61"/>
        <v>7</v>
      </c>
      <c r="AE210" s="30" t="s">
        <v>468</v>
      </c>
      <c r="AF210" s="30">
        <f>[2]!csn(AF206)*AF208/60</f>
        <v>1.6614277193868134</v>
      </c>
      <c r="AG210" s="31">
        <f t="shared" si="62"/>
        <v>1</v>
      </c>
      <c r="AH210" s="31">
        <f t="shared" si="63"/>
        <v>39</v>
      </c>
      <c r="AI210" s="31">
        <f t="shared" si="64"/>
        <v>41</v>
      </c>
      <c r="AJ210" s="31">
        <f t="shared" si="65"/>
        <v>8</v>
      </c>
    </row>
    <row r="211" spans="1:36" ht="24.75">
      <c r="A211" t="s">
        <v>343</v>
      </c>
      <c r="B211" s="30" t="s">
        <v>672</v>
      </c>
      <c r="C211" s="30">
        <f>(((36/60)+49)/60)+182</f>
        <v>182.82666666666665</v>
      </c>
      <c r="D211" s="31">
        <f t="shared" si="53"/>
        <v>182</v>
      </c>
      <c r="E211" s="31">
        <f t="shared" si="71"/>
        <v>49</v>
      </c>
      <c r="F211" s="31">
        <f t="shared" si="72"/>
        <v>35</v>
      </c>
      <c r="G211" s="31">
        <f t="shared" si="66"/>
        <v>59</v>
      </c>
      <c r="H211" s="33"/>
      <c r="I211" t="s">
        <v>343</v>
      </c>
      <c r="J211" s="30" t="s">
        <v>675</v>
      </c>
      <c r="K211" s="30">
        <f>(((7 / 60) + 5) / 60) + 625</f>
        <v>625.08527777777783</v>
      </c>
      <c r="L211" s="31">
        <f t="shared" si="67"/>
        <v>625</v>
      </c>
      <c r="M211" s="31">
        <f t="shared" si="68"/>
        <v>5</v>
      </c>
      <c r="N211" s="31">
        <f t="shared" si="69"/>
        <v>7</v>
      </c>
      <c r="O211" s="31">
        <f t="shared" si="70"/>
        <v>0</v>
      </c>
      <c r="Q211" s="30" t="s">
        <v>675</v>
      </c>
      <c r="R211" s="30">
        <f>(((40 / 60) + 11) / 60) + 1141</f>
        <v>1141.1944444444443</v>
      </c>
      <c r="S211" s="31">
        <f t="shared" si="54"/>
        <v>1141</v>
      </c>
      <c r="T211" s="31">
        <f t="shared" si="55"/>
        <v>11</v>
      </c>
      <c r="U211" s="31">
        <f t="shared" si="56"/>
        <v>39</v>
      </c>
      <c r="V211" s="31">
        <f t="shared" si="57"/>
        <v>59</v>
      </c>
      <c r="X211" s="30" t="s">
        <v>675</v>
      </c>
      <c r="Y211" s="30">
        <f>(((51 / 60) + 46) / 60) + 86</f>
        <v>86.780833333333334</v>
      </c>
      <c r="Z211" s="31">
        <f t="shared" si="58"/>
        <v>86</v>
      </c>
      <c r="AA211" s="31">
        <f t="shared" si="59"/>
        <v>46</v>
      </c>
      <c r="AB211" s="31">
        <f t="shared" si="60"/>
        <v>51</v>
      </c>
      <c r="AC211" s="31">
        <f t="shared" si="61"/>
        <v>0</v>
      </c>
      <c r="AE211" s="30" t="s">
        <v>675</v>
      </c>
      <c r="AF211" s="30">
        <f>AF218</f>
        <v>46.56</v>
      </c>
      <c r="AG211" s="31">
        <f t="shared" si="62"/>
        <v>46</v>
      </c>
      <c r="AH211" s="31">
        <f t="shared" si="63"/>
        <v>33</v>
      </c>
      <c r="AI211" s="31">
        <f t="shared" si="64"/>
        <v>36</v>
      </c>
      <c r="AJ211" s="31">
        <f t="shared" si="65"/>
        <v>0</v>
      </c>
    </row>
    <row r="212" spans="1:36" ht="24.75">
      <c r="A212" t="s">
        <v>344</v>
      </c>
      <c r="B212" s="30" t="s">
        <v>469</v>
      </c>
      <c r="C212" s="30">
        <f>C211-C210</f>
        <v>195.81055575437938</v>
      </c>
      <c r="D212" s="31">
        <f t="shared" si="53"/>
        <v>195</v>
      </c>
      <c r="E212" s="31">
        <f t="shared" si="71"/>
        <v>48</v>
      </c>
      <c r="F212" s="31">
        <f t="shared" si="72"/>
        <v>38</v>
      </c>
      <c r="G212" s="31">
        <f t="shared" si="66"/>
        <v>0</v>
      </c>
      <c r="H212" s="33"/>
      <c r="I212" t="s">
        <v>344</v>
      </c>
      <c r="J212" s="30" t="s">
        <v>469</v>
      </c>
      <c r="K212" s="30">
        <f>K211-K210</f>
        <v>641.43382016154646</v>
      </c>
      <c r="L212" s="31">
        <f t="shared" si="67"/>
        <v>641</v>
      </c>
      <c r="M212" s="31">
        <f t="shared" si="68"/>
        <v>26</v>
      </c>
      <c r="N212" s="31">
        <f t="shared" si="69"/>
        <v>1</v>
      </c>
      <c r="O212" s="31">
        <f t="shared" si="70"/>
        <v>45</v>
      </c>
      <c r="Q212" s="30" t="s">
        <v>469</v>
      </c>
      <c r="R212" s="30">
        <f>R211-R210</f>
        <v>1099.6904826311466</v>
      </c>
      <c r="S212" s="31">
        <f t="shared" si="54"/>
        <v>1099</v>
      </c>
      <c r="T212" s="31">
        <f t="shared" si="55"/>
        <v>41</v>
      </c>
      <c r="U212" s="31">
        <f t="shared" si="56"/>
        <v>25</v>
      </c>
      <c r="V212" s="31">
        <f t="shared" si="57"/>
        <v>44</v>
      </c>
      <c r="X212" s="30" t="s">
        <v>469</v>
      </c>
      <c r="Y212" s="30">
        <f>Y211-Y210</f>
        <v>86.168019829083278</v>
      </c>
      <c r="Z212" s="31">
        <f t="shared" si="58"/>
        <v>86</v>
      </c>
      <c r="AA212" s="31">
        <f t="shared" si="59"/>
        <v>10</v>
      </c>
      <c r="AB212" s="31">
        <f t="shared" si="60"/>
        <v>4</v>
      </c>
      <c r="AC212" s="31">
        <f t="shared" si="61"/>
        <v>52</v>
      </c>
      <c r="AE212" s="30" t="s">
        <v>469</v>
      </c>
      <c r="AF212" s="30">
        <f>AF211-AF210</f>
        <v>44.898572280613188</v>
      </c>
      <c r="AG212" s="31">
        <f t="shared" si="62"/>
        <v>44</v>
      </c>
      <c r="AH212" s="31">
        <f t="shared" si="63"/>
        <v>53</v>
      </c>
      <c r="AI212" s="31">
        <f t="shared" si="64"/>
        <v>54</v>
      </c>
      <c r="AJ212" s="31">
        <f t="shared" si="65"/>
        <v>51</v>
      </c>
    </row>
    <row r="213" spans="1:36" ht="24.75">
      <c r="A213" t="s">
        <v>345</v>
      </c>
      <c r="B213" s="30" t="s">
        <v>470</v>
      </c>
      <c r="C213" s="30">
        <f>[2]!atj(C209*60/C212)</f>
        <v>3.1846177056449529</v>
      </c>
      <c r="D213" s="31">
        <f t="shared" si="53"/>
        <v>3</v>
      </c>
      <c r="E213" s="31">
        <f t="shared" si="71"/>
        <v>11</v>
      </c>
      <c r="F213" s="31">
        <f t="shared" si="72"/>
        <v>4</v>
      </c>
      <c r="G213" s="31">
        <f t="shared" si="66"/>
        <v>37</v>
      </c>
      <c r="H213" s="33"/>
      <c r="I213" t="s">
        <v>345</v>
      </c>
      <c r="J213" s="30" t="s">
        <v>470</v>
      </c>
      <c r="K213" s="30">
        <f>[2]!atj(K209*60/K212)</f>
        <v>2.3079896665485595</v>
      </c>
      <c r="L213" s="31">
        <f t="shared" si="67"/>
        <v>2</v>
      </c>
      <c r="M213" s="31">
        <f t="shared" si="68"/>
        <v>18</v>
      </c>
      <c r="N213" s="31">
        <f t="shared" si="69"/>
        <v>28</v>
      </c>
      <c r="O213" s="31">
        <f t="shared" si="70"/>
        <v>45</v>
      </c>
      <c r="Q213" s="30" t="s">
        <v>470</v>
      </c>
      <c r="R213" s="30">
        <f>[2]!atj(R209*60/R212)</f>
        <v>2.5753459547567075</v>
      </c>
      <c r="S213" s="31">
        <f t="shared" si="54"/>
        <v>2</v>
      </c>
      <c r="T213" s="31">
        <f t="shared" si="55"/>
        <v>34</v>
      </c>
      <c r="U213" s="31">
        <f t="shared" si="56"/>
        <v>31</v>
      </c>
      <c r="V213" s="31">
        <f t="shared" si="57"/>
        <v>14</v>
      </c>
      <c r="X213" s="30" t="s">
        <v>470</v>
      </c>
      <c r="Y213" s="30">
        <f>[2]!atj(Y209*60/Y212)</f>
        <v>-0.1091834400197203</v>
      </c>
      <c r="Z213" s="31">
        <f t="shared" si="58"/>
        <v>0</v>
      </c>
      <c r="AA213" s="31">
        <f t="shared" si="59"/>
        <v>6</v>
      </c>
      <c r="AB213" s="31">
        <f t="shared" si="60"/>
        <v>33</v>
      </c>
      <c r="AC213" s="31">
        <f t="shared" si="61"/>
        <v>3</v>
      </c>
      <c r="AE213" s="30" t="s">
        <v>470</v>
      </c>
      <c r="AF213" s="30">
        <f>[2]!atj(AF209*60/AF212)</f>
        <v>11.852109060041279</v>
      </c>
      <c r="AG213" s="31">
        <f t="shared" si="62"/>
        <v>11</v>
      </c>
      <c r="AH213" s="31">
        <f t="shared" si="63"/>
        <v>51</v>
      </c>
      <c r="AI213" s="31">
        <f t="shared" si="64"/>
        <v>7</v>
      </c>
      <c r="AJ213" s="31">
        <f t="shared" si="65"/>
        <v>35</v>
      </c>
    </row>
    <row r="214" spans="1:36" ht="24.75">
      <c r="A214" t="s">
        <v>346</v>
      </c>
      <c r="B214" s="30" t="s">
        <v>321</v>
      </c>
      <c r="C214" s="30">
        <f>2*C213</f>
        <v>6.3692354112899059</v>
      </c>
      <c r="D214" s="31">
        <f t="shared" si="53"/>
        <v>6</v>
      </c>
      <c r="E214" s="31">
        <f t="shared" si="71"/>
        <v>22</v>
      </c>
      <c r="F214" s="31">
        <f t="shared" si="72"/>
        <v>9</v>
      </c>
      <c r="G214" s="31">
        <f t="shared" si="66"/>
        <v>14</v>
      </c>
      <c r="H214" s="33"/>
      <c r="I214" t="s">
        <v>346</v>
      </c>
      <c r="J214" s="30" t="s">
        <v>321</v>
      </c>
      <c r="K214" s="30">
        <f>2*K213</f>
        <v>4.6159793330971191</v>
      </c>
      <c r="L214" s="31">
        <f t="shared" si="67"/>
        <v>4</v>
      </c>
      <c r="M214" s="31">
        <f t="shared" si="68"/>
        <v>36</v>
      </c>
      <c r="N214" s="31">
        <f t="shared" si="69"/>
        <v>57</v>
      </c>
      <c r="O214" s="31">
        <f t="shared" si="70"/>
        <v>31</v>
      </c>
      <c r="Q214" s="30" t="s">
        <v>321</v>
      </c>
      <c r="R214" s="30">
        <f>2*R213</f>
        <v>5.1506919095134149</v>
      </c>
      <c r="S214" s="31">
        <f t="shared" si="54"/>
        <v>5</v>
      </c>
      <c r="T214" s="31">
        <f t="shared" si="55"/>
        <v>9</v>
      </c>
      <c r="U214" s="31">
        <f t="shared" si="56"/>
        <v>2</v>
      </c>
      <c r="V214" s="31">
        <f t="shared" si="57"/>
        <v>29</v>
      </c>
      <c r="X214" s="30" t="s">
        <v>321</v>
      </c>
      <c r="Y214" s="30">
        <f>2*Y213</f>
        <v>-0.2183668800394406</v>
      </c>
      <c r="Z214" s="31">
        <f t="shared" si="58"/>
        <v>0</v>
      </c>
      <c r="AA214" s="31">
        <f t="shared" si="59"/>
        <v>13</v>
      </c>
      <c r="AB214" s="31">
        <f t="shared" si="60"/>
        <v>6</v>
      </c>
      <c r="AC214" s="31">
        <f t="shared" si="61"/>
        <v>7</v>
      </c>
      <c r="AE214" s="30" t="s">
        <v>321</v>
      </c>
      <c r="AF214" s="30">
        <f>2*AF213</f>
        <v>23.704218120082558</v>
      </c>
      <c r="AG214" s="31">
        <f t="shared" si="62"/>
        <v>23</v>
      </c>
      <c r="AH214" s="31">
        <f t="shared" si="63"/>
        <v>42</v>
      </c>
      <c r="AI214" s="31">
        <f t="shared" si="64"/>
        <v>15</v>
      </c>
      <c r="AJ214" s="31">
        <f t="shared" si="65"/>
        <v>11</v>
      </c>
    </row>
    <row r="215" spans="1:36" ht="24.75">
      <c r="B215" s="30" t="s">
        <v>473</v>
      </c>
      <c r="C215" s="30">
        <f>[2]!sn(C214+C206)*C208/[2]!sn(C214)</f>
        <v>84.618299521631656</v>
      </c>
      <c r="D215" s="31">
        <f>INT(ABS(C215))</f>
        <v>84</v>
      </c>
      <c r="E215" s="31">
        <f>INT((ABS(C215)-D215)*60)</f>
        <v>37</v>
      </c>
      <c r="F215" s="31">
        <f>INT((((ABS(C215)-D215)*60)-E215)*60)</f>
        <v>5</v>
      </c>
      <c r="G215" s="31">
        <f>INT((((((ABS(C215)-D215)*60)-E215)*60)-F215)*60)</f>
        <v>52</v>
      </c>
      <c r="H215" s="33"/>
      <c r="J215" s="30" t="s">
        <v>669</v>
      </c>
      <c r="K215" s="30">
        <f>[2]!sn(K214+K206)*K208/[2]!sn(K214)</f>
        <v>303.84739580191825</v>
      </c>
      <c r="L215" s="31">
        <f>INT(ABS(K215))</f>
        <v>303</v>
      </c>
      <c r="M215" s="31">
        <f>INT((ABS(K215)-L215)*60)</f>
        <v>50</v>
      </c>
      <c r="N215" s="31">
        <f>INT((((ABS(K215)-L215)*60)-M215)*60)</f>
        <v>50</v>
      </c>
      <c r="O215" s="31">
        <f>INT((((((ABS(K215)-L215)*60)-M215)*60)-N215)*60)</f>
        <v>37</v>
      </c>
      <c r="Q215" s="30" t="s">
        <v>678</v>
      </c>
      <c r="R215" s="30">
        <f>[2]!sn(R214+R206)*R208/[2]!sn(R214)</f>
        <v>590.23682718790747</v>
      </c>
      <c r="S215" s="31">
        <f>INT(ABS(R215))</f>
        <v>590</v>
      </c>
      <c r="T215" s="31">
        <f>INT((ABS(R215)-S215)*60)</f>
        <v>14</v>
      </c>
      <c r="U215" s="31">
        <f>INT((((ABS(R215)-S215)*60)-T215)*60)</f>
        <v>12</v>
      </c>
      <c r="V215" s="31">
        <f>INT((((((ABS(R215)-S215)*60)-T215)*60)-U215)*60)</f>
        <v>34</v>
      </c>
      <c r="X215" s="30" t="s">
        <v>841</v>
      </c>
      <c r="Y215" s="30">
        <f>[2]!sn(Y214+Y206)*Y208/[2]!sn(Y214)</f>
        <v>43.696666965231465</v>
      </c>
      <c r="Z215" s="31">
        <f>INT(ABS(Y215))</f>
        <v>43</v>
      </c>
      <c r="AA215" s="31">
        <f>INT((ABS(Y215)-Z215)*60)</f>
        <v>41</v>
      </c>
      <c r="AB215" s="31">
        <f>INT((((ABS(Y215)-Z215)*60)-AA215)*60)</f>
        <v>48</v>
      </c>
      <c r="AC215" s="31">
        <f>INT((((((ABS(Y215)-Z215)*60)-AA215)*60)-AB215)*60)</f>
        <v>0</v>
      </c>
      <c r="AE215" s="30" t="s">
        <v>840</v>
      </c>
      <c r="AF215" s="30">
        <f>[2]!sn(AF214+AF206)*AF208/[2]!sn(AF214)</f>
        <v>23.122017727826265</v>
      </c>
      <c r="AG215" s="31">
        <f>INT(ABS(AF215))</f>
        <v>23</v>
      </c>
      <c r="AH215" s="31">
        <f>INT((ABS(AF215)-AG215)*60)</f>
        <v>7</v>
      </c>
      <c r="AI215" s="31">
        <f>INT((((ABS(AF215)-AG215)*60)-AH215)*60)</f>
        <v>19</v>
      </c>
      <c r="AJ215" s="31">
        <f>INT((((((ABS(AF215)-AG215)*60)-AH215)*60)-AI215)*60)</f>
        <v>15</v>
      </c>
    </row>
    <row r="216" spans="1:36" ht="24.75">
      <c r="B216" s="10" t="s">
        <v>673</v>
      </c>
      <c r="C216" s="10">
        <f>[2]!sn(90+C185)</f>
        <v>59.999055799956523</v>
      </c>
      <c r="D216" s="28">
        <f>INT(ABS(C216))</f>
        <v>59</v>
      </c>
      <c r="E216" s="28">
        <f>INT((ABS(C216)-D216)*60)</f>
        <v>59</v>
      </c>
      <c r="F216" s="28">
        <f>INT((((ABS(C216)-D216)*60)-E216)*60)</f>
        <v>56</v>
      </c>
      <c r="G216" s="28">
        <f>INT((((((ABS(C216)-D216)*60)-E216)*60)-F216)*60)</f>
        <v>36</v>
      </c>
      <c r="J216" s="10" t="s">
        <v>673</v>
      </c>
      <c r="K216" s="10" t="e">
        <f ca="1">[2]!brish(K206)</f>
        <v>#NAME?</v>
      </c>
      <c r="Q216" s="10" t="s">
        <v>673</v>
      </c>
      <c r="R216" s="39">
        <f>(((((((((X230/60)+W216)/60)+V216)/60)+U216)/60)+T216)/60)+S216</f>
        <v>603.08944444444444</v>
      </c>
      <c r="S216" s="10">
        <v>603</v>
      </c>
      <c r="T216" s="10">
        <v>5</v>
      </c>
      <c r="U216" s="10">
        <v>22</v>
      </c>
      <c r="V216" s="10"/>
      <c r="X216" s="30" t="s">
        <v>673</v>
      </c>
      <c r="Y216" s="39">
        <f>(((((((((AE230/60)+AD216)/60)+AC216)/60)+AB216)/60)+AA216)/60)+Z216</f>
        <v>43.694444444444443</v>
      </c>
      <c r="Z216">
        <v>43</v>
      </c>
      <c r="AA216">
        <v>41</v>
      </c>
      <c r="AB216">
        <v>40</v>
      </c>
      <c r="AE216" s="30" t="s">
        <v>673</v>
      </c>
      <c r="AF216" s="39">
        <f>(((((((((AL230/60)+AK216)/60)+AJ216)/60)+AI216)/60)+AH216)/60)+AG216</f>
        <v>28.110555555555557</v>
      </c>
      <c r="AG216">
        <v>28</v>
      </c>
      <c r="AH216">
        <v>6</v>
      </c>
      <c r="AI216">
        <v>38</v>
      </c>
    </row>
    <row r="217" spans="1:36" ht="24.75">
      <c r="B217" s="10" t="s">
        <v>674</v>
      </c>
      <c r="C217" s="10">
        <f>C216*C215/60</f>
        <v>84.616967911596873</v>
      </c>
      <c r="D217" s="28">
        <f>INT(ABS(C217))</f>
        <v>84</v>
      </c>
      <c r="E217" s="28">
        <f>INT((ABS(C217)-D217)*60)</f>
        <v>37</v>
      </c>
      <c r="F217" s="28">
        <f>INT((((ABS(C217)-D217)*60)-E217)*60)</f>
        <v>1</v>
      </c>
      <c r="G217" s="28">
        <f>INT((((((ABS(C217)-D217)*60)-E217)*60)-F217)*60)</f>
        <v>5</v>
      </c>
      <c r="J217" s="10" t="s">
        <v>674</v>
      </c>
      <c r="K217" s="10"/>
      <c r="Q217" s="10" t="s">
        <v>674</v>
      </c>
      <c r="R217" s="39">
        <f>(((((((((X231/60)+W217)/60)+V217)/60)+U217)/60)+T217)/60)+S217</f>
        <v>538.10500000000002</v>
      </c>
      <c r="S217" s="10">
        <v>538</v>
      </c>
      <c r="T217" s="10">
        <v>6</v>
      </c>
      <c r="U217" s="10">
        <v>18</v>
      </c>
      <c r="V217" s="10"/>
      <c r="X217" s="30" t="s">
        <v>674</v>
      </c>
      <c r="Y217" s="39">
        <f>(((((((((AE231/60)+AD217)/60)+AC217)/60)+AB217)/60)+AA217)/60)+Z217</f>
        <v>43.086388888888891</v>
      </c>
      <c r="Z217">
        <v>43</v>
      </c>
      <c r="AA217">
        <v>5</v>
      </c>
      <c r="AB217">
        <v>11</v>
      </c>
      <c r="AE217" s="30" t="s">
        <v>674</v>
      </c>
      <c r="AF217" s="39">
        <f>(((((((((AL231/60)+AK217)/60)+AJ217)/60)+AI217)/60)+AH217)/60)+AG217</f>
        <v>18.449444444444445</v>
      </c>
      <c r="AG217">
        <v>18</v>
      </c>
      <c r="AH217">
        <v>26</v>
      </c>
      <c r="AI217">
        <v>58</v>
      </c>
    </row>
    <row r="218" spans="1:36" ht="24.75">
      <c r="B218" s="10" t="s">
        <v>675</v>
      </c>
      <c r="C218" s="10">
        <f>[2]!bkhsh(C206)</f>
        <v>84.625003425492864</v>
      </c>
      <c r="D218" s="28">
        <f>INT(ABS(C218))</f>
        <v>84</v>
      </c>
      <c r="E218" s="28">
        <f>INT((ABS(C218)-D218)*60)</f>
        <v>37</v>
      </c>
      <c r="F218" s="28">
        <f>INT((((ABS(C218)-D218)*60)-E218)*60)</f>
        <v>30</v>
      </c>
      <c r="G218" s="28">
        <f>INT((((((ABS(C218)-D218)*60)-E218)*60)-F218)*60)</f>
        <v>0</v>
      </c>
      <c r="J218" s="10" t="s">
        <v>675</v>
      </c>
      <c r="K218" s="10"/>
      <c r="Q218" s="10" t="s">
        <v>675</v>
      </c>
      <c r="R218" s="39">
        <f>(((((((((X232/60)+W218)/60)+V218)/60)+U218)/60)+T218)/60)+S218</f>
        <v>1141.1944444444443</v>
      </c>
      <c r="S218" s="10">
        <f>S217+S216</f>
        <v>1141</v>
      </c>
      <c r="T218" s="10">
        <f>T217+T216</f>
        <v>11</v>
      </c>
      <c r="U218" s="10">
        <f>U217+U216</f>
        <v>40</v>
      </c>
      <c r="V218" s="10"/>
      <c r="X218" s="30" t="s">
        <v>675</v>
      </c>
      <c r="Y218" s="39">
        <f>Y217+Y216</f>
        <v>86.780833333333334</v>
      </c>
      <c r="Z218">
        <v>86</v>
      </c>
      <c r="AA218">
        <v>46</v>
      </c>
      <c r="AB218">
        <v>51</v>
      </c>
      <c r="AE218" s="30" t="s">
        <v>675</v>
      </c>
      <c r="AF218" s="39">
        <f>AF217+AF216</f>
        <v>46.56</v>
      </c>
      <c r="AG218" s="31">
        <f>INT(ABS(AF218))</f>
        <v>46</v>
      </c>
      <c r="AH218" s="31">
        <f>INT((ABS(AF218)-AG218)*60)</f>
        <v>33</v>
      </c>
      <c r="AI218" s="31">
        <f>INT((((ABS(AF218)-AG218)*60)-AH218)*60)</f>
        <v>36</v>
      </c>
      <c r="AJ218" s="31">
        <f>INT((((((ABS(AF218)-AG218)*60)-AH218)*60)-AI218)*60)</f>
        <v>0</v>
      </c>
    </row>
    <row r="220" spans="1:36">
      <c r="P220" t="s">
        <v>796</v>
      </c>
      <c r="Q220" s="10" t="s">
        <v>390</v>
      </c>
      <c r="R220" t="s">
        <v>4</v>
      </c>
      <c r="S220" t="s">
        <v>5</v>
      </c>
      <c r="T220" t="s">
        <v>393</v>
      </c>
    </row>
    <row r="221" spans="1:36">
      <c r="B221" t="s">
        <v>486</v>
      </c>
      <c r="I221" s="30"/>
      <c r="J221" s="30" t="s">
        <v>683</v>
      </c>
      <c r="K221" s="30"/>
      <c r="L221" s="30"/>
      <c r="M221" s="30"/>
      <c r="N221" s="30"/>
      <c r="P221">
        <f>6/60</f>
        <v>0.1</v>
      </c>
      <c r="Q221">
        <v>1046</v>
      </c>
      <c r="R221">
        <v>11</v>
      </c>
      <c r="S221" t="e">
        <f ca="1">[5]!roz(20,14,42,49)</f>
        <v>#NAME?</v>
      </c>
    </row>
    <row r="222" spans="1:36" ht="24.75">
      <c r="B222" s="7" t="s">
        <v>482</v>
      </c>
      <c r="C222" s="7">
        <v>60.55</v>
      </c>
      <c r="D222" s="31">
        <f>INT(ABS(C222))</f>
        <v>60</v>
      </c>
      <c r="E222" s="31">
        <f>INT((ABS(C222)-D222)*60)</f>
        <v>32</v>
      </c>
      <c r="F222" s="31">
        <f>INT((((ABS(C222)-D222)*60)-E222)*60)</f>
        <v>59</v>
      </c>
      <c r="G222" s="31">
        <f>INT((((((ABS(C222)-D222)*60)-E222)*60)-F222)*60)</f>
        <v>59</v>
      </c>
      <c r="I222" s="30"/>
      <c r="J222" s="38">
        <f>(((((((((O205/60)+N191)/60)+N222)/60)+M222)/60)+L222)/60)+K222</f>
        <v>303.84722222222223</v>
      </c>
      <c r="K222" s="30">
        <v>303</v>
      </c>
      <c r="L222" s="30">
        <v>50</v>
      </c>
      <c r="M222" s="30">
        <v>50</v>
      </c>
      <c r="N222" s="30"/>
      <c r="P222">
        <f>47/3600</f>
        <v>1.3055555555555556E-2</v>
      </c>
      <c r="Q222" t="s">
        <v>771</v>
      </c>
    </row>
    <row r="223" spans="1:36" ht="24.75">
      <c r="B223" s="7" t="s">
        <v>480</v>
      </c>
      <c r="C223" s="7">
        <v>30.8</v>
      </c>
      <c r="D223" s="31">
        <f t="shared" ref="D223:D246" si="73">INT(ABS(C223))</f>
        <v>30</v>
      </c>
      <c r="E223" s="31">
        <f t="shared" ref="E223:E246" si="74">INT((ABS(C223)-D223)*60)</f>
        <v>48</v>
      </c>
      <c r="F223" s="31">
        <f t="shared" ref="F223:F246" si="75">INT((((ABS(C223)-D223)*60)-E223)*60)</f>
        <v>0</v>
      </c>
      <c r="G223" s="31">
        <f t="shared" ref="G223:G246" si="76">INT((((((ABS(C223)-D223)*60)-E223)*60)-F223)*60)</f>
        <v>0</v>
      </c>
      <c r="I223" s="30"/>
      <c r="J223" s="38">
        <f>(((((((((O206/60)+N192)/60)+N223)/60)+M223)/60)+L223)/60)+K223</f>
        <v>89.939444444444447</v>
      </c>
      <c r="K223" s="30">
        <v>89</v>
      </c>
      <c r="L223" s="30">
        <v>56</v>
      </c>
      <c r="M223" s="30">
        <v>22</v>
      </c>
      <c r="N223" s="30"/>
      <c r="P223">
        <f>3/(3600*60)</f>
        <v>1.388888888888889E-5</v>
      </c>
      <c r="Q223" t="s">
        <v>772</v>
      </c>
    </row>
    <row r="224" spans="1:36" ht="24.75">
      <c r="B224" s="7" t="s">
        <v>481</v>
      </c>
      <c r="C224" s="7">
        <v>88.867092</v>
      </c>
      <c r="D224" s="31">
        <f t="shared" si="73"/>
        <v>88</v>
      </c>
      <c r="E224" s="31">
        <f t="shared" si="74"/>
        <v>52</v>
      </c>
      <c r="F224" s="31">
        <f t="shared" si="75"/>
        <v>1</v>
      </c>
      <c r="G224" s="31">
        <f t="shared" si="76"/>
        <v>31</v>
      </c>
      <c r="I224" s="30"/>
      <c r="J224" s="2">
        <f>J222*[2]!sn(J223)</f>
        <v>18230.823151190019</v>
      </c>
      <c r="K224" s="129">
        <f>INT(ABS(J224))</f>
        <v>18230</v>
      </c>
      <c r="L224" s="129">
        <f>INT((ABS(J224)-K224)*60)</f>
        <v>49</v>
      </c>
      <c r="M224" s="129">
        <f>INT((((ABS(J224)-K224)*60)-L224)*60)</f>
        <v>23</v>
      </c>
      <c r="N224" s="129">
        <f>INT((((((ABS(J224)-K224)*60)-L224)*60)-M224)*60)</f>
        <v>20</v>
      </c>
      <c r="P224">
        <f>P221+P222+P223</f>
        <v>0.11306944444444444</v>
      </c>
      <c r="Q224" t="s">
        <v>543</v>
      </c>
    </row>
    <row r="225" spans="1:20" ht="24.75">
      <c r="B225" s="7" t="s">
        <v>475</v>
      </c>
      <c r="C225" s="7">
        <f>[2]!sn(C223)*C224/60</f>
        <v>45.503760380396642</v>
      </c>
      <c r="D225" s="31">
        <f t="shared" si="73"/>
        <v>45</v>
      </c>
      <c r="E225" s="31">
        <f t="shared" si="74"/>
        <v>30</v>
      </c>
      <c r="F225" s="31">
        <f t="shared" si="75"/>
        <v>13</v>
      </c>
      <c r="G225" s="31">
        <f t="shared" si="76"/>
        <v>32</v>
      </c>
      <c r="I225" s="30"/>
      <c r="J225" s="38">
        <f>((((((((O225)/60)+N225)/60)+M225)/60)+L225)/60)+K225</f>
        <v>59.342777777777776</v>
      </c>
      <c r="K225" s="30">
        <v>59</v>
      </c>
      <c r="L225" s="30">
        <v>20</v>
      </c>
      <c r="M225" s="30">
        <v>34</v>
      </c>
      <c r="N225" s="30"/>
      <c r="P225">
        <f>P224*24</f>
        <v>2.7136666666666667</v>
      </c>
      <c r="Q225" t="s">
        <v>642</v>
      </c>
    </row>
    <row r="226" spans="1:20" ht="24.75">
      <c r="B226" s="7" t="s">
        <v>476</v>
      </c>
      <c r="C226" s="7">
        <f>SQRT(POWER(C224,2)-POWER(C225,2))</f>
        <v>76.333268184847881</v>
      </c>
      <c r="D226" s="31">
        <f t="shared" si="73"/>
        <v>76</v>
      </c>
      <c r="E226" s="31">
        <f t="shared" si="74"/>
        <v>19</v>
      </c>
      <c r="F226" s="31">
        <f t="shared" si="75"/>
        <v>59</v>
      </c>
      <c r="G226" s="31">
        <f t="shared" si="76"/>
        <v>45</v>
      </c>
      <c r="I226" s="30"/>
      <c r="J226" s="2">
        <f>J224/J225</f>
        <v>307.21216353335177</v>
      </c>
      <c r="K226" s="129">
        <f>INT(ABS(J226))</f>
        <v>307</v>
      </c>
      <c r="L226" s="129">
        <f>INT((ABS(J226)-K226)*60)</f>
        <v>12</v>
      </c>
      <c r="M226" s="129">
        <f>INT((((ABS(J226)-K226)*60)-L226)*60)</f>
        <v>43</v>
      </c>
      <c r="N226" s="129">
        <f>INT((((((ABS(J226)-K226)*60)-L226)*60)-M226)*60)</f>
        <v>47</v>
      </c>
      <c r="P226">
        <f>(P225-2)*60</f>
        <v>42.82</v>
      </c>
      <c r="Q226" t="s">
        <v>560</v>
      </c>
    </row>
    <row r="227" spans="1:20" ht="24.75">
      <c r="B227" s="7" t="s">
        <v>477</v>
      </c>
      <c r="C227" s="7">
        <f>C226-C222</f>
        <v>15.783268184847884</v>
      </c>
      <c r="D227" s="31">
        <f t="shared" si="73"/>
        <v>15</v>
      </c>
      <c r="E227" s="31">
        <f t="shared" si="74"/>
        <v>46</v>
      </c>
      <c r="F227" s="31">
        <f t="shared" si="75"/>
        <v>59</v>
      </c>
      <c r="G227" s="31">
        <f t="shared" si="76"/>
        <v>45</v>
      </c>
      <c r="I227" s="30"/>
      <c r="J227" s="30">
        <f>[2]!atj(J226)</f>
        <v>78.948969764877262</v>
      </c>
      <c r="K227" s="129">
        <f>INT(ABS(J227))</f>
        <v>78</v>
      </c>
      <c r="L227" s="129">
        <f>INT((ABS(J227)-K227)*60)</f>
        <v>56</v>
      </c>
      <c r="M227" s="129">
        <f>INT((((ABS(J227)-K227)*60)-L227)*60)</f>
        <v>56</v>
      </c>
      <c r="N227" s="129">
        <f>INT((((((ABS(J227)-K227)*60)-L227)*60)-M227)*60)</f>
        <v>17</v>
      </c>
      <c r="P227">
        <f>0.82*60</f>
        <v>49.199999999999996</v>
      </c>
      <c r="Q227" t="s">
        <v>574</v>
      </c>
    </row>
    <row r="228" spans="1:20" ht="24.75">
      <c r="B228" s="7" t="s">
        <v>478</v>
      </c>
      <c r="C228" s="7">
        <f>[2]!atj(C225*60/C227)</f>
        <v>70.870572218046561</v>
      </c>
      <c r="D228" s="31">
        <f t="shared" si="73"/>
        <v>70</v>
      </c>
      <c r="E228" s="31">
        <f t="shared" si="74"/>
        <v>52</v>
      </c>
      <c r="F228" s="31">
        <f t="shared" si="75"/>
        <v>14</v>
      </c>
      <c r="G228" s="31">
        <f t="shared" si="76"/>
        <v>3</v>
      </c>
      <c r="I228" s="30"/>
      <c r="J228" s="30"/>
      <c r="K228" s="30"/>
      <c r="L228" s="30"/>
      <c r="M228" s="30"/>
      <c r="N228" s="30"/>
      <c r="Q228" t="s">
        <v>773</v>
      </c>
    </row>
    <row r="229" spans="1:20" ht="24.75">
      <c r="B229" s="7" t="s">
        <v>479</v>
      </c>
      <c r="C229" s="7">
        <f>180-C228</f>
        <v>109.12942778195344</v>
      </c>
      <c r="D229" s="31">
        <f t="shared" si="73"/>
        <v>109</v>
      </c>
      <c r="E229" s="31">
        <f t="shared" si="74"/>
        <v>7</v>
      </c>
      <c r="F229" s="31">
        <f t="shared" si="75"/>
        <v>45</v>
      </c>
      <c r="G229" s="31">
        <f t="shared" si="76"/>
        <v>56</v>
      </c>
      <c r="I229" s="30"/>
      <c r="J229" s="128">
        <f>((((((((O229)/60)+N229)/60)+M229)/60)+L229)/60)+K229</f>
        <v>6.0555555555555557E-2</v>
      </c>
      <c r="K229" s="30">
        <v>0</v>
      </c>
      <c r="L229" s="30">
        <v>3</v>
      </c>
      <c r="M229" s="30">
        <v>38</v>
      </c>
      <c r="N229" s="30"/>
      <c r="Q229" t="s">
        <v>713</v>
      </c>
    </row>
    <row r="230" spans="1:20" ht="24.75">
      <c r="B230" s="7"/>
      <c r="C230" s="7">
        <f>[2]!zarz(C222,C223,C224)</f>
        <v>109.12942778195344</v>
      </c>
      <c r="D230" s="31">
        <f t="shared" si="73"/>
        <v>109</v>
      </c>
      <c r="E230" s="31">
        <f t="shared" si="74"/>
        <v>7</v>
      </c>
      <c r="F230" s="31">
        <f t="shared" si="75"/>
        <v>45</v>
      </c>
      <c r="G230" s="31">
        <f t="shared" si="76"/>
        <v>56</v>
      </c>
      <c r="I230" s="30"/>
      <c r="J230" s="30">
        <f>[2]!sn(J229)*J222/60</f>
        <v>0.32113419306920449</v>
      </c>
      <c r="K230" s="129">
        <f>INT(ABS(J230))</f>
        <v>0</v>
      </c>
      <c r="L230" s="129">
        <f>INT((ABS(J230)-K230)*60)</f>
        <v>19</v>
      </c>
      <c r="M230" s="129">
        <f>INT((((ABS(J230)-K230)*60)-L230)*60)</f>
        <v>16</v>
      </c>
      <c r="N230" s="129">
        <f>INT((((((ABS(J230)-K230)*60)-L230)*60)-M230)*60)</f>
        <v>4</v>
      </c>
      <c r="Q230" t="s">
        <v>774</v>
      </c>
    </row>
    <row r="231" spans="1:20" ht="24.75">
      <c r="D231" s="31"/>
      <c r="E231" s="31"/>
      <c r="F231" s="31"/>
      <c r="G231" s="31"/>
      <c r="I231" s="30"/>
      <c r="J231" s="128">
        <f>((((((((O231)/60)+N231)/60)+M231)/60)+L231)/60)+K231</f>
        <v>245.19666666666666</v>
      </c>
      <c r="K231" s="30">
        <v>245</v>
      </c>
      <c r="L231" s="30">
        <v>11</v>
      </c>
      <c r="M231" s="30">
        <v>48</v>
      </c>
      <c r="N231" s="30"/>
      <c r="Q231" t="s">
        <v>775</v>
      </c>
    </row>
    <row r="232" spans="1:20" ht="24.75">
      <c r="B232" s="7" t="s">
        <v>490</v>
      </c>
      <c r="C232" s="7">
        <v>0.8022222</v>
      </c>
      <c r="D232" s="31">
        <f t="shared" si="73"/>
        <v>0</v>
      </c>
      <c r="E232" s="31">
        <f t="shared" si="74"/>
        <v>48</v>
      </c>
      <c r="F232" s="31">
        <f t="shared" si="75"/>
        <v>7</v>
      </c>
      <c r="G232" s="31">
        <f t="shared" si="76"/>
        <v>59</v>
      </c>
      <c r="I232" s="30"/>
      <c r="J232" s="128">
        <f>((((((((O232)/60)+N232)/60)+M232)/60)+L232)/60)+K232</f>
        <v>59.342777777777776</v>
      </c>
      <c r="K232" s="30">
        <v>59</v>
      </c>
      <c r="L232" s="30">
        <v>20</v>
      </c>
      <c r="M232" s="30">
        <v>34</v>
      </c>
      <c r="N232" s="30"/>
      <c r="Q232" t="s">
        <v>776</v>
      </c>
    </row>
    <row r="233" spans="1:20" ht="24.75">
      <c r="B233" s="7" t="s">
        <v>483</v>
      </c>
      <c r="C233" s="7">
        <v>88.875833330000006</v>
      </c>
      <c r="D233" s="31">
        <f t="shared" si="73"/>
        <v>88</v>
      </c>
      <c r="E233" s="31">
        <f t="shared" si="74"/>
        <v>52</v>
      </c>
      <c r="F233" s="31">
        <f t="shared" si="75"/>
        <v>32</v>
      </c>
      <c r="G233" s="31">
        <f t="shared" si="76"/>
        <v>59</v>
      </c>
      <c r="I233" s="30"/>
      <c r="J233" s="30">
        <f>[2]!sn(J231)*J232/60</f>
        <v>-53.868588963125141</v>
      </c>
      <c r="K233" s="129">
        <f>INT(ABS(J233))</f>
        <v>53</v>
      </c>
      <c r="L233" s="129">
        <f>INT((ABS(J233)-K233)*60)</f>
        <v>52</v>
      </c>
      <c r="M233" s="129">
        <f>INT((((ABS(J233)-K233)*60)-L233)*60)</f>
        <v>6</v>
      </c>
      <c r="N233" s="129">
        <f>INT((((((ABS(J233)-K233)*60)-L233)*60)-M233)*60)</f>
        <v>55</v>
      </c>
      <c r="Q233" t="s">
        <v>777</v>
      </c>
    </row>
    <row r="234" spans="1:20" ht="24.75">
      <c r="B234" s="7" t="s">
        <v>484</v>
      </c>
      <c r="C234" s="7">
        <v>90</v>
      </c>
      <c r="D234" s="31">
        <f t="shared" si="73"/>
        <v>90</v>
      </c>
      <c r="E234" s="31">
        <f t="shared" si="74"/>
        <v>0</v>
      </c>
      <c r="F234" s="31">
        <f t="shared" si="75"/>
        <v>0</v>
      </c>
      <c r="G234" s="31">
        <f t="shared" si="76"/>
        <v>0</v>
      </c>
      <c r="I234" s="30"/>
      <c r="J234" s="30">
        <f>[2]!csn(J231)*J232/60</f>
        <v>-24.894585706626799</v>
      </c>
      <c r="K234" s="129">
        <f>INT(ABS(J234))</f>
        <v>24</v>
      </c>
      <c r="L234" s="129">
        <f>INT((ABS(J234)-K234)*60)</f>
        <v>53</v>
      </c>
      <c r="M234" s="129">
        <f>INT((((ABS(J234)-K234)*60)-L234)*60)</f>
        <v>40</v>
      </c>
      <c r="N234" s="129">
        <f>INT((((((ABS(J234)-K234)*60)-L234)*60)-M234)*60)</f>
        <v>30</v>
      </c>
      <c r="Q234" t="s">
        <v>395</v>
      </c>
    </row>
    <row r="235" spans="1:20" ht="24.75">
      <c r="A235" t="s">
        <v>341</v>
      </c>
      <c r="B235" s="7" t="s">
        <v>485</v>
      </c>
      <c r="C235" s="7">
        <f>[2]!sn(C232)*C233/[2]!sn(C234)</f>
        <v>1.2443470989320013</v>
      </c>
      <c r="D235" s="31">
        <f t="shared" si="73"/>
        <v>1</v>
      </c>
      <c r="E235" s="31">
        <f t="shared" si="74"/>
        <v>14</v>
      </c>
      <c r="F235" s="31">
        <f t="shared" si="75"/>
        <v>39</v>
      </c>
      <c r="G235" s="31">
        <f t="shared" si="76"/>
        <v>38</v>
      </c>
      <c r="I235" s="30"/>
      <c r="J235" s="128">
        <f>((((((((O235)/60)+N235)/60)+M235)/60)+L235)/60)+K235</f>
        <v>35.102499999999999</v>
      </c>
      <c r="K235" s="30">
        <v>35</v>
      </c>
      <c r="L235" s="30">
        <v>6</v>
      </c>
      <c r="M235" s="30">
        <v>9</v>
      </c>
      <c r="N235" s="30"/>
      <c r="Q235" t="s">
        <v>778</v>
      </c>
    </row>
    <row r="236" spans="1:20" ht="24.75">
      <c r="A236" t="s">
        <v>333</v>
      </c>
      <c r="B236" s="7" t="s">
        <v>477</v>
      </c>
      <c r="C236" s="7">
        <f>[2]!sn(C223)*C222/60</f>
        <v>31.004195467913103</v>
      </c>
      <c r="D236" s="31">
        <f t="shared" si="73"/>
        <v>31</v>
      </c>
      <c r="E236" s="31">
        <f t="shared" si="74"/>
        <v>0</v>
      </c>
      <c r="F236" s="31">
        <f t="shared" si="75"/>
        <v>15</v>
      </c>
      <c r="G236" s="31">
        <f t="shared" si="76"/>
        <v>6</v>
      </c>
      <c r="I236" s="30"/>
      <c r="J236" s="30">
        <f>J233/J235*60</f>
        <v>-92.076499901360549</v>
      </c>
      <c r="K236" s="129">
        <f>INT(ABS(J236))</f>
        <v>92</v>
      </c>
      <c r="L236" s="129">
        <f>INT((ABS(J236)-K236)*60)</f>
        <v>4</v>
      </c>
      <c r="M236" s="129">
        <f>INT((((ABS(J236)-K236)*60)-L236)*60)</f>
        <v>35</v>
      </c>
      <c r="N236" s="129">
        <f>INT((((((ABS(J236)-K236)*60)-L236)*60)-M236)*60)</f>
        <v>23</v>
      </c>
      <c r="Q236" t="s">
        <v>495</v>
      </c>
    </row>
    <row r="237" spans="1:20" ht="24.75">
      <c r="A237" t="s">
        <v>342</v>
      </c>
      <c r="B237" s="7" t="s">
        <v>487</v>
      </c>
      <c r="C237" s="7">
        <f>[2]!csn(C223)*C222/60</f>
        <v>52.010021759151734</v>
      </c>
      <c r="D237" s="31">
        <f t="shared" si="73"/>
        <v>52</v>
      </c>
      <c r="E237" s="31">
        <f t="shared" si="74"/>
        <v>0</v>
      </c>
      <c r="F237" s="31">
        <f t="shared" si="75"/>
        <v>36</v>
      </c>
      <c r="G237" s="31">
        <f t="shared" si="76"/>
        <v>4</v>
      </c>
      <c r="I237" s="30"/>
      <c r="J237" s="128">
        <f>J230</f>
        <v>0.32113419306920449</v>
      </c>
      <c r="K237" s="129">
        <f>INT(ABS(J237))</f>
        <v>0</v>
      </c>
      <c r="L237" s="129">
        <f>INT((ABS(J237)-K237)*60)</f>
        <v>19</v>
      </c>
      <c r="M237" s="129">
        <f>INT((((ABS(J237)-K237)*60)-L237)*60)</f>
        <v>16</v>
      </c>
      <c r="N237" s="129">
        <f>INT((((((ABS(J237)-K237)*60)-L237)*60)-M237)*60)</f>
        <v>4</v>
      </c>
      <c r="Q237" t="s">
        <v>779</v>
      </c>
    </row>
    <row r="238" spans="1:20" ht="24.75">
      <c r="A238" t="s">
        <v>343</v>
      </c>
      <c r="B238" s="7" t="s">
        <v>475</v>
      </c>
      <c r="C238" s="7">
        <f>C224-C237</f>
        <v>36.857070240848266</v>
      </c>
      <c r="D238" s="31">
        <f t="shared" si="73"/>
        <v>36</v>
      </c>
      <c r="E238" s="31">
        <f t="shared" si="74"/>
        <v>51</v>
      </c>
      <c r="F238" s="31">
        <f t="shared" si="75"/>
        <v>25</v>
      </c>
      <c r="G238" s="31">
        <f t="shared" si="76"/>
        <v>27</v>
      </c>
      <c r="I238" s="30" t="s">
        <v>682</v>
      </c>
      <c r="J238" s="30">
        <f>[2]!atj(J237/J236*60)</f>
        <v>-0.19982904797896586</v>
      </c>
      <c r="K238" s="129">
        <f>INT(ABS(J238))</f>
        <v>0</v>
      </c>
      <c r="L238" s="129">
        <f>INT((ABS(J238)-K238)*60)</f>
        <v>11</v>
      </c>
      <c r="M238" s="129">
        <f>INT((((ABS(J238)-K238)*60)-L238)*60)</f>
        <v>59</v>
      </c>
      <c r="N238" s="129">
        <f>INT((((((ABS(J238)-K238)*60)-L238)*60)-M238)*60)</f>
        <v>23</v>
      </c>
      <c r="Q238" s="33" t="s">
        <v>780</v>
      </c>
      <c r="R238" s="27"/>
      <c r="S238" s="27"/>
      <c r="T238" s="27"/>
    </row>
    <row r="239" spans="1:20" ht="24.75">
      <c r="A239" t="s">
        <v>344</v>
      </c>
      <c r="B239" s="7" t="s">
        <v>488</v>
      </c>
      <c r="C239" s="7">
        <f>C236/C238*60</f>
        <v>50.472045551062017</v>
      </c>
      <c r="D239" s="31">
        <f t="shared" si="73"/>
        <v>50</v>
      </c>
      <c r="E239" s="31">
        <f t="shared" si="74"/>
        <v>28</v>
      </c>
      <c r="F239" s="31">
        <f t="shared" si="75"/>
        <v>19</v>
      </c>
      <c r="G239" s="31">
        <f t="shared" si="76"/>
        <v>21</v>
      </c>
      <c r="I239" s="30"/>
      <c r="J239" s="30"/>
      <c r="K239" s="30"/>
      <c r="L239" s="30"/>
      <c r="M239" s="30"/>
      <c r="N239" s="30"/>
      <c r="Q239" s="33" t="s">
        <v>781</v>
      </c>
      <c r="R239" s="27"/>
      <c r="S239" s="27"/>
      <c r="T239" s="27"/>
    </row>
    <row r="240" spans="1:20" ht="24.75">
      <c r="A240" t="s">
        <v>345</v>
      </c>
      <c r="B240" s="7" t="s">
        <v>489</v>
      </c>
      <c r="C240" s="7">
        <f>[2]!atj(C235/C239*60)</f>
        <v>1.4122945936698237</v>
      </c>
      <c r="D240" s="31">
        <f t="shared" si="73"/>
        <v>1</v>
      </c>
      <c r="E240" s="31">
        <f t="shared" si="74"/>
        <v>24</v>
      </c>
      <c r="F240" s="31">
        <f t="shared" si="75"/>
        <v>44</v>
      </c>
      <c r="G240" s="31">
        <f t="shared" si="76"/>
        <v>15</v>
      </c>
      <c r="I240" s="30"/>
      <c r="J240" s="128">
        <f>((((((((O240)/60)+N240)/60)+M240)/60)+L240)/60)+K240</f>
        <v>40.435833333333335</v>
      </c>
      <c r="K240" s="30">
        <v>40</v>
      </c>
      <c r="L240" s="30">
        <v>26</v>
      </c>
      <c r="M240" s="30">
        <v>9</v>
      </c>
      <c r="N240" s="30"/>
      <c r="Q240" s="33" t="s">
        <v>782</v>
      </c>
      <c r="R240" s="27"/>
      <c r="S240" s="27"/>
      <c r="T240" s="27"/>
    </row>
    <row r="241" spans="2:20" ht="24.75">
      <c r="B241" s="7" t="s">
        <v>491</v>
      </c>
      <c r="C241" s="7">
        <f>SQRT(POWER(C235,2)+POWER(C239,2))</f>
        <v>50.487382402052688</v>
      </c>
      <c r="D241" s="31">
        <f t="shared" si="73"/>
        <v>50</v>
      </c>
      <c r="E241" s="31">
        <f t="shared" si="74"/>
        <v>29</v>
      </c>
      <c r="F241" s="31">
        <f t="shared" si="75"/>
        <v>14</v>
      </c>
      <c r="G241" s="31">
        <f t="shared" si="76"/>
        <v>34</v>
      </c>
      <c r="I241" s="30"/>
      <c r="J241" s="128">
        <f>((((((((O241)/60)+N241)/60)+M241)/60)+L241)/60)+K241</f>
        <v>33.977222222222224</v>
      </c>
      <c r="K241" s="30">
        <v>33</v>
      </c>
      <c r="L241" s="30">
        <v>58</v>
      </c>
      <c r="M241" s="30">
        <v>38</v>
      </c>
      <c r="N241" s="30"/>
      <c r="Q241" s="33" t="s">
        <v>783</v>
      </c>
      <c r="R241" s="33"/>
      <c r="S241" s="33"/>
      <c r="T241" s="33"/>
    </row>
    <row r="242" spans="2:20" ht="24.75">
      <c r="C242">
        <f>[2]!bkhar(C232,C233,C223,C222,C224)</f>
        <v>50.487382402052695</v>
      </c>
      <c r="D242" s="31"/>
      <c r="E242" s="31"/>
      <c r="F242" s="31"/>
      <c r="G242" s="31"/>
      <c r="I242" s="30"/>
      <c r="J242" s="30">
        <f>[2]!tn(J241)</f>
        <v>40.435815352773545</v>
      </c>
      <c r="K242" s="129">
        <f>INT(ABS(J242))</f>
        <v>40</v>
      </c>
      <c r="L242" s="129">
        <f>INT((ABS(J242)-K242)*60)</f>
        <v>26</v>
      </c>
      <c r="M242" s="129">
        <f>INT((((ABS(J242)-K242)*60)-L242)*60)</f>
        <v>8</v>
      </c>
      <c r="N242" s="129">
        <f>INT((((((ABS(J242)-K242)*60)-L242)*60)-M242)*60)</f>
        <v>56</v>
      </c>
      <c r="Q242" s="33" t="s">
        <v>784</v>
      </c>
    </row>
    <row r="243" spans="2:20" ht="24.75">
      <c r="B243" s="5" t="s">
        <v>395</v>
      </c>
      <c r="C243" s="5">
        <v>42.643055556</v>
      </c>
      <c r="D243" s="31">
        <f t="shared" si="73"/>
        <v>42</v>
      </c>
      <c r="E243" s="31">
        <f t="shared" si="74"/>
        <v>38</v>
      </c>
      <c r="F243" s="31">
        <f t="shared" si="75"/>
        <v>35</v>
      </c>
      <c r="G243" s="31">
        <f t="shared" si="76"/>
        <v>0</v>
      </c>
      <c r="I243" s="30"/>
      <c r="J243" s="30">
        <f>90-J242</f>
        <v>49.564184647226455</v>
      </c>
      <c r="K243" s="129">
        <f>INT(ABS(J243))</f>
        <v>49</v>
      </c>
      <c r="L243" s="129">
        <f>INT((ABS(J243)-K243)*60)</f>
        <v>33</v>
      </c>
      <c r="M243" s="129">
        <f>INT((((ABS(J243)-K243)*60)-L243)*60)</f>
        <v>51</v>
      </c>
      <c r="N243" s="129">
        <f>INT((((((ABS(J243)-K243)*60)-L243)*60)-M243)*60)</f>
        <v>3</v>
      </c>
      <c r="Q243" s="33" t="s">
        <v>785</v>
      </c>
    </row>
    <row r="244" spans="2:20" ht="24.75">
      <c r="B244" s="5" t="s">
        <v>492</v>
      </c>
      <c r="C244" s="5">
        <v>253.44305555599999</v>
      </c>
      <c r="D244" s="31">
        <f t="shared" si="73"/>
        <v>253</v>
      </c>
      <c r="E244" s="31">
        <f t="shared" si="74"/>
        <v>26</v>
      </c>
      <c r="F244" s="31">
        <f t="shared" si="75"/>
        <v>35</v>
      </c>
      <c r="G244" s="31">
        <f t="shared" si="76"/>
        <v>0</v>
      </c>
      <c r="I244" s="30"/>
      <c r="J244" s="30">
        <f>[2]!ctn(J243)</f>
        <v>51.128708673032556</v>
      </c>
      <c r="K244" s="129">
        <f>INT(ABS(J244))</f>
        <v>51</v>
      </c>
      <c r="L244" s="129">
        <f>INT((ABS(J244)-K244)*60)</f>
        <v>7</v>
      </c>
      <c r="M244" s="129">
        <f>INT((((ABS(J244)-K244)*60)-L244)*60)</f>
        <v>43</v>
      </c>
      <c r="N244" s="129">
        <f>INT((((((ABS(J244)-K244)*60)-L244)*60)-M244)*60)</f>
        <v>21</v>
      </c>
      <c r="Q244" s="33" t="s">
        <v>786</v>
      </c>
    </row>
    <row r="245" spans="2:20" ht="24.75">
      <c r="B245" s="5"/>
      <c r="C245" s="5">
        <f>[2]!tq(C243-180)</f>
        <v>222.64305555600001</v>
      </c>
      <c r="D245" s="31">
        <f t="shared" si="73"/>
        <v>222</v>
      </c>
      <c r="E245" s="31">
        <f t="shared" si="74"/>
        <v>38</v>
      </c>
      <c r="F245" s="31">
        <f t="shared" si="75"/>
        <v>35</v>
      </c>
      <c r="G245" s="31">
        <f t="shared" si="76"/>
        <v>0</v>
      </c>
      <c r="I245" s="30"/>
      <c r="J245" s="30">
        <f>[2]!atj(J244*J242)</f>
        <v>88.33765573136148</v>
      </c>
      <c r="K245" s="129">
        <f>INT(ABS(J245))</f>
        <v>88</v>
      </c>
      <c r="L245" s="129">
        <f>INT((ABS(J245)-K245)*60)</f>
        <v>20</v>
      </c>
      <c r="M245" s="129">
        <f>INT((((ABS(J245)-K245)*60)-L245)*60)</f>
        <v>15</v>
      </c>
      <c r="N245" s="129">
        <f>INT((((((ABS(J245)-K245)*60)-L245)*60)-M245)*60)</f>
        <v>33</v>
      </c>
      <c r="Q245" s="33" t="s">
        <v>787</v>
      </c>
    </row>
    <row r="246" spans="2:20" ht="24.75">
      <c r="B246" s="5" t="s">
        <v>493</v>
      </c>
      <c r="C246" s="5">
        <f>C244-C245</f>
        <v>30.799999999999983</v>
      </c>
      <c r="D246" s="31">
        <f t="shared" si="73"/>
        <v>30</v>
      </c>
      <c r="E246" s="31">
        <f t="shared" si="74"/>
        <v>47</v>
      </c>
      <c r="F246" s="31">
        <f t="shared" si="75"/>
        <v>59</v>
      </c>
      <c r="G246" s="31">
        <f t="shared" si="76"/>
        <v>59</v>
      </c>
      <c r="I246" s="30"/>
      <c r="J246" s="30">
        <f>J245+J243</f>
        <v>137.90184037858793</v>
      </c>
      <c r="K246" s="129">
        <f>INT(ABS(J246))</f>
        <v>137</v>
      </c>
      <c r="L246" s="129">
        <f>INT((ABS(J246)-K246)*60)</f>
        <v>54</v>
      </c>
      <c r="M246" s="129">
        <f>INT((((ABS(J246)-K246)*60)-L246)*60)</f>
        <v>6</v>
      </c>
      <c r="N246" s="129">
        <f>INT((((((ABS(J246)-K246)*60)-L246)*60)-M246)*60)</f>
        <v>37</v>
      </c>
      <c r="Q246" s="33" t="s">
        <v>788</v>
      </c>
    </row>
    <row r="247" spans="2:20">
      <c r="B247" s="5" t="s">
        <v>492</v>
      </c>
      <c r="C247">
        <f>C229-C243</f>
        <v>66.486372225953431</v>
      </c>
      <c r="I247" s="30"/>
      <c r="J247" s="128">
        <f>(((((((((O230/60)+N216)/60)+N247)/60)+M247)/60)+L247)/60)+K247</f>
        <v>210.62111111111111</v>
      </c>
      <c r="K247" s="30">
        <v>210</v>
      </c>
      <c r="L247" s="30">
        <v>37</v>
      </c>
      <c r="M247" s="30">
        <v>16</v>
      </c>
      <c r="N247" s="30"/>
      <c r="Q247" s="33" t="s">
        <v>789</v>
      </c>
    </row>
    <row r="248" spans="2:20" ht="24.75">
      <c r="I248" s="30"/>
      <c r="J248" s="30">
        <f>J247-J246</f>
        <v>72.719270732523171</v>
      </c>
      <c r="K248" s="129">
        <f t="shared" ref="K248:K255" si="77">INT(ABS(J248))</f>
        <v>72</v>
      </c>
      <c r="L248" s="129">
        <f t="shared" ref="L248:L255" si="78">INT((ABS(J248)-K248)*60)</f>
        <v>43</v>
      </c>
      <c r="M248" s="129">
        <f t="shared" ref="M248:M255" si="79">INT((((ABS(J248)-K248)*60)-L248)*60)</f>
        <v>9</v>
      </c>
      <c r="N248" s="129">
        <f t="shared" ref="N248:N255" si="80">INT((((((ABS(J248)-K248)*60)-L248)*60)-M248)*60)</f>
        <v>22</v>
      </c>
      <c r="Q248" s="33" t="s">
        <v>790</v>
      </c>
    </row>
    <row r="249" spans="2:20" ht="24.75">
      <c r="B249" s="5"/>
      <c r="C249" s="5">
        <v>1286</v>
      </c>
      <c r="D249" s="1">
        <v>9</v>
      </c>
      <c r="E249" s="1">
        <v>21.156481400000001</v>
      </c>
      <c r="F249" s="1">
        <v>0.26388889999999998</v>
      </c>
      <c r="G249" s="1"/>
      <c r="I249" s="30"/>
      <c r="J249" s="30">
        <f>180-J246</f>
        <v>42.098159621412066</v>
      </c>
      <c r="K249" s="129">
        <f t="shared" si="77"/>
        <v>42</v>
      </c>
      <c r="L249" s="129">
        <f t="shared" si="78"/>
        <v>5</v>
      </c>
      <c r="M249" s="129">
        <f t="shared" si="79"/>
        <v>53</v>
      </c>
      <c r="N249" s="129">
        <f t="shared" si="80"/>
        <v>22</v>
      </c>
      <c r="Q249" s="33" t="s">
        <v>791</v>
      </c>
    </row>
    <row r="250" spans="2:20" ht="24.75">
      <c r="B250" s="5"/>
      <c r="C250" s="5">
        <v>1210</v>
      </c>
      <c r="D250" s="1">
        <v>5</v>
      </c>
      <c r="E250" s="1">
        <v>16.566203699999999</v>
      </c>
      <c r="F250" s="1">
        <v>4.39815E-3</v>
      </c>
      <c r="G250" s="1"/>
      <c r="I250" s="30"/>
      <c r="J250" s="30">
        <f>[2]!sn(J249)</f>
        <v>40.22416715129399</v>
      </c>
      <c r="K250" s="129">
        <f t="shared" si="77"/>
        <v>40</v>
      </c>
      <c r="L250" s="129">
        <f t="shared" si="78"/>
        <v>13</v>
      </c>
      <c r="M250" s="129">
        <f t="shared" si="79"/>
        <v>27</v>
      </c>
      <c r="N250" s="129">
        <f t="shared" si="80"/>
        <v>0</v>
      </c>
      <c r="Q250" s="33" t="s">
        <v>792</v>
      </c>
    </row>
    <row r="251" spans="2:20" ht="24.75">
      <c r="B251" s="5"/>
      <c r="C251" s="5"/>
      <c r="D251" s="1"/>
      <c r="E251" s="1"/>
      <c r="F251" s="1"/>
      <c r="G251" s="1"/>
      <c r="I251" s="30"/>
      <c r="J251" s="30">
        <f>[2]!tn(J229)</f>
        <v>6.3413653100664991E-2</v>
      </c>
      <c r="K251" s="129">
        <f t="shared" si="77"/>
        <v>0</v>
      </c>
      <c r="L251" s="129">
        <f t="shared" si="78"/>
        <v>3</v>
      </c>
      <c r="M251" s="129">
        <f t="shared" si="79"/>
        <v>48</v>
      </c>
      <c r="N251" s="129">
        <f t="shared" si="80"/>
        <v>17</v>
      </c>
      <c r="Q251" s="33" t="s">
        <v>793</v>
      </c>
    </row>
    <row r="252" spans="2:20" ht="24.75">
      <c r="B252" s="5"/>
      <c r="C252" s="5">
        <f>[2]!wasat(C249,D249,E249,F249)</f>
        <v>273.23535967469252</v>
      </c>
      <c r="D252" s="31">
        <f t="shared" ref="D252:D257" si="81">INT(ABS(C252))</f>
        <v>273</v>
      </c>
      <c r="E252" s="31">
        <f t="shared" ref="E252:E257" si="82">INT((ABS(C252)-D252)*60)</f>
        <v>14</v>
      </c>
      <c r="F252" s="31">
        <f t="shared" ref="F252:F257" si="83">INT((((ABS(C252)-D252)*60)-E252)*60)</f>
        <v>7</v>
      </c>
      <c r="G252" s="31">
        <f t="shared" ref="G252:G257" si="84">INT((((((ABS(C252)-D252)*60)-E252)*60)-F252)*60)</f>
        <v>17</v>
      </c>
      <c r="I252" s="30"/>
      <c r="J252" s="30">
        <f>J251*J250</f>
        <v>2.5507613819953212</v>
      </c>
      <c r="K252" s="129">
        <f t="shared" si="77"/>
        <v>2</v>
      </c>
      <c r="L252" s="129">
        <f t="shared" si="78"/>
        <v>33</v>
      </c>
      <c r="M252" s="129">
        <f t="shared" si="79"/>
        <v>2</v>
      </c>
      <c r="N252" s="129">
        <f t="shared" si="80"/>
        <v>44</v>
      </c>
      <c r="Q252" s="33" t="s">
        <v>794</v>
      </c>
    </row>
    <row r="253" spans="2:20" ht="24.75">
      <c r="B253" s="5"/>
      <c r="C253" s="5">
        <f>[2]!wasat(C250,D250,E250,F250)</f>
        <v>246.68664559487479</v>
      </c>
      <c r="D253" s="31">
        <f t="shared" si="81"/>
        <v>246</v>
      </c>
      <c r="E253" s="31">
        <f t="shared" si="82"/>
        <v>41</v>
      </c>
      <c r="F253" s="31">
        <f t="shared" si="83"/>
        <v>11</v>
      </c>
      <c r="G253" s="31">
        <f t="shared" si="84"/>
        <v>55</v>
      </c>
      <c r="I253" s="30"/>
      <c r="J253" s="30">
        <f>[2]!sn(J231)</f>
        <v>-54.465184455821785</v>
      </c>
      <c r="K253" s="129">
        <f t="shared" si="77"/>
        <v>54</v>
      </c>
      <c r="L253" s="129">
        <f t="shared" si="78"/>
        <v>27</v>
      </c>
      <c r="M253" s="129">
        <f t="shared" si="79"/>
        <v>54</v>
      </c>
      <c r="N253" s="129">
        <f t="shared" si="80"/>
        <v>39</v>
      </c>
      <c r="Q253" s="33" t="s">
        <v>795</v>
      </c>
    </row>
    <row r="254" spans="2:20" ht="24.75">
      <c r="B254" s="5"/>
      <c r="C254" s="5">
        <f>[2]!oujsh(C250,D250,E250,F250)</f>
        <v>99.746795714775189</v>
      </c>
      <c r="D254" s="31">
        <f t="shared" si="81"/>
        <v>99</v>
      </c>
      <c r="E254" s="31">
        <f t="shared" si="82"/>
        <v>44</v>
      </c>
      <c r="F254" s="31">
        <f t="shared" si="83"/>
        <v>48</v>
      </c>
      <c r="G254" s="31">
        <f t="shared" si="84"/>
        <v>27</v>
      </c>
      <c r="I254" s="30"/>
      <c r="J254" s="30">
        <f>J252/J253</f>
        <v>-4.6832878791851225E-2</v>
      </c>
      <c r="K254" s="129">
        <f t="shared" si="77"/>
        <v>0</v>
      </c>
      <c r="L254" s="129">
        <f t="shared" si="78"/>
        <v>2</v>
      </c>
      <c r="M254" s="129">
        <f t="shared" si="79"/>
        <v>48</v>
      </c>
      <c r="N254" s="129">
        <f t="shared" si="80"/>
        <v>35</v>
      </c>
      <c r="Q254" s="33" t="s">
        <v>775</v>
      </c>
    </row>
    <row r="255" spans="2:20" ht="24.75">
      <c r="B255" s="5"/>
      <c r="C255" s="5">
        <f>[2]!taqsh(C250,D250,E250,F250)</f>
        <v>245.61188578592206</v>
      </c>
      <c r="D255" s="31">
        <f t="shared" si="81"/>
        <v>245</v>
      </c>
      <c r="E255" s="31">
        <f t="shared" si="82"/>
        <v>36</v>
      </c>
      <c r="F255" s="31">
        <f t="shared" si="83"/>
        <v>42</v>
      </c>
      <c r="G255" s="31">
        <f t="shared" si="84"/>
        <v>47</v>
      </c>
      <c r="I255" s="30" t="s">
        <v>686</v>
      </c>
      <c r="J255" s="30">
        <f>[2]!atj(J254)</f>
        <v>-4.4722095871292701E-2</v>
      </c>
      <c r="K255" s="129">
        <f t="shared" si="77"/>
        <v>0</v>
      </c>
      <c r="L255" s="129">
        <f t="shared" si="78"/>
        <v>2</v>
      </c>
      <c r="M255" s="129">
        <f t="shared" si="79"/>
        <v>40</v>
      </c>
      <c r="N255" s="129">
        <f t="shared" si="80"/>
        <v>59</v>
      </c>
      <c r="Q255" s="33" t="s">
        <v>117</v>
      </c>
    </row>
    <row r="256" spans="2:20" ht="24.75">
      <c r="B256" s="5"/>
      <c r="C256" s="5">
        <f>[2]!mtash(C250,D250,E250,F250)</f>
        <v>145.86509007114688</v>
      </c>
      <c r="D256" s="31">
        <f t="shared" si="81"/>
        <v>145</v>
      </c>
      <c r="E256" s="31">
        <f t="shared" si="82"/>
        <v>51</v>
      </c>
      <c r="F256" s="31">
        <f t="shared" si="83"/>
        <v>54</v>
      </c>
      <c r="G256" s="31">
        <f t="shared" si="84"/>
        <v>19</v>
      </c>
      <c r="Q256" s="33" t="s">
        <v>659</v>
      </c>
    </row>
    <row r="257" spans="1:17" ht="24.75">
      <c r="A257" t="s">
        <v>494</v>
      </c>
      <c r="B257" s="5">
        <v>74</v>
      </c>
      <c r="C257" s="5">
        <f>[2]!taam(B257)</f>
        <v>-8.8254629629629627E-2</v>
      </c>
      <c r="D257" s="31">
        <f t="shared" si="81"/>
        <v>0</v>
      </c>
      <c r="E257" s="31">
        <f t="shared" si="82"/>
        <v>5</v>
      </c>
      <c r="F257" s="31">
        <f t="shared" si="83"/>
        <v>17</v>
      </c>
      <c r="G257" s="31">
        <f t="shared" si="84"/>
        <v>42</v>
      </c>
      <c r="I257" s="30"/>
      <c r="J257" s="128">
        <f>(((((((((O240/60)+N226)/60)+N257)/60)+M257)/60)+L257)/60)+K257</f>
        <v>88.875836959876537</v>
      </c>
      <c r="K257" s="30">
        <v>88</v>
      </c>
      <c r="L257" s="30">
        <v>52</v>
      </c>
      <c r="M257" s="30">
        <v>33</v>
      </c>
      <c r="N257" s="30"/>
      <c r="Q257" s="33" t="s">
        <v>275</v>
      </c>
    </row>
    <row r="258" spans="1:17">
      <c r="I258" s="30" t="s">
        <v>695</v>
      </c>
      <c r="J258" s="128">
        <f>((((((N258/60)+M258)/60)+L258)/60)+K258)</f>
        <v>59.99388888888889</v>
      </c>
      <c r="K258" s="30">
        <v>59</v>
      </c>
      <c r="L258" s="30">
        <v>59</v>
      </c>
      <c r="M258" s="30">
        <v>38</v>
      </c>
      <c r="N258" s="30"/>
    </row>
    <row r="259" spans="1:17">
      <c r="I259" s="30"/>
      <c r="J259" s="30">
        <f>J257*J258/60</f>
        <v>88.866784791297292</v>
      </c>
      <c r="K259" s="30"/>
      <c r="L259" s="30"/>
      <c r="M259" s="30"/>
      <c r="N259" s="30"/>
    </row>
    <row r="260" spans="1:17">
      <c r="I260" s="30"/>
      <c r="J260" s="30" t="e">
        <f ca="1">[4]!asn(J259/60)*60</f>
        <v>#NAME?</v>
      </c>
      <c r="K260" s="30"/>
      <c r="L260" s="30"/>
      <c r="M260" s="30"/>
      <c r="N260" s="30"/>
    </row>
    <row r="261" spans="1:17">
      <c r="A261">
        <v>1</v>
      </c>
      <c r="B261" s="30"/>
      <c r="C261" s="128">
        <f>(((((((((I261/60)+H261)/60)+G261)/60)+F261)/60)+E261)/60)+D261</f>
        <v>60.55</v>
      </c>
      <c r="D261" s="30">
        <v>60</v>
      </c>
      <c r="E261" s="30">
        <v>33</v>
      </c>
      <c r="F261" s="30"/>
      <c r="G261" s="30"/>
    </row>
    <row r="262" spans="1:17">
      <c r="A262">
        <v>2</v>
      </c>
      <c r="B262" s="30"/>
      <c r="C262" s="128">
        <f>(((((((((H262/60)+G262)/60)+G262)/60)+F262)/60)+E262)/60)+D262</f>
        <v>88.870555555555555</v>
      </c>
      <c r="D262" s="30">
        <v>88</v>
      </c>
      <c r="E262" s="30">
        <v>52</v>
      </c>
      <c r="F262" s="30">
        <v>14</v>
      </c>
      <c r="G262" s="30"/>
    </row>
    <row r="263" spans="1:17">
      <c r="B263" s="30" t="s">
        <v>689</v>
      </c>
      <c r="C263" s="30"/>
      <c r="D263" s="30"/>
      <c r="E263" s="30"/>
      <c r="F263" s="30"/>
    </row>
    <row r="264" spans="1:17">
      <c r="B264" s="30" t="s">
        <v>687</v>
      </c>
      <c r="C264" s="30"/>
      <c r="D264" s="30"/>
      <c r="E264" s="30"/>
      <c r="F264" s="30"/>
      <c r="J264" s="38">
        <f>(((((((((O247/60)+N233)/60)+N264)/60)+M264)/60)+L264)/60)+K264</f>
        <v>303.84722646604939</v>
      </c>
      <c r="K264" s="30">
        <v>303</v>
      </c>
      <c r="L264" s="30">
        <v>50</v>
      </c>
      <c r="M264" s="30">
        <v>50</v>
      </c>
      <c r="N264" s="30"/>
    </row>
    <row r="265" spans="1:17" ht="24.75">
      <c r="A265">
        <v>3</v>
      </c>
      <c r="B265" s="30"/>
      <c r="C265" s="30"/>
      <c r="D265" s="129">
        <f t="shared" ref="D265:D270" si="85">INT(ABS(C265))</f>
        <v>0</v>
      </c>
      <c r="E265" s="129">
        <f t="shared" ref="E265:E270" si="86">INT((ABS(C265)-D265)*60)</f>
        <v>0</v>
      </c>
      <c r="F265" s="129">
        <f t="shared" ref="F265:F270" si="87">INT((((ABS(C265)-D265)*60)-E265)*60)</f>
        <v>0</v>
      </c>
      <c r="J265" s="38">
        <f>(((((((((O248/60)+N234)/60)+N265)/60)+M265)/60)+L265)/60)+K265</f>
        <v>89.939446759259255</v>
      </c>
      <c r="K265" s="30">
        <v>89</v>
      </c>
      <c r="L265" s="30">
        <v>56</v>
      </c>
      <c r="M265" s="30">
        <v>22</v>
      </c>
      <c r="N265" s="30"/>
    </row>
    <row r="266" spans="1:17" ht="24.75">
      <c r="A266">
        <v>4</v>
      </c>
      <c r="B266" s="30"/>
      <c r="C266" s="30"/>
      <c r="D266" s="129">
        <f t="shared" si="85"/>
        <v>0</v>
      </c>
      <c r="E266" s="129">
        <f t="shared" si="86"/>
        <v>0</v>
      </c>
      <c r="F266" s="129">
        <f t="shared" si="87"/>
        <v>0</v>
      </c>
      <c r="J266" s="2">
        <f>J264*[2]!sn(J265)</f>
        <v>18230.823406597941</v>
      </c>
      <c r="K266" s="129">
        <f>INT(ABS(J266))</f>
        <v>18230</v>
      </c>
      <c r="L266" s="129">
        <f>INT((ABS(J266)-K266)*60)</f>
        <v>49</v>
      </c>
      <c r="M266" s="129">
        <f>INT((((ABS(J266)-K266)*60)-L266)*60)</f>
        <v>24</v>
      </c>
      <c r="N266" s="129">
        <f>INT((((((ABS(J266)-K266)*60)-L266)*60)-M266)*60)</f>
        <v>15</v>
      </c>
    </row>
    <row r="267" spans="1:17" ht="24.75">
      <c r="A267">
        <v>5</v>
      </c>
      <c r="B267" s="30"/>
      <c r="C267" s="30">
        <f>C262/C261</f>
        <v>1.4677218093403066</v>
      </c>
      <c r="D267" s="129">
        <f t="shared" si="85"/>
        <v>1</v>
      </c>
      <c r="E267" s="129">
        <f t="shared" si="86"/>
        <v>28</v>
      </c>
      <c r="F267" s="129">
        <f t="shared" si="87"/>
        <v>3</v>
      </c>
      <c r="J267" s="38">
        <f>(((((((((O250/60)+N236)/60)+N267)/60)+M267)/60)+L267)/60)+K267</f>
        <v>59.342779552469139</v>
      </c>
      <c r="K267" s="30">
        <v>59</v>
      </c>
      <c r="L267" s="30">
        <v>20</v>
      </c>
      <c r="M267" s="30">
        <v>34</v>
      </c>
      <c r="N267" s="30"/>
    </row>
    <row r="268" spans="1:17" ht="24.75">
      <c r="A268">
        <v>6</v>
      </c>
      <c r="B268" s="30"/>
      <c r="C268" s="30">
        <f>[2]!atj(C267*60)</f>
        <v>55.73229897121017</v>
      </c>
      <c r="D268" s="129">
        <f t="shared" si="85"/>
        <v>55</v>
      </c>
      <c r="E268" s="129">
        <f t="shared" si="86"/>
        <v>43</v>
      </c>
      <c r="F268" s="129">
        <f t="shared" si="87"/>
        <v>56</v>
      </c>
      <c r="J268" s="2">
        <f>J266/J267</f>
        <v>307.21215864987897</v>
      </c>
      <c r="K268" s="129">
        <f>INT(ABS(J268))</f>
        <v>307</v>
      </c>
      <c r="L268" s="129">
        <f>INT((ABS(J268)-K268)*60)</f>
        <v>12</v>
      </c>
      <c r="M268" s="129">
        <f>INT((((ABS(J268)-K268)*60)-L268)*60)</f>
        <v>43</v>
      </c>
      <c r="N268" s="129">
        <f>INT((((((ABS(J268)-K268)*60)-L268)*60)-M268)*60)</f>
        <v>46</v>
      </c>
    </row>
    <row r="269" spans="1:17" ht="24.75">
      <c r="A269">
        <v>7</v>
      </c>
      <c r="B269" s="30"/>
      <c r="C269" s="30">
        <f>C268-45</f>
        <v>10.73229897121017</v>
      </c>
      <c r="D269" s="129">
        <f t="shared" si="85"/>
        <v>10</v>
      </c>
      <c r="E269" s="129">
        <f t="shared" si="86"/>
        <v>43</v>
      </c>
      <c r="F269" s="129">
        <f t="shared" si="87"/>
        <v>56</v>
      </c>
    </row>
    <row r="270" spans="1:17" ht="24.75">
      <c r="A270">
        <v>8</v>
      </c>
      <c r="B270" s="30"/>
      <c r="C270" s="30">
        <f>[2]!tn(C269)</f>
        <v>11.372152425852466</v>
      </c>
      <c r="D270" s="129">
        <f t="shared" si="85"/>
        <v>11</v>
      </c>
      <c r="E270" s="129">
        <f t="shared" si="86"/>
        <v>22</v>
      </c>
      <c r="F270" s="129">
        <f t="shared" si="87"/>
        <v>19</v>
      </c>
      <c r="J270" s="38">
        <f>(((((((((V253/60)+U239)/60)+U270)/60)+M270)/60)+L270)/60)+K270</f>
        <v>30.8</v>
      </c>
      <c r="K270" s="129">
        <v>30</v>
      </c>
      <c r="L270" s="129">
        <v>48</v>
      </c>
      <c r="M270" s="129">
        <v>0</v>
      </c>
    </row>
    <row r="271" spans="1:17" ht="24.75">
      <c r="A271">
        <v>9</v>
      </c>
      <c r="B271" s="30" t="s">
        <v>495</v>
      </c>
      <c r="C271" s="38">
        <f>(((((((((O254/60)+N240)/60)+N271)/60)+F271)/60)+E271)/60)+D271</f>
        <v>30.8</v>
      </c>
      <c r="D271" s="129">
        <v>30</v>
      </c>
      <c r="E271" s="129">
        <v>48</v>
      </c>
      <c r="F271" s="129">
        <v>0</v>
      </c>
      <c r="J271" s="30">
        <f>J270/2</f>
        <v>15.4</v>
      </c>
      <c r="K271" s="129">
        <f t="shared" ref="K271:K277" si="88">INT(ABS(J271))</f>
        <v>15</v>
      </c>
      <c r="L271" s="129">
        <f t="shared" ref="L271:L277" si="89">INT((ABS(J271)-K271)*60)</f>
        <v>24</v>
      </c>
      <c r="M271" s="129">
        <f t="shared" ref="M271:M277" si="90">INT((((ABS(J271)-K271)*60)-L271)*60)</f>
        <v>0</v>
      </c>
    </row>
    <row r="272" spans="1:17" ht="24.75">
      <c r="A272">
        <v>10</v>
      </c>
      <c r="B272" s="30"/>
      <c r="C272" s="30">
        <f>C271/2</f>
        <v>15.4</v>
      </c>
      <c r="D272" s="129">
        <f>INT(ABS(C272))</f>
        <v>15</v>
      </c>
      <c r="E272" s="129">
        <f>INT((ABS(C272)-D272)*60)</f>
        <v>24</v>
      </c>
      <c r="F272" s="129">
        <f>INT((((ABS(C272)-D272)*60)-E272)*60)</f>
        <v>0</v>
      </c>
      <c r="J272" s="30">
        <f>90-J271</f>
        <v>74.599999999999994</v>
      </c>
      <c r="K272" s="129">
        <f t="shared" si="88"/>
        <v>74</v>
      </c>
      <c r="L272" s="129">
        <f t="shared" si="89"/>
        <v>35</v>
      </c>
      <c r="M272" s="129">
        <f t="shared" si="90"/>
        <v>59</v>
      </c>
    </row>
    <row r="273" spans="1:13" ht="24.75">
      <c r="A273">
        <v>11</v>
      </c>
      <c r="B273" s="30"/>
      <c r="C273" s="30">
        <f>90-C272</f>
        <v>74.599999999999994</v>
      </c>
      <c r="D273" s="129">
        <f>INT(ABS(C273))</f>
        <v>74</v>
      </c>
      <c r="E273" s="129">
        <f>INT((ABS(C273)-D273)*60)</f>
        <v>35</v>
      </c>
      <c r="F273" s="129">
        <f>INT((((ABS(C273)-D273)*60)-E273)*60)</f>
        <v>59</v>
      </c>
      <c r="J273" s="30">
        <f>[2]!tn(J272)/60</f>
        <v>3.6304771035146635</v>
      </c>
      <c r="K273" s="129">
        <f t="shared" si="88"/>
        <v>3</v>
      </c>
      <c r="L273" s="129">
        <f t="shared" si="89"/>
        <v>37</v>
      </c>
      <c r="M273" s="129">
        <f t="shared" si="90"/>
        <v>49</v>
      </c>
    </row>
    <row r="274" spans="1:13" ht="24.75">
      <c r="A274">
        <v>12</v>
      </c>
      <c r="B274" s="30"/>
      <c r="C274" s="30">
        <f>[2]!tn(C273)/60</f>
        <v>3.6304771035146635</v>
      </c>
      <c r="D274" s="129">
        <f>INT(ABS(C274))</f>
        <v>3</v>
      </c>
      <c r="E274" s="129">
        <f>INT((ABS(C274)-D274)*60)</f>
        <v>37</v>
      </c>
      <c r="F274" s="129">
        <f>INT((((ABS(C274)-D274)*60)-E274)*60)</f>
        <v>49</v>
      </c>
      <c r="J274" s="30">
        <f>J269*J273</f>
        <v>0</v>
      </c>
      <c r="K274" s="129">
        <f t="shared" si="88"/>
        <v>0</v>
      </c>
      <c r="L274" s="129">
        <f t="shared" si="89"/>
        <v>0</v>
      </c>
      <c r="M274" s="129">
        <f t="shared" si="90"/>
        <v>0</v>
      </c>
    </row>
    <row r="275" spans="1:13" ht="24.75">
      <c r="A275">
        <v>13</v>
      </c>
      <c r="B275" s="30"/>
      <c r="C275" s="30">
        <f>C270*C274</f>
        <v>41.286338999736117</v>
      </c>
      <c r="D275" s="129">
        <f t="shared" ref="D275:D298" si="91">INT(ABS(C275))</f>
        <v>41</v>
      </c>
      <c r="E275" s="129">
        <f t="shared" ref="E275:E280" si="92">INT((ABS(C275)-D275)*60)</f>
        <v>17</v>
      </c>
      <c r="F275" s="129">
        <f t="shared" ref="F275:F280" si="93">INT((((ABS(C275)-D275)*60)-E275)*60)</f>
        <v>10</v>
      </c>
      <c r="J275" s="30">
        <f>J274/60</f>
        <v>0</v>
      </c>
      <c r="K275" s="129">
        <f t="shared" si="88"/>
        <v>0</v>
      </c>
      <c r="L275" s="129">
        <f t="shared" si="89"/>
        <v>0</v>
      </c>
      <c r="M275" s="129">
        <f t="shared" si="90"/>
        <v>0</v>
      </c>
    </row>
    <row r="276" spans="1:13" ht="24.75">
      <c r="A276">
        <v>14</v>
      </c>
      <c r="B276" s="30"/>
      <c r="C276" s="30">
        <f>C275/60</f>
        <v>0.68810564999560198</v>
      </c>
      <c r="D276" s="129">
        <f t="shared" si="91"/>
        <v>0</v>
      </c>
      <c r="E276" s="129">
        <f t="shared" si="92"/>
        <v>41</v>
      </c>
      <c r="F276" s="129">
        <f t="shared" si="93"/>
        <v>17</v>
      </c>
      <c r="J276" s="30">
        <f>[2]!atj(J275*60)</f>
        <v>0</v>
      </c>
      <c r="K276" s="129">
        <f t="shared" si="88"/>
        <v>0</v>
      </c>
      <c r="L276" s="129">
        <f t="shared" si="89"/>
        <v>0</v>
      </c>
      <c r="M276" s="129">
        <f t="shared" si="90"/>
        <v>0</v>
      </c>
    </row>
    <row r="277" spans="1:13" ht="24.75">
      <c r="A277">
        <v>15</v>
      </c>
      <c r="B277" s="30" t="s">
        <v>694</v>
      </c>
      <c r="C277" s="30">
        <f>[2]!atj(C276*60)</f>
        <v>34.53207999758434</v>
      </c>
      <c r="D277" s="129">
        <f t="shared" si="91"/>
        <v>34</v>
      </c>
      <c r="E277" s="129">
        <f t="shared" si="92"/>
        <v>31</v>
      </c>
      <c r="F277" s="129">
        <f t="shared" si="93"/>
        <v>55</v>
      </c>
      <c r="J277" s="2">
        <f>J272+J276</f>
        <v>74.599999999999994</v>
      </c>
      <c r="K277" s="129">
        <f t="shared" si="88"/>
        <v>74</v>
      </c>
      <c r="L277" s="129">
        <f t="shared" si="89"/>
        <v>35</v>
      </c>
      <c r="M277" s="129">
        <f t="shared" si="90"/>
        <v>59</v>
      </c>
    </row>
    <row r="278" spans="1:13" ht="24.75">
      <c r="A278">
        <v>16</v>
      </c>
      <c r="B278" s="30" t="s">
        <v>684</v>
      </c>
      <c r="C278" s="2">
        <f>C273+C277</f>
        <v>109.13207999758433</v>
      </c>
      <c r="D278" s="129">
        <f t="shared" si="91"/>
        <v>109</v>
      </c>
      <c r="E278" s="129">
        <f t="shared" si="92"/>
        <v>7</v>
      </c>
      <c r="F278" s="129">
        <f t="shared" si="93"/>
        <v>55</v>
      </c>
    </row>
    <row r="279" spans="1:13" ht="24.75">
      <c r="A279">
        <v>17</v>
      </c>
      <c r="B279" s="30" t="s">
        <v>492</v>
      </c>
      <c r="C279" s="30">
        <f>C278-C271</f>
        <v>78.33207999758433</v>
      </c>
      <c r="D279" s="129">
        <f t="shared" si="91"/>
        <v>78</v>
      </c>
      <c r="E279" s="129">
        <f t="shared" si="92"/>
        <v>19</v>
      </c>
      <c r="F279" s="129">
        <f t="shared" si="93"/>
        <v>55</v>
      </c>
    </row>
    <row r="280" spans="1:13" ht="24.75">
      <c r="A280">
        <v>18</v>
      </c>
      <c r="B280" s="30" t="s">
        <v>685</v>
      </c>
      <c r="C280" s="30">
        <f>180-C278</f>
        <v>70.867920002415673</v>
      </c>
      <c r="D280" s="129">
        <f t="shared" si="91"/>
        <v>70</v>
      </c>
      <c r="E280" s="129">
        <f t="shared" si="92"/>
        <v>52</v>
      </c>
      <c r="F280" s="129">
        <f t="shared" si="93"/>
        <v>4</v>
      </c>
    </row>
    <row r="281" spans="1:13" ht="24.75">
      <c r="A281">
        <v>19</v>
      </c>
      <c r="B281" s="30"/>
      <c r="C281" s="30">
        <f>[2]!sn(C280)</f>
        <v>56.685933253916154</v>
      </c>
      <c r="D281" s="129">
        <f t="shared" si="91"/>
        <v>56</v>
      </c>
      <c r="E281" s="129">
        <f>INT((ABS(C281)-D281)*60)</f>
        <v>41</v>
      </c>
      <c r="F281" s="129">
        <f>INT((((ABS(C281)-D281)*60)-E281)*60)</f>
        <v>9</v>
      </c>
    </row>
    <row r="282" spans="1:13" ht="24.75">
      <c r="A282">
        <v>20</v>
      </c>
      <c r="B282" s="30" t="s">
        <v>696</v>
      </c>
      <c r="C282" s="38">
        <f>(((((((((I282/60)+H282)/60)+G282)/60)+F282)/60)+E282)/60)+D282</f>
        <v>0.80222222222222217</v>
      </c>
      <c r="D282" s="129">
        <v>0</v>
      </c>
      <c r="E282" s="129">
        <v>48</v>
      </c>
      <c r="F282" s="129">
        <v>8</v>
      </c>
    </row>
    <row r="283" spans="1:13" ht="24.75">
      <c r="A283">
        <v>21</v>
      </c>
      <c r="B283" s="30" t="s">
        <v>697</v>
      </c>
      <c r="C283" s="30">
        <f>[2]!tn(C282)</f>
        <v>0.84014004762214911</v>
      </c>
      <c r="D283" s="129">
        <f t="shared" si="91"/>
        <v>0</v>
      </c>
      <c r="E283" s="129">
        <f>INT((ABS(C283)-D283)*60)</f>
        <v>50</v>
      </c>
      <c r="F283" s="129">
        <f>INT((((ABS(C283)-D283)*60)-E283)*60)</f>
        <v>24</v>
      </c>
    </row>
    <row r="284" spans="1:13" ht="24.75">
      <c r="A284">
        <v>22</v>
      </c>
      <c r="B284" s="30"/>
      <c r="C284" s="30">
        <f>C281*C283</f>
        <v>47.624122663451082</v>
      </c>
      <c r="D284" s="129">
        <f t="shared" si="91"/>
        <v>47</v>
      </c>
      <c r="E284" s="129">
        <f>INT((ABS(C284)-D284)*60)</f>
        <v>37</v>
      </c>
      <c r="F284" s="129">
        <f>INT((((ABS(C284)-D284)*60)-E284)*60)</f>
        <v>26</v>
      </c>
    </row>
    <row r="285" spans="1:13" ht="24.75">
      <c r="A285">
        <v>23</v>
      </c>
      <c r="B285" s="30"/>
      <c r="C285" s="30">
        <f>[2]!sn(C271)</f>
        <v>30.722571892234289</v>
      </c>
      <c r="D285" s="129">
        <f t="shared" si="91"/>
        <v>30</v>
      </c>
      <c r="E285" s="129">
        <f>INT((ABS(C285)-D285)*60)</f>
        <v>43</v>
      </c>
      <c r="F285" s="129">
        <f>INT((((ABS(C285)-D285)*60)-E285)*60)</f>
        <v>21</v>
      </c>
    </row>
    <row r="286" spans="1:13" ht="24.75">
      <c r="A286">
        <v>24</v>
      </c>
      <c r="B286" s="30"/>
      <c r="C286" s="30">
        <f>C284/C285</f>
        <v>1.5501346316481068</v>
      </c>
      <c r="D286" s="129">
        <f t="shared" si="91"/>
        <v>1</v>
      </c>
      <c r="E286" s="129">
        <f>INT((ABS(C286)-D286)*60)</f>
        <v>33</v>
      </c>
      <c r="F286" s="129">
        <f>INT((((ABS(C286)-D286)*60)-E286)*60)</f>
        <v>0</v>
      </c>
    </row>
    <row r="287" spans="1:13" ht="24.75">
      <c r="A287">
        <v>25</v>
      </c>
      <c r="B287" s="30" t="s">
        <v>688</v>
      </c>
      <c r="C287" s="30">
        <f>[2]!atj(C286*60)/60</f>
        <v>0.95289541957811386</v>
      </c>
      <c r="D287" s="129">
        <f t="shared" si="91"/>
        <v>0</v>
      </c>
      <c r="E287" s="129">
        <f>INT((ABS(C287)-D287)*60)</f>
        <v>57</v>
      </c>
      <c r="F287" s="129">
        <f>INT((((ABS(C287)-D287)*60)-E287)*60)</f>
        <v>10</v>
      </c>
    </row>
    <row r="288" spans="1:13" ht="24.75">
      <c r="A288">
        <v>26</v>
      </c>
      <c r="B288" s="30"/>
      <c r="C288" s="30"/>
      <c r="D288" s="129"/>
      <c r="E288" s="129"/>
      <c r="F288" s="129"/>
    </row>
    <row r="289" spans="1:7" ht="24.75">
      <c r="A289">
        <v>27</v>
      </c>
      <c r="B289" s="30"/>
      <c r="C289" s="30">
        <f>C282*C278/C271</f>
        <v>2.8424733679024485</v>
      </c>
      <c r="D289" s="129">
        <f t="shared" si="91"/>
        <v>2</v>
      </c>
      <c r="E289" s="129">
        <f t="shared" ref="E289:E298" si="94">INT((ABS(C289)-D289)*60)</f>
        <v>50</v>
      </c>
      <c r="F289" s="129">
        <f t="shared" ref="F289:F298" si="95">INT((((ABS(C289)-D289)*60)-E289)*60)</f>
        <v>32</v>
      </c>
    </row>
    <row r="290" spans="1:7" ht="24.75">
      <c r="A290">
        <v>28</v>
      </c>
      <c r="C290" s="30">
        <f>[2]!atj(C289*60)/60</f>
        <v>1.1769634576216974</v>
      </c>
      <c r="D290" s="129">
        <f t="shared" si="91"/>
        <v>1</v>
      </c>
      <c r="E290" s="129">
        <f t="shared" si="94"/>
        <v>10</v>
      </c>
      <c r="F290" s="129">
        <f t="shared" si="95"/>
        <v>37</v>
      </c>
    </row>
    <row r="291" spans="1:7" ht="24.75">
      <c r="A291">
        <v>29</v>
      </c>
      <c r="B291" t="s">
        <v>690</v>
      </c>
      <c r="C291">
        <f>[2]!sn(C271)*C224/[2]!sn(C278)</f>
        <v>48.16407644898711</v>
      </c>
      <c r="D291" s="129">
        <f t="shared" si="91"/>
        <v>48</v>
      </c>
      <c r="E291" s="129">
        <f t="shared" si="94"/>
        <v>9</v>
      </c>
      <c r="F291" s="129">
        <f t="shared" si="95"/>
        <v>50</v>
      </c>
      <c r="G291" t="s">
        <v>692</v>
      </c>
    </row>
    <row r="292" spans="1:7" ht="24.75">
      <c r="A292">
        <v>30</v>
      </c>
      <c r="C292">
        <f>C286*60/C291</f>
        <v>1.9310674003558594</v>
      </c>
      <c r="D292" s="129">
        <f t="shared" si="91"/>
        <v>1</v>
      </c>
      <c r="E292" s="129">
        <f t="shared" si="94"/>
        <v>55</v>
      </c>
      <c r="F292" s="129">
        <f t="shared" si="95"/>
        <v>51</v>
      </c>
    </row>
    <row r="293" spans="1:7" ht="24.75">
      <c r="A293">
        <v>31</v>
      </c>
      <c r="B293" t="s">
        <v>691</v>
      </c>
      <c r="C293">
        <f>[2]!atj(C292*60)/60</f>
        <v>1.0437116009396656</v>
      </c>
      <c r="D293" s="129">
        <f t="shared" si="91"/>
        <v>1</v>
      </c>
      <c r="E293" s="129">
        <f t="shared" si="94"/>
        <v>2</v>
      </c>
      <c r="F293" s="129">
        <f t="shared" si="95"/>
        <v>37</v>
      </c>
    </row>
    <row r="294" spans="1:7" ht="24.75">
      <c r="A294">
        <v>32</v>
      </c>
      <c r="B294" t="s">
        <v>693</v>
      </c>
      <c r="C294">
        <f>SQRT(POWER(C291,2)+POWER(C287,2))</f>
        <v>48.173501739696356</v>
      </c>
      <c r="D294" s="129">
        <f t="shared" si="91"/>
        <v>48</v>
      </c>
      <c r="E294" s="129">
        <f t="shared" si="94"/>
        <v>10</v>
      </c>
      <c r="F294" s="129">
        <f t="shared" si="95"/>
        <v>24</v>
      </c>
    </row>
    <row r="295" spans="1:7" ht="24.75">
      <c r="A295">
        <v>33</v>
      </c>
      <c r="C295">
        <f>180-(C278+C271)</f>
        <v>40.067920002415661</v>
      </c>
      <c r="D295" s="129">
        <f t="shared" si="91"/>
        <v>40</v>
      </c>
      <c r="E295" s="129">
        <f t="shared" si="94"/>
        <v>4</v>
      </c>
      <c r="F295" s="129">
        <f t="shared" si="95"/>
        <v>4</v>
      </c>
    </row>
    <row r="296" spans="1:7" ht="24.75">
      <c r="A296">
        <v>34</v>
      </c>
      <c r="C296">
        <f>[2]!sn(C295)*C224/[2]!sn(C278)</f>
        <v>60.547640182537641</v>
      </c>
      <c r="D296" s="129">
        <f t="shared" si="91"/>
        <v>60</v>
      </c>
      <c r="E296" s="129">
        <f t="shared" si="94"/>
        <v>32</v>
      </c>
      <c r="F296" s="129">
        <f t="shared" si="95"/>
        <v>51</v>
      </c>
    </row>
    <row r="297" spans="1:7" ht="24.75">
      <c r="A297">
        <v>35</v>
      </c>
      <c r="C297">
        <f>[2]!tn(C282)*[2]!sn(C278)/[2]!sn(C271)</f>
        <v>1.5501346316481068</v>
      </c>
      <c r="D297" s="129">
        <f t="shared" si="91"/>
        <v>1</v>
      </c>
      <c r="E297" s="129">
        <f t="shared" si="94"/>
        <v>33</v>
      </c>
      <c r="F297" s="129">
        <f t="shared" si="95"/>
        <v>0</v>
      </c>
    </row>
    <row r="298" spans="1:7" ht="24.75">
      <c r="A298">
        <v>36</v>
      </c>
      <c r="B298" s="30" t="s">
        <v>688</v>
      </c>
      <c r="C298" s="30">
        <f>[2]!atj(C297*60)/60</f>
        <v>0.95289541957811386</v>
      </c>
      <c r="D298" s="129">
        <f t="shared" si="91"/>
        <v>0</v>
      </c>
      <c r="E298" s="129">
        <f t="shared" si="94"/>
        <v>57</v>
      </c>
      <c r="F298" s="129">
        <f t="shared" si="95"/>
        <v>10</v>
      </c>
      <c r="G298" t="e">
        <f ca="1">[4]!arzkokab(C261,C262,C271,C282)</f>
        <v>#NAME?</v>
      </c>
    </row>
    <row r="300" spans="1:7">
      <c r="B300" t="s">
        <v>390</v>
      </c>
      <c r="C300" t="s">
        <v>391</v>
      </c>
      <c r="D300" t="s">
        <v>5</v>
      </c>
      <c r="E300" t="s">
        <v>393</v>
      </c>
    </row>
    <row r="301" spans="1:7">
      <c r="B301">
        <v>60</v>
      </c>
      <c r="C301">
        <v>1</v>
      </c>
      <c r="D301">
        <f>[2]!roz(10,1,15,0)</f>
        <v>10.052083333333334</v>
      </c>
      <c r="E301">
        <f>[2]!mbtool(1,15,0,-1)</f>
        <v>-5.2083333333333336E-2</v>
      </c>
    </row>
    <row r="302" spans="1:7">
      <c r="B302">
        <v>1210</v>
      </c>
      <c r="C302">
        <v>5</v>
      </c>
      <c r="D302">
        <f>[2]!roz(16,13,35,20)</f>
        <v>16.566203703703703</v>
      </c>
      <c r="E302">
        <f>[2]!mbtool(0,16,20,1)</f>
        <v>1.1342592592592593E-2</v>
      </c>
    </row>
    <row r="303" spans="1:7" ht="24.75">
      <c r="A303" t="s">
        <v>388</v>
      </c>
      <c r="B303">
        <f>[2]!wasat(B302,C302,D302,E302)</f>
        <v>246.69349195626</v>
      </c>
      <c r="C303" s="129">
        <f t="shared" ref="C303:C308" si="96">INT(ABS(B303))</f>
        <v>246</v>
      </c>
      <c r="D303" s="129">
        <f t="shared" ref="D303:D308" si="97">INT((ABS(B303)-C303)*60)</f>
        <v>41</v>
      </c>
      <c r="E303" s="129">
        <f t="shared" ref="E303:E308" si="98">INT((((ABS(B303)-C303)*60)-D303)*60)</f>
        <v>36</v>
      </c>
    </row>
    <row r="304" spans="1:7" ht="24.75">
      <c r="B304">
        <f>[2]!wasat(B301,C301,D301,E301)</f>
        <v>211.91540056123722</v>
      </c>
      <c r="C304" s="129">
        <f t="shared" si="96"/>
        <v>211</v>
      </c>
      <c r="D304" s="129">
        <f t="shared" si="97"/>
        <v>54</v>
      </c>
      <c r="E304" s="129">
        <f t="shared" si="98"/>
        <v>55</v>
      </c>
    </row>
    <row r="305" spans="2:48" ht="24.75">
      <c r="B305">
        <f>[2]!oujsh(B302,C302,D302,E302)</f>
        <v>99.746796039801211</v>
      </c>
      <c r="C305" s="129">
        <f t="shared" si="96"/>
        <v>99</v>
      </c>
      <c r="D305" s="129">
        <f t="shared" si="97"/>
        <v>44</v>
      </c>
      <c r="E305" s="129">
        <f t="shared" si="98"/>
        <v>48</v>
      </c>
    </row>
    <row r="306" spans="2:48" ht="24.75">
      <c r="B306">
        <f>[2]!oujsh(B301,C301,D301,E301)</f>
        <v>80.66746084685262</v>
      </c>
      <c r="C306" s="129">
        <f t="shared" si="96"/>
        <v>80</v>
      </c>
      <c r="D306" s="129">
        <f t="shared" si="97"/>
        <v>40</v>
      </c>
      <c r="E306" s="129">
        <f t="shared" si="98"/>
        <v>2</v>
      </c>
    </row>
    <row r="307" spans="2:48" ht="24.75">
      <c r="B307">
        <f>[2]!taqsh(B301,C301,D301,E301)</f>
        <v>210.44063255489021</v>
      </c>
      <c r="C307" s="129">
        <f t="shared" si="96"/>
        <v>210</v>
      </c>
      <c r="D307" s="129">
        <f t="shared" si="97"/>
        <v>26</v>
      </c>
      <c r="E307" s="129">
        <f t="shared" si="98"/>
        <v>26</v>
      </c>
    </row>
    <row r="308" spans="2:48" ht="24.75">
      <c r="B308">
        <f>[2]!taqsh(B302,C302,D302,E302)</f>
        <v>245.61892611833744</v>
      </c>
      <c r="C308" s="129">
        <f t="shared" si="96"/>
        <v>245</v>
      </c>
      <c r="D308" s="129">
        <f t="shared" si="97"/>
        <v>37</v>
      </c>
      <c r="E308" s="129">
        <f t="shared" si="98"/>
        <v>8</v>
      </c>
    </row>
    <row r="309" spans="2:48" ht="24.75">
      <c r="B309">
        <f>[2]!mtash(B302,C302,D302,E302)</f>
        <v>145.87213007853623</v>
      </c>
      <c r="C309" s="129">
        <f t="shared" ref="C309:C321" si="99">INT(ABS(B309))</f>
        <v>145</v>
      </c>
      <c r="D309" s="129">
        <f t="shared" ref="D309:D321" si="100">INT((ABS(B309)-C309)*60)</f>
        <v>52</v>
      </c>
      <c r="E309" s="129">
        <f t="shared" ref="E309:E321" si="101">INT((((ABS(B309)-C309)*60)-D309)*60)</f>
        <v>19</v>
      </c>
    </row>
    <row r="310" spans="2:48" ht="24.75">
      <c r="B310">
        <f>[2]!mtash(B301,C301,D301,E301)</f>
        <v>129.77317170803758</v>
      </c>
      <c r="C310" s="129">
        <f t="shared" si="99"/>
        <v>129</v>
      </c>
      <c r="D310" s="129">
        <f t="shared" si="100"/>
        <v>46</v>
      </c>
      <c r="E310" s="129">
        <f t="shared" si="101"/>
        <v>23</v>
      </c>
      <c r="R310" s="12"/>
      <c r="S310" s="12" t="s">
        <v>701</v>
      </c>
      <c r="T310" s="12" t="s">
        <v>702</v>
      </c>
      <c r="U310" s="30"/>
      <c r="V310" s="30"/>
      <c r="W310" s="30"/>
    </row>
    <row r="311" spans="2:48" ht="24.75">
      <c r="B311">
        <f>[2]!boadsh(93,0)</f>
        <v>-59.94502301664722</v>
      </c>
      <c r="C311" s="129">
        <f t="shared" si="99"/>
        <v>59</v>
      </c>
      <c r="D311" s="129">
        <f t="shared" si="100"/>
        <v>56</v>
      </c>
      <c r="E311" s="129">
        <f t="shared" si="101"/>
        <v>42</v>
      </c>
      <c r="R311" s="12">
        <v>45</v>
      </c>
      <c r="S311" s="12">
        <v>20</v>
      </c>
      <c r="T311" s="131">
        <f>(((((((((V284/60)+U270)/60)+O326)/60)+W311)/60)+V311)/60)+U311</f>
        <v>10.675000000000001</v>
      </c>
      <c r="U311" s="30">
        <v>10</v>
      </c>
      <c r="V311" s="30">
        <v>40</v>
      </c>
      <c r="W311" s="30">
        <v>30</v>
      </c>
    </row>
    <row r="312" spans="2:48" ht="24.75">
      <c r="B312" t="e">
        <f>[2]!bshams(93,0)</f>
        <v>#VALUE!</v>
      </c>
      <c r="C312" s="129" t="e">
        <f t="shared" si="99"/>
        <v>#VALUE!</v>
      </c>
      <c r="D312" s="129" t="e">
        <f t="shared" si="100"/>
        <v>#VALUE!</v>
      </c>
      <c r="E312" s="129" t="e">
        <f t="shared" si="101"/>
        <v>#VALUE!</v>
      </c>
      <c r="R312" s="12"/>
      <c r="S312" s="12"/>
      <c r="T312" s="12">
        <f>T311-(T311*S311/R311)</f>
        <v>5.9305555555555562</v>
      </c>
      <c r="U312" s="129">
        <f>INT(ABS(T312))</f>
        <v>5</v>
      </c>
      <c r="V312" s="129">
        <f>INT((ABS(T312)-U312)*60)</f>
        <v>55</v>
      </c>
      <c r="W312" s="129">
        <f>INT((((ABS(T312)-U312)*60)-V312)*60)</f>
        <v>50</v>
      </c>
    </row>
    <row r="313" spans="2:48" ht="24.75">
      <c r="B313" t="e">
        <f ca="1">[2]!qtr(105)</f>
        <v>#NAME?</v>
      </c>
      <c r="C313" s="129" t="e">
        <f ca="1">INT(ABS(B313))</f>
        <v>#NAME?</v>
      </c>
      <c r="D313" s="129" t="e">
        <f ca="1">INT((ABS(B313)-C313)*60)</f>
        <v>#NAME?</v>
      </c>
      <c r="E313" s="129" t="e">
        <f ca="1">INT((((ABS(B313)-C313)*60)-D313)*60)</f>
        <v>#NAME?</v>
      </c>
    </row>
    <row r="314" spans="2:48" ht="24.75">
      <c r="B314">
        <f>[2]!qst(105)</f>
        <v>2.4463316824805759</v>
      </c>
      <c r="C314" s="129">
        <f t="shared" si="99"/>
        <v>2</v>
      </c>
      <c r="D314" s="129">
        <f t="shared" si="100"/>
        <v>26</v>
      </c>
      <c r="E314" s="129">
        <f t="shared" si="101"/>
        <v>46</v>
      </c>
    </row>
    <row r="315" spans="2:48" ht="24.75">
      <c r="B315">
        <f>[2]!wasatq(B301,C301,D301,E301)</f>
        <v>342.06355565630656</v>
      </c>
      <c r="C315" s="129">
        <f t="shared" si="99"/>
        <v>342</v>
      </c>
      <c r="D315" s="129">
        <f t="shared" si="100"/>
        <v>3</v>
      </c>
      <c r="E315" s="129">
        <f t="shared" si="101"/>
        <v>48</v>
      </c>
      <c r="R315">
        <v>1252</v>
      </c>
    </row>
    <row r="316" spans="2:48" ht="24.75">
      <c r="B316">
        <f>[2]!oujq(B301,C301,D301,E301)</f>
        <v>182.96291733689827</v>
      </c>
      <c r="C316" s="129">
        <f t="shared" si="99"/>
        <v>182</v>
      </c>
      <c r="D316" s="129">
        <f t="shared" si="100"/>
        <v>57</v>
      </c>
      <c r="E316" s="129">
        <f t="shared" si="101"/>
        <v>46</v>
      </c>
      <c r="R316">
        <v>0</v>
      </c>
    </row>
    <row r="317" spans="2:48" ht="24.75">
      <c r="B317">
        <f>[2]!rasq(B301,C301,D301,E301)</f>
        <v>99.407132540014459</v>
      </c>
      <c r="C317" s="129">
        <f t="shared" si="99"/>
        <v>99</v>
      </c>
      <c r="D317" s="129">
        <f t="shared" si="100"/>
        <v>24</v>
      </c>
      <c r="E317" s="129">
        <f t="shared" si="101"/>
        <v>25</v>
      </c>
      <c r="F317" s="4">
        <f>(((I317/60)+H317)/60)+G317</f>
        <v>58.998055555555553</v>
      </c>
      <c r="G317">
        <v>58</v>
      </c>
      <c r="H317">
        <v>59</v>
      </c>
      <c r="I317">
        <v>53</v>
      </c>
      <c r="R317">
        <v>1</v>
      </c>
    </row>
    <row r="318" spans="2:48" ht="24.75">
      <c r="C318" s="129">
        <f t="shared" si="99"/>
        <v>0</v>
      </c>
      <c r="D318" s="129">
        <f t="shared" si="100"/>
        <v>0</v>
      </c>
      <c r="E318" s="129">
        <f t="shared" si="101"/>
        <v>0</v>
      </c>
      <c r="F318" s="4">
        <f>(((I318/60)+H318)/60)+G318</f>
        <v>272.40166666666664</v>
      </c>
      <c r="G318">
        <v>272</v>
      </c>
      <c r="H318">
        <v>24</v>
      </c>
      <c r="I318">
        <v>6</v>
      </c>
    </row>
    <row r="319" spans="2:48" ht="24.75">
      <c r="C319" s="129">
        <f t="shared" si="99"/>
        <v>0</v>
      </c>
      <c r="D319" s="129">
        <f t="shared" si="100"/>
        <v>0</v>
      </c>
      <c r="E319" s="129">
        <f t="shared" si="101"/>
        <v>0</v>
      </c>
      <c r="F319" s="4">
        <f>(((I319/60)+H319)/60)+G319</f>
        <v>274.46222222222224</v>
      </c>
      <c r="G319">
        <v>274</v>
      </c>
      <c r="H319">
        <v>27</v>
      </c>
      <c r="I319">
        <v>44</v>
      </c>
      <c r="R319" t="e">
        <f ca="1">[5]!rasq(R315,R316,R317,R318)</f>
        <v>#NAME?</v>
      </c>
    </row>
    <row r="320" spans="2:48" ht="24.75">
      <c r="C320" s="129">
        <f t="shared" si="99"/>
        <v>0</v>
      </c>
      <c r="D320" s="129">
        <f t="shared" si="100"/>
        <v>0</v>
      </c>
      <c r="E320" s="129">
        <f t="shared" si="101"/>
        <v>0</v>
      </c>
      <c r="F320" s="4">
        <f>(((I320/60)+H320)/60)+G320</f>
        <v>179.40416666666667</v>
      </c>
      <c r="G320">
        <v>179</v>
      </c>
      <c r="H320">
        <v>24</v>
      </c>
      <c r="I320">
        <v>15</v>
      </c>
      <c r="J320" t="s">
        <v>716</v>
      </c>
      <c r="AQ320" s="1"/>
      <c r="AR320" s="1"/>
      <c r="AS320" s="1"/>
      <c r="AT320" s="1"/>
      <c r="AU320" s="1"/>
      <c r="AV320" s="1"/>
    </row>
    <row r="321" spans="1:48" ht="24.75">
      <c r="C321" s="129">
        <f t="shared" si="99"/>
        <v>0</v>
      </c>
      <c r="D321" s="129">
        <f t="shared" si="100"/>
        <v>0</v>
      </c>
      <c r="E321" s="129">
        <f t="shared" si="101"/>
        <v>0</v>
      </c>
      <c r="F321" s="4">
        <f>(((I321/60)+H321)/60)+G321</f>
        <v>1.0141666666666667</v>
      </c>
      <c r="G321">
        <v>1</v>
      </c>
      <c r="H321">
        <v>0</v>
      </c>
      <c r="I321">
        <v>51</v>
      </c>
      <c r="AQ321" s="1" t="s">
        <v>824</v>
      </c>
      <c r="AR321" s="1"/>
      <c r="AS321" s="1"/>
      <c r="AT321" s="1"/>
      <c r="AU321" s="1"/>
      <c r="AV321" s="1"/>
    </row>
    <row r="322" spans="1:48">
      <c r="AQ322" s="1"/>
      <c r="AR322" s="1"/>
      <c r="AS322" s="1"/>
      <c r="AT322" s="1"/>
      <c r="AU322" s="1"/>
      <c r="AV322" s="1"/>
    </row>
    <row r="323" spans="1:48">
      <c r="AQ323" s="1" t="s">
        <v>3</v>
      </c>
      <c r="AR323" s="1">
        <v>1254</v>
      </c>
      <c r="AS323" s="1"/>
      <c r="AT323" s="1"/>
      <c r="AU323" s="1"/>
      <c r="AV323" s="1"/>
    </row>
    <row r="324" spans="1:48">
      <c r="A324" s="10"/>
      <c r="B324" s="10" t="s">
        <v>699</v>
      </c>
      <c r="C324" s="10"/>
      <c r="D324" s="10"/>
      <c r="E324" s="10"/>
      <c r="F324" s="10"/>
      <c r="P324" s="10"/>
      <c r="Q324" s="10" t="s">
        <v>699</v>
      </c>
      <c r="R324" s="10"/>
      <c r="S324" s="10"/>
      <c r="T324" s="10"/>
      <c r="U324" s="10"/>
      <c r="Y324" s="10"/>
      <c r="Z324" s="10" t="s">
        <v>699</v>
      </c>
      <c r="AA324" s="10"/>
      <c r="AB324" s="10"/>
      <c r="AC324" s="10"/>
      <c r="AD324" s="10"/>
      <c r="AI324" s="10"/>
      <c r="AJ324" s="10" t="s">
        <v>699</v>
      </c>
      <c r="AK324" s="10"/>
      <c r="AL324" s="10"/>
      <c r="AM324" s="10"/>
      <c r="AN324" s="10"/>
      <c r="AQ324" s="1" t="s">
        <v>4</v>
      </c>
      <c r="AR324" s="1">
        <v>7</v>
      </c>
      <c r="AS324" s="1"/>
      <c r="AT324" s="1"/>
      <c r="AU324" s="1"/>
      <c r="AV324" s="1"/>
    </row>
    <row r="325" spans="1:48">
      <c r="A325" s="10"/>
      <c r="B325" s="10"/>
      <c r="C325" s="10" t="s">
        <v>390</v>
      </c>
      <c r="D325" s="10" t="s">
        <v>391</v>
      </c>
      <c r="E325" s="10" t="s">
        <v>5</v>
      </c>
      <c r="F325" s="10" t="s">
        <v>393</v>
      </c>
      <c r="P325" s="10"/>
      <c r="Q325" s="10"/>
      <c r="R325" s="10" t="s">
        <v>390</v>
      </c>
      <c r="S325" s="10" t="s">
        <v>391</v>
      </c>
      <c r="T325" s="10" t="s">
        <v>5</v>
      </c>
      <c r="U325" s="10" t="s">
        <v>393</v>
      </c>
      <c r="Y325" s="10"/>
      <c r="Z325" s="10"/>
      <c r="AA325" s="10" t="s">
        <v>390</v>
      </c>
      <c r="AB325" s="10" t="s">
        <v>391</v>
      </c>
      <c r="AC325" s="10" t="s">
        <v>5</v>
      </c>
      <c r="AD325" s="10" t="s">
        <v>393</v>
      </c>
      <c r="AI325" s="10"/>
      <c r="AJ325" s="10"/>
      <c r="AK325" s="10" t="s">
        <v>390</v>
      </c>
      <c r="AL325" s="10" t="s">
        <v>391</v>
      </c>
      <c r="AM325" s="10" t="s">
        <v>5</v>
      </c>
      <c r="AN325" s="10" t="s">
        <v>393</v>
      </c>
      <c r="AQ325" s="1" t="s">
        <v>5</v>
      </c>
      <c r="AR325" s="1" t="e">
        <f ca="1">[5]!roz(14,12,0,0)</f>
        <v>#NAME?</v>
      </c>
      <c r="AS325" s="1"/>
      <c r="AT325" s="1"/>
      <c r="AU325" s="1"/>
      <c r="AV325" s="1"/>
    </row>
    <row r="326" spans="1:48">
      <c r="A326" s="10"/>
      <c r="B326" s="10"/>
      <c r="C326" s="10">
        <v>1254</v>
      </c>
      <c r="D326" s="10">
        <v>7</v>
      </c>
      <c r="E326" s="10">
        <f>[2]!roz(15,8,38,11)</f>
        <v>15.359849537037038</v>
      </c>
      <c r="F326" s="10">
        <f>[2]!mbtool(0,10,6,-1)</f>
        <v>-7.013888888888889E-3</v>
      </c>
      <c r="G326">
        <f>C355</f>
        <v>9.8268541902934068</v>
      </c>
      <c r="P326" s="10"/>
      <c r="Q326" s="10"/>
      <c r="R326" s="10">
        <f>C326</f>
        <v>1254</v>
      </c>
      <c r="S326" s="10">
        <f>D326</f>
        <v>7</v>
      </c>
      <c r="T326" s="10">
        <f>E326+1</f>
        <v>16.359849537037036</v>
      </c>
      <c r="U326" s="10">
        <v>0</v>
      </c>
      <c r="Y326" s="10"/>
      <c r="Z326" s="10"/>
      <c r="AA326" s="10">
        <v>1254</v>
      </c>
      <c r="AB326" s="10">
        <v>7</v>
      </c>
      <c r="AC326" s="10" t="e">
        <f ca="1">E326+(AR336/24)</f>
        <v>#NAME?</v>
      </c>
      <c r="AD326" s="10">
        <f>BL326</f>
        <v>0</v>
      </c>
      <c r="AI326" s="10"/>
      <c r="AJ326" s="10"/>
      <c r="AK326" s="10">
        <v>35</v>
      </c>
      <c r="AL326" s="10">
        <v>9</v>
      </c>
      <c r="AM326" s="10" t="e">
        <f ca="1">[5]!roz(21,3,45,20)</f>
        <v>#NAME?</v>
      </c>
      <c r="AN326" s="10">
        <f>BV326</f>
        <v>0</v>
      </c>
      <c r="AQ326" s="1" t="s">
        <v>330</v>
      </c>
      <c r="AR326" s="1">
        <v>0</v>
      </c>
      <c r="AS326" s="1"/>
      <c r="AT326" s="1"/>
      <c r="AU326" s="1"/>
      <c r="AV326" s="1"/>
    </row>
    <row r="327" spans="1:48" ht="24.75">
      <c r="A327" s="10"/>
      <c r="B327" s="10"/>
      <c r="C327" s="10"/>
      <c r="D327" s="10"/>
      <c r="E327" s="10"/>
      <c r="F327" s="10"/>
      <c r="P327" s="10"/>
      <c r="Q327" s="10"/>
      <c r="R327" s="10"/>
      <c r="S327" s="10"/>
      <c r="T327" s="10"/>
      <c r="U327" s="10"/>
      <c r="Y327" s="10"/>
      <c r="Z327" s="10"/>
      <c r="AA327" s="10"/>
      <c r="AB327" s="10"/>
      <c r="AC327" s="10"/>
      <c r="AD327" s="10"/>
      <c r="AI327" s="10"/>
      <c r="AJ327" s="10"/>
      <c r="AK327" s="10"/>
      <c r="AL327" s="10"/>
      <c r="AM327" s="10"/>
      <c r="AN327" s="10"/>
      <c r="AQ327" s="1" t="s">
        <v>807</v>
      </c>
      <c r="AR327" s="1" t="e">
        <f ca="1">[5]!taqsh(AR323,AR324,AR325,AR326)</f>
        <v>#NAME?</v>
      </c>
      <c r="AS327" s="31" t="e">
        <f ca="1">INT(ABS(AR327))</f>
        <v>#NAME?</v>
      </c>
      <c r="AT327" s="31" t="e">
        <f ca="1">INT((ABS(AR327)-AS327)*60)</f>
        <v>#NAME?</v>
      </c>
      <c r="AU327" s="31" t="e">
        <f ca="1">INT((((ABS(AR327)-AS327)*60)-AT327)*60)</f>
        <v>#NAME?</v>
      </c>
      <c r="AV327" s="31" t="e">
        <f ca="1">INT((((((ABS(AR327)-AS327)*60)-AT327)*60)-AU327)*60)</f>
        <v>#NAME?</v>
      </c>
    </row>
    <row r="328" spans="1:48" ht="24.75">
      <c r="A328" s="4">
        <v>1</v>
      </c>
      <c r="B328" s="4" t="s">
        <v>401</v>
      </c>
      <c r="C328" s="4">
        <f>[2]!wasatq(C326,D326,E326,F326)</f>
        <v>9.0538648177898722</v>
      </c>
      <c r="D328" s="129">
        <f>INT(ABS(C328))</f>
        <v>9</v>
      </c>
      <c r="E328" s="129">
        <f>INT((ABS(C328)-D328)*60)</f>
        <v>3</v>
      </c>
      <c r="F328" s="129">
        <f>INT((((ABS(C328)-D328)*60)-E328)*60)</f>
        <v>13</v>
      </c>
      <c r="P328" s="4">
        <v>1</v>
      </c>
      <c r="Q328" s="4" t="s">
        <v>401</v>
      </c>
      <c r="R328" s="4" t="e">
        <f ca="1">[5]!wasatq(R326,S326,T326,U326)</f>
        <v>#NAME?</v>
      </c>
      <c r="S328" s="129" t="e">
        <f t="shared" ref="S328:S346" ca="1" si="102">INT(ABS(R328))</f>
        <v>#NAME?</v>
      </c>
      <c r="T328" s="129" t="e">
        <f t="shared" ref="T328:T346" ca="1" si="103">INT((ABS(R328)-S328)*60)</f>
        <v>#NAME?</v>
      </c>
      <c r="U328" s="129" t="e">
        <f t="shared" ref="U328:U346" ca="1" si="104">INT((((ABS(R328)-S328)*60)-T328)*60)</f>
        <v>#NAME?</v>
      </c>
      <c r="Y328" s="4">
        <v>1</v>
      </c>
      <c r="Z328" s="4" t="s">
        <v>401</v>
      </c>
      <c r="AA328" s="4" t="e">
        <f ca="1">[5]!wasatq(AA326,AB326,AC326,AD326)</f>
        <v>#NAME?</v>
      </c>
      <c r="AB328" s="129" t="e">
        <f t="shared" ref="AB328:AB346" ca="1" si="105">INT(ABS(AA328))</f>
        <v>#NAME?</v>
      </c>
      <c r="AC328" s="129" t="e">
        <f t="shared" ref="AC328:AC346" ca="1" si="106">INT((ABS(AA328)-AB328)*60)</f>
        <v>#NAME?</v>
      </c>
      <c r="AD328" s="129" t="e">
        <f t="shared" ref="AD328:AD346" ca="1" si="107">INT((((ABS(AA328)-AB328)*60)-AC328)*60)</f>
        <v>#NAME?</v>
      </c>
      <c r="AI328" s="4">
        <v>1</v>
      </c>
      <c r="AJ328" s="4" t="s">
        <v>401</v>
      </c>
      <c r="AK328" s="4" t="e">
        <f ca="1">[5]!wasatq(AK326,AL326,AM326,AN326)</f>
        <v>#NAME?</v>
      </c>
      <c r="AL328" s="129" t="e">
        <f t="shared" ref="AL328:AL346" ca="1" si="108">INT(ABS(AK328))</f>
        <v>#NAME?</v>
      </c>
      <c r="AM328" s="129" t="e">
        <f t="shared" ref="AM328:AM346" ca="1" si="109">INT((ABS(AK328)-AL328)*60)</f>
        <v>#NAME?</v>
      </c>
      <c r="AN328" s="129" t="e">
        <f t="shared" ref="AN328:AN346" ca="1" si="110">INT((((ABS(AK328)-AL328)*60)-AM328)*60)</f>
        <v>#NAME?</v>
      </c>
      <c r="AQ328" s="1" t="s">
        <v>808</v>
      </c>
      <c r="AR328" s="1" t="e">
        <f ca="1">[5]!taqsh(AR323,AR324,(AR325+1),AR326)</f>
        <v>#NAME?</v>
      </c>
      <c r="AS328" s="31" t="e">
        <f ca="1">INT(ABS(AR328))</f>
        <v>#NAME?</v>
      </c>
      <c r="AT328" s="31" t="e">
        <f ca="1">INT((ABS(AR328)-AS328)*60)</f>
        <v>#NAME?</v>
      </c>
      <c r="AU328" s="31" t="e">
        <f ca="1">INT((((ABS(AR328)-AS328)*60)-AT328)*60)</f>
        <v>#NAME?</v>
      </c>
      <c r="AV328" s="31" t="e">
        <f ca="1">INT((((((ABS(AR328)-AS328)*60)-AT328)*60)-AU328)*60)</f>
        <v>#NAME?</v>
      </c>
    </row>
    <row r="329" spans="1:48" ht="24.75">
      <c r="A329" s="4">
        <v>2</v>
      </c>
      <c r="B329" s="4" t="s">
        <v>402</v>
      </c>
      <c r="C329" s="4">
        <f>[2]!oujq(C326,D326,E326,F326)</f>
        <v>182.24640935056769</v>
      </c>
      <c r="D329" s="129">
        <f t="shared" ref="D329:D355" si="111">INT(ABS(C329))</f>
        <v>182</v>
      </c>
      <c r="E329" s="129">
        <f t="shared" ref="E329:E355" si="112">INT((ABS(C329)-D329)*60)</f>
        <v>14</v>
      </c>
      <c r="F329" s="129">
        <f t="shared" ref="F329:F355" si="113">INT((((ABS(C329)-D329)*60)-E329)*60)</f>
        <v>47</v>
      </c>
      <c r="P329" s="4">
        <v>2</v>
      </c>
      <c r="Q329" s="4" t="s">
        <v>402</v>
      </c>
      <c r="R329" s="4" t="e">
        <f ca="1">[5]!oujq(R326,S326,T326,U326)</f>
        <v>#NAME?</v>
      </c>
      <c r="S329" s="129" t="e">
        <f t="shared" ca="1" si="102"/>
        <v>#NAME?</v>
      </c>
      <c r="T329" s="129" t="e">
        <f t="shared" ca="1" si="103"/>
        <v>#NAME?</v>
      </c>
      <c r="U329" s="129" t="e">
        <f t="shared" ca="1" si="104"/>
        <v>#NAME?</v>
      </c>
      <c r="Y329" s="4">
        <v>2</v>
      </c>
      <c r="Z329" s="4" t="s">
        <v>402</v>
      </c>
      <c r="AA329" s="4" t="e">
        <f ca="1">[5]!oujq(AA326,AB326,AC326,AD326)</f>
        <v>#NAME?</v>
      </c>
      <c r="AB329" s="129" t="e">
        <f t="shared" ca="1" si="105"/>
        <v>#NAME?</v>
      </c>
      <c r="AC329" s="129" t="e">
        <f t="shared" ca="1" si="106"/>
        <v>#NAME?</v>
      </c>
      <c r="AD329" s="129" t="e">
        <f t="shared" ca="1" si="107"/>
        <v>#NAME?</v>
      </c>
      <c r="AI329" s="4">
        <v>2</v>
      </c>
      <c r="AJ329" s="4" t="s">
        <v>402</v>
      </c>
      <c r="AK329" s="4" t="e">
        <f ca="1">[5]!oujq(AK326,AL326,AM326,AN326)</f>
        <v>#NAME?</v>
      </c>
      <c r="AL329" s="129" t="e">
        <f t="shared" ca="1" si="108"/>
        <v>#NAME?</v>
      </c>
      <c r="AM329" s="129" t="e">
        <f t="shared" ca="1" si="109"/>
        <v>#NAME?</v>
      </c>
      <c r="AN329" s="129" t="e">
        <f t="shared" ca="1" si="110"/>
        <v>#NAME?</v>
      </c>
      <c r="AQ329" s="1" t="s">
        <v>809</v>
      </c>
      <c r="AR329" s="1" t="e">
        <f ca="1">AR328-AR327</f>
        <v>#NAME?</v>
      </c>
      <c r="AS329" s="31" t="e">
        <f ca="1">INT(ABS(AR329))</f>
        <v>#NAME?</v>
      </c>
      <c r="AT329" s="31" t="e">
        <f ca="1">INT((ABS(AR329)-AS329)*60)</f>
        <v>#NAME?</v>
      </c>
      <c r="AU329" s="31" t="e">
        <f ca="1">INT((((ABS(AR329)-AS329)*60)-AT329)*60)</f>
        <v>#NAME?</v>
      </c>
      <c r="AV329" s="31" t="e">
        <f ca="1">INT((((((ABS(AR329)-AS329)*60)-AT329)*60)-AU329)*60)</f>
        <v>#NAME?</v>
      </c>
    </row>
    <row r="330" spans="1:48" ht="24.75">
      <c r="A330" s="4">
        <v>3</v>
      </c>
      <c r="B330" s="4" t="s">
        <v>805</v>
      </c>
      <c r="C330" s="4">
        <f>[2]!tq(C328-C329)</f>
        <v>186.80745546722218</v>
      </c>
      <c r="D330" s="129">
        <f t="shared" si="111"/>
        <v>186</v>
      </c>
      <c r="E330" s="129">
        <f t="shared" si="112"/>
        <v>48</v>
      </c>
      <c r="F330" s="129">
        <f t="shared" si="113"/>
        <v>26</v>
      </c>
      <c r="P330" s="4">
        <v>3</v>
      </c>
      <c r="Q330" s="4" t="s">
        <v>805</v>
      </c>
      <c r="R330" s="4" t="e">
        <f ca="1">[5]!tq(R328-R329)</f>
        <v>#NAME?</v>
      </c>
      <c r="S330" s="129" t="e">
        <f t="shared" ca="1" si="102"/>
        <v>#NAME?</v>
      </c>
      <c r="T330" s="129" t="e">
        <f t="shared" ca="1" si="103"/>
        <v>#NAME?</v>
      </c>
      <c r="U330" s="129" t="e">
        <f t="shared" ca="1" si="104"/>
        <v>#NAME?</v>
      </c>
      <c r="Y330" s="4">
        <v>3</v>
      </c>
      <c r="Z330" s="4" t="s">
        <v>805</v>
      </c>
      <c r="AA330" s="4" t="e">
        <f ca="1">[5]!tq(AA328-AA329)</f>
        <v>#NAME?</v>
      </c>
      <c r="AB330" s="129" t="e">
        <f t="shared" ca="1" si="105"/>
        <v>#NAME?</v>
      </c>
      <c r="AC330" s="129" t="e">
        <f t="shared" ca="1" si="106"/>
        <v>#NAME?</v>
      </c>
      <c r="AD330" s="129" t="e">
        <f t="shared" ca="1" si="107"/>
        <v>#NAME?</v>
      </c>
      <c r="AI330" s="4">
        <v>3</v>
      </c>
      <c r="AJ330" s="4" t="s">
        <v>805</v>
      </c>
      <c r="AK330" s="4" t="e">
        <f ca="1">[5]!tq(AK328-AK329)</f>
        <v>#NAME?</v>
      </c>
      <c r="AL330" s="129" t="e">
        <f t="shared" ca="1" si="108"/>
        <v>#NAME?</v>
      </c>
      <c r="AM330" s="129" t="e">
        <f t="shared" ca="1" si="109"/>
        <v>#NAME?</v>
      </c>
      <c r="AN330" s="129" t="e">
        <f t="shared" ca="1" si="110"/>
        <v>#NAME?</v>
      </c>
      <c r="AQ330" s="1" t="s">
        <v>810</v>
      </c>
      <c r="AR330" s="1" t="e">
        <f>C351</f>
        <v>#VALUE!</v>
      </c>
      <c r="AS330" s="31" t="e">
        <f t="shared" ref="AS330:AS373" si="114">INT(ABS(AR330))</f>
        <v>#VALUE!</v>
      </c>
      <c r="AT330" s="31" t="e">
        <f t="shared" ref="AT330:AT373" si="115">INT((ABS(AR330)-AS330)*60)</f>
        <v>#VALUE!</v>
      </c>
      <c r="AU330" s="31" t="e">
        <f t="shared" ref="AU330:AU373" si="116">INT((((ABS(AR330)-AS330)*60)-AT330)*60)</f>
        <v>#VALUE!</v>
      </c>
      <c r="AV330" s="31" t="e">
        <f t="shared" ref="AV330:AV373" si="117">INT((((((ABS(AR330)-AS330)*60)-AT330)*60)-AU330)*60)</f>
        <v>#VALUE!</v>
      </c>
    </row>
    <row r="331" spans="1:48" ht="24.75">
      <c r="A331" s="4">
        <v>4</v>
      </c>
      <c r="B331" s="4" t="s">
        <v>800</v>
      </c>
      <c r="C331" s="4" t="e">
        <f>[2]!taqm1(0,C330)</f>
        <v>#VALUE!</v>
      </c>
      <c r="D331" s="129" t="e">
        <f t="shared" si="111"/>
        <v>#VALUE!</v>
      </c>
      <c r="E331" s="129" t="e">
        <f t="shared" si="112"/>
        <v>#VALUE!</v>
      </c>
      <c r="F331" s="129" t="e">
        <f t="shared" si="113"/>
        <v>#VALUE!</v>
      </c>
      <c r="P331" s="4">
        <v>4</v>
      </c>
      <c r="Q331" s="4" t="s">
        <v>800</v>
      </c>
      <c r="R331" s="4" t="e">
        <f ca="1">[5]!taqm1(0,R330)</f>
        <v>#NAME?</v>
      </c>
      <c r="S331" s="129" t="e">
        <f t="shared" ca="1" si="102"/>
        <v>#NAME?</v>
      </c>
      <c r="T331" s="129" t="e">
        <f t="shared" ca="1" si="103"/>
        <v>#NAME?</v>
      </c>
      <c r="U331" s="129" t="e">
        <f t="shared" ca="1" si="104"/>
        <v>#NAME?</v>
      </c>
      <c r="Y331" s="4">
        <v>4</v>
      </c>
      <c r="Z331" s="4" t="s">
        <v>800</v>
      </c>
      <c r="AA331" s="4" t="e">
        <f ca="1">[5]!taqm1(0,AA330)</f>
        <v>#NAME?</v>
      </c>
      <c r="AB331" s="129" t="e">
        <f t="shared" ca="1" si="105"/>
        <v>#NAME?</v>
      </c>
      <c r="AC331" s="129" t="e">
        <f t="shared" ca="1" si="106"/>
        <v>#NAME?</v>
      </c>
      <c r="AD331" s="129" t="e">
        <f t="shared" ca="1" si="107"/>
        <v>#NAME?</v>
      </c>
      <c r="AI331" s="4">
        <v>4</v>
      </c>
      <c r="AJ331" s="4" t="s">
        <v>800</v>
      </c>
      <c r="AK331" s="4" t="e">
        <f ca="1">[5]!taqm1(0,AK330)</f>
        <v>#NAME?</v>
      </c>
      <c r="AL331" s="129" t="e">
        <f t="shared" ca="1" si="108"/>
        <v>#NAME?</v>
      </c>
      <c r="AM331" s="129" t="e">
        <f t="shared" ca="1" si="109"/>
        <v>#NAME?</v>
      </c>
      <c r="AN331" s="129" t="e">
        <f t="shared" ca="1" si="110"/>
        <v>#NAME?</v>
      </c>
      <c r="AQ331" s="1" t="s">
        <v>811</v>
      </c>
      <c r="AR331" s="1" t="e">
        <f ca="1">R351</f>
        <v>#NAME?</v>
      </c>
      <c r="AS331" s="31" t="e">
        <f t="shared" ref="AS331:AS351" ca="1" si="118">INT(ABS(AR331))</f>
        <v>#NAME?</v>
      </c>
      <c r="AT331" s="31" t="e">
        <f t="shared" ref="AT331:AT351" ca="1" si="119">INT((ABS(AR331)-AS331)*60)</f>
        <v>#NAME?</v>
      </c>
      <c r="AU331" s="31" t="e">
        <f t="shared" ref="AU331:AU351" ca="1" si="120">INT((((ABS(AR331)-AS331)*60)-AT331)*60)</f>
        <v>#NAME?</v>
      </c>
      <c r="AV331" s="31" t="e">
        <f t="shared" ref="AV331:AV351" ca="1" si="121">INT((((((ABS(AR331)-AS331)*60)-AT331)*60)-AU331)*60)</f>
        <v>#NAME?</v>
      </c>
    </row>
    <row r="332" spans="1:48" ht="24.75">
      <c r="A332" s="4">
        <v>5</v>
      </c>
      <c r="B332" s="4" t="s">
        <v>560</v>
      </c>
      <c r="C332" s="4" t="e">
        <f>C328+C331</f>
        <v>#VALUE!</v>
      </c>
      <c r="D332" s="129" t="e">
        <f t="shared" si="111"/>
        <v>#VALUE!</v>
      </c>
      <c r="E332" s="129" t="e">
        <f t="shared" si="112"/>
        <v>#VALUE!</v>
      </c>
      <c r="F332" s="129" t="e">
        <f t="shared" si="113"/>
        <v>#VALUE!</v>
      </c>
      <c r="P332" s="4">
        <v>5</v>
      </c>
      <c r="Q332" s="4" t="s">
        <v>560</v>
      </c>
      <c r="R332" s="4" t="e">
        <f ca="1">R328+R331</f>
        <v>#NAME?</v>
      </c>
      <c r="S332" s="129" t="e">
        <f t="shared" ca="1" si="102"/>
        <v>#NAME?</v>
      </c>
      <c r="T332" s="129" t="e">
        <f t="shared" ca="1" si="103"/>
        <v>#NAME?</v>
      </c>
      <c r="U332" s="129" t="e">
        <f t="shared" ca="1" si="104"/>
        <v>#NAME?</v>
      </c>
      <c r="Y332" s="4">
        <v>5</v>
      </c>
      <c r="Z332" s="4" t="s">
        <v>560</v>
      </c>
      <c r="AA332" s="4" t="e">
        <f ca="1">AA328+AA331</f>
        <v>#NAME?</v>
      </c>
      <c r="AB332" s="129" t="e">
        <f t="shared" ca="1" si="105"/>
        <v>#NAME?</v>
      </c>
      <c r="AC332" s="129" t="e">
        <f t="shared" ca="1" si="106"/>
        <v>#NAME?</v>
      </c>
      <c r="AD332" s="129" t="e">
        <f t="shared" ca="1" si="107"/>
        <v>#NAME?</v>
      </c>
      <c r="AI332" s="4">
        <v>5</v>
      </c>
      <c r="AJ332" s="4" t="s">
        <v>560</v>
      </c>
      <c r="AK332" s="4" t="e">
        <f ca="1">AK328+AK331</f>
        <v>#NAME?</v>
      </c>
      <c r="AL332" s="129" t="e">
        <f t="shared" ca="1" si="108"/>
        <v>#NAME?</v>
      </c>
      <c r="AM332" s="129" t="e">
        <f t="shared" ca="1" si="109"/>
        <v>#NAME?</v>
      </c>
      <c r="AN332" s="129" t="e">
        <f t="shared" ca="1" si="110"/>
        <v>#NAME?</v>
      </c>
      <c r="AQ332" s="1" t="s">
        <v>812</v>
      </c>
      <c r="AR332" s="1" t="e">
        <f ca="1">AR331-AR330</f>
        <v>#NAME?</v>
      </c>
      <c r="AS332" s="31" t="e">
        <f t="shared" ca="1" si="118"/>
        <v>#NAME?</v>
      </c>
      <c r="AT332" s="31" t="e">
        <f t="shared" ca="1" si="119"/>
        <v>#NAME?</v>
      </c>
      <c r="AU332" s="31" t="e">
        <f t="shared" ca="1" si="120"/>
        <v>#NAME?</v>
      </c>
      <c r="AV332" s="31" t="e">
        <f t="shared" ca="1" si="121"/>
        <v>#NAME?</v>
      </c>
    </row>
    <row r="333" spans="1:48" ht="24.75">
      <c r="A333" s="4">
        <v>6</v>
      </c>
      <c r="B333" s="4" t="s">
        <v>574</v>
      </c>
      <c r="C333" s="4" t="e">
        <f>C330+C331</f>
        <v>#VALUE!</v>
      </c>
      <c r="D333" s="129" t="e">
        <f t="shared" si="111"/>
        <v>#VALUE!</v>
      </c>
      <c r="E333" s="129" t="e">
        <f t="shared" si="112"/>
        <v>#VALUE!</v>
      </c>
      <c r="F333" s="129" t="e">
        <f t="shared" si="113"/>
        <v>#VALUE!</v>
      </c>
      <c r="P333" s="4">
        <v>6</v>
      </c>
      <c r="Q333" s="4" t="s">
        <v>574</v>
      </c>
      <c r="R333" s="4" t="e">
        <f ca="1">R330+R331</f>
        <v>#NAME?</v>
      </c>
      <c r="S333" s="129" t="e">
        <f t="shared" ca="1" si="102"/>
        <v>#NAME?</v>
      </c>
      <c r="T333" s="129" t="e">
        <f t="shared" ca="1" si="103"/>
        <v>#NAME?</v>
      </c>
      <c r="U333" s="129" t="e">
        <f t="shared" ca="1" si="104"/>
        <v>#NAME?</v>
      </c>
      <c r="Y333" s="4">
        <v>6</v>
      </c>
      <c r="Z333" s="4" t="s">
        <v>574</v>
      </c>
      <c r="AA333" s="4" t="e">
        <f ca="1">AA330+AA331</f>
        <v>#NAME?</v>
      </c>
      <c r="AB333" s="129" t="e">
        <f t="shared" ca="1" si="105"/>
        <v>#NAME?</v>
      </c>
      <c r="AC333" s="129" t="e">
        <f t="shared" ca="1" si="106"/>
        <v>#NAME?</v>
      </c>
      <c r="AD333" s="129" t="e">
        <f t="shared" ca="1" si="107"/>
        <v>#NAME?</v>
      </c>
      <c r="AI333" s="4">
        <v>6</v>
      </c>
      <c r="AJ333" s="4" t="s">
        <v>574</v>
      </c>
      <c r="AK333" s="4" t="e">
        <f ca="1">AK330+AK331</f>
        <v>#NAME?</v>
      </c>
      <c r="AL333" s="129" t="e">
        <f t="shared" ca="1" si="108"/>
        <v>#NAME?</v>
      </c>
      <c r="AM333" s="129" t="e">
        <f t="shared" ca="1" si="109"/>
        <v>#NAME?</v>
      </c>
      <c r="AN333" s="129" t="e">
        <f t="shared" ca="1" si="110"/>
        <v>#NAME?</v>
      </c>
      <c r="AQ333" s="1" t="s">
        <v>814</v>
      </c>
      <c r="AR333" s="1" t="e">
        <f ca="1">AR332-AR329</f>
        <v>#NAME?</v>
      </c>
      <c r="AS333" s="31" t="e">
        <f t="shared" ca="1" si="118"/>
        <v>#NAME?</v>
      </c>
      <c r="AT333" s="31" t="e">
        <f t="shared" ca="1" si="119"/>
        <v>#NAME?</v>
      </c>
      <c r="AU333" s="31" t="e">
        <f t="shared" ca="1" si="120"/>
        <v>#NAME?</v>
      </c>
      <c r="AV333" s="31" t="e">
        <f t="shared" ca="1" si="121"/>
        <v>#NAME?</v>
      </c>
    </row>
    <row r="334" spans="1:48" ht="24.75">
      <c r="A334" s="4">
        <v>7</v>
      </c>
      <c r="B334" s="4" t="s">
        <v>378</v>
      </c>
      <c r="C334" s="4">
        <f>[2]!taqsh(C326,D326,E326,F326)</f>
        <v>189.92797613621178</v>
      </c>
      <c r="D334" s="129">
        <f t="shared" si="111"/>
        <v>189</v>
      </c>
      <c r="E334" s="129">
        <f t="shared" si="112"/>
        <v>55</v>
      </c>
      <c r="F334" s="129">
        <f t="shared" si="113"/>
        <v>40</v>
      </c>
      <c r="P334" s="4">
        <v>7</v>
      </c>
      <c r="Q334" s="4" t="s">
        <v>378</v>
      </c>
      <c r="R334" s="4" t="e">
        <f ca="1">[5]!taqsh(R326,S326,T326,U326)</f>
        <v>#NAME?</v>
      </c>
      <c r="S334" s="129" t="e">
        <f t="shared" ca="1" si="102"/>
        <v>#NAME?</v>
      </c>
      <c r="T334" s="129" t="e">
        <f t="shared" ca="1" si="103"/>
        <v>#NAME?</v>
      </c>
      <c r="U334" s="129" t="e">
        <f t="shared" ca="1" si="104"/>
        <v>#NAME?</v>
      </c>
      <c r="Y334" s="4">
        <v>7</v>
      </c>
      <c r="Z334" s="4" t="s">
        <v>378</v>
      </c>
      <c r="AA334" s="4" t="e">
        <f ca="1">[5]!taqsh(AA326,AB326,AC326,AD326)</f>
        <v>#NAME?</v>
      </c>
      <c r="AB334" s="129" t="e">
        <f t="shared" ca="1" si="105"/>
        <v>#NAME?</v>
      </c>
      <c r="AC334" s="129" t="e">
        <f t="shared" ca="1" si="106"/>
        <v>#NAME?</v>
      </c>
      <c r="AD334" s="129" t="e">
        <f t="shared" ca="1" si="107"/>
        <v>#NAME?</v>
      </c>
      <c r="AI334" s="4">
        <v>7</v>
      </c>
      <c r="AJ334" s="4" t="s">
        <v>378</v>
      </c>
      <c r="AK334" s="4" t="e">
        <f ca="1">[5]!taqsh(AK326,AL326,AM326,AN326)</f>
        <v>#NAME?</v>
      </c>
      <c r="AL334" s="129" t="e">
        <f t="shared" ca="1" si="108"/>
        <v>#NAME?</v>
      </c>
      <c r="AM334" s="129" t="e">
        <f t="shared" ca="1" si="109"/>
        <v>#NAME?</v>
      </c>
      <c r="AN334" s="129" t="e">
        <f t="shared" ca="1" si="110"/>
        <v>#NAME?</v>
      </c>
      <c r="AQ334" s="1"/>
      <c r="AR334" s="1" t="e">
        <f ca="1">IF(AR327&gt;AR330,AR327-AR330,AR327+360-AR330)</f>
        <v>#NAME?</v>
      </c>
      <c r="AS334" s="31" t="e">
        <f t="shared" ca="1" si="118"/>
        <v>#NAME?</v>
      </c>
      <c r="AT334" s="31" t="e">
        <f t="shared" ca="1" si="119"/>
        <v>#NAME?</v>
      </c>
      <c r="AU334" s="31" t="e">
        <f t="shared" ca="1" si="120"/>
        <v>#NAME?</v>
      </c>
      <c r="AV334" s="31" t="e">
        <f t="shared" ca="1" si="121"/>
        <v>#NAME?</v>
      </c>
    </row>
    <row r="335" spans="1:48" ht="24.75">
      <c r="A335" s="4">
        <v>8</v>
      </c>
      <c r="B335" s="4" t="s">
        <v>801</v>
      </c>
      <c r="C335" s="4" t="e">
        <f>[2]!tq(C332-C334)</f>
        <v>#VALUE!</v>
      </c>
      <c r="D335" s="129" t="e">
        <f t="shared" si="111"/>
        <v>#VALUE!</v>
      </c>
      <c r="E335" s="129" t="e">
        <f t="shared" si="112"/>
        <v>#VALUE!</v>
      </c>
      <c r="F335" s="129" t="e">
        <f t="shared" si="113"/>
        <v>#VALUE!</v>
      </c>
      <c r="I335" s="31"/>
      <c r="J335" s="31"/>
      <c r="K335" s="31"/>
      <c r="L335" s="31"/>
      <c r="P335" s="4">
        <v>8</v>
      </c>
      <c r="Q335" s="4" t="s">
        <v>801</v>
      </c>
      <c r="R335" s="4" t="e">
        <f ca="1">[5]!tq(R332-R334)</f>
        <v>#NAME?</v>
      </c>
      <c r="S335" s="129" t="e">
        <f t="shared" ca="1" si="102"/>
        <v>#NAME?</v>
      </c>
      <c r="T335" s="129" t="e">
        <f t="shared" ca="1" si="103"/>
        <v>#NAME?</v>
      </c>
      <c r="U335" s="129" t="e">
        <f t="shared" ca="1" si="104"/>
        <v>#NAME?</v>
      </c>
      <c r="Y335" s="4">
        <v>8</v>
      </c>
      <c r="Z335" s="4" t="s">
        <v>801</v>
      </c>
      <c r="AA335" s="4" t="e">
        <f ca="1">[5]!tq(AA332-AA334)</f>
        <v>#NAME?</v>
      </c>
      <c r="AB335" s="129" t="e">
        <f t="shared" ca="1" si="105"/>
        <v>#NAME?</v>
      </c>
      <c r="AC335" s="129" t="e">
        <f t="shared" ca="1" si="106"/>
        <v>#NAME?</v>
      </c>
      <c r="AD335" s="129" t="e">
        <f t="shared" ca="1" si="107"/>
        <v>#NAME?</v>
      </c>
      <c r="AI335" s="4">
        <v>8</v>
      </c>
      <c r="AJ335" s="4" t="s">
        <v>801</v>
      </c>
      <c r="AK335" s="4" t="e">
        <f ca="1">[5]!tq(AK332-AK334)</f>
        <v>#NAME?</v>
      </c>
      <c r="AL335" s="129" t="e">
        <f t="shared" ca="1" si="108"/>
        <v>#NAME?</v>
      </c>
      <c r="AM335" s="129" t="e">
        <f t="shared" ca="1" si="109"/>
        <v>#NAME?</v>
      </c>
      <c r="AN335" s="129" t="e">
        <f t="shared" ca="1" si="110"/>
        <v>#NAME?</v>
      </c>
      <c r="AQ335" s="1" t="s">
        <v>813</v>
      </c>
      <c r="AR335" s="1" t="e">
        <f ca="1">AR334-180</f>
        <v>#NAME?</v>
      </c>
      <c r="AS335" s="31" t="e">
        <f t="shared" ca="1" si="118"/>
        <v>#NAME?</v>
      </c>
      <c r="AT335" s="31" t="e">
        <f t="shared" ca="1" si="119"/>
        <v>#NAME?</v>
      </c>
      <c r="AU335" s="31" t="e">
        <f t="shared" ca="1" si="120"/>
        <v>#NAME?</v>
      </c>
      <c r="AV335" s="31" t="e">
        <f t="shared" ca="1" si="121"/>
        <v>#NAME?</v>
      </c>
    </row>
    <row r="336" spans="1:48" ht="24.75">
      <c r="A336" s="4">
        <v>9</v>
      </c>
      <c r="B336" s="4" t="s">
        <v>386</v>
      </c>
      <c r="C336" s="4">
        <f>[2]!oujsh(C326,D326,E326,F326)</f>
        <v>100.47926395531492</v>
      </c>
      <c r="D336" s="129">
        <f t="shared" si="111"/>
        <v>100</v>
      </c>
      <c r="E336" s="129">
        <f t="shared" si="112"/>
        <v>28</v>
      </c>
      <c r="F336" s="129">
        <f t="shared" si="113"/>
        <v>45</v>
      </c>
      <c r="G336" t="s">
        <v>799</v>
      </c>
      <c r="P336" s="4">
        <v>9</v>
      </c>
      <c r="Q336" s="4" t="s">
        <v>386</v>
      </c>
      <c r="R336" s="4" t="e">
        <f ca="1">[5]!oujsh(R326,S326,T326,U326)</f>
        <v>#NAME?</v>
      </c>
      <c r="S336" s="129" t="e">
        <f t="shared" ca="1" si="102"/>
        <v>#NAME?</v>
      </c>
      <c r="T336" s="129" t="e">
        <f t="shared" ca="1" si="103"/>
        <v>#NAME?</v>
      </c>
      <c r="U336" s="129" t="e">
        <f t="shared" ca="1" si="104"/>
        <v>#NAME?</v>
      </c>
      <c r="Y336" s="4">
        <v>9</v>
      </c>
      <c r="Z336" s="4" t="s">
        <v>386</v>
      </c>
      <c r="AA336" s="4" t="e">
        <f ca="1">[5]!oujsh(AA326,AB326,AC326,AD326)</f>
        <v>#NAME?</v>
      </c>
      <c r="AB336" s="129" t="e">
        <f t="shared" ca="1" si="105"/>
        <v>#NAME?</v>
      </c>
      <c r="AC336" s="129" t="e">
        <f t="shared" ca="1" si="106"/>
        <v>#NAME?</v>
      </c>
      <c r="AD336" s="129" t="e">
        <f t="shared" ca="1" si="107"/>
        <v>#NAME?</v>
      </c>
      <c r="AI336" s="4">
        <v>9</v>
      </c>
      <c r="AJ336" s="4" t="s">
        <v>386</v>
      </c>
      <c r="AK336" s="4" t="e">
        <f ca="1">[5]!oujsh(AK326,AL326,AM326,AN326)</f>
        <v>#NAME?</v>
      </c>
      <c r="AL336" s="129" t="e">
        <f t="shared" ca="1" si="108"/>
        <v>#NAME?</v>
      </c>
      <c r="AM336" s="129" t="e">
        <f t="shared" ca="1" si="109"/>
        <v>#NAME?</v>
      </c>
      <c r="AN336" s="129" t="e">
        <f t="shared" ca="1" si="110"/>
        <v>#NAME?</v>
      </c>
      <c r="AQ336" s="1" t="s">
        <v>815</v>
      </c>
      <c r="AR336" t="e">
        <f ca="1">AR335*24/AR333</f>
        <v>#NAME?</v>
      </c>
      <c r="AS336" s="31" t="e">
        <f t="shared" ca="1" si="118"/>
        <v>#NAME?</v>
      </c>
      <c r="AT336" s="31" t="e">
        <f t="shared" ca="1" si="119"/>
        <v>#NAME?</v>
      </c>
      <c r="AU336" s="31" t="e">
        <f t="shared" ca="1" si="120"/>
        <v>#NAME?</v>
      </c>
      <c r="AV336" s="31" t="e">
        <f t="shared" ca="1" si="121"/>
        <v>#NAME?</v>
      </c>
    </row>
    <row r="337" spans="1:61" ht="24.75">
      <c r="A337" s="4">
        <v>10</v>
      </c>
      <c r="B337" s="4" t="s">
        <v>802</v>
      </c>
      <c r="C337" s="4" t="e">
        <f>[2]!tq(C332-C336)</f>
        <v>#VALUE!</v>
      </c>
      <c r="D337" s="129" t="e">
        <f t="shared" si="111"/>
        <v>#VALUE!</v>
      </c>
      <c r="E337" s="129" t="e">
        <f t="shared" si="112"/>
        <v>#VALUE!</v>
      </c>
      <c r="F337" s="129" t="e">
        <f t="shared" si="113"/>
        <v>#VALUE!</v>
      </c>
      <c r="G337">
        <f>[2]!rasq(C326,D326,E326,F326)</f>
        <v>3.6808261928037198</v>
      </c>
      <c r="H337" s="31">
        <f>INT(ABS(G337))</f>
        <v>3</v>
      </c>
      <c r="I337" s="31">
        <f>INT((ABS(G337)-H337)*60)</f>
        <v>40</v>
      </c>
      <c r="J337" s="31">
        <f>INT((((ABS(G337)-H337)*60)-I337)*60)</f>
        <v>50</v>
      </c>
      <c r="K337" s="31">
        <f>INT((((((ABS(G337)-H337)*60)-I337)*60)-J337)*60)</f>
        <v>58</v>
      </c>
      <c r="P337" s="4">
        <v>10</v>
      </c>
      <c r="Q337" s="4" t="s">
        <v>802</v>
      </c>
      <c r="R337" s="4" t="e">
        <f ca="1">[5]!tq(R332-R336)</f>
        <v>#NAME?</v>
      </c>
      <c r="S337" s="129" t="e">
        <f t="shared" ca="1" si="102"/>
        <v>#NAME?</v>
      </c>
      <c r="T337" s="129" t="e">
        <f t="shared" ca="1" si="103"/>
        <v>#NAME?</v>
      </c>
      <c r="U337" s="129" t="e">
        <f t="shared" ca="1" si="104"/>
        <v>#NAME?</v>
      </c>
      <c r="V337" t="e">
        <f ca="1">[5]!rasq(R326,S326,T326,U326)</f>
        <v>#NAME?</v>
      </c>
      <c r="W337" t="s">
        <v>799</v>
      </c>
      <c r="Y337" s="4">
        <v>10</v>
      </c>
      <c r="Z337" s="4" t="s">
        <v>802</v>
      </c>
      <c r="AA337" s="4" t="e">
        <f ca="1">[5]!tq(AA332-AA336)</f>
        <v>#NAME?</v>
      </c>
      <c r="AB337" s="129" t="e">
        <f t="shared" ca="1" si="105"/>
        <v>#NAME?</v>
      </c>
      <c r="AC337" s="129" t="e">
        <f t="shared" ca="1" si="106"/>
        <v>#NAME?</v>
      </c>
      <c r="AD337" s="129" t="e">
        <f t="shared" ca="1" si="107"/>
        <v>#NAME?</v>
      </c>
      <c r="AE337" t="e">
        <f ca="1">[5]!rasq(AA326,AB326,AC326,AD326)</f>
        <v>#NAME?</v>
      </c>
      <c r="AF337" t="s">
        <v>799</v>
      </c>
      <c r="AI337" s="4">
        <v>10</v>
      </c>
      <c r="AJ337" s="4" t="s">
        <v>802</v>
      </c>
      <c r="AK337" s="4" t="e">
        <f ca="1">[5]!tq(AK332-AK336)</f>
        <v>#NAME?</v>
      </c>
      <c r="AL337" s="129" t="e">
        <f t="shared" ca="1" si="108"/>
        <v>#NAME?</v>
      </c>
      <c r="AM337" s="129" t="e">
        <f t="shared" ca="1" si="109"/>
        <v>#NAME?</v>
      </c>
      <c r="AN337" s="129" t="e">
        <f t="shared" ca="1" si="110"/>
        <v>#NAME?</v>
      </c>
      <c r="AO337" t="e">
        <f ca="1">[5]!rasq(AK326,AL326,AM326,AN326)</f>
        <v>#NAME?</v>
      </c>
      <c r="AP337" t="s">
        <v>799</v>
      </c>
      <c r="AQ337" s="1" t="s">
        <v>816</v>
      </c>
      <c r="AR337" t="e">
        <f ca="1">[5]!taqsh(C326,D326,E326+(AR336/24),F326)</f>
        <v>#NAME?</v>
      </c>
      <c r="AS337" s="31" t="e">
        <f t="shared" ca="1" si="118"/>
        <v>#NAME?</v>
      </c>
      <c r="AT337" s="31" t="e">
        <f t="shared" ca="1" si="119"/>
        <v>#NAME?</v>
      </c>
      <c r="AU337" s="31" t="e">
        <f t="shared" ca="1" si="120"/>
        <v>#NAME?</v>
      </c>
      <c r="AV337" s="31" t="e">
        <f t="shared" ca="1" si="121"/>
        <v>#NAME?</v>
      </c>
    </row>
    <row r="338" spans="1:61" ht="24.75">
      <c r="A338" s="4">
        <v>11</v>
      </c>
      <c r="B338" s="4" t="s">
        <v>511</v>
      </c>
      <c r="C338" s="4" t="e">
        <f>[2]!taqm2(0,C337,C335)</f>
        <v>#VALUE!</v>
      </c>
      <c r="D338" s="129" t="e">
        <f t="shared" si="111"/>
        <v>#VALUE!</v>
      </c>
      <c r="E338" s="129" t="e">
        <f t="shared" si="112"/>
        <v>#VALUE!</v>
      </c>
      <c r="F338" s="129" t="e">
        <f t="shared" si="113"/>
        <v>#VALUE!</v>
      </c>
      <c r="G338" t="e">
        <f>[2]!taqm2(C328,C336,C334)</f>
        <v>#VALUE!</v>
      </c>
      <c r="P338" s="4">
        <v>11</v>
      </c>
      <c r="Q338" s="4" t="s">
        <v>511</v>
      </c>
      <c r="R338" s="4" t="e">
        <f ca="1">[5]!taqm2(0,R337,R335)</f>
        <v>#NAME?</v>
      </c>
      <c r="S338" s="129" t="e">
        <f t="shared" ca="1" si="102"/>
        <v>#NAME?</v>
      </c>
      <c r="T338" s="129" t="e">
        <f t="shared" ca="1" si="103"/>
        <v>#NAME?</v>
      </c>
      <c r="U338" s="129" t="e">
        <f t="shared" ca="1" si="104"/>
        <v>#NAME?</v>
      </c>
      <c r="V338" t="e">
        <f ca="1">[5]!taqm2(R328,R336,R334)</f>
        <v>#NAME?</v>
      </c>
      <c r="Y338" s="4">
        <v>11</v>
      </c>
      <c r="Z338" s="4" t="s">
        <v>511</v>
      </c>
      <c r="AA338" s="4" t="e">
        <f ca="1">[5]!taqm2(0,AA337,AA335)</f>
        <v>#NAME?</v>
      </c>
      <c r="AB338" s="129" t="e">
        <f t="shared" ca="1" si="105"/>
        <v>#NAME?</v>
      </c>
      <c r="AC338" s="129" t="e">
        <f t="shared" ca="1" si="106"/>
        <v>#NAME?</v>
      </c>
      <c r="AD338" s="129" t="e">
        <f t="shared" ca="1" si="107"/>
        <v>#NAME?</v>
      </c>
      <c r="AE338" t="e">
        <f ca="1">[5]!taqm2(AA328,AA336,AA334)</f>
        <v>#NAME?</v>
      </c>
      <c r="AI338" s="4">
        <v>11</v>
      </c>
      <c r="AJ338" s="4" t="s">
        <v>511</v>
      </c>
      <c r="AK338" s="4" t="e">
        <f ca="1">[5]!taqm2(0,AK337,AK335)</f>
        <v>#NAME?</v>
      </c>
      <c r="AL338" s="129" t="e">
        <f t="shared" ca="1" si="108"/>
        <v>#NAME?</v>
      </c>
      <c r="AM338" s="129" t="e">
        <f t="shared" ca="1" si="109"/>
        <v>#NAME?</v>
      </c>
      <c r="AN338" s="129" t="e">
        <f t="shared" ca="1" si="110"/>
        <v>#NAME?</v>
      </c>
      <c r="AO338" t="e">
        <f ca="1">[5]!taqm2(AK328,AK336,AK334)</f>
        <v>#NAME?</v>
      </c>
      <c r="AQ338" s="1" t="s">
        <v>817</v>
      </c>
      <c r="AR338" t="e">
        <f ca="1">AA351</f>
        <v>#NAME?</v>
      </c>
      <c r="AS338" s="31" t="e">
        <f t="shared" ca="1" si="118"/>
        <v>#NAME?</v>
      </c>
      <c r="AT338" s="31" t="e">
        <f t="shared" ca="1" si="119"/>
        <v>#NAME?</v>
      </c>
      <c r="AU338" s="31" t="e">
        <f t="shared" ca="1" si="120"/>
        <v>#NAME?</v>
      </c>
      <c r="AV338" s="31" t="e">
        <f t="shared" ca="1" si="121"/>
        <v>#NAME?</v>
      </c>
      <c r="BE338" t="s">
        <v>829</v>
      </c>
    </row>
    <row r="339" spans="1:61" ht="24.75">
      <c r="A339" s="4">
        <v>12</v>
      </c>
      <c r="B339" s="4" t="s">
        <v>776</v>
      </c>
      <c r="C339" s="4" t="e">
        <f>C332+C338</f>
        <v>#VALUE!</v>
      </c>
      <c r="D339" s="129" t="e">
        <f t="shared" si="111"/>
        <v>#VALUE!</v>
      </c>
      <c r="E339" s="129" t="e">
        <f t="shared" si="112"/>
        <v>#VALUE!</v>
      </c>
      <c r="F339" s="129" t="e">
        <f t="shared" si="113"/>
        <v>#VALUE!</v>
      </c>
      <c r="P339" s="4">
        <v>12</v>
      </c>
      <c r="Q339" s="4" t="s">
        <v>776</v>
      </c>
      <c r="R339" s="4" t="e">
        <f ca="1">R332+R338</f>
        <v>#NAME?</v>
      </c>
      <c r="S339" s="129" t="e">
        <f t="shared" ca="1" si="102"/>
        <v>#NAME?</v>
      </c>
      <c r="T339" s="129" t="e">
        <f t="shared" ca="1" si="103"/>
        <v>#NAME?</v>
      </c>
      <c r="U339" s="129" t="e">
        <f t="shared" ca="1" si="104"/>
        <v>#NAME?</v>
      </c>
      <c r="Y339" s="4">
        <v>12</v>
      </c>
      <c r="Z339" s="4" t="s">
        <v>776</v>
      </c>
      <c r="AA339" s="4" t="e">
        <f ca="1">AA332+AA338</f>
        <v>#NAME?</v>
      </c>
      <c r="AB339" s="129" t="e">
        <f t="shared" ca="1" si="105"/>
        <v>#NAME?</v>
      </c>
      <c r="AC339" s="129" t="e">
        <f t="shared" ca="1" si="106"/>
        <v>#NAME?</v>
      </c>
      <c r="AD339" s="129" t="e">
        <f t="shared" ca="1" si="107"/>
        <v>#NAME?</v>
      </c>
      <c r="AI339" s="4">
        <v>12</v>
      </c>
      <c r="AJ339" s="4" t="s">
        <v>776</v>
      </c>
      <c r="AK339" s="4" t="e">
        <f ca="1">AK332+AK338</f>
        <v>#NAME?</v>
      </c>
      <c r="AL339" s="129" t="e">
        <f t="shared" ca="1" si="108"/>
        <v>#NAME?</v>
      </c>
      <c r="AM339" s="129" t="e">
        <f t="shared" ca="1" si="109"/>
        <v>#NAME?</v>
      </c>
      <c r="AN339" s="129" t="e">
        <f t="shared" ca="1" si="110"/>
        <v>#NAME?</v>
      </c>
      <c r="AQ339" s="1" t="s">
        <v>818</v>
      </c>
      <c r="AR339" t="e">
        <f ca="1">AR337-AR338</f>
        <v>#NAME?</v>
      </c>
      <c r="AS339" s="31" t="e">
        <f t="shared" ca="1" si="118"/>
        <v>#NAME?</v>
      </c>
      <c r="AT339" s="31" t="e">
        <f t="shared" ca="1" si="119"/>
        <v>#NAME?</v>
      </c>
      <c r="AU339" s="31" t="e">
        <f t="shared" ca="1" si="120"/>
        <v>#NAME?</v>
      </c>
      <c r="AV339" s="31" t="e">
        <f t="shared" ca="1" si="121"/>
        <v>#NAME?</v>
      </c>
      <c r="BE339" s="135">
        <f>((((((((((BP297/60)+BO283)/60)+BI339)/60)+BH339)/60)+BG339)/60)+BF339)</f>
        <v>1.5655555555555556</v>
      </c>
      <c r="BF339" s="129">
        <v>1</v>
      </c>
      <c r="BG339" s="129">
        <v>33</v>
      </c>
      <c r="BH339" s="129">
        <v>56</v>
      </c>
      <c r="BI339" s="129">
        <v>0</v>
      </c>
    </row>
    <row r="340" spans="1:61" ht="24.75">
      <c r="A340" s="4">
        <v>13</v>
      </c>
      <c r="B340" s="4" t="s">
        <v>777</v>
      </c>
      <c r="C340" s="4" t="e">
        <f>C333+C338</f>
        <v>#VALUE!</v>
      </c>
      <c r="D340" s="129" t="e">
        <f t="shared" si="111"/>
        <v>#VALUE!</v>
      </c>
      <c r="E340" s="129" t="e">
        <f t="shared" si="112"/>
        <v>#VALUE!</v>
      </c>
      <c r="F340" s="129" t="e">
        <f t="shared" si="113"/>
        <v>#VALUE!</v>
      </c>
      <c r="P340" s="4">
        <v>13</v>
      </c>
      <c r="Q340" s="4" t="s">
        <v>777</v>
      </c>
      <c r="R340" s="4" t="e">
        <f ca="1">R333+R338</f>
        <v>#NAME?</v>
      </c>
      <c r="S340" s="129" t="e">
        <f t="shared" ca="1" si="102"/>
        <v>#NAME?</v>
      </c>
      <c r="T340" s="129" t="e">
        <f t="shared" ca="1" si="103"/>
        <v>#NAME?</v>
      </c>
      <c r="U340" s="129" t="e">
        <f t="shared" ca="1" si="104"/>
        <v>#NAME?</v>
      </c>
      <c r="Y340" s="4">
        <v>13</v>
      </c>
      <c r="Z340" s="4" t="s">
        <v>777</v>
      </c>
      <c r="AA340" s="4" t="e">
        <f ca="1">AA333+AA338</f>
        <v>#NAME?</v>
      </c>
      <c r="AB340" s="129" t="e">
        <f t="shared" ca="1" si="105"/>
        <v>#NAME?</v>
      </c>
      <c r="AC340" s="129" t="e">
        <f t="shared" ca="1" si="106"/>
        <v>#NAME?</v>
      </c>
      <c r="AD340" s="129" t="e">
        <f t="shared" ca="1" si="107"/>
        <v>#NAME?</v>
      </c>
      <c r="AI340" s="4">
        <v>13</v>
      </c>
      <c r="AJ340" s="4" t="s">
        <v>777</v>
      </c>
      <c r="AK340" s="4" t="e">
        <f ca="1">AK333+AK338</f>
        <v>#NAME?</v>
      </c>
      <c r="AL340" s="129" t="e">
        <f t="shared" ca="1" si="108"/>
        <v>#NAME?</v>
      </c>
      <c r="AM340" s="129" t="e">
        <f t="shared" ca="1" si="109"/>
        <v>#NAME?</v>
      </c>
      <c r="AN340" s="129" t="e">
        <f t="shared" ca="1" si="110"/>
        <v>#NAME?</v>
      </c>
      <c r="AR340" t="e">
        <f ca="1">ABS(180-AR339)</f>
        <v>#NAME?</v>
      </c>
      <c r="AS340" s="31" t="e">
        <f t="shared" ca="1" si="118"/>
        <v>#NAME?</v>
      </c>
      <c r="AT340" s="31" t="e">
        <f t="shared" ca="1" si="119"/>
        <v>#NAME?</v>
      </c>
      <c r="AU340" s="31" t="e">
        <f t="shared" ca="1" si="120"/>
        <v>#NAME?</v>
      </c>
      <c r="AV340" s="31" t="e">
        <f t="shared" ca="1" si="121"/>
        <v>#NAME?</v>
      </c>
      <c r="BE340" s="135">
        <f>((((((((((BP298/60)+BO284)/60)+BI340)/60)+BH340)/60)+BG340)/60)+BF340)</f>
        <v>5.6388888888888891E-2</v>
      </c>
      <c r="BF340">
        <v>0</v>
      </c>
      <c r="BG340">
        <v>3</v>
      </c>
      <c r="BH340">
        <v>23</v>
      </c>
    </row>
    <row r="341" spans="1:61" ht="24.75">
      <c r="A341" s="4">
        <v>14</v>
      </c>
      <c r="B341" s="4" t="s">
        <v>803</v>
      </c>
      <c r="C341" s="4" t="e">
        <f>[2]!tq(C339-C334)</f>
        <v>#VALUE!</v>
      </c>
      <c r="D341" s="129" t="e">
        <f t="shared" si="111"/>
        <v>#VALUE!</v>
      </c>
      <c r="E341" s="129" t="e">
        <f t="shared" si="112"/>
        <v>#VALUE!</v>
      </c>
      <c r="F341" s="129" t="e">
        <f t="shared" si="113"/>
        <v>#VALUE!</v>
      </c>
      <c r="P341" s="4">
        <v>14</v>
      </c>
      <c r="Q341" s="4" t="s">
        <v>803</v>
      </c>
      <c r="R341" s="4" t="e">
        <f ca="1">[5]!tq(R339-R334)</f>
        <v>#NAME?</v>
      </c>
      <c r="S341" s="129" t="e">
        <f t="shared" ca="1" si="102"/>
        <v>#NAME?</v>
      </c>
      <c r="T341" s="129" t="e">
        <f t="shared" ca="1" si="103"/>
        <v>#NAME?</v>
      </c>
      <c r="U341" s="129" t="e">
        <f t="shared" ca="1" si="104"/>
        <v>#NAME?</v>
      </c>
      <c r="Y341" s="4">
        <v>14</v>
      </c>
      <c r="Z341" s="4" t="s">
        <v>803</v>
      </c>
      <c r="AA341" s="4" t="e">
        <f ca="1">[5]!tq(AA339-AA334)</f>
        <v>#NAME?</v>
      </c>
      <c r="AB341" s="129" t="e">
        <f t="shared" ca="1" si="105"/>
        <v>#NAME?</v>
      </c>
      <c r="AC341" s="129" t="e">
        <f t="shared" ca="1" si="106"/>
        <v>#NAME?</v>
      </c>
      <c r="AD341" s="129" t="e">
        <f t="shared" ca="1" si="107"/>
        <v>#NAME?</v>
      </c>
      <c r="AI341" s="4">
        <v>14</v>
      </c>
      <c r="AJ341" s="4" t="s">
        <v>803</v>
      </c>
      <c r="AK341" s="4" t="e">
        <f ca="1">[5]!tq(AK339-AK334)</f>
        <v>#NAME?</v>
      </c>
      <c r="AL341" s="129" t="e">
        <f t="shared" ca="1" si="108"/>
        <v>#NAME?</v>
      </c>
      <c r="AM341" s="129" t="e">
        <f t="shared" ca="1" si="109"/>
        <v>#NAME?</v>
      </c>
      <c r="AN341" s="129" t="e">
        <f t="shared" ca="1" si="110"/>
        <v>#NAME?</v>
      </c>
      <c r="AQ341" s="1" t="s">
        <v>819</v>
      </c>
      <c r="AR341" t="e">
        <f ca="1">AR329/24</f>
        <v>#NAME?</v>
      </c>
      <c r="AS341" s="31" t="e">
        <f t="shared" ca="1" si="118"/>
        <v>#NAME?</v>
      </c>
      <c r="AT341" s="31" t="e">
        <f t="shared" ca="1" si="119"/>
        <v>#NAME?</v>
      </c>
      <c r="AU341" s="31" t="e">
        <f t="shared" ca="1" si="120"/>
        <v>#NAME?</v>
      </c>
      <c r="AV341" s="31" t="e">
        <f t="shared" ca="1" si="121"/>
        <v>#NAME?</v>
      </c>
      <c r="BE341">
        <f>BE339-BE340</f>
        <v>1.5091666666666668</v>
      </c>
      <c r="BF341" s="31">
        <f>INT(ABS(BE341))</f>
        <v>1</v>
      </c>
      <c r="BG341" s="31">
        <f>INT((ABS(BE341)-BF341)*60)</f>
        <v>30</v>
      </c>
      <c r="BH341" s="31">
        <f>INT((((ABS(BE341)-BF341)*60)-BG341)*60)</f>
        <v>33</v>
      </c>
      <c r="BI341" s="31">
        <f>INT((((((ABS(BE341)-BF341)*60)-BG341)*60)-BH341)*60)</f>
        <v>0</v>
      </c>
    </row>
    <row r="342" spans="1:61" ht="24.75">
      <c r="A342" s="4">
        <v>15</v>
      </c>
      <c r="B342" s="4" t="s">
        <v>797</v>
      </c>
      <c r="C342" s="130" t="e">
        <f>G337+C338</f>
        <v>#VALUE!</v>
      </c>
      <c r="D342" s="129" t="e">
        <f>INT(ABS(C342))</f>
        <v>#VALUE!</v>
      </c>
      <c r="E342" s="129" t="e">
        <f>INT((ABS(C342)-D342)*60)</f>
        <v>#VALUE!</v>
      </c>
      <c r="F342" s="129" t="e">
        <f>INT((((ABS(C342)-D342)*60)-E342)*60)</f>
        <v>#VALUE!</v>
      </c>
      <c r="P342" s="4">
        <v>15</v>
      </c>
      <c r="Q342" s="4" t="s">
        <v>797</v>
      </c>
      <c r="R342" s="130" t="e">
        <f ca="1">V337-R338</f>
        <v>#NAME?</v>
      </c>
      <c r="S342" s="129" t="e">
        <f t="shared" ca="1" si="102"/>
        <v>#NAME?</v>
      </c>
      <c r="T342" s="129" t="e">
        <f t="shared" ca="1" si="103"/>
        <v>#NAME?</v>
      </c>
      <c r="U342" s="129" t="e">
        <f t="shared" ca="1" si="104"/>
        <v>#NAME?</v>
      </c>
      <c r="Y342" s="4">
        <v>15</v>
      </c>
      <c r="Z342" s="4" t="s">
        <v>797</v>
      </c>
      <c r="AA342" s="130" t="e">
        <f ca="1">AE337-AA338</f>
        <v>#NAME?</v>
      </c>
      <c r="AB342" s="129" t="e">
        <f t="shared" ca="1" si="105"/>
        <v>#NAME?</v>
      </c>
      <c r="AC342" s="129" t="e">
        <f t="shared" ca="1" si="106"/>
        <v>#NAME?</v>
      </c>
      <c r="AD342" s="129" t="e">
        <f t="shared" ca="1" si="107"/>
        <v>#NAME?</v>
      </c>
      <c r="AI342" s="4">
        <v>15</v>
      </c>
      <c r="AJ342" s="4" t="s">
        <v>797</v>
      </c>
      <c r="AK342" s="130" t="e">
        <f ca="1">AO337-AK338</f>
        <v>#NAME?</v>
      </c>
      <c r="AL342" s="129" t="e">
        <f t="shared" ca="1" si="108"/>
        <v>#NAME?</v>
      </c>
      <c r="AM342" s="129" t="e">
        <f t="shared" ca="1" si="109"/>
        <v>#NAME?</v>
      </c>
      <c r="AN342" s="129" t="e">
        <f t="shared" ca="1" si="110"/>
        <v>#NAME?</v>
      </c>
      <c r="AQ342" s="1" t="s">
        <v>820</v>
      </c>
      <c r="AR342" t="e">
        <f ca="1">AR332/24</f>
        <v>#NAME?</v>
      </c>
      <c r="AS342" s="31" t="e">
        <f t="shared" ca="1" si="118"/>
        <v>#NAME?</v>
      </c>
      <c r="AT342" s="31" t="e">
        <f t="shared" ca="1" si="119"/>
        <v>#NAME?</v>
      </c>
      <c r="AU342" s="31" t="e">
        <f t="shared" ca="1" si="120"/>
        <v>#NAME?</v>
      </c>
      <c r="AV342" s="31" t="e">
        <f t="shared" ca="1" si="121"/>
        <v>#NAME?</v>
      </c>
      <c r="BE342">
        <f>BE341/45</f>
        <v>3.3537037037037039E-2</v>
      </c>
      <c r="BF342" s="31">
        <f>INT(ABS(BE342))</f>
        <v>0</v>
      </c>
      <c r="BG342" s="31">
        <f>INT((ABS(BE342)-BF342)*60)</f>
        <v>2</v>
      </c>
      <c r="BH342" s="31">
        <f>INT((((ABS(BE342)-BF342)*60)-BG342)*60)</f>
        <v>0</v>
      </c>
      <c r="BI342" s="31">
        <f>INT((((((ABS(BE342)-BF342)*60)-BG342)*60)-BH342)*60)</f>
        <v>44</v>
      </c>
    </row>
    <row r="343" spans="1:61" ht="24.75">
      <c r="A343" s="4">
        <v>16</v>
      </c>
      <c r="B343" s="4" t="s">
        <v>828</v>
      </c>
      <c r="C343" s="4" t="e">
        <f>[2]!taqm3(C341,C340)</f>
        <v>#VALUE!</v>
      </c>
      <c r="D343" s="129" t="e">
        <f t="shared" si="111"/>
        <v>#VALUE!</v>
      </c>
      <c r="E343" s="129" t="e">
        <f t="shared" si="112"/>
        <v>#VALUE!</v>
      </c>
      <c r="F343" s="129" t="e">
        <f t="shared" si="113"/>
        <v>#VALUE!</v>
      </c>
      <c r="P343" s="4">
        <v>16</v>
      </c>
      <c r="Q343" s="4"/>
      <c r="R343" s="4" t="e">
        <f ca="1">[5]!taqm3(R341,R340)</f>
        <v>#NAME?</v>
      </c>
      <c r="S343" s="129" t="e">
        <f t="shared" ca="1" si="102"/>
        <v>#NAME?</v>
      </c>
      <c r="T343" s="129" t="e">
        <f t="shared" ca="1" si="103"/>
        <v>#NAME?</v>
      </c>
      <c r="U343" s="129" t="e">
        <f t="shared" ca="1" si="104"/>
        <v>#NAME?</v>
      </c>
      <c r="Y343" s="4">
        <v>16</v>
      </c>
      <c r="Z343" s="4"/>
      <c r="AA343" s="4" t="e">
        <f ca="1">[5]!taqm3(AA341,AA340)</f>
        <v>#NAME?</v>
      </c>
      <c r="AB343" s="129" t="e">
        <f t="shared" ca="1" si="105"/>
        <v>#NAME?</v>
      </c>
      <c r="AC343" s="129" t="e">
        <f t="shared" ca="1" si="106"/>
        <v>#NAME?</v>
      </c>
      <c r="AD343" s="129" t="e">
        <f t="shared" ca="1" si="107"/>
        <v>#NAME?</v>
      </c>
      <c r="AI343" s="4">
        <v>16</v>
      </c>
      <c r="AJ343" s="4"/>
      <c r="AK343" s="4" t="e">
        <f ca="1">[5]!taqm3(AK341,AK340)</f>
        <v>#NAME?</v>
      </c>
      <c r="AL343" s="129" t="e">
        <f t="shared" ca="1" si="108"/>
        <v>#NAME?</v>
      </c>
      <c r="AM343" s="129" t="e">
        <f t="shared" ca="1" si="109"/>
        <v>#NAME?</v>
      </c>
      <c r="AN343" s="129" t="e">
        <f t="shared" ca="1" si="110"/>
        <v>#NAME?</v>
      </c>
      <c r="AQ343" s="1" t="s">
        <v>821</v>
      </c>
      <c r="AR343" t="e">
        <f ca="1">AR342-AR341</f>
        <v>#NAME?</v>
      </c>
      <c r="AS343" s="31" t="e">
        <f t="shared" ca="1" si="118"/>
        <v>#NAME?</v>
      </c>
      <c r="AT343" s="31" t="e">
        <f t="shared" ca="1" si="119"/>
        <v>#NAME?</v>
      </c>
      <c r="AU343" s="31" t="e">
        <f t="shared" ca="1" si="120"/>
        <v>#NAME?</v>
      </c>
      <c r="AV343" s="31" t="e">
        <f t="shared" ca="1" si="121"/>
        <v>#NAME?</v>
      </c>
      <c r="BE343" s="135">
        <f>((((((((((BP301/60)+BO287)/60)+BI343)/60)+BH343)/60)+BG343)/60)+BF343)</f>
        <v>5.6388888888888891E-2</v>
      </c>
      <c r="BF343" s="31">
        <v>0</v>
      </c>
      <c r="BG343" s="31">
        <v>3</v>
      </c>
      <c r="BH343" s="31">
        <v>23</v>
      </c>
      <c r="BI343" s="31">
        <v>0</v>
      </c>
    </row>
    <row r="344" spans="1:61" ht="24.75">
      <c r="A344" s="4">
        <v>17</v>
      </c>
      <c r="B344" s="4" t="s">
        <v>826</v>
      </c>
      <c r="C344" s="4" t="e">
        <f>C339+C343</f>
        <v>#VALUE!</v>
      </c>
      <c r="D344" s="129" t="e">
        <f t="shared" si="111"/>
        <v>#VALUE!</v>
      </c>
      <c r="E344" s="129" t="e">
        <f t="shared" si="112"/>
        <v>#VALUE!</v>
      </c>
      <c r="F344" s="129" t="e">
        <f t="shared" si="113"/>
        <v>#VALUE!</v>
      </c>
      <c r="P344" s="4">
        <v>17</v>
      </c>
      <c r="Q344" s="4" t="s">
        <v>826</v>
      </c>
      <c r="R344" s="4" t="e">
        <f ca="1">R339+R343</f>
        <v>#NAME?</v>
      </c>
      <c r="S344" s="129" t="e">
        <f t="shared" ca="1" si="102"/>
        <v>#NAME?</v>
      </c>
      <c r="T344" s="129" t="e">
        <f t="shared" ca="1" si="103"/>
        <v>#NAME?</v>
      </c>
      <c r="U344" s="129" t="e">
        <f t="shared" ca="1" si="104"/>
        <v>#NAME?</v>
      </c>
      <c r="Y344" s="4">
        <v>17</v>
      </c>
      <c r="Z344" s="4" t="s">
        <v>826</v>
      </c>
      <c r="AA344" s="4" t="e">
        <f ca="1">AA339+AA343</f>
        <v>#NAME?</v>
      </c>
      <c r="AB344" s="129" t="e">
        <f t="shared" ca="1" si="105"/>
        <v>#NAME?</v>
      </c>
      <c r="AC344" s="129" t="e">
        <f t="shared" ca="1" si="106"/>
        <v>#NAME?</v>
      </c>
      <c r="AD344" s="129" t="e">
        <f t="shared" ca="1" si="107"/>
        <v>#NAME?</v>
      </c>
      <c r="AI344" s="4">
        <v>17</v>
      </c>
      <c r="AJ344" s="4" t="s">
        <v>806</v>
      </c>
      <c r="AK344" s="4" t="e">
        <f ca="1">AK339+AK343</f>
        <v>#NAME?</v>
      </c>
      <c r="AL344" s="129" t="e">
        <f t="shared" ca="1" si="108"/>
        <v>#NAME?</v>
      </c>
      <c r="AM344" s="129" t="e">
        <f t="shared" ca="1" si="109"/>
        <v>#NAME?</v>
      </c>
      <c r="AN344" s="129" t="e">
        <f t="shared" ca="1" si="110"/>
        <v>#NAME?</v>
      </c>
      <c r="AR344" t="e">
        <f ca="1">AR340/AR343</f>
        <v>#NAME?</v>
      </c>
      <c r="AS344" s="31" t="e">
        <f t="shared" ca="1" si="118"/>
        <v>#NAME?</v>
      </c>
      <c r="AT344" s="31" t="e">
        <f t="shared" ca="1" si="119"/>
        <v>#NAME?</v>
      </c>
      <c r="AU344" s="31" t="e">
        <f t="shared" ca="1" si="120"/>
        <v>#NAME?</v>
      </c>
      <c r="AV344" s="31" t="e">
        <f t="shared" ca="1" si="121"/>
        <v>#NAME?</v>
      </c>
      <c r="BE344">
        <f>BE343-BE342</f>
        <v>2.2851851851851852E-2</v>
      </c>
      <c r="BF344" s="31">
        <f>INT(ABS(BE344))</f>
        <v>0</v>
      </c>
      <c r="BG344" s="31">
        <f>INT((ABS(BE344)-BF344)*60)</f>
        <v>1</v>
      </c>
      <c r="BH344" s="31">
        <f>INT((((ABS(BE344)-BF344)*60)-BG344)*60)</f>
        <v>22</v>
      </c>
      <c r="BI344" s="31">
        <f>INT((((((ABS(BE344)-BF344)*60)-BG344)*60)-BH344)*60)</f>
        <v>16</v>
      </c>
    </row>
    <row r="345" spans="1:61" ht="24.75">
      <c r="A345" s="4">
        <v>18</v>
      </c>
      <c r="B345" s="4" t="s">
        <v>903</v>
      </c>
      <c r="C345" s="4" t="e">
        <f>C340+C343</f>
        <v>#VALUE!</v>
      </c>
      <c r="D345" s="129" t="e">
        <f t="shared" si="111"/>
        <v>#VALUE!</v>
      </c>
      <c r="E345" s="129" t="e">
        <f t="shared" si="112"/>
        <v>#VALUE!</v>
      </c>
      <c r="F345" s="129" t="e">
        <f t="shared" si="113"/>
        <v>#VALUE!</v>
      </c>
      <c r="G345">
        <f>[2]!markaz3(C326,D326,E326,F326)</f>
        <v>187.60311854927338</v>
      </c>
      <c r="P345" s="4">
        <v>18</v>
      </c>
      <c r="Q345" s="4"/>
      <c r="R345" s="4" t="e">
        <f ca="1">R340+R343</f>
        <v>#NAME?</v>
      </c>
      <c r="S345" s="129" t="e">
        <f t="shared" ca="1" si="102"/>
        <v>#NAME?</v>
      </c>
      <c r="T345" s="129" t="e">
        <f t="shared" ca="1" si="103"/>
        <v>#NAME?</v>
      </c>
      <c r="U345" s="129" t="e">
        <f t="shared" ca="1" si="104"/>
        <v>#NAME?</v>
      </c>
      <c r="Y345" s="4">
        <v>18</v>
      </c>
      <c r="Z345" s="4"/>
      <c r="AA345" s="4" t="e">
        <f ca="1">AA340+AA343</f>
        <v>#NAME?</v>
      </c>
      <c r="AB345" s="129" t="e">
        <f t="shared" ca="1" si="105"/>
        <v>#NAME?</v>
      </c>
      <c r="AC345" s="129" t="e">
        <f t="shared" ca="1" si="106"/>
        <v>#NAME?</v>
      </c>
      <c r="AD345" s="129" t="e">
        <f t="shared" ca="1" si="107"/>
        <v>#NAME?</v>
      </c>
      <c r="AI345" s="4">
        <v>18</v>
      </c>
      <c r="AJ345" s="4"/>
      <c r="AK345" s="4" t="e">
        <f ca="1">AK340+AK343</f>
        <v>#NAME?</v>
      </c>
      <c r="AL345" s="129" t="e">
        <f t="shared" ca="1" si="108"/>
        <v>#NAME?</v>
      </c>
      <c r="AM345" s="129" t="e">
        <f t="shared" ca="1" si="109"/>
        <v>#NAME?</v>
      </c>
      <c r="AN345" s="129" t="e">
        <f t="shared" ca="1" si="110"/>
        <v>#NAME?</v>
      </c>
      <c r="AQ345" s="1" t="s">
        <v>822</v>
      </c>
      <c r="AR345" t="e">
        <f ca="1">AR336+AR344</f>
        <v>#NAME?</v>
      </c>
      <c r="AS345" s="31" t="e">
        <f t="shared" ca="1" si="118"/>
        <v>#NAME?</v>
      </c>
      <c r="AT345" s="31" t="e">
        <f t="shared" ca="1" si="119"/>
        <v>#NAME?</v>
      </c>
      <c r="AU345" s="31" t="e">
        <f t="shared" ca="1" si="120"/>
        <v>#NAME?</v>
      </c>
      <c r="AV345" s="31" t="e">
        <f t="shared" ca="1" si="121"/>
        <v>#NAME?</v>
      </c>
      <c r="BE345" s="135">
        <f>((((((((((BP303/60)+BO289)/60)+BI345)/60)+BH345)/60)+BG345)/60)+BF345)</f>
        <v>0</v>
      </c>
      <c r="BF345">
        <v>0</v>
      </c>
      <c r="BG345">
        <v>0</v>
      </c>
      <c r="BH345">
        <v>0</v>
      </c>
    </row>
    <row r="346" spans="1:61" ht="24.75">
      <c r="A346" s="4">
        <v>19</v>
      </c>
      <c r="B346" s="4" t="s">
        <v>804</v>
      </c>
      <c r="C346" s="10" t="e">
        <f>C341+C343</f>
        <v>#VALUE!</v>
      </c>
      <c r="D346" s="129" t="e">
        <f t="shared" si="111"/>
        <v>#VALUE!</v>
      </c>
      <c r="E346" s="129" t="e">
        <f t="shared" si="112"/>
        <v>#VALUE!</v>
      </c>
      <c r="F346" s="129" t="e">
        <f t="shared" si="113"/>
        <v>#VALUE!</v>
      </c>
      <c r="H346" s="129"/>
      <c r="I346" s="129"/>
      <c r="J346" s="129"/>
      <c r="P346" s="4">
        <v>19</v>
      </c>
      <c r="Q346" s="4" t="s">
        <v>804</v>
      </c>
      <c r="R346" s="10" t="e">
        <f ca="1">R341+R343</f>
        <v>#NAME?</v>
      </c>
      <c r="S346" s="129" t="e">
        <f t="shared" ca="1" si="102"/>
        <v>#NAME?</v>
      </c>
      <c r="T346" s="129" t="e">
        <f t="shared" ca="1" si="103"/>
        <v>#NAME?</v>
      </c>
      <c r="U346" s="129" t="e">
        <f t="shared" ca="1" si="104"/>
        <v>#NAME?</v>
      </c>
      <c r="Y346" s="4">
        <v>19</v>
      </c>
      <c r="Z346" s="4" t="s">
        <v>804</v>
      </c>
      <c r="AA346" s="10" t="e">
        <f ca="1">AA341+AA343</f>
        <v>#NAME?</v>
      </c>
      <c r="AB346" s="129" t="e">
        <f t="shared" ca="1" si="105"/>
        <v>#NAME?</v>
      </c>
      <c r="AC346" s="129" t="e">
        <f t="shared" ca="1" si="106"/>
        <v>#NAME?</v>
      </c>
      <c r="AD346" s="129" t="e">
        <f t="shared" ca="1" si="107"/>
        <v>#NAME?</v>
      </c>
      <c r="AI346" s="4">
        <v>19</v>
      </c>
      <c r="AJ346" s="4" t="s">
        <v>804</v>
      </c>
      <c r="AK346" s="10" t="e">
        <f ca="1">AK341+AK343</f>
        <v>#NAME?</v>
      </c>
      <c r="AL346" s="129" t="e">
        <f t="shared" ca="1" si="108"/>
        <v>#NAME?</v>
      </c>
      <c r="AM346" s="129" t="e">
        <f t="shared" ca="1" si="109"/>
        <v>#NAME?</v>
      </c>
      <c r="AN346" s="129" t="e">
        <f t="shared" ca="1" si="110"/>
        <v>#NAME?</v>
      </c>
      <c r="AQ346" s="1" t="s">
        <v>816</v>
      </c>
      <c r="AR346" t="e">
        <f ca="1">[5]!taqsh(C326,D326,E326+(AR345/24),F326)</f>
        <v>#NAME?</v>
      </c>
      <c r="AS346" s="31" t="e">
        <f t="shared" ca="1" si="118"/>
        <v>#NAME?</v>
      </c>
      <c r="AT346" s="31" t="e">
        <f t="shared" ca="1" si="119"/>
        <v>#NAME?</v>
      </c>
      <c r="AU346" s="31" t="e">
        <f t="shared" ca="1" si="120"/>
        <v>#NAME?</v>
      </c>
      <c r="AV346" s="31" t="e">
        <f t="shared" ca="1" si="121"/>
        <v>#NAME?</v>
      </c>
      <c r="BE346">
        <v>4.8000000000000001E-4</v>
      </c>
      <c r="BF346" s="31">
        <f>INT(ABS(BE346))</f>
        <v>0</v>
      </c>
      <c r="BG346" s="31">
        <f>INT((ABS(BE346)-BF346)*60)</f>
        <v>0</v>
      </c>
      <c r="BH346" s="31">
        <f>INT((((ABS(BE346)-BF346)*60)-BG346)*60)</f>
        <v>1</v>
      </c>
      <c r="BI346" s="31">
        <f>INT((((((ABS(BE346)-BF346)*60)-BG346)*60)-BH346)*60)</f>
        <v>43</v>
      </c>
    </row>
    <row r="347" spans="1:61" ht="24.75">
      <c r="A347" s="4">
        <v>20</v>
      </c>
      <c r="B347" s="4" t="s">
        <v>798</v>
      </c>
      <c r="C347" s="135" t="e">
        <f>[2]!tadilr(C346)</f>
        <v>#VALUE!</v>
      </c>
      <c r="D347" s="129" t="e">
        <f>INT(ABS(C347))</f>
        <v>#VALUE!</v>
      </c>
      <c r="E347" s="129" t="e">
        <f>INT((ABS(C347)-D347)*60)</f>
        <v>#VALUE!</v>
      </c>
      <c r="F347" s="129" t="e">
        <f>INT((((ABS(C347)-D347)*60)-E347)*60)</f>
        <v>#VALUE!</v>
      </c>
      <c r="G347" s="129"/>
      <c r="P347" s="4">
        <v>20</v>
      </c>
      <c r="Q347" s="4" t="s">
        <v>798</v>
      </c>
      <c r="R347" s="130">
        <f>((((((((((AC305/60)+AB291)/60)+V347)/60)+U347)/60)+T347)/60)+S347)*-1</f>
        <v>-0.49888888888888888</v>
      </c>
      <c r="S347" s="129">
        <v>0</v>
      </c>
      <c r="T347" s="129">
        <v>29</v>
      </c>
      <c r="U347" s="129">
        <v>56</v>
      </c>
      <c r="V347" s="129">
        <v>0</v>
      </c>
      <c r="Y347" s="4">
        <v>20</v>
      </c>
      <c r="Z347" s="4" t="s">
        <v>798</v>
      </c>
      <c r="AA347" s="135">
        <f>((((((((((AL305/60)+AK291)/60)+AE347)/60)+AD347)/60)+AC347)/60)+AB347)*-1</f>
        <v>0</v>
      </c>
      <c r="AB347" s="129">
        <v>0</v>
      </c>
      <c r="AC347" s="129">
        <v>0</v>
      </c>
      <c r="AD347" s="129">
        <v>0</v>
      </c>
      <c r="AE347" s="129">
        <v>0</v>
      </c>
      <c r="AI347" s="4">
        <v>20</v>
      </c>
      <c r="AJ347" s="4" t="s">
        <v>798</v>
      </c>
      <c r="AK347" s="135">
        <f>((((((((((AV305/60)+AU291)/60)+AO347)/60)+AN347)/60)+AM347)/60)+AL347)*-1</f>
        <v>0</v>
      </c>
      <c r="AL347" s="129">
        <v>0</v>
      </c>
      <c r="AM347" s="129">
        <v>0</v>
      </c>
      <c r="AN347" s="129">
        <v>0</v>
      </c>
      <c r="AO347" s="129">
        <v>0</v>
      </c>
      <c r="AQ347" s="1" t="s">
        <v>817</v>
      </c>
      <c r="AR347" t="e">
        <f ca="1">AK351</f>
        <v>#NAME?</v>
      </c>
      <c r="AS347" s="31" t="e">
        <f t="shared" ca="1" si="118"/>
        <v>#NAME?</v>
      </c>
      <c r="AT347" s="31" t="e">
        <f t="shared" ca="1" si="119"/>
        <v>#NAME?</v>
      </c>
      <c r="AU347" s="31" t="e">
        <f t="shared" ca="1" si="120"/>
        <v>#NAME?</v>
      </c>
      <c r="AV347" s="31" t="e">
        <f t="shared" ca="1" si="121"/>
        <v>#NAME?</v>
      </c>
      <c r="BE347">
        <f>BE343-(BE346*45)</f>
        <v>3.478888888888889E-2</v>
      </c>
    </row>
    <row r="348" spans="1:61" ht="24.75">
      <c r="A348" s="4">
        <v>21</v>
      </c>
      <c r="B348" s="4" t="s">
        <v>827</v>
      </c>
      <c r="C348" s="4" t="e">
        <f>C342-C347</f>
        <v>#VALUE!</v>
      </c>
      <c r="D348" s="129" t="e">
        <f t="shared" si="111"/>
        <v>#VALUE!</v>
      </c>
      <c r="E348" s="129" t="e">
        <f t="shared" si="112"/>
        <v>#VALUE!</v>
      </c>
      <c r="F348" s="129" t="e">
        <f t="shared" si="113"/>
        <v>#VALUE!</v>
      </c>
      <c r="P348" s="4">
        <v>21</v>
      </c>
      <c r="Q348" s="4" t="s">
        <v>827</v>
      </c>
      <c r="R348" s="4" t="e">
        <f ca="1">R342+R347</f>
        <v>#NAME?</v>
      </c>
      <c r="S348" s="129" t="e">
        <f ca="1">INT(ABS(R348))</f>
        <v>#NAME?</v>
      </c>
      <c r="T348" s="129" t="e">
        <f ca="1">INT((ABS(R348)-S348)*60)</f>
        <v>#NAME?</v>
      </c>
      <c r="U348" s="129" t="e">
        <f ca="1">INT((((ABS(R348)-S348)*60)-T348)*60)</f>
        <v>#NAME?</v>
      </c>
      <c r="Y348" s="4">
        <v>21</v>
      </c>
      <c r="Z348" s="4" t="s">
        <v>827</v>
      </c>
      <c r="AA348" s="4" t="e">
        <f ca="1">AA342+AA347</f>
        <v>#NAME?</v>
      </c>
      <c r="AB348" s="129" t="e">
        <f ca="1">INT(ABS(AA348))</f>
        <v>#NAME?</v>
      </c>
      <c r="AC348" s="129" t="e">
        <f ca="1">INT((ABS(AA348)-AB348)*60)</f>
        <v>#NAME?</v>
      </c>
      <c r="AD348" s="129" t="e">
        <f ca="1">INT((((ABS(AA348)-AB348)*60)-AC348)*60)</f>
        <v>#NAME?</v>
      </c>
      <c r="AI348" s="4">
        <v>21</v>
      </c>
      <c r="AJ348" s="4" t="s">
        <v>825</v>
      </c>
      <c r="AK348" s="4" t="e">
        <f ca="1">AK342+AK347</f>
        <v>#NAME?</v>
      </c>
      <c r="AL348" s="129" t="e">
        <f ca="1">INT(ABS(AK348))</f>
        <v>#NAME?</v>
      </c>
      <c r="AM348" s="129" t="e">
        <f ca="1">INT((ABS(AK348)-AL348)*60)</f>
        <v>#NAME?</v>
      </c>
      <c r="AN348" s="129" t="e">
        <f ca="1">INT((((ABS(AK348)-AL348)*60)-AM348)*60)</f>
        <v>#NAME?</v>
      </c>
      <c r="AQ348" s="1" t="s">
        <v>388</v>
      </c>
      <c r="AR348" t="e">
        <f ca="1">[5]!wasat(C326,D326,E326,F326)</f>
        <v>#NAME?</v>
      </c>
      <c r="AS348" s="31" t="e">
        <f t="shared" ca="1" si="118"/>
        <v>#NAME?</v>
      </c>
      <c r="AT348" s="31" t="e">
        <f t="shared" ca="1" si="119"/>
        <v>#NAME?</v>
      </c>
      <c r="AU348" s="31" t="e">
        <f t="shared" ca="1" si="120"/>
        <v>#NAME?</v>
      </c>
      <c r="AV348" s="31" t="e">
        <f t="shared" ca="1" si="121"/>
        <v>#NAME?</v>
      </c>
      <c r="BE348">
        <f>BE347*45</f>
        <v>1.5655000000000001</v>
      </c>
    </row>
    <row r="349" spans="1:61" ht="24.75">
      <c r="A349" s="4">
        <v>22</v>
      </c>
      <c r="B349" s="4" t="s">
        <v>713</v>
      </c>
      <c r="C349" s="4" t="e">
        <f>C344-C348</f>
        <v>#VALUE!</v>
      </c>
      <c r="D349" s="129" t="e">
        <f t="shared" si="111"/>
        <v>#VALUE!</v>
      </c>
      <c r="E349" s="129" t="e">
        <f t="shared" si="112"/>
        <v>#VALUE!</v>
      </c>
      <c r="F349" s="129" t="e">
        <f t="shared" si="113"/>
        <v>#VALUE!</v>
      </c>
      <c r="G349" t="e">
        <f ca="1">[2]!hesseh2(C326,D326,E326,F326)</f>
        <v>#NAME?</v>
      </c>
      <c r="P349" s="4">
        <v>22</v>
      </c>
      <c r="Q349" s="4" t="s">
        <v>713</v>
      </c>
      <c r="R349" s="4" t="e">
        <f ca="1">R344-R348</f>
        <v>#NAME?</v>
      </c>
      <c r="S349" s="129" t="e">
        <f ca="1">INT(ABS(R349))</f>
        <v>#NAME?</v>
      </c>
      <c r="T349" s="129" t="e">
        <f ca="1">INT((ABS(R349)-S349)*60)</f>
        <v>#NAME?</v>
      </c>
      <c r="U349" s="129" t="e">
        <f ca="1">INT((((ABS(R349)-S349)*60)-T349)*60)</f>
        <v>#NAME?</v>
      </c>
      <c r="V349" t="e">
        <f ca="1">[5]!hesseh(R326,S326,T326,U326)</f>
        <v>#NAME?</v>
      </c>
      <c r="Y349" s="4">
        <v>22</v>
      </c>
      <c r="Z349" s="4" t="s">
        <v>713</v>
      </c>
      <c r="AA349" s="4" t="e">
        <f ca="1">AA344-AA348</f>
        <v>#NAME?</v>
      </c>
      <c r="AB349" s="129" t="e">
        <f ca="1">INT(ABS(AA349))</f>
        <v>#NAME?</v>
      </c>
      <c r="AC349" s="129" t="e">
        <f ca="1">INT((ABS(AA349)-AB349)*60)</f>
        <v>#NAME?</v>
      </c>
      <c r="AD349" s="129" t="e">
        <f ca="1">INT((((ABS(AA349)-AB349)*60)-AC349)*60)</f>
        <v>#NAME?</v>
      </c>
      <c r="AE349" t="e">
        <f ca="1">[5]!hesseh(AA326,AB326,AC326,AD326)</f>
        <v>#NAME?</v>
      </c>
      <c r="AI349" s="4">
        <v>22</v>
      </c>
      <c r="AJ349" s="4" t="s">
        <v>713</v>
      </c>
      <c r="AK349" s="4" t="e">
        <f ca="1">AK344-AK348</f>
        <v>#NAME?</v>
      </c>
      <c r="AL349" s="129" t="e">
        <f ca="1">INT(ABS(AK349))</f>
        <v>#NAME?</v>
      </c>
      <c r="AM349" s="129" t="e">
        <f ca="1">INT((ABS(AK349)-AL349)*60)</f>
        <v>#NAME?</v>
      </c>
      <c r="AN349" s="129" t="e">
        <f ca="1">INT((((ABS(AK349)-AL349)*60)-AM349)*60)</f>
        <v>#NAME?</v>
      </c>
      <c r="AO349" t="e">
        <f ca="1">[5]!hesseh(AK326,AL326,AM326,AN326)</f>
        <v>#NAME?</v>
      </c>
      <c r="AQ349" s="1" t="s">
        <v>645</v>
      </c>
      <c r="AR349" t="e">
        <f ca="1">[5]!taam(AR348)</f>
        <v>#NAME?</v>
      </c>
      <c r="AS349" s="31" t="e">
        <f t="shared" ca="1" si="118"/>
        <v>#NAME?</v>
      </c>
      <c r="AT349" s="31" t="e">
        <f t="shared" ca="1" si="119"/>
        <v>#NAME?</v>
      </c>
      <c r="AU349" s="31" t="e">
        <f t="shared" ca="1" si="120"/>
        <v>#NAME?</v>
      </c>
      <c r="AV349" s="31" t="e">
        <f t="shared" ca="1" si="121"/>
        <v>#NAME?</v>
      </c>
      <c r="BE349">
        <f>BE346/45</f>
        <v>1.0666666666666667E-5</v>
      </c>
      <c r="BF349" s="31">
        <f>INT(ABS(BE349))</f>
        <v>0</v>
      </c>
      <c r="BG349" s="31">
        <f>INT((ABS(BE349)-BF349)*60)</f>
        <v>0</v>
      </c>
      <c r="BH349" s="31">
        <f>INT((((ABS(BE349)-BF349)*60)-BG349)*60)</f>
        <v>0</v>
      </c>
      <c r="BI349" s="31">
        <f>INT((((((ABS(BE349)-BF349)*60)-BG349)*60)-BH349)*60)</f>
        <v>2</v>
      </c>
    </row>
    <row r="350" spans="1:61" ht="24.75">
      <c r="A350" s="4">
        <v>23</v>
      </c>
      <c r="B350" s="4" t="s">
        <v>714</v>
      </c>
      <c r="C350" s="4" t="e">
        <f>[2]!taqm4(C349)</f>
        <v>#VALUE!</v>
      </c>
      <c r="D350" s="129" t="e">
        <f t="shared" si="111"/>
        <v>#VALUE!</v>
      </c>
      <c r="E350" s="129" t="e">
        <f t="shared" si="112"/>
        <v>#VALUE!</v>
      </c>
      <c r="F350" s="129" t="e">
        <f t="shared" si="113"/>
        <v>#VALUE!</v>
      </c>
      <c r="P350" s="4">
        <v>23</v>
      </c>
      <c r="Q350" s="4" t="s">
        <v>714</v>
      </c>
      <c r="R350" s="4" t="e">
        <f ca="1">[5]!taqm4(R349)</f>
        <v>#NAME?</v>
      </c>
      <c r="S350" s="129" t="e">
        <f ca="1">INT(ABS(R350))</f>
        <v>#NAME?</v>
      </c>
      <c r="T350" s="129" t="e">
        <f ca="1">INT((ABS(R350)-S350)*60)</f>
        <v>#NAME?</v>
      </c>
      <c r="U350" s="129" t="e">
        <f ca="1">INT((((ABS(R350)-S350)*60)-T350)*60)</f>
        <v>#NAME?</v>
      </c>
      <c r="Y350" s="4">
        <v>23</v>
      </c>
      <c r="Z350" s="4" t="s">
        <v>714</v>
      </c>
      <c r="AA350" s="4" t="e">
        <f ca="1">[5]!taqm4(AA349)</f>
        <v>#NAME?</v>
      </c>
      <c r="AB350" s="129" t="e">
        <f ca="1">INT(ABS(AA350))</f>
        <v>#NAME?</v>
      </c>
      <c r="AC350" s="129" t="e">
        <f ca="1">INT((ABS(AA350)-AB350)*60)</f>
        <v>#NAME?</v>
      </c>
      <c r="AD350" s="129" t="e">
        <f ca="1">INT((((ABS(AA350)-AB350)*60)-AC350)*60)</f>
        <v>#NAME?</v>
      </c>
      <c r="AI350" s="4">
        <v>23</v>
      </c>
      <c r="AJ350" s="4" t="s">
        <v>714</v>
      </c>
      <c r="AK350" s="4" t="e">
        <f ca="1">[5]!taqm4(AK349)</f>
        <v>#NAME?</v>
      </c>
      <c r="AL350" s="129" t="e">
        <f ca="1">INT(ABS(AK350))</f>
        <v>#NAME?</v>
      </c>
      <c r="AM350" s="129" t="e">
        <f ca="1">INT((ABS(AK350)-AL350)*60)</f>
        <v>#NAME?</v>
      </c>
      <c r="AN350" s="129" t="e">
        <f ca="1">INT((((ABS(AK350)-AL350)*60)-AM350)*60)</f>
        <v>#NAME?</v>
      </c>
      <c r="AQ350" s="1" t="s">
        <v>823</v>
      </c>
      <c r="AR350" t="e">
        <f ca="1">AR345-AR349</f>
        <v>#NAME?</v>
      </c>
      <c r="AS350" s="31" t="e">
        <f t="shared" ca="1" si="118"/>
        <v>#NAME?</v>
      </c>
      <c r="AT350" s="31" t="e">
        <f t="shared" ca="1" si="119"/>
        <v>#NAME?</v>
      </c>
      <c r="AU350" s="31" t="e">
        <f t="shared" ca="1" si="120"/>
        <v>#NAME?</v>
      </c>
      <c r="AV350" s="31" t="e">
        <f t="shared" ca="1" si="121"/>
        <v>#NAME?</v>
      </c>
      <c r="BE350">
        <f>BE349*2</f>
        <v>2.1333333333333335E-5</v>
      </c>
      <c r="BF350" s="31">
        <f>INT(ABS(BE350))</f>
        <v>0</v>
      </c>
      <c r="BG350" s="31">
        <f>INT((ABS(BE350)-BF350)*60)</f>
        <v>0</v>
      </c>
      <c r="BH350" s="31">
        <f>INT((((ABS(BE350)-BF350)*60)-BG350)*60)</f>
        <v>0</v>
      </c>
      <c r="BI350" s="31">
        <f>INT((((((ABS(BE350)-BF350)*60)-BG350)*60)-BH350)*60)</f>
        <v>4</v>
      </c>
    </row>
    <row r="351" spans="1:61" ht="24.75">
      <c r="A351" s="4">
        <v>24</v>
      </c>
      <c r="B351" s="11" t="s">
        <v>698</v>
      </c>
      <c r="C351" s="11" t="e">
        <f>[2]!ba(C344+C350)</f>
        <v>#VALUE!</v>
      </c>
      <c r="D351" s="129" t="e">
        <f t="shared" si="111"/>
        <v>#VALUE!</v>
      </c>
      <c r="E351" s="129" t="e">
        <f t="shared" si="112"/>
        <v>#VALUE!</v>
      </c>
      <c r="F351" s="129" t="e">
        <f t="shared" si="113"/>
        <v>#VALUE!</v>
      </c>
      <c r="P351" s="4">
        <v>24</v>
      </c>
      <c r="Q351" s="4" t="s">
        <v>698</v>
      </c>
      <c r="R351" s="4" t="e">
        <f ca="1">[5]!ba(R344+R350)</f>
        <v>#NAME?</v>
      </c>
      <c r="S351" s="129" t="e">
        <f ca="1">INT(ABS(R351))</f>
        <v>#NAME?</v>
      </c>
      <c r="T351" s="129" t="e">
        <f ca="1">INT((ABS(R351)-S351)*60)</f>
        <v>#NAME?</v>
      </c>
      <c r="U351" s="129" t="e">
        <f ca="1">INT((((ABS(R351)-S351)*60)-T351)*60)</f>
        <v>#NAME?</v>
      </c>
      <c r="Y351" s="4">
        <v>24</v>
      </c>
      <c r="Z351" s="4" t="s">
        <v>698</v>
      </c>
      <c r="AA351" s="4" t="e">
        <f ca="1">[5]!ba(AA344+AA350)</f>
        <v>#NAME?</v>
      </c>
      <c r="AB351" s="129" t="e">
        <f ca="1">INT(ABS(AA351))</f>
        <v>#NAME?</v>
      </c>
      <c r="AC351" s="129" t="e">
        <f ca="1">INT((ABS(AA351)-AB351)*60)</f>
        <v>#NAME?</v>
      </c>
      <c r="AD351" s="129" t="e">
        <f ca="1">INT((((ABS(AA351)-AB351)*60)-AC351)*60)</f>
        <v>#NAME?</v>
      </c>
      <c r="AI351" s="4">
        <v>24</v>
      </c>
      <c r="AJ351" s="4" t="s">
        <v>698</v>
      </c>
      <c r="AK351" s="4" t="e">
        <f ca="1">[5]!ba(AK344+AK350)</f>
        <v>#NAME?</v>
      </c>
      <c r="AL351" s="129" t="e">
        <f ca="1">INT(ABS(AK351))</f>
        <v>#NAME?</v>
      </c>
      <c r="AM351" s="129" t="e">
        <f ca="1">INT((ABS(AK351)-AL351)*60)</f>
        <v>#NAME?</v>
      </c>
      <c r="AN351" s="129" t="e">
        <f ca="1">INT((((ABS(AK351)-AL351)*60)-AM351)*60)</f>
        <v>#NAME?</v>
      </c>
      <c r="AR351" t="e">
        <f ca="1">[5]!hesseh(0,0,(AR350/24),0)</f>
        <v>#NAME?</v>
      </c>
      <c r="AS351" s="31" t="e">
        <f t="shared" ca="1" si="118"/>
        <v>#NAME?</v>
      </c>
      <c r="AT351" s="31" t="e">
        <f t="shared" ca="1" si="119"/>
        <v>#NAME?</v>
      </c>
      <c r="AU351" s="31" t="e">
        <f t="shared" ca="1" si="120"/>
        <v>#NAME?</v>
      </c>
      <c r="AV351" s="31" t="e">
        <f t="shared" ca="1" si="121"/>
        <v>#NAME?</v>
      </c>
      <c r="BE351">
        <f>(BE343-BE350)*2</f>
        <v>0.11273511111111112</v>
      </c>
      <c r="BF351" s="31">
        <f>INT(ABS(BE351))</f>
        <v>0</v>
      </c>
      <c r="BG351" s="31">
        <f>INT((ABS(BE351)-BF351)*60)</f>
        <v>6</v>
      </c>
      <c r="BH351" s="31">
        <f>INT((((ABS(BE351)-BF351)*60)-BG351)*60)</f>
        <v>45</v>
      </c>
      <c r="BI351" s="31">
        <f>INT((((((ABS(BE351)-BF351)*60)-BG351)*60)-BH351)*60)</f>
        <v>50</v>
      </c>
    </row>
    <row r="352" spans="1:61" ht="24.75">
      <c r="A352" s="4">
        <v>25</v>
      </c>
      <c r="B352" s="4" t="s">
        <v>416</v>
      </c>
      <c r="C352" s="4" t="e">
        <f>[2]!arzqmr(C349)</f>
        <v>#VALUE!</v>
      </c>
      <c r="D352" s="129" t="e">
        <f t="shared" si="111"/>
        <v>#VALUE!</v>
      </c>
      <c r="E352" s="129" t="e">
        <f t="shared" si="112"/>
        <v>#VALUE!</v>
      </c>
      <c r="F352" s="129" t="e">
        <f t="shared" si="113"/>
        <v>#VALUE!</v>
      </c>
      <c r="G352">
        <f>[2]!asn([2]!sn(24.71)*[2]!sn(33.41)/60)</f>
        <v>13.307431798190626</v>
      </c>
      <c r="H352">
        <f>[2]!atj(60*[2]!ctn(23.45)/[2]!csn(68.28))</f>
        <v>80.880249778665998</v>
      </c>
      <c r="P352" s="4">
        <v>25</v>
      </c>
      <c r="Q352" s="4" t="s">
        <v>416</v>
      </c>
      <c r="R352" s="4" t="e">
        <f ca="1">[5]!arzqmr(R349)</f>
        <v>#NAME?</v>
      </c>
      <c r="S352" s="129" t="e">
        <f ca="1">INT(ABS(R352))</f>
        <v>#NAME?</v>
      </c>
      <c r="T352" s="129" t="e">
        <f ca="1">INT((ABS(R352)-S352)*60)</f>
        <v>#NAME?</v>
      </c>
      <c r="U352" s="129" t="e">
        <f ca="1">INT((((ABS(R352)-S352)*60)-T352)*60)</f>
        <v>#NAME?</v>
      </c>
      <c r="AS352" s="31">
        <f t="shared" si="114"/>
        <v>0</v>
      </c>
      <c r="AT352" s="31">
        <f t="shared" si="115"/>
        <v>0</v>
      </c>
      <c r="AU352" s="31">
        <f t="shared" si="116"/>
        <v>0</v>
      </c>
      <c r="AV352" s="31">
        <f t="shared" si="117"/>
        <v>0</v>
      </c>
      <c r="BE352">
        <f>BE346/45*15</f>
        <v>1.6000000000000001E-4</v>
      </c>
      <c r="BF352" s="31">
        <f>INT(ABS(BE352))</f>
        <v>0</v>
      </c>
      <c r="BG352" s="31">
        <f>INT((ABS(BE352)-BF352)*60)</f>
        <v>0</v>
      </c>
      <c r="BH352" s="31">
        <f>INT((((ABS(BE352)-BF352)*60)-BG352)*60)</f>
        <v>0</v>
      </c>
      <c r="BI352" s="31">
        <f>INT((((((ABS(BE352)-BF352)*60)-BG352)*60)-BH352)*60)</f>
        <v>34</v>
      </c>
    </row>
    <row r="353" spans="1:61" ht="24.75">
      <c r="A353" s="4">
        <v>26</v>
      </c>
      <c r="B353" s="4" t="s">
        <v>715</v>
      </c>
      <c r="C353" s="130">
        <f>(((((((((N311/60)+M297)/60)+G353)/60)+F353)/60)+E353)/60)+D353</f>
        <v>0.21583333333333332</v>
      </c>
      <c r="D353" s="129">
        <v>0</v>
      </c>
      <c r="E353" s="129">
        <v>12</v>
      </c>
      <c r="F353" s="129">
        <v>57</v>
      </c>
      <c r="H353">
        <f>180-H352</f>
        <v>99.119750221334002</v>
      </c>
      <c r="P353" s="4">
        <v>26</v>
      </c>
      <c r="Q353" s="4" t="s">
        <v>715</v>
      </c>
      <c r="R353" s="130">
        <f>(((((((((AC311/60)+AB297)/60)+V353)/60)+U353)/60)+T353)/60)+S353</f>
        <v>0.21583333333333332</v>
      </c>
      <c r="S353" s="129">
        <v>0</v>
      </c>
      <c r="T353" s="129">
        <v>12</v>
      </c>
      <c r="U353" s="129">
        <v>57</v>
      </c>
      <c r="AS353" s="31">
        <f t="shared" si="114"/>
        <v>0</v>
      </c>
      <c r="AT353" s="31">
        <f t="shared" si="115"/>
        <v>0</v>
      </c>
      <c r="AU353" s="31">
        <f t="shared" si="116"/>
        <v>0</v>
      </c>
      <c r="AV353" s="31">
        <f t="shared" si="117"/>
        <v>0</v>
      </c>
      <c r="BE353">
        <f>BE352*3</f>
        <v>4.8000000000000007E-4</v>
      </c>
    </row>
    <row r="354" spans="1:61" ht="24.75">
      <c r="A354" s="4">
        <v>27</v>
      </c>
      <c r="B354" s="4" t="s">
        <v>700</v>
      </c>
      <c r="C354" s="4" t="e">
        <f>C352+C353</f>
        <v>#VALUE!</v>
      </c>
      <c r="D354" s="129" t="e">
        <f t="shared" si="111"/>
        <v>#VALUE!</v>
      </c>
      <c r="E354" s="129" t="e">
        <f t="shared" si="112"/>
        <v>#VALUE!</v>
      </c>
      <c r="F354" s="129" t="e">
        <f t="shared" si="113"/>
        <v>#VALUE!</v>
      </c>
      <c r="J354" t="s">
        <v>3</v>
      </c>
      <c r="K354" t="s">
        <v>4</v>
      </c>
      <c r="L354" t="s">
        <v>5</v>
      </c>
      <c r="M354" t="s">
        <v>377</v>
      </c>
      <c r="P354" s="4">
        <v>27</v>
      </c>
      <c r="Q354" s="4" t="s">
        <v>700</v>
      </c>
      <c r="R354" s="4" t="e">
        <f ca="1">R352+R353</f>
        <v>#NAME?</v>
      </c>
      <c r="S354" s="129" t="e">
        <f ca="1">INT(ABS(R354))</f>
        <v>#NAME?</v>
      </c>
      <c r="T354" s="129" t="e">
        <f ca="1">INT((ABS(R354)-S354)*60)</f>
        <v>#NAME?</v>
      </c>
      <c r="U354" s="129" t="e">
        <f ca="1">INT((((ABS(R354)-S354)*60)-T354)*60)</f>
        <v>#NAME?</v>
      </c>
      <c r="AS354" s="31">
        <f t="shared" si="114"/>
        <v>0</v>
      </c>
      <c r="AT354" s="31">
        <f t="shared" si="115"/>
        <v>0</v>
      </c>
      <c r="AU354" s="31">
        <f t="shared" si="116"/>
        <v>0</v>
      </c>
      <c r="AV354" s="31">
        <f t="shared" si="117"/>
        <v>0</v>
      </c>
      <c r="BE354">
        <f>(BE343-BE353)*15</f>
        <v>0.83863333333333334</v>
      </c>
      <c r="BF354" s="31">
        <f>INT(ABS(BE354))</f>
        <v>0</v>
      </c>
      <c r="BG354" s="31">
        <f>INT((ABS(BE354)-BF354)*60)</f>
        <v>50</v>
      </c>
      <c r="BH354" s="31">
        <f>INT((((ABS(BE354)-BF354)*60)-BG354)*60)</f>
        <v>19</v>
      </c>
      <c r="BI354" s="31">
        <f>INT((((((ABS(BE354)-BF354)*60)-BG354)*60)-BH354)*60)</f>
        <v>4</v>
      </c>
    </row>
    <row r="355" spans="1:61" ht="24.75">
      <c r="A355" s="4">
        <v>28</v>
      </c>
      <c r="B355" s="4" t="s">
        <v>883</v>
      </c>
      <c r="C355" s="4">
        <f>[2]!taqq(C326,D326,E326,F326)</f>
        <v>9.8268541902934068</v>
      </c>
      <c r="D355" s="129">
        <f t="shared" si="111"/>
        <v>9</v>
      </c>
      <c r="E355" s="129">
        <f t="shared" si="112"/>
        <v>49</v>
      </c>
      <c r="F355" s="129">
        <f t="shared" si="113"/>
        <v>36</v>
      </c>
      <c r="J355">
        <f>1252+60</f>
        <v>1312</v>
      </c>
      <c r="K355">
        <v>1</v>
      </c>
      <c r="L355">
        <v>1</v>
      </c>
      <c r="M355">
        <v>0</v>
      </c>
      <c r="P355" s="4">
        <v>28</v>
      </c>
      <c r="Q355" s="4"/>
      <c r="R355" s="4" t="e">
        <f ca="1">[5]!taqq(R326,S326,T326,U326)</f>
        <v>#NAME?</v>
      </c>
      <c r="S355" s="129" t="e">
        <f ca="1">INT(ABS(R355))</f>
        <v>#NAME?</v>
      </c>
      <c r="T355" s="129" t="e">
        <f ca="1">INT((ABS(R355)-S355)*60)</f>
        <v>#NAME?</v>
      </c>
      <c r="U355" s="129" t="e">
        <f ca="1">INT((((ABS(R355)-S355)*60)-T355)*60)</f>
        <v>#NAME?</v>
      </c>
      <c r="AB355">
        <v>1441</v>
      </c>
      <c r="AS355" s="31">
        <f t="shared" si="114"/>
        <v>0</v>
      </c>
      <c r="AT355" s="31">
        <f t="shared" si="115"/>
        <v>0</v>
      </c>
      <c r="AU355" s="31">
        <f t="shared" si="116"/>
        <v>0</v>
      </c>
      <c r="AV355" s="31">
        <f t="shared" si="117"/>
        <v>0</v>
      </c>
    </row>
    <row r="356" spans="1:61" ht="24.75">
      <c r="I356" t="s">
        <v>709</v>
      </c>
      <c r="J356" t="s">
        <v>708</v>
      </c>
      <c r="K356" s="130">
        <f>(((((((((Q356/60)+P356)/60)+O356)/60)+N356)/60)+M356)/60)+L356</f>
        <v>171.39372065072016</v>
      </c>
      <c r="L356">
        <v>171</v>
      </c>
      <c r="M356">
        <v>23</v>
      </c>
      <c r="N356">
        <v>37</v>
      </c>
      <c r="O356">
        <v>23</v>
      </c>
      <c r="P356">
        <v>39</v>
      </c>
      <c r="Q356">
        <v>38</v>
      </c>
      <c r="AB356">
        <v>7</v>
      </c>
      <c r="AS356" s="31">
        <f t="shared" si="114"/>
        <v>0</v>
      </c>
      <c r="AT356" s="31">
        <f t="shared" si="115"/>
        <v>0</v>
      </c>
      <c r="AU356" s="31">
        <f t="shared" si="116"/>
        <v>0</v>
      </c>
      <c r="AV356" s="31">
        <f t="shared" si="117"/>
        <v>0</v>
      </c>
      <c r="BE356" s="135">
        <f>((((((((((BP314/60)+BO300)/60)+BI356)/60)+BH356)/60)+BG356)/60)+BF356)</f>
        <v>0.11333333333333333</v>
      </c>
      <c r="BF356">
        <v>0</v>
      </c>
      <c r="BG356">
        <v>6</v>
      </c>
      <c r="BH356">
        <v>48</v>
      </c>
    </row>
    <row r="357" spans="1:61" ht="24.75">
      <c r="C357" t="s">
        <v>612</v>
      </c>
      <c r="D357" t="s">
        <v>624</v>
      </c>
      <c r="J357" t="s">
        <v>706</v>
      </c>
      <c r="K357" s="130">
        <f>(((((((((Q357/60)+P357)/60)+O357)/60)+N357)/60)+M357)/60)+L357</f>
        <v>0.52407052211934158</v>
      </c>
      <c r="L357">
        <v>0</v>
      </c>
      <c r="M357">
        <v>31</v>
      </c>
      <c r="N357">
        <v>26</v>
      </c>
      <c r="O357">
        <v>39</v>
      </c>
      <c r="P357">
        <v>13</v>
      </c>
      <c r="Q357">
        <v>58</v>
      </c>
      <c r="AB357" t="e">
        <f ca="1">[5]!roz(25,7,19,37)</f>
        <v>#NAME?</v>
      </c>
      <c r="AS357" s="31">
        <f t="shared" si="114"/>
        <v>0</v>
      </c>
      <c r="AT357" s="31">
        <f t="shared" si="115"/>
        <v>0</v>
      </c>
      <c r="AU357" s="31">
        <f t="shared" si="116"/>
        <v>0</v>
      </c>
      <c r="AV357" s="31">
        <f t="shared" si="117"/>
        <v>0</v>
      </c>
      <c r="BE357">
        <f>BE356/28</f>
        <v>4.0476190476190473E-3</v>
      </c>
      <c r="BF357" s="31">
        <f>INT(ABS(BE357))</f>
        <v>0</v>
      </c>
      <c r="BG357" s="31">
        <f>INT((ABS(BE357)-BF357)*60)</f>
        <v>0</v>
      </c>
      <c r="BH357" s="31">
        <f>INT((((ABS(BE357)-BF357)*60)-BG357)*60)</f>
        <v>14</v>
      </c>
      <c r="BI357" s="31">
        <f>INT((((((ABS(BE357)-BF357)*60)-BG357)*60)-BH357)*60)</f>
        <v>34</v>
      </c>
    </row>
    <row r="358" spans="1:61" ht="24.75">
      <c r="C358">
        <v>194</v>
      </c>
      <c r="D358">
        <v>345</v>
      </c>
      <c r="J358" t="s">
        <v>707</v>
      </c>
      <c r="K358" s="130">
        <f>(((((((((Q358/60)+P358)/60)+O358)/60)+N358)/60)+M358)/60)+L358</f>
        <v>153.46798611111112</v>
      </c>
      <c r="L358">
        <v>153</v>
      </c>
      <c r="M358">
        <v>28</v>
      </c>
      <c r="N358">
        <v>4</v>
      </c>
      <c r="O358">
        <v>45</v>
      </c>
      <c r="P358">
        <v>0</v>
      </c>
      <c r="Q358">
        <v>0</v>
      </c>
      <c r="AB358" t="e">
        <f ca="1">[5]!mbtool(2,17,0,1)</f>
        <v>#NAME?</v>
      </c>
      <c r="AS358" s="31">
        <f t="shared" si="114"/>
        <v>0</v>
      </c>
      <c r="AT358" s="31">
        <f t="shared" si="115"/>
        <v>0</v>
      </c>
      <c r="AU358" s="31">
        <f t="shared" si="116"/>
        <v>0</v>
      </c>
      <c r="AV358" s="31">
        <f t="shared" si="117"/>
        <v>0</v>
      </c>
    </row>
    <row r="359" spans="1:61" ht="24.75">
      <c r="D359" t="e">
        <f ca="1">[5]!taqm3(C358,D358)</f>
        <v>#NAME?</v>
      </c>
      <c r="E359" s="129" t="e">
        <f ca="1">INT(ABS(D359))</f>
        <v>#NAME?</v>
      </c>
      <c r="F359" s="129" t="e">
        <f ca="1">INT((ABS(D359)-E359)*60)</f>
        <v>#NAME?</v>
      </c>
      <c r="G359" s="129" t="e">
        <f ca="1">INT((((ABS(D359)-E359)*60)-F359)*60)</f>
        <v>#NAME?</v>
      </c>
      <c r="J359" t="s">
        <v>702</v>
      </c>
      <c r="K359">
        <f>M355</f>
        <v>0</v>
      </c>
      <c r="AB359" t="e">
        <f ca="1">[5]!taqsh(AB355,AB356,AB357,AB358)</f>
        <v>#NAME?</v>
      </c>
      <c r="AC359" s="129" t="e">
        <f ca="1">INT(ABS(AB359))</f>
        <v>#NAME?</v>
      </c>
      <c r="AD359" s="129" t="e">
        <f ca="1">INT((ABS(AB359)-AC359)*60)</f>
        <v>#NAME?</v>
      </c>
      <c r="AE359" s="129" t="e">
        <f ca="1">INT((((ABS(AB359)-AC359)*60)-AD359)*60)</f>
        <v>#NAME?</v>
      </c>
      <c r="AS359" s="31">
        <f t="shared" si="114"/>
        <v>0</v>
      </c>
      <c r="AT359" s="31">
        <f t="shared" si="115"/>
        <v>0</v>
      </c>
      <c r="AU359" s="31">
        <f t="shared" si="116"/>
        <v>0</v>
      </c>
      <c r="AV359" s="31">
        <f t="shared" si="117"/>
        <v>0</v>
      </c>
    </row>
    <row r="360" spans="1:61" ht="24.75">
      <c r="C360">
        <v>1252</v>
      </c>
      <c r="D360">
        <v>0</v>
      </c>
      <c r="E360">
        <v>1</v>
      </c>
      <c r="F360">
        <v>0</v>
      </c>
      <c r="J360">
        <v>1</v>
      </c>
      <c r="K360">
        <f>MOD(ABS(J355-1252),30)</f>
        <v>0</v>
      </c>
      <c r="AS360" s="31">
        <f t="shared" si="114"/>
        <v>0</v>
      </c>
      <c r="AT360" s="31">
        <f t="shared" si="115"/>
        <v>0</v>
      </c>
      <c r="AU360" s="31">
        <f t="shared" si="116"/>
        <v>0</v>
      </c>
      <c r="AV360" s="31">
        <f t="shared" si="117"/>
        <v>0</v>
      </c>
    </row>
    <row r="361" spans="1:61" ht="24.75">
      <c r="C361">
        <v>84</v>
      </c>
      <c r="J361">
        <v>2</v>
      </c>
      <c r="K361">
        <f>IF(J355&gt;=1252,K360,31-K360)</f>
        <v>0</v>
      </c>
      <c r="AS361" s="31">
        <f t="shared" si="114"/>
        <v>0</v>
      </c>
      <c r="AT361" s="31">
        <f t="shared" si="115"/>
        <v>0</v>
      </c>
      <c r="AU361" s="31">
        <f t="shared" si="116"/>
        <v>0</v>
      </c>
      <c r="AV361" s="31">
        <f t="shared" si="117"/>
        <v>0</v>
      </c>
    </row>
    <row r="362" spans="1:61" ht="24.75">
      <c r="C362" t="e">
        <f ca="1">[5]!tmosh2(C361)</f>
        <v>#NAME?</v>
      </c>
      <c r="D362" s="129" t="e">
        <f t="shared" ref="D362:D368" ca="1" si="122">INT(ABS(C362))</f>
        <v>#NAME?</v>
      </c>
      <c r="E362" s="129" t="e">
        <f t="shared" ref="E362:E368" ca="1" si="123">INT((ABS(C362)-D362)*60)</f>
        <v>#NAME?</v>
      </c>
      <c r="F362" s="129" t="e">
        <f t="shared" ref="F362:F368" ca="1" si="124">INT((((ABS(C362)-D362)*60)-E362)*60)</f>
        <v>#NAME?</v>
      </c>
      <c r="G362" s="129" t="e">
        <f t="shared" ref="G362:G368" ca="1" si="125">INT((((((ABS(C362)-D362)*60)-E362)*60)-F362)*60)</f>
        <v>#NAME?</v>
      </c>
      <c r="J362">
        <v>3</v>
      </c>
      <c r="K362">
        <f>IF(J355&gt;=1252,INT((J355-1252)/30),INT(ABS(J355-1252)/30)*-1)</f>
        <v>2</v>
      </c>
      <c r="AS362" s="31">
        <f t="shared" si="114"/>
        <v>0</v>
      </c>
      <c r="AT362" s="31">
        <f t="shared" si="115"/>
        <v>0</v>
      </c>
      <c r="AU362" s="31">
        <f t="shared" si="116"/>
        <v>0</v>
      </c>
      <c r="AV362" s="31">
        <f t="shared" si="117"/>
        <v>0</v>
      </c>
    </row>
    <row r="363" spans="1:61" ht="24.75">
      <c r="C363" t="e">
        <f ca="1">[5]!wasatmer(C360,D360,E360,F360)</f>
        <v>#NAME?</v>
      </c>
      <c r="D363" s="129" t="e">
        <f t="shared" ca="1" si="122"/>
        <v>#NAME?</v>
      </c>
      <c r="E363" s="129" t="e">
        <f t="shared" ca="1" si="123"/>
        <v>#NAME?</v>
      </c>
      <c r="F363" s="129" t="e">
        <f t="shared" ca="1" si="124"/>
        <v>#NAME?</v>
      </c>
      <c r="G363" s="129" t="e">
        <f t="shared" ca="1" si="125"/>
        <v>#NAME?</v>
      </c>
      <c r="J363">
        <v>4</v>
      </c>
      <c r="K363">
        <f>K355-1</f>
        <v>0</v>
      </c>
      <c r="AS363" s="31">
        <f t="shared" si="114"/>
        <v>0</v>
      </c>
      <c r="AT363" s="31">
        <f t="shared" si="115"/>
        <v>0</v>
      </c>
      <c r="AU363" s="31">
        <f t="shared" si="116"/>
        <v>0</v>
      </c>
      <c r="AV363" s="31">
        <f t="shared" si="117"/>
        <v>0</v>
      </c>
    </row>
    <row r="364" spans="1:61" ht="24.75">
      <c r="C364" t="e">
        <f ca="1">[5]!arzmo(C361)</f>
        <v>#NAME?</v>
      </c>
      <c r="D364" s="129" t="e">
        <f t="shared" ca="1" si="122"/>
        <v>#NAME?</v>
      </c>
      <c r="E364" s="129" t="e">
        <f t="shared" ca="1" si="123"/>
        <v>#NAME?</v>
      </c>
      <c r="F364" s="129" t="e">
        <f t="shared" ca="1" si="124"/>
        <v>#NAME?</v>
      </c>
      <c r="G364" s="129" t="e">
        <f t="shared" ca="1" si="125"/>
        <v>#NAME?</v>
      </c>
      <c r="J364">
        <v>5</v>
      </c>
      <c r="K364">
        <f>((K363*29)+INT(K355/2))*K357</f>
        <v>0</v>
      </c>
      <c r="L364" s="129">
        <f>INT(ABS(K364))</f>
        <v>0</v>
      </c>
      <c r="M364" s="129">
        <f>INT((ABS(K364)-L364)*60)</f>
        <v>0</v>
      </c>
      <c r="N364" s="129">
        <f>INT((((ABS(K364)-L364)*60)-M364)*60)</f>
        <v>0</v>
      </c>
      <c r="O364" s="129">
        <f>INT((((((ABS(K364)-L364)*60)-M364)*60)-N364)*60)</f>
        <v>0</v>
      </c>
      <c r="AS364" s="31">
        <f t="shared" si="114"/>
        <v>0</v>
      </c>
      <c r="AT364" s="31">
        <f t="shared" si="115"/>
        <v>0</v>
      </c>
      <c r="AU364" s="31">
        <f t="shared" si="116"/>
        <v>0</v>
      </c>
      <c r="AV364" s="31">
        <f t="shared" si="117"/>
        <v>0</v>
      </c>
    </row>
    <row r="365" spans="1:61" ht="24.75">
      <c r="C365" t="e">
        <f ca="1">[5]!brish(C361)</f>
        <v>#NAME?</v>
      </c>
      <c r="D365" s="129" t="e">
        <f t="shared" ca="1" si="122"/>
        <v>#NAME?</v>
      </c>
      <c r="E365" s="129" t="e">
        <f t="shared" ca="1" si="123"/>
        <v>#NAME?</v>
      </c>
      <c r="F365" s="129" t="e">
        <f t="shared" ca="1" si="124"/>
        <v>#NAME?</v>
      </c>
      <c r="G365" s="129" t="e">
        <f t="shared" ca="1" si="125"/>
        <v>#NAME?</v>
      </c>
      <c r="J365">
        <v>6</v>
      </c>
      <c r="K365" t="e">
        <f ca="1">(((K361*354)+[5]!kab(K361))*K357)+K358</f>
        <v>#NAME?</v>
      </c>
      <c r="AS365" s="31">
        <f t="shared" si="114"/>
        <v>0</v>
      </c>
      <c r="AT365" s="31">
        <f t="shared" si="115"/>
        <v>0</v>
      </c>
      <c r="AU365" s="31">
        <f t="shared" si="116"/>
        <v>0</v>
      </c>
      <c r="AV365" s="31">
        <f t="shared" si="117"/>
        <v>0</v>
      </c>
    </row>
    <row r="366" spans="1:61" ht="24.75">
      <c r="C366" t="e">
        <f ca="1">[5]!wasatzh(C360,D360,E360,F360)</f>
        <v>#NAME?</v>
      </c>
      <c r="D366" s="129" t="e">
        <f t="shared" ca="1" si="122"/>
        <v>#NAME?</v>
      </c>
      <c r="E366" s="129" t="e">
        <f t="shared" ca="1" si="123"/>
        <v>#NAME?</v>
      </c>
      <c r="F366" s="129" t="e">
        <f t="shared" ca="1" si="124"/>
        <v>#NAME?</v>
      </c>
      <c r="G366" s="129" t="e">
        <f t="shared" ca="1" si="125"/>
        <v>#NAME?</v>
      </c>
      <c r="J366">
        <v>7</v>
      </c>
      <c r="K366">
        <f>(L355-1)*K357</f>
        <v>0</v>
      </c>
      <c r="AS366" s="31">
        <f t="shared" si="114"/>
        <v>0</v>
      </c>
      <c r="AT366" s="31">
        <f t="shared" si="115"/>
        <v>0</v>
      </c>
      <c r="AU366" s="31">
        <f t="shared" si="116"/>
        <v>0</v>
      </c>
      <c r="AV366" s="31">
        <f t="shared" si="117"/>
        <v>0</v>
      </c>
    </row>
    <row r="367" spans="1:61" ht="24.75">
      <c r="C367" t="e">
        <f ca="1">[5]!oujzh(C360,D360,E360,F360)</f>
        <v>#NAME?</v>
      </c>
      <c r="D367" s="129" t="e">
        <f t="shared" ca="1" si="122"/>
        <v>#NAME?</v>
      </c>
      <c r="E367" s="129" t="e">
        <f t="shared" ca="1" si="123"/>
        <v>#NAME?</v>
      </c>
      <c r="F367" s="129" t="e">
        <f t="shared" ca="1" si="124"/>
        <v>#NAME?</v>
      </c>
      <c r="G367" s="129" t="e">
        <f t="shared" ca="1" si="125"/>
        <v>#NAME?</v>
      </c>
      <c r="J367">
        <v>8</v>
      </c>
      <c r="K367">
        <f>K359*K357</f>
        <v>0</v>
      </c>
      <c r="AS367" s="31">
        <f t="shared" si="114"/>
        <v>0</v>
      </c>
      <c r="AT367" s="31">
        <f t="shared" si="115"/>
        <v>0</v>
      </c>
      <c r="AU367" s="31">
        <f t="shared" si="116"/>
        <v>0</v>
      </c>
      <c r="AV367" s="31">
        <f t="shared" si="117"/>
        <v>0</v>
      </c>
    </row>
    <row r="368" spans="1:61" ht="24.75">
      <c r="C368" t="e">
        <f ca="1">[5]!raszh(C360,D360,E360,F360)</f>
        <v>#NAME?</v>
      </c>
      <c r="D368" s="129" t="e">
        <f t="shared" ca="1" si="122"/>
        <v>#NAME?</v>
      </c>
      <c r="E368" s="129" t="e">
        <f t="shared" ca="1" si="123"/>
        <v>#NAME?</v>
      </c>
      <c r="F368" s="129" t="e">
        <f t="shared" ca="1" si="124"/>
        <v>#NAME?</v>
      </c>
      <c r="G368" s="129" t="e">
        <f t="shared" ca="1" si="125"/>
        <v>#NAME?</v>
      </c>
      <c r="J368">
        <v>9</v>
      </c>
      <c r="K368" t="e">
        <f ca="1">IF(J355&gt;=1252,K364+(K356*(INT(J355-1252)/30))+K365+K366+K367,K364-[5]!ba(K356*((INT(ABS((J355-1252)/30)*-1)-1)))+K365+K366+K367)</f>
        <v>#NAME?</v>
      </c>
      <c r="AS368" s="31">
        <f t="shared" si="114"/>
        <v>0</v>
      </c>
      <c r="AT368" s="31">
        <f t="shared" si="115"/>
        <v>0</v>
      </c>
      <c r="AU368" s="31">
        <f t="shared" si="116"/>
        <v>0</v>
      </c>
      <c r="AV368" s="31">
        <f t="shared" si="117"/>
        <v>0</v>
      </c>
    </row>
    <row r="369" spans="1:85" ht="24.75">
      <c r="J369">
        <v>10</v>
      </c>
      <c r="K369" t="e">
        <f ca="1">[5]!taam([5]!wasata(J355,K355,K366,M355))</f>
        <v>#NAME?</v>
      </c>
      <c r="L369" s="129" t="e">
        <f ca="1">INT(ABS(K369))</f>
        <v>#NAME?</v>
      </c>
      <c r="M369" s="129" t="e">
        <f ca="1">INT((ABS(K369)-L369)*60)</f>
        <v>#NAME?</v>
      </c>
      <c r="N369" s="129" t="e">
        <f ca="1">INT((((ABS(K369)-L369)*60)-M369)*60)</f>
        <v>#NAME?</v>
      </c>
      <c r="O369" s="129" t="e">
        <f ca="1">INT((((((ABS(K369)-L369)*60)-M369)*60)-N369)*60)</f>
        <v>#NAME?</v>
      </c>
      <c r="AS369" s="31">
        <f t="shared" si="114"/>
        <v>0</v>
      </c>
      <c r="AT369" s="31">
        <f t="shared" si="115"/>
        <v>0</v>
      </c>
      <c r="AU369" s="31">
        <f t="shared" si="116"/>
        <v>0</v>
      </c>
      <c r="AV369" s="31">
        <f t="shared" si="117"/>
        <v>0</v>
      </c>
    </row>
    <row r="370" spans="1:85" ht="24.75">
      <c r="J370">
        <v>11</v>
      </c>
      <c r="K370" t="e">
        <f ca="1">[5]!ba([5]!tq(K368+(K369*K357/24)))</f>
        <v>#NAME?</v>
      </c>
      <c r="L370" s="129" t="e">
        <f ca="1">INT(ABS(K370))</f>
        <v>#NAME?</v>
      </c>
      <c r="M370" s="129" t="e">
        <f ca="1">INT((ABS(K370)-L370)*60)</f>
        <v>#NAME?</v>
      </c>
      <c r="N370" s="129" t="e">
        <f ca="1">INT((((ABS(K370)-L370)*60)-M370)*60)</f>
        <v>#NAME?</v>
      </c>
      <c r="O370" s="129" t="e">
        <f ca="1">INT((((((ABS(K370)-L370)*60)-M370)*60)-N370)*60)</f>
        <v>#NAME?</v>
      </c>
      <c r="AS370" s="31">
        <f t="shared" si="114"/>
        <v>0</v>
      </c>
      <c r="AT370" s="31">
        <f t="shared" si="115"/>
        <v>0</v>
      </c>
      <c r="AU370" s="31">
        <f t="shared" si="116"/>
        <v>0</v>
      </c>
      <c r="AV370" s="31">
        <f t="shared" si="117"/>
        <v>0</v>
      </c>
    </row>
    <row r="371" spans="1:85" ht="24.75">
      <c r="K371" t="e">
        <f ca="1">[5]!wasatkh(J355,K355,L355,M355)</f>
        <v>#NAME?</v>
      </c>
      <c r="L371" s="129" t="e">
        <f ca="1">INT(ABS(K371))</f>
        <v>#NAME?</v>
      </c>
      <c r="M371" s="129" t="e">
        <f ca="1">INT((ABS(K371)-L371)*60)</f>
        <v>#NAME?</v>
      </c>
      <c r="N371" s="129" t="e">
        <f ca="1">INT((((ABS(K371)-L371)*60)-M371)*60)</f>
        <v>#NAME?</v>
      </c>
      <c r="O371" s="129" t="e">
        <f ca="1">INT((((((ABS(K371)-L371)*60)-M371)*60)-N371)*60)</f>
        <v>#NAME?</v>
      </c>
      <c r="AS371" s="31">
        <f t="shared" si="114"/>
        <v>0</v>
      </c>
      <c r="AT371" s="31">
        <f t="shared" si="115"/>
        <v>0</v>
      </c>
      <c r="AU371" s="31">
        <f t="shared" si="116"/>
        <v>0</v>
      </c>
      <c r="AV371" s="31">
        <f t="shared" si="117"/>
        <v>0</v>
      </c>
    </row>
    <row r="372" spans="1:85" ht="24.75">
      <c r="K372" t="e">
        <f ca="1">[5]!wasatmer(J355,K355,L355,M35)</f>
        <v>#NAME?</v>
      </c>
      <c r="AS372" s="31">
        <f t="shared" si="114"/>
        <v>0</v>
      </c>
      <c r="AT372" s="31">
        <f t="shared" si="115"/>
        <v>0</v>
      </c>
      <c r="AU372" s="31">
        <f t="shared" si="116"/>
        <v>0</v>
      </c>
      <c r="AV372" s="31">
        <f t="shared" si="117"/>
        <v>0</v>
      </c>
    </row>
    <row r="373" spans="1:85" ht="24.75">
      <c r="AS373" s="31">
        <f t="shared" si="114"/>
        <v>0</v>
      </c>
      <c r="AT373" s="31">
        <f t="shared" si="115"/>
        <v>0</v>
      </c>
      <c r="AU373" s="31">
        <f t="shared" si="116"/>
        <v>0</v>
      </c>
      <c r="AV373" s="31">
        <f t="shared" si="117"/>
        <v>0</v>
      </c>
    </row>
    <row r="374" spans="1:85">
      <c r="J374" t="s">
        <v>710</v>
      </c>
      <c r="K374" s="130">
        <f>(((((((((Q374/60)+P374)/60)+O374)/60)+N374)/60)+M374)/60)+L374</f>
        <v>8.3129439300411528E-2</v>
      </c>
      <c r="L374">
        <v>0</v>
      </c>
      <c r="M374">
        <v>4</v>
      </c>
      <c r="N374">
        <v>59</v>
      </c>
      <c r="O374">
        <v>15</v>
      </c>
      <c r="P374">
        <v>57</v>
      </c>
      <c r="Q374">
        <v>32</v>
      </c>
      <c r="AK374">
        <v>1251</v>
      </c>
    </row>
    <row r="375" spans="1:85">
      <c r="J375" t="s">
        <v>711</v>
      </c>
      <c r="K375" s="130">
        <f>(((((((((Q375/60)+P375)/60)+O375)/60)+N375)/60)+M375)/60)+L375</f>
        <v>74.408611111111114</v>
      </c>
      <c r="L375">
        <v>74</v>
      </c>
      <c r="M375">
        <v>24</v>
      </c>
      <c r="N375">
        <v>31</v>
      </c>
      <c r="AK375">
        <v>1</v>
      </c>
    </row>
    <row r="376" spans="1:85">
      <c r="J376" t="s">
        <v>712</v>
      </c>
      <c r="K376" s="130">
        <f>(((((((((Q376/60)+P376)/60)+O376)/60)+N376)/60)+M376)/60)+L376</f>
        <v>163.74906920267489</v>
      </c>
      <c r="L376">
        <v>163</v>
      </c>
      <c r="M376">
        <v>44</v>
      </c>
      <c r="N376">
        <v>56</v>
      </c>
      <c r="O376">
        <v>38</v>
      </c>
      <c r="P376">
        <v>56</v>
      </c>
      <c r="Q376">
        <v>52</v>
      </c>
      <c r="AK376" s="10" t="e">
        <f ca="1">[5]!roz(1,0,0,0)</f>
        <v>#NAME?</v>
      </c>
    </row>
    <row r="377" spans="1:85">
      <c r="AK377" s="10" t="e">
        <f ca="1">[5]!mbtool(0,0,0,1)</f>
        <v>#NAME?</v>
      </c>
    </row>
    <row r="378" spans="1:85" ht="24.75">
      <c r="B378" s="10" t="s">
        <v>728</v>
      </c>
      <c r="C378" s="10" t="s">
        <v>3</v>
      </c>
      <c r="D378" s="10" t="s">
        <v>4</v>
      </c>
      <c r="E378" s="10" t="s">
        <v>5</v>
      </c>
      <c r="F378" s="10" t="s">
        <v>377</v>
      </c>
      <c r="G378" s="28"/>
      <c r="H378" s="10"/>
      <c r="I378" s="10"/>
      <c r="J378" s="4" t="s">
        <v>730</v>
      </c>
      <c r="K378" s="4" t="s">
        <v>3</v>
      </c>
      <c r="L378" s="4" t="s">
        <v>4</v>
      </c>
      <c r="M378" s="4" t="s">
        <v>5</v>
      </c>
      <c r="N378" s="4" t="s">
        <v>377</v>
      </c>
      <c r="O378" s="4"/>
      <c r="P378" s="4"/>
      <c r="Q378" s="4"/>
      <c r="S378" s="10" t="s">
        <v>731</v>
      </c>
      <c r="T378" s="10" t="s">
        <v>3</v>
      </c>
      <c r="U378" s="10" t="s">
        <v>4</v>
      </c>
      <c r="V378" s="10" t="s">
        <v>5</v>
      </c>
      <c r="W378" s="10" t="s">
        <v>377</v>
      </c>
      <c r="X378" s="28"/>
      <c r="Y378" s="10"/>
      <c r="Z378" s="10"/>
      <c r="AA378" s="4" t="s">
        <v>729</v>
      </c>
      <c r="AB378" s="4" t="s">
        <v>3</v>
      </c>
      <c r="AC378" s="4" t="s">
        <v>4</v>
      </c>
      <c r="AD378" s="4" t="s">
        <v>5</v>
      </c>
      <c r="AE378" s="4" t="s">
        <v>377</v>
      </c>
      <c r="AF378" s="4"/>
      <c r="AG378" s="4"/>
      <c r="AH378" s="4"/>
      <c r="AJ378" s="10" t="s">
        <v>732</v>
      </c>
      <c r="AK378" s="10" t="s">
        <v>3</v>
      </c>
      <c r="AL378" s="10" t="s">
        <v>4</v>
      </c>
      <c r="AM378" s="10" t="s">
        <v>5</v>
      </c>
      <c r="AN378" s="10" t="s">
        <v>377</v>
      </c>
      <c r="AO378" s="28"/>
      <c r="AP378" s="10"/>
      <c r="AQ378" s="10"/>
      <c r="AR378" s="4" t="s">
        <v>733</v>
      </c>
      <c r="AS378" s="4" t="s">
        <v>3</v>
      </c>
      <c r="AT378" s="4" t="s">
        <v>4</v>
      </c>
      <c r="AU378" s="4" t="s">
        <v>5</v>
      </c>
      <c r="AV378" s="4" t="s">
        <v>377</v>
      </c>
      <c r="AW378" s="4"/>
      <c r="AX378" s="4"/>
      <c r="AY378" s="4"/>
      <c r="BA378" s="10" t="s">
        <v>737</v>
      </c>
      <c r="BB378" s="10" t="s">
        <v>3</v>
      </c>
      <c r="BC378" s="10" t="s">
        <v>4</v>
      </c>
      <c r="BD378" s="10" t="s">
        <v>5</v>
      </c>
      <c r="BE378" s="10" t="s">
        <v>377</v>
      </c>
      <c r="BF378" s="28"/>
      <c r="BG378" s="10"/>
      <c r="BH378" s="10"/>
      <c r="BI378" s="4" t="s">
        <v>738</v>
      </c>
      <c r="BJ378" s="4" t="s">
        <v>3</v>
      </c>
      <c r="BK378" s="4" t="s">
        <v>4</v>
      </c>
      <c r="BL378" s="4" t="s">
        <v>5</v>
      </c>
      <c r="BM378" s="4" t="s">
        <v>377</v>
      </c>
      <c r="BN378" s="4"/>
      <c r="BO378" s="4"/>
      <c r="BP378" s="4"/>
      <c r="BR378" s="10" t="s">
        <v>739</v>
      </c>
      <c r="BS378" s="10" t="s">
        <v>3</v>
      </c>
      <c r="BT378" s="10" t="s">
        <v>4</v>
      </c>
      <c r="BU378" s="10" t="s">
        <v>5</v>
      </c>
      <c r="BV378" s="10" t="s">
        <v>377</v>
      </c>
      <c r="BW378" s="28"/>
      <c r="BX378" s="10"/>
      <c r="BY378" s="10"/>
      <c r="BZ378" s="4" t="s">
        <v>740</v>
      </c>
      <c r="CA378" s="4" t="s">
        <v>3</v>
      </c>
      <c r="CB378" s="4" t="s">
        <v>4</v>
      </c>
      <c r="CC378" s="4" t="s">
        <v>5</v>
      </c>
      <c r="CD378" s="4" t="s">
        <v>377</v>
      </c>
      <c r="CE378" s="4"/>
      <c r="CF378" s="4"/>
      <c r="CG378" s="4"/>
    </row>
    <row r="379" spans="1:85" ht="24.75">
      <c r="A379">
        <v>1</v>
      </c>
      <c r="B379" s="10"/>
      <c r="C379" s="10">
        <v>12</v>
      </c>
      <c r="D379" s="10">
        <v>1</v>
      </c>
      <c r="E379" s="10">
        <v>1.5</v>
      </c>
      <c r="F379" s="10">
        <v>0</v>
      </c>
      <c r="G379" s="28"/>
      <c r="H379" s="10"/>
      <c r="I379" s="10"/>
      <c r="J379" s="4"/>
      <c r="K379" s="4">
        <f>C379</f>
        <v>12</v>
      </c>
      <c r="L379" s="4">
        <f>D379</f>
        <v>1</v>
      </c>
      <c r="M379" s="4">
        <f>E379</f>
        <v>1.5</v>
      </c>
      <c r="N379" s="4">
        <f>F379</f>
        <v>0</v>
      </c>
      <c r="O379" s="4"/>
      <c r="P379" s="4"/>
      <c r="Q379" s="4"/>
      <c r="S379" s="10"/>
      <c r="T379" s="10">
        <v>60</v>
      </c>
      <c r="U379" s="10">
        <v>1</v>
      </c>
      <c r="V379" s="10" t="e">
        <f ca="1">[5]!roz(10,1,15,0)</f>
        <v>#NAME?</v>
      </c>
      <c r="W379" s="10" t="e">
        <f ca="1">[5]!mbtool(2,47,0,1)</f>
        <v>#NAME?</v>
      </c>
      <c r="X379" s="28"/>
      <c r="Y379" s="10"/>
      <c r="Z379" s="10"/>
      <c r="AA379" s="4"/>
      <c r="AB379" s="4">
        <f>T379</f>
        <v>60</v>
      </c>
      <c r="AC379" s="4">
        <f>U379</f>
        <v>1</v>
      </c>
      <c r="AD379" s="4" t="e">
        <f ca="1">V379</f>
        <v>#NAME?</v>
      </c>
      <c r="AE379" s="4" t="e">
        <f ca="1">W379</f>
        <v>#NAME?</v>
      </c>
      <c r="AF379" s="4"/>
      <c r="AG379" s="4"/>
      <c r="AH379" s="4"/>
      <c r="AJ379" s="10"/>
      <c r="AK379" s="10">
        <f>AK374</f>
        <v>1251</v>
      </c>
      <c r="AL379" s="10">
        <f>AK375</f>
        <v>1</v>
      </c>
      <c r="AM379" s="10" t="e">
        <f ca="1">AK376</f>
        <v>#NAME?</v>
      </c>
      <c r="AN379" s="10" t="e">
        <f ca="1">AK377</f>
        <v>#NAME?</v>
      </c>
      <c r="AO379" s="28"/>
      <c r="AP379" s="10"/>
      <c r="AQ379" s="10"/>
      <c r="AR379" s="4"/>
      <c r="AS379" s="4">
        <f>AK379</f>
        <v>1251</v>
      </c>
      <c r="AT379" s="4">
        <f>AL379</f>
        <v>1</v>
      </c>
      <c r="AU379" s="4" t="e">
        <f ca="1">AM379</f>
        <v>#NAME?</v>
      </c>
      <c r="AV379" s="4" t="e">
        <f ca="1">AN379</f>
        <v>#NAME?</v>
      </c>
      <c r="AW379" s="4"/>
      <c r="AX379" s="4"/>
      <c r="AY379" s="4"/>
      <c r="BA379" s="10"/>
      <c r="BB379" s="10">
        <v>1281</v>
      </c>
      <c r="BC379" s="10">
        <v>0</v>
      </c>
      <c r="BD379" s="10">
        <v>1</v>
      </c>
      <c r="BE379" s="10">
        <v>0</v>
      </c>
      <c r="BF379" s="28"/>
      <c r="BG379" s="10"/>
      <c r="BH379" s="10"/>
      <c r="BI379" s="4"/>
      <c r="BJ379" s="4">
        <f>BB379</f>
        <v>1281</v>
      </c>
      <c r="BK379" s="4">
        <f>BC379</f>
        <v>0</v>
      </c>
      <c r="BL379" s="4">
        <f>BD379</f>
        <v>1</v>
      </c>
      <c r="BM379" s="4">
        <f>BE379</f>
        <v>0</v>
      </c>
      <c r="BN379" s="4"/>
      <c r="BO379" s="4"/>
      <c r="BP379" s="4"/>
      <c r="BR379" s="10"/>
      <c r="BS379" s="10">
        <v>1251</v>
      </c>
      <c r="BT379" s="10">
        <v>0</v>
      </c>
      <c r="BU379" s="10">
        <v>1</v>
      </c>
      <c r="BV379" s="10">
        <v>0</v>
      </c>
      <c r="BW379" s="28"/>
      <c r="BX379" s="10"/>
      <c r="BY379" s="10"/>
      <c r="BZ379" s="4"/>
      <c r="CA379" s="4">
        <f>BS379</f>
        <v>1251</v>
      </c>
      <c r="CB379" s="4">
        <f>BT379</f>
        <v>0</v>
      </c>
      <c r="CC379" s="4">
        <f>BU379</f>
        <v>1</v>
      </c>
      <c r="CD379" s="4">
        <f>BV379</f>
        <v>0</v>
      </c>
      <c r="CE379" s="4"/>
      <c r="CF379" s="4"/>
      <c r="CG379" s="4"/>
    </row>
    <row r="380" spans="1:85" ht="24.75">
      <c r="A380">
        <v>2</v>
      </c>
      <c r="B380" s="10" t="s">
        <v>717</v>
      </c>
      <c r="C380" s="10">
        <f>C381/24</f>
        <v>3.463726637517147E-3</v>
      </c>
      <c r="D380" s="28">
        <f>INT(ABS(C380))</f>
        <v>0</v>
      </c>
      <c r="E380" s="28">
        <f>INT((ABS(C380)-D380)*60)</f>
        <v>0</v>
      </c>
      <c r="F380" s="28">
        <f>INT((((ABS(C380)-D380)*60)-E380)*60)</f>
        <v>12</v>
      </c>
      <c r="G380" s="28">
        <f>INT((((((ABS(C380)-D380)*60)-E380)*60)-F380)*60)</f>
        <v>28</v>
      </c>
      <c r="H380" s="10"/>
      <c r="I380" s="10"/>
      <c r="J380" s="4" t="s">
        <v>717</v>
      </c>
      <c r="K380" s="4">
        <f>K381/24</f>
        <v>3.463726637517147E-3</v>
      </c>
      <c r="L380" s="4"/>
      <c r="M380" s="4"/>
      <c r="N380" s="4"/>
      <c r="O380" s="4"/>
      <c r="P380" s="4"/>
      <c r="Q380" s="4"/>
      <c r="S380" s="10" t="s">
        <v>717</v>
      </c>
      <c r="T380" s="10">
        <f>T381/24</f>
        <v>1.3955267811213989E-3</v>
      </c>
      <c r="U380" s="28">
        <f>INT(ABS(T380))</f>
        <v>0</v>
      </c>
      <c r="V380" s="28">
        <f>INT((ABS(T380)-U380)*60)</f>
        <v>0</v>
      </c>
      <c r="W380" s="28">
        <f>INT((((ABS(T380)-U380)*60)-V380)*60)</f>
        <v>5</v>
      </c>
      <c r="X380" s="28">
        <f>INT((((((ABS(T380)-U380)*60)-V380)*60)-W380)*60)</f>
        <v>1</v>
      </c>
      <c r="Y380" s="10"/>
      <c r="Z380" s="10"/>
      <c r="AA380" s="4" t="s">
        <v>717</v>
      </c>
      <c r="AB380" s="4">
        <f>AB381/24</f>
        <v>1.3955267811213989E-3</v>
      </c>
      <c r="AC380" s="4"/>
      <c r="AD380" s="4"/>
      <c r="AE380" s="4"/>
      <c r="AF380" s="4"/>
      <c r="AG380" s="4"/>
      <c r="AH380" s="4"/>
      <c r="AJ380" s="10" t="s">
        <v>717</v>
      </c>
      <c r="AK380" s="10">
        <f>AK381/24</f>
        <v>2.1836271754972564E-2</v>
      </c>
      <c r="AL380" s="28">
        <f>INT(ABS(AK380))</f>
        <v>0</v>
      </c>
      <c r="AM380" s="28">
        <f>INT((ABS(AK380)-AL380)*60)</f>
        <v>1</v>
      </c>
      <c r="AN380" s="28">
        <f>INT((((ABS(AK380)-AL380)*60)-AM380)*60)</f>
        <v>18</v>
      </c>
      <c r="AO380" s="28">
        <f>INT((((((ABS(AK380)-AL380)*60)-AM380)*60)-AN380)*60)</f>
        <v>36</v>
      </c>
      <c r="AP380" s="10"/>
      <c r="AQ380" s="10"/>
      <c r="AR380" s="4" t="s">
        <v>717</v>
      </c>
      <c r="AS380" s="4">
        <f>AS381/24</f>
        <v>2.1836271754972564E-2</v>
      </c>
      <c r="AT380" s="4"/>
      <c r="AU380" s="4"/>
      <c r="AV380" s="4"/>
      <c r="AW380" s="4"/>
      <c r="AX380" s="4"/>
      <c r="AY380" s="4"/>
      <c r="BA380" s="10" t="s">
        <v>717</v>
      </c>
      <c r="BB380" s="10">
        <f>BB381/24</f>
        <v>6.6757240387088482E-2</v>
      </c>
      <c r="BC380" s="28">
        <f>INT(ABS(BB380))</f>
        <v>0</v>
      </c>
      <c r="BD380" s="28">
        <f>INT((ABS(BB380)-BC380)*60)</f>
        <v>4</v>
      </c>
      <c r="BE380" s="28">
        <f>INT((((ABS(BB380)-BC380)*60)-BD380)*60)</f>
        <v>0</v>
      </c>
      <c r="BF380" s="28">
        <f>INT((((((ABS(BB380)-BC380)*60)-BD380)*60)-BE380)*60)</f>
        <v>19</v>
      </c>
      <c r="BG380" s="10"/>
      <c r="BH380" s="10"/>
      <c r="BI380" s="4" t="s">
        <v>717</v>
      </c>
      <c r="BJ380" s="4">
        <f>BJ381/24</f>
        <v>6.6757240387088482E-2</v>
      </c>
      <c r="BK380" s="4"/>
      <c r="BL380" s="4"/>
      <c r="BM380" s="4"/>
      <c r="BN380" s="4"/>
      <c r="BO380" s="4"/>
      <c r="BP380" s="4"/>
      <c r="BR380" s="10" t="s">
        <v>717</v>
      </c>
      <c r="BS380" s="10">
        <f>BS381/24</f>
        <v>0.17051607590663578</v>
      </c>
      <c r="BT380" s="28">
        <f>INT(ABS(BS380))</f>
        <v>0</v>
      </c>
      <c r="BU380" s="28">
        <f>INT((ABS(BS380)-BT380)*60)</f>
        <v>10</v>
      </c>
      <c r="BV380" s="28">
        <f>INT((((ABS(BS380)-BT380)*60)-BU380)*60)</f>
        <v>13</v>
      </c>
      <c r="BW380" s="28">
        <f>INT((((((ABS(BS380)-BT380)*60)-BU380)*60)-BV380)*60)</f>
        <v>51</v>
      </c>
      <c r="BX380" s="10"/>
      <c r="BY380" s="10"/>
      <c r="BZ380" s="4" t="s">
        <v>717</v>
      </c>
      <c r="CA380" s="4">
        <f>CA381/24</f>
        <v>0.17051607590663578</v>
      </c>
      <c r="CB380" s="4"/>
      <c r="CC380" s="4"/>
      <c r="CD380" s="4"/>
      <c r="CE380" s="4"/>
      <c r="CF380" s="4"/>
      <c r="CG380" s="4"/>
    </row>
    <row r="381" spans="1:85">
      <c r="A381">
        <v>3</v>
      </c>
      <c r="B381" s="10" t="s">
        <v>718</v>
      </c>
      <c r="C381" s="134">
        <f>(((((((((I381/60)+H381)/60)+G381)/60)+F381)/60)+E381)/60)+D381</f>
        <v>8.3129439300411528E-2</v>
      </c>
      <c r="D381" s="10">
        <v>0</v>
      </c>
      <c r="E381" s="10">
        <v>4</v>
      </c>
      <c r="F381" s="10">
        <v>59</v>
      </c>
      <c r="G381" s="10">
        <v>15</v>
      </c>
      <c r="H381" s="10">
        <v>57</v>
      </c>
      <c r="I381" s="10">
        <v>32</v>
      </c>
      <c r="J381" s="4" t="s">
        <v>718</v>
      </c>
      <c r="K381" s="134">
        <f>C381</f>
        <v>8.3129439300411528E-2</v>
      </c>
      <c r="L381" s="4">
        <v>0</v>
      </c>
      <c r="M381" s="4">
        <v>2</v>
      </c>
      <c r="N381" s="4">
        <v>0</v>
      </c>
      <c r="O381" s="4">
        <v>34</v>
      </c>
      <c r="P381" s="4">
        <v>24</v>
      </c>
      <c r="Q381" s="4">
        <v>39</v>
      </c>
      <c r="S381" s="10" t="s">
        <v>718</v>
      </c>
      <c r="T381" s="134">
        <f>AB381</f>
        <v>3.3492642746913576E-2</v>
      </c>
      <c r="U381" s="10">
        <v>0</v>
      </c>
      <c r="V381" s="10">
        <v>4</v>
      </c>
      <c r="W381" s="10">
        <v>59</v>
      </c>
      <c r="X381" s="10">
        <v>15</v>
      </c>
      <c r="Y381" s="10">
        <v>57</v>
      </c>
      <c r="Z381" s="10">
        <v>32</v>
      </c>
      <c r="AA381" s="4" t="s">
        <v>718</v>
      </c>
      <c r="AB381" s="134">
        <f>(((((((((AH381/60)+AG381)/60)+AF381)/60)+AE381)/60)+AD381)/60)+AC381</f>
        <v>3.3492642746913576E-2</v>
      </c>
      <c r="AC381" s="4">
        <v>0</v>
      </c>
      <c r="AD381" s="4">
        <v>2</v>
      </c>
      <c r="AE381" s="4">
        <v>0</v>
      </c>
      <c r="AF381" s="4">
        <v>34</v>
      </c>
      <c r="AG381" s="4">
        <v>24</v>
      </c>
      <c r="AH381" s="4">
        <v>39</v>
      </c>
      <c r="AJ381" s="10" t="s">
        <v>718</v>
      </c>
      <c r="AK381" s="134">
        <f>AS381</f>
        <v>0.52407052211934158</v>
      </c>
      <c r="AL381" s="10">
        <v>0</v>
      </c>
      <c r="AM381" s="10">
        <v>4</v>
      </c>
      <c r="AN381" s="10">
        <v>59</v>
      </c>
      <c r="AO381" s="10">
        <v>15</v>
      </c>
      <c r="AP381" s="10">
        <v>57</v>
      </c>
      <c r="AQ381" s="10">
        <v>32</v>
      </c>
      <c r="AR381" s="4" t="s">
        <v>718</v>
      </c>
      <c r="AS381" s="134">
        <f>(((((((((AY381/60)+AX381)/60)+AW381)/60)+AV381)/60)+AU381)/60)+AT381</f>
        <v>0.52407052211934158</v>
      </c>
      <c r="AT381" s="4">
        <v>0</v>
      </c>
      <c r="AU381" s="4">
        <v>31</v>
      </c>
      <c r="AV381" s="4">
        <v>26</v>
      </c>
      <c r="AW381" s="4">
        <v>39</v>
      </c>
      <c r="AX381" s="4">
        <v>13</v>
      </c>
      <c r="AY381" s="4">
        <v>58</v>
      </c>
      <c r="BA381" s="10" t="s">
        <v>718</v>
      </c>
      <c r="BB381" s="134">
        <f>BJ381</f>
        <v>1.6021737692901235</v>
      </c>
      <c r="BC381" s="10">
        <v>0</v>
      </c>
      <c r="BD381" s="10">
        <v>4</v>
      </c>
      <c r="BE381" s="10">
        <v>59</v>
      </c>
      <c r="BF381" s="10">
        <v>15</v>
      </c>
      <c r="BG381" s="10">
        <v>57</v>
      </c>
      <c r="BH381" s="10">
        <v>32</v>
      </c>
      <c r="BI381" s="4" t="s">
        <v>718</v>
      </c>
      <c r="BJ381" s="134">
        <f>(((((((((BP381/60)+BO381)/60)+BN381)/60)+BM381)/60)+BL381)/60)+BK381</f>
        <v>1.6021737692901235</v>
      </c>
      <c r="BK381" s="4">
        <v>1</v>
      </c>
      <c r="BL381" s="4">
        <v>36</v>
      </c>
      <c r="BM381" s="4">
        <v>7</v>
      </c>
      <c r="BN381" s="4">
        <v>49</v>
      </c>
      <c r="BO381" s="4">
        <v>32</v>
      </c>
      <c r="BP381" s="4">
        <v>3</v>
      </c>
      <c r="BR381" s="10" t="s">
        <v>718</v>
      </c>
      <c r="BS381" s="134">
        <f>CA381</f>
        <v>4.092385821759259</v>
      </c>
      <c r="BT381" s="10">
        <v>0</v>
      </c>
      <c r="BU381" s="10">
        <v>4</v>
      </c>
      <c r="BV381" s="10">
        <v>59</v>
      </c>
      <c r="BW381" s="10">
        <v>15</v>
      </c>
      <c r="BX381" s="10">
        <v>57</v>
      </c>
      <c r="BY381" s="10">
        <v>32</v>
      </c>
      <c r="BZ381" s="4" t="s">
        <v>718</v>
      </c>
      <c r="CA381" s="134">
        <f>(((((((((CG381/60)+CF381)/60)+CE381)/60)+CD381)/60)+CC381)/60)+CB381</f>
        <v>4.092385821759259</v>
      </c>
      <c r="CB381" s="4">
        <v>4</v>
      </c>
      <c r="CC381" s="4">
        <v>5</v>
      </c>
      <c r="CD381" s="4">
        <v>32</v>
      </c>
      <c r="CE381" s="4">
        <v>35</v>
      </c>
      <c r="CF381" s="4">
        <v>20</v>
      </c>
      <c r="CG381" s="4">
        <v>15</v>
      </c>
    </row>
    <row r="382" spans="1:85">
      <c r="A382">
        <v>4</v>
      </c>
      <c r="B382" s="10"/>
      <c r="C382" s="10"/>
      <c r="D382" s="10"/>
      <c r="E382" s="10"/>
      <c r="F382" s="10"/>
      <c r="G382" s="10"/>
      <c r="H382" s="10"/>
      <c r="I382" s="10"/>
      <c r="J382" s="4"/>
      <c r="K382" s="4"/>
      <c r="L382" s="4"/>
      <c r="M382" s="4"/>
      <c r="N382" s="4"/>
      <c r="O382" s="4"/>
      <c r="P382" s="4"/>
      <c r="Q382" s="4"/>
      <c r="S382" s="10"/>
      <c r="T382" s="10"/>
      <c r="U382" s="10"/>
      <c r="V382" s="10"/>
      <c r="W382" s="10"/>
      <c r="X382" s="10"/>
      <c r="Y382" s="10"/>
      <c r="Z382" s="10"/>
      <c r="AA382" s="4"/>
      <c r="AB382" s="4"/>
      <c r="AC382" s="4"/>
      <c r="AD382" s="4"/>
      <c r="AE382" s="4"/>
      <c r="AF382" s="4"/>
      <c r="AG382" s="4"/>
      <c r="AH382" s="4"/>
      <c r="AJ382" s="10"/>
      <c r="AK382" s="10"/>
      <c r="AL382" s="10"/>
      <c r="AM382" s="10"/>
      <c r="AN382" s="10"/>
      <c r="AO382" s="10"/>
      <c r="AP382" s="10"/>
      <c r="AQ382" s="10"/>
      <c r="AR382" s="4"/>
      <c r="AS382" s="4"/>
      <c r="AT382" s="4"/>
      <c r="AU382" s="4"/>
      <c r="AV382" s="4"/>
      <c r="AW382" s="4"/>
      <c r="AX382" s="4"/>
      <c r="AY382" s="4"/>
      <c r="BA382" s="10"/>
      <c r="BB382" s="10"/>
      <c r="BC382" s="10"/>
      <c r="BD382" s="10"/>
      <c r="BE382" s="10"/>
      <c r="BF382" s="10"/>
      <c r="BG382" s="10"/>
      <c r="BH382" s="10"/>
      <c r="BI382" s="4"/>
      <c r="BJ382" s="4"/>
      <c r="BK382" s="4"/>
      <c r="BL382" s="4"/>
      <c r="BM382" s="4"/>
      <c r="BN382" s="4"/>
      <c r="BO382" s="4"/>
      <c r="BP382" s="4"/>
      <c r="BR382" s="10"/>
      <c r="BS382" s="10"/>
      <c r="BT382" s="10"/>
      <c r="BU382" s="10"/>
      <c r="BV382" s="10"/>
      <c r="BW382" s="10"/>
      <c r="BX382" s="10"/>
      <c r="BY382" s="10"/>
      <c r="BZ382" s="4"/>
      <c r="CA382" s="4"/>
      <c r="CB382" s="4"/>
      <c r="CC382" s="4"/>
      <c r="CD382" s="4"/>
      <c r="CE382" s="4"/>
      <c r="CF382" s="4"/>
      <c r="CG382" s="4"/>
    </row>
    <row r="383" spans="1:85" ht="24.75">
      <c r="A383">
        <v>5</v>
      </c>
      <c r="B383" s="10" t="s">
        <v>719</v>
      </c>
      <c r="C383" s="10">
        <f>MOD(((C384*19)+(C385*11)),360)</f>
        <v>163.74906920267495</v>
      </c>
      <c r="D383" s="28">
        <f>INT(ABS(C383))</f>
        <v>163</v>
      </c>
      <c r="E383" s="28">
        <f>INT((ABS(C383)-D383)*60)</f>
        <v>44</v>
      </c>
      <c r="F383" s="28">
        <f>INT((((ABS(C383)-D383)*60)-E383)*60)</f>
        <v>56</v>
      </c>
      <c r="G383" s="28">
        <f>INT((((((ABS(C383)-D383)*60)-E383)*60)-F383)*60)</f>
        <v>38</v>
      </c>
      <c r="H383" s="10"/>
      <c r="I383" s="10"/>
      <c r="J383" s="4" t="s">
        <v>719</v>
      </c>
      <c r="K383" s="4">
        <f>MOD(((K384*19)+(K385*11)),360)</f>
        <v>163.74906920267495</v>
      </c>
      <c r="L383" s="4"/>
      <c r="M383" s="4"/>
      <c r="N383" s="4"/>
      <c r="O383" s="4"/>
      <c r="P383" s="4"/>
      <c r="Q383" s="4"/>
      <c r="S383" s="10" t="s">
        <v>719</v>
      </c>
      <c r="T383" s="10">
        <f>MOD(((T384*19)+(T385*11)),360)</f>
        <v>356.06028461805556</v>
      </c>
      <c r="U383" s="28">
        <f>INT(ABS(T383))</f>
        <v>356</v>
      </c>
      <c r="V383" s="28">
        <f>INT((ABS(T383)-U383)*60)</f>
        <v>3</v>
      </c>
      <c r="W383" s="28">
        <f>INT((((ABS(T383)-U383)*60)-V383)*60)</f>
        <v>37</v>
      </c>
      <c r="X383" s="28">
        <f>INT((((((ABS(T383)-U383)*60)-V383)*60)-W383)*60)</f>
        <v>1</v>
      </c>
      <c r="Y383" s="10"/>
      <c r="Z383" s="10"/>
      <c r="AA383" s="4" t="s">
        <v>719</v>
      </c>
      <c r="AB383" s="4">
        <f>MOD(((AB384*19)+(AB385*11)),360)</f>
        <v>356.06028461805556</v>
      </c>
      <c r="AC383" s="4"/>
      <c r="AD383" s="4"/>
      <c r="AE383" s="4"/>
      <c r="AF383" s="4"/>
      <c r="AG383" s="4"/>
      <c r="AH383" s="4"/>
      <c r="AJ383" s="10" t="s">
        <v>719</v>
      </c>
      <c r="AK383" s="10">
        <f>MOD(((AK384*19)+(AK385*11)),360)</f>
        <v>173.22705398405378</v>
      </c>
      <c r="AL383" s="28">
        <f>INT(ABS(AK383))</f>
        <v>173</v>
      </c>
      <c r="AM383" s="28">
        <f>INT((ABS(AK383)-AL383)*60)</f>
        <v>13</v>
      </c>
      <c r="AN383" s="28">
        <f>INT((((ABS(AK383)-AL383)*60)-AM383)*60)</f>
        <v>37</v>
      </c>
      <c r="AO383" s="28">
        <f>INT((((((ABS(AK383)-AL383)*60)-AM383)*60)-AN383)*60)</f>
        <v>23</v>
      </c>
      <c r="AP383" s="10"/>
      <c r="AQ383" s="10"/>
      <c r="AR383" s="4" t="s">
        <v>719</v>
      </c>
      <c r="AS383" s="4">
        <f>MOD(((AS384*19)+(AS385*11)),360)</f>
        <v>173.22705398405378</v>
      </c>
      <c r="AT383" s="4"/>
      <c r="AU383" s="4"/>
      <c r="AV383" s="4"/>
      <c r="AW383" s="4"/>
      <c r="AX383" s="4"/>
      <c r="AY383" s="4"/>
      <c r="BA383" s="10" t="s">
        <v>719</v>
      </c>
      <c r="BB383" s="10">
        <f>MOD(((BB384*19)+(BB385*11)),360)</f>
        <v>112.89267465663579</v>
      </c>
      <c r="BC383" s="28">
        <f>INT(ABS(BB383))</f>
        <v>112</v>
      </c>
      <c r="BD383" s="28">
        <f>INT((ABS(BB383)-BC383)*60)</f>
        <v>53</v>
      </c>
      <c r="BE383" s="28">
        <f>INT((((ABS(BB383)-BC383)*60)-BD383)*60)</f>
        <v>33</v>
      </c>
      <c r="BF383" s="28">
        <f>INT((((((ABS(BB383)-BC383)*60)-BD383)*60)-BE383)*60)</f>
        <v>37</v>
      </c>
      <c r="BG383" s="10"/>
      <c r="BH383" s="10"/>
      <c r="BI383" s="4" t="s">
        <v>719</v>
      </c>
      <c r="BJ383" s="4">
        <f>MOD(((BJ384*19)+(BJ385*11)),360)</f>
        <v>112.89267465663579</v>
      </c>
      <c r="BK383" s="4"/>
      <c r="BL383" s="4"/>
      <c r="BM383" s="4"/>
      <c r="BN383" s="4"/>
      <c r="BO383" s="4"/>
      <c r="BP383" s="4"/>
      <c r="BR383" s="10" t="s">
        <v>719</v>
      </c>
      <c r="BS383" s="10">
        <f>MOD(((BS384*19)+(BS385*11)),360)</f>
        <v>306.15367112268518</v>
      </c>
      <c r="BT383" s="28">
        <f>INT(ABS(BS383))</f>
        <v>306</v>
      </c>
      <c r="BU383" s="28">
        <f>INT((ABS(BS383)-BT383)*60)</f>
        <v>9</v>
      </c>
      <c r="BV383" s="28">
        <f>INT((((ABS(BS383)-BT383)*60)-BU383)*60)</f>
        <v>13</v>
      </c>
      <c r="BW383" s="28">
        <f>INT((((((ABS(BS383)-BT383)*60)-BU383)*60)-BV383)*60)</f>
        <v>12</v>
      </c>
      <c r="BX383" s="10"/>
      <c r="BY383" s="10"/>
      <c r="BZ383" s="4" t="s">
        <v>719</v>
      </c>
      <c r="CA383" s="4">
        <f>MOD(((CA384*19)+(CA385*11)),360)</f>
        <v>306.15367112268518</v>
      </c>
      <c r="CB383" s="4"/>
      <c r="CC383" s="4"/>
      <c r="CD383" s="4"/>
      <c r="CE383" s="4"/>
      <c r="CF383" s="4"/>
      <c r="CG383" s="4"/>
    </row>
    <row r="384" spans="1:85">
      <c r="A384">
        <v>6</v>
      </c>
      <c r="B384" s="10" t="s">
        <v>271</v>
      </c>
      <c r="C384" s="134">
        <f>(((((((((I384/60)+H384)/60)+G384)/60)+F384)/60)+E384)/60)+D384</f>
        <v>29.42782151234568</v>
      </c>
      <c r="D384" s="10">
        <v>29</v>
      </c>
      <c r="E384" s="10">
        <v>25</v>
      </c>
      <c r="F384" s="10">
        <v>40</v>
      </c>
      <c r="G384" s="10">
        <v>9</v>
      </c>
      <c r="H384" s="10">
        <v>26</v>
      </c>
      <c r="I384" s="10">
        <v>48</v>
      </c>
      <c r="J384" s="4" t="s">
        <v>271</v>
      </c>
      <c r="K384" s="134">
        <f>C384</f>
        <v>29.42782151234568</v>
      </c>
      <c r="L384" s="4">
        <v>11</v>
      </c>
      <c r="M384" s="4">
        <v>51</v>
      </c>
      <c r="N384" s="4">
        <v>23</v>
      </c>
      <c r="O384" s="4">
        <v>1</v>
      </c>
      <c r="P384" s="4">
        <v>26</v>
      </c>
      <c r="Q384" s="4">
        <v>6</v>
      </c>
      <c r="S384" s="10" t="s">
        <v>271</v>
      </c>
      <c r="T384" s="134">
        <f>AB384</f>
        <v>11.856395532407408</v>
      </c>
      <c r="U384" s="10">
        <v>29</v>
      </c>
      <c r="V384" s="10">
        <v>25</v>
      </c>
      <c r="W384" s="10">
        <v>40</v>
      </c>
      <c r="X384" s="10">
        <v>9</v>
      </c>
      <c r="Y384" s="10">
        <v>26</v>
      </c>
      <c r="Z384" s="10">
        <v>48</v>
      </c>
      <c r="AA384" s="4" t="s">
        <v>271</v>
      </c>
      <c r="AB384" s="134">
        <f>(((((((((AH384/60)+AG384)/60)+AF384)/60)+AE384)/60)+AD384)/60)+AC384</f>
        <v>11.856395532407408</v>
      </c>
      <c r="AC384" s="4">
        <v>11</v>
      </c>
      <c r="AD384" s="4">
        <v>51</v>
      </c>
      <c r="AE384" s="4">
        <v>23</v>
      </c>
      <c r="AF384" s="4">
        <v>1</v>
      </c>
      <c r="AG384" s="4">
        <v>26</v>
      </c>
      <c r="AH384" s="4">
        <v>6</v>
      </c>
      <c r="AJ384" s="10" t="s">
        <v>271</v>
      </c>
      <c r="AK384" s="134">
        <f>AS384</f>
        <v>185.52096483024692</v>
      </c>
      <c r="AL384" s="10">
        <v>29</v>
      </c>
      <c r="AM384" s="10">
        <v>25</v>
      </c>
      <c r="AN384" s="10">
        <v>40</v>
      </c>
      <c r="AO384" s="10">
        <v>9</v>
      </c>
      <c r="AP384" s="10">
        <v>26</v>
      </c>
      <c r="AQ384" s="10">
        <v>48</v>
      </c>
      <c r="AR384" s="4" t="s">
        <v>271</v>
      </c>
      <c r="AS384" s="134">
        <f>(((((((((AY384/60)+AX384)/60)+AW384)/60)+AV384)/60)+AU384)/60)+AT384</f>
        <v>185.52096483024692</v>
      </c>
      <c r="AT384" s="4">
        <v>185</v>
      </c>
      <c r="AU384" s="4">
        <v>31</v>
      </c>
      <c r="AV384" s="4">
        <v>15</v>
      </c>
      <c r="AW384" s="4">
        <v>28</v>
      </c>
      <c r="AX384" s="4">
        <v>24</v>
      </c>
      <c r="AY384" s="4">
        <v>12</v>
      </c>
      <c r="BA384" s="10" t="s">
        <v>271</v>
      </c>
      <c r="BB384" s="134">
        <f>BJ384</f>
        <v>207.16951432870371</v>
      </c>
      <c r="BC384" s="10">
        <v>29</v>
      </c>
      <c r="BD384" s="10">
        <v>25</v>
      </c>
      <c r="BE384" s="10">
        <v>40</v>
      </c>
      <c r="BF384" s="10">
        <v>9</v>
      </c>
      <c r="BG384" s="10">
        <v>26</v>
      </c>
      <c r="BH384" s="10">
        <v>48</v>
      </c>
      <c r="BI384" s="4" t="s">
        <v>271</v>
      </c>
      <c r="BJ384" s="134">
        <f>(((((((((BP384/60)+BO384)/60)+BN384)/60)+BM384)/60)+BL384)/60)+BK384</f>
        <v>207.16951432870371</v>
      </c>
      <c r="BK384" s="4">
        <v>207</v>
      </c>
      <c r="BL384" s="4">
        <v>10</v>
      </c>
      <c r="BM384" s="4">
        <v>10</v>
      </c>
      <c r="BN384" s="4">
        <v>15</v>
      </c>
      <c r="BO384" s="4">
        <v>5</v>
      </c>
      <c r="BP384" s="4">
        <v>42</v>
      </c>
      <c r="BR384" s="10" t="s">
        <v>271</v>
      </c>
      <c r="BS384" s="134">
        <f>CA384</f>
        <v>8.7045809027777779</v>
      </c>
      <c r="BT384" s="10">
        <v>29</v>
      </c>
      <c r="BU384" s="10">
        <v>25</v>
      </c>
      <c r="BV384" s="10">
        <v>40</v>
      </c>
      <c r="BW384" s="10">
        <v>9</v>
      </c>
      <c r="BX384" s="10">
        <v>26</v>
      </c>
      <c r="BY384" s="10">
        <v>48</v>
      </c>
      <c r="BZ384" s="4" t="s">
        <v>271</v>
      </c>
      <c r="CA384" s="134">
        <f>(((((((((CG384/60)+CF384)/60)+CE384)/60)+CD384)/60)+CC384)/60)+CB384</f>
        <v>8.7045809027777779</v>
      </c>
      <c r="CB384" s="4">
        <v>8</v>
      </c>
      <c r="CC384" s="4">
        <v>42</v>
      </c>
      <c r="CD384" s="4">
        <v>16</v>
      </c>
      <c r="CE384" s="4">
        <v>29</v>
      </c>
      <c r="CF384" s="4">
        <v>28</v>
      </c>
      <c r="CG384" s="4">
        <v>30</v>
      </c>
    </row>
    <row r="385" spans="1:85">
      <c r="A385">
        <v>7</v>
      </c>
      <c r="B385" s="10" t="s">
        <v>270</v>
      </c>
      <c r="C385" s="134">
        <f>(((((((((I385/60)+H385)/60)+G385)/60)+F385)/60)+E385)/60)+D385</f>
        <v>29.510950951646091</v>
      </c>
      <c r="D385" s="10">
        <v>29</v>
      </c>
      <c r="E385" s="10">
        <v>30</v>
      </c>
      <c r="F385" s="10">
        <v>39</v>
      </c>
      <c r="G385" s="10">
        <v>25</v>
      </c>
      <c r="H385" s="10">
        <v>24</v>
      </c>
      <c r="I385" s="10">
        <v>20</v>
      </c>
      <c r="J385" s="4" t="s">
        <v>270</v>
      </c>
      <c r="K385" s="134">
        <f>C385</f>
        <v>29.510950951646091</v>
      </c>
      <c r="L385" s="4">
        <v>11</v>
      </c>
      <c r="M385" s="4">
        <v>53</v>
      </c>
      <c r="N385" s="4">
        <v>23</v>
      </c>
      <c r="O385" s="4">
        <v>35</v>
      </c>
      <c r="P385" s="4">
        <v>50</v>
      </c>
      <c r="Q385" s="4">
        <v>15</v>
      </c>
      <c r="S385" s="10" t="s">
        <v>270</v>
      </c>
      <c r="T385" s="134">
        <f>AB385</f>
        <v>11.889888136574074</v>
      </c>
      <c r="U385" s="10">
        <v>29</v>
      </c>
      <c r="V385" s="10">
        <v>30</v>
      </c>
      <c r="W385" s="10">
        <v>39</v>
      </c>
      <c r="X385" s="10">
        <v>25</v>
      </c>
      <c r="Y385" s="10">
        <v>24</v>
      </c>
      <c r="Z385" s="10">
        <v>20</v>
      </c>
      <c r="AA385" s="4" t="s">
        <v>270</v>
      </c>
      <c r="AB385" s="134">
        <f>(((((((((AH385/60)+AG385)/60)+AF385)/60)+AE385)/60)+AD385)/60)+AC385</f>
        <v>11.889888136574074</v>
      </c>
      <c r="AC385" s="4">
        <v>11</v>
      </c>
      <c r="AD385" s="4">
        <v>53</v>
      </c>
      <c r="AE385" s="4">
        <v>23</v>
      </c>
      <c r="AF385" s="4">
        <v>35</v>
      </c>
      <c r="AG385" s="4">
        <v>50</v>
      </c>
      <c r="AH385" s="4">
        <v>15</v>
      </c>
      <c r="AJ385" s="10" t="s">
        <v>270</v>
      </c>
      <c r="AK385" s="134">
        <f>AS385</f>
        <v>186.21170201903291</v>
      </c>
      <c r="AL385" s="10">
        <v>29</v>
      </c>
      <c r="AM385" s="10">
        <v>30</v>
      </c>
      <c r="AN385" s="10">
        <v>39</v>
      </c>
      <c r="AO385" s="10">
        <v>25</v>
      </c>
      <c r="AP385" s="10">
        <v>24</v>
      </c>
      <c r="AQ385" s="10">
        <v>20</v>
      </c>
      <c r="AR385" s="4" t="s">
        <v>270</v>
      </c>
      <c r="AS385" s="134">
        <f>(((((((((AY385/60)+AX385)/60)+AW385)/60)+AV385)/60)+AU385)/60)+AT385</f>
        <v>186.21170201903291</v>
      </c>
      <c r="AT385" s="4">
        <v>186</v>
      </c>
      <c r="AU385" s="4">
        <v>12</v>
      </c>
      <c r="AV385" s="4">
        <v>42</v>
      </c>
      <c r="AW385" s="4">
        <v>7</v>
      </c>
      <c r="AX385" s="4">
        <v>38</v>
      </c>
      <c r="AY385" s="4">
        <v>10</v>
      </c>
      <c r="BA385" s="10" t="s">
        <v>270</v>
      </c>
      <c r="BB385" s="134">
        <f>BJ385</f>
        <v>208.78835476466048</v>
      </c>
      <c r="BC385" s="10">
        <v>29</v>
      </c>
      <c r="BD385" s="10">
        <v>30</v>
      </c>
      <c r="BE385" s="10">
        <v>39</v>
      </c>
      <c r="BF385" s="10">
        <v>25</v>
      </c>
      <c r="BG385" s="10">
        <v>24</v>
      </c>
      <c r="BH385" s="10">
        <v>20</v>
      </c>
      <c r="BI385" s="4" t="s">
        <v>270</v>
      </c>
      <c r="BJ385" s="134">
        <f>(((((((((BP385/60)+BO385)/60)+BN385)/60)+BM385)/60)+BL385)/60)+BK385</f>
        <v>208.78835476466048</v>
      </c>
      <c r="BK385" s="4">
        <v>208</v>
      </c>
      <c r="BL385" s="4">
        <v>47</v>
      </c>
      <c r="BM385" s="4">
        <v>18</v>
      </c>
      <c r="BN385" s="4">
        <v>4</v>
      </c>
      <c r="BO385" s="4">
        <v>37</v>
      </c>
      <c r="BP385" s="4">
        <v>45</v>
      </c>
      <c r="BR385" s="10" t="s">
        <v>270</v>
      </c>
      <c r="BS385" s="134">
        <f>CA385</f>
        <v>12.796966724537038</v>
      </c>
      <c r="BT385" s="10">
        <v>29</v>
      </c>
      <c r="BU385" s="10">
        <v>30</v>
      </c>
      <c r="BV385" s="10">
        <v>39</v>
      </c>
      <c r="BW385" s="10">
        <v>25</v>
      </c>
      <c r="BX385" s="10">
        <v>24</v>
      </c>
      <c r="BY385" s="10">
        <v>20</v>
      </c>
      <c r="BZ385" s="4" t="s">
        <v>270</v>
      </c>
      <c r="CA385" s="134">
        <f>(((((((((CG385/60)+CF385)/60)+CE385)/60)+CD385)/60)+CC385)/60)+CB385</f>
        <v>12.796966724537038</v>
      </c>
      <c r="CB385" s="4">
        <v>12</v>
      </c>
      <c r="CC385" s="4">
        <v>47</v>
      </c>
      <c r="CD385" s="4">
        <v>49</v>
      </c>
      <c r="CE385" s="4">
        <v>4</v>
      </c>
      <c r="CF385" s="4">
        <v>48</v>
      </c>
      <c r="CG385" s="4">
        <v>45</v>
      </c>
    </row>
    <row r="386" spans="1:85" ht="24.75">
      <c r="A386">
        <v>8</v>
      </c>
      <c r="B386" s="10" t="s">
        <v>581</v>
      </c>
      <c r="C386" s="134">
        <f>(((((((((I386/60)+H386)/60)+G386)/60)+F386)/60)+E386)/60)+D386</f>
        <v>74.408611111111114</v>
      </c>
      <c r="D386" s="10">
        <v>74</v>
      </c>
      <c r="E386" s="10">
        <v>24</v>
      </c>
      <c r="F386" s="10">
        <v>31</v>
      </c>
      <c r="G386" s="10"/>
      <c r="H386" s="10"/>
      <c r="I386" s="10"/>
      <c r="J386" s="4" t="s">
        <v>581</v>
      </c>
      <c r="K386" s="134">
        <f>C386</f>
        <v>74.408611111111114</v>
      </c>
      <c r="L386" s="4">
        <v>194</v>
      </c>
      <c r="M386" s="4">
        <v>20</v>
      </c>
      <c r="N386" s="4">
        <v>12</v>
      </c>
      <c r="O386" s="4">
        <v>30</v>
      </c>
      <c r="P386" s="4"/>
      <c r="Q386" s="4"/>
      <c r="S386" s="10" t="s">
        <v>581</v>
      </c>
      <c r="T386" s="134">
        <f>AB386</f>
        <v>194.33680555555554</v>
      </c>
      <c r="U386" s="10">
        <v>74</v>
      </c>
      <c r="V386" s="10">
        <v>24</v>
      </c>
      <c r="W386" s="10">
        <v>31</v>
      </c>
      <c r="X386" s="10"/>
      <c r="Y386" s="10"/>
      <c r="Z386" s="10"/>
      <c r="AA386" s="4" t="s">
        <v>581</v>
      </c>
      <c r="AB386" s="134">
        <f>(((((((((AH386/60)+AG386)/60)+AF386)/60)+AE386)/60)+AD386)/60)+AC386</f>
        <v>194.33680555555554</v>
      </c>
      <c r="AC386" s="4">
        <v>194</v>
      </c>
      <c r="AD386" s="4">
        <v>20</v>
      </c>
      <c r="AE386" s="4">
        <v>12</v>
      </c>
      <c r="AF386" s="4">
        <v>30</v>
      </c>
      <c r="AG386" s="4"/>
      <c r="AH386" s="4"/>
      <c r="AJ386" s="10" t="s">
        <v>581</v>
      </c>
      <c r="AK386" s="134">
        <f>AS386</f>
        <v>153.46798611111112</v>
      </c>
      <c r="AL386" s="28">
        <f>INT(ABS(AK386))</f>
        <v>153</v>
      </c>
      <c r="AM386" s="28">
        <f>INT((ABS(AK386)-AL386)*60)</f>
        <v>28</v>
      </c>
      <c r="AN386" s="28">
        <f>INT((((ABS(AK386)-AL386)*60)-AM386)*60)</f>
        <v>4</v>
      </c>
      <c r="AO386" s="28">
        <f>INT((((((ABS(AK386)-AL386)*60)-AM386)*60)-AN386)*60)</f>
        <v>45</v>
      </c>
      <c r="AP386" s="10"/>
      <c r="AQ386" s="10"/>
      <c r="AR386" s="4" t="s">
        <v>581</v>
      </c>
      <c r="AS386" s="134">
        <f>(((((((((AY386/60)+AX386)/60)+AW386)/60)+AV386)/60)+AU386)/60)+AT386</f>
        <v>153.46798611111112</v>
      </c>
      <c r="AT386" s="4">
        <v>153</v>
      </c>
      <c r="AU386" s="4">
        <v>28</v>
      </c>
      <c r="AV386" s="4">
        <v>4</v>
      </c>
      <c r="AW386" s="4">
        <v>45</v>
      </c>
      <c r="AX386" s="4"/>
      <c r="AY386" s="4"/>
      <c r="BA386" s="10" t="s">
        <v>581</v>
      </c>
      <c r="BB386" s="134">
        <f>BJ386</f>
        <v>294.44111111111113</v>
      </c>
      <c r="BC386" s="10">
        <v>74</v>
      </c>
      <c r="BD386" s="10">
        <v>24</v>
      </c>
      <c r="BE386" s="10">
        <v>31</v>
      </c>
      <c r="BF386" s="10"/>
      <c r="BG386" s="10"/>
      <c r="BH386" s="10"/>
      <c r="BI386" s="4" t="s">
        <v>581</v>
      </c>
      <c r="BJ386" s="134">
        <f>(((((((((BP386/60)+BO386)/60)+BN386)/60)+BM386)/60)+BL386)/60)+BK386</f>
        <v>294.44111111111113</v>
      </c>
      <c r="BK386" s="4">
        <v>294</v>
      </c>
      <c r="BL386" s="4">
        <v>26</v>
      </c>
      <c r="BM386" s="4">
        <v>28</v>
      </c>
      <c r="BN386" s="4">
        <v>0</v>
      </c>
      <c r="BO386" s="4"/>
      <c r="BP386" s="4"/>
      <c r="BR386" s="10" t="s">
        <v>581</v>
      </c>
      <c r="BS386" s="134">
        <f>CA386</f>
        <v>343.67638888888888</v>
      </c>
      <c r="BT386" s="10">
        <v>74</v>
      </c>
      <c r="BU386" s="10">
        <v>24</v>
      </c>
      <c r="BV386" s="10">
        <v>31</v>
      </c>
      <c r="BW386" s="10"/>
      <c r="BX386" s="10"/>
      <c r="BY386" s="10"/>
      <c r="BZ386" s="4" t="s">
        <v>581</v>
      </c>
      <c r="CA386" s="134">
        <f>(((((((((CG386/60)+CF386)/60)+CE386)/60)+CD386)/60)+CC386)/60)+CB386</f>
        <v>343.67638888888888</v>
      </c>
      <c r="CB386" s="4">
        <v>343</v>
      </c>
      <c r="CC386" s="4">
        <v>40</v>
      </c>
      <c r="CD386" s="4">
        <v>35</v>
      </c>
      <c r="CE386" s="4">
        <v>0</v>
      </c>
      <c r="CF386" s="4"/>
      <c r="CG386" s="4"/>
    </row>
    <row r="387" spans="1:85" ht="24.75">
      <c r="A387">
        <v>9</v>
      </c>
      <c r="B387" s="10" t="s">
        <v>720</v>
      </c>
      <c r="C387" s="10">
        <f>30-MOD((1251-C379),30)</f>
        <v>21</v>
      </c>
      <c r="D387" s="28">
        <f t="shared" ref="D387:D403" si="126">INT(ABS(C387))</f>
        <v>21</v>
      </c>
      <c r="E387" s="28">
        <f t="shared" ref="E387:E403" si="127">INT((ABS(C387)-D387)*60)</f>
        <v>0</v>
      </c>
      <c r="F387" s="28">
        <f t="shared" ref="F387:F403" si="128">INT((((ABS(C387)-D387)*60)-E387)*60)</f>
        <v>0</v>
      </c>
      <c r="G387" s="28">
        <f t="shared" ref="G387:G403" si="129">INT((((((ABS(C387)-D387)*60)-E387)*60)-F387)*60)</f>
        <v>0</v>
      </c>
      <c r="H387" s="10"/>
      <c r="I387" s="10"/>
      <c r="J387" s="4" t="s">
        <v>720</v>
      </c>
      <c r="K387" s="4">
        <f>MOD((K379-1251),30)</f>
        <v>21</v>
      </c>
      <c r="L387" s="4"/>
      <c r="M387" s="4"/>
      <c r="N387" s="4"/>
      <c r="O387" s="4"/>
      <c r="P387" s="4"/>
      <c r="Q387" s="4"/>
      <c r="S387" s="10" t="s">
        <v>720</v>
      </c>
      <c r="T387" s="10">
        <f>30-MOD((1251-T379),30)</f>
        <v>9</v>
      </c>
      <c r="U387" s="28">
        <f t="shared" ref="U387:U404" si="130">INT(ABS(T387))</f>
        <v>9</v>
      </c>
      <c r="V387" s="28">
        <f t="shared" ref="V387:V404" si="131">INT((ABS(T387)-U387)*60)</f>
        <v>0</v>
      </c>
      <c r="W387" s="28">
        <f t="shared" ref="W387:W404" si="132">INT((((ABS(T387)-U387)*60)-V387)*60)</f>
        <v>0</v>
      </c>
      <c r="X387" s="28">
        <f t="shared" ref="X387:X404" si="133">INT((((((ABS(T387)-U387)*60)-V387)*60)-W387)*60)</f>
        <v>0</v>
      </c>
      <c r="Y387" s="10"/>
      <c r="Z387" s="10"/>
      <c r="AA387" s="4" t="s">
        <v>720</v>
      </c>
      <c r="AB387" s="4">
        <f>MOD((AB379-1251),30)</f>
        <v>9</v>
      </c>
      <c r="AC387" s="4"/>
      <c r="AD387" s="4"/>
      <c r="AE387" s="4"/>
      <c r="AF387" s="4"/>
      <c r="AG387" s="4"/>
      <c r="AH387" s="4"/>
      <c r="AJ387" s="10" t="s">
        <v>720</v>
      </c>
      <c r="AK387" s="10">
        <f>30-MOD((1251-AK379),30)</f>
        <v>30</v>
      </c>
      <c r="AL387" s="28">
        <f t="shared" ref="AL387:AL404" si="134">INT(ABS(AK387))</f>
        <v>30</v>
      </c>
      <c r="AM387" s="28">
        <f t="shared" ref="AM387:AM404" si="135">INT((ABS(AK387)-AL387)*60)</f>
        <v>0</v>
      </c>
      <c r="AN387" s="28">
        <f t="shared" ref="AN387:AN404" si="136">INT((((ABS(AK387)-AL387)*60)-AM387)*60)</f>
        <v>0</v>
      </c>
      <c r="AO387" s="28">
        <f t="shared" ref="AO387:AO404" si="137">INT((((((ABS(AK387)-AL387)*60)-AM387)*60)-AN387)*60)</f>
        <v>0</v>
      </c>
      <c r="AP387" s="10"/>
      <c r="AQ387" s="10"/>
      <c r="AR387" s="4" t="s">
        <v>720</v>
      </c>
      <c r="AS387" s="4">
        <f>MOD((AS379-1251),30)</f>
        <v>0</v>
      </c>
      <c r="AT387" s="4"/>
      <c r="AU387" s="4"/>
      <c r="AV387" s="4"/>
      <c r="AW387" s="4"/>
      <c r="AX387" s="4"/>
      <c r="AY387" s="4"/>
      <c r="BA387" s="10" t="s">
        <v>720</v>
      </c>
      <c r="BB387" s="10">
        <f>30-MOD((1251-BB379),30)</f>
        <v>30</v>
      </c>
      <c r="BC387" s="28">
        <f t="shared" ref="BC387:BC404" si="138">INT(ABS(BB387))</f>
        <v>30</v>
      </c>
      <c r="BD387" s="28">
        <f t="shared" ref="BD387:BD404" si="139">INT((ABS(BB387)-BC387)*60)</f>
        <v>0</v>
      </c>
      <c r="BE387" s="28">
        <f t="shared" ref="BE387:BE404" si="140">INT((((ABS(BB387)-BC387)*60)-BD387)*60)</f>
        <v>0</v>
      </c>
      <c r="BF387" s="28">
        <f t="shared" ref="BF387:BF404" si="141">INT((((((ABS(BB387)-BC387)*60)-BD387)*60)-BE387)*60)</f>
        <v>0</v>
      </c>
      <c r="BG387" s="10"/>
      <c r="BH387" s="10"/>
      <c r="BI387" s="4" t="s">
        <v>720</v>
      </c>
      <c r="BJ387" s="4">
        <f>MOD((BJ379-1251),30)</f>
        <v>0</v>
      </c>
      <c r="BK387" s="4"/>
      <c r="BL387" s="4"/>
      <c r="BM387" s="4"/>
      <c r="BN387" s="4"/>
      <c r="BO387" s="4"/>
      <c r="BP387" s="4"/>
      <c r="BR387" s="10" t="s">
        <v>720</v>
      </c>
      <c r="BS387" s="10">
        <f>30-MOD((1251-BS379),30)</f>
        <v>30</v>
      </c>
      <c r="BT387" s="28">
        <f t="shared" ref="BT387:BT404" si="142">INT(ABS(BS387))</f>
        <v>30</v>
      </c>
      <c r="BU387" s="28">
        <f t="shared" ref="BU387:BU404" si="143">INT((ABS(BS387)-BT387)*60)</f>
        <v>0</v>
      </c>
      <c r="BV387" s="28">
        <f t="shared" ref="BV387:BV404" si="144">INT((((ABS(BS387)-BT387)*60)-BU387)*60)</f>
        <v>0</v>
      </c>
      <c r="BW387" s="28">
        <f t="shared" ref="BW387:BW404" si="145">INT((((((ABS(BS387)-BT387)*60)-BU387)*60)-BV387)*60)</f>
        <v>0</v>
      </c>
      <c r="BX387" s="10"/>
      <c r="BY387" s="10"/>
      <c r="BZ387" s="4" t="s">
        <v>720</v>
      </c>
      <c r="CA387" s="4">
        <f>MOD((CA379-1251),30)</f>
        <v>0</v>
      </c>
      <c r="CB387" s="4"/>
      <c r="CC387" s="4"/>
      <c r="CD387" s="4"/>
      <c r="CE387" s="4"/>
      <c r="CF387" s="4"/>
      <c r="CG387" s="4"/>
    </row>
    <row r="388" spans="1:85" ht="24.75">
      <c r="A388">
        <v>10</v>
      </c>
      <c r="B388" s="10" t="s">
        <v>268</v>
      </c>
      <c r="C388" s="10">
        <f>[2]!kab(C387)</f>
        <v>8</v>
      </c>
      <c r="D388" s="28">
        <f t="shared" si="126"/>
        <v>8</v>
      </c>
      <c r="E388" s="28">
        <f t="shared" si="127"/>
        <v>0</v>
      </c>
      <c r="F388" s="28">
        <f t="shared" si="128"/>
        <v>0</v>
      </c>
      <c r="G388" s="28">
        <f t="shared" si="129"/>
        <v>0</v>
      </c>
      <c r="H388" s="10"/>
      <c r="I388" s="10"/>
      <c r="J388" s="4" t="s">
        <v>268</v>
      </c>
      <c r="K388" s="4">
        <f>[2]!kab(K387)</f>
        <v>8</v>
      </c>
      <c r="L388" s="4"/>
      <c r="M388" s="4"/>
      <c r="N388" s="4"/>
      <c r="O388" s="4"/>
      <c r="P388" s="4"/>
      <c r="Q388" s="4"/>
      <c r="S388" s="10" t="s">
        <v>268</v>
      </c>
      <c r="T388" s="10" t="e">
        <f ca="1">[5]!kab(T387)</f>
        <v>#NAME?</v>
      </c>
      <c r="U388" s="28" t="e">
        <f ca="1">INT(ABS(T388))</f>
        <v>#NAME?</v>
      </c>
      <c r="V388" s="28" t="e">
        <f ca="1">INT((ABS(T388)-U388)*60)</f>
        <v>#NAME?</v>
      </c>
      <c r="W388" s="28" t="e">
        <f ca="1">INT((((ABS(T388)-U388)*60)-V388)*60)</f>
        <v>#NAME?</v>
      </c>
      <c r="X388" s="28" t="e">
        <f ca="1">INT((((((ABS(T388)-U388)*60)-V388)*60)-W388)*60)</f>
        <v>#NAME?</v>
      </c>
      <c r="Y388" s="10"/>
      <c r="Z388" s="10"/>
      <c r="AA388" s="4" t="s">
        <v>268</v>
      </c>
      <c r="AB388" s="4" t="e">
        <f ca="1">[5]!kab(AB387)</f>
        <v>#NAME?</v>
      </c>
      <c r="AC388" s="4"/>
      <c r="AD388" s="4"/>
      <c r="AE388" s="4"/>
      <c r="AF388" s="4"/>
      <c r="AG388" s="4"/>
      <c r="AH388" s="4"/>
      <c r="AJ388" s="10" t="s">
        <v>268</v>
      </c>
      <c r="AK388" s="10" t="e">
        <f ca="1">[5]!kab(AK387)</f>
        <v>#NAME?</v>
      </c>
      <c r="AL388" s="28" t="e">
        <f ca="1">INT(ABS(AK388))</f>
        <v>#NAME?</v>
      </c>
      <c r="AM388" s="28" t="e">
        <f ca="1">INT((ABS(AK388)-AL388)*60)</f>
        <v>#NAME?</v>
      </c>
      <c r="AN388" s="28" t="e">
        <f ca="1">INT((((ABS(AK388)-AL388)*60)-AM388)*60)</f>
        <v>#NAME?</v>
      </c>
      <c r="AO388" s="28" t="e">
        <f ca="1">INT((((((ABS(AK388)-AL388)*60)-AM388)*60)-AN388)*60)</f>
        <v>#NAME?</v>
      </c>
      <c r="AP388" s="10"/>
      <c r="AQ388" s="10"/>
      <c r="AR388" s="4" t="s">
        <v>268</v>
      </c>
      <c r="AS388" s="4" t="e">
        <f ca="1">[5]!kab(AS387)</f>
        <v>#NAME?</v>
      </c>
      <c r="AT388" s="4"/>
      <c r="AU388" s="4"/>
      <c r="AV388" s="4"/>
      <c r="AW388" s="4"/>
      <c r="AX388" s="4"/>
      <c r="AY388" s="4"/>
      <c r="BA388" s="10" t="s">
        <v>268</v>
      </c>
      <c r="BB388" s="10" t="e">
        <f ca="1">[5]!kab(BB387)</f>
        <v>#NAME?</v>
      </c>
      <c r="BC388" s="28" t="e">
        <f ca="1">INT(ABS(BB388))</f>
        <v>#NAME?</v>
      </c>
      <c r="BD388" s="28" t="e">
        <f ca="1">INT((ABS(BB388)-BC388)*60)</f>
        <v>#NAME?</v>
      </c>
      <c r="BE388" s="28" t="e">
        <f ca="1">INT((((ABS(BB388)-BC388)*60)-BD388)*60)</f>
        <v>#NAME?</v>
      </c>
      <c r="BF388" s="28" t="e">
        <f ca="1">INT((((((ABS(BB388)-BC388)*60)-BD388)*60)-BE388)*60)</f>
        <v>#NAME?</v>
      </c>
      <c r="BG388" s="10"/>
      <c r="BH388" s="10"/>
      <c r="BI388" s="4" t="s">
        <v>268</v>
      </c>
      <c r="BJ388" s="4" t="e">
        <f ca="1">[5]!kab(BJ387)</f>
        <v>#NAME?</v>
      </c>
      <c r="BK388" s="4"/>
      <c r="BL388" s="4"/>
      <c r="BM388" s="4"/>
      <c r="BN388" s="4"/>
      <c r="BO388" s="4"/>
      <c r="BP388" s="4"/>
      <c r="BR388" s="10" t="s">
        <v>268</v>
      </c>
      <c r="BS388" s="10" t="e">
        <f ca="1">[5]!kab(BS387)</f>
        <v>#NAME?</v>
      </c>
      <c r="BT388" s="28" t="e">
        <f ca="1">INT(ABS(BS388))</f>
        <v>#NAME?</v>
      </c>
      <c r="BU388" s="28" t="e">
        <f ca="1">INT((ABS(BS388)-BT388)*60)</f>
        <v>#NAME?</v>
      </c>
      <c r="BV388" s="28" t="e">
        <f ca="1">INT((((ABS(BS388)-BT388)*60)-BU388)*60)</f>
        <v>#NAME?</v>
      </c>
      <c r="BW388" s="28" t="e">
        <f ca="1">INT((((((ABS(BS388)-BT388)*60)-BU388)*60)-BV388)*60)</f>
        <v>#NAME?</v>
      </c>
      <c r="BX388" s="10"/>
      <c r="BY388" s="10"/>
      <c r="BZ388" s="4" t="s">
        <v>268</v>
      </c>
      <c r="CA388" s="4" t="e">
        <f ca="1">[5]!kab(CA387)</f>
        <v>#NAME?</v>
      </c>
      <c r="CB388" s="4"/>
      <c r="CC388" s="4"/>
      <c r="CD388" s="4"/>
      <c r="CE388" s="4"/>
      <c r="CF388" s="4"/>
      <c r="CG388" s="4"/>
    </row>
    <row r="389" spans="1:85" ht="24.75">
      <c r="A389">
        <v>11</v>
      </c>
      <c r="B389" s="10" t="s">
        <v>272</v>
      </c>
      <c r="C389" s="10">
        <f>C387-C388</f>
        <v>13</v>
      </c>
      <c r="D389" s="28">
        <f t="shared" si="126"/>
        <v>13</v>
      </c>
      <c r="E389" s="28">
        <f t="shared" si="127"/>
        <v>0</v>
      </c>
      <c r="F389" s="28">
        <f t="shared" si="128"/>
        <v>0</v>
      </c>
      <c r="G389" s="28">
        <f t="shared" si="129"/>
        <v>0</v>
      </c>
      <c r="H389" s="10"/>
      <c r="I389" s="10"/>
      <c r="J389" s="4" t="s">
        <v>272</v>
      </c>
      <c r="K389" s="4">
        <f>K387-K388</f>
        <v>13</v>
      </c>
      <c r="L389" s="4"/>
      <c r="M389" s="4"/>
      <c r="N389" s="4"/>
      <c r="O389" s="4"/>
      <c r="P389" s="4"/>
      <c r="Q389" s="4"/>
      <c r="S389" s="10" t="s">
        <v>272</v>
      </c>
      <c r="T389" s="10" t="e">
        <f ca="1">T387-T388</f>
        <v>#NAME?</v>
      </c>
      <c r="U389" s="28" t="e">
        <f ca="1">INT(ABS(T389))</f>
        <v>#NAME?</v>
      </c>
      <c r="V389" s="28" t="e">
        <f ca="1">INT((ABS(T389)-U389)*60)</f>
        <v>#NAME?</v>
      </c>
      <c r="W389" s="28" t="e">
        <f ca="1">INT((((ABS(T389)-U389)*60)-V389)*60)</f>
        <v>#NAME?</v>
      </c>
      <c r="X389" s="28" t="e">
        <f ca="1">INT((((((ABS(T389)-U389)*60)-V389)*60)-W389)*60)</f>
        <v>#NAME?</v>
      </c>
      <c r="Y389" s="10"/>
      <c r="Z389" s="10"/>
      <c r="AA389" s="4" t="s">
        <v>272</v>
      </c>
      <c r="AB389" s="4" t="e">
        <f ca="1">AB387-AB388</f>
        <v>#NAME?</v>
      </c>
      <c r="AC389" s="4"/>
      <c r="AD389" s="4"/>
      <c r="AE389" s="4"/>
      <c r="AF389" s="4"/>
      <c r="AG389" s="4"/>
      <c r="AH389" s="4"/>
      <c r="AJ389" s="10" t="s">
        <v>272</v>
      </c>
      <c r="AK389" s="10" t="e">
        <f ca="1">AK387-AK388</f>
        <v>#NAME?</v>
      </c>
      <c r="AL389" s="28" t="e">
        <f ca="1">INT(ABS(AK389))</f>
        <v>#NAME?</v>
      </c>
      <c r="AM389" s="28" t="e">
        <f ca="1">INT((ABS(AK389)-AL389)*60)</f>
        <v>#NAME?</v>
      </c>
      <c r="AN389" s="28" t="e">
        <f ca="1">INT((((ABS(AK389)-AL389)*60)-AM389)*60)</f>
        <v>#NAME?</v>
      </c>
      <c r="AO389" s="28" t="e">
        <f ca="1">INT((((((ABS(AK389)-AL389)*60)-AM389)*60)-AN389)*60)</f>
        <v>#NAME?</v>
      </c>
      <c r="AP389" s="10"/>
      <c r="AQ389" s="10"/>
      <c r="AR389" s="4" t="s">
        <v>272</v>
      </c>
      <c r="AS389" s="4" t="e">
        <f ca="1">AS387-AS388</f>
        <v>#NAME?</v>
      </c>
      <c r="AT389" s="4"/>
      <c r="AU389" s="4"/>
      <c r="AV389" s="4"/>
      <c r="AW389" s="4"/>
      <c r="AX389" s="4"/>
      <c r="AY389" s="4"/>
      <c r="BA389" s="10" t="s">
        <v>272</v>
      </c>
      <c r="BB389" s="10" t="e">
        <f ca="1">BB387-BB388</f>
        <v>#NAME?</v>
      </c>
      <c r="BC389" s="28" t="e">
        <f ca="1">INT(ABS(BB389))</f>
        <v>#NAME?</v>
      </c>
      <c r="BD389" s="28" t="e">
        <f ca="1">INT((ABS(BB389)-BC389)*60)</f>
        <v>#NAME?</v>
      </c>
      <c r="BE389" s="28" t="e">
        <f ca="1">INT((((ABS(BB389)-BC389)*60)-BD389)*60)</f>
        <v>#NAME?</v>
      </c>
      <c r="BF389" s="28" t="e">
        <f ca="1">INT((((((ABS(BB389)-BC389)*60)-BD389)*60)-BE389)*60)</f>
        <v>#NAME?</v>
      </c>
      <c r="BG389" s="10"/>
      <c r="BH389" s="10"/>
      <c r="BI389" s="4" t="s">
        <v>272</v>
      </c>
      <c r="BJ389" s="4" t="e">
        <f ca="1">BJ387-BJ388</f>
        <v>#NAME?</v>
      </c>
      <c r="BK389" s="4"/>
      <c r="BL389" s="4"/>
      <c r="BM389" s="4"/>
      <c r="BN389" s="4"/>
      <c r="BO389" s="4"/>
      <c r="BP389" s="4"/>
      <c r="BR389" s="10" t="s">
        <v>272</v>
      </c>
      <c r="BS389" s="10" t="e">
        <f ca="1">BS387-BS388</f>
        <v>#NAME?</v>
      </c>
      <c r="BT389" s="28" t="e">
        <f ca="1">INT(ABS(BS389))</f>
        <v>#NAME?</v>
      </c>
      <c r="BU389" s="28" t="e">
        <f ca="1">INT((ABS(BS389)-BT389)*60)</f>
        <v>#NAME?</v>
      </c>
      <c r="BV389" s="28" t="e">
        <f ca="1">INT((((ABS(BS389)-BT389)*60)-BU389)*60)</f>
        <v>#NAME?</v>
      </c>
      <c r="BW389" s="28" t="e">
        <f ca="1">INT((((((ABS(BS389)-BT389)*60)-BU389)*60)-BV389)*60)</f>
        <v>#NAME?</v>
      </c>
      <c r="BX389" s="10"/>
      <c r="BY389" s="10"/>
      <c r="BZ389" s="4" t="s">
        <v>272</v>
      </c>
      <c r="CA389" s="4" t="e">
        <f ca="1">CA387-CA388</f>
        <v>#NAME?</v>
      </c>
      <c r="CB389" s="4"/>
      <c r="CC389" s="4"/>
      <c r="CD389" s="4"/>
      <c r="CE389" s="4"/>
      <c r="CF389" s="4"/>
      <c r="CG389" s="4"/>
    </row>
    <row r="390" spans="1:85" ht="24.75">
      <c r="A390">
        <v>12</v>
      </c>
      <c r="B390" s="10"/>
      <c r="C390" s="10">
        <f>[2]!MODd(((C388*C385)+(C389*C384)),360)</f>
        <v>258.64928727366259</v>
      </c>
      <c r="D390" s="28">
        <f t="shared" si="126"/>
        <v>258</v>
      </c>
      <c r="E390" s="28">
        <f t="shared" si="127"/>
        <v>38</v>
      </c>
      <c r="F390" s="28">
        <f t="shared" si="128"/>
        <v>57</v>
      </c>
      <c r="G390" s="28">
        <f t="shared" si="129"/>
        <v>26</v>
      </c>
      <c r="H390" s="10"/>
      <c r="I390" s="10"/>
      <c r="J390" s="4"/>
      <c r="K390" s="4">
        <f>[2]!ba((K388*K385)+(K389*K384))</f>
        <v>258.64928727366259</v>
      </c>
      <c r="L390" s="133">
        <f>INT(ABS(K390))</f>
        <v>258</v>
      </c>
      <c r="M390" s="133">
        <f>INT((ABS(K390)-L390)*60)</f>
        <v>38</v>
      </c>
      <c r="N390" s="133">
        <f>INT((((ABS(K390)-L390)*60)-M390)*60)</f>
        <v>57</v>
      </c>
      <c r="O390" s="133">
        <f>INT((((((ABS(K390)-L390)*60)-M390)*60)-N390)*60)</f>
        <v>26</v>
      </c>
      <c r="P390" s="4"/>
      <c r="Q390" s="4"/>
      <c r="S390" s="10"/>
      <c r="T390" s="10" t="e">
        <f ca="1">MOD(((T388*T385)+(T389*T384)),360)</f>
        <v>#NAME?</v>
      </c>
      <c r="U390" s="28" t="e">
        <f ca="1">INT(ABS(T390))</f>
        <v>#NAME?</v>
      </c>
      <c r="V390" s="28" t="e">
        <f ca="1">INT((ABS(T390)-U390)*60)</f>
        <v>#NAME?</v>
      </c>
      <c r="W390" s="28" t="e">
        <f ca="1">INT((((ABS(T390)-U390)*60)-V390)*60)</f>
        <v>#NAME?</v>
      </c>
      <c r="X390" s="28" t="e">
        <f ca="1">INT((((((ABS(T390)-U390)*60)-V390)*60)-W390)*60)</f>
        <v>#NAME?</v>
      </c>
      <c r="Y390" s="10"/>
      <c r="Z390" s="10"/>
      <c r="AA390" s="4"/>
      <c r="AB390" s="4" t="e">
        <f ca="1">[5]!ba((AB388*AB385)+(AB389*AB384))</f>
        <v>#NAME?</v>
      </c>
      <c r="AC390" s="133" t="e">
        <f ca="1">INT(ABS(AB390))</f>
        <v>#NAME?</v>
      </c>
      <c r="AD390" s="133" t="e">
        <f ca="1">INT((ABS(AB390)-AC390)*60)</f>
        <v>#NAME?</v>
      </c>
      <c r="AE390" s="133" t="e">
        <f ca="1">INT((((ABS(AB390)-AC390)*60)-AD390)*60)</f>
        <v>#NAME?</v>
      </c>
      <c r="AF390" s="133" t="e">
        <f ca="1">INT((((((ABS(AB390)-AC390)*60)-AD390)*60)-AE390)*60)</f>
        <v>#NAME?</v>
      </c>
      <c r="AG390" s="4"/>
      <c r="AH390" s="4"/>
      <c r="AJ390" s="10"/>
      <c r="AK390" s="10" t="e">
        <f ca="1">MOD(((AK388*AK385)+(AK389*AK384)),360)</f>
        <v>#NAME?</v>
      </c>
      <c r="AL390" s="28" t="e">
        <f ca="1">INT(ABS(AK390))</f>
        <v>#NAME?</v>
      </c>
      <c r="AM390" s="28" t="e">
        <f ca="1">INT((ABS(AK390)-AL390)*60)</f>
        <v>#NAME?</v>
      </c>
      <c r="AN390" s="28" t="e">
        <f ca="1">INT((((ABS(AK390)-AL390)*60)-AM390)*60)</f>
        <v>#NAME?</v>
      </c>
      <c r="AO390" s="28" t="e">
        <f ca="1">INT((((((ABS(AK390)-AL390)*60)-AM390)*60)-AN390)*60)</f>
        <v>#NAME?</v>
      </c>
      <c r="AP390" s="10"/>
      <c r="AQ390" s="10"/>
      <c r="AR390" s="4"/>
      <c r="AS390" s="4" t="e">
        <f ca="1">[5]!ba((AS388*AS385)+(AS389*AS384))</f>
        <v>#NAME?</v>
      </c>
      <c r="AT390" s="133" t="e">
        <f ca="1">INT(ABS(AS390))</f>
        <v>#NAME?</v>
      </c>
      <c r="AU390" s="133" t="e">
        <f ca="1">INT((ABS(AS390)-AT390)*60)</f>
        <v>#NAME?</v>
      </c>
      <c r="AV390" s="133" t="e">
        <f ca="1">INT((((ABS(AS390)-AT390)*60)-AU390)*60)</f>
        <v>#NAME?</v>
      </c>
      <c r="AW390" s="133" t="e">
        <f ca="1">INT((((((ABS(AS390)-AT390)*60)-AU390)*60)-AV390)*60)</f>
        <v>#NAME?</v>
      </c>
      <c r="AX390" s="4"/>
      <c r="AY390" s="4"/>
      <c r="BA390" s="10"/>
      <c r="BB390" s="10" t="e">
        <f ca="1">MOD(((BB388*BB385)+(BB389*BB384)),360)</f>
        <v>#NAME?</v>
      </c>
      <c r="BC390" s="28" t="e">
        <f ca="1">INT(ABS(BB390))</f>
        <v>#NAME?</v>
      </c>
      <c r="BD390" s="28" t="e">
        <f ca="1">INT((ABS(BB390)-BC390)*60)</f>
        <v>#NAME?</v>
      </c>
      <c r="BE390" s="28" t="e">
        <f ca="1">INT((((ABS(BB390)-BC390)*60)-BD390)*60)</f>
        <v>#NAME?</v>
      </c>
      <c r="BF390" s="28" t="e">
        <f ca="1">INT((((((ABS(BB390)-BC390)*60)-BD390)*60)-BE390)*60)</f>
        <v>#NAME?</v>
      </c>
      <c r="BG390" s="10"/>
      <c r="BH390" s="10"/>
      <c r="BI390" s="4"/>
      <c r="BJ390" s="4" t="e">
        <f ca="1">[5]!ba((BJ388*BJ385)+(BJ389*BJ384))</f>
        <v>#NAME?</v>
      </c>
      <c r="BK390" s="133" t="e">
        <f ca="1">INT(ABS(BJ390))</f>
        <v>#NAME?</v>
      </c>
      <c r="BL390" s="133" t="e">
        <f ca="1">INT((ABS(BJ390)-BK390)*60)</f>
        <v>#NAME?</v>
      </c>
      <c r="BM390" s="133" t="e">
        <f ca="1">INT((((ABS(BJ390)-BK390)*60)-BL390)*60)</f>
        <v>#NAME?</v>
      </c>
      <c r="BN390" s="133" t="e">
        <f ca="1">INT((((((ABS(BJ390)-BK390)*60)-BL390)*60)-BM390)*60)</f>
        <v>#NAME?</v>
      </c>
      <c r="BO390" s="4"/>
      <c r="BP390" s="4"/>
      <c r="BR390" s="10"/>
      <c r="BS390" s="10" t="e">
        <f ca="1">MOD(((BS388*BS385)+(BS389*BS384)),360)</f>
        <v>#NAME?</v>
      </c>
      <c r="BT390" s="28" t="e">
        <f ca="1">INT(ABS(BS390))</f>
        <v>#NAME?</v>
      </c>
      <c r="BU390" s="28" t="e">
        <f ca="1">INT((ABS(BS390)-BT390)*60)</f>
        <v>#NAME?</v>
      </c>
      <c r="BV390" s="28" t="e">
        <f ca="1">INT((((ABS(BS390)-BT390)*60)-BU390)*60)</f>
        <v>#NAME?</v>
      </c>
      <c r="BW390" s="28" t="e">
        <f ca="1">INT((((((ABS(BS390)-BT390)*60)-BU390)*60)-BV390)*60)</f>
        <v>#NAME?</v>
      </c>
      <c r="BX390" s="10"/>
      <c r="BY390" s="10"/>
      <c r="BZ390" s="4"/>
      <c r="CA390" s="4" t="e">
        <f ca="1">[5]!ba((CA388*CA385)+(CA389*CA384))</f>
        <v>#NAME?</v>
      </c>
      <c r="CB390" s="133" t="e">
        <f ca="1">INT(ABS(CA390))</f>
        <v>#NAME?</v>
      </c>
      <c r="CC390" s="133" t="e">
        <f ca="1">INT((ABS(CA390)-CB390)*60)</f>
        <v>#NAME?</v>
      </c>
      <c r="CD390" s="133" t="e">
        <f ca="1">INT((((ABS(CA390)-CB390)*60)-CC390)*60)</f>
        <v>#NAME?</v>
      </c>
      <c r="CE390" s="133" t="e">
        <f ca="1">INT((((((ABS(CA390)-CB390)*60)-CC390)*60)-CD390)*60)</f>
        <v>#NAME?</v>
      </c>
      <c r="CF390" s="4"/>
      <c r="CG390" s="4"/>
    </row>
    <row r="391" spans="1:85" ht="24.75">
      <c r="A391">
        <v>13</v>
      </c>
      <c r="B391" s="10" t="s">
        <v>721</v>
      </c>
      <c r="C391" s="10">
        <f>[2]!ba(C390+C386)</f>
        <v>333.05789838477369</v>
      </c>
      <c r="D391" s="28">
        <f t="shared" si="126"/>
        <v>333</v>
      </c>
      <c r="E391" s="28">
        <f t="shared" si="127"/>
        <v>3</v>
      </c>
      <c r="F391" s="28">
        <f t="shared" si="128"/>
        <v>28</v>
      </c>
      <c r="G391" s="28">
        <f t="shared" si="129"/>
        <v>26</v>
      </c>
      <c r="H391" s="10"/>
      <c r="I391" s="10"/>
      <c r="J391" s="4" t="s">
        <v>721</v>
      </c>
      <c r="K391" s="4">
        <f>[2]!ba(K390+K386)</f>
        <v>333.05789838477369</v>
      </c>
      <c r="L391" s="133">
        <f>INT(ABS(K391))</f>
        <v>333</v>
      </c>
      <c r="M391" s="133">
        <f>INT((ABS(K391)-L391)*60)</f>
        <v>3</v>
      </c>
      <c r="N391" s="133">
        <f>INT((((ABS(K391)-L391)*60)-M391)*60)</f>
        <v>28</v>
      </c>
      <c r="O391" s="133">
        <f>INT((((((ABS(K391)-L391)*60)-M391)*60)-N391)*60)</f>
        <v>26</v>
      </c>
      <c r="P391" s="4"/>
      <c r="Q391" s="4"/>
      <c r="S391" s="10" t="s">
        <v>721</v>
      </c>
      <c r="T391" s="10" t="e">
        <f ca="1">[5]!ba(T390+T386)</f>
        <v>#NAME?</v>
      </c>
      <c r="U391" s="28" t="e">
        <f ca="1">INT(ABS(T391))</f>
        <v>#NAME?</v>
      </c>
      <c r="V391" s="28" t="e">
        <f ca="1">INT((ABS(T391)-U391)*60)</f>
        <v>#NAME?</v>
      </c>
      <c r="W391" s="28" t="e">
        <f ca="1">INT((((ABS(T391)-U391)*60)-V391)*60)</f>
        <v>#NAME?</v>
      </c>
      <c r="X391" s="28" t="e">
        <f ca="1">INT((((((ABS(T391)-U391)*60)-V391)*60)-W391)*60)</f>
        <v>#NAME?</v>
      </c>
      <c r="Y391" s="10"/>
      <c r="Z391" s="10"/>
      <c r="AA391" s="4" t="s">
        <v>721</v>
      </c>
      <c r="AB391" s="4" t="e">
        <f ca="1">[5]!ba(AB390+AB386)</f>
        <v>#NAME?</v>
      </c>
      <c r="AC391" s="133" t="e">
        <f ca="1">INT(ABS(AB391))</f>
        <v>#NAME?</v>
      </c>
      <c r="AD391" s="133" t="e">
        <f ca="1">INT((ABS(AB391)-AC391)*60)</f>
        <v>#NAME?</v>
      </c>
      <c r="AE391" s="133" t="e">
        <f ca="1">INT((((ABS(AB391)-AC391)*60)-AD391)*60)</f>
        <v>#NAME?</v>
      </c>
      <c r="AF391" s="133" t="e">
        <f ca="1">INT((((((ABS(AB391)-AC391)*60)-AD391)*60)-AE391)*60)</f>
        <v>#NAME?</v>
      </c>
      <c r="AG391" s="4"/>
      <c r="AH391" s="4"/>
      <c r="AJ391" s="10" t="s">
        <v>721</v>
      </c>
      <c r="AK391" s="10" t="e">
        <f ca="1">[5]!ba(AK390+AK386)</f>
        <v>#NAME?</v>
      </c>
      <c r="AL391" s="28" t="e">
        <f ca="1">INT(ABS(AK391))</f>
        <v>#NAME?</v>
      </c>
      <c r="AM391" s="28" t="e">
        <f ca="1">INT((ABS(AK391)-AL391)*60)</f>
        <v>#NAME?</v>
      </c>
      <c r="AN391" s="28" t="e">
        <f ca="1">INT((((ABS(AK391)-AL391)*60)-AM391)*60)</f>
        <v>#NAME?</v>
      </c>
      <c r="AO391" s="28" t="e">
        <f ca="1">INT((((((ABS(AK391)-AL391)*60)-AM391)*60)-AN391)*60)</f>
        <v>#NAME?</v>
      </c>
      <c r="AP391" s="10"/>
      <c r="AQ391" s="10"/>
      <c r="AR391" s="4" t="s">
        <v>721</v>
      </c>
      <c r="AS391" s="4" t="e">
        <f ca="1">[5]!ba(AS390+AS386)</f>
        <v>#NAME?</v>
      </c>
      <c r="AT391" s="133" t="e">
        <f ca="1">INT(ABS(AS391))</f>
        <v>#NAME?</v>
      </c>
      <c r="AU391" s="133" t="e">
        <f ca="1">INT((ABS(AS391)-AT391)*60)</f>
        <v>#NAME?</v>
      </c>
      <c r="AV391" s="133" t="e">
        <f ca="1">INT((((ABS(AS391)-AT391)*60)-AU391)*60)</f>
        <v>#NAME?</v>
      </c>
      <c r="AW391" s="133" t="e">
        <f ca="1">INT((((((ABS(AS391)-AT391)*60)-AU391)*60)-AV391)*60)</f>
        <v>#NAME?</v>
      </c>
      <c r="AX391" s="4"/>
      <c r="AY391" s="4"/>
      <c r="BA391" s="10" t="s">
        <v>721</v>
      </c>
      <c r="BB391" s="10" t="e">
        <f ca="1">[5]!ba(BB390+BB386)</f>
        <v>#NAME?</v>
      </c>
      <c r="BC391" s="28" t="e">
        <f ca="1">INT(ABS(BB391))</f>
        <v>#NAME?</v>
      </c>
      <c r="BD391" s="28" t="e">
        <f ca="1">INT((ABS(BB391)-BC391)*60)</f>
        <v>#NAME?</v>
      </c>
      <c r="BE391" s="28" t="e">
        <f ca="1">INT((((ABS(BB391)-BC391)*60)-BD391)*60)</f>
        <v>#NAME?</v>
      </c>
      <c r="BF391" s="28" t="e">
        <f ca="1">INT((((((ABS(BB391)-BC391)*60)-BD391)*60)-BE391)*60)</f>
        <v>#NAME?</v>
      </c>
      <c r="BG391" s="10"/>
      <c r="BH391" s="10"/>
      <c r="BI391" s="4" t="s">
        <v>721</v>
      </c>
      <c r="BJ391" s="4" t="e">
        <f ca="1">[5]!ba(BJ390+BJ386)</f>
        <v>#NAME?</v>
      </c>
      <c r="BK391" s="133" t="e">
        <f ca="1">INT(ABS(BJ391))</f>
        <v>#NAME?</v>
      </c>
      <c r="BL391" s="133" t="e">
        <f ca="1">INT((ABS(BJ391)-BK391)*60)</f>
        <v>#NAME?</v>
      </c>
      <c r="BM391" s="133" t="e">
        <f ca="1">INT((((ABS(BJ391)-BK391)*60)-BL391)*60)</f>
        <v>#NAME?</v>
      </c>
      <c r="BN391" s="133" t="e">
        <f ca="1">INT((((((ABS(BJ391)-BK391)*60)-BL391)*60)-BM391)*60)</f>
        <v>#NAME?</v>
      </c>
      <c r="BO391" s="4"/>
      <c r="BP391" s="4"/>
      <c r="BR391" s="10" t="s">
        <v>721</v>
      </c>
      <c r="BS391" s="10" t="e">
        <f ca="1">[5]!ba(BS390+BS386)</f>
        <v>#NAME?</v>
      </c>
      <c r="BT391" s="28" t="e">
        <f ca="1">INT(ABS(BS391))</f>
        <v>#NAME?</v>
      </c>
      <c r="BU391" s="28" t="e">
        <f ca="1">INT((ABS(BS391)-BT391)*60)</f>
        <v>#NAME?</v>
      </c>
      <c r="BV391" s="28" t="e">
        <f ca="1">INT((((ABS(BS391)-BT391)*60)-BU391)*60)</f>
        <v>#NAME?</v>
      </c>
      <c r="BW391" s="28" t="e">
        <f ca="1">INT((((((ABS(BS391)-BT391)*60)-BU391)*60)-BV391)*60)</f>
        <v>#NAME?</v>
      </c>
      <c r="BX391" s="10"/>
      <c r="BY391" s="10"/>
      <c r="BZ391" s="4" t="s">
        <v>721</v>
      </c>
      <c r="CA391" s="4" t="e">
        <f ca="1">[5]!ba(CA390+CA386)</f>
        <v>#NAME?</v>
      </c>
      <c r="CB391" s="133" t="e">
        <f ca="1">INT(ABS(CA391))</f>
        <v>#NAME?</v>
      </c>
      <c r="CC391" s="133" t="e">
        <f ca="1">INT((ABS(CA391)-CB391)*60)</f>
        <v>#NAME?</v>
      </c>
      <c r="CD391" s="133" t="e">
        <f ca="1">INT((((ABS(CA391)-CB391)*60)-CC391)*60)</f>
        <v>#NAME?</v>
      </c>
      <c r="CE391" s="133" t="e">
        <f ca="1">INT((((((ABS(CA391)-CB391)*60)-CC391)*60)-CD391)*60)</f>
        <v>#NAME?</v>
      </c>
      <c r="CF391" s="4"/>
      <c r="CG391" s="4"/>
    </row>
    <row r="392" spans="1:85" ht="24.75">
      <c r="A392">
        <v>14</v>
      </c>
      <c r="B392" s="10"/>
      <c r="C392" s="10">
        <f>1251-C379-(30-C387)</f>
        <v>1230</v>
      </c>
      <c r="D392" s="28">
        <f t="shared" si="126"/>
        <v>1230</v>
      </c>
      <c r="E392" s="28">
        <f t="shared" si="127"/>
        <v>0</v>
      </c>
      <c r="F392" s="28">
        <f t="shared" si="128"/>
        <v>0</v>
      </c>
      <c r="G392" s="28">
        <f t="shared" si="129"/>
        <v>0</v>
      </c>
      <c r="H392" s="10"/>
      <c r="I392" s="10"/>
      <c r="J392" s="4"/>
      <c r="K392" s="4"/>
      <c r="L392" s="4"/>
      <c r="M392" s="4"/>
      <c r="N392" s="4"/>
      <c r="O392" s="4"/>
      <c r="P392" s="4"/>
      <c r="Q392" s="4"/>
      <c r="S392" s="10"/>
      <c r="T392" s="10">
        <f>1251-T379-(30-T387)</f>
        <v>1170</v>
      </c>
      <c r="U392" s="28">
        <f t="shared" si="130"/>
        <v>1170</v>
      </c>
      <c r="V392" s="28">
        <f t="shared" si="131"/>
        <v>0</v>
      </c>
      <c r="W392" s="28">
        <f t="shared" si="132"/>
        <v>0</v>
      </c>
      <c r="X392" s="28">
        <f t="shared" si="133"/>
        <v>0</v>
      </c>
      <c r="Y392" s="10"/>
      <c r="Z392" s="10"/>
      <c r="AA392" s="4"/>
      <c r="AB392" s="4"/>
      <c r="AC392" s="4"/>
      <c r="AD392" s="4"/>
      <c r="AE392" s="4"/>
      <c r="AF392" s="4"/>
      <c r="AG392" s="4"/>
      <c r="AH392" s="4"/>
      <c r="AJ392" s="10"/>
      <c r="AK392" s="10">
        <f>1251-AK379-(30-AK387)</f>
        <v>0</v>
      </c>
      <c r="AL392" s="28">
        <f t="shared" si="134"/>
        <v>0</v>
      </c>
      <c r="AM392" s="28">
        <f t="shared" si="135"/>
        <v>0</v>
      </c>
      <c r="AN392" s="28">
        <f t="shared" si="136"/>
        <v>0</v>
      </c>
      <c r="AO392" s="28">
        <f t="shared" si="137"/>
        <v>0</v>
      </c>
      <c r="AP392" s="10"/>
      <c r="AQ392" s="10"/>
      <c r="AR392" s="4"/>
      <c r="AS392" s="4"/>
      <c r="AT392" s="4"/>
      <c r="AU392" s="4"/>
      <c r="AV392" s="4"/>
      <c r="AW392" s="4"/>
      <c r="AX392" s="4"/>
      <c r="AY392" s="4"/>
      <c r="BA392" s="10"/>
      <c r="BB392" s="10">
        <f>1251-BB379-(30-BB387)</f>
        <v>-30</v>
      </c>
      <c r="BC392" s="28">
        <f t="shared" si="138"/>
        <v>30</v>
      </c>
      <c r="BD392" s="28">
        <f t="shared" si="139"/>
        <v>0</v>
      </c>
      <c r="BE392" s="28">
        <f t="shared" si="140"/>
        <v>0</v>
      </c>
      <c r="BF392" s="28">
        <f t="shared" si="141"/>
        <v>0</v>
      </c>
      <c r="BG392" s="10"/>
      <c r="BH392" s="10"/>
      <c r="BI392" s="4"/>
      <c r="BJ392" s="4"/>
      <c r="BK392" s="4"/>
      <c r="BL392" s="4"/>
      <c r="BM392" s="4"/>
      <c r="BN392" s="4"/>
      <c r="BO392" s="4"/>
      <c r="BP392" s="4"/>
      <c r="BR392" s="10"/>
      <c r="BS392" s="10">
        <f>1251-BS379-(30-BS387)</f>
        <v>0</v>
      </c>
      <c r="BT392" s="28">
        <f t="shared" si="142"/>
        <v>0</v>
      </c>
      <c r="BU392" s="28">
        <f t="shared" si="143"/>
        <v>0</v>
      </c>
      <c r="BV392" s="28">
        <f t="shared" si="144"/>
        <v>0</v>
      </c>
      <c r="BW392" s="28">
        <f t="shared" si="145"/>
        <v>0</v>
      </c>
      <c r="BX392" s="10"/>
      <c r="BY392" s="10"/>
      <c r="BZ392" s="4"/>
      <c r="CA392" s="4"/>
      <c r="CB392" s="4"/>
      <c r="CC392" s="4"/>
      <c r="CD392" s="4"/>
      <c r="CE392" s="4"/>
      <c r="CF392" s="4"/>
      <c r="CG392" s="4"/>
    </row>
    <row r="393" spans="1:85" ht="24.75">
      <c r="A393">
        <v>15</v>
      </c>
      <c r="B393" s="10"/>
      <c r="C393" s="10">
        <f>C392/30</f>
        <v>41</v>
      </c>
      <c r="D393" s="28">
        <f t="shared" si="126"/>
        <v>41</v>
      </c>
      <c r="E393" s="28">
        <f t="shared" si="127"/>
        <v>0</v>
      </c>
      <c r="F393" s="28">
        <f t="shared" si="128"/>
        <v>0</v>
      </c>
      <c r="G393" s="28">
        <f t="shared" si="129"/>
        <v>0</v>
      </c>
      <c r="H393" s="10"/>
      <c r="I393" s="10"/>
      <c r="J393" s="4"/>
      <c r="K393" s="4"/>
      <c r="L393" s="4"/>
      <c r="M393" s="4"/>
      <c r="N393" s="4"/>
      <c r="O393" s="4"/>
      <c r="P393" s="4"/>
      <c r="Q393" s="4"/>
      <c r="S393" s="10"/>
      <c r="T393" s="10">
        <f>T392/30</f>
        <v>39</v>
      </c>
      <c r="U393" s="28">
        <f t="shared" si="130"/>
        <v>39</v>
      </c>
      <c r="V393" s="28">
        <f t="shared" si="131"/>
        <v>0</v>
      </c>
      <c r="W393" s="28">
        <f t="shared" si="132"/>
        <v>0</v>
      </c>
      <c r="X393" s="28">
        <f t="shared" si="133"/>
        <v>0</v>
      </c>
      <c r="Y393" s="10"/>
      <c r="Z393" s="10"/>
      <c r="AA393" s="4"/>
      <c r="AB393" s="4"/>
      <c r="AC393" s="4"/>
      <c r="AD393" s="4"/>
      <c r="AE393" s="4"/>
      <c r="AF393" s="4"/>
      <c r="AG393" s="4"/>
      <c r="AH393" s="4"/>
      <c r="AJ393" s="10"/>
      <c r="AK393" s="10">
        <f>AK392/30</f>
        <v>0</v>
      </c>
      <c r="AL393" s="28">
        <f t="shared" si="134"/>
        <v>0</v>
      </c>
      <c r="AM393" s="28">
        <f t="shared" si="135"/>
        <v>0</v>
      </c>
      <c r="AN393" s="28">
        <f t="shared" si="136"/>
        <v>0</v>
      </c>
      <c r="AO393" s="28">
        <f t="shared" si="137"/>
        <v>0</v>
      </c>
      <c r="AP393" s="10"/>
      <c r="AQ393" s="10"/>
      <c r="AR393" s="4"/>
      <c r="AS393" s="4"/>
      <c r="AT393" s="4"/>
      <c r="AU393" s="4"/>
      <c r="AV393" s="4"/>
      <c r="AW393" s="4"/>
      <c r="AX393" s="4"/>
      <c r="AY393" s="4"/>
      <c r="BA393" s="10"/>
      <c r="BB393" s="10">
        <f>BB392/30</f>
        <v>-1</v>
      </c>
      <c r="BC393" s="28">
        <f t="shared" si="138"/>
        <v>1</v>
      </c>
      <c r="BD393" s="28">
        <f t="shared" si="139"/>
        <v>0</v>
      </c>
      <c r="BE393" s="28">
        <f t="shared" si="140"/>
        <v>0</v>
      </c>
      <c r="BF393" s="28">
        <f t="shared" si="141"/>
        <v>0</v>
      </c>
      <c r="BG393" s="10"/>
      <c r="BH393" s="10"/>
      <c r="BI393" s="4"/>
      <c r="BJ393" s="4"/>
      <c r="BK393" s="4"/>
      <c r="BL393" s="4"/>
      <c r="BM393" s="4"/>
      <c r="BN393" s="4"/>
      <c r="BO393" s="4"/>
      <c r="BP393" s="4"/>
      <c r="BR393" s="10"/>
      <c r="BS393" s="10">
        <f>BS392/30</f>
        <v>0</v>
      </c>
      <c r="BT393" s="28">
        <f t="shared" si="142"/>
        <v>0</v>
      </c>
      <c r="BU393" s="28">
        <f t="shared" si="143"/>
        <v>0</v>
      </c>
      <c r="BV393" s="28">
        <f t="shared" si="144"/>
        <v>0</v>
      </c>
      <c r="BW393" s="28">
        <f t="shared" si="145"/>
        <v>0</v>
      </c>
      <c r="BX393" s="10"/>
      <c r="BY393" s="10"/>
      <c r="BZ393" s="4"/>
      <c r="CA393" s="4"/>
      <c r="CB393" s="4"/>
      <c r="CC393" s="4"/>
      <c r="CD393" s="4"/>
      <c r="CE393" s="4"/>
      <c r="CF393" s="4"/>
      <c r="CG393" s="4"/>
    </row>
    <row r="394" spans="1:85" ht="24.75">
      <c r="A394">
        <v>16</v>
      </c>
      <c r="B394" s="10"/>
      <c r="C394" s="10">
        <f>[2]!ba(C393*C383)</f>
        <v>233.71183730967277</v>
      </c>
      <c r="D394" s="28">
        <f t="shared" si="126"/>
        <v>233</v>
      </c>
      <c r="E394" s="28">
        <f t="shared" si="127"/>
        <v>42</v>
      </c>
      <c r="F394" s="28">
        <f t="shared" si="128"/>
        <v>42</v>
      </c>
      <c r="G394" s="28">
        <f t="shared" si="129"/>
        <v>36</v>
      </c>
      <c r="H394" s="10"/>
      <c r="I394" s="10"/>
      <c r="J394" s="4"/>
      <c r="K394" s="4">
        <f>INT((K379-1251)/30)</f>
        <v>-42</v>
      </c>
      <c r="L394" s="4"/>
      <c r="M394" s="4"/>
      <c r="N394" s="4"/>
      <c r="O394" s="4"/>
      <c r="P394" s="4"/>
      <c r="Q394" s="4"/>
      <c r="S394" s="10"/>
      <c r="T394" s="10" t="e">
        <f ca="1">[5]!ba(T393*T383)</f>
        <v>#NAME?</v>
      </c>
      <c r="U394" s="28" t="e">
        <f ca="1">INT(ABS(T394))</f>
        <v>#NAME?</v>
      </c>
      <c r="V394" s="28" t="e">
        <f ca="1">INT((ABS(T394)-U394)*60)</f>
        <v>#NAME?</v>
      </c>
      <c r="W394" s="28" t="e">
        <f ca="1">INT((((ABS(T394)-U394)*60)-V394)*60)</f>
        <v>#NAME?</v>
      </c>
      <c r="X394" s="28" t="e">
        <f ca="1">INT((((((ABS(T394)-U394)*60)-V394)*60)-W394)*60)</f>
        <v>#NAME?</v>
      </c>
      <c r="Y394" s="10"/>
      <c r="Z394" s="10"/>
      <c r="AA394" s="4"/>
      <c r="AB394" s="4">
        <f>INT((AB379-1251)/30)</f>
        <v>-40</v>
      </c>
      <c r="AC394" s="4"/>
      <c r="AD394" s="4"/>
      <c r="AE394" s="4"/>
      <c r="AF394" s="4"/>
      <c r="AG394" s="4"/>
      <c r="AH394" s="4"/>
      <c r="AJ394" s="10"/>
      <c r="AK394" s="10" t="e">
        <f ca="1">[5]!ba(AK393*AK383)</f>
        <v>#NAME?</v>
      </c>
      <c r="AL394" s="28" t="e">
        <f ca="1">INT(ABS(AK394))</f>
        <v>#NAME?</v>
      </c>
      <c r="AM394" s="28" t="e">
        <f ca="1">INT((ABS(AK394)-AL394)*60)</f>
        <v>#NAME?</v>
      </c>
      <c r="AN394" s="28" t="e">
        <f ca="1">INT((((ABS(AK394)-AL394)*60)-AM394)*60)</f>
        <v>#NAME?</v>
      </c>
      <c r="AO394" s="28" t="e">
        <f ca="1">INT((((((ABS(AK394)-AL394)*60)-AM394)*60)-AN394)*60)</f>
        <v>#NAME?</v>
      </c>
      <c r="AP394" s="10"/>
      <c r="AQ394" s="10"/>
      <c r="AR394" s="4"/>
      <c r="AS394" s="4">
        <f>INT((AS379-1251)/30)</f>
        <v>0</v>
      </c>
      <c r="AT394" s="4"/>
      <c r="AU394" s="4"/>
      <c r="AV394" s="4"/>
      <c r="AW394" s="4"/>
      <c r="AX394" s="4"/>
      <c r="AY394" s="4"/>
      <c r="BA394" s="10"/>
      <c r="BB394" s="10" t="e">
        <f ca="1">[5]!ba(BB393*BB383)</f>
        <v>#NAME?</v>
      </c>
      <c r="BC394" s="28" t="e">
        <f ca="1">INT(ABS(BB394))</f>
        <v>#NAME?</v>
      </c>
      <c r="BD394" s="28" t="e">
        <f ca="1">INT((ABS(BB394)-BC394)*60)</f>
        <v>#NAME?</v>
      </c>
      <c r="BE394" s="28" t="e">
        <f ca="1">INT((((ABS(BB394)-BC394)*60)-BD394)*60)</f>
        <v>#NAME?</v>
      </c>
      <c r="BF394" s="28" t="e">
        <f ca="1">INT((((((ABS(BB394)-BC394)*60)-BD394)*60)-BE394)*60)</f>
        <v>#NAME?</v>
      </c>
      <c r="BG394" s="10"/>
      <c r="BH394" s="10"/>
      <c r="BI394" s="4"/>
      <c r="BJ394" s="4">
        <f>INT((BJ379-1251)/30)</f>
        <v>1</v>
      </c>
      <c r="BK394" s="4"/>
      <c r="BL394" s="4"/>
      <c r="BM394" s="4"/>
      <c r="BN394" s="4"/>
      <c r="BO394" s="4"/>
      <c r="BP394" s="4"/>
      <c r="BR394" s="10"/>
      <c r="BS394" s="10" t="e">
        <f ca="1">[5]!ba(BS393*BS383)</f>
        <v>#NAME?</v>
      </c>
      <c r="BT394" s="28" t="e">
        <f ca="1">INT(ABS(BS394))</f>
        <v>#NAME?</v>
      </c>
      <c r="BU394" s="28" t="e">
        <f ca="1">INT((ABS(BS394)-BT394)*60)</f>
        <v>#NAME?</v>
      </c>
      <c r="BV394" s="28" t="e">
        <f ca="1">INT((((ABS(BS394)-BT394)*60)-BU394)*60)</f>
        <v>#NAME?</v>
      </c>
      <c r="BW394" s="28" t="e">
        <f ca="1">INT((((((ABS(BS394)-BT394)*60)-BU394)*60)-BV394)*60)</f>
        <v>#NAME?</v>
      </c>
      <c r="BX394" s="10"/>
      <c r="BY394" s="10"/>
      <c r="BZ394" s="4"/>
      <c r="CA394" s="4">
        <f>INT((CA379-1251)/30)</f>
        <v>0</v>
      </c>
      <c r="CB394" s="4"/>
      <c r="CC394" s="4"/>
      <c r="CD394" s="4"/>
      <c r="CE394" s="4"/>
      <c r="CF394" s="4"/>
      <c r="CG394" s="4"/>
    </row>
    <row r="395" spans="1:85" ht="24.75">
      <c r="A395">
        <v>17</v>
      </c>
      <c r="B395" s="10"/>
      <c r="C395" s="10">
        <f>C391-C394</f>
        <v>99.34606107510092</v>
      </c>
      <c r="D395" s="28">
        <f t="shared" si="126"/>
        <v>99</v>
      </c>
      <c r="E395" s="28">
        <f t="shared" si="127"/>
        <v>20</v>
      </c>
      <c r="F395" s="28">
        <f t="shared" si="128"/>
        <v>45</v>
      </c>
      <c r="G395" s="28">
        <f t="shared" si="129"/>
        <v>49</v>
      </c>
      <c r="H395" s="10"/>
      <c r="I395" s="10"/>
      <c r="J395" s="4"/>
      <c r="K395" s="4">
        <f>[2]!ba(K394*K383)</f>
        <v>37.460906512347719</v>
      </c>
      <c r="L395" s="133">
        <f>INT(ABS(K395))</f>
        <v>37</v>
      </c>
      <c r="M395" s="133">
        <f>INT((ABS(K395)-L395)*60)</f>
        <v>27</v>
      </c>
      <c r="N395" s="133">
        <f>INT((((ABS(K395)-L395)*60)-M395)*60)</f>
        <v>39</v>
      </c>
      <c r="O395" s="133">
        <f>INT((((((ABS(K395)-L395)*60)-M395)*60)-N395)*60)</f>
        <v>15</v>
      </c>
      <c r="P395" s="4"/>
      <c r="Q395" s="4"/>
      <c r="S395" s="10"/>
      <c r="T395" s="10" t="e">
        <f ca="1">T391-T394</f>
        <v>#NAME?</v>
      </c>
      <c r="U395" s="28" t="e">
        <f ca="1">INT(ABS(T395))</f>
        <v>#NAME?</v>
      </c>
      <c r="V395" s="28" t="e">
        <f ca="1">INT((ABS(T395)-U395)*60)</f>
        <v>#NAME?</v>
      </c>
      <c r="W395" s="28" t="e">
        <f ca="1">INT((((ABS(T395)-U395)*60)-V395)*60)</f>
        <v>#NAME?</v>
      </c>
      <c r="X395" s="28" t="e">
        <f ca="1">INT((((((ABS(T395)-U395)*60)-V395)*60)-W395)*60)</f>
        <v>#NAME?</v>
      </c>
      <c r="Y395" s="10"/>
      <c r="Z395" s="10"/>
      <c r="AA395" s="4"/>
      <c r="AB395" s="4" t="e">
        <f ca="1">[5]!ba(AB394*AB383)</f>
        <v>#NAME?</v>
      </c>
      <c r="AC395" s="133" t="e">
        <f ca="1">INT(ABS(AB395))</f>
        <v>#NAME?</v>
      </c>
      <c r="AD395" s="133" t="e">
        <f ca="1">INT((ABS(AB395)-AC395)*60)</f>
        <v>#NAME?</v>
      </c>
      <c r="AE395" s="133" t="e">
        <f ca="1">INT((((ABS(AB395)-AC395)*60)-AD395)*60)</f>
        <v>#NAME?</v>
      </c>
      <c r="AF395" s="133" t="e">
        <f ca="1">INT((((((ABS(AB395)-AC395)*60)-AD395)*60)-AE395)*60)</f>
        <v>#NAME?</v>
      </c>
      <c r="AG395" s="4"/>
      <c r="AH395" s="4"/>
      <c r="AJ395" s="10"/>
      <c r="AK395" s="10" t="e">
        <f ca="1">AK391-AK394</f>
        <v>#NAME?</v>
      </c>
      <c r="AL395" s="28" t="e">
        <f ca="1">INT(ABS(AK395))</f>
        <v>#NAME?</v>
      </c>
      <c r="AM395" s="28" t="e">
        <f ca="1">INT((ABS(AK395)-AL395)*60)</f>
        <v>#NAME?</v>
      </c>
      <c r="AN395" s="28" t="e">
        <f ca="1">INT((((ABS(AK395)-AL395)*60)-AM395)*60)</f>
        <v>#NAME?</v>
      </c>
      <c r="AO395" s="28" t="e">
        <f ca="1">INT((((((ABS(AK395)-AL395)*60)-AM395)*60)-AN395)*60)</f>
        <v>#NAME?</v>
      </c>
      <c r="AP395" s="10"/>
      <c r="AQ395" s="10"/>
      <c r="AR395" s="4"/>
      <c r="AS395" s="4" t="e">
        <f ca="1">[5]!ba(AS394*AS383)</f>
        <v>#NAME?</v>
      </c>
      <c r="AT395" s="133" t="e">
        <f ca="1">INT(ABS(AS395))</f>
        <v>#NAME?</v>
      </c>
      <c r="AU395" s="133" t="e">
        <f ca="1">INT((ABS(AS395)-AT395)*60)</f>
        <v>#NAME?</v>
      </c>
      <c r="AV395" s="133" t="e">
        <f ca="1">INT((((ABS(AS395)-AT395)*60)-AU395)*60)</f>
        <v>#NAME?</v>
      </c>
      <c r="AW395" s="133" t="e">
        <f ca="1">INT((((((ABS(AS395)-AT395)*60)-AU395)*60)-AV395)*60)</f>
        <v>#NAME?</v>
      </c>
      <c r="AX395" s="4"/>
      <c r="AY395" s="4"/>
      <c r="BA395" s="10"/>
      <c r="BB395" s="10" t="e">
        <f ca="1">BB391-BB394</f>
        <v>#NAME?</v>
      </c>
      <c r="BC395" s="28" t="e">
        <f ca="1">INT(ABS(BB395))</f>
        <v>#NAME?</v>
      </c>
      <c r="BD395" s="28" t="e">
        <f ca="1">INT((ABS(BB395)-BC395)*60)</f>
        <v>#NAME?</v>
      </c>
      <c r="BE395" s="28" t="e">
        <f ca="1">INT((((ABS(BB395)-BC395)*60)-BD395)*60)</f>
        <v>#NAME?</v>
      </c>
      <c r="BF395" s="28" t="e">
        <f ca="1">INT((((((ABS(BB395)-BC395)*60)-BD395)*60)-BE395)*60)</f>
        <v>#NAME?</v>
      </c>
      <c r="BG395" s="10"/>
      <c r="BH395" s="10"/>
      <c r="BI395" s="4"/>
      <c r="BJ395" s="4" t="e">
        <f ca="1">[5]!ba(BJ394*BJ383)</f>
        <v>#NAME?</v>
      </c>
      <c r="BK395" s="133" t="e">
        <f ca="1">INT(ABS(BJ395))</f>
        <v>#NAME?</v>
      </c>
      <c r="BL395" s="133" t="e">
        <f ca="1">INT((ABS(BJ395)-BK395)*60)</f>
        <v>#NAME?</v>
      </c>
      <c r="BM395" s="133" t="e">
        <f ca="1">INT((((ABS(BJ395)-BK395)*60)-BL395)*60)</f>
        <v>#NAME?</v>
      </c>
      <c r="BN395" s="133" t="e">
        <f ca="1">INT((((((ABS(BJ395)-BK395)*60)-BL395)*60)-BM395)*60)</f>
        <v>#NAME?</v>
      </c>
      <c r="BO395" s="4"/>
      <c r="BP395" s="4"/>
      <c r="BR395" s="10"/>
      <c r="BS395" s="10" t="e">
        <f ca="1">BS391-BS394</f>
        <v>#NAME?</v>
      </c>
      <c r="BT395" s="28" t="e">
        <f ca="1">INT(ABS(BS395))</f>
        <v>#NAME?</v>
      </c>
      <c r="BU395" s="28" t="e">
        <f ca="1">INT((ABS(BS395)-BT395)*60)</f>
        <v>#NAME?</v>
      </c>
      <c r="BV395" s="28" t="e">
        <f ca="1">INT((((ABS(BS395)-BT395)*60)-BU395)*60)</f>
        <v>#NAME?</v>
      </c>
      <c r="BW395" s="28" t="e">
        <f ca="1">INT((((((ABS(BS395)-BT395)*60)-BU395)*60)-BV395)*60)</f>
        <v>#NAME?</v>
      </c>
      <c r="BX395" s="10"/>
      <c r="BY395" s="10"/>
      <c r="BZ395" s="4"/>
      <c r="CA395" s="4" t="e">
        <f ca="1">[5]!ba(CA394*CA383)</f>
        <v>#NAME?</v>
      </c>
      <c r="CB395" s="133" t="e">
        <f ca="1">INT(ABS(CA395))</f>
        <v>#NAME?</v>
      </c>
      <c r="CC395" s="133" t="e">
        <f ca="1">INT((ABS(CA395)-CB395)*60)</f>
        <v>#NAME?</v>
      </c>
      <c r="CD395" s="133" t="e">
        <f ca="1">INT((((ABS(CA395)-CB395)*60)-CC395)*60)</f>
        <v>#NAME?</v>
      </c>
      <c r="CE395" s="133" t="e">
        <f ca="1">INT((((((ABS(CA395)-CB395)*60)-CC395)*60)-CD395)*60)</f>
        <v>#NAME?</v>
      </c>
      <c r="CF395" s="4"/>
      <c r="CG395" s="4"/>
    </row>
    <row r="396" spans="1:85" ht="24.75">
      <c r="A396">
        <v>18</v>
      </c>
      <c r="C396" s="28">
        <f>((D379-1)*29)+INT(D379/2)</f>
        <v>0</v>
      </c>
      <c r="D396" s="28">
        <f t="shared" si="126"/>
        <v>0</v>
      </c>
      <c r="E396" s="28">
        <f t="shared" si="127"/>
        <v>0</v>
      </c>
      <c r="F396" s="28">
        <f t="shared" si="128"/>
        <v>0</v>
      </c>
      <c r="G396" s="28">
        <f t="shared" si="129"/>
        <v>0</v>
      </c>
      <c r="J396" s="4"/>
      <c r="K396" s="133">
        <f>((L379-1)*29)+INT(L379/2)</f>
        <v>0</v>
      </c>
      <c r="L396" s="133">
        <f t="shared" ref="L396:L405" si="146">INT(ABS(K396))</f>
        <v>0</v>
      </c>
      <c r="M396" s="133">
        <f t="shared" ref="M396:M401" si="147">INT((ABS(K396)-L396)*60)</f>
        <v>0</v>
      </c>
      <c r="N396" s="133">
        <f t="shared" ref="N396:N401" si="148">INT((((ABS(K396)-L396)*60)-M396)*60)</f>
        <v>0</v>
      </c>
      <c r="O396" s="133">
        <f t="shared" ref="O396:O401" si="149">INT((((((ABS(K396)-L396)*60)-M396)*60)-N396)*60)</f>
        <v>0</v>
      </c>
      <c r="P396" s="4"/>
      <c r="Q396" s="4"/>
      <c r="T396" s="28">
        <f>((U379-1)*29)+INT(U379/2)</f>
        <v>0</v>
      </c>
      <c r="U396" s="28">
        <f t="shared" si="130"/>
        <v>0</v>
      </c>
      <c r="V396" s="28">
        <f t="shared" si="131"/>
        <v>0</v>
      </c>
      <c r="W396" s="28">
        <f t="shared" si="132"/>
        <v>0</v>
      </c>
      <c r="X396" s="28">
        <f t="shared" si="133"/>
        <v>0</v>
      </c>
      <c r="AA396" s="4"/>
      <c r="AB396" s="133">
        <f>((AC379-1)*29)+INT(AC379/2)</f>
        <v>0</v>
      </c>
      <c r="AC396" s="133">
        <f t="shared" ref="AC396" si="150">INT(ABS(AB396))</f>
        <v>0</v>
      </c>
      <c r="AD396" s="133">
        <f t="shared" ref="AD396" si="151">INT((ABS(AB396)-AC396)*60)</f>
        <v>0</v>
      </c>
      <c r="AE396" s="133">
        <f t="shared" ref="AE396" si="152">INT((((ABS(AB396)-AC396)*60)-AD396)*60)</f>
        <v>0</v>
      </c>
      <c r="AF396" s="133">
        <f t="shared" ref="AF396" si="153">INT((((((ABS(AB396)-AC396)*60)-AD396)*60)-AE396)*60)</f>
        <v>0</v>
      </c>
      <c r="AG396" s="4"/>
      <c r="AH396" s="4"/>
      <c r="AK396" s="28">
        <f>((AL379-1)*29)+INT(AL379/2)</f>
        <v>0</v>
      </c>
      <c r="AL396" s="28">
        <f t="shared" si="134"/>
        <v>0</v>
      </c>
      <c r="AM396" s="28">
        <f t="shared" si="135"/>
        <v>0</v>
      </c>
      <c r="AN396" s="28">
        <f t="shared" si="136"/>
        <v>0</v>
      </c>
      <c r="AO396" s="28">
        <f t="shared" si="137"/>
        <v>0</v>
      </c>
      <c r="AR396" s="4"/>
      <c r="AS396" s="133">
        <f>((AT379-1)*29)+INT(AT379/2)</f>
        <v>0</v>
      </c>
      <c r="AT396" s="133">
        <f t="shared" ref="AT396" si="154">INT(ABS(AS396))</f>
        <v>0</v>
      </c>
      <c r="AU396" s="133">
        <f t="shared" ref="AU396" si="155">INT((ABS(AS396)-AT396)*60)</f>
        <v>0</v>
      </c>
      <c r="AV396" s="133">
        <f t="shared" ref="AV396" si="156">INT((((ABS(AS396)-AT396)*60)-AU396)*60)</f>
        <v>0</v>
      </c>
      <c r="AW396" s="133">
        <f t="shared" ref="AW396" si="157">INT((((((ABS(AS396)-AT396)*60)-AU396)*60)-AV396)*60)</f>
        <v>0</v>
      </c>
      <c r="AX396" s="4"/>
      <c r="AY396" s="4"/>
      <c r="BB396" s="28">
        <f>((BC379-1)*29)+INT(BC379/2)</f>
        <v>-29</v>
      </c>
      <c r="BC396" s="28">
        <f t="shared" si="138"/>
        <v>29</v>
      </c>
      <c r="BD396" s="28">
        <f t="shared" si="139"/>
        <v>0</v>
      </c>
      <c r="BE396" s="28">
        <f t="shared" si="140"/>
        <v>0</v>
      </c>
      <c r="BF396" s="28">
        <f t="shared" si="141"/>
        <v>0</v>
      </c>
      <c r="BI396" s="4"/>
      <c r="BJ396" s="133">
        <f>((BK379-1)*29)+INT(BK379/2)</f>
        <v>-29</v>
      </c>
      <c r="BK396" s="133">
        <f t="shared" ref="BK396:BK401" si="158">INT(ABS(BJ396))</f>
        <v>29</v>
      </c>
      <c r="BL396" s="133">
        <f t="shared" ref="BL396:BL401" si="159">INT((ABS(BJ396)-BK396)*60)</f>
        <v>0</v>
      </c>
      <c r="BM396" s="133">
        <f t="shared" ref="BM396:BM401" si="160">INT((((ABS(BJ396)-BK396)*60)-BL396)*60)</f>
        <v>0</v>
      </c>
      <c r="BN396" s="133">
        <f t="shared" ref="BN396:BN401" si="161">INT((((((ABS(BJ396)-BK396)*60)-BL396)*60)-BM396)*60)</f>
        <v>0</v>
      </c>
      <c r="BO396" s="4"/>
      <c r="BP396" s="4"/>
      <c r="BS396" s="28">
        <f>((BT379-1)*29)+INT(BT379/2)</f>
        <v>-29</v>
      </c>
      <c r="BT396" s="28">
        <f t="shared" si="142"/>
        <v>29</v>
      </c>
      <c r="BU396" s="28">
        <f t="shared" si="143"/>
        <v>0</v>
      </c>
      <c r="BV396" s="28">
        <f t="shared" si="144"/>
        <v>0</v>
      </c>
      <c r="BW396" s="28">
        <f t="shared" si="145"/>
        <v>0</v>
      </c>
      <c r="BZ396" s="4"/>
      <c r="CA396" s="133">
        <f>((CB379-1)*29)+INT(CB379/2)</f>
        <v>-29</v>
      </c>
      <c r="CB396" s="133">
        <f t="shared" ref="CB396:CB401" si="162">INT(ABS(CA396))</f>
        <v>29</v>
      </c>
      <c r="CC396" s="133">
        <f t="shared" ref="CC396:CC401" si="163">INT((ABS(CA396)-CB396)*60)</f>
        <v>0</v>
      </c>
      <c r="CD396" s="133">
        <f t="shared" ref="CD396:CD401" si="164">INT((((ABS(CA396)-CB396)*60)-CC396)*60)</f>
        <v>0</v>
      </c>
      <c r="CE396" s="133">
        <f t="shared" ref="CE396:CE401" si="165">INT((((((ABS(CA396)-CB396)*60)-CC396)*60)-CD396)*60)</f>
        <v>0</v>
      </c>
      <c r="CF396" s="4"/>
      <c r="CG396" s="4"/>
    </row>
    <row r="397" spans="1:85" ht="24.75">
      <c r="A397">
        <v>19</v>
      </c>
      <c r="B397" s="10"/>
      <c r="C397" s="10">
        <f>((E379-1)+C396)*C381</f>
        <v>4.1564719650205764E-2</v>
      </c>
      <c r="D397" s="28">
        <f t="shared" si="126"/>
        <v>0</v>
      </c>
      <c r="E397" s="28">
        <f t="shared" si="127"/>
        <v>2</v>
      </c>
      <c r="F397" s="28">
        <f t="shared" si="128"/>
        <v>29</v>
      </c>
      <c r="G397" s="28">
        <f t="shared" si="129"/>
        <v>37</v>
      </c>
      <c r="H397" s="10"/>
      <c r="I397" s="10"/>
      <c r="J397" s="4"/>
      <c r="K397" s="4">
        <f>[2]!ba(K396*K381)</f>
        <v>0</v>
      </c>
      <c r="L397" s="133">
        <f t="shared" si="146"/>
        <v>0</v>
      </c>
      <c r="M397" s="133">
        <f t="shared" si="147"/>
        <v>0</v>
      </c>
      <c r="N397" s="133">
        <f t="shared" si="148"/>
        <v>0</v>
      </c>
      <c r="O397" s="133">
        <f t="shared" si="149"/>
        <v>0</v>
      </c>
      <c r="P397" s="4"/>
      <c r="Q397" s="4"/>
      <c r="S397" s="10"/>
      <c r="T397" s="10" t="e">
        <f ca="1">((V379-1)+T396)*T381</f>
        <v>#NAME?</v>
      </c>
      <c r="U397" s="28" t="e">
        <f t="shared" ref="U397:U402" ca="1" si="166">INT(ABS(T397))</f>
        <v>#NAME?</v>
      </c>
      <c r="V397" s="28" t="e">
        <f t="shared" ref="V397:V402" ca="1" si="167">INT((ABS(T397)-U397)*60)</f>
        <v>#NAME?</v>
      </c>
      <c r="W397" s="28" t="e">
        <f t="shared" ref="W397:W402" ca="1" si="168">INT((((ABS(T397)-U397)*60)-V397)*60)</f>
        <v>#NAME?</v>
      </c>
      <c r="X397" s="28" t="e">
        <f t="shared" ref="X397:X402" ca="1" si="169">INT((((((ABS(T397)-U397)*60)-V397)*60)-W397)*60)</f>
        <v>#NAME?</v>
      </c>
      <c r="Y397" s="10"/>
      <c r="Z397" s="10"/>
      <c r="AA397" s="4"/>
      <c r="AB397" s="4" t="e">
        <f ca="1">[5]!ba(AB396*AB381)</f>
        <v>#NAME?</v>
      </c>
      <c r="AC397" s="133" t="e">
        <f t="shared" ref="AC397:AC405" ca="1" si="170">INT(ABS(AB397))</f>
        <v>#NAME?</v>
      </c>
      <c r="AD397" s="133" t="e">
        <f t="shared" ref="AD397:AD405" ca="1" si="171">INT((ABS(AB397)-AC397)*60)</f>
        <v>#NAME?</v>
      </c>
      <c r="AE397" s="133" t="e">
        <f t="shared" ref="AE397:AE405" ca="1" si="172">INT((((ABS(AB397)-AC397)*60)-AD397)*60)</f>
        <v>#NAME?</v>
      </c>
      <c r="AF397" s="133" t="e">
        <f t="shared" ref="AF397:AF405" ca="1" si="173">INT((((((ABS(AB397)-AC397)*60)-AD397)*60)-AE397)*60)</f>
        <v>#NAME?</v>
      </c>
      <c r="AG397" s="4"/>
      <c r="AH397" s="4"/>
      <c r="AJ397" s="10"/>
      <c r="AK397" s="10" t="e">
        <f ca="1">((AM379-1)+AK396)*AK381</f>
        <v>#NAME?</v>
      </c>
      <c r="AL397" s="28" t="e">
        <f t="shared" ref="AL397:AL402" ca="1" si="174">INT(ABS(AK397))</f>
        <v>#NAME?</v>
      </c>
      <c r="AM397" s="28" t="e">
        <f t="shared" ref="AM397:AM402" ca="1" si="175">INT((ABS(AK397)-AL397)*60)</f>
        <v>#NAME?</v>
      </c>
      <c r="AN397" s="28" t="e">
        <f t="shared" ref="AN397:AN402" ca="1" si="176">INT((((ABS(AK397)-AL397)*60)-AM397)*60)</f>
        <v>#NAME?</v>
      </c>
      <c r="AO397" s="28" t="e">
        <f t="shared" ref="AO397:AO402" ca="1" si="177">INT((((((ABS(AK397)-AL397)*60)-AM397)*60)-AN397)*60)</f>
        <v>#NAME?</v>
      </c>
      <c r="AP397" s="10"/>
      <c r="AQ397" s="10"/>
      <c r="AR397" s="4"/>
      <c r="AS397" s="4" t="e">
        <f ca="1">[5]!ba(AS396*AS381)</f>
        <v>#NAME?</v>
      </c>
      <c r="AT397" s="133" t="e">
        <f t="shared" ref="AT397:AT405" ca="1" si="178">INT(ABS(AS397))</f>
        <v>#NAME?</v>
      </c>
      <c r="AU397" s="133" t="e">
        <f t="shared" ref="AU397:AU405" ca="1" si="179">INT((ABS(AS397)-AT397)*60)</f>
        <v>#NAME?</v>
      </c>
      <c r="AV397" s="133" t="e">
        <f t="shared" ref="AV397:AV405" ca="1" si="180">INT((((ABS(AS397)-AT397)*60)-AU397)*60)</f>
        <v>#NAME?</v>
      </c>
      <c r="AW397" s="133" t="e">
        <f t="shared" ref="AW397:AW405" ca="1" si="181">INT((((((ABS(AS397)-AT397)*60)-AU397)*60)-AV397)*60)</f>
        <v>#NAME?</v>
      </c>
      <c r="AX397" s="4"/>
      <c r="AY397" s="4"/>
      <c r="BA397" s="10"/>
      <c r="BB397" s="10">
        <f>((BD379-1)+BB396)*BB381</f>
        <v>-46.463039309413581</v>
      </c>
      <c r="BC397" s="28">
        <f t="shared" si="138"/>
        <v>46</v>
      </c>
      <c r="BD397" s="28">
        <f t="shared" si="139"/>
        <v>27</v>
      </c>
      <c r="BE397" s="28">
        <f t="shared" si="140"/>
        <v>46</v>
      </c>
      <c r="BF397" s="28">
        <f t="shared" si="141"/>
        <v>56</v>
      </c>
      <c r="BG397" s="10"/>
      <c r="BH397" s="10"/>
      <c r="BI397" s="4"/>
      <c r="BJ397" s="4" t="e">
        <f ca="1">[5]!ba(BJ396*BJ381)</f>
        <v>#NAME?</v>
      </c>
      <c r="BK397" s="133" t="e">
        <f ca="1">INT(ABS(BJ397))</f>
        <v>#NAME?</v>
      </c>
      <c r="BL397" s="133" t="e">
        <f ca="1">INT((ABS(BJ397)-BK397)*60)</f>
        <v>#NAME?</v>
      </c>
      <c r="BM397" s="133" t="e">
        <f ca="1">INT((((ABS(BJ397)-BK397)*60)-BL397)*60)</f>
        <v>#NAME?</v>
      </c>
      <c r="BN397" s="133" t="e">
        <f ca="1">INT((((((ABS(BJ397)-BK397)*60)-BL397)*60)-BM397)*60)</f>
        <v>#NAME?</v>
      </c>
      <c r="BO397" s="4"/>
      <c r="BP397" s="4"/>
      <c r="BR397" s="10"/>
      <c r="BS397" s="10">
        <f>((BU379-1)+BS396)*BS381</f>
        <v>-118.67918883101851</v>
      </c>
      <c r="BT397" s="28">
        <f t="shared" si="142"/>
        <v>118</v>
      </c>
      <c r="BU397" s="28">
        <f t="shared" si="143"/>
        <v>40</v>
      </c>
      <c r="BV397" s="28">
        <f t="shared" si="144"/>
        <v>45</v>
      </c>
      <c r="BW397" s="28">
        <f t="shared" si="145"/>
        <v>4</v>
      </c>
      <c r="BX397" s="10"/>
      <c r="BY397" s="10"/>
      <c r="BZ397" s="4"/>
      <c r="CA397" s="4" t="e">
        <f ca="1">[5]!ba(CA396*CA381)</f>
        <v>#NAME?</v>
      </c>
      <c r="CB397" s="133" t="e">
        <f ca="1">INT(ABS(CA397))</f>
        <v>#NAME?</v>
      </c>
      <c r="CC397" s="133" t="e">
        <f ca="1">INT((ABS(CA397)-CB397)*60)</f>
        <v>#NAME?</v>
      </c>
      <c r="CD397" s="133" t="e">
        <f ca="1">INT((((ABS(CA397)-CB397)*60)-CC397)*60)</f>
        <v>#NAME?</v>
      </c>
      <c r="CE397" s="133" t="e">
        <f ca="1">INT((((((ABS(CA397)-CB397)*60)-CC397)*60)-CD397)*60)</f>
        <v>#NAME?</v>
      </c>
      <c r="CF397" s="4"/>
      <c r="CG397" s="4"/>
    </row>
    <row r="398" spans="1:85" ht="24.75">
      <c r="A398">
        <v>20</v>
      </c>
      <c r="B398" s="10"/>
      <c r="C398" s="10">
        <f>F379*C381</f>
        <v>0</v>
      </c>
      <c r="D398" s="28">
        <f t="shared" si="126"/>
        <v>0</v>
      </c>
      <c r="E398" s="28">
        <f t="shared" si="127"/>
        <v>0</v>
      </c>
      <c r="F398" s="28">
        <f t="shared" si="128"/>
        <v>0</v>
      </c>
      <c r="G398" s="28">
        <f t="shared" si="129"/>
        <v>0</v>
      </c>
      <c r="H398" s="10"/>
      <c r="I398" s="10"/>
      <c r="J398" s="4"/>
      <c r="K398" s="4">
        <f>M379-1</f>
        <v>0.5</v>
      </c>
      <c r="L398" s="133">
        <f t="shared" si="146"/>
        <v>0</v>
      </c>
      <c r="M398" s="133">
        <f t="shared" si="147"/>
        <v>30</v>
      </c>
      <c r="N398" s="133">
        <f t="shared" si="148"/>
        <v>0</v>
      </c>
      <c r="O398" s="133">
        <f t="shared" si="149"/>
        <v>0</v>
      </c>
      <c r="P398" s="4"/>
      <c r="Q398" s="4"/>
      <c r="S398" s="10"/>
      <c r="T398" s="10" t="e">
        <f ca="1">W379*T381</f>
        <v>#NAME?</v>
      </c>
      <c r="U398" s="28" t="e">
        <f t="shared" ca="1" si="166"/>
        <v>#NAME?</v>
      </c>
      <c r="V398" s="28" t="e">
        <f t="shared" ca="1" si="167"/>
        <v>#NAME?</v>
      </c>
      <c r="W398" s="28" t="e">
        <f t="shared" ca="1" si="168"/>
        <v>#NAME?</v>
      </c>
      <c r="X398" s="28" t="e">
        <f t="shared" ca="1" si="169"/>
        <v>#NAME?</v>
      </c>
      <c r="Y398" s="10"/>
      <c r="Z398" s="10"/>
      <c r="AA398" s="4"/>
      <c r="AB398" s="4" t="e">
        <f ca="1">AD379-1</f>
        <v>#NAME?</v>
      </c>
      <c r="AC398" s="133" t="e">
        <f t="shared" ca="1" si="170"/>
        <v>#NAME?</v>
      </c>
      <c r="AD398" s="133" t="e">
        <f t="shared" ca="1" si="171"/>
        <v>#NAME?</v>
      </c>
      <c r="AE398" s="133" t="e">
        <f t="shared" ca="1" si="172"/>
        <v>#NAME?</v>
      </c>
      <c r="AF398" s="133" t="e">
        <f t="shared" ca="1" si="173"/>
        <v>#NAME?</v>
      </c>
      <c r="AG398" s="4"/>
      <c r="AH398" s="4"/>
      <c r="AJ398" s="10"/>
      <c r="AK398" s="10" t="e">
        <f ca="1">AN379*AK381</f>
        <v>#NAME?</v>
      </c>
      <c r="AL398" s="28" t="e">
        <f t="shared" ca="1" si="174"/>
        <v>#NAME?</v>
      </c>
      <c r="AM398" s="28" t="e">
        <f t="shared" ca="1" si="175"/>
        <v>#NAME?</v>
      </c>
      <c r="AN398" s="28" t="e">
        <f t="shared" ca="1" si="176"/>
        <v>#NAME?</v>
      </c>
      <c r="AO398" s="28" t="e">
        <f t="shared" ca="1" si="177"/>
        <v>#NAME?</v>
      </c>
      <c r="AP398" s="10"/>
      <c r="AQ398" s="10"/>
      <c r="AR398" s="4"/>
      <c r="AS398" s="4" t="e">
        <f ca="1">AU379-1</f>
        <v>#NAME?</v>
      </c>
      <c r="AT398" s="133" t="e">
        <f t="shared" ca="1" si="178"/>
        <v>#NAME?</v>
      </c>
      <c r="AU398" s="133" t="e">
        <f t="shared" ca="1" si="179"/>
        <v>#NAME?</v>
      </c>
      <c r="AV398" s="133" t="e">
        <f t="shared" ca="1" si="180"/>
        <v>#NAME?</v>
      </c>
      <c r="AW398" s="133" t="e">
        <f t="shared" ca="1" si="181"/>
        <v>#NAME?</v>
      </c>
      <c r="AX398" s="4"/>
      <c r="AY398" s="4"/>
      <c r="BA398" s="10"/>
      <c r="BB398" s="10">
        <f>BE379*BB381</f>
        <v>0</v>
      </c>
      <c r="BC398" s="28">
        <f t="shared" si="138"/>
        <v>0</v>
      </c>
      <c r="BD398" s="28">
        <f t="shared" si="139"/>
        <v>0</v>
      </c>
      <c r="BE398" s="28">
        <f t="shared" si="140"/>
        <v>0</v>
      </c>
      <c r="BF398" s="28">
        <f t="shared" si="141"/>
        <v>0</v>
      </c>
      <c r="BG398" s="10"/>
      <c r="BH398" s="10"/>
      <c r="BI398" s="4"/>
      <c r="BJ398" s="4">
        <f>BL379-1</f>
        <v>0</v>
      </c>
      <c r="BK398" s="133">
        <f t="shared" si="158"/>
        <v>0</v>
      </c>
      <c r="BL398" s="133">
        <f t="shared" si="159"/>
        <v>0</v>
      </c>
      <c r="BM398" s="133">
        <f t="shared" si="160"/>
        <v>0</v>
      </c>
      <c r="BN398" s="133">
        <f t="shared" si="161"/>
        <v>0</v>
      </c>
      <c r="BO398" s="4"/>
      <c r="BP398" s="4"/>
      <c r="BR398" s="10"/>
      <c r="BS398" s="10">
        <f>BV379*BS381</f>
        <v>0</v>
      </c>
      <c r="BT398" s="28">
        <f t="shared" si="142"/>
        <v>0</v>
      </c>
      <c r="BU398" s="28">
        <f t="shared" si="143"/>
        <v>0</v>
      </c>
      <c r="BV398" s="28">
        <f t="shared" si="144"/>
        <v>0</v>
      </c>
      <c r="BW398" s="28">
        <f t="shared" si="145"/>
        <v>0</v>
      </c>
      <c r="BX398" s="10"/>
      <c r="BY398" s="10"/>
      <c r="BZ398" s="4"/>
      <c r="CA398" s="4">
        <f>CC379-1</f>
        <v>0</v>
      </c>
      <c r="CB398" s="133">
        <f t="shared" si="162"/>
        <v>0</v>
      </c>
      <c r="CC398" s="133">
        <f t="shared" si="163"/>
        <v>0</v>
      </c>
      <c r="CD398" s="133">
        <f t="shared" si="164"/>
        <v>0</v>
      </c>
      <c r="CE398" s="133">
        <f t="shared" si="165"/>
        <v>0</v>
      </c>
      <c r="CF398" s="4"/>
      <c r="CG398" s="4"/>
    </row>
    <row r="399" spans="1:85" ht="24.75">
      <c r="A399">
        <v>21</v>
      </c>
      <c r="B399" s="10" t="s">
        <v>723</v>
      </c>
      <c r="C399" s="10">
        <f>C395+C397+C398</f>
        <v>99.387625794751131</v>
      </c>
      <c r="D399" s="28">
        <f t="shared" si="126"/>
        <v>99</v>
      </c>
      <c r="E399" s="28">
        <f t="shared" si="127"/>
        <v>23</v>
      </c>
      <c r="F399" s="28">
        <f t="shared" si="128"/>
        <v>15</v>
      </c>
      <c r="G399" s="28">
        <f t="shared" si="129"/>
        <v>27</v>
      </c>
      <c r="H399" s="10"/>
      <c r="I399" s="10"/>
      <c r="J399" s="4"/>
      <c r="K399" s="4">
        <f>(M379-1)*K381</f>
        <v>4.1564719650205764E-2</v>
      </c>
      <c r="L399" s="133">
        <f t="shared" si="146"/>
        <v>0</v>
      </c>
      <c r="M399" s="133">
        <f t="shared" si="147"/>
        <v>2</v>
      </c>
      <c r="N399" s="133">
        <f t="shared" si="148"/>
        <v>29</v>
      </c>
      <c r="O399" s="133">
        <f t="shared" si="149"/>
        <v>37</v>
      </c>
      <c r="P399" s="4"/>
      <c r="Q399" s="4"/>
      <c r="S399" s="10" t="s">
        <v>723</v>
      </c>
      <c r="T399" s="10" t="e">
        <f ca="1">T395+T397+T398</f>
        <v>#NAME?</v>
      </c>
      <c r="U399" s="28" t="e">
        <f t="shared" ca="1" si="166"/>
        <v>#NAME?</v>
      </c>
      <c r="V399" s="28" t="e">
        <f t="shared" ca="1" si="167"/>
        <v>#NAME?</v>
      </c>
      <c r="W399" s="28" t="e">
        <f t="shared" ca="1" si="168"/>
        <v>#NAME?</v>
      </c>
      <c r="X399" s="28" t="e">
        <f t="shared" ca="1" si="169"/>
        <v>#NAME?</v>
      </c>
      <c r="Y399" s="10"/>
      <c r="Z399" s="10"/>
      <c r="AA399" s="4"/>
      <c r="AB399" s="4" t="e">
        <f ca="1">(AD379-1)*AB381</f>
        <v>#NAME?</v>
      </c>
      <c r="AC399" s="133" t="e">
        <f t="shared" ca="1" si="170"/>
        <v>#NAME?</v>
      </c>
      <c r="AD399" s="133" t="e">
        <f t="shared" ca="1" si="171"/>
        <v>#NAME?</v>
      </c>
      <c r="AE399" s="133" t="e">
        <f t="shared" ca="1" si="172"/>
        <v>#NAME?</v>
      </c>
      <c r="AF399" s="133" t="e">
        <f t="shared" ca="1" si="173"/>
        <v>#NAME?</v>
      </c>
      <c r="AG399" s="4"/>
      <c r="AH399" s="4"/>
      <c r="AJ399" s="10" t="s">
        <v>723</v>
      </c>
      <c r="AK399" s="10" t="e">
        <f ca="1">AK395+AK397+AK398</f>
        <v>#NAME?</v>
      </c>
      <c r="AL399" s="28" t="e">
        <f t="shared" ca="1" si="174"/>
        <v>#NAME?</v>
      </c>
      <c r="AM399" s="28" t="e">
        <f t="shared" ca="1" si="175"/>
        <v>#NAME?</v>
      </c>
      <c r="AN399" s="28" t="e">
        <f t="shared" ca="1" si="176"/>
        <v>#NAME?</v>
      </c>
      <c r="AO399" s="28" t="e">
        <f t="shared" ca="1" si="177"/>
        <v>#NAME?</v>
      </c>
      <c r="AP399" s="10"/>
      <c r="AQ399" s="10"/>
      <c r="AR399" s="4"/>
      <c r="AS399" s="4" t="e">
        <f ca="1">(AU379-1)*AS381</f>
        <v>#NAME?</v>
      </c>
      <c r="AT399" s="133" t="e">
        <f t="shared" ca="1" si="178"/>
        <v>#NAME?</v>
      </c>
      <c r="AU399" s="133" t="e">
        <f t="shared" ca="1" si="179"/>
        <v>#NAME?</v>
      </c>
      <c r="AV399" s="133" t="e">
        <f t="shared" ca="1" si="180"/>
        <v>#NAME?</v>
      </c>
      <c r="AW399" s="133" t="e">
        <f t="shared" ca="1" si="181"/>
        <v>#NAME?</v>
      </c>
      <c r="AX399" s="4"/>
      <c r="AY399" s="4"/>
      <c r="BA399" s="10" t="s">
        <v>723</v>
      </c>
      <c r="BB399" s="10" t="e">
        <f ca="1">BB395+BB397+BB398</f>
        <v>#NAME?</v>
      </c>
      <c r="BC399" s="28" t="e">
        <f ca="1">INT(ABS(BB399))</f>
        <v>#NAME?</v>
      </c>
      <c r="BD399" s="28" t="e">
        <f ca="1">INT((ABS(BB399)-BC399)*60)</f>
        <v>#NAME?</v>
      </c>
      <c r="BE399" s="28" t="e">
        <f ca="1">INT((((ABS(BB399)-BC399)*60)-BD399)*60)</f>
        <v>#NAME?</v>
      </c>
      <c r="BF399" s="28" t="e">
        <f ca="1">INT((((((ABS(BB399)-BC399)*60)-BD399)*60)-BE399)*60)</f>
        <v>#NAME?</v>
      </c>
      <c r="BG399" s="10"/>
      <c r="BH399" s="10"/>
      <c r="BI399" s="4"/>
      <c r="BJ399" s="4">
        <f>(BL379-1)*BJ381</f>
        <v>0</v>
      </c>
      <c r="BK399" s="133">
        <f t="shared" si="158"/>
        <v>0</v>
      </c>
      <c r="BL399" s="133">
        <f t="shared" si="159"/>
        <v>0</v>
      </c>
      <c r="BM399" s="133">
        <f t="shared" si="160"/>
        <v>0</v>
      </c>
      <c r="BN399" s="133">
        <f t="shared" si="161"/>
        <v>0</v>
      </c>
      <c r="BO399" s="4"/>
      <c r="BP399" s="4"/>
      <c r="BR399" s="10" t="s">
        <v>723</v>
      </c>
      <c r="BS399" s="10" t="e">
        <f ca="1">BS395+BS397+BS398</f>
        <v>#NAME?</v>
      </c>
      <c r="BT399" s="28" t="e">
        <f ca="1">INT(ABS(BS399))</f>
        <v>#NAME?</v>
      </c>
      <c r="BU399" s="28" t="e">
        <f ca="1">INT((ABS(BS399)-BT399)*60)</f>
        <v>#NAME?</v>
      </c>
      <c r="BV399" s="28" t="e">
        <f ca="1">INT((((ABS(BS399)-BT399)*60)-BU399)*60)</f>
        <v>#NAME?</v>
      </c>
      <c r="BW399" s="28" t="e">
        <f ca="1">INT((((((ABS(BS399)-BT399)*60)-BU399)*60)-BV399)*60)</f>
        <v>#NAME?</v>
      </c>
      <c r="BX399" s="10"/>
      <c r="BY399" s="10"/>
      <c r="BZ399" s="4"/>
      <c r="CA399" s="4">
        <f>(CC379-1)*CA381</f>
        <v>0</v>
      </c>
      <c r="CB399" s="133">
        <f t="shared" si="162"/>
        <v>0</v>
      </c>
      <c r="CC399" s="133">
        <f t="shared" si="163"/>
        <v>0</v>
      </c>
      <c r="CD399" s="133">
        <f t="shared" si="164"/>
        <v>0</v>
      </c>
      <c r="CE399" s="133">
        <f t="shared" si="165"/>
        <v>0</v>
      </c>
      <c r="CF399" s="4"/>
      <c r="CG399" s="4"/>
    </row>
    <row r="400" spans="1:85" ht="24.75">
      <c r="A400">
        <v>22</v>
      </c>
      <c r="B400" s="10" t="s">
        <v>385</v>
      </c>
      <c r="C400" s="10">
        <f>[2]!wasat(C379,D379,E379,F379)</f>
        <v>357.69220607313491</v>
      </c>
      <c r="D400" s="28">
        <f t="shared" si="126"/>
        <v>357</v>
      </c>
      <c r="E400" s="28">
        <f t="shared" si="127"/>
        <v>41</v>
      </c>
      <c r="F400" s="28">
        <f t="shared" si="128"/>
        <v>31</v>
      </c>
      <c r="G400" s="28">
        <f t="shared" si="129"/>
        <v>56</v>
      </c>
      <c r="H400" s="10"/>
      <c r="I400" s="10"/>
      <c r="J400" s="4"/>
      <c r="K400" s="4">
        <f>[2]!ba(K395+K397+K399+K391)</f>
        <v>10.560369616771595</v>
      </c>
      <c r="L400" s="133">
        <f t="shared" si="146"/>
        <v>10</v>
      </c>
      <c r="M400" s="133">
        <f t="shared" si="147"/>
        <v>33</v>
      </c>
      <c r="N400" s="133">
        <f t="shared" si="148"/>
        <v>37</v>
      </c>
      <c r="O400" s="133">
        <f t="shared" si="149"/>
        <v>19</v>
      </c>
      <c r="P400" s="4"/>
      <c r="Q400" s="4"/>
      <c r="S400" s="10" t="s">
        <v>385</v>
      </c>
      <c r="T400" s="10" t="e">
        <f ca="1">[5]!wasat(T379,U379,V379,W379)</f>
        <v>#NAME?</v>
      </c>
      <c r="U400" s="28" t="e">
        <f t="shared" ca="1" si="166"/>
        <v>#NAME?</v>
      </c>
      <c r="V400" s="28" t="e">
        <f t="shared" ca="1" si="167"/>
        <v>#NAME?</v>
      </c>
      <c r="W400" s="28" t="e">
        <f t="shared" ca="1" si="168"/>
        <v>#NAME?</v>
      </c>
      <c r="X400" s="28" t="e">
        <f t="shared" ca="1" si="169"/>
        <v>#NAME?</v>
      </c>
      <c r="Y400" s="10"/>
      <c r="Z400" s="10"/>
      <c r="AA400" s="4"/>
      <c r="AB400" s="4" t="e">
        <f ca="1">[5]!ba(AB395+AB397+AB399+AB391)</f>
        <v>#NAME?</v>
      </c>
      <c r="AC400" s="133" t="e">
        <f t="shared" ca="1" si="170"/>
        <v>#NAME?</v>
      </c>
      <c r="AD400" s="133" t="e">
        <f t="shared" ca="1" si="171"/>
        <v>#NAME?</v>
      </c>
      <c r="AE400" s="133" t="e">
        <f t="shared" ca="1" si="172"/>
        <v>#NAME?</v>
      </c>
      <c r="AF400" s="133" t="e">
        <f t="shared" ca="1" si="173"/>
        <v>#NAME?</v>
      </c>
      <c r="AG400" s="4"/>
      <c r="AH400" s="4"/>
      <c r="AJ400" s="10" t="s">
        <v>385</v>
      </c>
      <c r="AK400" s="10" t="e">
        <f ca="1">[5]!wasat(AK379,AL379,AM379,AN379)</f>
        <v>#NAME?</v>
      </c>
      <c r="AL400" s="28" t="e">
        <f t="shared" ca="1" si="174"/>
        <v>#NAME?</v>
      </c>
      <c r="AM400" s="28" t="e">
        <f t="shared" ca="1" si="175"/>
        <v>#NAME?</v>
      </c>
      <c r="AN400" s="28" t="e">
        <f t="shared" ca="1" si="176"/>
        <v>#NAME?</v>
      </c>
      <c r="AO400" s="28" t="e">
        <f t="shared" ca="1" si="177"/>
        <v>#NAME?</v>
      </c>
      <c r="AP400" s="10"/>
      <c r="AQ400" s="10"/>
      <c r="AR400" s="4"/>
      <c r="AS400" s="4" t="e">
        <f ca="1">[5]!ba(AS395+AS397+AS399+AS391)</f>
        <v>#NAME?</v>
      </c>
      <c r="AT400" s="133" t="e">
        <f t="shared" ca="1" si="178"/>
        <v>#NAME?</v>
      </c>
      <c r="AU400" s="133" t="e">
        <f t="shared" ca="1" si="179"/>
        <v>#NAME?</v>
      </c>
      <c r="AV400" s="133" t="e">
        <f t="shared" ca="1" si="180"/>
        <v>#NAME?</v>
      </c>
      <c r="AW400" s="133" t="e">
        <f t="shared" ca="1" si="181"/>
        <v>#NAME?</v>
      </c>
      <c r="AX400" s="4"/>
      <c r="AY400" s="4"/>
      <c r="BA400" s="10" t="s">
        <v>385</v>
      </c>
      <c r="BB400" s="10" t="e">
        <f ca="1">[5]!wasat(BB379,BC379,BD379,BE379)</f>
        <v>#NAME?</v>
      </c>
      <c r="BC400" s="28" t="e">
        <f ca="1">INT(ABS(BB400))</f>
        <v>#NAME?</v>
      </c>
      <c r="BD400" s="28" t="e">
        <f ca="1">INT((ABS(BB400)-BC400)*60)</f>
        <v>#NAME?</v>
      </c>
      <c r="BE400" s="28" t="e">
        <f ca="1">INT((((ABS(BB400)-BC400)*60)-BD400)*60)</f>
        <v>#NAME?</v>
      </c>
      <c r="BF400" s="28" t="e">
        <f ca="1">INT((((((ABS(BB400)-BC400)*60)-BD400)*60)-BE400)*60)</f>
        <v>#NAME?</v>
      </c>
      <c r="BG400" s="10"/>
      <c r="BH400" s="10"/>
      <c r="BI400" s="4"/>
      <c r="BJ400" s="4" t="e">
        <f ca="1">[5]!ba(BJ395+BJ397+BJ399+BJ391)</f>
        <v>#NAME?</v>
      </c>
      <c r="BK400" s="133" t="e">
        <f ca="1">INT(ABS(BJ400))</f>
        <v>#NAME?</v>
      </c>
      <c r="BL400" s="133" t="e">
        <f ca="1">INT((ABS(BJ400)-BK400)*60)</f>
        <v>#NAME?</v>
      </c>
      <c r="BM400" s="133" t="e">
        <f ca="1">INT((((ABS(BJ400)-BK400)*60)-BL400)*60)</f>
        <v>#NAME?</v>
      </c>
      <c r="BN400" s="133" t="e">
        <f ca="1">INT((((((ABS(BJ400)-BK400)*60)-BL400)*60)-BM400)*60)</f>
        <v>#NAME?</v>
      </c>
      <c r="BO400" s="4"/>
      <c r="BP400" s="4"/>
      <c r="BR400" s="10" t="s">
        <v>385</v>
      </c>
      <c r="BS400" s="10" t="e">
        <f ca="1">[5]!wasat(BS379,BT379,BU379,BV379)</f>
        <v>#NAME?</v>
      </c>
      <c r="BT400" s="28" t="e">
        <f ca="1">INT(ABS(BS400))</f>
        <v>#NAME?</v>
      </c>
      <c r="BU400" s="28" t="e">
        <f ca="1">INT((ABS(BS400)-BT400)*60)</f>
        <v>#NAME?</v>
      </c>
      <c r="BV400" s="28" t="e">
        <f ca="1">INT((((ABS(BS400)-BT400)*60)-BU400)*60)</f>
        <v>#NAME?</v>
      </c>
      <c r="BW400" s="28" t="e">
        <f ca="1">INT((((((ABS(BS400)-BT400)*60)-BU400)*60)-BV400)*60)</f>
        <v>#NAME?</v>
      </c>
      <c r="BX400" s="10"/>
      <c r="BY400" s="10"/>
      <c r="BZ400" s="4"/>
      <c r="CA400" s="4" t="e">
        <f ca="1">[5]!ba(CA395+CA397+CA399+CA391)</f>
        <v>#NAME?</v>
      </c>
      <c r="CB400" s="133" t="e">
        <f ca="1">INT(ABS(CA400))</f>
        <v>#NAME?</v>
      </c>
      <c r="CC400" s="133" t="e">
        <f ca="1">INT((ABS(CA400)-CB400)*60)</f>
        <v>#NAME?</v>
      </c>
      <c r="CD400" s="133" t="e">
        <f ca="1">INT((((ABS(CA400)-CB400)*60)-CC400)*60)</f>
        <v>#NAME?</v>
      </c>
      <c r="CE400" s="133" t="e">
        <f ca="1">INT((((((ABS(CA400)-CB400)*60)-CC400)*60)-CD400)*60)</f>
        <v>#NAME?</v>
      </c>
      <c r="CF400" s="4"/>
      <c r="CG400" s="4"/>
    </row>
    <row r="401" spans="1:85" ht="24.75">
      <c r="A401">
        <v>23</v>
      </c>
      <c r="B401" s="10" t="s">
        <v>724</v>
      </c>
      <c r="C401" s="10">
        <f>[2]!taam(C400)*C380</f>
        <v>2.3698705303703028E-4</v>
      </c>
      <c r="D401" s="28">
        <f t="shared" si="126"/>
        <v>0</v>
      </c>
      <c r="E401" s="28">
        <f t="shared" si="127"/>
        <v>0</v>
      </c>
      <c r="F401" s="28">
        <f t="shared" si="128"/>
        <v>0</v>
      </c>
      <c r="G401" s="28">
        <f t="shared" si="129"/>
        <v>51</v>
      </c>
      <c r="H401" s="10"/>
      <c r="I401" s="10"/>
      <c r="J401" s="4"/>
      <c r="K401" s="4">
        <f>N379*K381</f>
        <v>0</v>
      </c>
      <c r="L401" s="133">
        <f t="shared" si="146"/>
        <v>0</v>
      </c>
      <c r="M401" s="133">
        <f t="shared" si="147"/>
        <v>0</v>
      </c>
      <c r="N401" s="133">
        <f t="shared" si="148"/>
        <v>0</v>
      </c>
      <c r="O401" s="133">
        <f t="shared" si="149"/>
        <v>0</v>
      </c>
      <c r="P401" s="4"/>
      <c r="Q401" s="4"/>
      <c r="S401" s="10" t="s">
        <v>724</v>
      </c>
      <c r="T401" s="10" t="e">
        <f ca="1">[5]!taam(T400)*T380</f>
        <v>#NAME?</v>
      </c>
      <c r="U401" s="28" t="e">
        <f t="shared" ca="1" si="166"/>
        <v>#NAME?</v>
      </c>
      <c r="V401" s="28" t="e">
        <f t="shared" ca="1" si="167"/>
        <v>#NAME?</v>
      </c>
      <c r="W401" s="28" t="e">
        <f t="shared" ca="1" si="168"/>
        <v>#NAME?</v>
      </c>
      <c r="X401" s="28" t="e">
        <f t="shared" ca="1" si="169"/>
        <v>#NAME?</v>
      </c>
      <c r="Y401" s="10" t="s">
        <v>722</v>
      </c>
      <c r="Z401" s="10"/>
      <c r="AA401" s="4"/>
      <c r="AB401" s="4" t="e">
        <f ca="1">AE379*AB381</f>
        <v>#NAME?</v>
      </c>
      <c r="AC401" s="133" t="e">
        <f t="shared" ca="1" si="170"/>
        <v>#NAME?</v>
      </c>
      <c r="AD401" s="133" t="e">
        <f t="shared" ca="1" si="171"/>
        <v>#NAME?</v>
      </c>
      <c r="AE401" s="133" t="e">
        <f t="shared" ca="1" si="172"/>
        <v>#NAME?</v>
      </c>
      <c r="AF401" s="133" t="e">
        <f t="shared" ca="1" si="173"/>
        <v>#NAME?</v>
      </c>
      <c r="AG401" s="4"/>
      <c r="AH401" s="4"/>
      <c r="AJ401" s="10" t="s">
        <v>724</v>
      </c>
      <c r="AK401" s="10" t="e">
        <f ca="1">[5]!taam(AK400)*AK380</f>
        <v>#NAME?</v>
      </c>
      <c r="AL401" s="28" t="e">
        <f t="shared" ca="1" si="174"/>
        <v>#NAME?</v>
      </c>
      <c r="AM401" s="28" t="e">
        <f t="shared" ca="1" si="175"/>
        <v>#NAME?</v>
      </c>
      <c r="AN401" s="28" t="e">
        <f t="shared" ca="1" si="176"/>
        <v>#NAME?</v>
      </c>
      <c r="AO401" s="28" t="e">
        <f t="shared" ca="1" si="177"/>
        <v>#NAME?</v>
      </c>
      <c r="AP401" s="10" t="s">
        <v>722</v>
      </c>
      <c r="AQ401" s="10"/>
      <c r="AR401" s="4"/>
      <c r="AS401" s="4" t="e">
        <f ca="1">AV379*AS381</f>
        <v>#NAME?</v>
      </c>
      <c r="AT401" s="133" t="e">
        <f t="shared" ca="1" si="178"/>
        <v>#NAME?</v>
      </c>
      <c r="AU401" s="133" t="e">
        <f t="shared" ca="1" si="179"/>
        <v>#NAME?</v>
      </c>
      <c r="AV401" s="133" t="e">
        <f t="shared" ca="1" si="180"/>
        <v>#NAME?</v>
      </c>
      <c r="AW401" s="133" t="e">
        <f t="shared" ca="1" si="181"/>
        <v>#NAME?</v>
      </c>
      <c r="AX401" s="4"/>
      <c r="AY401" s="4"/>
      <c r="BA401" s="10" t="s">
        <v>724</v>
      </c>
      <c r="BB401" s="10" t="e">
        <f ca="1">[5]!taam(BB400)*BB380</f>
        <v>#NAME?</v>
      </c>
      <c r="BC401" s="28" t="e">
        <f ca="1">INT(ABS(BB401))</f>
        <v>#NAME?</v>
      </c>
      <c r="BD401" s="28" t="e">
        <f ca="1">INT((ABS(BB401)-BC401)*60)</f>
        <v>#NAME?</v>
      </c>
      <c r="BE401" s="28" t="e">
        <f ca="1">INT((((ABS(BB401)-BC401)*60)-BD401)*60)</f>
        <v>#NAME?</v>
      </c>
      <c r="BF401" s="28" t="e">
        <f ca="1">INT((((((ABS(BB401)-BC401)*60)-BD401)*60)-BE401)*60)</f>
        <v>#NAME?</v>
      </c>
      <c r="BG401" s="10" t="s">
        <v>722</v>
      </c>
      <c r="BH401" s="10"/>
      <c r="BI401" s="4"/>
      <c r="BJ401" s="4">
        <f>BM379*BJ381</f>
        <v>0</v>
      </c>
      <c r="BK401" s="133">
        <f t="shared" si="158"/>
        <v>0</v>
      </c>
      <c r="BL401" s="133">
        <f t="shared" si="159"/>
        <v>0</v>
      </c>
      <c r="BM401" s="133">
        <f t="shared" si="160"/>
        <v>0</v>
      </c>
      <c r="BN401" s="133">
        <f t="shared" si="161"/>
        <v>0</v>
      </c>
      <c r="BO401" s="4"/>
      <c r="BP401" s="4"/>
      <c r="BR401" s="10" t="s">
        <v>724</v>
      </c>
      <c r="BS401" s="10" t="e">
        <f ca="1">[5]!taam(BS400)*BS380</f>
        <v>#NAME?</v>
      </c>
      <c r="BT401" s="28" t="e">
        <f ca="1">INT(ABS(BS401))</f>
        <v>#NAME?</v>
      </c>
      <c r="BU401" s="28" t="e">
        <f ca="1">INT((ABS(BS401)-BT401)*60)</f>
        <v>#NAME?</v>
      </c>
      <c r="BV401" s="28" t="e">
        <f ca="1">INT((((ABS(BS401)-BT401)*60)-BU401)*60)</f>
        <v>#NAME?</v>
      </c>
      <c r="BW401" s="28" t="e">
        <f ca="1">INT((((((ABS(BS401)-BT401)*60)-BU401)*60)-BV401)*60)</f>
        <v>#NAME?</v>
      </c>
      <c r="BX401" s="10" t="s">
        <v>722</v>
      </c>
      <c r="BY401" s="10"/>
      <c r="BZ401" s="4"/>
      <c r="CA401" s="4">
        <f>CD379*CA381</f>
        <v>0</v>
      </c>
      <c r="CB401" s="133">
        <f t="shared" si="162"/>
        <v>0</v>
      </c>
      <c r="CC401" s="133">
        <f t="shared" si="163"/>
        <v>0</v>
      </c>
      <c r="CD401" s="133">
        <f t="shared" si="164"/>
        <v>0</v>
      </c>
      <c r="CE401" s="133">
        <f t="shared" si="165"/>
        <v>0</v>
      </c>
      <c r="CF401" s="4"/>
      <c r="CG401" s="4"/>
    </row>
    <row r="402" spans="1:85" ht="24.75">
      <c r="A402">
        <v>24</v>
      </c>
      <c r="B402" s="10" t="s">
        <v>725</v>
      </c>
      <c r="C402" s="10">
        <f>C399+C401</f>
        <v>99.387862781804174</v>
      </c>
      <c r="D402" s="28">
        <f t="shared" si="126"/>
        <v>99</v>
      </c>
      <c r="E402" s="28">
        <f t="shared" si="127"/>
        <v>23</v>
      </c>
      <c r="F402" s="28">
        <f t="shared" si="128"/>
        <v>16</v>
      </c>
      <c r="G402" s="28">
        <f t="shared" si="129"/>
        <v>18</v>
      </c>
      <c r="H402" s="10"/>
      <c r="I402" s="10"/>
      <c r="J402" s="4"/>
      <c r="K402" s="4">
        <f>K400+K401</f>
        <v>10.560369616771595</v>
      </c>
      <c r="L402" s="133">
        <f t="shared" si="146"/>
        <v>10</v>
      </c>
      <c r="M402" s="133">
        <f>INT((ABS(K402)-L402)*60)</f>
        <v>33</v>
      </c>
      <c r="N402" s="133">
        <f>INT((((ABS(K402)-L402)*60)-M402)*60)</f>
        <v>37</v>
      </c>
      <c r="O402" s="133">
        <f>INT((((((ABS(K402)-L402)*60)-M402)*60)-N402)*60)</f>
        <v>19</v>
      </c>
      <c r="P402" s="4"/>
      <c r="Q402" s="4"/>
      <c r="S402" s="10" t="s">
        <v>727</v>
      </c>
      <c r="T402" s="10" t="e">
        <f ca="1">T399+T401</f>
        <v>#NAME?</v>
      </c>
      <c r="U402" s="28" t="e">
        <f t="shared" ca="1" si="166"/>
        <v>#NAME?</v>
      </c>
      <c r="V402" s="28" t="e">
        <f t="shared" ca="1" si="167"/>
        <v>#NAME?</v>
      </c>
      <c r="W402" s="28" t="e">
        <f t="shared" ca="1" si="168"/>
        <v>#NAME?</v>
      </c>
      <c r="X402" s="28" t="e">
        <f t="shared" ca="1" si="169"/>
        <v>#NAME?</v>
      </c>
      <c r="Y402" s="10"/>
      <c r="Z402" s="10"/>
      <c r="AA402" s="4"/>
      <c r="AB402" s="4" t="e">
        <f ca="1">AB400+AB401</f>
        <v>#NAME?</v>
      </c>
      <c r="AC402" s="133" t="e">
        <f t="shared" ca="1" si="170"/>
        <v>#NAME?</v>
      </c>
      <c r="AD402" s="133" t="e">
        <f t="shared" ca="1" si="171"/>
        <v>#NAME?</v>
      </c>
      <c r="AE402" s="133" t="e">
        <f t="shared" ca="1" si="172"/>
        <v>#NAME?</v>
      </c>
      <c r="AF402" s="133" t="e">
        <f t="shared" ca="1" si="173"/>
        <v>#NAME?</v>
      </c>
      <c r="AG402" s="4"/>
      <c r="AH402" s="4"/>
      <c r="AJ402" s="10" t="s">
        <v>735</v>
      </c>
      <c r="AK402" s="10" t="e">
        <f ca="1">AK399+AK401</f>
        <v>#NAME?</v>
      </c>
      <c r="AL402" s="28" t="e">
        <f t="shared" ca="1" si="174"/>
        <v>#NAME?</v>
      </c>
      <c r="AM402" s="28" t="e">
        <f t="shared" ca="1" si="175"/>
        <v>#NAME?</v>
      </c>
      <c r="AN402" s="28" t="e">
        <f t="shared" ca="1" si="176"/>
        <v>#NAME?</v>
      </c>
      <c r="AO402" s="28" t="e">
        <f t="shared" ca="1" si="177"/>
        <v>#NAME?</v>
      </c>
      <c r="AP402" s="10"/>
      <c r="AQ402" s="10"/>
      <c r="AR402" s="4"/>
      <c r="AS402" s="4" t="e">
        <f ca="1">AS400+AS401</f>
        <v>#NAME?</v>
      </c>
      <c r="AT402" s="133" t="e">
        <f t="shared" ca="1" si="178"/>
        <v>#NAME?</v>
      </c>
      <c r="AU402" s="133" t="e">
        <f t="shared" ca="1" si="179"/>
        <v>#NAME?</v>
      </c>
      <c r="AV402" s="133" t="e">
        <f t="shared" ca="1" si="180"/>
        <v>#NAME?</v>
      </c>
      <c r="AW402" s="133" t="e">
        <f t="shared" ca="1" si="181"/>
        <v>#NAME?</v>
      </c>
      <c r="AX402" s="4"/>
      <c r="AY402" s="4"/>
      <c r="BA402" s="10" t="s">
        <v>735</v>
      </c>
      <c r="BB402" s="10" t="e">
        <f ca="1">BB399+BB401</f>
        <v>#NAME?</v>
      </c>
      <c r="BC402" s="28" t="e">
        <f ca="1">INT(ABS(BB402))</f>
        <v>#NAME?</v>
      </c>
      <c r="BD402" s="28" t="e">
        <f ca="1">INT((ABS(BB402)-BC402)*60)</f>
        <v>#NAME?</v>
      </c>
      <c r="BE402" s="28" t="e">
        <f ca="1">INT((((ABS(BB402)-BC402)*60)-BD402)*60)</f>
        <v>#NAME?</v>
      </c>
      <c r="BF402" s="28" t="e">
        <f ca="1">INT((((((ABS(BB402)-BC402)*60)-BD402)*60)-BE402)*60)</f>
        <v>#NAME?</v>
      </c>
      <c r="BG402" s="10"/>
      <c r="BH402" s="10"/>
      <c r="BI402" s="4"/>
      <c r="BJ402" s="4" t="e">
        <f ca="1">BJ400+BJ401</f>
        <v>#NAME?</v>
      </c>
      <c r="BK402" s="133" t="e">
        <f ca="1">INT(ABS(BJ402))</f>
        <v>#NAME?</v>
      </c>
      <c r="BL402" s="133" t="e">
        <f ca="1">INT((ABS(BJ402)-BK402)*60)</f>
        <v>#NAME?</v>
      </c>
      <c r="BM402" s="133" t="e">
        <f ca="1">INT((((ABS(BJ402)-BK402)*60)-BL402)*60)</f>
        <v>#NAME?</v>
      </c>
      <c r="BN402" s="133" t="e">
        <f ca="1">INT((((((ABS(BJ402)-BK402)*60)-BL402)*60)-BM402)*60)</f>
        <v>#NAME?</v>
      </c>
      <c r="BO402" s="4"/>
      <c r="BP402" s="4"/>
      <c r="BR402" s="10" t="s">
        <v>735</v>
      </c>
      <c r="BS402" s="10" t="e">
        <f ca="1">BS399+BS401</f>
        <v>#NAME?</v>
      </c>
      <c r="BT402" s="28" t="e">
        <f ca="1">INT(ABS(BS402))</f>
        <v>#NAME?</v>
      </c>
      <c r="BU402" s="28" t="e">
        <f ca="1">INT((ABS(BS402)-BT402)*60)</f>
        <v>#NAME?</v>
      </c>
      <c r="BV402" s="28" t="e">
        <f ca="1">INT((((ABS(BS402)-BT402)*60)-BU402)*60)</f>
        <v>#NAME?</v>
      </c>
      <c r="BW402" s="28" t="e">
        <f ca="1">INT((((((ABS(BS402)-BT402)*60)-BU402)*60)-BV402)*60)</f>
        <v>#NAME?</v>
      </c>
      <c r="BX402" s="10"/>
      <c r="BY402" s="10"/>
      <c r="BZ402" s="4"/>
      <c r="CA402" s="4" t="e">
        <f ca="1">CA400+CA401</f>
        <v>#NAME?</v>
      </c>
      <c r="CB402" s="133" t="e">
        <f ca="1">INT(ABS(CA402))</f>
        <v>#NAME?</v>
      </c>
      <c r="CC402" s="133" t="e">
        <f ca="1">INT((ABS(CA402)-CB402)*60)</f>
        <v>#NAME?</v>
      </c>
      <c r="CD402" s="133" t="e">
        <f ca="1">INT((((ABS(CA402)-CB402)*60)-CC402)*60)</f>
        <v>#NAME?</v>
      </c>
      <c r="CE402" s="133" t="e">
        <f ca="1">INT((((((ABS(CA402)-CB402)*60)-CC402)*60)-CD402)*60)</f>
        <v>#NAME?</v>
      </c>
      <c r="CF402" s="4"/>
      <c r="CG402" s="4"/>
    </row>
    <row r="403" spans="1:85" ht="24.75">
      <c r="B403" s="10"/>
      <c r="C403" s="10"/>
      <c r="D403" s="28">
        <f t="shared" si="126"/>
        <v>0</v>
      </c>
      <c r="E403" s="28">
        <f t="shared" si="127"/>
        <v>0</v>
      </c>
      <c r="F403" s="28">
        <f t="shared" si="128"/>
        <v>0</v>
      </c>
      <c r="G403" s="28">
        <f t="shared" si="129"/>
        <v>0</v>
      </c>
      <c r="H403" s="10"/>
      <c r="I403" s="10"/>
      <c r="J403" s="4"/>
      <c r="K403" s="4">
        <f>[2]!wasat(K379,L379,M379,N379)</f>
        <v>357.69220607313491</v>
      </c>
      <c r="L403" s="133">
        <f t="shared" si="146"/>
        <v>357</v>
      </c>
      <c r="M403" s="133">
        <f>INT((ABS(K403)-L403)*60)</f>
        <v>41</v>
      </c>
      <c r="N403" s="133">
        <f>INT((((ABS(K403)-L403)*60)-M403)*60)</f>
        <v>31</v>
      </c>
      <c r="O403" s="133">
        <f>INT((((((ABS(K403)-L403)*60)-M403)*60)-N403)*60)</f>
        <v>56</v>
      </c>
      <c r="P403" s="4"/>
      <c r="Q403" s="4"/>
      <c r="S403" s="10"/>
      <c r="T403" s="10"/>
      <c r="U403" s="28">
        <f t="shared" si="130"/>
        <v>0</v>
      </c>
      <c r="V403" s="28">
        <f t="shared" si="131"/>
        <v>0</v>
      </c>
      <c r="W403" s="28">
        <f t="shared" si="132"/>
        <v>0</v>
      </c>
      <c r="X403" s="28">
        <f t="shared" si="133"/>
        <v>0</v>
      </c>
      <c r="Y403" s="10"/>
      <c r="Z403" s="10"/>
      <c r="AA403" s="4"/>
      <c r="AB403" s="4" t="e">
        <f ca="1">[5]!wasat(AB379,AC379,AD379,AE379)</f>
        <v>#NAME?</v>
      </c>
      <c r="AC403" s="133" t="e">
        <f t="shared" ca="1" si="170"/>
        <v>#NAME?</v>
      </c>
      <c r="AD403" s="133" t="e">
        <f t="shared" ca="1" si="171"/>
        <v>#NAME?</v>
      </c>
      <c r="AE403" s="133" t="e">
        <f t="shared" ca="1" si="172"/>
        <v>#NAME?</v>
      </c>
      <c r="AF403" s="133" t="e">
        <f t="shared" ca="1" si="173"/>
        <v>#NAME?</v>
      </c>
      <c r="AG403" s="4"/>
      <c r="AH403" s="4"/>
      <c r="AJ403" s="10"/>
      <c r="AK403" s="10"/>
      <c r="AL403" s="28">
        <f t="shared" si="134"/>
        <v>0</v>
      </c>
      <c r="AM403" s="28">
        <f t="shared" si="135"/>
        <v>0</v>
      </c>
      <c r="AN403" s="28">
        <f t="shared" si="136"/>
        <v>0</v>
      </c>
      <c r="AO403" s="28">
        <f t="shared" si="137"/>
        <v>0</v>
      </c>
      <c r="AP403" s="10"/>
      <c r="AQ403" s="10"/>
      <c r="AR403" s="4"/>
      <c r="AS403" s="4" t="e">
        <f ca="1">[5]!wasat(AS379,AT379,AU379,AV379)</f>
        <v>#NAME?</v>
      </c>
      <c r="AT403" s="133" t="e">
        <f t="shared" ca="1" si="178"/>
        <v>#NAME?</v>
      </c>
      <c r="AU403" s="133" t="e">
        <f t="shared" ca="1" si="179"/>
        <v>#NAME?</v>
      </c>
      <c r="AV403" s="133" t="e">
        <f t="shared" ca="1" si="180"/>
        <v>#NAME?</v>
      </c>
      <c r="AW403" s="133" t="e">
        <f t="shared" ca="1" si="181"/>
        <v>#NAME?</v>
      </c>
      <c r="AX403" s="4"/>
      <c r="AY403" s="4"/>
      <c r="BA403" s="10"/>
      <c r="BB403" s="10"/>
      <c r="BC403" s="28">
        <f t="shared" si="138"/>
        <v>0</v>
      </c>
      <c r="BD403" s="28">
        <f t="shared" si="139"/>
        <v>0</v>
      </c>
      <c r="BE403" s="28">
        <f t="shared" si="140"/>
        <v>0</v>
      </c>
      <c r="BF403" s="28">
        <f t="shared" si="141"/>
        <v>0</v>
      </c>
      <c r="BG403" s="10"/>
      <c r="BH403" s="10"/>
      <c r="BI403" s="4"/>
      <c r="BJ403" s="4" t="e">
        <f ca="1">[5]!wasat(BJ379,BK379,BL379,BM379)</f>
        <v>#NAME?</v>
      </c>
      <c r="BK403" s="133" t="e">
        <f ca="1">INT(ABS(BJ403))</f>
        <v>#NAME?</v>
      </c>
      <c r="BL403" s="133" t="e">
        <f ca="1">INT((ABS(BJ403)-BK403)*60)</f>
        <v>#NAME?</v>
      </c>
      <c r="BM403" s="133" t="e">
        <f ca="1">INT((((ABS(BJ403)-BK403)*60)-BL403)*60)</f>
        <v>#NAME?</v>
      </c>
      <c r="BN403" s="133" t="e">
        <f ca="1">INT((((((ABS(BJ403)-BK403)*60)-BL403)*60)-BM403)*60)</f>
        <v>#NAME?</v>
      </c>
      <c r="BO403" s="4"/>
      <c r="BP403" s="4"/>
      <c r="BR403" s="10"/>
      <c r="BS403" s="10"/>
      <c r="BT403" s="28">
        <f t="shared" si="142"/>
        <v>0</v>
      </c>
      <c r="BU403" s="28">
        <f t="shared" si="143"/>
        <v>0</v>
      </c>
      <c r="BV403" s="28">
        <f t="shared" si="144"/>
        <v>0</v>
      </c>
      <c r="BW403" s="28">
        <f t="shared" si="145"/>
        <v>0</v>
      </c>
      <c r="BX403" s="10"/>
      <c r="BY403" s="10"/>
      <c r="BZ403" s="4"/>
      <c r="CA403" s="4" t="e">
        <f ca="1">[5]!wasat(CA379,CB379,CC379,CD379)</f>
        <v>#NAME?</v>
      </c>
      <c r="CB403" s="133" t="e">
        <f ca="1">INT(ABS(CA403))</f>
        <v>#NAME?</v>
      </c>
      <c r="CC403" s="133" t="e">
        <f ca="1">INT((ABS(CA403)-CB403)*60)</f>
        <v>#NAME?</v>
      </c>
      <c r="CD403" s="133" t="e">
        <f ca="1">INT((((ABS(CA403)-CB403)*60)-CC403)*60)</f>
        <v>#NAME?</v>
      </c>
      <c r="CE403" s="133" t="e">
        <f ca="1">INT((((((ABS(CA403)-CB403)*60)-CC403)*60)-CD403)*60)</f>
        <v>#NAME?</v>
      </c>
      <c r="CF403" s="4"/>
      <c r="CG403" s="4"/>
    </row>
    <row r="404" spans="1:85" ht="24.75">
      <c r="D404" s="129">
        <f>INT(ABS(C404))</f>
        <v>0</v>
      </c>
      <c r="E404" s="129">
        <f>INT((ABS(C404)-D404)*60)</f>
        <v>0</v>
      </c>
      <c r="F404" s="129">
        <f>INT((((ABS(C404)-D404)*60)-E404)*60)</f>
        <v>0</v>
      </c>
      <c r="G404" s="129">
        <f>INT((((((ABS(C404)-D404)*60)-E404)*60)-F404)*60)</f>
        <v>0</v>
      </c>
      <c r="J404" s="4" t="s">
        <v>726</v>
      </c>
      <c r="K404" s="4">
        <f>[2]!taam(K403)*K380</f>
        <v>2.3698705303703028E-4</v>
      </c>
      <c r="L404" s="133">
        <f t="shared" si="146"/>
        <v>0</v>
      </c>
      <c r="M404" s="133">
        <f>INT((ABS(K404)-L404)*60)</f>
        <v>0</v>
      </c>
      <c r="N404" s="133">
        <f>INT((((ABS(K404)-L404)*60)-M404)*60)</f>
        <v>0</v>
      </c>
      <c r="O404" s="133">
        <f>INT((((((ABS(K404)-L404)*60)-M404)*60)-N404)*60)</f>
        <v>51</v>
      </c>
      <c r="P404" s="4"/>
      <c r="Q404" s="4"/>
      <c r="U404" s="129">
        <f t="shared" si="130"/>
        <v>0</v>
      </c>
      <c r="V404" s="129">
        <f t="shared" si="131"/>
        <v>0</v>
      </c>
      <c r="W404" s="129">
        <f t="shared" si="132"/>
        <v>0</v>
      </c>
      <c r="X404" s="129">
        <f t="shared" si="133"/>
        <v>0</v>
      </c>
      <c r="AA404" s="4" t="s">
        <v>726</v>
      </c>
      <c r="AB404" s="4" t="e">
        <f ca="1">[5]!taam(AB403)*AB380</f>
        <v>#NAME?</v>
      </c>
      <c r="AC404" s="133" t="e">
        <f t="shared" ca="1" si="170"/>
        <v>#NAME?</v>
      </c>
      <c r="AD404" s="133" t="e">
        <f t="shared" ca="1" si="171"/>
        <v>#NAME?</v>
      </c>
      <c r="AE404" s="133" t="e">
        <f t="shared" ca="1" si="172"/>
        <v>#NAME?</v>
      </c>
      <c r="AF404" s="133" t="e">
        <f t="shared" ca="1" si="173"/>
        <v>#NAME?</v>
      </c>
      <c r="AG404" s="4"/>
      <c r="AH404" s="4"/>
      <c r="AL404" s="129">
        <f t="shared" si="134"/>
        <v>0</v>
      </c>
      <c r="AM404" s="129">
        <f t="shared" si="135"/>
        <v>0</v>
      </c>
      <c r="AN404" s="129">
        <f t="shared" si="136"/>
        <v>0</v>
      </c>
      <c r="AO404" s="129">
        <f t="shared" si="137"/>
        <v>0</v>
      </c>
      <c r="AR404" s="4" t="s">
        <v>726</v>
      </c>
      <c r="AS404" s="4" t="e">
        <f ca="1">[5]!taam(AS403)*AS380</f>
        <v>#NAME?</v>
      </c>
      <c r="AT404" s="133" t="e">
        <f t="shared" ca="1" si="178"/>
        <v>#NAME?</v>
      </c>
      <c r="AU404" s="133" t="e">
        <f t="shared" ca="1" si="179"/>
        <v>#NAME?</v>
      </c>
      <c r="AV404" s="133" t="e">
        <f t="shared" ca="1" si="180"/>
        <v>#NAME?</v>
      </c>
      <c r="AW404" s="133" t="e">
        <f t="shared" ca="1" si="181"/>
        <v>#NAME?</v>
      </c>
      <c r="AX404" s="4"/>
      <c r="AY404" s="4"/>
      <c r="BC404" s="129">
        <f t="shared" si="138"/>
        <v>0</v>
      </c>
      <c r="BD404" s="129">
        <f t="shared" si="139"/>
        <v>0</v>
      </c>
      <c r="BE404" s="129">
        <f t="shared" si="140"/>
        <v>0</v>
      </c>
      <c r="BF404" s="129">
        <f t="shared" si="141"/>
        <v>0</v>
      </c>
      <c r="BI404" s="4" t="s">
        <v>726</v>
      </c>
      <c r="BJ404" s="4" t="e">
        <f ca="1">[5]!taam(BJ403)*BJ380</f>
        <v>#NAME?</v>
      </c>
      <c r="BK404" s="133" t="e">
        <f ca="1">INT(ABS(BJ404))</f>
        <v>#NAME?</v>
      </c>
      <c r="BL404" s="133" t="e">
        <f ca="1">INT((ABS(BJ404)-BK404)*60)</f>
        <v>#NAME?</v>
      </c>
      <c r="BM404" s="133" t="e">
        <f ca="1">INT((((ABS(BJ404)-BK404)*60)-BL404)*60)</f>
        <v>#NAME?</v>
      </c>
      <c r="BN404" s="133" t="e">
        <f ca="1">INT((((((ABS(BJ404)-BK404)*60)-BL404)*60)-BM404)*60)</f>
        <v>#NAME?</v>
      </c>
      <c r="BO404" s="4"/>
      <c r="BP404" s="4"/>
      <c r="BT404" s="129">
        <f t="shared" si="142"/>
        <v>0</v>
      </c>
      <c r="BU404" s="129">
        <f t="shared" si="143"/>
        <v>0</v>
      </c>
      <c r="BV404" s="129">
        <f t="shared" si="144"/>
        <v>0</v>
      </c>
      <c r="BW404" s="129">
        <f t="shared" si="145"/>
        <v>0</v>
      </c>
      <c r="BZ404" s="4" t="s">
        <v>726</v>
      </c>
      <c r="CA404" s="4" t="e">
        <f ca="1">[5]!taam(CA403)*CA380</f>
        <v>#NAME?</v>
      </c>
      <c r="CB404" s="133" t="e">
        <f ca="1">INT(ABS(CA404))</f>
        <v>#NAME?</v>
      </c>
      <c r="CC404" s="133" t="e">
        <f ca="1">INT((ABS(CA404)-CB404)*60)</f>
        <v>#NAME?</v>
      </c>
      <c r="CD404" s="133" t="e">
        <f ca="1">INT((((ABS(CA404)-CB404)*60)-CC404)*60)</f>
        <v>#NAME?</v>
      </c>
      <c r="CE404" s="133" t="e">
        <f ca="1">INT((((((ABS(CA404)-CB404)*60)-CC404)*60)-CD404)*60)</f>
        <v>#NAME?</v>
      </c>
      <c r="CF404" s="4"/>
      <c r="CG404" s="4"/>
    </row>
    <row r="405" spans="1:85" ht="24.75">
      <c r="B405" s="10" t="s">
        <v>725</v>
      </c>
      <c r="C405">
        <f>IF(C379&lt;1251,C402,K405)</f>
        <v>99.387862781804174</v>
      </c>
      <c r="D405" s="129">
        <f>INT(ABS(C405))</f>
        <v>99</v>
      </c>
      <c r="E405" s="129">
        <f>INT((ABS(C405)-D405)*60)</f>
        <v>23</v>
      </c>
      <c r="F405" s="129">
        <f>INT((((ABS(C405)-D405)*60)-E405)*60)</f>
        <v>16</v>
      </c>
      <c r="G405" s="129">
        <f>INT((((((ABS(C405)-D405)*60)-E405)*60)-F405)*60)</f>
        <v>18</v>
      </c>
      <c r="J405" s="4" t="s">
        <v>725</v>
      </c>
      <c r="K405" s="4">
        <f>K402-K404</f>
        <v>10.560132629718558</v>
      </c>
      <c r="L405" s="133">
        <f t="shared" si="146"/>
        <v>10</v>
      </c>
      <c r="M405" s="133">
        <f>INT((ABS(K405)-L405)*60)</f>
        <v>33</v>
      </c>
      <c r="N405" s="133">
        <f>INT((((ABS(K405)-L405)*60)-M405)*60)</f>
        <v>36</v>
      </c>
      <c r="O405" s="133">
        <f>INT((((((ABS(K405)-L405)*60)-M405)*60)-N405)*60)</f>
        <v>28</v>
      </c>
      <c r="P405" s="4"/>
      <c r="Q405" s="4"/>
      <c r="S405" s="10" t="s">
        <v>727</v>
      </c>
      <c r="T405" t="e">
        <f ca="1">IF(T379&lt;1251,T402,AB405)</f>
        <v>#NAME?</v>
      </c>
      <c r="U405" s="129" t="e">
        <f ca="1">INT(ABS(T405))</f>
        <v>#NAME?</v>
      </c>
      <c r="V405" s="129" t="e">
        <f ca="1">INT((ABS(T405)-U405)*60)</f>
        <v>#NAME?</v>
      </c>
      <c r="W405" s="129" t="e">
        <f ca="1">INT((((ABS(T405)-U405)*60)-V405)*60)</f>
        <v>#NAME?</v>
      </c>
      <c r="X405" s="129" t="e">
        <f ca="1">INT((((((ABS(T405)-U405)*60)-V405)*60)-W405)*60)</f>
        <v>#NAME?</v>
      </c>
      <c r="AA405" s="4" t="s">
        <v>727</v>
      </c>
      <c r="AB405" s="4" t="e">
        <f ca="1">AB402-AB404</f>
        <v>#NAME?</v>
      </c>
      <c r="AC405" s="133" t="e">
        <f t="shared" ca="1" si="170"/>
        <v>#NAME?</v>
      </c>
      <c r="AD405" s="133" t="e">
        <f t="shared" ca="1" si="171"/>
        <v>#NAME?</v>
      </c>
      <c r="AE405" s="133" t="e">
        <f t="shared" ca="1" si="172"/>
        <v>#NAME?</v>
      </c>
      <c r="AF405" s="133" t="e">
        <f t="shared" ca="1" si="173"/>
        <v>#NAME?</v>
      </c>
      <c r="AG405" s="4"/>
      <c r="AH405" s="4"/>
      <c r="AJ405" s="10" t="s">
        <v>734</v>
      </c>
      <c r="AK405" t="e">
        <f ca="1">IF(AK379&lt;1251,AK402,AS405)</f>
        <v>#NAME?</v>
      </c>
      <c r="AL405" s="129" t="e">
        <f ca="1">INT(ABS(AK405))</f>
        <v>#NAME?</v>
      </c>
      <c r="AM405" s="129" t="e">
        <f ca="1">INT((ABS(AK405)-AL405)*60)</f>
        <v>#NAME?</v>
      </c>
      <c r="AN405" s="129" t="e">
        <f ca="1">INT((((ABS(AK405)-AL405)*60)-AM405)*60)</f>
        <v>#NAME?</v>
      </c>
      <c r="AO405" s="129" t="e">
        <f ca="1">INT((((((ABS(AK405)-AL405)*60)-AM405)*60)-AN405)*60)</f>
        <v>#NAME?</v>
      </c>
      <c r="AR405" s="4" t="s">
        <v>736</v>
      </c>
      <c r="AS405" s="4" t="e">
        <f ca="1">AS402-AS404</f>
        <v>#NAME?</v>
      </c>
      <c r="AT405" s="133" t="e">
        <f t="shared" ca="1" si="178"/>
        <v>#NAME?</v>
      </c>
      <c r="AU405" s="133" t="e">
        <f t="shared" ca="1" si="179"/>
        <v>#NAME?</v>
      </c>
      <c r="AV405" s="133" t="e">
        <f t="shared" ca="1" si="180"/>
        <v>#NAME?</v>
      </c>
      <c r="AW405" s="133" t="e">
        <f t="shared" ca="1" si="181"/>
        <v>#NAME?</v>
      </c>
      <c r="AX405" s="4"/>
      <c r="AY405" s="4"/>
      <c r="BA405" s="10" t="s">
        <v>742</v>
      </c>
      <c r="BB405" t="e">
        <f ca="1">IF(BB379&lt;1251,BB402,BJ405)</f>
        <v>#NAME?</v>
      </c>
      <c r="BC405" s="129" t="e">
        <f ca="1">INT(ABS(BB405))</f>
        <v>#NAME?</v>
      </c>
      <c r="BD405" s="129" t="e">
        <f ca="1">INT((ABS(BB405)-BC405)*60)</f>
        <v>#NAME?</v>
      </c>
      <c r="BE405" s="129" t="e">
        <f ca="1">INT((((ABS(BB405)-BC405)*60)-BD405)*60)</f>
        <v>#NAME?</v>
      </c>
      <c r="BF405" s="129" t="e">
        <f ca="1">INT((((((ABS(BB405)-BC405)*60)-BD405)*60)-BE405)*60)</f>
        <v>#NAME?</v>
      </c>
      <c r="BI405" s="4" t="s">
        <v>736</v>
      </c>
      <c r="BJ405" s="4" t="e">
        <f ca="1">BJ402-BJ404</f>
        <v>#NAME?</v>
      </c>
      <c r="BK405" s="133" t="e">
        <f ca="1">INT(ABS(BJ405))</f>
        <v>#NAME?</v>
      </c>
      <c r="BL405" s="133" t="e">
        <f ca="1">INT((ABS(BJ405)-BK405)*60)</f>
        <v>#NAME?</v>
      </c>
      <c r="BM405" s="133" t="e">
        <f ca="1">INT((((ABS(BJ405)-BK405)*60)-BL405)*60)</f>
        <v>#NAME?</v>
      </c>
      <c r="BN405" s="133" t="e">
        <f ca="1">INT((((((ABS(BJ405)-BK405)*60)-BL405)*60)-BM405)*60)</f>
        <v>#NAME?</v>
      </c>
      <c r="BO405" s="4"/>
      <c r="BP405" s="4"/>
      <c r="BR405" s="10" t="s">
        <v>741</v>
      </c>
      <c r="BS405" t="e">
        <f ca="1">IF(BS379&lt;1251,BS402,CA405)</f>
        <v>#NAME?</v>
      </c>
      <c r="BT405" s="129" t="e">
        <f ca="1">INT(ABS(BS405))</f>
        <v>#NAME?</v>
      </c>
      <c r="BU405" s="129" t="e">
        <f ca="1">INT((ABS(BS405)-BT405)*60)</f>
        <v>#NAME?</v>
      </c>
      <c r="BV405" s="129" t="e">
        <f ca="1">INT((((ABS(BS405)-BT405)*60)-BU405)*60)</f>
        <v>#NAME?</v>
      </c>
      <c r="BW405" s="129" t="e">
        <f ca="1">INT((((((ABS(BS405)-BT405)*60)-BU405)*60)-BV405)*60)</f>
        <v>#NAME?</v>
      </c>
      <c r="BZ405" s="4" t="s">
        <v>736</v>
      </c>
      <c r="CA405" s="4" t="e">
        <f ca="1">CA402-CA404</f>
        <v>#NAME?</v>
      </c>
      <c r="CB405" s="133" t="e">
        <f ca="1">INT(ABS(CA405))</f>
        <v>#NAME?</v>
      </c>
      <c r="CC405" s="133" t="e">
        <f ca="1">INT((ABS(CA405)-CB405)*60)</f>
        <v>#NAME?</v>
      </c>
      <c r="CD405" s="133" t="e">
        <f ca="1">INT((((ABS(CA405)-CB405)*60)-CC405)*60)</f>
        <v>#NAME?</v>
      </c>
      <c r="CE405" s="133" t="e">
        <f ca="1">INT((((((ABS(CA405)-CB405)*60)-CC405)*60)-CD405)*60)</f>
        <v>#NAME?</v>
      </c>
      <c r="CF405" s="4"/>
      <c r="CG405" s="4"/>
    </row>
    <row r="406" spans="1:85" ht="24.75">
      <c r="D406" s="129">
        <f>INT(ABS(C406))</f>
        <v>0</v>
      </c>
      <c r="E406" s="129">
        <f>INT((ABS(C406)-D406)*60)</f>
        <v>0</v>
      </c>
      <c r="F406" s="129">
        <f>INT((((ABS(C406)-D406)*60)-E406)*60)</f>
        <v>0</v>
      </c>
      <c r="G406" s="129">
        <f>INT((((((ABS(C406)-D406)*60)-E406)*60)-F406)*60)</f>
        <v>0</v>
      </c>
    </row>
    <row r="407" spans="1:85" ht="24.75">
      <c r="D407" s="129">
        <f>INT(ABS(C407))</f>
        <v>0</v>
      </c>
      <c r="E407" s="129">
        <f>INT((ABS(C407)-D407)*60)</f>
        <v>0</v>
      </c>
      <c r="F407" s="129">
        <f>INT((((ABS(C407)-D407)*60)-E407)*60)</f>
        <v>0</v>
      </c>
      <c r="G407" s="129">
        <f>INT((((((ABS(C407)-D407)*60)-E407)*60)-F407)*60)</f>
        <v>0</v>
      </c>
    </row>
    <row r="408" spans="1:85" ht="24.75">
      <c r="B408" s="10" t="s">
        <v>746</v>
      </c>
      <c r="C408" s="10" t="s">
        <v>3</v>
      </c>
      <c r="D408" s="10" t="s">
        <v>4</v>
      </c>
      <c r="E408" s="10" t="s">
        <v>5</v>
      </c>
      <c r="F408" s="10" t="s">
        <v>377</v>
      </c>
      <c r="G408" s="28"/>
      <c r="H408" s="10"/>
      <c r="I408" s="10"/>
      <c r="J408" s="4" t="s">
        <v>747</v>
      </c>
      <c r="K408" s="4" t="s">
        <v>3</v>
      </c>
      <c r="L408" s="4" t="s">
        <v>4</v>
      </c>
      <c r="M408" s="4" t="s">
        <v>5</v>
      </c>
      <c r="N408" s="4" t="s">
        <v>377</v>
      </c>
      <c r="O408" s="4"/>
      <c r="P408" s="4"/>
      <c r="Q408" s="4"/>
      <c r="S408" s="10" t="s">
        <v>754</v>
      </c>
      <c r="T408" s="10" t="s">
        <v>3</v>
      </c>
      <c r="U408" s="10" t="s">
        <v>4</v>
      </c>
      <c r="V408" s="10" t="s">
        <v>5</v>
      </c>
      <c r="W408" s="10" t="s">
        <v>377</v>
      </c>
      <c r="X408" s="28"/>
      <c r="Y408" s="10"/>
      <c r="Z408" s="10"/>
      <c r="AA408" s="4" t="s">
        <v>748</v>
      </c>
      <c r="AB408" s="4" t="s">
        <v>3</v>
      </c>
      <c r="AC408" s="4" t="s">
        <v>4</v>
      </c>
      <c r="AD408" s="4" t="s">
        <v>5</v>
      </c>
      <c r="AE408" s="4" t="s">
        <v>377</v>
      </c>
      <c r="AF408" s="4"/>
      <c r="AG408" s="4"/>
      <c r="AH408" s="4"/>
      <c r="AJ408" s="10" t="s">
        <v>743</v>
      </c>
      <c r="AK408" s="10" t="s">
        <v>3</v>
      </c>
      <c r="AL408" s="10" t="s">
        <v>4</v>
      </c>
      <c r="AM408" s="10" t="s">
        <v>5</v>
      </c>
      <c r="AN408" s="10" t="s">
        <v>377</v>
      </c>
      <c r="AO408" s="28"/>
      <c r="AP408" s="10"/>
      <c r="AQ408" s="10"/>
      <c r="AR408" s="4" t="s">
        <v>744</v>
      </c>
      <c r="AS408" s="4" t="s">
        <v>3</v>
      </c>
      <c r="AT408" s="4" t="s">
        <v>4</v>
      </c>
      <c r="AU408" s="4" t="s">
        <v>5</v>
      </c>
      <c r="AV408" s="4" t="s">
        <v>377</v>
      </c>
      <c r="AW408" s="4"/>
      <c r="AX408" s="4"/>
      <c r="AY408" s="4"/>
      <c r="BA408" s="10" t="s">
        <v>752</v>
      </c>
      <c r="BB408" s="10" t="s">
        <v>3</v>
      </c>
      <c r="BC408" s="10" t="s">
        <v>4</v>
      </c>
      <c r="BD408" s="10" t="s">
        <v>5</v>
      </c>
      <c r="BE408" s="10" t="s">
        <v>377</v>
      </c>
      <c r="BF408" s="28"/>
      <c r="BG408" s="10"/>
      <c r="BH408" s="10"/>
      <c r="BI408" s="4" t="s">
        <v>753</v>
      </c>
      <c r="BJ408" s="4" t="s">
        <v>3</v>
      </c>
      <c r="BK408" s="4" t="s">
        <v>4</v>
      </c>
      <c r="BL408" s="4" t="s">
        <v>5</v>
      </c>
      <c r="BM408" s="4" t="s">
        <v>377</v>
      </c>
      <c r="BN408" s="4"/>
      <c r="BO408" s="4"/>
      <c r="BP408" s="4"/>
      <c r="BR408" s="10" t="s">
        <v>750</v>
      </c>
      <c r="BS408" s="10" t="s">
        <v>3</v>
      </c>
      <c r="BT408" s="10" t="s">
        <v>4</v>
      </c>
      <c r="BU408" s="10" t="s">
        <v>5</v>
      </c>
      <c r="BV408" s="10" t="s">
        <v>377</v>
      </c>
      <c r="BW408" s="28"/>
      <c r="BX408" s="10"/>
      <c r="BY408" s="10"/>
      <c r="BZ408" s="4" t="s">
        <v>751</v>
      </c>
      <c r="CA408" s="4" t="s">
        <v>3</v>
      </c>
      <c r="CB408" s="4" t="s">
        <v>4</v>
      </c>
      <c r="CC408" s="4" t="s">
        <v>5</v>
      </c>
      <c r="CD408" s="4" t="s">
        <v>377</v>
      </c>
      <c r="CE408" s="4"/>
      <c r="CF408" s="4"/>
      <c r="CG408" s="4"/>
    </row>
    <row r="409" spans="1:85" ht="24.75">
      <c r="B409" s="10"/>
      <c r="C409" s="10">
        <v>60</v>
      </c>
      <c r="D409" s="10">
        <v>1</v>
      </c>
      <c r="E409" s="10" t="e">
        <f ca="1">[5]!roz(10,1,15,0)</f>
        <v>#NAME?</v>
      </c>
      <c r="F409" s="10" t="e">
        <f ca="1">[5]!mbtool(2,47,0,1)</f>
        <v>#NAME?</v>
      </c>
      <c r="G409" s="28"/>
      <c r="H409" s="10"/>
      <c r="I409" s="10"/>
      <c r="J409" s="4"/>
      <c r="K409" s="4">
        <f>C409</f>
        <v>60</v>
      </c>
      <c r="L409" s="4">
        <f>D409</f>
        <v>1</v>
      </c>
      <c r="M409" s="4" t="e">
        <f ca="1">E409</f>
        <v>#NAME?</v>
      </c>
      <c r="N409" s="4" t="e">
        <f ca="1">F409</f>
        <v>#NAME?</v>
      </c>
      <c r="O409" s="4"/>
      <c r="P409" s="4"/>
      <c r="Q409" s="4"/>
      <c r="S409" s="10"/>
      <c r="T409" s="10">
        <v>1348</v>
      </c>
      <c r="U409" s="10">
        <v>7</v>
      </c>
      <c r="V409" s="10" t="e">
        <f ca="1">[5]!roz(28,4,20,0)</f>
        <v>#NAME?</v>
      </c>
      <c r="W409" s="10" t="e">
        <f ca="1">[5]!mbtool(0,13,0,1)</f>
        <v>#NAME?</v>
      </c>
      <c r="X409" s="28"/>
      <c r="Y409" s="10"/>
      <c r="Z409" s="10"/>
      <c r="AA409" s="4"/>
      <c r="AB409" s="4">
        <f>T409</f>
        <v>1348</v>
      </c>
      <c r="AC409" s="4">
        <f>U409</f>
        <v>7</v>
      </c>
      <c r="AD409" s="4" t="e">
        <f ca="1">V409</f>
        <v>#NAME?</v>
      </c>
      <c r="AE409" s="4" t="e">
        <f ca="1">W409</f>
        <v>#NAME?</v>
      </c>
      <c r="AF409" s="4"/>
      <c r="AG409" s="4"/>
      <c r="AH409" s="4"/>
      <c r="AJ409" s="10"/>
      <c r="AK409" s="10">
        <f>AK374</f>
        <v>1251</v>
      </c>
      <c r="AL409" s="10">
        <v>1</v>
      </c>
      <c r="AM409" s="10">
        <v>1</v>
      </c>
      <c r="AN409" s="10">
        <v>0</v>
      </c>
      <c r="AO409" s="28"/>
      <c r="AP409" s="10"/>
      <c r="AQ409" s="10"/>
      <c r="AR409" s="4"/>
      <c r="AS409" s="4">
        <f>AK409</f>
        <v>1251</v>
      </c>
      <c r="AT409" s="4">
        <f>AL409</f>
        <v>1</v>
      </c>
      <c r="AU409" s="4">
        <f>AM409</f>
        <v>1</v>
      </c>
      <c r="AV409" s="4">
        <f>AN409</f>
        <v>0</v>
      </c>
      <c r="AW409" s="4"/>
      <c r="AX409" s="4"/>
      <c r="AY409" s="4"/>
      <c r="BA409" s="10"/>
      <c r="BB409" s="10">
        <v>1251</v>
      </c>
      <c r="BC409" s="10">
        <v>0</v>
      </c>
      <c r="BD409" s="10">
        <v>1</v>
      </c>
      <c r="BE409" s="10">
        <v>0</v>
      </c>
      <c r="BF409" s="28"/>
      <c r="BG409" s="10"/>
      <c r="BH409" s="10"/>
      <c r="BI409" s="4"/>
      <c r="BJ409" s="4">
        <f>BB409</f>
        <v>1251</v>
      </c>
      <c r="BK409" s="4">
        <f>BC409</f>
        <v>0</v>
      </c>
      <c r="BL409" s="4">
        <f>BD409</f>
        <v>1</v>
      </c>
      <c r="BM409" s="4">
        <f>BE409</f>
        <v>0</v>
      </c>
      <c r="BN409" s="4"/>
      <c r="BO409" s="4"/>
      <c r="BP409" s="4"/>
      <c r="BR409" s="10"/>
      <c r="BS409" s="10">
        <v>1286</v>
      </c>
      <c r="BT409" s="10">
        <v>9</v>
      </c>
      <c r="BU409" s="10" t="e">
        <f ca="1">[5]!roz(21,3,45,20)</f>
        <v>#NAME?</v>
      </c>
      <c r="BV409" s="10" t="e">
        <f ca="1">[5]!mbtool(0,10,6,-1)</f>
        <v>#NAME?</v>
      </c>
      <c r="BW409" s="28"/>
      <c r="BX409" s="10"/>
      <c r="BY409" s="10"/>
      <c r="BZ409" s="4"/>
      <c r="CA409" s="4">
        <f>BS409</f>
        <v>1286</v>
      </c>
      <c r="CB409" s="4">
        <f>BT409</f>
        <v>9</v>
      </c>
      <c r="CC409" s="4" t="e">
        <f ca="1">BU409</f>
        <v>#NAME?</v>
      </c>
      <c r="CD409" s="4" t="e">
        <f ca="1">BV409</f>
        <v>#NAME?</v>
      </c>
      <c r="CE409" s="4"/>
      <c r="CF409" s="4"/>
      <c r="CG409" s="4"/>
    </row>
    <row r="410" spans="1:85" ht="24.75">
      <c r="B410" s="10" t="s">
        <v>717</v>
      </c>
      <c r="C410" s="10">
        <f>C411/24</f>
        <v>2.9913087277091911E-6</v>
      </c>
      <c r="D410" s="28">
        <f>INT(ABS(C410))</f>
        <v>0</v>
      </c>
      <c r="E410" s="28">
        <f>INT((ABS(C410)-D410)*60)</f>
        <v>0</v>
      </c>
      <c r="F410" s="28">
        <f>INT((((ABS(C410)-D410)*60)-E410)*60)</f>
        <v>0</v>
      </c>
      <c r="G410" s="28">
        <f>INT((((((ABS(C410)-D410)*60)-E410)*60)-F410)*60)</f>
        <v>0</v>
      </c>
      <c r="H410" s="10"/>
      <c r="I410" s="10"/>
      <c r="J410" s="4" t="s">
        <v>717</v>
      </c>
      <c r="K410" s="4">
        <f>K411/24</f>
        <v>2.9913087277091911E-6</v>
      </c>
      <c r="L410" s="4"/>
      <c r="M410" s="4"/>
      <c r="N410" s="4"/>
      <c r="O410" s="4"/>
      <c r="P410" s="4"/>
      <c r="Q410" s="4"/>
      <c r="S410" s="10" t="s">
        <v>717</v>
      </c>
      <c r="T410" s="10">
        <f>T411/24</f>
        <v>2.600201474622771E-6</v>
      </c>
      <c r="U410" s="28">
        <f>INT(ABS(T410))</f>
        <v>0</v>
      </c>
      <c r="V410" s="28">
        <f>INT((ABS(T410)-U410)*60)</f>
        <v>0</v>
      </c>
      <c r="W410" s="28">
        <f>INT((((ABS(T410)-U410)*60)-V410)*60)</f>
        <v>0</v>
      </c>
      <c r="X410" s="28">
        <f>INT((((((ABS(T410)-U410)*60)-V410)*60)-W410)*60)</f>
        <v>0</v>
      </c>
      <c r="Y410" s="10"/>
      <c r="Z410" s="10"/>
      <c r="AA410" s="4" t="s">
        <v>717</v>
      </c>
      <c r="AB410" s="4">
        <f>AB411/24</f>
        <v>2.600201474622771E-6</v>
      </c>
      <c r="AC410" s="4"/>
      <c r="AD410" s="4"/>
      <c r="AE410" s="4"/>
      <c r="AF410" s="4"/>
      <c r="AG410" s="4"/>
      <c r="AH410" s="4"/>
      <c r="AJ410" s="10" t="s">
        <v>717</v>
      </c>
      <c r="AK410" s="10">
        <f>AK411/24</f>
        <v>2.1124292695473252E-6</v>
      </c>
      <c r="AL410" s="28">
        <f>INT(ABS(AK410))</f>
        <v>0</v>
      </c>
      <c r="AM410" s="28">
        <f>INT((ABS(AK410)-AL410)*60)</f>
        <v>0</v>
      </c>
      <c r="AN410" s="28">
        <f>INT((((ABS(AK410)-AL410)*60)-AM410)*60)</f>
        <v>0</v>
      </c>
      <c r="AO410" s="28">
        <f>INT((((((ABS(AK410)-AL410)*60)-AM410)*60)-AN410)*60)</f>
        <v>0</v>
      </c>
      <c r="AP410" s="10"/>
      <c r="AQ410" s="10"/>
      <c r="AR410" s="4" t="s">
        <v>717</v>
      </c>
      <c r="AS410" s="4">
        <f>AS411/24</f>
        <v>2.1124292695473252E-6</v>
      </c>
      <c r="AT410" s="4"/>
      <c r="AU410" s="4"/>
      <c r="AV410" s="4"/>
      <c r="AW410" s="4"/>
      <c r="AX410" s="4"/>
      <c r="AY410" s="4"/>
      <c r="BA410" s="10" t="s">
        <v>717</v>
      </c>
      <c r="BB410" s="10">
        <f>BB411/24</f>
        <v>2.7334104938271601E-6</v>
      </c>
      <c r="BC410" s="28">
        <f>INT(ABS(BB410))</f>
        <v>0</v>
      </c>
      <c r="BD410" s="28">
        <f>INT((ABS(BB410)-BC410)*60)</f>
        <v>0</v>
      </c>
      <c r="BE410" s="28">
        <f>INT((((ABS(BB410)-BC410)*60)-BD410)*60)</f>
        <v>0</v>
      </c>
      <c r="BF410" s="28">
        <f>INT((((((ABS(BB410)-BC410)*60)-BD410)*60)-BE410)*60)</f>
        <v>0</v>
      </c>
      <c r="BG410" s="10"/>
      <c r="BH410" s="10"/>
      <c r="BI410" s="4" t="s">
        <v>717</v>
      </c>
      <c r="BJ410" s="4">
        <f>BJ411/24</f>
        <v>2.7334104938271601E-6</v>
      </c>
      <c r="BK410" s="4"/>
      <c r="BL410" s="4"/>
      <c r="BM410" s="4"/>
      <c r="BN410" s="4"/>
      <c r="BO410" s="4"/>
      <c r="BP410" s="4"/>
      <c r="BR410" s="10" t="s">
        <v>717</v>
      </c>
      <c r="BS410" s="10">
        <f>BS411/24</f>
        <v>3.1329303840877905E-6</v>
      </c>
      <c r="BT410" s="28">
        <f>INT(ABS(BS410))</f>
        <v>0</v>
      </c>
      <c r="BU410" s="28">
        <f>INT((ABS(BS410)-BT410)*60)</f>
        <v>0</v>
      </c>
      <c r="BV410" s="28">
        <f>INT((((ABS(BS410)-BT410)*60)-BU410)*60)</f>
        <v>0</v>
      </c>
      <c r="BW410" s="28">
        <f>INT((((((ABS(BS410)-BT410)*60)-BU410)*60)-BV410)*60)</f>
        <v>0</v>
      </c>
      <c r="BX410" s="10"/>
      <c r="BY410" s="10"/>
      <c r="BZ410" s="4" t="s">
        <v>717</v>
      </c>
      <c r="CA410" s="4">
        <f>CA411/24</f>
        <v>3.1329303840877905E-6</v>
      </c>
      <c r="CB410" s="4"/>
      <c r="CC410" s="4"/>
      <c r="CD410" s="4"/>
      <c r="CE410" s="4"/>
      <c r="CF410" s="4"/>
      <c r="CG410" s="4"/>
    </row>
    <row r="411" spans="1:85">
      <c r="B411" s="10" t="s">
        <v>718</v>
      </c>
      <c r="C411" s="134">
        <f>(((((((((I411/60)+H411)/60)+G411)/60)+F411)/60)+E411)/60)+D411</f>
        <v>7.1791409465020583E-5</v>
      </c>
      <c r="D411" s="10">
        <v>0</v>
      </c>
      <c r="E411" s="10">
        <v>0</v>
      </c>
      <c r="F411" s="10">
        <v>0</v>
      </c>
      <c r="G411" s="10">
        <v>15</v>
      </c>
      <c r="H411" s="10">
        <v>30</v>
      </c>
      <c r="I411" s="10">
        <v>25</v>
      </c>
      <c r="J411" s="4" t="s">
        <v>718</v>
      </c>
      <c r="K411" s="134">
        <f>C411</f>
        <v>7.1791409465020583E-5</v>
      </c>
      <c r="L411" s="4">
        <v>0</v>
      </c>
      <c r="M411" s="4">
        <v>2</v>
      </c>
      <c r="N411" s="4">
        <v>0</v>
      </c>
      <c r="O411" s="4">
        <v>34</v>
      </c>
      <c r="P411" s="4">
        <v>24</v>
      </c>
      <c r="Q411" s="4">
        <v>39</v>
      </c>
      <c r="S411" s="10" t="s">
        <v>718</v>
      </c>
      <c r="T411" s="134">
        <f>AB411</f>
        <v>6.2404835390946503E-5</v>
      </c>
      <c r="U411" s="10">
        <v>0</v>
      </c>
      <c r="V411" s="10">
        <v>4</v>
      </c>
      <c r="W411" s="10">
        <v>59</v>
      </c>
      <c r="X411" s="10">
        <v>15</v>
      </c>
      <c r="Y411" s="10">
        <v>57</v>
      </c>
      <c r="Z411" s="10">
        <v>32</v>
      </c>
      <c r="AA411" s="4" t="s">
        <v>718</v>
      </c>
      <c r="AB411" s="134">
        <f>(((((((((AH411/60)+AG411)/60)+AF411)/60)+AE411)/60)+AD411)/60)+AC411</f>
        <v>6.2404835390946503E-5</v>
      </c>
      <c r="AC411" s="4">
        <v>0</v>
      </c>
      <c r="AD411" s="4">
        <v>0</v>
      </c>
      <c r="AE411" s="4">
        <v>0</v>
      </c>
      <c r="AF411" s="4">
        <v>13</v>
      </c>
      <c r="AG411" s="4">
        <v>28</v>
      </c>
      <c r="AH411" s="4">
        <v>46</v>
      </c>
      <c r="AJ411" s="10" t="s">
        <v>718</v>
      </c>
      <c r="AK411" s="134">
        <f>AS411</f>
        <v>5.0698302469135806E-5</v>
      </c>
      <c r="AL411" s="10">
        <v>0</v>
      </c>
      <c r="AM411" s="10">
        <v>4</v>
      </c>
      <c r="AN411" s="10">
        <v>59</v>
      </c>
      <c r="AO411" s="10">
        <v>15</v>
      </c>
      <c r="AP411" s="10">
        <v>57</v>
      </c>
      <c r="AQ411" s="10">
        <v>32</v>
      </c>
      <c r="AR411" s="4" t="s">
        <v>718</v>
      </c>
      <c r="AS411" s="134">
        <f>(((((((((AY411/60)+AX411)/60)+AW411)/60)+AV411)/60)+AU411)/60)+AT411</f>
        <v>5.0698302469135806E-5</v>
      </c>
      <c r="AT411" s="4">
        <v>0</v>
      </c>
      <c r="AU411" s="4">
        <v>0</v>
      </c>
      <c r="AV411" s="4">
        <v>0</v>
      </c>
      <c r="AW411" s="4">
        <v>10</v>
      </c>
      <c r="AX411" s="4">
        <v>57</v>
      </c>
      <c r="AY411" s="4">
        <v>3</v>
      </c>
      <c r="BA411" s="10" t="s">
        <v>718</v>
      </c>
      <c r="BB411" s="134">
        <f>BJ411</f>
        <v>6.5601851851851845E-5</v>
      </c>
      <c r="BC411" s="10">
        <v>0</v>
      </c>
      <c r="BD411" s="10">
        <v>4</v>
      </c>
      <c r="BE411" s="10">
        <v>59</v>
      </c>
      <c r="BF411" s="10">
        <v>15</v>
      </c>
      <c r="BG411" s="10">
        <v>57</v>
      </c>
      <c r="BH411" s="10">
        <v>32</v>
      </c>
      <c r="BI411" s="4" t="s">
        <v>718</v>
      </c>
      <c r="BJ411" s="134">
        <f>(((((((((BP411/60)+BO411)/60)+BN411)/60)+BM411)/60)+BL411)/60)+BK411</f>
        <v>6.5601851851851845E-5</v>
      </c>
      <c r="BK411" s="4">
        <v>0</v>
      </c>
      <c r="BL411" s="4">
        <v>0</v>
      </c>
      <c r="BM411" s="4">
        <v>0</v>
      </c>
      <c r="BN411" s="4">
        <v>14</v>
      </c>
      <c r="BO411" s="4">
        <v>10</v>
      </c>
      <c r="BP411" s="4">
        <v>12</v>
      </c>
      <c r="BR411" s="10" t="s">
        <v>718</v>
      </c>
      <c r="BS411" s="134">
        <f>CA411</f>
        <v>7.5190329218106976E-5</v>
      </c>
      <c r="BT411" s="10">
        <v>0</v>
      </c>
      <c r="BU411" s="10">
        <v>4</v>
      </c>
      <c r="BV411" s="10">
        <v>59</v>
      </c>
      <c r="BW411" s="10">
        <v>15</v>
      </c>
      <c r="BX411" s="10">
        <v>57</v>
      </c>
      <c r="BY411" s="10">
        <v>32</v>
      </c>
      <c r="BZ411" s="4" t="s">
        <v>718</v>
      </c>
      <c r="CA411" s="134">
        <f>(((((((((CG411/60)+CF411)/60)+CE411)/60)+CD411)/60)+CC411)/60)+CB411</f>
        <v>7.5190329218106976E-5</v>
      </c>
      <c r="CB411" s="4">
        <v>0</v>
      </c>
      <c r="CC411" s="4">
        <v>0</v>
      </c>
      <c r="CD411" s="4">
        <v>0</v>
      </c>
      <c r="CE411" s="4">
        <v>16</v>
      </c>
      <c r="CF411" s="4">
        <v>14</v>
      </c>
      <c r="CG411" s="4">
        <v>28</v>
      </c>
    </row>
    <row r="412" spans="1:85">
      <c r="B412" s="10"/>
      <c r="C412" s="10"/>
      <c r="D412" s="10"/>
      <c r="E412" s="10"/>
      <c r="F412" s="10"/>
      <c r="G412" s="10"/>
      <c r="H412" s="10"/>
      <c r="I412" s="10"/>
      <c r="J412" s="4"/>
      <c r="K412" s="4"/>
      <c r="L412" s="4"/>
      <c r="M412" s="4"/>
      <c r="N412" s="4"/>
      <c r="O412" s="4"/>
      <c r="P412" s="4"/>
      <c r="Q412" s="4"/>
      <c r="S412" s="10"/>
      <c r="T412" s="10"/>
      <c r="U412" s="10"/>
      <c r="V412" s="10"/>
      <c r="W412" s="10"/>
      <c r="X412" s="10"/>
      <c r="Y412" s="10"/>
      <c r="Z412" s="10"/>
      <c r="AA412" s="4"/>
      <c r="AB412" s="4"/>
      <c r="AC412" s="4"/>
      <c r="AD412" s="4"/>
      <c r="AE412" s="4"/>
      <c r="AF412" s="4"/>
      <c r="AG412" s="4"/>
      <c r="AH412" s="4"/>
      <c r="AJ412" s="10"/>
      <c r="AK412" s="10"/>
      <c r="AL412" s="10"/>
      <c r="AM412" s="10"/>
      <c r="AN412" s="10"/>
      <c r="AO412" s="10"/>
      <c r="AP412" s="10"/>
      <c r="AQ412" s="10"/>
      <c r="AR412" s="4"/>
      <c r="AS412" s="4"/>
      <c r="AT412" s="4"/>
      <c r="AU412" s="4"/>
      <c r="AV412" s="4"/>
      <c r="AW412" s="4"/>
      <c r="AX412" s="4"/>
      <c r="AY412" s="4"/>
      <c r="BA412" s="10"/>
      <c r="BB412" s="10"/>
      <c r="BC412" s="10"/>
      <c r="BD412" s="10"/>
      <c r="BE412" s="10"/>
      <c r="BF412" s="10"/>
      <c r="BG412" s="10"/>
      <c r="BH412" s="10"/>
      <c r="BI412" s="4"/>
      <c r="BJ412" s="4"/>
      <c r="BK412" s="4"/>
      <c r="BL412" s="4"/>
      <c r="BM412" s="4"/>
      <c r="BN412" s="4"/>
      <c r="BO412" s="4"/>
      <c r="BP412" s="4"/>
      <c r="BR412" s="10"/>
      <c r="BS412" s="10"/>
      <c r="BT412" s="10"/>
      <c r="BU412" s="10"/>
      <c r="BV412" s="10"/>
      <c r="BW412" s="10"/>
      <c r="BX412" s="10"/>
      <c r="BY412" s="10"/>
      <c r="BZ412" s="4"/>
      <c r="CA412" s="4"/>
      <c r="CB412" s="4"/>
      <c r="CC412" s="4"/>
      <c r="CD412" s="4"/>
      <c r="CE412" s="4"/>
      <c r="CF412" s="4"/>
      <c r="CG412" s="4"/>
    </row>
    <row r="413" spans="1:85" ht="24.75">
      <c r="B413" s="10" t="s">
        <v>719</v>
      </c>
      <c r="C413" s="10">
        <f>MOD(((C414*19)+(C415*11)),360)</f>
        <v>0.76321447402263387</v>
      </c>
      <c r="D413" s="28">
        <f>INT(ABS(C413))</f>
        <v>0</v>
      </c>
      <c r="E413" s="28">
        <f>INT((ABS(C413)-D413)*60)</f>
        <v>45</v>
      </c>
      <c r="F413" s="28">
        <f>INT((((ABS(C413)-D413)*60)-E413)*60)</f>
        <v>47</v>
      </c>
      <c r="G413" s="28">
        <f>INT((((((ABS(C413)-D413)*60)-E413)*60)-F413)*60)</f>
        <v>34</v>
      </c>
      <c r="H413" s="10"/>
      <c r="I413" s="10"/>
      <c r="J413" s="4" t="s">
        <v>719</v>
      </c>
      <c r="K413" s="4">
        <f>MOD(((K414*19)+(K415*11)),360)</f>
        <v>0.76321447402263387</v>
      </c>
      <c r="L413" s="4"/>
      <c r="M413" s="4"/>
      <c r="N413" s="4"/>
      <c r="O413" s="4"/>
      <c r="P413" s="4"/>
      <c r="Q413" s="4"/>
      <c r="S413" s="10" t="s">
        <v>719</v>
      </c>
      <c r="T413" s="10">
        <f>MOD(((T414*19)+(T415*11)),360)</f>
        <v>0.66342580504115234</v>
      </c>
      <c r="U413" s="28">
        <f>INT(ABS(T413))</f>
        <v>0</v>
      </c>
      <c r="V413" s="28">
        <f>INT((ABS(T413)-U413)*60)</f>
        <v>39</v>
      </c>
      <c r="W413" s="28">
        <f>INT((((ABS(T413)-U413)*60)-V413)*60)</f>
        <v>48</v>
      </c>
      <c r="X413" s="28">
        <f>INT((((((ABS(T413)-U413)*60)-V413)*60)-W413)*60)</f>
        <v>19</v>
      </c>
      <c r="Y413" s="10"/>
      <c r="Z413" s="10"/>
      <c r="AA413" s="4" t="s">
        <v>719</v>
      </c>
      <c r="AB413" s="4">
        <f>MOD(((AB414*19)+(AB415*11)),360)</f>
        <v>0.66342580504115234</v>
      </c>
      <c r="AC413" s="4"/>
      <c r="AD413" s="4"/>
      <c r="AE413" s="4"/>
      <c r="AF413" s="4"/>
      <c r="AG413" s="4"/>
      <c r="AH413" s="4"/>
      <c r="AJ413" s="10" t="s">
        <v>719</v>
      </c>
      <c r="AK413" s="10">
        <f>MOD(((AK414*19)+(AK415*11)),360)</f>
        <v>0.53897365354938276</v>
      </c>
      <c r="AL413" s="28">
        <f>INT(ABS(AK413))</f>
        <v>0</v>
      </c>
      <c r="AM413" s="28">
        <f>INT((ABS(AK413)-AL413)*60)</f>
        <v>32</v>
      </c>
      <c r="AN413" s="28">
        <f>INT((((ABS(AK413)-AL413)*60)-AM413)*60)</f>
        <v>20</v>
      </c>
      <c r="AO413" s="28">
        <f>INT((((((ABS(AK413)-AL413)*60)-AM413)*60)-AN413)*60)</f>
        <v>18</v>
      </c>
      <c r="AP413" s="10"/>
      <c r="AQ413" s="10"/>
      <c r="AR413" s="4" t="s">
        <v>719</v>
      </c>
      <c r="AS413" s="4">
        <f>MOD(((AS414*19)+(AS415*11)),360)</f>
        <v>0.53897365354938276</v>
      </c>
      <c r="AT413" s="4"/>
      <c r="AU413" s="4"/>
      <c r="AV413" s="4"/>
      <c r="AW413" s="4"/>
      <c r="AX413" s="4"/>
      <c r="AY413" s="4"/>
      <c r="BA413" s="10" t="s">
        <v>719</v>
      </c>
      <c r="BB413" s="10">
        <f>MOD(((BB414*19)+(BB415*11)),360)</f>
        <v>0.69741328703703709</v>
      </c>
      <c r="BC413" s="28">
        <f>INT(ABS(BB413))</f>
        <v>0</v>
      </c>
      <c r="BD413" s="28">
        <f>INT((ABS(BB413)-BC413)*60)</f>
        <v>41</v>
      </c>
      <c r="BE413" s="28">
        <f>INT((((ABS(BB413)-BC413)*60)-BD413)*60)</f>
        <v>50</v>
      </c>
      <c r="BF413" s="28">
        <f>INT((((((ABS(BB413)-BC413)*60)-BD413)*60)-BE413)*60)</f>
        <v>41</v>
      </c>
      <c r="BG413" s="10"/>
      <c r="BH413" s="10"/>
      <c r="BI413" s="4" t="s">
        <v>719</v>
      </c>
      <c r="BJ413" s="4">
        <f>MOD(((BJ414*19)+(BJ415*11)),360)</f>
        <v>0.69741328703703709</v>
      </c>
      <c r="BK413" s="4"/>
      <c r="BL413" s="4"/>
      <c r="BM413" s="4"/>
      <c r="BN413" s="4"/>
      <c r="BO413" s="4"/>
      <c r="BP413" s="4"/>
      <c r="BR413" s="10" t="s">
        <v>719</v>
      </c>
      <c r="BS413" s="10">
        <f>MOD(((BS414*19)+(BS415*11)),360)</f>
        <v>0.79934838991769541</v>
      </c>
      <c r="BT413" s="28">
        <f>INT(ABS(BS413))</f>
        <v>0</v>
      </c>
      <c r="BU413" s="28">
        <f>INT((ABS(BS413)-BT413)*60)</f>
        <v>47</v>
      </c>
      <c r="BV413" s="28">
        <f>INT((((ABS(BS413)-BT413)*60)-BU413)*60)</f>
        <v>57</v>
      </c>
      <c r="BW413" s="28">
        <f>INT((((((ABS(BS413)-BT413)*60)-BU413)*60)-BV413)*60)</f>
        <v>39</v>
      </c>
      <c r="BX413" s="10"/>
      <c r="BY413" s="10"/>
      <c r="BZ413" s="4" t="s">
        <v>719</v>
      </c>
      <c r="CA413" s="4">
        <f>MOD(((CA414*19)+(CA415*11)),360)</f>
        <v>0.79934838991769541</v>
      </c>
      <c r="CB413" s="4"/>
      <c r="CC413" s="4"/>
      <c r="CD413" s="4"/>
      <c r="CE413" s="4"/>
      <c r="CF413" s="4"/>
      <c r="CG413" s="4"/>
    </row>
    <row r="414" spans="1:85">
      <c r="B414" s="10" t="s">
        <v>271</v>
      </c>
      <c r="C414" s="134">
        <f>(((((((((I414/60)+H414)/60)+G414)/60)+F414)/60)+E414)/60)+D414</f>
        <v>2.5414158950617285E-2</v>
      </c>
      <c r="D414" s="10">
        <v>0</v>
      </c>
      <c r="E414" s="10">
        <v>1</v>
      </c>
      <c r="F414" s="10">
        <v>31</v>
      </c>
      <c r="G414" s="10">
        <v>29</v>
      </c>
      <c r="H414" s="10">
        <v>27</v>
      </c>
      <c r="I414" s="10">
        <v>30</v>
      </c>
      <c r="J414" s="4" t="s">
        <v>271</v>
      </c>
      <c r="K414" s="134">
        <f>C414</f>
        <v>2.5414158950617285E-2</v>
      </c>
      <c r="L414" s="4">
        <v>11</v>
      </c>
      <c r="M414" s="4">
        <v>51</v>
      </c>
      <c r="N414" s="4">
        <v>23</v>
      </c>
      <c r="O414" s="4">
        <v>1</v>
      </c>
      <c r="P414" s="4">
        <v>26</v>
      </c>
      <c r="Q414" s="4">
        <v>6</v>
      </c>
      <c r="S414" s="10" t="s">
        <v>271</v>
      </c>
      <c r="T414" s="134">
        <f>AB414</f>
        <v>2.2091311728395062E-2</v>
      </c>
      <c r="U414" s="10">
        <v>29</v>
      </c>
      <c r="V414" s="10">
        <v>25</v>
      </c>
      <c r="W414" s="10">
        <v>40</v>
      </c>
      <c r="X414" s="10">
        <v>9</v>
      </c>
      <c r="Y414" s="10">
        <v>26</v>
      </c>
      <c r="Z414" s="10">
        <v>48</v>
      </c>
      <c r="AA414" s="4" t="s">
        <v>271</v>
      </c>
      <c r="AB414" s="134">
        <f>(((((((((AH414/60)+AG414)/60)+AF414)/60)+AE414)/60)+AD414)/60)+AC414</f>
        <v>2.2091311728395062E-2</v>
      </c>
      <c r="AC414" s="4">
        <v>0</v>
      </c>
      <c r="AD414" s="4">
        <v>1</v>
      </c>
      <c r="AE414" s="4">
        <v>19</v>
      </c>
      <c r="AF414" s="4">
        <v>31</v>
      </c>
      <c r="AG414" s="4">
        <v>43</v>
      </c>
      <c r="AH414" s="4">
        <v>24</v>
      </c>
      <c r="AJ414" s="10" t="s">
        <v>271</v>
      </c>
      <c r="AK414" s="134">
        <f>AS414</f>
        <v>1.7947199074074074E-2</v>
      </c>
      <c r="AL414" s="10">
        <v>29</v>
      </c>
      <c r="AM414" s="10">
        <v>25</v>
      </c>
      <c r="AN414" s="10">
        <v>40</v>
      </c>
      <c r="AO414" s="10">
        <v>9</v>
      </c>
      <c r="AP414" s="10">
        <v>26</v>
      </c>
      <c r="AQ414" s="10">
        <v>48</v>
      </c>
      <c r="AR414" s="4" t="s">
        <v>271</v>
      </c>
      <c r="AS414" s="134">
        <f>(((((((((AY414/60)+AX414)/60)+AW414)/60)+AV414)/60)+AU414)/60)+AT414</f>
        <v>1.7947199074074074E-2</v>
      </c>
      <c r="AT414" s="4">
        <v>0</v>
      </c>
      <c r="AU414" s="4">
        <v>1</v>
      </c>
      <c r="AV414" s="4">
        <v>4</v>
      </c>
      <c r="AW414" s="4">
        <v>36</v>
      </c>
      <c r="AX414" s="4">
        <v>35</v>
      </c>
      <c r="AY414" s="4">
        <v>42</v>
      </c>
      <c r="BA414" s="10" t="s">
        <v>271</v>
      </c>
      <c r="BB414" s="134">
        <f>BJ414</f>
        <v>2.3223055555555556E-2</v>
      </c>
      <c r="BC414" s="10">
        <v>29</v>
      </c>
      <c r="BD414" s="10">
        <v>25</v>
      </c>
      <c r="BE414" s="10">
        <v>40</v>
      </c>
      <c r="BF414" s="10">
        <v>9</v>
      </c>
      <c r="BG414" s="10">
        <v>26</v>
      </c>
      <c r="BH414" s="10">
        <v>48</v>
      </c>
      <c r="BI414" s="4" t="s">
        <v>271</v>
      </c>
      <c r="BJ414" s="134">
        <f>(((((((((BP414/60)+BO414)/60)+BN414)/60)+BM414)/60)+BL414)/60)+BK414</f>
        <v>2.3223055555555556E-2</v>
      </c>
      <c r="BK414" s="4">
        <v>0</v>
      </c>
      <c r="BL414" s="4">
        <v>1</v>
      </c>
      <c r="BM414" s="4">
        <v>23</v>
      </c>
      <c r="BN414" s="4">
        <v>36</v>
      </c>
      <c r="BO414" s="4">
        <v>10</v>
      </c>
      <c r="BP414" s="4">
        <v>48</v>
      </c>
      <c r="BR414" s="10" t="s">
        <v>271</v>
      </c>
      <c r="BS414" s="134">
        <f>CA414</f>
        <v>2.6617376543209875E-2</v>
      </c>
      <c r="BT414" s="10">
        <v>29</v>
      </c>
      <c r="BU414" s="10">
        <v>25</v>
      </c>
      <c r="BV414" s="10">
        <v>40</v>
      </c>
      <c r="BW414" s="10">
        <v>9</v>
      </c>
      <c r="BX414" s="10">
        <v>26</v>
      </c>
      <c r="BY414" s="10">
        <v>48</v>
      </c>
      <c r="BZ414" s="4" t="s">
        <v>271</v>
      </c>
      <c r="CA414" s="134">
        <f>(((((((((CG414/60)+CF414)/60)+CE414)/60)+CD414)/60)+CC414)/60)+CB414</f>
        <v>2.6617376543209875E-2</v>
      </c>
      <c r="CB414" s="4">
        <v>0</v>
      </c>
      <c r="CC414" s="4">
        <v>1</v>
      </c>
      <c r="CD414" s="4">
        <v>35</v>
      </c>
      <c r="CE414" s="4">
        <v>49</v>
      </c>
      <c r="CF414" s="4">
        <v>21</v>
      </c>
      <c r="CG414" s="4">
        <v>12</v>
      </c>
    </row>
    <row r="415" spans="1:85">
      <c r="B415" s="10" t="s">
        <v>270</v>
      </c>
      <c r="C415" s="134">
        <f>(((((((((I415/60)+H415)/60)+G415)/60)+F415)/60)+E415)/60)+D415</f>
        <v>2.5485950360082308E-2</v>
      </c>
      <c r="D415" s="10">
        <v>0</v>
      </c>
      <c r="E415" s="10">
        <v>1</v>
      </c>
      <c r="F415" s="10">
        <v>31</v>
      </c>
      <c r="G415" s="10">
        <v>44</v>
      </c>
      <c r="H415" s="10">
        <v>57</v>
      </c>
      <c r="I415" s="10">
        <v>55</v>
      </c>
      <c r="J415" s="4" t="s">
        <v>270</v>
      </c>
      <c r="K415" s="134">
        <f>C415</f>
        <v>2.5485950360082308E-2</v>
      </c>
      <c r="L415" s="4">
        <v>11</v>
      </c>
      <c r="M415" s="4">
        <v>53</v>
      </c>
      <c r="N415" s="4">
        <v>23</v>
      </c>
      <c r="O415" s="4">
        <v>35</v>
      </c>
      <c r="P415" s="4">
        <v>50</v>
      </c>
      <c r="Q415" s="4">
        <v>15</v>
      </c>
      <c r="S415" s="10" t="s">
        <v>270</v>
      </c>
      <c r="T415" s="134">
        <f>AB415</f>
        <v>2.2153716563786008E-2</v>
      </c>
      <c r="U415" s="10">
        <v>29</v>
      </c>
      <c r="V415" s="10">
        <v>30</v>
      </c>
      <c r="W415" s="10">
        <v>39</v>
      </c>
      <c r="X415" s="10">
        <v>25</v>
      </c>
      <c r="Y415" s="10">
        <v>24</v>
      </c>
      <c r="Z415" s="10">
        <v>20</v>
      </c>
      <c r="AA415" s="4" t="s">
        <v>270</v>
      </c>
      <c r="AB415" s="134">
        <f>(((((((((AH415/60)+AG415)/60)+AF415)/60)+AE415)/60)+AD415)/60)+AC415</f>
        <v>2.2153716563786008E-2</v>
      </c>
      <c r="AC415" s="4">
        <v>0</v>
      </c>
      <c r="AD415" s="4">
        <v>1</v>
      </c>
      <c r="AE415" s="4">
        <v>19</v>
      </c>
      <c r="AF415" s="4">
        <v>45</v>
      </c>
      <c r="AG415" s="4">
        <v>12</v>
      </c>
      <c r="AH415" s="4">
        <v>10</v>
      </c>
      <c r="AJ415" s="10" t="s">
        <v>270</v>
      </c>
      <c r="AK415" s="134">
        <f>AS415</f>
        <v>1.7997897376543212E-2</v>
      </c>
      <c r="AL415" s="10">
        <v>29</v>
      </c>
      <c r="AM415" s="10">
        <v>30</v>
      </c>
      <c r="AN415" s="10">
        <v>39</v>
      </c>
      <c r="AO415" s="10">
        <v>25</v>
      </c>
      <c r="AP415" s="10">
        <v>24</v>
      </c>
      <c r="AQ415" s="10">
        <v>20</v>
      </c>
      <c r="AR415" s="4" t="s">
        <v>270</v>
      </c>
      <c r="AS415" s="134">
        <f>(((((((((AY415/60)+AX415)/60)+AW415)/60)+AV415)/60)+AU415)/60)+AT415</f>
        <v>1.7997897376543212E-2</v>
      </c>
      <c r="AT415" s="4">
        <v>0</v>
      </c>
      <c r="AU415" s="4">
        <v>1</v>
      </c>
      <c r="AV415" s="4">
        <v>4</v>
      </c>
      <c r="AW415" s="4">
        <v>47</v>
      </c>
      <c r="AX415" s="4">
        <v>32</v>
      </c>
      <c r="AY415" s="4">
        <v>45</v>
      </c>
      <c r="BA415" s="10" t="s">
        <v>270</v>
      </c>
      <c r="BB415" s="134">
        <f>BJ415</f>
        <v>2.3288657407407407E-2</v>
      </c>
      <c r="BC415" s="10">
        <v>29</v>
      </c>
      <c r="BD415" s="10">
        <v>30</v>
      </c>
      <c r="BE415" s="10">
        <v>39</v>
      </c>
      <c r="BF415" s="10">
        <v>25</v>
      </c>
      <c r="BG415" s="10">
        <v>24</v>
      </c>
      <c r="BH415" s="10">
        <v>20</v>
      </c>
      <c r="BI415" s="4" t="s">
        <v>270</v>
      </c>
      <c r="BJ415" s="134">
        <f>(((((((((BP415/60)+BO415)/60)+BN415)/60)+BM415)/60)+BL415)/60)+BK415</f>
        <v>2.3288657407407407E-2</v>
      </c>
      <c r="BK415" s="4">
        <v>0</v>
      </c>
      <c r="BL415" s="4">
        <v>1</v>
      </c>
      <c r="BM415" s="4">
        <v>23</v>
      </c>
      <c r="BN415" s="4">
        <v>50</v>
      </c>
      <c r="BO415" s="4">
        <v>21</v>
      </c>
      <c r="BP415" s="4">
        <v>0</v>
      </c>
      <c r="BR415" s="10" t="s">
        <v>270</v>
      </c>
      <c r="BS415" s="134">
        <f>CA415</f>
        <v>2.6692566872427981E-2</v>
      </c>
      <c r="BT415" s="10">
        <v>29</v>
      </c>
      <c r="BU415" s="10">
        <v>30</v>
      </c>
      <c r="BV415" s="10">
        <v>39</v>
      </c>
      <c r="BW415" s="10">
        <v>25</v>
      </c>
      <c r="BX415" s="10">
        <v>24</v>
      </c>
      <c r="BY415" s="10">
        <v>20</v>
      </c>
      <c r="BZ415" s="4" t="s">
        <v>270</v>
      </c>
      <c r="CA415" s="134">
        <f>(((((((((CG415/60)+CF415)/60)+CE415)/60)+CD415)/60)+CC415)/60)+CB415</f>
        <v>2.6692566872427981E-2</v>
      </c>
      <c r="CB415" s="4">
        <v>0</v>
      </c>
      <c r="CC415" s="4">
        <v>1</v>
      </c>
      <c r="CD415" s="4">
        <v>36</v>
      </c>
      <c r="CE415" s="4">
        <v>5</v>
      </c>
      <c r="CF415" s="4">
        <v>35</v>
      </c>
      <c r="CG415" s="4">
        <v>40</v>
      </c>
    </row>
    <row r="416" spans="1:85">
      <c r="B416" s="10" t="s">
        <v>745</v>
      </c>
      <c r="C416" s="134">
        <f>(((((((((I416/60)+H416)/60)+G416)/60)+F416)/60)+E416)/60)+D416</f>
        <v>193.80833333333334</v>
      </c>
      <c r="D416" s="10">
        <v>193</v>
      </c>
      <c r="E416" s="10">
        <v>48</v>
      </c>
      <c r="F416" s="10">
        <v>30</v>
      </c>
      <c r="G416" s="10"/>
      <c r="H416" s="10"/>
      <c r="I416" s="10"/>
      <c r="J416" s="4" t="s">
        <v>581</v>
      </c>
      <c r="K416" s="134">
        <f>C416</f>
        <v>193.80833333333334</v>
      </c>
      <c r="L416" s="4">
        <v>194</v>
      </c>
      <c r="M416" s="4">
        <v>20</v>
      </c>
      <c r="N416" s="4">
        <v>12</v>
      </c>
      <c r="O416" s="4">
        <v>30</v>
      </c>
      <c r="P416" s="4"/>
      <c r="Q416" s="4"/>
      <c r="S416" s="10" t="s">
        <v>745</v>
      </c>
      <c r="T416" s="134">
        <f>AB416</f>
        <v>272.30425925925925</v>
      </c>
      <c r="U416" s="10">
        <v>74</v>
      </c>
      <c r="V416" s="10">
        <v>24</v>
      </c>
      <c r="W416" s="10">
        <v>31</v>
      </c>
      <c r="X416" s="10"/>
      <c r="Y416" s="10"/>
      <c r="Z416" s="10"/>
      <c r="AA416" s="4" t="s">
        <v>745</v>
      </c>
      <c r="AB416" s="134">
        <f>(((((((((AH416/60)+AG416)/60)+AF416)/60)+AE416)/60)+AD416)/60)+AC416</f>
        <v>272.30425925925925</v>
      </c>
      <c r="AC416" s="4">
        <v>272</v>
      </c>
      <c r="AD416" s="4">
        <v>18</v>
      </c>
      <c r="AE416" s="4">
        <v>15</v>
      </c>
      <c r="AF416" s="4">
        <v>20</v>
      </c>
      <c r="AG416" s="4"/>
      <c r="AH416" s="4"/>
      <c r="AJ416" s="10" t="s">
        <v>745</v>
      </c>
      <c r="AK416" s="134">
        <f>AS416</f>
        <v>153.07882870370369</v>
      </c>
      <c r="AL416" s="10">
        <v>74</v>
      </c>
      <c r="AM416" s="10">
        <v>24</v>
      </c>
      <c r="AN416" s="10">
        <v>31</v>
      </c>
      <c r="AO416" s="10"/>
      <c r="AP416" s="10"/>
      <c r="AQ416" s="10"/>
      <c r="AR416" s="4" t="s">
        <v>745</v>
      </c>
      <c r="AS416" s="134">
        <f>(((((((((AY416/60)+AX416)/60)+AW416)/60)+AV416)/60)+AU416)/60)+AT416</f>
        <v>153.07882870370369</v>
      </c>
      <c r="AT416" s="4">
        <v>153</v>
      </c>
      <c r="AU416" s="4">
        <v>4</v>
      </c>
      <c r="AV416" s="4">
        <v>43</v>
      </c>
      <c r="AW416" s="4">
        <v>47</v>
      </c>
      <c r="AX416" s="4"/>
      <c r="AY416" s="4"/>
      <c r="BA416" s="10" t="s">
        <v>745</v>
      </c>
      <c r="BB416" s="134">
        <f>BJ416</f>
        <v>310.15277777777777</v>
      </c>
      <c r="BC416" s="10">
        <v>74</v>
      </c>
      <c r="BD416" s="10">
        <v>24</v>
      </c>
      <c r="BE416" s="10">
        <v>31</v>
      </c>
      <c r="BF416" s="10"/>
      <c r="BG416" s="10"/>
      <c r="BH416" s="10"/>
      <c r="BI416" s="4" t="s">
        <v>745</v>
      </c>
      <c r="BJ416" s="134">
        <f>(((((((((BP416/60)+BO416)/60)+BN416)/60)+BM416)/60)+BL416)/60)+BK416</f>
        <v>310.15277777777777</v>
      </c>
      <c r="BK416" s="4">
        <v>310</v>
      </c>
      <c r="BL416" s="4">
        <v>9</v>
      </c>
      <c r="BM416" s="4">
        <v>10</v>
      </c>
      <c r="BN416" s="4">
        <v>0</v>
      </c>
      <c r="BO416" s="4"/>
      <c r="BP416" s="4"/>
      <c r="BR416" s="10" t="s">
        <v>581</v>
      </c>
      <c r="BS416" s="134">
        <f>CA416</f>
        <v>256.74</v>
      </c>
      <c r="BT416" s="10">
        <v>74</v>
      </c>
      <c r="BU416" s="10">
        <v>24</v>
      </c>
      <c r="BV416" s="10">
        <v>31</v>
      </c>
      <c r="BW416" s="10"/>
      <c r="BX416" s="10"/>
      <c r="BY416" s="10"/>
      <c r="BZ416" s="4" t="s">
        <v>745</v>
      </c>
      <c r="CA416" s="134">
        <f>(((((((((CG416/60)+CF416)/60)+CE416)/60)+CD416)/60)+CC416)/60)+CB416</f>
        <v>256.74</v>
      </c>
      <c r="CB416" s="4">
        <v>256</v>
      </c>
      <c r="CC416" s="4">
        <v>44</v>
      </c>
      <c r="CD416" s="4">
        <v>24</v>
      </c>
      <c r="CE416" s="4">
        <v>0</v>
      </c>
      <c r="CF416" s="4"/>
      <c r="CG416" s="4"/>
    </row>
    <row r="417" spans="2:85" ht="24.75">
      <c r="B417" s="10" t="s">
        <v>720</v>
      </c>
      <c r="C417" s="10">
        <f>30-MOD((1251-C409),30)</f>
        <v>9</v>
      </c>
      <c r="D417" s="28">
        <f t="shared" ref="D417:D434" si="182">INT(ABS(C417))</f>
        <v>9</v>
      </c>
      <c r="E417" s="28">
        <f t="shared" ref="E417:E434" si="183">INT((ABS(C417)-D417)*60)</f>
        <v>0</v>
      </c>
      <c r="F417" s="28">
        <f t="shared" ref="F417:F434" si="184">INT((((ABS(C417)-D417)*60)-E417)*60)</f>
        <v>0</v>
      </c>
      <c r="G417" s="28">
        <f t="shared" ref="G417:G434" si="185">INT((((((ABS(C417)-D417)*60)-E417)*60)-F417)*60)</f>
        <v>0</v>
      </c>
      <c r="H417" s="10"/>
      <c r="I417" s="10"/>
      <c r="J417" s="4" t="s">
        <v>720</v>
      </c>
      <c r="K417" s="4">
        <f>MOD((K409-1251),30)</f>
        <v>9</v>
      </c>
      <c r="L417" s="4"/>
      <c r="M417" s="4"/>
      <c r="N417" s="4"/>
      <c r="O417" s="4"/>
      <c r="P417" s="4"/>
      <c r="Q417" s="4"/>
      <c r="S417" s="10" t="s">
        <v>720</v>
      </c>
      <c r="T417" s="10">
        <f>30-MOD((1251-T409),30)</f>
        <v>7</v>
      </c>
      <c r="U417" s="28">
        <f t="shared" ref="U417:U434" si="186">INT(ABS(T417))</f>
        <v>7</v>
      </c>
      <c r="V417" s="28">
        <f t="shared" ref="V417:V434" si="187">INT((ABS(T417)-U417)*60)</f>
        <v>0</v>
      </c>
      <c r="W417" s="28">
        <f t="shared" ref="W417:W434" si="188">INT((((ABS(T417)-U417)*60)-V417)*60)</f>
        <v>0</v>
      </c>
      <c r="X417" s="28">
        <f t="shared" ref="X417:X434" si="189">INT((((((ABS(T417)-U417)*60)-V417)*60)-W417)*60)</f>
        <v>0</v>
      </c>
      <c r="Y417" s="10"/>
      <c r="Z417" s="10"/>
      <c r="AA417" s="4" t="s">
        <v>720</v>
      </c>
      <c r="AB417" s="4">
        <f>MOD((AB409-1251),30)</f>
        <v>7</v>
      </c>
      <c r="AC417" s="4"/>
      <c r="AD417" s="4"/>
      <c r="AE417" s="4"/>
      <c r="AF417" s="4"/>
      <c r="AG417" s="4"/>
      <c r="AH417" s="4"/>
      <c r="AJ417" s="10" t="s">
        <v>720</v>
      </c>
      <c r="AK417" s="10">
        <f>30-MOD((1251-AK409),30)</f>
        <v>30</v>
      </c>
      <c r="AL417" s="28">
        <f t="shared" ref="AL417:AL434" si="190">INT(ABS(AK417))</f>
        <v>30</v>
      </c>
      <c r="AM417" s="28">
        <f t="shared" ref="AM417:AM434" si="191">INT((ABS(AK417)-AL417)*60)</f>
        <v>0</v>
      </c>
      <c r="AN417" s="28">
        <f t="shared" ref="AN417:AN434" si="192">INT((((ABS(AK417)-AL417)*60)-AM417)*60)</f>
        <v>0</v>
      </c>
      <c r="AO417" s="28">
        <f t="shared" ref="AO417:AO434" si="193">INT((((((ABS(AK417)-AL417)*60)-AM417)*60)-AN417)*60)</f>
        <v>0</v>
      </c>
      <c r="AP417" s="10"/>
      <c r="AQ417" s="10"/>
      <c r="AR417" s="4" t="s">
        <v>720</v>
      </c>
      <c r="AS417" s="4">
        <f>MOD((AS409-1251),30)</f>
        <v>0</v>
      </c>
      <c r="AT417" s="4"/>
      <c r="AU417" s="4"/>
      <c r="AV417" s="4"/>
      <c r="AW417" s="4"/>
      <c r="AX417" s="4"/>
      <c r="AY417" s="4"/>
      <c r="BA417" s="10" t="s">
        <v>720</v>
      </c>
      <c r="BB417" s="10">
        <f>30-MOD((1251-BB409),30)</f>
        <v>30</v>
      </c>
      <c r="BC417" s="28">
        <f t="shared" ref="BC417:BC434" si="194">INT(ABS(BB417))</f>
        <v>30</v>
      </c>
      <c r="BD417" s="28">
        <f t="shared" ref="BD417:BD434" si="195">INT((ABS(BB417)-BC417)*60)</f>
        <v>0</v>
      </c>
      <c r="BE417" s="28">
        <f t="shared" ref="BE417:BE434" si="196">INT((((ABS(BB417)-BC417)*60)-BD417)*60)</f>
        <v>0</v>
      </c>
      <c r="BF417" s="28">
        <f t="shared" ref="BF417:BF434" si="197">INT((((((ABS(BB417)-BC417)*60)-BD417)*60)-BE417)*60)</f>
        <v>0</v>
      </c>
      <c r="BG417" s="10"/>
      <c r="BH417" s="10"/>
      <c r="BI417" s="4" t="s">
        <v>720</v>
      </c>
      <c r="BJ417" s="4">
        <f>MOD((BJ409-1251),30)</f>
        <v>0</v>
      </c>
      <c r="BK417" s="4"/>
      <c r="BL417" s="4"/>
      <c r="BM417" s="4"/>
      <c r="BN417" s="4"/>
      <c r="BO417" s="4"/>
      <c r="BP417" s="4"/>
      <c r="BR417" s="10" t="s">
        <v>720</v>
      </c>
      <c r="BS417" s="10">
        <f>30-MOD((1251-BS409),30)</f>
        <v>5</v>
      </c>
      <c r="BT417" s="28">
        <f t="shared" ref="BT417:BT434" si="198">INT(ABS(BS417))</f>
        <v>5</v>
      </c>
      <c r="BU417" s="28">
        <f t="shared" ref="BU417:BU434" si="199">INT((ABS(BS417)-BT417)*60)</f>
        <v>0</v>
      </c>
      <c r="BV417" s="28">
        <f t="shared" ref="BV417:BV434" si="200">INT((((ABS(BS417)-BT417)*60)-BU417)*60)</f>
        <v>0</v>
      </c>
      <c r="BW417" s="28">
        <f t="shared" ref="BW417:BW434" si="201">INT((((((ABS(BS417)-BT417)*60)-BU417)*60)-BV417)*60)</f>
        <v>0</v>
      </c>
      <c r="BX417" s="10"/>
      <c r="BY417" s="10"/>
      <c r="BZ417" s="4" t="s">
        <v>720</v>
      </c>
      <c r="CA417" s="4">
        <f>MOD((CA409-1251),30)</f>
        <v>5</v>
      </c>
      <c r="CB417" s="4"/>
      <c r="CC417" s="4"/>
      <c r="CD417" s="4"/>
      <c r="CE417" s="4"/>
      <c r="CF417" s="4"/>
      <c r="CG417" s="4"/>
    </row>
    <row r="418" spans="2:85" ht="24.75">
      <c r="B418" s="10" t="s">
        <v>268</v>
      </c>
      <c r="C418" s="10" t="e">
        <f ca="1">[5]!kab(C417)</f>
        <v>#NAME?</v>
      </c>
      <c r="D418" s="28" t="e">
        <f ca="1">INT(ABS(C418))</f>
        <v>#NAME?</v>
      </c>
      <c r="E418" s="28" t="e">
        <f ca="1">INT((ABS(C418)-D418)*60)</f>
        <v>#NAME?</v>
      </c>
      <c r="F418" s="28" t="e">
        <f ca="1">INT((((ABS(C418)-D418)*60)-E418)*60)</f>
        <v>#NAME?</v>
      </c>
      <c r="G418" s="28" t="e">
        <f ca="1">INT((((((ABS(C418)-D418)*60)-E418)*60)-F418)*60)</f>
        <v>#NAME?</v>
      </c>
      <c r="H418" s="10"/>
      <c r="I418" s="10"/>
      <c r="J418" s="4" t="s">
        <v>268</v>
      </c>
      <c r="K418" s="4" t="e">
        <f ca="1">[5]!kab(K417)</f>
        <v>#NAME?</v>
      </c>
      <c r="L418" s="4"/>
      <c r="M418" s="4"/>
      <c r="N418" s="4"/>
      <c r="O418" s="4"/>
      <c r="P418" s="4"/>
      <c r="Q418" s="4"/>
      <c r="S418" s="10" t="s">
        <v>268</v>
      </c>
      <c r="T418" s="10" t="e">
        <f ca="1">[5]!kab(T417)</f>
        <v>#NAME?</v>
      </c>
      <c r="U418" s="28" t="e">
        <f ca="1">INT(ABS(T418))</f>
        <v>#NAME?</v>
      </c>
      <c r="V418" s="28" t="e">
        <f ca="1">INT((ABS(T418)-U418)*60)</f>
        <v>#NAME?</v>
      </c>
      <c r="W418" s="28" t="e">
        <f ca="1">INT((((ABS(T418)-U418)*60)-V418)*60)</f>
        <v>#NAME?</v>
      </c>
      <c r="X418" s="28" t="e">
        <f ca="1">INT((((((ABS(T418)-U418)*60)-V418)*60)-W418)*60)</f>
        <v>#NAME?</v>
      </c>
      <c r="Y418" s="10"/>
      <c r="Z418" s="10"/>
      <c r="AA418" s="4" t="s">
        <v>268</v>
      </c>
      <c r="AB418" s="4" t="e">
        <f ca="1">[5]!kab(AB417)</f>
        <v>#NAME?</v>
      </c>
      <c r="AC418" s="4"/>
      <c r="AD418" s="4"/>
      <c r="AE418" s="4"/>
      <c r="AF418" s="4"/>
      <c r="AG418" s="4"/>
      <c r="AH418" s="4"/>
      <c r="AJ418" s="10" t="s">
        <v>268</v>
      </c>
      <c r="AK418" s="10" t="e">
        <f ca="1">[5]!kab(AK417)</f>
        <v>#NAME?</v>
      </c>
      <c r="AL418" s="28" t="e">
        <f ca="1">INT(ABS(AK418))</f>
        <v>#NAME?</v>
      </c>
      <c r="AM418" s="28" t="e">
        <f ca="1">INT((ABS(AK418)-AL418)*60)</f>
        <v>#NAME?</v>
      </c>
      <c r="AN418" s="28" t="e">
        <f ca="1">INT((((ABS(AK418)-AL418)*60)-AM418)*60)</f>
        <v>#NAME?</v>
      </c>
      <c r="AO418" s="28" t="e">
        <f ca="1">INT((((((ABS(AK418)-AL418)*60)-AM418)*60)-AN418)*60)</f>
        <v>#NAME?</v>
      </c>
      <c r="AP418" s="10"/>
      <c r="AQ418" s="10"/>
      <c r="AR418" s="4" t="s">
        <v>268</v>
      </c>
      <c r="AS418" s="4" t="e">
        <f ca="1">[5]!kab(AS417)</f>
        <v>#NAME?</v>
      </c>
      <c r="AT418" s="4"/>
      <c r="AU418" s="4"/>
      <c r="AV418" s="4"/>
      <c r="AW418" s="4"/>
      <c r="AX418" s="4"/>
      <c r="AY418" s="4"/>
      <c r="BA418" s="10" t="s">
        <v>268</v>
      </c>
      <c r="BB418" s="10" t="e">
        <f ca="1">[5]!kab(BB417)</f>
        <v>#NAME?</v>
      </c>
      <c r="BC418" s="28" t="e">
        <f ca="1">INT(ABS(BB418))</f>
        <v>#NAME?</v>
      </c>
      <c r="BD418" s="28" t="e">
        <f ca="1">INT((ABS(BB418)-BC418)*60)</f>
        <v>#NAME?</v>
      </c>
      <c r="BE418" s="28" t="e">
        <f ca="1">INT((((ABS(BB418)-BC418)*60)-BD418)*60)</f>
        <v>#NAME?</v>
      </c>
      <c r="BF418" s="28" t="e">
        <f ca="1">INT((((((ABS(BB418)-BC418)*60)-BD418)*60)-BE418)*60)</f>
        <v>#NAME?</v>
      </c>
      <c r="BG418" s="10"/>
      <c r="BH418" s="10"/>
      <c r="BI418" s="4" t="s">
        <v>268</v>
      </c>
      <c r="BJ418" s="4" t="e">
        <f ca="1">[5]!kab(BJ417)</f>
        <v>#NAME?</v>
      </c>
      <c r="BK418" s="4"/>
      <c r="BL418" s="4"/>
      <c r="BM418" s="4"/>
      <c r="BN418" s="4"/>
      <c r="BO418" s="4"/>
      <c r="BP418" s="4"/>
      <c r="BR418" s="10" t="s">
        <v>268</v>
      </c>
      <c r="BS418" s="10" t="e">
        <f ca="1">[5]!kab(BS417)</f>
        <v>#NAME?</v>
      </c>
      <c r="BT418" s="28" t="e">
        <f ca="1">INT(ABS(BS418))</f>
        <v>#NAME?</v>
      </c>
      <c r="BU418" s="28" t="e">
        <f ca="1">INT((ABS(BS418)-BT418)*60)</f>
        <v>#NAME?</v>
      </c>
      <c r="BV418" s="28" t="e">
        <f ca="1">INT((((ABS(BS418)-BT418)*60)-BU418)*60)</f>
        <v>#NAME?</v>
      </c>
      <c r="BW418" s="28" t="e">
        <f ca="1">INT((((((ABS(BS418)-BT418)*60)-BU418)*60)-BV418)*60)</f>
        <v>#NAME?</v>
      </c>
      <c r="BX418" s="10"/>
      <c r="BY418" s="10"/>
      <c r="BZ418" s="4" t="s">
        <v>268</v>
      </c>
      <c r="CA418" s="4" t="e">
        <f ca="1">[5]!kab(CA417)</f>
        <v>#NAME?</v>
      </c>
      <c r="CB418" s="4"/>
      <c r="CC418" s="4"/>
      <c r="CD418" s="4"/>
      <c r="CE418" s="4"/>
      <c r="CF418" s="4"/>
      <c r="CG418" s="4"/>
    </row>
    <row r="419" spans="2:85" ht="24.75">
      <c r="B419" s="10" t="s">
        <v>272</v>
      </c>
      <c r="C419" s="10" t="e">
        <f ca="1">C417-C418</f>
        <v>#NAME?</v>
      </c>
      <c r="D419" s="28" t="e">
        <f ca="1">INT(ABS(C419))</f>
        <v>#NAME?</v>
      </c>
      <c r="E419" s="28" t="e">
        <f ca="1">INT((ABS(C419)-D419)*60)</f>
        <v>#NAME?</v>
      </c>
      <c r="F419" s="28" t="e">
        <f ca="1">INT((((ABS(C419)-D419)*60)-E419)*60)</f>
        <v>#NAME?</v>
      </c>
      <c r="G419" s="28" t="e">
        <f ca="1">INT((((((ABS(C419)-D419)*60)-E419)*60)-F419)*60)</f>
        <v>#NAME?</v>
      </c>
      <c r="H419" s="10"/>
      <c r="I419" s="10"/>
      <c r="J419" s="4" t="s">
        <v>272</v>
      </c>
      <c r="K419" s="4" t="e">
        <f ca="1">K417-K418</f>
        <v>#NAME?</v>
      </c>
      <c r="L419" s="4"/>
      <c r="M419" s="4"/>
      <c r="N419" s="4"/>
      <c r="O419" s="4"/>
      <c r="P419" s="4"/>
      <c r="Q419" s="4"/>
      <c r="S419" s="10" t="s">
        <v>272</v>
      </c>
      <c r="T419" s="10" t="e">
        <f ca="1">T417-T418</f>
        <v>#NAME?</v>
      </c>
      <c r="U419" s="28" t="e">
        <f ca="1">INT(ABS(T419))</f>
        <v>#NAME?</v>
      </c>
      <c r="V419" s="28" t="e">
        <f ca="1">INT((ABS(T419)-U419)*60)</f>
        <v>#NAME?</v>
      </c>
      <c r="W419" s="28" t="e">
        <f ca="1">INT((((ABS(T419)-U419)*60)-V419)*60)</f>
        <v>#NAME?</v>
      </c>
      <c r="X419" s="28" t="e">
        <f ca="1">INT((((((ABS(T419)-U419)*60)-V419)*60)-W419)*60)</f>
        <v>#NAME?</v>
      </c>
      <c r="Y419" s="10"/>
      <c r="Z419" s="10"/>
      <c r="AA419" s="4" t="s">
        <v>272</v>
      </c>
      <c r="AB419" s="4" t="e">
        <f ca="1">AB417-AB418</f>
        <v>#NAME?</v>
      </c>
      <c r="AC419" s="4"/>
      <c r="AD419" s="4"/>
      <c r="AE419" s="4"/>
      <c r="AF419" s="4"/>
      <c r="AG419" s="4"/>
      <c r="AH419" s="4"/>
      <c r="AJ419" s="10" t="s">
        <v>272</v>
      </c>
      <c r="AK419" s="10" t="e">
        <f ca="1">AK417-AK418</f>
        <v>#NAME?</v>
      </c>
      <c r="AL419" s="28" t="e">
        <f ca="1">INT(ABS(AK419))</f>
        <v>#NAME?</v>
      </c>
      <c r="AM419" s="28" t="e">
        <f ca="1">INT((ABS(AK419)-AL419)*60)</f>
        <v>#NAME?</v>
      </c>
      <c r="AN419" s="28" t="e">
        <f ca="1">INT((((ABS(AK419)-AL419)*60)-AM419)*60)</f>
        <v>#NAME?</v>
      </c>
      <c r="AO419" s="28" t="e">
        <f ca="1">INT((((((ABS(AK419)-AL419)*60)-AM419)*60)-AN419)*60)</f>
        <v>#NAME?</v>
      </c>
      <c r="AP419" s="10"/>
      <c r="AQ419" s="10"/>
      <c r="AR419" s="4" t="s">
        <v>272</v>
      </c>
      <c r="AS419" s="4" t="e">
        <f ca="1">AS417-AS418</f>
        <v>#NAME?</v>
      </c>
      <c r="AT419" s="4"/>
      <c r="AU419" s="4"/>
      <c r="AV419" s="4"/>
      <c r="AW419" s="4"/>
      <c r="AX419" s="4"/>
      <c r="AY419" s="4"/>
      <c r="BA419" s="10" t="s">
        <v>272</v>
      </c>
      <c r="BB419" s="10" t="e">
        <f ca="1">BB417-BB418</f>
        <v>#NAME?</v>
      </c>
      <c r="BC419" s="28" t="e">
        <f ca="1">INT(ABS(BB419))</f>
        <v>#NAME?</v>
      </c>
      <c r="BD419" s="28" t="e">
        <f ca="1">INT((ABS(BB419)-BC419)*60)</f>
        <v>#NAME?</v>
      </c>
      <c r="BE419" s="28" t="e">
        <f ca="1">INT((((ABS(BB419)-BC419)*60)-BD419)*60)</f>
        <v>#NAME?</v>
      </c>
      <c r="BF419" s="28" t="e">
        <f ca="1">INT((((((ABS(BB419)-BC419)*60)-BD419)*60)-BE419)*60)</f>
        <v>#NAME?</v>
      </c>
      <c r="BG419" s="10"/>
      <c r="BH419" s="10"/>
      <c r="BI419" s="4" t="s">
        <v>272</v>
      </c>
      <c r="BJ419" s="4" t="e">
        <f ca="1">BJ417-BJ418</f>
        <v>#NAME?</v>
      </c>
      <c r="BK419" s="4"/>
      <c r="BL419" s="4"/>
      <c r="BM419" s="4"/>
      <c r="BN419" s="4"/>
      <c r="BO419" s="4"/>
      <c r="BP419" s="4"/>
      <c r="BR419" s="10" t="s">
        <v>272</v>
      </c>
      <c r="BS419" s="10" t="e">
        <f ca="1">BS417-BS418</f>
        <v>#NAME?</v>
      </c>
      <c r="BT419" s="28" t="e">
        <f ca="1">INT(ABS(BS419))</f>
        <v>#NAME?</v>
      </c>
      <c r="BU419" s="28" t="e">
        <f ca="1">INT((ABS(BS419)-BT419)*60)</f>
        <v>#NAME?</v>
      </c>
      <c r="BV419" s="28" t="e">
        <f ca="1">INT((((ABS(BS419)-BT419)*60)-BU419)*60)</f>
        <v>#NAME?</v>
      </c>
      <c r="BW419" s="28" t="e">
        <f ca="1">INT((((((ABS(BS419)-BT419)*60)-BU419)*60)-BV419)*60)</f>
        <v>#NAME?</v>
      </c>
      <c r="BX419" s="10"/>
      <c r="BY419" s="10"/>
      <c r="BZ419" s="4" t="s">
        <v>272</v>
      </c>
      <c r="CA419" s="4" t="e">
        <f ca="1">CA417-CA418</f>
        <v>#NAME?</v>
      </c>
      <c r="CB419" s="4"/>
      <c r="CC419" s="4"/>
      <c r="CD419" s="4"/>
      <c r="CE419" s="4"/>
      <c r="CF419" s="4"/>
      <c r="CG419" s="4"/>
    </row>
    <row r="420" spans="2:85" ht="24.75">
      <c r="B420" s="10"/>
      <c r="C420" s="10" t="e">
        <f ca="1">MOD(((C418*C415)+(C419*C414)),360)</f>
        <v>#NAME?</v>
      </c>
      <c r="D420" s="28" t="e">
        <f ca="1">INT(ABS(C420))</f>
        <v>#NAME?</v>
      </c>
      <c r="E420" s="28" t="e">
        <f ca="1">INT((ABS(C420)-D420)*60)</f>
        <v>#NAME?</v>
      </c>
      <c r="F420" s="28" t="e">
        <f ca="1">INT((((ABS(C420)-D420)*60)-E420)*60)</f>
        <v>#NAME?</v>
      </c>
      <c r="G420" s="28" t="e">
        <f ca="1">INT((((((ABS(C420)-D420)*60)-E420)*60)-F420)*60)</f>
        <v>#NAME?</v>
      </c>
      <c r="H420" s="10"/>
      <c r="I420" s="10"/>
      <c r="J420" s="4"/>
      <c r="K420" s="4" t="e">
        <f ca="1">[5]!ba((K418*K415)+(K419*K414))</f>
        <v>#NAME?</v>
      </c>
      <c r="L420" s="133" t="e">
        <f ca="1">INT(ABS(K420))</f>
        <v>#NAME?</v>
      </c>
      <c r="M420" s="133" t="e">
        <f ca="1">INT((ABS(K420)-L420)*60)</f>
        <v>#NAME?</v>
      </c>
      <c r="N420" s="133" t="e">
        <f ca="1">INT((((ABS(K420)-L420)*60)-M420)*60)</f>
        <v>#NAME?</v>
      </c>
      <c r="O420" s="133" t="e">
        <f ca="1">INT((((((ABS(K420)-L420)*60)-M420)*60)-N420)*60)</f>
        <v>#NAME?</v>
      </c>
      <c r="P420" s="4"/>
      <c r="Q420" s="4"/>
      <c r="S420" s="10"/>
      <c r="T420" s="10" t="e">
        <f ca="1">MOD(((T418*T415)+(T419*T414)),360)</f>
        <v>#NAME?</v>
      </c>
      <c r="U420" s="28" t="e">
        <f ca="1">INT(ABS(T420))</f>
        <v>#NAME?</v>
      </c>
      <c r="V420" s="28" t="e">
        <f ca="1">INT((ABS(T420)-U420)*60)</f>
        <v>#NAME?</v>
      </c>
      <c r="W420" s="28" t="e">
        <f ca="1">INT((((ABS(T420)-U420)*60)-V420)*60)</f>
        <v>#NAME?</v>
      </c>
      <c r="X420" s="28" t="e">
        <f ca="1">INT((((((ABS(T420)-U420)*60)-V420)*60)-W420)*60)</f>
        <v>#NAME?</v>
      </c>
      <c r="Y420" s="10"/>
      <c r="Z420" s="10"/>
      <c r="AA420" s="4"/>
      <c r="AB420" s="4" t="e">
        <f ca="1">[5]!ba((AB418*AB415)+(AB419*AB414))</f>
        <v>#NAME?</v>
      </c>
      <c r="AC420" s="133" t="e">
        <f ca="1">INT(ABS(AB420))</f>
        <v>#NAME?</v>
      </c>
      <c r="AD420" s="133" t="e">
        <f ca="1">INT((ABS(AB420)-AC420)*60)</f>
        <v>#NAME?</v>
      </c>
      <c r="AE420" s="133" t="e">
        <f ca="1">INT((((ABS(AB420)-AC420)*60)-AD420)*60)</f>
        <v>#NAME?</v>
      </c>
      <c r="AF420" s="133" t="e">
        <f ca="1">INT((((((ABS(AB420)-AC420)*60)-AD420)*60)-AE420)*60)</f>
        <v>#NAME?</v>
      </c>
      <c r="AG420" s="4"/>
      <c r="AH420" s="4"/>
      <c r="AJ420" s="10"/>
      <c r="AK420" s="10" t="e">
        <f ca="1">MOD(((AK418*AK415)+(AK419*AK414)),360)</f>
        <v>#NAME?</v>
      </c>
      <c r="AL420" s="28" t="e">
        <f ca="1">INT(ABS(AK420))</f>
        <v>#NAME?</v>
      </c>
      <c r="AM420" s="28" t="e">
        <f ca="1">INT((ABS(AK420)-AL420)*60)</f>
        <v>#NAME?</v>
      </c>
      <c r="AN420" s="28" t="e">
        <f ca="1">INT((((ABS(AK420)-AL420)*60)-AM420)*60)</f>
        <v>#NAME?</v>
      </c>
      <c r="AO420" s="28" t="e">
        <f ca="1">INT((((((ABS(AK420)-AL420)*60)-AM420)*60)-AN420)*60)</f>
        <v>#NAME?</v>
      </c>
      <c r="AP420" s="10"/>
      <c r="AQ420" s="10"/>
      <c r="AR420" s="4"/>
      <c r="AS420" s="4" t="e">
        <f ca="1">[5]!ba((AS418*AS415)+(AS419*AS414))</f>
        <v>#NAME?</v>
      </c>
      <c r="AT420" s="133" t="e">
        <f ca="1">INT(ABS(AS420))</f>
        <v>#NAME?</v>
      </c>
      <c r="AU420" s="133" t="e">
        <f ca="1">INT((ABS(AS420)-AT420)*60)</f>
        <v>#NAME?</v>
      </c>
      <c r="AV420" s="133" t="e">
        <f ca="1">INT((((ABS(AS420)-AT420)*60)-AU420)*60)</f>
        <v>#NAME?</v>
      </c>
      <c r="AW420" s="133" t="e">
        <f ca="1">INT((((((ABS(AS420)-AT420)*60)-AU420)*60)-AV420)*60)</f>
        <v>#NAME?</v>
      </c>
      <c r="AX420" s="4"/>
      <c r="AY420" s="4"/>
      <c r="BA420" s="10"/>
      <c r="BB420" s="10" t="e">
        <f ca="1">MOD(((BB418*BB415)+(BB419*BB414)),360)</f>
        <v>#NAME?</v>
      </c>
      <c r="BC420" s="28" t="e">
        <f ca="1">INT(ABS(BB420))</f>
        <v>#NAME?</v>
      </c>
      <c r="BD420" s="28" t="e">
        <f ca="1">INT((ABS(BB420)-BC420)*60)</f>
        <v>#NAME?</v>
      </c>
      <c r="BE420" s="28" t="e">
        <f ca="1">INT((((ABS(BB420)-BC420)*60)-BD420)*60)</f>
        <v>#NAME?</v>
      </c>
      <c r="BF420" s="28" t="e">
        <f ca="1">INT((((((ABS(BB420)-BC420)*60)-BD420)*60)-BE420)*60)</f>
        <v>#NAME?</v>
      </c>
      <c r="BG420" s="10"/>
      <c r="BH420" s="10"/>
      <c r="BI420" s="4"/>
      <c r="BJ420" s="4" t="e">
        <f ca="1">[5]!ba((BJ418*BJ415)+(BJ419*BJ414))</f>
        <v>#NAME?</v>
      </c>
      <c r="BK420" s="133" t="e">
        <f ca="1">INT(ABS(BJ420))</f>
        <v>#NAME?</v>
      </c>
      <c r="BL420" s="133" t="e">
        <f ca="1">INT((ABS(BJ420)-BK420)*60)</f>
        <v>#NAME?</v>
      </c>
      <c r="BM420" s="133" t="e">
        <f ca="1">INT((((ABS(BJ420)-BK420)*60)-BL420)*60)</f>
        <v>#NAME?</v>
      </c>
      <c r="BN420" s="133" t="e">
        <f ca="1">INT((((((ABS(BJ420)-BK420)*60)-BL420)*60)-BM420)*60)</f>
        <v>#NAME?</v>
      </c>
      <c r="BO420" s="4"/>
      <c r="BP420" s="4"/>
      <c r="BR420" s="10"/>
      <c r="BS420" s="10" t="e">
        <f ca="1">MOD(((BS418*BS415)+(BS419*BS414)),360)</f>
        <v>#NAME?</v>
      </c>
      <c r="BT420" s="28" t="e">
        <f ca="1">INT(ABS(BS420))</f>
        <v>#NAME?</v>
      </c>
      <c r="BU420" s="28" t="e">
        <f ca="1">INT((ABS(BS420)-BT420)*60)</f>
        <v>#NAME?</v>
      </c>
      <c r="BV420" s="28" t="e">
        <f ca="1">INT((((ABS(BS420)-BT420)*60)-BU420)*60)</f>
        <v>#NAME?</v>
      </c>
      <c r="BW420" s="28" t="e">
        <f ca="1">INT((((((ABS(BS420)-BT420)*60)-BU420)*60)-BV420)*60)</f>
        <v>#NAME?</v>
      </c>
      <c r="BX420" s="10"/>
      <c r="BY420" s="10"/>
      <c r="BZ420" s="4"/>
      <c r="CA420" s="4" t="e">
        <f ca="1">[5]!ba((CA418*CA415)+(CA419*CA414))</f>
        <v>#NAME?</v>
      </c>
      <c r="CB420" s="133" t="e">
        <f ca="1">INT(ABS(CA420))</f>
        <v>#NAME?</v>
      </c>
      <c r="CC420" s="133" t="e">
        <f ca="1">INT((ABS(CA420)-CB420)*60)</f>
        <v>#NAME?</v>
      </c>
      <c r="CD420" s="133" t="e">
        <f ca="1">INT((((ABS(CA420)-CB420)*60)-CC420)*60)</f>
        <v>#NAME?</v>
      </c>
      <c r="CE420" s="133" t="e">
        <f ca="1">INT((((((ABS(CA420)-CB420)*60)-CC420)*60)-CD420)*60)</f>
        <v>#NAME?</v>
      </c>
      <c r="CF420" s="4"/>
      <c r="CG420" s="4"/>
    </row>
    <row r="421" spans="2:85" ht="24.75">
      <c r="B421" s="10" t="s">
        <v>721</v>
      </c>
      <c r="C421" s="10" t="e">
        <f ca="1">[5]!ba(C420+C416)</f>
        <v>#NAME?</v>
      </c>
      <c r="D421" s="28" t="e">
        <f ca="1">INT(ABS(C421))</f>
        <v>#NAME?</v>
      </c>
      <c r="E421" s="28" t="e">
        <f ca="1">INT((ABS(C421)-D421)*60)</f>
        <v>#NAME?</v>
      </c>
      <c r="F421" s="28" t="e">
        <f ca="1">INT((((ABS(C421)-D421)*60)-E421)*60)</f>
        <v>#NAME?</v>
      </c>
      <c r="G421" s="28" t="e">
        <f ca="1">INT((((((ABS(C421)-D421)*60)-E421)*60)-F421)*60)</f>
        <v>#NAME?</v>
      </c>
      <c r="H421" s="10"/>
      <c r="I421" s="10"/>
      <c r="J421" s="4" t="s">
        <v>721</v>
      </c>
      <c r="K421" s="4" t="e">
        <f ca="1">[5]!ba(K420+K416)</f>
        <v>#NAME?</v>
      </c>
      <c r="L421" s="133" t="e">
        <f ca="1">INT(ABS(K421))</f>
        <v>#NAME?</v>
      </c>
      <c r="M421" s="133" t="e">
        <f ca="1">INT((ABS(K421)-L421)*60)</f>
        <v>#NAME?</v>
      </c>
      <c r="N421" s="133" t="e">
        <f ca="1">INT((((ABS(K421)-L421)*60)-M421)*60)</f>
        <v>#NAME?</v>
      </c>
      <c r="O421" s="133" t="e">
        <f ca="1">INT((((((ABS(K421)-L421)*60)-M421)*60)-N421)*60)</f>
        <v>#NAME?</v>
      </c>
      <c r="P421" s="4"/>
      <c r="Q421" s="4"/>
      <c r="S421" s="10" t="s">
        <v>721</v>
      </c>
      <c r="T421" s="10" t="e">
        <f ca="1">[5]!ba(T420+T416)</f>
        <v>#NAME?</v>
      </c>
      <c r="U421" s="28" t="e">
        <f ca="1">INT(ABS(T421))</f>
        <v>#NAME?</v>
      </c>
      <c r="V421" s="28" t="e">
        <f ca="1">INT((ABS(T421)-U421)*60)</f>
        <v>#NAME?</v>
      </c>
      <c r="W421" s="28" t="e">
        <f ca="1">INT((((ABS(T421)-U421)*60)-V421)*60)</f>
        <v>#NAME?</v>
      </c>
      <c r="X421" s="28" t="e">
        <f ca="1">INT((((((ABS(T421)-U421)*60)-V421)*60)-W421)*60)</f>
        <v>#NAME?</v>
      </c>
      <c r="Y421" s="10"/>
      <c r="Z421" s="10"/>
      <c r="AA421" s="4" t="s">
        <v>721</v>
      </c>
      <c r="AB421" s="4" t="e">
        <f ca="1">[5]!ba(AB420+AB416)</f>
        <v>#NAME?</v>
      </c>
      <c r="AC421" s="133" t="e">
        <f ca="1">INT(ABS(AB421))</f>
        <v>#NAME?</v>
      </c>
      <c r="AD421" s="133" t="e">
        <f ca="1">INT((ABS(AB421)-AC421)*60)</f>
        <v>#NAME?</v>
      </c>
      <c r="AE421" s="133" t="e">
        <f ca="1">INT((((ABS(AB421)-AC421)*60)-AD421)*60)</f>
        <v>#NAME?</v>
      </c>
      <c r="AF421" s="133" t="e">
        <f ca="1">INT((((((ABS(AB421)-AC421)*60)-AD421)*60)-AE421)*60)</f>
        <v>#NAME?</v>
      </c>
      <c r="AG421" s="4"/>
      <c r="AH421" s="4"/>
      <c r="AJ421" s="10" t="s">
        <v>721</v>
      </c>
      <c r="AK421" s="10" t="e">
        <f ca="1">[5]!ba(AK420+AK416)</f>
        <v>#NAME?</v>
      </c>
      <c r="AL421" s="28" t="e">
        <f ca="1">INT(ABS(AK421))</f>
        <v>#NAME?</v>
      </c>
      <c r="AM421" s="28" t="e">
        <f ca="1">INT((ABS(AK421)-AL421)*60)</f>
        <v>#NAME?</v>
      </c>
      <c r="AN421" s="28" t="e">
        <f ca="1">INT((((ABS(AK421)-AL421)*60)-AM421)*60)</f>
        <v>#NAME?</v>
      </c>
      <c r="AO421" s="28" t="e">
        <f ca="1">INT((((((ABS(AK421)-AL421)*60)-AM421)*60)-AN421)*60)</f>
        <v>#NAME?</v>
      </c>
      <c r="AP421" s="10"/>
      <c r="AQ421" s="10"/>
      <c r="AR421" s="4" t="s">
        <v>721</v>
      </c>
      <c r="AS421" s="4" t="e">
        <f ca="1">[5]!ba(AS420+AS416)</f>
        <v>#NAME?</v>
      </c>
      <c r="AT421" s="133" t="e">
        <f ca="1">INT(ABS(AS421))</f>
        <v>#NAME?</v>
      </c>
      <c r="AU421" s="133" t="e">
        <f ca="1">INT((ABS(AS421)-AT421)*60)</f>
        <v>#NAME?</v>
      </c>
      <c r="AV421" s="133" t="e">
        <f ca="1">INT((((ABS(AS421)-AT421)*60)-AU421)*60)</f>
        <v>#NAME?</v>
      </c>
      <c r="AW421" s="133" t="e">
        <f ca="1">INT((((((ABS(AS421)-AT421)*60)-AU421)*60)-AV421)*60)</f>
        <v>#NAME?</v>
      </c>
      <c r="AX421" s="4"/>
      <c r="AY421" s="4"/>
      <c r="BA421" s="10" t="s">
        <v>721</v>
      </c>
      <c r="BB421" s="10" t="e">
        <f ca="1">[5]!ba(BB420+BB416)</f>
        <v>#NAME?</v>
      </c>
      <c r="BC421" s="28" t="e">
        <f ca="1">INT(ABS(BB421))</f>
        <v>#NAME?</v>
      </c>
      <c r="BD421" s="28" t="e">
        <f ca="1">INT((ABS(BB421)-BC421)*60)</f>
        <v>#NAME?</v>
      </c>
      <c r="BE421" s="28" t="e">
        <f ca="1">INT((((ABS(BB421)-BC421)*60)-BD421)*60)</f>
        <v>#NAME?</v>
      </c>
      <c r="BF421" s="28" t="e">
        <f ca="1">INT((((((ABS(BB421)-BC421)*60)-BD421)*60)-BE421)*60)</f>
        <v>#NAME?</v>
      </c>
      <c r="BG421" s="10"/>
      <c r="BH421" s="10"/>
      <c r="BI421" s="4" t="s">
        <v>721</v>
      </c>
      <c r="BJ421" s="4" t="e">
        <f ca="1">[5]!ba(BJ420+BJ416)</f>
        <v>#NAME?</v>
      </c>
      <c r="BK421" s="133" t="e">
        <f ca="1">INT(ABS(BJ421))</f>
        <v>#NAME?</v>
      </c>
      <c r="BL421" s="133" t="e">
        <f ca="1">INT((ABS(BJ421)-BK421)*60)</f>
        <v>#NAME?</v>
      </c>
      <c r="BM421" s="133" t="e">
        <f ca="1">INT((((ABS(BJ421)-BK421)*60)-BL421)*60)</f>
        <v>#NAME?</v>
      </c>
      <c r="BN421" s="133" t="e">
        <f ca="1">INT((((((ABS(BJ421)-BK421)*60)-BL421)*60)-BM421)*60)</f>
        <v>#NAME?</v>
      </c>
      <c r="BO421" s="4"/>
      <c r="BP421" s="4"/>
      <c r="BR421" s="10" t="s">
        <v>721</v>
      </c>
      <c r="BS421" s="10" t="e">
        <f ca="1">[5]!ba(BS420+BS416)</f>
        <v>#NAME?</v>
      </c>
      <c r="BT421" s="28" t="e">
        <f ca="1">INT(ABS(BS421))</f>
        <v>#NAME?</v>
      </c>
      <c r="BU421" s="28" t="e">
        <f ca="1">INT((ABS(BS421)-BT421)*60)</f>
        <v>#NAME?</v>
      </c>
      <c r="BV421" s="28" t="e">
        <f ca="1">INT((((ABS(BS421)-BT421)*60)-BU421)*60)</f>
        <v>#NAME?</v>
      </c>
      <c r="BW421" s="28" t="e">
        <f ca="1">INT((((((ABS(BS421)-BT421)*60)-BU421)*60)-BV421)*60)</f>
        <v>#NAME?</v>
      </c>
      <c r="BX421" s="10"/>
      <c r="BY421" s="10"/>
      <c r="BZ421" s="4" t="s">
        <v>721</v>
      </c>
      <c r="CA421" s="4" t="e">
        <f ca="1">[5]!ba(CA420+CA416)</f>
        <v>#NAME?</v>
      </c>
      <c r="CB421" s="133" t="e">
        <f ca="1">INT(ABS(CA421))</f>
        <v>#NAME?</v>
      </c>
      <c r="CC421" s="133" t="e">
        <f ca="1">INT((ABS(CA421)-CB421)*60)</f>
        <v>#NAME?</v>
      </c>
      <c r="CD421" s="133" t="e">
        <f ca="1">INT((((ABS(CA421)-CB421)*60)-CC421)*60)</f>
        <v>#NAME?</v>
      </c>
      <c r="CE421" s="133" t="e">
        <f ca="1">INT((((((ABS(CA421)-CB421)*60)-CC421)*60)-CD421)*60)</f>
        <v>#NAME?</v>
      </c>
      <c r="CF421" s="4"/>
      <c r="CG421" s="4"/>
    </row>
    <row r="422" spans="2:85" ht="24.75">
      <c r="B422" s="10"/>
      <c r="C422" s="10">
        <f>1251-C409-(30-C417)</f>
        <v>1170</v>
      </c>
      <c r="D422" s="28">
        <f t="shared" si="182"/>
        <v>1170</v>
      </c>
      <c r="E422" s="28">
        <f t="shared" si="183"/>
        <v>0</v>
      </c>
      <c r="F422" s="28">
        <f t="shared" si="184"/>
        <v>0</v>
      </c>
      <c r="G422" s="28">
        <f t="shared" si="185"/>
        <v>0</v>
      </c>
      <c r="H422" s="10"/>
      <c r="I422" s="10"/>
      <c r="J422" s="4"/>
      <c r="K422" s="4"/>
      <c r="L422" s="4"/>
      <c r="M422" s="4"/>
      <c r="N422" s="4"/>
      <c r="O422" s="4"/>
      <c r="P422" s="4"/>
      <c r="Q422" s="4"/>
      <c r="S422" s="10"/>
      <c r="T422" s="10">
        <f>1251-T409-(30-T417)</f>
        <v>-120</v>
      </c>
      <c r="U422" s="28">
        <f t="shared" si="186"/>
        <v>120</v>
      </c>
      <c r="V422" s="28">
        <f t="shared" si="187"/>
        <v>0</v>
      </c>
      <c r="W422" s="28">
        <f t="shared" si="188"/>
        <v>0</v>
      </c>
      <c r="X422" s="28">
        <f t="shared" si="189"/>
        <v>0</v>
      </c>
      <c r="Y422" s="10"/>
      <c r="Z422" s="10"/>
      <c r="AA422" s="4"/>
      <c r="AB422" s="4"/>
      <c r="AC422" s="4"/>
      <c r="AD422" s="4"/>
      <c r="AE422" s="4"/>
      <c r="AF422" s="4"/>
      <c r="AG422" s="4"/>
      <c r="AH422" s="4"/>
      <c r="AJ422" s="10"/>
      <c r="AK422" s="10">
        <f>1251-AK409-(30-AK417)</f>
        <v>0</v>
      </c>
      <c r="AL422" s="28">
        <f t="shared" si="190"/>
        <v>0</v>
      </c>
      <c r="AM422" s="28">
        <f t="shared" si="191"/>
        <v>0</v>
      </c>
      <c r="AN422" s="28">
        <f t="shared" si="192"/>
        <v>0</v>
      </c>
      <c r="AO422" s="28">
        <f t="shared" si="193"/>
        <v>0</v>
      </c>
      <c r="AP422" s="10"/>
      <c r="AQ422" s="10"/>
      <c r="AR422" s="4"/>
      <c r="AS422" s="4"/>
      <c r="AT422" s="4"/>
      <c r="AU422" s="4"/>
      <c r="AV422" s="4"/>
      <c r="AW422" s="4"/>
      <c r="AX422" s="4"/>
      <c r="AY422" s="4"/>
      <c r="BA422" s="10"/>
      <c r="BB422" s="10">
        <f>1251-BB409-(30-BB417)</f>
        <v>0</v>
      </c>
      <c r="BC422" s="28">
        <f t="shared" si="194"/>
        <v>0</v>
      </c>
      <c r="BD422" s="28">
        <f t="shared" si="195"/>
        <v>0</v>
      </c>
      <c r="BE422" s="28">
        <f t="shared" si="196"/>
        <v>0</v>
      </c>
      <c r="BF422" s="28">
        <f t="shared" si="197"/>
        <v>0</v>
      </c>
      <c r="BG422" s="10"/>
      <c r="BH422" s="10"/>
      <c r="BI422" s="4"/>
      <c r="BJ422" s="4"/>
      <c r="BK422" s="4"/>
      <c r="BL422" s="4"/>
      <c r="BM422" s="4"/>
      <c r="BN422" s="4"/>
      <c r="BO422" s="4"/>
      <c r="BP422" s="4"/>
      <c r="BR422" s="10"/>
      <c r="BS422" s="10">
        <f>1251-BS409-(30-BS417)</f>
        <v>-60</v>
      </c>
      <c r="BT422" s="28">
        <f t="shared" si="198"/>
        <v>60</v>
      </c>
      <c r="BU422" s="28">
        <f t="shared" si="199"/>
        <v>0</v>
      </c>
      <c r="BV422" s="28">
        <f t="shared" si="200"/>
        <v>0</v>
      </c>
      <c r="BW422" s="28">
        <f t="shared" si="201"/>
        <v>0</v>
      </c>
      <c r="BX422" s="10"/>
      <c r="BY422" s="10"/>
      <c r="BZ422" s="4"/>
      <c r="CA422" s="4"/>
      <c r="CB422" s="4"/>
      <c r="CC422" s="4"/>
      <c r="CD422" s="4"/>
      <c r="CE422" s="4"/>
      <c r="CF422" s="4"/>
      <c r="CG422" s="4"/>
    </row>
    <row r="423" spans="2:85" ht="24.75">
      <c r="B423" s="10"/>
      <c r="C423" s="10">
        <f>C422/30</f>
        <v>39</v>
      </c>
      <c r="D423" s="28">
        <f t="shared" si="182"/>
        <v>39</v>
      </c>
      <c r="E423" s="28">
        <f t="shared" si="183"/>
        <v>0</v>
      </c>
      <c r="F423" s="28">
        <f t="shared" si="184"/>
        <v>0</v>
      </c>
      <c r="G423" s="28">
        <f t="shared" si="185"/>
        <v>0</v>
      </c>
      <c r="H423" s="10"/>
      <c r="I423" s="10"/>
      <c r="J423" s="4"/>
      <c r="K423" s="4"/>
      <c r="L423" s="4"/>
      <c r="M423" s="4"/>
      <c r="N423" s="4"/>
      <c r="O423" s="4"/>
      <c r="P423" s="4"/>
      <c r="Q423" s="4"/>
      <c r="S423" s="10"/>
      <c r="T423" s="10">
        <f>T422/30</f>
        <v>-4</v>
      </c>
      <c r="U423" s="28">
        <f t="shared" si="186"/>
        <v>4</v>
      </c>
      <c r="V423" s="28">
        <f t="shared" si="187"/>
        <v>0</v>
      </c>
      <c r="W423" s="28">
        <f t="shared" si="188"/>
        <v>0</v>
      </c>
      <c r="X423" s="28">
        <f t="shared" si="189"/>
        <v>0</v>
      </c>
      <c r="Y423" s="10"/>
      <c r="Z423" s="10"/>
      <c r="AA423" s="4"/>
      <c r="AB423" s="4"/>
      <c r="AC423" s="4"/>
      <c r="AD423" s="4"/>
      <c r="AE423" s="4"/>
      <c r="AF423" s="4"/>
      <c r="AG423" s="4"/>
      <c r="AH423" s="4"/>
      <c r="AJ423" s="10"/>
      <c r="AK423" s="10">
        <f>AK422/30</f>
        <v>0</v>
      </c>
      <c r="AL423" s="28">
        <f t="shared" si="190"/>
        <v>0</v>
      </c>
      <c r="AM423" s="28">
        <f t="shared" si="191"/>
        <v>0</v>
      </c>
      <c r="AN423" s="28">
        <f t="shared" si="192"/>
        <v>0</v>
      </c>
      <c r="AO423" s="28">
        <f t="shared" si="193"/>
        <v>0</v>
      </c>
      <c r="AP423" s="10"/>
      <c r="AQ423" s="10"/>
      <c r="AR423" s="4"/>
      <c r="AS423" s="4"/>
      <c r="AT423" s="4"/>
      <c r="AU423" s="4"/>
      <c r="AV423" s="4"/>
      <c r="AW423" s="4"/>
      <c r="AX423" s="4"/>
      <c r="AY423" s="4"/>
      <c r="BA423" s="10"/>
      <c r="BB423" s="10">
        <f>BB422/30</f>
        <v>0</v>
      </c>
      <c r="BC423" s="28">
        <f t="shared" si="194"/>
        <v>0</v>
      </c>
      <c r="BD423" s="28">
        <f t="shared" si="195"/>
        <v>0</v>
      </c>
      <c r="BE423" s="28">
        <f t="shared" si="196"/>
        <v>0</v>
      </c>
      <c r="BF423" s="28">
        <f t="shared" si="197"/>
        <v>0</v>
      </c>
      <c r="BG423" s="10"/>
      <c r="BH423" s="10"/>
      <c r="BI423" s="4"/>
      <c r="BJ423" s="4"/>
      <c r="BK423" s="4"/>
      <c r="BL423" s="4"/>
      <c r="BM423" s="4"/>
      <c r="BN423" s="4"/>
      <c r="BO423" s="4"/>
      <c r="BP423" s="4"/>
      <c r="BR423" s="10"/>
      <c r="BS423" s="10">
        <f>BS422/30</f>
        <v>-2</v>
      </c>
      <c r="BT423" s="28">
        <f t="shared" si="198"/>
        <v>2</v>
      </c>
      <c r="BU423" s="28">
        <f t="shared" si="199"/>
        <v>0</v>
      </c>
      <c r="BV423" s="28">
        <f t="shared" si="200"/>
        <v>0</v>
      </c>
      <c r="BW423" s="28">
        <f t="shared" si="201"/>
        <v>0</v>
      </c>
      <c r="BX423" s="10"/>
      <c r="BY423" s="10"/>
      <c r="BZ423" s="4"/>
      <c r="CA423" s="4"/>
      <c r="CB423" s="4"/>
      <c r="CC423" s="4"/>
      <c r="CD423" s="4"/>
      <c r="CE423" s="4"/>
      <c r="CF423" s="4"/>
      <c r="CG423" s="4"/>
    </row>
    <row r="424" spans="2:85" ht="24.75">
      <c r="B424" s="10"/>
      <c r="C424" s="10" t="e">
        <f ca="1">[5]!ba(C423*C413)</f>
        <v>#NAME?</v>
      </c>
      <c r="D424" s="28" t="e">
        <f ca="1">INT(ABS(C424))</f>
        <v>#NAME?</v>
      </c>
      <c r="E424" s="28" t="e">
        <f ca="1">INT((ABS(C424)-D424)*60)</f>
        <v>#NAME?</v>
      </c>
      <c r="F424" s="28" t="e">
        <f ca="1">INT((((ABS(C424)-D424)*60)-E424)*60)</f>
        <v>#NAME?</v>
      </c>
      <c r="G424" s="28" t="e">
        <f ca="1">INT((((((ABS(C424)-D424)*60)-E424)*60)-F424)*60)</f>
        <v>#NAME?</v>
      </c>
      <c r="H424" s="10"/>
      <c r="I424" s="10"/>
      <c r="J424" s="4"/>
      <c r="K424" s="4">
        <f>INT((K409-1251)/30)</f>
        <v>-40</v>
      </c>
      <c r="L424" s="4"/>
      <c r="M424" s="4"/>
      <c r="N424" s="4"/>
      <c r="O424" s="4"/>
      <c r="P424" s="4"/>
      <c r="Q424" s="4"/>
      <c r="S424" s="10"/>
      <c r="T424" s="10" t="e">
        <f ca="1">[5]!ba(T423*T413)</f>
        <v>#NAME?</v>
      </c>
      <c r="U424" s="28" t="e">
        <f ca="1">INT(ABS(T424))</f>
        <v>#NAME?</v>
      </c>
      <c r="V424" s="28" t="e">
        <f ca="1">INT((ABS(T424)-U424)*60)</f>
        <v>#NAME?</v>
      </c>
      <c r="W424" s="28" t="e">
        <f ca="1">INT((((ABS(T424)-U424)*60)-V424)*60)</f>
        <v>#NAME?</v>
      </c>
      <c r="X424" s="28" t="e">
        <f ca="1">INT((((((ABS(T424)-U424)*60)-V424)*60)-W424)*60)</f>
        <v>#NAME?</v>
      </c>
      <c r="Y424" s="10"/>
      <c r="Z424" s="10"/>
      <c r="AA424" s="4"/>
      <c r="AB424" s="4">
        <f>INT((AB409-1251)/30)</f>
        <v>3</v>
      </c>
      <c r="AC424" s="4"/>
      <c r="AD424" s="4"/>
      <c r="AE424" s="4"/>
      <c r="AF424" s="4"/>
      <c r="AG424" s="4"/>
      <c r="AH424" s="4"/>
      <c r="AJ424" s="10"/>
      <c r="AK424" s="10" t="e">
        <f ca="1">[5]!ba(AK423*AK413)</f>
        <v>#NAME?</v>
      </c>
      <c r="AL424" s="28" t="e">
        <f ca="1">INT(ABS(AK424))</f>
        <v>#NAME?</v>
      </c>
      <c r="AM424" s="28" t="e">
        <f ca="1">INT((ABS(AK424)-AL424)*60)</f>
        <v>#NAME?</v>
      </c>
      <c r="AN424" s="28" t="e">
        <f ca="1">INT((((ABS(AK424)-AL424)*60)-AM424)*60)</f>
        <v>#NAME?</v>
      </c>
      <c r="AO424" s="28" t="e">
        <f ca="1">INT((((((ABS(AK424)-AL424)*60)-AM424)*60)-AN424)*60)</f>
        <v>#NAME?</v>
      </c>
      <c r="AP424" s="10"/>
      <c r="AQ424" s="10"/>
      <c r="AR424" s="4"/>
      <c r="AS424" s="4">
        <f>INT((AS409-1251)/30)</f>
        <v>0</v>
      </c>
      <c r="AT424" s="4"/>
      <c r="AU424" s="4"/>
      <c r="AV424" s="4"/>
      <c r="AW424" s="4"/>
      <c r="AX424" s="4"/>
      <c r="AY424" s="4"/>
      <c r="BA424" s="10"/>
      <c r="BB424" s="10" t="e">
        <f ca="1">[5]!ba(BB423*BB413)</f>
        <v>#NAME?</v>
      </c>
      <c r="BC424" s="28" t="e">
        <f ca="1">INT(ABS(BB424))</f>
        <v>#NAME?</v>
      </c>
      <c r="BD424" s="28" t="e">
        <f ca="1">INT((ABS(BB424)-BC424)*60)</f>
        <v>#NAME?</v>
      </c>
      <c r="BE424" s="28" t="e">
        <f ca="1">INT((((ABS(BB424)-BC424)*60)-BD424)*60)</f>
        <v>#NAME?</v>
      </c>
      <c r="BF424" s="28" t="e">
        <f ca="1">INT((((((ABS(BB424)-BC424)*60)-BD424)*60)-BE424)*60)</f>
        <v>#NAME?</v>
      </c>
      <c r="BG424" s="10"/>
      <c r="BH424" s="10"/>
      <c r="BI424" s="4"/>
      <c r="BJ424" s="4">
        <f>INT((BJ409-1251)/30)</f>
        <v>0</v>
      </c>
      <c r="BK424" s="4"/>
      <c r="BL424" s="4"/>
      <c r="BM424" s="4"/>
      <c r="BN424" s="4"/>
      <c r="BO424" s="4"/>
      <c r="BP424" s="4"/>
      <c r="BR424" s="10"/>
      <c r="BS424" s="10" t="e">
        <f ca="1">[5]!ba(BS423*BS413)</f>
        <v>#NAME?</v>
      </c>
      <c r="BT424" s="28" t="e">
        <f ca="1">INT(ABS(BS424))</f>
        <v>#NAME?</v>
      </c>
      <c r="BU424" s="28" t="e">
        <f ca="1">INT((ABS(BS424)-BT424)*60)</f>
        <v>#NAME?</v>
      </c>
      <c r="BV424" s="28" t="e">
        <f ca="1">INT((((ABS(BS424)-BT424)*60)-BU424)*60)</f>
        <v>#NAME?</v>
      </c>
      <c r="BW424" s="28" t="e">
        <f ca="1">INT((((((ABS(BS424)-BT424)*60)-BU424)*60)-BV424)*60)</f>
        <v>#NAME?</v>
      </c>
      <c r="BX424" s="10"/>
      <c r="BY424" s="10"/>
      <c r="BZ424" s="4"/>
      <c r="CA424" s="4">
        <f>INT((CA409-1251)/30)</f>
        <v>1</v>
      </c>
      <c r="CB424" s="4"/>
      <c r="CC424" s="4"/>
      <c r="CD424" s="4"/>
      <c r="CE424" s="4"/>
      <c r="CF424" s="4"/>
      <c r="CG424" s="4"/>
    </row>
    <row r="425" spans="2:85" ht="24.75">
      <c r="B425" s="10"/>
      <c r="C425" s="10" t="e">
        <f ca="1">C421-C424</f>
        <v>#NAME?</v>
      </c>
      <c r="D425" s="28" t="e">
        <f ca="1">INT(ABS(C425))</f>
        <v>#NAME?</v>
      </c>
      <c r="E425" s="28" t="e">
        <f ca="1">INT((ABS(C425)-D425)*60)</f>
        <v>#NAME?</v>
      </c>
      <c r="F425" s="28" t="e">
        <f ca="1">INT((((ABS(C425)-D425)*60)-E425)*60)</f>
        <v>#NAME?</v>
      </c>
      <c r="G425" s="28" t="e">
        <f ca="1">INT((((((ABS(C425)-D425)*60)-E425)*60)-F425)*60)</f>
        <v>#NAME?</v>
      </c>
      <c r="H425" s="10"/>
      <c r="I425" s="10"/>
      <c r="J425" s="4"/>
      <c r="K425" s="4" t="e">
        <f ca="1">[5]!ba(K424*K413)</f>
        <v>#NAME?</v>
      </c>
      <c r="L425" s="133" t="e">
        <f ca="1">INT(ABS(K425))</f>
        <v>#NAME?</v>
      </c>
      <c r="M425" s="133" t="e">
        <f ca="1">INT((ABS(K425)-L425)*60)</f>
        <v>#NAME?</v>
      </c>
      <c r="N425" s="133" t="e">
        <f ca="1">INT((((ABS(K425)-L425)*60)-M425)*60)</f>
        <v>#NAME?</v>
      </c>
      <c r="O425" s="133" t="e">
        <f ca="1">INT((((((ABS(K425)-L425)*60)-M425)*60)-N425)*60)</f>
        <v>#NAME?</v>
      </c>
      <c r="P425" s="4"/>
      <c r="Q425" s="4"/>
      <c r="S425" s="10"/>
      <c r="T425" s="10" t="e">
        <f ca="1">T421-T424</f>
        <v>#NAME?</v>
      </c>
      <c r="U425" s="28" t="e">
        <f ca="1">INT(ABS(T425))</f>
        <v>#NAME?</v>
      </c>
      <c r="V425" s="28" t="e">
        <f ca="1">INT((ABS(T425)-U425)*60)</f>
        <v>#NAME?</v>
      </c>
      <c r="W425" s="28" t="e">
        <f ca="1">INT((((ABS(T425)-U425)*60)-V425)*60)</f>
        <v>#NAME?</v>
      </c>
      <c r="X425" s="28" t="e">
        <f ca="1">INT((((((ABS(T425)-U425)*60)-V425)*60)-W425)*60)</f>
        <v>#NAME?</v>
      </c>
      <c r="Y425" s="10"/>
      <c r="Z425" s="10"/>
      <c r="AA425" s="4"/>
      <c r="AB425" s="4" t="e">
        <f ca="1">[5]!ba(AB424*AB413)</f>
        <v>#NAME?</v>
      </c>
      <c r="AC425" s="133" t="e">
        <f ca="1">INT(ABS(AB425))</f>
        <v>#NAME?</v>
      </c>
      <c r="AD425" s="133" t="e">
        <f ca="1">INT((ABS(AB425)-AC425)*60)</f>
        <v>#NAME?</v>
      </c>
      <c r="AE425" s="133" t="e">
        <f ca="1">INT((((ABS(AB425)-AC425)*60)-AD425)*60)</f>
        <v>#NAME?</v>
      </c>
      <c r="AF425" s="133" t="e">
        <f ca="1">INT((((((ABS(AB425)-AC425)*60)-AD425)*60)-AE425)*60)</f>
        <v>#NAME?</v>
      </c>
      <c r="AG425" s="4"/>
      <c r="AH425" s="4"/>
      <c r="AJ425" s="10"/>
      <c r="AK425" s="10" t="e">
        <f ca="1">AK421-AK424</f>
        <v>#NAME?</v>
      </c>
      <c r="AL425" s="28" t="e">
        <f ca="1">INT(ABS(AK425))</f>
        <v>#NAME?</v>
      </c>
      <c r="AM425" s="28" t="e">
        <f ca="1">INT((ABS(AK425)-AL425)*60)</f>
        <v>#NAME?</v>
      </c>
      <c r="AN425" s="28" t="e">
        <f ca="1">INT((((ABS(AK425)-AL425)*60)-AM425)*60)</f>
        <v>#NAME?</v>
      </c>
      <c r="AO425" s="28" t="e">
        <f ca="1">INT((((((ABS(AK425)-AL425)*60)-AM425)*60)-AN425)*60)</f>
        <v>#NAME?</v>
      </c>
      <c r="AP425" s="10"/>
      <c r="AQ425" s="10"/>
      <c r="AR425" s="4"/>
      <c r="AS425" s="4" t="e">
        <f ca="1">[5]!ba(AS424*AS413)</f>
        <v>#NAME?</v>
      </c>
      <c r="AT425" s="133" t="e">
        <f ca="1">INT(ABS(AS425))</f>
        <v>#NAME?</v>
      </c>
      <c r="AU425" s="133" t="e">
        <f ca="1">INT((ABS(AS425)-AT425)*60)</f>
        <v>#NAME?</v>
      </c>
      <c r="AV425" s="133" t="e">
        <f ca="1">INT((((ABS(AS425)-AT425)*60)-AU425)*60)</f>
        <v>#NAME?</v>
      </c>
      <c r="AW425" s="133" t="e">
        <f ca="1">INT((((((ABS(AS425)-AT425)*60)-AU425)*60)-AV425)*60)</f>
        <v>#NAME?</v>
      </c>
      <c r="AX425" s="4"/>
      <c r="AY425" s="4"/>
      <c r="BA425" s="10"/>
      <c r="BB425" s="10" t="e">
        <f ca="1">BB421-BB424</f>
        <v>#NAME?</v>
      </c>
      <c r="BC425" s="28" t="e">
        <f ca="1">INT(ABS(BB425))</f>
        <v>#NAME?</v>
      </c>
      <c r="BD425" s="28" t="e">
        <f ca="1">INT((ABS(BB425)-BC425)*60)</f>
        <v>#NAME?</v>
      </c>
      <c r="BE425" s="28" t="e">
        <f ca="1">INT((((ABS(BB425)-BC425)*60)-BD425)*60)</f>
        <v>#NAME?</v>
      </c>
      <c r="BF425" s="28" t="e">
        <f ca="1">INT((((((ABS(BB425)-BC425)*60)-BD425)*60)-BE425)*60)</f>
        <v>#NAME?</v>
      </c>
      <c r="BG425" s="10"/>
      <c r="BH425" s="10"/>
      <c r="BI425" s="4"/>
      <c r="BJ425" s="4" t="e">
        <f ca="1">[5]!ba(BJ424*BJ413)</f>
        <v>#NAME?</v>
      </c>
      <c r="BK425" s="133" t="e">
        <f ca="1">INT(ABS(BJ425))</f>
        <v>#NAME?</v>
      </c>
      <c r="BL425" s="133" t="e">
        <f ca="1">INT((ABS(BJ425)-BK425)*60)</f>
        <v>#NAME?</v>
      </c>
      <c r="BM425" s="133" t="e">
        <f ca="1">INT((((ABS(BJ425)-BK425)*60)-BL425)*60)</f>
        <v>#NAME?</v>
      </c>
      <c r="BN425" s="133" t="e">
        <f ca="1">INT((((((ABS(BJ425)-BK425)*60)-BL425)*60)-BM425)*60)</f>
        <v>#NAME?</v>
      </c>
      <c r="BO425" s="4"/>
      <c r="BP425" s="4"/>
      <c r="BR425" s="10"/>
      <c r="BS425" s="10" t="e">
        <f ca="1">BS421-BS424</f>
        <v>#NAME?</v>
      </c>
      <c r="BT425" s="28" t="e">
        <f ca="1">INT(ABS(BS425))</f>
        <v>#NAME?</v>
      </c>
      <c r="BU425" s="28" t="e">
        <f ca="1">INT((ABS(BS425)-BT425)*60)</f>
        <v>#NAME?</v>
      </c>
      <c r="BV425" s="28" t="e">
        <f ca="1">INT((((ABS(BS425)-BT425)*60)-BU425)*60)</f>
        <v>#NAME?</v>
      </c>
      <c r="BW425" s="28" t="e">
        <f ca="1">INT((((((ABS(BS425)-BT425)*60)-BU425)*60)-BV425)*60)</f>
        <v>#NAME?</v>
      </c>
      <c r="BX425" s="10"/>
      <c r="BY425" s="10"/>
      <c r="BZ425" s="4"/>
      <c r="CA425" s="4" t="e">
        <f ca="1">[5]!ba(CA424*CA413)</f>
        <v>#NAME?</v>
      </c>
      <c r="CB425" s="133" t="e">
        <f ca="1">INT(ABS(CA425))</f>
        <v>#NAME?</v>
      </c>
      <c r="CC425" s="133" t="e">
        <f ca="1">INT((ABS(CA425)-CB425)*60)</f>
        <v>#NAME?</v>
      </c>
      <c r="CD425" s="133" t="e">
        <f ca="1">INT((((ABS(CA425)-CB425)*60)-CC425)*60)</f>
        <v>#NAME?</v>
      </c>
      <c r="CE425" s="133" t="e">
        <f ca="1">INT((((((ABS(CA425)-CB425)*60)-CC425)*60)-CD425)*60)</f>
        <v>#NAME?</v>
      </c>
      <c r="CF425" s="4"/>
      <c r="CG425" s="4"/>
    </row>
    <row r="426" spans="2:85" ht="24.75">
      <c r="C426" s="28">
        <f>((D409-1)*29)+INT(D409/2)</f>
        <v>0</v>
      </c>
      <c r="D426" s="28">
        <f t="shared" si="182"/>
        <v>0</v>
      </c>
      <c r="E426" s="28">
        <f t="shared" si="183"/>
        <v>0</v>
      </c>
      <c r="F426" s="28">
        <f t="shared" si="184"/>
        <v>0</v>
      </c>
      <c r="G426" s="28">
        <f t="shared" si="185"/>
        <v>0</v>
      </c>
      <c r="J426" s="4"/>
      <c r="K426" s="133">
        <f>((L409-1)*29)+INT(L409/2)</f>
        <v>0</v>
      </c>
      <c r="L426" s="133">
        <f t="shared" ref="L426" si="202">INT(ABS(K426))</f>
        <v>0</v>
      </c>
      <c r="M426" s="133">
        <f t="shared" ref="M426" si="203">INT((ABS(K426)-L426)*60)</f>
        <v>0</v>
      </c>
      <c r="N426" s="133">
        <f t="shared" ref="N426" si="204">INT((((ABS(K426)-L426)*60)-M426)*60)</f>
        <v>0</v>
      </c>
      <c r="O426" s="133">
        <f t="shared" ref="O426" si="205">INT((((((ABS(K426)-L426)*60)-M426)*60)-N426)*60)</f>
        <v>0</v>
      </c>
      <c r="P426" s="4"/>
      <c r="Q426" s="4"/>
      <c r="T426" s="28">
        <f>((U409-1)*29)+INT(U409/2)</f>
        <v>177</v>
      </c>
      <c r="U426" s="28">
        <f t="shared" si="186"/>
        <v>177</v>
      </c>
      <c r="V426" s="28">
        <f t="shared" si="187"/>
        <v>0</v>
      </c>
      <c r="W426" s="28">
        <f t="shared" si="188"/>
        <v>0</v>
      </c>
      <c r="X426" s="28">
        <f t="shared" si="189"/>
        <v>0</v>
      </c>
      <c r="AA426" s="4"/>
      <c r="AB426" s="133">
        <f>((AC409-1)*29)+INT(AC409/2)</f>
        <v>177</v>
      </c>
      <c r="AC426" s="133">
        <f t="shared" ref="AC426" si="206">INT(ABS(AB426))</f>
        <v>177</v>
      </c>
      <c r="AD426" s="133">
        <f t="shared" ref="AD426" si="207">INT((ABS(AB426)-AC426)*60)</f>
        <v>0</v>
      </c>
      <c r="AE426" s="133">
        <f t="shared" ref="AE426" si="208">INT((((ABS(AB426)-AC426)*60)-AD426)*60)</f>
        <v>0</v>
      </c>
      <c r="AF426" s="133">
        <f t="shared" ref="AF426" si="209">INT((((((ABS(AB426)-AC426)*60)-AD426)*60)-AE426)*60)</f>
        <v>0</v>
      </c>
      <c r="AG426" s="4"/>
      <c r="AH426" s="4"/>
      <c r="AK426" s="28">
        <f>((AL409-1)*29)+INT(AL409/2)</f>
        <v>0</v>
      </c>
      <c r="AL426" s="28">
        <f t="shared" si="190"/>
        <v>0</v>
      </c>
      <c r="AM426" s="28">
        <f t="shared" si="191"/>
        <v>0</v>
      </c>
      <c r="AN426" s="28">
        <f t="shared" si="192"/>
        <v>0</v>
      </c>
      <c r="AO426" s="28">
        <f t="shared" si="193"/>
        <v>0</v>
      </c>
      <c r="AR426" s="4"/>
      <c r="AS426" s="133">
        <f>((AT409-1)*29)+INT(AT409/2)</f>
        <v>0</v>
      </c>
      <c r="AT426" s="133">
        <f t="shared" ref="AT426:AT431" si="210">INT(ABS(AS426))</f>
        <v>0</v>
      </c>
      <c r="AU426" s="133">
        <f t="shared" ref="AU426:AU431" si="211">INT((ABS(AS426)-AT426)*60)</f>
        <v>0</v>
      </c>
      <c r="AV426" s="133">
        <f t="shared" ref="AV426:AV431" si="212">INT((((ABS(AS426)-AT426)*60)-AU426)*60)</f>
        <v>0</v>
      </c>
      <c r="AW426" s="133">
        <f t="shared" ref="AW426:AW431" si="213">INT((((((ABS(AS426)-AT426)*60)-AU426)*60)-AV426)*60)</f>
        <v>0</v>
      </c>
      <c r="AX426" s="4"/>
      <c r="AY426" s="4"/>
      <c r="BB426" s="28">
        <f>((BC409-1)*29)+INT(BC409/2)</f>
        <v>-29</v>
      </c>
      <c r="BC426" s="28">
        <f t="shared" si="194"/>
        <v>29</v>
      </c>
      <c r="BD426" s="28">
        <f t="shared" si="195"/>
        <v>0</v>
      </c>
      <c r="BE426" s="28">
        <f t="shared" si="196"/>
        <v>0</v>
      </c>
      <c r="BF426" s="28">
        <f t="shared" si="197"/>
        <v>0</v>
      </c>
      <c r="BI426" s="4"/>
      <c r="BJ426" s="133">
        <f>((BK409-1)*29)+INT(BK409/2)</f>
        <v>-29</v>
      </c>
      <c r="BK426" s="133">
        <f t="shared" ref="BK426:BK431" si="214">INT(ABS(BJ426))</f>
        <v>29</v>
      </c>
      <c r="BL426" s="133">
        <f t="shared" ref="BL426:BL431" si="215">INT((ABS(BJ426)-BK426)*60)</f>
        <v>0</v>
      </c>
      <c r="BM426" s="133">
        <f t="shared" ref="BM426:BM431" si="216">INT((((ABS(BJ426)-BK426)*60)-BL426)*60)</f>
        <v>0</v>
      </c>
      <c r="BN426" s="133">
        <f t="shared" ref="BN426:BN431" si="217">INT((((((ABS(BJ426)-BK426)*60)-BL426)*60)-BM426)*60)</f>
        <v>0</v>
      </c>
      <c r="BO426" s="4"/>
      <c r="BP426" s="4"/>
      <c r="BS426" s="28">
        <f>((BT409-1)*29)+INT(BT409/2)</f>
        <v>236</v>
      </c>
      <c r="BT426" s="28">
        <f t="shared" si="198"/>
        <v>236</v>
      </c>
      <c r="BU426" s="28">
        <f t="shared" si="199"/>
        <v>0</v>
      </c>
      <c r="BV426" s="28">
        <f t="shared" si="200"/>
        <v>0</v>
      </c>
      <c r="BW426" s="28">
        <f t="shared" si="201"/>
        <v>0</v>
      </c>
      <c r="BZ426" s="4"/>
      <c r="CA426" s="133">
        <f>((CB409-1)*29)+INT(CB409/2)</f>
        <v>236</v>
      </c>
      <c r="CB426" s="133">
        <f t="shared" ref="CB426" si="218">INT(ABS(CA426))</f>
        <v>236</v>
      </c>
      <c r="CC426" s="133">
        <f t="shared" ref="CC426" si="219">INT((ABS(CA426)-CB426)*60)</f>
        <v>0</v>
      </c>
      <c r="CD426" s="133">
        <f t="shared" ref="CD426" si="220">INT((((ABS(CA426)-CB426)*60)-CC426)*60)</f>
        <v>0</v>
      </c>
      <c r="CE426" s="133">
        <f t="shared" ref="CE426" si="221">INT((((((ABS(CA426)-CB426)*60)-CC426)*60)-CD426)*60)</f>
        <v>0</v>
      </c>
      <c r="CF426" s="4"/>
      <c r="CG426" s="4"/>
    </row>
    <row r="427" spans="2:85" ht="24.75">
      <c r="B427" s="10"/>
      <c r="C427" s="10" t="e">
        <f ca="1">((E409-1)+C426)*C411</f>
        <v>#NAME?</v>
      </c>
      <c r="D427" s="28" t="e">
        <f t="shared" ref="D427:D432" ca="1" si="222">INT(ABS(C427))</f>
        <v>#NAME?</v>
      </c>
      <c r="E427" s="28" t="e">
        <f t="shared" ref="E427:E432" ca="1" si="223">INT((ABS(C427)-D427)*60)</f>
        <v>#NAME?</v>
      </c>
      <c r="F427" s="28" t="e">
        <f t="shared" ref="F427:F432" ca="1" si="224">INT((((ABS(C427)-D427)*60)-E427)*60)</f>
        <v>#NAME?</v>
      </c>
      <c r="G427" s="28" t="e">
        <f t="shared" ref="G427:G432" ca="1" si="225">INT((((((ABS(C427)-D427)*60)-E427)*60)-F427)*60)</f>
        <v>#NAME?</v>
      </c>
      <c r="H427" s="10"/>
      <c r="I427" s="10"/>
      <c r="J427" s="4"/>
      <c r="K427" s="4" t="e">
        <f ca="1">[5]!ba(K426*K411)</f>
        <v>#NAME?</v>
      </c>
      <c r="L427" s="133" t="e">
        <f t="shared" ref="L427:L435" ca="1" si="226">INT(ABS(K427))</f>
        <v>#NAME?</v>
      </c>
      <c r="M427" s="133" t="e">
        <f t="shared" ref="M427:M435" ca="1" si="227">INT((ABS(K427)-L427)*60)</f>
        <v>#NAME?</v>
      </c>
      <c r="N427" s="133" t="e">
        <f t="shared" ref="N427:N435" ca="1" si="228">INT((((ABS(K427)-L427)*60)-M427)*60)</f>
        <v>#NAME?</v>
      </c>
      <c r="O427" s="133" t="e">
        <f t="shared" ref="O427:O435" ca="1" si="229">INT((((((ABS(K427)-L427)*60)-M427)*60)-N427)*60)</f>
        <v>#NAME?</v>
      </c>
      <c r="P427" s="4"/>
      <c r="Q427" s="4"/>
      <c r="S427" s="10"/>
      <c r="T427" s="10" t="e">
        <f ca="1">((V409-1)+T426)*T411</f>
        <v>#NAME?</v>
      </c>
      <c r="U427" s="28" t="e">
        <f t="shared" ref="U427:U432" ca="1" si="230">INT(ABS(T427))</f>
        <v>#NAME?</v>
      </c>
      <c r="V427" s="28" t="e">
        <f t="shared" ref="V427:V432" ca="1" si="231">INT((ABS(T427)-U427)*60)</f>
        <v>#NAME?</v>
      </c>
      <c r="W427" s="28" t="e">
        <f t="shared" ref="W427:W432" ca="1" si="232">INT((((ABS(T427)-U427)*60)-V427)*60)</f>
        <v>#NAME?</v>
      </c>
      <c r="X427" s="28" t="e">
        <f t="shared" ref="X427:X432" ca="1" si="233">INT((((((ABS(T427)-U427)*60)-V427)*60)-W427)*60)</f>
        <v>#NAME?</v>
      </c>
      <c r="Y427" s="10"/>
      <c r="Z427" s="10"/>
      <c r="AA427" s="4"/>
      <c r="AB427" s="4" t="e">
        <f ca="1">[5]!ba(AB426*AB411)</f>
        <v>#NAME?</v>
      </c>
      <c r="AC427" s="133" t="e">
        <f t="shared" ref="AC427:AC435" ca="1" si="234">INT(ABS(AB427))</f>
        <v>#NAME?</v>
      </c>
      <c r="AD427" s="133" t="e">
        <f t="shared" ref="AD427:AD435" ca="1" si="235">INT((ABS(AB427)-AC427)*60)</f>
        <v>#NAME?</v>
      </c>
      <c r="AE427" s="133" t="e">
        <f t="shared" ref="AE427:AE435" ca="1" si="236">INT((((ABS(AB427)-AC427)*60)-AD427)*60)</f>
        <v>#NAME?</v>
      </c>
      <c r="AF427" s="133" t="e">
        <f t="shared" ref="AF427:AF435" ca="1" si="237">INT((((((ABS(AB427)-AC427)*60)-AD427)*60)-AE427)*60)</f>
        <v>#NAME?</v>
      </c>
      <c r="AG427" s="4"/>
      <c r="AH427" s="4"/>
      <c r="AJ427" s="10"/>
      <c r="AK427" s="10">
        <f>((AM409-1)+AK426)*AK411</f>
        <v>0</v>
      </c>
      <c r="AL427" s="28">
        <f t="shared" si="190"/>
        <v>0</v>
      </c>
      <c r="AM427" s="28">
        <f t="shared" si="191"/>
        <v>0</v>
      </c>
      <c r="AN427" s="28">
        <f t="shared" si="192"/>
        <v>0</v>
      </c>
      <c r="AO427" s="28">
        <f t="shared" si="193"/>
        <v>0</v>
      </c>
      <c r="AP427" s="10"/>
      <c r="AQ427" s="10"/>
      <c r="AR427" s="4"/>
      <c r="AS427" s="4" t="e">
        <f ca="1">[5]!ba(AS426*AS411)</f>
        <v>#NAME?</v>
      </c>
      <c r="AT427" s="133" t="e">
        <f ca="1">INT(ABS(AS427))</f>
        <v>#NAME?</v>
      </c>
      <c r="AU427" s="133" t="e">
        <f ca="1">INT((ABS(AS427)-AT427)*60)</f>
        <v>#NAME?</v>
      </c>
      <c r="AV427" s="133" t="e">
        <f ca="1">INT((((ABS(AS427)-AT427)*60)-AU427)*60)</f>
        <v>#NAME?</v>
      </c>
      <c r="AW427" s="133" t="e">
        <f ca="1">INT((((((ABS(AS427)-AT427)*60)-AU427)*60)-AV427)*60)</f>
        <v>#NAME?</v>
      </c>
      <c r="AX427" s="4"/>
      <c r="AY427" s="4"/>
      <c r="BA427" s="10"/>
      <c r="BB427" s="10">
        <f>((BD409-1)+BB426)*BB411</f>
        <v>-1.9024537037037035E-3</v>
      </c>
      <c r="BC427" s="28">
        <f t="shared" si="194"/>
        <v>0</v>
      </c>
      <c r="BD427" s="28">
        <f t="shared" si="195"/>
        <v>0</v>
      </c>
      <c r="BE427" s="28">
        <f t="shared" si="196"/>
        <v>6</v>
      </c>
      <c r="BF427" s="28">
        <f t="shared" si="197"/>
        <v>50</v>
      </c>
      <c r="BG427" s="10"/>
      <c r="BH427" s="10"/>
      <c r="BI427" s="4"/>
      <c r="BJ427" s="4" t="e">
        <f ca="1">[5]!ba(BJ426*BJ411)</f>
        <v>#NAME?</v>
      </c>
      <c r="BK427" s="133" t="e">
        <f ca="1">INT(ABS(BJ427))</f>
        <v>#NAME?</v>
      </c>
      <c r="BL427" s="133" t="e">
        <f ca="1">INT((ABS(BJ427)-BK427)*60)</f>
        <v>#NAME?</v>
      </c>
      <c r="BM427" s="133" t="e">
        <f ca="1">INT((((ABS(BJ427)-BK427)*60)-BL427)*60)</f>
        <v>#NAME?</v>
      </c>
      <c r="BN427" s="133" t="e">
        <f ca="1">INT((((((ABS(BJ427)-BK427)*60)-BL427)*60)-BM427)*60)</f>
        <v>#NAME?</v>
      </c>
      <c r="BO427" s="4"/>
      <c r="BP427" s="4"/>
      <c r="BR427" s="10"/>
      <c r="BS427" s="10" t="e">
        <f ca="1">((BU409-1)+BS426)*BS411</f>
        <v>#NAME?</v>
      </c>
      <c r="BT427" s="28" t="e">
        <f t="shared" ref="BT427:BT432" ca="1" si="238">INT(ABS(BS427))</f>
        <v>#NAME?</v>
      </c>
      <c r="BU427" s="28" t="e">
        <f t="shared" ref="BU427:BU432" ca="1" si="239">INT((ABS(BS427)-BT427)*60)</f>
        <v>#NAME?</v>
      </c>
      <c r="BV427" s="28" t="e">
        <f t="shared" ref="BV427:BV432" ca="1" si="240">INT((((ABS(BS427)-BT427)*60)-BU427)*60)</f>
        <v>#NAME?</v>
      </c>
      <c r="BW427" s="28" t="e">
        <f t="shared" ref="BW427:BW432" ca="1" si="241">INT((((((ABS(BS427)-BT427)*60)-BU427)*60)-BV427)*60)</f>
        <v>#NAME?</v>
      </c>
      <c r="BX427" s="10"/>
      <c r="BY427" s="10"/>
      <c r="BZ427" s="4"/>
      <c r="CA427" s="4" t="e">
        <f ca="1">[5]!ba(CA426*CA411)</f>
        <v>#NAME?</v>
      </c>
      <c r="CB427" s="133" t="e">
        <f t="shared" ref="CB427:CB435" ca="1" si="242">INT(ABS(CA427))</f>
        <v>#NAME?</v>
      </c>
      <c r="CC427" s="133" t="e">
        <f t="shared" ref="CC427:CC435" ca="1" si="243">INT((ABS(CA427)-CB427)*60)</f>
        <v>#NAME?</v>
      </c>
      <c r="CD427" s="133" t="e">
        <f t="shared" ref="CD427:CD435" ca="1" si="244">INT((((ABS(CA427)-CB427)*60)-CC427)*60)</f>
        <v>#NAME?</v>
      </c>
      <c r="CE427" s="133" t="e">
        <f t="shared" ref="CE427:CE435" ca="1" si="245">INT((((((ABS(CA427)-CB427)*60)-CC427)*60)-CD427)*60)</f>
        <v>#NAME?</v>
      </c>
      <c r="CF427" s="4"/>
      <c r="CG427" s="4"/>
    </row>
    <row r="428" spans="2:85" ht="24.75">
      <c r="B428" s="10"/>
      <c r="C428" s="10" t="e">
        <f ca="1">F409*C411</f>
        <v>#NAME?</v>
      </c>
      <c r="D428" s="28" t="e">
        <f t="shared" ca="1" si="222"/>
        <v>#NAME?</v>
      </c>
      <c r="E428" s="28" t="e">
        <f t="shared" ca="1" si="223"/>
        <v>#NAME?</v>
      </c>
      <c r="F428" s="28" t="e">
        <f t="shared" ca="1" si="224"/>
        <v>#NAME?</v>
      </c>
      <c r="G428" s="28" t="e">
        <f t="shared" ca="1" si="225"/>
        <v>#NAME?</v>
      </c>
      <c r="H428" s="10"/>
      <c r="I428" s="10"/>
      <c r="J428" s="4"/>
      <c r="K428" s="4" t="e">
        <f ca="1">M409-1</f>
        <v>#NAME?</v>
      </c>
      <c r="L428" s="133" t="e">
        <f t="shared" ca="1" si="226"/>
        <v>#NAME?</v>
      </c>
      <c r="M428" s="133" t="e">
        <f t="shared" ca="1" si="227"/>
        <v>#NAME?</v>
      </c>
      <c r="N428" s="133" t="e">
        <f t="shared" ca="1" si="228"/>
        <v>#NAME?</v>
      </c>
      <c r="O428" s="133" t="e">
        <f t="shared" ca="1" si="229"/>
        <v>#NAME?</v>
      </c>
      <c r="P428" s="4"/>
      <c r="Q428" s="4"/>
      <c r="S428" s="10"/>
      <c r="T428" s="10" t="e">
        <f ca="1">W409*T411</f>
        <v>#NAME?</v>
      </c>
      <c r="U428" s="28" t="e">
        <f t="shared" ca="1" si="230"/>
        <v>#NAME?</v>
      </c>
      <c r="V428" s="28" t="e">
        <f t="shared" ca="1" si="231"/>
        <v>#NAME?</v>
      </c>
      <c r="W428" s="28" t="e">
        <f t="shared" ca="1" si="232"/>
        <v>#NAME?</v>
      </c>
      <c r="X428" s="28" t="e">
        <f t="shared" ca="1" si="233"/>
        <v>#NAME?</v>
      </c>
      <c r="Y428" s="10"/>
      <c r="Z428" s="10"/>
      <c r="AA428" s="4"/>
      <c r="AB428" s="4" t="e">
        <f ca="1">AD409-1</f>
        <v>#NAME?</v>
      </c>
      <c r="AC428" s="133" t="e">
        <f t="shared" ca="1" si="234"/>
        <v>#NAME?</v>
      </c>
      <c r="AD428" s="133" t="e">
        <f t="shared" ca="1" si="235"/>
        <v>#NAME?</v>
      </c>
      <c r="AE428" s="133" t="e">
        <f t="shared" ca="1" si="236"/>
        <v>#NAME?</v>
      </c>
      <c r="AF428" s="133" t="e">
        <f t="shared" ca="1" si="237"/>
        <v>#NAME?</v>
      </c>
      <c r="AG428" s="4"/>
      <c r="AH428" s="4"/>
      <c r="AJ428" s="10"/>
      <c r="AK428" s="10">
        <f>AN409*AK411</f>
        <v>0</v>
      </c>
      <c r="AL428" s="28">
        <f t="shared" si="190"/>
        <v>0</v>
      </c>
      <c r="AM428" s="28">
        <f t="shared" si="191"/>
        <v>0</v>
      </c>
      <c r="AN428" s="28">
        <f t="shared" si="192"/>
        <v>0</v>
      </c>
      <c r="AO428" s="28">
        <f t="shared" si="193"/>
        <v>0</v>
      </c>
      <c r="AP428" s="10"/>
      <c r="AQ428" s="10"/>
      <c r="AR428" s="4"/>
      <c r="AS428" s="4">
        <f>AU409-1</f>
        <v>0</v>
      </c>
      <c r="AT428" s="133">
        <f t="shared" si="210"/>
        <v>0</v>
      </c>
      <c r="AU428" s="133">
        <f t="shared" si="211"/>
        <v>0</v>
      </c>
      <c r="AV428" s="133">
        <f t="shared" si="212"/>
        <v>0</v>
      </c>
      <c r="AW428" s="133">
        <f t="shared" si="213"/>
        <v>0</v>
      </c>
      <c r="AX428" s="4"/>
      <c r="AY428" s="4"/>
      <c r="BA428" s="10"/>
      <c r="BB428" s="10">
        <f>BE409*BB411</f>
        <v>0</v>
      </c>
      <c r="BC428" s="28">
        <f t="shared" si="194"/>
        <v>0</v>
      </c>
      <c r="BD428" s="28">
        <f t="shared" si="195"/>
        <v>0</v>
      </c>
      <c r="BE428" s="28">
        <f t="shared" si="196"/>
        <v>0</v>
      </c>
      <c r="BF428" s="28">
        <f t="shared" si="197"/>
        <v>0</v>
      </c>
      <c r="BG428" s="10"/>
      <c r="BH428" s="10"/>
      <c r="BI428" s="4"/>
      <c r="BJ428" s="4">
        <f>BL409-1</f>
        <v>0</v>
      </c>
      <c r="BK428" s="133">
        <f t="shared" si="214"/>
        <v>0</v>
      </c>
      <c r="BL428" s="133">
        <f t="shared" si="215"/>
        <v>0</v>
      </c>
      <c r="BM428" s="133">
        <f t="shared" si="216"/>
        <v>0</v>
      </c>
      <c r="BN428" s="133">
        <f t="shared" si="217"/>
        <v>0</v>
      </c>
      <c r="BO428" s="4"/>
      <c r="BP428" s="4"/>
      <c r="BR428" s="10"/>
      <c r="BS428" s="10" t="e">
        <f ca="1">BV409*BS411</f>
        <v>#NAME?</v>
      </c>
      <c r="BT428" s="28" t="e">
        <f t="shared" ca="1" si="238"/>
        <v>#NAME?</v>
      </c>
      <c r="BU428" s="28" t="e">
        <f t="shared" ca="1" si="239"/>
        <v>#NAME?</v>
      </c>
      <c r="BV428" s="28" t="e">
        <f t="shared" ca="1" si="240"/>
        <v>#NAME?</v>
      </c>
      <c r="BW428" s="28" t="e">
        <f t="shared" ca="1" si="241"/>
        <v>#NAME?</v>
      </c>
      <c r="BX428" s="10"/>
      <c r="BY428" s="10"/>
      <c r="BZ428" s="4"/>
      <c r="CA428" s="4" t="e">
        <f ca="1">CC409-1</f>
        <v>#NAME?</v>
      </c>
      <c r="CB428" s="133" t="e">
        <f t="shared" ca="1" si="242"/>
        <v>#NAME?</v>
      </c>
      <c r="CC428" s="133" t="e">
        <f t="shared" ca="1" si="243"/>
        <v>#NAME?</v>
      </c>
      <c r="CD428" s="133" t="e">
        <f t="shared" ca="1" si="244"/>
        <v>#NAME?</v>
      </c>
      <c r="CE428" s="133" t="e">
        <f t="shared" ca="1" si="245"/>
        <v>#NAME?</v>
      </c>
      <c r="CF428" s="4"/>
      <c r="CG428" s="4"/>
    </row>
    <row r="429" spans="2:85" ht="24.75">
      <c r="B429" s="10" t="s">
        <v>723</v>
      </c>
      <c r="C429" s="10" t="e">
        <f ca="1">C425+C427+C428</f>
        <v>#NAME?</v>
      </c>
      <c r="D429" s="28" t="e">
        <f t="shared" ca="1" si="222"/>
        <v>#NAME?</v>
      </c>
      <c r="E429" s="28" t="e">
        <f t="shared" ca="1" si="223"/>
        <v>#NAME?</v>
      </c>
      <c r="F429" s="28" t="e">
        <f t="shared" ca="1" si="224"/>
        <v>#NAME?</v>
      </c>
      <c r="G429" s="28" t="e">
        <f t="shared" ca="1" si="225"/>
        <v>#NAME?</v>
      </c>
      <c r="H429" s="10"/>
      <c r="I429" s="10"/>
      <c r="J429" s="4"/>
      <c r="K429" s="4" t="e">
        <f ca="1">(M409-1)*K411</f>
        <v>#NAME?</v>
      </c>
      <c r="L429" s="133" t="e">
        <f t="shared" ca="1" si="226"/>
        <v>#NAME?</v>
      </c>
      <c r="M429" s="133" t="e">
        <f t="shared" ca="1" si="227"/>
        <v>#NAME?</v>
      </c>
      <c r="N429" s="133" t="e">
        <f t="shared" ca="1" si="228"/>
        <v>#NAME?</v>
      </c>
      <c r="O429" s="133" t="e">
        <f t="shared" ca="1" si="229"/>
        <v>#NAME?</v>
      </c>
      <c r="P429" s="4"/>
      <c r="Q429" s="4"/>
      <c r="S429" s="10" t="s">
        <v>723</v>
      </c>
      <c r="T429" s="10" t="e">
        <f ca="1">T425+T427+T428</f>
        <v>#NAME?</v>
      </c>
      <c r="U429" s="28" t="e">
        <f t="shared" ca="1" si="230"/>
        <v>#NAME?</v>
      </c>
      <c r="V429" s="28" t="e">
        <f t="shared" ca="1" si="231"/>
        <v>#NAME?</v>
      </c>
      <c r="W429" s="28" t="e">
        <f t="shared" ca="1" si="232"/>
        <v>#NAME?</v>
      </c>
      <c r="X429" s="28" t="e">
        <f t="shared" ca="1" si="233"/>
        <v>#NAME?</v>
      </c>
      <c r="Y429" s="10"/>
      <c r="Z429" s="10"/>
      <c r="AA429" s="4"/>
      <c r="AB429" s="4" t="e">
        <f ca="1">(AD409-1)*AB411</f>
        <v>#NAME?</v>
      </c>
      <c r="AC429" s="133" t="e">
        <f t="shared" ca="1" si="234"/>
        <v>#NAME?</v>
      </c>
      <c r="AD429" s="133" t="e">
        <f t="shared" ca="1" si="235"/>
        <v>#NAME?</v>
      </c>
      <c r="AE429" s="133" t="e">
        <f t="shared" ca="1" si="236"/>
        <v>#NAME?</v>
      </c>
      <c r="AF429" s="133" t="e">
        <f t="shared" ca="1" si="237"/>
        <v>#NAME?</v>
      </c>
      <c r="AG429" s="4"/>
      <c r="AH429" s="4"/>
      <c r="AJ429" s="10" t="s">
        <v>723</v>
      </c>
      <c r="AK429" s="10" t="e">
        <f ca="1">AK425+AK427+AK428</f>
        <v>#NAME?</v>
      </c>
      <c r="AL429" s="28" t="e">
        <f ca="1">INT(ABS(AK429))</f>
        <v>#NAME?</v>
      </c>
      <c r="AM429" s="28" t="e">
        <f ca="1">INT((ABS(AK429)-AL429)*60)</f>
        <v>#NAME?</v>
      </c>
      <c r="AN429" s="28" t="e">
        <f ca="1">INT((((ABS(AK429)-AL429)*60)-AM429)*60)</f>
        <v>#NAME?</v>
      </c>
      <c r="AO429" s="28" t="e">
        <f ca="1">INT((((((ABS(AK429)-AL429)*60)-AM429)*60)-AN429)*60)</f>
        <v>#NAME?</v>
      </c>
      <c r="AP429" s="10"/>
      <c r="AQ429" s="10"/>
      <c r="AR429" s="4"/>
      <c r="AS429" s="4">
        <f>(AU409-1)*AS411</f>
        <v>0</v>
      </c>
      <c r="AT429" s="133">
        <f t="shared" si="210"/>
        <v>0</v>
      </c>
      <c r="AU429" s="133">
        <f t="shared" si="211"/>
        <v>0</v>
      </c>
      <c r="AV429" s="133">
        <f t="shared" si="212"/>
        <v>0</v>
      </c>
      <c r="AW429" s="133">
        <f t="shared" si="213"/>
        <v>0</v>
      </c>
      <c r="AX429" s="4"/>
      <c r="AY429" s="4"/>
      <c r="BA429" s="10" t="s">
        <v>723</v>
      </c>
      <c r="BB429" s="10" t="e">
        <f ca="1">BB425+BB427+BB428</f>
        <v>#NAME?</v>
      </c>
      <c r="BC429" s="28" t="e">
        <f ca="1">INT(ABS(BB429))</f>
        <v>#NAME?</v>
      </c>
      <c r="BD429" s="28" t="e">
        <f ca="1">INT((ABS(BB429)-BC429)*60)</f>
        <v>#NAME?</v>
      </c>
      <c r="BE429" s="28" t="e">
        <f ca="1">INT((((ABS(BB429)-BC429)*60)-BD429)*60)</f>
        <v>#NAME?</v>
      </c>
      <c r="BF429" s="28" t="e">
        <f ca="1">INT((((((ABS(BB429)-BC429)*60)-BD429)*60)-BE429)*60)</f>
        <v>#NAME?</v>
      </c>
      <c r="BG429" s="10"/>
      <c r="BH429" s="10"/>
      <c r="BI429" s="4"/>
      <c r="BJ429" s="4">
        <f>(BL409-1)*BJ411</f>
        <v>0</v>
      </c>
      <c r="BK429" s="133">
        <f t="shared" si="214"/>
        <v>0</v>
      </c>
      <c r="BL429" s="133">
        <f t="shared" si="215"/>
        <v>0</v>
      </c>
      <c r="BM429" s="133">
        <f t="shared" si="216"/>
        <v>0</v>
      </c>
      <c r="BN429" s="133">
        <f t="shared" si="217"/>
        <v>0</v>
      </c>
      <c r="BO429" s="4"/>
      <c r="BP429" s="4"/>
      <c r="BR429" s="10" t="s">
        <v>723</v>
      </c>
      <c r="BS429" s="10" t="e">
        <f ca="1">BS425+BS427+BS428</f>
        <v>#NAME?</v>
      </c>
      <c r="BT429" s="28" t="e">
        <f t="shared" ca="1" si="238"/>
        <v>#NAME?</v>
      </c>
      <c r="BU429" s="28" t="e">
        <f t="shared" ca="1" si="239"/>
        <v>#NAME?</v>
      </c>
      <c r="BV429" s="28" t="e">
        <f t="shared" ca="1" si="240"/>
        <v>#NAME?</v>
      </c>
      <c r="BW429" s="28" t="e">
        <f t="shared" ca="1" si="241"/>
        <v>#NAME?</v>
      </c>
      <c r="BX429" s="10"/>
      <c r="BY429" s="10"/>
      <c r="BZ429" s="4"/>
      <c r="CA429" s="4" t="e">
        <f ca="1">(CC409-1)*CA411</f>
        <v>#NAME?</v>
      </c>
      <c r="CB429" s="133" t="e">
        <f t="shared" ca="1" si="242"/>
        <v>#NAME?</v>
      </c>
      <c r="CC429" s="133" t="e">
        <f t="shared" ca="1" si="243"/>
        <v>#NAME?</v>
      </c>
      <c r="CD429" s="133" t="e">
        <f t="shared" ca="1" si="244"/>
        <v>#NAME?</v>
      </c>
      <c r="CE429" s="133" t="e">
        <f t="shared" ca="1" si="245"/>
        <v>#NAME?</v>
      </c>
      <c r="CF429" s="4"/>
      <c r="CG429" s="4"/>
    </row>
    <row r="430" spans="2:85" ht="24.75">
      <c r="B430" s="10" t="s">
        <v>385</v>
      </c>
      <c r="C430" s="10" t="e">
        <f ca="1">[5]!wasat(C409,D409,E409,F409)</f>
        <v>#NAME?</v>
      </c>
      <c r="D430" s="28" t="e">
        <f t="shared" ca="1" si="222"/>
        <v>#NAME?</v>
      </c>
      <c r="E430" s="28" t="e">
        <f t="shared" ca="1" si="223"/>
        <v>#NAME?</v>
      </c>
      <c r="F430" s="28" t="e">
        <f t="shared" ca="1" si="224"/>
        <v>#NAME?</v>
      </c>
      <c r="G430" s="28" t="e">
        <f t="shared" ca="1" si="225"/>
        <v>#NAME?</v>
      </c>
      <c r="H430" s="10"/>
      <c r="I430" s="10"/>
      <c r="J430" s="4"/>
      <c r="K430" s="4" t="e">
        <f ca="1">[5]!ba(K425+K427+K429+K421)</f>
        <v>#NAME?</v>
      </c>
      <c r="L430" s="133" t="e">
        <f t="shared" ca="1" si="226"/>
        <v>#NAME?</v>
      </c>
      <c r="M430" s="133" t="e">
        <f t="shared" ca="1" si="227"/>
        <v>#NAME?</v>
      </c>
      <c r="N430" s="133" t="e">
        <f t="shared" ca="1" si="228"/>
        <v>#NAME?</v>
      </c>
      <c r="O430" s="133" t="e">
        <f t="shared" ca="1" si="229"/>
        <v>#NAME?</v>
      </c>
      <c r="P430" s="4"/>
      <c r="Q430" s="4"/>
      <c r="S430" s="10" t="s">
        <v>385</v>
      </c>
      <c r="T430" s="10" t="e">
        <f ca="1">[5]!wasat(T409,U409,V409,W409)</f>
        <v>#NAME?</v>
      </c>
      <c r="U430" s="28" t="e">
        <f t="shared" ca="1" si="230"/>
        <v>#NAME?</v>
      </c>
      <c r="V430" s="28" t="e">
        <f t="shared" ca="1" si="231"/>
        <v>#NAME?</v>
      </c>
      <c r="W430" s="28" t="e">
        <f t="shared" ca="1" si="232"/>
        <v>#NAME?</v>
      </c>
      <c r="X430" s="28" t="e">
        <f t="shared" ca="1" si="233"/>
        <v>#NAME?</v>
      </c>
      <c r="Y430" s="10"/>
      <c r="Z430" s="10"/>
      <c r="AA430" s="4"/>
      <c r="AB430" s="4" t="e">
        <f ca="1">[5]!ba(AB425+AB427+AB429+AB421)</f>
        <v>#NAME?</v>
      </c>
      <c r="AC430" s="133" t="e">
        <f t="shared" ca="1" si="234"/>
        <v>#NAME?</v>
      </c>
      <c r="AD430" s="133" t="e">
        <f t="shared" ca="1" si="235"/>
        <v>#NAME?</v>
      </c>
      <c r="AE430" s="133" t="e">
        <f t="shared" ca="1" si="236"/>
        <v>#NAME?</v>
      </c>
      <c r="AF430" s="133" t="e">
        <f t="shared" ca="1" si="237"/>
        <v>#NAME?</v>
      </c>
      <c r="AG430" s="4"/>
      <c r="AH430" s="4"/>
      <c r="AJ430" s="10" t="s">
        <v>385</v>
      </c>
      <c r="AK430" s="10" t="e">
        <f ca="1">[5]!wasat(AK409,AL409,AM409,AN409)</f>
        <v>#NAME?</v>
      </c>
      <c r="AL430" s="28" t="e">
        <f ca="1">INT(ABS(AK430))</f>
        <v>#NAME?</v>
      </c>
      <c r="AM430" s="28" t="e">
        <f ca="1">INT((ABS(AK430)-AL430)*60)</f>
        <v>#NAME?</v>
      </c>
      <c r="AN430" s="28" t="e">
        <f ca="1">INT((((ABS(AK430)-AL430)*60)-AM430)*60)</f>
        <v>#NAME?</v>
      </c>
      <c r="AO430" s="28" t="e">
        <f ca="1">INT((((((ABS(AK430)-AL430)*60)-AM430)*60)-AN430)*60)</f>
        <v>#NAME?</v>
      </c>
      <c r="AP430" s="10"/>
      <c r="AQ430" s="10"/>
      <c r="AR430" s="4"/>
      <c r="AS430" s="4" t="e">
        <f ca="1">[5]!ba(AS425+AS427+AS429+AS421)</f>
        <v>#NAME?</v>
      </c>
      <c r="AT430" s="133" t="e">
        <f ca="1">INT(ABS(AS430))</f>
        <v>#NAME?</v>
      </c>
      <c r="AU430" s="133" t="e">
        <f ca="1">INT((ABS(AS430)-AT430)*60)</f>
        <v>#NAME?</v>
      </c>
      <c r="AV430" s="133" t="e">
        <f ca="1">INT((((ABS(AS430)-AT430)*60)-AU430)*60)</f>
        <v>#NAME?</v>
      </c>
      <c r="AW430" s="133" t="e">
        <f ca="1">INT((((((ABS(AS430)-AT430)*60)-AU430)*60)-AV430)*60)</f>
        <v>#NAME?</v>
      </c>
      <c r="AX430" s="4"/>
      <c r="AY430" s="4"/>
      <c r="BA430" s="10" t="s">
        <v>385</v>
      </c>
      <c r="BB430" s="10" t="e">
        <f ca="1">[5]!wasat(BB409,BC409,BD409,BE409)</f>
        <v>#NAME?</v>
      </c>
      <c r="BC430" s="28" t="e">
        <f ca="1">INT(ABS(BB430))</f>
        <v>#NAME?</v>
      </c>
      <c r="BD430" s="28" t="e">
        <f ca="1">INT((ABS(BB430)-BC430)*60)</f>
        <v>#NAME?</v>
      </c>
      <c r="BE430" s="28" t="e">
        <f ca="1">INT((((ABS(BB430)-BC430)*60)-BD430)*60)</f>
        <v>#NAME?</v>
      </c>
      <c r="BF430" s="28" t="e">
        <f ca="1">INT((((((ABS(BB430)-BC430)*60)-BD430)*60)-BE430)*60)</f>
        <v>#NAME?</v>
      </c>
      <c r="BG430" s="10"/>
      <c r="BH430" s="10"/>
      <c r="BI430" s="4"/>
      <c r="BJ430" s="4" t="e">
        <f ca="1">[5]!ba(BJ425+BJ427+BJ429+BJ421)</f>
        <v>#NAME?</v>
      </c>
      <c r="BK430" s="133" t="e">
        <f ca="1">INT(ABS(BJ430))</f>
        <v>#NAME?</v>
      </c>
      <c r="BL430" s="133" t="e">
        <f ca="1">INT((ABS(BJ430)-BK430)*60)</f>
        <v>#NAME?</v>
      </c>
      <c r="BM430" s="133" t="e">
        <f ca="1">INT((((ABS(BJ430)-BK430)*60)-BL430)*60)</f>
        <v>#NAME?</v>
      </c>
      <c r="BN430" s="133" t="e">
        <f ca="1">INT((((((ABS(BJ430)-BK430)*60)-BL430)*60)-BM430)*60)</f>
        <v>#NAME?</v>
      </c>
      <c r="BO430" s="4"/>
      <c r="BP430" s="4"/>
      <c r="BR430" s="10" t="s">
        <v>385</v>
      </c>
      <c r="BS430" s="10" t="e">
        <f ca="1">[5]!wasat(BS409,BT409,BU409,BV409)</f>
        <v>#NAME?</v>
      </c>
      <c r="BT430" s="28" t="e">
        <f t="shared" ca="1" si="238"/>
        <v>#NAME?</v>
      </c>
      <c r="BU430" s="28" t="e">
        <f t="shared" ca="1" si="239"/>
        <v>#NAME?</v>
      </c>
      <c r="BV430" s="28" t="e">
        <f t="shared" ca="1" si="240"/>
        <v>#NAME?</v>
      </c>
      <c r="BW430" s="28" t="e">
        <f t="shared" ca="1" si="241"/>
        <v>#NAME?</v>
      </c>
      <c r="BX430" s="10"/>
      <c r="BY430" s="10"/>
      <c r="BZ430" s="4"/>
      <c r="CA430" s="4" t="e">
        <f ca="1">[5]!ba(CA425+CA427+CA429+CA421)</f>
        <v>#NAME?</v>
      </c>
      <c r="CB430" s="133" t="e">
        <f t="shared" ca="1" si="242"/>
        <v>#NAME?</v>
      </c>
      <c r="CC430" s="133" t="e">
        <f t="shared" ca="1" si="243"/>
        <v>#NAME?</v>
      </c>
      <c r="CD430" s="133" t="e">
        <f t="shared" ca="1" si="244"/>
        <v>#NAME?</v>
      </c>
      <c r="CE430" s="133" t="e">
        <f t="shared" ca="1" si="245"/>
        <v>#NAME?</v>
      </c>
      <c r="CF430" s="4"/>
      <c r="CG430" s="4"/>
    </row>
    <row r="431" spans="2:85" ht="24.75">
      <c r="B431" s="10" t="s">
        <v>724</v>
      </c>
      <c r="C431" s="10" t="e">
        <f ca="1">[5]!taam(C430)*C410</f>
        <v>#NAME?</v>
      </c>
      <c r="D431" s="28" t="e">
        <f t="shared" ca="1" si="222"/>
        <v>#NAME?</v>
      </c>
      <c r="E431" s="28" t="e">
        <f t="shared" ca="1" si="223"/>
        <v>#NAME?</v>
      </c>
      <c r="F431" s="28" t="e">
        <f t="shared" ca="1" si="224"/>
        <v>#NAME?</v>
      </c>
      <c r="G431" s="28" t="e">
        <f t="shared" ca="1" si="225"/>
        <v>#NAME?</v>
      </c>
      <c r="H431" s="10"/>
      <c r="I431" s="10"/>
      <c r="J431" s="4"/>
      <c r="K431" s="4" t="e">
        <f ca="1">N409*K411</f>
        <v>#NAME?</v>
      </c>
      <c r="L431" s="133" t="e">
        <f t="shared" ca="1" si="226"/>
        <v>#NAME?</v>
      </c>
      <c r="M431" s="133" t="e">
        <f t="shared" ca="1" si="227"/>
        <v>#NAME?</v>
      </c>
      <c r="N431" s="133" t="e">
        <f t="shared" ca="1" si="228"/>
        <v>#NAME?</v>
      </c>
      <c r="O431" s="133" t="e">
        <f t="shared" ca="1" si="229"/>
        <v>#NAME?</v>
      </c>
      <c r="P431" s="4"/>
      <c r="Q431" s="4"/>
      <c r="S431" s="10" t="s">
        <v>724</v>
      </c>
      <c r="T431" s="10" t="e">
        <f ca="1">[5]!taam(T430)*T410</f>
        <v>#NAME?</v>
      </c>
      <c r="U431" s="28" t="e">
        <f t="shared" ca="1" si="230"/>
        <v>#NAME?</v>
      </c>
      <c r="V431" s="28" t="e">
        <f t="shared" ca="1" si="231"/>
        <v>#NAME?</v>
      </c>
      <c r="W431" s="28" t="e">
        <f t="shared" ca="1" si="232"/>
        <v>#NAME?</v>
      </c>
      <c r="X431" s="28" t="e">
        <f t="shared" ca="1" si="233"/>
        <v>#NAME?</v>
      </c>
      <c r="Y431" s="10"/>
      <c r="Z431" s="10"/>
      <c r="AA431" s="4"/>
      <c r="AB431" s="4" t="e">
        <f ca="1">AE409*AB411</f>
        <v>#NAME?</v>
      </c>
      <c r="AC431" s="133" t="e">
        <f t="shared" ca="1" si="234"/>
        <v>#NAME?</v>
      </c>
      <c r="AD431" s="133" t="e">
        <f t="shared" ca="1" si="235"/>
        <v>#NAME?</v>
      </c>
      <c r="AE431" s="133" t="e">
        <f t="shared" ca="1" si="236"/>
        <v>#NAME?</v>
      </c>
      <c r="AF431" s="133" t="e">
        <f t="shared" ca="1" si="237"/>
        <v>#NAME?</v>
      </c>
      <c r="AG431" s="4"/>
      <c r="AH431" s="4"/>
      <c r="AJ431" s="10" t="s">
        <v>724</v>
      </c>
      <c r="AK431" s="10" t="e">
        <f ca="1">[5]!taam(AK430)*AK410</f>
        <v>#NAME?</v>
      </c>
      <c r="AL431" s="28" t="e">
        <f ca="1">INT(ABS(AK431))</f>
        <v>#NAME?</v>
      </c>
      <c r="AM431" s="28" t="e">
        <f ca="1">INT((ABS(AK431)-AL431)*60)</f>
        <v>#NAME?</v>
      </c>
      <c r="AN431" s="28" t="e">
        <f ca="1">INT((((ABS(AK431)-AL431)*60)-AM431)*60)</f>
        <v>#NAME?</v>
      </c>
      <c r="AO431" s="28" t="e">
        <f ca="1">INT((((((ABS(AK431)-AL431)*60)-AM431)*60)-AN431)*60)</f>
        <v>#NAME?</v>
      </c>
      <c r="AP431" s="10" t="s">
        <v>722</v>
      </c>
      <c r="AQ431" s="10"/>
      <c r="AR431" s="4"/>
      <c r="AS431" s="4">
        <f>AV409*AS411</f>
        <v>0</v>
      </c>
      <c r="AT431" s="133">
        <f t="shared" si="210"/>
        <v>0</v>
      </c>
      <c r="AU431" s="133">
        <f t="shared" si="211"/>
        <v>0</v>
      </c>
      <c r="AV431" s="133">
        <f t="shared" si="212"/>
        <v>0</v>
      </c>
      <c r="AW431" s="133">
        <f t="shared" si="213"/>
        <v>0</v>
      </c>
      <c r="AX431" s="4"/>
      <c r="AY431" s="4"/>
      <c r="BA431" s="10" t="s">
        <v>724</v>
      </c>
      <c r="BB431" s="10" t="e">
        <f ca="1">[5]!taam(BB430)*BB410</f>
        <v>#NAME?</v>
      </c>
      <c r="BC431" s="28" t="e">
        <f ca="1">INT(ABS(BB431))</f>
        <v>#NAME?</v>
      </c>
      <c r="BD431" s="28" t="e">
        <f ca="1">INT((ABS(BB431)-BC431)*60)</f>
        <v>#NAME?</v>
      </c>
      <c r="BE431" s="28" t="e">
        <f ca="1">INT((((ABS(BB431)-BC431)*60)-BD431)*60)</f>
        <v>#NAME?</v>
      </c>
      <c r="BF431" s="28" t="e">
        <f ca="1">INT((((((ABS(BB431)-BC431)*60)-BD431)*60)-BE431)*60)</f>
        <v>#NAME?</v>
      </c>
      <c r="BG431" s="10" t="s">
        <v>722</v>
      </c>
      <c r="BH431" s="10"/>
      <c r="BI431" s="4"/>
      <c r="BJ431" s="4">
        <f>BM409*BJ411</f>
        <v>0</v>
      </c>
      <c r="BK431" s="133">
        <f t="shared" si="214"/>
        <v>0</v>
      </c>
      <c r="BL431" s="133">
        <f t="shared" si="215"/>
        <v>0</v>
      </c>
      <c r="BM431" s="133">
        <f t="shared" si="216"/>
        <v>0</v>
      </c>
      <c r="BN431" s="133">
        <f t="shared" si="217"/>
        <v>0</v>
      </c>
      <c r="BO431" s="4"/>
      <c r="BP431" s="4"/>
      <c r="BR431" s="10" t="s">
        <v>724</v>
      </c>
      <c r="BS431" s="10" t="e">
        <f ca="1">[5]!taam(BS430)*BS410</f>
        <v>#NAME?</v>
      </c>
      <c r="BT431" s="28" t="e">
        <f t="shared" ca="1" si="238"/>
        <v>#NAME?</v>
      </c>
      <c r="BU431" s="28" t="e">
        <f t="shared" ca="1" si="239"/>
        <v>#NAME?</v>
      </c>
      <c r="BV431" s="28" t="e">
        <f t="shared" ca="1" si="240"/>
        <v>#NAME?</v>
      </c>
      <c r="BW431" s="28" t="e">
        <f t="shared" ca="1" si="241"/>
        <v>#NAME?</v>
      </c>
      <c r="BX431" s="10"/>
      <c r="BY431" s="10"/>
      <c r="BZ431" s="4"/>
      <c r="CA431" s="4" t="e">
        <f ca="1">CD409*CA411</f>
        <v>#NAME?</v>
      </c>
      <c r="CB431" s="133" t="e">
        <f t="shared" ca="1" si="242"/>
        <v>#NAME?</v>
      </c>
      <c r="CC431" s="133" t="e">
        <f t="shared" ca="1" si="243"/>
        <v>#NAME?</v>
      </c>
      <c r="CD431" s="133" t="e">
        <f t="shared" ca="1" si="244"/>
        <v>#NAME?</v>
      </c>
      <c r="CE431" s="133" t="e">
        <f t="shared" ca="1" si="245"/>
        <v>#NAME?</v>
      </c>
      <c r="CF431" s="4"/>
      <c r="CG431" s="4"/>
    </row>
    <row r="432" spans="2:85" ht="24.75">
      <c r="B432" s="10" t="s">
        <v>725</v>
      </c>
      <c r="C432" s="10" t="e">
        <f ca="1">C429+C431</f>
        <v>#NAME?</v>
      </c>
      <c r="D432" s="28" t="e">
        <f t="shared" ca="1" si="222"/>
        <v>#NAME?</v>
      </c>
      <c r="E432" s="28" t="e">
        <f t="shared" ca="1" si="223"/>
        <v>#NAME?</v>
      </c>
      <c r="F432" s="28" t="e">
        <f t="shared" ca="1" si="224"/>
        <v>#NAME?</v>
      </c>
      <c r="G432" s="28" t="e">
        <f t="shared" ca="1" si="225"/>
        <v>#NAME?</v>
      </c>
      <c r="H432" s="10"/>
      <c r="I432" s="10"/>
      <c r="J432" s="4"/>
      <c r="K432" s="4" t="e">
        <f ca="1">K430+K431</f>
        <v>#NAME?</v>
      </c>
      <c r="L432" s="133" t="e">
        <f t="shared" ca="1" si="226"/>
        <v>#NAME?</v>
      </c>
      <c r="M432" s="133" t="e">
        <f t="shared" ca="1" si="227"/>
        <v>#NAME?</v>
      </c>
      <c r="N432" s="133" t="e">
        <f t="shared" ca="1" si="228"/>
        <v>#NAME?</v>
      </c>
      <c r="O432" s="133" t="e">
        <f t="shared" ca="1" si="229"/>
        <v>#NAME?</v>
      </c>
      <c r="P432" s="4"/>
      <c r="Q432" s="4"/>
      <c r="S432" s="10" t="s">
        <v>727</v>
      </c>
      <c r="T432" s="10" t="e">
        <f ca="1">T429+T431</f>
        <v>#NAME?</v>
      </c>
      <c r="U432" s="28" t="e">
        <f t="shared" ca="1" si="230"/>
        <v>#NAME?</v>
      </c>
      <c r="V432" s="28" t="e">
        <f t="shared" ca="1" si="231"/>
        <v>#NAME?</v>
      </c>
      <c r="W432" s="28" t="e">
        <f t="shared" ca="1" si="232"/>
        <v>#NAME?</v>
      </c>
      <c r="X432" s="28" t="e">
        <f t="shared" ca="1" si="233"/>
        <v>#NAME?</v>
      </c>
      <c r="Y432" s="10"/>
      <c r="Z432" s="10"/>
      <c r="AA432" s="4"/>
      <c r="AB432" s="4" t="e">
        <f ca="1">AB430+AB431</f>
        <v>#NAME?</v>
      </c>
      <c r="AC432" s="133" t="e">
        <f t="shared" ca="1" si="234"/>
        <v>#NAME?</v>
      </c>
      <c r="AD432" s="133" t="e">
        <f t="shared" ca="1" si="235"/>
        <v>#NAME?</v>
      </c>
      <c r="AE432" s="133" t="e">
        <f t="shared" ca="1" si="236"/>
        <v>#NAME?</v>
      </c>
      <c r="AF432" s="133" t="e">
        <f t="shared" ca="1" si="237"/>
        <v>#NAME?</v>
      </c>
      <c r="AG432" s="4"/>
      <c r="AH432" s="4"/>
      <c r="AJ432" s="10" t="s">
        <v>735</v>
      </c>
      <c r="AK432" s="10" t="e">
        <f ca="1">AK429+AK431</f>
        <v>#NAME?</v>
      </c>
      <c r="AL432" s="28" t="e">
        <f ca="1">INT(ABS(AK432))</f>
        <v>#NAME?</v>
      </c>
      <c r="AM432" s="28" t="e">
        <f ca="1">INT((ABS(AK432)-AL432)*60)</f>
        <v>#NAME?</v>
      </c>
      <c r="AN432" s="28" t="e">
        <f ca="1">INT((((ABS(AK432)-AL432)*60)-AM432)*60)</f>
        <v>#NAME?</v>
      </c>
      <c r="AO432" s="28" t="e">
        <f ca="1">INT((((((ABS(AK432)-AL432)*60)-AM432)*60)-AN432)*60)</f>
        <v>#NAME?</v>
      </c>
      <c r="AP432" s="10"/>
      <c r="AQ432" s="10"/>
      <c r="AR432" s="4"/>
      <c r="AS432" s="4" t="e">
        <f ca="1">AS430+AS431</f>
        <v>#NAME?</v>
      </c>
      <c r="AT432" s="133" t="e">
        <f ca="1">INT(ABS(AS432))</f>
        <v>#NAME?</v>
      </c>
      <c r="AU432" s="133" t="e">
        <f ca="1">INT((ABS(AS432)-AT432)*60)</f>
        <v>#NAME?</v>
      </c>
      <c r="AV432" s="133" t="e">
        <f ca="1">INT((((ABS(AS432)-AT432)*60)-AU432)*60)</f>
        <v>#NAME?</v>
      </c>
      <c r="AW432" s="133" t="e">
        <f ca="1">INT((((((ABS(AS432)-AT432)*60)-AU432)*60)-AV432)*60)</f>
        <v>#NAME?</v>
      </c>
      <c r="AX432" s="4"/>
      <c r="AY432" s="4"/>
      <c r="BA432" s="10" t="s">
        <v>735</v>
      </c>
      <c r="BB432" s="10" t="e">
        <f ca="1">BB429+BB431</f>
        <v>#NAME?</v>
      </c>
      <c r="BC432" s="28" t="e">
        <f ca="1">INT(ABS(BB432))</f>
        <v>#NAME?</v>
      </c>
      <c r="BD432" s="28" t="e">
        <f ca="1">INT((ABS(BB432)-BC432)*60)</f>
        <v>#NAME?</v>
      </c>
      <c r="BE432" s="28" t="e">
        <f ca="1">INT((((ABS(BB432)-BC432)*60)-BD432)*60)</f>
        <v>#NAME?</v>
      </c>
      <c r="BF432" s="28" t="e">
        <f ca="1">INT((((((ABS(BB432)-BC432)*60)-BD432)*60)-BE432)*60)</f>
        <v>#NAME?</v>
      </c>
      <c r="BG432" s="10"/>
      <c r="BH432" s="10"/>
      <c r="BI432" s="4"/>
      <c r="BJ432" s="4" t="e">
        <f ca="1">BJ430+BJ431</f>
        <v>#NAME?</v>
      </c>
      <c r="BK432" s="133" t="e">
        <f ca="1">INT(ABS(BJ432))</f>
        <v>#NAME?</v>
      </c>
      <c r="BL432" s="133" t="e">
        <f ca="1">INT((ABS(BJ432)-BK432)*60)</f>
        <v>#NAME?</v>
      </c>
      <c r="BM432" s="133" t="e">
        <f ca="1">INT((((ABS(BJ432)-BK432)*60)-BL432)*60)</f>
        <v>#NAME?</v>
      </c>
      <c r="BN432" s="133" t="e">
        <f ca="1">INT((((((ABS(BJ432)-BK432)*60)-BL432)*60)-BM432)*60)</f>
        <v>#NAME?</v>
      </c>
      <c r="BO432" s="4"/>
      <c r="BP432" s="4"/>
      <c r="BR432" s="10" t="s">
        <v>757</v>
      </c>
      <c r="BS432" s="10" t="e">
        <f ca="1">BS429+BS431</f>
        <v>#NAME?</v>
      </c>
      <c r="BT432" s="28" t="e">
        <f t="shared" ca="1" si="238"/>
        <v>#NAME?</v>
      </c>
      <c r="BU432" s="28" t="e">
        <f t="shared" ca="1" si="239"/>
        <v>#NAME?</v>
      </c>
      <c r="BV432" s="28" t="e">
        <f t="shared" ca="1" si="240"/>
        <v>#NAME?</v>
      </c>
      <c r="BW432" s="28" t="e">
        <f t="shared" ca="1" si="241"/>
        <v>#NAME?</v>
      </c>
      <c r="BX432" s="10"/>
      <c r="BY432" s="10"/>
      <c r="BZ432" s="4"/>
      <c r="CA432" s="4" t="e">
        <f ca="1">CA430+CA431</f>
        <v>#NAME?</v>
      </c>
      <c r="CB432" s="133" t="e">
        <f t="shared" ca="1" si="242"/>
        <v>#NAME?</v>
      </c>
      <c r="CC432" s="133" t="e">
        <f t="shared" ca="1" si="243"/>
        <v>#NAME?</v>
      </c>
      <c r="CD432" s="133" t="e">
        <f t="shared" ca="1" si="244"/>
        <v>#NAME?</v>
      </c>
      <c r="CE432" s="133" t="e">
        <f t="shared" ca="1" si="245"/>
        <v>#NAME?</v>
      </c>
      <c r="CF432" s="4"/>
      <c r="CG432" s="4"/>
    </row>
    <row r="433" spans="2:85" ht="24.75">
      <c r="B433" s="10"/>
      <c r="C433" s="10"/>
      <c r="D433" s="28">
        <f t="shared" si="182"/>
        <v>0</v>
      </c>
      <c r="E433" s="28">
        <f t="shared" si="183"/>
        <v>0</v>
      </c>
      <c r="F433" s="28">
        <f t="shared" si="184"/>
        <v>0</v>
      </c>
      <c r="G433" s="28">
        <f t="shared" si="185"/>
        <v>0</v>
      </c>
      <c r="H433" s="10"/>
      <c r="I433" s="10"/>
      <c r="J433" s="4"/>
      <c r="K433" s="4" t="e">
        <f ca="1">[5]!wasat(K409,L409,M409,N409)</f>
        <v>#NAME?</v>
      </c>
      <c r="L433" s="133" t="e">
        <f t="shared" ca="1" si="226"/>
        <v>#NAME?</v>
      </c>
      <c r="M433" s="133" t="e">
        <f t="shared" ca="1" si="227"/>
        <v>#NAME?</v>
      </c>
      <c r="N433" s="133" t="e">
        <f t="shared" ca="1" si="228"/>
        <v>#NAME?</v>
      </c>
      <c r="O433" s="133" t="e">
        <f t="shared" ca="1" si="229"/>
        <v>#NAME?</v>
      </c>
      <c r="P433" s="4"/>
      <c r="Q433" s="4"/>
      <c r="S433" s="10"/>
      <c r="T433" s="10"/>
      <c r="U433" s="28">
        <f t="shared" si="186"/>
        <v>0</v>
      </c>
      <c r="V433" s="28">
        <f t="shared" si="187"/>
        <v>0</v>
      </c>
      <c r="W433" s="28">
        <f t="shared" si="188"/>
        <v>0</v>
      </c>
      <c r="X433" s="28">
        <f t="shared" si="189"/>
        <v>0</v>
      </c>
      <c r="Y433" s="10"/>
      <c r="Z433" s="10"/>
      <c r="AA433" s="4"/>
      <c r="AB433" s="4" t="e">
        <f ca="1">[5]!wasat(AB409,AC409,AD409,AE409)</f>
        <v>#NAME?</v>
      </c>
      <c r="AC433" s="133" t="e">
        <f t="shared" ca="1" si="234"/>
        <v>#NAME?</v>
      </c>
      <c r="AD433" s="133" t="e">
        <f t="shared" ca="1" si="235"/>
        <v>#NAME?</v>
      </c>
      <c r="AE433" s="133" t="e">
        <f t="shared" ca="1" si="236"/>
        <v>#NAME?</v>
      </c>
      <c r="AF433" s="133" t="e">
        <f t="shared" ca="1" si="237"/>
        <v>#NAME?</v>
      </c>
      <c r="AG433" s="4"/>
      <c r="AH433" s="4"/>
      <c r="AJ433" s="10"/>
      <c r="AK433" s="10"/>
      <c r="AL433" s="28">
        <f t="shared" si="190"/>
        <v>0</v>
      </c>
      <c r="AM433" s="28">
        <f t="shared" si="191"/>
        <v>0</v>
      </c>
      <c r="AN433" s="28">
        <f t="shared" si="192"/>
        <v>0</v>
      </c>
      <c r="AO433" s="28">
        <f t="shared" si="193"/>
        <v>0</v>
      </c>
      <c r="AP433" s="10"/>
      <c r="AQ433" s="10"/>
      <c r="AR433" s="4"/>
      <c r="AS433" s="4" t="e">
        <f ca="1">[5]!wasat(AS409,AT409,AU409,AV409)</f>
        <v>#NAME?</v>
      </c>
      <c r="AT433" s="133" t="e">
        <f ca="1">INT(ABS(AS433))</f>
        <v>#NAME?</v>
      </c>
      <c r="AU433" s="133" t="e">
        <f ca="1">INT((ABS(AS433)-AT433)*60)</f>
        <v>#NAME?</v>
      </c>
      <c r="AV433" s="133" t="e">
        <f ca="1">INT((((ABS(AS433)-AT433)*60)-AU433)*60)</f>
        <v>#NAME?</v>
      </c>
      <c r="AW433" s="133" t="e">
        <f ca="1">INT((((((ABS(AS433)-AT433)*60)-AU433)*60)-AV433)*60)</f>
        <v>#NAME?</v>
      </c>
      <c r="AX433" s="4"/>
      <c r="AY433" s="4"/>
      <c r="BA433" s="10"/>
      <c r="BB433" s="10"/>
      <c r="BC433" s="28">
        <f t="shared" si="194"/>
        <v>0</v>
      </c>
      <c r="BD433" s="28">
        <f t="shared" si="195"/>
        <v>0</v>
      </c>
      <c r="BE433" s="28">
        <f t="shared" si="196"/>
        <v>0</v>
      </c>
      <c r="BF433" s="28">
        <f t="shared" si="197"/>
        <v>0</v>
      </c>
      <c r="BG433" s="10"/>
      <c r="BH433" s="10"/>
      <c r="BI433" s="4"/>
      <c r="BJ433" s="4" t="e">
        <f ca="1">[5]!wasat(BJ409,BK409,BL409,BM409)</f>
        <v>#NAME?</v>
      </c>
      <c r="BK433" s="133" t="e">
        <f ca="1">INT(ABS(BJ433))</f>
        <v>#NAME?</v>
      </c>
      <c r="BL433" s="133" t="e">
        <f ca="1">INT((ABS(BJ433)-BK433)*60)</f>
        <v>#NAME?</v>
      </c>
      <c r="BM433" s="133" t="e">
        <f ca="1">INT((((ABS(BJ433)-BK433)*60)-BL433)*60)</f>
        <v>#NAME?</v>
      </c>
      <c r="BN433" s="133" t="e">
        <f ca="1">INT((((((ABS(BJ433)-BK433)*60)-BL433)*60)-BM433)*60)</f>
        <v>#NAME?</v>
      </c>
      <c r="BO433" s="4"/>
      <c r="BP433" s="4"/>
      <c r="BR433" s="10"/>
      <c r="BS433" s="10"/>
      <c r="BT433" s="28">
        <f t="shared" si="198"/>
        <v>0</v>
      </c>
      <c r="BU433" s="28">
        <f t="shared" si="199"/>
        <v>0</v>
      </c>
      <c r="BV433" s="28">
        <f t="shared" si="200"/>
        <v>0</v>
      </c>
      <c r="BW433" s="28">
        <f t="shared" si="201"/>
        <v>0</v>
      </c>
      <c r="BX433" s="10"/>
      <c r="BY433" s="10"/>
      <c r="BZ433" s="4"/>
      <c r="CA433" s="4" t="e">
        <f ca="1">[5]!wasat(CA409,CB409,CC409,CD409)</f>
        <v>#NAME?</v>
      </c>
      <c r="CB433" s="133" t="e">
        <f t="shared" ca="1" si="242"/>
        <v>#NAME?</v>
      </c>
      <c r="CC433" s="133" t="e">
        <f t="shared" ca="1" si="243"/>
        <v>#NAME?</v>
      </c>
      <c r="CD433" s="133" t="e">
        <f t="shared" ca="1" si="244"/>
        <v>#NAME?</v>
      </c>
      <c r="CE433" s="133" t="e">
        <f t="shared" ca="1" si="245"/>
        <v>#NAME?</v>
      </c>
      <c r="CF433" s="4"/>
      <c r="CG433" s="4"/>
    </row>
    <row r="434" spans="2:85" ht="24.75">
      <c r="D434" s="129">
        <f t="shared" si="182"/>
        <v>0</v>
      </c>
      <c r="E434" s="129">
        <f t="shared" si="183"/>
        <v>0</v>
      </c>
      <c r="F434" s="129">
        <f t="shared" si="184"/>
        <v>0</v>
      </c>
      <c r="G434" s="129">
        <f t="shared" si="185"/>
        <v>0</v>
      </c>
      <c r="J434" s="4" t="s">
        <v>726</v>
      </c>
      <c r="K434" s="4" t="e">
        <f ca="1">[5]!taam(K433)*K410</f>
        <v>#NAME?</v>
      </c>
      <c r="L434" s="133" t="e">
        <f t="shared" ca="1" si="226"/>
        <v>#NAME?</v>
      </c>
      <c r="M434" s="133" t="e">
        <f t="shared" ca="1" si="227"/>
        <v>#NAME?</v>
      </c>
      <c r="N434" s="133" t="e">
        <f t="shared" ca="1" si="228"/>
        <v>#NAME?</v>
      </c>
      <c r="O434" s="133" t="e">
        <f t="shared" ca="1" si="229"/>
        <v>#NAME?</v>
      </c>
      <c r="P434" s="4"/>
      <c r="Q434" s="4"/>
      <c r="U434" s="129">
        <f t="shared" si="186"/>
        <v>0</v>
      </c>
      <c r="V434" s="129">
        <f t="shared" si="187"/>
        <v>0</v>
      </c>
      <c r="W434" s="129">
        <f t="shared" si="188"/>
        <v>0</v>
      </c>
      <c r="X434" s="129">
        <f t="shared" si="189"/>
        <v>0</v>
      </c>
      <c r="AA434" s="4" t="s">
        <v>726</v>
      </c>
      <c r="AB434" s="4" t="e">
        <f ca="1">[5]!taam(AB433)*AB410</f>
        <v>#NAME?</v>
      </c>
      <c r="AC434" s="133" t="e">
        <f t="shared" ca="1" si="234"/>
        <v>#NAME?</v>
      </c>
      <c r="AD434" s="133" t="e">
        <f t="shared" ca="1" si="235"/>
        <v>#NAME?</v>
      </c>
      <c r="AE434" s="133" t="e">
        <f t="shared" ca="1" si="236"/>
        <v>#NAME?</v>
      </c>
      <c r="AF434" s="133" t="e">
        <f t="shared" ca="1" si="237"/>
        <v>#NAME?</v>
      </c>
      <c r="AG434" s="4"/>
      <c r="AH434" s="4"/>
      <c r="AL434" s="129">
        <f t="shared" si="190"/>
        <v>0</v>
      </c>
      <c r="AM434" s="129">
        <f t="shared" si="191"/>
        <v>0</v>
      </c>
      <c r="AN434" s="129">
        <f t="shared" si="192"/>
        <v>0</v>
      </c>
      <c r="AO434" s="129">
        <f t="shared" si="193"/>
        <v>0</v>
      </c>
      <c r="AR434" s="4" t="s">
        <v>726</v>
      </c>
      <c r="AS434" s="4" t="e">
        <f ca="1">[5]!taam(AS433)*AS410</f>
        <v>#NAME?</v>
      </c>
      <c r="AT434" s="133" t="e">
        <f ca="1">INT(ABS(AS434))</f>
        <v>#NAME?</v>
      </c>
      <c r="AU434" s="133" t="e">
        <f ca="1">INT((ABS(AS434)-AT434)*60)</f>
        <v>#NAME?</v>
      </c>
      <c r="AV434" s="133" t="e">
        <f ca="1">INT((((ABS(AS434)-AT434)*60)-AU434)*60)</f>
        <v>#NAME?</v>
      </c>
      <c r="AW434" s="133" t="e">
        <f ca="1">INT((((((ABS(AS434)-AT434)*60)-AU434)*60)-AV434)*60)</f>
        <v>#NAME?</v>
      </c>
      <c r="AX434" s="4"/>
      <c r="AY434" s="4"/>
      <c r="BC434" s="129">
        <f t="shared" si="194"/>
        <v>0</v>
      </c>
      <c r="BD434" s="129">
        <f t="shared" si="195"/>
        <v>0</v>
      </c>
      <c r="BE434" s="129">
        <f t="shared" si="196"/>
        <v>0</v>
      </c>
      <c r="BF434" s="129">
        <f t="shared" si="197"/>
        <v>0</v>
      </c>
      <c r="BI434" s="4" t="s">
        <v>726</v>
      </c>
      <c r="BJ434" s="4" t="e">
        <f ca="1">[5]!taam(BJ433)*BJ410</f>
        <v>#NAME?</v>
      </c>
      <c r="BK434" s="133" t="e">
        <f ca="1">INT(ABS(BJ434))</f>
        <v>#NAME?</v>
      </c>
      <c r="BL434" s="133" t="e">
        <f ca="1">INT((ABS(BJ434)-BK434)*60)</f>
        <v>#NAME?</v>
      </c>
      <c r="BM434" s="133" t="e">
        <f ca="1">INT((((ABS(BJ434)-BK434)*60)-BL434)*60)</f>
        <v>#NAME?</v>
      </c>
      <c r="BN434" s="133" t="e">
        <f ca="1">INT((((((ABS(BJ434)-BK434)*60)-BL434)*60)-BM434)*60)</f>
        <v>#NAME?</v>
      </c>
      <c r="BO434" s="4"/>
      <c r="BP434" s="4"/>
      <c r="BT434" s="129">
        <f t="shared" si="198"/>
        <v>0</v>
      </c>
      <c r="BU434" s="129">
        <f t="shared" si="199"/>
        <v>0</v>
      </c>
      <c r="BV434" s="129">
        <f t="shared" si="200"/>
        <v>0</v>
      </c>
      <c r="BW434" s="129">
        <f t="shared" si="201"/>
        <v>0</v>
      </c>
      <c r="BZ434" s="4" t="s">
        <v>726</v>
      </c>
      <c r="CA434" s="4" t="e">
        <f ca="1">[5]!taam(CA433)*CA410</f>
        <v>#NAME?</v>
      </c>
      <c r="CB434" s="133" t="e">
        <f t="shared" ca="1" si="242"/>
        <v>#NAME?</v>
      </c>
      <c r="CC434" s="133" t="e">
        <f t="shared" ca="1" si="243"/>
        <v>#NAME?</v>
      </c>
      <c r="CD434" s="133" t="e">
        <f t="shared" ca="1" si="244"/>
        <v>#NAME?</v>
      </c>
      <c r="CE434" s="133" t="e">
        <f t="shared" ca="1" si="245"/>
        <v>#NAME?</v>
      </c>
      <c r="CF434" s="4"/>
      <c r="CG434" s="4"/>
    </row>
    <row r="435" spans="2:85" ht="24.75">
      <c r="B435" s="10" t="s">
        <v>725</v>
      </c>
      <c r="C435" t="e">
        <f ca="1">IF(C409&lt;1251,C432,K435)</f>
        <v>#NAME?</v>
      </c>
      <c r="D435" s="129" t="e">
        <f ca="1">INT(ABS(C435))</f>
        <v>#NAME?</v>
      </c>
      <c r="E435" s="129" t="e">
        <f ca="1">INT((ABS(C435)-D435)*60)</f>
        <v>#NAME?</v>
      </c>
      <c r="F435" s="129" t="e">
        <f ca="1">INT((((ABS(C435)-D435)*60)-E435)*60)</f>
        <v>#NAME?</v>
      </c>
      <c r="G435" s="129" t="e">
        <f ca="1">INT((((((ABS(C435)-D435)*60)-E435)*60)-F435)*60)</f>
        <v>#NAME?</v>
      </c>
      <c r="J435" s="4" t="s">
        <v>725</v>
      </c>
      <c r="K435" s="4" t="e">
        <f ca="1">K432-K434</f>
        <v>#NAME?</v>
      </c>
      <c r="L435" s="133" t="e">
        <f t="shared" ca="1" si="226"/>
        <v>#NAME?</v>
      </c>
      <c r="M435" s="133" t="e">
        <f t="shared" ca="1" si="227"/>
        <v>#NAME?</v>
      </c>
      <c r="N435" s="133" t="e">
        <f t="shared" ca="1" si="228"/>
        <v>#NAME?</v>
      </c>
      <c r="O435" s="133" t="e">
        <f t="shared" ca="1" si="229"/>
        <v>#NAME?</v>
      </c>
      <c r="P435" s="4"/>
      <c r="Q435" s="4"/>
      <c r="S435" s="10" t="s">
        <v>749</v>
      </c>
      <c r="T435" t="e">
        <f ca="1">IF(T409&lt;1251,T432,AB435)</f>
        <v>#NAME?</v>
      </c>
      <c r="U435" s="129" t="e">
        <f ca="1">INT(ABS(T435))</f>
        <v>#NAME?</v>
      </c>
      <c r="V435" s="129" t="e">
        <f ca="1">INT((ABS(T435)-U435)*60)</f>
        <v>#NAME?</v>
      </c>
      <c r="W435" s="129" t="e">
        <f ca="1">INT((((ABS(T435)-U435)*60)-V435)*60)</f>
        <v>#NAME?</v>
      </c>
      <c r="X435" s="129" t="e">
        <f ca="1">INT((((((ABS(T435)-U435)*60)-V435)*60)-W435)*60)</f>
        <v>#NAME?</v>
      </c>
      <c r="AA435" s="4" t="s">
        <v>755</v>
      </c>
      <c r="AB435" s="4" t="e">
        <f ca="1">AB432-AB434</f>
        <v>#NAME?</v>
      </c>
      <c r="AC435" s="133" t="e">
        <f t="shared" ca="1" si="234"/>
        <v>#NAME?</v>
      </c>
      <c r="AD435" s="133" t="e">
        <f t="shared" ca="1" si="235"/>
        <v>#NAME?</v>
      </c>
      <c r="AE435" s="133" t="e">
        <f t="shared" ca="1" si="236"/>
        <v>#NAME?</v>
      </c>
      <c r="AF435" s="133" t="e">
        <f t="shared" ca="1" si="237"/>
        <v>#NAME?</v>
      </c>
      <c r="AG435" s="4"/>
      <c r="AH435" s="4"/>
      <c r="AJ435" s="10" t="s">
        <v>734</v>
      </c>
      <c r="AK435" t="e">
        <f ca="1">IF(AK409&lt;1251,AK432,AS435)</f>
        <v>#NAME?</v>
      </c>
      <c r="AL435" s="129" t="e">
        <f ca="1">INT(ABS(AK435))</f>
        <v>#NAME?</v>
      </c>
      <c r="AM435" s="129" t="e">
        <f ca="1">INT((ABS(AK435)-AL435)*60)</f>
        <v>#NAME?</v>
      </c>
      <c r="AN435" s="129" t="e">
        <f ca="1">INT((((ABS(AK435)-AL435)*60)-AM435)*60)</f>
        <v>#NAME?</v>
      </c>
      <c r="AO435" s="129" t="e">
        <f ca="1">INT((((((ABS(AK435)-AL435)*60)-AM435)*60)-AN435)*60)</f>
        <v>#NAME?</v>
      </c>
      <c r="AR435" s="4" t="s">
        <v>736</v>
      </c>
      <c r="AS435" s="4" t="e">
        <f ca="1">AS432-AS434</f>
        <v>#NAME?</v>
      </c>
      <c r="AT435" s="133" t="e">
        <f ca="1">INT(ABS(AS435))</f>
        <v>#NAME?</v>
      </c>
      <c r="AU435" s="133" t="e">
        <f ca="1">INT((ABS(AS435)-AT435)*60)</f>
        <v>#NAME?</v>
      </c>
      <c r="AV435" s="133" t="e">
        <f ca="1">INT((((ABS(AS435)-AT435)*60)-AU435)*60)</f>
        <v>#NAME?</v>
      </c>
      <c r="AW435" s="133" t="e">
        <f ca="1">INT((((((ABS(AS435)-AT435)*60)-AU435)*60)-AV435)*60)</f>
        <v>#NAME?</v>
      </c>
      <c r="AX435" s="4"/>
      <c r="AY435" s="4"/>
      <c r="BA435" s="10" t="s">
        <v>742</v>
      </c>
      <c r="BB435" t="e">
        <f ca="1">IF(BB409&lt;1251,BB432,BJ435)</f>
        <v>#NAME?</v>
      </c>
      <c r="BC435" s="129" t="e">
        <f ca="1">INT(ABS(BB435))</f>
        <v>#NAME?</v>
      </c>
      <c r="BD435" s="129" t="e">
        <f ca="1">INT((ABS(BB435)-BC435)*60)</f>
        <v>#NAME?</v>
      </c>
      <c r="BE435" s="129" t="e">
        <f ca="1">INT((((ABS(BB435)-BC435)*60)-BD435)*60)</f>
        <v>#NAME?</v>
      </c>
      <c r="BF435" s="129" t="e">
        <f ca="1">INT((((((ABS(BB435)-BC435)*60)-BD435)*60)-BE435)*60)</f>
        <v>#NAME?</v>
      </c>
      <c r="BI435" s="4" t="s">
        <v>736</v>
      </c>
      <c r="BJ435" s="4" t="e">
        <f ca="1">BJ432-BJ434</f>
        <v>#NAME?</v>
      </c>
      <c r="BK435" s="133" t="e">
        <f ca="1">INT(ABS(BJ435))</f>
        <v>#NAME?</v>
      </c>
      <c r="BL435" s="133" t="e">
        <f ca="1">INT((ABS(BJ435)-BK435)*60)</f>
        <v>#NAME?</v>
      </c>
      <c r="BM435" s="133" t="e">
        <f ca="1">INT((((ABS(BJ435)-BK435)*60)-BL435)*60)</f>
        <v>#NAME?</v>
      </c>
      <c r="BN435" s="133" t="e">
        <f ca="1">INT((((((ABS(BJ435)-BK435)*60)-BL435)*60)-BM435)*60)</f>
        <v>#NAME?</v>
      </c>
      <c r="BO435" s="4"/>
      <c r="BP435" s="4"/>
      <c r="BR435" s="10" t="s">
        <v>756</v>
      </c>
      <c r="BS435" t="e">
        <f ca="1">IF(BS409&lt;1251,BS432,CA435)</f>
        <v>#NAME?</v>
      </c>
      <c r="BT435" s="129" t="e">
        <f ca="1">INT(ABS(BS435))</f>
        <v>#NAME?</v>
      </c>
      <c r="BU435" s="129" t="e">
        <f ca="1">INT((ABS(BS435)-BT435)*60)</f>
        <v>#NAME?</v>
      </c>
      <c r="BV435" s="129" t="e">
        <f ca="1">INT((((ABS(BS435)-BT435)*60)-BU435)*60)</f>
        <v>#NAME?</v>
      </c>
      <c r="BW435" s="129" t="e">
        <f ca="1">INT((((((ABS(BS435)-BT435)*60)-BU435)*60)-BV435)*60)</f>
        <v>#NAME?</v>
      </c>
      <c r="BZ435" s="4" t="s">
        <v>736</v>
      </c>
      <c r="CA435" s="4" t="e">
        <f ca="1">CA432-CA434</f>
        <v>#NAME?</v>
      </c>
      <c r="CB435" s="133" t="e">
        <f t="shared" ca="1" si="242"/>
        <v>#NAME?</v>
      </c>
      <c r="CC435" s="133" t="e">
        <f t="shared" ca="1" si="243"/>
        <v>#NAME?</v>
      </c>
      <c r="CD435" s="133" t="e">
        <f t="shared" ca="1" si="244"/>
        <v>#NAME?</v>
      </c>
      <c r="CE435" s="133" t="e">
        <f t="shared" ca="1" si="245"/>
        <v>#NAME?</v>
      </c>
      <c r="CF435" s="4"/>
      <c r="CG435" s="4"/>
    </row>
    <row r="436" spans="2:85" ht="24.75">
      <c r="D436" s="129">
        <f>INT(ABS(C436))</f>
        <v>0</v>
      </c>
      <c r="E436" s="129">
        <f>INT((ABS(C436)-D436)*60)</f>
        <v>0</v>
      </c>
      <c r="F436" s="129">
        <f>INT((((ABS(C436)-D436)*60)-E436)*60)</f>
        <v>0</v>
      </c>
      <c r="G436" s="129">
        <f>INT((((((ABS(C436)-D436)*60)-E436)*60)-F436)*60)</f>
        <v>0</v>
      </c>
    </row>
    <row r="437" spans="2:85" ht="24.75">
      <c r="D437" s="129">
        <f>INT(ABS(C437))</f>
        <v>0</v>
      </c>
      <c r="E437" s="129">
        <f>INT((ABS(C437)-D437)*60)</f>
        <v>0</v>
      </c>
      <c r="F437" s="129">
        <f>INT((((ABS(C437)-D437)*60)-E437)*60)</f>
        <v>0</v>
      </c>
      <c r="G437" s="129">
        <f>INT((((((ABS(C437)-D437)*60)-E437)*60)-F437)*60)</f>
        <v>0</v>
      </c>
    </row>
    <row r="438" spans="2:85" ht="24.75">
      <c r="B438" s="10" t="s">
        <v>763</v>
      </c>
      <c r="C438" s="10" t="s">
        <v>3</v>
      </c>
      <c r="D438" s="10" t="s">
        <v>4</v>
      </c>
      <c r="E438" s="10" t="s">
        <v>5</v>
      </c>
      <c r="F438" s="10" t="s">
        <v>377</v>
      </c>
      <c r="G438" s="28"/>
      <c r="H438" s="10"/>
      <c r="I438" s="10"/>
      <c r="J438" s="4" t="s">
        <v>747</v>
      </c>
      <c r="K438" s="4" t="s">
        <v>3</v>
      </c>
      <c r="L438" s="4" t="s">
        <v>4</v>
      </c>
      <c r="M438" s="4" t="s">
        <v>5</v>
      </c>
      <c r="N438" s="4" t="s">
        <v>377</v>
      </c>
      <c r="O438" s="4"/>
      <c r="P438" s="4"/>
      <c r="Q438" s="4"/>
      <c r="S438" s="10" t="s">
        <v>764</v>
      </c>
      <c r="T438" s="10" t="s">
        <v>3</v>
      </c>
      <c r="U438" s="10" t="s">
        <v>4</v>
      </c>
      <c r="V438" s="10" t="s">
        <v>5</v>
      </c>
      <c r="W438" s="10" t="s">
        <v>377</v>
      </c>
      <c r="X438" s="28"/>
      <c r="Y438" s="10"/>
      <c r="Z438" s="10"/>
      <c r="AA438" s="4" t="s">
        <v>765</v>
      </c>
      <c r="AB438" s="4" t="s">
        <v>3</v>
      </c>
      <c r="AC438" s="4" t="s">
        <v>4</v>
      </c>
      <c r="AD438" s="4" t="s">
        <v>5</v>
      </c>
      <c r="AE438" s="4" t="s">
        <v>377</v>
      </c>
      <c r="AF438" s="4"/>
      <c r="AG438" s="4"/>
      <c r="AH438" s="4"/>
      <c r="AJ438" s="10" t="s">
        <v>758</v>
      </c>
      <c r="AK438" s="10" t="s">
        <v>3</v>
      </c>
      <c r="AL438" s="10" t="s">
        <v>4</v>
      </c>
      <c r="AM438" s="10" t="s">
        <v>5</v>
      </c>
      <c r="AN438" s="10" t="s">
        <v>377</v>
      </c>
      <c r="AO438" s="28"/>
      <c r="AP438" s="10"/>
      <c r="AQ438" s="10"/>
      <c r="AR438" s="4" t="s">
        <v>759</v>
      </c>
      <c r="AS438" s="4" t="s">
        <v>3</v>
      </c>
      <c r="AT438" s="4" t="s">
        <v>4</v>
      </c>
      <c r="AU438" s="4" t="s">
        <v>5</v>
      </c>
      <c r="AV438" s="4" t="s">
        <v>377</v>
      </c>
      <c r="AW438" s="4"/>
      <c r="AX438" s="4"/>
      <c r="AY438" s="4"/>
      <c r="BA438" s="10" t="s">
        <v>766</v>
      </c>
      <c r="BB438" s="10" t="s">
        <v>3</v>
      </c>
      <c r="BC438" s="10" t="s">
        <v>4</v>
      </c>
      <c r="BD438" s="10" t="s">
        <v>5</v>
      </c>
      <c r="BE438" s="10" t="s">
        <v>377</v>
      </c>
      <c r="BF438" s="28"/>
      <c r="BG438" s="10"/>
      <c r="BH438" s="10"/>
      <c r="BI438" s="4" t="s">
        <v>767</v>
      </c>
      <c r="BJ438" s="4" t="s">
        <v>3</v>
      </c>
      <c r="BK438" s="4" t="s">
        <v>4</v>
      </c>
      <c r="BL438" s="4" t="s">
        <v>5</v>
      </c>
      <c r="BM438" s="4" t="s">
        <v>377</v>
      </c>
      <c r="BN438" s="4"/>
      <c r="BO438" s="4"/>
      <c r="BP438" s="4"/>
      <c r="BR438" s="10" t="s">
        <v>768</v>
      </c>
      <c r="BS438" s="10" t="s">
        <v>3</v>
      </c>
      <c r="BT438" s="10" t="s">
        <v>4</v>
      </c>
      <c r="BU438" s="10" t="s">
        <v>5</v>
      </c>
      <c r="BV438" s="10" t="s">
        <v>377</v>
      </c>
      <c r="BW438" s="28"/>
      <c r="BX438" s="10"/>
      <c r="BY438" s="10"/>
      <c r="BZ438" s="4" t="s">
        <v>769</v>
      </c>
      <c r="CA438" s="4" t="s">
        <v>3</v>
      </c>
      <c r="CB438" s="4" t="s">
        <v>4</v>
      </c>
      <c r="CC438" s="4" t="s">
        <v>5</v>
      </c>
      <c r="CD438" s="4" t="s">
        <v>377</v>
      </c>
      <c r="CE438" s="4"/>
      <c r="CF438" s="4"/>
      <c r="CG438" s="4"/>
    </row>
    <row r="439" spans="2:85" ht="24.75">
      <c r="B439" s="10"/>
      <c r="C439" s="10">
        <v>60</v>
      </c>
      <c r="D439" s="10">
        <v>1</v>
      </c>
      <c r="E439" s="10" t="e">
        <f ca="1">[5]!roz(10,1,15,0)</f>
        <v>#NAME?</v>
      </c>
      <c r="F439" s="10" t="e">
        <f ca="1">[5]!mbtool(2,47,0,1)</f>
        <v>#NAME?</v>
      </c>
      <c r="G439" s="28"/>
      <c r="H439" s="10"/>
      <c r="I439" s="10"/>
      <c r="J439" s="4"/>
      <c r="K439" s="4">
        <f>C439</f>
        <v>60</v>
      </c>
      <c r="L439" s="4">
        <f>D439</f>
        <v>1</v>
      </c>
      <c r="M439" s="4" t="e">
        <f ca="1">E439</f>
        <v>#NAME?</v>
      </c>
      <c r="N439" s="4" t="e">
        <f ca="1">F439</f>
        <v>#NAME?</v>
      </c>
      <c r="O439" s="4"/>
      <c r="P439" s="4"/>
      <c r="Q439" s="4"/>
      <c r="S439" s="10"/>
      <c r="T439" s="10">
        <v>1348</v>
      </c>
      <c r="U439" s="10">
        <v>7</v>
      </c>
      <c r="V439" s="10" t="e">
        <f ca="1">[5]!roz(28,4,20,0)</f>
        <v>#NAME?</v>
      </c>
      <c r="W439" s="10" t="e">
        <f ca="1">[5]!mbtool(0,13,0,1)</f>
        <v>#NAME?</v>
      </c>
      <c r="X439" s="28"/>
      <c r="Y439" s="10"/>
      <c r="Z439" s="10"/>
      <c r="AA439" s="4"/>
      <c r="AB439" s="4">
        <f>T439</f>
        <v>1348</v>
      </c>
      <c r="AC439" s="4">
        <f>U439</f>
        <v>7</v>
      </c>
      <c r="AD439" s="4" t="e">
        <f ca="1">V439</f>
        <v>#NAME?</v>
      </c>
      <c r="AE439" s="4" t="e">
        <f ca="1">W439</f>
        <v>#NAME?</v>
      </c>
      <c r="AF439" s="4"/>
      <c r="AG439" s="4"/>
      <c r="AH439" s="4"/>
      <c r="AJ439" s="10"/>
      <c r="AK439" s="10">
        <v>1251</v>
      </c>
      <c r="AL439" s="10">
        <v>1</v>
      </c>
      <c r="AM439" s="10">
        <v>1</v>
      </c>
      <c r="AN439" s="10">
        <v>0</v>
      </c>
      <c r="AO439" s="28"/>
      <c r="AP439" s="10"/>
      <c r="AQ439" s="10"/>
      <c r="AR439" s="4"/>
      <c r="AS439" s="4">
        <f>AK439</f>
        <v>1251</v>
      </c>
      <c r="AT439" s="4">
        <f>AL439</f>
        <v>1</v>
      </c>
      <c r="AU439" s="4">
        <f>AM439</f>
        <v>1</v>
      </c>
      <c r="AV439" s="4">
        <f>AN439</f>
        <v>0</v>
      </c>
      <c r="AW439" s="4"/>
      <c r="AX439" s="4"/>
      <c r="AY439" s="4"/>
      <c r="BA439" s="10"/>
      <c r="BB439" s="10">
        <v>1286</v>
      </c>
      <c r="BC439" s="10">
        <v>1</v>
      </c>
      <c r="BD439" s="10">
        <v>1</v>
      </c>
      <c r="BE439" s="10">
        <v>0</v>
      </c>
      <c r="BF439" s="28"/>
      <c r="BG439" s="10"/>
      <c r="BH439" s="10"/>
      <c r="BI439" s="4"/>
      <c r="BJ439" s="4">
        <f>BB439</f>
        <v>1286</v>
      </c>
      <c r="BK439" s="4">
        <v>1</v>
      </c>
      <c r="BL439" s="4">
        <f>BD439</f>
        <v>1</v>
      </c>
      <c r="BM439" s="4">
        <f>BE439</f>
        <v>0</v>
      </c>
      <c r="BN439" s="4"/>
      <c r="BO439" s="4"/>
      <c r="BP439" s="4"/>
      <c r="BR439" s="10"/>
      <c r="BS439" s="10">
        <v>1286</v>
      </c>
      <c r="BT439" s="10">
        <v>9</v>
      </c>
      <c r="BU439" s="10" t="e">
        <f ca="1">[5]!roz(21,3,45,20)</f>
        <v>#NAME?</v>
      </c>
      <c r="BV439" s="10" t="e">
        <f ca="1">[5]!mbtool(0,10,6,-1)</f>
        <v>#NAME?</v>
      </c>
      <c r="BW439" s="28"/>
      <c r="BX439" s="10"/>
      <c r="BY439" s="10"/>
      <c r="BZ439" s="4"/>
      <c r="CA439" s="4">
        <f>BS439</f>
        <v>1286</v>
      </c>
      <c r="CB439" s="4">
        <f>BT439</f>
        <v>9</v>
      </c>
      <c r="CC439" s="4" t="e">
        <f ca="1">BU439</f>
        <v>#NAME?</v>
      </c>
      <c r="CD439" s="4" t="e">
        <f ca="1">BV439</f>
        <v>#NAME?</v>
      </c>
      <c r="CE439" s="4"/>
      <c r="CF439" s="4"/>
      <c r="CG439" s="4"/>
    </row>
    <row r="440" spans="2:85" ht="24.75">
      <c r="B440" s="10" t="s">
        <v>717</v>
      </c>
      <c r="C440" s="10">
        <f>C441/24</f>
        <v>4.4710219478738006E-7</v>
      </c>
      <c r="D440" s="28">
        <f>INT(ABS(C440))</f>
        <v>0</v>
      </c>
      <c r="E440" s="28">
        <f>INT((ABS(C440)-D440)*60)</f>
        <v>0</v>
      </c>
      <c r="F440" s="28">
        <f>INT((((ABS(C440)-D440)*60)-E440)*60)</f>
        <v>0</v>
      </c>
      <c r="G440" s="28">
        <f>INT((((((ABS(C440)-D440)*60)-E440)*60)-F440)*60)</f>
        <v>0</v>
      </c>
      <c r="H440" s="10"/>
      <c r="I440" s="10"/>
      <c r="J440" s="4" t="s">
        <v>717</v>
      </c>
      <c r="K440" s="4">
        <f>K441/24</f>
        <v>4.4710219478738006E-7</v>
      </c>
      <c r="L440" s="4"/>
      <c r="M440" s="4"/>
      <c r="N440" s="4"/>
      <c r="O440" s="4"/>
      <c r="P440" s="4"/>
      <c r="Q440" s="4"/>
      <c r="S440" s="10" t="s">
        <v>717</v>
      </c>
      <c r="T440" s="10">
        <f>T441/24</f>
        <v>2.2672325102880658E-6</v>
      </c>
      <c r="U440" s="28">
        <f>INT(ABS(T440))</f>
        <v>0</v>
      </c>
      <c r="V440" s="28">
        <f>INT((ABS(T440)-U440)*60)</f>
        <v>0</v>
      </c>
      <c r="W440" s="28">
        <f>INT((((ABS(T440)-U440)*60)-V440)*60)</f>
        <v>0</v>
      </c>
      <c r="X440" s="28">
        <f>INT((((((ABS(T440)-U440)*60)-V440)*60)-W440)*60)</f>
        <v>0</v>
      </c>
      <c r="Y440" s="10"/>
      <c r="Z440" s="10"/>
      <c r="AA440" s="4" t="s">
        <v>717</v>
      </c>
      <c r="AB440" s="4">
        <f>AB441/24</f>
        <v>2.2672325102880658E-6</v>
      </c>
      <c r="AC440" s="4"/>
      <c r="AD440" s="4"/>
      <c r="AE440" s="4"/>
      <c r="AF440" s="4"/>
      <c r="AG440" s="4"/>
      <c r="AH440" s="4"/>
      <c r="AJ440" s="10" t="s">
        <v>717</v>
      </c>
      <c r="AK440" s="10">
        <f>AK441/24</f>
        <v>1.1731610082304525E-6</v>
      </c>
      <c r="AL440" s="28">
        <f>INT(ABS(AK440))</f>
        <v>0</v>
      </c>
      <c r="AM440" s="28">
        <f>INT((ABS(AK440)-AL440)*60)</f>
        <v>0</v>
      </c>
      <c r="AN440" s="28">
        <f>INT((((ABS(AK440)-AL440)*60)-AM440)*60)</f>
        <v>0</v>
      </c>
      <c r="AO440" s="28">
        <f>INT((((((ABS(AK440)-AL440)*60)-AM440)*60)-AN440)*60)</f>
        <v>0</v>
      </c>
      <c r="AP440" s="10"/>
      <c r="AQ440" s="10"/>
      <c r="AR440" s="4" t="s">
        <v>717</v>
      </c>
      <c r="AS440" s="4">
        <f>AS441/24</f>
        <v>1.1731610082304525E-6</v>
      </c>
      <c r="AT440" s="4"/>
      <c r="AU440" s="4"/>
      <c r="AV440" s="4"/>
      <c r="AW440" s="4"/>
      <c r="AX440" s="4"/>
      <c r="AY440" s="4"/>
      <c r="BA440" s="10" t="s">
        <v>717</v>
      </c>
      <c r="BB440" s="10">
        <f>BB441/24</f>
        <v>1.4613876028806585E-6</v>
      </c>
      <c r="BC440" s="28">
        <f>INT(ABS(BB440))</f>
        <v>0</v>
      </c>
      <c r="BD440" s="28">
        <f>INT((ABS(BB440)-BC440)*60)</f>
        <v>0</v>
      </c>
      <c r="BE440" s="28">
        <f>INT((((ABS(BB440)-BC440)*60)-BD440)*60)</f>
        <v>0</v>
      </c>
      <c r="BF440" s="28">
        <f>INT((((((ABS(BB440)-BC440)*60)-BD440)*60)-BE440)*60)</f>
        <v>0</v>
      </c>
      <c r="BG440" s="10"/>
      <c r="BH440" s="10"/>
      <c r="BI440" s="4" t="s">
        <v>717</v>
      </c>
      <c r="BJ440" s="4">
        <f>BJ441/24</f>
        <v>1.4613876028806585E-6</v>
      </c>
      <c r="BK440" s="4"/>
      <c r="BL440" s="4"/>
      <c r="BM440" s="4"/>
      <c r="BN440" s="4"/>
      <c r="BO440" s="4"/>
      <c r="BP440" s="4"/>
      <c r="BR440" s="10" t="s">
        <v>717</v>
      </c>
      <c r="BS440" s="10">
        <f>BS441/24</f>
        <v>2.7027606310013716E-6</v>
      </c>
      <c r="BT440" s="28">
        <f>INT(ABS(BS440))</f>
        <v>0</v>
      </c>
      <c r="BU440" s="28">
        <f>INT((ABS(BS440)-BT440)*60)</f>
        <v>0</v>
      </c>
      <c r="BV440" s="28">
        <f>INT((((ABS(BS440)-BT440)*60)-BU440)*60)</f>
        <v>0</v>
      </c>
      <c r="BW440" s="28">
        <f>INT((((((ABS(BS440)-BT440)*60)-BU440)*60)-BV440)*60)</f>
        <v>0</v>
      </c>
      <c r="BX440" s="10"/>
      <c r="BY440" s="10"/>
      <c r="BZ440" s="4" t="s">
        <v>717</v>
      </c>
      <c r="CA440" s="4">
        <f>CA441/24</f>
        <v>2.7027606310013716E-6</v>
      </c>
      <c r="CB440" s="4"/>
      <c r="CC440" s="4"/>
      <c r="CD440" s="4"/>
      <c r="CE440" s="4"/>
      <c r="CF440" s="4"/>
      <c r="CG440" s="4"/>
    </row>
    <row r="441" spans="2:85">
      <c r="B441" s="10" t="s">
        <v>718</v>
      </c>
      <c r="C441" s="134">
        <f>(((((((((I441/60)+H441)/60)+G441)/60)+F441)/60)+E441)/60)+D441</f>
        <v>1.0730452674897121E-5</v>
      </c>
      <c r="D441" s="10">
        <v>0</v>
      </c>
      <c r="E441" s="10">
        <v>0</v>
      </c>
      <c r="F441" s="10">
        <v>0</v>
      </c>
      <c r="G441" s="10">
        <v>2</v>
      </c>
      <c r="H441" s="10">
        <v>19</v>
      </c>
      <c r="I441" s="10">
        <v>4</v>
      </c>
      <c r="J441" s="4" t="s">
        <v>718</v>
      </c>
      <c r="K441" s="134">
        <f>C441</f>
        <v>1.0730452674897121E-5</v>
      </c>
      <c r="L441" s="4">
        <v>0</v>
      </c>
      <c r="M441" s="4">
        <v>2</v>
      </c>
      <c r="N441" s="4">
        <v>0</v>
      </c>
      <c r="O441" s="4">
        <v>34</v>
      </c>
      <c r="P441" s="4">
        <v>24</v>
      </c>
      <c r="Q441" s="4">
        <v>39</v>
      </c>
      <c r="S441" s="10" t="s">
        <v>718</v>
      </c>
      <c r="T441" s="134">
        <f>AB441</f>
        <v>5.4413580246913583E-5</v>
      </c>
      <c r="U441" s="10">
        <v>0</v>
      </c>
      <c r="V441" s="10">
        <v>0</v>
      </c>
      <c r="W441" s="10">
        <v>0</v>
      </c>
      <c r="X441" s="10">
        <v>11</v>
      </c>
      <c r="Y441" s="10">
        <v>45</v>
      </c>
      <c r="Z441" s="10">
        <v>12</v>
      </c>
      <c r="AA441" s="4" t="s">
        <v>718</v>
      </c>
      <c r="AB441" s="134">
        <f>(((((((((AH441/60)+AG441)/60)+AF441)/60)+AE441)/60)+AD441)/60)+AC441</f>
        <v>5.4413580246913583E-5</v>
      </c>
      <c r="AC441" s="4">
        <v>0</v>
      </c>
      <c r="AD441" s="4">
        <v>0</v>
      </c>
      <c r="AE441" s="4">
        <v>0</v>
      </c>
      <c r="AF441" s="10">
        <v>11</v>
      </c>
      <c r="AG441" s="10">
        <v>45</v>
      </c>
      <c r="AH441" s="10">
        <v>12</v>
      </c>
      <c r="AJ441" s="10" t="s">
        <v>718</v>
      </c>
      <c r="AK441" s="134">
        <f>AS441</f>
        <v>2.8155864197530862E-5</v>
      </c>
      <c r="AL441" s="10">
        <v>0</v>
      </c>
      <c r="AM441" s="10">
        <v>4</v>
      </c>
      <c r="AN441" s="10">
        <v>59</v>
      </c>
      <c r="AO441" s="10">
        <v>15</v>
      </c>
      <c r="AP441" s="10">
        <v>57</v>
      </c>
      <c r="AQ441" s="10">
        <v>32</v>
      </c>
      <c r="AR441" s="4" t="s">
        <v>718</v>
      </c>
      <c r="AS441" s="134">
        <f>(((((((((AY441/60)+AX441)/60)+AW441)/60)+AV441)/60)+AU441)/60)+AT441</f>
        <v>2.8155864197530862E-5</v>
      </c>
      <c r="AT441" s="4">
        <v>0</v>
      </c>
      <c r="AU441" s="4">
        <v>0</v>
      </c>
      <c r="AV441" s="4">
        <v>0</v>
      </c>
      <c r="AW441" s="4">
        <v>6</v>
      </c>
      <c r="AX441" s="4">
        <v>4</v>
      </c>
      <c r="AY441" s="4">
        <v>54</v>
      </c>
      <c r="BA441" s="10" t="s">
        <v>718</v>
      </c>
      <c r="BB441" s="134">
        <f>BJ441</f>
        <v>3.5073302469135805E-5</v>
      </c>
      <c r="BC441" s="10">
        <v>0</v>
      </c>
      <c r="BD441" s="10">
        <v>4</v>
      </c>
      <c r="BE441" s="10">
        <v>59</v>
      </c>
      <c r="BF441" s="10">
        <v>15</v>
      </c>
      <c r="BG441" s="10">
        <v>57</v>
      </c>
      <c r="BH441" s="10">
        <v>32</v>
      </c>
      <c r="BI441" s="4" t="s">
        <v>718</v>
      </c>
      <c r="BJ441" s="134">
        <f>(((((((((BP441/60)+BO441)/60)+BN441)/60)+BM441)/60)+BL441)/60)+BK441</f>
        <v>3.5073302469135805E-5</v>
      </c>
      <c r="BK441" s="4">
        <v>0</v>
      </c>
      <c r="BL441" s="4">
        <v>0</v>
      </c>
      <c r="BM441" s="4">
        <v>0</v>
      </c>
      <c r="BN441" s="4">
        <v>7</v>
      </c>
      <c r="BO441" s="4">
        <v>34</v>
      </c>
      <c r="BP441" s="4">
        <v>33</v>
      </c>
      <c r="BR441" s="10" t="s">
        <v>718</v>
      </c>
      <c r="BS441" s="134">
        <f>CA441</f>
        <v>6.4866255144032921E-5</v>
      </c>
      <c r="BT441" s="10">
        <v>0</v>
      </c>
      <c r="BU441" s="10">
        <v>4</v>
      </c>
      <c r="BV441" s="10">
        <v>59</v>
      </c>
      <c r="BW441" s="10">
        <v>15</v>
      </c>
      <c r="BX441" s="10">
        <v>57</v>
      </c>
      <c r="BY441" s="10">
        <v>32</v>
      </c>
      <c r="BZ441" s="4" t="s">
        <v>718</v>
      </c>
      <c r="CA441" s="134">
        <f>(((((((((CG441/60)+CF441)/60)+CE441)/60)+CD441)/60)+CC441)/60)+CB441</f>
        <v>6.4866255144032921E-5</v>
      </c>
      <c r="CB441" s="4">
        <v>0</v>
      </c>
      <c r="CC441" s="4">
        <v>0</v>
      </c>
      <c r="CD441" s="4">
        <v>0</v>
      </c>
      <c r="CE441" s="4">
        <v>14</v>
      </c>
      <c r="CF441" s="4">
        <v>0</v>
      </c>
      <c r="CG441" s="4">
        <v>40</v>
      </c>
    </row>
    <row r="442" spans="2:85">
      <c r="B442" s="10"/>
      <c r="C442" s="10"/>
      <c r="D442" s="10"/>
      <c r="E442" s="10"/>
      <c r="F442" s="10"/>
      <c r="G442" s="10"/>
      <c r="H442" s="10"/>
      <c r="I442" s="10"/>
      <c r="J442" s="4"/>
      <c r="K442" s="4"/>
      <c r="L442" s="4"/>
      <c r="M442" s="4"/>
      <c r="N442" s="4"/>
      <c r="O442" s="4"/>
      <c r="P442" s="4"/>
      <c r="Q442" s="4"/>
      <c r="S442" s="10"/>
      <c r="T442" s="10"/>
      <c r="U442" s="10"/>
      <c r="V442" s="10"/>
      <c r="W442" s="10"/>
      <c r="X442" s="10"/>
      <c r="Y442" s="10"/>
      <c r="Z442" s="10"/>
      <c r="AA442" s="4"/>
      <c r="AB442" s="4"/>
      <c r="AC442" s="4"/>
      <c r="AD442" s="4"/>
      <c r="AE442" s="4"/>
      <c r="AF442" s="4"/>
      <c r="AG442" s="4"/>
      <c r="AH442" s="4"/>
      <c r="AJ442" s="10"/>
      <c r="AK442" s="10"/>
      <c r="AL442" s="10"/>
      <c r="AM442" s="10"/>
      <c r="AN442" s="10"/>
      <c r="AO442" s="10"/>
      <c r="AP442" s="10"/>
      <c r="AQ442" s="10"/>
      <c r="AR442" s="4"/>
      <c r="AS442" s="4"/>
      <c r="AT442" s="4"/>
      <c r="AU442" s="4"/>
      <c r="AV442" s="4"/>
      <c r="AW442" s="4"/>
      <c r="AX442" s="4"/>
      <c r="AY442" s="4"/>
      <c r="BA442" s="10"/>
      <c r="BB442" s="10"/>
      <c r="BC442" s="10"/>
      <c r="BD442" s="10"/>
      <c r="BE442" s="10"/>
      <c r="BF442" s="10"/>
      <c r="BG442" s="10"/>
      <c r="BH442" s="10"/>
      <c r="BI442" s="4"/>
      <c r="BJ442" s="4"/>
      <c r="BK442" s="4"/>
      <c r="BL442" s="4"/>
      <c r="BM442" s="4"/>
      <c r="BN442" s="4"/>
      <c r="BO442" s="4"/>
      <c r="BP442" s="4"/>
      <c r="BR442" s="10"/>
      <c r="BS442" s="10"/>
      <c r="BT442" s="10"/>
      <c r="BU442" s="10"/>
      <c r="BV442" s="10"/>
      <c r="BW442" s="10"/>
      <c r="BX442" s="10"/>
      <c r="BY442" s="10"/>
      <c r="BZ442" s="4"/>
      <c r="CA442" s="4"/>
      <c r="CB442" s="4"/>
      <c r="CC442" s="4"/>
      <c r="CD442" s="4"/>
      <c r="CE442" s="4"/>
      <c r="CF442" s="4"/>
      <c r="CG442" s="4"/>
    </row>
    <row r="443" spans="2:85" ht="24.75">
      <c r="B443" s="10" t="s">
        <v>719</v>
      </c>
      <c r="C443" s="10">
        <f>MOD(((C444*19)+(C445*11)),360)</f>
        <v>0.11407544238683129</v>
      </c>
      <c r="D443" s="28">
        <f>INT(ABS(C443))</f>
        <v>0</v>
      </c>
      <c r="E443" s="28">
        <f>INT((ABS(C443)-D443)*60)</f>
        <v>6</v>
      </c>
      <c r="F443" s="28">
        <f>INT((((ABS(C443)-D443)*60)-E443)*60)</f>
        <v>50</v>
      </c>
      <c r="G443" s="28">
        <f>INT((((((ABS(C443)-D443)*60)-E443)*60)-F443)*60)</f>
        <v>40</v>
      </c>
      <c r="H443" s="10"/>
      <c r="I443" s="10"/>
      <c r="J443" s="4" t="s">
        <v>719</v>
      </c>
      <c r="K443" s="4">
        <f>MOD(((K444*19)+(K445*11)),360)</f>
        <v>0.11407544238683129</v>
      </c>
      <c r="L443" s="4"/>
      <c r="M443" s="4"/>
      <c r="N443" s="4"/>
      <c r="O443" s="4"/>
      <c r="P443" s="4"/>
      <c r="Q443" s="4"/>
      <c r="S443" s="10" t="s">
        <v>719</v>
      </c>
      <c r="T443" s="10">
        <f>MOD(((T444*19)+(T445*11)),360)</f>
        <v>0.57847493827160501</v>
      </c>
      <c r="U443" s="28">
        <f>INT(ABS(T443))</f>
        <v>0</v>
      </c>
      <c r="V443" s="28">
        <f>INT((ABS(T443)-U443)*60)</f>
        <v>34</v>
      </c>
      <c r="W443" s="28">
        <f>INT((((ABS(T443)-U443)*60)-V443)*60)</f>
        <v>42</v>
      </c>
      <c r="X443" s="28">
        <f>INT((((((ABS(T443)-U443)*60)-V443)*60)-W443)*60)</f>
        <v>30</v>
      </c>
      <c r="Y443" s="10"/>
      <c r="Z443" s="10"/>
      <c r="AA443" s="4" t="s">
        <v>719</v>
      </c>
      <c r="AB443" s="4">
        <f>MOD(((AB444*19)+(AB445*11)),360)</f>
        <v>0.57847493827160501</v>
      </c>
      <c r="AC443" s="4"/>
      <c r="AD443" s="4"/>
      <c r="AE443" s="4"/>
      <c r="AF443" s="4"/>
      <c r="AG443" s="4"/>
      <c r="AH443" s="4"/>
      <c r="AJ443" s="10" t="s">
        <v>719</v>
      </c>
      <c r="AK443" s="10">
        <f>MOD(((AK444*19)+(AK445*11)),360)</f>
        <v>0.2993249922839506</v>
      </c>
      <c r="AL443" s="28">
        <f>INT(ABS(AK443))</f>
        <v>0</v>
      </c>
      <c r="AM443" s="28">
        <f>INT((ABS(AK443)-AL443)*60)</f>
        <v>17</v>
      </c>
      <c r="AN443" s="28">
        <f>INT((((ABS(AK443)-AL443)*60)-AM443)*60)</f>
        <v>57</v>
      </c>
      <c r="AO443" s="28">
        <f>INT((((((ABS(AK443)-AL443)*60)-AM443)*60)-AN443)*60)</f>
        <v>34</v>
      </c>
      <c r="AP443" s="10"/>
      <c r="AQ443" s="10"/>
      <c r="AR443" s="4" t="s">
        <v>719</v>
      </c>
      <c r="AS443" s="4">
        <f>MOD(((AS444*19)+(AS445*11)),360)</f>
        <v>0.2993249922839506</v>
      </c>
      <c r="AT443" s="4"/>
      <c r="AU443" s="4"/>
      <c r="AV443" s="4"/>
      <c r="AW443" s="4"/>
      <c r="AX443" s="4"/>
      <c r="AY443" s="4"/>
      <c r="BA443" s="10" t="s">
        <v>719</v>
      </c>
      <c r="BB443" s="10">
        <f>MOD(((BB444*19)+(BB445*11)),360)</f>
        <v>0.37286427854938275</v>
      </c>
      <c r="BC443" s="28">
        <f>INT(ABS(BB443))</f>
        <v>0</v>
      </c>
      <c r="BD443" s="28">
        <f>INT((ABS(BB443)-BC443)*60)</f>
        <v>22</v>
      </c>
      <c r="BE443" s="28">
        <f>INT((((ABS(BB443)-BC443)*60)-BD443)*60)</f>
        <v>22</v>
      </c>
      <c r="BF443" s="28">
        <f>INT((((((ABS(BB443)-BC443)*60)-BD443)*60)-BE443)*60)</f>
        <v>18</v>
      </c>
      <c r="BG443" s="10"/>
      <c r="BH443" s="10"/>
      <c r="BI443" s="4" t="s">
        <v>719</v>
      </c>
      <c r="BJ443" s="4">
        <f>MOD(((BJ444*19)+(BJ445*11)),360)</f>
        <v>0.37286427854938275</v>
      </c>
      <c r="BK443" s="4"/>
      <c r="BL443" s="4"/>
      <c r="BM443" s="4"/>
      <c r="BN443" s="4"/>
      <c r="BO443" s="4"/>
      <c r="BP443" s="4"/>
      <c r="BR443" s="10" t="s">
        <v>719</v>
      </c>
      <c r="BS443" s="10">
        <f>MOD(((BS444*19)+(BS445*11)),360)</f>
        <v>0.6895592078189301</v>
      </c>
      <c r="BT443" s="28">
        <f>INT(ABS(BS443))</f>
        <v>0</v>
      </c>
      <c r="BU443" s="28">
        <f>INT((ABS(BS443)-BT443)*60)</f>
        <v>41</v>
      </c>
      <c r="BV443" s="28">
        <f>INT((((ABS(BS443)-BT443)*60)-BU443)*60)</f>
        <v>22</v>
      </c>
      <c r="BW443" s="28">
        <f>INT((((((ABS(BS443)-BT443)*60)-BU443)*60)-BV443)*60)</f>
        <v>24</v>
      </c>
      <c r="BX443" s="10"/>
      <c r="BY443" s="10"/>
      <c r="BZ443" s="4" t="s">
        <v>719</v>
      </c>
      <c r="CA443" s="4">
        <f>MOD(((CA444*19)+(CA445*11)),360)</f>
        <v>0.6895592078189301</v>
      </c>
      <c r="CB443" s="4"/>
      <c r="CC443" s="4"/>
      <c r="CD443" s="4"/>
      <c r="CE443" s="4"/>
      <c r="CF443" s="4"/>
      <c r="CG443" s="4"/>
    </row>
    <row r="444" spans="2:85">
      <c r="B444" s="10" t="s">
        <v>271</v>
      </c>
      <c r="C444" s="134">
        <f>(((((((((I444/60)+H444)/60)+G444)/60)+F444)/60)+E444)/60)+D444</f>
        <v>3.7985802469135805E-3</v>
      </c>
      <c r="D444" s="10">
        <v>0</v>
      </c>
      <c r="E444" s="10">
        <v>0</v>
      </c>
      <c r="F444" s="10">
        <v>13</v>
      </c>
      <c r="G444" s="10">
        <v>40</v>
      </c>
      <c r="H444" s="10">
        <v>29</v>
      </c>
      <c r="I444" s="10">
        <v>36</v>
      </c>
      <c r="J444" s="4" t="s">
        <v>271</v>
      </c>
      <c r="K444" s="134">
        <f>C444</f>
        <v>3.7985802469135805E-3</v>
      </c>
      <c r="L444" s="4">
        <v>11</v>
      </c>
      <c r="M444" s="4">
        <v>51</v>
      </c>
      <c r="N444" s="4">
        <v>23</v>
      </c>
      <c r="O444" s="4">
        <v>1</v>
      </c>
      <c r="P444" s="4">
        <v>26</v>
      </c>
      <c r="Q444" s="4">
        <v>6</v>
      </c>
      <c r="S444" s="10" t="s">
        <v>271</v>
      </c>
      <c r="T444" s="134">
        <f>AB444</f>
        <v>1.9262546296296298E-2</v>
      </c>
      <c r="U444" s="10">
        <v>0</v>
      </c>
      <c r="V444" s="10">
        <v>1</v>
      </c>
      <c r="W444" s="10">
        <v>9</v>
      </c>
      <c r="X444" s="10">
        <v>20</v>
      </c>
      <c r="Y444" s="10">
        <v>42</v>
      </c>
      <c r="Z444" s="10">
        <v>36</v>
      </c>
      <c r="AA444" s="4" t="s">
        <v>271</v>
      </c>
      <c r="AB444" s="134">
        <f>(((((((((AH444/60)+AG444)/60)+AF444)/60)+AE444)/60)+AD444)/60)+AC444</f>
        <v>1.9262546296296298E-2</v>
      </c>
      <c r="AC444" s="10">
        <v>0</v>
      </c>
      <c r="AD444" s="10">
        <v>1</v>
      </c>
      <c r="AE444" s="10">
        <v>9</v>
      </c>
      <c r="AF444" s="10">
        <v>20</v>
      </c>
      <c r="AG444" s="10">
        <v>42</v>
      </c>
      <c r="AH444" s="10">
        <v>36</v>
      </c>
      <c r="AJ444" s="10" t="s">
        <v>271</v>
      </c>
      <c r="AK444" s="134">
        <f>AS444</f>
        <v>9.9671759259259245E-3</v>
      </c>
      <c r="AL444" s="10">
        <v>29</v>
      </c>
      <c r="AM444" s="10">
        <v>25</v>
      </c>
      <c r="AN444" s="10">
        <v>40</v>
      </c>
      <c r="AO444" s="10">
        <v>9</v>
      </c>
      <c r="AP444" s="10">
        <v>26</v>
      </c>
      <c r="AQ444" s="10">
        <v>48</v>
      </c>
      <c r="AR444" s="4" t="s">
        <v>271</v>
      </c>
      <c r="AS444" s="134">
        <f>(((((((((AY444/60)+AX444)/60)+AW444)/60)+AV444)/60)+AU444)/60)+AT444</f>
        <v>9.9671759259259245E-3</v>
      </c>
      <c r="AT444" s="4">
        <v>0</v>
      </c>
      <c r="AU444" s="4">
        <v>0</v>
      </c>
      <c r="AV444" s="4">
        <v>35</v>
      </c>
      <c r="AW444" s="4">
        <v>52</v>
      </c>
      <c r="AX444" s="4">
        <v>54</v>
      </c>
      <c r="AY444" s="4">
        <v>36</v>
      </c>
      <c r="BA444" s="10" t="s">
        <v>271</v>
      </c>
      <c r="BB444" s="134">
        <f>BJ444</f>
        <v>1.2415949074074074E-2</v>
      </c>
      <c r="BC444" s="10">
        <v>29</v>
      </c>
      <c r="BD444" s="10">
        <v>25</v>
      </c>
      <c r="BE444" s="10">
        <v>40</v>
      </c>
      <c r="BF444" s="10">
        <v>9</v>
      </c>
      <c r="BG444" s="10">
        <v>26</v>
      </c>
      <c r="BH444" s="10">
        <v>48</v>
      </c>
      <c r="BI444" s="4" t="s">
        <v>271</v>
      </c>
      <c r="BJ444" s="134">
        <f>(((((((((BP444/60)+BO444)/60)+BN444)/60)+BM444)/60)+BL444)/60)+BK444</f>
        <v>1.2415949074074074E-2</v>
      </c>
      <c r="BK444" s="4">
        <v>0</v>
      </c>
      <c r="BL444" s="4">
        <v>0</v>
      </c>
      <c r="BM444" s="4">
        <v>44</v>
      </c>
      <c r="BN444" s="4">
        <v>41</v>
      </c>
      <c r="BO444" s="4">
        <v>50</v>
      </c>
      <c r="BP444" s="4">
        <v>42</v>
      </c>
      <c r="BR444" s="10" t="s">
        <v>271</v>
      </c>
      <c r="BS444" s="134">
        <f>CA444</f>
        <v>2.2962654320987656E-2</v>
      </c>
      <c r="BT444" s="10">
        <v>29</v>
      </c>
      <c r="BU444" s="10">
        <v>25</v>
      </c>
      <c r="BV444" s="10">
        <v>40</v>
      </c>
      <c r="BW444" s="10">
        <v>9</v>
      </c>
      <c r="BX444" s="10">
        <v>26</v>
      </c>
      <c r="BY444" s="10">
        <v>48</v>
      </c>
      <c r="BZ444" s="4" t="s">
        <v>271</v>
      </c>
      <c r="CA444" s="134">
        <f>(((((((((CG444/60)+CF444)/60)+CE444)/60)+CD444)/60)+CC444)/60)+CB444</f>
        <v>2.2962654320987656E-2</v>
      </c>
      <c r="CB444" s="4">
        <v>0</v>
      </c>
      <c r="CC444" s="4">
        <v>1</v>
      </c>
      <c r="CD444" s="4">
        <v>22</v>
      </c>
      <c r="CE444" s="4">
        <v>39</v>
      </c>
      <c r="CF444" s="4">
        <v>56</v>
      </c>
      <c r="CG444" s="4">
        <v>0</v>
      </c>
    </row>
    <row r="445" spans="2:85">
      <c r="B445" s="10" t="s">
        <v>270</v>
      </c>
      <c r="C445" s="134">
        <f>(((((((((I445/60)+H445)/60)+G445)/60)+F445)/60)+E445)/60)+D445</f>
        <v>3.8093106995884776E-3</v>
      </c>
      <c r="D445" s="10">
        <v>0</v>
      </c>
      <c r="E445" s="10">
        <v>0</v>
      </c>
      <c r="F445" s="10">
        <v>13</v>
      </c>
      <c r="G445" s="10">
        <v>42</v>
      </c>
      <c r="H445" s="10">
        <v>48</v>
      </c>
      <c r="I445" s="10">
        <v>40</v>
      </c>
      <c r="J445" s="4" t="s">
        <v>270</v>
      </c>
      <c r="K445" s="134">
        <f>C445</f>
        <v>3.8093106995884776E-3</v>
      </c>
      <c r="L445" s="4">
        <v>11</v>
      </c>
      <c r="M445" s="4">
        <v>53</v>
      </c>
      <c r="N445" s="4">
        <v>23</v>
      </c>
      <c r="O445" s="4">
        <v>35</v>
      </c>
      <c r="P445" s="4">
        <v>50</v>
      </c>
      <c r="Q445" s="4">
        <v>15</v>
      </c>
      <c r="S445" s="10" t="s">
        <v>270</v>
      </c>
      <c r="T445" s="134">
        <f>AB445</f>
        <v>1.9316959876543208E-2</v>
      </c>
      <c r="U445" s="10">
        <v>0</v>
      </c>
      <c r="V445" s="10">
        <v>1</v>
      </c>
      <c r="W445" s="10">
        <v>9</v>
      </c>
      <c r="X445" s="10">
        <v>32</v>
      </c>
      <c r="Y445" s="10">
        <v>27</v>
      </c>
      <c r="Z445" s="10">
        <v>48</v>
      </c>
      <c r="AA445" s="4" t="s">
        <v>270</v>
      </c>
      <c r="AB445" s="134">
        <f>(((((((((AH445/60)+AG445)/60)+AF445)/60)+AE445)/60)+AD445)/60)+AC445</f>
        <v>1.9316959876543208E-2</v>
      </c>
      <c r="AC445" s="10">
        <v>0</v>
      </c>
      <c r="AD445" s="10">
        <v>1</v>
      </c>
      <c r="AE445" s="10">
        <v>9</v>
      </c>
      <c r="AF445" s="10">
        <v>32</v>
      </c>
      <c r="AG445" s="10">
        <v>27</v>
      </c>
      <c r="AH445" s="10">
        <v>48</v>
      </c>
      <c r="AJ445" s="10" t="s">
        <v>270</v>
      </c>
      <c r="AK445" s="134">
        <f>AS445</f>
        <v>9.9953317901234576E-3</v>
      </c>
      <c r="AL445" s="10">
        <v>29</v>
      </c>
      <c r="AM445" s="10">
        <v>30</v>
      </c>
      <c r="AN445" s="10">
        <v>39</v>
      </c>
      <c r="AO445" s="10">
        <v>25</v>
      </c>
      <c r="AP445" s="10">
        <v>24</v>
      </c>
      <c r="AQ445" s="10">
        <v>20</v>
      </c>
      <c r="AR445" s="4" t="s">
        <v>270</v>
      </c>
      <c r="AS445" s="134">
        <f>(((((((((AY445/60)+AX445)/60)+AW445)/60)+AV445)/60)+AU445)/60)+AT445</f>
        <v>9.9953317901234576E-3</v>
      </c>
      <c r="AT445" s="4">
        <v>0</v>
      </c>
      <c r="AU445" s="4">
        <v>0</v>
      </c>
      <c r="AV445" s="4">
        <v>35</v>
      </c>
      <c r="AW445" s="4">
        <v>58</v>
      </c>
      <c r="AX445" s="4">
        <v>59</v>
      </c>
      <c r="AY445" s="4">
        <v>30</v>
      </c>
      <c r="BA445" s="10" t="s">
        <v>270</v>
      </c>
      <c r="BB445" s="134">
        <f>BJ445</f>
        <v>1.2451022376543211E-2</v>
      </c>
      <c r="BC445" s="10">
        <v>29</v>
      </c>
      <c r="BD445" s="10">
        <v>30</v>
      </c>
      <c r="BE445" s="10">
        <v>39</v>
      </c>
      <c r="BF445" s="10">
        <v>25</v>
      </c>
      <c r="BG445" s="10">
        <v>24</v>
      </c>
      <c r="BH445" s="10">
        <v>20</v>
      </c>
      <c r="BI445" s="4" t="s">
        <v>270</v>
      </c>
      <c r="BJ445" s="134">
        <f>(((((((((BP445/60)+BO445)/60)+BN445)/60)+BM445)/60)+BL445)/60)+BK445</f>
        <v>1.2451022376543211E-2</v>
      </c>
      <c r="BK445" s="4">
        <v>0</v>
      </c>
      <c r="BL445" s="4">
        <v>0</v>
      </c>
      <c r="BM445" s="4">
        <v>44</v>
      </c>
      <c r="BN445" s="4">
        <v>49</v>
      </c>
      <c r="BO445" s="4">
        <v>25</v>
      </c>
      <c r="BP445" s="4">
        <v>15</v>
      </c>
      <c r="BR445" s="10" t="s">
        <v>270</v>
      </c>
      <c r="BS445" s="134">
        <f>CA445</f>
        <v>2.3024434156378601E-2</v>
      </c>
      <c r="BT445" s="10">
        <v>29</v>
      </c>
      <c r="BU445" s="10">
        <v>30</v>
      </c>
      <c r="BV445" s="10">
        <v>39</v>
      </c>
      <c r="BW445" s="10">
        <v>25</v>
      </c>
      <c r="BX445" s="10">
        <v>24</v>
      </c>
      <c r="BY445" s="10">
        <v>20</v>
      </c>
      <c r="BZ445" s="4" t="s">
        <v>270</v>
      </c>
      <c r="CA445" s="134">
        <f>(((((((((CG445/60)+CF445)/60)+CE445)/60)+CD445)/60)+CC445)/60)+CB445</f>
        <v>2.3024434156378601E-2</v>
      </c>
      <c r="CB445" s="4">
        <v>0</v>
      </c>
      <c r="CC445" s="4">
        <v>1</v>
      </c>
      <c r="CD445" s="4">
        <v>22</v>
      </c>
      <c r="CE445" s="4">
        <v>53</v>
      </c>
      <c r="CF445" s="4">
        <v>16</v>
      </c>
      <c r="CG445" s="4">
        <v>40</v>
      </c>
    </row>
    <row r="446" spans="2:85">
      <c r="B446" s="10" t="s">
        <v>760</v>
      </c>
      <c r="C446" s="134">
        <f>(((((((((I446/60)+H446)/60)+G446)/60)+F446)/60)+E446)/60)+D446</f>
        <v>97.721666666666664</v>
      </c>
      <c r="D446" s="10">
        <v>97</v>
      </c>
      <c r="E446" s="10">
        <v>43</v>
      </c>
      <c r="F446" s="10">
        <v>18</v>
      </c>
      <c r="G446" s="10"/>
      <c r="H446" s="10"/>
      <c r="I446" s="10"/>
      <c r="J446" s="4" t="s">
        <v>760</v>
      </c>
      <c r="K446" s="134">
        <f>C446</f>
        <v>97.721666666666664</v>
      </c>
      <c r="L446" s="4">
        <v>194</v>
      </c>
      <c r="M446" s="4">
        <v>20</v>
      </c>
      <c r="N446" s="4">
        <v>12</v>
      </c>
      <c r="O446" s="4">
        <v>30</v>
      </c>
      <c r="P446" s="4"/>
      <c r="Q446" s="4"/>
      <c r="S446" s="10" t="s">
        <v>760</v>
      </c>
      <c r="T446" s="134">
        <f>AB446</f>
        <v>114.61018518518519</v>
      </c>
      <c r="U446" s="10">
        <v>114</v>
      </c>
      <c r="V446" s="10">
        <v>36</v>
      </c>
      <c r="W446" s="10">
        <v>36</v>
      </c>
      <c r="X446" s="10">
        <v>40</v>
      </c>
      <c r="Y446" s="10"/>
      <c r="Z446" s="10"/>
      <c r="AA446" s="4" t="s">
        <v>760</v>
      </c>
      <c r="AB446" s="134">
        <f>(((((((((AH446/60)+AG446)/60)+AF446)/60)+AE446)/60)+AD446)/60)+AC446</f>
        <v>114.61018518518519</v>
      </c>
      <c r="AC446" s="10">
        <v>114</v>
      </c>
      <c r="AD446" s="10">
        <v>36</v>
      </c>
      <c r="AE446" s="10">
        <v>36</v>
      </c>
      <c r="AF446" s="10">
        <v>40</v>
      </c>
      <c r="AG446" s="10"/>
      <c r="AH446" s="10"/>
      <c r="AJ446" s="10" t="s">
        <v>745</v>
      </c>
      <c r="AK446" s="134">
        <f>AS446</f>
        <v>48.803222222222225</v>
      </c>
      <c r="AL446" s="10">
        <v>74</v>
      </c>
      <c r="AM446" s="10">
        <v>24</v>
      </c>
      <c r="AN446" s="10">
        <v>31</v>
      </c>
      <c r="AO446" s="10"/>
      <c r="AP446" s="10"/>
      <c r="AQ446" s="10"/>
      <c r="AR446" s="4" t="s">
        <v>760</v>
      </c>
      <c r="AS446" s="134">
        <f>(((((((((AY446/60)+AX446)/60)+AW446)/60)+AV446)/60)+AU446)/60)+AT446</f>
        <v>48.803222222222225</v>
      </c>
      <c r="AT446" s="4">
        <v>48</v>
      </c>
      <c r="AU446" s="4">
        <v>48</v>
      </c>
      <c r="AV446" s="4">
        <v>11</v>
      </c>
      <c r="AW446" s="4">
        <v>36</v>
      </c>
      <c r="AX446" s="4"/>
      <c r="AY446" s="4"/>
      <c r="BA446" s="10" t="s">
        <v>760</v>
      </c>
      <c r="BB446" s="134">
        <f>BJ446</f>
        <v>75.636388888888888</v>
      </c>
      <c r="BC446" s="10">
        <v>74</v>
      </c>
      <c r="BD446" s="10">
        <v>24</v>
      </c>
      <c r="BE446" s="10">
        <v>31</v>
      </c>
      <c r="BF446" s="10"/>
      <c r="BG446" s="10"/>
      <c r="BH446" s="10"/>
      <c r="BI446" s="4" t="s">
        <v>760</v>
      </c>
      <c r="BJ446" s="134">
        <f>(((((((((BP446/60)+BO446)/60)+BN446)/60)+BM446)/60)+BL446)/60)+BK446</f>
        <v>75.636388888888888</v>
      </c>
      <c r="BK446" s="4">
        <v>75</v>
      </c>
      <c r="BL446" s="4">
        <v>38</v>
      </c>
      <c r="BM446" s="4">
        <v>11</v>
      </c>
      <c r="BN446" s="4">
        <v>0</v>
      </c>
      <c r="BO446" s="4"/>
      <c r="BP446" s="4"/>
      <c r="BR446" s="10" t="s">
        <v>581</v>
      </c>
      <c r="BS446" s="134">
        <f>CA446</f>
        <v>48.0625</v>
      </c>
      <c r="BT446" s="10">
        <v>74</v>
      </c>
      <c r="BU446" s="10">
        <v>24</v>
      </c>
      <c r="BV446" s="10">
        <v>31</v>
      </c>
      <c r="BW446" s="10"/>
      <c r="BX446" s="10"/>
      <c r="BY446" s="10"/>
      <c r="BZ446" s="4" t="s">
        <v>760</v>
      </c>
      <c r="CA446" s="134">
        <f>(((((((((CG446/60)+CF446)/60)+CE446)/60)+CD446)/60)+CC446)/60)+CB446</f>
        <v>48.0625</v>
      </c>
      <c r="CB446" s="4">
        <v>48</v>
      </c>
      <c r="CC446" s="4">
        <v>3</v>
      </c>
      <c r="CD446" s="4">
        <v>45</v>
      </c>
      <c r="CE446" s="4">
        <v>0</v>
      </c>
      <c r="CF446" s="4"/>
      <c r="CG446" s="4"/>
    </row>
    <row r="447" spans="2:85" ht="24.75">
      <c r="B447" s="10" t="s">
        <v>720</v>
      </c>
      <c r="C447" s="10">
        <f>30-MOD((1251-C439),30)</f>
        <v>9</v>
      </c>
      <c r="D447" s="28">
        <f t="shared" ref="D447:D464" si="246">INT(ABS(C447))</f>
        <v>9</v>
      </c>
      <c r="E447" s="28">
        <f t="shared" ref="E447:E464" si="247">INT((ABS(C447)-D447)*60)</f>
        <v>0</v>
      </c>
      <c r="F447" s="28">
        <f t="shared" ref="F447:F464" si="248">INT((((ABS(C447)-D447)*60)-E447)*60)</f>
        <v>0</v>
      </c>
      <c r="G447" s="28">
        <f t="shared" ref="G447:G464" si="249">INT((((((ABS(C447)-D447)*60)-E447)*60)-F447)*60)</f>
        <v>0</v>
      </c>
      <c r="H447" s="10"/>
      <c r="I447" s="10"/>
      <c r="J447" s="4" t="s">
        <v>720</v>
      </c>
      <c r="K447" s="4">
        <f>MOD((K439-1251),30)</f>
        <v>9</v>
      </c>
      <c r="L447" s="4"/>
      <c r="M447" s="4"/>
      <c r="N447" s="4"/>
      <c r="O447" s="4"/>
      <c r="P447" s="4"/>
      <c r="Q447" s="4"/>
      <c r="S447" s="10" t="s">
        <v>720</v>
      </c>
      <c r="T447" s="10">
        <f>30-MOD((1251-T439),30)</f>
        <v>7</v>
      </c>
      <c r="U447" s="28">
        <f t="shared" ref="U447:U464" si="250">INT(ABS(T447))</f>
        <v>7</v>
      </c>
      <c r="V447" s="28">
        <f t="shared" ref="V447:V464" si="251">INT((ABS(T447)-U447)*60)</f>
        <v>0</v>
      </c>
      <c r="W447" s="28">
        <f t="shared" ref="W447:W464" si="252">INT((((ABS(T447)-U447)*60)-V447)*60)</f>
        <v>0</v>
      </c>
      <c r="X447" s="28">
        <f t="shared" ref="X447:X464" si="253">INT((((((ABS(T447)-U447)*60)-V447)*60)-W447)*60)</f>
        <v>0</v>
      </c>
      <c r="Y447" s="10"/>
      <c r="Z447" s="10"/>
      <c r="AA447" s="4" t="s">
        <v>720</v>
      </c>
      <c r="AB447" s="4">
        <f>MOD((AB439-1251),30)</f>
        <v>7</v>
      </c>
      <c r="AC447" s="4"/>
      <c r="AD447" s="4"/>
      <c r="AE447" s="4"/>
      <c r="AF447" s="4"/>
      <c r="AG447" s="4"/>
      <c r="AH447" s="4"/>
      <c r="AJ447" s="10" t="s">
        <v>720</v>
      </c>
      <c r="AK447" s="10">
        <f>30-MOD((1251-AK439),30)</f>
        <v>30</v>
      </c>
      <c r="AL447" s="28">
        <f t="shared" ref="AL447:AL464" si="254">INT(ABS(AK447))</f>
        <v>30</v>
      </c>
      <c r="AM447" s="28">
        <f t="shared" ref="AM447:AM464" si="255">INT((ABS(AK447)-AL447)*60)</f>
        <v>0</v>
      </c>
      <c r="AN447" s="28">
        <f t="shared" ref="AN447:AN464" si="256">INT((((ABS(AK447)-AL447)*60)-AM447)*60)</f>
        <v>0</v>
      </c>
      <c r="AO447" s="28">
        <f t="shared" ref="AO447:AO464" si="257">INT((((((ABS(AK447)-AL447)*60)-AM447)*60)-AN447)*60)</f>
        <v>0</v>
      </c>
      <c r="AP447" s="10"/>
      <c r="AQ447" s="10"/>
      <c r="AR447" s="4" t="s">
        <v>720</v>
      </c>
      <c r="AS447" s="4">
        <f>MOD((AS439-1251),30)</f>
        <v>0</v>
      </c>
      <c r="AT447" s="4"/>
      <c r="AU447" s="4"/>
      <c r="AV447" s="4"/>
      <c r="AW447" s="4"/>
      <c r="AX447" s="4"/>
      <c r="AY447" s="4"/>
      <c r="BA447" s="10" t="s">
        <v>720</v>
      </c>
      <c r="BB447" s="10">
        <f>30-MOD((1251-BB439),30)</f>
        <v>5</v>
      </c>
      <c r="BC447" s="28">
        <f t="shared" ref="BC447:BC464" si="258">INT(ABS(BB447))</f>
        <v>5</v>
      </c>
      <c r="BD447" s="28">
        <f t="shared" ref="BD447:BD464" si="259">INT((ABS(BB447)-BC447)*60)</f>
        <v>0</v>
      </c>
      <c r="BE447" s="28">
        <f t="shared" ref="BE447:BE464" si="260">INT((((ABS(BB447)-BC447)*60)-BD447)*60)</f>
        <v>0</v>
      </c>
      <c r="BF447" s="28">
        <f t="shared" ref="BF447:BF464" si="261">INT((((((ABS(BB447)-BC447)*60)-BD447)*60)-BE447)*60)</f>
        <v>0</v>
      </c>
      <c r="BG447" s="10"/>
      <c r="BH447" s="10"/>
      <c r="BI447" s="4" t="s">
        <v>720</v>
      </c>
      <c r="BJ447" s="4">
        <f>MOD((BJ439-1251),30)</f>
        <v>5</v>
      </c>
      <c r="BK447" s="4"/>
      <c r="BL447" s="4"/>
      <c r="BM447" s="4"/>
      <c r="BN447" s="4"/>
      <c r="BO447" s="4"/>
      <c r="BP447" s="4"/>
      <c r="BR447" s="10" t="s">
        <v>720</v>
      </c>
      <c r="BS447" s="10">
        <f>30-MOD((1251-BS439),30)</f>
        <v>5</v>
      </c>
      <c r="BT447" s="28">
        <f t="shared" ref="BT447:BT464" si="262">INT(ABS(BS447))</f>
        <v>5</v>
      </c>
      <c r="BU447" s="28">
        <f t="shared" ref="BU447:BU464" si="263">INT((ABS(BS447)-BT447)*60)</f>
        <v>0</v>
      </c>
      <c r="BV447" s="28">
        <f t="shared" ref="BV447:BV464" si="264">INT((((ABS(BS447)-BT447)*60)-BU447)*60)</f>
        <v>0</v>
      </c>
      <c r="BW447" s="28">
        <f t="shared" ref="BW447:BW464" si="265">INT((((((ABS(BS447)-BT447)*60)-BU447)*60)-BV447)*60)</f>
        <v>0</v>
      </c>
      <c r="BX447" s="10"/>
      <c r="BY447" s="10"/>
      <c r="BZ447" s="4" t="s">
        <v>720</v>
      </c>
      <c r="CA447" s="4">
        <f>MOD((CA439-1251),30)</f>
        <v>5</v>
      </c>
      <c r="CB447" s="4"/>
      <c r="CC447" s="4"/>
      <c r="CD447" s="4"/>
      <c r="CE447" s="4"/>
      <c r="CF447" s="4"/>
      <c r="CG447" s="4"/>
    </row>
    <row r="448" spans="2:85" ht="24.75">
      <c r="B448" s="10" t="s">
        <v>268</v>
      </c>
      <c r="C448" s="10" t="e">
        <f ca="1">[5]!kab(C447)</f>
        <v>#NAME?</v>
      </c>
      <c r="D448" s="28" t="e">
        <f ca="1">INT(ABS(C448))</f>
        <v>#NAME?</v>
      </c>
      <c r="E448" s="28" t="e">
        <f ca="1">INT((ABS(C448)-D448)*60)</f>
        <v>#NAME?</v>
      </c>
      <c r="F448" s="28" t="e">
        <f ca="1">INT((((ABS(C448)-D448)*60)-E448)*60)</f>
        <v>#NAME?</v>
      </c>
      <c r="G448" s="28" t="e">
        <f ca="1">INT((((((ABS(C448)-D448)*60)-E448)*60)-F448)*60)</f>
        <v>#NAME?</v>
      </c>
      <c r="H448" s="10"/>
      <c r="I448" s="10"/>
      <c r="J448" s="4" t="s">
        <v>268</v>
      </c>
      <c r="K448" s="4" t="e">
        <f ca="1">[5]!kab(K447)</f>
        <v>#NAME?</v>
      </c>
      <c r="L448" s="4"/>
      <c r="M448" s="4"/>
      <c r="N448" s="4"/>
      <c r="O448" s="4"/>
      <c r="P448" s="4"/>
      <c r="Q448" s="4"/>
      <c r="S448" s="10" t="s">
        <v>268</v>
      </c>
      <c r="T448" s="10" t="e">
        <f ca="1">[5]!kab(T447)</f>
        <v>#NAME?</v>
      </c>
      <c r="U448" s="28" t="e">
        <f ca="1">INT(ABS(T448))</f>
        <v>#NAME?</v>
      </c>
      <c r="V448" s="28" t="e">
        <f ca="1">INT((ABS(T448)-U448)*60)</f>
        <v>#NAME?</v>
      </c>
      <c r="W448" s="28" t="e">
        <f ca="1">INT((((ABS(T448)-U448)*60)-V448)*60)</f>
        <v>#NAME?</v>
      </c>
      <c r="X448" s="28" t="e">
        <f ca="1">INT((((((ABS(T448)-U448)*60)-V448)*60)-W448)*60)</f>
        <v>#NAME?</v>
      </c>
      <c r="Y448" s="10"/>
      <c r="Z448" s="10"/>
      <c r="AA448" s="4" t="s">
        <v>268</v>
      </c>
      <c r="AB448" s="4" t="e">
        <f ca="1">[5]!kab(AB447)</f>
        <v>#NAME?</v>
      </c>
      <c r="AC448" s="4"/>
      <c r="AD448" s="4"/>
      <c r="AE448" s="4"/>
      <c r="AF448" s="4"/>
      <c r="AG448" s="4"/>
      <c r="AH448" s="4"/>
      <c r="AJ448" s="10" t="s">
        <v>268</v>
      </c>
      <c r="AK448" s="10" t="e">
        <f ca="1">[5]!kab(AK447)</f>
        <v>#NAME?</v>
      </c>
      <c r="AL448" s="28" t="e">
        <f ca="1">INT(ABS(AK448))</f>
        <v>#NAME?</v>
      </c>
      <c r="AM448" s="28" t="e">
        <f ca="1">INT((ABS(AK448)-AL448)*60)</f>
        <v>#NAME?</v>
      </c>
      <c r="AN448" s="28" t="e">
        <f ca="1">INT((((ABS(AK448)-AL448)*60)-AM448)*60)</f>
        <v>#NAME?</v>
      </c>
      <c r="AO448" s="28" t="e">
        <f ca="1">INT((((((ABS(AK448)-AL448)*60)-AM448)*60)-AN448)*60)</f>
        <v>#NAME?</v>
      </c>
      <c r="AP448" s="10"/>
      <c r="AQ448" s="10"/>
      <c r="AR448" s="4" t="s">
        <v>268</v>
      </c>
      <c r="AS448" s="4" t="e">
        <f ca="1">[5]!kab(AS447)</f>
        <v>#NAME?</v>
      </c>
      <c r="AT448" s="4"/>
      <c r="AU448" s="4"/>
      <c r="AV448" s="4"/>
      <c r="AW448" s="4"/>
      <c r="AX448" s="4"/>
      <c r="AY448" s="4"/>
      <c r="BA448" s="10" t="s">
        <v>268</v>
      </c>
      <c r="BB448" s="10" t="e">
        <f ca="1">[5]!kab(BB447)</f>
        <v>#NAME?</v>
      </c>
      <c r="BC448" s="28" t="e">
        <f ca="1">INT(ABS(BB448))</f>
        <v>#NAME?</v>
      </c>
      <c r="BD448" s="28" t="e">
        <f ca="1">INT((ABS(BB448)-BC448)*60)</f>
        <v>#NAME?</v>
      </c>
      <c r="BE448" s="28" t="e">
        <f ca="1">INT((((ABS(BB448)-BC448)*60)-BD448)*60)</f>
        <v>#NAME?</v>
      </c>
      <c r="BF448" s="28" t="e">
        <f ca="1">INT((((((ABS(BB448)-BC448)*60)-BD448)*60)-BE448)*60)</f>
        <v>#NAME?</v>
      </c>
      <c r="BG448" s="10"/>
      <c r="BH448" s="10"/>
      <c r="BI448" s="4" t="s">
        <v>268</v>
      </c>
      <c r="BJ448" s="4" t="e">
        <f ca="1">[5]!kab(BJ447)</f>
        <v>#NAME?</v>
      </c>
      <c r="BK448" s="4"/>
      <c r="BL448" s="4"/>
      <c r="BM448" s="4"/>
      <c r="BN448" s="4"/>
      <c r="BO448" s="4"/>
      <c r="BP448" s="4"/>
      <c r="BR448" s="10" t="s">
        <v>268</v>
      </c>
      <c r="BS448" s="10" t="e">
        <f ca="1">[5]!kab(BS447)</f>
        <v>#NAME?</v>
      </c>
      <c r="BT448" s="28" t="e">
        <f ca="1">INT(ABS(BS448))</f>
        <v>#NAME?</v>
      </c>
      <c r="BU448" s="28" t="e">
        <f ca="1">INT((ABS(BS448)-BT448)*60)</f>
        <v>#NAME?</v>
      </c>
      <c r="BV448" s="28" t="e">
        <f ca="1">INT((((ABS(BS448)-BT448)*60)-BU448)*60)</f>
        <v>#NAME?</v>
      </c>
      <c r="BW448" s="28" t="e">
        <f ca="1">INT((((((ABS(BS448)-BT448)*60)-BU448)*60)-BV448)*60)</f>
        <v>#NAME?</v>
      </c>
      <c r="BX448" s="10"/>
      <c r="BY448" s="10"/>
      <c r="BZ448" s="4" t="s">
        <v>268</v>
      </c>
      <c r="CA448" s="4" t="e">
        <f ca="1">[5]!kab(CA447)</f>
        <v>#NAME?</v>
      </c>
      <c r="CB448" s="4"/>
      <c r="CC448" s="4"/>
      <c r="CD448" s="4"/>
      <c r="CE448" s="4"/>
      <c r="CF448" s="4"/>
      <c r="CG448" s="4"/>
    </row>
    <row r="449" spans="2:85" ht="24.75">
      <c r="B449" s="10" t="s">
        <v>272</v>
      </c>
      <c r="C449" s="10" t="e">
        <f ca="1">C447-C448</f>
        <v>#NAME?</v>
      </c>
      <c r="D449" s="28" t="e">
        <f ca="1">INT(ABS(C449))</f>
        <v>#NAME?</v>
      </c>
      <c r="E449" s="28" t="e">
        <f ca="1">INT((ABS(C449)-D449)*60)</f>
        <v>#NAME?</v>
      </c>
      <c r="F449" s="28" t="e">
        <f ca="1">INT((((ABS(C449)-D449)*60)-E449)*60)</f>
        <v>#NAME?</v>
      </c>
      <c r="G449" s="28" t="e">
        <f ca="1">INT((((((ABS(C449)-D449)*60)-E449)*60)-F449)*60)</f>
        <v>#NAME?</v>
      </c>
      <c r="H449" s="10"/>
      <c r="I449" s="10"/>
      <c r="J449" s="4" t="s">
        <v>272</v>
      </c>
      <c r="K449" s="4" t="e">
        <f ca="1">K447-K448</f>
        <v>#NAME?</v>
      </c>
      <c r="L449" s="4"/>
      <c r="M449" s="4"/>
      <c r="N449" s="4"/>
      <c r="O449" s="4"/>
      <c r="P449" s="4"/>
      <c r="Q449" s="4"/>
      <c r="S449" s="10" t="s">
        <v>272</v>
      </c>
      <c r="T449" s="10" t="e">
        <f ca="1">T447-T448</f>
        <v>#NAME?</v>
      </c>
      <c r="U449" s="28" t="e">
        <f ca="1">INT(ABS(T449))</f>
        <v>#NAME?</v>
      </c>
      <c r="V449" s="28" t="e">
        <f ca="1">INT((ABS(T449)-U449)*60)</f>
        <v>#NAME?</v>
      </c>
      <c r="W449" s="28" t="e">
        <f ca="1">INT((((ABS(T449)-U449)*60)-V449)*60)</f>
        <v>#NAME?</v>
      </c>
      <c r="X449" s="28" t="e">
        <f ca="1">INT((((((ABS(T449)-U449)*60)-V449)*60)-W449)*60)</f>
        <v>#NAME?</v>
      </c>
      <c r="Y449" s="10"/>
      <c r="Z449" s="10"/>
      <c r="AA449" s="4" t="s">
        <v>272</v>
      </c>
      <c r="AB449" s="4" t="e">
        <f ca="1">AB447-AB448</f>
        <v>#NAME?</v>
      </c>
      <c r="AC449" s="4"/>
      <c r="AD449" s="4"/>
      <c r="AE449" s="4"/>
      <c r="AF449" s="4"/>
      <c r="AG449" s="4"/>
      <c r="AH449" s="4"/>
      <c r="AJ449" s="10" t="s">
        <v>272</v>
      </c>
      <c r="AK449" s="10" t="e">
        <f ca="1">AK447-AK448</f>
        <v>#NAME?</v>
      </c>
      <c r="AL449" s="28" t="e">
        <f ca="1">INT(ABS(AK449))</f>
        <v>#NAME?</v>
      </c>
      <c r="AM449" s="28" t="e">
        <f ca="1">INT((ABS(AK449)-AL449)*60)</f>
        <v>#NAME?</v>
      </c>
      <c r="AN449" s="28" t="e">
        <f ca="1">INT((((ABS(AK449)-AL449)*60)-AM449)*60)</f>
        <v>#NAME?</v>
      </c>
      <c r="AO449" s="28" t="e">
        <f ca="1">INT((((((ABS(AK449)-AL449)*60)-AM449)*60)-AN449)*60)</f>
        <v>#NAME?</v>
      </c>
      <c r="AP449" s="10"/>
      <c r="AQ449" s="10"/>
      <c r="AR449" s="4" t="s">
        <v>272</v>
      </c>
      <c r="AS449" s="4" t="e">
        <f ca="1">AS447-AS448</f>
        <v>#NAME?</v>
      </c>
      <c r="AT449" s="4"/>
      <c r="AU449" s="4"/>
      <c r="AV449" s="4"/>
      <c r="AW449" s="4"/>
      <c r="AX449" s="4"/>
      <c r="AY449" s="4"/>
      <c r="BA449" s="10" t="s">
        <v>272</v>
      </c>
      <c r="BB449" s="10" t="e">
        <f ca="1">BB447-BB448</f>
        <v>#NAME?</v>
      </c>
      <c r="BC449" s="28" t="e">
        <f ca="1">INT(ABS(BB449))</f>
        <v>#NAME?</v>
      </c>
      <c r="BD449" s="28" t="e">
        <f ca="1">INT((ABS(BB449)-BC449)*60)</f>
        <v>#NAME?</v>
      </c>
      <c r="BE449" s="28" t="e">
        <f ca="1">INT((((ABS(BB449)-BC449)*60)-BD449)*60)</f>
        <v>#NAME?</v>
      </c>
      <c r="BF449" s="28" t="e">
        <f ca="1">INT((((((ABS(BB449)-BC449)*60)-BD449)*60)-BE449)*60)</f>
        <v>#NAME?</v>
      </c>
      <c r="BG449" s="10"/>
      <c r="BH449" s="10"/>
      <c r="BI449" s="4" t="s">
        <v>272</v>
      </c>
      <c r="BJ449" s="4" t="e">
        <f ca="1">BJ447-BJ448</f>
        <v>#NAME?</v>
      </c>
      <c r="BK449" s="4"/>
      <c r="BL449" s="4"/>
      <c r="BM449" s="4"/>
      <c r="BN449" s="4"/>
      <c r="BO449" s="4"/>
      <c r="BP449" s="4"/>
      <c r="BR449" s="10" t="s">
        <v>272</v>
      </c>
      <c r="BS449" s="10" t="e">
        <f ca="1">BS447-BS448</f>
        <v>#NAME?</v>
      </c>
      <c r="BT449" s="28" t="e">
        <f ca="1">INT(ABS(BS449))</f>
        <v>#NAME?</v>
      </c>
      <c r="BU449" s="28" t="e">
        <f ca="1">INT((ABS(BS449)-BT449)*60)</f>
        <v>#NAME?</v>
      </c>
      <c r="BV449" s="28" t="e">
        <f ca="1">INT((((ABS(BS449)-BT449)*60)-BU449)*60)</f>
        <v>#NAME?</v>
      </c>
      <c r="BW449" s="28" t="e">
        <f ca="1">INT((((((ABS(BS449)-BT449)*60)-BU449)*60)-BV449)*60)</f>
        <v>#NAME?</v>
      </c>
      <c r="BX449" s="10"/>
      <c r="BY449" s="10"/>
      <c r="BZ449" s="4" t="s">
        <v>272</v>
      </c>
      <c r="CA449" s="4" t="e">
        <f ca="1">CA447-CA448</f>
        <v>#NAME?</v>
      </c>
      <c r="CB449" s="4"/>
      <c r="CC449" s="4"/>
      <c r="CD449" s="4"/>
      <c r="CE449" s="4"/>
      <c r="CF449" s="4"/>
      <c r="CG449" s="4"/>
    </row>
    <row r="450" spans="2:85" ht="24.75">
      <c r="B450" s="10"/>
      <c r="C450" s="10" t="e">
        <f ca="1">MOD(((C448*C445)+(C449*C444)),360)</f>
        <v>#NAME?</v>
      </c>
      <c r="D450" s="28" t="e">
        <f ca="1">INT(ABS(C450))</f>
        <v>#NAME?</v>
      </c>
      <c r="E450" s="28" t="e">
        <f ca="1">INT((ABS(C450)-D450)*60)</f>
        <v>#NAME?</v>
      </c>
      <c r="F450" s="28" t="e">
        <f ca="1">INT((((ABS(C450)-D450)*60)-E450)*60)</f>
        <v>#NAME?</v>
      </c>
      <c r="G450" s="28" t="e">
        <f ca="1">INT((((((ABS(C450)-D450)*60)-E450)*60)-F450)*60)</f>
        <v>#NAME?</v>
      </c>
      <c r="H450" s="10"/>
      <c r="I450" s="10"/>
      <c r="J450" s="4"/>
      <c r="K450" s="4" t="e">
        <f ca="1">[5]!ba((K448*K445)+(K449*K444))</f>
        <v>#NAME?</v>
      </c>
      <c r="L450" s="133" t="e">
        <f ca="1">INT(ABS(K450))</f>
        <v>#NAME?</v>
      </c>
      <c r="M450" s="133" t="e">
        <f ca="1">INT((ABS(K450)-L450)*60)</f>
        <v>#NAME?</v>
      </c>
      <c r="N450" s="133" t="e">
        <f ca="1">INT((((ABS(K450)-L450)*60)-M450)*60)</f>
        <v>#NAME?</v>
      </c>
      <c r="O450" s="133" t="e">
        <f ca="1">INT((((((ABS(K450)-L450)*60)-M450)*60)-N450)*60)</f>
        <v>#NAME?</v>
      </c>
      <c r="P450" s="4"/>
      <c r="Q450" s="4"/>
      <c r="S450" s="10"/>
      <c r="T450" s="10" t="e">
        <f ca="1">MOD(((T448*T445)+(T449*T444)),360)</f>
        <v>#NAME?</v>
      </c>
      <c r="U450" s="28" t="e">
        <f ca="1">INT(ABS(T450))</f>
        <v>#NAME?</v>
      </c>
      <c r="V450" s="28" t="e">
        <f ca="1">INT((ABS(T450)-U450)*60)</f>
        <v>#NAME?</v>
      </c>
      <c r="W450" s="28" t="e">
        <f ca="1">INT((((ABS(T450)-U450)*60)-V450)*60)</f>
        <v>#NAME?</v>
      </c>
      <c r="X450" s="28" t="e">
        <f ca="1">INT((((((ABS(T450)-U450)*60)-V450)*60)-W450)*60)</f>
        <v>#NAME?</v>
      </c>
      <c r="Y450" s="10"/>
      <c r="Z450" s="10"/>
      <c r="AA450" s="4"/>
      <c r="AB450" s="4" t="e">
        <f ca="1">[5]!ba((AB448*AB445)+(AB449*AB444))</f>
        <v>#NAME?</v>
      </c>
      <c r="AC450" s="133" t="e">
        <f ca="1">INT(ABS(AB450))</f>
        <v>#NAME?</v>
      </c>
      <c r="AD450" s="133" t="e">
        <f ca="1">INT((ABS(AB450)-AC450)*60)</f>
        <v>#NAME?</v>
      </c>
      <c r="AE450" s="133" t="e">
        <f ca="1">INT((((ABS(AB450)-AC450)*60)-AD450)*60)</f>
        <v>#NAME?</v>
      </c>
      <c r="AF450" s="133" t="e">
        <f ca="1">INT((((((ABS(AB450)-AC450)*60)-AD450)*60)-AE450)*60)</f>
        <v>#NAME?</v>
      </c>
      <c r="AG450" s="4"/>
      <c r="AH450" s="4"/>
      <c r="AJ450" s="10"/>
      <c r="AK450" s="10" t="e">
        <f ca="1">MOD(((AK448*AK445)+(AK449*AK444)),360)</f>
        <v>#NAME?</v>
      </c>
      <c r="AL450" s="28" t="e">
        <f ca="1">INT(ABS(AK450))</f>
        <v>#NAME?</v>
      </c>
      <c r="AM450" s="28" t="e">
        <f ca="1">INT((ABS(AK450)-AL450)*60)</f>
        <v>#NAME?</v>
      </c>
      <c r="AN450" s="28" t="e">
        <f ca="1">INT((((ABS(AK450)-AL450)*60)-AM450)*60)</f>
        <v>#NAME?</v>
      </c>
      <c r="AO450" s="28" t="e">
        <f ca="1">INT((((((ABS(AK450)-AL450)*60)-AM450)*60)-AN450)*60)</f>
        <v>#NAME?</v>
      </c>
      <c r="AP450" s="10"/>
      <c r="AQ450" s="10"/>
      <c r="AR450" s="4"/>
      <c r="AS450" s="4" t="e">
        <f ca="1">[5]!ba((AS448*AS445)+(AS449*AS444))</f>
        <v>#NAME?</v>
      </c>
      <c r="AT450" s="133" t="e">
        <f ca="1">INT(ABS(AS450))</f>
        <v>#NAME?</v>
      </c>
      <c r="AU450" s="133" t="e">
        <f ca="1">INT((ABS(AS450)-AT450)*60)</f>
        <v>#NAME?</v>
      </c>
      <c r="AV450" s="133" t="e">
        <f ca="1">INT((((ABS(AS450)-AT450)*60)-AU450)*60)</f>
        <v>#NAME?</v>
      </c>
      <c r="AW450" s="133" t="e">
        <f ca="1">INT((((((ABS(AS450)-AT450)*60)-AU450)*60)-AV450)*60)</f>
        <v>#NAME?</v>
      </c>
      <c r="AX450" s="4"/>
      <c r="AY450" s="4"/>
      <c r="BA450" s="10"/>
      <c r="BB450" s="10" t="e">
        <f ca="1">MOD(((BB448*BB445)+(BB449*BB444)),360)</f>
        <v>#NAME?</v>
      </c>
      <c r="BC450" s="28" t="e">
        <f ca="1">INT(ABS(BB450))</f>
        <v>#NAME?</v>
      </c>
      <c r="BD450" s="28" t="e">
        <f ca="1">INT((ABS(BB450)-BC450)*60)</f>
        <v>#NAME?</v>
      </c>
      <c r="BE450" s="28" t="e">
        <f ca="1">INT((((ABS(BB450)-BC450)*60)-BD450)*60)</f>
        <v>#NAME?</v>
      </c>
      <c r="BF450" s="28" t="e">
        <f ca="1">INT((((((ABS(BB450)-BC450)*60)-BD450)*60)-BE450)*60)</f>
        <v>#NAME?</v>
      </c>
      <c r="BG450" s="10"/>
      <c r="BH450" s="10"/>
      <c r="BI450" s="4"/>
      <c r="BJ450" s="4" t="e">
        <f ca="1">[5]!ba((BJ448*BJ445)+(BJ449*BJ444))</f>
        <v>#NAME?</v>
      </c>
      <c r="BK450" s="133" t="e">
        <f ca="1">INT(ABS(BJ450))</f>
        <v>#NAME?</v>
      </c>
      <c r="BL450" s="133" t="e">
        <f ca="1">INT((ABS(BJ450)-BK450)*60)</f>
        <v>#NAME?</v>
      </c>
      <c r="BM450" s="133" t="e">
        <f ca="1">INT((((ABS(BJ450)-BK450)*60)-BL450)*60)</f>
        <v>#NAME?</v>
      </c>
      <c r="BN450" s="133" t="e">
        <f ca="1">INT((((((ABS(BJ450)-BK450)*60)-BL450)*60)-BM450)*60)</f>
        <v>#NAME?</v>
      </c>
      <c r="BO450" s="4"/>
      <c r="BP450" s="4"/>
      <c r="BR450" s="10"/>
      <c r="BS450" s="10" t="e">
        <f ca="1">MOD(((BS448*BS445)+(BS449*BS444)),360)</f>
        <v>#NAME?</v>
      </c>
      <c r="BT450" s="28" t="e">
        <f ca="1">INT(ABS(BS450))</f>
        <v>#NAME?</v>
      </c>
      <c r="BU450" s="28" t="e">
        <f ca="1">INT((ABS(BS450)-BT450)*60)</f>
        <v>#NAME?</v>
      </c>
      <c r="BV450" s="28" t="e">
        <f ca="1">INT((((ABS(BS450)-BT450)*60)-BU450)*60)</f>
        <v>#NAME?</v>
      </c>
      <c r="BW450" s="28" t="e">
        <f ca="1">INT((((((ABS(BS450)-BT450)*60)-BU450)*60)-BV450)*60)</f>
        <v>#NAME?</v>
      </c>
      <c r="BX450" s="10"/>
      <c r="BY450" s="10"/>
      <c r="BZ450" s="4"/>
      <c r="CA450" s="4" t="e">
        <f ca="1">[5]!ba((CA448*CA445)+(CA449*CA444))</f>
        <v>#NAME?</v>
      </c>
      <c r="CB450" s="133" t="e">
        <f ca="1">INT(ABS(CA450))</f>
        <v>#NAME?</v>
      </c>
      <c r="CC450" s="133" t="e">
        <f ca="1">INT((ABS(CA450)-CB450)*60)</f>
        <v>#NAME?</v>
      </c>
      <c r="CD450" s="133" t="e">
        <f ca="1">INT((((ABS(CA450)-CB450)*60)-CC450)*60)</f>
        <v>#NAME?</v>
      </c>
      <c r="CE450" s="133" t="e">
        <f ca="1">INT((((((ABS(CA450)-CB450)*60)-CC450)*60)-CD450)*60)</f>
        <v>#NAME?</v>
      </c>
      <c r="CF450" s="4"/>
      <c r="CG450" s="4"/>
    </row>
    <row r="451" spans="2:85" ht="24.75">
      <c r="B451" s="10" t="s">
        <v>721</v>
      </c>
      <c r="C451" s="10" t="e">
        <f ca="1">[5]!ba(C450+C446)</f>
        <v>#NAME?</v>
      </c>
      <c r="D451" s="28" t="e">
        <f ca="1">INT(ABS(C451))</f>
        <v>#NAME?</v>
      </c>
      <c r="E451" s="28" t="e">
        <f ca="1">INT((ABS(C451)-D451)*60)</f>
        <v>#NAME?</v>
      </c>
      <c r="F451" s="28" t="e">
        <f ca="1">INT((((ABS(C451)-D451)*60)-E451)*60)</f>
        <v>#NAME?</v>
      </c>
      <c r="G451" s="28" t="e">
        <f ca="1">INT((((((ABS(C451)-D451)*60)-E451)*60)-F451)*60)</f>
        <v>#NAME?</v>
      </c>
      <c r="H451" s="10"/>
      <c r="I451" s="10"/>
      <c r="J451" s="4" t="s">
        <v>721</v>
      </c>
      <c r="K451" s="4" t="e">
        <f ca="1">[5]!ba(K450+K446)</f>
        <v>#NAME?</v>
      </c>
      <c r="L451" s="133" t="e">
        <f ca="1">INT(ABS(K451))</f>
        <v>#NAME?</v>
      </c>
      <c r="M451" s="133" t="e">
        <f ca="1">INT((ABS(K451)-L451)*60)</f>
        <v>#NAME?</v>
      </c>
      <c r="N451" s="133" t="e">
        <f ca="1">INT((((ABS(K451)-L451)*60)-M451)*60)</f>
        <v>#NAME?</v>
      </c>
      <c r="O451" s="133" t="e">
        <f ca="1">INT((((((ABS(K451)-L451)*60)-M451)*60)-N451)*60)</f>
        <v>#NAME?</v>
      </c>
      <c r="P451" s="4"/>
      <c r="Q451" s="4"/>
      <c r="S451" s="10" t="s">
        <v>721</v>
      </c>
      <c r="T451" s="10" t="e">
        <f ca="1">[5]!ba(T450+T446)</f>
        <v>#NAME?</v>
      </c>
      <c r="U451" s="28" t="e">
        <f ca="1">INT(ABS(T451))</f>
        <v>#NAME?</v>
      </c>
      <c r="V451" s="28" t="e">
        <f ca="1">INT((ABS(T451)-U451)*60)</f>
        <v>#NAME?</v>
      </c>
      <c r="W451" s="28" t="e">
        <f ca="1">INT((((ABS(T451)-U451)*60)-V451)*60)</f>
        <v>#NAME?</v>
      </c>
      <c r="X451" s="28" t="e">
        <f ca="1">INT((((((ABS(T451)-U451)*60)-V451)*60)-W451)*60)</f>
        <v>#NAME?</v>
      </c>
      <c r="Y451" s="10"/>
      <c r="Z451" s="10"/>
      <c r="AA451" s="4" t="s">
        <v>721</v>
      </c>
      <c r="AB451" s="4" t="e">
        <f ca="1">[5]!ba(AB450+AB446)</f>
        <v>#NAME?</v>
      </c>
      <c r="AC451" s="133" t="e">
        <f ca="1">INT(ABS(AB451))</f>
        <v>#NAME?</v>
      </c>
      <c r="AD451" s="133" t="e">
        <f ca="1">INT((ABS(AB451)-AC451)*60)</f>
        <v>#NAME?</v>
      </c>
      <c r="AE451" s="133" t="e">
        <f ca="1">INT((((ABS(AB451)-AC451)*60)-AD451)*60)</f>
        <v>#NAME?</v>
      </c>
      <c r="AF451" s="133" t="e">
        <f ca="1">INT((((((ABS(AB451)-AC451)*60)-AD451)*60)-AE451)*60)</f>
        <v>#NAME?</v>
      </c>
      <c r="AG451" s="4"/>
      <c r="AH451" s="4"/>
      <c r="AJ451" s="10" t="s">
        <v>721</v>
      </c>
      <c r="AK451" s="10" t="e">
        <f ca="1">[5]!ba(AK450+AK446)</f>
        <v>#NAME?</v>
      </c>
      <c r="AL451" s="28" t="e">
        <f ca="1">INT(ABS(AK451))</f>
        <v>#NAME?</v>
      </c>
      <c r="AM451" s="28" t="e">
        <f ca="1">INT((ABS(AK451)-AL451)*60)</f>
        <v>#NAME?</v>
      </c>
      <c r="AN451" s="28" t="e">
        <f ca="1">INT((((ABS(AK451)-AL451)*60)-AM451)*60)</f>
        <v>#NAME?</v>
      </c>
      <c r="AO451" s="28" t="e">
        <f ca="1">INT((((((ABS(AK451)-AL451)*60)-AM451)*60)-AN451)*60)</f>
        <v>#NAME?</v>
      </c>
      <c r="AP451" s="10"/>
      <c r="AQ451" s="10"/>
      <c r="AR451" s="4" t="s">
        <v>721</v>
      </c>
      <c r="AS451" s="4" t="e">
        <f ca="1">[5]!ba(AS450+AS446)</f>
        <v>#NAME?</v>
      </c>
      <c r="AT451" s="133" t="e">
        <f ca="1">INT(ABS(AS451))</f>
        <v>#NAME?</v>
      </c>
      <c r="AU451" s="133" t="e">
        <f ca="1">INT((ABS(AS451)-AT451)*60)</f>
        <v>#NAME?</v>
      </c>
      <c r="AV451" s="133" t="e">
        <f ca="1">INT((((ABS(AS451)-AT451)*60)-AU451)*60)</f>
        <v>#NAME?</v>
      </c>
      <c r="AW451" s="133" t="e">
        <f ca="1">INT((((((ABS(AS451)-AT451)*60)-AU451)*60)-AV451)*60)</f>
        <v>#NAME?</v>
      </c>
      <c r="AX451" s="4"/>
      <c r="AY451" s="4"/>
      <c r="BA451" s="10" t="s">
        <v>721</v>
      </c>
      <c r="BB451" s="10" t="e">
        <f ca="1">[5]!ba(BB450+BB446)</f>
        <v>#NAME?</v>
      </c>
      <c r="BC451" s="28" t="e">
        <f ca="1">INT(ABS(BB451))</f>
        <v>#NAME?</v>
      </c>
      <c r="BD451" s="28" t="e">
        <f ca="1">INT((ABS(BB451)-BC451)*60)</f>
        <v>#NAME?</v>
      </c>
      <c r="BE451" s="28" t="e">
        <f ca="1">INT((((ABS(BB451)-BC451)*60)-BD451)*60)</f>
        <v>#NAME?</v>
      </c>
      <c r="BF451" s="28" t="e">
        <f ca="1">INT((((((ABS(BB451)-BC451)*60)-BD451)*60)-BE451)*60)</f>
        <v>#NAME?</v>
      </c>
      <c r="BG451" s="10"/>
      <c r="BH451" s="10"/>
      <c r="BI451" s="4" t="s">
        <v>721</v>
      </c>
      <c r="BJ451" s="4" t="e">
        <f ca="1">[5]!ba(BJ450+BJ446)</f>
        <v>#NAME?</v>
      </c>
      <c r="BK451" s="133" t="e">
        <f ca="1">INT(ABS(BJ451))</f>
        <v>#NAME?</v>
      </c>
      <c r="BL451" s="133" t="e">
        <f ca="1">INT((ABS(BJ451)-BK451)*60)</f>
        <v>#NAME?</v>
      </c>
      <c r="BM451" s="133" t="e">
        <f ca="1">INT((((ABS(BJ451)-BK451)*60)-BL451)*60)</f>
        <v>#NAME?</v>
      </c>
      <c r="BN451" s="133" t="e">
        <f ca="1">INT((((((ABS(BJ451)-BK451)*60)-BL451)*60)-BM451)*60)</f>
        <v>#NAME?</v>
      </c>
      <c r="BO451" s="4"/>
      <c r="BP451" s="4"/>
      <c r="BR451" s="10" t="s">
        <v>721</v>
      </c>
      <c r="BS451" s="10" t="e">
        <f ca="1">[5]!ba(BS450+BS446)</f>
        <v>#NAME?</v>
      </c>
      <c r="BT451" s="28" t="e">
        <f ca="1">INT(ABS(BS451))</f>
        <v>#NAME?</v>
      </c>
      <c r="BU451" s="28" t="e">
        <f ca="1">INT((ABS(BS451)-BT451)*60)</f>
        <v>#NAME?</v>
      </c>
      <c r="BV451" s="28" t="e">
        <f ca="1">INT((((ABS(BS451)-BT451)*60)-BU451)*60)</f>
        <v>#NAME?</v>
      </c>
      <c r="BW451" s="28" t="e">
        <f ca="1">INT((((((ABS(BS451)-BT451)*60)-BU451)*60)-BV451)*60)</f>
        <v>#NAME?</v>
      </c>
      <c r="BX451" s="10"/>
      <c r="BY451" s="10"/>
      <c r="BZ451" s="4" t="s">
        <v>721</v>
      </c>
      <c r="CA451" s="4" t="e">
        <f ca="1">[5]!ba(CA450+CA446)</f>
        <v>#NAME?</v>
      </c>
      <c r="CB451" s="133" t="e">
        <f ca="1">INT(ABS(CA451))</f>
        <v>#NAME?</v>
      </c>
      <c r="CC451" s="133" t="e">
        <f ca="1">INT((ABS(CA451)-CB451)*60)</f>
        <v>#NAME?</v>
      </c>
      <c r="CD451" s="133" t="e">
        <f ca="1">INT((((ABS(CA451)-CB451)*60)-CC451)*60)</f>
        <v>#NAME?</v>
      </c>
      <c r="CE451" s="133" t="e">
        <f ca="1">INT((((((ABS(CA451)-CB451)*60)-CC451)*60)-CD451)*60)</f>
        <v>#NAME?</v>
      </c>
      <c r="CF451" s="4"/>
      <c r="CG451" s="4"/>
    </row>
    <row r="452" spans="2:85" ht="24.75">
      <c r="B452" s="10"/>
      <c r="C452" s="10">
        <f>1251-C439-(30-C447)</f>
        <v>1170</v>
      </c>
      <c r="D452" s="28">
        <f t="shared" si="246"/>
        <v>1170</v>
      </c>
      <c r="E452" s="28">
        <f t="shared" si="247"/>
        <v>0</v>
      </c>
      <c r="F452" s="28">
        <f t="shared" si="248"/>
        <v>0</v>
      </c>
      <c r="G452" s="28">
        <f t="shared" si="249"/>
        <v>0</v>
      </c>
      <c r="H452" s="10"/>
      <c r="I452" s="10"/>
      <c r="J452" s="4"/>
      <c r="K452" s="4"/>
      <c r="L452" s="4"/>
      <c r="M452" s="4"/>
      <c r="N452" s="4"/>
      <c r="O452" s="4"/>
      <c r="P452" s="4"/>
      <c r="Q452" s="4"/>
      <c r="S452" s="10"/>
      <c r="T452" s="10">
        <f>1251-T439-(30-T447)</f>
        <v>-120</v>
      </c>
      <c r="U452" s="28">
        <f t="shared" si="250"/>
        <v>120</v>
      </c>
      <c r="V452" s="28">
        <f t="shared" si="251"/>
        <v>0</v>
      </c>
      <c r="W452" s="28">
        <f t="shared" si="252"/>
        <v>0</v>
      </c>
      <c r="X452" s="28">
        <f t="shared" si="253"/>
        <v>0</v>
      </c>
      <c r="Y452" s="10"/>
      <c r="Z452" s="10"/>
      <c r="AA452" s="4"/>
      <c r="AB452" s="4"/>
      <c r="AC452" s="4"/>
      <c r="AD452" s="4"/>
      <c r="AE452" s="4"/>
      <c r="AF452" s="4"/>
      <c r="AG452" s="4"/>
      <c r="AH452" s="4"/>
      <c r="AJ452" s="10"/>
      <c r="AK452" s="10">
        <f>1251-AK439-(30-AK447)</f>
        <v>0</v>
      </c>
      <c r="AL452" s="28">
        <f t="shared" si="254"/>
        <v>0</v>
      </c>
      <c r="AM452" s="28">
        <f t="shared" si="255"/>
        <v>0</v>
      </c>
      <c r="AN452" s="28">
        <f t="shared" si="256"/>
        <v>0</v>
      </c>
      <c r="AO452" s="28">
        <f t="shared" si="257"/>
        <v>0</v>
      </c>
      <c r="AP452" s="10"/>
      <c r="AQ452" s="10"/>
      <c r="AR452" s="4"/>
      <c r="AS452" s="4"/>
      <c r="AT452" s="4"/>
      <c r="AU452" s="4"/>
      <c r="AV452" s="4"/>
      <c r="AW452" s="4"/>
      <c r="AX452" s="4"/>
      <c r="AY452" s="4"/>
      <c r="BA452" s="10"/>
      <c r="BB452" s="10">
        <f>1251-BB439-(30-BB447)</f>
        <v>-60</v>
      </c>
      <c r="BC452" s="28">
        <f t="shared" si="258"/>
        <v>60</v>
      </c>
      <c r="BD452" s="28">
        <f t="shared" si="259"/>
        <v>0</v>
      </c>
      <c r="BE452" s="28">
        <f t="shared" si="260"/>
        <v>0</v>
      </c>
      <c r="BF452" s="28">
        <f t="shared" si="261"/>
        <v>0</v>
      </c>
      <c r="BG452" s="10"/>
      <c r="BH452" s="10"/>
      <c r="BI452" s="4"/>
      <c r="BJ452" s="4"/>
      <c r="BK452" s="4"/>
      <c r="BL452" s="4"/>
      <c r="BM452" s="4"/>
      <c r="BN452" s="4"/>
      <c r="BO452" s="4"/>
      <c r="BP452" s="4"/>
      <c r="BR452" s="10"/>
      <c r="BS452" s="10">
        <f>1251-BS439-(30-BS447)</f>
        <v>-60</v>
      </c>
      <c r="BT452" s="28">
        <f t="shared" si="262"/>
        <v>60</v>
      </c>
      <c r="BU452" s="28">
        <f t="shared" si="263"/>
        <v>0</v>
      </c>
      <c r="BV452" s="28">
        <f t="shared" si="264"/>
        <v>0</v>
      </c>
      <c r="BW452" s="28">
        <f t="shared" si="265"/>
        <v>0</v>
      </c>
      <c r="BX452" s="10"/>
      <c r="BY452" s="10"/>
      <c r="BZ452" s="4"/>
      <c r="CA452" s="4"/>
      <c r="CB452" s="4"/>
      <c r="CC452" s="4"/>
      <c r="CD452" s="4"/>
      <c r="CE452" s="4"/>
      <c r="CF452" s="4"/>
      <c r="CG452" s="4"/>
    </row>
    <row r="453" spans="2:85" ht="24.75">
      <c r="B453" s="10"/>
      <c r="C453" s="10">
        <f>C452/30</f>
        <v>39</v>
      </c>
      <c r="D453" s="28">
        <f t="shared" si="246"/>
        <v>39</v>
      </c>
      <c r="E453" s="28">
        <f t="shared" si="247"/>
        <v>0</v>
      </c>
      <c r="F453" s="28">
        <f t="shared" si="248"/>
        <v>0</v>
      </c>
      <c r="G453" s="28">
        <f t="shared" si="249"/>
        <v>0</v>
      </c>
      <c r="H453" s="10"/>
      <c r="I453" s="10"/>
      <c r="J453" s="4"/>
      <c r="K453" s="4"/>
      <c r="L453" s="4"/>
      <c r="M453" s="4"/>
      <c r="N453" s="4"/>
      <c r="O453" s="4"/>
      <c r="P453" s="4"/>
      <c r="Q453" s="4"/>
      <c r="S453" s="10"/>
      <c r="T453" s="10">
        <f>T452/30</f>
        <v>-4</v>
      </c>
      <c r="U453" s="28">
        <f t="shared" si="250"/>
        <v>4</v>
      </c>
      <c r="V453" s="28">
        <f t="shared" si="251"/>
        <v>0</v>
      </c>
      <c r="W453" s="28">
        <f t="shared" si="252"/>
        <v>0</v>
      </c>
      <c r="X453" s="28">
        <f t="shared" si="253"/>
        <v>0</v>
      </c>
      <c r="Y453" s="10"/>
      <c r="Z453" s="10"/>
      <c r="AA453" s="4"/>
      <c r="AB453" s="4"/>
      <c r="AC453" s="4"/>
      <c r="AD453" s="4"/>
      <c r="AE453" s="4"/>
      <c r="AF453" s="4"/>
      <c r="AG453" s="4"/>
      <c r="AH453" s="4"/>
      <c r="AJ453" s="10"/>
      <c r="AK453" s="10">
        <f>AK452/30</f>
        <v>0</v>
      </c>
      <c r="AL453" s="28">
        <f t="shared" si="254"/>
        <v>0</v>
      </c>
      <c r="AM453" s="28">
        <f t="shared" si="255"/>
        <v>0</v>
      </c>
      <c r="AN453" s="28">
        <f t="shared" si="256"/>
        <v>0</v>
      </c>
      <c r="AO453" s="28">
        <f t="shared" si="257"/>
        <v>0</v>
      </c>
      <c r="AP453" s="10"/>
      <c r="AQ453" s="10"/>
      <c r="AR453" s="4"/>
      <c r="AS453" s="4"/>
      <c r="AT453" s="4"/>
      <c r="AU453" s="4"/>
      <c r="AV453" s="4"/>
      <c r="AW453" s="4"/>
      <c r="AX453" s="4"/>
      <c r="AY453" s="4"/>
      <c r="BA453" s="10"/>
      <c r="BB453" s="10">
        <f>BB452/30</f>
        <v>-2</v>
      </c>
      <c r="BC453" s="28">
        <f t="shared" si="258"/>
        <v>2</v>
      </c>
      <c r="BD453" s="28">
        <f t="shared" si="259"/>
        <v>0</v>
      </c>
      <c r="BE453" s="28">
        <f t="shared" si="260"/>
        <v>0</v>
      </c>
      <c r="BF453" s="28">
        <f t="shared" si="261"/>
        <v>0</v>
      </c>
      <c r="BG453" s="10"/>
      <c r="BH453" s="10"/>
      <c r="BI453" s="4"/>
      <c r="BJ453" s="4"/>
      <c r="BK453" s="4"/>
      <c r="BL453" s="4"/>
      <c r="BM453" s="4"/>
      <c r="BN453" s="4"/>
      <c r="BO453" s="4"/>
      <c r="BP453" s="4"/>
      <c r="BR453" s="10"/>
      <c r="BS453" s="10">
        <f>BS452/30</f>
        <v>-2</v>
      </c>
      <c r="BT453" s="28">
        <f t="shared" si="262"/>
        <v>2</v>
      </c>
      <c r="BU453" s="28">
        <f t="shared" si="263"/>
        <v>0</v>
      </c>
      <c r="BV453" s="28">
        <f t="shared" si="264"/>
        <v>0</v>
      </c>
      <c r="BW453" s="28">
        <f t="shared" si="265"/>
        <v>0</v>
      </c>
      <c r="BX453" s="10"/>
      <c r="BY453" s="10"/>
      <c r="BZ453" s="4"/>
      <c r="CA453" s="4"/>
      <c r="CB453" s="4"/>
      <c r="CC453" s="4"/>
      <c r="CD453" s="4"/>
      <c r="CE453" s="4"/>
      <c r="CF453" s="4"/>
      <c r="CG453" s="4"/>
    </row>
    <row r="454" spans="2:85" ht="24.75">
      <c r="B454" s="10"/>
      <c r="C454" s="10" t="e">
        <f ca="1">[5]!ba(C453*C443)</f>
        <v>#NAME?</v>
      </c>
      <c r="D454" s="28" t="e">
        <f ca="1">INT(ABS(C454))</f>
        <v>#NAME?</v>
      </c>
      <c r="E454" s="28" t="e">
        <f ca="1">INT((ABS(C454)-D454)*60)</f>
        <v>#NAME?</v>
      </c>
      <c r="F454" s="28" t="e">
        <f ca="1">INT((((ABS(C454)-D454)*60)-E454)*60)</f>
        <v>#NAME?</v>
      </c>
      <c r="G454" s="28" t="e">
        <f ca="1">INT((((((ABS(C454)-D454)*60)-E454)*60)-F454)*60)</f>
        <v>#NAME?</v>
      </c>
      <c r="H454" s="10"/>
      <c r="I454" s="10"/>
      <c r="J454" s="4"/>
      <c r="K454" s="4">
        <f>INT((K439-1251)/30)</f>
        <v>-40</v>
      </c>
      <c r="L454" s="4"/>
      <c r="M454" s="4"/>
      <c r="N454" s="4"/>
      <c r="O454" s="4"/>
      <c r="P454" s="4"/>
      <c r="Q454" s="4"/>
      <c r="S454" s="10"/>
      <c r="T454" s="10" t="e">
        <f ca="1">[5]!ba(T453*T443)</f>
        <v>#NAME?</v>
      </c>
      <c r="U454" s="28" t="e">
        <f ca="1">INT(ABS(T454))</f>
        <v>#NAME?</v>
      </c>
      <c r="V454" s="28" t="e">
        <f ca="1">INT((ABS(T454)-U454)*60)</f>
        <v>#NAME?</v>
      </c>
      <c r="W454" s="28" t="e">
        <f ca="1">INT((((ABS(T454)-U454)*60)-V454)*60)</f>
        <v>#NAME?</v>
      </c>
      <c r="X454" s="28" t="e">
        <f ca="1">INT((((((ABS(T454)-U454)*60)-V454)*60)-W454)*60)</f>
        <v>#NAME?</v>
      </c>
      <c r="Y454" s="10"/>
      <c r="Z454" s="10"/>
      <c r="AA454" s="4"/>
      <c r="AB454" s="4">
        <f>INT((AB439-1251)/30)</f>
        <v>3</v>
      </c>
      <c r="AC454" s="4"/>
      <c r="AD454" s="4"/>
      <c r="AE454" s="4"/>
      <c r="AF454" s="4"/>
      <c r="AG454" s="4"/>
      <c r="AH454" s="4"/>
      <c r="AJ454" s="10"/>
      <c r="AK454" s="10" t="e">
        <f ca="1">[5]!ba(AK453*AK443)</f>
        <v>#NAME?</v>
      </c>
      <c r="AL454" s="28" t="e">
        <f ca="1">INT(ABS(AK454))</f>
        <v>#NAME?</v>
      </c>
      <c r="AM454" s="28" t="e">
        <f ca="1">INT((ABS(AK454)-AL454)*60)</f>
        <v>#NAME?</v>
      </c>
      <c r="AN454" s="28" t="e">
        <f ca="1">INT((((ABS(AK454)-AL454)*60)-AM454)*60)</f>
        <v>#NAME?</v>
      </c>
      <c r="AO454" s="28" t="e">
        <f ca="1">INT((((((ABS(AK454)-AL454)*60)-AM454)*60)-AN454)*60)</f>
        <v>#NAME?</v>
      </c>
      <c r="AP454" s="10"/>
      <c r="AQ454" s="10"/>
      <c r="AR454" s="4"/>
      <c r="AS454" s="4">
        <f>INT((AS439-1251)/30)</f>
        <v>0</v>
      </c>
      <c r="AT454" s="4"/>
      <c r="AU454" s="4"/>
      <c r="AV454" s="4"/>
      <c r="AW454" s="4"/>
      <c r="AX454" s="4"/>
      <c r="AY454" s="4"/>
      <c r="BA454" s="10"/>
      <c r="BB454" s="10" t="e">
        <f ca="1">[5]!ba(BB453*BB443)</f>
        <v>#NAME?</v>
      </c>
      <c r="BC454" s="28" t="e">
        <f ca="1">INT(ABS(BB454))</f>
        <v>#NAME?</v>
      </c>
      <c r="BD454" s="28" t="e">
        <f ca="1">INT((ABS(BB454)-BC454)*60)</f>
        <v>#NAME?</v>
      </c>
      <c r="BE454" s="28" t="e">
        <f ca="1">INT((((ABS(BB454)-BC454)*60)-BD454)*60)</f>
        <v>#NAME?</v>
      </c>
      <c r="BF454" s="28" t="e">
        <f ca="1">INT((((((ABS(BB454)-BC454)*60)-BD454)*60)-BE454)*60)</f>
        <v>#NAME?</v>
      </c>
      <c r="BG454" s="10"/>
      <c r="BH454" s="10"/>
      <c r="BI454" s="4"/>
      <c r="BJ454" s="4">
        <f>INT((BJ439-1251)/30)</f>
        <v>1</v>
      </c>
      <c r="BK454" s="4"/>
      <c r="BL454" s="4"/>
      <c r="BM454" s="4"/>
      <c r="BN454" s="4"/>
      <c r="BO454" s="4"/>
      <c r="BP454" s="4"/>
      <c r="BR454" s="10"/>
      <c r="BS454" s="10" t="e">
        <f ca="1">[5]!ba(BS453*BS443)</f>
        <v>#NAME?</v>
      </c>
      <c r="BT454" s="28" t="e">
        <f ca="1">INT(ABS(BS454))</f>
        <v>#NAME?</v>
      </c>
      <c r="BU454" s="28" t="e">
        <f ca="1">INT((ABS(BS454)-BT454)*60)</f>
        <v>#NAME?</v>
      </c>
      <c r="BV454" s="28" t="e">
        <f ca="1">INT((((ABS(BS454)-BT454)*60)-BU454)*60)</f>
        <v>#NAME?</v>
      </c>
      <c r="BW454" s="28" t="e">
        <f ca="1">INT((((((ABS(BS454)-BT454)*60)-BU454)*60)-BV454)*60)</f>
        <v>#NAME?</v>
      </c>
      <c r="BX454" s="10"/>
      <c r="BY454" s="10"/>
      <c r="BZ454" s="4"/>
      <c r="CA454" s="4">
        <f>INT((CA439-1251)/30)</f>
        <v>1</v>
      </c>
      <c r="CB454" s="4"/>
      <c r="CC454" s="4"/>
      <c r="CD454" s="4"/>
      <c r="CE454" s="4"/>
      <c r="CF454" s="4"/>
      <c r="CG454" s="4"/>
    </row>
    <row r="455" spans="2:85" ht="24.75">
      <c r="B455" s="10"/>
      <c r="C455" s="10" t="e">
        <f ca="1">C451-C454</f>
        <v>#NAME?</v>
      </c>
      <c r="D455" s="28" t="e">
        <f ca="1">INT(ABS(C455))</f>
        <v>#NAME?</v>
      </c>
      <c r="E455" s="28" t="e">
        <f ca="1">INT((ABS(C455)-D455)*60)</f>
        <v>#NAME?</v>
      </c>
      <c r="F455" s="28" t="e">
        <f ca="1">INT((((ABS(C455)-D455)*60)-E455)*60)</f>
        <v>#NAME?</v>
      </c>
      <c r="G455" s="28" t="e">
        <f ca="1">INT((((((ABS(C455)-D455)*60)-E455)*60)-F455)*60)</f>
        <v>#NAME?</v>
      </c>
      <c r="H455" s="10"/>
      <c r="I455" s="10"/>
      <c r="J455" s="4"/>
      <c r="K455" s="4" t="e">
        <f ca="1">[5]!ba(K454*K443)</f>
        <v>#NAME?</v>
      </c>
      <c r="L455" s="133" t="e">
        <f ca="1">INT(ABS(K455))</f>
        <v>#NAME?</v>
      </c>
      <c r="M455" s="133" t="e">
        <f ca="1">INT((ABS(K455)-L455)*60)</f>
        <v>#NAME?</v>
      </c>
      <c r="N455" s="133" t="e">
        <f ca="1">INT((((ABS(K455)-L455)*60)-M455)*60)</f>
        <v>#NAME?</v>
      </c>
      <c r="O455" s="133" t="e">
        <f ca="1">INT((((((ABS(K455)-L455)*60)-M455)*60)-N455)*60)</f>
        <v>#NAME?</v>
      </c>
      <c r="P455" s="4"/>
      <c r="Q455" s="4"/>
      <c r="S455" s="10"/>
      <c r="T455" s="10" t="e">
        <f ca="1">T451-T454</f>
        <v>#NAME?</v>
      </c>
      <c r="U455" s="28" t="e">
        <f ca="1">INT(ABS(T455))</f>
        <v>#NAME?</v>
      </c>
      <c r="V455" s="28" t="e">
        <f ca="1">INT((ABS(T455)-U455)*60)</f>
        <v>#NAME?</v>
      </c>
      <c r="W455" s="28" t="e">
        <f ca="1">INT((((ABS(T455)-U455)*60)-V455)*60)</f>
        <v>#NAME?</v>
      </c>
      <c r="X455" s="28" t="e">
        <f ca="1">INT((((((ABS(T455)-U455)*60)-V455)*60)-W455)*60)</f>
        <v>#NAME?</v>
      </c>
      <c r="Y455" s="10"/>
      <c r="Z455" s="10"/>
      <c r="AA455" s="4"/>
      <c r="AB455" s="4" t="e">
        <f ca="1">[5]!ba(AB454*AB443)</f>
        <v>#NAME?</v>
      </c>
      <c r="AC455" s="133" t="e">
        <f ca="1">INT(ABS(AB455))</f>
        <v>#NAME?</v>
      </c>
      <c r="AD455" s="133" t="e">
        <f ca="1">INT((ABS(AB455)-AC455)*60)</f>
        <v>#NAME?</v>
      </c>
      <c r="AE455" s="133" t="e">
        <f ca="1">INT((((ABS(AB455)-AC455)*60)-AD455)*60)</f>
        <v>#NAME?</v>
      </c>
      <c r="AF455" s="133" t="e">
        <f ca="1">INT((((((ABS(AB455)-AC455)*60)-AD455)*60)-AE455)*60)</f>
        <v>#NAME?</v>
      </c>
      <c r="AG455" s="4"/>
      <c r="AH455" s="4"/>
      <c r="AJ455" s="10"/>
      <c r="AK455" s="10" t="e">
        <f ca="1">AK451-AK454</f>
        <v>#NAME?</v>
      </c>
      <c r="AL455" s="28" t="e">
        <f ca="1">INT(ABS(AK455))</f>
        <v>#NAME?</v>
      </c>
      <c r="AM455" s="28" t="e">
        <f ca="1">INT((ABS(AK455)-AL455)*60)</f>
        <v>#NAME?</v>
      </c>
      <c r="AN455" s="28" t="e">
        <f ca="1">INT((((ABS(AK455)-AL455)*60)-AM455)*60)</f>
        <v>#NAME?</v>
      </c>
      <c r="AO455" s="28" t="e">
        <f ca="1">INT((((((ABS(AK455)-AL455)*60)-AM455)*60)-AN455)*60)</f>
        <v>#NAME?</v>
      </c>
      <c r="AP455" s="10"/>
      <c r="AQ455" s="10"/>
      <c r="AR455" s="4"/>
      <c r="AS455" s="4" t="e">
        <f ca="1">[5]!ba(AS454*AS443)</f>
        <v>#NAME?</v>
      </c>
      <c r="AT455" s="133" t="e">
        <f ca="1">INT(ABS(AS455))</f>
        <v>#NAME?</v>
      </c>
      <c r="AU455" s="133" t="e">
        <f ca="1">INT((ABS(AS455)-AT455)*60)</f>
        <v>#NAME?</v>
      </c>
      <c r="AV455" s="133" t="e">
        <f ca="1">INT((((ABS(AS455)-AT455)*60)-AU455)*60)</f>
        <v>#NAME?</v>
      </c>
      <c r="AW455" s="133" t="e">
        <f ca="1">INT((((((ABS(AS455)-AT455)*60)-AU455)*60)-AV455)*60)</f>
        <v>#NAME?</v>
      </c>
      <c r="AX455" s="4"/>
      <c r="AY455" s="4"/>
      <c r="BA455" s="10"/>
      <c r="BB455" s="10" t="e">
        <f ca="1">BB451-BB454</f>
        <v>#NAME?</v>
      </c>
      <c r="BC455" s="28" t="e">
        <f ca="1">INT(ABS(BB455))</f>
        <v>#NAME?</v>
      </c>
      <c r="BD455" s="28" t="e">
        <f ca="1">INT((ABS(BB455)-BC455)*60)</f>
        <v>#NAME?</v>
      </c>
      <c r="BE455" s="28" t="e">
        <f ca="1">INT((((ABS(BB455)-BC455)*60)-BD455)*60)</f>
        <v>#NAME?</v>
      </c>
      <c r="BF455" s="28" t="e">
        <f ca="1">INT((((((ABS(BB455)-BC455)*60)-BD455)*60)-BE455)*60)</f>
        <v>#NAME?</v>
      </c>
      <c r="BG455" s="10"/>
      <c r="BH455" s="10"/>
      <c r="BI455" s="4"/>
      <c r="BJ455" s="4" t="e">
        <f ca="1">[5]!ba(BJ454*BJ443)</f>
        <v>#NAME?</v>
      </c>
      <c r="BK455" s="133" t="e">
        <f ca="1">INT(ABS(BJ455))</f>
        <v>#NAME?</v>
      </c>
      <c r="BL455" s="133" t="e">
        <f ca="1">INT((ABS(BJ455)-BK455)*60)</f>
        <v>#NAME?</v>
      </c>
      <c r="BM455" s="133" t="e">
        <f ca="1">INT((((ABS(BJ455)-BK455)*60)-BL455)*60)</f>
        <v>#NAME?</v>
      </c>
      <c r="BN455" s="133" t="e">
        <f ca="1">INT((((((ABS(BJ455)-BK455)*60)-BL455)*60)-BM455)*60)</f>
        <v>#NAME?</v>
      </c>
      <c r="BO455" s="4"/>
      <c r="BP455" s="4"/>
      <c r="BR455" s="10"/>
      <c r="BS455" s="10" t="e">
        <f ca="1">BS451-BS454</f>
        <v>#NAME?</v>
      </c>
      <c r="BT455" s="28" t="e">
        <f ca="1">INT(ABS(BS455))</f>
        <v>#NAME?</v>
      </c>
      <c r="BU455" s="28" t="e">
        <f ca="1">INT((ABS(BS455)-BT455)*60)</f>
        <v>#NAME?</v>
      </c>
      <c r="BV455" s="28" t="e">
        <f ca="1">INT((((ABS(BS455)-BT455)*60)-BU455)*60)</f>
        <v>#NAME?</v>
      </c>
      <c r="BW455" s="28" t="e">
        <f ca="1">INT((((((ABS(BS455)-BT455)*60)-BU455)*60)-BV455)*60)</f>
        <v>#NAME?</v>
      </c>
      <c r="BX455" s="10"/>
      <c r="BY455" s="10"/>
      <c r="BZ455" s="4"/>
      <c r="CA455" s="4" t="e">
        <f ca="1">[5]!ba(CA454*CA443)</f>
        <v>#NAME?</v>
      </c>
      <c r="CB455" s="133" t="e">
        <f ca="1">INT(ABS(CA455))</f>
        <v>#NAME?</v>
      </c>
      <c r="CC455" s="133" t="e">
        <f ca="1">INT((ABS(CA455)-CB455)*60)</f>
        <v>#NAME?</v>
      </c>
      <c r="CD455" s="133" t="e">
        <f ca="1">INT((((ABS(CA455)-CB455)*60)-CC455)*60)</f>
        <v>#NAME?</v>
      </c>
      <c r="CE455" s="133" t="e">
        <f ca="1">INT((((((ABS(CA455)-CB455)*60)-CC455)*60)-CD455)*60)</f>
        <v>#NAME?</v>
      </c>
      <c r="CF455" s="4"/>
      <c r="CG455" s="4"/>
    </row>
    <row r="456" spans="2:85" ht="24.75">
      <c r="C456" s="28">
        <f>((D439-1)*29)+INT(D439/2)</f>
        <v>0</v>
      </c>
      <c r="D456" s="28">
        <f t="shared" si="246"/>
        <v>0</v>
      </c>
      <c r="E456" s="28">
        <f t="shared" si="247"/>
        <v>0</v>
      </c>
      <c r="F456" s="28">
        <f t="shared" si="248"/>
        <v>0</v>
      </c>
      <c r="G456" s="28">
        <f t="shared" si="249"/>
        <v>0</v>
      </c>
      <c r="J456" s="4"/>
      <c r="K456" s="133">
        <f>((L439-1)*29)+INT(L439/2)</f>
        <v>0</v>
      </c>
      <c r="L456" s="133">
        <f t="shared" ref="L456" si="266">INT(ABS(K456))</f>
        <v>0</v>
      </c>
      <c r="M456" s="133">
        <f t="shared" ref="M456" si="267">INT((ABS(K456)-L456)*60)</f>
        <v>0</v>
      </c>
      <c r="N456" s="133">
        <f t="shared" ref="N456" si="268">INT((((ABS(K456)-L456)*60)-M456)*60)</f>
        <v>0</v>
      </c>
      <c r="O456" s="133">
        <f t="shared" ref="O456" si="269">INT((((((ABS(K456)-L456)*60)-M456)*60)-N456)*60)</f>
        <v>0</v>
      </c>
      <c r="P456" s="4"/>
      <c r="Q456" s="4"/>
      <c r="T456" s="28">
        <f>((U439-1)*29)+INT(U439/2)</f>
        <v>177</v>
      </c>
      <c r="U456" s="28">
        <f t="shared" si="250"/>
        <v>177</v>
      </c>
      <c r="V456" s="28">
        <f t="shared" si="251"/>
        <v>0</v>
      </c>
      <c r="W456" s="28">
        <f t="shared" si="252"/>
        <v>0</v>
      </c>
      <c r="X456" s="28">
        <f t="shared" si="253"/>
        <v>0</v>
      </c>
      <c r="AA456" s="4"/>
      <c r="AB456" s="133">
        <f>((AC439-1)*29)+INT(AC439/2)</f>
        <v>177</v>
      </c>
      <c r="AC456" s="133">
        <f t="shared" ref="AC456" si="270">INT(ABS(AB456))</f>
        <v>177</v>
      </c>
      <c r="AD456" s="133">
        <f t="shared" ref="AD456" si="271">INT((ABS(AB456)-AC456)*60)</f>
        <v>0</v>
      </c>
      <c r="AE456" s="133">
        <f t="shared" ref="AE456" si="272">INT((((ABS(AB456)-AC456)*60)-AD456)*60)</f>
        <v>0</v>
      </c>
      <c r="AF456" s="133">
        <f t="shared" ref="AF456" si="273">INT((((((ABS(AB456)-AC456)*60)-AD456)*60)-AE456)*60)</f>
        <v>0</v>
      </c>
      <c r="AG456" s="4"/>
      <c r="AH456" s="4"/>
      <c r="AK456" s="28">
        <f>((AL439-1)*29)+INT(AL439/2)</f>
        <v>0</v>
      </c>
      <c r="AL456" s="28">
        <f t="shared" si="254"/>
        <v>0</v>
      </c>
      <c r="AM456" s="28">
        <f t="shared" si="255"/>
        <v>0</v>
      </c>
      <c r="AN456" s="28">
        <f t="shared" si="256"/>
        <v>0</v>
      </c>
      <c r="AO456" s="28">
        <f t="shared" si="257"/>
        <v>0</v>
      </c>
      <c r="AR456" s="4"/>
      <c r="AS456" s="133">
        <f>((AT439-1)*29)+INT(AT439/2)</f>
        <v>0</v>
      </c>
      <c r="AT456" s="133">
        <f t="shared" ref="AT456:AT461" si="274">INT(ABS(AS456))</f>
        <v>0</v>
      </c>
      <c r="AU456" s="133">
        <f t="shared" ref="AU456:AU461" si="275">INT((ABS(AS456)-AT456)*60)</f>
        <v>0</v>
      </c>
      <c r="AV456" s="133">
        <f t="shared" ref="AV456:AV461" si="276">INT((((ABS(AS456)-AT456)*60)-AU456)*60)</f>
        <v>0</v>
      </c>
      <c r="AW456" s="133">
        <f t="shared" ref="AW456:AW461" si="277">INT((((((ABS(AS456)-AT456)*60)-AU456)*60)-AV456)*60)</f>
        <v>0</v>
      </c>
      <c r="AX456" s="4"/>
      <c r="AY456" s="4"/>
      <c r="BB456" s="28">
        <f>((BC439-1)*29)+INT(BC439/2)</f>
        <v>0</v>
      </c>
      <c r="BC456" s="28">
        <f t="shared" si="258"/>
        <v>0</v>
      </c>
      <c r="BD456" s="28">
        <f t="shared" si="259"/>
        <v>0</v>
      </c>
      <c r="BE456" s="28">
        <f t="shared" si="260"/>
        <v>0</v>
      </c>
      <c r="BF456" s="28">
        <f t="shared" si="261"/>
        <v>0</v>
      </c>
      <c r="BI456" s="4"/>
      <c r="BJ456" s="133">
        <f>((BK439-1)*29)+INT(BK439/2)</f>
        <v>0</v>
      </c>
      <c r="BK456" s="133">
        <f t="shared" ref="BK456:BK461" si="278">INT(ABS(BJ456))</f>
        <v>0</v>
      </c>
      <c r="BL456" s="133">
        <f t="shared" ref="BL456:BL461" si="279">INT((ABS(BJ456)-BK456)*60)</f>
        <v>0</v>
      </c>
      <c r="BM456" s="133">
        <f t="shared" ref="BM456:BM461" si="280">INT((((ABS(BJ456)-BK456)*60)-BL456)*60)</f>
        <v>0</v>
      </c>
      <c r="BN456" s="133">
        <f t="shared" ref="BN456:BN461" si="281">INT((((((ABS(BJ456)-BK456)*60)-BL456)*60)-BM456)*60)</f>
        <v>0</v>
      </c>
      <c r="BO456" s="4"/>
      <c r="BP456" s="4"/>
      <c r="BS456" s="28">
        <f>((BT439-1)*29)+INT(BT439/2)</f>
        <v>236</v>
      </c>
      <c r="BT456" s="28">
        <f t="shared" si="262"/>
        <v>236</v>
      </c>
      <c r="BU456" s="28">
        <f t="shared" si="263"/>
        <v>0</v>
      </c>
      <c r="BV456" s="28">
        <f t="shared" si="264"/>
        <v>0</v>
      </c>
      <c r="BW456" s="28">
        <f t="shared" si="265"/>
        <v>0</v>
      </c>
      <c r="BZ456" s="4"/>
      <c r="CA456" s="133">
        <f>((CB439-1)*29)+INT(CB439/2)</f>
        <v>236</v>
      </c>
      <c r="CB456" s="133">
        <f t="shared" ref="CB456" si="282">INT(ABS(CA456))</f>
        <v>236</v>
      </c>
      <c r="CC456" s="133">
        <f t="shared" ref="CC456" si="283">INT((ABS(CA456)-CB456)*60)</f>
        <v>0</v>
      </c>
      <c r="CD456" s="133">
        <f t="shared" ref="CD456" si="284">INT((((ABS(CA456)-CB456)*60)-CC456)*60)</f>
        <v>0</v>
      </c>
      <c r="CE456" s="133">
        <f t="shared" ref="CE456" si="285">INT((((((ABS(CA456)-CB456)*60)-CC456)*60)-CD456)*60)</f>
        <v>0</v>
      </c>
      <c r="CF456" s="4"/>
      <c r="CG456" s="4"/>
    </row>
    <row r="457" spans="2:85" ht="24.75">
      <c r="B457" s="10"/>
      <c r="C457" s="10" t="e">
        <f ca="1">((E439-1)+C456)*C441</f>
        <v>#NAME?</v>
      </c>
      <c r="D457" s="28" t="e">
        <f t="shared" ref="D457:D462" ca="1" si="286">INT(ABS(C457))</f>
        <v>#NAME?</v>
      </c>
      <c r="E457" s="28" t="e">
        <f t="shared" ref="E457:E462" ca="1" si="287">INT((ABS(C457)-D457)*60)</f>
        <v>#NAME?</v>
      </c>
      <c r="F457" s="28" t="e">
        <f t="shared" ref="F457:F462" ca="1" si="288">INT((((ABS(C457)-D457)*60)-E457)*60)</f>
        <v>#NAME?</v>
      </c>
      <c r="G457" s="28" t="e">
        <f t="shared" ref="G457:G462" ca="1" si="289">INT((((((ABS(C457)-D457)*60)-E457)*60)-F457)*60)</f>
        <v>#NAME?</v>
      </c>
      <c r="H457" s="10"/>
      <c r="I457" s="10"/>
      <c r="J457" s="4"/>
      <c r="K457" s="4" t="e">
        <f ca="1">[5]!ba(K456*K441)</f>
        <v>#NAME?</v>
      </c>
      <c r="L457" s="133" t="e">
        <f t="shared" ref="L457:L465" ca="1" si="290">INT(ABS(K457))</f>
        <v>#NAME?</v>
      </c>
      <c r="M457" s="133" t="e">
        <f t="shared" ref="M457:M465" ca="1" si="291">INT((ABS(K457)-L457)*60)</f>
        <v>#NAME?</v>
      </c>
      <c r="N457" s="133" t="e">
        <f t="shared" ref="N457:N465" ca="1" si="292">INT((((ABS(K457)-L457)*60)-M457)*60)</f>
        <v>#NAME?</v>
      </c>
      <c r="O457" s="133" t="e">
        <f t="shared" ref="O457:O465" ca="1" si="293">INT((((((ABS(K457)-L457)*60)-M457)*60)-N457)*60)</f>
        <v>#NAME?</v>
      </c>
      <c r="P457" s="4"/>
      <c r="Q457" s="4"/>
      <c r="S457" s="10"/>
      <c r="T457" s="10" t="e">
        <f ca="1">((V439-1)+T456)*T441</f>
        <v>#NAME?</v>
      </c>
      <c r="U457" s="28" t="e">
        <f t="shared" ref="U457:U462" ca="1" si="294">INT(ABS(T457))</f>
        <v>#NAME?</v>
      </c>
      <c r="V457" s="28" t="e">
        <f t="shared" ref="V457:V462" ca="1" si="295">INT((ABS(T457)-U457)*60)</f>
        <v>#NAME?</v>
      </c>
      <c r="W457" s="28" t="e">
        <f t="shared" ref="W457:W462" ca="1" si="296">INT((((ABS(T457)-U457)*60)-V457)*60)</f>
        <v>#NAME?</v>
      </c>
      <c r="X457" s="28" t="e">
        <f t="shared" ref="X457:X462" ca="1" si="297">INT((((((ABS(T457)-U457)*60)-V457)*60)-W457)*60)</f>
        <v>#NAME?</v>
      </c>
      <c r="Y457" s="10"/>
      <c r="Z457" s="10"/>
      <c r="AA457" s="4"/>
      <c r="AB457" s="4" t="e">
        <f ca="1">[5]!ba(AB456*AB441)</f>
        <v>#NAME?</v>
      </c>
      <c r="AC457" s="133" t="e">
        <f t="shared" ref="AC457:AC465" ca="1" si="298">INT(ABS(AB457))</f>
        <v>#NAME?</v>
      </c>
      <c r="AD457" s="133" t="e">
        <f t="shared" ref="AD457:AD465" ca="1" si="299">INT((ABS(AB457)-AC457)*60)</f>
        <v>#NAME?</v>
      </c>
      <c r="AE457" s="133" t="e">
        <f t="shared" ref="AE457:AE465" ca="1" si="300">INT((((ABS(AB457)-AC457)*60)-AD457)*60)</f>
        <v>#NAME?</v>
      </c>
      <c r="AF457" s="133" t="e">
        <f t="shared" ref="AF457:AF465" ca="1" si="301">INT((((((ABS(AB457)-AC457)*60)-AD457)*60)-AE457)*60)</f>
        <v>#NAME?</v>
      </c>
      <c r="AG457" s="4"/>
      <c r="AH457" s="4"/>
      <c r="AJ457" s="10"/>
      <c r="AK457" s="10">
        <f>((AM439-1)+AK456)*AK441</f>
        <v>0</v>
      </c>
      <c r="AL457" s="28">
        <f t="shared" si="254"/>
        <v>0</v>
      </c>
      <c r="AM457" s="28">
        <f t="shared" si="255"/>
        <v>0</v>
      </c>
      <c r="AN457" s="28">
        <f t="shared" si="256"/>
        <v>0</v>
      </c>
      <c r="AO457" s="28">
        <f t="shared" si="257"/>
        <v>0</v>
      </c>
      <c r="AP457" s="10"/>
      <c r="AQ457" s="10"/>
      <c r="AR457" s="4"/>
      <c r="AS457" s="4" t="e">
        <f ca="1">[5]!ba(AS456*AS441)</f>
        <v>#NAME?</v>
      </c>
      <c r="AT457" s="133" t="e">
        <f ca="1">INT(ABS(AS457))</f>
        <v>#NAME?</v>
      </c>
      <c r="AU457" s="133" t="e">
        <f ca="1">INT((ABS(AS457)-AT457)*60)</f>
        <v>#NAME?</v>
      </c>
      <c r="AV457" s="133" t="e">
        <f ca="1">INT((((ABS(AS457)-AT457)*60)-AU457)*60)</f>
        <v>#NAME?</v>
      </c>
      <c r="AW457" s="133" t="e">
        <f ca="1">INT((((((ABS(AS457)-AT457)*60)-AU457)*60)-AV457)*60)</f>
        <v>#NAME?</v>
      </c>
      <c r="AX457" s="4"/>
      <c r="AY457" s="4"/>
      <c r="BA457" s="10"/>
      <c r="BB457" s="10">
        <f>((BD439-1)+BB456)*BB441</f>
        <v>0</v>
      </c>
      <c r="BC457" s="28">
        <f t="shared" si="258"/>
        <v>0</v>
      </c>
      <c r="BD457" s="28">
        <f t="shared" si="259"/>
        <v>0</v>
      </c>
      <c r="BE457" s="28">
        <f t="shared" si="260"/>
        <v>0</v>
      </c>
      <c r="BF457" s="28">
        <f t="shared" si="261"/>
        <v>0</v>
      </c>
      <c r="BG457" s="10"/>
      <c r="BH457" s="10"/>
      <c r="BI457" s="4"/>
      <c r="BJ457" s="4" t="e">
        <f ca="1">[5]!ba(BJ456*BJ441)</f>
        <v>#NAME?</v>
      </c>
      <c r="BK457" s="133" t="e">
        <f ca="1">INT(ABS(BJ457))</f>
        <v>#NAME?</v>
      </c>
      <c r="BL457" s="133" t="e">
        <f ca="1">INT((ABS(BJ457)-BK457)*60)</f>
        <v>#NAME?</v>
      </c>
      <c r="BM457" s="133" t="e">
        <f ca="1">INT((((ABS(BJ457)-BK457)*60)-BL457)*60)</f>
        <v>#NAME?</v>
      </c>
      <c r="BN457" s="133" t="e">
        <f ca="1">INT((((((ABS(BJ457)-BK457)*60)-BL457)*60)-BM457)*60)</f>
        <v>#NAME?</v>
      </c>
      <c r="BO457" s="4"/>
      <c r="BP457" s="4"/>
      <c r="BR457" s="10"/>
      <c r="BS457" s="10" t="e">
        <f ca="1">((BU439-1)+BS456)*BS441</f>
        <v>#NAME?</v>
      </c>
      <c r="BT457" s="28" t="e">
        <f t="shared" ref="BT457:BT462" ca="1" si="302">INT(ABS(BS457))</f>
        <v>#NAME?</v>
      </c>
      <c r="BU457" s="28" t="e">
        <f t="shared" ref="BU457:BU462" ca="1" si="303">INT((ABS(BS457)-BT457)*60)</f>
        <v>#NAME?</v>
      </c>
      <c r="BV457" s="28" t="e">
        <f t="shared" ref="BV457:BV462" ca="1" si="304">INT((((ABS(BS457)-BT457)*60)-BU457)*60)</f>
        <v>#NAME?</v>
      </c>
      <c r="BW457" s="28" t="e">
        <f t="shared" ref="BW457:BW462" ca="1" si="305">INT((((((ABS(BS457)-BT457)*60)-BU457)*60)-BV457)*60)</f>
        <v>#NAME?</v>
      </c>
      <c r="BX457" s="10"/>
      <c r="BY457" s="10"/>
      <c r="BZ457" s="4"/>
      <c r="CA457" s="4" t="e">
        <f ca="1">[5]!ba(CA456*CA441)</f>
        <v>#NAME?</v>
      </c>
      <c r="CB457" s="133" t="e">
        <f t="shared" ref="CB457:CB465" ca="1" si="306">INT(ABS(CA457))</f>
        <v>#NAME?</v>
      </c>
      <c r="CC457" s="133" t="e">
        <f t="shared" ref="CC457:CC465" ca="1" si="307">INT((ABS(CA457)-CB457)*60)</f>
        <v>#NAME?</v>
      </c>
      <c r="CD457" s="133" t="e">
        <f t="shared" ref="CD457:CD465" ca="1" si="308">INT((((ABS(CA457)-CB457)*60)-CC457)*60)</f>
        <v>#NAME?</v>
      </c>
      <c r="CE457" s="133" t="e">
        <f t="shared" ref="CE457:CE465" ca="1" si="309">INT((((((ABS(CA457)-CB457)*60)-CC457)*60)-CD457)*60)</f>
        <v>#NAME?</v>
      </c>
      <c r="CF457" s="4"/>
      <c r="CG457" s="4"/>
    </row>
    <row r="458" spans="2:85" ht="24.75">
      <c r="B458" s="10"/>
      <c r="C458" s="10" t="e">
        <f ca="1">F439*C441</f>
        <v>#NAME?</v>
      </c>
      <c r="D458" s="28" t="e">
        <f t="shared" ca="1" si="286"/>
        <v>#NAME?</v>
      </c>
      <c r="E458" s="28" t="e">
        <f t="shared" ca="1" si="287"/>
        <v>#NAME?</v>
      </c>
      <c r="F458" s="28" t="e">
        <f t="shared" ca="1" si="288"/>
        <v>#NAME?</v>
      </c>
      <c r="G458" s="28" t="e">
        <f t="shared" ca="1" si="289"/>
        <v>#NAME?</v>
      </c>
      <c r="H458" s="10"/>
      <c r="I458" s="10"/>
      <c r="J458" s="4"/>
      <c r="K458" s="4" t="e">
        <f ca="1">M439-1</f>
        <v>#NAME?</v>
      </c>
      <c r="L458" s="133" t="e">
        <f t="shared" ca="1" si="290"/>
        <v>#NAME?</v>
      </c>
      <c r="M458" s="133" t="e">
        <f t="shared" ca="1" si="291"/>
        <v>#NAME?</v>
      </c>
      <c r="N458" s="133" t="e">
        <f t="shared" ca="1" si="292"/>
        <v>#NAME?</v>
      </c>
      <c r="O458" s="133" t="e">
        <f t="shared" ca="1" si="293"/>
        <v>#NAME?</v>
      </c>
      <c r="P458" s="4"/>
      <c r="Q458" s="4"/>
      <c r="S458" s="10"/>
      <c r="T458" s="10" t="e">
        <f ca="1">W439*T441</f>
        <v>#NAME?</v>
      </c>
      <c r="U458" s="28" t="e">
        <f t="shared" ca="1" si="294"/>
        <v>#NAME?</v>
      </c>
      <c r="V458" s="28" t="e">
        <f t="shared" ca="1" si="295"/>
        <v>#NAME?</v>
      </c>
      <c r="W458" s="28" t="e">
        <f t="shared" ca="1" si="296"/>
        <v>#NAME?</v>
      </c>
      <c r="X458" s="28" t="e">
        <f t="shared" ca="1" si="297"/>
        <v>#NAME?</v>
      </c>
      <c r="Y458" s="10"/>
      <c r="Z458" s="10"/>
      <c r="AA458" s="4"/>
      <c r="AB458" s="4" t="e">
        <f ca="1">AD439-1</f>
        <v>#NAME?</v>
      </c>
      <c r="AC458" s="133" t="e">
        <f t="shared" ca="1" si="298"/>
        <v>#NAME?</v>
      </c>
      <c r="AD458" s="133" t="e">
        <f t="shared" ca="1" si="299"/>
        <v>#NAME?</v>
      </c>
      <c r="AE458" s="133" t="e">
        <f t="shared" ca="1" si="300"/>
        <v>#NAME?</v>
      </c>
      <c r="AF458" s="133" t="e">
        <f t="shared" ca="1" si="301"/>
        <v>#NAME?</v>
      </c>
      <c r="AG458" s="4"/>
      <c r="AH458" s="4"/>
      <c r="AJ458" s="10"/>
      <c r="AK458" s="10">
        <f>AN439*AK441</f>
        <v>0</v>
      </c>
      <c r="AL458" s="28">
        <f t="shared" si="254"/>
        <v>0</v>
      </c>
      <c r="AM458" s="28">
        <f t="shared" si="255"/>
        <v>0</v>
      </c>
      <c r="AN458" s="28">
        <f t="shared" si="256"/>
        <v>0</v>
      </c>
      <c r="AO458" s="28">
        <f t="shared" si="257"/>
        <v>0</v>
      </c>
      <c r="AP458" s="10"/>
      <c r="AQ458" s="10"/>
      <c r="AR458" s="4"/>
      <c r="AS458" s="4">
        <f>AU439-1</f>
        <v>0</v>
      </c>
      <c r="AT458" s="133">
        <f t="shared" si="274"/>
        <v>0</v>
      </c>
      <c r="AU458" s="133">
        <f t="shared" si="275"/>
        <v>0</v>
      </c>
      <c r="AV458" s="133">
        <f t="shared" si="276"/>
        <v>0</v>
      </c>
      <c r="AW458" s="133">
        <f t="shared" si="277"/>
        <v>0</v>
      </c>
      <c r="AX458" s="4"/>
      <c r="AY458" s="4"/>
      <c r="BA458" s="10"/>
      <c r="BB458" s="10">
        <f>BE439*BB441</f>
        <v>0</v>
      </c>
      <c r="BC458" s="28">
        <f t="shared" si="258"/>
        <v>0</v>
      </c>
      <c r="BD458" s="28">
        <f t="shared" si="259"/>
        <v>0</v>
      </c>
      <c r="BE458" s="28">
        <f t="shared" si="260"/>
        <v>0</v>
      </c>
      <c r="BF458" s="28">
        <f t="shared" si="261"/>
        <v>0</v>
      </c>
      <c r="BG458" s="10"/>
      <c r="BH458" s="10"/>
      <c r="BI458" s="4"/>
      <c r="BJ458" s="4">
        <f>BL439-1</f>
        <v>0</v>
      </c>
      <c r="BK458" s="133">
        <f t="shared" si="278"/>
        <v>0</v>
      </c>
      <c r="BL458" s="133">
        <f t="shared" si="279"/>
        <v>0</v>
      </c>
      <c r="BM458" s="133">
        <f t="shared" si="280"/>
        <v>0</v>
      </c>
      <c r="BN458" s="133">
        <f t="shared" si="281"/>
        <v>0</v>
      </c>
      <c r="BO458" s="4"/>
      <c r="BP458" s="4"/>
      <c r="BR458" s="10"/>
      <c r="BS458" s="10" t="e">
        <f ca="1">BV439*BS441</f>
        <v>#NAME?</v>
      </c>
      <c r="BT458" s="28" t="e">
        <f t="shared" ca="1" si="302"/>
        <v>#NAME?</v>
      </c>
      <c r="BU458" s="28" t="e">
        <f t="shared" ca="1" si="303"/>
        <v>#NAME?</v>
      </c>
      <c r="BV458" s="28" t="e">
        <f t="shared" ca="1" si="304"/>
        <v>#NAME?</v>
      </c>
      <c r="BW458" s="28" t="e">
        <f t="shared" ca="1" si="305"/>
        <v>#NAME?</v>
      </c>
      <c r="BX458" s="10"/>
      <c r="BY458" s="10"/>
      <c r="BZ458" s="4"/>
      <c r="CA458" s="4" t="e">
        <f ca="1">CC439-1</f>
        <v>#NAME?</v>
      </c>
      <c r="CB458" s="133" t="e">
        <f t="shared" ca="1" si="306"/>
        <v>#NAME?</v>
      </c>
      <c r="CC458" s="133" t="e">
        <f t="shared" ca="1" si="307"/>
        <v>#NAME?</v>
      </c>
      <c r="CD458" s="133" t="e">
        <f t="shared" ca="1" si="308"/>
        <v>#NAME?</v>
      </c>
      <c r="CE458" s="133" t="e">
        <f t="shared" ca="1" si="309"/>
        <v>#NAME?</v>
      </c>
      <c r="CF458" s="4"/>
      <c r="CG458" s="4"/>
    </row>
    <row r="459" spans="2:85" ht="24.75">
      <c r="B459" s="10" t="s">
        <v>723</v>
      </c>
      <c r="C459" s="10" t="e">
        <f ca="1">C455+C457+C458</f>
        <v>#NAME?</v>
      </c>
      <c r="D459" s="28" t="e">
        <f t="shared" ca="1" si="286"/>
        <v>#NAME?</v>
      </c>
      <c r="E459" s="28" t="e">
        <f t="shared" ca="1" si="287"/>
        <v>#NAME?</v>
      </c>
      <c r="F459" s="28" t="e">
        <f t="shared" ca="1" si="288"/>
        <v>#NAME?</v>
      </c>
      <c r="G459" s="28" t="e">
        <f t="shared" ca="1" si="289"/>
        <v>#NAME?</v>
      </c>
      <c r="H459" s="10"/>
      <c r="I459" s="10"/>
      <c r="J459" s="4"/>
      <c r="K459" s="4" t="e">
        <f ca="1">(M439-1)*K441</f>
        <v>#NAME?</v>
      </c>
      <c r="L459" s="133" t="e">
        <f t="shared" ca="1" si="290"/>
        <v>#NAME?</v>
      </c>
      <c r="M459" s="133" t="e">
        <f t="shared" ca="1" si="291"/>
        <v>#NAME?</v>
      </c>
      <c r="N459" s="133" t="e">
        <f t="shared" ca="1" si="292"/>
        <v>#NAME?</v>
      </c>
      <c r="O459" s="133" t="e">
        <f t="shared" ca="1" si="293"/>
        <v>#NAME?</v>
      </c>
      <c r="P459" s="4"/>
      <c r="Q459" s="4"/>
      <c r="S459" s="10" t="s">
        <v>723</v>
      </c>
      <c r="T459" s="10" t="e">
        <f ca="1">T455+T457+T458</f>
        <v>#NAME?</v>
      </c>
      <c r="U459" s="28" t="e">
        <f t="shared" ca="1" si="294"/>
        <v>#NAME?</v>
      </c>
      <c r="V459" s="28" t="e">
        <f t="shared" ca="1" si="295"/>
        <v>#NAME?</v>
      </c>
      <c r="W459" s="28" t="e">
        <f t="shared" ca="1" si="296"/>
        <v>#NAME?</v>
      </c>
      <c r="X459" s="28" t="e">
        <f t="shared" ca="1" si="297"/>
        <v>#NAME?</v>
      </c>
      <c r="Y459" s="10"/>
      <c r="Z459" s="10"/>
      <c r="AA459" s="4"/>
      <c r="AB459" s="4" t="e">
        <f ca="1">(AD439-1)*AB441</f>
        <v>#NAME?</v>
      </c>
      <c r="AC459" s="133" t="e">
        <f t="shared" ca="1" si="298"/>
        <v>#NAME?</v>
      </c>
      <c r="AD459" s="133" t="e">
        <f t="shared" ca="1" si="299"/>
        <v>#NAME?</v>
      </c>
      <c r="AE459" s="133" t="e">
        <f t="shared" ca="1" si="300"/>
        <v>#NAME?</v>
      </c>
      <c r="AF459" s="133" t="e">
        <f t="shared" ca="1" si="301"/>
        <v>#NAME?</v>
      </c>
      <c r="AG459" s="4"/>
      <c r="AH459" s="4"/>
      <c r="AJ459" s="10" t="s">
        <v>723</v>
      </c>
      <c r="AK459" s="10" t="e">
        <f ca="1">AK455+AK457+AK458</f>
        <v>#NAME?</v>
      </c>
      <c r="AL459" s="28" t="e">
        <f ca="1">INT(ABS(AK459))</f>
        <v>#NAME?</v>
      </c>
      <c r="AM459" s="28" t="e">
        <f ca="1">INT((ABS(AK459)-AL459)*60)</f>
        <v>#NAME?</v>
      </c>
      <c r="AN459" s="28" t="e">
        <f ca="1">INT((((ABS(AK459)-AL459)*60)-AM459)*60)</f>
        <v>#NAME?</v>
      </c>
      <c r="AO459" s="28" t="e">
        <f ca="1">INT((((((ABS(AK459)-AL459)*60)-AM459)*60)-AN459)*60)</f>
        <v>#NAME?</v>
      </c>
      <c r="AP459" s="10"/>
      <c r="AQ459" s="10"/>
      <c r="AR459" s="4"/>
      <c r="AS459" s="4">
        <f>(AU439-1)*AS441</f>
        <v>0</v>
      </c>
      <c r="AT459" s="133">
        <f t="shared" si="274"/>
        <v>0</v>
      </c>
      <c r="AU459" s="133">
        <f t="shared" si="275"/>
        <v>0</v>
      </c>
      <c r="AV459" s="133">
        <f t="shared" si="276"/>
        <v>0</v>
      </c>
      <c r="AW459" s="133">
        <f t="shared" si="277"/>
        <v>0</v>
      </c>
      <c r="AX459" s="4"/>
      <c r="AY459" s="4"/>
      <c r="BA459" s="10" t="s">
        <v>723</v>
      </c>
      <c r="BB459" s="10" t="e">
        <f ca="1">BB455+BB457+BB458</f>
        <v>#NAME?</v>
      </c>
      <c r="BC459" s="28" t="e">
        <f ca="1">INT(ABS(BB459))</f>
        <v>#NAME?</v>
      </c>
      <c r="BD459" s="28" t="e">
        <f ca="1">INT((ABS(BB459)-BC459)*60)</f>
        <v>#NAME?</v>
      </c>
      <c r="BE459" s="28" t="e">
        <f ca="1">INT((((ABS(BB459)-BC459)*60)-BD459)*60)</f>
        <v>#NAME?</v>
      </c>
      <c r="BF459" s="28" t="e">
        <f ca="1">INT((((((ABS(BB459)-BC459)*60)-BD459)*60)-BE459)*60)</f>
        <v>#NAME?</v>
      </c>
      <c r="BG459" s="10"/>
      <c r="BH459" s="10"/>
      <c r="BI459" s="4"/>
      <c r="BJ459" s="4">
        <f>(BL439-1)*BJ441</f>
        <v>0</v>
      </c>
      <c r="BK459" s="133">
        <f t="shared" si="278"/>
        <v>0</v>
      </c>
      <c r="BL459" s="133">
        <f t="shared" si="279"/>
        <v>0</v>
      </c>
      <c r="BM459" s="133">
        <f t="shared" si="280"/>
        <v>0</v>
      </c>
      <c r="BN459" s="133">
        <f t="shared" si="281"/>
        <v>0</v>
      </c>
      <c r="BO459" s="4"/>
      <c r="BP459" s="4"/>
      <c r="BR459" s="10" t="s">
        <v>723</v>
      </c>
      <c r="BS459" s="10" t="e">
        <f ca="1">BS455+BS457+BS458</f>
        <v>#NAME?</v>
      </c>
      <c r="BT459" s="28" t="e">
        <f t="shared" ca="1" si="302"/>
        <v>#NAME?</v>
      </c>
      <c r="BU459" s="28" t="e">
        <f t="shared" ca="1" si="303"/>
        <v>#NAME?</v>
      </c>
      <c r="BV459" s="28" t="e">
        <f t="shared" ca="1" si="304"/>
        <v>#NAME?</v>
      </c>
      <c r="BW459" s="28" t="e">
        <f t="shared" ca="1" si="305"/>
        <v>#NAME?</v>
      </c>
      <c r="BX459" s="10"/>
      <c r="BY459" s="10"/>
      <c r="BZ459" s="4"/>
      <c r="CA459" s="4" t="e">
        <f ca="1">(CC439-1)*CA441</f>
        <v>#NAME?</v>
      </c>
      <c r="CB459" s="133" t="e">
        <f t="shared" ca="1" si="306"/>
        <v>#NAME?</v>
      </c>
      <c r="CC459" s="133" t="e">
        <f t="shared" ca="1" si="307"/>
        <v>#NAME?</v>
      </c>
      <c r="CD459" s="133" t="e">
        <f t="shared" ca="1" si="308"/>
        <v>#NAME?</v>
      </c>
      <c r="CE459" s="133" t="e">
        <f t="shared" ca="1" si="309"/>
        <v>#NAME?</v>
      </c>
      <c r="CF459" s="4"/>
      <c r="CG459" s="4"/>
    </row>
    <row r="460" spans="2:85" ht="24.75">
      <c r="B460" s="10" t="s">
        <v>385</v>
      </c>
      <c r="C460" s="10" t="e">
        <f ca="1">[5]!wasat(C439,D439,E439,F439)</f>
        <v>#NAME?</v>
      </c>
      <c r="D460" s="28" t="e">
        <f t="shared" ca="1" si="286"/>
        <v>#NAME?</v>
      </c>
      <c r="E460" s="28" t="e">
        <f t="shared" ca="1" si="287"/>
        <v>#NAME?</v>
      </c>
      <c r="F460" s="28" t="e">
        <f t="shared" ca="1" si="288"/>
        <v>#NAME?</v>
      </c>
      <c r="G460" s="28" t="e">
        <f t="shared" ca="1" si="289"/>
        <v>#NAME?</v>
      </c>
      <c r="H460" s="10"/>
      <c r="I460" s="10"/>
      <c r="J460" s="4"/>
      <c r="K460" s="4" t="e">
        <f ca="1">[5]!ba(K455+K457+K459+K451)</f>
        <v>#NAME?</v>
      </c>
      <c r="L460" s="133" t="e">
        <f t="shared" ca="1" si="290"/>
        <v>#NAME?</v>
      </c>
      <c r="M460" s="133" t="e">
        <f t="shared" ca="1" si="291"/>
        <v>#NAME?</v>
      </c>
      <c r="N460" s="133" t="e">
        <f t="shared" ca="1" si="292"/>
        <v>#NAME?</v>
      </c>
      <c r="O460" s="133" t="e">
        <f t="shared" ca="1" si="293"/>
        <v>#NAME?</v>
      </c>
      <c r="P460" s="4"/>
      <c r="Q460" s="4"/>
      <c r="S460" s="10" t="s">
        <v>385</v>
      </c>
      <c r="T460" s="10" t="e">
        <f ca="1">[5]!wasat(T439,U439,V439,W439)</f>
        <v>#NAME?</v>
      </c>
      <c r="U460" s="28" t="e">
        <f t="shared" ca="1" si="294"/>
        <v>#NAME?</v>
      </c>
      <c r="V460" s="28" t="e">
        <f t="shared" ca="1" si="295"/>
        <v>#NAME?</v>
      </c>
      <c r="W460" s="28" t="e">
        <f t="shared" ca="1" si="296"/>
        <v>#NAME?</v>
      </c>
      <c r="X460" s="28" t="e">
        <f t="shared" ca="1" si="297"/>
        <v>#NAME?</v>
      </c>
      <c r="Y460" s="10"/>
      <c r="Z460" s="10"/>
      <c r="AA460" s="4"/>
      <c r="AB460" s="4" t="e">
        <f ca="1">[5]!ba(AB455+AB457+AB459+AB451)</f>
        <v>#NAME?</v>
      </c>
      <c r="AC460" s="133" t="e">
        <f t="shared" ca="1" si="298"/>
        <v>#NAME?</v>
      </c>
      <c r="AD460" s="133" t="e">
        <f t="shared" ca="1" si="299"/>
        <v>#NAME?</v>
      </c>
      <c r="AE460" s="133" t="e">
        <f t="shared" ca="1" si="300"/>
        <v>#NAME?</v>
      </c>
      <c r="AF460" s="133" t="e">
        <f t="shared" ca="1" si="301"/>
        <v>#NAME?</v>
      </c>
      <c r="AG460" s="4"/>
      <c r="AH460" s="4"/>
      <c r="AJ460" s="10" t="s">
        <v>385</v>
      </c>
      <c r="AK460" s="10" t="e">
        <f ca="1">[5]!wasat(AK439,AL439,AM439,AN439)</f>
        <v>#NAME?</v>
      </c>
      <c r="AL460" s="28" t="e">
        <f ca="1">INT(ABS(AK460))</f>
        <v>#NAME?</v>
      </c>
      <c r="AM460" s="28" t="e">
        <f ca="1">INT((ABS(AK460)-AL460)*60)</f>
        <v>#NAME?</v>
      </c>
      <c r="AN460" s="28" t="e">
        <f ca="1">INT((((ABS(AK460)-AL460)*60)-AM460)*60)</f>
        <v>#NAME?</v>
      </c>
      <c r="AO460" s="28" t="e">
        <f ca="1">INT((((((ABS(AK460)-AL460)*60)-AM460)*60)-AN460)*60)</f>
        <v>#NAME?</v>
      </c>
      <c r="AP460" s="10"/>
      <c r="AQ460" s="10"/>
      <c r="AR460" s="4"/>
      <c r="AS460" s="4" t="e">
        <f ca="1">[5]!ba(AS455+AS457+AS459+AS451)</f>
        <v>#NAME?</v>
      </c>
      <c r="AT460" s="133" t="e">
        <f ca="1">INT(ABS(AS460))</f>
        <v>#NAME?</v>
      </c>
      <c r="AU460" s="133" t="e">
        <f ca="1">INT((ABS(AS460)-AT460)*60)</f>
        <v>#NAME?</v>
      </c>
      <c r="AV460" s="133" t="e">
        <f ca="1">INT((((ABS(AS460)-AT460)*60)-AU460)*60)</f>
        <v>#NAME?</v>
      </c>
      <c r="AW460" s="133" t="e">
        <f ca="1">INT((((((ABS(AS460)-AT460)*60)-AU460)*60)-AV460)*60)</f>
        <v>#NAME?</v>
      </c>
      <c r="AX460" s="4"/>
      <c r="AY460" s="4"/>
      <c r="BA460" s="10" t="s">
        <v>385</v>
      </c>
      <c r="BB460" s="10" t="e">
        <f ca="1">[5]!wasat(BB439,BC439,BD439,BE439)</f>
        <v>#NAME?</v>
      </c>
      <c r="BC460" s="28" t="e">
        <f ca="1">INT(ABS(BB460))</f>
        <v>#NAME?</v>
      </c>
      <c r="BD460" s="28" t="e">
        <f ca="1">INT((ABS(BB460)-BC460)*60)</f>
        <v>#NAME?</v>
      </c>
      <c r="BE460" s="28" t="e">
        <f ca="1">INT((((ABS(BB460)-BC460)*60)-BD460)*60)</f>
        <v>#NAME?</v>
      </c>
      <c r="BF460" s="28" t="e">
        <f ca="1">INT((((((ABS(BB460)-BC460)*60)-BD460)*60)-BE460)*60)</f>
        <v>#NAME?</v>
      </c>
      <c r="BG460" s="10"/>
      <c r="BH460" s="10"/>
      <c r="BI460" s="4"/>
      <c r="BJ460" s="4" t="e">
        <f ca="1">[5]!ba(BJ455+BJ457+BJ459+BJ451)</f>
        <v>#NAME?</v>
      </c>
      <c r="BK460" s="133" t="e">
        <f ca="1">INT(ABS(BJ460))</f>
        <v>#NAME?</v>
      </c>
      <c r="BL460" s="133" t="e">
        <f ca="1">INT((ABS(BJ460)-BK460)*60)</f>
        <v>#NAME?</v>
      </c>
      <c r="BM460" s="133" t="e">
        <f ca="1">INT((((ABS(BJ460)-BK460)*60)-BL460)*60)</f>
        <v>#NAME?</v>
      </c>
      <c r="BN460" s="133" t="e">
        <f ca="1">INT((((((ABS(BJ460)-BK460)*60)-BL460)*60)-BM460)*60)</f>
        <v>#NAME?</v>
      </c>
      <c r="BO460" s="4"/>
      <c r="BP460" s="4"/>
      <c r="BR460" s="10" t="s">
        <v>385</v>
      </c>
      <c r="BS460" s="10" t="e">
        <f ca="1">[5]!wasat(BS439,BT439,BU439,BV439)</f>
        <v>#NAME?</v>
      </c>
      <c r="BT460" s="28" t="e">
        <f t="shared" ca="1" si="302"/>
        <v>#NAME?</v>
      </c>
      <c r="BU460" s="28" t="e">
        <f t="shared" ca="1" si="303"/>
        <v>#NAME?</v>
      </c>
      <c r="BV460" s="28" t="e">
        <f t="shared" ca="1" si="304"/>
        <v>#NAME?</v>
      </c>
      <c r="BW460" s="28" t="e">
        <f t="shared" ca="1" si="305"/>
        <v>#NAME?</v>
      </c>
      <c r="BX460" s="10"/>
      <c r="BY460" s="10"/>
      <c r="BZ460" s="4"/>
      <c r="CA460" s="4" t="e">
        <f ca="1">[5]!ba(CA455+CA457+CA459+CA451)</f>
        <v>#NAME?</v>
      </c>
      <c r="CB460" s="133" t="e">
        <f t="shared" ca="1" si="306"/>
        <v>#NAME?</v>
      </c>
      <c r="CC460" s="133" t="e">
        <f t="shared" ca="1" si="307"/>
        <v>#NAME?</v>
      </c>
      <c r="CD460" s="133" t="e">
        <f t="shared" ca="1" si="308"/>
        <v>#NAME?</v>
      </c>
      <c r="CE460" s="133" t="e">
        <f t="shared" ca="1" si="309"/>
        <v>#NAME?</v>
      </c>
      <c r="CF460" s="4"/>
      <c r="CG460" s="4"/>
    </row>
    <row r="461" spans="2:85" ht="24.75">
      <c r="B461" s="10" t="s">
        <v>724</v>
      </c>
      <c r="C461" s="10" t="e">
        <f ca="1">[5]!taam(C460)*C440</f>
        <v>#NAME?</v>
      </c>
      <c r="D461" s="28" t="e">
        <f t="shared" ca="1" si="286"/>
        <v>#NAME?</v>
      </c>
      <c r="E461" s="28" t="e">
        <f t="shared" ca="1" si="287"/>
        <v>#NAME?</v>
      </c>
      <c r="F461" s="28" t="e">
        <f t="shared" ca="1" si="288"/>
        <v>#NAME?</v>
      </c>
      <c r="G461" s="28" t="e">
        <f t="shared" ca="1" si="289"/>
        <v>#NAME?</v>
      </c>
      <c r="H461" s="10"/>
      <c r="I461" s="10"/>
      <c r="J461" s="4"/>
      <c r="K461" s="4" t="e">
        <f ca="1">N439*K441</f>
        <v>#NAME?</v>
      </c>
      <c r="L461" s="133" t="e">
        <f t="shared" ca="1" si="290"/>
        <v>#NAME?</v>
      </c>
      <c r="M461" s="133" t="e">
        <f t="shared" ca="1" si="291"/>
        <v>#NAME?</v>
      </c>
      <c r="N461" s="133" t="e">
        <f t="shared" ca="1" si="292"/>
        <v>#NAME?</v>
      </c>
      <c r="O461" s="133" t="e">
        <f t="shared" ca="1" si="293"/>
        <v>#NAME?</v>
      </c>
      <c r="P461" s="4"/>
      <c r="Q461" s="4"/>
      <c r="S461" s="10" t="s">
        <v>724</v>
      </c>
      <c r="T461" s="10" t="e">
        <f ca="1">[5]!taam(T460)*T440</f>
        <v>#NAME?</v>
      </c>
      <c r="U461" s="28" t="e">
        <f t="shared" ca="1" si="294"/>
        <v>#NAME?</v>
      </c>
      <c r="V461" s="28" t="e">
        <f t="shared" ca="1" si="295"/>
        <v>#NAME?</v>
      </c>
      <c r="W461" s="28" t="e">
        <f t="shared" ca="1" si="296"/>
        <v>#NAME?</v>
      </c>
      <c r="X461" s="28" t="e">
        <f t="shared" ca="1" si="297"/>
        <v>#NAME?</v>
      </c>
      <c r="Y461" s="10"/>
      <c r="Z461" s="10"/>
      <c r="AA461" s="4"/>
      <c r="AB461" s="4" t="e">
        <f ca="1">AE439*AB441</f>
        <v>#NAME?</v>
      </c>
      <c r="AC461" s="133" t="e">
        <f t="shared" ca="1" si="298"/>
        <v>#NAME?</v>
      </c>
      <c r="AD461" s="133" t="e">
        <f t="shared" ca="1" si="299"/>
        <v>#NAME?</v>
      </c>
      <c r="AE461" s="133" t="e">
        <f t="shared" ca="1" si="300"/>
        <v>#NAME?</v>
      </c>
      <c r="AF461" s="133" t="e">
        <f t="shared" ca="1" si="301"/>
        <v>#NAME?</v>
      </c>
      <c r="AG461" s="4"/>
      <c r="AH461" s="4"/>
      <c r="AJ461" s="10" t="s">
        <v>724</v>
      </c>
      <c r="AK461" s="10" t="e">
        <f ca="1">[5]!taam(AK460)*AK440</f>
        <v>#NAME?</v>
      </c>
      <c r="AL461" s="28" t="e">
        <f ca="1">INT(ABS(AK461))</f>
        <v>#NAME?</v>
      </c>
      <c r="AM461" s="28" t="e">
        <f ca="1">INT((ABS(AK461)-AL461)*60)</f>
        <v>#NAME?</v>
      </c>
      <c r="AN461" s="28" t="e">
        <f ca="1">INT((((ABS(AK461)-AL461)*60)-AM461)*60)</f>
        <v>#NAME?</v>
      </c>
      <c r="AO461" s="28" t="e">
        <f ca="1">INT((((((ABS(AK461)-AL461)*60)-AM461)*60)-AN461)*60)</f>
        <v>#NAME?</v>
      </c>
      <c r="AP461" s="10"/>
      <c r="AQ461" s="10"/>
      <c r="AR461" s="4"/>
      <c r="AS461" s="4">
        <f>AV439*AS441</f>
        <v>0</v>
      </c>
      <c r="AT461" s="133">
        <f t="shared" si="274"/>
        <v>0</v>
      </c>
      <c r="AU461" s="133">
        <f t="shared" si="275"/>
        <v>0</v>
      </c>
      <c r="AV461" s="133">
        <f t="shared" si="276"/>
        <v>0</v>
      </c>
      <c r="AW461" s="133">
        <f t="shared" si="277"/>
        <v>0</v>
      </c>
      <c r="AX461" s="4"/>
      <c r="AY461" s="4"/>
      <c r="BA461" s="10" t="s">
        <v>724</v>
      </c>
      <c r="BB461" s="10" t="e">
        <f ca="1">[5]!taam(BB460)*BB440</f>
        <v>#NAME?</v>
      </c>
      <c r="BC461" s="28" t="e">
        <f ca="1">INT(ABS(BB461))</f>
        <v>#NAME?</v>
      </c>
      <c r="BD461" s="28" t="e">
        <f ca="1">INT((ABS(BB461)-BC461)*60)</f>
        <v>#NAME?</v>
      </c>
      <c r="BE461" s="28" t="e">
        <f ca="1">INT((((ABS(BB461)-BC461)*60)-BD461)*60)</f>
        <v>#NAME?</v>
      </c>
      <c r="BF461" s="28" t="e">
        <f ca="1">INT((((((ABS(BB461)-BC461)*60)-BD461)*60)-BE461)*60)</f>
        <v>#NAME?</v>
      </c>
      <c r="BG461" s="10"/>
      <c r="BH461" s="10"/>
      <c r="BI461" s="4"/>
      <c r="BJ461" s="4">
        <f>BM439*BJ441</f>
        <v>0</v>
      </c>
      <c r="BK461" s="133">
        <f t="shared" si="278"/>
        <v>0</v>
      </c>
      <c r="BL461" s="133">
        <f t="shared" si="279"/>
        <v>0</v>
      </c>
      <c r="BM461" s="133">
        <f t="shared" si="280"/>
        <v>0</v>
      </c>
      <c r="BN461" s="133">
        <f t="shared" si="281"/>
        <v>0</v>
      </c>
      <c r="BO461" s="4"/>
      <c r="BP461" s="4"/>
      <c r="BR461" s="10" t="s">
        <v>724</v>
      </c>
      <c r="BS461" s="10" t="e">
        <f ca="1">[5]!taam(BS460)*BS440</f>
        <v>#NAME?</v>
      </c>
      <c r="BT461" s="28" t="e">
        <f t="shared" ca="1" si="302"/>
        <v>#NAME?</v>
      </c>
      <c r="BU461" s="28" t="e">
        <f t="shared" ca="1" si="303"/>
        <v>#NAME?</v>
      </c>
      <c r="BV461" s="28" t="e">
        <f t="shared" ca="1" si="304"/>
        <v>#NAME?</v>
      </c>
      <c r="BW461" s="28" t="e">
        <f t="shared" ca="1" si="305"/>
        <v>#NAME?</v>
      </c>
      <c r="BX461" s="10"/>
      <c r="BY461" s="10"/>
      <c r="BZ461" s="4"/>
      <c r="CA461" s="4" t="e">
        <f ca="1">CD439*CA441</f>
        <v>#NAME?</v>
      </c>
      <c r="CB461" s="133" t="e">
        <f t="shared" ca="1" si="306"/>
        <v>#NAME?</v>
      </c>
      <c r="CC461" s="133" t="e">
        <f t="shared" ca="1" si="307"/>
        <v>#NAME?</v>
      </c>
      <c r="CD461" s="133" t="e">
        <f t="shared" ca="1" si="308"/>
        <v>#NAME?</v>
      </c>
      <c r="CE461" s="133" t="e">
        <f t="shared" ca="1" si="309"/>
        <v>#NAME?</v>
      </c>
      <c r="CF461" s="4"/>
      <c r="CG461" s="4"/>
    </row>
    <row r="462" spans="2:85" ht="24.75">
      <c r="B462" s="10" t="s">
        <v>725</v>
      </c>
      <c r="C462" s="10" t="e">
        <f ca="1">C459+C461</f>
        <v>#NAME?</v>
      </c>
      <c r="D462" s="28" t="e">
        <f t="shared" ca="1" si="286"/>
        <v>#NAME?</v>
      </c>
      <c r="E462" s="28" t="e">
        <f t="shared" ca="1" si="287"/>
        <v>#NAME?</v>
      </c>
      <c r="F462" s="28" t="e">
        <f t="shared" ca="1" si="288"/>
        <v>#NAME?</v>
      </c>
      <c r="G462" s="28" t="e">
        <f t="shared" ca="1" si="289"/>
        <v>#NAME?</v>
      </c>
      <c r="H462" s="10"/>
      <c r="I462" s="10"/>
      <c r="J462" s="4"/>
      <c r="K462" s="4" t="e">
        <f ca="1">K460+K461</f>
        <v>#NAME?</v>
      </c>
      <c r="L462" s="133" t="e">
        <f t="shared" ca="1" si="290"/>
        <v>#NAME?</v>
      </c>
      <c r="M462" s="133" t="e">
        <f t="shared" ca="1" si="291"/>
        <v>#NAME?</v>
      </c>
      <c r="N462" s="133" t="e">
        <f t="shared" ca="1" si="292"/>
        <v>#NAME?</v>
      </c>
      <c r="O462" s="133" t="e">
        <f t="shared" ca="1" si="293"/>
        <v>#NAME?</v>
      </c>
      <c r="P462" s="4"/>
      <c r="Q462" s="4"/>
      <c r="S462" s="10" t="s">
        <v>727</v>
      </c>
      <c r="T462" s="10" t="e">
        <f ca="1">T459+T461</f>
        <v>#NAME?</v>
      </c>
      <c r="U462" s="28" t="e">
        <f t="shared" ca="1" si="294"/>
        <v>#NAME?</v>
      </c>
      <c r="V462" s="28" t="e">
        <f t="shared" ca="1" si="295"/>
        <v>#NAME?</v>
      </c>
      <c r="W462" s="28" t="e">
        <f t="shared" ca="1" si="296"/>
        <v>#NAME?</v>
      </c>
      <c r="X462" s="28" t="e">
        <f t="shared" ca="1" si="297"/>
        <v>#NAME?</v>
      </c>
      <c r="Y462" s="10"/>
      <c r="Z462" s="10"/>
      <c r="AA462" s="4"/>
      <c r="AB462" s="4" t="e">
        <f ca="1">AB460+AB461</f>
        <v>#NAME?</v>
      </c>
      <c r="AC462" s="133" t="e">
        <f t="shared" ca="1" si="298"/>
        <v>#NAME?</v>
      </c>
      <c r="AD462" s="133" t="e">
        <f t="shared" ca="1" si="299"/>
        <v>#NAME?</v>
      </c>
      <c r="AE462" s="133" t="e">
        <f t="shared" ca="1" si="300"/>
        <v>#NAME?</v>
      </c>
      <c r="AF462" s="133" t="e">
        <f t="shared" ca="1" si="301"/>
        <v>#NAME?</v>
      </c>
      <c r="AG462" s="4"/>
      <c r="AH462" s="4"/>
      <c r="AJ462" s="10" t="s">
        <v>761</v>
      </c>
      <c r="AK462" s="10" t="e">
        <f ca="1">AK459+AK461</f>
        <v>#NAME?</v>
      </c>
      <c r="AL462" s="28" t="e">
        <f ca="1">INT(ABS(AK462))</f>
        <v>#NAME?</v>
      </c>
      <c r="AM462" s="28" t="e">
        <f ca="1">INT((ABS(AK462)-AL462)*60)</f>
        <v>#NAME?</v>
      </c>
      <c r="AN462" s="28" t="e">
        <f ca="1">INT((((ABS(AK462)-AL462)*60)-AM462)*60)</f>
        <v>#NAME?</v>
      </c>
      <c r="AO462" s="28" t="e">
        <f ca="1">INT((((((ABS(AK462)-AL462)*60)-AM462)*60)-AN462)*60)</f>
        <v>#NAME?</v>
      </c>
      <c r="AP462" s="10"/>
      <c r="AQ462" s="10"/>
      <c r="AR462" s="4"/>
      <c r="AS462" s="4" t="e">
        <f ca="1">AS460+AS461</f>
        <v>#NAME?</v>
      </c>
      <c r="AT462" s="133" t="e">
        <f ca="1">INT(ABS(AS462))</f>
        <v>#NAME?</v>
      </c>
      <c r="AU462" s="133" t="e">
        <f ca="1">INT((ABS(AS462)-AT462)*60)</f>
        <v>#NAME?</v>
      </c>
      <c r="AV462" s="133" t="e">
        <f ca="1">INT((((ABS(AS462)-AT462)*60)-AU462)*60)</f>
        <v>#NAME?</v>
      </c>
      <c r="AW462" s="133" t="e">
        <f ca="1">INT((((((ABS(AS462)-AT462)*60)-AU462)*60)-AV462)*60)</f>
        <v>#NAME?</v>
      </c>
      <c r="AX462" s="4"/>
      <c r="AY462" s="4"/>
      <c r="BA462" s="10" t="s">
        <v>735</v>
      </c>
      <c r="BB462" s="10" t="e">
        <f ca="1">BB459+BB461</f>
        <v>#NAME?</v>
      </c>
      <c r="BC462" s="28" t="e">
        <f ca="1">INT(ABS(BB462))</f>
        <v>#NAME?</v>
      </c>
      <c r="BD462" s="28" t="e">
        <f ca="1">INT((ABS(BB462)-BC462)*60)</f>
        <v>#NAME?</v>
      </c>
      <c r="BE462" s="28" t="e">
        <f ca="1">INT((((ABS(BB462)-BC462)*60)-BD462)*60)</f>
        <v>#NAME?</v>
      </c>
      <c r="BF462" s="28" t="e">
        <f ca="1">INT((((((ABS(BB462)-BC462)*60)-BD462)*60)-BE462)*60)</f>
        <v>#NAME?</v>
      </c>
      <c r="BG462" s="10"/>
      <c r="BH462" s="10"/>
      <c r="BI462" s="4"/>
      <c r="BJ462" s="4" t="e">
        <f ca="1">BJ460+BJ461</f>
        <v>#NAME?</v>
      </c>
      <c r="BK462" s="133" t="e">
        <f ca="1">INT(ABS(BJ462))</f>
        <v>#NAME?</v>
      </c>
      <c r="BL462" s="133" t="e">
        <f ca="1">INT((ABS(BJ462)-BK462)*60)</f>
        <v>#NAME?</v>
      </c>
      <c r="BM462" s="133" t="e">
        <f ca="1">INT((((ABS(BJ462)-BK462)*60)-BL462)*60)</f>
        <v>#NAME?</v>
      </c>
      <c r="BN462" s="133" t="e">
        <f ca="1">INT((((((ABS(BJ462)-BK462)*60)-BL462)*60)-BM462)*60)</f>
        <v>#NAME?</v>
      </c>
      <c r="BO462" s="4"/>
      <c r="BP462" s="4"/>
      <c r="BR462" s="10" t="s">
        <v>761</v>
      </c>
      <c r="BS462" s="10" t="e">
        <f ca="1">BS459+BS461</f>
        <v>#NAME?</v>
      </c>
      <c r="BT462" s="28" t="e">
        <f t="shared" ca="1" si="302"/>
        <v>#NAME?</v>
      </c>
      <c r="BU462" s="28" t="e">
        <f t="shared" ca="1" si="303"/>
        <v>#NAME?</v>
      </c>
      <c r="BV462" s="28" t="e">
        <f t="shared" ca="1" si="304"/>
        <v>#NAME?</v>
      </c>
      <c r="BW462" s="28" t="e">
        <f t="shared" ca="1" si="305"/>
        <v>#NAME?</v>
      </c>
      <c r="BX462" s="10"/>
      <c r="BY462" s="10"/>
      <c r="BZ462" s="4"/>
      <c r="CA462" s="4" t="e">
        <f ca="1">CA460+CA461</f>
        <v>#NAME?</v>
      </c>
      <c r="CB462" s="133" t="e">
        <f t="shared" ca="1" si="306"/>
        <v>#NAME?</v>
      </c>
      <c r="CC462" s="133" t="e">
        <f t="shared" ca="1" si="307"/>
        <v>#NAME?</v>
      </c>
      <c r="CD462" s="133" t="e">
        <f t="shared" ca="1" si="308"/>
        <v>#NAME?</v>
      </c>
      <c r="CE462" s="133" t="e">
        <f t="shared" ca="1" si="309"/>
        <v>#NAME?</v>
      </c>
      <c r="CF462" s="4"/>
      <c r="CG462" s="4"/>
    </row>
    <row r="463" spans="2:85" ht="24.75">
      <c r="B463" s="10"/>
      <c r="C463" s="10"/>
      <c r="D463" s="28">
        <f t="shared" si="246"/>
        <v>0</v>
      </c>
      <c r="E463" s="28">
        <f t="shared" si="247"/>
        <v>0</v>
      </c>
      <c r="F463" s="28">
        <f t="shared" si="248"/>
        <v>0</v>
      </c>
      <c r="G463" s="28">
        <f t="shared" si="249"/>
        <v>0</v>
      </c>
      <c r="H463" s="10"/>
      <c r="I463" s="10"/>
      <c r="J463" s="4"/>
      <c r="K463" s="4" t="e">
        <f ca="1">[5]!wasat(K439,L439,M439,N439)</f>
        <v>#NAME?</v>
      </c>
      <c r="L463" s="133" t="e">
        <f t="shared" ca="1" si="290"/>
        <v>#NAME?</v>
      </c>
      <c r="M463" s="133" t="e">
        <f t="shared" ca="1" si="291"/>
        <v>#NAME?</v>
      </c>
      <c r="N463" s="133" t="e">
        <f t="shared" ca="1" si="292"/>
        <v>#NAME?</v>
      </c>
      <c r="O463" s="133" t="e">
        <f t="shared" ca="1" si="293"/>
        <v>#NAME?</v>
      </c>
      <c r="P463" s="4"/>
      <c r="Q463" s="4"/>
      <c r="S463" s="10"/>
      <c r="T463" s="10"/>
      <c r="U463" s="28">
        <f t="shared" si="250"/>
        <v>0</v>
      </c>
      <c r="V463" s="28">
        <f t="shared" si="251"/>
        <v>0</v>
      </c>
      <c r="W463" s="28">
        <f t="shared" si="252"/>
        <v>0</v>
      </c>
      <c r="X463" s="28">
        <f t="shared" si="253"/>
        <v>0</v>
      </c>
      <c r="Y463" s="10"/>
      <c r="Z463" s="10"/>
      <c r="AA463" s="4"/>
      <c r="AB463" s="4" t="e">
        <f ca="1">[5]!wasat(AB439,AC439,AD439,AE439)</f>
        <v>#NAME?</v>
      </c>
      <c r="AC463" s="133" t="e">
        <f t="shared" ca="1" si="298"/>
        <v>#NAME?</v>
      </c>
      <c r="AD463" s="133" t="e">
        <f t="shared" ca="1" si="299"/>
        <v>#NAME?</v>
      </c>
      <c r="AE463" s="133" t="e">
        <f t="shared" ca="1" si="300"/>
        <v>#NAME?</v>
      </c>
      <c r="AF463" s="133" t="e">
        <f t="shared" ca="1" si="301"/>
        <v>#NAME?</v>
      </c>
      <c r="AG463" s="4"/>
      <c r="AH463" s="4"/>
      <c r="AJ463" s="10"/>
      <c r="AK463" s="10"/>
      <c r="AL463" s="28">
        <f t="shared" si="254"/>
        <v>0</v>
      </c>
      <c r="AM463" s="28">
        <f t="shared" si="255"/>
        <v>0</v>
      </c>
      <c r="AN463" s="28">
        <f t="shared" si="256"/>
        <v>0</v>
      </c>
      <c r="AO463" s="28">
        <f t="shared" si="257"/>
        <v>0</v>
      </c>
      <c r="AP463" s="10"/>
      <c r="AQ463" s="10"/>
      <c r="AR463" s="4"/>
      <c r="AS463" s="4" t="e">
        <f ca="1">[5]!wasat(AS439,AT439,AU439,AV439)</f>
        <v>#NAME?</v>
      </c>
      <c r="AT463" s="133" t="e">
        <f ca="1">INT(ABS(AS463))</f>
        <v>#NAME?</v>
      </c>
      <c r="AU463" s="133" t="e">
        <f ca="1">INT((ABS(AS463)-AT463)*60)</f>
        <v>#NAME?</v>
      </c>
      <c r="AV463" s="133" t="e">
        <f ca="1">INT((((ABS(AS463)-AT463)*60)-AU463)*60)</f>
        <v>#NAME?</v>
      </c>
      <c r="AW463" s="133" t="e">
        <f ca="1">INT((((((ABS(AS463)-AT463)*60)-AU463)*60)-AV463)*60)</f>
        <v>#NAME?</v>
      </c>
      <c r="AX463" s="4"/>
      <c r="AY463" s="4"/>
      <c r="BA463" s="10"/>
      <c r="BB463" s="10"/>
      <c r="BC463" s="28">
        <f t="shared" si="258"/>
        <v>0</v>
      </c>
      <c r="BD463" s="28">
        <f t="shared" si="259"/>
        <v>0</v>
      </c>
      <c r="BE463" s="28">
        <f t="shared" si="260"/>
        <v>0</v>
      </c>
      <c r="BF463" s="28">
        <f t="shared" si="261"/>
        <v>0</v>
      </c>
      <c r="BG463" s="10"/>
      <c r="BH463" s="10"/>
      <c r="BI463" s="4"/>
      <c r="BJ463" s="4" t="e">
        <f ca="1">[5]!wasat(BJ439,BK439,BL439,BM439)</f>
        <v>#NAME?</v>
      </c>
      <c r="BK463" s="133" t="e">
        <f ca="1">INT(ABS(BJ463))</f>
        <v>#NAME?</v>
      </c>
      <c r="BL463" s="133" t="e">
        <f ca="1">INT((ABS(BJ463)-BK463)*60)</f>
        <v>#NAME?</v>
      </c>
      <c r="BM463" s="133" t="e">
        <f ca="1">INT((((ABS(BJ463)-BK463)*60)-BL463)*60)</f>
        <v>#NAME?</v>
      </c>
      <c r="BN463" s="133" t="e">
        <f ca="1">INT((((((ABS(BJ463)-BK463)*60)-BL463)*60)-BM463)*60)</f>
        <v>#NAME?</v>
      </c>
      <c r="BO463" s="4"/>
      <c r="BP463" s="4"/>
      <c r="BR463" s="10"/>
      <c r="BS463" s="10"/>
      <c r="BT463" s="28">
        <f t="shared" si="262"/>
        <v>0</v>
      </c>
      <c r="BU463" s="28">
        <f t="shared" si="263"/>
        <v>0</v>
      </c>
      <c r="BV463" s="28">
        <f t="shared" si="264"/>
        <v>0</v>
      </c>
      <c r="BW463" s="28">
        <f t="shared" si="265"/>
        <v>0</v>
      </c>
      <c r="BX463" s="10"/>
      <c r="BY463" s="10"/>
      <c r="BZ463" s="4"/>
      <c r="CA463" s="4" t="e">
        <f ca="1">[5]!wasat(CA439,CB439,CC439,CD439)</f>
        <v>#NAME?</v>
      </c>
      <c r="CB463" s="133" t="e">
        <f t="shared" ca="1" si="306"/>
        <v>#NAME?</v>
      </c>
      <c r="CC463" s="133" t="e">
        <f t="shared" ca="1" si="307"/>
        <v>#NAME?</v>
      </c>
      <c r="CD463" s="133" t="e">
        <f t="shared" ca="1" si="308"/>
        <v>#NAME?</v>
      </c>
      <c r="CE463" s="133" t="e">
        <f t="shared" ca="1" si="309"/>
        <v>#NAME?</v>
      </c>
      <c r="CF463" s="4"/>
      <c r="CG463" s="4"/>
    </row>
    <row r="464" spans="2:85" ht="24.75">
      <c r="D464" s="129">
        <f t="shared" si="246"/>
        <v>0</v>
      </c>
      <c r="E464" s="129">
        <f t="shared" si="247"/>
        <v>0</v>
      </c>
      <c r="F464" s="129">
        <f t="shared" si="248"/>
        <v>0</v>
      </c>
      <c r="G464" s="129">
        <f t="shared" si="249"/>
        <v>0</v>
      </c>
      <c r="J464" s="4" t="s">
        <v>726</v>
      </c>
      <c r="K464" s="4" t="e">
        <f ca="1">[5]!taam(K463)*K440</f>
        <v>#NAME?</v>
      </c>
      <c r="L464" s="133" t="e">
        <f t="shared" ca="1" si="290"/>
        <v>#NAME?</v>
      </c>
      <c r="M464" s="133" t="e">
        <f t="shared" ca="1" si="291"/>
        <v>#NAME?</v>
      </c>
      <c r="N464" s="133" t="e">
        <f t="shared" ca="1" si="292"/>
        <v>#NAME?</v>
      </c>
      <c r="O464" s="133" t="e">
        <f t="shared" ca="1" si="293"/>
        <v>#NAME?</v>
      </c>
      <c r="P464" s="4"/>
      <c r="Q464" s="4"/>
      <c r="U464" s="129">
        <f t="shared" si="250"/>
        <v>0</v>
      </c>
      <c r="V464" s="129">
        <f t="shared" si="251"/>
        <v>0</v>
      </c>
      <c r="W464" s="129">
        <f t="shared" si="252"/>
        <v>0</v>
      </c>
      <c r="X464" s="129">
        <f t="shared" si="253"/>
        <v>0</v>
      </c>
      <c r="AA464" s="4" t="s">
        <v>726</v>
      </c>
      <c r="AB464" s="4" t="e">
        <f ca="1">[5]!taam(AB463)*AB440</f>
        <v>#NAME?</v>
      </c>
      <c r="AC464" s="133" t="e">
        <f t="shared" ca="1" si="298"/>
        <v>#NAME?</v>
      </c>
      <c r="AD464" s="133" t="e">
        <f t="shared" ca="1" si="299"/>
        <v>#NAME?</v>
      </c>
      <c r="AE464" s="133" t="e">
        <f t="shared" ca="1" si="300"/>
        <v>#NAME?</v>
      </c>
      <c r="AF464" s="133" t="e">
        <f t="shared" ca="1" si="301"/>
        <v>#NAME?</v>
      </c>
      <c r="AG464" s="4"/>
      <c r="AH464" s="4"/>
      <c r="AL464" s="129">
        <f t="shared" si="254"/>
        <v>0</v>
      </c>
      <c r="AM464" s="129">
        <f t="shared" si="255"/>
        <v>0</v>
      </c>
      <c r="AN464" s="129">
        <f t="shared" si="256"/>
        <v>0</v>
      </c>
      <c r="AO464" s="129">
        <f t="shared" si="257"/>
        <v>0</v>
      </c>
      <c r="AR464" s="4" t="s">
        <v>726</v>
      </c>
      <c r="AS464" s="4" t="e">
        <f ca="1">[5]!taam(AS463)*AS440</f>
        <v>#NAME?</v>
      </c>
      <c r="AT464" s="133" t="e">
        <f ca="1">INT(ABS(AS464))</f>
        <v>#NAME?</v>
      </c>
      <c r="AU464" s="133" t="e">
        <f ca="1">INT((ABS(AS464)-AT464)*60)</f>
        <v>#NAME?</v>
      </c>
      <c r="AV464" s="133" t="e">
        <f ca="1">INT((((ABS(AS464)-AT464)*60)-AU464)*60)</f>
        <v>#NAME?</v>
      </c>
      <c r="AW464" s="133" t="e">
        <f ca="1">INT((((((ABS(AS464)-AT464)*60)-AU464)*60)-AV464)*60)</f>
        <v>#NAME?</v>
      </c>
      <c r="AX464" s="4"/>
      <c r="AY464" s="4"/>
      <c r="BC464" s="129">
        <f t="shared" si="258"/>
        <v>0</v>
      </c>
      <c r="BD464" s="129">
        <f t="shared" si="259"/>
        <v>0</v>
      </c>
      <c r="BE464" s="129">
        <f t="shared" si="260"/>
        <v>0</v>
      </c>
      <c r="BF464" s="129">
        <f t="shared" si="261"/>
        <v>0</v>
      </c>
      <c r="BI464" s="4" t="s">
        <v>726</v>
      </c>
      <c r="BJ464" s="4" t="e">
        <f ca="1">[5]!taam(BJ463)*BJ440</f>
        <v>#NAME?</v>
      </c>
      <c r="BK464" s="133" t="e">
        <f ca="1">INT(ABS(BJ464))</f>
        <v>#NAME?</v>
      </c>
      <c r="BL464" s="133" t="e">
        <f ca="1">INT((ABS(BJ464)-BK464)*60)</f>
        <v>#NAME?</v>
      </c>
      <c r="BM464" s="133" t="e">
        <f ca="1">INT((((ABS(BJ464)-BK464)*60)-BL464)*60)</f>
        <v>#NAME?</v>
      </c>
      <c r="BN464" s="133" t="e">
        <f ca="1">INT((((((ABS(BJ464)-BK464)*60)-BL464)*60)-BM464)*60)</f>
        <v>#NAME?</v>
      </c>
      <c r="BO464" s="4"/>
      <c r="BP464" s="4"/>
      <c r="BT464" s="129">
        <f t="shared" si="262"/>
        <v>0</v>
      </c>
      <c r="BU464" s="129">
        <f t="shared" si="263"/>
        <v>0</v>
      </c>
      <c r="BV464" s="129">
        <f t="shared" si="264"/>
        <v>0</v>
      </c>
      <c r="BW464" s="129">
        <f t="shared" si="265"/>
        <v>0</v>
      </c>
      <c r="BZ464" s="4" t="s">
        <v>726</v>
      </c>
      <c r="CA464" s="4" t="e">
        <f ca="1">[5]!taam(CA463)*CA440</f>
        <v>#NAME?</v>
      </c>
      <c r="CB464" s="133" t="e">
        <f t="shared" ca="1" si="306"/>
        <v>#NAME?</v>
      </c>
      <c r="CC464" s="133" t="e">
        <f t="shared" ca="1" si="307"/>
        <v>#NAME?</v>
      </c>
      <c r="CD464" s="133" t="e">
        <f t="shared" ca="1" si="308"/>
        <v>#NAME?</v>
      </c>
      <c r="CE464" s="133" t="e">
        <f t="shared" ca="1" si="309"/>
        <v>#NAME?</v>
      </c>
      <c r="CF464" s="4"/>
      <c r="CG464" s="4"/>
    </row>
    <row r="465" spans="2:85" ht="24.75">
      <c r="B465" s="10" t="s">
        <v>725</v>
      </c>
      <c r="C465" t="e">
        <f ca="1">IF(C439&lt;1251,C462,K465)</f>
        <v>#NAME?</v>
      </c>
      <c r="D465" s="129" t="e">
        <f ca="1">INT(ABS(C465))</f>
        <v>#NAME?</v>
      </c>
      <c r="E465" s="129" t="e">
        <f ca="1">INT((ABS(C465)-D465)*60)</f>
        <v>#NAME?</v>
      </c>
      <c r="F465" s="129" t="e">
        <f ca="1">INT((((ABS(C465)-D465)*60)-E465)*60)</f>
        <v>#NAME?</v>
      </c>
      <c r="G465" s="129" t="e">
        <f ca="1">INT((((((ABS(C465)-D465)*60)-E465)*60)-F465)*60)</f>
        <v>#NAME?</v>
      </c>
      <c r="J465" s="4" t="s">
        <v>725</v>
      </c>
      <c r="K465" s="4" t="e">
        <f ca="1">K462-K464</f>
        <v>#NAME?</v>
      </c>
      <c r="L465" s="133" t="e">
        <f t="shared" ca="1" si="290"/>
        <v>#NAME?</v>
      </c>
      <c r="M465" s="133" t="e">
        <f t="shared" ca="1" si="291"/>
        <v>#NAME?</v>
      </c>
      <c r="N465" s="133" t="e">
        <f t="shared" ca="1" si="292"/>
        <v>#NAME?</v>
      </c>
      <c r="O465" s="133" t="e">
        <f t="shared" ca="1" si="293"/>
        <v>#NAME?</v>
      </c>
      <c r="P465" s="4"/>
      <c r="Q465" s="4"/>
      <c r="S465" s="10" t="s">
        <v>749</v>
      </c>
      <c r="T465" t="e">
        <f ca="1">IF(T439&lt;1251,T462,AB465)</f>
        <v>#NAME?</v>
      </c>
      <c r="U465" s="129" t="e">
        <f ca="1">INT(ABS(T465))</f>
        <v>#NAME?</v>
      </c>
      <c r="V465" s="129" t="e">
        <f ca="1">INT((ABS(T465)-U465)*60)</f>
        <v>#NAME?</v>
      </c>
      <c r="W465" s="129" t="e">
        <f ca="1">INT((((ABS(T465)-U465)*60)-V465)*60)</f>
        <v>#NAME?</v>
      </c>
      <c r="X465" s="129" t="e">
        <f ca="1">INT((((((ABS(T465)-U465)*60)-V465)*60)-W465)*60)</f>
        <v>#NAME?</v>
      </c>
      <c r="AA465" s="4" t="s">
        <v>755</v>
      </c>
      <c r="AB465" s="4" t="e">
        <f ca="1">AB462-AB464</f>
        <v>#NAME?</v>
      </c>
      <c r="AC465" s="133" t="e">
        <f t="shared" ca="1" si="298"/>
        <v>#NAME?</v>
      </c>
      <c r="AD465" s="133" t="e">
        <f t="shared" ca="1" si="299"/>
        <v>#NAME?</v>
      </c>
      <c r="AE465" s="133" t="e">
        <f t="shared" ca="1" si="300"/>
        <v>#NAME?</v>
      </c>
      <c r="AF465" s="133" t="e">
        <f t="shared" ca="1" si="301"/>
        <v>#NAME?</v>
      </c>
      <c r="AG465" s="4"/>
      <c r="AH465" s="4"/>
      <c r="AJ465" s="10" t="s">
        <v>762</v>
      </c>
      <c r="AK465" t="e">
        <f ca="1">IF(AK439&lt;1251,AK462,AS465)</f>
        <v>#NAME?</v>
      </c>
      <c r="AL465" s="129" t="e">
        <f ca="1">INT(ABS(AK465))</f>
        <v>#NAME?</v>
      </c>
      <c r="AM465" s="129" t="e">
        <f ca="1">INT((ABS(AK465)-AL465)*60)</f>
        <v>#NAME?</v>
      </c>
      <c r="AN465" s="129" t="e">
        <f ca="1">INT((((ABS(AK465)-AL465)*60)-AM465)*60)</f>
        <v>#NAME?</v>
      </c>
      <c r="AO465" s="129" t="e">
        <f ca="1">INT((((((ABS(AK465)-AL465)*60)-AM465)*60)-AN465)*60)</f>
        <v>#NAME?</v>
      </c>
      <c r="AR465" s="4" t="s">
        <v>761</v>
      </c>
      <c r="AS465" s="4" t="e">
        <f ca="1">AS462-AS464</f>
        <v>#NAME?</v>
      </c>
      <c r="AT465" s="133" t="e">
        <f ca="1">INT(ABS(AS465))</f>
        <v>#NAME?</v>
      </c>
      <c r="AU465" s="133" t="e">
        <f ca="1">INT((ABS(AS465)-AT465)*60)</f>
        <v>#NAME?</v>
      </c>
      <c r="AV465" s="133" t="e">
        <f ca="1">INT((((ABS(AS465)-AT465)*60)-AU465)*60)</f>
        <v>#NAME?</v>
      </c>
      <c r="AW465" s="133" t="e">
        <f ca="1">INT((((((ABS(AS465)-AT465)*60)-AU465)*60)-AV465)*60)</f>
        <v>#NAME?</v>
      </c>
      <c r="AX465" s="4"/>
      <c r="AY465" s="4"/>
      <c r="BA465" s="10" t="s">
        <v>742</v>
      </c>
      <c r="BB465" t="e">
        <f ca="1">IF(BB439&lt;1251,BB462,BJ465)</f>
        <v>#NAME?</v>
      </c>
      <c r="BC465" s="129" t="e">
        <f ca="1">INT(ABS(BB465))</f>
        <v>#NAME?</v>
      </c>
      <c r="BD465" s="129" t="e">
        <f ca="1">INT((ABS(BB465)-BC465)*60)</f>
        <v>#NAME?</v>
      </c>
      <c r="BE465" s="129" t="e">
        <f ca="1">INT((((ABS(BB465)-BC465)*60)-BD465)*60)</f>
        <v>#NAME?</v>
      </c>
      <c r="BF465" s="129" t="e">
        <f ca="1">INT((((((ABS(BB465)-BC465)*60)-BD465)*60)-BE465)*60)</f>
        <v>#NAME?</v>
      </c>
      <c r="BI465" s="4" t="s">
        <v>736</v>
      </c>
      <c r="BJ465" s="4" t="e">
        <f ca="1">BJ462-BJ464</f>
        <v>#NAME?</v>
      </c>
      <c r="BK465" s="133" t="e">
        <f ca="1">INT(ABS(BJ465))</f>
        <v>#NAME?</v>
      </c>
      <c r="BL465" s="133" t="e">
        <f ca="1">INT((ABS(BJ465)-BK465)*60)</f>
        <v>#NAME?</v>
      </c>
      <c r="BM465" s="133" t="e">
        <f ca="1">INT((((ABS(BJ465)-BK465)*60)-BL465)*60)</f>
        <v>#NAME?</v>
      </c>
      <c r="BN465" s="133" t="e">
        <f ca="1">INT((((((ABS(BJ465)-BK465)*60)-BL465)*60)-BM465)*60)</f>
        <v>#NAME?</v>
      </c>
      <c r="BO465" s="4"/>
      <c r="BP465" s="4"/>
      <c r="BR465" s="10" t="s">
        <v>770</v>
      </c>
      <c r="BS465" t="e">
        <f ca="1">IF(BS439&lt;1251,BS462,CA465)</f>
        <v>#NAME?</v>
      </c>
      <c r="BT465" s="129" t="e">
        <f ca="1">INT(ABS(BS465))</f>
        <v>#NAME?</v>
      </c>
      <c r="BU465" s="129" t="e">
        <f ca="1">INT((ABS(BS465)-BT465)*60)</f>
        <v>#NAME?</v>
      </c>
      <c r="BV465" s="129" t="e">
        <f ca="1">INT((((ABS(BS465)-BT465)*60)-BU465)*60)</f>
        <v>#NAME?</v>
      </c>
      <c r="BW465" s="129" t="e">
        <f ca="1">INT((((((ABS(BS465)-BT465)*60)-BU465)*60)-BV465)*60)</f>
        <v>#NAME?</v>
      </c>
      <c r="BZ465" s="4" t="s">
        <v>761</v>
      </c>
      <c r="CA465" s="4" t="e">
        <f ca="1">CA462-CA464</f>
        <v>#NAME?</v>
      </c>
      <c r="CB465" s="133" t="e">
        <f t="shared" ca="1" si="306"/>
        <v>#NAME?</v>
      </c>
      <c r="CC465" s="133" t="e">
        <f t="shared" ca="1" si="307"/>
        <v>#NAME?</v>
      </c>
      <c r="CD465" s="133" t="e">
        <f t="shared" ca="1" si="308"/>
        <v>#NAME?</v>
      </c>
      <c r="CE465" s="133" t="e">
        <f t="shared" ca="1" si="309"/>
        <v>#NAME?</v>
      </c>
      <c r="CF465" s="4"/>
      <c r="CG465" s="4"/>
    </row>
    <row r="467" spans="2:85">
      <c r="C467">
        <v>50</v>
      </c>
      <c r="D467">
        <v>0</v>
      </c>
    </row>
    <row r="468" spans="2:85" ht="24.75">
      <c r="C468" t="e">
        <f ca="1">[5]!boadsharz(C467,D467)</f>
        <v>#NAME?</v>
      </c>
      <c r="D468" s="129" t="e">
        <f ca="1">INT(ABS(C468))</f>
        <v>#NAME?</v>
      </c>
      <c r="E468" s="129" t="e">
        <f ca="1">INT((ABS(C468)-D468)*60)</f>
        <v>#NAME?</v>
      </c>
      <c r="F468" s="129" t="e">
        <f ca="1">INT((((ABS(C468)-D468)*60)-E468)*60)</f>
        <v>#NAME?</v>
      </c>
      <c r="G468" s="129" t="e">
        <f ca="1">INT((((((ABS(C468)-D468)*60)-E468)*60)-F468)*60)</f>
        <v>#NAME?</v>
      </c>
    </row>
    <row r="469" spans="2:85">
      <c r="C469" t="s">
        <v>3</v>
      </c>
      <c r="D469">
        <v>1438</v>
      </c>
    </row>
    <row r="470" spans="2:85">
      <c r="C470" t="s">
        <v>4</v>
      </c>
      <c r="D470">
        <v>6</v>
      </c>
    </row>
    <row r="471" spans="2:85">
      <c r="C471" t="s">
        <v>5</v>
      </c>
      <c r="D471" s="10" t="e">
        <f ca="1">[5]!roz(21,13,46,30)</f>
        <v>#NAME?</v>
      </c>
    </row>
    <row r="472" spans="2:85">
      <c r="C472" t="s">
        <v>393</v>
      </c>
      <c r="D472" s="10" t="e">
        <f ca="1">[5]!mbtool(2,17,24,1)</f>
        <v>#NAME?</v>
      </c>
    </row>
    <row r="474" spans="2:85" ht="24.75">
      <c r="C474" t="s">
        <v>378</v>
      </c>
      <c r="D474" t="e">
        <f ca="1">[5]!taqsh(D469,D470,D471,D472)</f>
        <v>#NAME?</v>
      </c>
      <c r="E474" s="129" t="e">
        <f ca="1">INT(ABS(D474))</f>
        <v>#NAME?</v>
      </c>
      <c r="F474" s="129" t="e">
        <f ca="1">INT((ABS(D474)-E474)*60)</f>
        <v>#NAME?</v>
      </c>
      <c r="G474" s="129" t="e">
        <f ca="1">INT((((ABS(D474)-E474)*60)-F474)*60)</f>
        <v>#NAME?</v>
      </c>
      <c r="H474" s="129" t="e">
        <f ca="1">INT((((((ABS(D474)-E474)*60)-F474)*60)-G474)*60)</f>
        <v>#NAME?</v>
      </c>
    </row>
    <row r="475" spans="2:85">
      <c r="D475" t="e">
        <f ca="1">[5]!wasatq(D469,D470,D471,D472)</f>
        <v>#NAME?</v>
      </c>
    </row>
    <row r="476" spans="2:85">
      <c r="D476" t="e">
        <f ca="1">[5]!hesseh(D469,D470,D471,D472)</f>
        <v>#NAME?</v>
      </c>
    </row>
    <row r="480" spans="2:85">
      <c r="C480" s="134">
        <f>(((((((((I480/60)+H480)/60)+G480)/60)+F480)/60)+E480)/60)+D480</f>
        <v>0.52083333333333337</v>
      </c>
      <c r="D480">
        <v>0</v>
      </c>
      <c r="E480">
        <v>31</v>
      </c>
      <c r="F480">
        <v>15</v>
      </c>
      <c r="G480">
        <v>0</v>
      </c>
    </row>
    <row r="481" spans="2:7">
      <c r="B481" t="s">
        <v>850</v>
      </c>
      <c r="C481" s="134">
        <f>(((((((((I481/60)+H481)/60)+G481)/60)+F481)/60)+E481)/60)+D481</f>
        <v>0.55638888888888893</v>
      </c>
      <c r="D481">
        <v>0</v>
      </c>
      <c r="E481">
        <v>33</v>
      </c>
      <c r="F481">
        <v>23</v>
      </c>
    </row>
    <row r="482" spans="2:7">
      <c r="B482" s="33"/>
      <c r="C482" s="134"/>
    </row>
    <row r="483" spans="2:7" ht="24.75">
      <c r="B483" s="72" t="s">
        <v>851</v>
      </c>
      <c r="C483">
        <f>C480*60/C481</f>
        <v>56.165751372940591</v>
      </c>
      <c r="D483" s="129">
        <f>INT(ABS(C483))</f>
        <v>56</v>
      </c>
      <c r="E483" s="129">
        <f>INT((ABS(C483)-D483)*60)</f>
        <v>9</v>
      </c>
      <c r="F483" s="129">
        <f>INT((((ABS(C483)-D483)*60)-E483)*60)</f>
        <v>56</v>
      </c>
      <c r="G483" s="129">
        <f>INT((((((ABS(C483)-D483)*60)-E483)*60)-F483)*60)</f>
        <v>42</v>
      </c>
    </row>
    <row r="484" spans="2:7">
      <c r="B484" s="72"/>
      <c r="C484" s="33"/>
      <c r="D484" s="33"/>
      <c r="E484" s="33"/>
      <c r="F484" s="33"/>
    </row>
    <row r="485" spans="2:7" ht="24.75">
      <c r="B485" s="33"/>
      <c r="C485" s="27"/>
      <c r="D485" s="27"/>
      <c r="E485" s="27"/>
      <c r="F485" s="33"/>
    </row>
    <row r="486" spans="2:7" ht="24.75">
      <c r="B486" t="s">
        <v>850</v>
      </c>
      <c r="C486">
        <f>C481</f>
        <v>0.55638888888888893</v>
      </c>
      <c r="D486" s="129">
        <f>INT(ABS(C486))</f>
        <v>0</v>
      </c>
      <c r="E486" s="129">
        <f>INT((ABS(C486)-D486)*60)</f>
        <v>33</v>
      </c>
      <c r="F486" s="129">
        <f>INT((((ABS(C486)-D486)*60)-E486)*60)</f>
        <v>23</v>
      </c>
      <c r="G486" s="129">
        <f>INT((((((ABS(C486)-D486)*60)-E486)*60)-F486)*60)</f>
        <v>-1</v>
      </c>
    </row>
    <row r="487" spans="2:7" ht="24.75">
      <c r="C487">
        <v>0.27272972899999998</v>
      </c>
      <c r="D487" s="129">
        <f>INT(ABS(C487))</f>
        <v>0</v>
      </c>
      <c r="E487" s="129">
        <f>INT((ABS(C487)-D487)*60)</f>
        <v>16</v>
      </c>
      <c r="F487" s="129">
        <f>INT((((ABS(C487)-D487)*60)-E487)*60)</f>
        <v>21</v>
      </c>
      <c r="G487" s="129">
        <f>INT((((((ABS(C487)-D487)*60)-E487)*60)-F487)*60)</f>
        <v>49</v>
      </c>
    </row>
    <row r="488" spans="2:7" ht="24.75">
      <c r="B488" s="72" t="s">
        <v>852</v>
      </c>
      <c r="C488" t="e">
        <f ca="1">C487*60/[5]!tn(C486/2)</f>
        <v>#NAME?</v>
      </c>
      <c r="D488" s="129" t="e">
        <f ca="1">INT(ABS(C488))</f>
        <v>#NAME?</v>
      </c>
      <c r="E488" s="129" t="e">
        <f ca="1">INT((ABS(C488)-D488)*60)</f>
        <v>#NAME?</v>
      </c>
      <c r="F488" s="129" t="e">
        <f ca="1">INT((((ABS(C488)-D488)*60)-E488)*60)</f>
        <v>#NAME?</v>
      </c>
      <c r="G488" s="129" t="e">
        <f ca="1">INT((((((ABS(C488)-D488)*60)-E488)*60)-F488)*60)</f>
        <v>#NAME?</v>
      </c>
    </row>
    <row r="489" spans="2:7">
      <c r="B489" s="72"/>
      <c r="C489" s="33"/>
      <c r="D489" s="33"/>
      <c r="E489" s="33"/>
      <c r="F489" s="33"/>
    </row>
    <row r="490" spans="2:7">
      <c r="B490" s="72" t="s">
        <v>853</v>
      </c>
    </row>
    <row r="491" spans="2:7">
      <c r="B491" s="72" t="s">
        <v>812</v>
      </c>
      <c r="C491" s="134">
        <f>(((((((((I491/60)+H491)/60)+G491)/60)+F491)/60)+E491)/60)+D491</f>
        <v>0.55000000000000004</v>
      </c>
      <c r="D491">
        <v>0</v>
      </c>
      <c r="E491">
        <v>33</v>
      </c>
      <c r="F491">
        <v>0</v>
      </c>
    </row>
    <row r="492" spans="2:7" ht="27">
      <c r="B492" t="s">
        <v>850</v>
      </c>
      <c r="C492" s="146">
        <f>[2]!qotrqmr(C491)</f>
        <v>0.51863425925925932</v>
      </c>
      <c r="D492" s="129">
        <f>INT(ABS(C492))</f>
        <v>0</v>
      </c>
      <c r="E492" s="129">
        <f>INT((ABS(C492)-D492)*60)</f>
        <v>31</v>
      </c>
      <c r="F492" s="129">
        <f>INT((((ABS(C492)-D492)*60)-E492)*60)</f>
        <v>7</v>
      </c>
      <c r="G492" s="129">
        <f>INT((((((ABS(C492)-D492)*60)-E492)*60)-F492)*60)</f>
        <v>5</v>
      </c>
    </row>
    <row r="493" spans="2:7" ht="24.75">
      <c r="B493" s="72" t="s">
        <v>854</v>
      </c>
      <c r="C493" s="147">
        <f>[2]!boadq(C492)</f>
        <v>60.258864290664796</v>
      </c>
      <c r="D493" s="129">
        <f>INT(ABS(C493))</f>
        <v>60</v>
      </c>
      <c r="E493" s="129">
        <f>INT((ABS(C493)-D493)*60)</f>
        <v>15</v>
      </c>
      <c r="F493" s="129">
        <f>INT((((ABS(C493)-D493)*60)-E493)*60)</f>
        <v>31</v>
      </c>
      <c r="G493" s="129">
        <f>INT((((((ABS(C493)-D493)*60)-E493)*60)-F493)*60)</f>
        <v>54</v>
      </c>
    </row>
    <row r="494" spans="2:7" ht="24.75">
      <c r="B494" t="s">
        <v>853</v>
      </c>
      <c r="C494">
        <f>[2]!atj(60/C493)</f>
        <v>0.95074013382650213</v>
      </c>
      <c r="D494" s="129">
        <f>INT(ABS(C494))</f>
        <v>0</v>
      </c>
      <c r="E494" s="129">
        <f>INT((ABS(C494)-D494)*60)</f>
        <v>57</v>
      </c>
      <c r="F494" s="129">
        <f>INT((((ABS(C494)-D494)*60)-E494)*60)</f>
        <v>2</v>
      </c>
      <c r="G494" s="129">
        <f>INT((((((ABS(C494)-D494)*60)-E494)*60)-F494)*60)</f>
        <v>39</v>
      </c>
    </row>
    <row r="495" spans="2:7" ht="24.75">
      <c r="B495" s="33"/>
      <c r="C495" s="147">
        <f>[2]!khmanzar(C493)</f>
        <v>0.95074013382650213</v>
      </c>
      <c r="D495" s="129">
        <f>INT(ABS(C495))</f>
        <v>0</v>
      </c>
      <c r="E495" s="129">
        <f>INT((ABS(C495)-D495)*60)</f>
        <v>57</v>
      </c>
      <c r="F495" s="129">
        <f>INT((((ABS(C495)-D495)*60)-E495)*60)</f>
        <v>2</v>
      </c>
      <c r="G495" s="129">
        <f>INT((((((ABS(C495)-D495)*60)-E495)*60)-F495)*60)</f>
        <v>39</v>
      </c>
    </row>
    <row r="496" spans="2:7" ht="27">
      <c r="B496" s="72"/>
      <c r="C496" s="146"/>
      <c r="D496" s="129"/>
      <c r="E496" s="129"/>
      <c r="F496" s="129"/>
      <c r="G496" s="129"/>
    </row>
    <row r="497" spans="2:7" ht="24.75">
      <c r="B497" s="33" t="s">
        <v>859</v>
      </c>
      <c r="C497" s="147"/>
      <c r="D497" s="129"/>
      <c r="E497" s="129"/>
      <c r="F497" s="129"/>
      <c r="G497" s="129"/>
    </row>
    <row r="498" spans="2:7" ht="24.75">
      <c r="B498" t="s">
        <v>857</v>
      </c>
      <c r="C498" s="148">
        <v>27</v>
      </c>
      <c r="D498" s="129"/>
      <c r="E498" s="129"/>
      <c r="F498" s="129"/>
      <c r="G498" s="129"/>
    </row>
    <row r="499" spans="2:7" ht="24.75">
      <c r="B499" t="s">
        <v>858</v>
      </c>
      <c r="C499" s="148">
        <v>24</v>
      </c>
      <c r="D499" s="129"/>
      <c r="E499" s="129"/>
      <c r="F499" s="129"/>
      <c r="G499" s="129"/>
    </row>
    <row r="500" spans="2:7" ht="24.75">
      <c r="B500" t="s">
        <v>856</v>
      </c>
      <c r="C500" s="134">
        <f>(((((((((I500/60)+H500)/60)+G500)/60)+F500)/60)+E500)/60)+D500</f>
        <v>0.31666666666666665</v>
      </c>
      <c r="D500" s="129">
        <v>0</v>
      </c>
      <c r="E500" s="129">
        <v>19</v>
      </c>
      <c r="F500" s="129">
        <v>0</v>
      </c>
      <c r="G500" s="129"/>
    </row>
    <row r="501" spans="2:7" ht="24.75">
      <c r="B501" t="s">
        <v>258</v>
      </c>
      <c r="C501">
        <f>C500*C498/180</f>
        <v>4.7499999999999994E-2</v>
      </c>
      <c r="D501" s="129">
        <f t="shared" ref="D501:D506" si="310">INT(ABS(C501))</f>
        <v>0</v>
      </c>
      <c r="E501" s="129">
        <f t="shared" ref="E501:E506" si="311">INT((ABS(C501)-D501)*60)</f>
        <v>2</v>
      </c>
      <c r="F501" s="129">
        <f t="shared" ref="F501:F506" si="312">INT((((ABS(C501)-D501)*60)-E501)*60)</f>
        <v>51</v>
      </c>
      <c r="G501" s="129">
        <f t="shared" ref="G501:G506" si="313">INT((((((ABS(C501)-D501)*60)-E501)*60)-F501)*60)</f>
        <v>-1</v>
      </c>
    </row>
    <row r="502" spans="2:7" ht="24.75">
      <c r="C502">
        <f>[2]!sn(C499)*(C501)</f>
        <v>1.1591994327660302</v>
      </c>
      <c r="D502" s="129">
        <f t="shared" si="310"/>
        <v>1</v>
      </c>
      <c r="E502" s="129">
        <f t="shared" si="311"/>
        <v>9</v>
      </c>
      <c r="F502" s="129">
        <f t="shared" si="312"/>
        <v>33</v>
      </c>
      <c r="G502" s="129">
        <f t="shared" si="313"/>
        <v>7</v>
      </c>
    </row>
    <row r="503" spans="2:7" ht="24.75">
      <c r="C503">
        <f>[2]!sn(90-C499)*(C501)</f>
        <v>2.6036045542814121</v>
      </c>
      <c r="D503" s="129">
        <f t="shared" si="310"/>
        <v>2</v>
      </c>
      <c r="E503" s="129">
        <f t="shared" si="311"/>
        <v>36</v>
      </c>
      <c r="F503" s="129">
        <f t="shared" si="312"/>
        <v>12</v>
      </c>
      <c r="G503" s="129">
        <f t="shared" si="313"/>
        <v>58</v>
      </c>
    </row>
    <row r="504" spans="2:7" ht="24.75">
      <c r="C504">
        <f>SQRT(POWER((C502+120),2)+POWER(C503,2))</f>
        <v>121.18717078908909</v>
      </c>
      <c r="D504" s="129">
        <f t="shared" si="310"/>
        <v>121</v>
      </c>
      <c r="E504" s="129">
        <f t="shared" si="311"/>
        <v>11</v>
      </c>
      <c r="F504" s="129">
        <f t="shared" si="312"/>
        <v>13</v>
      </c>
      <c r="G504" s="129">
        <f t="shared" si="313"/>
        <v>48</v>
      </c>
    </row>
    <row r="505" spans="2:7" ht="24.75">
      <c r="C505">
        <f>[2]!asn(C502/C504)</f>
        <v>9.1342500695862205E-3</v>
      </c>
      <c r="D505" s="129">
        <f t="shared" si="310"/>
        <v>0</v>
      </c>
      <c r="E505" s="129">
        <f t="shared" si="311"/>
        <v>0</v>
      </c>
      <c r="F505" s="129">
        <f t="shared" si="312"/>
        <v>32</v>
      </c>
      <c r="G505" s="129">
        <f t="shared" si="313"/>
        <v>52</v>
      </c>
    </row>
    <row r="506" spans="2:7" ht="24.75">
      <c r="B506" t="s">
        <v>862</v>
      </c>
      <c r="C506">
        <f>2*C505</f>
        <v>1.8268500139172441E-2</v>
      </c>
      <c r="D506" s="129">
        <f t="shared" si="310"/>
        <v>0</v>
      </c>
      <c r="E506" s="129">
        <f t="shared" si="311"/>
        <v>1</v>
      </c>
      <c r="F506" s="129">
        <f t="shared" si="312"/>
        <v>5</v>
      </c>
      <c r="G506" s="129">
        <f t="shared" si="313"/>
        <v>45</v>
      </c>
    </row>
    <row r="509" spans="2:7">
      <c r="B509" t="s">
        <v>860</v>
      </c>
      <c r="C509" s="134">
        <f>(((((((((I507/60)+H507)/60)+G509)/60)+F509)/60)+E509)/60)+D509</f>
        <v>0.15833333333333333</v>
      </c>
      <c r="D509">
        <v>0</v>
      </c>
      <c r="E509">
        <v>9</v>
      </c>
      <c r="F509">
        <v>30</v>
      </c>
    </row>
    <row r="510" spans="2:7">
      <c r="B510" t="s">
        <v>861</v>
      </c>
      <c r="C510" s="134">
        <f>(((((((((I508/60)+H508)/60)+G510)/60)+F510)/60)+E510)/60)+D510</f>
        <v>0.25555555555555559</v>
      </c>
      <c r="D510">
        <v>0</v>
      </c>
      <c r="E510">
        <v>15</v>
      </c>
      <c r="F510">
        <v>20</v>
      </c>
    </row>
    <row r="511" spans="2:7" ht="24.75">
      <c r="B511" t="s">
        <v>715</v>
      </c>
      <c r="C511">
        <f>C509*C510</f>
        <v>4.0462962962962964E-2</v>
      </c>
      <c r="D511" s="129">
        <f>INT(ABS(C511))</f>
        <v>0</v>
      </c>
      <c r="E511" s="129">
        <f>INT((ABS(C511)-D511)*60)</f>
        <v>2</v>
      </c>
      <c r="F511" s="129">
        <f>INT((((ABS(C511)-D511)*60)-E511)*60)</f>
        <v>25</v>
      </c>
      <c r="G511" s="129">
        <f>INT((((((ABS(C511)-D511)*60)-E511)*60)-F511)*60)</f>
        <v>40</v>
      </c>
    </row>
    <row r="516" spans="2:7">
      <c r="C516" s="134">
        <f>(((((((((I514/60)+H514)/60)+G516)/60)+F516)/60)+E516)/60)+D516</f>
        <v>0.59944444444444445</v>
      </c>
      <c r="D516">
        <v>0</v>
      </c>
      <c r="E516">
        <v>35</v>
      </c>
      <c r="F516">
        <v>58</v>
      </c>
    </row>
    <row r="517" spans="2:7" ht="24.75">
      <c r="B517" t="s">
        <v>850</v>
      </c>
      <c r="C517">
        <f>[2]!qotrqmr(C516)</f>
        <v>0.54129629629629628</v>
      </c>
      <c r="D517" s="129">
        <f>INT(ABS(C517))</f>
        <v>0</v>
      </c>
      <c r="E517" s="129">
        <f>INT((ABS(C517)-D517)*60)</f>
        <v>32</v>
      </c>
      <c r="F517" s="129">
        <f>INT((((ABS(C517)-D517)*60)-E517)*60)</f>
        <v>28</v>
      </c>
      <c r="G517" s="129">
        <f>INT((((((ABS(C517)-D517)*60)-E517)*60)-F517)*60)</f>
        <v>39</v>
      </c>
    </row>
    <row r="518" spans="2:7" ht="24.75">
      <c r="B518" t="s">
        <v>276</v>
      </c>
      <c r="C518" s="134">
        <f>[2]!boadq(C517)</f>
        <v>57.736017413817528</v>
      </c>
      <c r="D518" s="129">
        <f>INT(ABS(C518))</f>
        <v>57</v>
      </c>
      <c r="E518" s="129">
        <f>INT((ABS(C518)-D518)*60)</f>
        <v>44</v>
      </c>
      <c r="F518" s="129">
        <f>INT((((ABS(C518)-D518)*60)-E518)*60)</f>
        <v>9</v>
      </c>
      <c r="G518" s="129">
        <f>INT((((((ABS(C518)-D518)*60)-E518)*60)-F518)*60)</f>
        <v>39</v>
      </c>
    </row>
    <row r="519" spans="2:7" ht="24.75">
      <c r="B519" t="s">
        <v>871</v>
      </c>
      <c r="C519">
        <f>[2]!khmanzar(C518)</f>
        <v>0.99227577046281212</v>
      </c>
      <c r="D519" s="129">
        <f>INT(ABS(C519))</f>
        <v>0</v>
      </c>
      <c r="E519" s="129">
        <f>INT((ABS(C519)-D519)*60)</f>
        <v>59</v>
      </c>
      <c r="F519" s="129">
        <f>INT((((ABS(C519)-D519)*60)-E519)*60)</f>
        <v>32</v>
      </c>
      <c r="G519" s="129">
        <f>INT((((((ABS(C519)-D519)*60)-E519)*60)-F519)*60)</f>
        <v>11</v>
      </c>
    </row>
    <row r="520" spans="2:7">
      <c r="B520" t="s">
        <v>872</v>
      </c>
      <c r="C520" s="134">
        <f>(((((((((I518/60)+H518)/60)+G520)/60)+F520)/60)+E520)/60)+D520</f>
        <v>0.27277777777777779</v>
      </c>
      <c r="D520">
        <v>0</v>
      </c>
      <c r="E520">
        <v>16</v>
      </c>
      <c r="F520">
        <v>22</v>
      </c>
    </row>
    <row r="521" spans="2:7" ht="24.75">
      <c r="C521">
        <f>2*[2]!atj(C520/(C518-1))*60</f>
        <v>0.55093804925288592</v>
      </c>
      <c r="D521" s="129">
        <f>INT(ABS(C521))</f>
        <v>0</v>
      </c>
      <c r="E521" s="129">
        <f>INT((ABS(C521)-D521)*60)</f>
        <v>33</v>
      </c>
      <c r="F521" s="129">
        <f>INT((((ABS(C521)-D521)*60)-E521)*60)</f>
        <v>3</v>
      </c>
      <c r="G521" s="129">
        <f>INT((((((ABS(C521)-D521)*60)-E521)*60)-F521)*60)</f>
        <v>22</v>
      </c>
    </row>
    <row r="524" spans="2:7">
      <c r="B524" t="s">
        <v>870</v>
      </c>
    </row>
    <row r="525" spans="2:7" ht="24.75">
      <c r="B525" t="s">
        <v>868</v>
      </c>
      <c r="C525" s="134">
        <f>(((((((((I521/60)+H521)/60)+G525)/60)+F525)/60)+E525)/60)+D525</f>
        <v>63.597777777777779</v>
      </c>
      <c r="D525" s="129">
        <v>63</v>
      </c>
      <c r="E525" s="129">
        <v>35</v>
      </c>
      <c r="F525" s="129">
        <v>52</v>
      </c>
      <c r="G525" s="129">
        <v>0</v>
      </c>
    </row>
    <row r="526" spans="2:7" ht="24.75">
      <c r="B526" t="s">
        <v>869</v>
      </c>
      <c r="C526">
        <v>15</v>
      </c>
      <c r="D526" s="129">
        <f t="shared" ref="D526:D531" si="314">INT(ABS(C526))</f>
        <v>15</v>
      </c>
      <c r="E526" s="129">
        <f t="shared" ref="E526:E531" si="315">INT((ABS(C526)-D526)*60)</f>
        <v>0</v>
      </c>
      <c r="F526" s="129">
        <f t="shared" ref="F526:F531" si="316">INT((((ABS(C526)-D526)*60)-E526)*60)</f>
        <v>0</v>
      </c>
      <c r="G526" s="129">
        <f t="shared" ref="G526:G531" si="317">INT((((((ABS(C526)-D526)*60)-E526)*60)-F526)*60)</f>
        <v>0</v>
      </c>
    </row>
    <row r="527" spans="2:7" ht="24.75">
      <c r="B527" t="s">
        <v>866</v>
      </c>
      <c r="C527">
        <f>90-C526</f>
        <v>75</v>
      </c>
      <c r="D527" s="129">
        <f t="shared" si="314"/>
        <v>75</v>
      </c>
      <c r="E527" s="129">
        <f t="shared" si="315"/>
        <v>0</v>
      </c>
      <c r="F527" s="129">
        <f t="shared" si="316"/>
        <v>0</v>
      </c>
      <c r="G527" s="129">
        <f t="shared" si="317"/>
        <v>0</v>
      </c>
    </row>
    <row r="528" spans="2:7" ht="24.75">
      <c r="B528" t="s">
        <v>863</v>
      </c>
      <c r="C528">
        <f>([2]!csn(C527)*C525/60)-1</f>
        <v>15.460316115086759</v>
      </c>
      <c r="D528" s="129">
        <f t="shared" si="314"/>
        <v>15</v>
      </c>
      <c r="E528" s="129">
        <f t="shared" si="315"/>
        <v>27</v>
      </c>
      <c r="F528" s="129">
        <f t="shared" si="316"/>
        <v>37</v>
      </c>
      <c r="G528" s="129">
        <f t="shared" si="317"/>
        <v>8</v>
      </c>
    </row>
    <row r="529" spans="2:7" ht="24.75">
      <c r="B529" t="s">
        <v>864</v>
      </c>
      <c r="C529">
        <f>[2]!sn(C527)*C525/60</f>
        <v>61.430736050148546</v>
      </c>
      <c r="D529" s="129">
        <f t="shared" si="314"/>
        <v>61</v>
      </c>
      <c r="E529" s="129">
        <f t="shared" si="315"/>
        <v>25</v>
      </c>
      <c r="F529" s="129">
        <f t="shared" si="316"/>
        <v>50</v>
      </c>
      <c r="G529" s="129">
        <f t="shared" si="317"/>
        <v>38</v>
      </c>
    </row>
    <row r="530" spans="2:7" ht="24.75">
      <c r="B530" t="s">
        <v>867</v>
      </c>
      <c r="C530">
        <f>SQRT(POWER(C529,2)+POWER(C528,2))</f>
        <v>63.346323540055828</v>
      </c>
      <c r="D530" s="129">
        <f t="shared" si="314"/>
        <v>63</v>
      </c>
      <c r="E530" s="129">
        <f t="shared" si="315"/>
        <v>20</v>
      </c>
      <c r="F530" s="129">
        <f t="shared" si="316"/>
        <v>46</v>
      </c>
      <c r="G530" s="129">
        <f t="shared" si="317"/>
        <v>45</v>
      </c>
    </row>
    <row r="531" spans="2:7" ht="24.75">
      <c r="B531" t="s">
        <v>865</v>
      </c>
      <c r="C531">
        <f>2*[2]!atj(C520/C530*60)</f>
        <v>0.49344359506362034</v>
      </c>
      <c r="D531" s="129">
        <f t="shared" si="314"/>
        <v>0</v>
      </c>
      <c r="E531" s="129">
        <f t="shared" si="315"/>
        <v>29</v>
      </c>
      <c r="F531" s="129">
        <f t="shared" si="316"/>
        <v>36</v>
      </c>
      <c r="G531" s="129">
        <f t="shared" si="317"/>
        <v>23</v>
      </c>
    </row>
    <row r="532" spans="2:7" ht="24.75">
      <c r="B532" t="s">
        <v>874</v>
      </c>
      <c r="C532">
        <f>[2]!sn(C527)/C530</f>
        <v>0.91489997111982391</v>
      </c>
      <c r="D532" s="129">
        <f>INT(ABS(C532))</f>
        <v>0</v>
      </c>
      <c r="E532" s="129">
        <f>INT((ABS(C532)-D532)*60)</f>
        <v>54</v>
      </c>
      <c r="F532" s="129">
        <f>INT((((ABS(C532)-D532)*60)-E532)*60)</f>
        <v>53</v>
      </c>
      <c r="G532" s="129">
        <f>INT((((((ABS(C532)-D532)*60)-E532)*60)-F532)*60)</f>
        <v>38</v>
      </c>
    </row>
    <row r="533" spans="2:7" ht="24.75">
      <c r="G533" s="129"/>
    </row>
    <row r="535" spans="2:7">
      <c r="B535" s="10" t="s">
        <v>875</v>
      </c>
      <c r="C535" s="80">
        <f>(((((((((I535/60)+H535)/60)+G535)/60)+F535)/60)+E535)/60)+D535</f>
        <v>0.92500000000000004</v>
      </c>
      <c r="D535">
        <v>0</v>
      </c>
      <c r="E535">
        <v>55</v>
      </c>
      <c r="F535">
        <v>30</v>
      </c>
    </row>
    <row r="536" spans="2:7">
      <c r="B536" s="10" t="s">
        <v>297</v>
      </c>
      <c r="C536" s="10">
        <v>87</v>
      </c>
    </row>
    <row r="537" spans="2:7" ht="24.75">
      <c r="B537" s="10" t="s">
        <v>876</v>
      </c>
      <c r="C537" s="10">
        <f>[2]!ctn(C535)/60</f>
        <v>61.936001732016514</v>
      </c>
      <c r="D537" s="129">
        <f t="shared" ref="D537:D542" si="318">INT(ABS(C537))</f>
        <v>61</v>
      </c>
      <c r="E537" s="129">
        <f t="shared" ref="E537:E542" si="319">INT((ABS(C537)-D537)*60)</f>
        <v>56</v>
      </c>
      <c r="F537" s="129">
        <f t="shared" ref="F537:F542" si="320">INT((((ABS(C537)-D537)*60)-E537)*60)</f>
        <v>9</v>
      </c>
      <c r="G537" s="129">
        <f t="shared" ref="G537:G542" si="321">INT((((((ABS(C537)-D537)*60)-E537)*60)-F537)*60)</f>
        <v>36</v>
      </c>
    </row>
    <row r="538" spans="2:7" ht="24.75">
      <c r="B538" s="10" t="s">
        <v>873</v>
      </c>
      <c r="C538" s="10">
        <f>90-C536</f>
        <v>3</v>
      </c>
      <c r="D538" s="129">
        <f t="shared" si="318"/>
        <v>3</v>
      </c>
      <c r="E538" s="129">
        <f t="shared" si="319"/>
        <v>0</v>
      </c>
      <c r="F538" s="129">
        <f t="shared" si="320"/>
        <v>0</v>
      </c>
      <c r="G538" s="129">
        <f t="shared" si="321"/>
        <v>0</v>
      </c>
    </row>
    <row r="539" spans="2:7" ht="24.75">
      <c r="B539" s="10" t="s">
        <v>863</v>
      </c>
      <c r="C539" s="10">
        <f>([2]!csn(C538)*C537/60)-1</f>
        <v>60.851120594202129</v>
      </c>
      <c r="D539" s="129">
        <f t="shared" si="318"/>
        <v>60</v>
      </c>
      <c r="E539" s="129">
        <f t="shared" si="319"/>
        <v>51</v>
      </c>
      <c r="F539" s="129">
        <f t="shared" si="320"/>
        <v>4</v>
      </c>
      <c r="G539" s="129">
        <f t="shared" si="321"/>
        <v>2</v>
      </c>
    </row>
    <row r="540" spans="2:7" ht="24.75">
      <c r="B540" s="10" t="s">
        <v>864</v>
      </c>
      <c r="C540" s="10">
        <f>[2]!sn(C538)*C537/60</f>
        <v>3.2414798765097093</v>
      </c>
      <c r="D540" s="129">
        <f t="shared" si="318"/>
        <v>3</v>
      </c>
      <c r="E540" s="129">
        <f t="shared" si="319"/>
        <v>14</v>
      </c>
      <c r="F540" s="129">
        <f t="shared" si="320"/>
        <v>29</v>
      </c>
      <c r="G540" s="129">
        <f t="shared" si="321"/>
        <v>19</v>
      </c>
    </row>
    <row r="541" spans="2:7" ht="24.75">
      <c r="B541" s="10" t="s">
        <v>867</v>
      </c>
      <c r="C541" s="10">
        <f>SQRT(POWER(C540,2)+POWER(C539,2))</f>
        <v>60.937394671580343</v>
      </c>
      <c r="D541" s="129">
        <f t="shared" si="318"/>
        <v>60</v>
      </c>
      <c r="E541" s="129">
        <f t="shared" si="319"/>
        <v>56</v>
      </c>
      <c r="F541" s="129">
        <f t="shared" si="320"/>
        <v>14</v>
      </c>
      <c r="G541" s="129">
        <f t="shared" si="321"/>
        <v>37</v>
      </c>
    </row>
    <row r="542" spans="2:7" ht="24.75">
      <c r="B542" s="10" t="s">
        <v>874</v>
      </c>
      <c r="C542" s="10">
        <f>[2]!asn([2]!sn(C538)/C541)</f>
        <v>4.9208368593776496E-2</v>
      </c>
      <c r="D542" s="129">
        <f t="shared" si="318"/>
        <v>0</v>
      </c>
      <c r="E542" s="129">
        <f t="shared" si="319"/>
        <v>2</v>
      </c>
      <c r="F542" s="129">
        <f t="shared" si="320"/>
        <v>57</v>
      </c>
      <c r="G542" s="129">
        <f t="shared" si="321"/>
        <v>9</v>
      </c>
    </row>
    <row r="544" spans="2:7">
      <c r="C544" t="s">
        <v>882</v>
      </c>
    </row>
    <row r="545" spans="3:8">
      <c r="C545" t="s">
        <v>881</v>
      </c>
      <c r="D545">
        <v>1</v>
      </c>
    </row>
    <row r="546" spans="3:8">
      <c r="C546" t="s">
        <v>282</v>
      </c>
      <c r="D546">
        <v>30</v>
      </c>
    </row>
    <row r="547" spans="3:8" ht="24.75">
      <c r="C547" t="s">
        <v>877</v>
      </c>
      <c r="D547">
        <f>90-[2]!ml(D546)</f>
        <v>78.531465368223778</v>
      </c>
      <c r="E547" s="129"/>
      <c r="F547" s="129"/>
      <c r="G547" s="129"/>
    </row>
    <row r="548" spans="3:8">
      <c r="C548" t="s">
        <v>177</v>
      </c>
      <c r="D548">
        <v>44</v>
      </c>
    </row>
    <row r="549" spans="3:8">
      <c r="C549" t="s">
        <v>878</v>
      </c>
      <c r="D549">
        <v>42</v>
      </c>
    </row>
    <row r="550" spans="3:8">
      <c r="C550" t="s">
        <v>879</v>
      </c>
      <c r="D550">
        <f>90-D548</f>
        <v>46</v>
      </c>
    </row>
    <row r="551" spans="3:8">
      <c r="D551">
        <f>[2]!asn([2]!sn(D550)*[2]!sn(D549)/60)</f>
        <v>28.772451313021509</v>
      </c>
    </row>
    <row r="552" spans="3:8">
      <c r="D552">
        <f>[2]!acs([2]!csn(D550)*60/[2]!csn(D551))</f>
        <v>37.580045171780874</v>
      </c>
    </row>
    <row r="553" spans="3:8">
      <c r="C553" t="s">
        <v>880</v>
      </c>
      <c r="D553">
        <f>[2]!acs([2]!csn(D547-D552)*[2]!csn(D551)/60)</f>
        <v>48.545954457518242</v>
      </c>
    </row>
    <row r="554" spans="3:8">
      <c r="C554" t="s">
        <v>880</v>
      </c>
      <c r="D554">
        <f>[2]!ertefasa(D548,D549,D546,D545)</f>
        <v>48.545954457518242</v>
      </c>
    </row>
    <row r="556" spans="3:8">
      <c r="C556" s="4" t="s">
        <v>799</v>
      </c>
      <c r="D556" s="4"/>
      <c r="E556" s="4"/>
      <c r="F556" s="4"/>
      <c r="G556" s="4"/>
      <c r="H556" s="4"/>
    </row>
    <row r="557" spans="3:8">
      <c r="C557" s="4" t="s">
        <v>390</v>
      </c>
      <c r="D557" s="4">
        <f>1250+E557</f>
        <v>1281</v>
      </c>
      <c r="E557" s="4">
        <v>31</v>
      </c>
      <c r="F557" s="4"/>
      <c r="G557" s="4"/>
      <c r="H557" s="4"/>
    </row>
    <row r="558" spans="3:8">
      <c r="C558" s="4" t="s">
        <v>4</v>
      </c>
      <c r="D558" s="4">
        <v>1</v>
      </c>
      <c r="E558" s="4"/>
      <c r="F558" s="4"/>
      <c r="G558" s="4"/>
      <c r="H558" s="4"/>
    </row>
    <row r="559" spans="3:8">
      <c r="C559" s="4" t="s">
        <v>5</v>
      </c>
      <c r="D559" s="4">
        <v>1</v>
      </c>
      <c r="E559" s="4"/>
      <c r="F559" s="4"/>
      <c r="G559" s="4"/>
      <c r="H559" s="4"/>
    </row>
    <row r="560" spans="3:8">
      <c r="C560" s="4" t="s">
        <v>330</v>
      </c>
      <c r="D560" s="4">
        <v>0</v>
      </c>
      <c r="E560" s="4"/>
      <c r="F560" s="4"/>
      <c r="G560" s="4"/>
      <c r="H560" s="4"/>
    </row>
    <row r="561" spans="3:8">
      <c r="C561" s="4"/>
      <c r="D561" s="4"/>
      <c r="E561" s="4"/>
      <c r="F561" s="4"/>
      <c r="G561" s="4"/>
      <c r="H561" s="4"/>
    </row>
    <row r="562" spans="3:8" ht="24.75">
      <c r="C562" s="4">
        <f>360-D562</f>
        <v>132.86253436436488</v>
      </c>
      <c r="D562" s="4">
        <f>[2]!rasq(D557,D558,D559,D560)</f>
        <v>227.13746563563512</v>
      </c>
      <c r="E562" s="133">
        <f>INT(ABS(D562))</f>
        <v>227</v>
      </c>
      <c r="F562" s="133">
        <f>INT((ABS(D562)-E562)*60)</f>
        <v>8</v>
      </c>
      <c r="G562" s="133">
        <f>INT((((ABS(D562)-E562)*60)-F562)*60)</f>
        <v>14</v>
      </c>
      <c r="H562" s="133">
        <f>INT((((((ABS(D562)-E562)*60)-F562)*60)-G562)*60)</f>
        <v>52</v>
      </c>
    </row>
    <row r="563" spans="3:8" ht="24.75">
      <c r="C563" s="4"/>
      <c r="D563" s="4">
        <f>[2]!rasqnamoaddal(D557,D558,D559,D560)</f>
        <v>227.08431516100001</v>
      </c>
      <c r="E563" s="133">
        <f>INT(ABS(D563))</f>
        <v>227</v>
      </c>
      <c r="F563" s="133">
        <f>INT((ABS(D563)-E563)*60)</f>
        <v>5</v>
      </c>
      <c r="G563" s="133">
        <f>INT((((ABS(D563)-E563)*60)-F563)*60)</f>
        <v>3</v>
      </c>
      <c r="H563" s="133">
        <f>INT((((((ABS(D563)-E563)*60)-F563)*60)-G563)*60)</f>
        <v>32</v>
      </c>
    </row>
    <row r="564" spans="3:8" ht="24.75">
      <c r="C564" s="4"/>
      <c r="D564" s="4">
        <f>[2]!rasq(1251,1,1,0)</f>
        <v>70.105127283462366</v>
      </c>
      <c r="E564" s="133">
        <f>INT(ABS(D564))</f>
        <v>70</v>
      </c>
      <c r="F564" s="133">
        <f>INT((ABS(D564)-E564)*60)</f>
        <v>6</v>
      </c>
      <c r="G564" s="133">
        <f>INT((((ABS(D564)-E564)*60)-F564)*60)</f>
        <v>18</v>
      </c>
      <c r="H564" s="133">
        <f>INT((((((ABS(D564)-E564)*60)-F564)*60)-G564)*60)</f>
        <v>27</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C148"/>
  <sheetViews>
    <sheetView rightToLeft="1" topLeftCell="AS8" zoomScale="85" zoomScaleNormal="85" workbookViewId="0">
      <selection activeCell="AZ14" sqref="AZ14:AZ18"/>
    </sheetView>
  </sheetViews>
  <sheetFormatPr defaultColWidth="9.140625" defaultRowHeight="15"/>
  <cols>
    <col min="1" max="1" width="9.140625" style="797"/>
    <col min="2" max="2" width="5.140625" style="797" customWidth="1"/>
    <col min="3" max="3" width="8.85546875" style="327" customWidth="1"/>
    <col min="4" max="4" width="9.28515625" style="327" customWidth="1"/>
    <col min="5" max="5" width="8.140625" style="327" customWidth="1"/>
    <col min="6" max="6" width="10.5703125" style="327" customWidth="1"/>
    <col min="7" max="14" width="9.140625" style="327"/>
    <col min="15" max="15" width="9.42578125" style="327" customWidth="1"/>
    <col min="16" max="32" width="9.140625" style="327"/>
    <col min="33" max="33" width="9.7109375" style="327" customWidth="1"/>
    <col min="34" max="40" width="9.140625" style="327"/>
    <col min="41" max="41" width="11.140625" style="327" customWidth="1"/>
    <col min="42" max="42" width="13.42578125" style="327" customWidth="1"/>
    <col min="43" max="43" width="15.42578125" style="327" customWidth="1"/>
    <col min="44" max="44" width="17.42578125" style="327" customWidth="1"/>
    <col min="45" max="45" width="12.28515625" style="327" bestFit="1" customWidth="1"/>
    <col min="46" max="46" width="10.140625" style="327" bestFit="1" customWidth="1"/>
    <col min="47" max="47" width="14" style="327" customWidth="1"/>
    <col min="48" max="48" width="14.42578125" style="327" customWidth="1"/>
    <col min="49" max="49" width="12.7109375" style="327" customWidth="1"/>
    <col min="50" max="50" width="12.28515625" style="327" customWidth="1"/>
    <col min="51" max="51" width="11.5703125" style="327" customWidth="1"/>
    <col min="52" max="52" width="12.5703125" style="327" customWidth="1"/>
    <col min="53" max="53" width="12.28515625" style="327" customWidth="1"/>
    <col min="54" max="54" width="15.42578125" style="327" customWidth="1"/>
    <col min="55" max="57" width="9.140625" style="327"/>
    <col min="58" max="58" width="11.28515625" style="327" customWidth="1"/>
    <col min="59" max="62" width="9.140625" style="327"/>
    <col min="63" max="63" width="11" style="327" customWidth="1"/>
    <col min="64" max="64" width="12.7109375" style="327" customWidth="1"/>
    <col min="65" max="78" width="9.140625" style="327"/>
    <col min="79" max="79" width="6.28515625" style="327" customWidth="1"/>
    <col min="80" max="80" width="6.140625" style="327" customWidth="1"/>
    <col min="81" max="81" width="7.28515625" style="327" customWidth="1"/>
    <col min="82" max="82" width="5.5703125" style="327" customWidth="1"/>
    <col min="83" max="83" width="9.140625" style="327"/>
    <col min="84" max="84" width="6" style="327" customWidth="1"/>
    <col min="85" max="85" width="7" style="327" customWidth="1"/>
    <col min="86" max="86" width="7.140625" style="327" customWidth="1"/>
    <col min="87" max="87" width="9.85546875" style="327" customWidth="1"/>
    <col min="88" max="88" width="7.28515625" style="327" customWidth="1"/>
    <col min="89" max="89" width="9.140625" style="327"/>
    <col min="90" max="90" width="8.7109375" style="327" customWidth="1"/>
    <col min="91" max="91" width="7.42578125" style="327" customWidth="1"/>
    <col min="92" max="92" width="8.140625" style="327" customWidth="1"/>
    <col min="93" max="93" width="7" style="327" customWidth="1"/>
    <col min="94" max="94" width="7.140625" style="327" customWidth="1"/>
    <col min="95" max="95" width="6.7109375" style="327" customWidth="1"/>
    <col min="96" max="96" width="6.85546875" style="327" customWidth="1"/>
    <col min="97" max="98" width="9.140625" style="327"/>
    <col min="99" max="99" width="6" style="327" customWidth="1"/>
    <col min="100" max="100" width="6.5703125" style="327" customWidth="1"/>
    <col min="101" max="101" width="8.85546875" style="327" customWidth="1"/>
    <col min="102" max="102" width="4.140625" style="327" customWidth="1"/>
    <col min="103" max="103" width="4.5703125" style="327" customWidth="1"/>
    <col min="104" max="104" width="13.140625" style="327" customWidth="1"/>
    <col min="105" max="105" width="12.7109375" style="327" customWidth="1"/>
    <col min="106" max="106" width="6" style="327" customWidth="1"/>
    <col min="107" max="107" width="7.7109375" style="327" customWidth="1"/>
    <col min="108" max="114" width="9.140625" style="327"/>
    <col min="115" max="115" width="13.42578125" style="327" customWidth="1"/>
    <col min="116" max="116" width="9.140625" style="327"/>
    <col min="117" max="117" width="16.85546875" style="327" customWidth="1"/>
    <col min="118" max="123" width="9.140625" style="327"/>
    <col min="124" max="124" width="11.28515625" style="327" customWidth="1"/>
    <col min="125" max="16384" width="9.140625" style="327"/>
  </cols>
  <sheetData>
    <row r="1" spans="4:471">
      <c r="J1" s="327" t="s">
        <v>378</v>
      </c>
      <c r="K1" s="327">
        <f>L24</f>
        <v>288.05694970514799</v>
      </c>
      <c r="L1" s="327">
        <f>INT(ABS(K1))</f>
        <v>288</v>
      </c>
      <c r="M1" s="327">
        <f>INT((ABS(K1)-L1)*60)</f>
        <v>3</v>
      </c>
      <c r="N1" s="327">
        <f>INT((((ABS(K1)-L1)*60)-M1)*60)</f>
        <v>25</v>
      </c>
      <c r="O1" s="327">
        <f t="shared" ref="O1:P8" si="0">(N1-INT(N1))*60</f>
        <v>0</v>
      </c>
      <c r="P1" s="327" t="s">
        <v>665</v>
      </c>
      <c r="Q1" s="327">
        <f>Y90</f>
        <v>0</v>
      </c>
      <c r="R1" s="327">
        <f>INT(ABS(Q1))</f>
        <v>0</v>
      </c>
      <c r="S1" s="327">
        <f>INT((ABS(Q1)-R1)*60)</f>
        <v>0</v>
      </c>
      <c r="T1" s="327">
        <f>INT((((ABS(Q1)-R1)*60)-S1)*60)</f>
        <v>0</v>
      </c>
      <c r="U1" s="327">
        <f>(T1-INT(T1))*60</f>
        <v>0</v>
      </c>
      <c r="AE1" s="327" t="s">
        <v>3972</v>
      </c>
    </row>
    <row r="2" spans="4:471" ht="15.75" thickBot="1">
      <c r="J2" s="327" t="s">
        <v>663</v>
      </c>
      <c r="K2" s="327">
        <f>L44</f>
        <v>211.58658333490089</v>
      </c>
      <c r="L2" s="327">
        <f>INT(ABS(K2))</f>
        <v>211</v>
      </c>
      <c r="M2" s="327">
        <f>INT((ABS(K2)-L2)*60)</f>
        <v>35</v>
      </c>
      <c r="N2" s="327">
        <f>INT((((ABS(K2)-L2)*60)-M2)*60)</f>
        <v>11</v>
      </c>
      <c r="O2" s="327">
        <f t="shared" si="0"/>
        <v>0</v>
      </c>
      <c r="P2" s="327" t="s">
        <v>664</v>
      </c>
      <c r="Q2" s="327">
        <f>L141</f>
        <v>210.56127265140302</v>
      </c>
      <c r="R2" s="327">
        <f>INT(ABS(Q2))</f>
        <v>210</v>
      </c>
      <c r="S2" s="327">
        <f>INT((ABS(Q2)-R2)*60)</f>
        <v>33</v>
      </c>
      <c r="T2" s="327">
        <f>INT((((ABS(Q2)-R2)*60)-S2)*60)</f>
        <v>40</v>
      </c>
      <c r="U2" s="327">
        <f>(T2-INT(T2))*60</f>
        <v>0</v>
      </c>
      <c r="AF2" s="327" t="s">
        <v>3807</v>
      </c>
      <c r="BA2" s="797"/>
    </row>
    <row r="3" spans="4:471" ht="23.25">
      <c r="J3" s="327" t="s">
        <v>492</v>
      </c>
      <c r="K3" s="327">
        <f>Y43</f>
        <v>59</v>
      </c>
      <c r="L3" s="327">
        <f>INT(ABS(K3))</f>
        <v>59</v>
      </c>
      <c r="M3" s="327">
        <f>INT((ABS(K3)-L3)*60)</f>
        <v>0</v>
      </c>
      <c r="N3" s="327">
        <f>INT((((ABS(K3)-L3)*60)-M3)*60)</f>
        <v>0</v>
      </c>
      <c r="O3" s="327">
        <f t="shared" si="0"/>
        <v>0</v>
      </c>
      <c r="AF3" s="705" t="s">
        <v>144</v>
      </c>
      <c r="AG3" s="706" t="s">
        <v>3</v>
      </c>
      <c r="AH3" s="706">
        <v>1445</v>
      </c>
      <c r="AI3" s="706" t="s">
        <v>5</v>
      </c>
      <c r="AJ3" s="706">
        <v>2</v>
      </c>
      <c r="AK3" s="706">
        <f>[1]!saatzij(AH3,AH4,[1]!roz(AJ3,AJ4,AJ5,AJ6))</f>
        <v>22.969197202852495</v>
      </c>
      <c r="AL3" s="707"/>
      <c r="AR3" s="151" t="s">
        <v>275</v>
      </c>
      <c r="AS3" s="151" t="s">
        <v>403</v>
      </c>
      <c r="AT3" s="151"/>
    </row>
    <row r="4" spans="4:471" ht="23.25">
      <c r="J4" s="327" t="s">
        <v>666</v>
      </c>
      <c r="K4" s="327">
        <f>L91</f>
        <v>275.205644884496</v>
      </c>
      <c r="L4" s="327">
        <f>INT(ABS(K4))</f>
        <v>275</v>
      </c>
      <c r="M4" s="327">
        <f>INT((ABS(K4)-L4)*60)</f>
        <v>12</v>
      </c>
      <c r="N4" s="327">
        <f>INT((((ABS(K4)-L4)*60)-M4)*60)</f>
        <v>20</v>
      </c>
      <c r="O4" s="327">
        <f t="shared" si="0"/>
        <v>0</v>
      </c>
      <c r="AF4" s="708"/>
      <c r="AG4" s="226" t="s">
        <v>4</v>
      </c>
      <c r="AH4" s="226">
        <v>6</v>
      </c>
      <c r="AI4" s="226" t="s">
        <v>219</v>
      </c>
      <c r="AJ4" s="226">
        <v>23</v>
      </c>
      <c r="AK4" s="226"/>
      <c r="AL4" s="761"/>
      <c r="AR4" s="151">
        <v>35.721899999999998</v>
      </c>
      <c r="AS4" s="151">
        <v>51.334699999999998</v>
      </c>
      <c r="AT4" s="151" t="s">
        <v>4022</v>
      </c>
      <c r="AW4" s="797"/>
    </row>
    <row r="5" spans="4:471" ht="24" thickBot="1">
      <c r="K5" s="327">
        <f>V14</f>
        <v>0</v>
      </c>
      <c r="L5" s="327">
        <f>INT(ABS(K5))</f>
        <v>0</v>
      </c>
      <c r="M5" s="327">
        <f>INT((ABS(K5)-L5)*60)</f>
        <v>0</v>
      </c>
      <c r="N5" s="327">
        <f>INT((((ABS(K5)-L5)*60)-M5)*60)</f>
        <v>0</v>
      </c>
      <c r="O5" s="327">
        <f t="shared" si="0"/>
        <v>0</v>
      </c>
      <c r="W5" s="327">
        <f>AC5</f>
        <v>48.803236255158836</v>
      </c>
      <c r="X5" s="327">
        <f>INT(W5)</f>
        <v>48</v>
      </c>
      <c r="Y5" s="327">
        <f>(W5-X5)*60</f>
        <v>48.194175309530181</v>
      </c>
      <c r="Z5" s="327">
        <f t="shared" ref="Z5:AA7" si="1">(Y5-INT(Y5))*60</f>
        <v>11.650518571810835</v>
      </c>
      <c r="AA5" s="327">
        <f t="shared" si="1"/>
        <v>39.031114308650103</v>
      </c>
      <c r="AC5" s="327">
        <f>[1]!rasmer(V7,V8,V9,V10)</f>
        <v>48.803236255158836</v>
      </c>
      <c r="AD5" s="327" t="s">
        <v>2296</v>
      </c>
      <c r="AF5" s="708"/>
      <c r="AG5" s="226" t="s">
        <v>5</v>
      </c>
      <c r="AH5" s="226">
        <f>[1]!roz(AJ3,AK3,0,0)</f>
        <v>2.9570498834521874</v>
      </c>
      <c r="AI5" s="226" t="s">
        <v>166</v>
      </c>
      <c r="AJ5" s="226">
        <v>0</v>
      </c>
      <c r="AK5" s="226"/>
      <c r="AL5" s="761"/>
      <c r="AR5" s="151">
        <v>24.8</v>
      </c>
      <c r="AS5" s="151">
        <v>85.890169999999998</v>
      </c>
      <c r="AT5" s="151" t="s">
        <v>4023</v>
      </c>
      <c r="AW5" s="327">
        <f>0.88*60</f>
        <v>52.8</v>
      </c>
      <c r="AX5" s="327">
        <f>[1]!bkm(AZ7,0,AZ12)</f>
        <v>5.2156836743508652</v>
      </c>
      <c r="AY5" s="327" t="s">
        <v>5</v>
      </c>
      <c r="AZ5" s="327">
        <f>[1]!roz(BB7,BB8,BB9,BB10)</f>
        <v>3.8541666666666665</v>
      </c>
    </row>
    <row r="6" spans="4:471" ht="25.5" thickBot="1">
      <c r="L6" s="327">
        <f>R6</f>
        <v>95.647226517881023</v>
      </c>
      <c r="M6" s="327">
        <f>INT(L6)</f>
        <v>95</v>
      </c>
      <c r="N6" s="327">
        <f>(L6-M6)*60</f>
        <v>38.833591072861395</v>
      </c>
      <c r="O6" s="327">
        <f t="shared" si="0"/>
        <v>50.01546437168372</v>
      </c>
      <c r="P6" s="327">
        <f t="shared" si="0"/>
        <v>0.92786230102319678</v>
      </c>
      <c r="R6" s="327">
        <f>[1]!rasmosh(E10,E11,E12,E13)</f>
        <v>95.647226517881023</v>
      </c>
      <c r="S6" s="327" t="s">
        <v>2297</v>
      </c>
      <c r="U6" s="348" t="s">
        <v>492</v>
      </c>
      <c r="V6" s="348"/>
      <c r="W6" s="327">
        <f>AC6</f>
        <v>143.27769576593869</v>
      </c>
      <c r="X6" s="327">
        <f>INT(W6)</f>
        <v>143</v>
      </c>
      <c r="Y6" s="327">
        <f>(W6-X6)*60</f>
        <v>16.661745956321283</v>
      </c>
      <c r="Z6" s="327">
        <f t="shared" si="1"/>
        <v>39.704757379276998</v>
      </c>
      <c r="AA6" s="327">
        <f t="shared" si="1"/>
        <v>42.285442756619886</v>
      </c>
      <c r="AC6" s="327">
        <f>[1]!oujmer(V7,V8,V9,V10)</f>
        <v>143.27769576593869</v>
      </c>
      <c r="AD6" s="327" t="s">
        <v>1296</v>
      </c>
      <c r="AF6" s="708"/>
      <c r="AG6" s="226" t="s">
        <v>377</v>
      </c>
      <c r="AH6" s="226">
        <f>[1]!mbtool(2,20,4,1)</f>
        <v>9.7268518518518518E-2</v>
      </c>
      <c r="AI6" s="226" t="s">
        <v>167</v>
      </c>
      <c r="AJ6" s="226">
        <v>0</v>
      </c>
      <c r="AK6" s="226"/>
      <c r="AL6" s="761"/>
      <c r="AX6" s="327" t="s">
        <v>2202</v>
      </c>
      <c r="AY6" s="327">
        <f>[1]!saatzij(AZ7,AZ8,[1]!roz(BB7,BB8,BB9,BB10))</f>
        <v>20.377309729076607</v>
      </c>
      <c r="AZ6" s="327">
        <f>AY6</f>
        <v>20.377309729076607</v>
      </c>
      <c r="BA6" s="445">
        <f>INT(ABS(AZ6))</f>
        <v>20</v>
      </c>
      <c r="BB6" s="445">
        <f>INT((ABS(AZ6)-BA6)*60)</f>
        <v>22</v>
      </c>
      <c r="BC6" s="445">
        <f>INT((((ABS(AZ6)-BA6)*60)-BB6)*60)</f>
        <v>38</v>
      </c>
      <c r="BD6" s="451"/>
      <c r="BF6" s="451"/>
      <c r="BN6" s="932"/>
      <c r="BU6" s="797"/>
      <c r="BZ6" s="742" t="s">
        <v>4230</v>
      </c>
      <c r="CA6" s="743"/>
      <c r="CB6" s="743"/>
      <c r="CC6" s="1748"/>
      <c r="CD6" s="1748"/>
      <c r="CE6" s="1748"/>
      <c r="CF6" s="1748"/>
      <c r="CG6" s="1748"/>
      <c r="CH6" s="1748"/>
      <c r="CI6" s="1749"/>
      <c r="CJ6" s="1754"/>
    </row>
    <row r="7" spans="4:471" ht="25.5" thickBot="1">
      <c r="L7" s="327">
        <f>R7</f>
        <v>179.92942385599414</v>
      </c>
      <c r="M7" s="327">
        <f>INT(L7)</f>
        <v>179</v>
      </c>
      <c r="N7" s="327">
        <f>(L7-M7)*60</f>
        <v>55.765431359648687</v>
      </c>
      <c r="O7" s="327">
        <f t="shared" si="0"/>
        <v>45.925881578921235</v>
      </c>
      <c r="P7" s="327">
        <f t="shared" si="0"/>
        <v>55.552894735274094</v>
      </c>
      <c r="R7" s="327">
        <f>[1]!oujmosh(E10,E11,E12,E13)</f>
        <v>179.92942385599414</v>
      </c>
      <c r="S7" s="327" t="s">
        <v>1294</v>
      </c>
      <c r="U7" s="16" t="s">
        <v>3</v>
      </c>
      <c r="V7" s="16">
        <f>E10</f>
        <v>705</v>
      </c>
      <c r="W7" s="327">
        <f>AC7</f>
        <v>358.73760698956539</v>
      </c>
      <c r="X7" s="327">
        <f>INT(W7)</f>
        <v>358</v>
      </c>
      <c r="Y7" s="327">
        <f>(W7-X7)*60</f>
        <v>44.256419373923563</v>
      </c>
      <c r="Z7" s="327">
        <f t="shared" si="1"/>
        <v>15.385162435413804</v>
      </c>
      <c r="AA7" s="327">
        <f t="shared" si="1"/>
        <v>23.109746124828234</v>
      </c>
      <c r="AC7" s="327">
        <f>[1]!wasatmer(V7,V8,V9,V10)</f>
        <v>358.73760698956539</v>
      </c>
      <c r="AD7" s="327" t="s">
        <v>1295</v>
      </c>
      <c r="AF7" s="728" t="s">
        <v>1544</v>
      </c>
      <c r="AG7" s="729" t="s">
        <v>612</v>
      </c>
      <c r="AH7" s="729">
        <f>[1]!wasat(AH3,AH4,AH5,AH6)</f>
        <v>264.19892148027822</v>
      </c>
      <c r="AI7" s="939">
        <f t="shared" ref="AI7" si="2">INT(ABS(AH7))</f>
        <v>264</v>
      </c>
      <c r="AJ7" s="939">
        <f t="shared" ref="AJ7" si="3">INT((ABS(AH7)-AI7)*60)</f>
        <v>11</v>
      </c>
      <c r="AK7" s="939">
        <f t="shared" ref="AK7" si="4">INT((((ABS(AH7)-AI7)*60)-AJ7)*60)</f>
        <v>56</v>
      </c>
      <c r="AL7" s="940">
        <f t="shared" ref="AL7" si="5">INT((((((ABS(AH7)-AI7)*60)-AJ7)*60)-AK7)*60)</f>
        <v>7</v>
      </c>
      <c r="AQ7" s="1471"/>
      <c r="AR7" s="1472" t="s">
        <v>3873</v>
      </c>
      <c r="AS7" s="1472"/>
      <c r="AT7" s="1472" t="s">
        <v>172</v>
      </c>
      <c r="AU7" s="1472"/>
      <c r="AV7" s="1472"/>
      <c r="AW7" s="1472"/>
      <c r="AX7" s="705" t="s">
        <v>144</v>
      </c>
      <c r="AY7" s="706" t="s">
        <v>3</v>
      </c>
      <c r="AZ7" s="706">
        <v>1446</v>
      </c>
      <c r="BA7" s="706" t="s">
        <v>5</v>
      </c>
      <c r="BB7" s="706">
        <v>3</v>
      </c>
      <c r="BC7" s="706" t="s">
        <v>177</v>
      </c>
      <c r="BD7" s="706">
        <f>AR4</f>
        <v>35.721899999999998</v>
      </c>
      <c r="BE7" s="707"/>
      <c r="BF7" s="1105" t="s">
        <v>3925</v>
      </c>
      <c r="BG7" s="1106" t="s">
        <v>3905</v>
      </c>
      <c r="BH7" s="1107" t="s">
        <v>2366</v>
      </c>
      <c r="BI7" s="1107" t="s">
        <v>172</v>
      </c>
      <c r="BJ7" s="1107" t="s">
        <v>166</v>
      </c>
      <c r="BK7" s="1108" t="s">
        <v>167</v>
      </c>
      <c r="BL7" s="1105" t="s">
        <v>3925</v>
      </c>
      <c r="BM7" s="1106" t="s">
        <v>3905</v>
      </c>
      <c r="BN7" s="1107" t="s">
        <v>2366</v>
      </c>
      <c r="BO7" s="1107" t="s">
        <v>172</v>
      </c>
      <c r="BP7" s="1107" t="s">
        <v>166</v>
      </c>
      <c r="BQ7" s="1108" t="s">
        <v>167</v>
      </c>
      <c r="BR7" s="1318" t="s">
        <v>3946</v>
      </c>
      <c r="BS7" s="1316"/>
      <c r="BT7" s="1316"/>
      <c r="BU7" s="1316"/>
      <c r="BV7" s="1316"/>
      <c r="BW7" s="1316"/>
      <c r="BX7" s="1317"/>
      <c r="BZ7" s="1463" t="s">
        <v>144</v>
      </c>
      <c r="CA7" s="1465"/>
      <c r="CB7" s="1738" t="s">
        <v>3</v>
      </c>
      <c r="CC7" s="571">
        <f>IF(CA9-1&gt;0,CA8,CA8-1)</f>
        <v>1445</v>
      </c>
      <c r="CD7" s="571">
        <f t="shared" ref="CD7:CH8" si="6">CC7</f>
        <v>1445</v>
      </c>
      <c r="CE7" s="571">
        <f t="shared" si="6"/>
        <v>1445</v>
      </c>
      <c r="CF7" s="571">
        <f t="shared" si="6"/>
        <v>1445</v>
      </c>
      <c r="CG7" s="1744">
        <f t="shared" si="6"/>
        <v>1445</v>
      </c>
      <c r="CH7" s="1740">
        <f t="shared" si="6"/>
        <v>1445</v>
      </c>
      <c r="CI7" s="1740">
        <f>CG16</f>
        <v>1445</v>
      </c>
      <c r="CJ7" s="1547"/>
      <c r="CS7" s="1496"/>
      <c r="CT7" s="1496"/>
      <c r="CU7" s="1496"/>
      <c r="CV7" s="1496"/>
      <c r="CW7" s="1496"/>
      <c r="CX7" s="1496"/>
      <c r="CY7" s="1496"/>
      <c r="CZ7" s="1496"/>
      <c r="DA7" s="1496"/>
      <c r="DB7" s="1496"/>
      <c r="DC7" s="1496"/>
      <c r="DD7" s="1496"/>
      <c r="DE7" s="1496"/>
      <c r="DF7" s="1496"/>
      <c r="DG7" s="1496"/>
      <c r="DS7" s="1496"/>
      <c r="DT7" s="1496"/>
      <c r="DU7" s="1496"/>
      <c r="DV7" s="1496"/>
      <c r="DW7" s="1496"/>
      <c r="DX7" s="1496"/>
      <c r="DY7" s="1496"/>
      <c r="DZ7" s="1496"/>
      <c r="EA7" s="1496"/>
      <c r="EB7" s="1496"/>
      <c r="EC7" s="1496"/>
      <c r="ED7" s="1496"/>
      <c r="EE7" s="1496"/>
      <c r="EF7" s="1496"/>
      <c r="EG7" s="1496"/>
      <c r="EH7" s="1496"/>
      <c r="EI7" s="1496"/>
      <c r="EJ7" s="1496"/>
      <c r="EK7" s="1496"/>
      <c r="EL7" s="1496"/>
      <c r="EM7" s="1496"/>
      <c r="EN7" s="1496"/>
      <c r="EO7" s="1496"/>
      <c r="EP7" s="1496"/>
      <c r="EQ7" s="1496"/>
      <c r="ER7" s="1496"/>
      <c r="ES7" s="1496"/>
      <c r="ET7" s="1496"/>
      <c r="EU7" s="1496"/>
      <c r="EV7" s="1496"/>
      <c r="EW7" s="1496"/>
      <c r="EX7" s="1496"/>
      <c r="EY7" s="1496"/>
      <c r="EZ7" s="1496"/>
      <c r="FA7" s="1496"/>
      <c r="FB7" s="1496"/>
      <c r="FC7" s="1496"/>
      <c r="FD7" s="1496"/>
      <c r="FE7" s="1496"/>
      <c r="FF7" s="1496"/>
      <c r="FG7" s="1496"/>
      <c r="FH7" s="1496"/>
      <c r="FI7" s="1496"/>
      <c r="FJ7" s="1496"/>
      <c r="FK7" s="1496"/>
      <c r="FL7" s="1496"/>
      <c r="FM7" s="1496"/>
      <c r="FN7" s="1496"/>
      <c r="FO7" s="1496"/>
      <c r="FP7" s="1496"/>
      <c r="FQ7" s="1496"/>
      <c r="FR7" s="1496"/>
      <c r="FS7" s="1496"/>
      <c r="FT7" s="1496"/>
      <c r="FU7" s="1496"/>
      <c r="FV7" s="1496"/>
      <c r="FW7" s="1496"/>
      <c r="FX7" s="1496"/>
      <c r="FY7" s="1496"/>
      <c r="FZ7" s="1496"/>
      <c r="GA7" s="1496"/>
      <c r="GB7" s="1496"/>
      <c r="GC7" s="1496"/>
      <c r="GD7" s="1496"/>
      <c r="GE7" s="1496"/>
      <c r="GF7" s="1496"/>
      <c r="GG7" s="1496"/>
      <c r="GH7" s="1496"/>
      <c r="GI7" s="1496"/>
      <c r="GJ7" s="1496"/>
      <c r="GK7" s="1496"/>
      <c r="GL7" s="1496"/>
      <c r="GM7" s="1496"/>
      <c r="GN7" s="1496"/>
      <c r="GO7" s="1496"/>
      <c r="GP7" s="1496"/>
      <c r="GQ7" s="1496"/>
      <c r="GR7" s="1496"/>
      <c r="GS7" s="1496"/>
      <c r="GT7" s="1496"/>
      <c r="GU7" s="1496"/>
      <c r="GV7" s="1496"/>
      <c r="GW7" s="1496"/>
      <c r="GX7" s="1496"/>
      <c r="GY7" s="1496"/>
      <c r="GZ7" s="1496"/>
      <c r="HA7" s="1496"/>
      <c r="HB7" s="1496"/>
      <c r="HC7" s="1496"/>
      <c r="HD7" s="1496"/>
      <c r="HE7" s="1496"/>
      <c r="HF7" s="1496"/>
      <c r="HG7" s="1496"/>
      <c r="HH7" s="1496"/>
      <c r="HI7" s="1496"/>
      <c r="HJ7" s="1496"/>
      <c r="HK7" s="1496"/>
      <c r="HL7" s="1496"/>
      <c r="HM7" s="1496"/>
      <c r="HN7" s="1496"/>
      <c r="HO7" s="1496"/>
      <c r="HP7" s="1496"/>
      <c r="HQ7" s="1496"/>
      <c r="HR7" s="1496"/>
      <c r="HS7" s="1496"/>
      <c r="HT7" s="1496"/>
      <c r="HU7" s="1496"/>
      <c r="HV7" s="1496"/>
      <c r="HW7" s="1496"/>
      <c r="HX7" s="1496"/>
      <c r="HY7" s="1496"/>
      <c r="HZ7" s="1496"/>
      <c r="IA7" s="1496"/>
      <c r="IB7" s="1496"/>
      <c r="IC7" s="1496"/>
      <c r="ID7" s="1496"/>
      <c r="IE7" s="1496"/>
      <c r="IF7" s="1496"/>
      <c r="IG7" s="1496"/>
      <c r="IH7" s="1496"/>
      <c r="II7" s="1496"/>
      <c r="IJ7" s="1496"/>
      <c r="IK7" s="1496"/>
      <c r="IL7" s="1496"/>
      <c r="IM7" s="1496"/>
      <c r="IN7" s="1496"/>
      <c r="IO7" s="1496"/>
      <c r="IP7" s="1496"/>
      <c r="IQ7" s="1496"/>
      <c r="IR7" s="1496"/>
      <c r="IS7" s="1496"/>
      <c r="IT7" s="1496"/>
      <c r="IU7" s="1496"/>
      <c r="IV7" s="1496"/>
      <c r="IW7" s="1496"/>
      <c r="IX7" s="1496"/>
      <c r="IY7" s="1496"/>
      <c r="IZ7" s="1496"/>
      <c r="JA7" s="1496"/>
      <c r="JB7" s="1496"/>
      <c r="JC7" s="1496"/>
      <c r="JD7" s="1496"/>
      <c r="JE7" s="1496"/>
      <c r="JF7" s="1496"/>
      <c r="JG7" s="1496"/>
      <c r="JH7" s="1496"/>
      <c r="JI7" s="1496"/>
      <c r="JJ7" s="1496"/>
      <c r="JK7" s="1496"/>
      <c r="JL7" s="1496"/>
      <c r="JM7" s="1496"/>
      <c r="JN7" s="1496"/>
      <c r="JO7" s="1496"/>
      <c r="JP7" s="1496"/>
      <c r="JQ7" s="1496"/>
      <c r="JR7" s="1496"/>
      <c r="JS7" s="1496"/>
      <c r="JT7" s="1496"/>
      <c r="JU7" s="1496"/>
      <c r="JV7" s="1496"/>
      <c r="JW7" s="1496"/>
      <c r="JX7" s="1496"/>
      <c r="JY7" s="1496"/>
      <c r="JZ7" s="1496"/>
      <c r="KA7" s="1496"/>
      <c r="KB7" s="1496"/>
      <c r="KC7" s="1496"/>
      <c r="KD7" s="1496"/>
      <c r="KE7" s="1496"/>
      <c r="KF7" s="1496"/>
      <c r="KG7" s="1496"/>
      <c r="KH7" s="1496"/>
      <c r="KI7" s="1496"/>
      <c r="KJ7" s="1496"/>
      <c r="KK7" s="1496"/>
      <c r="KL7" s="1496"/>
      <c r="KM7" s="1496"/>
      <c r="KN7" s="1496"/>
      <c r="KO7" s="1496"/>
      <c r="KP7" s="1496"/>
      <c r="KQ7" s="1496"/>
      <c r="KR7" s="1496"/>
      <c r="KS7" s="1496"/>
      <c r="KT7" s="1496"/>
      <c r="KU7" s="1496"/>
      <c r="KV7" s="1496"/>
      <c r="KW7" s="1496"/>
      <c r="KX7" s="1496"/>
      <c r="KY7" s="1496"/>
      <c r="KZ7" s="1496"/>
      <c r="LA7" s="1496"/>
      <c r="LB7" s="1496"/>
      <c r="LC7" s="1496"/>
      <c r="LD7" s="1496"/>
      <c r="LE7" s="1496"/>
      <c r="LF7" s="1496"/>
      <c r="LG7" s="1496"/>
      <c r="LH7" s="1496"/>
      <c r="LI7" s="1496"/>
      <c r="LJ7" s="1496"/>
      <c r="LK7" s="1496"/>
      <c r="LL7" s="1496"/>
      <c r="LM7" s="1496"/>
      <c r="LN7" s="1496"/>
      <c r="LO7" s="1496"/>
      <c r="LP7" s="1496"/>
      <c r="LQ7" s="1496"/>
      <c r="LR7" s="1496"/>
      <c r="LS7" s="1496"/>
      <c r="LT7" s="1496"/>
      <c r="LU7" s="1496"/>
      <c r="LV7" s="1496"/>
      <c r="LW7" s="1496"/>
      <c r="LX7" s="1496"/>
      <c r="LY7" s="1496"/>
      <c r="LZ7" s="1496"/>
      <c r="MA7" s="1496"/>
      <c r="MB7" s="1496"/>
      <c r="MC7" s="1496"/>
      <c r="MD7" s="1496"/>
      <c r="ME7" s="1496"/>
      <c r="MF7" s="1496"/>
      <c r="MG7" s="1496"/>
      <c r="MH7" s="1496"/>
      <c r="MI7" s="1496"/>
      <c r="MJ7" s="1496"/>
      <c r="MK7" s="1496"/>
      <c r="ML7" s="1496"/>
      <c r="MM7" s="1496"/>
      <c r="MN7" s="1496"/>
      <c r="MO7" s="1496"/>
      <c r="MP7" s="1496"/>
      <c r="MQ7" s="1496"/>
      <c r="MR7" s="1496"/>
      <c r="MS7" s="1496"/>
      <c r="MT7" s="1496"/>
      <c r="MU7" s="1496"/>
      <c r="MV7" s="1496"/>
      <c r="MW7" s="1496"/>
      <c r="MX7" s="1496"/>
      <c r="MY7" s="1496"/>
      <c r="MZ7" s="1496"/>
      <c r="NA7" s="1496"/>
      <c r="NB7" s="1496"/>
      <c r="NC7" s="1496"/>
      <c r="ND7" s="1496"/>
      <c r="NE7" s="1496"/>
      <c r="NF7" s="1496"/>
      <c r="NG7" s="1496"/>
      <c r="NH7" s="1496"/>
      <c r="NI7" s="1496"/>
      <c r="NJ7" s="1496"/>
      <c r="NK7" s="1496"/>
      <c r="NL7" s="1496"/>
      <c r="NM7" s="1496"/>
      <c r="NN7" s="1496"/>
      <c r="NO7" s="1496"/>
      <c r="NP7" s="1496"/>
      <c r="NQ7" s="1496"/>
      <c r="NR7" s="1496"/>
      <c r="NS7" s="1496"/>
      <c r="NT7" s="1496"/>
      <c r="NU7" s="1496"/>
      <c r="NV7" s="1496"/>
      <c r="NW7" s="1496"/>
      <c r="NX7" s="1496"/>
      <c r="NY7" s="1496"/>
      <c r="NZ7" s="1496"/>
      <c r="OA7" s="1496"/>
      <c r="OB7" s="1496"/>
      <c r="OC7" s="1496"/>
      <c r="OD7" s="1496"/>
      <c r="OE7" s="1496"/>
      <c r="OF7" s="1496"/>
      <c r="OG7" s="1496"/>
      <c r="OH7" s="1496"/>
      <c r="OI7" s="1496"/>
      <c r="OJ7" s="1496"/>
      <c r="OK7" s="1496"/>
      <c r="OL7" s="1496"/>
      <c r="OM7" s="1496"/>
      <c r="ON7" s="1496"/>
      <c r="OO7" s="1496"/>
      <c r="OP7" s="1496"/>
      <c r="OQ7" s="1496"/>
      <c r="OR7" s="1496"/>
      <c r="OS7" s="1496"/>
      <c r="OT7" s="1496"/>
      <c r="OU7" s="1496"/>
      <c r="OV7" s="1496"/>
      <c r="OW7" s="1496"/>
      <c r="OX7" s="1496"/>
      <c r="OY7" s="1496"/>
      <c r="OZ7" s="1496"/>
      <c r="PA7" s="1496"/>
      <c r="PB7" s="1496"/>
      <c r="PC7" s="1496"/>
      <c r="PD7" s="1496"/>
      <c r="PE7" s="1496"/>
      <c r="PF7" s="1496"/>
      <c r="PG7" s="1496"/>
      <c r="PH7" s="1496"/>
      <c r="PI7" s="1496"/>
      <c r="PJ7" s="1496"/>
      <c r="PK7" s="1496"/>
      <c r="PL7" s="1496"/>
      <c r="PM7" s="1496"/>
      <c r="PN7" s="1496"/>
      <c r="PO7" s="1496"/>
      <c r="PP7" s="1496"/>
      <c r="PQ7" s="1496"/>
      <c r="PR7" s="1496"/>
      <c r="PS7" s="1496"/>
      <c r="PT7" s="1496"/>
      <c r="PU7" s="1496"/>
      <c r="PV7" s="1496"/>
      <c r="PW7" s="1496"/>
      <c r="PX7" s="1496"/>
      <c r="PY7" s="1496"/>
      <c r="PZ7" s="1496"/>
      <c r="QA7" s="1496"/>
      <c r="QB7" s="1496"/>
      <c r="QC7" s="1496"/>
      <c r="QD7" s="1496"/>
      <c r="QE7" s="1496"/>
      <c r="QF7" s="1496"/>
    </row>
    <row r="8" spans="4:471" ht="25.5" thickBot="1">
      <c r="L8" s="327">
        <f>R8</f>
        <v>203.60063050302426</v>
      </c>
      <c r="M8" s="327">
        <f>INT(L8)</f>
        <v>203</v>
      </c>
      <c r="N8" s="327">
        <f>(L8-M8)*60</f>
        <v>36.037830181455774</v>
      </c>
      <c r="O8" s="327">
        <f t="shared" si="0"/>
        <v>2.2698108873464662</v>
      </c>
      <c r="P8" s="327">
        <f t="shared" si="0"/>
        <v>16.188653240787971</v>
      </c>
      <c r="R8" s="327">
        <f>[1]!wasatmosh(E10,E11,E12,E13)</f>
        <v>203.60063050302426</v>
      </c>
      <c r="S8" s="327" t="s">
        <v>1288</v>
      </c>
      <c r="U8" s="16" t="s">
        <v>4</v>
      </c>
      <c r="V8" s="16">
        <f>E11</f>
        <v>6</v>
      </c>
      <c r="W8" s="16"/>
      <c r="X8" s="16"/>
      <c r="Y8" s="16"/>
      <c r="Z8" s="16"/>
      <c r="AA8" s="16"/>
      <c r="AF8" s="732"/>
      <c r="AG8" s="238" t="s">
        <v>552</v>
      </c>
      <c r="AH8" s="238">
        <f>[1]!oujsh(AH3,AH4,AH5,AH6)</f>
        <v>103.6452183660731</v>
      </c>
      <c r="AI8" s="451">
        <f t="shared" ref="AI8:AI13" si="7">INT(ABS(AH8))</f>
        <v>103</v>
      </c>
      <c r="AJ8" s="451">
        <f t="shared" ref="AJ8:AJ13" si="8">INT((ABS(AH8)-AI8)*60)</f>
        <v>38</v>
      </c>
      <c r="AK8" s="451">
        <f t="shared" ref="AK8:AK13" si="9">INT((((ABS(AH8)-AI8)*60)-AJ8)*60)</f>
        <v>42</v>
      </c>
      <c r="AL8" s="932">
        <f t="shared" ref="AL8:AL13" si="10">INT((((((ABS(AH8)-AI8)*60)-AJ8)*60)-AK8)*60)</f>
        <v>47</v>
      </c>
      <c r="AQ8" s="1473" t="s">
        <v>144</v>
      </c>
      <c r="AR8" s="1634" t="s">
        <v>3871</v>
      </c>
      <c r="AS8" s="1474">
        <f>AS4</f>
        <v>51.334699999999998</v>
      </c>
      <c r="AT8" s="243">
        <f>INT(ABS(AS8))</f>
        <v>51</v>
      </c>
      <c r="AU8" s="243">
        <f>INT((ABS(AS8)-AT8)*60)</f>
        <v>20</v>
      </c>
      <c r="AV8" s="243">
        <f>INT((((ABS(AS8)-AT8)*60)-AU8)*60)</f>
        <v>4</v>
      </c>
      <c r="AW8" s="243">
        <f>INT((((((ABS(AS8)-AT8)*60)-AU8)*60)-AV8)*60)</f>
        <v>55</v>
      </c>
      <c r="AX8" s="708"/>
      <c r="AY8" s="226" t="s">
        <v>4</v>
      </c>
      <c r="AZ8" s="226">
        <v>10</v>
      </c>
      <c r="BA8" s="226" t="s">
        <v>3971</v>
      </c>
      <c r="BB8" s="226">
        <v>20</v>
      </c>
      <c r="BC8" s="226" t="s">
        <v>3950</v>
      </c>
      <c r="BD8" s="226">
        <f>(((BB10/60)+BB9)/60)+BB8</f>
        <v>20.5</v>
      </c>
      <c r="BE8" s="761"/>
      <c r="BF8" s="1764" t="s">
        <v>3926</v>
      </c>
      <c r="BG8" s="2501" t="str">
        <f>[1]!shamsqamarame(AZ7,AZ8,AZ9,AZ10)</f>
        <v>qermottasel</v>
      </c>
      <c r="BH8" s="1110">
        <f>AP32</f>
        <v>59.258265620115012</v>
      </c>
      <c r="BI8" s="939">
        <f t="shared" ref="BI8:BI18" si="11">INT(ABS(BH8))</f>
        <v>59</v>
      </c>
      <c r="BJ8" s="939">
        <f t="shared" ref="BJ8" si="12">INT((ABS(BH8)-BI8)*60)</f>
        <v>15</v>
      </c>
      <c r="BK8" s="940">
        <f t="shared" ref="BK8" si="13">INT((((ABS(BH8)-BI8)*60)-BJ8)*60)</f>
        <v>29</v>
      </c>
      <c r="BL8" s="1109" t="s">
        <v>3915</v>
      </c>
      <c r="BM8" s="2500" t="str">
        <f>[1]!otaredzohreame(AZ7,AZ8,AZ9,AZ10)</f>
        <v>qermottasel</v>
      </c>
      <c r="BN8" s="1110">
        <f>BB32</f>
        <v>0.88468029784377222</v>
      </c>
      <c r="BO8" s="939">
        <f t="shared" ref="BO8:BO17" si="14">INT(ABS(BN8))</f>
        <v>0</v>
      </c>
      <c r="BP8" s="939">
        <f>INT((ABS(BN8)-BO8)*60)</f>
        <v>53</v>
      </c>
      <c r="BQ8" s="940">
        <f>INT((((ABS(BN8)-BO8)*60)-BP8)*60)</f>
        <v>4</v>
      </c>
      <c r="BR8" s="1308"/>
      <c r="BS8" s="1309" t="s">
        <v>3944</v>
      </c>
      <c r="BT8" s="1309">
        <f>AZ12</f>
        <v>13.218647636615986</v>
      </c>
      <c r="BU8" s="1312">
        <f t="shared" ref="BU8" si="15">INT(ABS(BT8))</f>
        <v>13</v>
      </c>
      <c r="BV8" s="1312">
        <f t="shared" ref="BV8" si="16">INT((ABS(BT8)-BU8)*60)</f>
        <v>13</v>
      </c>
      <c r="BW8" s="1312">
        <f t="shared" ref="BW8" si="17">INT((((ABS(BT8)-BU8)*60)-BV8)*60)</f>
        <v>7</v>
      </c>
      <c r="BX8" s="1313">
        <f t="shared" ref="BX8" si="18">INT((((((ABS(BT8)-BU8)*60)-BV8)*60)-BW8)*60)</f>
        <v>7</v>
      </c>
      <c r="BZ8" s="780" t="s">
        <v>3</v>
      </c>
      <c r="CA8" s="781">
        <v>1445</v>
      </c>
      <c r="CB8" s="1603" t="s">
        <v>4</v>
      </c>
      <c r="CC8" s="429">
        <f>IF(CA9-1&gt;0,CA9-1,CA9-1+12)</f>
        <v>2</v>
      </c>
      <c r="CD8" s="429">
        <f t="shared" si="6"/>
        <v>2</v>
      </c>
      <c r="CE8" s="429">
        <f t="shared" si="6"/>
        <v>2</v>
      </c>
      <c r="CF8" s="429">
        <f t="shared" si="6"/>
        <v>2</v>
      </c>
      <c r="CG8" s="1745">
        <f t="shared" si="6"/>
        <v>2</v>
      </c>
      <c r="CH8" s="1741">
        <f t="shared" si="6"/>
        <v>2</v>
      </c>
      <c r="CI8" s="1741">
        <f>CG17</f>
        <v>3</v>
      </c>
      <c r="CJ8" s="1547"/>
      <c r="CS8" s="384"/>
      <c r="CT8" s="384"/>
      <c r="CU8" s="384"/>
      <c r="CV8" s="384"/>
      <c r="CW8" s="384"/>
      <c r="CX8" s="384"/>
      <c r="CY8" s="384"/>
      <c r="CZ8" s="384"/>
      <c r="DA8" s="384"/>
      <c r="DB8" s="384"/>
      <c r="DC8" s="384"/>
      <c r="DD8" s="384"/>
      <c r="DE8" s="384"/>
      <c r="DF8" s="384"/>
      <c r="DG8" s="384"/>
      <c r="DS8" s="384"/>
      <c r="DT8" s="384"/>
      <c r="DU8" s="384"/>
      <c r="DV8" s="384"/>
      <c r="DW8" s="384"/>
      <c r="DX8" s="384"/>
      <c r="DY8" s="384"/>
      <c r="DZ8" s="384"/>
      <c r="EA8" s="384"/>
      <c r="EB8" s="384"/>
      <c r="EC8" s="384"/>
      <c r="ED8" s="384"/>
      <c r="EE8" s="384"/>
      <c r="EF8" s="384"/>
      <c r="EG8" s="384"/>
      <c r="EH8" s="384"/>
      <c r="EI8" s="384"/>
      <c r="EJ8" s="384"/>
      <c r="EK8" s="384"/>
      <c r="EL8" s="384"/>
      <c r="EM8" s="384"/>
      <c r="EN8" s="384"/>
      <c r="EO8" s="384"/>
      <c r="EP8" s="384"/>
      <c r="EQ8" s="384"/>
      <c r="ER8" s="384"/>
      <c r="ES8" s="384"/>
      <c r="ET8" s="384"/>
      <c r="EU8" s="384"/>
      <c r="EV8" s="384"/>
      <c r="EW8" s="384"/>
      <c r="EX8" s="384"/>
      <c r="EY8" s="384"/>
      <c r="EZ8" s="384"/>
      <c r="FA8" s="384"/>
      <c r="FB8" s="384"/>
      <c r="FC8" s="384"/>
      <c r="FD8" s="384"/>
      <c r="FE8" s="384"/>
      <c r="FF8" s="384"/>
      <c r="FG8" s="384"/>
      <c r="FH8" s="384"/>
      <c r="FI8" s="384"/>
      <c r="FJ8" s="384"/>
      <c r="FK8" s="384"/>
      <c r="FL8" s="384"/>
      <c r="FM8" s="384"/>
      <c r="FN8" s="384"/>
      <c r="FO8" s="384"/>
      <c r="FP8" s="384"/>
      <c r="FQ8" s="384"/>
      <c r="FR8" s="384"/>
      <c r="FS8" s="384"/>
      <c r="FT8" s="384"/>
      <c r="FU8" s="384"/>
      <c r="FV8" s="384"/>
      <c r="FW8" s="384"/>
      <c r="FX8" s="384"/>
      <c r="FY8" s="384"/>
      <c r="FZ8" s="384"/>
      <c r="GA8" s="384"/>
      <c r="GB8" s="384"/>
      <c r="GC8" s="384"/>
      <c r="GD8" s="384"/>
      <c r="GE8" s="384"/>
      <c r="GF8" s="384"/>
      <c r="GG8" s="384"/>
      <c r="GH8" s="384"/>
      <c r="GI8" s="384"/>
      <c r="GJ8" s="384"/>
      <c r="GK8" s="384"/>
      <c r="GL8" s="384"/>
      <c r="GM8" s="384"/>
      <c r="GN8" s="384"/>
      <c r="GO8" s="384"/>
      <c r="GP8" s="384"/>
      <c r="GQ8" s="384"/>
      <c r="GR8" s="384"/>
      <c r="GS8" s="384"/>
      <c r="GT8" s="384"/>
      <c r="GU8" s="384"/>
      <c r="GV8" s="384"/>
      <c r="GW8" s="384"/>
      <c r="GX8" s="384"/>
      <c r="GY8" s="384"/>
      <c r="GZ8" s="384"/>
      <c r="HA8" s="384"/>
      <c r="HB8" s="384"/>
      <c r="HC8" s="384"/>
      <c r="HD8" s="384"/>
      <c r="HE8" s="384"/>
      <c r="HF8" s="384"/>
      <c r="HG8" s="384"/>
      <c r="HH8" s="384"/>
      <c r="HI8" s="384"/>
      <c r="HJ8" s="384"/>
      <c r="HK8" s="384"/>
      <c r="HL8" s="384"/>
      <c r="HM8" s="384"/>
      <c r="HN8" s="384"/>
      <c r="HO8" s="384"/>
      <c r="HP8" s="384"/>
      <c r="HQ8" s="384"/>
      <c r="HR8" s="384"/>
      <c r="HS8" s="384"/>
      <c r="HT8" s="384"/>
      <c r="HU8" s="384"/>
      <c r="HV8" s="384"/>
      <c r="HW8" s="384"/>
      <c r="HX8" s="384"/>
      <c r="HY8" s="384"/>
      <c r="HZ8" s="384"/>
      <c r="IA8" s="384"/>
      <c r="IB8" s="384"/>
      <c r="IC8" s="384"/>
      <c r="ID8" s="384"/>
      <c r="IE8" s="384"/>
      <c r="IF8" s="384"/>
      <c r="IG8" s="384"/>
      <c r="IH8" s="384"/>
      <c r="II8" s="384"/>
      <c r="IJ8" s="384"/>
      <c r="IK8" s="384"/>
      <c r="IL8" s="384"/>
      <c r="IM8" s="384"/>
      <c r="IN8" s="384"/>
      <c r="IO8" s="384"/>
      <c r="IP8" s="384"/>
      <c r="IQ8" s="384"/>
      <c r="IR8" s="384"/>
      <c r="IS8" s="384"/>
      <c r="IT8" s="384"/>
      <c r="IU8" s="384"/>
      <c r="IV8" s="384"/>
      <c r="IW8" s="384"/>
      <c r="IX8" s="384"/>
      <c r="IY8" s="384"/>
      <c r="IZ8" s="384"/>
      <c r="JA8" s="384"/>
      <c r="JB8" s="384"/>
      <c r="JC8" s="384"/>
      <c r="JD8" s="384"/>
      <c r="JE8" s="384"/>
      <c r="JF8" s="384"/>
      <c r="JG8" s="384"/>
      <c r="JH8" s="384"/>
      <c r="JI8" s="384"/>
      <c r="JJ8" s="384"/>
      <c r="JK8" s="384"/>
      <c r="JL8" s="384"/>
      <c r="JM8" s="384"/>
      <c r="JN8" s="384"/>
      <c r="JO8" s="384"/>
      <c r="JP8" s="384"/>
      <c r="JQ8" s="384"/>
      <c r="JR8" s="384"/>
      <c r="JS8" s="384"/>
      <c r="JT8" s="384"/>
      <c r="JU8" s="384"/>
      <c r="JV8" s="384"/>
      <c r="JW8" s="384"/>
      <c r="JX8" s="384"/>
      <c r="JY8" s="384"/>
      <c r="JZ8" s="384"/>
      <c r="KA8" s="384"/>
      <c r="KB8" s="384"/>
      <c r="KC8" s="384"/>
      <c r="KD8" s="384"/>
      <c r="KE8" s="384"/>
      <c r="KF8" s="384"/>
      <c r="KG8" s="384"/>
      <c r="KH8" s="384"/>
      <c r="KI8" s="384"/>
      <c r="KJ8" s="384"/>
      <c r="KK8" s="384"/>
      <c r="KL8" s="384"/>
      <c r="KM8" s="384"/>
      <c r="KN8" s="384"/>
      <c r="KO8" s="384"/>
      <c r="KP8" s="384"/>
      <c r="KQ8" s="384"/>
      <c r="KR8" s="384"/>
      <c r="KS8" s="384"/>
      <c r="KT8" s="384"/>
      <c r="KU8" s="384"/>
      <c r="KV8" s="384"/>
      <c r="KW8" s="384"/>
      <c r="KX8" s="384"/>
      <c r="KY8" s="384"/>
      <c r="KZ8" s="384"/>
      <c r="LA8" s="384"/>
      <c r="LB8" s="384"/>
      <c r="LC8" s="384"/>
      <c r="LD8" s="384"/>
      <c r="LE8" s="384"/>
      <c r="LF8" s="384"/>
      <c r="LG8" s="384"/>
      <c r="LH8" s="384"/>
      <c r="LI8" s="384"/>
      <c r="LJ8" s="384"/>
      <c r="LK8" s="384"/>
      <c r="LL8" s="384"/>
      <c r="LM8" s="384"/>
      <c r="LN8" s="384"/>
      <c r="LO8" s="384"/>
      <c r="LP8" s="384"/>
      <c r="LQ8" s="384"/>
      <c r="LR8" s="384"/>
      <c r="LS8" s="384"/>
      <c r="LT8" s="384"/>
      <c r="LU8" s="384"/>
      <c r="LV8" s="384"/>
      <c r="LW8" s="384"/>
      <c r="LX8" s="384"/>
      <c r="LY8" s="384"/>
      <c r="LZ8" s="384"/>
      <c r="MA8" s="384"/>
      <c r="MB8" s="384"/>
      <c r="MC8" s="384"/>
      <c r="MD8" s="384"/>
      <c r="ME8" s="384"/>
      <c r="MF8" s="384"/>
      <c r="MG8" s="384"/>
      <c r="MH8" s="384"/>
      <c r="MI8" s="384"/>
      <c r="MJ8" s="384"/>
      <c r="MK8" s="384"/>
      <c r="ML8" s="384"/>
      <c r="MM8" s="384"/>
      <c r="MN8" s="384"/>
      <c r="MO8" s="384"/>
      <c r="MP8" s="384"/>
      <c r="MQ8" s="384"/>
      <c r="MR8" s="384"/>
      <c r="MS8" s="384"/>
      <c r="MT8" s="384"/>
      <c r="MU8" s="384"/>
      <c r="MV8" s="384"/>
      <c r="MW8" s="384"/>
      <c r="MX8" s="384"/>
      <c r="MY8" s="384"/>
      <c r="MZ8" s="384"/>
      <c r="NA8" s="384"/>
      <c r="NB8" s="384"/>
      <c r="NC8" s="384"/>
      <c r="ND8" s="384"/>
      <c r="NE8" s="384"/>
      <c r="NF8" s="384"/>
      <c r="NG8" s="384"/>
      <c r="NH8" s="384"/>
      <c r="NI8" s="384"/>
      <c r="NJ8" s="384"/>
      <c r="NK8" s="384"/>
      <c r="NL8" s="384"/>
      <c r="NM8" s="384"/>
      <c r="NN8" s="384"/>
      <c r="NO8" s="384"/>
      <c r="NP8" s="384"/>
      <c r="NQ8" s="384"/>
      <c r="NR8" s="384"/>
      <c r="NS8" s="384"/>
      <c r="NT8" s="384"/>
      <c r="NU8" s="384"/>
      <c r="NV8" s="384"/>
      <c r="NW8" s="384"/>
      <c r="NX8" s="384"/>
      <c r="NY8" s="384"/>
      <c r="NZ8" s="384"/>
      <c r="OA8" s="384"/>
      <c r="OB8" s="384"/>
      <c r="OC8" s="384"/>
      <c r="OD8" s="384"/>
      <c r="OE8" s="384"/>
      <c r="OF8" s="384"/>
      <c r="OG8" s="384"/>
      <c r="OH8" s="384"/>
      <c r="OI8" s="384"/>
      <c r="OJ8" s="384"/>
      <c r="OK8" s="384"/>
      <c r="OL8" s="384"/>
      <c r="OM8" s="384"/>
      <c r="ON8" s="384"/>
      <c r="OO8" s="384"/>
      <c r="OP8" s="384"/>
      <c r="OQ8" s="384"/>
      <c r="OR8" s="384"/>
      <c r="OS8" s="384"/>
      <c r="OT8" s="384"/>
      <c r="OU8" s="384"/>
      <c r="OV8" s="384"/>
      <c r="OW8" s="384"/>
      <c r="OX8" s="384"/>
      <c r="OY8" s="384"/>
      <c r="OZ8" s="384"/>
      <c r="PA8" s="384"/>
      <c r="PB8" s="384"/>
      <c r="PC8" s="384"/>
      <c r="PD8" s="384"/>
      <c r="PE8" s="384"/>
      <c r="PF8" s="384"/>
      <c r="PG8" s="384"/>
      <c r="PH8" s="384"/>
      <c r="PI8" s="384"/>
      <c r="PJ8" s="384"/>
      <c r="PK8" s="384"/>
      <c r="PL8" s="384"/>
      <c r="PM8" s="384"/>
      <c r="PN8" s="384"/>
      <c r="PO8" s="384"/>
      <c r="PP8" s="384"/>
      <c r="PQ8" s="384"/>
      <c r="PR8" s="384"/>
      <c r="PS8" s="384"/>
      <c r="PT8" s="384"/>
      <c r="PU8" s="384"/>
      <c r="PV8" s="384"/>
      <c r="PW8" s="384"/>
      <c r="PX8" s="384"/>
      <c r="PY8" s="384"/>
      <c r="PZ8" s="384"/>
      <c r="QA8" s="384"/>
      <c r="QB8" s="384"/>
      <c r="QC8" s="384"/>
      <c r="QD8" s="384"/>
      <c r="QE8" s="384"/>
      <c r="QF8" s="384"/>
      <c r="QG8" s="384"/>
      <c r="QH8" s="384"/>
      <c r="QI8" s="384"/>
      <c r="QJ8" s="384"/>
      <c r="QK8" s="384"/>
      <c r="QL8" s="384"/>
      <c r="QM8" s="384"/>
      <c r="QN8" s="384"/>
      <c r="QO8" s="384"/>
      <c r="QP8" s="384"/>
      <c r="QQ8" s="384"/>
      <c r="QR8" s="384"/>
      <c r="QS8" s="845"/>
      <c r="QT8" s="845"/>
      <c r="QU8" s="845"/>
      <c r="QV8" s="845"/>
      <c r="QW8" s="845"/>
      <c r="QX8" s="845"/>
      <c r="QY8" s="845"/>
      <c r="QZ8" s="845"/>
      <c r="RA8" s="845"/>
      <c r="RB8" s="845"/>
      <c r="RC8" s="845"/>
    </row>
    <row r="9" spans="4:471" ht="25.5" thickBot="1">
      <c r="D9" s="705"/>
      <c r="E9" s="706"/>
      <c r="F9" s="706" t="s">
        <v>5</v>
      </c>
      <c r="G9" s="706">
        <v>13</v>
      </c>
      <c r="H9" s="706"/>
      <c r="I9" s="707"/>
      <c r="J9" s="6" t="s">
        <v>1292</v>
      </c>
      <c r="K9" s="6"/>
      <c r="L9" s="6"/>
      <c r="M9" s="6"/>
      <c r="N9" s="6"/>
      <c r="O9" s="6"/>
      <c r="P9" s="6"/>
      <c r="U9" s="16" t="s">
        <v>5</v>
      </c>
      <c r="V9" s="16">
        <f>E12</f>
        <v>13.763888888888889</v>
      </c>
      <c r="W9" s="16"/>
      <c r="X9" s="16"/>
      <c r="Y9" s="16"/>
      <c r="Z9" s="16"/>
      <c r="AA9" s="16"/>
      <c r="AF9" s="941"/>
      <c r="AG9" s="239" t="s">
        <v>1481</v>
      </c>
      <c r="AH9" s="239">
        <f>[1]!taqsh(AH3,AH4,AH5,AH6)</f>
        <v>263.54207063791051</v>
      </c>
      <c r="AI9" s="942">
        <f t="shared" si="7"/>
        <v>263</v>
      </c>
      <c r="AJ9" s="942">
        <f t="shared" si="8"/>
        <v>32</v>
      </c>
      <c r="AK9" s="942">
        <f t="shared" si="9"/>
        <v>31</v>
      </c>
      <c r="AL9" s="943">
        <f t="shared" si="10"/>
        <v>27</v>
      </c>
      <c r="AQ9" s="1079"/>
      <c r="AR9" s="1635" t="s">
        <v>3869</v>
      </c>
      <c r="AS9" s="1080">
        <v>85.890166667000003</v>
      </c>
      <c r="AT9" s="1080"/>
      <c r="AU9" s="1080"/>
      <c r="AV9" s="1080"/>
      <c r="AW9" s="1080"/>
      <c r="AX9" s="708"/>
      <c r="AY9" s="226" t="s">
        <v>5</v>
      </c>
      <c r="AZ9" s="226">
        <f>[1]!roz(BB7,AY6,0,0)</f>
        <v>3.8490545720448588</v>
      </c>
      <c r="BA9" s="226" t="s">
        <v>166</v>
      </c>
      <c r="BB9" s="226">
        <v>30</v>
      </c>
      <c r="BC9" s="226"/>
      <c r="BD9" s="226"/>
      <c r="BE9" s="761"/>
      <c r="BF9" s="1116" t="s">
        <v>3907</v>
      </c>
      <c r="BG9" s="2502" t="str">
        <f>[1]!shamsotaredame(AZ7,AZ8,AZ9,AZ10)</f>
        <v>qermottasel</v>
      </c>
      <c r="BH9" s="1111">
        <f>AP36</f>
        <v>16.495799698943358</v>
      </c>
      <c r="BI9" s="451">
        <f t="shared" si="11"/>
        <v>16</v>
      </c>
      <c r="BJ9" s="451">
        <f t="shared" ref="BJ9:BJ18" si="19">INT((ABS(BH9)-BI9)*60)</f>
        <v>29</v>
      </c>
      <c r="BK9" s="932">
        <f t="shared" ref="BK9:BK18" si="20">INT((((ABS(BH9)-BI9)*60)-BJ9)*60)</f>
        <v>44</v>
      </c>
      <c r="BL9" s="1102" t="s">
        <v>3916</v>
      </c>
      <c r="BM9" s="2505" t="str">
        <f>[1]!otaredmerikhame(AZ7,AZ8,AZ9,AZ10)</f>
        <v>qermottasel</v>
      </c>
      <c r="BN9" s="1111">
        <f>BB36</f>
        <v>117.33546977439318</v>
      </c>
      <c r="BO9" s="451">
        <f t="shared" si="14"/>
        <v>117</v>
      </c>
      <c r="BP9" s="451">
        <f>INT((ABS(BN9)-BO9)*60)</f>
        <v>20</v>
      </c>
      <c r="BQ9" s="932">
        <f>INT((((ABS(BN9)-BO9)*60)-BP9)*60)</f>
        <v>7</v>
      </c>
      <c r="BR9" s="740"/>
      <c r="BS9" s="888" t="s">
        <v>3945</v>
      </c>
      <c r="BT9" s="888">
        <f>AZ13</f>
        <v>72.476913256730995</v>
      </c>
      <c r="BU9" s="930">
        <f t="shared" ref="BU9:BU15" si="21">INT(ABS(BT9))</f>
        <v>72</v>
      </c>
      <c r="BV9" s="930">
        <f t="shared" ref="BV9:BV15" si="22">INT((ABS(BT9)-BU9)*60)</f>
        <v>28</v>
      </c>
      <c r="BW9" s="930">
        <f t="shared" ref="BW9:BW15" si="23">INT((((ABS(BT9)-BU9)*60)-BV9)*60)</f>
        <v>36</v>
      </c>
      <c r="BX9" s="934">
        <f t="shared" ref="BX9:BX15" si="24">INT((((((ABS(BT9)-BU9)*60)-BV9)*60)-BW9)*60)</f>
        <v>53</v>
      </c>
      <c r="BZ9" s="780" t="s">
        <v>4</v>
      </c>
      <c r="CA9" s="781">
        <v>3</v>
      </c>
      <c r="CB9" s="1603" t="s">
        <v>1197</v>
      </c>
      <c r="CC9" s="429">
        <v>28</v>
      </c>
      <c r="CD9" s="429">
        <f>CC9+1</f>
        <v>29</v>
      </c>
      <c r="CE9" s="429">
        <f>CD9+1</f>
        <v>30</v>
      </c>
      <c r="CF9" s="429">
        <f>CE9+1</f>
        <v>31</v>
      </c>
      <c r="CG9" s="1745">
        <f>IF(AND(CC15&gt;=10,CC14&gt;=10),CC9,IF(AND(CD15&gt;=10,CD14&gt;=10),CD9,IF(AND(CE15&gt;=10,CE14&gt;=10),CE9,CF9)))</f>
        <v>30</v>
      </c>
      <c r="CH9" s="1742">
        <f>CG9</f>
        <v>30</v>
      </c>
      <c r="CI9" s="1742">
        <f>CG18</f>
        <v>31</v>
      </c>
      <c r="CJ9" s="1547"/>
      <c r="CS9" s="384"/>
      <c r="CT9" s="384"/>
      <c r="CU9" s="384"/>
      <c r="CV9" s="384"/>
      <c r="CW9" s="384"/>
      <c r="CX9" s="384"/>
      <c r="CY9" s="384"/>
      <c r="CZ9" s="384"/>
      <c r="DA9" s="384"/>
      <c r="DB9" s="384"/>
      <c r="DC9" s="384"/>
      <c r="DD9" s="384"/>
      <c r="DE9" s="384"/>
      <c r="DF9" s="384"/>
      <c r="DG9" s="384"/>
      <c r="DS9" s="384"/>
      <c r="DT9" s="384"/>
      <c r="DU9" s="384"/>
      <c r="DV9" s="384"/>
      <c r="DW9" s="384"/>
      <c r="DX9" s="384"/>
      <c r="DY9" s="384"/>
      <c r="DZ9" s="384"/>
      <c r="EA9" s="384"/>
      <c r="EB9" s="384"/>
      <c r="EC9" s="384"/>
      <c r="ED9" s="384"/>
      <c r="EE9" s="384"/>
      <c r="EF9" s="384"/>
      <c r="EG9" s="384"/>
      <c r="EH9" s="384"/>
      <c r="EI9" s="384"/>
      <c r="EJ9" s="384"/>
      <c r="EK9" s="384"/>
      <c r="EL9" s="384"/>
      <c r="EM9" s="384"/>
      <c r="EN9" s="384"/>
      <c r="EO9" s="384"/>
      <c r="EP9" s="384"/>
      <c r="EQ9" s="384"/>
      <c r="ER9" s="384"/>
      <c r="ES9" s="384"/>
      <c r="ET9" s="384"/>
      <c r="EU9" s="384"/>
      <c r="EV9" s="384"/>
      <c r="EW9" s="384"/>
      <c r="EX9" s="384"/>
      <c r="EY9" s="384"/>
      <c r="EZ9" s="384"/>
      <c r="FA9" s="384"/>
      <c r="FB9" s="384"/>
      <c r="FC9" s="384"/>
      <c r="FD9" s="384"/>
      <c r="FE9" s="384"/>
      <c r="FF9" s="384"/>
      <c r="FG9" s="384"/>
      <c r="FH9" s="384"/>
      <c r="FI9" s="384"/>
      <c r="FJ9" s="384"/>
      <c r="FK9" s="384"/>
      <c r="FL9" s="384"/>
      <c r="FM9" s="384"/>
      <c r="FN9" s="384"/>
      <c r="FO9" s="384"/>
      <c r="FP9" s="384"/>
      <c r="FQ9" s="384"/>
      <c r="FR9" s="384"/>
      <c r="FS9" s="384"/>
      <c r="FT9" s="384"/>
      <c r="FU9" s="384"/>
      <c r="FV9" s="384"/>
      <c r="FW9" s="384"/>
      <c r="FX9" s="384"/>
      <c r="FY9" s="384"/>
      <c r="FZ9" s="384"/>
      <c r="GA9" s="384"/>
      <c r="GB9" s="384"/>
      <c r="GC9" s="384"/>
      <c r="GD9" s="384"/>
      <c r="GE9" s="384"/>
      <c r="GF9" s="384"/>
      <c r="GG9" s="384"/>
      <c r="GH9" s="384"/>
      <c r="GI9" s="384"/>
      <c r="GJ9" s="384"/>
      <c r="GK9" s="384"/>
      <c r="GL9" s="384"/>
      <c r="GM9" s="384"/>
      <c r="GN9" s="384"/>
      <c r="GO9" s="384"/>
      <c r="GP9" s="384"/>
      <c r="GQ9" s="384"/>
      <c r="GR9" s="384"/>
      <c r="GS9" s="384"/>
      <c r="GT9" s="384"/>
      <c r="GU9" s="384"/>
      <c r="GV9" s="384"/>
      <c r="GW9" s="384"/>
      <c r="GX9" s="384"/>
      <c r="GY9" s="384"/>
      <c r="GZ9" s="384"/>
      <c r="HA9" s="384"/>
      <c r="HB9" s="384"/>
      <c r="HC9" s="384"/>
      <c r="HD9" s="384"/>
      <c r="HE9" s="384"/>
      <c r="HF9" s="384"/>
      <c r="HG9" s="384"/>
      <c r="HH9" s="384"/>
      <c r="HI9" s="384"/>
      <c r="HJ9" s="384"/>
      <c r="HK9" s="384"/>
      <c r="HL9" s="384"/>
      <c r="HM9" s="384"/>
      <c r="HN9" s="384"/>
      <c r="HO9" s="384"/>
      <c r="HP9" s="384"/>
      <c r="HQ9" s="384"/>
      <c r="HR9" s="384"/>
      <c r="HS9" s="384"/>
      <c r="HT9" s="384"/>
      <c r="HU9" s="384"/>
      <c r="HV9" s="384"/>
      <c r="HW9" s="384"/>
      <c r="HX9" s="384"/>
      <c r="HY9" s="384"/>
      <c r="HZ9" s="384"/>
      <c r="IA9" s="384"/>
      <c r="IB9" s="384"/>
      <c r="IC9" s="384"/>
      <c r="ID9" s="384"/>
      <c r="IE9" s="384"/>
      <c r="IF9" s="384"/>
      <c r="IG9" s="384"/>
      <c r="IH9" s="384"/>
      <c r="II9" s="384"/>
      <c r="IJ9" s="384"/>
      <c r="IK9" s="384"/>
      <c r="IL9" s="384"/>
      <c r="IM9" s="384"/>
      <c r="IN9" s="384"/>
      <c r="IO9" s="384"/>
      <c r="IP9" s="384"/>
      <c r="IQ9" s="384"/>
      <c r="IR9" s="384"/>
      <c r="IS9" s="384"/>
      <c r="IT9" s="384"/>
      <c r="IU9" s="384"/>
      <c r="IV9" s="384"/>
      <c r="IW9" s="384"/>
      <c r="IX9" s="384"/>
      <c r="IY9" s="384"/>
      <c r="IZ9" s="384"/>
      <c r="JA9" s="384"/>
      <c r="JB9" s="384"/>
      <c r="JC9" s="384"/>
      <c r="JD9" s="384"/>
      <c r="JE9" s="384"/>
      <c r="JF9" s="384"/>
      <c r="JG9" s="384"/>
      <c r="JH9" s="384"/>
      <c r="JI9" s="384"/>
      <c r="JJ9" s="384"/>
      <c r="JK9" s="384"/>
      <c r="JL9" s="384"/>
      <c r="JM9" s="384"/>
      <c r="JN9" s="384"/>
      <c r="JO9" s="384"/>
      <c r="JP9" s="384"/>
      <c r="JQ9" s="384"/>
      <c r="JR9" s="384"/>
      <c r="JS9" s="384"/>
      <c r="JT9" s="384"/>
      <c r="JU9" s="384"/>
      <c r="JV9" s="384"/>
      <c r="JW9" s="384"/>
      <c r="JX9" s="384"/>
      <c r="JY9" s="384"/>
      <c r="JZ9" s="384"/>
      <c r="KA9" s="384"/>
      <c r="KB9" s="384"/>
      <c r="KC9" s="384"/>
      <c r="KD9" s="384"/>
      <c r="KE9" s="384"/>
      <c r="KF9" s="384"/>
      <c r="KG9" s="384"/>
      <c r="KH9" s="384"/>
      <c r="KI9" s="384"/>
      <c r="KJ9" s="384"/>
      <c r="KK9" s="384"/>
      <c r="KL9" s="384"/>
      <c r="KM9" s="384"/>
      <c r="KN9" s="384"/>
      <c r="KO9" s="384"/>
      <c r="KP9" s="384"/>
      <c r="KQ9" s="384"/>
      <c r="KR9" s="384"/>
      <c r="KS9" s="384"/>
      <c r="KT9" s="384"/>
      <c r="KU9" s="384"/>
      <c r="KV9" s="384"/>
      <c r="KW9" s="384"/>
      <c r="KX9" s="384"/>
      <c r="KY9" s="384"/>
      <c r="KZ9" s="384"/>
      <c r="LA9" s="384"/>
      <c r="LB9" s="384"/>
      <c r="LC9" s="384"/>
      <c r="LD9" s="384"/>
      <c r="LE9" s="384"/>
      <c r="LF9" s="384"/>
      <c r="LG9" s="384"/>
      <c r="LH9" s="384"/>
      <c r="LI9" s="384"/>
      <c r="LJ9" s="384"/>
      <c r="LK9" s="384"/>
      <c r="LL9" s="384"/>
      <c r="LM9" s="384"/>
      <c r="LN9" s="384"/>
      <c r="LO9" s="384"/>
      <c r="LP9" s="384"/>
      <c r="LQ9" s="384"/>
      <c r="LR9" s="384"/>
      <c r="LS9" s="384"/>
      <c r="LT9" s="384"/>
      <c r="LU9" s="384"/>
      <c r="LV9" s="384"/>
      <c r="LW9" s="384"/>
      <c r="LX9" s="384"/>
      <c r="LY9" s="384"/>
      <c r="LZ9" s="384"/>
      <c r="MA9" s="384"/>
      <c r="MB9" s="384"/>
      <c r="MC9" s="384"/>
      <c r="MD9" s="384"/>
      <c r="ME9" s="384"/>
      <c r="MF9" s="384"/>
      <c r="MG9" s="384"/>
      <c r="MH9" s="384"/>
      <c r="MI9" s="384"/>
      <c r="MJ9" s="384"/>
      <c r="MK9" s="384"/>
      <c r="ML9" s="384"/>
      <c r="MM9" s="384"/>
      <c r="MN9" s="384"/>
      <c r="MO9" s="384"/>
      <c r="MP9" s="384"/>
      <c r="MQ9" s="384"/>
      <c r="MR9" s="384"/>
      <c r="MS9" s="384"/>
      <c r="MT9" s="384"/>
      <c r="MU9" s="384"/>
      <c r="MV9" s="384"/>
      <c r="MW9" s="384"/>
      <c r="MX9" s="384"/>
      <c r="MY9" s="384"/>
      <c r="MZ9" s="384"/>
      <c r="NA9" s="384"/>
      <c r="NB9" s="384"/>
      <c r="NC9" s="384"/>
      <c r="ND9" s="384"/>
      <c r="NE9" s="384"/>
      <c r="NF9" s="384"/>
      <c r="NG9" s="384"/>
      <c r="NH9" s="384"/>
      <c r="NI9" s="384"/>
      <c r="NJ9" s="384"/>
      <c r="NK9" s="384"/>
      <c r="NL9" s="384"/>
      <c r="NM9" s="384"/>
      <c r="NN9" s="384"/>
      <c r="NO9" s="384"/>
      <c r="NP9" s="384"/>
      <c r="NQ9" s="384"/>
      <c r="NR9" s="384"/>
      <c r="NS9" s="384"/>
      <c r="NT9" s="384"/>
      <c r="NU9" s="384"/>
      <c r="NV9" s="384"/>
      <c r="NW9" s="384"/>
      <c r="NX9" s="384"/>
      <c r="NY9" s="384"/>
      <c r="NZ9" s="384"/>
      <c r="OA9" s="384"/>
      <c r="OB9" s="384"/>
      <c r="OC9" s="384"/>
      <c r="OD9" s="384"/>
      <c r="OE9" s="384"/>
      <c r="OF9" s="384"/>
      <c r="OG9" s="384"/>
      <c r="OH9" s="384"/>
      <c r="OI9" s="384"/>
      <c r="OJ9" s="384"/>
      <c r="OK9" s="384"/>
      <c r="OL9" s="384"/>
      <c r="OM9" s="384"/>
      <c r="ON9" s="384"/>
      <c r="OO9" s="384"/>
      <c r="OP9" s="384"/>
      <c r="OQ9" s="384"/>
      <c r="OR9" s="384"/>
      <c r="OS9" s="384"/>
      <c r="OT9" s="384"/>
      <c r="OU9" s="384"/>
      <c r="OV9" s="384"/>
      <c r="OW9" s="384"/>
      <c r="OX9" s="384"/>
      <c r="OY9" s="384"/>
      <c r="OZ9" s="384"/>
      <c r="PA9" s="384"/>
      <c r="PB9" s="384"/>
      <c r="PC9" s="384"/>
      <c r="PD9" s="384"/>
      <c r="PE9" s="384"/>
      <c r="PF9" s="384"/>
      <c r="PG9" s="384"/>
      <c r="PH9" s="384"/>
      <c r="PI9" s="384"/>
      <c r="PJ9" s="384"/>
      <c r="PK9" s="384"/>
      <c r="PL9" s="384"/>
      <c r="PM9" s="384"/>
      <c r="PN9" s="384"/>
      <c r="PO9" s="384"/>
      <c r="PP9" s="384"/>
      <c r="PQ9" s="384"/>
      <c r="PR9" s="384"/>
      <c r="PS9" s="384"/>
      <c r="PT9" s="384"/>
      <c r="PU9" s="384"/>
      <c r="PV9" s="384"/>
      <c r="PW9" s="384"/>
      <c r="PX9" s="384"/>
      <c r="PY9" s="384"/>
      <c r="PZ9" s="384"/>
      <c r="QA9" s="384"/>
      <c r="QB9" s="384"/>
      <c r="QC9" s="384"/>
      <c r="QD9" s="384"/>
      <c r="QE9" s="384"/>
      <c r="QF9" s="384"/>
      <c r="QG9" s="384"/>
      <c r="QH9" s="384"/>
      <c r="QI9" s="384"/>
      <c r="QJ9" s="384"/>
      <c r="QK9" s="384"/>
      <c r="QL9" s="384"/>
      <c r="QM9" s="384"/>
      <c r="QN9" s="384"/>
      <c r="QO9" s="384"/>
      <c r="QP9" s="384"/>
      <c r="QQ9" s="384"/>
      <c r="QR9" s="384"/>
      <c r="QS9" s="845"/>
      <c r="QT9" s="845"/>
      <c r="QU9" s="845"/>
      <c r="QV9" s="845"/>
      <c r="QW9" s="845"/>
      <c r="QX9" s="845"/>
      <c r="QY9" s="845"/>
      <c r="QZ9" s="845"/>
      <c r="RA9" s="845"/>
      <c r="RB9" s="845"/>
      <c r="RC9" s="845"/>
    </row>
    <row r="10" spans="4:471" ht="25.5" thickBot="1">
      <c r="D10" s="708" t="s">
        <v>3</v>
      </c>
      <c r="E10" s="226">
        <v>705</v>
      </c>
      <c r="F10" s="363" t="s">
        <v>219</v>
      </c>
      <c r="G10" s="226">
        <v>18</v>
      </c>
      <c r="H10" s="226"/>
      <c r="I10" s="761"/>
      <c r="J10" s="6"/>
      <c r="K10" s="6"/>
      <c r="L10" s="6"/>
      <c r="M10" s="6"/>
      <c r="N10" s="6"/>
      <c r="O10" s="6"/>
      <c r="P10" s="6"/>
      <c r="U10" s="3" t="s">
        <v>377</v>
      </c>
      <c r="V10" s="3">
        <f>E13</f>
        <v>3.152777777777778E-2</v>
      </c>
      <c r="W10" s="3"/>
      <c r="X10" s="3" t="s">
        <v>172</v>
      </c>
      <c r="Y10" s="3" t="s">
        <v>166</v>
      </c>
      <c r="Z10" s="3" t="s">
        <v>167</v>
      </c>
      <c r="AA10" s="3" t="s">
        <v>168</v>
      </c>
      <c r="AB10" s="327" t="s">
        <v>1385</v>
      </c>
      <c r="AF10" s="647" t="s">
        <v>849</v>
      </c>
      <c r="AG10" s="261" t="s">
        <v>612</v>
      </c>
      <c r="AH10" s="261">
        <f>[1]!wasatq(AH3,AH4,AH5,AH6)</f>
        <v>302.68220228467544</v>
      </c>
      <c r="AI10" s="228">
        <f t="shared" si="7"/>
        <v>302</v>
      </c>
      <c r="AJ10" s="228">
        <f t="shared" si="8"/>
        <v>40</v>
      </c>
      <c r="AK10" s="228">
        <f t="shared" si="9"/>
        <v>55</v>
      </c>
      <c r="AL10" s="933">
        <f t="shared" si="10"/>
        <v>55</v>
      </c>
      <c r="AQ10" s="1082"/>
      <c r="AR10" s="1636"/>
      <c r="AS10" s="1083">
        <f>AS8-AS9</f>
        <v>-34.555466667000005</v>
      </c>
      <c r="AT10" s="1083"/>
      <c r="AU10" s="1083"/>
      <c r="AV10" s="1083"/>
      <c r="AW10" s="1083"/>
      <c r="AX10" s="762"/>
      <c r="AY10" s="763" t="s">
        <v>377</v>
      </c>
      <c r="AZ10" s="763">
        <f>AS13</f>
        <v>9.598740740833335E-2</v>
      </c>
      <c r="BA10" s="763" t="s">
        <v>167</v>
      </c>
      <c r="BB10" s="763">
        <v>0</v>
      </c>
      <c r="BC10" s="763"/>
      <c r="BD10" s="763"/>
      <c r="BE10" s="764"/>
      <c r="BF10" s="1116" t="s">
        <v>3908</v>
      </c>
      <c r="BG10" s="2502" t="str">
        <f>[1]!shamszohreame(AZ7,AZ8,AZ9,AZ10)</f>
        <v>qermottasel</v>
      </c>
      <c r="BH10" s="1111">
        <f>AP40</f>
        <v>17.38047999678713</v>
      </c>
      <c r="BI10" s="451">
        <f t="shared" si="11"/>
        <v>17</v>
      </c>
      <c r="BJ10" s="451">
        <f t="shared" si="19"/>
        <v>22</v>
      </c>
      <c r="BK10" s="932">
        <f t="shared" si="20"/>
        <v>49</v>
      </c>
      <c r="BL10" s="1102" t="s">
        <v>3917</v>
      </c>
      <c r="BM10" s="2505" t="str">
        <f>[1]!otaredmoshtariame(AZ7,AZ8,AZ9,AZ10)</f>
        <v>qermottasel</v>
      </c>
      <c r="BN10" s="1111">
        <f>BB40</f>
        <v>79.547562951805901</v>
      </c>
      <c r="BO10" s="451">
        <f t="shared" si="14"/>
        <v>79</v>
      </c>
      <c r="BP10" s="451">
        <f t="shared" ref="BP10:BP17" si="25">INT((ABS(BN10)-BO10)*60)</f>
        <v>32</v>
      </c>
      <c r="BQ10" s="932">
        <f t="shared" ref="BQ10:BQ17" si="26">INT((((ABS(BN10)-BO10)*60)-BP10)*60)</f>
        <v>51</v>
      </c>
      <c r="BR10" s="740"/>
      <c r="BS10" s="888" t="s">
        <v>341</v>
      </c>
      <c r="BT10" s="888">
        <f>IF(BT8&lt;=180,BT8,360-BT8)</f>
        <v>13.218647636615986</v>
      </c>
      <c r="BU10" s="930">
        <f t="shared" si="21"/>
        <v>13</v>
      </c>
      <c r="BV10" s="930">
        <f t="shared" si="22"/>
        <v>13</v>
      </c>
      <c r="BW10" s="930">
        <f t="shared" si="23"/>
        <v>7</v>
      </c>
      <c r="BX10" s="934">
        <f t="shared" si="24"/>
        <v>7</v>
      </c>
      <c r="BZ10" s="268" t="s">
        <v>3543</v>
      </c>
      <c r="CA10" s="327">
        <v>4</v>
      </c>
      <c r="CB10" s="1603" t="s">
        <v>3499</v>
      </c>
      <c r="CC10" s="429">
        <f>[1]!vqoroob(CC7,CC8,CC9,CC12,CC13)</f>
        <v>18.209767189363603</v>
      </c>
      <c r="CD10" s="429">
        <f>[1]!vqoroob(CD7,CD8,CD9,CD12,CD13)</f>
        <v>18.185100717865225</v>
      </c>
      <c r="CE10" s="429">
        <f>[1]!vqoroob(CE7,CE8,CE9,CE12,CE13)</f>
        <v>18.160418375256725</v>
      </c>
      <c r="CF10" s="429">
        <f>[1]!vqoroob(CF7,CF8,CF9,CF12,CF13)</f>
        <v>18.135733261168212</v>
      </c>
      <c r="CG10" s="1745"/>
      <c r="CH10" s="1741">
        <f>(CH7-1)/30</f>
        <v>48.133333333333333</v>
      </c>
      <c r="CI10" s="1741">
        <f>(CI7-1)/30</f>
        <v>48.133333333333333</v>
      </c>
      <c r="CJ10" s="1547"/>
      <c r="CS10" s="384"/>
      <c r="CT10" s="384"/>
      <c r="CU10" s="384"/>
      <c r="CV10" s="384"/>
      <c r="CW10" s="384"/>
      <c r="CX10" s="384"/>
      <c r="CY10" s="384"/>
      <c r="CZ10" s="384"/>
      <c r="DA10" s="384"/>
      <c r="DB10" s="384"/>
      <c r="DC10" s="384"/>
      <c r="DD10" s="384"/>
      <c r="DE10" s="384"/>
      <c r="DF10" s="384"/>
      <c r="DG10" s="384"/>
      <c r="DS10" s="384"/>
      <c r="DT10" s="384"/>
      <c r="DU10" s="384"/>
      <c r="DV10" s="384"/>
      <c r="DW10" s="384"/>
      <c r="DX10" s="384"/>
      <c r="DY10" s="384"/>
      <c r="DZ10" s="384"/>
      <c r="EA10" s="384"/>
      <c r="EB10" s="384"/>
      <c r="EC10" s="384"/>
      <c r="ED10" s="384"/>
      <c r="EE10" s="384"/>
      <c r="EF10" s="384"/>
      <c r="EG10" s="384"/>
      <c r="EH10" s="384"/>
      <c r="EI10" s="384"/>
      <c r="EJ10" s="384"/>
      <c r="EK10" s="384"/>
      <c r="EL10" s="384"/>
      <c r="EM10" s="384"/>
      <c r="EN10" s="384"/>
      <c r="EO10" s="384"/>
      <c r="EP10" s="384"/>
      <c r="EQ10" s="384"/>
      <c r="ER10" s="384"/>
      <c r="ES10" s="384"/>
      <c r="ET10" s="384"/>
      <c r="EU10" s="384"/>
      <c r="EV10" s="384"/>
      <c r="EW10" s="384"/>
      <c r="EX10" s="384"/>
      <c r="EY10" s="384"/>
      <c r="EZ10" s="384"/>
      <c r="FA10" s="384"/>
      <c r="FB10" s="384"/>
      <c r="FC10" s="384"/>
      <c r="FD10" s="384"/>
      <c r="FE10" s="384"/>
      <c r="FF10" s="384"/>
      <c r="FG10" s="384"/>
      <c r="FH10" s="384"/>
      <c r="FI10" s="384"/>
      <c r="FJ10" s="384"/>
      <c r="FK10" s="384"/>
      <c r="FL10" s="384"/>
      <c r="FM10" s="384"/>
      <c r="FN10" s="384"/>
      <c r="FO10" s="384"/>
      <c r="FP10" s="384"/>
      <c r="FQ10" s="384"/>
      <c r="FR10" s="384"/>
      <c r="FS10" s="384"/>
      <c r="FT10" s="384"/>
      <c r="FU10" s="384"/>
      <c r="FV10" s="384"/>
      <c r="FW10" s="384"/>
      <c r="FX10" s="384"/>
      <c r="FY10" s="384"/>
      <c r="FZ10" s="384"/>
      <c r="GA10" s="384"/>
      <c r="GB10" s="384"/>
      <c r="GC10" s="384"/>
      <c r="GD10" s="384"/>
      <c r="GE10" s="384"/>
      <c r="GF10" s="384"/>
      <c r="GG10" s="384"/>
      <c r="GH10" s="384"/>
      <c r="GI10" s="384"/>
      <c r="GJ10" s="384"/>
      <c r="GK10" s="384"/>
      <c r="GL10" s="384"/>
      <c r="GM10" s="384"/>
      <c r="GN10" s="384"/>
      <c r="GO10" s="384"/>
      <c r="GP10" s="384"/>
      <c r="GQ10" s="384"/>
      <c r="GR10" s="384"/>
      <c r="GS10" s="384"/>
      <c r="GT10" s="384"/>
      <c r="GU10" s="384"/>
      <c r="GV10" s="384"/>
      <c r="GW10" s="384"/>
      <c r="GX10" s="384"/>
      <c r="GY10" s="384"/>
      <c r="GZ10" s="384"/>
      <c r="HA10" s="384"/>
      <c r="HB10" s="384"/>
      <c r="HC10" s="384"/>
      <c r="HD10" s="384"/>
      <c r="HE10" s="384"/>
      <c r="HF10" s="384"/>
      <c r="HG10" s="384"/>
      <c r="HH10" s="384"/>
      <c r="HI10" s="384"/>
      <c r="HJ10" s="384"/>
      <c r="HK10" s="384"/>
      <c r="HL10" s="384"/>
      <c r="HM10" s="384"/>
      <c r="HN10" s="384"/>
      <c r="HO10" s="384"/>
      <c r="HP10" s="384"/>
      <c r="HQ10" s="384"/>
      <c r="HR10" s="384"/>
      <c r="HS10" s="384"/>
      <c r="HT10" s="384"/>
      <c r="HU10" s="384"/>
      <c r="HV10" s="384"/>
      <c r="HW10" s="384"/>
      <c r="HX10" s="384"/>
      <c r="HY10" s="384"/>
      <c r="HZ10" s="384"/>
      <c r="IA10" s="384"/>
      <c r="IB10" s="384"/>
      <c r="IC10" s="384"/>
      <c r="ID10" s="384"/>
      <c r="IE10" s="384"/>
      <c r="IF10" s="384"/>
      <c r="IG10" s="384"/>
      <c r="IH10" s="384"/>
      <c r="II10" s="384"/>
      <c r="IJ10" s="384"/>
      <c r="IK10" s="384"/>
      <c r="IL10" s="384"/>
      <c r="IM10" s="384"/>
      <c r="IN10" s="384"/>
      <c r="IO10" s="384"/>
      <c r="IP10" s="384"/>
      <c r="IQ10" s="384"/>
      <c r="IR10" s="384"/>
      <c r="IS10" s="384"/>
      <c r="IT10" s="384"/>
      <c r="IU10" s="384"/>
      <c r="IV10" s="384"/>
      <c r="IW10" s="384"/>
      <c r="IX10" s="384"/>
      <c r="IY10" s="384"/>
      <c r="IZ10" s="384"/>
      <c r="JA10" s="384"/>
      <c r="JB10" s="384"/>
      <c r="JC10" s="384"/>
      <c r="JD10" s="384"/>
      <c r="JE10" s="384"/>
      <c r="JF10" s="384"/>
      <c r="JG10" s="384"/>
      <c r="JH10" s="384"/>
      <c r="JI10" s="384"/>
      <c r="JJ10" s="384"/>
      <c r="JK10" s="384"/>
      <c r="JL10" s="384"/>
      <c r="JM10" s="384"/>
      <c r="JN10" s="384"/>
      <c r="JO10" s="384"/>
      <c r="JP10" s="384"/>
      <c r="JQ10" s="384"/>
      <c r="JR10" s="384"/>
      <c r="JS10" s="384"/>
      <c r="JT10" s="384"/>
      <c r="JU10" s="384"/>
      <c r="JV10" s="384"/>
      <c r="JW10" s="384"/>
      <c r="JX10" s="384"/>
      <c r="JY10" s="384"/>
      <c r="JZ10" s="384"/>
      <c r="KA10" s="384"/>
      <c r="KB10" s="384"/>
      <c r="KC10" s="384"/>
      <c r="KD10" s="384"/>
      <c r="KE10" s="384"/>
      <c r="KF10" s="384"/>
      <c r="KG10" s="384"/>
      <c r="KH10" s="384"/>
      <c r="KI10" s="384"/>
      <c r="KJ10" s="384"/>
      <c r="KK10" s="384"/>
      <c r="KL10" s="384"/>
      <c r="KM10" s="384"/>
      <c r="KN10" s="384"/>
      <c r="KO10" s="384"/>
      <c r="KP10" s="384"/>
      <c r="KQ10" s="384"/>
      <c r="KR10" s="384"/>
      <c r="KS10" s="384"/>
      <c r="KT10" s="384"/>
      <c r="KU10" s="384"/>
      <c r="KV10" s="384"/>
      <c r="KW10" s="384"/>
      <c r="KX10" s="384"/>
      <c r="KY10" s="384"/>
      <c r="KZ10" s="384"/>
      <c r="LA10" s="384"/>
      <c r="LB10" s="384"/>
      <c r="LC10" s="384"/>
      <c r="LD10" s="384"/>
      <c r="LE10" s="384"/>
      <c r="LF10" s="384"/>
      <c r="LG10" s="384"/>
      <c r="LH10" s="384"/>
      <c r="LI10" s="384"/>
      <c r="LJ10" s="384"/>
      <c r="LK10" s="384"/>
      <c r="LL10" s="384"/>
      <c r="LM10" s="384"/>
      <c r="LN10" s="384"/>
      <c r="LO10" s="384"/>
      <c r="LP10" s="384"/>
      <c r="LQ10" s="384"/>
      <c r="LR10" s="384"/>
      <c r="LS10" s="384"/>
      <c r="LT10" s="384"/>
      <c r="LU10" s="384"/>
      <c r="LV10" s="384"/>
      <c r="LW10" s="384"/>
      <c r="LX10" s="384"/>
      <c r="LY10" s="384"/>
      <c r="LZ10" s="384"/>
      <c r="MA10" s="384"/>
      <c r="MB10" s="384"/>
      <c r="MC10" s="384"/>
      <c r="MD10" s="384"/>
      <c r="ME10" s="384"/>
      <c r="MF10" s="384"/>
      <c r="MG10" s="384"/>
      <c r="MH10" s="384"/>
      <c r="MI10" s="384"/>
      <c r="MJ10" s="384"/>
      <c r="MK10" s="384"/>
      <c r="ML10" s="384"/>
      <c r="MM10" s="384"/>
      <c r="MN10" s="384"/>
      <c r="MO10" s="384"/>
      <c r="MP10" s="384"/>
      <c r="MQ10" s="384"/>
      <c r="MR10" s="384"/>
      <c r="MS10" s="384"/>
      <c r="MT10" s="384"/>
      <c r="MU10" s="384"/>
      <c r="MV10" s="384"/>
      <c r="MW10" s="384"/>
      <c r="MX10" s="384"/>
      <c r="MY10" s="384"/>
      <c r="MZ10" s="384"/>
      <c r="NA10" s="384"/>
      <c r="NB10" s="384"/>
      <c r="NC10" s="384"/>
      <c r="ND10" s="384"/>
      <c r="NE10" s="384"/>
      <c r="NF10" s="384"/>
      <c r="NG10" s="384"/>
      <c r="NH10" s="384"/>
      <c r="NI10" s="384"/>
      <c r="NJ10" s="384"/>
      <c r="NK10" s="384"/>
      <c r="NL10" s="384"/>
      <c r="NM10" s="384"/>
      <c r="NN10" s="384"/>
      <c r="NO10" s="384"/>
      <c r="NP10" s="384"/>
      <c r="NQ10" s="384"/>
      <c r="NR10" s="384"/>
      <c r="NS10" s="384"/>
      <c r="NT10" s="384"/>
      <c r="NU10" s="384"/>
      <c r="NV10" s="384"/>
      <c r="NW10" s="384"/>
      <c r="NX10" s="384"/>
      <c r="NY10" s="384"/>
      <c r="NZ10" s="384"/>
      <c r="OA10" s="384"/>
      <c r="OB10" s="384"/>
      <c r="OC10" s="384"/>
      <c r="OD10" s="384"/>
      <c r="OE10" s="384"/>
      <c r="OF10" s="384"/>
      <c r="OG10" s="384"/>
      <c r="OH10" s="384"/>
      <c r="OI10" s="384"/>
      <c r="OJ10" s="384"/>
      <c r="OK10" s="384"/>
      <c r="OL10" s="384"/>
      <c r="OM10" s="384"/>
      <c r="ON10" s="384"/>
      <c r="OO10" s="384"/>
      <c r="OP10" s="384"/>
      <c r="OQ10" s="384"/>
      <c r="OR10" s="384"/>
      <c r="OS10" s="384"/>
      <c r="OT10" s="384"/>
      <c r="OU10" s="384"/>
      <c r="OV10" s="384"/>
      <c r="OW10" s="384"/>
      <c r="OX10" s="384"/>
      <c r="OY10" s="384"/>
      <c r="OZ10" s="384"/>
      <c r="PA10" s="384"/>
      <c r="PB10" s="384"/>
      <c r="PC10" s="384"/>
      <c r="PD10" s="384"/>
      <c r="PE10" s="384"/>
      <c r="PF10" s="384"/>
      <c r="PG10" s="384"/>
      <c r="PH10" s="384"/>
      <c r="PI10" s="384"/>
      <c r="PJ10" s="384"/>
      <c r="PK10" s="384"/>
      <c r="PL10" s="384"/>
      <c r="PM10" s="384"/>
      <c r="PN10" s="384"/>
      <c r="PO10" s="384"/>
      <c r="PP10" s="384"/>
      <c r="PQ10" s="384"/>
      <c r="PR10" s="384"/>
      <c r="PS10" s="384"/>
      <c r="PT10" s="384"/>
      <c r="PU10" s="384"/>
      <c r="PV10" s="384"/>
      <c r="PW10" s="384"/>
      <c r="PX10" s="384"/>
      <c r="PY10" s="384"/>
      <c r="PZ10" s="384"/>
      <c r="QA10" s="384"/>
      <c r="QB10" s="384"/>
      <c r="QC10" s="384"/>
      <c r="QD10" s="384"/>
      <c r="QE10" s="384"/>
      <c r="QF10" s="384"/>
      <c r="QG10" s="384"/>
      <c r="QH10" s="384"/>
      <c r="QI10" s="384"/>
      <c r="QJ10" s="384"/>
      <c r="QK10" s="384"/>
      <c r="QL10" s="384"/>
      <c r="QM10" s="384"/>
      <c r="QN10" s="384"/>
      <c r="QO10" s="384"/>
      <c r="QP10" s="384"/>
      <c r="QQ10" s="384"/>
      <c r="QR10" s="384"/>
      <c r="QS10" s="845"/>
      <c r="QT10" s="845"/>
      <c r="QU10" s="845"/>
      <c r="QV10" s="845"/>
      <c r="QW10" s="845"/>
      <c r="QX10" s="845"/>
      <c r="QY10" s="845"/>
      <c r="QZ10" s="845"/>
      <c r="RA10" s="845"/>
      <c r="RB10" s="845"/>
      <c r="RC10" s="845"/>
    </row>
    <row r="11" spans="4:471" ht="24.75">
      <c r="D11" s="708" t="s">
        <v>4</v>
      </c>
      <c r="E11" s="226">
        <v>6</v>
      </c>
      <c r="F11" s="226" t="s">
        <v>166</v>
      </c>
      <c r="G11" s="226">
        <v>20</v>
      </c>
      <c r="H11" s="226"/>
      <c r="I11" s="761"/>
      <c r="J11" s="3"/>
      <c r="K11" s="3"/>
      <c r="L11" s="3"/>
      <c r="M11" s="3" t="s">
        <v>172</v>
      </c>
      <c r="N11" s="3" t="s">
        <v>166</v>
      </c>
      <c r="O11" s="3" t="s">
        <v>167</v>
      </c>
      <c r="P11" s="3" t="s">
        <v>168</v>
      </c>
      <c r="Q11" s="327" t="s">
        <v>1385</v>
      </c>
      <c r="U11" s="3" t="s">
        <v>771</v>
      </c>
      <c r="V11" s="3"/>
      <c r="W11" s="3">
        <f>[1]!wasatmer(V7,V8,V9,V10)</f>
        <v>358.73760698956539</v>
      </c>
      <c r="X11" s="472">
        <f t="shared" ref="X11:X51" si="27">INT(ABS(W11))</f>
        <v>358</v>
      </c>
      <c r="Y11" s="472">
        <f t="shared" ref="Y11:Y51" si="28">INT((ABS(W11)-X11)*60)</f>
        <v>44</v>
      </c>
      <c r="Z11" s="472">
        <f t="shared" ref="Z11:Z51" si="29">INT((((ABS(W11)-X11)*60)-Y11)*60)</f>
        <v>15</v>
      </c>
      <c r="AA11" s="471">
        <f t="shared" ref="AA11:AA51" si="30">INT((((((ABS(W11)-X11)*60)-Y11)*60)-Z11)*60)</f>
        <v>23</v>
      </c>
      <c r="AB11" s="193" t="s">
        <v>60</v>
      </c>
      <c r="AC11" s="194">
        <f>V7</f>
        <v>705</v>
      </c>
      <c r="AF11" s="647"/>
      <c r="AG11" s="261" t="s">
        <v>552</v>
      </c>
      <c r="AH11" s="261">
        <f>[1]!oujq(AH3,AH4,AH5,AH6)</f>
        <v>158.36764872195295</v>
      </c>
      <c r="AI11" s="228">
        <f t="shared" si="7"/>
        <v>158</v>
      </c>
      <c r="AJ11" s="228">
        <f t="shared" si="8"/>
        <v>22</v>
      </c>
      <c r="AK11" s="228">
        <f t="shared" si="9"/>
        <v>3</v>
      </c>
      <c r="AL11" s="933">
        <f t="shared" si="10"/>
        <v>32</v>
      </c>
      <c r="AQ11" s="1082"/>
      <c r="AR11" s="1636" t="s">
        <v>3874</v>
      </c>
      <c r="AS11" s="1083">
        <f>IF(AS10*-1&lt;180,AS10*-1,(AS10*-1)-360)</f>
        <v>34.555466667000005</v>
      </c>
      <c r="AT11" s="1083"/>
      <c r="AU11" s="1083"/>
      <c r="AV11" s="1083"/>
      <c r="AW11" s="1083"/>
      <c r="AX11" s="747" t="s">
        <v>1537</v>
      </c>
      <c r="AY11" s="218"/>
      <c r="AZ11" s="218" t="s">
        <v>2366</v>
      </c>
      <c r="BA11" s="218" t="s">
        <v>172</v>
      </c>
      <c r="BB11" s="218" t="s">
        <v>166</v>
      </c>
      <c r="BC11" s="218" t="s">
        <v>167</v>
      </c>
      <c r="BD11" s="218" t="s">
        <v>168</v>
      </c>
      <c r="BE11" s="1522" t="s">
        <v>4599</v>
      </c>
      <c r="BF11" s="1116" t="s">
        <v>3909</v>
      </c>
      <c r="BG11" s="2502" t="str">
        <f>[1]!shamsmerikhame(AZ7,AZ8,AZ9,AZ10)</f>
        <v>qermottasel</v>
      </c>
      <c r="BH11" s="1111">
        <f>AP44</f>
        <v>100.83967007544979</v>
      </c>
      <c r="BI11" s="451">
        <f t="shared" si="11"/>
        <v>100</v>
      </c>
      <c r="BJ11" s="451">
        <f t="shared" si="19"/>
        <v>50</v>
      </c>
      <c r="BK11" s="932">
        <f t="shared" si="20"/>
        <v>22</v>
      </c>
      <c r="BL11" s="1112" t="s">
        <v>3918</v>
      </c>
      <c r="BM11" s="2506" t="str">
        <f>[1]!otaredzohalame(AZ7,AZ8,AZ9,AZ10)</f>
        <v>qermottasel</v>
      </c>
      <c r="BN11" s="1113">
        <f>BB44</f>
        <v>3.3000241669433876</v>
      </c>
      <c r="BO11" s="942">
        <f t="shared" si="14"/>
        <v>3</v>
      </c>
      <c r="BP11" s="942">
        <f t="shared" si="25"/>
        <v>18</v>
      </c>
      <c r="BQ11" s="943">
        <f t="shared" si="26"/>
        <v>0</v>
      </c>
      <c r="BR11" s="740"/>
      <c r="BS11" s="888" t="s">
        <v>333</v>
      </c>
      <c r="BT11" s="888">
        <f>IF(BT9&lt;=180,BT9,360-BT9)</f>
        <v>72.476913256730995</v>
      </c>
      <c r="BU11" s="930">
        <f t="shared" si="21"/>
        <v>72</v>
      </c>
      <c r="BV11" s="930">
        <f t="shared" si="22"/>
        <v>28</v>
      </c>
      <c r="BW11" s="930">
        <f t="shared" si="23"/>
        <v>36</v>
      </c>
      <c r="BX11" s="934">
        <f t="shared" si="24"/>
        <v>53</v>
      </c>
      <c r="BZ11" s="780" t="s">
        <v>326</v>
      </c>
      <c r="CA11" s="781">
        <v>51.335000000000001</v>
      </c>
      <c r="CB11" s="1603" t="s">
        <v>1386</v>
      </c>
      <c r="CC11" s="429">
        <f>[1]!roz(CC9,CC10,0,0)</f>
        <v>28.758740299556816</v>
      </c>
      <c r="CD11" s="429">
        <f>[1]!roz(CD9,CD10,0,0)</f>
        <v>29.75771252991105</v>
      </c>
      <c r="CE11" s="429">
        <f>[1]!roz(CE9,CE10,0,0)</f>
        <v>30.756684098969032</v>
      </c>
      <c r="CF11" s="429">
        <f>[1]!roz(CF9,CF10,0,0)</f>
        <v>31.755655552548674</v>
      </c>
      <c r="CG11" s="1745"/>
      <c r="CH11" s="1741">
        <f>INT(CH10)*30</f>
        <v>1440</v>
      </c>
      <c r="CI11" s="1741">
        <f>INT(CI10)*30</f>
        <v>1440</v>
      </c>
      <c r="CJ11" s="1547"/>
      <c r="CS11" s="384"/>
      <c r="CT11" s="384"/>
      <c r="CU11" s="384"/>
      <c r="CV11" s="384"/>
      <c r="CW11" s="384"/>
      <c r="CX11" s="384"/>
      <c r="CY11" s="384"/>
      <c r="CZ11" s="384"/>
      <c r="DA11" s="384"/>
      <c r="DB11" s="384"/>
      <c r="DC11" s="384"/>
      <c r="DD11" s="384"/>
      <c r="DE11" s="384"/>
      <c r="DF11" s="384"/>
      <c r="DG11" s="384"/>
      <c r="DS11" s="384"/>
      <c r="DT11" s="384"/>
      <c r="DU11" s="384"/>
      <c r="DV11" s="384"/>
      <c r="DW11" s="384"/>
      <c r="DX11" s="384"/>
      <c r="DY11" s="384"/>
      <c r="DZ11" s="384"/>
      <c r="EA11" s="384"/>
      <c r="EB11" s="384"/>
      <c r="EC11" s="384"/>
      <c r="ED11" s="384"/>
      <c r="EE11" s="384"/>
      <c r="EF11" s="384"/>
      <c r="EG11" s="384"/>
      <c r="EH11" s="384"/>
      <c r="EI11" s="384"/>
      <c r="EJ11" s="384"/>
      <c r="EK11" s="384"/>
      <c r="EL11" s="384"/>
      <c r="EM11" s="384"/>
      <c r="EN11" s="384"/>
      <c r="EO11" s="384"/>
      <c r="EP11" s="384"/>
      <c r="EQ11" s="384"/>
      <c r="ER11" s="384"/>
      <c r="ES11" s="384"/>
      <c r="ET11" s="384"/>
      <c r="EU11" s="384"/>
      <c r="EV11" s="384"/>
      <c r="EW11" s="384"/>
      <c r="EX11" s="384"/>
      <c r="EY11" s="384"/>
      <c r="EZ11" s="384"/>
      <c r="FA11" s="384"/>
      <c r="FB11" s="384"/>
      <c r="FC11" s="384"/>
      <c r="FD11" s="384"/>
      <c r="FE11" s="384"/>
      <c r="FF11" s="384"/>
      <c r="FG11" s="384"/>
      <c r="FH11" s="384"/>
      <c r="FI11" s="384"/>
      <c r="FJ11" s="384"/>
      <c r="FK11" s="384"/>
      <c r="FL11" s="384"/>
      <c r="FM11" s="384"/>
      <c r="FN11" s="384"/>
      <c r="FO11" s="384"/>
      <c r="FP11" s="384"/>
      <c r="FQ11" s="384"/>
      <c r="FR11" s="384"/>
      <c r="FS11" s="384"/>
      <c r="FT11" s="384"/>
      <c r="FU11" s="384"/>
      <c r="FV11" s="384"/>
      <c r="FW11" s="384"/>
      <c r="FX11" s="384"/>
      <c r="FY11" s="384"/>
      <c r="FZ11" s="384"/>
      <c r="GA11" s="384"/>
      <c r="GB11" s="384"/>
      <c r="GC11" s="384"/>
      <c r="GD11" s="384"/>
      <c r="GE11" s="384"/>
      <c r="GF11" s="384"/>
      <c r="GG11" s="384"/>
      <c r="GH11" s="384"/>
      <c r="GI11" s="384"/>
      <c r="GJ11" s="384"/>
      <c r="GK11" s="384"/>
      <c r="GL11" s="384"/>
      <c r="GM11" s="384"/>
      <c r="GN11" s="384"/>
      <c r="GO11" s="384"/>
      <c r="GP11" s="384"/>
      <c r="GQ11" s="384"/>
      <c r="GR11" s="384"/>
      <c r="GS11" s="384"/>
      <c r="GT11" s="384"/>
      <c r="GU11" s="384"/>
      <c r="GV11" s="384"/>
      <c r="GW11" s="384"/>
      <c r="GX11" s="384"/>
      <c r="GY11" s="384"/>
      <c r="GZ11" s="384"/>
      <c r="HA11" s="384"/>
      <c r="HB11" s="384"/>
      <c r="HC11" s="384"/>
      <c r="HD11" s="384"/>
      <c r="HE11" s="384"/>
      <c r="HF11" s="384"/>
      <c r="HG11" s="384"/>
      <c r="HH11" s="384"/>
      <c r="HI11" s="384"/>
      <c r="HJ11" s="384"/>
      <c r="HK11" s="384"/>
      <c r="HL11" s="384"/>
      <c r="HM11" s="384"/>
      <c r="HN11" s="384"/>
      <c r="HO11" s="384"/>
      <c r="HP11" s="384"/>
      <c r="HQ11" s="384"/>
      <c r="HR11" s="384"/>
      <c r="HS11" s="384"/>
      <c r="HT11" s="384"/>
      <c r="HU11" s="384"/>
      <c r="HV11" s="384"/>
      <c r="HW11" s="384"/>
      <c r="HX11" s="384"/>
      <c r="HY11" s="384"/>
      <c r="HZ11" s="384"/>
      <c r="IA11" s="384"/>
      <c r="IB11" s="384"/>
      <c r="IC11" s="384"/>
      <c r="ID11" s="384"/>
      <c r="IE11" s="384"/>
      <c r="IF11" s="384"/>
      <c r="IG11" s="384"/>
      <c r="IH11" s="384"/>
      <c r="II11" s="384"/>
      <c r="IJ11" s="384"/>
      <c r="IK11" s="384"/>
      <c r="IL11" s="384"/>
      <c r="IM11" s="384"/>
      <c r="IN11" s="384"/>
      <c r="IO11" s="384"/>
      <c r="IP11" s="384"/>
      <c r="IQ11" s="384"/>
      <c r="IR11" s="384"/>
      <c r="IS11" s="384"/>
      <c r="IT11" s="384"/>
      <c r="IU11" s="384"/>
      <c r="IV11" s="384"/>
      <c r="IW11" s="384"/>
      <c r="IX11" s="384"/>
      <c r="IY11" s="384"/>
      <c r="IZ11" s="384"/>
      <c r="JA11" s="384"/>
      <c r="JB11" s="384"/>
      <c r="JC11" s="384"/>
      <c r="JD11" s="384"/>
      <c r="JE11" s="384"/>
      <c r="JF11" s="384"/>
      <c r="JG11" s="384"/>
      <c r="JH11" s="384"/>
      <c r="JI11" s="384"/>
      <c r="JJ11" s="384"/>
      <c r="JK11" s="384"/>
      <c r="JL11" s="384"/>
      <c r="JM11" s="384"/>
      <c r="JN11" s="384"/>
      <c r="JO11" s="384"/>
      <c r="JP11" s="384"/>
      <c r="JQ11" s="384"/>
      <c r="JR11" s="384"/>
      <c r="JS11" s="384"/>
      <c r="JT11" s="384"/>
      <c r="JU11" s="384"/>
      <c r="JV11" s="384"/>
      <c r="JW11" s="384"/>
      <c r="JX11" s="384"/>
      <c r="JY11" s="384"/>
      <c r="JZ11" s="384"/>
      <c r="KA11" s="384"/>
      <c r="KB11" s="384"/>
      <c r="KC11" s="384"/>
      <c r="KD11" s="384"/>
      <c r="KE11" s="384"/>
      <c r="KF11" s="384"/>
      <c r="KG11" s="384"/>
      <c r="KH11" s="384"/>
      <c r="KI11" s="384"/>
      <c r="KJ11" s="384"/>
      <c r="KK11" s="384"/>
      <c r="KL11" s="384"/>
      <c r="KM11" s="384"/>
      <c r="KN11" s="384"/>
      <c r="KO11" s="384"/>
      <c r="KP11" s="384"/>
      <c r="KQ11" s="384"/>
      <c r="KR11" s="384"/>
      <c r="KS11" s="384"/>
      <c r="KT11" s="384"/>
      <c r="KU11" s="384"/>
      <c r="KV11" s="384"/>
      <c r="KW11" s="384"/>
      <c r="KX11" s="384"/>
      <c r="KY11" s="384"/>
      <c r="KZ11" s="384"/>
      <c r="LA11" s="384"/>
      <c r="LB11" s="384"/>
      <c r="LC11" s="384"/>
      <c r="LD11" s="384"/>
      <c r="LE11" s="384"/>
      <c r="LF11" s="384"/>
      <c r="LG11" s="384"/>
      <c r="LH11" s="384"/>
      <c r="LI11" s="384"/>
      <c r="LJ11" s="384"/>
      <c r="LK11" s="384"/>
      <c r="LL11" s="384"/>
      <c r="LM11" s="384"/>
      <c r="LN11" s="384"/>
      <c r="LO11" s="384"/>
      <c r="LP11" s="384"/>
      <c r="LQ11" s="384"/>
      <c r="LR11" s="384"/>
      <c r="LS11" s="384"/>
      <c r="LT11" s="384"/>
      <c r="LU11" s="384"/>
      <c r="LV11" s="384"/>
      <c r="LW11" s="384"/>
      <c r="LX11" s="384"/>
      <c r="LY11" s="384"/>
      <c r="LZ11" s="384"/>
      <c r="MA11" s="384"/>
      <c r="MB11" s="384"/>
      <c r="MC11" s="384"/>
      <c r="MD11" s="384"/>
      <c r="ME11" s="384"/>
      <c r="MF11" s="384"/>
      <c r="MG11" s="384"/>
      <c r="MH11" s="384"/>
      <c r="MI11" s="384"/>
      <c r="MJ11" s="384"/>
      <c r="MK11" s="384"/>
      <c r="ML11" s="384"/>
      <c r="MM11" s="384"/>
      <c r="MN11" s="384"/>
      <c r="MO11" s="384"/>
      <c r="MP11" s="384"/>
      <c r="MQ11" s="384"/>
      <c r="MR11" s="384"/>
      <c r="MS11" s="384"/>
      <c r="MT11" s="384"/>
      <c r="MU11" s="384"/>
      <c r="MV11" s="384"/>
      <c r="MW11" s="384"/>
      <c r="MX11" s="384"/>
      <c r="MY11" s="384"/>
      <c r="MZ11" s="384"/>
      <c r="NA11" s="384"/>
      <c r="NB11" s="384"/>
      <c r="NC11" s="384"/>
      <c r="ND11" s="384"/>
      <c r="NE11" s="384"/>
      <c r="NF11" s="384"/>
      <c r="NG11" s="384"/>
      <c r="NH11" s="384"/>
      <c r="NI11" s="384"/>
      <c r="NJ11" s="384"/>
      <c r="NK11" s="384"/>
      <c r="NL11" s="384"/>
      <c r="NM11" s="384"/>
      <c r="NN11" s="384"/>
      <c r="NO11" s="384"/>
      <c r="NP11" s="384"/>
      <c r="NQ11" s="384"/>
      <c r="NR11" s="384"/>
      <c r="NS11" s="384"/>
      <c r="NT11" s="384"/>
      <c r="NU11" s="384"/>
      <c r="NV11" s="384"/>
      <c r="NW11" s="384"/>
      <c r="NX11" s="384"/>
      <c r="NY11" s="384"/>
      <c r="NZ11" s="384"/>
      <c r="OA11" s="384"/>
      <c r="OB11" s="384"/>
      <c r="OC11" s="384"/>
      <c r="OD11" s="384"/>
      <c r="OE11" s="384"/>
      <c r="OF11" s="384"/>
      <c r="OG11" s="384"/>
      <c r="OH11" s="384"/>
      <c r="OI11" s="384"/>
      <c r="OJ11" s="384"/>
      <c r="OK11" s="384"/>
      <c r="OL11" s="384"/>
      <c r="OM11" s="384"/>
      <c r="ON11" s="384"/>
      <c r="OO11" s="384"/>
      <c r="OP11" s="384"/>
      <c r="OQ11" s="384"/>
      <c r="OR11" s="384"/>
      <c r="OS11" s="384"/>
      <c r="OT11" s="384"/>
      <c r="OU11" s="384"/>
      <c r="OV11" s="384"/>
      <c r="OW11" s="384"/>
      <c r="OX11" s="384"/>
      <c r="OY11" s="384"/>
      <c r="OZ11" s="384"/>
      <c r="PA11" s="384"/>
      <c r="PB11" s="384"/>
      <c r="PC11" s="384"/>
      <c r="PD11" s="384"/>
      <c r="PE11" s="384"/>
      <c r="PF11" s="384"/>
      <c r="PG11" s="384"/>
      <c r="PH11" s="384"/>
      <c r="PI11" s="384"/>
      <c r="PJ11" s="384"/>
      <c r="PK11" s="384"/>
      <c r="PL11" s="384"/>
      <c r="PM11" s="384"/>
      <c r="PN11" s="384"/>
      <c r="PO11" s="384"/>
      <c r="PP11" s="384"/>
      <c r="PQ11" s="384"/>
      <c r="PR11" s="384"/>
      <c r="PS11" s="384"/>
      <c r="PT11" s="384"/>
      <c r="PU11" s="384"/>
      <c r="PV11" s="384"/>
      <c r="PW11" s="384"/>
      <c r="PX11" s="384"/>
      <c r="PY11" s="384"/>
      <c r="PZ11" s="384"/>
      <c r="QA11" s="384"/>
      <c r="QB11" s="384"/>
      <c r="QC11" s="384"/>
      <c r="QD11" s="384"/>
      <c r="QE11" s="384"/>
      <c r="QF11" s="384"/>
      <c r="QG11" s="384"/>
      <c r="QH11" s="384"/>
      <c r="QI11" s="384"/>
      <c r="QJ11" s="384"/>
      <c r="QK11" s="384"/>
      <c r="QL11" s="384"/>
      <c r="QM11" s="384"/>
      <c r="QN11" s="384"/>
      <c r="QO11" s="384"/>
      <c r="QP11" s="384"/>
      <c r="QQ11" s="384"/>
      <c r="QR11" s="384"/>
      <c r="QS11" s="845"/>
      <c r="QT11" s="845"/>
      <c r="QU11" s="845"/>
      <c r="QV11" s="845"/>
      <c r="QW11" s="845"/>
      <c r="QX11" s="845"/>
      <c r="QY11" s="845"/>
      <c r="QZ11" s="845"/>
      <c r="RA11" s="845"/>
      <c r="RB11" s="845"/>
      <c r="RC11" s="845"/>
    </row>
    <row r="12" spans="4:471" ht="25.5" thickBot="1">
      <c r="D12" s="708" t="s">
        <v>5</v>
      </c>
      <c r="E12" s="226">
        <f>[1]!roz(G9,G10,G11,G12)</f>
        <v>13.763888888888889</v>
      </c>
      <c r="F12" s="226" t="s">
        <v>167</v>
      </c>
      <c r="G12" s="226">
        <v>0</v>
      </c>
      <c r="H12" s="226"/>
      <c r="I12" s="761"/>
      <c r="J12" s="3" t="s">
        <v>771</v>
      </c>
      <c r="K12" s="3"/>
      <c r="L12" s="3">
        <f>[1]!wasatmosh(E10,E11,E12,E13)</f>
        <v>203.60063050302426</v>
      </c>
      <c r="M12" s="472">
        <f>INT(ABS(L12))</f>
        <v>203</v>
      </c>
      <c r="N12" s="472">
        <f>INT((ABS(L12)-M12)*60)</f>
        <v>36</v>
      </c>
      <c r="O12" s="472">
        <f>INT((((ABS(L12)-M12)*60)-N12)*60)</f>
        <v>2</v>
      </c>
      <c r="P12" s="471">
        <f>INT((((((ABS(L12)-M12)*60)-N12)*60)-O12)*60)</f>
        <v>16</v>
      </c>
      <c r="Q12" s="193" t="s">
        <v>60</v>
      </c>
      <c r="R12" s="194">
        <f>E10</f>
        <v>705</v>
      </c>
      <c r="U12" s="3" t="s">
        <v>2298</v>
      </c>
      <c r="V12" s="3"/>
      <c r="W12" s="3">
        <f>[1]!oujmer(V7,V8,V9,V10)</f>
        <v>143.27769576593869</v>
      </c>
      <c r="X12" s="472">
        <f t="shared" si="27"/>
        <v>143</v>
      </c>
      <c r="Y12" s="472">
        <f t="shared" si="28"/>
        <v>16</v>
      </c>
      <c r="Z12" s="472">
        <f t="shared" si="29"/>
        <v>39</v>
      </c>
      <c r="AA12" s="471">
        <f t="shared" si="30"/>
        <v>42</v>
      </c>
      <c r="AB12" s="195" t="s">
        <v>4</v>
      </c>
      <c r="AC12" s="196">
        <f>V8</f>
        <v>6</v>
      </c>
      <c r="AE12" s="327">
        <f>[1]!taqrasq(AH3,AH4,AH5,AH6)</f>
        <v>20.067185529913598</v>
      </c>
      <c r="AF12" s="647"/>
      <c r="AG12" s="261" t="s">
        <v>761</v>
      </c>
      <c r="AH12" s="261">
        <f>[1]!rasq(AH3,AH4,AH5,AH6)</f>
        <v>21.615565471539071</v>
      </c>
      <c r="AI12" s="228">
        <f t="shared" si="7"/>
        <v>21</v>
      </c>
      <c r="AJ12" s="228">
        <f t="shared" si="8"/>
        <v>36</v>
      </c>
      <c r="AK12" s="228">
        <f t="shared" si="9"/>
        <v>56</v>
      </c>
      <c r="AL12" s="933">
        <f t="shared" si="10"/>
        <v>2</v>
      </c>
      <c r="AQ12" s="1082"/>
      <c r="AR12" s="1636"/>
      <c r="AS12" s="1083">
        <f>AS11/15</f>
        <v>2.3036977778000005</v>
      </c>
      <c r="AT12" s="1630" t="s">
        <v>168</v>
      </c>
      <c r="AU12" s="1630" t="s">
        <v>167</v>
      </c>
      <c r="AV12" s="1630" t="s">
        <v>166</v>
      </c>
      <c r="AW12" s="1630" t="s">
        <v>219</v>
      </c>
      <c r="AX12" s="1644" t="s">
        <v>1544</v>
      </c>
      <c r="AY12" s="1645" t="s">
        <v>1481</v>
      </c>
      <c r="AZ12" s="1645">
        <f>[1]!taqsh(AZ7,AZ8,AZ9,AZ10)</f>
        <v>13.218647636615986</v>
      </c>
      <c r="BA12" s="1554">
        <f t="shared" ref="BA12:BA18" si="31">INT(ABS(AZ12))</f>
        <v>13</v>
      </c>
      <c r="BB12" s="1554">
        <f>INT((ABS(AZ12)-BA12)*60)</f>
        <v>13</v>
      </c>
      <c r="BC12" s="1554">
        <f t="shared" ref="BC12:BC18" si="32">INT((((ABS(AZ12)-BA12)*60)-BB12)*60)</f>
        <v>7</v>
      </c>
      <c r="BD12" s="1554">
        <f t="shared" ref="BD12:BD18" si="33">INT((((((ABS(AZ12)-BA12)*60)-BB12)*60)-BC12)*60)</f>
        <v>7</v>
      </c>
      <c r="BE12" s="2048" t="s">
        <v>97</v>
      </c>
      <c r="BF12" s="1116" t="s">
        <v>3927</v>
      </c>
      <c r="BG12" s="2502" t="str">
        <f>[1]!shamsmoshtariame(AZ7,AZ8,AZ9,AZ10)</f>
        <v>qermottasel</v>
      </c>
      <c r="BH12" s="1111">
        <f>AP48</f>
        <v>63.051763252862528</v>
      </c>
      <c r="BI12" s="451">
        <f t="shared" si="11"/>
        <v>63</v>
      </c>
      <c r="BJ12" s="451">
        <f t="shared" si="19"/>
        <v>3</v>
      </c>
      <c r="BK12" s="932">
        <f t="shared" si="20"/>
        <v>6</v>
      </c>
      <c r="BL12" s="1114" t="s">
        <v>3919</v>
      </c>
      <c r="BM12" s="2507" t="str">
        <f>[1]!zohremerikhame(AZ7,AZ8,AZ9,AZ10)</f>
        <v>qermottasel</v>
      </c>
      <c r="BN12" s="1115">
        <f>BH32</f>
        <v>118.22015007223695</v>
      </c>
      <c r="BO12" s="1103">
        <f t="shared" si="14"/>
        <v>118</v>
      </c>
      <c r="BP12" s="1103">
        <f t="shared" si="25"/>
        <v>13</v>
      </c>
      <c r="BQ12" s="1104">
        <f t="shared" si="26"/>
        <v>12</v>
      </c>
      <c r="BR12" s="740"/>
      <c r="BS12" s="888" t="s">
        <v>1372</v>
      </c>
      <c r="BT12" s="888" t="str">
        <f>IF(BT8=BT9,"غیر تناظر مطلعی",IF(BT10=BT11,"تناظر مطلعی","غیر تناظر مطلعی"))</f>
        <v>غیر تناظر مطلعی</v>
      </c>
      <c r="BU12" s="930"/>
      <c r="BV12" s="930" t="str">
        <f>[1]!tanazormatlaame(BT8,BT9)</f>
        <v>qeyr tanazorm</v>
      </c>
      <c r="BW12" s="930"/>
      <c r="BX12" s="934"/>
      <c r="BZ12" s="780" t="s">
        <v>177</v>
      </c>
      <c r="CA12" s="781">
        <v>35.75</v>
      </c>
      <c r="CB12" s="429" t="s">
        <v>393</v>
      </c>
      <c r="CC12" s="429">
        <f>[1]!tabdilsaheb(CA11)</f>
        <v>9.5986574075000011E-2</v>
      </c>
      <c r="CD12" s="429">
        <f>CC12</f>
        <v>9.5986574075000011E-2</v>
      </c>
      <c r="CE12" s="429">
        <f>CD12</f>
        <v>9.5986574075000011E-2</v>
      </c>
      <c r="CF12" s="429">
        <f>CD12</f>
        <v>9.5986574075000011E-2</v>
      </c>
      <c r="CG12" s="1745"/>
      <c r="CH12" s="1741">
        <f>CH11*354</f>
        <v>509760</v>
      </c>
      <c r="CI12" s="1741">
        <f>CI11*354</f>
        <v>509760</v>
      </c>
      <c r="CJ12" s="1547" t="s">
        <v>4235</v>
      </c>
      <c r="CS12" s="384"/>
      <c r="CT12" s="384"/>
      <c r="CU12" s="384"/>
      <c r="CV12" s="384"/>
      <c r="CW12" s="384"/>
      <c r="CX12" s="384"/>
      <c r="CY12" s="384"/>
      <c r="CZ12" s="384"/>
      <c r="DA12" s="384"/>
      <c r="DB12" s="384"/>
      <c r="DC12" s="384"/>
      <c r="DD12" s="384"/>
      <c r="DE12" s="384"/>
      <c r="DF12" s="384"/>
      <c r="DG12" s="384"/>
      <c r="DS12" s="384"/>
      <c r="DT12" s="384"/>
      <c r="DU12" s="384"/>
      <c r="DV12" s="384"/>
      <c r="DW12" s="384"/>
      <c r="DX12" s="384"/>
      <c r="DY12" s="384"/>
      <c r="DZ12" s="384"/>
      <c r="EA12" s="384"/>
      <c r="EB12" s="384"/>
      <c r="EC12" s="384"/>
      <c r="ED12" s="384"/>
      <c r="EE12" s="384"/>
      <c r="EF12" s="384"/>
      <c r="EG12" s="384"/>
      <c r="EH12" s="384"/>
      <c r="EI12" s="384"/>
      <c r="EJ12" s="384"/>
      <c r="EK12" s="384"/>
      <c r="EL12" s="384"/>
      <c r="EM12" s="384"/>
      <c r="EN12" s="384"/>
      <c r="EO12" s="384"/>
      <c r="EP12" s="384"/>
      <c r="EQ12" s="384"/>
      <c r="ER12" s="384"/>
      <c r="ES12" s="384"/>
      <c r="ET12" s="384"/>
      <c r="EU12" s="384"/>
      <c r="EV12" s="384"/>
      <c r="EW12" s="384"/>
      <c r="EX12" s="384"/>
      <c r="EY12" s="384"/>
      <c r="EZ12" s="384"/>
      <c r="FA12" s="384"/>
      <c r="FB12" s="384"/>
      <c r="FC12" s="384"/>
      <c r="FD12" s="384"/>
      <c r="FE12" s="384"/>
      <c r="FF12" s="384"/>
      <c r="FG12" s="384"/>
      <c r="FH12" s="384"/>
      <c r="FI12" s="384"/>
      <c r="FJ12" s="384"/>
      <c r="FK12" s="384"/>
      <c r="FL12" s="384"/>
      <c r="FM12" s="384"/>
      <c r="FN12" s="384"/>
      <c r="FO12" s="384"/>
      <c r="FP12" s="384"/>
      <c r="FQ12" s="384"/>
      <c r="FR12" s="384"/>
      <c r="FS12" s="384"/>
      <c r="FT12" s="384"/>
      <c r="FU12" s="384"/>
      <c r="FV12" s="384"/>
      <c r="FW12" s="384"/>
      <c r="FX12" s="384"/>
      <c r="FY12" s="384"/>
      <c r="FZ12" s="384"/>
      <c r="GA12" s="384"/>
      <c r="GB12" s="384"/>
      <c r="GC12" s="384"/>
      <c r="GD12" s="384"/>
      <c r="GE12" s="384"/>
      <c r="GF12" s="384"/>
      <c r="GG12" s="384"/>
      <c r="GH12" s="384"/>
      <c r="GI12" s="384"/>
      <c r="GJ12" s="384"/>
      <c r="GK12" s="384"/>
      <c r="GL12" s="384"/>
      <c r="GM12" s="384"/>
      <c r="GN12" s="384"/>
      <c r="GO12" s="384"/>
      <c r="GP12" s="384"/>
      <c r="GQ12" s="384"/>
      <c r="GR12" s="384"/>
      <c r="GS12" s="384"/>
      <c r="GT12" s="384"/>
      <c r="GU12" s="384"/>
      <c r="GV12" s="384"/>
      <c r="GW12" s="384"/>
      <c r="GX12" s="384"/>
      <c r="GY12" s="384"/>
      <c r="GZ12" s="384"/>
      <c r="HA12" s="384"/>
      <c r="HB12" s="384"/>
      <c r="HC12" s="384"/>
      <c r="HD12" s="384"/>
      <c r="HE12" s="384"/>
      <c r="HF12" s="384"/>
      <c r="HG12" s="384"/>
      <c r="HH12" s="384"/>
      <c r="HI12" s="384"/>
      <c r="HJ12" s="384"/>
      <c r="HK12" s="384"/>
      <c r="HL12" s="384"/>
      <c r="HM12" s="384"/>
      <c r="HN12" s="384"/>
      <c r="HO12" s="384"/>
      <c r="HP12" s="384"/>
      <c r="HQ12" s="384"/>
      <c r="HR12" s="384"/>
      <c r="HS12" s="384"/>
      <c r="HT12" s="384"/>
      <c r="HU12" s="384"/>
      <c r="HV12" s="384"/>
      <c r="HW12" s="384"/>
      <c r="HX12" s="384"/>
      <c r="HY12" s="384"/>
      <c r="HZ12" s="384"/>
      <c r="IA12" s="384"/>
      <c r="IB12" s="384"/>
      <c r="IC12" s="384"/>
      <c r="ID12" s="384"/>
      <c r="IE12" s="384"/>
      <c r="IF12" s="384"/>
      <c r="IG12" s="384"/>
      <c r="IH12" s="384"/>
      <c r="II12" s="384"/>
      <c r="IJ12" s="384"/>
      <c r="IK12" s="384"/>
      <c r="IL12" s="384"/>
      <c r="IM12" s="384"/>
      <c r="IN12" s="384"/>
      <c r="IO12" s="384"/>
      <c r="IP12" s="384"/>
      <c r="IQ12" s="384"/>
      <c r="IR12" s="384"/>
      <c r="IS12" s="384"/>
      <c r="IT12" s="384"/>
      <c r="IU12" s="384"/>
      <c r="IV12" s="384"/>
      <c r="IW12" s="384"/>
      <c r="IX12" s="384"/>
      <c r="IY12" s="384"/>
      <c r="IZ12" s="384"/>
      <c r="JA12" s="384"/>
      <c r="JB12" s="384"/>
      <c r="JC12" s="384"/>
      <c r="JD12" s="384"/>
      <c r="JE12" s="384"/>
      <c r="JF12" s="384"/>
      <c r="JG12" s="384"/>
      <c r="JH12" s="384"/>
      <c r="JI12" s="384"/>
      <c r="JJ12" s="384"/>
      <c r="JK12" s="384"/>
      <c r="JL12" s="384"/>
      <c r="JM12" s="384"/>
      <c r="JN12" s="384"/>
      <c r="JO12" s="384"/>
      <c r="JP12" s="384"/>
      <c r="JQ12" s="384"/>
      <c r="JR12" s="384"/>
      <c r="JS12" s="384"/>
      <c r="JT12" s="384"/>
      <c r="JU12" s="384"/>
      <c r="JV12" s="384"/>
      <c r="JW12" s="384"/>
      <c r="JX12" s="384"/>
      <c r="JY12" s="384"/>
      <c r="JZ12" s="384"/>
      <c r="KA12" s="384"/>
      <c r="KB12" s="384"/>
      <c r="KC12" s="384"/>
      <c r="KD12" s="384"/>
      <c r="KE12" s="384"/>
      <c r="KF12" s="384"/>
      <c r="KG12" s="384"/>
      <c r="KH12" s="384"/>
      <c r="KI12" s="384"/>
      <c r="KJ12" s="384"/>
      <c r="KK12" s="384"/>
      <c r="KL12" s="384"/>
      <c r="KM12" s="384"/>
      <c r="KN12" s="384"/>
      <c r="KO12" s="384"/>
      <c r="KP12" s="384"/>
      <c r="KQ12" s="384"/>
      <c r="KR12" s="384"/>
      <c r="KS12" s="384"/>
      <c r="KT12" s="384"/>
      <c r="KU12" s="384"/>
      <c r="KV12" s="384"/>
      <c r="KW12" s="384"/>
      <c r="KX12" s="384"/>
      <c r="KY12" s="384"/>
      <c r="KZ12" s="384"/>
      <c r="LA12" s="384"/>
      <c r="LB12" s="384"/>
      <c r="LC12" s="384"/>
      <c r="LD12" s="384"/>
      <c r="LE12" s="384"/>
      <c r="LF12" s="384"/>
      <c r="LG12" s="384"/>
      <c r="LH12" s="384"/>
      <c r="LI12" s="384"/>
      <c r="LJ12" s="384"/>
      <c r="LK12" s="384"/>
      <c r="LL12" s="384"/>
      <c r="LM12" s="384"/>
      <c r="LN12" s="384"/>
      <c r="LO12" s="384"/>
      <c r="LP12" s="384"/>
      <c r="LQ12" s="384"/>
      <c r="LR12" s="384"/>
      <c r="LS12" s="384"/>
      <c r="LT12" s="384"/>
      <c r="LU12" s="384"/>
      <c r="LV12" s="384"/>
      <c r="LW12" s="384"/>
      <c r="LX12" s="384"/>
      <c r="LY12" s="384"/>
      <c r="LZ12" s="384"/>
      <c r="MA12" s="384"/>
      <c r="MB12" s="384"/>
      <c r="MC12" s="384"/>
      <c r="MD12" s="384"/>
      <c r="ME12" s="384"/>
      <c r="MF12" s="384"/>
      <c r="MG12" s="384"/>
      <c r="MH12" s="384"/>
      <c r="MI12" s="384"/>
      <c r="MJ12" s="384"/>
      <c r="MK12" s="384"/>
      <c r="ML12" s="384"/>
      <c r="MM12" s="384"/>
      <c r="MN12" s="384"/>
      <c r="MO12" s="384"/>
      <c r="MP12" s="384"/>
      <c r="MQ12" s="384"/>
      <c r="MR12" s="384"/>
      <c r="MS12" s="384"/>
      <c r="MT12" s="384"/>
      <c r="MU12" s="384"/>
      <c r="MV12" s="384"/>
      <c r="MW12" s="384"/>
      <c r="MX12" s="384"/>
      <c r="MY12" s="384"/>
      <c r="MZ12" s="384"/>
      <c r="NA12" s="384"/>
      <c r="NB12" s="384"/>
      <c r="NC12" s="384"/>
      <c r="ND12" s="384"/>
      <c r="NE12" s="384"/>
      <c r="NF12" s="384"/>
      <c r="NG12" s="384"/>
      <c r="NH12" s="384"/>
      <c r="NI12" s="384"/>
      <c r="NJ12" s="384"/>
      <c r="NK12" s="384"/>
      <c r="NL12" s="384"/>
      <c r="NM12" s="384"/>
      <c r="NN12" s="384"/>
      <c r="NO12" s="384"/>
      <c r="NP12" s="384"/>
      <c r="NQ12" s="384"/>
      <c r="NR12" s="384"/>
      <c r="NS12" s="384"/>
      <c r="NT12" s="384"/>
      <c r="NU12" s="384"/>
      <c r="NV12" s="384"/>
      <c r="NW12" s="384"/>
      <c r="NX12" s="384"/>
      <c r="NY12" s="384"/>
      <c r="NZ12" s="384"/>
      <c r="OA12" s="384"/>
      <c r="OB12" s="384"/>
      <c r="OC12" s="384"/>
      <c r="OD12" s="384"/>
      <c r="OE12" s="384"/>
      <c r="OF12" s="384"/>
      <c r="OG12" s="384"/>
      <c r="OH12" s="384"/>
      <c r="OI12" s="384"/>
      <c r="OJ12" s="384"/>
      <c r="OK12" s="384"/>
      <c r="OL12" s="384"/>
      <c r="OM12" s="384"/>
      <c r="ON12" s="384"/>
      <c r="OO12" s="384"/>
      <c r="OP12" s="384"/>
      <c r="OQ12" s="384"/>
      <c r="OR12" s="384"/>
      <c r="OS12" s="384"/>
      <c r="OT12" s="384"/>
      <c r="OU12" s="384"/>
      <c r="OV12" s="384"/>
      <c r="OW12" s="384"/>
      <c r="OX12" s="384"/>
      <c r="OY12" s="384"/>
      <c r="OZ12" s="384"/>
      <c r="PA12" s="384"/>
      <c r="PB12" s="384"/>
      <c r="PC12" s="384"/>
      <c r="PD12" s="384"/>
      <c r="PE12" s="384"/>
      <c r="PF12" s="384"/>
      <c r="PG12" s="384"/>
      <c r="PH12" s="384"/>
      <c r="PI12" s="384"/>
      <c r="PJ12" s="384"/>
      <c r="PK12" s="384"/>
      <c r="PL12" s="384"/>
      <c r="PM12" s="384"/>
      <c r="PN12" s="384"/>
      <c r="PO12" s="384"/>
      <c r="PP12" s="384"/>
      <c r="PQ12" s="384"/>
      <c r="PR12" s="384"/>
      <c r="PS12" s="384"/>
      <c r="PT12" s="384"/>
      <c r="PU12" s="384"/>
      <c r="PV12" s="384"/>
      <c r="PW12" s="384"/>
      <c r="PX12" s="384"/>
      <c r="PY12" s="384"/>
      <c r="PZ12" s="384"/>
      <c r="QA12" s="384"/>
      <c r="QB12" s="384"/>
      <c r="QC12" s="384"/>
      <c r="QD12" s="384"/>
      <c r="QE12" s="384"/>
      <c r="QF12" s="384"/>
      <c r="QG12" s="384"/>
      <c r="QH12" s="384"/>
      <c r="QI12" s="384"/>
      <c r="QJ12" s="384"/>
      <c r="QK12" s="384"/>
      <c r="QL12" s="384"/>
      <c r="QM12" s="384"/>
      <c r="QN12" s="384"/>
      <c r="QO12" s="384"/>
      <c r="QP12" s="384"/>
      <c r="QQ12" s="384"/>
      <c r="QR12" s="384"/>
      <c r="QS12" s="845"/>
      <c r="QT12" s="845"/>
      <c r="QU12" s="845"/>
      <c r="QV12" s="845"/>
      <c r="QW12" s="845"/>
      <c r="QX12" s="845"/>
      <c r="QY12" s="845"/>
      <c r="QZ12" s="845"/>
      <c r="RA12" s="845"/>
      <c r="RB12" s="845"/>
      <c r="RC12" s="845"/>
    </row>
    <row r="13" spans="4:471" ht="25.5" thickBot="1">
      <c r="D13" s="762" t="s">
        <v>377</v>
      </c>
      <c r="E13" s="763">
        <f>[1]!mbtool(0,45,24,1)</f>
        <v>3.152777777777778E-2</v>
      </c>
      <c r="F13" s="763"/>
      <c r="G13" s="763"/>
      <c r="H13" s="763"/>
      <c r="I13" s="764"/>
      <c r="J13" s="3" t="s">
        <v>2298</v>
      </c>
      <c r="K13" s="3"/>
      <c r="L13" s="3">
        <f>R7</f>
        <v>179.92942385599414</v>
      </c>
      <c r="M13" s="472">
        <f t="shared" ref="M13:M37" si="34">INT(ABS(L13))</f>
        <v>179</v>
      </c>
      <c r="N13" s="472">
        <f t="shared" ref="N13:N37" si="35">INT((ABS(L13)-M13)*60)</f>
        <v>55</v>
      </c>
      <c r="O13" s="472">
        <f t="shared" ref="O13:O37" si="36">INT((((ABS(L13)-M13)*60)-N13)*60)</f>
        <v>45</v>
      </c>
      <c r="P13" s="471">
        <f t="shared" ref="P13:P37" si="37">INT((((((ABS(L13)-M13)*60)-N13)*60)-O13)*60)</f>
        <v>55</v>
      </c>
      <c r="Q13" s="195" t="s">
        <v>4</v>
      </c>
      <c r="R13" s="196">
        <f>E11</f>
        <v>6</v>
      </c>
      <c r="U13" s="3" t="s">
        <v>2299</v>
      </c>
      <c r="V13" s="3"/>
      <c r="W13" s="3">
        <f>[1]!tq(W11-W12)</f>
        <v>215.4599112236267</v>
      </c>
      <c r="X13" s="472">
        <f t="shared" si="27"/>
        <v>215</v>
      </c>
      <c r="Y13" s="472">
        <f t="shared" si="28"/>
        <v>27</v>
      </c>
      <c r="Z13" s="472">
        <f t="shared" si="29"/>
        <v>35</v>
      </c>
      <c r="AA13" s="471">
        <f t="shared" si="30"/>
        <v>40</v>
      </c>
      <c r="AB13" s="197" t="s">
        <v>5</v>
      </c>
      <c r="AC13" s="198">
        <f>INT(V9)</f>
        <v>13</v>
      </c>
      <c r="AF13" s="647"/>
      <c r="AG13" s="261" t="s">
        <v>1481</v>
      </c>
      <c r="AH13" s="261">
        <f>[1]!taqq(AH3,AH4,AH5,AH6)</f>
        <v>300.83926336155139</v>
      </c>
      <c r="AI13" s="228">
        <f t="shared" si="7"/>
        <v>300</v>
      </c>
      <c r="AJ13" s="228">
        <f t="shared" si="8"/>
        <v>50</v>
      </c>
      <c r="AK13" s="228">
        <f t="shared" si="9"/>
        <v>21</v>
      </c>
      <c r="AL13" s="933">
        <f t="shared" si="10"/>
        <v>20</v>
      </c>
      <c r="AQ13" s="1082" t="s">
        <v>1372</v>
      </c>
      <c r="AR13" s="1636" t="s">
        <v>3870</v>
      </c>
      <c r="AS13" s="1083">
        <f>AS12/24</f>
        <v>9.598740740833335E-2</v>
      </c>
      <c r="AT13" s="1083">
        <f>IF(AS13&gt;0,1,-1)</f>
        <v>1</v>
      </c>
      <c r="AU13" s="1085">
        <f>((((ABS(AS13*24)-AW13)*60)-AV13)*60)</f>
        <v>13.312000080001951</v>
      </c>
      <c r="AV13" s="1085">
        <f>INT((ABS(AS13*24)-AW13)*60)</f>
        <v>18</v>
      </c>
      <c r="AW13" s="1085">
        <f>INT(ABS(AS13*24))</f>
        <v>2</v>
      </c>
      <c r="AX13" s="1644" t="s">
        <v>849</v>
      </c>
      <c r="AY13" s="1645" t="s">
        <v>1481</v>
      </c>
      <c r="AZ13" s="1645">
        <f>[1]!taqq(AZ7,AZ8,AZ9,AZ10)</f>
        <v>72.476913256730995</v>
      </c>
      <c r="BA13" s="1554">
        <f t="shared" si="31"/>
        <v>72</v>
      </c>
      <c r="BB13" s="1554">
        <f t="shared" ref="BB13:BB18" si="38">INT((ABS(AZ13)-BA13)*60)</f>
        <v>28</v>
      </c>
      <c r="BC13" s="1554">
        <f t="shared" si="32"/>
        <v>36</v>
      </c>
      <c r="BD13" s="1554">
        <f t="shared" si="33"/>
        <v>53</v>
      </c>
      <c r="BE13" s="2049" t="s">
        <v>97</v>
      </c>
      <c r="BF13" s="1321" t="s">
        <v>3910</v>
      </c>
      <c r="BG13" s="2503" t="str">
        <f>[1]!shamszohalame(AZ7,AZ8,AZ9,AZ10)</f>
        <v>qermottasel</v>
      </c>
      <c r="BH13" s="1113">
        <f>AP52</f>
        <v>19.795823865886746</v>
      </c>
      <c r="BI13" s="942">
        <f t="shared" si="11"/>
        <v>19</v>
      </c>
      <c r="BJ13" s="942">
        <f t="shared" si="19"/>
        <v>47</v>
      </c>
      <c r="BK13" s="943">
        <f t="shared" si="20"/>
        <v>44</v>
      </c>
      <c r="BL13" s="1102" t="s">
        <v>3920</v>
      </c>
      <c r="BM13" s="2505" t="str">
        <f>[1]!zohremoshtariame(AZ7,AZ8,AZ9,AZ10)</f>
        <v>qermottasel</v>
      </c>
      <c r="BN13" s="1111">
        <f>BH36</f>
        <v>80.432243249649673</v>
      </c>
      <c r="BO13" s="451">
        <f t="shared" si="14"/>
        <v>80</v>
      </c>
      <c r="BP13" s="451">
        <f t="shared" si="25"/>
        <v>25</v>
      </c>
      <c r="BQ13" s="932">
        <f t="shared" si="26"/>
        <v>56</v>
      </c>
      <c r="BR13" s="740"/>
      <c r="BS13" s="888" t="s">
        <v>342</v>
      </c>
      <c r="BT13" s="888">
        <f>BT8-90</f>
        <v>-76.781352363384016</v>
      </c>
      <c r="BU13" s="930">
        <f t="shared" si="21"/>
        <v>76</v>
      </c>
      <c r="BV13" s="930">
        <f t="shared" si="22"/>
        <v>46</v>
      </c>
      <c r="BW13" s="930">
        <f t="shared" si="23"/>
        <v>52</v>
      </c>
      <c r="BX13" s="934">
        <f t="shared" si="24"/>
        <v>52</v>
      </c>
      <c r="BZ13" s="486" t="s">
        <v>1372</v>
      </c>
      <c r="CA13" s="773"/>
      <c r="CB13" s="429" t="s">
        <v>177</v>
      </c>
      <c r="CC13" s="226">
        <f>CA12</f>
        <v>35.75</v>
      </c>
      <c r="CD13" s="226">
        <f>CC13</f>
        <v>35.75</v>
      </c>
      <c r="CE13" s="226">
        <f>CD13</f>
        <v>35.75</v>
      </c>
      <c r="CF13" s="226">
        <f>CD13</f>
        <v>35.75</v>
      </c>
      <c r="CG13" s="1745"/>
      <c r="CH13" s="1741">
        <f>CH11/30</f>
        <v>48</v>
      </c>
      <c r="CI13" s="1741">
        <f>CI11/30</f>
        <v>48</v>
      </c>
      <c r="CJ13" s="1547" t="s">
        <v>4236</v>
      </c>
      <c r="CS13" s="384"/>
      <c r="CT13" s="384"/>
      <c r="CU13" s="384"/>
      <c r="CV13" s="384"/>
      <c r="CW13" s="384"/>
      <c r="CX13" s="384"/>
      <c r="CY13" s="384"/>
      <c r="CZ13" s="384"/>
      <c r="DA13" s="384"/>
      <c r="DB13" s="384"/>
      <c r="DC13" s="384"/>
      <c r="DD13" s="384"/>
      <c r="DE13" s="384"/>
      <c r="DF13" s="384"/>
      <c r="DG13" s="384"/>
      <c r="DS13" s="384"/>
      <c r="DT13" s="384"/>
      <c r="DU13" s="384"/>
      <c r="DV13" s="384"/>
      <c r="DW13" s="384"/>
      <c r="DX13" s="384"/>
      <c r="DY13" s="384"/>
      <c r="DZ13" s="384"/>
      <c r="EA13" s="384"/>
      <c r="EB13" s="384"/>
      <c r="EC13" s="384"/>
      <c r="ED13" s="384"/>
      <c r="EE13" s="384"/>
      <c r="EF13" s="384"/>
      <c r="EG13" s="384"/>
      <c r="EH13" s="384"/>
      <c r="EI13" s="384"/>
      <c r="EJ13" s="384"/>
      <c r="EK13" s="384"/>
      <c r="EL13" s="384"/>
      <c r="EM13" s="384"/>
      <c r="EN13" s="384"/>
      <c r="EO13" s="384"/>
      <c r="EP13" s="384"/>
      <c r="EQ13" s="384"/>
      <c r="ER13" s="384"/>
      <c r="ES13" s="384"/>
      <c r="ET13" s="384"/>
      <c r="EU13" s="384"/>
      <c r="EV13" s="384"/>
      <c r="EW13" s="384"/>
      <c r="EX13" s="384"/>
      <c r="EY13" s="384"/>
      <c r="EZ13" s="384"/>
      <c r="FA13" s="384"/>
      <c r="FB13" s="384"/>
      <c r="FC13" s="384"/>
      <c r="FD13" s="384"/>
      <c r="FE13" s="384"/>
      <c r="FF13" s="384"/>
      <c r="FG13" s="384"/>
      <c r="FH13" s="384"/>
      <c r="FI13" s="384"/>
      <c r="FJ13" s="384"/>
      <c r="FK13" s="384"/>
      <c r="FL13" s="384"/>
      <c r="FM13" s="384"/>
      <c r="FN13" s="384"/>
      <c r="FO13" s="384"/>
      <c r="FP13" s="384"/>
      <c r="FQ13" s="384"/>
      <c r="FR13" s="384"/>
      <c r="FS13" s="384"/>
      <c r="FT13" s="384"/>
      <c r="FU13" s="384"/>
      <c r="FV13" s="384"/>
      <c r="FW13" s="384"/>
      <c r="FX13" s="384"/>
      <c r="FY13" s="384"/>
      <c r="FZ13" s="384"/>
      <c r="GA13" s="384"/>
      <c r="GB13" s="384"/>
      <c r="GC13" s="384"/>
      <c r="GD13" s="384"/>
      <c r="GE13" s="384"/>
      <c r="GF13" s="384"/>
      <c r="GG13" s="384"/>
      <c r="GH13" s="384"/>
      <c r="GI13" s="384"/>
      <c r="GJ13" s="384"/>
      <c r="GK13" s="384"/>
      <c r="GL13" s="384"/>
      <c r="GM13" s="384"/>
      <c r="GN13" s="384"/>
      <c r="GO13" s="384"/>
      <c r="GP13" s="384"/>
      <c r="GQ13" s="384"/>
      <c r="GR13" s="384"/>
      <c r="GS13" s="384"/>
      <c r="GT13" s="384"/>
      <c r="GU13" s="384"/>
      <c r="GV13" s="384"/>
      <c r="GW13" s="384"/>
      <c r="GX13" s="384"/>
      <c r="GY13" s="384"/>
      <c r="GZ13" s="384"/>
      <c r="HA13" s="384"/>
      <c r="HB13" s="384"/>
      <c r="HC13" s="384"/>
      <c r="HD13" s="384"/>
      <c r="HE13" s="384"/>
      <c r="HF13" s="384"/>
      <c r="HG13" s="384"/>
      <c r="HH13" s="384"/>
      <c r="HI13" s="384"/>
      <c r="HJ13" s="384"/>
      <c r="HK13" s="384"/>
      <c r="HL13" s="384"/>
      <c r="HM13" s="384"/>
      <c r="HN13" s="384"/>
      <c r="HO13" s="384"/>
      <c r="HP13" s="384"/>
      <c r="HQ13" s="384"/>
      <c r="HR13" s="384"/>
      <c r="HS13" s="384"/>
      <c r="HT13" s="384"/>
      <c r="HU13" s="384"/>
      <c r="HV13" s="384"/>
      <c r="HW13" s="384"/>
      <c r="HX13" s="384"/>
      <c r="HY13" s="384"/>
      <c r="HZ13" s="384"/>
      <c r="IA13" s="384"/>
      <c r="IB13" s="384"/>
      <c r="IC13" s="384"/>
      <c r="ID13" s="384"/>
      <c r="IE13" s="384"/>
      <c r="IF13" s="384"/>
      <c r="IG13" s="384"/>
      <c r="IH13" s="384"/>
      <c r="II13" s="384"/>
      <c r="IJ13" s="384"/>
      <c r="IK13" s="384"/>
      <c r="IL13" s="384"/>
      <c r="IM13" s="384"/>
      <c r="IN13" s="384"/>
      <c r="IO13" s="384"/>
      <c r="IP13" s="384"/>
      <c r="IQ13" s="384"/>
      <c r="IR13" s="384"/>
      <c r="IS13" s="384"/>
      <c r="IT13" s="384"/>
      <c r="IU13" s="384"/>
      <c r="IV13" s="384"/>
      <c r="IW13" s="384"/>
      <c r="IX13" s="384"/>
      <c r="IY13" s="384"/>
      <c r="IZ13" s="384"/>
      <c r="JA13" s="384"/>
      <c r="JB13" s="384"/>
      <c r="JC13" s="384"/>
      <c r="JD13" s="384"/>
      <c r="JE13" s="384"/>
      <c r="JF13" s="384"/>
      <c r="JG13" s="384"/>
      <c r="JH13" s="384"/>
      <c r="JI13" s="384"/>
      <c r="JJ13" s="384"/>
      <c r="JK13" s="384"/>
      <c r="JL13" s="384"/>
      <c r="JM13" s="384"/>
      <c r="JN13" s="384"/>
      <c r="JO13" s="384"/>
      <c r="JP13" s="384"/>
      <c r="JQ13" s="384"/>
      <c r="JR13" s="384"/>
      <c r="JS13" s="384"/>
      <c r="JT13" s="384"/>
      <c r="JU13" s="384"/>
      <c r="JV13" s="384"/>
      <c r="JW13" s="384"/>
      <c r="JX13" s="384"/>
      <c r="JY13" s="384"/>
      <c r="JZ13" s="384"/>
      <c r="KA13" s="384"/>
      <c r="KB13" s="384"/>
      <c r="KC13" s="384"/>
      <c r="KD13" s="384"/>
      <c r="KE13" s="384"/>
      <c r="KF13" s="384"/>
      <c r="KG13" s="384"/>
      <c r="KH13" s="384"/>
      <c r="KI13" s="384"/>
      <c r="KJ13" s="384"/>
      <c r="KK13" s="384"/>
      <c r="KL13" s="384"/>
      <c r="KM13" s="384"/>
      <c r="KN13" s="384"/>
      <c r="KO13" s="384"/>
      <c r="KP13" s="384"/>
      <c r="KQ13" s="384"/>
      <c r="KR13" s="384"/>
      <c r="KS13" s="384"/>
      <c r="KT13" s="384"/>
      <c r="KU13" s="384"/>
      <c r="KV13" s="384"/>
      <c r="KW13" s="384"/>
      <c r="KX13" s="384"/>
      <c r="KY13" s="384"/>
      <c r="KZ13" s="384"/>
      <c r="LA13" s="384"/>
      <c r="LB13" s="384"/>
      <c r="LC13" s="384"/>
      <c r="LD13" s="384"/>
      <c r="LE13" s="384"/>
      <c r="LF13" s="384"/>
      <c r="LG13" s="384"/>
      <c r="LH13" s="384"/>
      <c r="LI13" s="384"/>
      <c r="LJ13" s="384"/>
      <c r="LK13" s="384"/>
      <c r="LL13" s="384"/>
      <c r="LM13" s="384"/>
      <c r="LN13" s="384"/>
      <c r="LO13" s="384"/>
      <c r="LP13" s="384"/>
      <c r="LQ13" s="384"/>
      <c r="LR13" s="384"/>
      <c r="LS13" s="384"/>
      <c r="LT13" s="384"/>
      <c r="LU13" s="384"/>
      <c r="LV13" s="384"/>
      <c r="LW13" s="384"/>
      <c r="LX13" s="384"/>
      <c r="LY13" s="384"/>
      <c r="LZ13" s="384"/>
      <c r="MA13" s="384"/>
      <c r="MB13" s="384"/>
      <c r="MC13" s="384"/>
      <c r="MD13" s="384"/>
      <c r="ME13" s="384"/>
      <c r="MF13" s="384"/>
      <c r="MG13" s="384"/>
      <c r="MH13" s="384"/>
      <c r="MI13" s="384"/>
      <c r="MJ13" s="384"/>
      <c r="MK13" s="384"/>
      <c r="ML13" s="384"/>
      <c r="MM13" s="384"/>
      <c r="MN13" s="384"/>
      <c r="MO13" s="384"/>
      <c r="MP13" s="384"/>
      <c r="MQ13" s="384"/>
      <c r="MR13" s="384"/>
      <c r="MS13" s="384"/>
      <c r="MT13" s="384"/>
      <c r="MU13" s="384"/>
      <c r="MV13" s="384"/>
      <c r="MW13" s="384"/>
      <c r="MX13" s="384"/>
      <c r="MY13" s="384"/>
      <c r="MZ13" s="384"/>
      <c r="NA13" s="384"/>
      <c r="NB13" s="384"/>
      <c r="NC13" s="384"/>
      <c r="ND13" s="384"/>
      <c r="NE13" s="384"/>
      <c r="NF13" s="384"/>
      <c r="NG13" s="384"/>
      <c r="NH13" s="384"/>
      <c r="NI13" s="384"/>
      <c r="NJ13" s="384"/>
      <c r="NK13" s="384"/>
      <c r="NL13" s="384"/>
      <c r="NM13" s="384"/>
      <c r="NN13" s="384"/>
      <c r="NO13" s="384"/>
      <c r="NP13" s="384"/>
      <c r="NQ13" s="384"/>
      <c r="NR13" s="384"/>
      <c r="NS13" s="384"/>
      <c r="NT13" s="384"/>
      <c r="NU13" s="384"/>
      <c r="NV13" s="384"/>
      <c r="NW13" s="384"/>
      <c r="NX13" s="384"/>
      <c r="NY13" s="384"/>
      <c r="NZ13" s="384"/>
      <c r="OA13" s="384"/>
      <c r="OB13" s="384"/>
      <c r="OC13" s="384"/>
      <c r="OD13" s="384"/>
      <c r="OE13" s="384"/>
      <c r="OF13" s="384"/>
      <c r="OG13" s="384"/>
      <c r="OH13" s="384"/>
      <c r="OI13" s="384"/>
      <c r="OJ13" s="384"/>
      <c r="OK13" s="384"/>
      <c r="OL13" s="384"/>
      <c r="OM13" s="384"/>
      <c r="ON13" s="384"/>
      <c r="OO13" s="384"/>
      <c r="OP13" s="384"/>
      <c r="OQ13" s="384"/>
      <c r="OR13" s="384"/>
      <c r="OS13" s="384"/>
      <c r="OT13" s="384"/>
      <c r="OU13" s="384"/>
      <c r="OV13" s="384"/>
      <c r="OW13" s="384"/>
      <c r="OX13" s="384"/>
      <c r="OY13" s="384"/>
      <c r="OZ13" s="384"/>
      <c r="PA13" s="384"/>
      <c r="PB13" s="384"/>
      <c r="PC13" s="384"/>
      <c r="PD13" s="384"/>
      <c r="PE13" s="384"/>
      <c r="PF13" s="384"/>
      <c r="PG13" s="384"/>
      <c r="PH13" s="384"/>
      <c r="PI13" s="384"/>
      <c r="PJ13" s="384"/>
      <c r="PK13" s="384"/>
      <c r="PL13" s="384"/>
      <c r="PM13" s="384"/>
      <c r="PN13" s="384"/>
      <c r="PO13" s="384"/>
      <c r="PP13" s="384"/>
      <c r="PQ13" s="384"/>
      <c r="PR13" s="384"/>
      <c r="PS13" s="384"/>
      <c r="PT13" s="384"/>
      <c r="PU13" s="384"/>
      <c r="PV13" s="384"/>
      <c r="PW13" s="384"/>
      <c r="PX13" s="384"/>
      <c r="PY13" s="384"/>
      <c r="PZ13" s="384"/>
      <c r="QA13" s="384"/>
      <c r="QB13" s="384"/>
      <c r="QC13" s="384"/>
      <c r="QD13" s="384"/>
      <c r="QE13" s="384"/>
      <c r="QF13" s="384"/>
    </row>
    <row r="14" spans="4:471" ht="25.5" thickBot="1">
      <c r="D14" s="927" t="s">
        <v>2336</v>
      </c>
      <c r="E14" s="928"/>
      <c r="F14" s="928" t="s">
        <v>172</v>
      </c>
      <c r="G14" s="928" t="s">
        <v>166</v>
      </c>
      <c r="H14" s="928" t="s">
        <v>167</v>
      </c>
      <c r="I14" s="929" t="s">
        <v>168</v>
      </c>
      <c r="J14" s="3" t="s">
        <v>2299</v>
      </c>
      <c r="K14" s="3"/>
      <c r="L14" s="3">
        <f>IF(L12&lt;L13,(L12+360)-L13,L12-L13)</f>
        <v>23.671206647030118</v>
      </c>
      <c r="M14" s="472">
        <f t="shared" si="34"/>
        <v>23</v>
      </c>
      <c r="N14" s="472">
        <f t="shared" si="35"/>
        <v>40</v>
      </c>
      <c r="O14" s="472">
        <f t="shared" si="36"/>
        <v>16</v>
      </c>
      <c r="P14" s="471">
        <f t="shared" si="37"/>
        <v>20</v>
      </c>
      <c r="Q14" s="197" t="s">
        <v>5</v>
      </c>
      <c r="R14" s="198">
        <f>INT(E12)</f>
        <v>13</v>
      </c>
      <c r="U14" s="3" t="s">
        <v>1285</v>
      </c>
      <c r="V14" s="3"/>
      <c r="W14" s="3">
        <f>[1]!tmer1(W13)</f>
        <v>6.8147859930611014</v>
      </c>
      <c r="X14" s="472">
        <f t="shared" si="27"/>
        <v>6</v>
      </c>
      <c r="Y14" s="472">
        <f t="shared" si="28"/>
        <v>48</v>
      </c>
      <c r="Z14" s="472">
        <f t="shared" si="29"/>
        <v>53</v>
      </c>
      <c r="AA14" s="471">
        <f t="shared" si="30"/>
        <v>13</v>
      </c>
      <c r="AB14" s="248" t="s">
        <v>87</v>
      </c>
      <c r="AC14" s="199">
        <v>354.36709259258998</v>
      </c>
      <c r="AF14" s="944"/>
      <c r="AG14" s="262" t="s">
        <v>275</v>
      </c>
      <c r="AH14" s="262">
        <f>[1]!arzqmr([1]!hesseh(AH3,AH4,AH5,AH6))</f>
        <v>-4.9339536206004659</v>
      </c>
      <c r="AI14" s="230">
        <f t="shared" ref="AI14" si="39">INT(ABS(AH14))</f>
        <v>4</v>
      </c>
      <c r="AJ14" s="230">
        <f t="shared" ref="AJ14" si="40">INT((ABS(AH14)-AI14)*60)</f>
        <v>56</v>
      </c>
      <c r="AK14" s="230">
        <f t="shared" ref="AK14" si="41">INT((((ABS(AH14)-AI14)*60)-AJ14)*60)</f>
        <v>2</v>
      </c>
      <c r="AL14" s="945">
        <f t="shared" ref="AL14" si="42">INT((((((ABS(AH14)-AI14)*60)-AJ14)*60)-AK14)*60)</f>
        <v>13</v>
      </c>
      <c r="AQ14" s="1087"/>
      <c r="AR14" s="1637" t="s">
        <v>2202</v>
      </c>
      <c r="AS14" s="1065">
        <f>[1]!tabdilsaheb(AS8)</f>
        <v>9.598740740833335E-2</v>
      </c>
      <c r="AT14" s="1065"/>
      <c r="AU14" s="1065"/>
      <c r="AV14" s="1065"/>
      <c r="AW14" s="1065"/>
      <c r="AX14" s="1644" t="s">
        <v>1291</v>
      </c>
      <c r="AY14" s="1645" t="s">
        <v>1481</v>
      </c>
      <c r="AZ14" s="1645">
        <f>[1]!taqota(AZ7,AZ8,AZ9,AZ10)</f>
        <v>356.72284793767261</v>
      </c>
      <c r="BA14" s="1554">
        <f t="shared" si="31"/>
        <v>356</v>
      </c>
      <c r="BB14" s="1554">
        <f t="shared" si="38"/>
        <v>43</v>
      </c>
      <c r="BC14" s="1554">
        <f t="shared" si="32"/>
        <v>22</v>
      </c>
      <c r="BD14" s="1554">
        <f t="shared" si="33"/>
        <v>15</v>
      </c>
      <c r="BE14" s="1522" t="str">
        <f>IF([1]!taqota(AZ7,AZ8,AZ9,AZ10)&gt;[1]!taqota(AZ7,AZ8,AZ9-0.0416667,AZ10),"مستقیم",IF([1]!taqota(AZ7,AZ8,AZ9,AZ10)&lt;[1]!taqota(AZ7,AZ8,AZ9-0.0416667,AZ10),"راجع","مقیم"))</f>
        <v>راجع</v>
      </c>
      <c r="BF14" s="1116" t="s">
        <v>3928</v>
      </c>
      <c r="BG14" s="2502" t="str">
        <f>[1]!qamarotaredame(AZ7,AZ8,AZ9,AZ10)</f>
        <v>qermottasel</v>
      </c>
      <c r="BH14" s="1111">
        <f>AV32</f>
        <v>75.754065319058384</v>
      </c>
      <c r="BI14" s="451">
        <f t="shared" si="11"/>
        <v>75</v>
      </c>
      <c r="BJ14" s="451">
        <f t="shared" si="19"/>
        <v>45</v>
      </c>
      <c r="BK14" s="932">
        <f t="shared" si="20"/>
        <v>14</v>
      </c>
      <c r="BL14" s="1112" t="s">
        <v>3921</v>
      </c>
      <c r="BM14" s="2506" t="str">
        <f>[1]!zohrezohalame(AZ7,AZ8,AZ9,AZ10)</f>
        <v>qermottasel</v>
      </c>
      <c r="BN14" s="1113">
        <f>BH40</f>
        <v>2.4153438690996154</v>
      </c>
      <c r="BO14" s="942">
        <f t="shared" si="14"/>
        <v>2</v>
      </c>
      <c r="BP14" s="942">
        <f t="shared" si="25"/>
        <v>24</v>
      </c>
      <c r="BQ14" s="943">
        <f t="shared" si="26"/>
        <v>55</v>
      </c>
      <c r="BR14" s="740"/>
      <c r="BS14" s="888" t="s">
        <v>343</v>
      </c>
      <c r="BT14" s="888">
        <f>BT9-90</f>
        <v>-17.523086743269005</v>
      </c>
      <c r="BU14" s="930">
        <f t="shared" si="21"/>
        <v>17</v>
      </c>
      <c r="BV14" s="930">
        <f t="shared" si="22"/>
        <v>31</v>
      </c>
      <c r="BW14" s="930">
        <f t="shared" si="23"/>
        <v>23</v>
      </c>
      <c r="BX14" s="934">
        <f t="shared" si="24"/>
        <v>6</v>
      </c>
      <c r="BZ14" s="490" t="s">
        <v>4</v>
      </c>
      <c r="CA14" s="1073">
        <f>CI8</f>
        <v>3</v>
      </c>
      <c r="CB14" s="429" t="s">
        <v>4228</v>
      </c>
      <c r="CC14" s="226">
        <f>[1]!bodmoadal(CC7,CC8,CC9,CC10,CC12,CC13)</f>
        <v>-5.783486061307201</v>
      </c>
      <c r="CD14" s="226">
        <f>[1]!bodmoadal(CD7,CD8,CD9,CD10,CD12,CD13)</f>
        <v>5.8144968705030688</v>
      </c>
      <c r="CE14" s="226">
        <f>[1]!bodmoadal(CE7,CE8,CE9,CE10,CE12,CE13)</f>
        <v>11.694400529070531</v>
      </c>
      <c r="CF14" s="226">
        <f>[1]!bodmoadal(CF7,CF8,CF9,CF10,CF12,CF13)</f>
        <v>17.747636228813818</v>
      </c>
      <c r="CG14" s="1745"/>
      <c r="CH14" s="1741">
        <f>CH13*11</f>
        <v>528</v>
      </c>
      <c r="CI14" s="1741">
        <f>CI13*11</f>
        <v>528</v>
      </c>
      <c r="CJ14" s="1547" t="s">
        <v>4237</v>
      </c>
      <c r="CS14" s="384"/>
      <c r="CT14" s="384"/>
      <c r="CU14" s="384"/>
      <c r="CV14" s="384"/>
      <c r="CW14" s="845"/>
      <c r="CX14" s="384"/>
      <c r="CY14" s="384"/>
      <c r="CZ14" s="384"/>
      <c r="DA14" s="384"/>
      <c r="DB14" s="845"/>
      <c r="DC14" s="845"/>
      <c r="DD14" s="845"/>
      <c r="DE14" s="845"/>
      <c r="DF14" s="384"/>
      <c r="DG14" s="384"/>
      <c r="DS14" s="384"/>
      <c r="DT14" s="384"/>
      <c r="DU14" s="845"/>
      <c r="DV14" s="384"/>
      <c r="DW14" s="384"/>
      <c r="DX14" s="384"/>
      <c r="DY14" s="384"/>
      <c r="DZ14" s="384"/>
      <c r="EA14" s="384"/>
      <c r="EB14" s="384"/>
      <c r="EC14" s="384"/>
      <c r="ED14" s="384"/>
      <c r="EE14" s="384"/>
      <c r="EF14" s="384"/>
      <c r="EG14" s="845"/>
      <c r="EH14" s="384"/>
      <c r="EI14" s="384"/>
      <c r="EJ14" s="384"/>
      <c r="EK14" s="384"/>
      <c r="EL14" s="384"/>
      <c r="EM14" s="384"/>
      <c r="EN14" s="384"/>
      <c r="EO14" s="384"/>
      <c r="EP14" s="384"/>
      <c r="EQ14" s="384"/>
      <c r="ER14" s="384"/>
      <c r="ES14" s="845"/>
      <c r="ET14" s="384"/>
      <c r="EU14" s="384"/>
      <c r="EV14" s="384"/>
      <c r="EW14" s="384"/>
      <c r="EX14" s="384"/>
      <c r="EY14" s="384"/>
      <c r="EZ14" s="384"/>
      <c r="FA14" s="384"/>
      <c r="FB14" s="384"/>
      <c r="FC14" s="384"/>
      <c r="FD14" s="384"/>
      <c r="FE14" s="845"/>
      <c r="FF14" s="384"/>
      <c r="FG14" s="384"/>
      <c r="FH14" s="384"/>
      <c r="FI14" s="384"/>
      <c r="FJ14" s="384"/>
      <c r="FK14" s="384"/>
      <c r="FL14" s="384"/>
      <c r="FM14" s="384"/>
      <c r="FN14" s="384"/>
      <c r="FO14" s="384"/>
      <c r="FP14" s="384"/>
      <c r="FQ14" s="845"/>
      <c r="FR14" s="384"/>
      <c r="FS14" s="384"/>
      <c r="FT14" s="384"/>
      <c r="FU14" s="384"/>
      <c r="FV14" s="384"/>
      <c r="FW14" s="384"/>
      <c r="FX14" s="384"/>
      <c r="FY14" s="384"/>
      <c r="FZ14" s="384"/>
      <c r="GA14" s="384"/>
      <c r="GB14" s="384"/>
      <c r="GC14" s="845"/>
      <c r="GD14" s="384"/>
      <c r="GE14" s="384"/>
      <c r="GF14" s="384"/>
      <c r="GG14" s="384"/>
      <c r="GH14" s="384"/>
      <c r="GI14" s="384"/>
      <c r="GJ14" s="384"/>
      <c r="GK14" s="384"/>
      <c r="GL14" s="384"/>
      <c r="GM14" s="384"/>
      <c r="GN14" s="384"/>
      <c r="GO14" s="845"/>
      <c r="GP14" s="384"/>
      <c r="GQ14" s="384"/>
      <c r="GR14" s="384"/>
      <c r="GS14" s="384"/>
      <c r="GT14" s="384"/>
      <c r="GU14" s="384"/>
      <c r="GV14" s="384"/>
      <c r="GW14" s="384"/>
      <c r="GX14" s="384"/>
      <c r="GY14" s="384"/>
      <c r="GZ14" s="384"/>
      <c r="HA14" s="845"/>
      <c r="HB14" s="384"/>
      <c r="HC14" s="384"/>
      <c r="HD14" s="384"/>
      <c r="HE14" s="384"/>
      <c r="HF14" s="384"/>
      <c r="HG14" s="384"/>
      <c r="HH14" s="384"/>
      <c r="HI14" s="384"/>
      <c r="HJ14" s="384"/>
      <c r="HK14" s="384"/>
      <c r="HL14" s="384"/>
      <c r="HM14" s="845"/>
      <c r="HN14" s="384"/>
      <c r="HO14" s="384"/>
      <c r="HP14" s="384"/>
      <c r="HQ14" s="384"/>
      <c r="HR14" s="384"/>
      <c r="HS14" s="384"/>
      <c r="HT14" s="384"/>
      <c r="HU14" s="384"/>
      <c r="HV14" s="384"/>
      <c r="HW14" s="384"/>
      <c r="HX14" s="384"/>
      <c r="HY14" s="845"/>
      <c r="HZ14" s="384"/>
      <c r="IA14" s="384"/>
      <c r="IB14" s="384"/>
      <c r="IC14" s="384"/>
      <c r="ID14" s="384"/>
      <c r="IE14" s="384"/>
      <c r="IF14" s="384"/>
      <c r="IG14" s="384"/>
      <c r="IH14" s="384"/>
      <c r="II14" s="384"/>
      <c r="IJ14" s="384"/>
      <c r="IK14" s="845"/>
      <c r="IL14" s="384"/>
      <c r="IM14" s="384"/>
      <c r="IN14" s="384"/>
      <c r="IO14" s="384"/>
      <c r="IP14" s="384"/>
      <c r="IQ14" s="384"/>
      <c r="IR14" s="384"/>
      <c r="IS14" s="384"/>
      <c r="IT14" s="384"/>
      <c r="IU14" s="384"/>
      <c r="IV14" s="384"/>
      <c r="IW14" s="845"/>
      <c r="IX14" s="384"/>
      <c r="IY14" s="384"/>
      <c r="IZ14" s="384"/>
      <c r="JA14" s="384"/>
      <c r="JB14" s="384"/>
      <c r="JC14" s="384"/>
      <c r="JD14" s="384"/>
      <c r="JE14" s="384"/>
      <c r="JF14" s="384"/>
      <c r="JG14" s="384"/>
      <c r="JH14" s="384"/>
      <c r="JI14" s="845"/>
      <c r="JJ14" s="384"/>
      <c r="JK14" s="384"/>
      <c r="JL14" s="384"/>
      <c r="JM14" s="384"/>
      <c r="JN14" s="384"/>
      <c r="JO14" s="384"/>
      <c r="JP14" s="384"/>
      <c r="JQ14" s="384"/>
      <c r="JR14" s="384"/>
      <c r="JS14" s="384"/>
      <c r="JT14" s="384"/>
      <c r="JU14" s="845"/>
      <c r="JV14" s="384"/>
      <c r="JW14" s="384"/>
      <c r="JX14" s="384"/>
      <c r="JY14" s="384"/>
      <c r="JZ14" s="384"/>
      <c r="KA14" s="384"/>
      <c r="KB14" s="384"/>
      <c r="KC14" s="384"/>
      <c r="KD14" s="384"/>
      <c r="KE14" s="384"/>
      <c r="KF14" s="384"/>
      <c r="KG14" s="845"/>
      <c r="KH14" s="384"/>
      <c r="KI14" s="384"/>
      <c r="KJ14" s="384"/>
      <c r="KK14" s="384"/>
      <c r="KL14" s="384"/>
      <c r="KM14" s="384"/>
      <c r="KN14" s="384"/>
      <c r="KO14" s="384"/>
      <c r="KP14" s="384"/>
      <c r="KQ14" s="384"/>
      <c r="KR14" s="384"/>
      <c r="KS14" s="845"/>
      <c r="KT14" s="384"/>
      <c r="KU14" s="384"/>
      <c r="KV14" s="384"/>
      <c r="KW14" s="384"/>
      <c r="KX14" s="384"/>
      <c r="KY14" s="384"/>
      <c r="KZ14" s="384"/>
      <c r="LA14" s="384"/>
      <c r="LB14" s="384"/>
      <c r="LC14" s="384"/>
      <c r="LD14" s="384"/>
      <c r="LE14" s="845"/>
      <c r="LF14" s="384"/>
      <c r="LG14" s="384"/>
      <c r="LH14" s="384"/>
      <c r="LI14" s="384"/>
      <c r="LJ14" s="384"/>
      <c r="LK14" s="384"/>
      <c r="LL14" s="384"/>
      <c r="LM14" s="384"/>
      <c r="LN14" s="384"/>
      <c r="LO14" s="384"/>
      <c r="LP14" s="384"/>
      <c r="LQ14" s="845"/>
      <c r="LR14" s="384"/>
      <c r="LS14" s="384"/>
      <c r="LT14" s="384"/>
      <c r="LU14" s="384"/>
      <c r="LV14" s="384"/>
      <c r="LW14" s="384"/>
      <c r="LX14" s="384"/>
      <c r="LY14" s="384"/>
      <c r="LZ14" s="384"/>
      <c r="MA14" s="384"/>
      <c r="MB14" s="384"/>
      <c r="MC14" s="845"/>
      <c r="MD14" s="384"/>
      <c r="ME14" s="384"/>
      <c r="MF14" s="384"/>
      <c r="MG14" s="384"/>
      <c r="MH14" s="384"/>
      <c r="MI14" s="384"/>
      <c r="MJ14" s="384"/>
      <c r="MK14" s="384"/>
      <c r="ML14" s="384"/>
      <c r="MM14" s="384"/>
      <c r="MN14" s="384"/>
      <c r="MO14" s="845"/>
      <c r="MP14" s="384"/>
      <c r="MQ14" s="384"/>
      <c r="MR14" s="384"/>
      <c r="MS14" s="384"/>
      <c r="MT14" s="384"/>
      <c r="MU14" s="384"/>
      <c r="MV14" s="384"/>
      <c r="MW14" s="384"/>
      <c r="MX14" s="384"/>
      <c r="MY14" s="384"/>
      <c r="MZ14" s="384"/>
      <c r="NA14" s="845"/>
      <c r="NB14" s="384"/>
      <c r="NC14" s="384"/>
      <c r="ND14" s="384"/>
      <c r="NE14" s="384"/>
      <c r="NF14" s="384"/>
      <c r="NG14" s="384"/>
      <c r="NH14" s="384"/>
      <c r="NI14" s="384"/>
      <c r="NJ14" s="384"/>
      <c r="NK14" s="384"/>
      <c r="NL14" s="384"/>
      <c r="NM14" s="845"/>
      <c r="NN14" s="384"/>
      <c r="NO14" s="384"/>
      <c r="NP14" s="384"/>
      <c r="NQ14" s="384"/>
      <c r="NR14" s="384"/>
      <c r="NS14" s="384"/>
      <c r="NT14" s="384"/>
      <c r="NU14" s="384"/>
      <c r="NV14" s="384"/>
      <c r="NW14" s="384"/>
      <c r="NX14" s="384"/>
      <c r="NY14" s="845"/>
      <c r="NZ14" s="384"/>
      <c r="OA14" s="384"/>
      <c r="OB14" s="384"/>
      <c r="OC14" s="384"/>
      <c r="OD14" s="384"/>
      <c r="OE14" s="384"/>
      <c r="OF14" s="384"/>
      <c r="OG14" s="384"/>
      <c r="OH14" s="384"/>
      <c r="OI14" s="384"/>
      <c r="OJ14" s="384"/>
      <c r="OK14" s="845"/>
      <c r="OL14" s="384"/>
      <c r="OM14" s="384"/>
      <c r="ON14" s="384"/>
      <c r="OO14" s="384"/>
      <c r="OP14" s="384"/>
      <c r="OQ14" s="384"/>
      <c r="OR14" s="384"/>
      <c r="OS14" s="384"/>
      <c r="OT14" s="384"/>
      <c r="OU14" s="384"/>
      <c r="OV14" s="384"/>
      <c r="OW14" s="845"/>
      <c r="OX14" s="384"/>
      <c r="OY14" s="384"/>
      <c r="OZ14" s="384"/>
      <c r="PA14" s="384"/>
      <c r="PB14" s="384"/>
      <c r="PC14" s="384"/>
      <c r="PD14" s="384"/>
      <c r="PE14" s="384"/>
      <c r="PF14" s="384"/>
      <c r="PG14" s="384"/>
      <c r="PH14" s="384"/>
      <c r="PI14" s="845"/>
      <c r="PJ14" s="384"/>
      <c r="PK14" s="384"/>
      <c r="PL14" s="384"/>
      <c r="PM14" s="384"/>
      <c r="PN14" s="384"/>
      <c r="PO14" s="384"/>
      <c r="PP14" s="384"/>
      <c r="PQ14" s="384"/>
      <c r="PR14" s="384"/>
      <c r="PS14" s="384"/>
      <c r="PT14" s="384"/>
      <c r="PU14" s="845"/>
      <c r="PV14" s="384"/>
      <c r="PW14" s="384"/>
      <c r="PX14" s="384"/>
      <c r="PY14" s="384"/>
      <c r="PZ14" s="384"/>
      <c r="QA14" s="384"/>
      <c r="QB14" s="384"/>
      <c r="QC14" s="384"/>
      <c r="QD14" s="384"/>
      <c r="QE14" s="384"/>
      <c r="QF14" s="384"/>
    </row>
    <row r="15" spans="4:471" ht="25.5" thickBot="1">
      <c r="D15" s="486" t="s">
        <v>1544</v>
      </c>
      <c r="E15" s="487">
        <f>L24</f>
        <v>288.05694970514799</v>
      </c>
      <c r="F15" s="488">
        <f>INT(ABS(E15))</f>
        <v>288</v>
      </c>
      <c r="G15" s="488">
        <f>INT((ABS(E15)-F15)*60)</f>
        <v>3</v>
      </c>
      <c r="H15" s="488">
        <f>INT((((ABS(E15)-F15)*60)-G15)*60)</f>
        <v>25</v>
      </c>
      <c r="I15" s="489">
        <f>INT((((((ABS(E15)-F15)*60)-G15)*60)-H15)*60)</f>
        <v>1</v>
      </c>
      <c r="J15" s="3" t="s">
        <v>1285</v>
      </c>
      <c r="K15" s="3"/>
      <c r="L15" s="3">
        <f>[1]!tmosh1(L14)</f>
        <v>-2.1296573137947727</v>
      </c>
      <c r="M15" s="472">
        <f t="shared" si="34"/>
        <v>2</v>
      </c>
      <c r="N15" s="472">
        <f t="shared" si="35"/>
        <v>7</v>
      </c>
      <c r="O15" s="472">
        <f t="shared" si="36"/>
        <v>46</v>
      </c>
      <c r="P15" s="471">
        <f t="shared" si="37"/>
        <v>45</v>
      </c>
      <c r="Q15" s="248" t="s">
        <v>87</v>
      </c>
      <c r="R15" s="199">
        <v>354.36709259258998</v>
      </c>
      <c r="U15" s="3" t="s">
        <v>560</v>
      </c>
      <c r="V15" s="3"/>
      <c r="W15" s="3">
        <f>[1]!tq(W11+W14)</f>
        <v>5.5523929826264862</v>
      </c>
      <c r="X15" s="472">
        <f t="shared" si="27"/>
        <v>5</v>
      </c>
      <c r="Y15" s="472">
        <f t="shared" si="28"/>
        <v>33</v>
      </c>
      <c r="Z15" s="472">
        <f t="shared" si="29"/>
        <v>8</v>
      </c>
      <c r="AA15" s="471">
        <f t="shared" si="30"/>
        <v>36</v>
      </c>
      <c r="AB15" s="200"/>
      <c r="AC15" s="201">
        <f>(AC11-1)*AC14</f>
        <v>249474.43318518336</v>
      </c>
      <c r="AF15" s="740" t="s">
        <v>1291</v>
      </c>
      <c r="AG15" s="888" t="s">
        <v>612</v>
      </c>
      <c r="AH15" s="888">
        <f>[1]!wasatott(AH3,AH4,AH5,AH6)</f>
        <v>59.02249053453852</v>
      </c>
      <c r="AI15" s="930">
        <f t="shared" ref="AI15:AI18" si="43">INT(ABS(AH15))</f>
        <v>59</v>
      </c>
      <c r="AJ15" s="930">
        <f t="shared" ref="AJ15:AJ18" si="44">INT((ABS(AH15)-AI15)*60)</f>
        <v>1</v>
      </c>
      <c r="AK15" s="930">
        <f t="shared" ref="AK15:AK18" si="45">INT((((ABS(AH15)-AI15)*60)-AJ15)*60)</f>
        <v>20</v>
      </c>
      <c r="AL15" s="934">
        <f t="shared" ref="AL15:AL18" si="46">INT((((((ABS(AH15)-AI15)*60)-AJ15)*60)-AK15)*60)</f>
        <v>57</v>
      </c>
      <c r="AQ15" s="1066"/>
      <c r="AR15" s="1638" t="s">
        <v>3872</v>
      </c>
      <c r="AS15" s="1067"/>
      <c r="AT15" s="1067" t="s">
        <v>168</v>
      </c>
      <c r="AU15" s="1067" t="s">
        <v>167</v>
      </c>
      <c r="AV15" s="1067" t="s">
        <v>166</v>
      </c>
      <c r="AW15" s="1067" t="s">
        <v>219</v>
      </c>
      <c r="AX15" s="1644" t="s">
        <v>1290</v>
      </c>
      <c r="AY15" s="1645" t="s">
        <v>1481</v>
      </c>
      <c r="AZ15" s="1645">
        <f>[1]!taqzohre(AZ7,AZ8,AZ9,AZ10)</f>
        <v>355.83816763982884</v>
      </c>
      <c r="BA15" s="1554">
        <f t="shared" si="31"/>
        <v>355</v>
      </c>
      <c r="BB15" s="1554">
        <f t="shared" si="38"/>
        <v>50</v>
      </c>
      <c r="BC15" s="1554">
        <f>INT((((ABS(AZ15)-BA15)*60)-BB15)*60)</f>
        <v>17</v>
      </c>
      <c r="BD15" s="1554">
        <f t="shared" si="33"/>
        <v>24</v>
      </c>
      <c r="BE15" s="1522" t="str">
        <f>IF([1]!taqzohre(AZ7,AZ8,AZ9,AZ10)&gt;[1]!taqzohre(AZ7,AZ8,AZ9-0.0416667,AZ10),"مستقیم",IF([1]!taqzohre(AZ7,AZ8,AZ9,AZ10)&lt;[1]!taqzohre(AZ7,AZ8,AZ9-0.0416667,AZ10),"راجع","مقیم"))</f>
        <v>راجع</v>
      </c>
      <c r="BF15" s="1116" t="s">
        <v>3911</v>
      </c>
      <c r="BG15" s="2502" t="str">
        <f>[1]!qamarzohreame(AZ7,AZ8,AZ9,AZ10)</f>
        <v>qermottasel</v>
      </c>
      <c r="BH15" s="1111">
        <f>AV36</f>
        <v>76.638745616902156</v>
      </c>
      <c r="BI15" s="451">
        <f t="shared" si="11"/>
        <v>76</v>
      </c>
      <c r="BJ15" s="451">
        <f t="shared" si="19"/>
        <v>38</v>
      </c>
      <c r="BK15" s="932">
        <f t="shared" si="20"/>
        <v>19</v>
      </c>
      <c r="BL15" s="1114" t="s">
        <v>3922</v>
      </c>
      <c r="BM15" s="2507" t="str">
        <f>[1]!merikhmoshtariame(AZ7,AZ8,AZ9,AZ10)</f>
        <v>qermottasel</v>
      </c>
      <c r="BN15" s="1115">
        <f>BN32</f>
        <v>37.78790682258726</v>
      </c>
      <c r="BO15" s="1103">
        <f t="shared" si="14"/>
        <v>37</v>
      </c>
      <c r="BP15" s="1103">
        <f t="shared" si="25"/>
        <v>47</v>
      </c>
      <c r="BQ15" s="1104">
        <f t="shared" si="26"/>
        <v>16</v>
      </c>
      <c r="BR15" s="740"/>
      <c r="BS15" s="888" t="s">
        <v>344</v>
      </c>
      <c r="BT15" s="888">
        <f>BT13+BT14</f>
        <v>-94.304439106653021</v>
      </c>
      <c r="BU15" s="930">
        <f t="shared" si="21"/>
        <v>94</v>
      </c>
      <c r="BV15" s="930">
        <f t="shared" si="22"/>
        <v>18</v>
      </c>
      <c r="BW15" s="930">
        <f t="shared" si="23"/>
        <v>15</v>
      </c>
      <c r="BX15" s="934">
        <f t="shared" si="24"/>
        <v>58</v>
      </c>
      <c r="BZ15" s="492" t="s">
        <v>3753</v>
      </c>
      <c r="CA15" s="777">
        <f>CI19-CH19</f>
        <v>30</v>
      </c>
      <c r="CB15" s="1739" t="s">
        <v>3552</v>
      </c>
      <c r="CC15" s="763">
        <f>[1]!bodsava(CC7,CC8,CC9,CC10,CC12,CC13)</f>
        <v>-4.4601432133331969</v>
      </c>
      <c r="CD15" s="763">
        <f>[1]!bodsava(CD7,CD8,CD9,CD10,CD12,CD13)</f>
        <v>6.5491814533958745</v>
      </c>
      <c r="CE15" s="763">
        <f>[1]!bodsava(CE7,CE8,CE9,CE10,CE12,CE13)</f>
        <v>17.541618979519882</v>
      </c>
      <c r="CF15" s="763">
        <f>[1]!bodsava(CF7,CF8,CF9,CF10,CF12,CF13)</f>
        <v>28.640408043055373</v>
      </c>
      <c r="CG15" s="1747"/>
      <c r="CH15" s="1741">
        <f>(INT(CH8/2)*30)+((CH8-1-INT(CH8/2))*29)</f>
        <v>30</v>
      </c>
      <c r="CI15" s="1741">
        <f>(INT(CI8/2)*30)+((CI8-1-INT(CI8/2))*29)</f>
        <v>59</v>
      </c>
      <c r="CJ15" s="1519" t="s">
        <v>3542</v>
      </c>
      <c r="CS15" s="1496"/>
      <c r="CT15" s="1496"/>
      <c r="CU15" s="1496"/>
      <c r="CV15" s="1496"/>
      <c r="CW15" s="1496"/>
    </row>
    <row r="16" spans="4:471" ht="25.5" thickBot="1">
      <c r="D16" s="490" t="s">
        <v>849</v>
      </c>
      <c r="E16" s="309">
        <f>[1]!taqq(E10,E11,E12,E13)</f>
        <v>104.84299662146736</v>
      </c>
      <c r="F16" s="472">
        <f t="shared" ref="F16:F21" si="47">INT(ABS(E16))</f>
        <v>104</v>
      </c>
      <c r="G16" s="472">
        <f t="shared" ref="G16:G21" si="48">INT((ABS(E16)-F16)*60)</f>
        <v>50</v>
      </c>
      <c r="H16" s="472">
        <f t="shared" ref="H16:H21" si="49">INT((((ABS(E16)-F16)*60)-G16)*60)</f>
        <v>34</v>
      </c>
      <c r="I16" s="491">
        <f t="shared" ref="I16:I21" si="50">INT((((((ABS(E16)-F16)*60)-G16)*60)-H16)*60)</f>
        <v>47</v>
      </c>
      <c r="J16" s="3" t="s">
        <v>560</v>
      </c>
      <c r="K16" s="3"/>
      <c r="L16" s="3">
        <f>[1]!tq(L12+L15)</f>
        <v>201.47097318922948</v>
      </c>
      <c r="M16" s="472">
        <f t="shared" si="34"/>
        <v>201</v>
      </c>
      <c r="N16" s="472">
        <f t="shared" si="35"/>
        <v>28</v>
      </c>
      <c r="O16" s="472">
        <f t="shared" si="36"/>
        <v>15</v>
      </c>
      <c r="P16" s="471">
        <f t="shared" si="37"/>
        <v>30</v>
      </c>
      <c r="Q16" s="200"/>
      <c r="R16" s="201">
        <f>(R12-1)*R15</f>
        <v>249474.43318518336</v>
      </c>
      <c r="U16" s="3" t="s">
        <v>2300</v>
      </c>
      <c r="V16" s="3"/>
      <c r="W16" s="3">
        <f>[1]!tq(W13+W14)</f>
        <v>222.2746972166878</v>
      </c>
      <c r="X16" s="472">
        <f t="shared" si="27"/>
        <v>222</v>
      </c>
      <c r="Y16" s="472">
        <f t="shared" si="28"/>
        <v>16</v>
      </c>
      <c r="Z16" s="472">
        <f t="shared" si="29"/>
        <v>28</v>
      </c>
      <c r="AA16" s="471">
        <f t="shared" si="30"/>
        <v>54</v>
      </c>
      <c r="AB16" s="200"/>
      <c r="AC16" s="201">
        <f>INT(AC12/2)*30+(AC12-1-INT(AC12/2))*29</f>
        <v>148</v>
      </c>
      <c r="AF16" s="740"/>
      <c r="AG16" s="888" t="s">
        <v>552</v>
      </c>
      <c r="AH16" s="888">
        <f>[1]!oujott(AH3,AH4,AH5,AH6)</f>
        <v>261.92042919709661</v>
      </c>
      <c r="AI16" s="930">
        <f t="shared" si="43"/>
        <v>261</v>
      </c>
      <c r="AJ16" s="930">
        <f t="shared" si="44"/>
        <v>55</v>
      </c>
      <c r="AK16" s="930">
        <f t="shared" si="45"/>
        <v>13</v>
      </c>
      <c r="AL16" s="934">
        <f t="shared" si="46"/>
        <v>32</v>
      </c>
      <c r="AQ16" s="1082" t="s">
        <v>144</v>
      </c>
      <c r="AR16" s="1636" t="s">
        <v>3870</v>
      </c>
      <c r="AS16" s="1083">
        <f>[1]!mbtool(AW16,AV16,AU16,AT16)</f>
        <v>-7.013888888888889E-3</v>
      </c>
      <c r="AT16" s="1483">
        <v>-1</v>
      </c>
      <c r="AU16" s="1483">
        <v>6</v>
      </c>
      <c r="AV16" s="1483">
        <v>10</v>
      </c>
      <c r="AW16" s="1483">
        <v>0</v>
      </c>
      <c r="AX16" s="1644" t="s">
        <v>687</v>
      </c>
      <c r="AY16" s="1645" t="s">
        <v>1481</v>
      </c>
      <c r="AZ16" s="1645">
        <f>[1]!taqmer(AZ7,AZ8,AZ9,AZ10)</f>
        <v>114.05831771206577</v>
      </c>
      <c r="BA16" s="1554">
        <f t="shared" si="31"/>
        <v>114</v>
      </c>
      <c r="BB16" s="1554">
        <f t="shared" si="38"/>
        <v>3</v>
      </c>
      <c r="BC16" s="1554">
        <f t="shared" si="32"/>
        <v>29</v>
      </c>
      <c r="BD16" s="1554">
        <f>INT((((((ABS(AZ16)-BA16)*60)-BB16)*60)-BC16)*60)</f>
        <v>56</v>
      </c>
      <c r="BE16" s="1522" t="str">
        <f>IF([1]!taqmer(AZ7,AZ8,AZ9,AZ10)&gt;[1]!taqmer(AZ7,AZ8,AZ9-1,AZ10),"مستقیم",IF([1]!taqmer(AZ7,AZ8,AZ9,AZ10)&lt;[1]!taqmer(AZ7,AZ8,AZ9-1,AZ10),"راجع","مقیم"))</f>
        <v>مستقیم</v>
      </c>
      <c r="BF16" s="1116" t="s">
        <v>3912</v>
      </c>
      <c r="BG16" s="2502" t="str">
        <f>[1]!qamarmerikhame(AZ7,AZ8,AZ9,AZ10)</f>
        <v>qermottasel</v>
      </c>
      <c r="BH16" s="1111">
        <f>AV40</f>
        <v>41.581404455334777</v>
      </c>
      <c r="BI16" s="451">
        <f t="shared" si="11"/>
        <v>41</v>
      </c>
      <c r="BJ16" s="451">
        <f t="shared" si="19"/>
        <v>34</v>
      </c>
      <c r="BK16" s="932">
        <f t="shared" si="20"/>
        <v>53</v>
      </c>
      <c r="BL16" s="1112" t="s">
        <v>3923</v>
      </c>
      <c r="BM16" s="2506" t="str">
        <f>[1]!merikhzohalame(AZ7,AZ8,AZ9,AZ10)</f>
        <v>qermottasel</v>
      </c>
      <c r="BN16" s="1113">
        <f>BN36</f>
        <v>120.63549394133656</v>
      </c>
      <c r="BO16" s="942">
        <f t="shared" si="14"/>
        <v>120</v>
      </c>
      <c r="BP16" s="942">
        <f t="shared" si="25"/>
        <v>38</v>
      </c>
      <c r="BQ16" s="943">
        <f t="shared" si="26"/>
        <v>7</v>
      </c>
      <c r="BR16" s="710"/>
      <c r="BS16" s="711" t="s">
        <v>1372</v>
      </c>
      <c r="BT16" s="711" t="str">
        <f>IF(OR(BT15=0,BT15=360),"تناظر زمانی","غیرتناظر زمانی")</f>
        <v>غیرتناظر زمانی</v>
      </c>
      <c r="BU16" s="1314"/>
      <c r="BV16" s="1314" t="str">
        <f>[1]!tanazorzamaname(BT8,BT9)</f>
        <v>qeyr tanazor zamani</v>
      </c>
      <c r="BW16" s="1314"/>
      <c r="BX16" s="1315"/>
      <c r="BZ16" s="1532" t="s">
        <v>2202</v>
      </c>
      <c r="CA16" s="1519">
        <f>[1]!troozhaq(CA8,CA9,CA11,CA12)</f>
        <v>30</v>
      </c>
      <c r="CB16" s="1738" t="s">
        <v>3</v>
      </c>
      <c r="CC16" s="571">
        <f>CA8</f>
        <v>1445</v>
      </c>
      <c r="CD16" s="571">
        <f>CC16</f>
        <v>1445</v>
      </c>
      <c r="CE16" s="571">
        <f>CD16</f>
        <v>1445</v>
      </c>
      <c r="CF16" s="571">
        <f>CD16</f>
        <v>1445</v>
      </c>
      <c r="CG16" s="1746">
        <f>CF16</f>
        <v>1445</v>
      </c>
      <c r="CH16" s="1741">
        <f>CH7-1-CH11</f>
        <v>4</v>
      </c>
      <c r="CI16" s="1741">
        <f>CI7-1-CI11</f>
        <v>4</v>
      </c>
      <c r="CJ16" s="1519"/>
      <c r="CS16" s="845"/>
      <c r="CT16" s="1758"/>
      <c r="CU16" s="1758"/>
      <c r="CV16" s="1758"/>
      <c r="CW16" s="1758"/>
      <c r="DU16" s="920" t="s">
        <v>612</v>
      </c>
      <c r="DV16" s="921"/>
      <c r="DW16" s="921"/>
      <c r="DX16" s="921"/>
      <c r="DY16" s="921"/>
      <c r="DZ16" s="921"/>
      <c r="EA16" s="921"/>
      <c r="EB16" s="921" t="s">
        <v>4242</v>
      </c>
      <c r="EC16" s="921"/>
      <c r="ED16" s="921"/>
      <c r="EE16" s="921"/>
      <c r="EF16" s="921"/>
      <c r="EG16" s="921" t="s">
        <v>4243</v>
      </c>
      <c r="EH16" s="921"/>
      <c r="EI16" s="921"/>
      <c r="EJ16" s="921"/>
      <c r="EK16" s="921"/>
      <c r="EL16" s="318"/>
    </row>
    <row r="17" spans="3:142" ht="24.75">
      <c r="C17" s="797">
        <f>[1]!taqota(E10,E11,E12,E13)</f>
        <v>275.205644884496</v>
      </c>
      <c r="D17" s="490" t="s">
        <v>1291</v>
      </c>
      <c r="E17" s="309">
        <f>L91</f>
        <v>275.205644884496</v>
      </c>
      <c r="F17" s="472">
        <f t="shared" si="47"/>
        <v>275</v>
      </c>
      <c r="G17" s="472">
        <f t="shared" si="48"/>
        <v>12</v>
      </c>
      <c r="H17" s="472">
        <f t="shared" si="49"/>
        <v>20</v>
      </c>
      <c r="I17" s="491">
        <f t="shared" si="50"/>
        <v>19</v>
      </c>
      <c r="J17" s="3" t="s">
        <v>2300</v>
      </c>
      <c r="K17" s="3"/>
      <c r="L17" s="3">
        <f>[1]!tq(L14+L15)</f>
        <v>21.541549333235345</v>
      </c>
      <c r="M17" s="472">
        <f t="shared" si="34"/>
        <v>21</v>
      </c>
      <c r="N17" s="472">
        <f t="shared" si="35"/>
        <v>32</v>
      </c>
      <c r="O17" s="472">
        <f t="shared" si="36"/>
        <v>29</v>
      </c>
      <c r="P17" s="471">
        <f t="shared" si="37"/>
        <v>34</v>
      </c>
      <c r="Q17" s="200"/>
      <c r="R17" s="201">
        <f>INT(R13/2)*30+(R13-1-INT(R13/2))*29</f>
        <v>148</v>
      </c>
      <c r="U17" s="3" t="s">
        <v>2301</v>
      </c>
      <c r="V17" s="3"/>
      <c r="W17" s="3">
        <f>AC5</f>
        <v>48.803236255158836</v>
      </c>
      <c r="X17" s="472">
        <f t="shared" si="27"/>
        <v>48</v>
      </c>
      <c r="Y17" s="472">
        <f t="shared" si="28"/>
        <v>48</v>
      </c>
      <c r="Z17" s="472">
        <f t="shared" si="29"/>
        <v>11</v>
      </c>
      <c r="AA17" s="471">
        <f t="shared" si="30"/>
        <v>39</v>
      </c>
      <c r="AB17" s="202"/>
      <c r="AC17" s="201">
        <f>INT(AC15+AC16+AC13)</f>
        <v>249635</v>
      </c>
      <c r="AF17" s="740"/>
      <c r="AG17" s="888" t="s">
        <v>761</v>
      </c>
      <c r="AH17" s="888">
        <f>[1]!rasott(AH3,AH4,AH5,AH6)</f>
        <v>52.531625822214743</v>
      </c>
      <c r="AI17" s="930">
        <f t="shared" si="43"/>
        <v>52</v>
      </c>
      <c r="AJ17" s="930">
        <f t="shared" si="44"/>
        <v>31</v>
      </c>
      <c r="AK17" s="930">
        <f t="shared" si="45"/>
        <v>53</v>
      </c>
      <c r="AL17" s="934">
        <f t="shared" si="46"/>
        <v>51</v>
      </c>
      <c r="AQ17" s="1082"/>
      <c r="AR17" s="1636"/>
      <c r="AS17" s="1083">
        <f>AS16*24</f>
        <v>-0.16833333333333333</v>
      </c>
      <c r="AT17" s="1083"/>
      <c r="AU17" s="1083"/>
      <c r="AV17" s="1083"/>
      <c r="AW17" s="1083"/>
      <c r="AX17" s="1644" t="s">
        <v>1292</v>
      </c>
      <c r="AY17" s="1645" t="s">
        <v>1481</v>
      </c>
      <c r="AZ17" s="1645">
        <f>[1]!taqmosh(AZ7,AZ8,AZ9,AZ10)</f>
        <v>76.270410889478512</v>
      </c>
      <c r="BA17" s="1554">
        <f t="shared" si="31"/>
        <v>76</v>
      </c>
      <c r="BB17" s="1554">
        <f t="shared" si="38"/>
        <v>16</v>
      </c>
      <c r="BC17" s="1554">
        <f t="shared" si="32"/>
        <v>13</v>
      </c>
      <c r="BD17" s="1554">
        <f t="shared" si="33"/>
        <v>28</v>
      </c>
      <c r="BE17" s="1522" t="str">
        <f>IF([1]!taqmosh(AZ7,AZ8,AZ9,AZ10)&gt;[1]!taqmosh(AZ7,AZ8,AZ9-0.0416667,AZ10),"مستقیم",IF([1]!taqmosh(AZ7,AZ8,AZ9,AZ10)&lt;[1]!taqmosh(AZ7,AZ8,AZ9-0.0416667,AZ10),"راجع","مقیم"))</f>
        <v>مستقیم</v>
      </c>
      <c r="BF17" s="1116" t="s">
        <v>3913</v>
      </c>
      <c r="BG17" s="2502" t="str">
        <f>[1]!qamarmoshtariame(AZ7,AZ8,AZ9,AZ10)</f>
        <v>qermottasel</v>
      </c>
      <c r="BH17" s="1111">
        <f>AV44</f>
        <v>3.7934976327475169</v>
      </c>
      <c r="BI17" s="451">
        <f t="shared" si="11"/>
        <v>3</v>
      </c>
      <c r="BJ17" s="451">
        <f t="shared" si="19"/>
        <v>47</v>
      </c>
      <c r="BK17" s="932">
        <f t="shared" si="20"/>
        <v>36</v>
      </c>
      <c r="BL17" s="1116" t="s">
        <v>3924</v>
      </c>
      <c r="BM17" s="2505" t="str">
        <f>[1]!moshtarizohalame(AZ7,AZ8,AZ9,AZ10)</f>
        <v>qermottasel</v>
      </c>
      <c r="BN17" s="1111">
        <f>BT32</f>
        <v>82.847587118749288</v>
      </c>
      <c r="BO17" s="451">
        <f t="shared" si="14"/>
        <v>82</v>
      </c>
      <c r="BP17" s="451">
        <f t="shared" si="25"/>
        <v>50</v>
      </c>
      <c r="BQ17" s="932">
        <f t="shared" si="26"/>
        <v>51</v>
      </c>
      <c r="BZ17" s="1532"/>
      <c r="CA17" s="1519"/>
      <c r="CB17" s="1603" t="s">
        <v>4</v>
      </c>
      <c r="CC17" s="429">
        <f>CA9</f>
        <v>3</v>
      </c>
      <c r="CD17" s="429">
        <f>CC17</f>
        <v>3</v>
      </c>
      <c r="CE17" s="429">
        <f>CD17</f>
        <v>3</v>
      </c>
      <c r="CF17" s="429">
        <f>CE17</f>
        <v>3</v>
      </c>
      <c r="CG17" s="1746">
        <f>CF17</f>
        <v>3</v>
      </c>
      <c r="CH17" s="1741">
        <f>CH16*354</f>
        <v>1416</v>
      </c>
      <c r="CI17" s="1741">
        <f>CI16*354</f>
        <v>1416</v>
      </c>
      <c r="CJ17" s="1519"/>
      <c r="CS17" s="845"/>
      <c r="CT17" s="845"/>
      <c r="CU17" s="845"/>
      <c r="CV17" s="845"/>
      <c r="CW17" s="845"/>
      <c r="DU17" s="977">
        <v>1446</v>
      </c>
      <c r="DV17" s="250" t="s">
        <v>3</v>
      </c>
      <c r="DW17" s="250">
        <v>1416</v>
      </c>
      <c r="DX17" s="250"/>
      <c r="DY17" s="250"/>
      <c r="DZ17" s="250"/>
      <c r="EA17" s="250">
        <v>1447</v>
      </c>
      <c r="EB17" s="250">
        <v>2026</v>
      </c>
      <c r="EC17" s="250"/>
      <c r="ED17" s="250">
        <v>1996</v>
      </c>
      <c r="EE17" s="250">
        <v>1416</v>
      </c>
      <c r="EF17" s="250"/>
      <c r="EG17" s="250">
        <v>1447</v>
      </c>
      <c r="EH17" s="250">
        <v>1416</v>
      </c>
      <c r="EI17" s="250"/>
      <c r="EJ17" s="250"/>
      <c r="EK17" s="250"/>
      <c r="EL17" s="319"/>
    </row>
    <row r="18" spans="3:142" ht="25.5" thickBot="1">
      <c r="C18" s="797">
        <f>[1]!taqzohre(E10,E11,E12,E13)</f>
        <v>241.63639052713771</v>
      </c>
      <c r="D18" s="490" t="s">
        <v>1290</v>
      </c>
      <c r="E18" s="309">
        <f>W91</f>
        <v>241.64497882996849</v>
      </c>
      <c r="F18" s="472">
        <f t="shared" si="47"/>
        <v>241</v>
      </c>
      <c r="G18" s="472">
        <f t="shared" si="48"/>
        <v>38</v>
      </c>
      <c r="H18" s="472">
        <f t="shared" si="49"/>
        <v>41</v>
      </c>
      <c r="I18" s="491">
        <f t="shared" si="50"/>
        <v>55</v>
      </c>
      <c r="J18" s="3" t="s">
        <v>2301</v>
      </c>
      <c r="K18" s="3"/>
      <c r="L18" s="3">
        <f>R6</f>
        <v>95.647226517881023</v>
      </c>
      <c r="M18" s="472">
        <f t="shared" si="34"/>
        <v>95</v>
      </c>
      <c r="N18" s="472">
        <f t="shared" si="35"/>
        <v>38</v>
      </c>
      <c r="O18" s="472">
        <f t="shared" si="36"/>
        <v>50</v>
      </c>
      <c r="P18" s="471">
        <f t="shared" si="37"/>
        <v>0</v>
      </c>
      <c r="Q18" s="202"/>
      <c r="R18" s="201">
        <f>INT(R16+R17+R14)</f>
        <v>249635</v>
      </c>
      <c r="U18" s="3" t="s">
        <v>713</v>
      </c>
      <c r="V18" s="3"/>
      <c r="W18" s="3">
        <f>[1]!tq(W15-W17)</f>
        <v>316.74915672746766</v>
      </c>
      <c r="X18" s="472">
        <f t="shared" si="27"/>
        <v>316</v>
      </c>
      <c r="Y18" s="472">
        <f t="shared" si="28"/>
        <v>44</v>
      </c>
      <c r="Z18" s="472">
        <f t="shared" si="29"/>
        <v>56</v>
      </c>
      <c r="AA18" s="471">
        <f t="shared" si="30"/>
        <v>57</v>
      </c>
      <c r="AB18" s="202"/>
      <c r="AC18" s="201">
        <f>MOD(AC17,7)</f>
        <v>1</v>
      </c>
      <c r="AF18" s="740"/>
      <c r="AG18" s="888" t="s">
        <v>1481</v>
      </c>
      <c r="AH18" s="888">
        <f>[1]!taqota(AH3,AH4,AH5,AH6)</f>
        <v>278.08556087748281</v>
      </c>
      <c r="AI18" s="930">
        <f t="shared" si="43"/>
        <v>278</v>
      </c>
      <c r="AJ18" s="930">
        <f t="shared" si="44"/>
        <v>5</v>
      </c>
      <c r="AK18" s="930">
        <f t="shared" si="45"/>
        <v>8</v>
      </c>
      <c r="AL18" s="934">
        <f t="shared" si="46"/>
        <v>1</v>
      </c>
      <c r="AQ18" s="1082"/>
      <c r="AR18" s="1636"/>
      <c r="AS18" s="1083">
        <f>AS17*15</f>
        <v>-2.5249999999999999</v>
      </c>
      <c r="AT18" s="1083"/>
      <c r="AU18" s="1083"/>
      <c r="AV18" s="1083"/>
      <c r="AW18" s="1083"/>
      <c r="AX18" s="1644" t="s">
        <v>1293</v>
      </c>
      <c r="AY18" s="1645" t="s">
        <v>1481</v>
      </c>
      <c r="AZ18" s="1645">
        <f>[1]!taqzohal(AZ7,AZ8,AZ9,AZ10)</f>
        <v>353.42282377072922</v>
      </c>
      <c r="BA18" s="1554">
        <f t="shared" si="31"/>
        <v>353</v>
      </c>
      <c r="BB18" s="1554">
        <f t="shared" si="38"/>
        <v>25</v>
      </c>
      <c r="BC18" s="1554">
        <f t="shared" si="32"/>
        <v>22</v>
      </c>
      <c r="BD18" s="1554">
        <f t="shared" si="33"/>
        <v>9</v>
      </c>
      <c r="BE18" s="1522" t="str">
        <f>IF([1]!taqzohal(AZ7,AZ8,AZ9,AZ10)&gt;[1]!taqzohal(AZ7,AZ8,AZ9-0.0416667,AZ10),"مستقیم",IF([1]!taqzohal(AZ7,AZ8,AZ9,AZ10)&lt;[1]!taqzohal(AZ7,AZ8,AZ9-0.0416667,AZ10),"راجع","مقیم"))</f>
        <v>مستقیم</v>
      </c>
      <c r="BF18" s="1322" t="s">
        <v>3914</v>
      </c>
      <c r="BG18" s="2504" t="str">
        <f>[1]!qamarzohalame(AZ7,AZ8,AZ9,AZ10)</f>
        <v>qermottasel</v>
      </c>
      <c r="BH18" s="1117">
        <f>AV48</f>
        <v>79.054089486001772</v>
      </c>
      <c r="BI18" s="1099">
        <f t="shared" si="11"/>
        <v>79</v>
      </c>
      <c r="BJ18" s="1099">
        <f t="shared" si="19"/>
        <v>3</v>
      </c>
      <c r="BK18" s="1100">
        <f t="shared" si="20"/>
        <v>14</v>
      </c>
      <c r="BL18" s="1101"/>
      <c r="BM18" s="1118"/>
      <c r="BN18" s="1119"/>
      <c r="BO18" s="1119"/>
      <c r="BP18" s="1119"/>
      <c r="BQ18" s="1120"/>
      <c r="BZ18" s="1532"/>
      <c r="CA18" s="1519"/>
      <c r="CB18" s="1603" t="s">
        <v>1197</v>
      </c>
      <c r="CC18" s="429">
        <v>28</v>
      </c>
      <c r="CD18" s="429">
        <f>CC18+1</f>
        <v>29</v>
      </c>
      <c r="CE18" s="429">
        <f>CD18+1</f>
        <v>30</v>
      </c>
      <c r="CF18" s="429">
        <f>CE18+1</f>
        <v>31</v>
      </c>
      <c r="CG18" s="1745">
        <f>IF(AND(CC22&gt;=10,CC21&gt;10),CC18,IF(AND(CD22&gt;=10,CD21&gt;=10),CD18,IF(AND(CE22&gt;=10,CE21&gt;=10),CE18,CF18)))</f>
        <v>31</v>
      </c>
      <c r="CH18" s="1741">
        <f>IF(CH16&lt;2,0,IF(CH16&lt;5,1,IF(CH16&lt;7,2,IF(CH16&lt;10,3,IF(CH16&lt;13,4,IF(CH16&lt;15,5,IF(CH16&lt;18,6,IF(CH16&lt;21,7,IF(CH16&lt;24,8,IF(CH16&lt;26,9,IF(CH16&lt;29,10,11)))))))))))</f>
        <v>1</v>
      </c>
      <c r="CI18" s="1741">
        <f>IF(CI16&lt;2,0,IF(CI16&lt;5,1,IF(CI16&lt;7,2,IF(CI16&lt;10,3,IF(CI16&lt;13,4,IF(CI16&lt;15,5,IF(CI16&lt;18,6,IF(CI16&lt;21,7,IF(CI16&lt;24,8,IF(CI16&lt;26,9,IF(CI16&lt;29,10,11)))))))))))</f>
        <v>1</v>
      </c>
      <c r="CJ18" s="1519" t="s">
        <v>4232</v>
      </c>
      <c r="CS18" s="845"/>
      <c r="CT18" s="845"/>
      <c r="CU18" s="845"/>
      <c r="CV18" s="845"/>
      <c r="CW18" s="845"/>
      <c r="DU18" s="977">
        <v>12</v>
      </c>
      <c r="DV18" s="250" t="s">
        <v>4</v>
      </c>
      <c r="DW18" s="250">
        <v>8</v>
      </c>
      <c r="DX18" s="250"/>
      <c r="DY18" s="250"/>
      <c r="DZ18" s="250"/>
      <c r="EA18" s="250">
        <v>8</v>
      </c>
      <c r="EB18" s="250" t="s">
        <v>102</v>
      </c>
      <c r="EC18" s="250"/>
      <c r="ED18" s="250" t="s">
        <v>104</v>
      </c>
      <c r="EE18" s="250">
        <v>11</v>
      </c>
      <c r="EF18" s="250"/>
      <c r="EG18" s="250">
        <v>9</v>
      </c>
      <c r="EH18" s="250">
        <v>11</v>
      </c>
      <c r="EI18" s="250"/>
      <c r="EJ18" s="250"/>
      <c r="EK18" s="250"/>
      <c r="EL18" s="319"/>
    </row>
    <row r="19" spans="3:142" ht="25.5" thickBot="1">
      <c r="C19" s="797">
        <f>[1]!taqmer(E10,E11,E12,E13)</f>
        <v>334.98214940977414</v>
      </c>
      <c r="D19" s="490" t="s">
        <v>687</v>
      </c>
      <c r="E19" s="309">
        <f>W44</f>
        <v>334.98699986865313</v>
      </c>
      <c r="F19" s="472">
        <f t="shared" si="47"/>
        <v>334</v>
      </c>
      <c r="G19" s="472">
        <f t="shared" si="48"/>
        <v>59</v>
      </c>
      <c r="H19" s="472">
        <f t="shared" si="49"/>
        <v>13</v>
      </c>
      <c r="I19" s="491">
        <f t="shared" si="50"/>
        <v>11</v>
      </c>
      <c r="J19" s="3" t="s">
        <v>713</v>
      </c>
      <c r="K19" s="3"/>
      <c r="L19" s="3">
        <f>IF(L16&lt;L18,(L16+360)-L18,L16-L18)</f>
        <v>105.82374667134846</v>
      </c>
      <c r="M19" s="472">
        <f t="shared" si="34"/>
        <v>105</v>
      </c>
      <c r="N19" s="472">
        <f t="shared" si="35"/>
        <v>49</v>
      </c>
      <c r="O19" s="472">
        <f t="shared" si="36"/>
        <v>25</v>
      </c>
      <c r="P19" s="471">
        <f t="shared" si="37"/>
        <v>29</v>
      </c>
      <c r="Q19" s="202"/>
      <c r="R19" s="201">
        <f>MOD(R18,7)</f>
        <v>1</v>
      </c>
      <c r="U19" s="3" t="s">
        <v>774</v>
      </c>
      <c r="V19" s="3"/>
      <c r="W19" s="3">
        <f>[1]!tmer2(W18)</f>
        <v>1.4930395525738049E-2</v>
      </c>
      <c r="X19" s="472">
        <f t="shared" si="27"/>
        <v>0</v>
      </c>
      <c r="Y19" s="472">
        <f t="shared" si="28"/>
        <v>0</v>
      </c>
      <c r="Z19" s="472">
        <f t="shared" si="29"/>
        <v>53</v>
      </c>
      <c r="AA19" s="471">
        <f t="shared" si="30"/>
        <v>44</v>
      </c>
      <c r="AB19" s="203" t="s">
        <v>1372</v>
      </c>
      <c r="AC19" s="204" t="str">
        <f>IF(AC18=1,"جمعه",IF(AC18=2,"شنبه",IF(AC18=3,"یک شنبه",IF(AC18=4,"دو شنبه",IF(AC18=5,"سه شنبه",IF(AC18=6,"چهار شنبه","پنج شنبه"))))))</f>
        <v>جمعه</v>
      </c>
      <c r="AF19" s="740"/>
      <c r="AG19" s="888" t="s">
        <v>176</v>
      </c>
      <c r="AH19" s="888" t="str">
        <f>[1]!jahatotaame(AH3,AH4,AH5,AH6)</f>
        <v>jo-saed-naqes</v>
      </c>
      <c r="AI19" s="888"/>
      <c r="AJ19" s="888"/>
      <c r="AK19" s="888"/>
      <c r="AL19" s="741"/>
      <c r="AQ19" s="1082" t="s">
        <v>1372</v>
      </c>
      <c r="AR19" s="1636" t="s">
        <v>3871</v>
      </c>
      <c r="AS19" s="1083">
        <f>IF(AS9+(AS18*-1)&lt;=180,AS9+(AS18*-1),(AS9+(AS18*-1))-360)</f>
        <v>88.415166667000008</v>
      </c>
      <c r="AT19" s="1083"/>
      <c r="AU19" s="1083"/>
      <c r="AV19" s="1083"/>
      <c r="AW19" s="1083"/>
      <c r="AX19" s="1646" t="s">
        <v>3850</v>
      </c>
      <c r="AY19" s="1647"/>
      <c r="AZ19" s="1647">
        <f>[1]!taqmareesh(AZ7,AZ8,INT(AZ9),AZ6,AZ10,BD7)</f>
        <v>13.208576509279171</v>
      </c>
      <c r="BA19" s="1642">
        <f t="shared" ref="BA19:BA20" si="51">INT(ABS(AZ19))</f>
        <v>13</v>
      </c>
      <c r="BB19" s="1642">
        <f t="shared" ref="BB19:BB20" si="52">INT((ABS(AZ19)-BA19)*60)</f>
        <v>12</v>
      </c>
      <c r="BC19" s="1642">
        <f t="shared" ref="BC19:BC20" si="53">INT((((ABS(AZ19)-BA19)*60)-BB19)*60)</f>
        <v>30</v>
      </c>
      <c r="BD19" s="1642">
        <f t="shared" ref="BD19:BD20" si="54">INT((((((ABS(AZ19)-BA19)*60)-BB19)*60)-BC19)*60)</f>
        <v>52</v>
      </c>
      <c r="BE19" s="2047"/>
      <c r="BF19" s="1319" t="s">
        <v>3947</v>
      </c>
      <c r="BL19" s="1098"/>
      <c r="BZ19" s="1532"/>
      <c r="CA19" s="1519"/>
      <c r="CB19" s="1603" t="s">
        <v>3499</v>
      </c>
      <c r="CC19" s="429">
        <f>[1]!vqoroob(CC16,CC17,CC18,CC12,CC13)</f>
        <v>17.521963715508889</v>
      </c>
      <c r="CD19" s="429">
        <f>[1]!vqoroob(CD16,CD17,CD18,CD12,CD13)</f>
        <v>17.500532741751922</v>
      </c>
      <c r="CE19" s="429">
        <f>[1]!vqoroob(CE16,CE17,CE18,CD12,CD13)</f>
        <v>17.479345002317505</v>
      </c>
      <c r="CF19" s="429">
        <f>[1]!vqoroob(CF16,CF17,CF18,CF12,CF13)</f>
        <v>17.458403120638316</v>
      </c>
      <c r="CG19" s="1745"/>
      <c r="CH19" s="1743">
        <f>CH17+CH14+CH12+CH15+CH9+CH18</f>
        <v>511765</v>
      </c>
      <c r="CI19" s="1743">
        <f>CI17+CI14+CI12+CI15+CI9+CI18</f>
        <v>511795</v>
      </c>
      <c r="CJ19" s="1519">
        <f>CI19-CH19</f>
        <v>30</v>
      </c>
      <c r="CS19" s="845"/>
      <c r="CT19" s="845"/>
      <c r="CU19" s="845"/>
      <c r="CV19" s="845"/>
      <c r="CW19" s="845"/>
      <c r="DU19" s="977">
        <v>11</v>
      </c>
      <c r="DV19" s="250" t="s">
        <v>5</v>
      </c>
      <c r="DW19" s="250">
        <v>11</v>
      </c>
      <c r="DX19" s="250"/>
      <c r="DY19" s="250"/>
      <c r="DZ19" s="250"/>
      <c r="EA19" s="250">
        <v>26</v>
      </c>
      <c r="EB19" s="250">
        <v>14</v>
      </c>
      <c r="EC19" s="250"/>
      <c r="ED19" s="250">
        <v>7</v>
      </c>
      <c r="EE19" s="250">
        <v>19</v>
      </c>
      <c r="EF19" s="250"/>
      <c r="EG19" s="250">
        <v>9</v>
      </c>
      <c r="EH19" s="250">
        <v>29</v>
      </c>
      <c r="EI19" s="250"/>
      <c r="EJ19" s="250"/>
      <c r="EK19" s="250"/>
      <c r="EL19" s="319"/>
    </row>
    <row r="20" spans="3:142" ht="25.5" thickBot="1">
      <c r="C20" s="797">
        <f>[1]!taqmosh(E10,E11,E12,E13)</f>
        <v>211.58658333490089</v>
      </c>
      <c r="D20" s="490" t="s">
        <v>1292</v>
      </c>
      <c r="E20" s="309">
        <f>L45</f>
        <v>211.58658333490089</v>
      </c>
      <c r="F20" s="472">
        <f t="shared" si="47"/>
        <v>211</v>
      </c>
      <c r="G20" s="472">
        <f t="shared" si="48"/>
        <v>35</v>
      </c>
      <c r="H20" s="472">
        <f t="shared" si="49"/>
        <v>11</v>
      </c>
      <c r="I20" s="491">
        <f t="shared" si="50"/>
        <v>42</v>
      </c>
      <c r="J20" s="3" t="s">
        <v>774</v>
      </c>
      <c r="K20" s="3"/>
      <c r="L20" s="3">
        <f>[1]!tmosh2(L19)</f>
        <v>4.013402100738972E-3</v>
      </c>
      <c r="M20" s="472">
        <f t="shared" si="34"/>
        <v>0</v>
      </c>
      <c r="N20" s="472">
        <f t="shared" si="35"/>
        <v>0</v>
      </c>
      <c r="O20" s="472">
        <f t="shared" si="36"/>
        <v>14</v>
      </c>
      <c r="P20" s="471">
        <f t="shared" si="37"/>
        <v>26</v>
      </c>
      <c r="Q20" s="203" t="s">
        <v>1372</v>
      </c>
      <c r="R20" s="204" t="str">
        <f>IF(R19=1,"جمعه",IF(R19=2,"شنبه",IF(R19=3,"یک شنبه",IF(R19=4,"دو شنبه",IF(R19=5,"سه شنبه",IF(R19=6,"چهار شنبه","پنج شنبه"))))))</f>
        <v>جمعه</v>
      </c>
      <c r="U20" s="3" t="s">
        <v>696</v>
      </c>
      <c r="V20" s="3"/>
      <c r="W20" s="3">
        <f>[1]!zarzmer(W18)</f>
        <v>1.2684428898773425</v>
      </c>
      <c r="X20" s="472">
        <f t="shared" si="27"/>
        <v>1</v>
      </c>
      <c r="Y20" s="472">
        <f t="shared" si="28"/>
        <v>16</v>
      </c>
      <c r="Z20" s="472">
        <f t="shared" si="29"/>
        <v>6</v>
      </c>
      <c r="AA20" s="471">
        <f t="shared" si="30"/>
        <v>23</v>
      </c>
      <c r="AB20" s="205"/>
      <c r="AC20" s="206" t="str">
        <f>IF(AC18=0,"جمعه",IF(AC18=1,"شنبه",IF(AC18=2,"یک شنبه",IF(AC18=3,"دو شنبه",IF(AC18=4,"سه شنبه",IF(AC18=5,"چهار شنبه","پنج شنبه"))))))</f>
        <v>شنبه</v>
      </c>
      <c r="AF20" s="946"/>
      <c r="AG20" s="241" t="s">
        <v>275</v>
      </c>
      <c r="AH20" s="241">
        <f>[1]!arzota(AH3,AH4,AH5,AH6)</f>
        <v>-0.28461004822048458</v>
      </c>
      <c r="AI20" s="947">
        <f t="shared" ref="AI20:AI24" si="55">INT(ABS(AH20))</f>
        <v>0</v>
      </c>
      <c r="AJ20" s="947">
        <f t="shared" ref="AJ20:AJ24" si="56">INT((ABS(AH20)-AI20)*60)</f>
        <v>17</v>
      </c>
      <c r="AK20" s="947">
        <f t="shared" ref="AK20:AK24" si="57">INT((((ABS(AH20)-AI20)*60)-AJ20)*60)</f>
        <v>4</v>
      </c>
      <c r="AL20" s="948">
        <f t="shared" ref="AL20:AL24" si="58">INT((((((ABS(AH20)-AI20)*60)-AJ20)*60)-AK20)*60)</f>
        <v>35</v>
      </c>
      <c r="AQ20" s="1087"/>
      <c r="AR20" s="1637" t="s">
        <v>2202</v>
      </c>
      <c r="AS20" s="1065" t="e">
        <f ca="1">tabdilg(AS16)</f>
        <v>#NAME?</v>
      </c>
      <c r="AT20" s="1065"/>
      <c r="AU20" s="1065"/>
      <c r="AV20" s="1065"/>
      <c r="AW20" s="1065"/>
      <c r="AX20" s="1644" t="s">
        <v>1107</v>
      </c>
      <c r="AY20" s="1645"/>
      <c r="AZ20" s="1554">
        <f>[1]!taqmareeq(AZ7,AZ8,BB7,AZ6,AZ10,BD7)</f>
        <v>71.660169661311841</v>
      </c>
      <c r="BA20" s="1554">
        <f t="shared" si="51"/>
        <v>71</v>
      </c>
      <c r="BB20" s="1554">
        <f t="shared" si="52"/>
        <v>39</v>
      </c>
      <c r="BC20" s="1554">
        <f t="shared" si="53"/>
        <v>36</v>
      </c>
      <c r="BD20" s="1554">
        <f t="shared" si="54"/>
        <v>36</v>
      </c>
      <c r="BE20" s="1522"/>
      <c r="BF20" s="845"/>
      <c r="BG20" s="845"/>
      <c r="BH20" s="845"/>
      <c r="BI20" s="845"/>
      <c r="BJ20" s="845"/>
      <c r="BK20" s="845"/>
      <c r="BL20" s="845"/>
      <c r="BM20" s="845"/>
      <c r="BN20" s="1098"/>
      <c r="BZ20" s="1532"/>
      <c r="CA20" s="1519"/>
      <c r="CB20" s="1603" t="s">
        <v>1386</v>
      </c>
      <c r="CC20" s="429">
        <f>[1]!roz(CC18,CC19,0,0)</f>
        <v>28.730081821479537</v>
      </c>
      <c r="CD20" s="429">
        <f>[1]!roz(CD18,CD19,0,0)</f>
        <v>29.729188864239664</v>
      </c>
      <c r="CE20" s="429">
        <f>[1]!roz(CE18,CE19,0,0)</f>
        <v>30.728306041763229</v>
      </c>
      <c r="CF20" s="429">
        <f>[1]!roz(CF18,CF19,0,0)</f>
        <v>31.72743346335993</v>
      </c>
      <c r="CG20" s="1745"/>
      <c r="CH20" s="1519">
        <f>[1]!troozv(CH7,CH8,CH9)</f>
        <v>511765</v>
      </c>
      <c r="CI20" s="1740">
        <f>MOD(CI19,7)</f>
        <v>4</v>
      </c>
      <c r="CJ20" s="1750"/>
      <c r="CS20" s="845"/>
      <c r="CT20" s="845"/>
      <c r="CU20" s="845"/>
      <c r="CV20" s="845"/>
      <c r="CW20" s="845"/>
      <c r="DU20" s="977">
        <v>10</v>
      </c>
      <c r="DV20" s="250" t="s">
        <v>219</v>
      </c>
      <c r="DW20" s="250">
        <v>19</v>
      </c>
      <c r="DX20" s="250"/>
      <c r="DY20" s="250"/>
      <c r="DZ20" s="250"/>
      <c r="EA20" s="250"/>
      <c r="EB20" s="250">
        <v>2</v>
      </c>
      <c r="EC20" s="250"/>
      <c r="ED20" s="250">
        <v>11</v>
      </c>
      <c r="EE20" s="250"/>
      <c r="EF20" s="250"/>
      <c r="EG20" s="250">
        <v>5</v>
      </c>
      <c r="EH20" s="250">
        <v>23</v>
      </c>
      <c r="EI20" s="250"/>
      <c r="EJ20" s="250"/>
      <c r="EK20" s="250"/>
      <c r="EL20" s="319"/>
    </row>
    <row r="21" spans="3:142" ht="27.75" thickBot="1">
      <c r="C21" s="797">
        <f>[1]!taqzohal(E10,E11,E12,E13)</f>
        <v>210.56115935312948</v>
      </c>
      <c r="D21" s="492" t="s">
        <v>1293</v>
      </c>
      <c r="E21" s="493">
        <f>L141</f>
        <v>210.56127265140302</v>
      </c>
      <c r="F21" s="494">
        <f t="shared" si="47"/>
        <v>210</v>
      </c>
      <c r="G21" s="494">
        <f t="shared" si="48"/>
        <v>33</v>
      </c>
      <c r="H21" s="494">
        <f t="shared" si="49"/>
        <v>40</v>
      </c>
      <c r="I21" s="495">
        <f t="shared" si="50"/>
        <v>34</v>
      </c>
      <c r="J21" s="3" t="s">
        <v>696</v>
      </c>
      <c r="K21" s="3"/>
      <c r="L21" s="3">
        <f>[1]!zarzmosh(L19)</f>
        <v>1.2737117730214182</v>
      </c>
      <c r="M21" s="472">
        <f t="shared" si="34"/>
        <v>1</v>
      </c>
      <c r="N21" s="472">
        <f t="shared" si="35"/>
        <v>16</v>
      </c>
      <c r="O21" s="472">
        <f t="shared" si="36"/>
        <v>25</v>
      </c>
      <c r="P21" s="471">
        <f t="shared" si="37"/>
        <v>21</v>
      </c>
      <c r="Q21" s="205"/>
      <c r="R21" s="206" t="str">
        <f>IF(R19=0,"جمعه",IF(R19=1,"شنبه",IF(R19=2,"یک شنبه",IF(R19=3,"دو شنبه",IF(R19=4,"سه شنبه",IF(R19=5,"چهار شنبه","پنج شنبه"))))))</f>
        <v>شنبه</v>
      </c>
      <c r="U21" s="3" t="s">
        <v>776</v>
      </c>
      <c r="V21" s="3"/>
      <c r="W21" s="342">
        <f>[1]!tq(W15+W19)</f>
        <v>5.5673233781522242</v>
      </c>
      <c r="X21" s="472">
        <f t="shared" si="27"/>
        <v>5</v>
      </c>
      <c r="Y21" s="472">
        <f t="shared" si="28"/>
        <v>34</v>
      </c>
      <c r="Z21" s="472">
        <f t="shared" si="29"/>
        <v>2</v>
      </c>
      <c r="AA21" s="471">
        <f t="shared" si="30"/>
        <v>21</v>
      </c>
      <c r="AB21" s="33"/>
      <c r="AC21" s="450"/>
      <c r="AD21" s="450"/>
      <c r="AF21" s="779" t="s">
        <v>1290</v>
      </c>
      <c r="AG21" s="251" t="s">
        <v>612</v>
      </c>
      <c r="AH21" s="251">
        <f>[1]!wasatzh(AH3,AH4,AH5,AH6)</f>
        <v>160.28387629427198</v>
      </c>
      <c r="AI21" s="462">
        <f t="shared" si="55"/>
        <v>160</v>
      </c>
      <c r="AJ21" s="462">
        <f t="shared" si="56"/>
        <v>17</v>
      </c>
      <c r="AK21" s="462">
        <f t="shared" si="57"/>
        <v>1</v>
      </c>
      <c r="AL21" s="935">
        <f t="shared" si="58"/>
        <v>57</v>
      </c>
      <c r="AV21" s="327">
        <f>AS26/60</f>
        <v>-2.0448378487231255E-3</v>
      </c>
      <c r="AX21" s="1646" t="s">
        <v>1074</v>
      </c>
      <c r="AY21" s="212"/>
      <c r="AZ21" s="1699">
        <f>[1]!ertqamar(AZ7,AZ8,BB7,AY6,AZ10,BD7)</f>
        <v>-9.3315232723528716</v>
      </c>
      <c r="BA21" s="1642">
        <f t="shared" ref="BA21" si="59">INT(ABS(AZ21))</f>
        <v>9</v>
      </c>
      <c r="BB21" s="1642">
        <f t="shared" ref="BB21" si="60">INT((ABS(AZ21)-BA21)*60)</f>
        <v>19</v>
      </c>
      <c r="BC21" s="1642">
        <f t="shared" ref="BC21" si="61">INT((((ABS(AZ21)-BA21)*60)-BB21)*60)</f>
        <v>53</v>
      </c>
      <c r="BD21" s="1642">
        <f t="shared" ref="BD21" si="62">INT((((((ABS(AZ21)-BA21)*60)-BB21)*60)-BC21)*60)</f>
        <v>29</v>
      </c>
      <c r="BE21" s="2047"/>
      <c r="BF21" s="1758"/>
      <c r="BG21" s="845"/>
      <c r="BH21" s="845"/>
      <c r="BI21" s="1758"/>
      <c r="BJ21" s="1758"/>
      <c r="BK21" s="1758"/>
      <c r="BL21" s="845"/>
      <c r="BM21" s="845"/>
      <c r="BN21" s="1098"/>
      <c r="BZ21" s="1532"/>
      <c r="CA21" s="1519"/>
      <c r="CB21" s="1603" t="s">
        <v>4228</v>
      </c>
      <c r="CC21" s="226">
        <f>[1]!bodmoadal(CC16,CC17,CC18,CC19,CC12,CC13)</f>
        <v>-9.0018565139061213</v>
      </c>
      <c r="CD21" s="226">
        <f>[1]!bodmoadal(CD16,CD17,CD18,CD19,CD12,CD13)</f>
        <v>-0.95832885604084872</v>
      </c>
      <c r="CE21" s="226">
        <f>[1]!bodmoadal(CE16,CE17,CE18,CE19,CD12,CD13)</f>
        <v>5.4097905176427297</v>
      </c>
      <c r="CF21" s="226">
        <f>[1]!bodmoadal(CF16,CF17,CF18,CF19,CF12,CF13)</f>
        <v>12.371348893995433</v>
      </c>
      <c r="CG21" s="1745"/>
      <c r="CH21" s="1750" t="s">
        <v>2202</v>
      </c>
      <c r="CI21" s="1757" t="str">
        <f>IF(CI20=0,"جمعه",IF(CI20=1,"شنبه",IF(CI20=2,"یک شنبه",IF(CI20=3,"دو شنبه",IF(CI20=4,"سه شنبه",IF(CI20=5,"چهار شنبه","پنج شنبه"))))))</f>
        <v>سه شنبه</v>
      </c>
      <c r="CJ21" s="1752"/>
      <c r="CS21" s="845"/>
      <c r="CT21" s="845"/>
      <c r="CU21" s="845"/>
      <c r="CV21" s="845"/>
      <c r="CW21" s="845"/>
      <c r="DU21" s="977">
        <v>34</v>
      </c>
      <c r="DV21" s="250" t="s">
        <v>166</v>
      </c>
      <c r="DW21" s="250">
        <v>22</v>
      </c>
      <c r="DX21" s="250"/>
      <c r="DY21" s="250"/>
      <c r="DZ21" s="250"/>
      <c r="EA21" s="250"/>
      <c r="EB21" s="250">
        <v>36</v>
      </c>
      <c r="EC21" s="250"/>
      <c r="ED21" s="250">
        <v>0</v>
      </c>
      <c r="EE21" s="250"/>
      <c r="EF21" s="250"/>
      <c r="EG21" s="250">
        <v>40</v>
      </c>
      <c r="EH21" s="250">
        <v>27</v>
      </c>
      <c r="EI21" s="250"/>
      <c r="EJ21" s="250"/>
      <c r="EK21" s="250"/>
      <c r="EL21" s="319"/>
    </row>
    <row r="22" spans="3:142" ht="27.75" thickBot="1">
      <c r="D22" s="496" t="s">
        <v>2337</v>
      </c>
      <c r="J22" s="3" t="s">
        <v>776</v>
      </c>
      <c r="K22" s="3"/>
      <c r="L22" s="342">
        <f>L16+L20</f>
        <v>201.47498659133021</v>
      </c>
      <c r="M22" s="472">
        <f t="shared" si="34"/>
        <v>201</v>
      </c>
      <c r="N22" s="472">
        <f t="shared" si="35"/>
        <v>28</v>
      </c>
      <c r="O22" s="472">
        <f t="shared" si="36"/>
        <v>29</v>
      </c>
      <c r="P22" s="471">
        <f t="shared" si="37"/>
        <v>57</v>
      </c>
      <c r="Q22" s="33"/>
      <c r="R22" s="450"/>
      <c r="S22" s="450"/>
      <c r="T22" s="450"/>
      <c r="U22" s="3" t="s">
        <v>777</v>
      </c>
      <c r="V22" s="3"/>
      <c r="W22" s="342">
        <f>[1]!tq(W16+W19)</f>
        <v>222.28962761221354</v>
      </c>
      <c r="X22" s="472">
        <f t="shared" si="27"/>
        <v>222</v>
      </c>
      <c r="Y22" s="472">
        <f t="shared" si="28"/>
        <v>17</v>
      </c>
      <c r="Z22" s="472">
        <f t="shared" si="29"/>
        <v>22</v>
      </c>
      <c r="AA22" s="471">
        <f t="shared" si="30"/>
        <v>39</v>
      </c>
      <c r="AB22" s="33"/>
      <c r="AC22" s="450"/>
      <c r="AD22" s="450"/>
      <c r="AF22" s="779"/>
      <c r="AG22" s="251" t="s">
        <v>552</v>
      </c>
      <c r="AH22" s="251">
        <f>[1]!oujzh(AH3,AH4,AH5,AH6)</f>
        <v>314.67258475617672</v>
      </c>
      <c r="AI22" s="462">
        <f t="shared" si="55"/>
        <v>314</v>
      </c>
      <c r="AJ22" s="462">
        <f t="shared" si="56"/>
        <v>40</v>
      </c>
      <c r="AK22" s="462">
        <f t="shared" si="57"/>
        <v>21</v>
      </c>
      <c r="AL22" s="935">
        <f t="shared" si="58"/>
        <v>18</v>
      </c>
      <c r="AR22" s="327" t="s">
        <v>612</v>
      </c>
      <c r="AS22" s="327">
        <f>[1]!wasata(AZ7,AZ8,AZ5,AZ10)</f>
        <v>11.298607413003992</v>
      </c>
      <c r="AV22" s="327">
        <f>(AZ5-INT(AZ5))*24</f>
        <v>20.499999999999996</v>
      </c>
      <c r="AX22" s="1648" t="s">
        <v>1064</v>
      </c>
      <c r="AY22" s="1542"/>
      <c r="AZ22" s="1700">
        <f>[1]!ertefashams(AZ7,AZ8,BB7,AY6,AZ10,BD7)</f>
        <v>-24.724437159933686</v>
      </c>
      <c r="BA22" s="1569">
        <f t="shared" ref="BA22" si="63">INT(ABS(AZ22))</f>
        <v>24</v>
      </c>
      <c r="BB22" s="1569">
        <f t="shared" ref="BB22" si="64">INT((ABS(AZ22)-BA22)*60)</f>
        <v>43</v>
      </c>
      <c r="BC22" s="1569">
        <f t="shared" ref="BC22" si="65">INT((((ABS(AZ22)-BA22)*60)-BB22)*60)</f>
        <v>27</v>
      </c>
      <c r="BD22" s="1569">
        <f t="shared" ref="BD22" si="66">INT((((((ABS(AZ22)-BA22)*60)-BB22)*60)-BC22)*60)</f>
        <v>58</v>
      </c>
      <c r="BE22" s="1543"/>
      <c r="BF22" s="845"/>
      <c r="BG22" s="845"/>
      <c r="BH22" s="845"/>
      <c r="BI22" s="845"/>
      <c r="BJ22" s="845"/>
      <c r="BK22" s="845"/>
      <c r="BL22" s="845"/>
      <c r="BM22" s="845"/>
      <c r="BZ22" s="1591"/>
      <c r="CA22" s="1592"/>
      <c r="CB22" s="1739" t="s">
        <v>3552</v>
      </c>
      <c r="CC22" s="763">
        <f>[1]!bodsava(CC16,CC17,CC18,CC19,CC12,CC13)</f>
        <v>-12.588731069769324</v>
      </c>
      <c r="CD22" s="763">
        <f>[1]!bodsava(CD16,CD17,CD18,CD19,CD12,CD13)</f>
        <v>-1.3639063775809177</v>
      </c>
      <c r="CE22" s="763">
        <f>[1]!bodsava(CE16,CE17,CE18,CE19,CD12,CD13)</f>
        <v>10.157047291211086</v>
      </c>
      <c r="CF22" s="763">
        <f>[1]!bodsava(CF16,CF17,CF18,CF19,CF12,CF13)</f>
        <v>21.670331002277777</v>
      </c>
      <c r="CG22" s="1747"/>
      <c r="CS22" s="1770"/>
      <c r="CT22" s="1758"/>
      <c r="CU22" s="1758"/>
      <c r="CV22" s="1758"/>
      <c r="CW22" s="1758"/>
      <c r="DU22" s="977">
        <v>43.86</v>
      </c>
      <c r="DV22" s="250" t="s">
        <v>167</v>
      </c>
      <c r="DW22" s="250">
        <v>48.228999999999999</v>
      </c>
      <c r="DX22" s="250"/>
      <c r="DY22" s="250"/>
      <c r="DZ22" s="250"/>
      <c r="EA22" s="250"/>
      <c r="EB22" s="250">
        <v>2756336</v>
      </c>
      <c r="EC22" s="250"/>
      <c r="ED22" s="250">
        <v>2745431</v>
      </c>
      <c r="EE22" s="250"/>
      <c r="EF22" s="250"/>
      <c r="EG22" s="250">
        <v>2756347</v>
      </c>
      <c r="EH22" s="250">
        <v>2745441</v>
      </c>
      <c r="EI22" s="250"/>
      <c r="EJ22" s="250"/>
      <c r="EK22" s="250"/>
      <c r="EL22" s="319"/>
    </row>
    <row r="23" spans="3:142" ht="24.75">
      <c r="E23" s="327">
        <f>[1]!wasat(E10,E11,E12,E13)</f>
        <v>287.50825233125681</v>
      </c>
      <c r="F23" s="472">
        <f t="shared" ref="F23" si="67">INT(ABS(E23))</f>
        <v>287</v>
      </c>
      <c r="G23" s="472">
        <f t="shared" ref="G23" si="68">INT((ABS(E23)-F23)*60)</f>
        <v>30</v>
      </c>
      <c r="H23" s="472">
        <f t="shared" ref="H23" si="69">INT((((ABS(E23)-F23)*60)-G23)*60)</f>
        <v>29</v>
      </c>
      <c r="I23" s="491">
        <f t="shared" ref="I23" si="70">INT((((((ABS(E23)-F23)*60)-G23)*60)-H23)*60)</f>
        <v>42</v>
      </c>
      <c r="J23" s="3" t="s">
        <v>777</v>
      </c>
      <c r="K23" s="3"/>
      <c r="L23" s="342">
        <f>L17+L20</f>
        <v>21.545562735336084</v>
      </c>
      <c r="M23" s="472">
        <f t="shared" si="34"/>
        <v>21</v>
      </c>
      <c r="N23" s="472">
        <f t="shared" si="35"/>
        <v>32</v>
      </c>
      <c r="O23" s="472">
        <f t="shared" si="36"/>
        <v>44</v>
      </c>
      <c r="P23" s="471">
        <f t="shared" si="37"/>
        <v>1</v>
      </c>
      <c r="Q23" s="33"/>
      <c r="R23" s="450"/>
      <c r="S23" s="450"/>
      <c r="T23" s="450"/>
      <c r="U23" s="352" t="s">
        <v>378</v>
      </c>
      <c r="V23" s="352"/>
      <c r="W23" s="352">
        <f>[1]!taqsh(V7,V8,V9,V10)</f>
        <v>288.05694970514799</v>
      </c>
      <c r="X23" s="482">
        <f t="shared" si="27"/>
        <v>288</v>
      </c>
      <c r="Y23" s="482">
        <f t="shared" si="28"/>
        <v>3</v>
      </c>
      <c r="Z23" s="482">
        <f t="shared" si="29"/>
        <v>25</v>
      </c>
      <c r="AA23" s="483">
        <f t="shared" si="30"/>
        <v>1</v>
      </c>
      <c r="AB23" s="33"/>
      <c r="AC23" s="33"/>
      <c r="AD23" s="33"/>
      <c r="AF23" s="779"/>
      <c r="AG23" s="251" t="s">
        <v>761</v>
      </c>
      <c r="AH23" s="251">
        <f>[1]!raszh(AH3,AH4,AH5,AH6)</f>
        <v>78.053950700826633</v>
      </c>
      <c r="AI23" s="462">
        <f t="shared" si="55"/>
        <v>78</v>
      </c>
      <c r="AJ23" s="462">
        <f t="shared" si="56"/>
        <v>3</v>
      </c>
      <c r="AK23" s="462">
        <f t="shared" si="57"/>
        <v>14</v>
      </c>
      <c r="AL23" s="935">
        <f t="shared" si="58"/>
        <v>13</v>
      </c>
      <c r="AS23" s="327">
        <v>1.8972</v>
      </c>
      <c r="AV23" s="327">
        <f>AV22+AV21</f>
        <v>20.497955162151275</v>
      </c>
      <c r="AX23" s="112" t="s">
        <v>1544</v>
      </c>
      <c r="AY23" s="113" t="s">
        <v>3948</v>
      </c>
      <c r="AZ23" s="317">
        <f>[1]!sharafainame(AZ12)</f>
        <v>0</v>
      </c>
      <c r="CM23" s="845"/>
      <c r="CN23" s="845"/>
      <c r="CO23" s="845"/>
      <c r="CP23" s="845"/>
      <c r="CQ23" s="1770"/>
      <c r="CR23" s="1770"/>
      <c r="CS23" s="1770"/>
      <c r="CT23" s="1758"/>
      <c r="CU23" s="1758"/>
      <c r="CV23" s="1758"/>
      <c r="CW23" s="1758"/>
      <c r="DU23" s="977">
        <v>9.5979999999999996E-2</v>
      </c>
      <c r="DV23" s="250"/>
      <c r="DW23" s="250"/>
      <c r="DX23" s="250"/>
      <c r="DY23" s="250"/>
      <c r="DZ23" s="250"/>
      <c r="EA23" s="250" t="s">
        <v>5</v>
      </c>
      <c r="EB23" s="250">
        <f>EB22-ED22</f>
        <v>10905</v>
      </c>
      <c r="EC23" s="250"/>
      <c r="ED23" s="250"/>
      <c r="EE23" s="250"/>
      <c r="EF23" s="250"/>
      <c r="EG23" s="250">
        <f>EG22-EH22</f>
        <v>10906</v>
      </c>
      <c r="EH23" s="250"/>
      <c r="EI23" s="250"/>
      <c r="EJ23" s="250"/>
      <c r="EK23" s="250"/>
      <c r="EL23" s="319"/>
    </row>
    <row r="24" spans="3:142" ht="24.75">
      <c r="J24" s="3" t="s">
        <v>378</v>
      </c>
      <c r="K24" s="3"/>
      <c r="L24" s="3">
        <f>[1]!taqsh(E10,E11,E12,E13)</f>
        <v>288.05694970514799</v>
      </c>
      <c r="M24" s="472">
        <f t="shared" si="34"/>
        <v>288</v>
      </c>
      <c r="N24" s="472">
        <f t="shared" si="35"/>
        <v>3</v>
      </c>
      <c r="O24" s="472">
        <f t="shared" si="36"/>
        <v>25</v>
      </c>
      <c r="P24" s="471">
        <f t="shared" si="37"/>
        <v>1</v>
      </c>
      <c r="Q24" s="33"/>
      <c r="R24" s="33"/>
      <c r="S24" s="33"/>
      <c r="T24" s="33"/>
      <c r="U24" s="3" t="s">
        <v>1319</v>
      </c>
      <c r="V24" s="3"/>
      <c r="W24" s="3">
        <f>IF((W23)&lt;180,(W23)+180,(W23)-180)</f>
        <v>108.05694970514799</v>
      </c>
      <c r="X24" s="472">
        <f t="shared" si="27"/>
        <v>108</v>
      </c>
      <c r="Y24" s="472">
        <f t="shared" si="28"/>
        <v>3</v>
      </c>
      <c r="Z24" s="472">
        <f t="shared" si="29"/>
        <v>25</v>
      </c>
      <c r="AA24" s="471">
        <f t="shared" si="30"/>
        <v>1</v>
      </c>
      <c r="AB24" s="33"/>
      <c r="AC24" s="450"/>
      <c r="AD24" s="450"/>
      <c r="AF24" s="779"/>
      <c r="AG24" s="251" t="s">
        <v>1481</v>
      </c>
      <c r="AH24" s="251">
        <f>[1]!taqzohre(AH3,AH4,AH5,AH6)</f>
        <v>223.23607933196544</v>
      </c>
      <c r="AI24" s="462">
        <f t="shared" si="55"/>
        <v>223</v>
      </c>
      <c r="AJ24" s="462">
        <f t="shared" si="56"/>
        <v>14</v>
      </c>
      <c r="AK24" s="462">
        <f t="shared" si="57"/>
        <v>9</v>
      </c>
      <c r="AL24" s="935">
        <f t="shared" si="58"/>
        <v>53</v>
      </c>
      <c r="AR24" s="327" t="s">
        <v>341</v>
      </c>
      <c r="AS24" s="797">
        <f>(AS22+AS23)/0.985647331382888</f>
        <v>13.38796037167771</v>
      </c>
      <c r="AU24" s="327" t="s">
        <v>3982</v>
      </c>
      <c r="AV24" s="327">
        <v>-1.41395E-4</v>
      </c>
      <c r="AX24" s="112" t="s">
        <v>849</v>
      </c>
      <c r="AY24" s="113" t="s">
        <v>3948</v>
      </c>
      <c r="AZ24" s="317">
        <f>[1]!sharafainame(AZ13)</f>
        <v>0</v>
      </c>
      <c r="CM24" s="845"/>
      <c r="CN24" s="845"/>
      <c r="CO24" s="845"/>
      <c r="CP24" s="845"/>
      <c r="CQ24" s="1770"/>
      <c r="CR24" s="1770"/>
      <c r="CS24" s="1770"/>
      <c r="CT24" s="1758"/>
      <c r="CU24" s="1758"/>
      <c r="CV24" s="1758"/>
      <c r="CW24" s="1758"/>
      <c r="DU24" s="977">
        <f>[1]!wasatzo(DU17,DU18,[1]!roz(DU19,DU20,DU21,DU22),DU23)</f>
        <v>3.7161953202191622E-9</v>
      </c>
      <c r="DV24" s="250"/>
      <c r="DW24" s="250"/>
      <c r="DX24" s="250"/>
      <c r="DY24" s="250"/>
      <c r="DZ24" s="250"/>
      <c r="EA24" s="250" t="s">
        <v>3</v>
      </c>
      <c r="EB24" s="250">
        <f>EB23/DU29</f>
        <v>29.856900413284183</v>
      </c>
      <c r="EC24" s="250"/>
      <c r="ED24" s="250"/>
      <c r="EE24" s="250"/>
      <c r="EF24" s="250" t="s">
        <v>3</v>
      </c>
      <c r="EG24" s="250">
        <f>EG23/DU29</f>
        <v>29.859638322538039</v>
      </c>
      <c r="EH24" s="250"/>
      <c r="EI24" s="250"/>
      <c r="EJ24" s="250"/>
      <c r="EK24" s="250"/>
      <c r="EL24" s="319"/>
    </row>
    <row r="25" spans="3:142" ht="24.75">
      <c r="J25" s="3" t="s">
        <v>1319</v>
      </c>
      <c r="K25" s="3"/>
      <c r="L25" s="3">
        <f>IF((L24)&lt;180,(L24)+180,(L24)-180)</f>
        <v>108.05694970514799</v>
      </c>
      <c r="M25" s="472">
        <f t="shared" si="34"/>
        <v>108</v>
      </c>
      <c r="N25" s="472">
        <f t="shared" si="35"/>
        <v>3</v>
      </c>
      <c r="O25" s="472">
        <f t="shared" si="36"/>
        <v>25</v>
      </c>
      <c r="P25" s="471">
        <f t="shared" si="37"/>
        <v>1</v>
      </c>
      <c r="Q25" s="33"/>
      <c r="R25" s="450"/>
      <c r="S25" s="450"/>
      <c r="T25" s="450"/>
      <c r="U25" s="3" t="s">
        <v>716</v>
      </c>
      <c r="V25" s="3"/>
      <c r="W25" s="3">
        <f>[1]!tq(W21-W24)</f>
        <v>257.51037367300421</v>
      </c>
      <c r="X25" s="472">
        <f t="shared" si="27"/>
        <v>257</v>
      </c>
      <c r="Y25" s="472">
        <f t="shared" si="28"/>
        <v>30</v>
      </c>
      <c r="Z25" s="472">
        <f t="shared" si="29"/>
        <v>37</v>
      </c>
      <c r="AA25" s="471">
        <f t="shared" si="30"/>
        <v>20</v>
      </c>
      <c r="AB25" s="33"/>
      <c r="AC25" s="450"/>
      <c r="AD25" s="450"/>
      <c r="AF25" s="779"/>
      <c r="AG25" s="251" t="s">
        <v>176</v>
      </c>
      <c r="AH25" s="251" t="str">
        <f>[1]!jahatzohreame(AH3,AH4,AH5,AH6)</f>
        <v>sh-saed-zaed</v>
      </c>
      <c r="AI25" s="251"/>
      <c r="AJ25" s="251"/>
      <c r="AK25" s="251"/>
      <c r="AL25" s="644"/>
      <c r="AQ25" s="327">
        <f>[1]!almazy(AZ7,AZ8,AZ9)</f>
        <v>14</v>
      </c>
      <c r="AR25" s="327" t="s">
        <v>3803</v>
      </c>
      <c r="AS25" s="797">
        <f>IF(INT(AS24)+1&lt;=365,INT(AS24)+1,INT(AS24+1)-365)</f>
        <v>14</v>
      </c>
      <c r="AX25" s="112" t="s">
        <v>1291</v>
      </c>
      <c r="AY25" s="113" t="s">
        <v>3948</v>
      </c>
      <c r="AZ25" s="317" t="str">
        <f>[1]!sharafainame(AZ14)</f>
        <v>sharaf zohre</v>
      </c>
      <c r="BF25" s="845"/>
      <c r="BG25" s="845"/>
      <c r="BH25" s="845"/>
      <c r="CM25" s="845"/>
      <c r="CN25" s="845"/>
      <c r="CO25" s="845"/>
      <c r="CP25" s="845"/>
      <c r="CQ25" s="1770"/>
      <c r="CR25" s="1770"/>
      <c r="CS25" s="1770"/>
      <c r="CT25" s="1758"/>
      <c r="CU25" s="1758"/>
      <c r="CV25" s="1758"/>
      <c r="CW25" s="1758"/>
      <c r="DU25" s="1765"/>
      <c r="DV25" s="1766"/>
      <c r="DW25" s="250"/>
      <c r="DX25" s="250"/>
      <c r="DY25" s="250"/>
      <c r="DZ25" s="250"/>
      <c r="EA25" s="250"/>
      <c r="EB25" s="250"/>
      <c r="EC25" s="250"/>
      <c r="ED25" s="250"/>
      <c r="EE25" s="250"/>
      <c r="EF25" s="250"/>
      <c r="EG25" s="250"/>
      <c r="EH25" s="250"/>
      <c r="EI25" s="250"/>
      <c r="EJ25" s="250"/>
      <c r="EK25" s="250"/>
      <c r="EL25" s="319"/>
    </row>
    <row r="26" spans="3:142" ht="24.75">
      <c r="J26" s="3" t="s">
        <v>716</v>
      </c>
      <c r="K26" s="3"/>
      <c r="L26" s="3">
        <f>IF(L22&lt;L25,(L22+360)-L25,L22-L25)</f>
        <v>93.418036886182222</v>
      </c>
      <c r="M26" s="472">
        <f t="shared" si="34"/>
        <v>93</v>
      </c>
      <c r="N26" s="472">
        <f t="shared" si="35"/>
        <v>25</v>
      </c>
      <c r="O26" s="472">
        <f t="shared" si="36"/>
        <v>4</v>
      </c>
      <c r="P26" s="471">
        <f t="shared" si="37"/>
        <v>55</v>
      </c>
      <c r="Q26" s="33"/>
      <c r="R26" s="450"/>
      <c r="S26" s="450"/>
      <c r="T26" s="450"/>
      <c r="U26" s="3" t="s">
        <v>2302</v>
      </c>
      <c r="V26" s="3"/>
      <c r="W26" s="3">
        <f>W25/2</f>
        <v>128.75518683650211</v>
      </c>
      <c r="X26" s="472">
        <f t="shared" si="27"/>
        <v>128</v>
      </c>
      <c r="Y26" s="472">
        <f t="shared" si="28"/>
        <v>45</v>
      </c>
      <c r="Z26" s="472">
        <f t="shared" si="29"/>
        <v>18</v>
      </c>
      <c r="AA26" s="471">
        <f t="shared" si="30"/>
        <v>40</v>
      </c>
      <c r="AB26" s="33"/>
      <c r="AC26" s="450"/>
      <c r="AD26" s="450"/>
      <c r="AF26" s="949"/>
      <c r="AG26" s="294" t="s">
        <v>275</v>
      </c>
      <c r="AH26" s="294">
        <f>[1]!arzzohre(AH3,AH4,AH5,AH6)</f>
        <v>2.2316376591179838</v>
      </c>
      <c r="AI26" s="465">
        <f>INT(ABS(AH26))</f>
        <v>2</v>
      </c>
      <c r="AJ26" s="465">
        <f>INT((ABS(AH26)-AI26)*60)</f>
        <v>13</v>
      </c>
      <c r="AK26" s="465">
        <f>INT((((ABS(AH26)-AI26)*60)-AJ26)*60)</f>
        <v>53</v>
      </c>
      <c r="AL26" s="950">
        <f>INT((((((ABS(AH26)-AI26)*60)-AJ26)*60)-AK26)*60)</f>
        <v>53</v>
      </c>
      <c r="AQ26" s="327">
        <f>[1]!tzaman2(AZ7,AZ8,AZ9)</f>
        <v>-0.12269027092338754</v>
      </c>
      <c r="AR26" s="327" t="s">
        <v>3785</v>
      </c>
      <c r="AS26" s="327">
        <f>[1]!tzaman(AS25)</f>
        <v>-0.12269027092338754</v>
      </c>
      <c r="AT26" s="1554">
        <f t="shared" ref="AT26" si="71">INT(ABS(AS26))</f>
        <v>0</v>
      </c>
      <c r="AU26" s="1554">
        <f t="shared" ref="AU26" si="72">INT((ABS(AS26)-AT26)*60)</f>
        <v>7</v>
      </c>
      <c r="AV26" s="1554">
        <f t="shared" ref="AV26" si="73">INT((((ABS(AS26)-AT26)*60)-AU26)*60)</f>
        <v>21</v>
      </c>
      <c r="AW26" s="1310">
        <f t="shared" ref="AW26" si="74">INT((((((ABS(AS26)-AT26)*60)-AU26)*60)-AV26)*60)</f>
        <v>41</v>
      </c>
      <c r="AX26" s="112" t="s">
        <v>1290</v>
      </c>
      <c r="AY26" s="113" t="s">
        <v>3948</v>
      </c>
      <c r="AZ26" s="317">
        <f>[1]!sharafainame(AZ15)</f>
        <v>0</v>
      </c>
      <c r="BA26" s="1758"/>
      <c r="BB26" s="1758"/>
      <c r="BE26" s="845"/>
      <c r="CL26" s="845"/>
      <c r="CM26" s="845"/>
      <c r="CN26" s="845"/>
      <c r="CO26" s="845"/>
      <c r="CP26" s="845"/>
      <c r="CQ26" s="1770"/>
      <c r="CR26" s="1770"/>
      <c r="CS26" s="1770"/>
      <c r="CT26" s="1758"/>
      <c r="CU26" s="1758"/>
      <c r="CV26" s="1758"/>
      <c r="CW26" s="1758"/>
      <c r="DU26" s="977">
        <v>2756084</v>
      </c>
      <c r="DV26" s="250"/>
      <c r="DW26" s="250"/>
      <c r="DX26" s="250"/>
      <c r="DY26" s="250"/>
      <c r="DZ26" s="250"/>
      <c r="EA26" s="250"/>
      <c r="EB26" s="250"/>
      <c r="EC26" s="250"/>
      <c r="ED26" s="250"/>
      <c r="EE26" s="250"/>
      <c r="EF26" s="250"/>
      <c r="EG26" s="250"/>
      <c r="EH26" s="250"/>
      <c r="EI26" s="250"/>
      <c r="EJ26" s="250"/>
      <c r="EK26" s="250"/>
      <c r="EL26" s="319"/>
    </row>
    <row r="27" spans="3:142" ht="24.75">
      <c r="J27" s="3" t="s">
        <v>2302</v>
      </c>
      <c r="K27" s="3"/>
      <c r="L27" s="3">
        <f>L26/2</f>
        <v>46.709018443091111</v>
      </c>
      <c r="M27" s="472">
        <f t="shared" si="34"/>
        <v>46</v>
      </c>
      <c r="N27" s="472">
        <f t="shared" si="35"/>
        <v>42</v>
      </c>
      <c r="O27" s="472">
        <f t="shared" si="36"/>
        <v>32</v>
      </c>
      <c r="P27" s="471">
        <f t="shared" si="37"/>
        <v>27</v>
      </c>
      <c r="Q27" s="33"/>
      <c r="R27" s="450"/>
      <c r="S27" s="450"/>
      <c r="T27" s="450"/>
      <c r="U27" s="3" t="s">
        <v>2303</v>
      </c>
      <c r="V27" s="3"/>
      <c r="W27" s="340">
        <f>90-(IF(W26&lt;90,W26,(180-W26)))</f>
        <v>38.755186836502105</v>
      </c>
      <c r="X27" s="472">
        <f t="shared" si="27"/>
        <v>38</v>
      </c>
      <c r="Y27" s="472">
        <f t="shared" si="28"/>
        <v>45</v>
      </c>
      <c r="Z27" s="472">
        <f t="shared" si="29"/>
        <v>18</v>
      </c>
      <c r="AA27" s="471">
        <f t="shared" si="30"/>
        <v>40</v>
      </c>
      <c r="AB27" s="33"/>
      <c r="AC27" s="450"/>
      <c r="AD27" s="450"/>
      <c r="AF27" s="936" t="s">
        <v>687</v>
      </c>
      <c r="AG27" s="116" t="s">
        <v>612</v>
      </c>
      <c r="AH27" s="116">
        <f>[1]!wasatmer(AH3,AH4,AH5,AH6)</f>
        <v>260.641478272124</v>
      </c>
      <c r="AI27" s="484">
        <f>INT(ABS(AH27))</f>
        <v>260</v>
      </c>
      <c r="AJ27" s="484">
        <f>INT((ABS(AH27)-AI27)*60)</f>
        <v>38</v>
      </c>
      <c r="AK27" s="484">
        <f>INT((((ABS(AH27)-AI27)*60)-AJ27)*60)</f>
        <v>29</v>
      </c>
      <c r="AL27" s="937">
        <f>INT((((((ABS(AH27)-AI27)*60)-AJ27)*60)-AK27)*60)</f>
        <v>19</v>
      </c>
      <c r="AX27" s="112" t="s">
        <v>687</v>
      </c>
      <c r="AY27" s="113" t="s">
        <v>3948</v>
      </c>
      <c r="AZ27" s="317">
        <f>[1]!sharafainame(AZ16)</f>
        <v>0</v>
      </c>
      <c r="CL27" s="845"/>
      <c r="CM27" s="845"/>
      <c r="CN27" s="845"/>
      <c r="CO27" s="845"/>
      <c r="CP27" s="845"/>
      <c r="CQ27" s="1770"/>
      <c r="CR27" s="1770"/>
      <c r="CS27" s="1770"/>
      <c r="CT27" s="1758"/>
      <c r="CU27" s="1758"/>
      <c r="CV27" s="1758"/>
      <c r="CW27" s="1758"/>
      <c r="DU27" s="977">
        <v>2745335</v>
      </c>
      <c r="DV27" s="250"/>
      <c r="DW27" s="250"/>
      <c r="DX27" s="250"/>
      <c r="DY27" s="250"/>
      <c r="DZ27" s="250"/>
      <c r="EA27" s="250"/>
      <c r="EB27" s="250"/>
      <c r="EC27" s="250"/>
      <c r="ED27" s="250"/>
      <c r="EE27" s="250"/>
      <c r="EF27" s="250"/>
      <c r="EG27" s="250"/>
      <c r="EH27" s="250"/>
      <c r="EI27" s="250"/>
      <c r="EJ27" s="250"/>
      <c r="EK27" s="250"/>
      <c r="EL27" s="319"/>
    </row>
    <row r="28" spans="3:142" ht="24.75">
      <c r="J28" s="3" t="s">
        <v>2303</v>
      </c>
      <c r="K28" s="3"/>
      <c r="L28" s="340">
        <f>90-(IF(L27&lt;90,L27,(180-L27)))</f>
        <v>43.290981556908889</v>
      </c>
      <c r="M28" s="472">
        <f t="shared" si="34"/>
        <v>43</v>
      </c>
      <c r="N28" s="472">
        <f t="shared" si="35"/>
        <v>17</v>
      </c>
      <c r="O28" s="472">
        <f t="shared" si="36"/>
        <v>27</v>
      </c>
      <c r="P28" s="471">
        <f t="shared" si="37"/>
        <v>32</v>
      </c>
      <c r="Q28" s="33"/>
      <c r="R28" s="450"/>
      <c r="S28" s="450"/>
      <c r="T28" s="450"/>
      <c r="U28" s="3" t="s">
        <v>901</v>
      </c>
      <c r="V28" s="3"/>
      <c r="W28" s="3">
        <f>[1]!mtash(V7,V8,V9,V10)</f>
        <v>196.68461859062594</v>
      </c>
      <c r="X28" s="472">
        <f t="shared" si="27"/>
        <v>196</v>
      </c>
      <c r="Y28" s="472">
        <f t="shared" si="28"/>
        <v>41</v>
      </c>
      <c r="Z28" s="472">
        <f t="shared" si="29"/>
        <v>4</v>
      </c>
      <c r="AA28" s="471">
        <f t="shared" si="30"/>
        <v>37</v>
      </c>
      <c r="AB28" s="33"/>
      <c r="AC28" s="450"/>
      <c r="AD28" s="450"/>
      <c r="AF28" s="936"/>
      <c r="AG28" s="116" t="s">
        <v>552</v>
      </c>
      <c r="AH28" s="116">
        <f>[1]!oujmer(AH3,AH4,AH5,AH6)</f>
        <v>156.57181737408675</v>
      </c>
      <c r="AI28" s="484">
        <f>INT(ABS(AH28))</f>
        <v>156</v>
      </c>
      <c r="AJ28" s="484">
        <f>INT((ABS(AH28)-AI28)*60)</f>
        <v>34</v>
      </c>
      <c r="AK28" s="484">
        <f>INT((((ABS(AH28)-AI28)*60)-AJ28)*60)</f>
        <v>18</v>
      </c>
      <c r="AL28" s="937">
        <f>INT((((((ABS(AH28)-AI28)*60)-AJ28)*60)-AK28)*60)</f>
        <v>32</v>
      </c>
      <c r="AX28" s="112" t="s">
        <v>1292</v>
      </c>
      <c r="AY28" s="113" t="s">
        <v>3948</v>
      </c>
      <c r="AZ28" s="317">
        <f>[1]!sharafainame(AZ17)</f>
        <v>0</v>
      </c>
      <c r="CL28" s="845"/>
      <c r="CM28" s="845"/>
      <c r="CN28" s="845"/>
      <c r="CO28" s="845"/>
      <c r="CP28" s="845"/>
      <c r="CQ28" s="1770"/>
      <c r="CR28" s="1770"/>
      <c r="CS28" s="1770"/>
      <c r="CT28" s="1758"/>
      <c r="CU28" s="1758"/>
      <c r="CV28" s="1758"/>
      <c r="CW28" s="1758"/>
      <c r="DU28" s="977">
        <f>DU26-DU27</f>
        <v>10749</v>
      </c>
      <c r="DV28" s="250"/>
      <c r="DW28" s="250"/>
      <c r="DX28" s="250"/>
      <c r="DY28" s="250"/>
      <c r="DZ28" s="250"/>
      <c r="EA28" s="250"/>
      <c r="EB28" s="250"/>
      <c r="EC28" s="250"/>
      <c r="ED28" s="250"/>
      <c r="EE28" s="250"/>
      <c r="EF28" s="250">
        <f>10756/EF29</f>
        <v>29.448951934459853</v>
      </c>
      <c r="EG28" s="250"/>
      <c r="EH28" s="250">
        <v>3.3471344E-2</v>
      </c>
      <c r="EI28" s="250"/>
      <c r="EJ28" s="250"/>
      <c r="EK28" s="250"/>
      <c r="EL28" s="319"/>
    </row>
    <row r="29" spans="3:142" ht="25.5" thickBot="1">
      <c r="J29" s="3" t="s">
        <v>901</v>
      </c>
      <c r="K29" s="3"/>
      <c r="L29" s="3">
        <f>[1]!mtash(E10,E11,E12,E13)</f>
        <v>196.68461859062594</v>
      </c>
      <c r="M29" s="472">
        <f t="shared" si="34"/>
        <v>196</v>
      </c>
      <c r="N29" s="472">
        <f t="shared" si="35"/>
        <v>41</v>
      </c>
      <c r="O29" s="472">
        <f t="shared" si="36"/>
        <v>4</v>
      </c>
      <c r="P29" s="471">
        <f t="shared" si="37"/>
        <v>37</v>
      </c>
      <c r="Q29" s="33"/>
      <c r="R29" s="450"/>
      <c r="S29" s="450"/>
      <c r="T29" s="450"/>
      <c r="U29" s="3" t="s">
        <v>2304</v>
      </c>
      <c r="V29" s="3"/>
      <c r="W29" s="348">
        <f>[1]!bshams(W28)</f>
        <v>59.053993608445317</v>
      </c>
      <c r="X29" s="472">
        <f t="shared" si="27"/>
        <v>59</v>
      </c>
      <c r="Y29" s="472">
        <f t="shared" si="28"/>
        <v>3</v>
      </c>
      <c r="Z29" s="472">
        <f t="shared" si="29"/>
        <v>14</v>
      </c>
      <c r="AA29" s="471">
        <f t="shared" si="30"/>
        <v>22</v>
      </c>
      <c r="AB29" s="33"/>
      <c r="AC29" s="33"/>
      <c r="AD29" s="33"/>
      <c r="AF29" s="936"/>
      <c r="AG29" s="116" t="s">
        <v>761</v>
      </c>
      <c r="AH29" s="116">
        <f>[1]!rasmer(AH3,AH4,AH5,AH6)</f>
        <v>48.803236255158836</v>
      </c>
      <c r="AI29" s="484">
        <f>INT(ABS(AH29))</f>
        <v>48</v>
      </c>
      <c r="AJ29" s="484">
        <f>INT((ABS(AH29)-AI29)*60)</f>
        <v>48</v>
      </c>
      <c r="AK29" s="484">
        <f>INT((((ABS(AH29)-AI29)*60)-AJ29)*60)</f>
        <v>11</v>
      </c>
      <c r="AL29" s="937">
        <f>INT((((((ABS(AH29)-AI29)*60)-AJ29)*60)-AK29)*60)</f>
        <v>39</v>
      </c>
      <c r="AX29" s="117" t="s">
        <v>1293</v>
      </c>
      <c r="AY29" s="118" t="s">
        <v>3948</v>
      </c>
      <c r="AZ29" s="772">
        <f>[1]!sharafainame(AZ18)</f>
        <v>0</v>
      </c>
      <c r="CL29" s="845"/>
      <c r="CM29" s="845"/>
      <c r="CN29" s="845"/>
      <c r="CO29" s="845"/>
      <c r="CP29" s="845"/>
      <c r="CQ29" s="1770"/>
      <c r="CR29" s="1770"/>
      <c r="CS29" s="1770"/>
      <c r="CT29" s="1758"/>
      <c r="CU29" s="1758"/>
      <c r="CV29" s="1758"/>
      <c r="CW29" s="1758"/>
      <c r="DU29" s="977">
        <v>365.24220026363002</v>
      </c>
      <c r="DV29" s="250">
        <v>365.25599999999997</v>
      </c>
      <c r="DW29" s="250"/>
      <c r="DX29" s="250"/>
      <c r="DY29" s="250"/>
      <c r="DZ29" s="250"/>
      <c r="EA29" s="250"/>
      <c r="EB29" s="250"/>
      <c r="EC29" s="250"/>
      <c r="ED29" s="250"/>
      <c r="EE29" s="250"/>
      <c r="EF29" s="250">
        <f>DU29</f>
        <v>365.24220026363002</v>
      </c>
      <c r="EG29" s="250">
        <f>DU31*EF29</f>
        <v>10755.468961778844</v>
      </c>
      <c r="EH29" s="250">
        <v>360</v>
      </c>
      <c r="EI29" s="250"/>
      <c r="EJ29" s="250"/>
      <c r="EK29" s="250"/>
      <c r="EL29" s="319"/>
    </row>
    <row r="30" spans="3:142" ht="24.75">
      <c r="J30" s="3" t="s">
        <v>2304</v>
      </c>
      <c r="K30" s="3"/>
      <c r="L30" s="348">
        <f>[1]!bshams(L29)</f>
        <v>59.053993608445317</v>
      </c>
      <c r="M30" s="472">
        <f t="shared" si="34"/>
        <v>59</v>
      </c>
      <c r="N30" s="472">
        <f t="shared" si="35"/>
        <v>3</v>
      </c>
      <c r="O30" s="472">
        <f t="shared" si="36"/>
        <v>14</v>
      </c>
      <c r="P30" s="471">
        <f t="shared" si="37"/>
        <v>22</v>
      </c>
      <c r="Q30" s="33"/>
      <c r="R30" s="33"/>
      <c r="S30" s="33"/>
      <c r="T30" s="33"/>
      <c r="U30" s="3" t="s">
        <v>2305</v>
      </c>
      <c r="V30" s="3"/>
      <c r="W30" s="3">
        <f>[1]!bkhsh(W22)</f>
        <v>84.817859585852418</v>
      </c>
      <c r="X30" s="472">
        <f t="shared" si="27"/>
        <v>84</v>
      </c>
      <c r="Y30" s="472">
        <f t="shared" si="28"/>
        <v>49</v>
      </c>
      <c r="Z30" s="472">
        <f t="shared" si="29"/>
        <v>4</v>
      </c>
      <c r="AA30" s="471">
        <f t="shared" si="30"/>
        <v>17</v>
      </c>
      <c r="AF30" s="936"/>
      <c r="AG30" s="116" t="s">
        <v>1481</v>
      </c>
      <c r="AH30" s="116">
        <f>[1]!taqmer(AH3,AH4,AH5,AH6)</f>
        <v>255.38226142803279</v>
      </c>
      <c r="AI30" s="484">
        <f>INT(ABS(AH30))</f>
        <v>255</v>
      </c>
      <c r="AJ30" s="484">
        <f>INT((ABS(AH30)-AI30)*60)</f>
        <v>22</v>
      </c>
      <c r="AK30" s="484">
        <f>INT((((ABS(AH30)-AI30)*60)-AJ30)*60)</f>
        <v>56</v>
      </c>
      <c r="AL30" s="937">
        <f>INT((((((ABS(AH30)-AI30)*60)-AJ30)*60)-AK30)*60)</f>
        <v>8</v>
      </c>
      <c r="AN30" s="708"/>
      <c r="AO30" s="226"/>
      <c r="AP30" s="226">
        <f>[1]!tq(AZ12-AZ13)</f>
        <v>300.74173437988497</v>
      </c>
      <c r="AQ30" s="1096"/>
      <c r="AR30" s="1096"/>
      <c r="AS30" s="1097"/>
      <c r="AT30" s="708"/>
      <c r="AU30" s="226"/>
      <c r="AV30" s="226">
        <f>[1]!tq(AZ13-AZ14)</f>
        <v>75.754065319058384</v>
      </c>
      <c r="AW30" s="1096"/>
      <c r="AX30" s="1096"/>
      <c r="AY30" s="1097"/>
      <c r="AZ30" s="708"/>
      <c r="BA30" s="706"/>
      <c r="BB30" s="706">
        <f>[1]!tq(AZ14-AZ15)</f>
        <v>0.88468029784377222</v>
      </c>
      <c r="BC30" s="1094"/>
      <c r="BD30" s="1094"/>
      <c r="BE30" s="1095"/>
      <c r="BF30" s="705"/>
      <c r="BG30" s="706"/>
      <c r="BH30" s="706">
        <f>[1]!tq(AZ15-AZ16)</f>
        <v>241.77984992776305</v>
      </c>
      <c r="BI30" s="1094"/>
      <c r="BJ30" s="1094"/>
      <c r="BK30" s="1095"/>
      <c r="BL30" s="705"/>
      <c r="BM30" s="706"/>
      <c r="BN30" s="706">
        <f>[1]!tq(AZ16-AZ17)</f>
        <v>37.78790682258726</v>
      </c>
      <c r="BO30" s="1094"/>
      <c r="BP30" s="1094"/>
      <c r="BQ30" s="1095"/>
      <c r="BR30" s="705"/>
      <c r="BS30" s="706"/>
      <c r="BT30" s="706">
        <f>[1]!tq(AZ17-AZ18)</f>
        <v>82.847587118749288</v>
      </c>
      <c r="BU30" s="1094"/>
      <c r="BV30" s="1094"/>
      <c r="BW30" s="1095"/>
      <c r="CL30" s="845"/>
      <c r="CM30" s="845"/>
      <c r="CN30" s="845"/>
      <c r="CO30" s="845"/>
      <c r="CP30" s="845"/>
      <c r="CQ30" s="1770"/>
      <c r="CR30" s="1770"/>
      <c r="CS30" s="1758"/>
      <c r="CT30" s="1758"/>
      <c r="CU30" s="1758"/>
      <c r="CV30" s="1758"/>
      <c r="CW30" s="1758"/>
      <c r="DU30" s="977">
        <f>DU28/DU29</f>
        <v>29.429786569682868</v>
      </c>
      <c r="DV30" s="250">
        <f>DU30*DU29</f>
        <v>10749</v>
      </c>
      <c r="DW30" s="250" t="s">
        <v>4238</v>
      </c>
      <c r="DX30" s="250"/>
      <c r="DY30" s="250"/>
      <c r="DZ30" s="250"/>
      <c r="EA30" s="250"/>
      <c r="EB30" s="250"/>
      <c r="EC30" s="250"/>
      <c r="ED30" s="250"/>
      <c r="EE30" s="250"/>
      <c r="EF30" s="250"/>
      <c r="EG30" s="250">
        <v>1</v>
      </c>
      <c r="EH30" s="250">
        <f>EG30*EH29/EG29</f>
        <v>3.3471343860440997E-2</v>
      </c>
      <c r="EI30" s="1766">
        <f t="shared" ref="EI30:EI31" si="75">INT(ABS(EH30))</f>
        <v>0</v>
      </c>
      <c r="EJ30" s="1766">
        <f t="shared" ref="EJ30:EJ31" si="76">INT((ABS(EH30)-EI30)*60)</f>
        <v>2</v>
      </c>
      <c r="EK30" s="1766">
        <f t="shared" ref="EK30:EK31" si="77">INT((((ABS(EH30)-EI30)*60)-EJ30)*60)</f>
        <v>0</v>
      </c>
      <c r="EL30" s="1767">
        <f t="shared" ref="EL30:EL31" si="78">INT((((((ABS(EH30)-EI30)*60)-EJ30)*60)-EK30)*60)</f>
        <v>29</v>
      </c>
    </row>
    <row r="31" spans="3:142" ht="27">
      <c r="J31" s="3" t="s">
        <v>2306</v>
      </c>
      <c r="K31" s="3"/>
      <c r="L31" s="3">
        <f>[1]!bmosh(L23)</f>
        <v>327.10993846559217</v>
      </c>
      <c r="M31" s="472">
        <f t="shared" si="34"/>
        <v>327</v>
      </c>
      <c r="N31" s="472">
        <f t="shared" si="35"/>
        <v>6</v>
      </c>
      <c r="O31" s="472">
        <f t="shared" si="36"/>
        <v>35</v>
      </c>
      <c r="P31" s="471">
        <f t="shared" si="37"/>
        <v>46</v>
      </c>
      <c r="U31" s="3"/>
      <c r="V31" s="3"/>
      <c r="W31" s="3"/>
      <c r="X31" s="472">
        <f t="shared" si="27"/>
        <v>0</v>
      </c>
      <c r="Y31" s="472">
        <f t="shared" si="28"/>
        <v>0</v>
      </c>
      <c r="Z31" s="472">
        <f t="shared" si="29"/>
        <v>0</v>
      </c>
      <c r="AA31" s="471">
        <f t="shared" si="30"/>
        <v>0</v>
      </c>
      <c r="AF31" s="936"/>
      <c r="AG31" s="116" t="s">
        <v>176</v>
      </c>
      <c r="AH31" s="116" t="str">
        <f>[1]!jahatmerame(AH3,AH4,AH5,AH6)</f>
        <v>jo-habet-zaed</v>
      </c>
      <c r="AI31" s="116"/>
      <c r="AJ31" s="116"/>
      <c r="AK31" s="116"/>
      <c r="AL31" s="958"/>
      <c r="AN31" s="708"/>
      <c r="AO31" s="226"/>
      <c r="AP31" s="226">
        <f>[1]!tq(AZ13-AZ12)</f>
        <v>59.258265620115012</v>
      </c>
      <c r="AQ31" s="1096"/>
      <c r="AR31" s="1096"/>
      <c r="AS31" s="1097"/>
      <c r="AT31" s="708"/>
      <c r="AU31" s="226"/>
      <c r="AV31" s="226">
        <f>[1]!tq(AZ14-AZ13)</f>
        <v>284.24593468094162</v>
      </c>
      <c r="AW31" s="1096"/>
      <c r="AX31" s="1096"/>
      <c r="AY31" s="1097"/>
      <c r="AZ31" s="708"/>
      <c r="BA31" s="226"/>
      <c r="BB31" s="226">
        <f>[1]!tq(AZ15-AZ14)</f>
        <v>359.11531970215623</v>
      </c>
      <c r="BC31" s="1096"/>
      <c r="BD31" s="1096"/>
      <c r="BE31" s="1097"/>
      <c r="BF31" s="708"/>
      <c r="BG31" s="226"/>
      <c r="BH31" s="226">
        <f>[1]!tq(AZ16-AZ15)</f>
        <v>118.22015007223695</v>
      </c>
      <c r="BI31" s="1096"/>
      <c r="BJ31" s="1096"/>
      <c r="BK31" s="1097"/>
      <c r="BL31" s="708"/>
      <c r="BM31" s="226"/>
      <c r="BN31" s="226">
        <f>[1]!tq(AZ17-AZ16)</f>
        <v>322.21209317741273</v>
      </c>
      <c r="BO31" s="1096"/>
      <c r="BP31" s="1096"/>
      <c r="BQ31" s="1097"/>
      <c r="BR31" s="708"/>
      <c r="BS31" s="226"/>
      <c r="BT31" s="226">
        <f>[1]!tq(AZ18-AZ17)</f>
        <v>277.15241288125071</v>
      </c>
      <c r="BU31" s="1096"/>
      <c r="BV31" s="1096"/>
      <c r="BW31" s="1097"/>
      <c r="CL31" s="845"/>
      <c r="CM31" s="845"/>
      <c r="CN31" s="845"/>
      <c r="CO31" s="845"/>
      <c r="CP31" s="845"/>
      <c r="CQ31" s="1770"/>
      <c r="CR31" s="845"/>
      <c r="CS31" s="1771"/>
      <c r="CT31" s="1758"/>
      <c r="CU31" s="1758"/>
      <c r="CV31" s="1758"/>
      <c r="CW31" s="1758"/>
      <c r="DU31" s="977">
        <v>29.447498</v>
      </c>
      <c r="DV31" s="250">
        <f>DU31*DU29</f>
        <v>10755.468961778844</v>
      </c>
      <c r="DW31" s="250" t="s">
        <v>4239</v>
      </c>
      <c r="DX31" s="250"/>
      <c r="DY31" s="250"/>
      <c r="DZ31" s="250" t="s">
        <v>4241</v>
      </c>
      <c r="EA31" s="250">
        <f>10759/DU29</f>
        <v>29.457165662221417</v>
      </c>
      <c r="EB31" s="250"/>
      <c r="EC31" s="250"/>
      <c r="ED31" s="250"/>
      <c r="EE31" s="250"/>
      <c r="EF31" s="250"/>
      <c r="EG31" s="250" t="s">
        <v>4244</v>
      </c>
      <c r="EH31" s="250">
        <v>3.3492642750000003E-2</v>
      </c>
      <c r="EI31" s="1766">
        <f t="shared" si="75"/>
        <v>0</v>
      </c>
      <c r="EJ31" s="1766">
        <f t="shared" si="76"/>
        <v>2</v>
      </c>
      <c r="EK31" s="1766">
        <f t="shared" si="77"/>
        <v>0</v>
      </c>
      <c r="EL31" s="1767">
        <f t="shared" si="78"/>
        <v>34</v>
      </c>
    </row>
    <row r="32" spans="3:142" ht="27">
      <c r="J32" s="3"/>
      <c r="K32" s="3"/>
      <c r="L32" s="3"/>
      <c r="M32" s="472">
        <f t="shared" si="34"/>
        <v>0</v>
      </c>
      <c r="N32" s="472">
        <f t="shared" si="35"/>
        <v>0</v>
      </c>
      <c r="O32" s="472">
        <f t="shared" si="36"/>
        <v>0</v>
      </c>
      <c r="P32" s="471">
        <f t="shared" si="37"/>
        <v>0</v>
      </c>
      <c r="U32" s="3" t="s">
        <v>785</v>
      </c>
      <c r="V32" s="3"/>
      <c r="W32" s="3">
        <f>[1]!csn(W20)</f>
        <v>59.985297198672164</v>
      </c>
      <c r="X32" s="472">
        <f t="shared" si="27"/>
        <v>59</v>
      </c>
      <c r="Y32" s="472">
        <f t="shared" si="28"/>
        <v>59</v>
      </c>
      <c r="Z32" s="472">
        <f t="shared" si="29"/>
        <v>7</v>
      </c>
      <c r="AA32" s="471">
        <f t="shared" si="30"/>
        <v>4</v>
      </c>
      <c r="AF32" s="951"/>
      <c r="AG32" s="952" t="s">
        <v>275</v>
      </c>
      <c r="AH32" s="952">
        <f>[1]!arzmer(AH3,AH4,AH5,AH6)</f>
        <v>-0.40796811451662207</v>
      </c>
      <c r="AI32" s="953">
        <f>INT(ABS(AH32))</f>
        <v>0</v>
      </c>
      <c r="AJ32" s="953">
        <f>INT((ABS(AH32)-AI32)*60)</f>
        <v>24</v>
      </c>
      <c r="AK32" s="953">
        <f>INT((((ABS(AH32)-AI32)*60)-AJ32)*60)</f>
        <v>28</v>
      </c>
      <c r="AL32" s="954">
        <f>INT((((((ABS(AH32)-AI32)*60)-AJ32)*60)-AK32)*60)</f>
        <v>41</v>
      </c>
      <c r="AN32" s="708"/>
      <c r="AO32" s="226">
        <f>IF([1]!tq(AZ12-AZ13)&lt;=180,[1]!tq(AZ12-AZ13),[1]!tq(AZ13-AZ12))</f>
        <v>59.258265620115012</v>
      </c>
      <c r="AP32" s="226">
        <f>IF(AP30&lt;=180,AP30,AP31)</f>
        <v>59.258265620115012</v>
      </c>
      <c r="AQ32" s="1096">
        <f>INT(ABS(AP32))</f>
        <v>59</v>
      </c>
      <c r="AR32" s="1096">
        <f>INT((ABS(AP32)-AQ32)*60)</f>
        <v>15</v>
      </c>
      <c r="AS32" s="1097">
        <f t="shared" ref="AS32" si="79">INT((((ABS(AP32)-AQ32)*60)-AR32)*60)</f>
        <v>29</v>
      </c>
      <c r="AT32" s="708"/>
      <c r="AU32" s="226"/>
      <c r="AV32" s="226">
        <f>IF(AV30&lt;=180,AV30,AV31)</f>
        <v>75.754065319058384</v>
      </c>
      <c r="AW32" s="1096">
        <f>INT(ABS(AV32))</f>
        <v>75</v>
      </c>
      <c r="AX32" s="1096">
        <f t="shared" ref="AX32" si="80">INT((ABS(AV32)-AW32)*60)</f>
        <v>45</v>
      </c>
      <c r="AY32" s="1097">
        <f t="shared" ref="AY32" si="81">INT((((ABS(AV32)-AW32)*60)-AX32)*60)</f>
        <v>14</v>
      </c>
      <c r="AZ32" s="708"/>
      <c r="BA32" s="226"/>
      <c r="BB32" s="226">
        <f>IF(BB30&lt;=180,BB30,BB31)</f>
        <v>0.88468029784377222</v>
      </c>
      <c r="BC32" s="1096">
        <f>INT(ABS(BB32))</f>
        <v>0</v>
      </c>
      <c r="BD32" s="1096">
        <f t="shared" ref="BD32" si="82">INT((ABS(BB32)-BC32)*60)</f>
        <v>53</v>
      </c>
      <c r="BE32" s="1097">
        <f t="shared" ref="BE32" si="83">INT((((ABS(BB32)-BC32)*60)-BD32)*60)</f>
        <v>4</v>
      </c>
      <c r="BF32" s="708"/>
      <c r="BG32" s="226"/>
      <c r="BH32" s="226">
        <f>IF(BH30&lt;=180,BH30,BH31)</f>
        <v>118.22015007223695</v>
      </c>
      <c r="BI32" s="1096">
        <f>INT(ABS(BH32))</f>
        <v>118</v>
      </c>
      <c r="BJ32" s="1096">
        <f t="shared" ref="BJ32" si="84">INT((ABS(BH32)-BI32)*60)</f>
        <v>13</v>
      </c>
      <c r="BK32" s="1097">
        <f t="shared" ref="BK32" si="85">INT((((ABS(BH32)-BI32)*60)-BJ32)*60)</f>
        <v>12</v>
      </c>
      <c r="BL32" s="708"/>
      <c r="BM32" s="226"/>
      <c r="BN32" s="226">
        <f>IF(BN30&lt;=180,BN30,BN31)</f>
        <v>37.78790682258726</v>
      </c>
      <c r="BO32" s="1096">
        <f>INT(ABS(BN32))</f>
        <v>37</v>
      </c>
      <c r="BP32" s="1096">
        <f t="shared" ref="BP32" si="86">INT((ABS(BN32)-BO32)*60)</f>
        <v>47</v>
      </c>
      <c r="BQ32" s="1097">
        <f t="shared" ref="BQ32" si="87">INT((((ABS(BN32)-BO32)*60)-BP32)*60)</f>
        <v>16</v>
      </c>
      <c r="BR32" s="708"/>
      <c r="BS32" s="226"/>
      <c r="BT32" s="226">
        <f>IF(BT30&lt;=180,BT30,BT31)</f>
        <v>82.847587118749288</v>
      </c>
      <c r="BU32" s="1096">
        <f>INT(ABS(BT32))</f>
        <v>82</v>
      </c>
      <c r="BV32" s="1096">
        <f t="shared" ref="BV32" si="88">INT((ABS(BT32)-BU32)*60)</f>
        <v>50</v>
      </c>
      <c r="BW32" s="1097">
        <f t="shared" ref="BW32" si="89">INT((((ABS(BT32)-BU32)*60)-BV32)*60)</f>
        <v>51</v>
      </c>
      <c r="CL32" s="845"/>
      <c r="CM32" s="845"/>
      <c r="CN32" s="845"/>
      <c r="CO32" s="845"/>
      <c r="CP32" s="845"/>
      <c r="CQ32" s="1770"/>
      <c r="CR32" s="845"/>
      <c r="CS32" s="1771"/>
      <c r="CT32" s="1758"/>
      <c r="CU32" s="1758"/>
      <c r="CV32" s="1758"/>
      <c r="CW32" s="1758"/>
      <c r="DU32" s="977">
        <f>DU31-DU30</f>
        <v>1.7711430317131516E-2</v>
      </c>
      <c r="DV32" s="250">
        <f>EB24-DU30</f>
        <v>0.42711384360131532</v>
      </c>
      <c r="DW32" s="250"/>
      <c r="DX32" s="250"/>
      <c r="DY32" s="250"/>
      <c r="DZ32" s="250"/>
      <c r="EA32" s="250"/>
      <c r="EB32" s="250"/>
      <c r="EC32" s="250"/>
      <c r="ED32" s="250"/>
      <c r="EE32" s="250"/>
      <c r="EF32" s="250"/>
      <c r="EG32" s="250"/>
      <c r="EH32" s="250">
        <f>(EH31-EH30)</f>
        <v>2.1298889559005774E-5</v>
      </c>
      <c r="EI32" s="1766">
        <f t="shared" ref="EI32" si="90">INT(ABS(EH32))</f>
        <v>0</v>
      </c>
      <c r="EJ32" s="1766">
        <f t="shared" ref="EJ32" si="91">INT((ABS(EH32)-EI32)*60)</f>
        <v>0</v>
      </c>
      <c r="EK32" s="1766">
        <f t="shared" ref="EK32" si="92">INT((((ABS(EH32)-EI32)*60)-EJ32)*60)</f>
        <v>0</v>
      </c>
      <c r="EL32" s="1767">
        <f t="shared" ref="EL32" si="93">INT((((((ABS(EH32)-EI32)*60)-EJ32)*60)-EK32)*60)</f>
        <v>4</v>
      </c>
    </row>
    <row r="33" spans="10:142" ht="25.5" thickBot="1">
      <c r="J33" s="3" t="s">
        <v>785</v>
      </c>
      <c r="K33" s="3"/>
      <c r="L33" s="3">
        <f>[1]!csn(L21)</f>
        <v>59.985174804454147</v>
      </c>
      <c r="M33" s="472">
        <f t="shared" si="34"/>
        <v>59</v>
      </c>
      <c r="N33" s="472">
        <f t="shared" si="35"/>
        <v>59</v>
      </c>
      <c r="O33" s="472">
        <f t="shared" si="36"/>
        <v>6</v>
      </c>
      <c r="P33" s="471">
        <f t="shared" si="37"/>
        <v>37</v>
      </c>
      <c r="U33" s="3" t="s">
        <v>2308</v>
      </c>
      <c r="V33" s="3"/>
      <c r="W33" s="3">
        <f>W30*W32</f>
        <v>5087.8245150126022</v>
      </c>
      <c r="X33" s="472">
        <f t="shared" si="27"/>
        <v>5087</v>
      </c>
      <c r="Y33" s="472">
        <f t="shared" si="28"/>
        <v>49</v>
      </c>
      <c r="Z33" s="472">
        <f t="shared" si="29"/>
        <v>28</v>
      </c>
      <c r="AA33" s="471">
        <f t="shared" si="30"/>
        <v>15</v>
      </c>
      <c r="AF33" s="490" t="s">
        <v>1292</v>
      </c>
      <c r="AG33" s="309" t="s">
        <v>612</v>
      </c>
      <c r="AH33" s="309">
        <f>[1]!wasatmosh(AH3,AH4,AH5,AH6)</f>
        <v>41.823072422317864</v>
      </c>
      <c r="AI33" s="931">
        <f>INT(ABS(AH33))</f>
        <v>41</v>
      </c>
      <c r="AJ33" s="931">
        <f>INT((ABS(AH33)-AI33)*60)</f>
        <v>49</v>
      </c>
      <c r="AK33" s="931">
        <f>INT((((ABS(AH33)-AI33)*60)-AJ33)*60)</f>
        <v>23</v>
      </c>
      <c r="AL33" s="938">
        <f>INT((((((ABS(AH33)-AI33)*60)-AJ33)*60)-AK33)*60)</f>
        <v>3</v>
      </c>
      <c r="AN33" s="762" t="s">
        <v>3885</v>
      </c>
      <c r="AO33" s="763"/>
      <c r="AP33" s="763" t="str">
        <f>IF(OR(AND(AQ32=60,AR32=0),AND(AQ32=59,AR32=59)),"تسدیس",IF(OR(AND(AQ32=90,AR32=0),AND(AQ32=89,AR32=59)),"تربیع",IF(OR(AND(AQ32=120,AR32=0),AND(AQ32=119,AR32=59)),"تثلیث",IF(OR(AND(AQ32=180,AR32=0),AND(AQ32=179,AR32=59)),"مقابله",IF(AND(AQ32=0,AR32=0),"قران","غیر متصل")))))</f>
        <v>غیر متصل</v>
      </c>
      <c r="AQ33" s="763"/>
      <c r="AR33" s="763"/>
      <c r="AS33" s="764"/>
      <c r="AT33" s="762" t="s">
        <v>3891</v>
      </c>
      <c r="AU33" s="763"/>
      <c r="AV33" s="763" t="str">
        <f>IF(OR(AND(AW32=60,AX32=0),AND(AW32=59,AX32=59)),"تسدیس",IF(OR(AND(AW32=90,AX32=0),AND(AW32=89,AX32=59)),"تربیع",IF(OR(AND(AW32=120,AX32=0),AND(AW32=119,AX32=59)),"تثلیث",IF(OR(AND(AW32=180,AX32=0),AND(AW32=179,AX32=59)),"مقابله",IF(AND(AW32=0,AX32=0),"قران","غیر متصل")))))</f>
        <v>غیر متصل</v>
      </c>
      <c r="AW33" s="763"/>
      <c r="AX33" s="763"/>
      <c r="AY33" s="764"/>
      <c r="AZ33" s="762" t="s">
        <v>3896</v>
      </c>
      <c r="BA33" s="763"/>
      <c r="BB33" s="763" t="str">
        <f>IF(OR(AND(BC32=60,BD32=0),AND(BC32=59,BD32=59)),"تسدیس",IF(OR(AND(BC32=90,BD32=0),AND(BC32=89,BD32=59)),"تربیع",IF(OR(AND(BC32=120,BD32=0),AND(BC32=119,BD32=59)),"تثلیث",IF(OR(AND(BC32=180,BD32=0),AND(BC32=179,BD32=59)),"مقابله",IF(AND(BC32=0,BD32=0),"قران","غیر متصل")))))</f>
        <v>غیر متصل</v>
      </c>
      <c r="BC33" s="763"/>
      <c r="BD33" s="763"/>
      <c r="BE33" s="764"/>
      <c r="BF33" s="762" t="s">
        <v>3900</v>
      </c>
      <c r="BG33" s="763"/>
      <c r="BH33" s="763" t="str">
        <f>IF(OR(AND(BI32=60,BJ32=0),AND(BI32=59,BJ32=59)),"تسدیس",IF(OR(AND(BI32=90,BJ32=0),AND(BI32=89,BJ32=59)),"تربیع",IF(OR(AND(BI32=120,BJ32=0),AND(BI32=119,BJ32=59)),"تثلیث",IF(OR(AND(BI32=180,BJ32=0),AND(BI32=179,BJ32=59)),"مقابله",IF(AND(BI32=0,BJ32=0),"قران","غیر متصل")))))</f>
        <v>غیر متصل</v>
      </c>
      <c r="BI33" s="763"/>
      <c r="BJ33" s="763"/>
      <c r="BK33" s="764"/>
      <c r="BL33" s="762" t="s">
        <v>3903</v>
      </c>
      <c r="BM33" s="763"/>
      <c r="BN33" s="763" t="str">
        <f>IF(OR(AND(BO32=60,BP32=0),AND(BO32=59,BP32=59)),"تسدیس",IF(OR(AND(BO32=90,BP32=0),AND(BO32=89,BP32=59)),"تربیع",IF(OR(AND(BO32=120,BP32=0),AND(BO32=119,BP32=59)),"تثلیث",IF(OR(AND(BO32=180,BP32=0),AND(BO32=179,BP32=59)),"مقابله",IF(AND(BO32=0,BP32=0),"قران","غیر متصل")))))</f>
        <v>غیر متصل</v>
      </c>
      <c r="BO33" s="763"/>
      <c r="BP33" s="763"/>
      <c r="BQ33" s="764"/>
      <c r="BR33" s="762" t="s">
        <v>3903</v>
      </c>
      <c r="BS33" s="763"/>
      <c r="BT33" s="763" t="str">
        <f>IF(OR(AND(BU32=60,BV32=0),AND(BU32=59,BV32=59)),"تسدیس",IF(OR(AND(BU32=90,BV32=0),AND(BU32=89,BV32=59)),"تربیع",IF(OR(AND(BU32=120,BV32=0),AND(BU32=119,BV32=59)),"تثلیث",IF(OR(AND(BU32=180,BV32=0),AND(BU32=179,BV32=59)),"مقابله",IF(AND(BU32=0,BV32=0),"قران","غیر متصل")))))</f>
        <v>غیر متصل</v>
      </c>
      <c r="BU33" s="763"/>
      <c r="BV33" s="763"/>
      <c r="BW33" s="764"/>
      <c r="CL33" s="845"/>
      <c r="CM33" s="845"/>
      <c r="CN33" s="845"/>
      <c r="CO33" s="845"/>
      <c r="CP33" s="845"/>
      <c r="CQ33" s="845"/>
      <c r="CR33" s="845"/>
      <c r="CS33" s="845"/>
      <c r="CT33" s="845"/>
      <c r="CU33" s="845"/>
      <c r="CV33" s="845"/>
      <c r="CW33" s="845"/>
      <c r="DU33" s="964">
        <f>DU32*DU29</f>
        <v>6.4689617788450775</v>
      </c>
      <c r="DV33" s="965">
        <f>DV32*DU29</f>
        <v>156.00000000000037</v>
      </c>
      <c r="DW33" s="965" t="s">
        <v>4240</v>
      </c>
      <c r="DX33" s="965"/>
      <c r="DY33" s="965"/>
      <c r="DZ33" s="965"/>
      <c r="EA33" s="965"/>
      <c r="EB33" s="965"/>
      <c r="EC33" s="965"/>
      <c r="ED33" s="965"/>
      <c r="EE33" s="965"/>
      <c r="EF33" s="965">
        <v>0.229079546</v>
      </c>
      <c r="EG33" s="965"/>
      <c r="EH33" s="965">
        <f>EG29*EH32</f>
        <v>0.22907954557224211</v>
      </c>
      <c r="EI33" s="1768">
        <f t="shared" ref="EI33" si="94">INT(ABS(EH33))</f>
        <v>0</v>
      </c>
      <c r="EJ33" s="1768">
        <f t="shared" ref="EJ33" si="95">INT((ABS(EH33)-EI33)*60)</f>
        <v>13</v>
      </c>
      <c r="EK33" s="1768">
        <f t="shared" ref="EK33" si="96">INT((((ABS(EH33)-EI33)*60)-EJ33)*60)</f>
        <v>44</v>
      </c>
      <c r="EL33" s="1769">
        <f t="shared" ref="EL33" si="97">INT((((((ABS(EH33)-EI33)*60)-EJ33)*60)-EK33)*60)</f>
        <v>41</v>
      </c>
    </row>
    <row r="34" spans="10:142" ht="24.75">
      <c r="J34" s="3" t="s">
        <v>2308</v>
      </c>
      <c r="K34" s="3"/>
      <c r="L34" s="3">
        <f>L31*L33</f>
        <v>19621.746839132786</v>
      </c>
      <c r="M34" s="472">
        <f t="shared" si="34"/>
        <v>19621</v>
      </c>
      <c r="N34" s="472">
        <f t="shared" si="35"/>
        <v>44</v>
      </c>
      <c r="O34" s="472">
        <f t="shared" si="36"/>
        <v>48</v>
      </c>
      <c r="P34" s="471">
        <f t="shared" si="37"/>
        <v>37</v>
      </c>
      <c r="U34" s="3" t="s">
        <v>1091</v>
      </c>
      <c r="V34" s="3"/>
      <c r="W34" s="3">
        <f>W33/W29</f>
        <v>86.155468989060751</v>
      </c>
      <c r="X34" s="472">
        <f t="shared" si="27"/>
        <v>86</v>
      </c>
      <c r="Y34" s="472">
        <f t="shared" si="28"/>
        <v>9</v>
      </c>
      <c r="Z34" s="472">
        <f t="shared" si="29"/>
        <v>19</v>
      </c>
      <c r="AA34" s="471">
        <f t="shared" si="30"/>
        <v>41</v>
      </c>
      <c r="AF34" s="490"/>
      <c r="AG34" s="309" t="s">
        <v>552</v>
      </c>
      <c r="AH34" s="309">
        <f>[1]!oujmosh(AH3,AH4,AH5,AH6)</f>
        <v>198.75458530129029</v>
      </c>
      <c r="AI34" s="931">
        <f>INT(ABS(AH34))</f>
        <v>198</v>
      </c>
      <c r="AJ34" s="931">
        <f>INT((ABS(AH34)-AI34)*60)</f>
        <v>45</v>
      </c>
      <c r="AK34" s="931">
        <f>INT((((ABS(AH34)-AI34)*60)-AJ34)*60)</f>
        <v>16</v>
      </c>
      <c r="AL34" s="938">
        <f>INT((((((ABS(AH34)-AI34)*60)-AJ34)*60)-AK34)*60)</f>
        <v>30</v>
      </c>
      <c r="AN34" s="728"/>
      <c r="AO34" s="729"/>
      <c r="AP34" s="729">
        <f>[1]!tq(AZ12-AZ14)</f>
        <v>16.495799698943358</v>
      </c>
      <c r="AQ34" s="939"/>
      <c r="AR34" s="939"/>
      <c r="AS34" s="940"/>
      <c r="AT34" s="728"/>
      <c r="AU34" s="729"/>
      <c r="AV34" s="729">
        <f>[1]!tq(AZ13-AZ15)</f>
        <v>76.638745616902156</v>
      </c>
      <c r="AW34" s="939"/>
      <c r="AX34" s="939"/>
      <c r="AY34" s="940"/>
      <c r="AZ34" s="728"/>
      <c r="BA34" s="729"/>
      <c r="BB34" s="729">
        <f>[1]!tq(AZ14-AZ16)</f>
        <v>242.66453022560682</v>
      </c>
      <c r="BC34" s="939"/>
      <c r="BD34" s="939"/>
      <c r="BE34" s="940"/>
      <c r="BF34" s="728"/>
      <c r="BG34" s="729"/>
      <c r="BH34" s="729">
        <f>[1]!tq(AZ15-AZ17)</f>
        <v>279.56775675035033</v>
      </c>
      <c r="BI34" s="939"/>
      <c r="BJ34" s="939"/>
      <c r="BK34" s="940"/>
      <c r="BL34" s="728"/>
      <c r="BM34" s="729"/>
      <c r="BN34" s="729">
        <f>[1]!tq(AZ16-AZ18)</f>
        <v>120.63549394133656</v>
      </c>
      <c r="BO34" s="939"/>
      <c r="BP34" s="939"/>
      <c r="BQ34" s="940"/>
      <c r="CL34" s="845"/>
      <c r="CM34" s="845"/>
      <c r="CN34" s="845"/>
      <c r="CO34" s="845"/>
      <c r="CP34" s="384"/>
      <c r="CQ34" s="384"/>
      <c r="CR34" s="845"/>
      <c r="CS34" s="845"/>
      <c r="CT34" s="384"/>
      <c r="CU34" s="845"/>
    </row>
    <row r="35" spans="10:142" ht="24.75">
      <c r="J35" s="3" t="s">
        <v>1091</v>
      </c>
      <c r="K35" s="3"/>
      <c r="L35" s="3">
        <f>L34/L30</f>
        <v>332.26790670981273</v>
      </c>
      <c r="M35" s="472">
        <f t="shared" si="34"/>
        <v>332</v>
      </c>
      <c r="N35" s="472">
        <f t="shared" si="35"/>
        <v>16</v>
      </c>
      <c r="O35" s="472">
        <f t="shared" si="36"/>
        <v>4</v>
      </c>
      <c r="P35" s="471">
        <f t="shared" si="37"/>
        <v>27</v>
      </c>
      <c r="U35" s="3" t="s">
        <v>2309</v>
      </c>
      <c r="V35" s="3"/>
      <c r="W35" s="3">
        <f>[1]!atj(W34)</f>
        <v>55.146050565285911</v>
      </c>
      <c r="X35" s="472">
        <f t="shared" si="27"/>
        <v>55</v>
      </c>
      <c r="Y35" s="472">
        <f t="shared" si="28"/>
        <v>8</v>
      </c>
      <c r="Z35" s="472">
        <f t="shared" si="29"/>
        <v>45</v>
      </c>
      <c r="AA35" s="471">
        <f t="shared" si="30"/>
        <v>46</v>
      </c>
      <c r="AF35" s="490"/>
      <c r="AG35" s="309" t="s">
        <v>761</v>
      </c>
      <c r="AH35" s="309">
        <f>[1]!rasmosh(AH3,AH4,AH5,AH6)</f>
        <v>98.460968521870768</v>
      </c>
      <c r="AI35" s="931">
        <f>INT(ABS(AH35))</f>
        <v>98</v>
      </c>
      <c r="AJ35" s="931">
        <f>INT((ABS(AH35)-AI35)*60)</f>
        <v>27</v>
      </c>
      <c r="AK35" s="931">
        <f>INT((((ABS(AH35)-AI35)*60)-AJ35)*60)</f>
        <v>39</v>
      </c>
      <c r="AL35" s="938">
        <f>INT((((((ABS(AH35)-AI35)*60)-AJ35)*60)-AK35)*60)</f>
        <v>29</v>
      </c>
      <c r="AN35" s="732"/>
      <c r="AO35" s="238"/>
      <c r="AP35" s="238">
        <f>[1]!tq(AZ14-AZ12)</f>
        <v>343.50420030105664</v>
      </c>
      <c r="AQ35" s="451"/>
      <c r="AR35" s="451"/>
      <c r="AS35" s="932"/>
      <c r="AT35" s="732"/>
      <c r="AU35" s="238"/>
      <c r="AV35" s="238">
        <f>[1]!tq(AZ15-AZ13)</f>
        <v>283.36125438309784</v>
      </c>
      <c r="AW35" s="451"/>
      <c r="AX35" s="451"/>
      <c r="AY35" s="932"/>
      <c r="AZ35" s="732"/>
      <c r="BA35" s="238"/>
      <c r="BB35" s="238">
        <f>[1]!tq(AZ16-AZ14)</f>
        <v>117.33546977439318</v>
      </c>
      <c r="BC35" s="451"/>
      <c r="BD35" s="451"/>
      <c r="BE35" s="932"/>
      <c r="BF35" s="732"/>
      <c r="BG35" s="238"/>
      <c r="BH35" s="238">
        <f>[1]!tq(AZ17-AZ15)</f>
        <v>80.432243249649673</v>
      </c>
      <c r="BI35" s="451"/>
      <c r="BJ35" s="451"/>
      <c r="BK35" s="932"/>
      <c r="BL35" s="732"/>
      <c r="BM35" s="238"/>
      <c r="BN35" s="238">
        <f>[1]!tq(AZ18-AZ16)</f>
        <v>239.36450605866344</v>
      </c>
      <c r="BO35" s="451"/>
      <c r="BP35" s="451"/>
      <c r="BQ35" s="932"/>
      <c r="CL35" s="845"/>
      <c r="CM35" s="845"/>
      <c r="CN35" s="845"/>
      <c r="CO35" s="845"/>
      <c r="CP35" s="384"/>
      <c r="CQ35" s="384"/>
      <c r="CR35" s="845"/>
      <c r="CS35" s="845"/>
      <c r="CT35" s="384"/>
      <c r="CU35" s="845"/>
    </row>
    <row r="36" spans="10:142" ht="24.75">
      <c r="J36" s="3" t="s">
        <v>2309</v>
      </c>
      <c r="K36" s="3"/>
      <c r="L36" s="3">
        <f>[1]!atj(L35)</f>
        <v>79.763997634830375</v>
      </c>
      <c r="M36" s="472">
        <f t="shared" si="34"/>
        <v>79</v>
      </c>
      <c r="N36" s="472">
        <f t="shared" si="35"/>
        <v>45</v>
      </c>
      <c r="O36" s="472">
        <f t="shared" si="36"/>
        <v>50</v>
      </c>
      <c r="P36" s="471">
        <f t="shared" si="37"/>
        <v>23</v>
      </c>
      <c r="U36" s="3" t="s">
        <v>2310</v>
      </c>
      <c r="V36" s="3"/>
      <c r="W36" s="3">
        <f>[1]!tq(W35-45)</f>
        <v>10.146050565285911</v>
      </c>
      <c r="X36" s="472">
        <f t="shared" si="27"/>
        <v>10</v>
      </c>
      <c r="Y36" s="472">
        <f t="shared" si="28"/>
        <v>8</v>
      </c>
      <c r="Z36" s="472">
        <f t="shared" si="29"/>
        <v>45</v>
      </c>
      <c r="AA36" s="471">
        <f t="shared" si="30"/>
        <v>46</v>
      </c>
      <c r="AF36" s="490"/>
      <c r="AG36" s="309" t="s">
        <v>1481</v>
      </c>
      <c r="AH36" s="309">
        <f>[1]!taqmosh(AH3,AH4,AH5,AH6)</f>
        <v>35.699084691025291</v>
      </c>
      <c r="AI36" s="931">
        <f>INT(ABS(AH36))</f>
        <v>35</v>
      </c>
      <c r="AJ36" s="931">
        <f>INT((ABS(AH36)-AI36)*60)</f>
        <v>41</v>
      </c>
      <c r="AK36" s="931">
        <f>INT((((ABS(AH36)-AI36)*60)-AJ36)*60)</f>
        <v>56</v>
      </c>
      <c r="AL36" s="938">
        <f>INT((((((ABS(AH36)-AI36)*60)-AJ36)*60)-AK36)*60)</f>
        <v>42</v>
      </c>
      <c r="AN36" s="732"/>
      <c r="AO36" s="238"/>
      <c r="AP36" s="238">
        <f>IF(AP34&lt;=180,AP34,AP35)</f>
        <v>16.495799698943358</v>
      </c>
      <c r="AQ36" s="451">
        <f>INT(ABS(AP36))</f>
        <v>16</v>
      </c>
      <c r="AR36" s="451">
        <f t="shared" ref="AR36" si="98">INT((ABS(AP36)-AQ36)*60)</f>
        <v>29</v>
      </c>
      <c r="AS36" s="932">
        <f t="shared" ref="AS36" si="99">INT((((ABS(AP36)-AQ36)*60)-AR36)*60)</f>
        <v>44</v>
      </c>
      <c r="AT36" s="732"/>
      <c r="AU36" s="238"/>
      <c r="AV36" s="238">
        <f>IF(AV34&lt;=180,AV34,AV35)</f>
        <v>76.638745616902156</v>
      </c>
      <c r="AW36" s="451">
        <f>INT(ABS(AV36))</f>
        <v>76</v>
      </c>
      <c r="AX36" s="451">
        <f t="shared" ref="AX36" si="100">INT((ABS(AV36)-AW36)*60)</f>
        <v>38</v>
      </c>
      <c r="AY36" s="932">
        <f t="shared" ref="AY36" si="101">INT((((ABS(AV36)-AW36)*60)-AX36)*60)</f>
        <v>19</v>
      </c>
      <c r="AZ36" s="732"/>
      <c r="BA36" s="238"/>
      <c r="BB36" s="238">
        <f>IF(BB34&lt;=180,BB34,BB35)</f>
        <v>117.33546977439318</v>
      </c>
      <c r="BC36" s="451">
        <f>INT(ABS(BB36))</f>
        <v>117</v>
      </c>
      <c r="BD36" s="451">
        <f t="shared" ref="BD36" si="102">INT((ABS(BB36)-BC36)*60)</f>
        <v>20</v>
      </c>
      <c r="BE36" s="932">
        <f t="shared" ref="BE36" si="103">INT((((ABS(BB36)-BC36)*60)-BD36)*60)</f>
        <v>7</v>
      </c>
      <c r="BF36" s="732"/>
      <c r="BG36" s="238"/>
      <c r="BH36" s="238">
        <f>IF(BH34&lt;=180,BH34,BH35)</f>
        <v>80.432243249649673</v>
      </c>
      <c r="BI36" s="451">
        <f>INT(ABS(BH36))</f>
        <v>80</v>
      </c>
      <c r="BJ36" s="451">
        <f t="shared" ref="BJ36" si="104">INT((ABS(BH36)-BI36)*60)</f>
        <v>25</v>
      </c>
      <c r="BK36" s="932">
        <f t="shared" ref="BK36" si="105">INT((((ABS(BH36)-BI36)*60)-BJ36)*60)</f>
        <v>56</v>
      </c>
      <c r="BL36" s="732"/>
      <c r="BM36" s="238"/>
      <c r="BN36" s="238">
        <f>IF(BN34&lt;=180,BN34,BN35)</f>
        <v>120.63549394133656</v>
      </c>
      <c r="BO36" s="451">
        <f>INT(ABS(BN36))</f>
        <v>120</v>
      </c>
      <c r="BP36" s="451">
        <f t="shared" ref="BP36" si="106">INT((ABS(BN36)-BO36)*60)</f>
        <v>38</v>
      </c>
      <c r="BQ36" s="932">
        <f t="shared" ref="BQ36" si="107">INT((((ABS(BN36)-BO36)*60)-BP36)*60)</f>
        <v>7</v>
      </c>
      <c r="CM36" s="384"/>
      <c r="CN36" s="384"/>
      <c r="CO36" s="384"/>
      <c r="CP36" s="384"/>
      <c r="CQ36" s="384"/>
      <c r="CR36" s="845"/>
      <c r="CS36" s="845"/>
      <c r="CT36" s="384"/>
      <c r="CU36" s="845"/>
    </row>
    <row r="37" spans="10:142" ht="25.5" thickBot="1">
      <c r="J37" s="3" t="s">
        <v>2310</v>
      </c>
      <c r="K37" s="3"/>
      <c r="L37" s="3">
        <f>IF(L36-45&gt;0,L36-45,L36+360-45)</f>
        <v>34.763997634830375</v>
      </c>
      <c r="M37" s="472">
        <f t="shared" si="34"/>
        <v>34</v>
      </c>
      <c r="N37" s="472">
        <f t="shared" si="35"/>
        <v>45</v>
      </c>
      <c r="O37" s="472">
        <f t="shared" si="36"/>
        <v>50</v>
      </c>
      <c r="P37" s="471">
        <f t="shared" si="37"/>
        <v>23</v>
      </c>
      <c r="U37" s="3" t="s">
        <v>791</v>
      </c>
      <c r="V37" s="3"/>
      <c r="W37" s="3">
        <f>[1]!tn(W36)</f>
        <v>10.737389098050825</v>
      </c>
      <c r="X37" s="472">
        <f t="shared" si="27"/>
        <v>10</v>
      </c>
      <c r="Y37" s="472">
        <f t="shared" si="28"/>
        <v>44</v>
      </c>
      <c r="Z37" s="472">
        <f t="shared" si="29"/>
        <v>14</v>
      </c>
      <c r="AA37" s="471">
        <f t="shared" si="30"/>
        <v>36</v>
      </c>
      <c r="AF37" s="490"/>
      <c r="AG37" s="309" t="s">
        <v>176</v>
      </c>
      <c r="AH37" s="309" t="str">
        <f>[1]!jahatmoshame(AH3,AH4,AH5,AH6)</f>
        <v>jo-saed-naqes</v>
      </c>
      <c r="AI37" s="309"/>
      <c r="AJ37" s="309"/>
      <c r="AK37" s="309"/>
      <c r="AL37" s="774"/>
      <c r="AN37" s="734" t="s">
        <v>3886</v>
      </c>
      <c r="AO37" s="735"/>
      <c r="AP37" s="735" t="str">
        <f>IF(OR(AND(AQ36=60,AR36=0),AND(AQ36=59,AR36=59)),"تسدیس",IF(OR(AND(AQ36=90,AR36=0),AND(AQ36=89,AR36=59)),"تربیع",IF(OR(AND(AQ36=120,AR36=0),AND(AQ36=119,AR36=59)),"تثلیث",IF(OR(AND(AQ36=180,AR36=0),AND(AQ36=179,AR36=59)),"مقابله",IF(AND(AQ36=0,AR36=0),"قران","غیر متصل")))))</f>
        <v>غیر متصل</v>
      </c>
      <c r="AQ37" s="735"/>
      <c r="AR37" s="735"/>
      <c r="AS37" s="736"/>
      <c r="AT37" s="734" t="s">
        <v>3892</v>
      </c>
      <c r="AU37" s="735"/>
      <c r="AV37" s="735" t="str">
        <f>IF(OR(AND(AW36=60,AX36=0),AND(AW36=59,AX36=59)),"تسدیس",IF(OR(AND(AW36=90,AX36=0),AND(AW36=89,AX36=59)),"تربیع",IF(OR(AND(AW36=120,AX36=0),AND(AW36=119,AX36=59)),"تثلیث",IF(OR(AND(AW36=180,AX36=0),AND(AW36=179,AX36=59)),"مقابله",IF(AND(AW36=0,AX36=0),"قران","غیر متصل")))))</f>
        <v>غیر متصل</v>
      </c>
      <c r="AW37" s="735"/>
      <c r="AX37" s="735"/>
      <c r="AY37" s="736"/>
      <c r="AZ37" s="734" t="s">
        <v>3897</v>
      </c>
      <c r="BA37" s="735"/>
      <c r="BB37" s="735" t="str">
        <f>IF(OR(AND(BC36=60,BD36=0),AND(BC36=59,BD36=59)),"تسدیس",IF(OR(AND(BC36=90,BD36=0),AND(BC36=89,BD36=59)),"تربیع",IF(OR(AND(BC36=120,BD36=0),AND(BC36=119,BD36=59)),"تثلیث",IF(OR(AND(BC36=180,BD36=0),AND(BC36=179,BD36=59)),"مقابله",IF(AND(BC36=0,BD36=0),"قران","غیر متصل")))))</f>
        <v>غیر متصل</v>
      </c>
      <c r="BC37" s="735"/>
      <c r="BD37" s="735"/>
      <c r="BE37" s="736"/>
      <c r="BF37" s="734" t="s">
        <v>3901</v>
      </c>
      <c r="BG37" s="735"/>
      <c r="BH37" s="735" t="str">
        <f>IF(OR(AND(BI36=60,BJ36=0),AND(BI36=59,BJ36=59)),"تسدیس",IF(OR(AND(BI36=90,BJ36=0),AND(BI36=89,BJ36=59)),"تربیع",IF(OR(AND(BI36=120,BJ36=0),AND(BI36=119,BJ36=59)),"تثلیث",IF(OR(AND(BI36=180,BJ36=0),AND(BI36=179,BJ36=59)),"مقابله",IF(AND(BI36=0,BJ36=0),"قران","غیر متصل")))))</f>
        <v>غیر متصل</v>
      </c>
      <c r="BI37" s="735"/>
      <c r="BJ37" s="735"/>
      <c r="BK37" s="736"/>
      <c r="BL37" s="734" t="s">
        <v>3904</v>
      </c>
      <c r="BM37" s="735"/>
      <c r="BN37" s="735" t="str">
        <f>IF(OR(AND(BO36=60,BP36=0),AND(BO36=59,BP36=59)),"تسدیس",IF(OR(AND(BO36=90,BP36=0),AND(BO36=89,BP36=59)),"تربیع",IF(OR(AND(BO36=120,BP36=0),AND(BO36=119,BP36=59)),"تثلیث",IF(OR(AND(BO36=180,BP36=0),AND(BO36=179,BP36=59)),"مقابله",IF(AND(BO36=0,BP36=0),"قران","غیر متصل")))))</f>
        <v>غیر متصل</v>
      </c>
      <c r="BO37" s="735"/>
      <c r="BP37" s="735"/>
      <c r="BQ37" s="736"/>
      <c r="CM37" s="384"/>
      <c r="CN37" s="384"/>
      <c r="CO37" s="384"/>
      <c r="CP37" s="384"/>
      <c r="CQ37" s="384"/>
      <c r="CR37" s="845"/>
      <c r="CS37" s="845"/>
      <c r="CT37" s="384"/>
      <c r="CU37" s="845"/>
    </row>
    <row r="38" spans="10:142" ht="24.75">
      <c r="J38" s="3" t="s">
        <v>791</v>
      </c>
      <c r="K38" s="3"/>
      <c r="L38" s="3">
        <f>[1]!tn(L37)</f>
        <v>41.645197384637626</v>
      </c>
      <c r="M38" s="472">
        <f t="shared" ref="M38:M44" si="108">INT(ABS(L38))</f>
        <v>41</v>
      </c>
      <c r="N38" s="472">
        <f t="shared" ref="N38:N44" si="109">INT((ABS(L38)-M38)*60)</f>
        <v>38</v>
      </c>
      <c r="O38" s="472">
        <f t="shared" ref="O38:O44" si="110">INT((((ABS(L38)-M38)*60)-N38)*60)</f>
        <v>42</v>
      </c>
      <c r="P38" s="471">
        <f t="shared" ref="P38:P44" si="111">INT((((((ABS(L38)-M38)*60)-N38)*60)-O38)*60)</f>
        <v>42</v>
      </c>
      <c r="U38" s="3" t="s">
        <v>2311</v>
      </c>
      <c r="V38" s="3"/>
      <c r="W38" s="3">
        <f>[1]!tn(W27)</f>
        <v>48.164022143159926</v>
      </c>
      <c r="X38" s="472">
        <f t="shared" si="27"/>
        <v>48</v>
      </c>
      <c r="Y38" s="472">
        <f t="shared" si="28"/>
        <v>9</v>
      </c>
      <c r="Z38" s="472">
        <f t="shared" si="29"/>
        <v>50</v>
      </c>
      <c r="AA38" s="471">
        <f t="shared" si="30"/>
        <v>28</v>
      </c>
      <c r="AF38" s="955"/>
      <c r="AG38" s="312" t="s">
        <v>275</v>
      </c>
      <c r="AH38" s="312">
        <f>[1]!arzmosh(AH3,AH4,AH5,AH6)</f>
        <v>-1.2558748631751036</v>
      </c>
      <c r="AI38" s="956">
        <f>INT(ABS(AH38))</f>
        <v>1</v>
      </c>
      <c r="AJ38" s="956">
        <f>INT((ABS(AH38)-AI38)*60)</f>
        <v>15</v>
      </c>
      <c r="AK38" s="956">
        <f>INT((((ABS(AH38)-AI38)*60)-AJ38)*60)</f>
        <v>21</v>
      </c>
      <c r="AL38" s="957">
        <f>INT((((((ABS(AH38)-AI38)*60)-AJ38)*60)-AK38)*60)</f>
        <v>8</v>
      </c>
      <c r="AN38" s="705"/>
      <c r="AO38" s="706"/>
      <c r="AP38" s="706">
        <f>[1]!tq(AZ12-AZ15)</f>
        <v>17.38047999678713</v>
      </c>
      <c r="AQ38" s="1094"/>
      <c r="AR38" s="1094"/>
      <c r="AS38" s="1095"/>
      <c r="AT38" s="705"/>
      <c r="AU38" s="706"/>
      <c r="AV38" s="706">
        <f>[1]!tq(AZ13-AZ16)</f>
        <v>318.41859554466521</v>
      </c>
      <c r="AW38" s="1094"/>
      <c r="AX38" s="1094"/>
      <c r="AY38" s="1095"/>
      <c r="AZ38" s="705"/>
      <c r="BA38" s="706"/>
      <c r="BB38" s="706">
        <f>[1]!tq(AZ14-AZ17)</f>
        <v>280.4524370481941</v>
      </c>
      <c r="BC38" s="1094"/>
      <c r="BD38" s="1094"/>
      <c r="BE38" s="1095"/>
      <c r="BF38" s="705"/>
      <c r="BG38" s="706"/>
      <c r="BH38" s="706">
        <f>[1]!tq(AZ15-AZ18)</f>
        <v>2.4153438690996154</v>
      </c>
      <c r="BI38" s="1094"/>
      <c r="BJ38" s="1094"/>
      <c r="BK38" s="1095"/>
      <c r="CM38" s="384"/>
      <c r="CN38" s="384"/>
      <c r="CO38" s="384"/>
      <c r="CP38" s="384"/>
      <c r="CQ38" s="384"/>
      <c r="CR38" s="845"/>
      <c r="CS38" s="845"/>
      <c r="CT38" s="384"/>
      <c r="CU38" s="845"/>
    </row>
    <row r="39" spans="10:142" ht="24.75">
      <c r="J39" s="3" t="s">
        <v>2311</v>
      </c>
      <c r="K39" s="3"/>
      <c r="L39" s="3">
        <f>[1]!tn(L28)</f>
        <v>56.523311656597208</v>
      </c>
      <c r="M39" s="472">
        <f t="shared" si="108"/>
        <v>56</v>
      </c>
      <c r="N39" s="472">
        <f t="shared" si="109"/>
        <v>31</v>
      </c>
      <c r="O39" s="472">
        <f t="shared" si="110"/>
        <v>23</v>
      </c>
      <c r="P39" s="471">
        <f t="shared" si="111"/>
        <v>55</v>
      </c>
      <c r="U39" s="3" t="s">
        <v>2312</v>
      </c>
      <c r="V39" s="3"/>
      <c r="W39" s="3">
        <f>(W37*W38)/60</f>
        <v>8.6192641046373986</v>
      </c>
      <c r="X39" s="472">
        <f t="shared" si="27"/>
        <v>8</v>
      </c>
      <c r="Y39" s="472">
        <f t="shared" si="28"/>
        <v>37</v>
      </c>
      <c r="Z39" s="472">
        <f t="shared" si="29"/>
        <v>9</v>
      </c>
      <c r="AA39" s="471">
        <f t="shared" si="30"/>
        <v>21</v>
      </c>
      <c r="AF39" s="701" t="s">
        <v>1293</v>
      </c>
      <c r="AG39" s="304" t="s">
        <v>612</v>
      </c>
      <c r="AH39" s="304">
        <f>[1]!wasatzo(AH3,AH4,AH5,AH6)</f>
        <v>341.89773742161424</v>
      </c>
      <c r="AI39" s="472">
        <f>INT(ABS(AH39))</f>
        <v>341</v>
      </c>
      <c r="AJ39" s="472">
        <f>INT((ABS(AH39)-AI39)*60)</f>
        <v>53</v>
      </c>
      <c r="AK39" s="472">
        <f>INT((((ABS(AH39)-AI39)*60)-AJ39)*60)</f>
        <v>51</v>
      </c>
      <c r="AL39" s="491">
        <f>INT((((((ABS(AH39)-AI39)*60)-AJ39)*60)-AK39)*60)</f>
        <v>51</v>
      </c>
      <c r="AN39" s="708"/>
      <c r="AO39" s="226"/>
      <c r="AP39" s="226">
        <f>[1]!tq(AZ15-AZ12)</f>
        <v>342.61952000321287</v>
      </c>
      <c r="AQ39" s="1096"/>
      <c r="AR39" s="1096"/>
      <c r="AS39" s="1097"/>
      <c r="AT39" s="708"/>
      <c r="AU39" s="226"/>
      <c r="AV39" s="226">
        <f>[1]!tq(AZ16-AZ13)</f>
        <v>41.581404455334777</v>
      </c>
      <c r="AW39" s="1096"/>
      <c r="AX39" s="1096"/>
      <c r="AY39" s="1097"/>
      <c r="AZ39" s="708"/>
      <c r="BA39" s="226"/>
      <c r="BB39" s="226">
        <f>[1]!tq(AZ17-AZ14)</f>
        <v>79.547562951805901</v>
      </c>
      <c r="BC39" s="1096"/>
      <c r="BD39" s="1096"/>
      <c r="BE39" s="1097"/>
      <c r="BF39" s="708"/>
      <c r="BG39" s="226"/>
      <c r="BH39" s="226">
        <f>[1]!tq(AZ18-AZ15)</f>
        <v>357.58465613090038</v>
      </c>
      <c r="BI39" s="1096"/>
      <c r="BJ39" s="1096"/>
      <c r="BK39" s="1097"/>
      <c r="CM39" s="384"/>
      <c r="CN39" s="384"/>
      <c r="CO39" s="384"/>
      <c r="CP39" s="384"/>
      <c r="CQ39" s="384"/>
      <c r="CR39" s="845"/>
      <c r="CS39" s="845"/>
      <c r="CT39" s="384"/>
      <c r="CU39" s="845"/>
    </row>
    <row r="40" spans="10:142" ht="24.75">
      <c r="J40" s="3" t="s">
        <v>2312</v>
      </c>
      <c r="K40" s="3"/>
      <c r="L40" s="3">
        <f>(L38*L39)/60</f>
        <v>39.232074512872991</v>
      </c>
      <c r="M40" s="472">
        <f t="shared" si="108"/>
        <v>39</v>
      </c>
      <c r="N40" s="472">
        <f t="shared" si="109"/>
        <v>13</v>
      </c>
      <c r="O40" s="472">
        <f t="shared" si="110"/>
        <v>55</v>
      </c>
      <c r="P40" s="471">
        <f t="shared" si="111"/>
        <v>28</v>
      </c>
      <c r="U40" s="3" t="s">
        <v>2313</v>
      </c>
      <c r="V40" s="3"/>
      <c r="W40" s="3">
        <f>[1]!atj(W39)</f>
        <v>8.1748633270030471</v>
      </c>
      <c r="X40" s="472">
        <f t="shared" si="27"/>
        <v>8</v>
      </c>
      <c r="Y40" s="472">
        <f t="shared" si="28"/>
        <v>10</v>
      </c>
      <c r="Z40" s="472">
        <f t="shared" si="29"/>
        <v>29</v>
      </c>
      <c r="AA40" s="471">
        <f t="shared" si="30"/>
        <v>30</v>
      </c>
      <c r="AF40" s="701"/>
      <c r="AG40" s="304" t="s">
        <v>552</v>
      </c>
      <c r="AH40" s="304">
        <f>[1]!oujzo(AH3,AH4,AH5,AH6)</f>
        <v>276.60379916505462</v>
      </c>
      <c r="AI40" s="472">
        <f>INT(ABS(AH40))</f>
        <v>276</v>
      </c>
      <c r="AJ40" s="472">
        <f>INT((ABS(AH40)-AI40)*60)</f>
        <v>36</v>
      </c>
      <c r="AK40" s="472">
        <f>INT((((ABS(AH40)-AI40)*60)-AJ40)*60)</f>
        <v>13</v>
      </c>
      <c r="AL40" s="491">
        <f>INT((((((ABS(AH40)-AI40)*60)-AJ40)*60)-AK40)*60)</f>
        <v>40</v>
      </c>
      <c r="AN40" s="708"/>
      <c r="AO40" s="226"/>
      <c r="AP40" s="226">
        <f>IF(AP38&lt;=180,AP38,AP39)</f>
        <v>17.38047999678713</v>
      </c>
      <c r="AQ40" s="1096">
        <f>INT(ABS(AP40))</f>
        <v>17</v>
      </c>
      <c r="AR40" s="1096">
        <f t="shared" ref="AR40" si="112">INT((ABS(AP40)-AQ40)*60)</f>
        <v>22</v>
      </c>
      <c r="AS40" s="1097">
        <f t="shared" ref="AS40" si="113">INT((((ABS(AP40)-AQ40)*60)-AR40)*60)</f>
        <v>49</v>
      </c>
      <c r="AT40" s="708"/>
      <c r="AU40" s="226"/>
      <c r="AV40" s="226">
        <f>IF(AV38&lt;=180,AV38,AV39)</f>
        <v>41.581404455334777</v>
      </c>
      <c r="AW40" s="1096">
        <f>INT(ABS(AV40))</f>
        <v>41</v>
      </c>
      <c r="AX40" s="1096">
        <f t="shared" ref="AX40" si="114">INT((ABS(AV40)-AW40)*60)</f>
        <v>34</v>
      </c>
      <c r="AY40" s="1097">
        <f t="shared" ref="AY40" si="115">INT((((ABS(AV40)-AW40)*60)-AX40)*60)</f>
        <v>53</v>
      </c>
      <c r="AZ40" s="708"/>
      <c r="BA40" s="226"/>
      <c r="BB40" s="226">
        <f>IF(BB38&lt;=180,BB38,BB39)</f>
        <v>79.547562951805901</v>
      </c>
      <c r="BC40" s="1096">
        <f>INT(ABS(BB40))</f>
        <v>79</v>
      </c>
      <c r="BD40" s="1096">
        <f t="shared" ref="BD40" si="116">INT((ABS(BB40)-BC40)*60)</f>
        <v>32</v>
      </c>
      <c r="BE40" s="1097">
        <f t="shared" ref="BE40" si="117">INT((((ABS(BB40)-BC40)*60)-BD40)*60)</f>
        <v>51</v>
      </c>
      <c r="BF40" s="708"/>
      <c r="BG40" s="226"/>
      <c r="BH40" s="226">
        <f>IF(BH38&lt;=180,BH38,BH39)</f>
        <v>2.4153438690996154</v>
      </c>
      <c r="BI40" s="1096">
        <f>INT(ABS(BH40))</f>
        <v>2</v>
      </c>
      <c r="BJ40" s="1096">
        <f t="shared" ref="BJ40" si="118">INT((ABS(BH40)-BI40)*60)</f>
        <v>24</v>
      </c>
      <c r="BK40" s="1097">
        <f t="shared" ref="BK40" si="119">INT((((ABS(BH40)-BI40)*60)-BJ40)*60)</f>
        <v>55</v>
      </c>
      <c r="CM40" s="384"/>
      <c r="CN40" s="384"/>
      <c r="CO40" s="384"/>
      <c r="CP40" s="384"/>
      <c r="CQ40" s="384"/>
      <c r="CR40" s="845"/>
      <c r="CS40" s="845"/>
      <c r="CT40" s="384"/>
      <c r="CU40" s="845"/>
    </row>
    <row r="41" spans="10:142" ht="25.5" thickBot="1">
      <c r="J41" s="3" t="s">
        <v>2313</v>
      </c>
      <c r="K41" s="3"/>
      <c r="L41" s="3">
        <f>[1]!atj(L40)</f>
        <v>33.17938481333821</v>
      </c>
      <c r="M41" s="472">
        <f t="shared" si="108"/>
        <v>33</v>
      </c>
      <c r="N41" s="472">
        <f t="shared" si="109"/>
        <v>10</v>
      </c>
      <c r="O41" s="472">
        <f t="shared" si="110"/>
        <v>45</v>
      </c>
      <c r="P41" s="471">
        <f t="shared" si="111"/>
        <v>47</v>
      </c>
      <c r="U41" s="3" t="s">
        <v>2314</v>
      </c>
      <c r="V41" s="3"/>
      <c r="W41" s="3">
        <f>[1]!tq(W27+W40)</f>
        <v>46.93005016350515</v>
      </c>
      <c r="X41" s="472">
        <f t="shared" si="27"/>
        <v>46</v>
      </c>
      <c r="Y41" s="472">
        <f t="shared" si="28"/>
        <v>55</v>
      </c>
      <c r="Z41" s="472">
        <f t="shared" si="29"/>
        <v>48</v>
      </c>
      <c r="AA41" s="471">
        <f t="shared" si="30"/>
        <v>10</v>
      </c>
      <c r="AF41" s="701"/>
      <c r="AG41" s="304" t="s">
        <v>761</v>
      </c>
      <c r="AH41" s="304">
        <f>[1]!raszo(AH3,AH4,AH5,AH6)</f>
        <v>118.35916107613855</v>
      </c>
      <c r="AI41" s="472">
        <f>INT(ABS(AH41))</f>
        <v>118</v>
      </c>
      <c r="AJ41" s="472">
        <f>INT((ABS(AH41)-AI41)*60)</f>
        <v>21</v>
      </c>
      <c r="AK41" s="472">
        <f>INT((((ABS(AH41)-AI41)*60)-AJ41)*60)</f>
        <v>32</v>
      </c>
      <c r="AL41" s="491">
        <f>INT((((((ABS(AH41)-AI41)*60)-AJ41)*60)-AK41)*60)</f>
        <v>58</v>
      </c>
      <c r="AN41" s="762" t="s">
        <v>3887</v>
      </c>
      <c r="AO41" s="763"/>
      <c r="AP41" s="763" t="str">
        <f>IF(AND(AQ40=60,AR40=0),"تسدیس",IF(AND(AQ40=90,AR40=0),"تربیع",IF(AND(AQ40=120,AR40=0),"تثلیث",IF(AND(AQ40=180,AR40=0),"مقابله",IF(AND(AQ40=0,AR40=0),"قران","غیر متصل")))))</f>
        <v>غیر متصل</v>
      </c>
      <c r="AQ41" s="763"/>
      <c r="AR41" s="763"/>
      <c r="AS41" s="764"/>
      <c r="AT41" s="762" t="s">
        <v>3893</v>
      </c>
      <c r="AU41" s="763"/>
      <c r="AV41" s="763" t="str">
        <f>IF(OR(AND(AW40=60,AX40=0),AND(AW40=59,AX40=59)),"تسدیس",IF(OR(AND(AW40=90,AX40=0),AND(AW40=89,AX40=59)),"تربیع",IF(OR(AND(AW40=120,AX40=0),AND(AW40=119,AX40=59)),"تثلیث",IF(OR(AND(AW40=180,AX40=0),AND(AW40=179,AX40=59)),"مقابله",IF(AND(AW40=0,AX40=0),"قران","غیر متصل")))))</f>
        <v>غیر متصل</v>
      </c>
      <c r="AW41" s="763"/>
      <c r="AX41" s="763"/>
      <c r="AY41" s="764"/>
      <c r="AZ41" s="762" t="s">
        <v>3898</v>
      </c>
      <c r="BA41" s="763"/>
      <c r="BB41" s="763" t="str">
        <f>IF(OR(AND(BC40=60,BD40=0),AND(BC40=59,BD40=59)),"تسدیس",IF(OR(AND(BC40=90,BD40=0),AND(BC40=89,BD40=59)),"تربیع",IF(OR(AND(BC40=120,BD40=0),AND(BC40=119,BD40=59)),"تثلیث",IF(OR(AND(BC40=180,BD40=0),AND(BC40=179,BD40=59)),"مقابله",IF(AND(BC40=0,BD40=0),"قران","غیر متصل")))))</f>
        <v>غیر متصل</v>
      </c>
      <c r="BC41" s="763"/>
      <c r="BD41" s="763"/>
      <c r="BE41" s="764"/>
      <c r="BF41" s="762" t="s">
        <v>3902</v>
      </c>
      <c r="BG41" s="763"/>
      <c r="BH41" s="763" t="str">
        <f>IF(OR(AND(BI40=60,BJ40=0),AND(BI40=59,BJ40=59)),"تسدیس",IF(OR(AND(BI40=90,BJ40=0),AND(BI40=89,BJ40=59)),"تربیع",IF(OR(AND(BI40=120,BJ40=0),AND(BI40=119,BJ40=59)),"تثلیث",IF(OR(AND(BI40=180,BJ40=0),AND(BI40=179,BJ40=59)),"مقابله",IF(AND(BI40=0,BJ40=0),"قران","غیر متصل")))))</f>
        <v>غیر متصل</v>
      </c>
      <c r="BI41" s="763"/>
      <c r="BJ41" s="763"/>
      <c r="BK41" s="764"/>
      <c r="CM41" s="384"/>
      <c r="CN41" s="384"/>
      <c r="CO41" s="384"/>
      <c r="CP41" s="384"/>
      <c r="CQ41" s="384"/>
      <c r="CR41" s="845"/>
      <c r="CS41" s="845"/>
      <c r="CT41" s="384"/>
      <c r="CU41" s="845"/>
    </row>
    <row r="42" spans="10:142" ht="24.75">
      <c r="J42" s="3" t="s">
        <v>2314</v>
      </c>
      <c r="K42" s="3"/>
      <c r="L42" s="3">
        <f>L28+L41</f>
        <v>76.470366370247092</v>
      </c>
      <c r="M42" s="472">
        <f t="shared" si="108"/>
        <v>76</v>
      </c>
      <c r="N42" s="472">
        <f t="shared" si="109"/>
        <v>28</v>
      </c>
      <c r="O42" s="472">
        <f t="shared" si="110"/>
        <v>13</v>
      </c>
      <c r="P42" s="471">
        <f t="shared" si="111"/>
        <v>19</v>
      </c>
      <c r="U42" s="3" t="s">
        <v>2315</v>
      </c>
      <c r="V42" s="3"/>
      <c r="W42" s="3"/>
      <c r="X42" s="472">
        <f t="shared" si="27"/>
        <v>0</v>
      </c>
      <c r="Y42" s="472">
        <f t="shared" si="28"/>
        <v>0</v>
      </c>
      <c r="Z42" s="472">
        <f t="shared" si="29"/>
        <v>0</v>
      </c>
      <c r="AA42" s="471">
        <f t="shared" si="30"/>
        <v>0</v>
      </c>
      <c r="AF42" s="701"/>
      <c r="AG42" s="304" t="s">
        <v>1481</v>
      </c>
      <c r="AH42" s="304">
        <f>[1]!taqzohal(AH3,AH4,AH5,AH6)</f>
        <v>330.8100068488344</v>
      </c>
      <c r="AI42" s="472">
        <f>INT(ABS(AH42))</f>
        <v>330</v>
      </c>
      <c r="AJ42" s="472">
        <f>INT((ABS(AH42)-AI42)*60)</f>
        <v>48</v>
      </c>
      <c r="AK42" s="472">
        <f>INT((((ABS(AH42)-AI42)*60)-AJ42)*60)</f>
        <v>36</v>
      </c>
      <c r="AL42" s="491">
        <f>INT((((((ABS(AH42)-AI42)*60)-AJ42)*60)-AK42)*60)</f>
        <v>1</v>
      </c>
      <c r="AN42" s="728"/>
      <c r="AO42" s="729"/>
      <c r="AP42" s="729">
        <f>[1]!tq(AZ12-AZ16)</f>
        <v>259.16032992455018</v>
      </c>
      <c r="AQ42" s="939"/>
      <c r="AR42" s="939"/>
      <c r="AS42" s="940"/>
      <c r="AT42" s="728"/>
      <c r="AU42" s="729"/>
      <c r="AV42" s="729">
        <f>[1]!tq(AZ13-AZ17)</f>
        <v>356.20650236725248</v>
      </c>
      <c r="AW42" s="939"/>
      <c r="AX42" s="939"/>
      <c r="AY42" s="940"/>
      <c r="AZ42" s="728"/>
      <c r="BA42" s="729"/>
      <c r="BB42" s="729">
        <f>[1]!tq(AZ14-AZ18)</f>
        <v>3.3000241669433876</v>
      </c>
      <c r="BC42" s="939"/>
      <c r="BD42" s="939"/>
      <c r="BE42" s="940"/>
      <c r="CM42" s="384"/>
      <c r="CN42" s="384"/>
      <c r="CO42" s="384"/>
      <c r="CP42" s="384"/>
      <c r="CQ42" s="384"/>
      <c r="CR42" s="845"/>
      <c r="CS42" s="845"/>
      <c r="CT42" s="384"/>
      <c r="CU42" s="845"/>
    </row>
    <row r="43" spans="10:142" ht="24.75">
      <c r="J43" s="3" t="s">
        <v>2315</v>
      </c>
      <c r="K43" s="3"/>
      <c r="L43" s="3"/>
      <c r="M43" s="472">
        <f t="shared" si="108"/>
        <v>0</v>
      </c>
      <c r="N43" s="472">
        <f t="shared" si="109"/>
        <v>0</v>
      </c>
      <c r="O43" s="472">
        <f t="shared" si="110"/>
        <v>0</v>
      </c>
      <c r="P43" s="471">
        <f t="shared" si="111"/>
        <v>0</v>
      </c>
      <c r="U43" s="3"/>
      <c r="V43" s="3"/>
      <c r="W43" s="3">
        <f>IF(W25&lt;180,IF(W23&lt;W41,(W23+360)-W41,W23-W41),[1]!tq(W23+W41))</f>
        <v>334.98699986865313</v>
      </c>
      <c r="X43" s="472">
        <f t="shared" si="27"/>
        <v>334</v>
      </c>
      <c r="Y43" s="472">
        <f t="shared" si="28"/>
        <v>59</v>
      </c>
      <c r="Z43" s="472">
        <f t="shared" si="29"/>
        <v>13</v>
      </c>
      <c r="AA43" s="471">
        <f t="shared" si="30"/>
        <v>11</v>
      </c>
      <c r="AF43" s="701"/>
      <c r="AG43" s="304" t="s">
        <v>176</v>
      </c>
      <c r="AH43" s="304" t="str">
        <f>[1]!jahatzohalame(AH3,AH4,AH5,AH6)</f>
        <v>jo-habet-zaed</v>
      </c>
      <c r="AI43" s="304"/>
      <c r="AJ43" s="304"/>
      <c r="AK43" s="304"/>
      <c r="AL43" s="314"/>
      <c r="AN43" s="732"/>
      <c r="AO43" s="238"/>
      <c r="AP43" s="238">
        <f>[1]!tq(AZ16-AZ12)</f>
        <v>100.83967007544979</v>
      </c>
      <c r="AQ43" s="451"/>
      <c r="AR43" s="451"/>
      <c r="AS43" s="932"/>
      <c r="AT43" s="732"/>
      <c r="AU43" s="238"/>
      <c r="AV43" s="238">
        <f>[1]!tq(AZ17-AZ13)</f>
        <v>3.7934976327475169</v>
      </c>
      <c r="AW43" s="451"/>
      <c r="AX43" s="451"/>
      <c r="AY43" s="932"/>
      <c r="AZ43" s="732"/>
      <c r="BA43" s="238"/>
      <c r="BB43" s="238">
        <f>[1]!tq(AZ18-AZ14)</f>
        <v>356.69997583305661</v>
      </c>
      <c r="BC43" s="451"/>
      <c r="BD43" s="451"/>
      <c r="BE43" s="932"/>
      <c r="CM43" s="384"/>
      <c r="CN43" s="384"/>
      <c r="CO43" s="384"/>
      <c r="CP43" s="384"/>
      <c r="CQ43" s="384"/>
      <c r="CR43" s="845"/>
      <c r="CS43" s="845"/>
      <c r="CT43" s="384"/>
      <c r="CU43" s="845"/>
    </row>
    <row r="44" spans="10:142" ht="25.5" thickBot="1">
      <c r="J44" s="3"/>
      <c r="K44" s="3"/>
      <c r="L44" s="3">
        <f>IF(L26&lt;180,IF(L24&lt;L42,(L24+360)-L42,L24-L42),[1]!tq(L24+L42))</f>
        <v>211.58658333490089</v>
      </c>
      <c r="M44" s="472">
        <f t="shared" si="108"/>
        <v>211</v>
      </c>
      <c r="N44" s="472">
        <f t="shared" si="109"/>
        <v>35</v>
      </c>
      <c r="O44" s="472">
        <f t="shared" si="110"/>
        <v>11</v>
      </c>
      <c r="P44" s="471">
        <f t="shared" si="111"/>
        <v>42</v>
      </c>
      <c r="U44" s="16" t="s">
        <v>492</v>
      </c>
      <c r="V44" s="16"/>
      <c r="W44" s="16">
        <f>IF(W43&lt;360,W43,W43-360)</f>
        <v>334.98699986865313</v>
      </c>
      <c r="X44" s="480">
        <f t="shared" si="27"/>
        <v>334</v>
      </c>
      <c r="Y44" s="480">
        <f t="shared" si="28"/>
        <v>59</v>
      </c>
      <c r="Z44" s="480">
        <f t="shared" si="29"/>
        <v>13</v>
      </c>
      <c r="AA44" s="481">
        <f t="shared" si="30"/>
        <v>11</v>
      </c>
      <c r="AB44" s="327" t="s">
        <v>2335</v>
      </c>
      <c r="AF44" s="699"/>
      <c r="AG44" s="700" t="s">
        <v>275</v>
      </c>
      <c r="AH44" s="700">
        <f>[1]!arzzohal(AH3,AH4,AH5,AH6)</f>
        <v>-1.5675028043536159</v>
      </c>
      <c r="AI44" s="494">
        <f>INT(ABS(AH44))</f>
        <v>1</v>
      </c>
      <c r="AJ44" s="494">
        <f>INT((ABS(AH44)-AI44)*60)</f>
        <v>34</v>
      </c>
      <c r="AK44" s="494">
        <f>INT((((ABS(AH44)-AI44)*60)-AJ44)*60)</f>
        <v>3</v>
      </c>
      <c r="AL44" s="495">
        <f>INT((((((ABS(AH44)-AI44)*60)-AJ44)*60)-AK44)*60)</f>
        <v>0</v>
      </c>
      <c r="AN44" s="732"/>
      <c r="AO44" s="238"/>
      <c r="AP44" s="238">
        <f>IF(AP42&lt;=180,AP42,AP43)</f>
        <v>100.83967007544979</v>
      </c>
      <c r="AQ44" s="451">
        <f>INT(ABS(AP44))</f>
        <v>100</v>
      </c>
      <c r="AR44" s="451">
        <f t="shared" ref="AR44" si="120">INT((ABS(AP44)-AQ44)*60)</f>
        <v>50</v>
      </c>
      <c r="AS44" s="932">
        <f t="shared" ref="AS44" si="121">INT((((ABS(AP44)-AQ44)*60)-AR44)*60)</f>
        <v>22</v>
      </c>
      <c r="AT44" s="732"/>
      <c r="AU44" s="238"/>
      <c r="AV44" s="238">
        <f>IF(AV42&lt;=180,AV42,AV43)</f>
        <v>3.7934976327475169</v>
      </c>
      <c r="AW44" s="451">
        <f>INT(ABS(AV44))</f>
        <v>3</v>
      </c>
      <c r="AX44" s="451">
        <f t="shared" ref="AX44" si="122">INT((ABS(AV44)-AW44)*60)</f>
        <v>47</v>
      </c>
      <c r="AY44" s="932">
        <f t="shared" ref="AY44" si="123">INT((((ABS(AV44)-AW44)*60)-AX44)*60)</f>
        <v>36</v>
      </c>
      <c r="AZ44" s="732"/>
      <c r="BA44" s="238"/>
      <c r="BB44" s="238">
        <f>IF(BB42&lt;=180,BB42,BB43)</f>
        <v>3.3000241669433876</v>
      </c>
      <c r="BC44" s="451">
        <f>INT(ABS(BB44))</f>
        <v>3</v>
      </c>
      <c r="BD44" s="451">
        <f t="shared" ref="BD44" si="124">INT((ABS(BB44)-BC44)*60)</f>
        <v>18</v>
      </c>
      <c r="BE44" s="932">
        <f t="shared" ref="BE44" si="125">INT((((ABS(BB44)-BC44)*60)-BD44)*60)</f>
        <v>0</v>
      </c>
      <c r="CM44" s="384"/>
      <c r="CN44" s="384"/>
      <c r="CO44" s="384"/>
      <c r="CP44" s="384"/>
      <c r="CQ44" s="384"/>
      <c r="CR44" s="845"/>
      <c r="CS44" s="845"/>
      <c r="CT44" s="384"/>
      <c r="CU44" s="845"/>
    </row>
    <row r="45" spans="10:142" ht="25.5" thickBot="1">
      <c r="J45" s="16" t="s">
        <v>663</v>
      </c>
      <c r="K45" s="16"/>
      <c r="L45" s="16">
        <f>IF(L44&lt;360,L44,L44-360)</f>
        <v>211.58658333490089</v>
      </c>
      <c r="M45" s="480">
        <f>INT(ABS(L45))</f>
        <v>211</v>
      </c>
      <c r="N45" s="480">
        <f>INT((ABS(L45)-M45)*60)</f>
        <v>35</v>
      </c>
      <c r="O45" s="480">
        <f>INT((((ABS(L45)-M45)*60)-N45)*60)</f>
        <v>11</v>
      </c>
      <c r="P45" s="481">
        <f>INT((((((ABS(L45)-M45)*60)-N45)*60)-O45)*60)</f>
        <v>42</v>
      </c>
      <c r="Q45" s="327" t="s">
        <v>2335</v>
      </c>
      <c r="U45" s="3" t="s">
        <v>2316</v>
      </c>
      <c r="V45" s="3"/>
      <c r="W45" s="3">
        <f>IF(W41&lt;90,W41,180-W41)</f>
        <v>46.93005016350515</v>
      </c>
      <c r="X45" s="472">
        <f t="shared" si="27"/>
        <v>46</v>
      </c>
      <c r="Y45" s="472">
        <f t="shared" si="28"/>
        <v>55</v>
      </c>
      <c r="Z45" s="472">
        <f t="shared" si="29"/>
        <v>48</v>
      </c>
      <c r="AA45" s="471">
        <f t="shared" si="30"/>
        <v>10</v>
      </c>
      <c r="AN45" s="734" t="s">
        <v>3888</v>
      </c>
      <c r="AO45" s="735"/>
      <c r="AP45" s="735" t="str">
        <f>IF(OR(AND(AQ44=60,AR44=0),AND(AQ44=59,AR44=59)),"تسدیس",IF(OR(AND(AQ44=90,AR44=0),AND(AQ44=89,AR44=59)),"تربیع",IF(OR(AND(AQ44=120,AR44=0),AND(AQ44=119,AR44=59)),"تثلیث",IF(OR(AND(AQ44=180,AR44=0),AND(AQ44=179,AR44=59)),"مقابله",IF(AND(AQ44=0,AR44=0),"قران","غیر متصل")))))</f>
        <v>غیر متصل</v>
      </c>
      <c r="AQ45" s="735"/>
      <c r="AR45" s="735"/>
      <c r="AS45" s="736"/>
      <c r="AT45" s="734" t="s">
        <v>3894</v>
      </c>
      <c r="AU45" s="735"/>
      <c r="AV45" s="735" t="str">
        <f>IF(OR(AND(AW44=60,AX44=0),AND(AW44=59,AX44=59)),"تسدیس",IF(OR(AND(AW44=90,AX44=0),AND(AW44=89,AX44=59)),"تربیع",IF(OR(AND(AW44=120,AX44=0),AND(AW44=119,AX44=59)),"تثلیث",IF(OR(AND(AW44=180,AX44=0),AND(AW44=179,AX44=59)),"مقابله",IF(AND(AW44=0,AX44=0),"قران","غیر متصل")))))</f>
        <v>غیر متصل</v>
      </c>
      <c r="AW45" s="735"/>
      <c r="AX45" s="735"/>
      <c r="AY45" s="736"/>
      <c r="AZ45" s="734" t="s">
        <v>3899</v>
      </c>
      <c r="BA45" s="735"/>
      <c r="BB45" s="735" t="str">
        <f>IF(OR(AND(BC44=60,BD44=0),AND(BC44=59,BD44=59)),"تسدیس",IF(OR(AND(BC44=90,BD44=0),AND(BC44=89,BD44=59)),"تربیع",IF(OR(AND(BC44=120,BD44=0),AND(BC44=119,BD44=59)),"تثلیث",IF(OR(AND(BC44=180,BD44=0),AND(BC44=179,BD44=59)),"مقابله",IF(AND(BC44=0,BD44=0),"قران","غیر متصل")))))</f>
        <v>غیر متصل</v>
      </c>
      <c r="BC45" s="735"/>
      <c r="BD45" s="735"/>
      <c r="BE45" s="736"/>
    </row>
    <row r="46" spans="10:142" ht="24.75">
      <c r="J46" s="3" t="s">
        <v>2316</v>
      </c>
      <c r="K46" s="3"/>
      <c r="L46" s="3">
        <f>IF(L42&lt;90,L42,180-L42)</f>
        <v>76.470366370247092</v>
      </c>
      <c r="M46" s="472">
        <f t="shared" ref="M46:M52" si="126">INT(ABS(L46))</f>
        <v>76</v>
      </c>
      <c r="N46" s="472">
        <f t="shared" ref="N46:N52" si="127">INT((ABS(L46)-M46)*60)</f>
        <v>28</v>
      </c>
      <c r="O46" s="472">
        <f t="shared" ref="O46:O52" si="128">INT((((ABS(L46)-M46)*60)-N46)*60)</f>
        <v>13</v>
      </c>
      <c r="P46" s="471">
        <f t="shared" ref="P46:P52" si="129">INT((((((ABS(L46)-M46)*60)-N46)*60)-O46)*60)</f>
        <v>19</v>
      </c>
      <c r="U46" s="3" t="s">
        <v>2317</v>
      </c>
      <c r="V46" s="3"/>
      <c r="W46" s="3">
        <f>[1]!sn(W45)</f>
        <v>43.831232142616074</v>
      </c>
      <c r="X46" s="472">
        <f t="shared" si="27"/>
        <v>43</v>
      </c>
      <c r="Y46" s="472">
        <f t="shared" si="28"/>
        <v>49</v>
      </c>
      <c r="Z46" s="472">
        <f t="shared" si="29"/>
        <v>52</v>
      </c>
      <c r="AA46" s="471">
        <f t="shared" si="30"/>
        <v>26</v>
      </c>
      <c r="AN46" s="705"/>
      <c r="AO46" s="706"/>
      <c r="AP46" s="706">
        <f>[1]!tq(AZ12-AZ17)</f>
        <v>296.94823674713746</v>
      </c>
      <c r="AQ46" s="1094"/>
      <c r="AR46" s="1094"/>
      <c r="AS46" s="1095"/>
      <c r="AT46" s="705"/>
      <c r="AU46" s="706"/>
      <c r="AV46" s="706">
        <f>[1]!tq(AZ13-AZ18)</f>
        <v>79.054089486001772</v>
      </c>
      <c r="AW46" s="1094"/>
      <c r="AX46" s="1094"/>
      <c r="AY46" s="1095"/>
    </row>
    <row r="47" spans="10:142" ht="24.75">
      <c r="J47" s="3" t="s">
        <v>2317</v>
      </c>
      <c r="K47" s="3"/>
      <c r="L47" s="3">
        <f>[1]!sn(L46)</f>
        <v>58.334943082623582</v>
      </c>
      <c r="M47" s="472">
        <f t="shared" si="126"/>
        <v>58</v>
      </c>
      <c r="N47" s="472">
        <f t="shared" si="127"/>
        <v>20</v>
      </c>
      <c r="O47" s="472">
        <f t="shared" si="128"/>
        <v>5</v>
      </c>
      <c r="P47" s="471">
        <f t="shared" si="129"/>
        <v>47</v>
      </c>
      <c r="U47" s="3" t="s">
        <v>697</v>
      </c>
      <c r="V47" s="3"/>
      <c r="W47" s="3">
        <f>[1]!tn(W20)</f>
        <v>1.3285273382189664</v>
      </c>
      <c r="X47" s="472">
        <f t="shared" si="27"/>
        <v>1</v>
      </c>
      <c r="Y47" s="472">
        <f t="shared" si="28"/>
        <v>19</v>
      </c>
      <c r="Z47" s="472">
        <f t="shared" si="29"/>
        <v>42</v>
      </c>
      <c r="AA47" s="471">
        <f t="shared" si="30"/>
        <v>41</v>
      </c>
      <c r="AN47" s="708"/>
      <c r="AO47" s="226"/>
      <c r="AP47" s="226">
        <f>[1]!tq(AZ17-AZ12)</f>
        <v>63.051763252862528</v>
      </c>
      <c r="AQ47" s="1096"/>
      <c r="AR47" s="1096"/>
      <c r="AS47" s="1097"/>
      <c r="AT47" s="708"/>
      <c r="AU47" s="226"/>
      <c r="AV47" s="226">
        <f>[1]!tq(AZ18-AZ13)</f>
        <v>280.94591051399823</v>
      </c>
      <c r="AW47" s="1096"/>
      <c r="AX47" s="1096"/>
      <c r="AY47" s="1097"/>
    </row>
    <row r="48" spans="10:142" ht="24.75">
      <c r="J48" s="3" t="s">
        <v>697</v>
      </c>
      <c r="K48" s="3"/>
      <c r="L48" s="3">
        <f>[1]!tn(L21)</f>
        <v>1.3340476161154411</v>
      </c>
      <c r="M48" s="472">
        <f t="shared" si="126"/>
        <v>1</v>
      </c>
      <c r="N48" s="472">
        <f t="shared" si="127"/>
        <v>20</v>
      </c>
      <c r="O48" s="472">
        <f t="shared" si="128"/>
        <v>2</v>
      </c>
      <c r="P48" s="471">
        <f t="shared" si="129"/>
        <v>34</v>
      </c>
      <c r="U48" s="3" t="s">
        <v>983</v>
      </c>
      <c r="V48" s="3"/>
      <c r="W48" s="3">
        <f>W46*W47</f>
        <v>58.230990169287338</v>
      </c>
      <c r="X48" s="472">
        <f t="shared" si="27"/>
        <v>58</v>
      </c>
      <c r="Y48" s="472">
        <f t="shared" si="28"/>
        <v>13</v>
      </c>
      <c r="Z48" s="472">
        <f t="shared" si="29"/>
        <v>51</v>
      </c>
      <c r="AA48" s="471">
        <f t="shared" si="30"/>
        <v>33</v>
      </c>
      <c r="AN48" s="708"/>
      <c r="AO48" s="226"/>
      <c r="AP48" s="226">
        <f>IF(AP46&lt;=180,AP46,AP47)</f>
        <v>63.051763252862528</v>
      </c>
      <c r="AQ48" s="1096">
        <f>INT(ABS(AP48))</f>
        <v>63</v>
      </c>
      <c r="AR48" s="1096">
        <f t="shared" ref="AR48" si="130">INT((ABS(AP48)-AQ48)*60)</f>
        <v>3</v>
      </c>
      <c r="AS48" s="1097">
        <f t="shared" ref="AS48" si="131">INT((((ABS(AP48)-AQ48)*60)-AR48)*60)</f>
        <v>6</v>
      </c>
      <c r="AT48" s="708"/>
      <c r="AU48" s="226"/>
      <c r="AV48" s="226">
        <f>IF(AV46&lt;=180,AV46,AV47)</f>
        <v>79.054089486001772</v>
      </c>
      <c r="AW48" s="1096">
        <f>INT(ABS(AV48))</f>
        <v>79</v>
      </c>
      <c r="AX48" s="1096">
        <f t="shared" ref="AX48" si="132">INT((ABS(AV48)-AW48)*60)</f>
        <v>3</v>
      </c>
      <c r="AY48" s="1097">
        <f t="shared" ref="AY48" si="133">INT((((ABS(AV48)-AW48)*60)-AX48)*60)</f>
        <v>14</v>
      </c>
    </row>
    <row r="49" spans="10:51" ht="25.5" thickBot="1">
      <c r="J49" s="3" t="s">
        <v>983</v>
      </c>
      <c r="K49" s="3"/>
      <c r="L49" s="3">
        <f>L47*L48</f>
        <v>77.821591755603933</v>
      </c>
      <c r="M49" s="472">
        <f t="shared" si="126"/>
        <v>77</v>
      </c>
      <c r="N49" s="472">
        <f t="shared" si="127"/>
        <v>49</v>
      </c>
      <c r="O49" s="472">
        <f t="shared" si="128"/>
        <v>17</v>
      </c>
      <c r="P49" s="471">
        <f t="shared" si="129"/>
        <v>43</v>
      </c>
      <c r="U49" s="3" t="s">
        <v>2318</v>
      </c>
      <c r="V49" s="3"/>
      <c r="W49" s="3">
        <f>ABS([1]!sn(W25))</f>
        <v>58.580110712273914</v>
      </c>
      <c r="X49" s="472">
        <f t="shared" si="27"/>
        <v>58</v>
      </c>
      <c r="Y49" s="472">
        <f t="shared" si="28"/>
        <v>34</v>
      </c>
      <c r="Z49" s="472">
        <f t="shared" si="29"/>
        <v>48</v>
      </c>
      <c r="AA49" s="471">
        <f t="shared" si="30"/>
        <v>23</v>
      </c>
      <c r="AN49" s="762" t="s">
        <v>3889</v>
      </c>
      <c r="AO49" s="763"/>
      <c r="AP49" s="763" t="str">
        <f>IF(OR(AND(AQ48=60,AR48=0),AND(AQ48=59,AR48=59)),"تسدیس",IF(OR(AND(AQ48=90,AR48=0),AND(AQ48=89,AR48=59)),"تربیع",IF(OR(AND(AQ48=120,AR48=0),AND(AQ48=119,AR48=59)),"تثلیث",IF(OR(AND(AQ48=180,AR48=0),AND(AQ48=179,AR48=59)),"مقابله",IF(AND(AQ48=0,AR48=0),"قران","غیر متصل")))))</f>
        <v>غیر متصل</v>
      </c>
      <c r="AQ49" s="763"/>
      <c r="AR49" s="763"/>
      <c r="AS49" s="764"/>
      <c r="AT49" s="762" t="s">
        <v>3895</v>
      </c>
      <c r="AU49" s="763"/>
      <c r="AV49" s="763" t="str">
        <f>IF(OR(AND(AW48=60,AX48=0),AND(AW48=59,AX48=59)),"تسدیس",IF(OR(AND(AW48=90,AX48=0),AND(AW48=89,AX48=59)),"تربیع",IF(OR(AND(AW48=120,AX48=0),AND(AW48=119,AX48=59)),"تثلیث",IF(OR(AND(AW48=180,AX48=0),AND(AW48=179,AX48=59)),"مقابله",IF(AND(AW48=0,AX48=0),"قران","غیر متصل")))))</f>
        <v>غیر متصل</v>
      </c>
      <c r="AW49" s="763"/>
      <c r="AX49" s="763"/>
      <c r="AY49" s="764"/>
    </row>
    <row r="50" spans="10:51" ht="24.75">
      <c r="J50" s="3" t="s">
        <v>2318</v>
      </c>
      <c r="K50" s="3"/>
      <c r="L50" s="3">
        <f>ABS([1]!sn(L26))</f>
        <v>59.89326651800905</v>
      </c>
      <c r="M50" s="472">
        <f t="shared" si="126"/>
        <v>59</v>
      </c>
      <c r="N50" s="472">
        <f t="shared" si="127"/>
        <v>53</v>
      </c>
      <c r="O50" s="472">
        <f t="shared" si="128"/>
        <v>35</v>
      </c>
      <c r="P50" s="471">
        <f t="shared" si="129"/>
        <v>45</v>
      </c>
      <c r="U50" s="3" t="s">
        <v>1091</v>
      </c>
      <c r="V50" s="3"/>
      <c r="W50" s="3">
        <f>W48/W49</f>
        <v>0.99404028878160811</v>
      </c>
      <c r="X50" s="472">
        <f t="shared" si="27"/>
        <v>0</v>
      </c>
      <c r="Y50" s="472">
        <f t="shared" si="28"/>
        <v>59</v>
      </c>
      <c r="Z50" s="472">
        <f t="shared" si="29"/>
        <v>38</v>
      </c>
      <c r="AA50" s="471">
        <f t="shared" si="30"/>
        <v>32</v>
      </c>
      <c r="AN50" s="728"/>
      <c r="AO50" s="729"/>
      <c r="AP50" s="729">
        <f>[1]!tq(AZ12-AZ18)</f>
        <v>19.795823865886746</v>
      </c>
      <c r="AQ50" s="939"/>
      <c r="AR50" s="939"/>
      <c r="AS50" s="940"/>
      <c r="AT50" s="450"/>
    </row>
    <row r="51" spans="10:51" ht="24.75">
      <c r="J51" s="3" t="s">
        <v>1091</v>
      </c>
      <c r="K51" s="3"/>
      <c r="L51" s="3">
        <f>L49/L50</f>
        <v>1.2993379102507974</v>
      </c>
      <c r="M51" s="472">
        <f t="shared" si="126"/>
        <v>1</v>
      </c>
      <c r="N51" s="472">
        <f t="shared" si="127"/>
        <v>17</v>
      </c>
      <c r="O51" s="472">
        <f t="shared" si="128"/>
        <v>57</v>
      </c>
      <c r="P51" s="471">
        <f t="shared" si="129"/>
        <v>36</v>
      </c>
      <c r="U51" s="16" t="s">
        <v>688</v>
      </c>
      <c r="V51" s="16"/>
      <c r="W51" s="16">
        <f>IF(W18&lt;=180,[1]!atj(W50),[1]!atj(W50)*-1)</f>
        <v>-0.9491517198992715</v>
      </c>
      <c r="X51" s="480">
        <f t="shared" si="27"/>
        <v>0</v>
      </c>
      <c r="Y51" s="480">
        <f t="shared" si="28"/>
        <v>56</v>
      </c>
      <c r="Z51" s="480">
        <f t="shared" si="29"/>
        <v>56</v>
      </c>
      <c r="AA51" s="481">
        <f t="shared" si="30"/>
        <v>56</v>
      </c>
      <c r="AN51" s="732"/>
      <c r="AO51" s="238"/>
      <c r="AP51" s="238">
        <f>[1]!tq(AZ18-AZ12)</f>
        <v>340.20417613411325</v>
      </c>
      <c r="AQ51" s="451"/>
      <c r="AR51" s="451"/>
      <c r="AS51" s="932"/>
      <c r="AT51" s="274"/>
    </row>
    <row r="52" spans="10:51" ht="24.75">
      <c r="J52" s="16" t="s">
        <v>682</v>
      </c>
      <c r="K52" s="16"/>
      <c r="L52" s="16">
        <f>IF(L19&lt;=180,[1]!atj(L51),[1]!atj(L51)*-1)</f>
        <v>1.2405824007417514</v>
      </c>
      <c r="M52" s="480">
        <f t="shared" si="126"/>
        <v>1</v>
      </c>
      <c r="N52" s="480">
        <f t="shared" si="127"/>
        <v>14</v>
      </c>
      <c r="O52" s="480">
        <f t="shared" si="128"/>
        <v>26</v>
      </c>
      <c r="P52" s="481">
        <f t="shared" si="129"/>
        <v>5</v>
      </c>
      <c r="U52" s="3" t="s">
        <v>176</v>
      </c>
      <c r="V52" s="3"/>
      <c r="W52" s="3" t="str">
        <f>IF(W18&lt;=90,"شمالی صاعد زائد",IF(AND(W18&gt;90,W18&lt;=180),"شمالی هابط ناقص",IF(AND(W18&gt;10,W18&lt;=270),"جنوبی هابط زائد","جنوبی صاعد ناقص")))</f>
        <v>جنوبی صاعد ناقص</v>
      </c>
      <c r="X52" s="472"/>
      <c r="Y52" s="472"/>
      <c r="Z52" s="472"/>
      <c r="AA52" s="471"/>
      <c r="AN52" s="732"/>
      <c r="AO52" s="238"/>
      <c r="AP52" s="238">
        <f>IF(AP50&lt;=180,AP50,AP51)</f>
        <v>19.795823865886746</v>
      </c>
      <c r="AQ52" s="451">
        <f>INT(ABS(AP52))</f>
        <v>19</v>
      </c>
      <c r="AR52" s="451">
        <f t="shared" ref="AR52" si="134">INT((ABS(AP52)-AQ52)*60)</f>
        <v>47</v>
      </c>
      <c r="AS52" s="932">
        <f t="shared" ref="AS52" si="135">INT((((ABS(AP52)-AQ52)*60)-AR52)*60)</f>
        <v>44</v>
      </c>
      <c r="AT52" s="274"/>
    </row>
    <row r="53" spans="10:51" ht="25.5" thickBot="1">
      <c r="J53" s="3" t="s">
        <v>176</v>
      </c>
      <c r="K53" s="3"/>
      <c r="L53" s="3" t="str">
        <f>IF(L19&lt;=90,"شمالی صاعد زائد",IF(AND(L19&gt;90,L19&lt;=180),"شمالی هابط ناقص",IF(AND(L19&gt;10,L19&lt;=270),"جنوبی هابط زائد","جنوبی صاعد ناقص")))</f>
        <v>شمالی هابط ناقص</v>
      </c>
      <c r="M53" s="472"/>
      <c r="N53" s="472"/>
      <c r="O53" s="472"/>
      <c r="P53" s="471"/>
      <c r="AN53" s="734" t="s">
        <v>3890</v>
      </c>
      <c r="AO53" s="735"/>
      <c r="AP53" s="735" t="str">
        <f>IF(OR(AND(AQ52=60,AR52=0),AND(AQ52=59,AR52=59)),"تسدیس",IF(OR(AND(AQ52=90,AR52=0),AND(AQ52=89,AR52=59)),"تربیع",IF(OR(AND(AQ52=120,AR52=0),AND(AQ52=119,AR52=59)),"تثلیث",IF(OR(AND(AQ52=180,AR52=0),AND(AQ52=179,AR52=59)),"مقابله",IF(AND(AQ52=0,AR52=0),"قران","غیر متصل")))))</f>
        <v>غیر متصل</v>
      </c>
      <c r="AQ53" s="735"/>
      <c r="AR53" s="735"/>
      <c r="AS53" s="736"/>
      <c r="AT53" s="450"/>
    </row>
    <row r="54" spans="10:51" ht="24.75">
      <c r="J54" s="327" t="s">
        <v>3</v>
      </c>
      <c r="K54" s="327">
        <f>E10</f>
        <v>705</v>
      </c>
      <c r="M54" s="327" t="s">
        <v>1289</v>
      </c>
      <c r="N54" s="327">
        <f>[1]!wasatott(K54,K55,K56,K57)</f>
        <v>112.58033902171155</v>
      </c>
      <c r="O54" s="327">
        <f>INT(ABS(N54))</f>
        <v>112</v>
      </c>
      <c r="P54" s="327">
        <f>INT((ABS(N54)-O54)*60)</f>
        <v>34</v>
      </c>
      <c r="Q54" s="327">
        <f>INT((((ABS(N54)-O54)*60)-P54)*60)</f>
        <v>49</v>
      </c>
      <c r="R54" s="327">
        <f>(Q54-INT(Q54))*60</f>
        <v>0</v>
      </c>
      <c r="U54" s="327" t="s">
        <v>3</v>
      </c>
      <c r="V54" s="327">
        <f>K54</f>
        <v>705</v>
      </c>
      <c r="X54" s="327" t="s">
        <v>1297</v>
      </c>
      <c r="Y54" s="327">
        <f>[1]!wasatzh(V54,V55,V56,V57)</f>
        <v>157.8758882106722</v>
      </c>
      <c r="Z54" s="327">
        <f>INT(ABS(Y54))</f>
        <v>157</v>
      </c>
      <c r="AA54" s="327">
        <f>INT((ABS(Y54)-Z54)*60)</f>
        <v>52</v>
      </c>
      <c r="AB54" s="327">
        <f>INT((((ABS(Y54)-Z54)*60)-AA54)*60)</f>
        <v>33</v>
      </c>
      <c r="AC54" s="327">
        <f>(AB54-INT(AB54))*60</f>
        <v>0</v>
      </c>
      <c r="AN54" s="274"/>
      <c r="AO54" s="274"/>
      <c r="AP54" s="274"/>
      <c r="AQ54" s="450"/>
      <c r="AR54" s="450"/>
      <c r="AS54" s="450"/>
      <c r="AT54" s="450"/>
    </row>
    <row r="55" spans="10:51" ht="24.75">
      <c r="J55" s="327" t="s">
        <v>4</v>
      </c>
      <c r="K55" s="327">
        <f>E11</f>
        <v>6</v>
      </c>
      <c r="L55" s="380" t="s">
        <v>666</v>
      </c>
      <c r="M55" s="327" t="s">
        <v>1299</v>
      </c>
      <c r="N55" s="327">
        <f>[1]!oujott(K54,K55,K56,K57)</f>
        <v>242.20400218664585</v>
      </c>
      <c r="O55" s="327">
        <f>INT(ABS(N55))</f>
        <v>242</v>
      </c>
      <c r="P55" s="327">
        <f>INT((ABS(N55)-O55)*60)</f>
        <v>12</v>
      </c>
      <c r="Q55" s="327">
        <f>INT((((ABS(N55)-O55)*60)-P55)*60)</f>
        <v>14</v>
      </c>
      <c r="R55" s="327">
        <f>(Q55-INT(Q55))*60</f>
        <v>0</v>
      </c>
      <c r="U55" s="327" t="s">
        <v>4</v>
      </c>
      <c r="V55" s="327">
        <f>K55</f>
        <v>6</v>
      </c>
      <c r="W55" s="380" t="s">
        <v>665</v>
      </c>
      <c r="X55" s="327" t="s">
        <v>1298</v>
      </c>
      <c r="Y55" s="327">
        <f>[1]!oujzh(V54,V55,V56,V57)</f>
        <v>297.47044940193649</v>
      </c>
      <c r="Z55" s="327">
        <f>INT(ABS(Y55))</f>
        <v>297</v>
      </c>
      <c r="AA55" s="327">
        <f>INT((ABS(Y55)-Z55)*60)</f>
        <v>28</v>
      </c>
      <c r="AB55" s="327">
        <f>INT((((ABS(Y55)-Z55)*60)-AA55)*60)</f>
        <v>13</v>
      </c>
      <c r="AC55" s="327">
        <f>(AB55-INT(AB55))*60</f>
        <v>0</v>
      </c>
      <c r="AN55" s="274"/>
      <c r="AO55" s="274"/>
      <c r="AP55" s="274"/>
      <c r="AQ55" s="450"/>
      <c r="AR55" s="450"/>
      <c r="AS55" s="450"/>
      <c r="AT55" s="450"/>
    </row>
    <row r="56" spans="10:51">
      <c r="J56" s="327" t="s">
        <v>5</v>
      </c>
      <c r="K56" s="327">
        <f>E12</f>
        <v>13.763888888888889</v>
      </c>
      <c r="M56" s="327" t="s">
        <v>2319</v>
      </c>
      <c r="N56" s="327">
        <f>[1]!rasott(K54,K55,K56,K57)</f>
        <v>35.522380187137315</v>
      </c>
      <c r="O56" s="327">
        <f>INT(ABS(N56))</f>
        <v>35</v>
      </c>
      <c r="P56" s="327">
        <f>INT((ABS(N56)-O56)*60)</f>
        <v>31</v>
      </c>
      <c r="Q56" s="327">
        <f>INT((((ABS(N56)-O56)*60)-P56)*60)</f>
        <v>20</v>
      </c>
      <c r="R56" s="327">
        <f>(Q56-INT(Q56))*60</f>
        <v>0</v>
      </c>
      <c r="U56" s="327" t="s">
        <v>5</v>
      </c>
      <c r="V56" s="327">
        <f>K56</f>
        <v>13.763888888888889</v>
      </c>
      <c r="X56" s="327" t="s">
        <v>2320</v>
      </c>
      <c r="Y56" s="327">
        <f>[1]!raszh(V54,V55,V56,V57)</f>
        <v>68.852448367631368</v>
      </c>
      <c r="Z56" s="327">
        <f>INT(ABS(Y56))</f>
        <v>68</v>
      </c>
      <c r="AA56" s="327">
        <f>INT((ABS(Y56)-Z56)*60)</f>
        <v>51</v>
      </c>
      <c r="AB56" s="327">
        <f>INT((((ABS(Y56)-Z56)*60)-AA56)*60)</f>
        <v>8</v>
      </c>
      <c r="AC56" s="327">
        <f>(AB56-INT(AB56))*60</f>
        <v>0</v>
      </c>
    </row>
    <row r="57" spans="10:51">
      <c r="J57" s="327" t="s">
        <v>377</v>
      </c>
      <c r="K57" s="327">
        <f>E13</f>
        <v>3.152777777777778E-2</v>
      </c>
      <c r="M57" s="327" t="s">
        <v>172</v>
      </c>
      <c r="N57" s="327" t="s">
        <v>166</v>
      </c>
      <c r="O57" s="327" t="s">
        <v>167</v>
      </c>
      <c r="P57" s="327" t="s">
        <v>168</v>
      </c>
      <c r="U57" s="327" t="s">
        <v>377</v>
      </c>
      <c r="V57" s="327">
        <f>K57</f>
        <v>3.152777777777778E-2</v>
      </c>
      <c r="X57" s="327" t="s">
        <v>172</v>
      </c>
      <c r="Y57" s="327" t="s">
        <v>166</v>
      </c>
      <c r="Z57" s="327" t="s">
        <v>167</v>
      </c>
      <c r="AA57" s="327" t="s">
        <v>168</v>
      </c>
    </row>
    <row r="58" spans="10:51" ht="24.75">
      <c r="J58" s="29" t="s">
        <v>771</v>
      </c>
      <c r="K58" s="29"/>
      <c r="L58" s="29">
        <f>N54</f>
        <v>112.58033902171155</v>
      </c>
      <c r="M58" s="472">
        <f>INT(ABS(L58))</f>
        <v>112</v>
      </c>
      <c r="N58" s="472">
        <f>INT((ABS(L58)-M58)*60)</f>
        <v>34</v>
      </c>
      <c r="O58" s="472">
        <f>INT((((ABS(L58)-M58)*60)-N58)*60)</f>
        <v>49</v>
      </c>
      <c r="P58" s="471">
        <f>INT((((((ABS(L58)-M58)*60)-N58)*60)-O58)*60)</f>
        <v>13</v>
      </c>
      <c r="R58" s="472"/>
      <c r="S58" s="472"/>
      <c r="T58" s="472"/>
      <c r="U58" s="29" t="s">
        <v>771</v>
      </c>
      <c r="V58" s="29"/>
      <c r="W58" s="29">
        <f>Y54</f>
        <v>157.8758882106722</v>
      </c>
      <c r="X58" s="472">
        <f t="shared" ref="X58:X97" si="136">INT(ABS(W58))</f>
        <v>157</v>
      </c>
      <c r="Y58" s="472">
        <f t="shared" ref="Y58:Y97" si="137">INT((ABS(W58)-X58)*60)</f>
        <v>52</v>
      </c>
      <c r="Z58" s="472">
        <f t="shared" ref="Z58:Z97" si="138">INT((((ABS(W58)-X58)*60)-Y58)*60)</f>
        <v>33</v>
      </c>
      <c r="AA58" s="471">
        <f t="shared" ref="AA58:AA97" si="139">INT((((((ABS(W58)-X58)*60)-Y58)*60)-Z58)*60)</f>
        <v>11</v>
      </c>
      <c r="AC58" s="472"/>
      <c r="AD58" s="472"/>
    </row>
    <row r="59" spans="10:51" ht="24.75">
      <c r="J59" s="29" t="s">
        <v>2298</v>
      </c>
      <c r="K59" s="29"/>
      <c r="L59" s="29">
        <f>N55</f>
        <v>242.20400218664585</v>
      </c>
      <c r="M59" s="472">
        <f t="shared" ref="M59:M97" si="140">INT(ABS(L59))</f>
        <v>242</v>
      </c>
      <c r="N59" s="472">
        <f t="shared" ref="N59:N97" si="141">INT((ABS(L59)-M59)*60)</f>
        <v>12</v>
      </c>
      <c r="O59" s="472">
        <f t="shared" ref="O59:O97" si="142">INT((((ABS(L59)-M59)*60)-N59)*60)</f>
        <v>14</v>
      </c>
      <c r="P59" s="471">
        <f t="shared" ref="P59:P97" si="143">INT((((((ABS(L59)-M59)*60)-N59)*60)-O59)*60)</f>
        <v>24</v>
      </c>
      <c r="U59" s="29" t="s">
        <v>2298</v>
      </c>
      <c r="V59" s="29"/>
      <c r="W59" s="29">
        <f>Y55</f>
        <v>297.47044940193649</v>
      </c>
      <c r="X59" s="472">
        <f t="shared" si="136"/>
        <v>297</v>
      </c>
      <c r="Y59" s="472">
        <f t="shared" si="137"/>
        <v>28</v>
      </c>
      <c r="Z59" s="472">
        <f t="shared" si="138"/>
        <v>13</v>
      </c>
      <c r="AA59" s="471">
        <f t="shared" si="139"/>
        <v>37</v>
      </c>
    </row>
    <row r="60" spans="10:51" ht="24.75">
      <c r="J60" s="29" t="s">
        <v>2299</v>
      </c>
      <c r="K60" s="29"/>
      <c r="L60" s="29">
        <f>IF(L58&lt;L59,(L58+360)-L59,L58-L59)</f>
        <v>230.3763368350657</v>
      </c>
      <c r="M60" s="472">
        <f t="shared" si="140"/>
        <v>230</v>
      </c>
      <c r="N60" s="472">
        <f t="shared" si="141"/>
        <v>22</v>
      </c>
      <c r="O60" s="472">
        <f t="shared" si="142"/>
        <v>34</v>
      </c>
      <c r="P60" s="471">
        <f t="shared" si="143"/>
        <v>48</v>
      </c>
      <c r="U60" s="29" t="s">
        <v>2299</v>
      </c>
      <c r="V60" s="29"/>
      <c r="W60" s="29">
        <f>IF(W58&lt;W59,(W58+360)-W59,W58-W59)</f>
        <v>220.40543880873571</v>
      </c>
      <c r="X60" s="472">
        <f t="shared" si="136"/>
        <v>220</v>
      </c>
      <c r="Y60" s="472">
        <f t="shared" si="137"/>
        <v>24</v>
      </c>
      <c r="Z60" s="472">
        <f t="shared" si="138"/>
        <v>19</v>
      </c>
      <c r="AA60" s="471">
        <f t="shared" si="139"/>
        <v>34</v>
      </c>
    </row>
    <row r="61" spans="10:51" ht="24.75">
      <c r="J61" s="29" t="s">
        <v>1285</v>
      </c>
      <c r="K61" s="29"/>
      <c r="L61" s="29">
        <f>[1]!tota1(L60)</f>
        <v>21.555007413702906</v>
      </c>
      <c r="M61" s="472">
        <f t="shared" si="140"/>
        <v>21</v>
      </c>
      <c r="N61" s="472">
        <f t="shared" si="141"/>
        <v>33</v>
      </c>
      <c r="O61" s="472">
        <f t="shared" si="142"/>
        <v>18</v>
      </c>
      <c r="P61" s="471">
        <f t="shared" si="143"/>
        <v>1</v>
      </c>
      <c r="U61" s="29" t="s">
        <v>1285</v>
      </c>
      <c r="V61" s="29"/>
      <c r="W61" s="29">
        <f>[1]!tzohre1(W60)</f>
        <v>0.54311598676373019</v>
      </c>
      <c r="X61" s="472">
        <f t="shared" si="136"/>
        <v>0</v>
      </c>
      <c r="Y61" s="472">
        <f t="shared" si="137"/>
        <v>32</v>
      </c>
      <c r="Z61" s="472">
        <f t="shared" si="138"/>
        <v>35</v>
      </c>
      <c r="AA61" s="471">
        <f t="shared" si="139"/>
        <v>13</v>
      </c>
    </row>
    <row r="62" spans="10:51" ht="24.75">
      <c r="J62" s="29" t="s">
        <v>560</v>
      </c>
      <c r="K62" s="29"/>
      <c r="L62" s="29">
        <f>[1]!tq(L58+L61)</f>
        <v>134.13534643541445</v>
      </c>
      <c r="M62" s="472">
        <f t="shared" si="140"/>
        <v>134</v>
      </c>
      <c r="N62" s="472">
        <f t="shared" si="141"/>
        <v>8</v>
      </c>
      <c r="O62" s="472">
        <f t="shared" si="142"/>
        <v>7</v>
      </c>
      <c r="P62" s="471">
        <f t="shared" si="143"/>
        <v>14</v>
      </c>
      <c r="U62" s="29" t="s">
        <v>560</v>
      </c>
      <c r="V62" s="29"/>
      <c r="W62" s="29">
        <f>[1]!tq(W58+W61)</f>
        <v>158.41900419743592</v>
      </c>
      <c r="X62" s="472">
        <f t="shared" si="136"/>
        <v>158</v>
      </c>
      <c r="Y62" s="472">
        <f t="shared" si="137"/>
        <v>25</v>
      </c>
      <c r="Z62" s="472">
        <f t="shared" si="138"/>
        <v>8</v>
      </c>
      <c r="AA62" s="471">
        <f t="shared" si="139"/>
        <v>24</v>
      </c>
    </row>
    <row r="63" spans="10:51" ht="24.75">
      <c r="J63" s="29" t="s">
        <v>2300</v>
      </c>
      <c r="K63" s="29"/>
      <c r="L63" s="29">
        <f>[1]!tq(L60+L61)</f>
        <v>251.9313442487686</v>
      </c>
      <c r="M63" s="472">
        <f t="shared" si="140"/>
        <v>251</v>
      </c>
      <c r="N63" s="472">
        <f t="shared" si="141"/>
        <v>55</v>
      </c>
      <c r="O63" s="472">
        <f t="shared" si="142"/>
        <v>52</v>
      </c>
      <c r="P63" s="471">
        <f t="shared" si="143"/>
        <v>50</v>
      </c>
      <c r="U63" s="29" t="s">
        <v>2300</v>
      </c>
      <c r="V63" s="29"/>
      <c r="W63" s="29">
        <f>[1]!tq(W60+W61)</f>
        <v>220.94855479549943</v>
      </c>
      <c r="X63" s="472">
        <f t="shared" si="136"/>
        <v>220</v>
      </c>
      <c r="Y63" s="472">
        <f t="shared" si="137"/>
        <v>56</v>
      </c>
      <c r="Z63" s="472">
        <f t="shared" si="138"/>
        <v>54</v>
      </c>
      <c r="AA63" s="471">
        <f t="shared" si="139"/>
        <v>47</v>
      </c>
    </row>
    <row r="64" spans="10:51" ht="24.75">
      <c r="J64" s="29" t="s">
        <v>2321</v>
      </c>
      <c r="K64" s="29"/>
      <c r="L64" s="29">
        <f>N56</f>
        <v>35.522380187137315</v>
      </c>
      <c r="M64" s="472">
        <f t="shared" si="140"/>
        <v>35</v>
      </c>
      <c r="N64" s="472">
        <f t="shared" si="141"/>
        <v>31</v>
      </c>
      <c r="O64" s="472">
        <f t="shared" si="142"/>
        <v>20</v>
      </c>
      <c r="P64" s="471">
        <f t="shared" si="143"/>
        <v>34</v>
      </c>
      <c r="U64" s="29" t="s">
        <v>2321</v>
      </c>
      <c r="V64" s="29"/>
      <c r="W64" s="29">
        <f>Y56</f>
        <v>68.852448367631368</v>
      </c>
      <c r="X64" s="472">
        <f t="shared" si="136"/>
        <v>68</v>
      </c>
      <c r="Y64" s="472">
        <f t="shared" si="137"/>
        <v>51</v>
      </c>
      <c r="Z64" s="472">
        <f t="shared" si="138"/>
        <v>8</v>
      </c>
      <c r="AA64" s="471">
        <f t="shared" si="139"/>
        <v>48</v>
      </c>
    </row>
    <row r="65" spans="10:27" ht="24.75">
      <c r="J65" s="29" t="s">
        <v>713</v>
      </c>
      <c r="K65" s="29"/>
      <c r="L65" s="29">
        <f>[1]!tq(L62-L64)</f>
        <v>98.612966248277132</v>
      </c>
      <c r="M65" s="472">
        <f t="shared" si="140"/>
        <v>98</v>
      </c>
      <c r="N65" s="472">
        <f t="shared" si="141"/>
        <v>36</v>
      </c>
      <c r="O65" s="472">
        <f t="shared" si="142"/>
        <v>46</v>
      </c>
      <c r="P65" s="471">
        <f t="shared" si="143"/>
        <v>40</v>
      </c>
      <c r="U65" s="29" t="s">
        <v>713</v>
      </c>
      <c r="V65" s="29"/>
      <c r="W65" s="29">
        <f>[1]!tq(W62-W64)</f>
        <v>89.566555829804557</v>
      </c>
      <c r="X65" s="472">
        <f t="shared" si="136"/>
        <v>89</v>
      </c>
      <c r="Y65" s="472">
        <f t="shared" si="137"/>
        <v>33</v>
      </c>
      <c r="Z65" s="472">
        <f t="shared" si="138"/>
        <v>59</v>
      </c>
      <c r="AA65" s="471">
        <f t="shared" si="139"/>
        <v>36</v>
      </c>
    </row>
    <row r="66" spans="10:27" ht="24.75">
      <c r="J66" s="29" t="s">
        <v>774</v>
      </c>
      <c r="K66" s="29"/>
      <c r="L66" s="29">
        <f>[1]!tota2(L65)</f>
        <v>6.13482622002266E-2</v>
      </c>
      <c r="M66" s="472">
        <f t="shared" si="140"/>
        <v>0</v>
      </c>
      <c r="N66" s="472">
        <f t="shared" si="141"/>
        <v>3</v>
      </c>
      <c r="O66" s="472">
        <f t="shared" si="142"/>
        <v>40</v>
      </c>
      <c r="P66" s="471">
        <f t="shared" si="143"/>
        <v>51</v>
      </c>
      <c r="U66" s="29" t="s">
        <v>774</v>
      </c>
      <c r="V66" s="29"/>
      <c r="W66" s="29">
        <f>[1]!tzohre2(W65)</f>
        <v>-7.5925812515720281E-4</v>
      </c>
      <c r="X66" s="472">
        <f t="shared" si="136"/>
        <v>0</v>
      </c>
      <c r="Y66" s="472">
        <f t="shared" si="137"/>
        <v>0</v>
      </c>
      <c r="Z66" s="472">
        <f t="shared" si="138"/>
        <v>2</v>
      </c>
      <c r="AA66" s="471">
        <f t="shared" si="139"/>
        <v>43</v>
      </c>
    </row>
    <row r="67" spans="10:27" ht="24.75">
      <c r="J67" s="29" t="s">
        <v>696</v>
      </c>
      <c r="K67" s="29"/>
      <c r="L67" s="29">
        <f>[1]!zarzota(L65)</f>
        <v>6.792431187833909</v>
      </c>
      <c r="M67" s="472">
        <f t="shared" si="140"/>
        <v>6</v>
      </c>
      <c r="N67" s="472">
        <f t="shared" si="141"/>
        <v>47</v>
      </c>
      <c r="O67" s="472">
        <f t="shared" si="142"/>
        <v>32</v>
      </c>
      <c r="P67" s="471">
        <f t="shared" si="143"/>
        <v>45</v>
      </c>
      <c r="U67" s="29" t="s">
        <v>696</v>
      </c>
      <c r="V67" s="29"/>
      <c r="W67" s="29">
        <f>[1]!zarzzohre(W65)</f>
        <v>3.3887918036580422</v>
      </c>
      <c r="X67" s="472">
        <f t="shared" si="136"/>
        <v>3</v>
      </c>
      <c r="Y67" s="472">
        <f t="shared" si="137"/>
        <v>23</v>
      </c>
      <c r="Z67" s="472">
        <f t="shared" si="138"/>
        <v>19</v>
      </c>
      <c r="AA67" s="471">
        <f t="shared" si="139"/>
        <v>39</v>
      </c>
    </row>
    <row r="68" spans="10:27" ht="24.75">
      <c r="J68" s="29" t="s">
        <v>776</v>
      </c>
      <c r="K68" s="29"/>
      <c r="L68" s="29">
        <f>[1]!tq(L62+L66)</f>
        <v>134.19669469761467</v>
      </c>
      <c r="M68" s="472">
        <f t="shared" si="140"/>
        <v>134</v>
      </c>
      <c r="N68" s="472">
        <f t="shared" si="141"/>
        <v>11</v>
      </c>
      <c r="O68" s="472">
        <f t="shared" si="142"/>
        <v>48</v>
      </c>
      <c r="P68" s="471">
        <f t="shared" si="143"/>
        <v>6</v>
      </c>
      <c r="U68" s="29" t="s">
        <v>776</v>
      </c>
      <c r="V68" s="29"/>
      <c r="W68" s="29">
        <f>[1]!tq(W62+W66)</f>
        <v>158.41824493931077</v>
      </c>
      <c r="X68" s="472">
        <f t="shared" si="136"/>
        <v>158</v>
      </c>
      <c r="Y68" s="472">
        <f t="shared" si="137"/>
        <v>25</v>
      </c>
      <c r="Z68" s="472">
        <f t="shared" si="138"/>
        <v>5</v>
      </c>
      <c r="AA68" s="471">
        <f t="shared" si="139"/>
        <v>40</v>
      </c>
    </row>
    <row r="69" spans="10:27" ht="24.75">
      <c r="J69" s="29" t="s">
        <v>777</v>
      </c>
      <c r="K69" s="29"/>
      <c r="L69" s="29">
        <f>[1]!tq(L63+L66)</f>
        <v>251.99269251096882</v>
      </c>
      <c r="M69" s="472">
        <f t="shared" si="140"/>
        <v>251</v>
      </c>
      <c r="N69" s="472">
        <f t="shared" si="141"/>
        <v>59</v>
      </c>
      <c r="O69" s="472">
        <f t="shared" si="142"/>
        <v>33</v>
      </c>
      <c r="P69" s="471">
        <f t="shared" si="143"/>
        <v>41</v>
      </c>
      <c r="U69" s="29" t="s">
        <v>777</v>
      </c>
      <c r="V69" s="29"/>
      <c r="W69" s="29">
        <f>[1]!tq(W63+W66)</f>
        <v>220.94779553737428</v>
      </c>
      <c r="X69" s="472">
        <f t="shared" si="136"/>
        <v>220</v>
      </c>
      <c r="Y69" s="472">
        <f t="shared" si="137"/>
        <v>56</v>
      </c>
      <c r="Z69" s="472">
        <f t="shared" si="138"/>
        <v>52</v>
      </c>
      <c r="AA69" s="471">
        <f t="shared" si="139"/>
        <v>3</v>
      </c>
    </row>
    <row r="70" spans="10:27" ht="24.75">
      <c r="J70" s="29" t="s">
        <v>378</v>
      </c>
      <c r="K70" s="29"/>
      <c r="L70" s="29">
        <f>[1]!taqsh(K54,K55,K56,K57)</f>
        <v>288.05694970514799</v>
      </c>
      <c r="M70" s="472">
        <f t="shared" si="140"/>
        <v>288</v>
      </c>
      <c r="N70" s="472">
        <f t="shared" si="141"/>
        <v>3</v>
      </c>
      <c r="O70" s="472">
        <f t="shared" si="142"/>
        <v>25</v>
      </c>
      <c r="P70" s="471">
        <f t="shared" si="143"/>
        <v>1</v>
      </c>
      <c r="U70" s="29" t="s">
        <v>378</v>
      </c>
      <c r="V70" s="29"/>
      <c r="W70" s="29">
        <f>[1]!taqsh(V54,V55,V56,V57)</f>
        <v>288.05694970514799</v>
      </c>
      <c r="X70" s="472">
        <f t="shared" si="136"/>
        <v>288</v>
      </c>
      <c r="Y70" s="472">
        <f t="shared" si="137"/>
        <v>3</v>
      </c>
      <c r="Z70" s="472">
        <f t="shared" si="138"/>
        <v>25</v>
      </c>
      <c r="AA70" s="471">
        <f t="shared" si="139"/>
        <v>1</v>
      </c>
    </row>
    <row r="71" spans="10:27" ht="24.75">
      <c r="J71" s="29" t="s">
        <v>1319</v>
      </c>
      <c r="K71" s="29"/>
      <c r="L71" s="29">
        <f>IF(L70&lt;180,L70+180,L70-180)</f>
        <v>108.05694970514799</v>
      </c>
      <c r="M71" s="472">
        <f t="shared" si="140"/>
        <v>108</v>
      </c>
      <c r="N71" s="472">
        <f t="shared" si="141"/>
        <v>3</v>
      </c>
      <c r="O71" s="472">
        <f t="shared" si="142"/>
        <v>25</v>
      </c>
      <c r="P71" s="471">
        <f t="shared" si="143"/>
        <v>1</v>
      </c>
      <c r="U71" s="29" t="s">
        <v>1319</v>
      </c>
      <c r="V71" s="29"/>
      <c r="W71" s="29">
        <f>IF(W70&lt;180,W70+180,W70-180)</f>
        <v>108.05694970514799</v>
      </c>
      <c r="X71" s="472">
        <f t="shared" si="136"/>
        <v>108</v>
      </c>
      <c r="Y71" s="472">
        <f t="shared" si="137"/>
        <v>3</v>
      </c>
      <c r="Z71" s="472">
        <f t="shared" si="138"/>
        <v>25</v>
      </c>
      <c r="AA71" s="471">
        <f t="shared" si="139"/>
        <v>1</v>
      </c>
    </row>
    <row r="72" spans="10:27" ht="24.75">
      <c r="J72" s="29" t="s">
        <v>716</v>
      </c>
      <c r="K72" s="29"/>
      <c r="L72" s="29">
        <f>[1]!tq(L68-L71)</f>
        <v>26.139744992466689</v>
      </c>
      <c r="M72" s="472">
        <f t="shared" si="140"/>
        <v>26</v>
      </c>
      <c r="N72" s="472">
        <f t="shared" si="141"/>
        <v>8</v>
      </c>
      <c r="O72" s="472">
        <f t="shared" si="142"/>
        <v>23</v>
      </c>
      <c r="P72" s="471">
        <f t="shared" si="143"/>
        <v>4</v>
      </c>
      <c r="U72" s="29" t="s">
        <v>716</v>
      </c>
      <c r="V72" s="29"/>
      <c r="W72" s="29">
        <f>[1]!tq(W68-W71)</f>
        <v>50.361295234162782</v>
      </c>
      <c r="X72" s="472">
        <f t="shared" si="136"/>
        <v>50</v>
      </c>
      <c r="Y72" s="472">
        <f t="shared" si="137"/>
        <v>21</v>
      </c>
      <c r="Z72" s="472">
        <f t="shared" si="138"/>
        <v>40</v>
      </c>
      <c r="AA72" s="471">
        <f t="shared" si="139"/>
        <v>39</v>
      </c>
    </row>
    <row r="73" spans="10:27" ht="24.75">
      <c r="J73" s="29" t="s">
        <v>2302</v>
      </c>
      <c r="K73" s="29"/>
      <c r="L73" s="29">
        <f>L72/2</f>
        <v>13.069872496233344</v>
      </c>
      <c r="M73" s="472">
        <f t="shared" si="140"/>
        <v>13</v>
      </c>
      <c r="N73" s="472">
        <f t="shared" si="141"/>
        <v>4</v>
      </c>
      <c r="O73" s="472">
        <f t="shared" si="142"/>
        <v>11</v>
      </c>
      <c r="P73" s="471">
        <f t="shared" si="143"/>
        <v>32</v>
      </c>
      <c r="U73" s="29" t="s">
        <v>2302</v>
      </c>
      <c r="V73" s="29"/>
      <c r="W73" s="29">
        <f>W72/2</f>
        <v>25.180647617081391</v>
      </c>
      <c r="X73" s="472">
        <f t="shared" si="136"/>
        <v>25</v>
      </c>
      <c r="Y73" s="472">
        <f t="shared" si="137"/>
        <v>10</v>
      </c>
      <c r="Z73" s="472">
        <f t="shared" si="138"/>
        <v>50</v>
      </c>
      <c r="AA73" s="471">
        <f t="shared" si="139"/>
        <v>19</v>
      </c>
    </row>
    <row r="74" spans="10:27" ht="24.75">
      <c r="J74" s="29" t="s">
        <v>2303</v>
      </c>
      <c r="K74" s="29"/>
      <c r="L74" s="29">
        <f>IF(L73&lt;90,90-L73,90-(180-L73))</f>
        <v>76.930127503766656</v>
      </c>
      <c r="M74" s="472">
        <f t="shared" si="140"/>
        <v>76</v>
      </c>
      <c r="N74" s="472">
        <f t="shared" si="141"/>
        <v>55</v>
      </c>
      <c r="O74" s="472">
        <f t="shared" si="142"/>
        <v>48</v>
      </c>
      <c r="P74" s="471">
        <f t="shared" si="143"/>
        <v>27</v>
      </c>
      <c r="U74" s="29" t="s">
        <v>2303</v>
      </c>
      <c r="V74" s="29"/>
      <c r="W74" s="29">
        <f>IF(W73&lt;90,90-W73,90-(180-W73))</f>
        <v>64.819352382918609</v>
      </c>
      <c r="X74" s="472">
        <f t="shared" si="136"/>
        <v>64</v>
      </c>
      <c r="Y74" s="472">
        <f t="shared" si="137"/>
        <v>49</v>
      </c>
      <c r="Z74" s="472">
        <f t="shared" si="138"/>
        <v>9</v>
      </c>
      <c r="AA74" s="471">
        <f t="shared" si="139"/>
        <v>40</v>
      </c>
    </row>
    <row r="75" spans="10:27" ht="24.75">
      <c r="J75" s="29" t="s">
        <v>901</v>
      </c>
      <c r="K75" s="29"/>
      <c r="L75" s="29">
        <f>[1]!mtash(K54,K55,K56,K57)</f>
        <v>196.68461859062594</v>
      </c>
      <c r="M75" s="472">
        <f t="shared" si="140"/>
        <v>196</v>
      </c>
      <c r="N75" s="472">
        <f t="shared" si="141"/>
        <v>41</v>
      </c>
      <c r="O75" s="472">
        <f t="shared" si="142"/>
        <v>4</v>
      </c>
      <c r="P75" s="471">
        <f t="shared" si="143"/>
        <v>37</v>
      </c>
      <c r="U75" s="29" t="s">
        <v>901</v>
      </c>
      <c r="V75" s="29"/>
      <c r="W75" s="29">
        <f>[1]!mtash(V54,V55,V56,V57)</f>
        <v>196.68461859062594</v>
      </c>
      <c r="X75" s="472">
        <f t="shared" si="136"/>
        <v>196</v>
      </c>
      <c r="Y75" s="472">
        <f t="shared" si="137"/>
        <v>41</v>
      </c>
      <c r="Z75" s="472">
        <f t="shared" si="138"/>
        <v>4</v>
      </c>
      <c r="AA75" s="471">
        <f t="shared" si="139"/>
        <v>37</v>
      </c>
    </row>
    <row r="76" spans="10:27" ht="24.75">
      <c r="J76" s="29" t="s">
        <v>2304</v>
      </c>
      <c r="K76" s="29"/>
      <c r="L76" s="29">
        <f>[1]!bshams(L75)</f>
        <v>59.053993608445317</v>
      </c>
      <c r="M76" s="472">
        <f t="shared" si="140"/>
        <v>59</v>
      </c>
      <c r="N76" s="472">
        <f t="shared" si="141"/>
        <v>3</v>
      </c>
      <c r="O76" s="472">
        <f t="shared" si="142"/>
        <v>14</v>
      </c>
      <c r="P76" s="471">
        <f t="shared" si="143"/>
        <v>22</v>
      </c>
      <c r="U76" s="29" t="s">
        <v>2304</v>
      </c>
      <c r="V76" s="29"/>
      <c r="W76" s="29">
        <f>[1]!bshams(W75)</f>
        <v>59.053993608445317</v>
      </c>
      <c r="X76" s="472">
        <f t="shared" si="136"/>
        <v>59</v>
      </c>
      <c r="Y76" s="472">
        <f t="shared" si="137"/>
        <v>3</v>
      </c>
      <c r="Z76" s="472">
        <f t="shared" si="138"/>
        <v>14</v>
      </c>
      <c r="AA76" s="471">
        <f t="shared" si="139"/>
        <v>22</v>
      </c>
    </row>
    <row r="77" spans="10:27" ht="24.75">
      <c r="J77" s="29" t="s">
        <v>2322</v>
      </c>
      <c r="K77" s="29"/>
      <c r="L77" s="29">
        <f>L76*60</f>
        <v>3543.2396165067189</v>
      </c>
      <c r="M77" s="472">
        <f t="shared" si="140"/>
        <v>3543</v>
      </c>
      <c r="N77" s="472">
        <f t="shared" si="141"/>
        <v>14</v>
      </c>
      <c r="O77" s="472">
        <f t="shared" si="142"/>
        <v>22</v>
      </c>
      <c r="P77" s="471">
        <f t="shared" si="143"/>
        <v>37</v>
      </c>
      <c r="U77" s="29" t="s">
        <v>2322</v>
      </c>
      <c r="V77" s="29"/>
      <c r="W77" s="29">
        <f>W76*60</f>
        <v>3543.2396165067189</v>
      </c>
      <c r="X77" s="472">
        <f t="shared" si="136"/>
        <v>3543</v>
      </c>
      <c r="Y77" s="472">
        <f t="shared" si="137"/>
        <v>14</v>
      </c>
      <c r="Z77" s="472">
        <f t="shared" si="138"/>
        <v>22</v>
      </c>
      <c r="AA77" s="471">
        <f t="shared" si="139"/>
        <v>37</v>
      </c>
    </row>
    <row r="78" spans="10:27" ht="24.75">
      <c r="J78" s="29" t="s">
        <v>2307</v>
      </c>
      <c r="K78" s="29"/>
      <c r="L78" s="29">
        <f>90-ABS(L67)</f>
        <v>83.207568812166087</v>
      </c>
      <c r="M78" s="472">
        <f t="shared" si="140"/>
        <v>83</v>
      </c>
      <c r="N78" s="472">
        <f t="shared" si="141"/>
        <v>12</v>
      </c>
      <c r="O78" s="472">
        <f t="shared" si="142"/>
        <v>27</v>
      </c>
      <c r="P78" s="471">
        <f t="shared" si="143"/>
        <v>14</v>
      </c>
      <c r="U78" s="29" t="s">
        <v>2307</v>
      </c>
      <c r="V78" s="29"/>
      <c r="W78" s="29">
        <f>90-ABS(W67)</f>
        <v>86.611208196341963</v>
      </c>
      <c r="X78" s="472">
        <f t="shared" si="136"/>
        <v>86</v>
      </c>
      <c r="Y78" s="472">
        <f t="shared" si="137"/>
        <v>36</v>
      </c>
      <c r="Z78" s="472">
        <f t="shared" si="138"/>
        <v>40</v>
      </c>
      <c r="AA78" s="471">
        <f t="shared" si="139"/>
        <v>20</v>
      </c>
    </row>
    <row r="79" spans="10:27" ht="24.75">
      <c r="J79" s="29" t="s">
        <v>785</v>
      </c>
      <c r="K79" s="29"/>
      <c r="L79" s="29">
        <f>[1]!sn(L78)</f>
        <v>59.57886844132873</v>
      </c>
      <c r="M79" s="472">
        <f t="shared" si="140"/>
        <v>59</v>
      </c>
      <c r="N79" s="472">
        <f t="shared" si="141"/>
        <v>34</v>
      </c>
      <c r="O79" s="472">
        <f t="shared" si="142"/>
        <v>43</v>
      </c>
      <c r="P79" s="471">
        <f t="shared" si="143"/>
        <v>55</v>
      </c>
      <c r="U79" s="29" t="s">
        <v>785</v>
      </c>
      <c r="V79" s="29"/>
      <c r="W79" s="29">
        <f>[1]!sn(W78)</f>
        <v>59.895084619944107</v>
      </c>
      <c r="X79" s="472">
        <f t="shared" si="136"/>
        <v>59</v>
      </c>
      <c r="Y79" s="472">
        <f t="shared" si="137"/>
        <v>53</v>
      </c>
      <c r="Z79" s="472">
        <f t="shared" si="138"/>
        <v>42</v>
      </c>
      <c r="AA79" s="471">
        <f t="shared" si="139"/>
        <v>18</v>
      </c>
    </row>
    <row r="80" spans="10:27" ht="24.75">
      <c r="J80" s="29" t="s">
        <v>2323</v>
      </c>
      <c r="K80" s="29"/>
      <c r="L80" s="29">
        <f>[1]!bota(L69)</f>
        <v>21.023121915317635</v>
      </c>
      <c r="M80" s="472">
        <f t="shared" si="140"/>
        <v>21</v>
      </c>
      <c r="N80" s="472">
        <f t="shared" si="141"/>
        <v>1</v>
      </c>
      <c r="O80" s="472">
        <f t="shared" si="142"/>
        <v>23</v>
      </c>
      <c r="P80" s="471">
        <f t="shared" si="143"/>
        <v>14</v>
      </c>
      <c r="U80" s="29" t="s">
        <v>2324</v>
      </c>
      <c r="V80" s="29"/>
      <c r="W80" s="380">
        <f>[1]!bzrsh(W69)</f>
        <v>43.149830885343029</v>
      </c>
      <c r="X80" s="472">
        <f t="shared" si="136"/>
        <v>43</v>
      </c>
      <c r="Y80" s="472">
        <f t="shared" si="137"/>
        <v>8</v>
      </c>
      <c r="Z80" s="472">
        <f t="shared" si="138"/>
        <v>59</v>
      </c>
      <c r="AA80" s="471">
        <f t="shared" si="139"/>
        <v>23</v>
      </c>
    </row>
    <row r="81" spans="10:28" ht="24.75">
      <c r="J81" s="29" t="s">
        <v>983</v>
      </c>
      <c r="K81" s="29"/>
      <c r="L81" s="29">
        <f>L79*L80</f>
        <v>1252.5338148187243</v>
      </c>
      <c r="M81" s="472">
        <f t="shared" si="140"/>
        <v>1252</v>
      </c>
      <c r="N81" s="472">
        <f t="shared" si="141"/>
        <v>32</v>
      </c>
      <c r="O81" s="472">
        <f t="shared" si="142"/>
        <v>1</v>
      </c>
      <c r="P81" s="471">
        <f t="shared" si="143"/>
        <v>44</v>
      </c>
      <c r="U81" s="29" t="s">
        <v>983</v>
      </c>
      <c r="V81" s="29"/>
      <c r="W81" s="29">
        <f>W79*W80</f>
        <v>2584.4627722138985</v>
      </c>
      <c r="X81" s="472">
        <f t="shared" si="136"/>
        <v>2584</v>
      </c>
      <c r="Y81" s="472">
        <f t="shared" si="137"/>
        <v>27</v>
      </c>
      <c r="Z81" s="472">
        <f t="shared" si="138"/>
        <v>45</v>
      </c>
      <c r="AA81" s="471">
        <f t="shared" si="139"/>
        <v>58</v>
      </c>
    </row>
    <row r="82" spans="10:28" ht="24.75">
      <c r="J82" s="29" t="s">
        <v>1091</v>
      </c>
      <c r="K82" s="29"/>
      <c r="L82" s="29">
        <f>(L77/L81*60)</f>
        <v>169.73144714753374</v>
      </c>
      <c r="M82" s="472">
        <f t="shared" si="140"/>
        <v>169</v>
      </c>
      <c r="N82" s="472">
        <f t="shared" si="141"/>
        <v>43</v>
      </c>
      <c r="O82" s="472">
        <f t="shared" si="142"/>
        <v>53</v>
      </c>
      <c r="P82" s="471">
        <f t="shared" si="143"/>
        <v>12</v>
      </c>
      <c r="U82" s="29" t="s">
        <v>1091</v>
      </c>
      <c r="V82" s="29"/>
      <c r="W82" s="29">
        <f>(W77/W81*60)</f>
        <v>82.258633893298779</v>
      </c>
      <c r="X82" s="472">
        <f t="shared" si="136"/>
        <v>82</v>
      </c>
      <c r="Y82" s="472">
        <f t="shared" si="137"/>
        <v>15</v>
      </c>
      <c r="Z82" s="472">
        <f t="shared" si="138"/>
        <v>31</v>
      </c>
      <c r="AA82" s="471">
        <f t="shared" si="139"/>
        <v>4</v>
      </c>
    </row>
    <row r="83" spans="10:28" ht="24.75">
      <c r="J83" s="29" t="s">
        <v>2313</v>
      </c>
      <c r="K83" s="29"/>
      <c r="L83" s="29">
        <f>[1]!atj(L82)</f>
        <v>70.531518546368346</v>
      </c>
      <c r="M83" s="472">
        <f t="shared" si="140"/>
        <v>70</v>
      </c>
      <c r="N83" s="472">
        <f t="shared" si="141"/>
        <v>31</v>
      </c>
      <c r="O83" s="472">
        <f t="shared" si="142"/>
        <v>53</v>
      </c>
      <c r="P83" s="471">
        <f t="shared" si="143"/>
        <v>28</v>
      </c>
      <c r="U83" s="29" t="s">
        <v>2313</v>
      </c>
      <c r="V83" s="29"/>
      <c r="W83" s="29">
        <f>[1]!atj(W82)</f>
        <v>53.892737526712267</v>
      </c>
      <c r="X83" s="472">
        <f t="shared" si="136"/>
        <v>53</v>
      </c>
      <c r="Y83" s="472">
        <f t="shared" si="137"/>
        <v>53</v>
      </c>
      <c r="Z83" s="472">
        <f t="shared" si="138"/>
        <v>33</v>
      </c>
      <c r="AA83" s="471">
        <f t="shared" si="139"/>
        <v>51</v>
      </c>
    </row>
    <row r="84" spans="10:28" ht="24.75">
      <c r="J84" s="29" t="s">
        <v>2325</v>
      </c>
      <c r="K84" s="29"/>
      <c r="L84" s="29">
        <f>[1]!tq(L83-45)</f>
        <v>25.531518546368346</v>
      </c>
      <c r="M84" s="472">
        <f t="shared" si="140"/>
        <v>25</v>
      </c>
      <c r="N84" s="472">
        <f t="shared" si="141"/>
        <v>31</v>
      </c>
      <c r="O84" s="472">
        <f t="shared" si="142"/>
        <v>53</v>
      </c>
      <c r="P84" s="471">
        <f t="shared" si="143"/>
        <v>28</v>
      </c>
      <c r="U84" s="29" t="s">
        <v>2325</v>
      </c>
      <c r="V84" s="29"/>
      <c r="W84" s="29">
        <f>[1]!tq(W83-45)</f>
        <v>8.892737526712267</v>
      </c>
      <c r="X84" s="472">
        <f t="shared" si="136"/>
        <v>8</v>
      </c>
      <c r="Y84" s="472">
        <f t="shared" si="137"/>
        <v>53</v>
      </c>
      <c r="Z84" s="472">
        <f t="shared" si="138"/>
        <v>33</v>
      </c>
      <c r="AA84" s="471">
        <f t="shared" si="139"/>
        <v>51</v>
      </c>
    </row>
    <row r="85" spans="10:28" ht="24.75">
      <c r="J85" s="29" t="s">
        <v>2326</v>
      </c>
      <c r="K85" s="29"/>
      <c r="L85" s="29">
        <f>[1]!tn(L84)</f>
        <v>28.659057828612603</v>
      </c>
      <c r="M85" s="472">
        <f t="shared" si="140"/>
        <v>28</v>
      </c>
      <c r="N85" s="472">
        <f t="shared" si="141"/>
        <v>39</v>
      </c>
      <c r="O85" s="472">
        <f t="shared" si="142"/>
        <v>32</v>
      </c>
      <c r="P85" s="471">
        <f t="shared" si="143"/>
        <v>36</v>
      </c>
      <c r="U85" s="29" t="s">
        <v>2326</v>
      </c>
      <c r="V85" s="29"/>
      <c r="W85" s="29">
        <f>[1]!tn(W84)</f>
        <v>9.3879576729215177</v>
      </c>
      <c r="X85" s="472">
        <f t="shared" si="136"/>
        <v>9</v>
      </c>
      <c r="Y85" s="472">
        <f t="shared" si="137"/>
        <v>23</v>
      </c>
      <c r="Z85" s="472">
        <f t="shared" si="138"/>
        <v>16</v>
      </c>
      <c r="AA85" s="471">
        <f t="shared" si="139"/>
        <v>38</v>
      </c>
    </row>
    <row r="86" spans="10:28" ht="24.75">
      <c r="J86" s="29" t="s">
        <v>2311</v>
      </c>
      <c r="K86" s="29"/>
      <c r="L86" s="29">
        <f>[1]!tn(L74)</f>
        <v>258.45018116158519</v>
      </c>
      <c r="M86" s="472">
        <f t="shared" si="140"/>
        <v>258</v>
      </c>
      <c r="N86" s="472">
        <f t="shared" si="141"/>
        <v>27</v>
      </c>
      <c r="O86" s="472">
        <f t="shared" si="142"/>
        <v>0</v>
      </c>
      <c r="P86" s="471">
        <f t="shared" si="143"/>
        <v>39</v>
      </c>
      <c r="U86" s="29" t="s">
        <v>2311</v>
      </c>
      <c r="V86" s="29"/>
      <c r="W86" s="29">
        <f>[1]!tn(W74)</f>
        <v>127.61835838434956</v>
      </c>
      <c r="X86" s="472">
        <f t="shared" si="136"/>
        <v>127</v>
      </c>
      <c r="Y86" s="472">
        <f t="shared" si="137"/>
        <v>37</v>
      </c>
      <c r="Z86" s="472">
        <f t="shared" si="138"/>
        <v>6</v>
      </c>
      <c r="AA86" s="471">
        <f t="shared" si="139"/>
        <v>5</v>
      </c>
    </row>
    <row r="87" spans="10:28" ht="24.75">
      <c r="J87" s="29" t="s">
        <v>983</v>
      </c>
      <c r="K87" s="29"/>
      <c r="L87" s="29">
        <f>(L85*L86)/60</f>
        <v>123.44897812875456</v>
      </c>
      <c r="M87" s="472">
        <f t="shared" si="140"/>
        <v>123</v>
      </c>
      <c r="N87" s="472">
        <f t="shared" si="141"/>
        <v>26</v>
      </c>
      <c r="O87" s="472">
        <f t="shared" si="142"/>
        <v>56</v>
      </c>
      <c r="P87" s="471">
        <f t="shared" si="143"/>
        <v>19</v>
      </c>
      <c r="U87" s="29" t="s">
        <v>983</v>
      </c>
      <c r="V87" s="29"/>
      <c r="W87" s="29">
        <f>(W85*W86)/60</f>
        <v>19.967929113333376</v>
      </c>
      <c r="X87" s="472">
        <f t="shared" si="136"/>
        <v>19</v>
      </c>
      <c r="Y87" s="472">
        <f t="shared" si="137"/>
        <v>58</v>
      </c>
      <c r="Z87" s="472">
        <f t="shared" si="138"/>
        <v>4</v>
      </c>
      <c r="AA87" s="471">
        <f t="shared" si="139"/>
        <v>32</v>
      </c>
    </row>
    <row r="88" spans="10:28" ht="24.75">
      <c r="J88" s="29" t="s">
        <v>2327</v>
      </c>
      <c r="K88" s="29"/>
      <c r="L88" s="29">
        <f>[1]!atj(L87)</f>
        <v>64.078822683114666</v>
      </c>
      <c r="M88" s="472">
        <f t="shared" si="140"/>
        <v>64</v>
      </c>
      <c r="N88" s="472">
        <f t="shared" si="141"/>
        <v>4</v>
      </c>
      <c r="O88" s="472">
        <f t="shared" si="142"/>
        <v>43</v>
      </c>
      <c r="P88" s="471">
        <f t="shared" si="143"/>
        <v>45</v>
      </c>
      <c r="U88" s="29" t="s">
        <v>2327</v>
      </c>
      <c r="V88" s="29"/>
      <c r="W88" s="29">
        <f>[1]!atj(W87)</f>
        <v>18.40738150773911</v>
      </c>
      <c r="X88" s="472">
        <f t="shared" si="136"/>
        <v>18</v>
      </c>
      <c r="Y88" s="472">
        <f t="shared" si="137"/>
        <v>24</v>
      </c>
      <c r="Z88" s="472">
        <f t="shared" si="138"/>
        <v>26</v>
      </c>
      <c r="AA88" s="471">
        <f t="shared" si="139"/>
        <v>34</v>
      </c>
    </row>
    <row r="89" spans="10:28" ht="24.75">
      <c r="J89" s="29" t="s">
        <v>2314</v>
      </c>
      <c r="K89" s="29"/>
      <c r="L89" s="29">
        <f>[1]!tq(L74-L88)</f>
        <v>12.85130482065199</v>
      </c>
      <c r="M89" s="472">
        <f t="shared" si="140"/>
        <v>12</v>
      </c>
      <c r="N89" s="472">
        <f t="shared" si="141"/>
        <v>51</v>
      </c>
      <c r="O89" s="472">
        <f t="shared" si="142"/>
        <v>4</v>
      </c>
      <c r="P89" s="471">
        <f t="shared" si="143"/>
        <v>41</v>
      </c>
      <c r="U89" s="29" t="s">
        <v>2314</v>
      </c>
      <c r="V89" s="29"/>
      <c r="W89" s="29">
        <f>[1]!tq(W74-W88)</f>
        <v>46.411970875179499</v>
      </c>
      <c r="X89" s="472">
        <f t="shared" si="136"/>
        <v>46</v>
      </c>
      <c r="Y89" s="472">
        <f t="shared" si="137"/>
        <v>24</v>
      </c>
      <c r="Z89" s="472">
        <f t="shared" si="138"/>
        <v>43</v>
      </c>
      <c r="AA89" s="471">
        <f t="shared" si="139"/>
        <v>5</v>
      </c>
    </row>
    <row r="90" spans="10:28" ht="24.75">
      <c r="J90" s="29" t="s">
        <v>2315</v>
      </c>
      <c r="K90" s="29"/>
      <c r="L90" s="29"/>
      <c r="M90" s="472">
        <f t="shared" si="140"/>
        <v>0</v>
      </c>
      <c r="N90" s="472">
        <f t="shared" si="141"/>
        <v>0</v>
      </c>
      <c r="O90" s="472">
        <f t="shared" si="142"/>
        <v>0</v>
      </c>
      <c r="P90" s="471">
        <f t="shared" si="143"/>
        <v>0</v>
      </c>
      <c r="U90" s="29" t="s">
        <v>2315</v>
      </c>
      <c r="V90" s="29"/>
      <c r="W90" s="29"/>
      <c r="X90" s="472">
        <f t="shared" si="136"/>
        <v>0</v>
      </c>
      <c r="Y90" s="472">
        <f t="shared" si="137"/>
        <v>0</v>
      </c>
      <c r="Z90" s="472">
        <f t="shared" si="138"/>
        <v>0</v>
      </c>
      <c r="AA90" s="471">
        <f t="shared" si="139"/>
        <v>0</v>
      </c>
    </row>
    <row r="91" spans="10:28" ht="24.75">
      <c r="J91" s="380" t="s">
        <v>666</v>
      </c>
      <c r="K91" s="380"/>
      <c r="L91" s="380">
        <f>IF(L72&lt;180,IF(L70&lt;L89,(L70+360)-L89,L70-L89),L70+L89)</f>
        <v>275.205644884496</v>
      </c>
      <c r="M91" s="484">
        <f t="shared" si="140"/>
        <v>275</v>
      </c>
      <c r="N91" s="484">
        <f t="shared" si="141"/>
        <v>12</v>
      </c>
      <c r="O91" s="484">
        <f t="shared" si="142"/>
        <v>20</v>
      </c>
      <c r="P91" s="485">
        <f t="shared" si="143"/>
        <v>19</v>
      </c>
      <c r="Q91" s="327" t="s">
        <v>2335</v>
      </c>
      <c r="U91" s="380" t="s">
        <v>665</v>
      </c>
      <c r="V91" s="380"/>
      <c r="W91" s="380">
        <f>IF(W72&lt;180,IF(W70&lt;W89,(W70+360)-W89,W70-W89),W70+W89)</f>
        <v>241.64497882996849</v>
      </c>
      <c r="X91" s="484">
        <f t="shared" si="136"/>
        <v>241</v>
      </c>
      <c r="Y91" s="484">
        <f t="shared" si="137"/>
        <v>38</v>
      </c>
      <c r="Z91" s="484">
        <f t="shared" si="138"/>
        <v>41</v>
      </c>
      <c r="AA91" s="485">
        <f t="shared" si="139"/>
        <v>55</v>
      </c>
      <c r="AB91" s="327" t="s">
        <v>2335</v>
      </c>
    </row>
    <row r="92" spans="10:28" ht="24.75">
      <c r="J92" s="29" t="s">
        <v>2328</v>
      </c>
      <c r="K92" s="29"/>
      <c r="L92" s="29">
        <f>[1]!sn(L89)</f>
        <v>13.345295670716997</v>
      </c>
      <c r="M92" s="472">
        <f t="shared" si="140"/>
        <v>13</v>
      </c>
      <c r="N92" s="472">
        <f t="shared" si="141"/>
        <v>20</v>
      </c>
      <c r="O92" s="472">
        <f t="shared" si="142"/>
        <v>43</v>
      </c>
      <c r="P92" s="471">
        <f t="shared" si="143"/>
        <v>3</v>
      </c>
      <c r="U92" s="29" t="s">
        <v>2328</v>
      </c>
      <c r="V92" s="29"/>
      <c r="W92" s="29">
        <f>[1]!sn(W89)</f>
        <v>43.458955719592531</v>
      </c>
      <c r="X92" s="472">
        <f t="shared" si="136"/>
        <v>43</v>
      </c>
      <c r="Y92" s="472">
        <f t="shared" si="137"/>
        <v>27</v>
      </c>
      <c r="Z92" s="472">
        <f t="shared" si="138"/>
        <v>32</v>
      </c>
      <c r="AA92" s="471">
        <f t="shared" si="139"/>
        <v>14</v>
      </c>
    </row>
    <row r="93" spans="10:28" ht="24.75">
      <c r="J93" s="29" t="s">
        <v>697</v>
      </c>
      <c r="K93" s="29"/>
      <c r="L93" s="29">
        <f>[1]!tn(L67)</f>
        <v>7.1465282267225048</v>
      </c>
      <c r="M93" s="472">
        <f t="shared" si="140"/>
        <v>7</v>
      </c>
      <c r="N93" s="472">
        <f t="shared" si="141"/>
        <v>8</v>
      </c>
      <c r="O93" s="472">
        <f t="shared" si="142"/>
        <v>47</v>
      </c>
      <c r="P93" s="471">
        <f t="shared" si="143"/>
        <v>30</v>
      </c>
      <c r="U93" s="29" t="s">
        <v>697</v>
      </c>
      <c r="V93" s="29"/>
      <c r="W93" s="29">
        <f>[1]!tn(W67)</f>
        <v>3.5528783366190866</v>
      </c>
      <c r="X93" s="472">
        <f t="shared" si="136"/>
        <v>3</v>
      </c>
      <c r="Y93" s="472">
        <f t="shared" si="137"/>
        <v>33</v>
      </c>
      <c r="Z93" s="472">
        <f t="shared" si="138"/>
        <v>10</v>
      </c>
      <c r="AA93" s="471">
        <f t="shared" si="139"/>
        <v>21</v>
      </c>
    </row>
    <row r="94" spans="10:28" ht="24.75">
      <c r="J94" s="29" t="s">
        <v>983</v>
      </c>
      <c r="K94" s="29"/>
      <c r="L94" s="29">
        <f>L92*L93</f>
        <v>95.372532204736657</v>
      </c>
      <c r="M94" s="472">
        <f t="shared" si="140"/>
        <v>95</v>
      </c>
      <c r="N94" s="472">
        <f t="shared" si="141"/>
        <v>22</v>
      </c>
      <c r="O94" s="472">
        <f t="shared" si="142"/>
        <v>21</v>
      </c>
      <c r="P94" s="471">
        <f t="shared" si="143"/>
        <v>6</v>
      </c>
      <c r="U94" s="29" t="s">
        <v>983</v>
      </c>
      <c r="V94" s="29"/>
      <c r="W94" s="29">
        <f>W92*W93</f>
        <v>154.40438230822846</v>
      </c>
      <c r="X94" s="472">
        <f t="shared" si="136"/>
        <v>154</v>
      </c>
      <c r="Y94" s="472">
        <f t="shared" si="137"/>
        <v>24</v>
      </c>
      <c r="Z94" s="472">
        <f t="shared" si="138"/>
        <v>15</v>
      </c>
      <c r="AA94" s="471">
        <f t="shared" si="139"/>
        <v>46</v>
      </c>
    </row>
    <row r="95" spans="10:28" ht="24.75">
      <c r="J95" s="29" t="s">
        <v>2318</v>
      </c>
      <c r="K95" s="29"/>
      <c r="L95" s="29">
        <f>ABS([1]!sn(L72))</f>
        <v>26.433720516398516</v>
      </c>
      <c r="M95" s="472">
        <f t="shared" si="140"/>
        <v>26</v>
      </c>
      <c r="N95" s="472">
        <f t="shared" si="141"/>
        <v>26</v>
      </c>
      <c r="O95" s="472">
        <f t="shared" si="142"/>
        <v>1</v>
      </c>
      <c r="P95" s="471">
        <f t="shared" si="143"/>
        <v>23</v>
      </c>
      <c r="U95" s="29" t="s">
        <v>2318</v>
      </c>
      <c r="V95" s="29"/>
      <c r="W95" s="29">
        <f>ABS([1]!sn(W72))</f>
        <v>46.204948246761127</v>
      </c>
      <c r="X95" s="472">
        <f t="shared" si="136"/>
        <v>46</v>
      </c>
      <c r="Y95" s="472">
        <f t="shared" si="137"/>
        <v>12</v>
      </c>
      <c r="Z95" s="472">
        <f t="shared" si="138"/>
        <v>17</v>
      </c>
      <c r="AA95" s="471">
        <f t="shared" si="139"/>
        <v>48</v>
      </c>
    </row>
    <row r="96" spans="10:28" ht="24.75">
      <c r="J96" s="29" t="s">
        <v>1091</v>
      </c>
      <c r="K96" s="29"/>
      <c r="L96" s="29">
        <f>L94/L95</f>
        <v>3.6079874622859469</v>
      </c>
      <c r="M96" s="472">
        <f t="shared" si="140"/>
        <v>3</v>
      </c>
      <c r="N96" s="472">
        <f t="shared" si="141"/>
        <v>36</v>
      </c>
      <c r="O96" s="472">
        <f t="shared" si="142"/>
        <v>28</v>
      </c>
      <c r="P96" s="471">
        <f t="shared" si="143"/>
        <v>45</v>
      </c>
      <c r="U96" s="29" t="s">
        <v>1091</v>
      </c>
      <c r="V96" s="29"/>
      <c r="W96" s="29">
        <f>W94/W95</f>
        <v>3.3417282816468017</v>
      </c>
      <c r="X96" s="472">
        <f t="shared" si="136"/>
        <v>3</v>
      </c>
      <c r="Y96" s="472">
        <f t="shared" si="137"/>
        <v>20</v>
      </c>
      <c r="Z96" s="472">
        <f t="shared" si="138"/>
        <v>30</v>
      </c>
      <c r="AA96" s="471">
        <f t="shared" si="139"/>
        <v>13</v>
      </c>
    </row>
    <row r="97" spans="10:27" ht="24.75">
      <c r="J97" s="380" t="s">
        <v>2329</v>
      </c>
      <c r="K97" s="380"/>
      <c r="L97" s="380">
        <f>[1]!atj(L96)</f>
        <v>3.441230406176722</v>
      </c>
      <c r="M97" s="484">
        <f t="shared" si="140"/>
        <v>3</v>
      </c>
      <c r="N97" s="484">
        <f t="shared" si="141"/>
        <v>26</v>
      </c>
      <c r="O97" s="484">
        <f t="shared" si="142"/>
        <v>28</v>
      </c>
      <c r="P97" s="485">
        <f t="shared" si="143"/>
        <v>25</v>
      </c>
      <c r="U97" s="380" t="s">
        <v>2330</v>
      </c>
      <c r="V97" s="380"/>
      <c r="W97" s="380">
        <f>[1]!atj(W96)</f>
        <v>3.1878219765928066</v>
      </c>
      <c r="X97" s="484">
        <f t="shared" si="136"/>
        <v>3</v>
      </c>
      <c r="Y97" s="484">
        <f t="shared" si="137"/>
        <v>11</v>
      </c>
      <c r="Z97" s="484">
        <f t="shared" si="138"/>
        <v>16</v>
      </c>
      <c r="AA97" s="485">
        <f t="shared" si="139"/>
        <v>9</v>
      </c>
    </row>
    <row r="98" spans="10:27">
      <c r="J98" s="3"/>
      <c r="K98" s="3"/>
      <c r="L98" s="3" t="str">
        <f>IF(L65&lt;=90,"شمالی صاعد زائد",IF(AND(L65&gt;90,L65&lt;=180),"شمالی هابط ناقص",IF(AND(L65&gt;10,L65&lt;=270),"جنوبی هابط زائد","جنوبی صاعد ناقص")))</f>
        <v>شمالی هابط ناقص</v>
      </c>
      <c r="M98" s="3"/>
      <c r="N98" s="3"/>
      <c r="O98" s="3"/>
      <c r="P98" s="3"/>
      <c r="U98" s="3"/>
      <c r="V98" s="3"/>
      <c r="W98" s="3" t="str">
        <f>IF(W65&lt;=90,"شمالی صاعد زائد",IF(AND(W65&gt;90,W65&lt;=180),"شمالی هابط ناقص",IF(AND(W65&gt;10,W65&lt;=270),"جنوبی هابط زائد","جنوبی صاعد ناقص")))</f>
        <v>شمالی صاعد زائد</v>
      </c>
      <c r="X98" s="3"/>
      <c r="Y98" s="3"/>
      <c r="Z98" s="3"/>
      <c r="AA98" s="3"/>
    </row>
    <row r="101" spans="10:27">
      <c r="J101" s="348" t="s">
        <v>664</v>
      </c>
      <c r="K101" s="348"/>
    </row>
    <row r="102" spans="10:27">
      <c r="J102" s="16" t="s">
        <v>3</v>
      </c>
      <c r="K102" s="16">
        <f>K54</f>
        <v>705</v>
      </c>
      <c r="L102" s="4">
        <f>[1]!raszo(K102,K103,K104,K105)</f>
        <v>104.09070621667512</v>
      </c>
      <c r="M102" s="4" t="s">
        <v>2331</v>
      </c>
      <c r="N102" s="4">
        <f>L102</f>
        <v>104.09070621667512</v>
      </c>
      <c r="O102" s="4">
        <f>INT(ABS(N102))</f>
        <v>104</v>
      </c>
      <c r="P102" s="4">
        <f>INT((ABS(N102)-O102)*60)</f>
        <v>5</v>
      </c>
      <c r="Q102" s="4">
        <f>INT((((ABS(N102)-O102)*60)-P102)*60)</f>
        <v>26</v>
      </c>
      <c r="R102" s="4">
        <f>(Q102-INT(Q102))*60</f>
        <v>0</v>
      </c>
    </row>
    <row r="103" spans="10:27">
      <c r="J103" s="16" t="s">
        <v>4</v>
      </c>
      <c r="K103" s="16">
        <f>K55</f>
        <v>6</v>
      </c>
      <c r="L103" s="4">
        <f>[1]!wasatzo(K102,K103,K104,K105)</f>
        <v>199.44854844601636</v>
      </c>
      <c r="M103" s="4" t="s">
        <v>1286</v>
      </c>
      <c r="N103" s="4">
        <f>L103</f>
        <v>199.44854844601636</v>
      </c>
      <c r="O103" s="4">
        <f>INT(ABS(N103))</f>
        <v>199</v>
      </c>
      <c r="P103" s="4">
        <f>INT((ABS(N103)-O103)*60)</f>
        <v>26</v>
      </c>
      <c r="Q103" s="4">
        <f>INT((((ABS(N103)-O103)*60)-P103)*60)</f>
        <v>54</v>
      </c>
      <c r="R103" s="4">
        <f>(Q103-INT(Q103))*60</f>
        <v>0</v>
      </c>
    </row>
    <row r="104" spans="10:27">
      <c r="J104" s="16" t="s">
        <v>5</v>
      </c>
      <c r="K104" s="16">
        <f>K56</f>
        <v>13.763888888888889</v>
      </c>
      <c r="L104" s="4">
        <f>[1]!oujzo(K102,K103,K104,K105)</f>
        <v>260.23998743814212</v>
      </c>
      <c r="M104" s="4" t="s">
        <v>1287</v>
      </c>
      <c r="N104" s="4">
        <f>L104</f>
        <v>260.23998743814212</v>
      </c>
      <c r="O104" s="4">
        <f>INT(ABS(N104))</f>
        <v>260</v>
      </c>
      <c r="P104" s="4">
        <f>INT((ABS(N104)-O104)*60)</f>
        <v>14</v>
      </c>
      <c r="Q104" s="4">
        <f>INT((((ABS(N104)-O104)*60)-P104)*60)</f>
        <v>23</v>
      </c>
      <c r="R104" s="4">
        <f>(Q104-INT(Q104))*60</f>
        <v>0</v>
      </c>
    </row>
    <row r="105" spans="10:27">
      <c r="J105" s="16" t="s">
        <v>377</v>
      </c>
      <c r="K105" s="16">
        <f>K57</f>
        <v>3.152777777777778E-2</v>
      </c>
      <c r="L105" s="16"/>
      <c r="M105" s="16" t="s">
        <v>172</v>
      </c>
      <c r="N105" s="16" t="s">
        <v>166</v>
      </c>
      <c r="O105" s="16" t="s">
        <v>167</v>
      </c>
      <c r="P105" s="16" t="s">
        <v>168</v>
      </c>
    </row>
    <row r="106" spans="10:27" ht="24.75">
      <c r="J106" s="10" t="s">
        <v>771</v>
      </c>
      <c r="K106" s="10"/>
      <c r="L106" s="342">
        <f>L103</f>
        <v>199.44854844601636</v>
      </c>
      <c r="M106" s="472">
        <f>INT(ABS(L106))</f>
        <v>199</v>
      </c>
      <c r="N106" s="472">
        <f>INT((ABS(L106)-M106)*60)</f>
        <v>26</v>
      </c>
      <c r="O106" s="472">
        <f>INT((((ABS(L106)-M106)*60)-N106)*60)</f>
        <v>54</v>
      </c>
      <c r="P106" s="471">
        <f>INT((((((ABS(L106)-M106)*60)-N106)*60)-O106)*60)</f>
        <v>46</v>
      </c>
      <c r="R106" s="472"/>
      <c r="S106" s="472"/>
      <c r="T106" s="472"/>
      <c r="U106" s="471"/>
    </row>
    <row r="107" spans="10:27" ht="24.75">
      <c r="J107" s="10" t="s">
        <v>2298</v>
      </c>
      <c r="K107" s="10"/>
      <c r="L107" s="10">
        <f>L104</f>
        <v>260.23998743814212</v>
      </c>
      <c r="M107" s="472">
        <f t="shared" ref="M107:M143" si="144">INT(ABS(L107))</f>
        <v>260</v>
      </c>
      <c r="N107" s="472">
        <f t="shared" ref="N107:N143" si="145">INT((ABS(L107)-M107)*60)</f>
        <v>14</v>
      </c>
      <c r="O107" s="472">
        <f t="shared" ref="O107:O143" si="146">INT((((ABS(L107)-M107)*60)-N107)*60)</f>
        <v>23</v>
      </c>
      <c r="P107" s="471">
        <f t="shared" ref="P107:P143" si="147">INT((((((ABS(L107)-M107)*60)-N107)*60)-O107)*60)</f>
        <v>57</v>
      </c>
    </row>
    <row r="108" spans="10:27" ht="24.75">
      <c r="J108" s="10" t="s">
        <v>2299</v>
      </c>
      <c r="K108" s="10"/>
      <c r="L108" s="10">
        <f>IF(L106&lt;L107,(L106+360)-L107,L106-L107)</f>
        <v>299.20856100787427</v>
      </c>
      <c r="M108" s="472">
        <f t="shared" si="144"/>
        <v>299</v>
      </c>
      <c r="N108" s="472">
        <f t="shared" si="145"/>
        <v>12</v>
      </c>
      <c r="O108" s="472">
        <f t="shared" si="146"/>
        <v>30</v>
      </c>
      <c r="P108" s="471">
        <f t="shared" si="147"/>
        <v>49</v>
      </c>
      <c r="Q108" s="327">
        <v>358</v>
      </c>
    </row>
    <row r="109" spans="10:27" ht="24.75">
      <c r="J109" s="10" t="s">
        <v>1285</v>
      </c>
      <c r="K109" s="10"/>
      <c r="L109" s="10">
        <f>[1]!tzohal1(L108)</f>
        <v>5.4671164751005978</v>
      </c>
      <c r="M109" s="472">
        <f t="shared" si="144"/>
        <v>5</v>
      </c>
      <c r="N109" s="472">
        <f t="shared" si="145"/>
        <v>28</v>
      </c>
      <c r="O109" s="472">
        <f t="shared" si="146"/>
        <v>1</v>
      </c>
      <c r="P109" s="471">
        <f t="shared" si="147"/>
        <v>37</v>
      </c>
      <c r="Q109" s="327">
        <f>[1]!tzohal1(Q108)</f>
        <v>0.21222222222222223</v>
      </c>
      <c r="R109" s="472">
        <f t="shared" ref="R109" si="148">INT(ABS(Q109))</f>
        <v>0</v>
      </c>
      <c r="S109" s="472">
        <f t="shared" ref="S109" si="149">INT((ABS(Q109)-R109)*60)</f>
        <v>12</v>
      </c>
      <c r="T109" s="472">
        <f t="shared" ref="T109" si="150">INT((((ABS(Q109)-R109)*60)-S109)*60)</f>
        <v>44</v>
      </c>
      <c r="U109" s="471">
        <f t="shared" ref="U109" si="151">INT((((((ABS(Q109)-R109)*60)-S109)*60)-T109)*60)</f>
        <v>0</v>
      </c>
    </row>
    <row r="110" spans="10:27" ht="24.75">
      <c r="J110" s="10" t="s">
        <v>560</v>
      </c>
      <c r="K110" s="10"/>
      <c r="L110" s="10">
        <f>L106+L109</f>
        <v>204.91566492111696</v>
      </c>
      <c r="M110" s="472">
        <f t="shared" si="144"/>
        <v>204</v>
      </c>
      <c r="N110" s="472">
        <f t="shared" si="145"/>
        <v>54</v>
      </c>
      <c r="O110" s="472">
        <f t="shared" si="146"/>
        <v>56</v>
      </c>
      <c r="P110" s="471">
        <f t="shared" si="147"/>
        <v>23</v>
      </c>
    </row>
    <row r="111" spans="10:27" ht="24.75">
      <c r="J111" s="10" t="s">
        <v>2300</v>
      </c>
      <c r="K111" s="10"/>
      <c r="L111" s="10">
        <f>L108+L109</f>
        <v>304.67567748297489</v>
      </c>
      <c r="M111" s="472">
        <f t="shared" si="144"/>
        <v>304</v>
      </c>
      <c r="N111" s="472">
        <f t="shared" si="145"/>
        <v>40</v>
      </c>
      <c r="O111" s="472">
        <f t="shared" si="146"/>
        <v>32</v>
      </c>
      <c r="P111" s="471">
        <f t="shared" si="147"/>
        <v>26</v>
      </c>
    </row>
    <row r="112" spans="10:27" ht="24.75">
      <c r="J112" s="10" t="s">
        <v>2301</v>
      </c>
      <c r="K112" s="10"/>
      <c r="L112" s="10">
        <f>L102</f>
        <v>104.09070621667512</v>
      </c>
      <c r="M112" s="472">
        <f t="shared" si="144"/>
        <v>104</v>
      </c>
      <c r="N112" s="472">
        <f t="shared" si="145"/>
        <v>5</v>
      </c>
      <c r="O112" s="472">
        <f t="shared" si="146"/>
        <v>26</v>
      </c>
      <c r="P112" s="471">
        <f t="shared" si="147"/>
        <v>32</v>
      </c>
    </row>
    <row r="113" spans="10:22" ht="24.75">
      <c r="J113" s="10" t="s">
        <v>713</v>
      </c>
      <c r="K113" s="10"/>
      <c r="L113" s="10">
        <f>IF(L110&lt;L112,(L110+360)-L112,L110-L112)</f>
        <v>100.82495870444184</v>
      </c>
      <c r="M113" s="472">
        <f t="shared" si="144"/>
        <v>100</v>
      </c>
      <c r="N113" s="472">
        <f t="shared" si="145"/>
        <v>49</v>
      </c>
      <c r="O113" s="472">
        <f t="shared" si="146"/>
        <v>29</v>
      </c>
      <c r="P113" s="471">
        <f t="shared" si="147"/>
        <v>51</v>
      </c>
    </row>
    <row r="114" spans="10:22" ht="24.75">
      <c r="J114" s="10" t="s">
        <v>798</v>
      </c>
      <c r="K114" s="10"/>
      <c r="L114" s="10">
        <f>[1]!tarasz(L113)</f>
        <v>-0.12528887389400289</v>
      </c>
      <c r="M114" s="472">
        <f t="shared" si="144"/>
        <v>0</v>
      </c>
      <c r="N114" s="472">
        <f t="shared" si="145"/>
        <v>7</v>
      </c>
      <c r="O114" s="472">
        <f t="shared" si="146"/>
        <v>31</v>
      </c>
      <c r="P114" s="471">
        <f t="shared" si="147"/>
        <v>2</v>
      </c>
      <c r="R114" s="450"/>
      <c r="S114" s="450"/>
      <c r="T114" s="450"/>
      <c r="U114" s="450"/>
      <c r="V114" s="274"/>
    </row>
    <row r="115" spans="10:22" ht="24.75">
      <c r="J115" s="10" t="s">
        <v>827</v>
      </c>
      <c r="K115" s="10"/>
      <c r="L115" s="10">
        <f>L112+L114</f>
        <v>103.96541734278111</v>
      </c>
      <c r="M115" s="472">
        <f t="shared" si="144"/>
        <v>103</v>
      </c>
      <c r="N115" s="472">
        <f t="shared" si="145"/>
        <v>57</v>
      </c>
      <c r="O115" s="472">
        <f t="shared" si="146"/>
        <v>55</v>
      </c>
      <c r="P115" s="471">
        <f t="shared" si="147"/>
        <v>30</v>
      </c>
    </row>
    <row r="116" spans="10:22" ht="24.75">
      <c r="J116" s="10" t="s">
        <v>2332</v>
      </c>
      <c r="K116" s="10"/>
      <c r="L116" s="10">
        <f>IF(L110-L115&gt;0,L110-L115,L110-L115+360)</f>
        <v>100.95024757833585</v>
      </c>
      <c r="M116" s="472">
        <f t="shared" si="144"/>
        <v>100</v>
      </c>
      <c r="N116" s="472">
        <f t="shared" si="145"/>
        <v>57</v>
      </c>
      <c r="O116" s="472">
        <f t="shared" si="146"/>
        <v>0</v>
      </c>
      <c r="P116" s="471">
        <f t="shared" si="147"/>
        <v>53</v>
      </c>
    </row>
    <row r="117" spans="10:22" ht="24.75">
      <c r="J117" s="10" t="s">
        <v>774</v>
      </c>
      <c r="K117" s="10"/>
      <c r="L117" s="10">
        <f>[1]!tzohal2(L116)</f>
        <v>1.0683761710140516E-2</v>
      </c>
      <c r="M117" s="472">
        <f t="shared" si="144"/>
        <v>0</v>
      </c>
      <c r="N117" s="472">
        <f t="shared" si="145"/>
        <v>0</v>
      </c>
      <c r="O117" s="472">
        <f t="shared" si="146"/>
        <v>38</v>
      </c>
      <c r="P117" s="471">
        <f t="shared" si="147"/>
        <v>27</v>
      </c>
    </row>
    <row r="118" spans="10:22" ht="24.75">
      <c r="J118" s="10" t="s">
        <v>696</v>
      </c>
      <c r="K118" s="10"/>
      <c r="L118" s="10">
        <f>[1]!zarzzohal(L116)</f>
        <v>2.4569075260412174</v>
      </c>
      <c r="M118" s="472">
        <f t="shared" si="144"/>
        <v>2</v>
      </c>
      <c r="N118" s="472">
        <f t="shared" si="145"/>
        <v>27</v>
      </c>
      <c r="O118" s="472">
        <f t="shared" si="146"/>
        <v>24</v>
      </c>
      <c r="P118" s="471">
        <f t="shared" si="147"/>
        <v>52</v>
      </c>
    </row>
    <row r="119" spans="10:22" ht="24.75">
      <c r="J119" s="10" t="s">
        <v>776</v>
      </c>
      <c r="K119" s="10"/>
      <c r="L119" s="10">
        <f>[1]!tq(L110+L117)</f>
        <v>204.9263486828271</v>
      </c>
      <c r="M119" s="472">
        <f t="shared" si="144"/>
        <v>204</v>
      </c>
      <c r="N119" s="472">
        <f t="shared" si="145"/>
        <v>55</v>
      </c>
      <c r="O119" s="472">
        <f t="shared" si="146"/>
        <v>34</v>
      </c>
      <c r="P119" s="471">
        <f t="shared" si="147"/>
        <v>51</v>
      </c>
    </row>
    <row r="120" spans="10:22" ht="24.75">
      <c r="J120" s="10" t="s">
        <v>777</v>
      </c>
      <c r="K120" s="10"/>
      <c r="L120" s="10">
        <f>[1]!tq(L111+L117)</f>
        <v>304.68636124468503</v>
      </c>
      <c r="M120" s="472">
        <f t="shared" si="144"/>
        <v>304</v>
      </c>
      <c r="N120" s="472">
        <f t="shared" si="145"/>
        <v>41</v>
      </c>
      <c r="O120" s="472">
        <f t="shared" si="146"/>
        <v>10</v>
      </c>
      <c r="P120" s="471">
        <f t="shared" si="147"/>
        <v>54</v>
      </c>
    </row>
    <row r="121" spans="10:22" ht="24.75">
      <c r="J121" s="352" t="s">
        <v>378</v>
      </c>
      <c r="K121" s="352"/>
      <c r="L121" s="352">
        <f>[1]!taqsh(K102,K103,K104,K105)</f>
        <v>288.05694970514799</v>
      </c>
      <c r="M121" s="482">
        <f t="shared" si="144"/>
        <v>288</v>
      </c>
      <c r="N121" s="482">
        <f t="shared" si="145"/>
        <v>3</v>
      </c>
      <c r="O121" s="482">
        <f t="shared" si="146"/>
        <v>25</v>
      </c>
      <c r="P121" s="483">
        <f t="shared" si="147"/>
        <v>1</v>
      </c>
    </row>
    <row r="122" spans="10:22" ht="24.75">
      <c r="J122" s="10" t="s">
        <v>1319</v>
      </c>
      <c r="K122" s="10"/>
      <c r="L122" s="3">
        <f>IF((L121)&lt;180,(L121)+180,(L121)-180)</f>
        <v>108.05694970514799</v>
      </c>
      <c r="M122" s="472">
        <f t="shared" si="144"/>
        <v>108</v>
      </c>
      <c r="N122" s="472">
        <f t="shared" si="145"/>
        <v>3</v>
      </c>
      <c r="O122" s="472">
        <f t="shared" si="146"/>
        <v>25</v>
      </c>
      <c r="P122" s="471">
        <f t="shared" si="147"/>
        <v>1</v>
      </c>
    </row>
    <row r="123" spans="10:22" ht="24.75">
      <c r="J123" s="10" t="s">
        <v>716</v>
      </c>
      <c r="K123" s="10"/>
      <c r="L123" s="3">
        <f>IF(L119&lt;L122,(L119+360)-L122,L119-L122)</f>
        <v>96.869398977679111</v>
      </c>
      <c r="M123" s="472">
        <f t="shared" si="144"/>
        <v>96</v>
      </c>
      <c r="N123" s="472">
        <f t="shared" si="145"/>
        <v>52</v>
      </c>
      <c r="O123" s="472">
        <f t="shared" si="146"/>
        <v>9</v>
      </c>
      <c r="P123" s="471">
        <f t="shared" si="147"/>
        <v>50</v>
      </c>
    </row>
    <row r="124" spans="10:22" ht="24.75">
      <c r="J124" s="10" t="s">
        <v>2302</v>
      </c>
      <c r="K124" s="10"/>
      <c r="L124" s="10">
        <f>L123/2</f>
        <v>48.434699488839556</v>
      </c>
      <c r="M124" s="472">
        <f t="shared" si="144"/>
        <v>48</v>
      </c>
      <c r="N124" s="472">
        <f t="shared" si="145"/>
        <v>26</v>
      </c>
      <c r="O124" s="472">
        <f t="shared" si="146"/>
        <v>4</v>
      </c>
      <c r="P124" s="471">
        <f t="shared" si="147"/>
        <v>55</v>
      </c>
    </row>
    <row r="125" spans="10:22" ht="24.75">
      <c r="J125" s="10" t="s">
        <v>2303</v>
      </c>
      <c r="K125" s="10"/>
      <c r="L125" s="10">
        <f>IF(L124&lt;90,90-L124,90-(180-L124))</f>
        <v>41.565300511160444</v>
      </c>
      <c r="M125" s="472">
        <f t="shared" si="144"/>
        <v>41</v>
      </c>
      <c r="N125" s="472">
        <f t="shared" si="145"/>
        <v>33</v>
      </c>
      <c r="O125" s="472">
        <f t="shared" si="146"/>
        <v>55</v>
      </c>
      <c r="P125" s="471">
        <f t="shared" si="147"/>
        <v>4</v>
      </c>
    </row>
    <row r="126" spans="10:22" ht="24.75">
      <c r="J126" s="10" t="s">
        <v>901</v>
      </c>
      <c r="K126" s="10"/>
      <c r="L126" s="10">
        <f>[1]!mtash(K102,K103,K104,K105)</f>
        <v>196.68461859062594</v>
      </c>
      <c r="M126" s="472">
        <f t="shared" si="144"/>
        <v>196</v>
      </c>
      <c r="N126" s="472">
        <f t="shared" si="145"/>
        <v>41</v>
      </c>
      <c r="O126" s="472">
        <f t="shared" si="146"/>
        <v>4</v>
      </c>
      <c r="P126" s="471">
        <f t="shared" si="147"/>
        <v>37</v>
      </c>
    </row>
    <row r="127" spans="10:22" ht="24.75">
      <c r="J127" s="10" t="s">
        <v>2304</v>
      </c>
      <c r="K127" s="10"/>
      <c r="L127" s="348">
        <f>[1]!bshams(L126)</f>
        <v>59.053993608445317</v>
      </c>
      <c r="M127" s="472">
        <f t="shared" si="144"/>
        <v>59</v>
      </c>
      <c r="N127" s="472">
        <f t="shared" si="145"/>
        <v>3</v>
      </c>
      <c r="O127" s="472">
        <f t="shared" si="146"/>
        <v>14</v>
      </c>
      <c r="P127" s="471">
        <f t="shared" si="147"/>
        <v>22</v>
      </c>
    </row>
    <row r="128" spans="10:22" ht="24.75">
      <c r="J128" s="10" t="s">
        <v>2333</v>
      </c>
      <c r="K128" s="10"/>
      <c r="L128" s="10">
        <f>[1]!bzohal(L120)</f>
        <v>587.70290161582056</v>
      </c>
      <c r="M128" s="472">
        <f t="shared" si="144"/>
        <v>587</v>
      </c>
      <c r="N128" s="472">
        <f t="shared" si="145"/>
        <v>42</v>
      </c>
      <c r="O128" s="472">
        <f t="shared" si="146"/>
        <v>10</v>
      </c>
      <c r="P128" s="471">
        <f t="shared" si="147"/>
        <v>26</v>
      </c>
    </row>
    <row r="129" spans="10:17" ht="24.75">
      <c r="J129" s="10" t="s">
        <v>2307</v>
      </c>
      <c r="K129" s="10"/>
      <c r="L129" s="10">
        <f>90-L118</f>
        <v>87.543092473958779</v>
      </c>
      <c r="M129" s="472">
        <f t="shared" si="144"/>
        <v>87</v>
      </c>
      <c r="N129" s="472">
        <f t="shared" si="145"/>
        <v>32</v>
      </c>
      <c r="O129" s="472">
        <f t="shared" si="146"/>
        <v>35</v>
      </c>
      <c r="P129" s="471">
        <f t="shared" si="147"/>
        <v>7</v>
      </c>
    </row>
    <row r="130" spans="10:17" ht="24.75">
      <c r="J130" s="10" t="s">
        <v>785</v>
      </c>
      <c r="K130" s="10"/>
      <c r="L130" s="3">
        <f>[1]!csn(L118)</f>
        <v>59.944844724003786</v>
      </c>
      <c r="M130" s="472">
        <f t="shared" si="144"/>
        <v>59</v>
      </c>
      <c r="N130" s="472">
        <f t="shared" si="145"/>
        <v>56</v>
      </c>
      <c r="O130" s="472">
        <f t="shared" si="146"/>
        <v>41</v>
      </c>
      <c r="P130" s="471">
        <f t="shared" si="147"/>
        <v>26</v>
      </c>
    </row>
    <row r="131" spans="10:17" ht="24.75">
      <c r="J131" s="10" t="s">
        <v>2308</v>
      </c>
      <c r="K131" s="10"/>
      <c r="L131" s="10">
        <f>L128*L130</f>
        <v>35229.759181206835</v>
      </c>
      <c r="M131" s="472">
        <f t="shared" si="144"/>
        <v>35229</v>
      </c>
      <c r="N131" s="472">
        <f t="shared" si="145"/>
        <v>45</v>
      </c>
      <c r="O131" s="472">
        <f t="shared" si="146"/>
        <v>33</v>
      </c>
      <c r="P131" s="471">
        <f t="shared" si="147"/>
        <v>3</v>
      </c>
    </row>
    <row r="132" spans="10:17" ht="24.75">
      <c r="J132" s="10" t="s">
        <v>1091</v>
      </c>
      <c r="K132" s="10"/>
      <c r="L132" s="10">
        <f>L131/L127</f>
        <v>596.56861506769667</v>
      </c>
      <c r="M132" s="472">
        <f t="shared" si="144"/>
        <v>596</v>
      </c>
      <c r="N132" s="472">
        <f t="shared" si="145"/>
        <v>34</v>
      </c>
      <c r="O132" s="472">
        <f t="shared" si="146"/>
        <v>7</v>
      </c>
      <c r="P132" s="471">
        <f t="shared" si="147"/>
        <v>0</v>
      </c>
    </row>
    <row r="133" spans="10:17" ht="24.75">
      <c r="J133" s="10" t="s">
        <v>2309</v>
      </c>
      <c r="K133" s="10"/>
      <c r="L133" s="10">
        <f>[1]!atj(L132)</f>
        <v>84.256779233324579</v>
      </c>
      <c r="M133" s="472">
        <f t="shared" si="144"/>
        <v>84</v>
      </c>
      <c r="N133" s="472">
        <f t="shared" si="145"/>
        <v>15</v>
      </c>
      <c r="O133" s="472">
        <f t="shared" si="146"/>
        <v>24</v>
      </c>
      <c r="P133" s="471">
        <f t="shared" si="147"/>
        <v>24</v>
      </c>
    </row>
    <row r="134" spans="10:17" ht="24.75">
      <c r="J134" s="10" t="s">
        <v>2310</v>
      </c>
      <c r="K134" s="10"/>
      <c r="L134" s="10">
        <f>[1]!tq(L133-45)</f>
        <v>39.256779233324579</v>
      </c>
      <c r="M134" s="472">
        <f t="shared" si="144"/>
        <v>39</v>
      </c>
      <c r="N134" s="472">
        <f t="shared" si="145"/>
        <v>15</v>
      </c>
      <c r="O134" s="472">
        <f t="shared" si="146"/>
        <v>24</v>
      </c>
      <c r="P134" s="471">
        <f t="shared" si="147"/>
        <v>24</v>
      </c>
    </row>
    <row r="135" spans="10:17" ht="24.75">
      <c r="J135" s="10" t="s">
        <v>791</v>
      </c>
      <c r="K135" s="10"/>
      <c r="L135" s="10">
        <f>[1]!tn(L134)</f>
        <v>49.033895567399867</v>
      </c>
      <c r="M135" s="472">
        <f t="shared" si="144"/>
        <v>49</v>
      </c>
      <c r="N135" s="472">
        <f t="shared" si="145"/>
        <v>2</v>
      </c>
      <c r="O135" s="472">
        <f t="shared" si="146"/>
        <v>2</v>
      </c>
      <c r="P135" s="471">
        <f t="shared" si="147"/>
        <v>1</v>
      </c>
    </row>
    <row r="136" spans="10:17" ht="24.75">
      <c r="J136" s="10" t="s">
        <v>2311</v>
      </c>
      <c r="K136" s="10"/>
      <c r="L136" s="10">
        <f>[1]!tn(L125)</f>
        <v>53.20554717256033</v>
      </c>
      <c r="M136" s="472">
        <f t="shared" si="144"/>
        <v>53</v>
      </c>
      <c r="N136" s="472">
        <f t="shared" si="145"/>
        <v>12</v>
      </c>
      <c r="O136" s="472">
        <f t="shared" si="146"/>
        <v>19</v>
      </c>
      <c r="P136" s="471">
        <f t="shared" si="147"/>
        <v>58</v>
      </c>
    </row>
    <row r="137" spans="10:17" ht="24.75">
      <c r="J137" s="10" t="s">
        <v>2312</v>
      </c>
      <c r="K137" s="10"/>
      <c r="L137" s="10">
        <f>(L135*L136)/60</f>
        <v>43.481254061094845</v>
      </c>
      <c r="M137" s="472">
        <f t="shared" si="144"/>
        <v>43</v>
      </c>
      <c r="N137" s="472">
        <f t="shared" si="145"/>
        <v>28</v>
      </c>
      <c r="O137" s="472">
        <f t="shared" si="146"/>
        <v>52</v>
      </c>
      <c r="P137" s="471">
        <f t="shared" si="147"/>
        <v>30</v>
      </c>
    </row>
    <row r="138" spans="10:17" ht="24.75">
      <c r="J138" s="10" t="s">
        <v>2313</v>
      </c>
      <c r="K138" s="10"/>
      <c r="L138" s="10">
        <f>[1]!atj(L137)</f>
        <v>35.930376542584533</v>
      </c>
      <c r="M138" s="472">
        <f t="shared" si="144"/>
        <v>35</v>
      </c>
      <c r="N138" s="472">
        <f t="shared" si="145"/>
        <v>55</v>
      </c>
      <c r="O138" s="472">
        <f t="shared" si="146"/>
        <v>49</v>
      </c>
      <c r="P138" s="471">
        <f t="shared" si="147"/>
        <v>21</v>
      </c>
    </row>
    <row r="139" spans="10:17" ht="24.75">
      <c r="J139" s="10" t="s">
        <v>2314</v>
      </c>
      <c r="K139" s="10"/>
      <c r="L139" s="10">
        <f>IF(L138+L125&lt;360,L138+L125,L138+L125-360)</f>
        <v>77.49567705374497</v>
      </c>
      <c r="M139" s="472">
        <f t="shared" si="144"/>
        <v>77</v>
      </c>
      <c r="N139" s="472">
        <f t="shared" si="145"/>
        <v>29</v>
      </c>
      <c r="O139" s="472">
        <f t="shared" si="146"/>
        <v>44</v>
      </c>
      <c r="P139" s="471">
        <f t="shared" si="147"/>
        <v>26</v>
      </c>
    </row>
    <row r="140" spans="10:17" ht="24.75">
      <c r="J140" s="10" t="s">
        <v>2315</v>
      </c>
      <c r="K140" s="10"/>
      <c r="L140" s="10"/>
      <c r="M140" s="472">
        <f t="shared" si="144"/>
        <v>0</v>
      </c>
      <c r="N140" s="472">
        <f t="shared" si="145"/>
        <v>0</v>
      </c>
      <c r="O140" s="472">
        <f t="shared" si="146"/>
        <v>0</v>
      </c>
      <c r="P140" s="471">
        <f t="shared" si="147"/>
        <v>0</v>
      </c>
    </row>
    <row r="141" spans="10:17" ht="24.75">
      <c r="J141" s="16" t="s">
        <v>664</v>
      </c>
      <c r="K141" s="16"/>
      <c r="L141" s="16">
        <f>IF(L123&lt;180,IF(L121&lt;L139,(L121+360)-L139,L121-L139),L121+L139)</f>
        <v>210.56127265140302</v>
      </c>
      <c r="M141" s="480">
        <f t="shared" si="144"/>
        <v>210</v>
      </c>
      <c r="N141" s="480">
        <f t="shared" si="145"/>
        <v>33</v>
      </c>
      <c r="O141" s="480">
        <f t="shared" si="146"/>
        <v>40</v>
      </c>
      <c r="P141" s="481">
        <f t="shared" si="147"/>
        <v>34</v>
      </c>
      <c r="Q141" s="327" t="s">
        <v>2335</v>
      </c>
    </row>
    <row r="142" spans="10:17" ht="24.75">
      <c r="J142" s="10" t="s">
        <v>2328</v>
      </c>
      <c r="K142" s="10"/>
      <c r="L142" s="10">
        <f>ABS([1]!sn(L139))</f>
        <v>58.57678044293651</v>
      </c>
      <c r="M142" s="472">
        <f t="shared" si="144"/>
        <v>58</v>
      </c>
      <c r="N142" s="472">
        <f t="shared" si="145"/>
        <v>34</v>
      </c>
      <c r="O142" s="472">
        <f t="shared" si="146"/>
        <v>36</v>
      </c>
      <c r="P142" s="471">
        <f t="shared" si="147"/>
        <v>24</v>
      </c>
    </row>
    <row r="143" spans="10:17" ht="24.75">
      <c r="J143" s="10" t="s">
        <v>697</v>
      </c>
      <c r="K143" s="10"/>
      <c r="L143" s="10">
        <f>[1]!tn(L118)</f>
        <v>2.5744456940665832</v>
      </c>
      <c r="M143" s="472">
        <f t="shared" si="144"/>
        <v>2</v>
      </c>
      <c r="N143" s="472">
        <f t="shared" si="145"/>
        <v>34</v>
      </c>
      <c r="O143" s="472">
        <f t="shared" si="146"/>
        <v>28</v>
      </c>
      <c r="P143" s="471">
        <f t="shared" si="147"/>
        <v>0</v>
      </c>
    </row>
    <row r="144" spans="10:17" ht="24.75">
      <c r="J144" s="10" t="s">
        <v>787</v>
      </c>
      <c r="K144" s="10"/>
      <c r="L144" s="10">
        <f>L142*L143</f>
        <v>150.80274018360154</v>
      </c>
      <c r="M144" s="472">
        <f>INT(ABS(L144))</f>
        <v>150</v>
      </c>
      <c r="N144" s="472">
        <f>INT((ABS(L144)-M144)*60)</f>
        <v>48</v>
      </c>
      <c r="O144" s="472">
        <f>INT((((ABS(L144)-M144)*60)-N144)*60)</f>
        <v>9</v>
      </c>
      <c r="P144" s="471">
        <f>INT((((((ABS(L144)-M144)*60)-N144)*60)-O144)*60)</f>
        <v>51</v>
      </c>
    </row>
    <row r="145" spans="10:16" ht="24.75">
      <c r="J145" s="10" t="s">
        <v>2318</v>
      </c>
      <c r="K145" s="10"/>
      <c r="L145" s="10">
        <f>ABS([1]!sn(L123))</f>
        <v>59.569281842964571</v>
      </c>
      <c r="M145" s="472">
        <f>INT(ABS(L145))</f>
        <v>59</v>
      </c>
      <c r="N145" s="472">
        <f>INT((ABS(L145)-M145)*60)</f>
        <v>34</v>
      </c>
      <c r="O145" s="472">
        <f>INT((((ABS(L145)-M145)*60)-N145)*60)</f>
        <v>9</v>
      </c>
      <c r="P145" s="471">
        <f>INT((((((ABS(L145)-M145)*60)-N145)*60)-O145)*60)</f>
        <v>24</v>
      </c>
    </row>
    <row r="146" spans="10:16" ht="24.75">
      <c r="J146" s="10"/>
      <c r="K146" s="10"/>
      <c r="L146" s="10">
        <f>L144/L145</f>
        <v>2.5315520939323211</v>
      </c>
      <c r="M146" s="472">
        <f>INT(ABS(L146))</f>
        <v>2</v>
      </c>
      <c r="N146" s="472">
        <f>INT((ABS(L146)-M146)*60)</f>
        <v>31</v>
      </c>
      <c r="O146" s="472">
        <f>INT((((ABS(L146)-M146)*60)-N146)*60)</f>
        <v>53</v>
      </c>
      <c r="P146" s="471">
        <f>INT((((((ABS(L146)-M146)*60)-N146)*60)-O146)*60)</f>
        <v>35</v>
      </c>
    </row>
    <row r="147" spans="10:16" ht="24.75">
      <c r="J147" s="16" t="s">
        <v>2334</v>
      </c>
      <c r="K147" s="16"/>
      <c r="L147" s="16">
        <f>IF(L116&lt;=180,[1]!atj(L146),[1]!atj(L146)*-1)</f>
        <v>2.4160211816043846</v>
      </c>
      <c r="M147" s="480">
        <f>INT(ABS(L147))</f>
        <v>2</v>
      </c>
      <c r="N147" s="480">
        <f>INT((ABS(L147)-M147)*60)</f>
        <v>24</v>
      </c>
      <c r="O147" s="480">
        <f>INT((((ABS(L147)-M147)*60)-N147)*60)</f>
        <v>57</v>
      </c>
      <c r="P147" s="481">
        <f>INT((((((ABS(L147)-M147)*60)-N147)*60)-O147)*60)</f>
        <v>40</v>
      </c>
    </row>
    <row r="148" spans="10:16">
      <c r="J148" s="3" t="s">
        <v>176</v>
      </c>
      <c r="K148" s="3"/>
      <c r="L148" s="3" t="str">
        <f>IF(L116&lt;=90,"شمالی صاعد زائد",IF(AND(L116&gt;90,L116&lt;=180),"شمالی هابط ناقص",IF(AND(L116&gt;10,L116&lt;=270),"جنوبی هابط زائد","جنوبی صاعد ناقص")))</f>
        <v>شمالی هابط ناقص</v>
      </c>
      <c r="M148" s="3"/>
      <c r="N148" s="3"/>
      <c r="O148" s="3"/>
      <c r="P148"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W97"/>
  <sheetViews>
    <sheetView rightToLeft="1" topLeftCell="GX1" zoomScale="90" workbookViewId="0">
      <selection activeCell="HG7" sqref="HG7"/>
    </sheetView>
  </sheetViews>
  <sheetFormatPr defaultRowHeight="15"/>
  <cols>
    <col min="1" max="1" width="15.140625" customWidth="1"/>
    <col min="2" max="2" width="9.5703125" bestFit="1" customWidth="1"/>
    <col min="3" max="3" width="6.85546875" customWidth="1"/>
    <col min="4" max="4" width="13.28515625" customWidth="1"/>
    <col min="5" max="6" width="10.140625" bestFit="1" customWidth="1"/>
    <col min="7" max="7" width="11" customWidth="1"/>
    <col min="9" max="9" width="20.42578125" customWidth="1"/>
    <col min="10" max="10" width="6" customWidth="1"/>
    <col min="11" max="11" width="12.42578125" customWidth="1"/>
    <col min="12" max="13" width="10.140625" bestFit="1" customWidth="1"/>
    <col min="15" max="15" width="6.85546875" customWidth="1"/>
    <col min="16" max="16" width="22.42578125" customWidth="1"/>
    <col min="17" max="21" width="9.5703125" bestFit="1" customWidth="1"/>
    <col min="22" max="23" width="9.42578125" bestFit="1" customWidth="1"/>
    <col min="24" max="25" width="9.28515625" bestFit="1" customWidth="1"/>
    <col min="28" max="28" width="20.28515625" customWidth="1"/>
    <col min="29" max="37" width="9.28515625" bestFit="1" customWidth="1"/>
    <col min="39" max="39" width="14.42578125" customWidth="1"/>
    <col min="40" max="40" width="25.140625" customWidth="1"/>
    <col min="41" max="41" width="14.42578125" bestFit="1" customWidth="1"/>
    <col min="42" max="49" width="9.28515625" bestFit="1" customWidth="1"/>
    <col min="51" max="51" width="15.28515625" bestFit="1" customWidth="1"/>
    <col min="52" max="53" width="9.28515625" bestFit="1" customWidth="1"/>
    <col min="54" max="54" width="10.7109375" customWidth="1"/>
    <col min="55" max="55" width="9.28515625" bestFit="1" customWidth="1"/>
    <col min="57" max="57" width="24.85546875" customWidth="1"/>
    <col min="58" max="58" width="14" customWidth="1"/>
    <col min="59" max="62" width="9.42578125" bestFit="1" customWidth="1"/>
    <col min="65" max="65" width="14.42578125" bestFit="1" customWidth="1"/>
    <col min="66" max="70" width="9.42578125" bestFit="1" customWidth="1"/>
    <col min="72" max="72" width="9.42578125" bestFit="1" customWidth="1"/>
    <col min="73" max="73" width="17.42578125" customWidth="1"/>
    <col min="74" max="74" width="12" customWidth="1"/>
    <col min="75" max="78" width="9.42578125" bestFit="1" customWidth="1"/>
    <col min="81" max="81" width="11.42578125" customWidth="1"/>
    <col min="82" max="86" width="9.5703125" bestFit="1" customWidth="1"/>
    <col min="88" max="88" width="9.5703125" bestFit="1" customWidth="1"/>
    <col min="89" max="89" width="20.85546875" customWidth="1"/>
    <col min="90" max="90" width="12" customWidth="1"/>
    <col min="91" max="96" width="9.5703125" bestFit="1" customWidth="1"/>
    <col min="98" max="98" width="12.85546875" customWidth="1"/>
    <col min="99" max="99" width="15.28515625" customWidth="1"/>
    <col min="100" max="100" width="12.7109375" customWidth="1"/>
    <col min="101" max="101" width="9.7109375" bestFit="1" customWidth="1"/>
    <col min="102" max="102" width="12.140625" customWidth="1"/>
    <col min="103" max="105" width="9.7109375" bestFit="1" customWidth="1"/>
    <col min="107" max="107" width="15" customWidth="1"/>
    <col min="108" max="108" width="14.42578125" bestFit="1" customWidth="1"/>
    <col min="109" max="111" width="9.42578125" bestFit="1" customWidth="1"/>
    <col min="112" max="115" width="9.28515625" bestFit="1" customWidth="1"/>
    <col min="117" max="117" width="18.28515625" customWidth="1"/>
    <col min="118" max="118" width="22.5703125" customWidth="1"/>
    <col min="119" max="119" width="15.5703125" bestFit="1" customWidth="1"/>
    <col min="120" max="123" width="9.42578125" bestFit="1" customWidth="1"/>
    <col min="124" max="124" width="17.42578125" customWidth="1"/>
    <col min="125" max="125" width="9.28515625" bestFit="1" customWidth="1"/>
    <col min="127" max="127" width="14.140625" customWidth="1"/>
    <col min="128" max="128" width="12.42578125" customWidth="1"/>
    <col min="129" max="134" width="9.28515625" bestFit="1" customWidth="1"/>
    <col min="135" max="135" width="13.140625" customWidth="1"/>
    <col min="137" max="137" width="14.140625" customWidth="1"/>
    <col min="138" max="138" width="13.85546875" customWidth="1"/>
    <col min="139" max="144" width="9.42578125" bestFit="1" customWidth="1"/>
    <col min="145" max="145" width="14.140625" customWidth="1"/>
    <col min="146" max="146" width="17.140625" customWidth="1"/>
    <col min="147" max="147" width="12.140625" bestFit="1" customWidth="1"/>
    <col min="148" max="153" width="9.28515625" bestFit="1" customWidth="1"/>
    <col min="154" max="154" width="9.42578125" bestFit="1" customWidth="1"/>
    <col min="158" max="159" width="9.42578125" bestFit="1" customWidth="1"/>
    <col min="160" max="163" width="9.5703125" bestFit="1" customWidth="1"/>
    <col min="164" max="165" width="9.42578125" bestFit="1" customWidth="1"/>
    <col min="166" max="166" width="9.28515625" bestFit="1" customWidth="1"/>
    <col min="167" max="167" width="11.28515625" bestFit="1" customWidth="1"/>
    <col min="168" max="168" width="9.28515625" bestFit="1" customWidth="1"/>
    <col min="169" max="169" width="9.5703125" bestFit="1" customWidth="1"/>
    <col min="170" max="173" width="9.7109375" bestFit="1" customWidth="1"/>
    <col min="174" max="174" width="12.42578125" bestFit="1" customWidth="1"/>
    <col min="175" max="175" width="9.5703125" bestFit="1" customWidth="1"/>
    <col min="176" max="176" width="21" bestFit="1" customWidth="1"/>
    <col min="177" max="177" width="9.42578125" bestFit="1" customWidth="1"/>
    <col min="178" max="178" width="9.28515625" bestFit="1" customWidth="1"/>
    <col min="179" max="180" width="9.42578125" bestFit="1" customWidth="1"/>
    <col min="181" max="183" width="9.5703125" bestFit="1" customWidth="1"/>
    <col min="184" max="184" width="9.42578125" bestFit="1" customWidth="1"/>
    <col min="185" max="185" width="9.5703125" bestFit="1" customWidth="1"/>
    <col min="186" max="186" width="9.28515625" bestFit="1" customWidth="1"/>
    <col min="189" max="189" width="15.28515625" bestFit="1" customWidth="1"/>
    <col min="190" max="197" width="9.28515625" bestFit="1" customWidth="1"/>
    <col min="199" max="199" width="16.5703125" bestFit="1" customWidth="1"/>
    <col min="200" max="200" width="9.28515625" bestFit="1" customWidth="1"/>
    <col min="201" max="203" width="9.42578125" bestFit="1" customWidth="1"/>
    <col min="204" max="204" width="9.5703125" bestFit="1" customWidth="1"/>
    <col min="205" max="206" width="9.42578125" bestFit="1" customWidth="1"/>
    <col min="209" max="209" width="16.85546875" customWidth="1"/>
    <col min="210" max="210" width="9.42578125" bestFit="1" customWidth="1"/>
    <col min="211" max="211" width="9.28515625" bestFit="1" customWidth="1"/>
    <col min="212" max="215" width="9.42578125" bestFit="1" customWidth="1"/>
    <col min="218" max="218" width="13.28515625" bestFit="1" customWidth="1"/>
    <col min="219" max="221" width="9.85546875" bestFit="1" customWidth="1"/>
    <col min="222" max="223" width="9.28515625" bestFit="1" customWidth="1"/>
    <col min="224" max="224" width="13.5703125" customWidth="1"/>
    <col min="225" max="226" width="9.28515625" bestFit="1" customWidth="1"/>
    <col min="227" max="227" width="13.42578125" bestFit="1" customWidth="1"/>
    <col min="228" max="229" width="10" bestFit="1" customWidth="1"/>
    <col min="230" max="230" width="9.85546875" bestFit="1" customWidth="1"/>
  </cols>
  <sheetData>
    <row r="1" spans="1:231">
      <c r="C1" t="s">
        <v>512</v>
      </c>
      <c r="I1" t="s">
        <v>513</v>
      </c>
      <c r="P1" t="s">
        <v>514</v>
      </c>
      <c r="CV1" t="s">
        <v>515</v>
      </c>
    </row>
    <row r="2" spans="1:231" ht="24.75">
      <c r="C2" s="34" t="s">
        <v>516</v>
      </c>
      <c r="D2" s="34"/>
      <c r="E2" s="34"/>
      <c r="F2" s="34"/>
      <c r="G2" s="34"/>
      <c r="I2" s="34" t="s">
        <v>516</v>
      </c>
      <c r="J2" s="34"/>
      <c r="K2" s="34"/>
      <c r="L2" s="34"/>
      <c r="M2" s="34"/>
      <c r="P2" s="34" t="s">
        <v>517</v>
      </c>
      <c r="Q2" s="6"/>
      <c r="R2" s="52" t="s">
        <v>518</v>
      </c>
      <c r="S2" s="52" t="s">
        <v>166</v>
      </c>
      <c r="T2" s="52" t="s">
        <v>167</v>
      </c>
      <c r="U2" s="52" t="s">
        <v>168</v>
      </c>
      <c r="V2" s="52" t="s">
        <v>199</v>
      </c>
      <c r="W2" s="53" t="s">
        <v>200</v>
      </c>
      <c r="X2" s="53" t="s">
        <v>201</v>
      </c>
      <c r="Y2" s="27"/>
      <c r="Z2" s="27"/>
      <c r="AB2" s="34" t="s">
        <v>517</v>
      </c>
      <c r="AC2" s="6"/>
      <c r="AD2" s="52" t="s">
        <v>518</v>
      </c>
      <c r="AE2" s="52" t="s">
        <v>166</v>
      </c>
      <c r="AF2" s="52" t="s">
        <v>167</v>
      </c>
      <c r="AG2" s="52" t="s">
        <v>168</v>
      </c>
      <c r="AH2" s="52" t="s">
        <v>199</v>
      </c>
      <c r="AI2" s="53" t="s">
        <v>200</v>
      </c>
      <c r="AJ2" s="53" t="s">
        <v>201</v>
      </c>
      <c r="AK2" s="27"/>
      <c r="AN2" s="34" t="s">
        <v>517</v>
      </c>
      <c r="AO2" s="6"/>
      <c r="AP2" s="52" t="s">
        <v>518</v>
      </c>
      <c r="AQ2" s="52" t="s">
        <v>166</v>
      </c>
      <c r="AR2" s="52" t="s">
        <v>167</v>
      </c>
      <c r="AS2" s="52" t="s">
        <v>168</v>
      </c>
      <c r="AT2" s="52" t="s">
        <v>199</v>
      </c>
      <c r="AU2" s="53" t="s">
        <v>200</v>
      </c>
      <c r="AV2" s="53" t="s">
        <v>201</v>
      </c>
      <c r="BU2" s="9" t="s">
        <v>399</v>
      </c>
      <c r="BV2" s="9"/>
      <c r="BW2" s="54" t="s">
        <v>172</v>
      </c>
      <c r="BX2" s="54" t="s">
        <v>166</v>
      </c>
      <c r="BY2" s="54" t="s">
        <v>167</v>
      </c>
      <c r="BZ2" s="54" t="s">
        <v>168</v>
      </c>
      <c r="CB2" s="55"/>
      <c r="CC2" s="56" t="s">
        <v>519</v>
      </c>
      <c r="CD2" s="56"/>
      <c r="CE2" s="54" t="s">
        <v>172</v>
      </c>
      <c r="CF2" s="54" t="s">
        <v>166</v>
      </c>
      <c r="CG2" s="54" t="s">
        <v>167</v>
      </c>
      <c r="CH2" s="54" t="s">
        <v>168</v>
      </c>
      <c r="CK2" s="57" t="s">
        <v>520</v>
      </c>
      <c r="CL2" s="23"/>
      <c r="CM2" s="54" t="s">
        <v>172</v>
      </c>
      <c r="CN2" s="54" t="s">
        <v>166</v>
      </c>
      <c r="CO2" s="54" t="s">
        <v>167</v>
      </c>
      <c r="CP2" s="54" t="s">
        <v>168</v>
      </c>
      <c r="CQ2" s="54" t="s">
        <v>199</v>
      </c>
      <c r="CV2" s="58" t="s">
        <v>401</v>
      </c>
      <c r="DB2" s="27"/>
      <c r="DD2" s="58" t="s">
        <v>402</v>
      </c>
      <c r="DL2" s="27"/>
      <c r="DN2" s="58" t="s">
        <v>521</v>
      </c>
      <c r="DY2" s="58" t="s">
        <v>522</v>
      </c>
      <c r="EE2" s="27"/>
      <c r="EG2" s="58" t="s">
        <v>523</v>
      </c>
      <c r="EO2" s="27"/>
      <c r="EP2" s="58" t="s">
        <v>524</v>
      </c>
      <c r="FB2" s="58" t="s">
        <v>388</v>
      </c>
      <c r="FL2" s="59" t="s">
        <v>525</v>
      </c>
      <c r="FM2" s="60"/>
      <c r="FN2" s="60"/>
      <c r="FO2" s="60"/>
      <c r="FP2" s="60"/>
      <c r="FQ2" s="60"/>
      <c r="FR2" s="60"/>
      <c r="FS2" s="60"/>
      <c r="FT2" s="61"/>
      <c r="FU2" s="60"/>
      <c r="FV2" s="33"/>
      <c r="FW2" s="62"/>
      <c r="FY2" s="58" t="s">
        <v>526</v>
      </c>
      <c r="GG2" s="58" t="s">
        <v>527</v>
      </c>
      <c r="GO2" s="27"/>
      <c r="GQ2" s="58" t="s">
        <v>528</v>
      </c>
    </row>
    <row r="3" spans="1:231" ht="27">
      <c r="A3" t="s">
        <v>401</v>
      </c>
      <c r="B3">
        <v>22</v>
      </c>
      <c r="C3" s="54"/>
      <c r="D3" s="54"/>
      <c r="E3" s="54" t="s">
        <v>518</v>
      </c>
      <c r="F3" s="54" t="s">
        <v>166</v>
      </c>
      <c r="G3" s="54" t="s">
        <v>167</v>
      </c>
      <c r="I3" s="54"/>
      <c r="J3" s="54"/>
      <c r="K3" s="54" t="s">
        <v>518</v>
      </c>
      <c r="L3" s="54" t="s">
        <v>166</v>
      </c>
      <c r="M3" s="54" t="s">
        <v>167</v>
      </c>
      <c r="P3" s="63" t="s">
        <v>529</v>
      </c>
      <c r="Q3" s="63">
        <v>42.554166666999997</v>
      </c>
      <c r="R3" s="64">
        <f t="shared" ref="R3:R8" si="0">INT(ABS(Q3))</f>
        <v>42</v>
      </c>
      <c r="S3" s="64">
        <f t="shared" ref="S3:S8" si="1">INT((ABS(Q3)-R3)*60)</f>
        <v>33</v>
      </c>
      <c r="T3" s="64">
        <f t="shared" ref="T3:T9" si="2">INT((((ABS(Q3)-R3)*60)-S3)*60)</f>
        <v>15</v>
      </c>
      <c r="U3" s="65">
        <f t="shared" ref="U3:U8" si="3">INT((((((ABS(Q3)-R3)*60)-S3)*60)-T3)*60)</f>
        <v>0</v>
      </c>
      <c r="V3" s="65">
        <f t="shared" ref="V3:V8" si="4">INT((((((((ABS(Q3)-R3)*60)-S3)*60)-T3)*60)-U3)*60)</f>
        <v>0</v>
      </c>
      <c r="W3" s="65">
        <f t="shared" ref="W3:W8" si="5">INT((((((((((ABS(Q3)-R3)*60)-S3)*60)-T3)*60)-U3)*60)-V3)*60)</f>
        <v>0</v>
      </c>
      <c r="X3" s="65">
        <f t="shared" ref="X3:X8" si="6">INT((((((((((((ABS(Q3)-R3)*60)-S3)*60)-T3)*60)-U3)*60)-V3)*60)-W3)*60)</f>
        <v>15</v>
      </c>
      <c r="AB3" s="63" t="s">
        <v>529</v>
      </c>
      <c r="AC3" s="63">
        <v>42.554166666999997</v>
      </c>
      <c r="AD3" s="64">
        <f t="shared" ref="AD3:AD8" si="7">INT(ABS(AC3))</f>
        <v>42</v>
      </c>
      <c r="AE3" s="64">
        <f t="shared" ref="AE3:AE8" si="8">INT((ABS(AC3)-AD3)*60)</f>
        <v>33</v>
      </c>
      <c r="AF3" s="64">
        <f t="shared" ref="AF3:AF9" si="9">INT((((ABS(AC3)-AD3)*60)-AE3)*60)</f>
        <v>15</v>
      </c>
      <c r="AG3" s="65">
        <f t="shared" ref="AG3:AG8" si="10">INT((((((ABS(AC3)-AD3)*60)-AE3)*60)-AF3)*60)</f>
        <v>0</v>
      </c>
      <c r="AH3" s="65">
        <f t="shared" ref="AH3:AH8" si="11">INT((((((((ABS(AC3)-AD3)*60)-AE3)*60)-AF3)*60)-AG3)*60)</f>
        <v>0</v>
      </c>
      <c r="AI3" s="65">
        <f t="shared" ref="AI3:AI8" si="12">INT((((((((((ABS(AC3)-AD3)*60)-AE3)*60)-AF3)*60)-AG3)*60)-AH3)*60)</f>
        <v>0</v>
      </c>
      <c r="AJ3" s="65">
        <f t="shared" ref="AJ3:AJ8" si="13">INT((((((((((((ABS(AC3)-AD3)*60)-AE3)*60)-AF3)*60)-AG3)*60)-AH3)*60)-AI3)*60)</f>
        <v>15</v>
      </c>
      <c r="AM3" s="10"/>
      <c r="AN3" s="63" t="s">
        <v>378</v>
      </c>
      <c r="AO3" s="63">
        <v>42.643055556</v>
      </c>
      <c r="AP3" s="64">
        <f t="shared" ref="AP3:AP20" si="14">INT(ABS(AO3))</f>
        <v>42</v>
      </c>
      <c r="AQ3" s="64">
        <f t="shared" ref="AQ3:AQ20" si="15">INT((ABS(AO3)-AP3)*60)</f>
        <v>38</v>
      </c>
      <c r="AR3" s="64">
        <f t="shared" ref="AR3:AR20" si="16">INT((((ABS(AO3)-AP3)*60)-AQ3)*60)</f>
        <v>35</v>
      </c>
      <c r="AS3" s="65">
        <f t="shared" ref="AS3:AS20" si="17">INT((((((ABS(AO3)-AP3)*60)-AQ3)*60)-AR3)*60)</f>
        <v>0</v>
      </c>
      <c r="AT3" s="65">
        <f t="shared" ref="AT3:AT20" si="18">INT((((((((ABS(AO3)-AP3)*60)-AQ3)*60)-AR3)*60)-AS3)*60)</f>
        <v>0</v>
      </c>
      <c r="AU3" s="65">
        <f t="shared" ref="AU3:AU20" si="19">INT((((((((((ABS(AO3)-AP3)*60)-AQ3)*60)-AR3)*60)-AS3)*60)-AT3)*60)</f>
        <v>0</v>
      </c>
      <c r="AV3" s="65">
        <f t="shared" ref="AV3:AV20" si="20">INT((((((((((((ABS(AO3)-AP3)*60)-AQ3)*60)-AR3)*60)-AS3)*60)-AT3)*60)-AU3)*60)</f>
        <v>20</v>
      </c>
      <c r="AY3" s="63">
        <v>42.643055556</v>
      </c>
      <c r="AZ3" s="64">
        <f t="shared" ref="AZ3:AZ23" si="21">INT(ABS(AY3))</f>
        <v>42</v>
      </c>
      <c r="BA3" s="64">
        <f t="shared" ref="BA3:BA23" si="22">INT((ABS(AY3)-AZ3)*60)</f>
        <v>38</v>
      </c>
      <c r="BB3" s="64">
        <f t="shared" ref="BB3:BB23" si="23">INT((((ABS(AY3)-AZ3)*60)-BA3)*60)</f>
        <v>35</v>
      </c>
      <c r="BC3" s="65">
        <f t="shared" ref="BC3:BC23" si="24">INT((((((ABS(AY3)-AZ3)*60)-BA3)*60)-BB3)*60)</f>
        <v>0</v>
      </c>
      <c r="BT3">
        <v>1</v>
      </c>
      <c r="BU3" s="30" t="s">
        <v>530</v>
      </c>
      <c r="BV3" s="30">
        <v>45</v>
      </c>
      <c r="BW3" s="64">
        <f>INT(ABS(BV3))</f>
        <v>45</v>
      </c>
      <c r="BX3" s="64">
        <f>INT((ABS(BV3)-BW3)*60)</f>
        <v>0</v>
      </c>
      <c r="BY3" s="64">
        <f>INT((((ABS(BV3)-BW3)*60)-BX3)*60)</f>
        <v>0</v>
      </c>
      <c r="BZ3" s="65">
        <f>INT((((((ABS(BV3)-BW3)*60)-BX3)*60)-BY3)*60)</f>
        <v>0</v>
      </c>
      <c r="CB3" s="55" t="s">
        <v>531</v>
      </c>
      <c r="CC3" s="66" t="s">
        <v>443</v>
      </c>
      <c r="CD3" s="66">
        <v>1</v>
      </c>
      <c r="CE3" s="64">
        <f t="shared" ref="CE3:CE10" si="25">INT(ABS(CD3))</f>
        <v>1</v>
      </c>
      <c r="CF3" s="64">
        <f t="shared" ref="CF3:CF10" si="26">INT((ABS(CD3)-CE3)*60)</f>
        <v>0</v>
      </c>
      <c r="CG3" s="64">
        <f t="shared" ref="CG3:CG10" si="27">INT((((ABS(CD3)-CE3)*60)-CF3)*60)</f>
        <v>0</v>
      </c>
      <c r="CH3" s="65">
        <f t="shared" ref="CH3:CH10" si="28">INT((((((ABS(CD3)-CE3)*60)-CF3)*60)-CG3)*60)</f>
        <v>0</v>
      </c>
      <c r="CJ3" s="33"/>
      <c r="CK3" s="24" t="s">
        <v>532</v>
      </c>
      <c r="CL3" s="24">
        <f>2.73917/2</f>
        <v>1.3695850000000001</v>
      </c>
      <c r="CM3" s="64">
        <f t="shared" ref="CM3:CM21" si="29">INT(ABS(CL3))</f>
        <v>1</v>
      </c>
      <c r="CN3" s="64">
        <f t="shared" ref="CN3:CN13" si="30">INT((ABS(CL3)-CM3)*60)</f>
        <v>22</v>
      </c>
      <c r="CO3" s="64">
        <f t="shared" ref="CO3:CO13" si="31">INT((((ABS(CL3)-CM3)*60)-CN3)*60)</f>
        <v>10</v>
      </c>
      <c r="CP3" s="65">
        <f t="shared" ref="CP3:CP13" si="32">INT((((((ABS(CL3)-CM3)*60)-CN3)*60)-CO3)*60)</f>
        <v>30</v>
      </c>
      <c r="CQ3" s="65">
        <f t="shared" ref="CQ3:CQ13" si="33">INT((((((((ABS(CL3)-CM3)*60)-CN3)*60)-CO3)*60)-CP3)*60)</f>
        <v>21</v>
      </c>
      <c r="CU3" s="7"/>
      <c r="CV3" s="7" t="s">
        <v>533</v>
      </c>
      <c r="CW3" s="7" t="s">
        <v>4</v>
      </c>
      <c r="CX3" s="7" t="s">
        <v>5</v>
      </c>
      <c r="CY3" s="7" t="s">
        <v>219</v>
      </c>
      <c r="CZ3" s="7" t="s">
        <v>166</v>
      </c>
      <c r="DA3" s="7" t="s">
        <v>167</v>
      </c>
      <c r="DB3" s="27"/>
      <c r="DC3" s="7"/>
      <c r="DD3" s="7" t="s">
        <v>86</v>
      </c>
      <c r="DE3" s="7" t="s">
        <v>4</v>
      </c>
      <c r="DF3" s="7" t="s">
        <v>5</v>
      </c>
      <c r="DG3" s="7" t="s">
        <v>219</v>
      </c>
      <c r="DH3" s="7" t="s">
        <v>166</v>
      </c>
      <c r="DI3" s="7" t="s">
        <v>167</v>
      </c>
      <c r="DJ3" s="7"/>
      <c r="DK3" s="7"/>
      <c r="DL3" s="27"/>
      <c r="DM3" s="7"/>
      <c r="DN3" s="7" t="s">
        <v>86</v>
      </c>
      <c r="DO3" s="7" t="s">
        <v>4</v>
      </c>
      <c r="DP3" s="7" t="s">
        <v>5</v>
      </c>
      <c r="DQ3" s="7" t="s">
        <v>219</v>
      </c>
      <c r="DR3" s="7" t="s">
        <v>166</v>
      </c>
      <c r="DS3" s="7" t="s">
        <v>167</v>
      </c>
      <c r="DT3" s="7"/>
      <c r="DU3" s="7"/>
      <c r="DW3" t="s">
        <v>534</v>
      </c>
      <c r="DX3" s="7"/>
      <c r="DY3" s="7" t="s">
        <v>533</v>
      </c>
      <c r="DZ3" s="7" t="s">
        <v>4</v>
      </c>
      <c r="EA3" s="7" t="s">
        <v>5</v>
      </c>
      <c r="EB3" s="7" t="s">
        <v>219</v>
      </c>
      <c r="EC3" s="7" t="s">
        <v>166</v>
      </c>
      <c r="ED3" s="7" t="s">
        <v>167</v>
      </c>
      <c r="EE3" t="s">
        <v>534</v>
      </c>
      <c r="EF3" s="7"/>
      <c r="EG3" s="7" t="s">
        <v>86</v>
      </c>
      <c r="EH3" s="7" t="s">
        <v>4</v>
      </c>
      <c r="EI3" s="7" t="s">
        <v>5</v>
      </c>
      <c r="EJ3" s="7" t="s">
        <v>219</v>
      </c>
      <c r="EK3" s="7" t="s">
        <v>166</v>
      </c>
      <c r="EL3" s="7" t="s">
        <v>167</v>
      </c>
      <c r="EM3" s="7"/>
      <c r="EN3" s="7"/>
      <c r="EO3" t="s">
        <v>534</v>
      </c>
      <c r="EP3" s="7"/>
      <c r="EQ3" s="7" t="s">
        <v>86</v>
      </c>
      <c r="ER3" s="7" t="s">
        <v>4</v>
      </c>
      <c r="ES3" s="7" t="s">
        <v>5</v>
      </c>
      <c r="ET3" s="7" t="s">
        <v>219</v>
      </c>
      <c r="EU3" s="7" t="s">
        <v>166</v>
      </c>
      <c r="EV3" s="7" t="s">
        <v>167</v>
      </c>
      <c r="EW3" s="7"/>
      <c r="EX3" s="7"/>
      <c r="FA3" s="7"/>
      <c r="FB3" s="7" t="s">
        <v>533</v>
      </c>
      <c r="FC3" s="7" t="s">
        <v>4</v>
      </c>
      <c r="FD3" s="7" t="s">
        <v>5</v>
      </c>
      <c r="FE3" s="7" t="s">
        <v>219</v>
      </c>
      <c r="FF3" s="7" t="s">
        <v>166</v>
      </c>
      <c r="FG3" s="7" t="s">
        <v>167</v>
      </c>
      <c r="FL3" s="67" t="s">
        <v>535</v>
      </c>
      <c r="FM3" s="68" t="s">
        <v>201</v>
      </c>
      <c r="FN3" s="69" t="s">
        <v>200</v>
      </c>
      <c r="FO3" s="69" t="s">
        <v>199</v>
      </c>
      <c r="FP3" s="69" t="s">
        <v>168</v>
      </c>
      <c r="FQ3" s="69" t="s">
        <v>167</v>
      </c>
      <c r="FR3" s="69" t="s">
        <v>166</v>
      </c>
      <c r="FS3" s="70" t="s">
        <v>536</v>
      </c>
      <c r="FT3" s="71" t="s">
        <v>537</v>
      </c>
      <c r="FU3" s="60"/>
      <c r="FV3" s="33"/>
      <c r="FW3" s="33"/>
      <c r="FX3" s="7"/>
      <c r="FY3" s="7" t="s">
        <v>533</v>
      </c>
      <c r="FZ3" s="7" t="s">
        <v>4</v>
      </c>
      <c r="GA3" s="7" t="s">
        <v>5</v>
      </c>
      <c r="GB3" s="7" t="s">
        <v>219</v>
      </c>
      <c r="GC3" s="7" t="s">
        <v>166</v>
      </c>
      <c r="GD3" s="7" t="s">
        <v>167</v>
      </c>
      <c r="GF3" s="7"/>
      <c r="GG3" s="7" t="s">
        <v>86</v>
      </c>
      <c r="GH3" s="7" t="s">
        <v>4</v>
      </c>
      <c r="GI3" s="7" t="s">
        <v>5</v>
      </c>
      <c r="GJ3" s="7" t="s">
        <v>219</v>
      </c>
      <c r="GK3" s="7" t="s">
        <v>166</v>
      </c>
      <c r="GL3" s="7" t="s">
        <v>167</v>
      </c>
      <c r="GM3" s="7"/>
      <c r="GN3" s="7"/>
      <c r="GO3" t="s">
        <v>534</v>
      </c>
      <c r="GP3" s="7"/>
      <c r="GQ3" s="7" t="s">
        <v>86</v>
      </c>
      <c r="GR3" s="7" t="s">
        <v>4</v>
      </c>
      <c r="GS3" s="7" t="s">
        <v>5</v>
      </c>
      <c r="GT3" s="7" t="s">
        <v>219</v>
      </c>
      <c r="GU3" s="7" t="s">
        <v>166</v>
      </c>
      <c r="GV3" s="7" t="s">
        <v>167</v>
      </c>
      <c r="GW3" s="7"/>
      <c r="GX3" s="7"/>
      <c r="HC3" s="34" t="s">
        <v>516</v>
      </c>
      <c r="HD3" s="34"/>
      <c r="HE3" s="34"/>
      <c r="HF3" s="34"/>
      <c r="HG3" s="34"/>
      <c r="HI3" s="34" t="s">
        <v>516</v>
      </c>
      <c r="HJ3" s="34"/>
      <c r="HK3" s="34"/>
      <c r="HL3" s="34"/>
      <c r="HM3" s="34"/>
      <c r="HO3" t="s">
        <v>538</v>
      </c>
      <c r="HP3" s="39">
        <f>FY31</f>
        <v>178.86780096944932</v>
      </c>
      <c r="HQ3" s="64">
        <f t="shared" ref="HQ3:HQ8" si="34">INT(ABS(HP3))</f>
        <v>178</v>
      </c>
      <c r="HR3" s="64">
        <f t="shared" ref="HR3:HR8" si="35">INT((ABS(HP3)-HQ3)*60)</f>
        <v>52</v>
      </c>
      <c r="HS3" s="64">
        <f t="shared" ref="HS3:HS8" si="36">INT((((ABS(HP3)-HQ3)*60)-HR3)*60)</f>
        <v>4</v>
      </c>
      <c r="HT3" s="65">
        <f t="shared" ref="HT3:HT8" si="37">INT((((((ABS(HP3)-HQ3)*60)-HR3)*60)-HS3)*60)</f>
        <v>5</v>
      </c>
      <c r="HU3" s="65">
        <f t="shared" ref="HU3:HU8" si="38">INT((((((((ABS(HP3)-HQ3)*60)-HR3)*60)-HS3)*60)-HT3)*60)</f>
        <v>0</v>
      </c>
      <c r="HV3" s="12"/>
      <c r="HW3" s="12"/>
    </row>
    <row r="4" spans="1:231" ht="27">
      <c r="A4" t="s">
        <v>402</v>
      </c>
      <c r="B4">
        <v>20</v>
      </c>
      <c r="C4" s="63" t="s">
        <v>539</v>
      </c>
      <c r="D4" s="63">
        <v>5.22</v>
      </c>
      <c r="E4" s="51">
        <f t="shared" ref="E4:E9" si="39">INT(D4)</f>
        <v>5</v>
      </c>
      <c r="F4" s="51">
        <f t="shared" ref="F4:F9" si="40">INT((D4-E4)*60)</f>
        <v>13</v>
      </c>
      <c r="G4" s="51">
        <f t="shared" ref="G4:G9" si="41">INT((((D4-E4)*60)-F4)*60)</f>
        <v>11</v>
      </c>
      <c r="I4" s="63" t="s">
        <v>540</v>
      </c>
      <c r="J4" s="63">
        <v>5.22</v>
      </c>
      <c r="K4" s="51">
        <f t="shared" ref="K4:K9" si="42">INT(J4)</f>
        <v>5</v>
      </c>
      <c r="L4" s="51">
        <f t="shared" ref="L4:L9" si="43">INT((J4-K4)*60)</f>
        <v>13</v>
      </c>
      <c r="M4" s="51">
        <f t="shared" ref="M4:M9" si="44">INT((((J4-K4)*60)-L4)*60)</f>
        <v>11</v>
      </c>
      <c r="P4" s="63" t="s">
        <v>386</v>
      </c>
      <c r="Q4" s="63">
        <v>99.194166667000005</v>
      </c>
      <c r="R4" s="64">
        <f t="shared" si="0"/>
        <v>99</v>
      </c>
      <c r="S4" s="64">
        <f t="shared" si="1"/>
        <v>11</v>
      </c>
      <c r="T4" s="64">
        <f t="shared" si="2"/>
        <v>39</v>
      </c>
      <c r="U4" s="65">
        <f t="shared" si="3"/>
        <v>0</v>
      </c>
      <c r="V4" s="65">
        <f t="shared" si="4"/>
        <v>0</v>
      </c>
      <c r="W4" s="65">
        <f t="shared" si="5"/>
        <v>0</v>
      </c>
      <c r="X4" s="65">
        <f t="shared" si="6"/>
        <v>15</v>
      </c>
      <c r="AB4" s="63" t="s">
        <v>386</v>
      </c>
      <c r="AC4" s="63">
        <v>99.194166667000005</v>
      </c>
      <c r="AD4" s="64">
        <f t="shared" si="7"/>
        <v>99</v>
      </c>
      <c r="AE4" s="64">
        <f t="shared" si="8"/>
        <v>11</v>
      </c>
      <c r="AF4" s="64">
        <f t="shared" si="9"/>
        <v>39</v>
      </c>
      <c r="AG4" s="65">
        <f t="shared" si="10"/>
        <v>0</v>
      </c>
      <c r="AH4" s="65">
        <f t="shared" si="11"/>
        <v>0</v>
      </c>
      <c r="AI4" s="65">
        <f t="shared" si="12"/>
        <v>0</v>
      </c>
      <c r="AJ4" s="65">
        <f t="shared" si="13"/>
        <v>15</v>
      </c>
      <c r="AM4" s="10"/>
      <c r="AN4" s="63" t="s">
        <v>529</v>
      </c>
      <c r="AO4" s="63">
        <v>42.554166666999997</v>
      </c>
      <c r="AP4" s="64">
        <f t="shared" si="14"/>
        <v>42</v>
      </c>
      <c r="AQ4" s="64">
        <f t="shared" si="15"/>
        <v>33</v>
      </c>
      <c r="AR4" s="64">
        <f t="shared" si="16"/>
        <v>15</v>
      </c>
      <c r="AS4" s="65">
        <f t="shared" si="17"/>
        <v>0</v>
      </c>
      <c r="AT4" s="65">
        <f t="shared" si="18"/>
        <v>0</v>
      </c>
      <c r="AU4" s="65">
        <f t="shared" si="19"/>
        <v>0</v>
      </c>
      <c r="AV4" s="65">
        <f t="shared" si="20"/>
        <v>15</v>
      </c>
      <c r="AY4" s="63">
        <v>42.554166666999997</v>
      </c>
      <c r="AZ4" s="64">
        <f t="shared" si="21"/>
        <v>42</v>
      </c>
      <c r="BA4" s="64">
        <f t="shared" si="22"/>
        <v>33</v>
      </c>
      <c r="BB4" s="64">
        <f t="shared" si="23"/>
        <v>15</v>
      </c>
      <c r="BC4" s="65">
        <f t="shared" si="24"/>
        <v>0</v>
      </c>
      <c r="BE4" t="s">
        <v>511</v>
      </c>
      <c r="BL4" t="s">
        <v>511</v>
      </c>
      <c r="BT4">
        <v>2</v>
      </c>
      <c r="BU4" s="29" t="s">
        <v>541</v>
      </c>
      <c r="BV4" s="29">
        <v>0</v>
      </c>
      <c r="BW4" s="64">
        <f>INT(ABS(BV4))</f>
        <v>0</v>
      </c>
      <c r="BX4" s="64">
        <f>INT((ABS(BV4)-BW4)*60)</f>
        <v>0</v>
      </c>
      <c r="BY4" s="64">
        <f>INT((((ABS(BV4)-BW4)*60)-BX4)*60)</f>
        <v>0</v>
      </c>
      <c r="BZ4" s="65">
        <f>INT((((((ABS(BV4)-BW4)*60)-BX4)*60)-BY4)*60)</f>
        <v>0</v>
      </c>
      <c r="CB4" s="55"/>
      <c r="CC4" s="66"/>
      <c r="CD4" s="66">
        <f>IF(CD3&lt;180,CD3,CD3-180)</f>
        <v>1</v>
      </c>
      <c r="CE4" s="64">
        <f t="shared" si="25"/>
        <v>1</v>
      </c>
      <c r="CF4" s="64">
        <f t="shared" si="26"/>
        <v>0</v>
      </c>
      <c r="CG4" s="64">
        <f t="shared" si="27"/>
        <v>0</v>
      </c>
      <c r="CH4" s="65">
        <f t="shared" si="28"/>
        <v>0</v>
      </c>
      <c r="CJ4" s="33" t="s">
        <v>144</v>
      </c>
      <c r="CK4" s="4" t="s">
        <v>530</v>
      </c>
      <c r="CL4" s="4">
        <v>46</v>
      </c>
      <c r="CM4" s="64">
        <f t="shared" si="29"/>
        <v>46</v>
      </c>
      <c r="CN4" s="64">
        <f t="shared" si="30"/>
        <v>0</v>
      </c>
      <c r="CO4" s="64">
        <f t="shared" si="31"/>
        <v>0</v>
      </c>
      <c r="CP4" s="65">
        <f t="shared" si="32"/>
        <v>0</v>
      </c>
      <c r="CQ4" s="65">
        <f t="shared" si="33"/>
        <v>0</v>
      </c>
      <c r="CR4">
        <f>BV3</f>
        <v>45</v>
      </c>
      <c r="CU4" s="7" t="s">
        <v>144</v>
      </c>
      <c r="CV4" s="7">
        <v>1286</v>
      </c>
      <c r="CW4" s="7">
        <v>8</v>
      </c>
      <c r="CX4" s="7">
        <v>21</v>
      </c>
      <c r="CY4" s="7">
        <v>3</v>
      </c>
      <c r="CZ4" s="7">
        <v>45</v>
      </c>
      <c r="DA4" s="7">
        <v>20</v>
      </c>
      <c r="DB4" s="72"/>
      <c r="DC4" s="7" t="s">
        <v>144</v>
      </c>
      <c r="DD4" s="7">
        <v>1286</v>
      </c>
      <c r="DE4" s="7">
        <v>8</v>
      </c>
      <c r="DF4" s="7">
        <v>21</v>
      </c>
      <c r="DG4" s="7">
        <v>3</v>
      </c>
      <c r="DH4" s="7">
        <v>45</v>
      </c>
      <c r="DI4" s="7">
        <v>20</v>
      </c>
      <c r="DJ4" s="7"/>
      <c r="DK4" s="7"/>
      <c r="DL4" s="33"/>
      <c r="DM4" s="7" t="s">
        <v>144</v>
      </c>
      <c r="DN4" s="7">
        <v>1285</v>
      </c>
      <c r="DO4" s="7">
        <v>7</v>
      </c>
      <c r="DP4" s="7">
        <v>1</v>
      </c>
      <c r="DQ4" s="7">
        <v>0</v>
      </c>
      <c r="DR4" s="7">
        <v>0</v>
      </c>
      <c r="DS4" s="7">
        <v>0</v>
      </c>
      <c r="DT4" s="7"/>
      <c r="DU4" s="7"/>
      <c r="DW4">
        <v>1</v>
      </c>
      <c r="DX4" s="7" t="s">
        <v>144</v>
      </c>
      <c r="DY4" s="7">
        <v>1251</v>
      </c>
      <c r="DZ4" s="7">
        <v>0</v>
      </c>
      <c r="EA4" s="7">
        <v>0</v>
      </c>
      <c r="EB4" s="7">
        <v>0</v>
      </c>
      <c r="EC4" s="7">
        <v>10</v>
      </c>
      <c r="ED4" s="7">
        <v>6</v>
      </c>
      <c r="EE4">
        <f>DW4</f>
        <v>1</v>
      </c>
      <c r="EF4" s="7" t="s">
        <v>144</v>
      </c>
      <c r="EG4" s="7">
        <f t="shared" ref="EG4:EL4" si="45">DY4</f>
        <v>1251</v>
      </c>
      <c r="EH4" s="7">
        <f t="shared" si="45"/>
        <v>0</v>
      </c>
      <c r="EI4" s="7">
        <f t="shared" si="45"/>
        <v>0</v>
      </c>
      <c r="EJ4" s="7">
        <f t="shared" si="45"/>
        <v>0</v>
      </c>
      <c r="EK4" s="7">
        <f t="shared" si="45"/>
        <v>10</v>
      </c>
      <c r="EL4" s="7">
        <f t="shared" si="45"/>
        <v>6</v>
      </c>
      <c r="EM4" s="7"/>
      <c r="EN4" s="7"/>
      <c r="EO4">
        <v>50</v>
      </c>
      <c r="EP4" s="7" t="s">
        <v>144</v>
      </c>
      <c r="EQ4" s="7">
        <v>1251</v>
      </c>
      <c r="ER4" s="7"/>
      <c r="ES4" s="7">
        <v>1</v>
      </c>
      <c r="ET4" s="7">
        <f>EB4</f>
        <v>0</v>
      </c>
      <c r="EU4" s="7">
        <v>0</v>
      </c>
      <c r="EV4" s="7">
        <v>0</v>
      </c>
      <c r="EW4" s="7"/>
      <c r="EX4" s="7"/>
      <c r="FA4" s="7" t="s">
        <v>144</v>
      </c>
      <c r="FB4" s="7">
        <v>1286</v>
      </c>
      <c r="FC4" s="7">
        <v>8</v>
      </c>
      <c r="FD4" s="7">
        <v>21</v>
      </c>
      <c r="FE4" s="7">
        <v>3</v>
      </c>
      <c r="FF4" s="7">
        <v>45</v>
      </c>
      <c r="FG4" s="7">
        <v>20</v>
      </c>
      <c r="FL4" s="67" t="s">
        <v>542</v>
      </c>
      <c r="FM4" s="73">
        <v>0</v>
      </c>
      <c r="FN4" s="73">
        <v>0</v>
      </c>
      <c r="FO4" s="73">
        <v>0</v>
      </c>
      <c r="FP4" s="73">
        <v>58</v>
      </c>
      <c r="FQ4" s="73">
        <v>57</v>
      </c>
      <c r="FR4" s="73">
        <v>0</v>
      </c>
      <c r="FS4" s="73">
        <v>2</v>
      </c>
      <c r="FT4" s="74">
        <f>FS4+((((((((((((FM4)/60)+FN4)/60)+FO4)/60)+FP4)/60)+FQ4)/60)+FR4)/60)</f>
        <v>2.0161018518518516</v>
      </c>
      <c r="FU4" s="60"/>
      <c r="FV4" s="33"/>
      <c r="FW4" s="33"/>
      <c r="FX4" s="7" t="s">
        <v>144</v>
      </c>
      <c r="FY4" s="7">
        <v>1251</v>
      </c>
      <c r="FZ4" s="7">
        <v>0</v>
      </c>
      <c r="GA4" s="7">
        <v>0</v>
      </c>
      <c r="GB4" s="7">
        <v>0</v>
      </c>
      <c r="GC4" s="75">
        <f>FR26</f>
        <v>1</v>
      </c>
      <c r="GD4" s="75">
        <f>FQ26</f>
        <v>43</v>
      </c>
      <c r="GF4" s="7" t="s">
        <v>144</v>
      </c>
      <c r="GG4" s="7">
        <v>1251</v>
      </c>
      <c r="GH4" s="7">
        <v>0</v>
      </c>
      <c r="GI4" s="7">
        <v>0</v>
      </c>
      <c r="GJ4" s="7">
        <f>GB4</f>
        <v>0</v>
      </c>
      <c r="GK4" s="75">
        <f>GC4</f>
        <v>1</v>
      </c>
      <c r="GL4" s="75">
        <f>GD4</f>
        <v>43</v>
      </c>
      <c r="GM4" s="7"/>
      <c r="GN4" s="7"/>
      <c r="GO4">
        <v>50</v>
      </c>
      <c r="GP4" s="7" t="s">
        <v>144</v>
      </c>
      <c r="GQ4" s="7">
        <f t="shared" ref="GQ4:GV4" si="46">FY4</f>
        <v>1251</v>
      </c>
      <c r="GR4" s="7">
        <f t="shared" si="46"/>
        <v>0</v>
      </c>
      <c r="GS4" s="7">
        <f t="shared" si="46"/>
        <v>0</v>
      </c>
      <c r="GT4" s="7">
        <f t="shared" si="46"/>
        <v>0</v>
      </c>
      <c r="GU4" s="75">
        <f t="shared" si="46"/>
        <v>1</v>
      </c>
      <c r="GV4" s="7">
        <f t="shared" si="46"/>
        <v>43</v>
      </c>
      <c r="GW4" s="7"/>
      <c r="GX4" s="7"/>
      <c r="HA4" t="s">
        <v>401</v>
      </c>
      <c r="HB4">
        <v>60</v>
      </c>
      <c r="HC4" s="54"/>
      <c r="HD4" s="54"/>
      <c r="HE4" s="54" t="s">
        <v>518</v>
      </c>
      <c r="HF4" s="54" t="s">
        <v>166</v>
      </c>
      <c r="HG4" s="54" t="s">
        <v>167</v>
      </c>
      <c r="HI4" s="54"/>
      <c r="HJ4" s="54"/>
      <c r="HK4" s="54" t="s">
        <v>518</v>
      </c>
      <c r="HL4" s="54" t="s">
        <v>166</v>
      </c>
      <c r="HM4" s="54" t="s">
        <v>167</v>
      </c>
      <c r="HO4" s="60" t="s">
        <v>543</v>
      </c>
      <c r="HP4" s="60">
        <f>HP3+360-GG31</f>
        <v>205.45224789344388</v>
      </c>
      <c r="HQ4" s="64">
        <f t="shared" si="34"/>
        <v>205</v>
      </c>
      <c r="HR4" s="64">
        <f t="shared" si="35"/>
        <v>27</v>
      </c>
      <c r="HS4" s="64">
        <f t="shared" si="36"/>
        <v>8</v>
      </c>
      <c r="HT4" s="65">
        <f t="shared" si="37"/>
        <v>5</v>
      </c>
      <c r="HU4" s="65">
        <f t="shared" si="38"/>
        <v>32</v>
      </c>
      <c r="HV4" s="60"/>
    </row>
    <row r="5" spans="1:231" ht="27">
      <c r="B5" s="10" t="s">
        <v>544</v>
      </c>
      <c r="C5" s="63" t="s">
        <v>545</v>
      </c>
      <c r="D5" s="63">
        <f>IF(AND(B6&gt;=90,B6&lt;=270),B6,0)</f>
        <v>195.03333333333333</v>
      </c>
      <c r="E5" s="51">
        <f t="shared" si="39"/>
        <v>195</v>
      </c>
      <c r="F5" s="51">
        <f t="shared" si="40"/>
        <v>1</v>
      </c>
      <c r="G5" s="51">
        <f t="shared" si="41"/>
        <v>59</v>
      </c>
      <c r="I5" s="63" t="s">
        <v>546</v>
      </c>
      <c r="J5" s="63">
        <f>IF(OR(B6&lt;90,B6&gt;270),B6,0)</f>
        <v>0</v>
      </c>
      <c r="K5" s="51">
        <f t="shared" si="42"/>
        <v>0</v>
      </c>
      <c r="L5" s="51">
        <f t="shared" si="43"/>
        <v>0</v>
      </c>
      <c r="M5" s="51">
        <f t="shared" si="44"/>
        <v>0</v>
      </c>
      <c r="P5" s="63" t="s">
        <v>378</v>
      </c>
      <c r="Q5" s="63">
        <v>42.643055556</v>
      </c>
      <c r="R5" s="64">
        <f t="shared" si="0"/>
        <v>42</v>
      </c>
      <c r="S5" s="64">
        <f t="shared" si="1"/>
        <v>38</v>
      </c>
      <c r="T5" s="64">
        <f t="shared" si="2"/>
        <v>35</v>
      </c>
      <c r="U5" s="65">
        <f t="shared" si="3"/>
        <v>0</v>
      </c>
      <c r="V5" s="65">
        <f t="shared" si="4"/>
        <v>0</v>
      </c>
      <c r="W5" s="65">
        <f t="shared" si="5"/>
        <v>0</v>
      </c>
      <c r="X5" s="65">
        <f t="shared" si="6"/>
        <v>20</v>
      </c>
      <c r="AB5" s="63" t="s">
        <v>378</v>
      </c>
      <c r="AC5" s="63">
        <v>42.643055556</v>
      </c>
      <c r="AD5" s="64">
        <f t="shared" si="7"/>
        <v>42</v>
      </c>
      <c r="AE5" s="64">
        <f t="shared" si="8"/>
        <v>38</v>
      </c>
      <c r="AF5" s="64">
        <f t="shared" si="9"/>
        <v>35</v>
      </c>
      <c r="AG5" s="65">
        <f t="shared" si="10"/>
        <v>0</v>
      </c>
      <c r="AH5" s="65">
        <f t="shared" si="11"/>
        <v>0</v>
      </c>
      <c r="AI5" s="65">
        <f t="shared" si="12"/>
        <v>0</v>
      </c>
      <c r="AJ5" s="65">
        <f t="shared" si="13"/>
        <v>20</v>
      </c>
      <c r="AM5" s="10"/>
      <c r="AN5" s="7" t="s">
        <v>547</v>
      </c>
      <c r="AO5" s="63">
        <v>0.22720833333339999</v>
      </c>
      <c r="AP5" s="64">
        <f t="shared" si="14"/>
        <v>0</v>
      </c>
      <c r="AQ5" s="64">
        <f t="shared" si="15"/>
        <v>13</v>
      </c>
      <c r="AR5" s="64">
        <f t="shared" si="16"/>
        <v>37</v>
      </c>
      <c r="AS5" s="65">
        <f t="shared" si="17"/>
        <v>57</v>
      </c>
      <c r="AT5" s="65">
        <f t="shared" si="18"/>
        <v>0</v>
      </c>
      <c r="AU5" s="65">
        <f t="shared" si="19"/>
        <v>0</v>
      </c>
      <c r="AV5" s="65">
        <f t="shared" si="20"/>
        <v>0</v>
      </c>
      <c r="AY5" s="63">
        <v>0.22720833333339999</v>
      </c>
      <c r="AZ5" s="64">
        <f t="shared" si="21"/>
        <v>0</v>
      </c>
      <c r="BA5" s="64">
        <f t="shared" si="22"/>
        <v>13</v>
      </c>
      <c r="BB5" s="64">
        <f t="shared" si="23"/>
        <v>37</v>
      </c>
      <c r="BC5" s="65">
        <f t="shared" si="24"/>
        <v>57</v>
      </c>
      <c r="BE5" s="7" t="s">
        <v>547</v>
      </c>
      <c r="BF5" s="7">
        <f>AO5</f>
        <v>0.22720833333339999</v>
      </c>
      <c r="BG5" s="64">
        <f t="shared" ref="BG5:BG15" si="47">INT(ABS(BF5))</f>
        <v>0</v>
      </c>
      <c r="BH5" s="64">
        <f t="shared" ref="BH5:BH15" si="48">INT((ABS(BF5)-BG5)*60)</f>
        <v>13</v>
      </c>
      <c r="BI5" s="64">
        <f t="shared" ref="BI5:BI15" si="49">INT((((ABS(BF5)-BG5)*60)-BH5)*60)</f>
        <v>37</v>
      </c>
      <c r="BJ5" s="65">
        <f t="shared" ref="BJ5:BJ15" si="50">INT((((((ABS(BF5)-BG5)*60)-BH5)*60)-BI5)*60)</f>
        <v>57</v>
      </c>
      <c r="BL5" s="7" t="s">
        <v>547</v>
      </c>
      <c r="BM5" s="7">
        <f>AO5</f>
        <v>0.22720833333339999</v>
      </c>
      <c r="BN5" s="64">
        <f t="shared" ref="BN5:BN15" si="51">INT(ABS(BM5))</f>
        <v>0</v>
      </c>
      <c r="BO5" s="64">
        <f t="shared" ref="BO5:BO15" si="52">INT((ABS(BM5)-BN5)*60)</f>
        <v>13</v>
      </c>
      <c r="BP5" s="64">
        <f t="shared" ref="BP5:BP15" si="53">INT((((ABS(BM5)-BN5)*60)-BO5)*60)</f>
        <v>37</v>
      </c>
      <c r="BQ5" s="65">
        <f t="shared" ref="BQ5:BQ15" si="54">INT((((((ABS(BM5)-BN5)*60)-BO5)*60)-BP5)*60)</f>
        <v>57</v>
      </c>
      <c r="BT5">
        <v>3</v>
      </c>
      <c r="BU5" s="24" t="s">
        <v>548</v>
      </c>
      <c r="BV5" s="24">
        <f>BV3*2</f>
        <v>90</v>
      </c>
      <c r="BW5" s="64">
        <f t="shared" ref="BW5:BW18" si="55">INT(ABS(BV5))</f>
        <v>90</v>
      </c>
      <c r="BX5" s="64">
        <f t="shared" ref="BX5:BX19" si="56">INT((ABS(BV5)-BW5)*60)</f>
        <v>0</v>
      </c>
      <c r="BY5" s="64">
        <f t="shared" ref="BY5:BY19" si="57">INT((((ABS(BV5)-BW5)*60)-BX5)*60)</f>
        <v>0</v>
      </c>
      <c r="BZ5" s="65">
        <f t="shared" ref="BZ5:BZ19" si="58">INT((((((ABS(BV5)-BW5)*60)-BX5)*60)-BY5)*60)</f>
        <v>0</v>
      </c>
      <c r="CB5" s="55"/>
      <c r="CC5" s="66" t="s">
        <v>549</v>
      </c>
      <c r="CD5" s="66">
        <v>5.0222222299999997</v>
      </c>
      <c r="CE5" s="64">
        <f t="shared" si="25"/>
        <v>5</v>
      </c>
      <c r="CF5" s="64">
        <f t="shared" si="26"/>
        <v>1</v>
      </c>
      <c r="CG5" s="64">
        <f t="shared" si="27"/>
        <v>20</v>
      </c>
      <c r="CH5" s="65">
        <f t="shared" si="28"/>
        <v>0</v>
      </c>
      <c r="CJ5" s="33" t="s">
        <v>144</v>
      </c>
      <c r="CK5" s="4" t="s">
        <v>550</v>
      </c>
      <c r="CL5" s="4">
        <v>168</v>
      </c>
      <c r="CM5" s="64">
        <f t="shared" si="29"/>
        <v>168</v>
      </c>
      <c r="CN5" s="64">
        <f t="shared" si="30"/>
        <v>0</v>
      </c>
      <c r="CO5" s="64">
        <f t="shared" si="31"/>
        <v>0</v>
      </c>
      <c r="CP5" s="65">
        <f t="shared" si="32"/>
        <v>0</v>
      </c>
      <c r="CQ5" s="65">
        <f t="shared" si="33"/>
        <v>0</v>
      </c>
      <c r="CR5">
        <v>159.07722222999999</v>
      </c>
      <c r="CU5" s="3"/>
      <c r="CV5" s="3">
        <f>CV4-1251</f>
        <v>35</v>
      </c>
      <c r="CW5" s="12"/>
      <c r="CX5" s="12"/>
      <c r="CY5" s="12"/>
      <c r="CZ5" s="12"/>
      <c r="DA5" s="12"/>
      <c r="DB5" s="72"/>
      <c r="DC5" s="2"/>
      <c r="DD5" s="2">
        <f>DD4-1251</f>
        <v>35</v>
      </c>
      <c r="DE5" s="12"/>
      <c r="DF5" s="12"/>
      <c r="DG5" s="12"/>
      <c r="DH5" s="12"/>
      <c r="DI5" s="12"/>
      <c r="DJ5" s="12"/>
      <c r="DK5" s="12"/>
      <c r="DL5" s="33"/>
      <c r="DM5" s="10"/>
      <c r="DN5" s="10">
        <f>DN4-1251</f>
        <v>34</v>
      </c>
      <c r="DO5" s="12"/>
      <c r="DP5" s="12"/>
      <c r="DQ5" s="12"/>
      <c r="DR5" s="12"/>
      <c r="DS5" s="12"/>
      <c r="DT5" s="12"/>
      <c r="DU5" s="12"/>
      <c r="DW5" t="s">
        <v>551</v>
      </c>
      <c r="DX5" s="3"/>
      <c r="DY5" s="3">
        <f>DY4-1251</f>
        <v>0</v>
      </c>
      <c r="DZ5" s="12"/>
      <c r="EA5" s="12"/>
      <c r="EB5" s="12"/>
      <c r="EC5" s="12"/>
      <c r="ED5" s="12"/>
      <c r="EE5" t="s">
        <v>551</v>
      </c>
      <c r="EF5" s="2"/>
      <c r="EG5" s="2">
        <f>EG4-1251</f>
        <v>0</v>
      </c>
      <c r="EH5" s="12"/>
      <c r="EI5" s="12"/>
      <c r="EJ5" s="12"/>
      <c r="EK5" s="12"/>
      <c r="EL5" s="12"/>
      <c r="EM5" s="12"/>
      <c r="EN5" s="12"/>
      <c r="EO5" t="s">
        <v>551</v>
      </c>
      <c r="EP5" s="10"/>
      <c r="EQ5" s="10">
        <f>EQ4-1251</f>
        <v>0</v>
      </c>
      <c r="ER5" s="12"/>
      <c r="ES5" s="12"/>
      <c r="ET5" s="12"/>
      <c r="EU5" s="12"/>
      <c r="EV5" s="12"/>
      <c r="EW5" s="12"/>
      <c r="EX5" s="12"/>
      <c r="FA5" s="3"/>
      <c r="FB5" s="3">
        <f>FB4-1251</f>
        <v>35</v>
      </c>
      <c r="FC5" s="12"/>
      <c r="FD5" s="12"/>
      <c r="FE5" s="12"/>
      <c r="FF5" s="12"/>
      <c r="FG5" s="12"/>
      <c r="FL5" s="67" t="s">
        <v>552</v>
      </c>
      <c r="FM5" s="73">
        <v>0</v>
      </c>
      <c r="FN5" s="73">
        <v>0</v>
      </c>
      <c r="FO5" s="73">
        <v>0</v>
      </c>
      <c r="FP5" s="73">
        <v>0</v>
      </c>
      <c r="FQ5" s="73">
        <v>0</v>
      </c>
      <c r="FR5" s="73">
        <v>0</v>
      </c>
      <c r="FS5" s="73">
        <v>101</v>
      </c>
      <c r="FT5" s="74">
        <f>FS5+((((((((((((FM5)/60)+FN5)/60)+FO5)/60)+FP5)/60)+FQ5)/60)+FR5)/60)</f>
        <v>101</v>
      </c>
      <c r="FU5" s="60"/>
      <c r="FV5" s="33"/>
      <c r="FW5" s="33"/>
      <c r="FX5" s="3"/>
      <c r="FY5" s="3">
        <f>FY4-1251</f>
        <v>0</v>
      </c>
      <c r="FZ5" s="12"/>
      <c r="GA5" s="12"/>
      <c r="GB5" s="12"/>
      <c r="GC5" s="12"/>
      <c r="GD5" s="12"/>
      <c r="GF5" s="2"/>
      <c r="GG5" s="2">
        <f>GG4-1251</f>
        <v>0</v>
      </c>
      <c r="GH5" s="12"/>
      <c r="GI5" s="12"/>
      <c r="GJ5" s="12"/>
      <c r="GK5" s="12"/>
      <c r="GL5" s="12"/>
      <c r="GM5" s="12"/>
      <c r="GN5" s="12"/>
      <c r="GO5" t="s">
        <v>551</v>
      </c>
      <c r="GP5" s="10"/>
      <c r="GQ5" s="10">
        <f>GQ4-1251</f>
        <v>0</v>
      </c>
      <c r="GR5" s="12"/>
      <c r="GS5" s="12"/>
      <c r="GT5" s="12"/>
      <c r="GU5" s="12"/>
      <c r="GV5" s="12"/>
      <c r="GW5" s="12"/>
      <c r="GX5" s="12"/>
      <c r="HA5" t="s">
        <v>402</v>
      </c>
      <c r="HB5">
        <v>20</v>
      </c>
      <c r="HC5" s="63" t="s">
        <v>539</v>
      </c>
      <c r="HD5" s="63">
        <v>5.22</v>
      </c>
      <c r="HE5" s="51">
        <f t="shared" ref="HE5:HE10" si="59">INT(HD5)</f>
        <v>5</v>
      </c>
      <c r="HF5" s="51">
        <f t="shared" ref="HF5:HF10" si="60">INT((HD5-HE5)*60)</f>
        <v>13</v>
      </c>
      <c r="HG5" s="51">
        <f t="shared" ref="HG5:HG10" si="61">INT((((HD5-HE5)*60)-HF5)*60)</f>
        <v>11</v>
      </c>
      <c r="HI5" s="63" t="s">
        <v>540</v>
      </c>
      <c r="HJ5" s="63">
        <v>5.22</v>
      </c>
      <c r="HK5" s="51">
        <f t="shared" ref="HK5:HK10" si="62">INT(HJ5)</f>
        <v>5</v>
      </c>
      <c r="HL5" s="51">
        <f t="shared" ref="HL5:HL10" si="63">INT((HJ5-HK5)*60)</f>
        <v>13</v>
      </c>
      <c r="HM5" s="51">
        <f t="shared" ref="HM5:HM10" si="64">INT((((HJ5-HK5)*60)-HL5)*60)</f>
        <v>11</v>
      </c>
      <c r="HO5" s="76" t="s">
        <v>397</v>
      </c>
      <c r="HP5" s="76">
        <f>HD26</f>
        <v>2.1446474266688833</v>
      </c>
      <c r="HQ5" s="64">
        <f t="shared" si="34"/>
        <v>2</v>
      </c>
      <c r="HR5" s="64">
        <f t="shared" si="35"/>
        <v>8</v>
      </c>
      <c r="HS5" s="64">
        <f t="shared" si="36"/>
        <v>40</v>
      </c>
      <c r="HT5" s="65">
        <f t="shared" si="37"/>
        <v>43</v>
      </c>
      <c r="HU5" s="65">
        <f t="shared" si="38"/>
        <v>50</v>
      </c>
      <c r="HV5" s="76"/>
    </row>
    <row r="6" spans="1:231" ht="27">
      <c r="A6" t="s">
        <v>553</v>
      </c>
      <c r="B6" s="10">
        <f>195+(2/60)</f>
        <v>195.03333333333333</v>
      </c>
      <c r="C6" s="63" t="s">
        <v>554</v>
      </c>
      <c r="D6" s="63">
        <v>0.22016203704000001</v>
      </c>
      <c r="E6" s="51">
        <f t="shared" si="39"/>
        <v>0</v>
      </c>
      <c r="F6" s="51">
        <f t="shared" si="40"/>
        <v>13</v>
      </c>
      <c r="G6" s="51">
        <f t="shared" si="41"/>
        <v>12</v>
      </c>
      <c r="I6" s="63" t="s">
        <v>555</v>
      </c>
      <c r="J6" s="63">
        <v>0.22016203704000001</v>
      </c>
      <c r="K6" s="51">
        <f t="shared" si="42"/>
        <v>0</v>
      </c>
      <c r="L6" s="51">
        <f t="shared" si="43"/>
        <v>13</v>
      </c>
      <c r="M6" s="51">
        <f t="shared" si="44"/>
        <v>12</v>
      </c>
      <c r="P6" s="63" t="s">
        <v>556</v>
      </c>
      <c r="Q6" s="63">
        <f>360-Q7</f>
        <v>200</v>
      </c>
      <c r="R6" s="64">
        <f t="shared" si="0"/>
        <v>200</v>
      </c>
      <c r="S6" s="64">
        <f t="shared" si="1"/>
        <v>0</v>
      </c>
      <c r="T6" s="64">
        <f t="shared" si="2"/>
        <v>0</v>
      </c>
      <c r="U6" s="65">
        <f t="shared" si="3"/>
        <v>0</v>
      </c>
      <c r="V6" s="65">
        <f t="shared" si="4"/>
        <v>0</v>
      </c>
      <c r="W6" s="65">
        <f t="shared" si="5"/>
        <v>0</v>
      </c>
      <c r="X6" s="65">
        <f t="shared" si="6"/>
        <v>0</v>
      </c>
      <c r="Y6" t="s">
        <v>557</v>
      </c>
      <c r="AB6" s="63" t="s">
        <v>556</v>
      </c>
      <c r="AC6" s="63">
        <f>AC7-180</f>
        <v>-20</v>
      </c>
      <c r="AD6" s="64">
        <f t="shared" si="7"/>
        <v>20</v>
      </c>
      <c r="AE6" s="64">
        <f t="shared" si="8"/>
        <v>0</v>
      </c>
      <c r="AF6" s="64">
        <f t="shared" si="9"/>
        <v>0</v>
      </c>
      <c r="AG6" s="65">
        <f t="shared" si="10"/>
        <v>0</v>
      </c>
      <c r="AH6" s="65">
        <f t="shared" si="11"/>
        <v>0</v>
      </c>
      <c r="AI6" s="65">
        <f t="shared" si="12"/>
        <v>0</v>
      </c>
      <c r="AJ6" s="65">
        <f t="shared" si="13"/>
        <v>0</v>
      </c>
      <c r="AK6" t="s">
        <v>557</v>
      </c>
      <c r="AM6" s="10"/>
      <c r="AN6" s="7" t="s">
        <v>386</v>
      </c>
      <c r="AO6" s="63">
        <v>98.694166666666604</v>
      </c>
      <c r="AP6" s="64">
        <f t="shared" si="14"/>
        <v>98</v>
      </c>
      <c r="AQ6" s="64">
        <f t="shared" si="15"/>
        <v>41</v>
      </c>
      <c r="AR6" s="64">
        <f t="shared" si="16"/>
        <v>38</v>
      </c>
      <c r="AS6" s="65">
        <f t="shared" si="17"/>
        <v>59</v>
      </c>
      <c r="AT6" s="65">
        <f t="shared" si="18"/>
        <v>59</v>
      </c>
      <c r="AU6" s="65">
        <f t="shared" si="19"/>
        <v>59</v>
      </c>
      <c r="AV6" s="65">
        <f t="shared" si="20"/>
        <v>59</v>
      </c>
      <c r="AY6" s="63">
        <v>98.694166666666604</v>
      </c>
      <c r="AZ6" s="64">
        <f t="shared" si="21"/>
        <v>98</v>
      </c>
      <c r="BA6" s="64">
        <f t="shared" si="22"/>
        <v>41</v>
      </c>
      <c r="BB6" s="64">
        <f t="shared" si="23"/>
        <v>38</v>
      </c>
      <c r="BC6" s="65">
        <f t="shared" si="24"/>
        <v>59</v>
      </c>
      <c r="BE6" s="5"/>
      <c r="BF6" s="5"/>
      <c r="BG6" s="64">
        <f t="shared" si="47"/>
        <v>0</v>
      </c>
      <c r="BH6" s="64">
        <f t="shared" si="48"/>
        <v>0</v>
      </c>
      <c r="BI6" s="64">
        <f t="shared" si="49"/>
        <v>0</v>
      </c>
      <c r="BJ6" s="65">
        <f t="shared" si="50"/>
        <v>0</v>
      </c>
      <c r="BL6" s="5"/>
      <c r="BM6" s="5"/>
      <c r="BN6" s="64">
        <f t="shared" si="51"/>
        <v>0</v>
      </c>
      <c r="BO6" s="64">
        <f t="shared" si="52"/>
        <v>0</v>
      </c>
      <c r="BP6" s="64">
        <f t="shared" si="53"/>
        <v>0</v>
      </c>
      <c r="BQ6" s="65">
        <f t="shared" si="54"/>
        <v>0</v>
      </c>
      <c r="BT6">
        <v>4</v>
      </c>
      <c r="BU6" s="24"/>
      <c r="BV6" s="24">
        <f>360-BV5</f>
        <v>270</v>
      </c>
      <c r="BW6" s="64">
        <f t="shared" si="55"/>
        <v>270</v>
      </c>
      <c r="BX6" s="64">
        <f t="shared" si="56"/>
        <v>0</v>
      </c>
      <c r="BY6" s="64">
        <f t="shared" si="57"/>
        <v>0</v>
      </c>
      <c r="BZ6" s="65">
        <f t="shared" si="58"/>
        <v>0</v>
      </c>
      <c r="CB6" s="55"/>
      <c r="CC6" s="77" t="s">
        <v>558</v>
      </c>
      <c r="CD6" s="66">
        <f>DEGREES(_xlfn.ACOT(SIN(RADIANS(90))*_xlfn.COT(RADIANS(CD4))/COS(RADIANS(CD5))))</f>
        <v>0.99616159483945388</v>
      </c>
      <c r="CE6" s="64">
        <f t="shared" si="25"/>
        <v>0</v>
      </c>
      <c r="CF6" s="64">
        <f t="shared" si="26"/>
        <v>59</v>
      </c>
      <c r="CG6" s="64">
        <f t="shared" si="27"/>
        <v>46</v>
      </c>
      <c r="CH6" s="65">
        <f t="shared" si="28"/>
        <v>10</v>
      </c>
      <c r="CJ6" s="33">
        <f>IF(2*CL4&gt;180,2*CL4-180,2*CL4)</f>
        <v>92</v>
      </c>
      <c r="CK6" s="24" t="s">
        <v>559</v>
      </c>
      <c r="CL6" s="24">
        <f>(CL4*2)-180</f>
        <v>-88</v>
      </c>
      <c r="CM6" s="64">
        <f t="shared" si="29"/>
        <v>88</v>
      </c>
      <c r="CN6" s="64">
        <f t="shared" si="30"/>
        <v>0</v>
      </c>
      <c r="CO6" s="64">
        <f t="shared" si="31"/>
        <v>0</v>
      </c>
      <c r="CP6" s="65">
        <f t="shared" si="32"/>
        <v>0</v>
      </c>
      <c r="CQ6" s="65">
        <f t="shared" si="33"/>
        <v>0</v>
      </c>
      <c r="CU6" s="3"/>
      <c r="CV6" s="3">
        <f>CV18</f>
        <v>5</v>
      </c>
      <c r="CW6" s="12"/>
      <c r="CX6" s="12"/>
      <c r="CY6" s="12"/>
      <c r="CZ6" s="12"/>
      <c r="DA6" s="12"/>
      <c r="DB6" s="72"/>
      <c r="DC6" s="2"/>
      <c r="DD6" s="2">
        <f>MOD(DD5,30)</f>
        <v>5</v>
      </c>
      <c r="DE6" s="12"/>
      <c r="DF6" s="12"/>
      <c r="DG6" s="12"/>
      <c r="DH6" s="12"/>
      <c r="DI6" s="12"/>
      <c r="DJ6" s="12"/>
      <c r="DK6" s="12"/>
      <c r="DL6" s="33"/>
      <c r="DM6" s="10"/>
      <c r="DN6" s="10">
        <f>MOD(DN5,30)</f>
        <v>4</v>
      </c>
      <c r="DO6" s="12"/>
      <c r="DP6" s="12"/>
      <c r="DQ6" s="12"/>
      <c r="DR6" s="12"/>
      <c r="DS6" s="12"/>
      <c r="DT6" s="12"/>
      <c r="DU6" s="12"/>
      <c r="DW6">
        <v>0</v>
      </c>
      <c r="DX6" s="3"/>
      <c r="DY6" s="3">
        <f>DY18</f>
        <v>0</v>
      </c>
      <c r="DZ6" s="12"/>
      <c r="EA6" s="12"/>
      <c r="EB6" s="12"/>
      <c r="EC6" s="12"/>
      <c r="ED6" s="12"/>
      <c r="EE6">
        <f>DW6</f>
        <v>0</v>
      </c>
      <c r="EF6" s="2"/>
      <c r="EG6" s="2">
        <f>MOD(EG5,30)</f>
        <v>0</v>
      </c>
      <c r="EH6" s="12"/>
      <c r="EI6" s="12"/>
      <c r="EJ6" s="12"/>
      <c r="EK6" s="12"/>
      <c r="EL6" s="12"/>
      <c r="EM6" s="12"/>
      <c r="EN6" s="12"/>
      <c r="EO6">
        <v>33.344999999999999</v>
      </c>
      <c r="EP6" s="10"/>
      <c r="EQ6" s="10">
        <f>MOD(EQ5,30)</f>
        <v>0</v>
      </c>
      <c r="ER6" s="12"/>
      <c r="ES6" s="12"/>
      <c r="ET6" s="12"/>
      <c r="EU6" s="12"/>
      <c r="EV6" s="12"/>
      <c r="EW6" s="12"/>
      <c r="EX6" s="12"/>
      <c r="FA6" s="3"/>
      <c r="FB6" s="3">
        <f>FB18</f>
        <v>5</v>
      </c>
      <c r="FC6" s="12"/>
      <c r="FD6" s="12"/>
      <c r="FE6" s="12"/>
      <c r="FF6" s="12"/>
      <c r="FG6" s="12"/>
      <c r="FL6" s="67" t="s">
        <v>170</v>
      </c>
      <c r="FM6" s="73">
        <v>0</v>
      </c>
      <c r="FN6" s="73">
        <v>0</v>
      </c>
      <c r="FO6" s="73">
        <v>0</v>
      </c>
      <c r="FP6" s="73">
        <v>0</v>
      </c>
      <c r="FQ6" s="73">
        <v>0</v>
      </c>
      <c r="FR6" s="73">
        <v>27</v>
      </c>
      <c r="FS6" s="73">
        <v>23</v>
      </c>
      <c r="FT6" s="74">
        <f>FS6+((((((((((((FM6)/60)+FN6)/60)+FO6)/60)+FP6)/60)+FQ6)/60)+FR6)/60)</f>
        <v>23.45</v>
      </c>
      <c r="FU6" s="60"/>
      <c r="FV6" s="33"/>
      <c r="FW6" s="33"/>
      <c r="FX6" s="3"/>
      <c r="FY6" s="3">
        <f>FY18</f>
        <v>0</v>
      </c>
      <c r="FZ6" s="12"/>
      <c r="GA6" s="12"/>
      <c r="GB6" s="12"/>
      <c r="GC6" s="12"/>
      <c r="GD6" s="12"/>
      <c r="GF6" s="2"/>
      <c r="GG6" s="2">
        <f>MOD(GG5,30)</f>
        <v>0</v>
      </c>
      <c r="GH6" s="12"/>
      <c r="GI6" s="12"/>
      <c r="GJ6" s="12"/>
      <c r="GK6" s="12"/>
      <c r="GL6" s="12"/>
      <c r="GM6" s="12"/>
      <c r="GN6" s="12"/>
      <c r="GO6">
        <v>33.344999999999999</v>
      </c>
      <c r="GP6" s="10"/>
      <c r="GQ6" s="10">
        <f>MOD(GQ5,30)</f>
        <v>0</v>
      </c>
      <c r="GR6" s="12"/>
      <c r="GS6" s="12"/>
      <c r="GT6" s="12"/>
      <c r="GU6" s="12"/>
      <c r="GV6" s="12"/>
      <c r="GW6" s="12"/>
      <c r="GX6" s="12"/>
      <c r="HB6" s="10" t="s">
        <v>544</v>
      </c>
      <c r="HC6" s="63" t="s">
        <v>545</v>
      </c>
      <c r="HD6" s="63">
        <f>IF(AND(HB7&gt;=90,HB7&lt;=270),HB7,0)</f>
        <v>205.45224789344388</v>
      </c>
      <c r="HE6" s="51">
        <f t="shared" si="59"/>
        <v>205</v>
      </c>
      <c r="HF6" s="51">
        <f t="shared" si="60"/>
        <v>27</v>
      </c>
      <c r="HG6" s="51">
        <f t="shared" si="61"/>
        <v>8</v>
      </c>
      <c r="HI6" s="63" t="s">
        <v>546</v>
      </c>
      <c r="HJ6" s="63">
        <f>IF(OR(HB7&lt;90,HB7&gt;270),HB7,0)</f>
        <v>0</v>
      </c>
      <c r="HK6" s="51">
        <f t="shared" si="62"/>
        <v>0</v>
      </c>
      <c r="HL6" s="51">
        <f t="shared" si="63"/>
        <v>0</v>
      </c>
      <c r="HM6" s="51">
        <f t="shared" si="64"/>
        <v>0</v>
      </c>
      <c r="HO6" s="76" t="s">
        <v>560</v>
      </c>
      <c r="HP6" s="76">
        <f>HP3+HP5</f>
        <v>181.0124483961182</v>
      </c>
      <c r="HQ6" s="64">
        <f t="shared" si="34"/>
        <v>181</v>
      </c>
      <c r="HR6" s="64">
        <f t="shared" si="35"/>
        <v>0</v>
      </c>
      <c r="HS6" s="64">
        <f t="shared" si="36"/>
        <v>44</v>
      </c>
      <c r="HT6" s="65">
        <f t="shared" si="37"/>
        <v>48</v>
      </c>
      <c r="HU6" s="65">
        <f t="shared" si="38"/>
        <v>51</v>
      </c>
      <c r="HV6" s="76"/>
    </row>
    <row r="7" spans="1:231" ht="27" customHeight="1">
      <c r="B7">
        <f>[2]!tadq1(B4,B3)</f>
        <v>0</v>
      </c>
      <c r="C7" s="63" t="s">
        <v>561</v>
      </c>
      <c r="D7" s="63">
        <f>SQRT(3600-POWER((D4/2),2))</f>
        <v>59.943205619986657</v>
      </c>
      <c r="E7" s="51">
        <f>INT(D7)</f>
        <v>59</v>
      </c>
      <c r="F7" s="51">
        <f t="shared" si="40"/>
        <v>56</v>
      </c>
      <c r="G7" s="51">
        <f t="shared" si="41"/>
        <v>35</v>
      </c>
      <c r="I7" s="63" t="s">
        <v>562</v>
      </c>
      <c r="J7" s="63">
        <f>SQRT(3600-POWER((J4/2),2))</f>
        <v>59.943205619986657</v>
      </c>
      <c r="K7" s="51">
        <f t="shared" si="42"/>
        <v>59</v>
      </c>
      <c r="L7" s="51">
        <f t="shared" si="43"/>
        <v>56</v>
      </c>
      <c r="M7" s="51">
        <f t="shared" si="44"/>
        <v>35</v>
      </c>
      <c r="O7" s="10" t="s">
        <v>563</v>
      </c>
      <c r="P7" s="35" t="s">
        <v>564</v>
      </c>
      <c r="Q7" s="35">
        <v>160</v>
      </c>
      <c r="R7" s="64">
        <f t="shared" si="0"/>
        <v>160</v>
      </c>
      <c r="S7" s="64">
        <f t="shared" si="1"/>
        <v>0</v>
      </c>
      <c r="T7" s="64">
        <f t="shared" si="2"/>
        <v>0</v>
      </c>
      <c r="U7" s="65">
        <f t="shared" si="3"/>
        <v>0</v>
      </c>
      <c r="V7" s="65">
        <f t="shared" si="4"/>
        <v>0</v>
      </c>
      <c r="W7" s="65">
        <f t="shared" si="5"/>
        <v>0</v>
      </c>
      <c r="X7" s="65">
        <f t="shared" si="6"/>
        <v>0</v>
      </c>
      <c r="Y7" s="10">
        <f>IF(Q3&lt;Q4,Q3+360-Q4,Q3-Q4)</f>
        <v>303.36</v>
      </c>
      <c r="Z7" s="64"/>
      <c r="AA7" s="10" t="s">
        <v>563</v>
      </c>
      <c r="AB7" s="35" t="s">
        <v>564</v>
      </c>
      <c r="AC7" s="35">
        <f>Q7</f>
        <v>160</v>
      </c>
      <c r="AD7" s="64">
        <f t="shared" si="7"/>
        <v>160</v>
      </c>
      <c r="AE7" s="64">
        <f t="shared" si="8"/>
        <v>0</v>
      </c>
      <c r="AF7" s="64">
        <f t="shared" si="9"/>
        <v>0</v>
      </c>
      <c r="AG7" s="65">
        <f t="shared" si="10"/>
        <v>0</v>
      </c>
      <c r="AH7" s="65">
        <f t="shared" si="11"/>
        <v>0</v>
      </c>
      <c r="AI7" s="65">
        <f t="shared" si="12"/>
        <v>0</v>
      </c>
      <c r="AJ7" s="65">
        <f t="shared" si="13"/>
        <v>0</v>
      </c>
      <c r="AK7" s="10">
        <f>IF(AC3&lt;AC4,AC3+360-AC4,AC3-AC4)</f>
        <v>303.36</v>
      </c>
      <c r="AM7" s="10" t="s">
        <v>531</v>
      </c>
      <c r="AN7" s="10" t="s">
        <v>565</v>
      </c>
      <c r="AO7" s="10">
        <f>Q7</f>
        <v>160</v>
      </c>
      <c r="AP7" s="64">
        <f t="shared" si="14"/>
        <v>160</v>
      </c>
      <c r="AQ7" s="64">
        <f t="shared" si="15"/>
        <v>0</v>
      </c>
      <c r="AR7" s="64">
        <f t="shared" si="16"/>
        <v>0</v>
      </c>
      <c r="AS7" s="65">
        <f t="shared" si="17"/>
        <v>0</v>
      </c>
      <c r="AT7" s="65">
        <f t="shared" si="18"/>
        <v>0</v>
      </c>
      <c r="AU7" s="65">
        <f t="shared" si="19"/>
        <v>0</v>
      </c>
      <c r="AV7" s="65">
        <f t="shared" si="20"/>
        <v>0</v>
      </c>
      <c r="AW7" s="10">
        <f>AO4+360-AO3</f>
        <v>359.91111111100003</v>
      </c>
      <c r="AY7" s="10">
        <f>Q7</f>
        <v>160</v>
      </c>
      <c r="AZ7" s="64">
        <f t="shared" si="21"/>
        <v>160</v>
      </c>
      <c r="BA7" s="64">
        <f t="shared" si="22"/>
        <v>0</v>
      </c>
      <c r="BB7" s="64">
        <f t="shared" si="23"/>
        <v>0</v>
      </c>
      <c r="BC7" s="65">
        <f t="shared" si="24"/>
        <v>0</v>
      </c>
      <c r="BE7" s="10" t="s">
        <v>565</v>
      </c>
      <c r="BF7" s="10">
        <f>AY7</f>
        <v>160</v>
      </c>
      <c r="BG7" s="64">
        <f t="shared" si="47"/>
        <v>160</v>
      </c>
      <c r="BH7" s="64">
        <f t="shared" si="48"/>
        <v>0</v>
      </c>
      <c r="BI7" s="64">
        <f t="shared" si="49"/>
        <v>0</v>
      </c>
      <c r="BJ7" s="65">
        <f t="shared" si="50"/>
        <v>0</v>
      </c>
      <c r="BL7" s="10" t="s">
        <v>565</v>
      </c>
      <c r="BM7" s="10">
        <f>BF7</f>
        <v>160</v>
      </c>
      <c r="BN7" s="64">
        <f t="shared" si="51"/>
        <v>160</v>
      </c>
      <c r="BO7" s="64">
        <f t="shared" si="52"/>
        <v>0</v>
      </c>
      <c r="BP7" s="64">
        <f t="shared" si="53"/>
        <v>0</v>
      </c>
      <c r="BQ7" s="65">
        <f t="shared" si="54"/>
        <v>0</v>
      </c>
      <c r="BT7">
        <v>5</v>
      </c>
      <c r="BU7" s="24" t="s">
        <v>566</v>
      </c>
      <c r="BV7" s="24">
        <f>SIN(RADIANS(BV6/2))*2*60</f>
        <v>84.852813742385706</v>
      </c>
      <c r="BW7" s="64">
        <f t="shared" si="55"/>
        <v>84</v>
      </c>
      <c r="BX7" s="64">
        <f t="shared" si="56"/>
        <v>51</v>
      </c>
      <c r="BY7" s="64">
        <f t="shared" si="57"/>
        <v>10</v>
      </c>
      <c r="BZ7" s="65">
        <f t="shared" si="58"/>
        <v>7</v>
      </c>
      <c r="CB7" s="55"/>
      <c r="CC7" s="78" t="s">
        <v>567</v>
      </c>
      <c r="CD7" s="78">
        <f>CD6-CD4</f>
        <v>-3.8384051605461211E-3</v>
      </c>
      <c r="CE7" s="64">
        <f t="shared" si="25"/>
        <v>0</v>
      </c>
      <c r="CF7" s="64">
        <f t="shared" si="26"/>
        <v>0</v>
      </c>
      <c r="CG7" s="64">
        <f t="shared" si="27"/>
        <v>13</v>
      </c>
      <c r="CH7" s="65">
        <f t="shared" si="28"/>
        <v>49</v>
      </c>
      <c r="CJ7" s="33"/>
      <c r="CK7" s="24" t="s">
        <v>568</v>
      </c>
      <c r="CL7" s="24">
        <f>2*(SIN(RADIANS((180-CL6)/2))*CL3)</f>
        <v>1.9703940008936229</v>
      </c>
      <c r="CM7" s="64">
        <f t="shared" si="29"/>
        <v>1</v>
      </c>
      <c r="CN7" s="64">
        <f t="shared" si="30"/>
        <v>58</v>
      </c>
      <c r="CO7" s="64">
        <f t="shared" si="31"/>
        <v>13</v>
      </c>
      <c r="CP7" s="65">
        <f t="shared" si="32"/>
        <v>25</v>
      </c>
      <c r="CQ7" s="65">
        <f t="shared" si="33"/>
        <v>6</v>
      </c>
      <c r="CU7" s="3" t="s">
        <v>569</v>
      </c>
      <c r="CV7" s="3">
        <v>13.176395429999999</v>
      </c>
      <c r="CW7" s="64">
        <f>INT(ABS(CV7))</f>
        <v>13</v>
      </c>
      <c r="CX7" s="64">
        <f>INT((ABS(CV7)-CW7)*60)</f>
        <v>10</v>
      </c>
      <c r="CY7" s="64">
        <f>INT((((ABS(CV7)-CW7)*60)-CX7)*60)</f>
        <v>35</v>
      </c>
      <c r="CZ7" s="65">
        <f>INT((((((ABS(CV7)-CW7)*60)-CX7)*60)-CY7)*60)</f>
        <v>1</v>
      </c>
      <c r="DA7" s="65">
        <f>INT((((((((ABS(CV7)-CW7)*60)-CX7)*60)-CY7)*60)-CZ7)*60)</f>
        <v>24</v>
      </c>
      <c r="DB7" s="72"/>
      <c r="DC7" s="2" t="s">
        <v>570</v>
      </c>
      <c r="DD7" s="2">
        <f>(((((((((((DK7/60)+DJ7)/60)+DI7)/60)+DH7)/60)+DG7)/60)+DF7)/60)+DE7</f>
        <v>0.11140987684327847</v>
      </c>
      <c r="DE7" s="12">
        <v>0</v>
      </c>
      <c r="DF7" s="12">
        <v>6</v>
      </c>
      <c r="DG7" s="12">
        <v>41</v>
      </c>
      <c r="DH7" s="12">
        <v>4</v>
      </c>
      <c r="DI7" s="12">
        <v>32</v>
      </c>
      <c r="DJ7" s="12">
        <v>0</v>
      </c>
      <c r="DK7" s="12">
        <v>14</v>
      </c>
      <c r="DL7" s="33"/>
      <c r="DM7" s="10" t="s">
        <v>571</v>
      </c>
      <c r="DN7" s="10">
        <f>(((((((((((DU7/60)+DT7)/60)+DS7)/60)+DR7)/60)+DQ7)/60)+DP7)/60)+DO7</f>
        <v>359.94704471476336</v>
      </c>
      <c r="DO7" s="12">
        <v>359</v>
      </c>
      <c r="DP7" s="12">
        <v>56</v>
      </c>
      <c r="DQ7" s="12">
        <v>49</v>
      </c>
      <c r="DR7" s="12">
        <v>21</v>
      </c>
      <c r="DS7" s="12">
        <v>39</v>
      </c>
      <c r="DT7" s="12">
        <v>30</v>
      </c>
      <c r="DU7" s="12">
        <v>12</v>
      </c>
      <c r="DW7" t="s">
        <v>572</v>
      </c>
      <c r="DX7" s="3" t="s">
        <v>569</v>
      </c>
      <c r="DY7" s="3">
        <v>13.176395429999999</v>
      </c>
      <c r="DZ7" s="64">
        <f>INT(ABS(DY7))</f>
        <v>13</v>
      </c>
      <c r="EA7" s="64">
        <f>INT((ABS(DY7)-DZ7)*60)</f>
        <v>10</v>
      </c>
      <c r="EB7" s="64">
        <f>INT((((ABS(DY7)-DZ7)*60)-EA7)*60)</f>
        <v>35</v>
      </c>
      <c r="EC7" s="65">
        <f>INT((((((ABS(DY7)-DZ7)*60)-EA7)*60)-EB7)*60)</f>
        <v>1</v>
      </c>
      <c r="ED7" s="65">
        <f>INT((((((((ABS(DY7)-DZ7)*60)-EA7)*60)-EB7)*60)-EC7)*60)</f>
        <v>24</v>
      </c>
      <c r="EE7" t="s">
        <v>572</v>
      </c>
      <c r="EF7" s="2" t="s">
        <v>570</v>
      </c>
      <c r="EG7" s="2">
        <f>(((((((((((EN7/60)+EM7)/60)+EL7)/60)+EK7)/60)+EJ7)/60)+EI7)/60)+EH7</f>
        <v>0.11140987684327847</v>
      </c>
      <c r="EH7" s="12">
        <v>0</v>
      </c>
      <c r="EI7" s="12">
        <v>6</v>
      </c>
      <c r="EJ7" s="12">
        <v>41</v>
      </c>
      <c r="EK7" s="12">
        <v>4</v>
      </c>
      <c r="EL7" s="12">
        <v>32</v>
      </c>
      <c r="EM7" s="12">
        <v>0</v>
      </c>
      <c r="EN7" s="12">
        <v>14</v>
      </c>
      <c r="EO7" t="s">
        <v>572</v>
      </c>
      <c r="EP7" s="10" t="s">
        <v>571</v>
      </c>
      <c r="EQ7" s="10">
        <f>(((((((((((EX7/60)+EW7)/60)+EV7)/60)+EU7)/60)+ET7)/60)+ES7)/60)+ER7</f>
        <v>359.94704471476336</v>
      </c>
      <c r="ER7" s="12">
        <v>359</v>
      </c>
      <c r="ES7" s="12">
        <v>56</v>
      </c>
      <c r="ET7" s="12">
        <v>49</v>
      </c>
      <c r="EU7" s="12">
        <v>21</v>
      </c>
      <c r="EV7" s="12">
        <v>39</v>
      </c>
      <c r="EW7" s="12">
        <v>30</v>
      </c>
      <c r="EX7" s="12">
        <v>12</v>
      </c>
      <c r="FA7" s="3" t="s">
        <v>569</v>
      </c>
      <c r="FB7" s="39">
        <f>(((((((((((FI7/60)+FH7)/60)+FG7)/60)+FF7)/60)+FE7)/60)+FD7)/60)+FC7</f>
        <v>0.98564733138288751</v>
      </c>
      <c r="FC7" s="64">
        <v>0</v>
      </c>
      <c r="FD7" s="64">
        <v>59</v>
      </c>
      <c r="FE7" s="64">
        <v>8</v>
      </c>
      <c r="FF7" s="65">
        <v>19</v>
      </c>
      <c r="FG7" s="65">
        <v>49</v>
      </c>
      <c r="FH7" s="12">
        <v>24</v>
      </c>
      <c r="FI7" s="12">
        <v>53</v>
      </c>
      <c r="FL7" s="67" t="s">
        <v>573</v>
      </c>
      <c r="FM7" s="73">
        <v>32</v>
      </c>
      <c r="FN7" s="73">
        <v>33</v>
      </c>
      <c r="FO7" s="73">
        <v>49</v>
      </c>
      <c r="FP7" s="73">
        <v>50</v>
      </c>
      <c r="FQ7" s="73">
        <v>27</v>
      </c>
      <c r="FR7" s="73">
        <v>2</v>
      </c>
      <c r="FS7" s="73">
        <v>15</v>
      </c>
      <c r="FT7" s="74">
        <f>FS7+((((((((((((FM7)/60)+FN7)/60)+FO7)/60)+FP7)/60)+FQ7)/60)+FR7)/60)</f>
        <v>15.041068638803155</v>
      </c>
      <c r="FU7" s="60"/>
      <c r="FV7" s="33"/>
      <c r="FW7" s="33"/>
      <c r="FX7" s="3" t="s">
        <v>569</v>
      </c>
      <c r="FY7" s="3">
        <v>13.176395429999999</v>
      </c>
      <c r="FZ7" s="64">
        <f>INT(ABS(FY7))</f>
        <v>13</v>
      </c>
      <c r="GA7" s="64">
        <f>INT((ABS(FY7)-FZ7)*60)</f>
        <v>10</v>
      </c>
      <c r="GB7" s="64">
        <f>INT((((ABS(FY7)-FZ7)*60)-GA7)*60)</f>
        <v>35</v>
      </c>
      <c r="GC7" s="65">
        <f>INT((((((ABS(FY7)-FZ7)*60)-GA7)*60)-GB7)*60)</f>
        <v>1</v>
      </c>
      <c r="GD7" s="65">
        <f>INT((((((((ABS(FY7)-FZ7)*60)-GA7)*60)-GB7)*60)-GC7)*60)</f>
        <v>24</v>
      </c>
      <c r="GF7" s="2" t="s">
        <v>570</v>
      </c>
      <c r="GG7" s="2">
        <f>(((((((((((GN7/60)+GM7)/60)+GL7)/60)+GK7)/60)+GJ7)/60)+GI7)/60)+GH7</f>
        <v>0.11140987684327847</v>
      </c>
      <c r="GH7" s="12">
        <v>0</v>
      </c>
      <c r="GI7" s="12">
        <v>6</v>
      </c>
      <c r="GJ7" s="12">
        <v>41</v>
      </c>
      <c r="GK7" s="12">
        <v>4</v>
      </c>
      <c r="GL7" s="12">
        <v>32</v>
      </c>
      <c r="GM7" s="12">
        <v>0</v>
      </c>
      <c r="GN7" s="12">
        <v>14</v>
      </c>
      <c r="GO7" t="s">
        <v>572</v>
      </c>
      <c r="GP7" s="10" t="s">
        <v>571</v>
      </c>
      <c r="GQ7" s="10">
        <f>(((((((((((GX7/60)+GW7)/60)+GV7)/60)+GU7)/60)+GT7)/60)+GS7)/60)+GR7</f>
        <v>359.94704471476336</v>
      </c>
      <c r="GR7" s="12">
        <v>359</v>
      </c>
      <c r="GS7" s="12">
        <v>56</v>
      </c>
      <c r="GT7" s="12">
        <v>49</v>
      </c>
      <c r="GU7" s="12">
        <v>21</v>
      </c>
      <c r="GV7" s="12">
        <v>39</v>
      </c>
      <c r="GW7" s="12">
        <v>30</v>
      </c>
      <c r="GX7" s="12">
        <v>12</v>
      </c>
      <c r="HA7" t="s">
        <v>553</v>
      </c>
      <c r="HB7" s="10">
        <f>HP4</f>
        <v>205.45224789344388</v>
      </c>
      <c r="HC7" s="63" t="s">
        <v>554</v>
      </c>
      <c r="HD7" s="63">
        <v>0.22016203704000001</v>
      </c>
      <c r="HE7" s="51">
        <f t="shared" si="59"/>
        <v>0</v>
      </c>
      <c r="HF7" s="51">
        <f t="shared" si="60"/>
        <v>13</v>
      </c>
      <c r="HG7" s="51">
        <f t="shared" si="61"/>
        <v>12</v>
      </c>
      <c r="HI7" s="63" t="s">
        <v>555</v>
      </c>
      <c r="HJ7" s="63">
        <v>0.22016203704000001</v>
      </c>
      <c r="HK7" s="51">
        <f t="shared" si="62"/>
        <v>0</v>
      </c>
      <c r="HL7" s="51">
        <f t="shared" si="63"/>
        <v>13</v>
      </c>
      <c r="HM7" s="51">
        <f t="shared" si="64"/>
        <v>12</v>
      </c>
      <c r="HO7" s="76" t="s">
        <v>574</v>
      </c>
      <c r="HP7">
        <f>HP5+HP4</f>
        <v>207.59689532011276</v>
      </c>
      <c r="HQ7" s="64">
        <f t="shared" si="34"/>
        <v>207</v>
      </c>
      <c r="HR7" s="64">
        <f t="shared" si="35"/>
        <v>35</v>
      </c>
      <c r="HS7" s="64">
        <f t="shared" si="36"/>
        <v>48</v>
      </c>
      <c r="HT7" s="65">
        <f t="shared" si="37"/>
        <v>49</v>
      </c>
      <c r="HU7" s="65">
        <f t="shared" si="38"/>
        <v>23</v>
      </c>
    </row>
    <row r="8" spans="1:231" ht="27">
      <c r="C8" s="79" t="s">
        <v>575</v>
      </c>
      <c r="D8" s="79">
        <f>D4+(COS(RADIANS(D5))*D6)</f>
        <v>5.0073729893000642</v>
      </c>
      <c r="E8" s="51">
        <f t="shared" si="39"/>
        <v>5</v>
      </c>
      <c r="F8" s="51">
        <f t="shared" si="40"/>
        <v>0</v>
      </c>
      <c r="G8" s="51">
        <f t="shared" si="41"/>
        <v>26</v>
      </c>
      <c r="I8" s="79" t="s">
        <v>575</v>
      </c>
      <c r="J8" s="79">
        <f>J4+(COS(RADIANS(J5))*J6)</f>
        <v>5.4401620370399995</v>
      </c>
      <c r="K8" s="51">
        <f t="shared" si="42"/>
        <v>5</v>
      </c>
      <c r="L8" s="51">
        <f t="shared" si="43"/>
        <v>26</v>
      </c>
      <c r="M8" s="51">
        <f t="shared" si="44"/>
        <v>24</v>
      </c>
      <c r="O8" s="10" t="s">
        <v>563</v>
      </c>
      <c r="P8" s="35" t="s">
        <v>576</v>
      </c>
      <c r="Q8" s="35">
        <v>222</v>
      </c>
      <c r="R8" s="64">
        <f t="shared" si="0"/>
        <v>222</v>
      </c>
      <c r="S8" s="64">
        <f t="shared" si="1"/>
        <v>0</v>
      </c>
      <c r="T8" s="64">
        <f t="shared" si="2"/>
        <v>0</v>
      </c>
      <c r="U8" s="65">
        <f t="shared" si="3"/>
        <v>0</v>
      </c>
      <c r="V8" s="65">
        <f t="shared" si="4"/>
        <v>0</v>
      </c>
      <c r="W8" s="65">
        <f t="shared" si="5"/>
        <v>0</v>
      </c>
      <c r="X8" s="65">
        <f t="shared" si="6"/>
        <v>0</v>
      </c>
      <c r="Y8" s="10">
        <f>IF(Q3&lt;Q5,Q3+360-Q5,Q3-Q5)</f>
        <v>359.91111111100003</v>
      </c>
      <c r="AA8" s="10" t="s">
        <v>563</v>
      </c>
      <c r="AB8" s="35" t="s">
        <v>576</v>
      </c>
      <c r="AC8" s="35">
        <f>Q8</f>
        <v>222</v>
      </c>
      <c r="AD8" s="64">
        <f t="shared" si="7"/>
        <v>222</v>
      </c>
      <c r="AE8" s="64">
        <f t="shared" si="8"/>
        <v>0</v>
      </c>
      <c r="AF8" s="64">
        <f t="shared" si="9"/>
        <v>0</v>
      </c>
      <c r="AG8" s="65">
        <f t="shared" si="10"/>
        <v>0</v>
      </c>
      <c r="AH8" s="65">
        <f t="shared" si="11"/>
        <v>0</v>
      </c>
      <c r="AI8" s="65">
        <f t="shared" si="12"/>
        <v>0</v>
      </c>
      <c r="AJ8" s="65">
        <f t="shared" si="13"/>
        <v>0</v>
      </c>
      <c r="AK8" s="10">
        <f>IF(AC3&lt;AC5,AC3+360-AC5,AC3-AC5)</f>
        <v>359.91111111100003</v>
      </c>
      <c r="AM8" s="10"/>
      <c r="AN8" s="7" t="s">
        <v>577</v>
      </c>
      <c r="AO8" s="7">
        <f>COS(RADIANS(360-AO7))</f>
        <v>-0.93969262078590843</v>
      </c>
      <c r="AP8" s="64">
        <f t="shared" si="14"/>
        <v>0</v>
      </c>
      <c r="AQ8" s="64">
        <f t="shared" si="15"/>
        <v>56</v>
      </c>
      <c r="AR8" s="64">
        <f t="shared" si="16"/>
        <v>22</v>
      </c>
      <c r="AS8" s="65">
        <f t="shared" si="17"/>
        <v>53</v>
      </c>
      <c r="AT8" s="65">
        <f t="shared" si="18"/>
        <v>36</v>
      </c>
      <c r="AU8" s="65">
        <f t="shared" si="19"/>
        <v>21</v>
      </c>
      <c r="AV8" s="65">
        <f t="shared" si="20"/>
        <v>55</v>
      </c>
      <c r="AY8" s="7">
        <f>COS(RADIANS(360-AY7))</f>
        <v>-0.93969262078590843</v>
      </c>
      <c r="AZ8" s="64">
        <f t="shared" si="21"/>
        <v>0</v>
      </c>
      <c r="BA8" s="64">
        <f t="shared" si="22"/>
        <v>56</v>
      </c>
      <c r="BB8" s="64">
        <f t="shared" si="23"/>
        <v>22</v>
      </c>
      <c r="BC8" s="65">
        <f t="shared" si="24"/>
        <v>53</v>
      </c>
      <c r="BE8" s="5"/>
      <c r="BF8" s="5"/>
      <c r="BG8" s="64">
        <f t="shared" si="47"/>
        <v>0</v>
      </c>
      <c r="BH8" s="64">
        <f t="shared" si="48"/>
        <v>0</v>
      </c>
      <c r="BI8" s="64">
        <f t="shared" si="49"/>
        <v>0</v>
      </c>
      <c r="BJ8" s="65">
        <f t="shared" si="50"/>
        <v>0</v>
      </c>
      <c r="BL8" s="5"/>
      <c r="BM8" s="5"/>
      <c r="BN8" s="64">
        <f t="shared" si="51"/>
        <v>0</v>
      </c>
      <c r="BO8" s="64">
        <f t="shared" si="52"/>
        <v>0</v>
      </c>
      <c r="BP8" s="64">
        <f t="shared" si="53"/>
        <v>0</v>
      </c>
      <c r="BQ8" s="65">
        <f t="shared" si="54"/>
        <v>0</v>
      </c>
      <c r="BT8">
        <v>6</v>
      </c>
      <c r="BU8" s="24" t="s">
        <v>578</v>
      </c>
      <c r="BV8" s="24">
        <v>2.7391700000000001</v>
      </c>
      <c r="BW8" s="64">
        <f t="shared" si="55"/>
        <v>2</v>
      </c>
      <c r="BX8" s="64">
        <f t="shared" si="56"/>
        <v>44</v>
      </c>
      <c r="BY8" s="64">
        <f t="shared" si="57"/>
        <v>21</v>
      </c>
      <c r="BZ8" s="65">
        <f t="shared" si="58"/>
        <v>0</v>
      </c>
      <c r="CB8" s="55"/>
      <c r="CC8" s="55"/>
      <c r="CD8" s="55" t="e">
        <f ca="1">[5]!taqm4(CD3)</f>
        <v>#NAME?</v>
      </c>
      <c r="CE8" s="64" t="e">
        <f t="shared" ca="1" si="25"/>
        <v>#NAME?</v>
      </c>
      <c r="CF8" s="64" t="e">
        <f t="shared" ca="1" si="26"/>
        <v>#NAME?</v>
      </c>
      <c r="CG8" s="64" t="e">
        <f t="shared" ca="1" si="27"/>
        <v>#NAME?</v>
      </c>
      <c r="CH8" s="65" t="e">
        <f t="shared" ca="1" si="28"/>
        <v>#NAME?</v>
      </c>
      <c r="CJ8" s="33"/>
      <c r="CK8" s="13" t="s">
        <v>579</v>
      </c>
      <c r="CL8" s="13">
        <f>DEGREES(ASIN(CL7*(SIN(RADIANS(180-(CL6/2))))/120))</f>
        <v>-0.65354448436352508</v>
      </c>
      <c r="CM8" s="64">
        <f t="shared" si="29"/>
        <v>0</v>
      </c>
      <c r="CN8" s="64">
        <f t="shared" si="30"/>
        <v>39</v>
      </c>
      <c r="CO8" s="64">
        <f t="shared" si="31"/>
        <v>12</v>
      </c>
      <c r="CP8" s="65">
        <f t="shared" si="32"/>
        <v>45</v>
      </c>
      <c r="CQ8" s="65">
        <f t="shared" si="33"/>
        <v>36</v>
      </c>
      <c r="CU8" s="3" t="s">
        <v>580</v>
      </c>
      <c r="CV8" s="39">
        <f>(((((((((DB22/60)+DA8)/60)+CZ8)/60)+CY8)/60)+CX8)/60)+CW8</f>
        <v>41.337018518518519</v>
      </c>
      <c r="CW8" s="64">
        <v>41</v>
      </c>
      <c r="CX8" s="64">
        <v>20</v>
      </c>
      <c r="CY8" s="64">
        <v>13</v>
      </c>
      <c r="CZ8" s="65">
        <v>16</v>
      </c>
      <c r="DA8" s="65">
        <v>0</v>
      </c>
      <c r="DB8" s="33"/>
      <c r="DC8" s="2" t="s">
        <v>580</v>
      </c>
      <c r="DD8" s="38">
        <f>(((((((((DJ8/60)+DI8)/60)+DH8)/60)+DG8)/60)+DF8)/60)+DE8</f>
        <v>42.500231481481478</v>
      </c>
      <c r="DE8" s="64">
        <v>42</v>
      </c>
      <c r="DF8" s="64">
        <v>30</v>
      </c>
      <c r="DG8" s="64">
        <v>0</v>
      </c>
      <c r="DH8" s="65">
        <v>50</v>
      </c>
      <c r="DI8" s="65">
        <v>0</v>
      </c>
      <c r="DJ8" s="12"/>
      <c r="DK8" s="12"/>
      <c r="DL8" s="33"/>
      <c r="DN8">
        <f>360-DN7</f>
        <v>5.2955285236635063E-2</v>
      </c>
      <c r="DO8" s="64">
        <f>INT(ABS(DN8))</f>
        <v>0</v>
      </c>
      <c r="DP8" s="64">
        <f>INT((ABS(DN8)-DO8)*60)</f>
        <v>3</v>
      </c>
      <c r="DQ8" s="64">
        <f>INT((((ABS(DN8)-DO8)*60)-DP8)*60)</f>
        <v>10</v>
      </c>
      <c r="DR8" s="65">
        <f>INT((((((ABS(DN8)-DO8)*60)-DP8)*60)-DQ8)*60)</f>
        <v>38</v>
      </c>
      <c r="DS8" s="65">
        <f>INT((((((((ABS(DN8)-DO8)*60)-DP8)*60)-DQ8)*60)-DR8)*60)</f>
        <v>20</v>
      </c>
      <c r="DW8">
        <f>DW4-DW6</f>
        <v>1</v>
      </c>
      <c r="DX8" s="3" t="s">
        <v>580</v>
      </c>
      <c r="DY8" s="39">
        <f>(((((((((EE22/60)+ED8)/60)+EC8)/60)+EB8)/60)+EA8)/60)+DZ8</f>
        <v>41.337018518518519</v>
      </c>
      <c r="DZ8" s="64">
        <v>41</v>
      </c>
      <c r="EA8" s="64">
        <v>20</v>
      </c>
      <c r="EB8" s="64">
        <v>13</v>
      </c>
      <c r="EC8" s="65">
        <v>16</v>
      </c>
      <c r="ED8" s="65">
        <v>0</v>
      </c>
      <c r="EE8">
        <f>EE4-EE6</f>
        <v>1</v>
      </c>
      <c r="EF8" s="2" t="s">
        <v>580</v>
      </c>
      <c r="EG8" s="38">
        <f>(((((((((EM8/60)+EL8)/60)+EK8)/60)+EJ8)/60)+EI8)/60)+EH8</f>
        <v>42.500231481481478</v>
      </c>
      <c r="EH8" s="64">
        <v>42</v>
      </c>
      <c r="EI8" s="64">
        <v>30</v>
      </c>
      <c r="EJ8" s="64">
        <v>0</v>
      </c>
      <c r="EK8" s="65">
        <v>50</v>
      </c>
      <c r="EL8" s="65">
        <v>0</v>
      </c>
      <c r="EM8" s="12"/>
      <c r="EN8" s="12"/>
      <c r="EO8">
        <v>16</v>
      </c>
      <c r="EQ8">
        <f>360-EQ7</f>
        <v>5.2955285236635063E-2</v>
      </c>
      <c r="ER8" s="64">
        <f>INT(ABS(EQ8))</f>
        <v>0</v>
      </c>
      <c r="ES8" s="64">
        <f>INT((ABS(EQ8)-ER8)*60)</f>
        <v>3</v>
      </c>
      <c r="ET8" s="64">
        <f>INT((((ABS(EQ8)-ER8)*60)-ES8)*60)</f>
        <v>10</v>
      </c>
      <c r="EU8" s="65">
        <f>INT((((((ABS(EQ8)-ER8)*60)-ES8)*60)-ET8)*60)</f>
        <v>38</v>
      </c>
      <c r="EV8" s="65">
        <f>INT((((((((ABS(EQ8)-ER8)*60)-ES8)*60)-ET8)*60)-EU8)*60)</f>
        <v>20</v>
      </c>
      <c r="FA8" s="3" t="s">
        <v>580</v>
      </c>
      <c r="FB8" s="39">
        <f>(((((((((DB52/60)+FG8)/60)+FF8)/60)+FE8)/60)+FD8)/60)+FC8</f>
        <v>35.513888888888886</v>
      </c>
      <c r="FC8" s="64">
        <v>35</v>
      </c>
      <c r="FD8" s="64">
        <v>30</v>
      </c>
      <c r="FE8" s="64">
        <v>50</v>
      </c>
      <c r="FF8" s="65">
        <v>0</v>
      </c>
      <c r="FG8" s="65">
        <v>0</v>
      </c>
      <c r="FL8" s="67" t="s">
        <v>581</v>
      </c>
      <c r="FM8" s="73">
        <f>(((((((((((FT8-FS8)*60)-FR8)*60)-FQ8)*60)-FP8)*60)-FO8)*60)-FN8)*60</f>
        <v>0</v>
      </c>
      <c r="FN8" s="73">
        <f>INT((((((((((FT8-FS8)*60)-FR8)*60)-FQ8)*60)-FP8)*60)-FO8)*60)</f>
        <v>0</v>
      </c>
      <c r="FO8" s="73">
        <f>INT((((((((FT8-FS8)*60)-FR8)*60)-FQ8)*60)-FP8)*60)</f>
        <v>0</v>
      </c>
      <c r="FP8" s="73">
        <f>INT((((((FT8-FS8)*60)-FR8)*60)-FQ8)*60)</f>
        <v>0</v>
      </c>
      <c r="FQ8" s="73">
        <f>INT(60*((60*(FT8-FS8))-FR8))</f>
        <v>0</v>
      </c>
      <c r="FR8" s="73">
        <f>INT(60*(FT8-FS8))</f>
        <v>0</v>
      </c>
      <c r="FS8" s="73">
        <f>INT(FT8)</f>
        <v>11</v>
      </c>
      <c r="FT8" s="74">
        <f>FT5-90</f>
        <v>11</v>
      </c>
      <c r="FU8" s="60"/>
      <c r="FV8" s="33"/>
      <c r="FW8" s="72"/>
      <c r="FX8" s="3" t="s">
        <v>580</v>
      </c>
      <c r="FY8" s="39">
        <f>(((((((((GE22/60)+GD8)/60)+GC8)/60)+GB8)/60)+GA8)/60)+FZ8</f>
        <v>41.337018518518519</v>
      </c>
      <c r="FZ8" s="64">
        <v>41</v>
      </c>
      <c r="GA8" s="64">
        <v>20</v>
      </c>
      <c r="GB8" s="64">
        <v>13</v>
      </c>
      <c r="GC8" s="65">
        <v>16</v>
      </c>
      <c r="GD8" s="65">
        <v>0</v>
      </c>
      <c r="GE8" s="76"/>
      <c r="GF8" s="2" t="s">
        <v>580</v>
      </c>
      <c r="GG8" s="38">
        <f>(((((((((GM8/60)+GL8)/60)+GK8)/60)+GJ8)/60)+GI8)/60)+GH8</f>
        <v>42.500231481481478</v>
      </c>
      <c r="GH8" s="64">
        <v>42</v>
      </c>
      <c r="GI8" s="64">
        <v>30</v>
      </c>
      <c r="GJ8" s="64">
        <v>0</v>
      </c>
      <c r="GK8" s="65">
        <v>50</v>
      </c>
      <c r="GL8" s="65">
        <v>0</v>
      </c>
      <c r="GM8" s="12"/>
      <c r="GN8" s="12"/>
      <c r="GO8">
        <v>16</v>
      </c>
      <c r="GQ8">
        <f>360-GQ7</f>
        <v>5.2955285236635063E-2</v>
      </c>
      <c r="GR8" s="64">
        <f>INT(ABS(GQ8))</f>
        <v>0</v>
      </c>
      <c r="GS8" s="64">
        <f>INT((ABS(GQ8)-GR8)*60)</f>
        <v>3</v>
      </c>
      <c r="GT8" s="64">
        <f>INT((((ABS(GQ8)-GR8)*60)-GS8)*60)</f>
        <v>10</v>
      </c>
      <c r="GU8" s="65">
        <f>INT((((((ABS(GQ8)-GR8)*60)-GS8)*60)-GT8)*60)</f>
        <v>38</v>
      </c>
      <c r="GV8" s="65">
        <f>INT((((((((ABS(GQ8)-GR8)*60)-GS8)*60)-GT8)*60)-GU8)*60)</f>
        <v>20</v>
      </c>
      <c r="HC8" s="63" t="s">
        <v>561</v>
      </c>
      <c r="HD8" s="63">
        <f>SQRT(3600-POWER((HD5/2),2))</f>
        <v>59.943205619986657</v>
      </c>
      <c r="HE8" s="51">
        <f t="shared" si="59"/>
        <v>59</v>
      </c>
      <c r="HF8" s="51">
        <f t="shared" si="60"/>
        <v>56</v>
      </c>
      <c r="HG8" s="51">
        <f t="shared" si="61"/>
        <v>35</v>
      </c>
      <c r="HI8" s="63" t="s">
        <v>562</v>
      </c>
      <c r="HJ8" s="63">
        <f>SQRT(3600-POWER((HJ5/2),2))</f>
        <v>59.943205619986657</v>
      </c>
      <c r="HK8" s="51">
        <f t="shared" si="62"/>
        <v>59</v>
      </c>
      <c r="HL8" s="51">
        <f t="shared" si="63"/>
        <v>56</v>
      </c>
      <c r="HM8" s="51">
        <f t="shared" si="64"/>
        <v>35</v>
      </c>
      <c r="HO8" s="76" t="s">
        <v>378</v>
      </c>
      <c r="HQ8" s="64">
        <f t="shared" si="34"/>
        <v>0</v>
      </c>
      <c r="HR8" s="64">
        <f t="shared" si="35"/>
        <v>0</v>
      </c>
      <c r="HS8" s="64">
        <f t="shared" si="36"/>
        <v>0</v>
      </c>
      <c r="HT8" s="65">
        <f t="shared" si="37"/>
        <v>0</v>
      </c>
      <c r="HU8" s="65">
        <f t="shared" si="38"/>
        <v>0</v>
      </c>
    </row>
    <row r="9" spans="1:231" ht="27">
      <c r="C9" s="79" t="s">
        <v>582</v>
      </c>
      <c r="D9" s="79">
        <f>180-D5</f>
        <v>-15.033333333333331</v>
      </c>
      <c r="E9" s="51">
        <f t="shared" si="39"/>
        <v>-16</v>
      </c>
      <c r="F9" s="51">
        <f t="shared" si="40"/>
        <v>58</v>
      </c>
      <c r="G9" s="51">
        <f t="shared" si="41"/>
        <v>0</v>
      </c>
      <c r="I9" s="79" t="s">
        <v>582</v>
      </c>
      <c r="J9" s="79">
        <f>180-J5</f>
        <v>180</v>
      </c>
      <c r="K9" s="51">
        <f t="shared" si="42"/>
        <v>180</v>
      </c>
      <c r="L9" s="51">
        <f t="shared" si="43"/>
        <v>0</v>
      </c>
      <c r="M9" s="51">
        <f t="shared" si="44"/>
        <v>0</v>
      </c>
      <c r="P9" s="63" t="s">
        <v>532</v>
      </c>
      <c r="Q9" s="63">
        <v>0.22720833333339999</v>
      </c>
      <c r="R9" s="64">
        <f t="shared" ref="R9:R17" si="65">INT(ABS(Q9))</f>
        <v>0</v>
      </c>
      <c r="S9" s="64">
        <f t="shared" ref="S9:S17" si="66">INT((ABS(Q9)-R9)*60)</f>
        <v>13</v>
      </c>
      <c r="T9" s="64">
        <f t="shared" si="2"/>
        <v>37</v>
      </c>
      <c r="U9" s="65">
        <f>INT((((((ABS(Q9)-R9)*60)-S9)*60)-T9)*60)</f>
        <v>57</v>
      </c>
      <c r="V9" s="65">
        <f>INT((((((((ABS(Q9)-R9)*60)-S9)*60)-T9)*60)-U9)*60)</f>
        <v>0</v>
      </c>
      <c r="W9" s="65">
        <f>INT((((((((((ABS(Q9)-R9)*60)-S9)*60)-T9)*60)-U9)*60)-V9)*60)</f>
        <v>0</v>
      </c>
      <c r="X9" s="65">
        <f>INT((((((((((((ABS(Q9)-R9)*60)-S9)*60)-T9)*60)-U9)*60)-V9)*60)-W9)*60)</f>
        <v>0</v>
      </c>
      <c r="AB9" s="63" t="s">
        <v>532</v>
      </c>
      <c r="AC9" s="63">
        <v>0.22720833333339999</v>
      </c>
      <c r="AD9" s="64">
        <f t="shared" ref="AD9:AD17" si="67">INT(ABS(AC9))</f>
        <v>0</v>
      </c>
      <c r="AE9" s="64">
        <f t="shared" ref="AE9:AE17" si="68">INT((ABS(AC9)-AD9)*60)</f>
        <v>13</v>
      </c>
      <c r="AF9" s="64">
        <f t="shared" si="9"/>
        <v>37</v>
      </c>
      <c r="AG9" s="65">
        <f>INT((((((ABS(AC9)-AD9)*60)-AE9)*60)-AF9)*60)</f>
        <v>57</v>
      </c>
      <c r="AH9" s="65">
        <f>INT((((((((ABS(AC9)-AD9)*60)-AE9)*60)-AF9)*60)-AG9)*60)</f>
        <v>0</v>
      </c>
      <c r="AI9" s="65">
        <f>INT((((((((((ABS(AC9)-AD9)*60)-AE9)*60)-AF9)*60)-AG9)*60)-AH9)*60)</f>
        <v>0</v>
      </c>
      <c r="AJ9" s="65">
        <f>INT((((((((((((ABS(AC9)-AD9)*60)-AE9)*60)-AF9)*60)-AG9)*60)-AH9)*60)-AI9)*60)</f>
        <v>0</v>
      </c>
      <c r="AM9" s="10"/>
      <c r="AN9" s="7" t="s">
        <v>583</v>
      </c>
      <c r="AO9" s="7">
        <f>AO8*AO5</f>
        <v>-0.2135059942144609</v>
      </c>
      <c r="AP9" s="64">
        <f t="shared" si="14"/>
        <v>0</v>
      </c>
      <c r="AQ9" s="64">
        <f t="shared" si="15"/>
        <v>12</v>
      </c>
      <c r="AR9" s="64">
        <f t="shared" si="16"/>
        <v>48</v>
      </c>
      <c r="AS9" s="65">
        <f t="shared" si="17"/>
        <v>37</v>
      </c>
      <c r="AT9" s="65">
        <f t="shared" si="18"/>
        <v>17</v>
      </c>
      <c r="AU9" s="65">
        <f t="shared" si="19"/>
        <v>41</v>
      </c>
      <c r="AV9" s="65">
        <f t="shared" si="20"/>
        <v>6</v>
      </c>
      <c r="AY9" s="7">
        <f>AY8*AY5</f>
        <v>-0.2135059942144609</v>
      </c>
      <c r="AZ9" s="64">
        <f t="shared" si="21"/>
        <v>0</v>
      </c>
      <c r="BA9" s="64">
        <f t="shared" si="22"/>
        <v>12</v>
      </c>
      <c r="BB9" s="64">
        <f t="shared" si="23"/>
        <v>48</v>
      </c>
      <c r="BC9" s="65">
        <f t="shared" si="24"/>
        <v>37</v>
      </c>
      <c r="BE9" s="5"/>
      <c r="BF9" s="5"/>
      <c r="BG9" s="64">
        <f t="shared" si="47"/>
        <v>0</v>
      </c>
      <c r="BH9" s="64">
        <f t="shared" si="48"/>
        <v>0</v>
      </c>
      <c r="BI9" s="64">
        <f t="shared" si="49"/>
        <v>0</v>
      </c>
      <c r="BJ9" s="65">
        <f t="shared" si="50"/>
        <v>0</v>
      </c>
      <c r="BL9" s="5"/>
      <c r="BM9" s="5"/>
      <c r="BN9" s="64">
        <f t="shared" si="51"/>
        <v>0</v>
      </c>
      <c r="BO9" s="64">
        <f t="shared" si="52"/>
        <v>0</v>
      </c>
      <c r="BP9" s="64">
        <f t="shared" si="53"/>
        <v>0</v>
      </c>
      <c r="BQ9" s="65">
        <f t="shared" si="54"/>
        <v>0</v>
      </c>
      <c r="BT9">
        <v>7</v>
      </c>
      <c r="BU9" s="24" t="s">
        <v>287</v>
      </c>
      <c r="BV9" s="24">
        <f>BV7*BV8/120</f>
        <v>1.9368856818227556</v>
      </c>
      <c r="BW9" s="64">
        <f t="shared" si="55"/>
        <v>1</v>
      </c>
      <c r="BX9" s="64">
        <f t="shared" si="56"/>
        <v>56</v>
      </c>
      <c r="BY9" s="64">
        <f t="shared" si="57"/>
        <v>12</v>
      </c>
      <c r="BZ9" s="65">
        <f t="shared" si="58"/>
        <v>47</v>
      </c>
      <c r="CB9" s="55"/>
      <c r="CC9" s="78" t="s">
        <v>416</v>
      </c>
      <c r="CD9" s="78">
        <f>DEGREES(ASIN(SIN(RADIANS(CD3))*SIN(RADIANS(CD5))))</f>
        <v>8.7537701020766051E-2</v>
      </c>
      <c r="CE9" s="64">
        <f t="shared" si="25"/>
        <v>0</v>
      </c>
      <c r="CF9" s="64">
        <f t="shared" si="26"/>
        <v>5</v>
      </c>
      <c r="CG9" s="64">
        <f t="shared" si="27"/>
        <v>15</v>
      </c>
      <c r="CH9" s="65">
        <f t="shared" si="28"/>
        <v>8</v>
      </c>
      <c r="CJ9" s="33"/>
      <c r="CK9" s="24" t="s">
        <v>584</v>
      </c>
      <c r="CL9" s="24">
        <f>180-(CL6/2)</f>
        <v>224</v>
      </c>
      <c r="CM9" s="64">
        <f t="shared" si="29"/>
        <v>224</v>
      </c>
      <c r="CN9" s="64">
        <f t="shared" si="30"/>
        <v>0</v>
      </c>
      <c r="CO9" s="64">
        <f t="shared" si="31"/>
        <v>0</v>
      </c>
      <c r="CP9" s="65">
        <f t="shared" si="32"/>
        <v>0</v>
      </c>
      <c r="CQ9" s="65">
        <f t="shared" si="33"/>
        <v>0</v>
      </c>
      <c r="CU9" s="3" t="s">
        <v>271</v>
      </c>
      <c r="CV9" s="3">
        <v>354</v>
      </c>
      <c r="CW9" s="64">
        <f t="shared" ref="CW9:CW18" si="69">INT(ABS(CV9))</f>
        <v>354</v>
      </c>
      <c r="CX9" s="64">
        <f t="shared" ref="CX9:CX18" si="70">INT((ABS(CV9)-CW9)*60)</f>
        <v>0</v>
      </c>
      <c r="CY9" s="64">
        <f t="shared" ref="CY9:CY18" si="71">INT((((ABS(CV9)-CW9)*60)-CX9)*60)</f>
        <v>0</v>
      </c>
      <c r="CZ9" s="65">
        <f t="shared" ref="CZ9:CZ18" si="72">INT((((((ABS(CV9)-CW9)*60)-CX9)*60)-CY9)*60)</f>
        <v>0</v>
      </c>
      <c r="DA9" s="65">
        <f t="shared" ref="DA9:DA18" si="73">INT((((((((ABS(CV9)-CW9)*60)-CX9)*60)-CY9)*60)-CZ9)*60)</f>
        <v>0</v>
      </c>
      <c r="DB9" s="33"/>
      <c r="DC9" s="2" t="s">
        <v>271</v>
      </c>
      <c r="DD9" s="2">
        <v>354</v>
      </c>
      <c r="DE9" s="64">
        <f t="shared" ref="DE9:DE18" si="74">INT(ABS(DD9))</f>
        <v>354</v>
      </c>
      <c r="DF9" s="64">
        <f t="shared" ref="DF9:DF18" si="75">INT((ABS(DD9)-DE9)*60)</f>
        <v>0</v>
      </c>
      <c r="DG9" s="64">
        <f t="shared" ref="DG9:DG18" si="76">INT((((ABS(DD9)-DE9)*60)-DF9)*60)</f>
        <v>0</v>
      </c>
      <c r="DH9" s="65">
        <f t="shared" ref="DH9:DH18" si="77">INT((((((ABS(DD9)-DE9)*60)-DF9)*60)-DG9)*60)</f>
        <v>0</v>
      </c>
      <c r="DI9" s="65">
        <f t="shared" ref="DI9:DI18" si="78">INT((((((((ABS(DD9)-DE9)*60)-DF9)*60)-DG9)*60)-DH9)*60)</f>
        <v>0</v>
      </c>
      <c r="DJ9" s="12"/>
      <c r="DK9" s="12"/>
      <c r="DL9" s="33"/>
      <c r="DM9" s="10" t="s">
        <v>271</v>
      </c>
      <c r="DN9" s="10">
        <v>354</v>
      </c>
      <c r="DO9" s="64">
        <f>INT(ABS(DN9))</f>
        <v>354</v>
      </c>
      <c r="DP9" s="64">
        <f>INT((ABS(DN9)-DO9)*60)</f>
        <v>0</v>
      </c>
      <c r="DQ9" s="64">
        <f>INT((((ABS(DN9)-DO9)*60)-DP9)*60)</f>
        <v>0</v>
      </c>
      <c r="DR9" s="65">
        <f>INT((((((ABS(DN9)-DO9)*60)-DP9)*60)-DQ9)*60)</f>
        <v>0</v>
      </c>
      <c r="DS9" s="65">
        <f>INT((((((((ABS(DN9)-DO9)*60)-DP9)*60)-DQ9)*60)-DR9)*60)</f>
        <v>0</v>
      </c>
      <c r="DT9" s="12"/>
      <c r="DU9" s="12"/>
      <c r="DW9" t="s">
        <v>176</v>
      </c>
      <c r="DX9" s="3" t="s">
        <v>271</v>
      </c>
      <c r="DY9" s="3">
        <v>354</v>
      </c>
      <c r="DZ9" s="64">
        <f t="shared" ref="DZ9:DZ18" si="79">INT(ABS(DY9))</f>
        <v>354</v>
      </c>
      <c r="EA9" s="64">
        <f t="shared" ref="EA9:EA18" si="80">INT((ABS(DY9)-DZ9)*60)</f>
        <v>0</v>
      </c>
      <c r="EB9" s="64">
        <f t="shared" ref="EB9:EB18" si="81">INT((((ABS(DY9)-DZ9)*60)-EA9)*60)</f>
        <v>0</v>
      </c>
      <c r="EC9" s="65">
        <f t="shared" ref="EC9:EC18" si="82">INT((((((ABS(DY9)-DZ9)*60)-EA9)*60)-EB9)*60)</f>
        <v>0</v>
      </c>
      <c r="ED9" s="65">
        <f t="shared" ref="ED9:ED18" si="83">INT((((((((ABS(DY9)-DZ9)*60)-EA9)*60)-EB9)*60)-EC9)*60)</f>
        <v>0</v>
      </c>
      <c r="EE9" t="s">
        <v>176</v>
      </c>
      <c r="EF9" s="2" t="s">
        <v>271</v>
      </c>
      <c r="EG9" s="2">
        <v>354</v>
      </c>
      <c r="EH9" s="64">
        <f t="shared" ref="EH9:EH18" si="84">INT(ABS(EG9))</f>
        <v>354</v>
      </c>
      <c r="EI9" s="64">
        <f t="shared" ref="EI9:EI18" si="85">INT((ABS(EG9)-EH9)*60)</f>
        <v>0</v>
      </c>
      <c r="EJ9" s="64">
        <f t="shared" ref="EJ9:EJ18" si="86">INT((((ABS(EG9)-EH9)*60)-EI9)*60)</f>
        <v>0</v>
      </c>
      <c r="EK9" s="65">
        <f t="shared" ref="EK9:EK18" si="87">INT((((((ABS(EG9)-EH9)*60)-EI9)*60)-EJ9)*60)</f>
        <v>0</v>
      </c>
      <c r="EL9" s="65">
        <f t="shared" ref="EL9:EL18" si="88">INT((((((((ABS(EG9)-EH9)*60)-EI9)*60)-EJ9)*60)-EK9)*60)</f>
        <v>0</v>
      </c>
      <c r="EM9" s="12"/>
      <c r="EN9" s="12"/>
      <c r="EP9" s="10" t="s">
        <v>271</v>
      </c>
      <c r="EQ9" s="10">
        <v>354</v>
      </c>
      <c r="ER9" s="64">
        <f>INT(ABS(EQ9))</f>
        <v>354</v>
      </c>
      <c r="ES9" s="64">
        <f>INT((ABS(EQ9)-ER9)*60)</f>
        <v>0</v>
      </c>
      <c r="ET9" s="64">
        <f>INT((((ABS(EQ9)-ER9)*60)-ES9)*60)</f>
        <v>0</v>
      </c>
      <c r="EU9" s="65">
        <f>INT((((((ABS(EQ9)-ER9)*60)-ES9)*60)-ET9)*60)</f>
        <v>0</v>
      </c>
      <c r="EV9" s="65">
        <f>INT((((((((ABS(EQ9)-ER9)*60)-ES9)*60)-ET9)*60)-EU9)*60)</f>
        <v>0</v>
      </c>
      <c r="EW9" s="12"/>
      <c r="EX9" s="12"/>
      <c r="FA9" s="3" t="s">
        <v>271</v>
      </c>
      <c r="FB9" s="3">
        <v>354</v>
      </c>
      <c r="FC9" s="64">
        <f t="shared" ref="FC9:FC18" si="89">INT(ABS(FB9))</f>
        <v>354</v>
      </c>
      <c r="FD9" s="64">
        <f t="shared" ref="FD9:FD18" si="90">INT((ABS(FB9)-FC9)*60)</f>
        <v>0</v>
      </c>
      <c r="FE9" s="64">
        <f t="shared" ref="FE9:FE18" si="91">INT((((ABS(FB9)-FC9)*60)-FD9)*60)</f>
        <v>0</v>
      </c>
      <c r="FF9" s="65">
        <f t="shared" ref="FF9:FF18" si="92">INT((((((ABS(FB9)-FC9)*60)-FD9)*60)-FE9)*60)</f>
        <v>0</v>
      </c>
      <c r="FG9" s="65">
        <f t="shared" ref="FG9:FG18" si="93">INT((((((((ABS(FB9)-FC9)*60)-FD9)*60)-FE9)*60)-FF9)*60)</f>
        <v>0</v>
      </c>
      <c r="FL9" s="67" t="s">
        <v>585</v>
      </c>
      <c r="FM9" s="73">
        <f>(((((((((((FT9-FS9)*60)-FR9)*60)-FQ9)*60)-FP9)*60)-FO9)*60)-FN9)*60</f>
        <v>0</v>
      </c>
      <c r="FN9" s="73">
        <f>INT((((((((((FT9-FS9)*60)-FR9)*60)-FQ9)*60)-FP9)*60)-FO9)*60)</f>
        <v>0</v>
      </c>
      <c r="FO9" s="73">
        <f>INT((((((((FT9-FS9)*60)-FR9)*60)-FQ9)*60)-FP9)*60)</f>
        <v>0</v>
      </c>
      <c r="FP9" s="73">
        <f>INT((((((FT9-FS9)*60)-FR9)*60)-FQ9)*60)</f>
        <v>0</v>
      </c>
      <c r="FQ9" s="73">
        <f>INT(60*((60*(FT9-FS9))-FR9))</f>
        <v>0</v>
      </c>
      <c r="FR9" s="73">
        <f>INT(60*(FT9-FS9))</f>
        <v>0</v>
      </c>
      <c r="FS9" s="73">
        <f>INT(FT9)</f>
        <v>270</v>
      </c>
      <c r="FT9" s="74">
        <f>IF(FT8-FT5&lt;0,360+FT8-FT5,FT8-FT5)</f>
        <v>270</v>
      </c>
      <c r="FU9" s="60"/>
      <c r="FV9" s="33"/>
      <c r="FW9" s="33"/>
      <c r="FX9" s="3" t="s">
        <v>271</v>
      </c>
      <c r="FY9" s="3">
        <v>354</v>
      </c>
      <c r="FZ9" s="64">
        <f t="shared" ref="FZ9:FZ18" si="94">INT(ABS(FY9))</f>
        <v>354</v>
      </c>
      <c r="GA9" s="64">
        <f t="shared" ref="GA9:GA18" si="95">INT((ABS(FY9)-FZ9)*60)</f>
        <v>0</v>
      </c>
      <c r="GB9" s="64">
        <f t="shared" ref="GB9:GB18" si="96">INT((((ABS(FY9)-FZ9)*60)-GA9)*60)</f>
        <v>0</v>
      </c>
      <c r="GC9" s="65">
        <f t="shared" ref="GC9:GC18" si="97">INT((((((ABS(FY9)-FZ9)*60)-GA9)*60)-GB9)*60)</f>
        <v>0</v>
      </c>
      <c r="GD9" s="65">
        <f t="shared" ref="GD9:GD18" si="98">INT((((((((ABS(FY9)-FZ9)*60)-GA9)*60)-GB9)*60)-GC9)*60)</f>
        <v>0</v>
      </c>
      <c r="GE9" s="76"/>
      <c r="GF9" s="2" t="s">
        <v>271</v>
      </c>
      <c r="GG9" s="2">
        <v>354</v>
      </c>
      <c r="GH9" s="64">
        <f t="shared" ref="GH9:GH18" si="99">INT(ABS(GG9))</f>
        <v>354</v>
      </c>
      <c r="GI9" s="64">
        <f t="shared" ref="GI9:GI18" si="100">INT((ABS(GG9)-GH9)*60)</f>
        <v>0</v>
      </c>
      <c r="GJ9" s="64">
        <f t="shared" ref="GJ9:GJ18" si="101">INT((((ABS(GG9)-GH9)*60)-GI9)*60)</f>
        <v>0</v>
      </c>
      <c r="GK9" s="65">
        <f t="shared" ref="GK9:GK18" si="102">INT((((((ABS(GG9)-GH9)*60)-GI9)*60)-GJ9)*60)</f>
        <v>0</v>
      </c>
      <c r="GL9" s="65">
        <f t="shared" ref="GL9:GL18" si="103">INT((((((((ABS(GG9)-GH9)*60)-GI9)*60)-GJ9)*60)-GK9)*60)</f>
        <v>0</v>
      </c>
      <c r="GM9" s="12"/>
      <c r="GN9" s="12"/>
      <c r="GP9" s="10" t="s">
        <v>271</v>
      </c>
      <c r="GQ9" s="10">
        <v>354</v>
      </c>
      <c r="GR9" s="64">
        <f>INT(ABS(GQ9))</f>
        <v>354</v>
      </c>
      <c r="GS9" s="64">
        <f>INT((ABS(GQ9)-GR9)*60)</f>
        <v>0</v>
      </c>
      <c r="GT9" s="64">
        <f>INT((((ABS(GQ9)-GR9)*60)-GS9)*60)</f>
        <v>0</v>
      </c>
      <c r="GU9" s="65">
        <f>INT((((((ABS(GQ9)-GR9)*60)-GS9)*60)-GT9)*60)</f>
        <v>0</v>
      </c>
      <c r="GV9" s="65">
        <f>INT((((((((ABS(GQ9)-GR9)*60)-GS9)*60)-GT9)*60)-GU9)*60)</f>
        <v>0</v>
      </c>
      <c r="GW9" s="12"/>
      <c r="GX9" s="12"/>
      <c r="HC9" s="79" t="s">
        <v>575</v>
      </c>
      <c r="HD9" s="79">
        <f>HD5+(COS(RADIANS(HD6))*HD7)</f>
        <v>5.0212060597492174</v>
      </c>
      <c r="HE9" s="51">
        <f t="shared" si="59"/>
        <v>5</v>
      </c>
      <c r="HF9" s="51">
        <f t="shared" si="60"/>
        <v>1</v>
      </c>
      <c r="HG9" s="51">
        <f t="shared" si="61"/>
        <v>16</v>
      </c>
      <c r="HI9" s="79" t="s">
        <v>575</v>
      </c>
      <c r="HJ9" s="79">
        <f>HJ5+(COS(RADIANS(HJ6))*HJ7)</f>
        <v>5.4401620370399995</v>
      </c>
      <c r="HK9" s="51">
        <f t="shared" si="62"/>
        <v>5</v>
      </c>
      <c r="HL9" s="51">
        <f t="shared" si="63"/>
        <v>26</v>
      </c>
      <c r="HM9" s="51">
        <f t="shared" si="64"/>
        <v>24</v>
      </c>
    </row>
    <row r="10" spans="1:231" ht="37.5">
      <c r="C10" s="79" t="s">
        <v>586</v>
      </c>
      <c r="D10" s="79">
        <f>TAN(RADIANS(D5))*60</f>
        <v>16.114370148232581</v>
      </c>
      <c r="E10" s="51">
        <f>INT(ABS(D10))</f>
        <v>16</v>
      </c>
      <c r="F10" s="51">
        <f>INT((ABS(D10)-E10)*60)</f>
        <v>6</v>
      </c>
      <c r="G10" s="51">
        <f>INT((((ABS(D10)-E10)*60)-F10)*60)</f>
        <v>51</v>
      </c>
      <c r="I10" s="79" t="s">
        <v>586</v>
      </c>
      <c r="J10" s="79">
        <f>TAN(RADIANS(J5))*60</f>
        <v>0</v>
      </c>
      <c r="K10" s="51">
        <f>INT(ABS(J10))</f>
        <v>0</v>
      </c>
      <c r="L10" s="51">
        <f>INT((ABS(J10)-K10)*60)</f>
        <v>0</v>
      </c>
      <c r="M10" s="51">
        <f>INT((((ABS(J10)-K10)*60)-L10)*60)</f>
        <v>0</v>
      </c>
      <c r="P10" s="79" t="s">
        <v>287</v>
      </c>
      <c r="Q10" s="79">
        <f>COS(RADIANS(Q8))*Q9</f>
        <v>-0.16884869722205914</v>
      </c>
      <c r="R10" s="64">
        <f t="shared" si="65"/>
        <v>0</v>
      </c>
      <c r="S10" s="64">
        <f t="shared" si="66"/>
        <v>10</v>
      </c>
      <c r="T10" s="64">
        <f t="shared" ref="T10:T17" si="104">INT((((ABS(Q10)-R10)*60)-S10)*60)</f>
        <v>7</v>
      </c>
      <c r="U10" s="65">
        <f t="shared" ref="U10:U17" si="105">INT((((((ABS(Q10)-R10)*60)-S10)*60)-T10)*60)</f>
        <v>51</v>
      </c>
      <c r="V10" s="65">
        <f t="shared" ref="V10:V17" si="106">INT((((((((ABS(Q10)-R10)*60)-S10)*60)-T10)*60)-U10)*60)</f>
        <v>19</v>
      </c>
      <c r="W10" s="65">
        <f t="shared" ref="W10:W17" si="107">INT((((((((((ABS(Q10)-R10)*60)-S10)*60)-T10)*60)-U10)*60)-V10)*60)</f>
        <v>6</v>
      </c>
      <c r="X10" s="65">
        <f t="shared" ref="X10:X17" si="108">INT((((((((((((ABS(Q10)-R10)*60)-S10)*60)-T10)*60)-U10)*60)-V10)*60)-W10)*60)</f>
        <v>57</v>
      </c>
      <c r="AB10" s="79" t="s">
        <v>287</v>
      </c>
      <c r="AC10" s="79">
        <f>COS(RADIANS(AC8))*AC9</f>
        <v>-0.16884869722205914</v>
      </c>
      <c r="AD10" s="64">
        <f t="shared" si="67"/>
        <v>0</v>
      </c>
      <c r="AE10" s="64">
        <f t="shared" si="68"/>
        <v>10</v>
      </c>
      <c r="AF10" s="64">
        <f t="shared" ref="AF10:AF17" si="109">INT((((ABS(AC10)-AD10)*60)-AE10)*60)</f>
        <v>7</v>
      </c>
      <c r="AG10" s="65">
        <f t="shared" ref="AG10:AG17" si="110">INT((((((ABS(AC10)-AD10)*60)-AE10)*60)-AF10)*60)</f>
        <v>51</v>
      </c>
      <c r="AH10" s="65">
        <f t="shared" ref="AH10:AH17" si="111">INT((((((((ABS(AC10)-AD10)*60)-AE10)*60)-AF10)*60)-AG10)*60)</f>
        <v>19</v>
      </c>
      <c r="AI10" s="65">
        <f t="shared" ref="AI10:AI17" si="112">INT((((((((((ABS(AC10)-AD10)*60)-AE10)*60)-AF10)*60)-AG10)*60)-AH10)*60)</f>
        <v>6</v>
      </c>
      <c r="AJ10" s="65">
        <f t="shared" ref="AJ10:AJ17" si="113">INT((((((((((((ABS(AC10)-AD10)*60)-AE10)*60)-AF10)*60)-AG10)*60)-AH10)*60)-AI10)*60)</f>
        <v>57</v>
      </c>
      <c r="AM10" s="10" t="s">
        <v>531</v>
      </c>
      <c r="AN10" s="10" t="s">
        <v>587</v>
      </c>
      <c r="AO10" s="10">
        <f>Q8</f>
        <v>222</v>
      </c>
      <c r="AP10" s="64">
        <f t="shared" si="14"/>
        <v>222</v>
      </c>
      <c r="AQ10" s="64">
        <f t="shared" si="15"/>
        <v>0</v>
      </c>
      <c r="AR10" s="64">
        <f t="shared" si="16"/>
        <v>0</v>
      </c>
      <c r="AS10" s="65">
        <f t="shared" si="17"/>
        <v>0</v>
      </c>
      <c r="AT10" s="65">
        <f t="shared" si="18"/>
        <v>0</v>
      </c>
      <c r="AU10" s="65">
        <f t="shared" si="19"/>
        <v>0</v>
      </c>
      <c r="AV10" s="65">
        <f t="shared" si="20"/>
        <v>0</v>
      </c>
      <c r="AW10" s="10">
        <f>360+AO4-AO6</f>
        <v>303.8600000003334</v>
      </c>
      <c r="AY10" s="10">
        <f>Q8</f>
        <v>222</v>
      </c>
      <c r="AZ10" s="64">
        <f t="shared" si="21"/>
        <v>222</v>
      </c>
      <c r="BA10" s="64">
        <f t="shared" si="22"/>
        <v>0</v>
      </c>
      <c r="BB10" s="64">
        <f t="shared" si="23"/>
        <v>0</v>
      </c>
      <c r="BC10" s="65">
        <f t="shared" si="24"/>
        <v>0</v>
      </c>
      <c r="BE10" s="10" t="s">
        <v>587</v>
      </c>
      <c r="BF10" s="10">
        <f>AY10</f>
        <v>222</v>
      </c>
      <c r="BG10" s="64">
        <f t="shared" si="47"/>
        <v>222</v>
      </c>
      <c r="BH10" s="64">
        <f t="shared" si="48"/>
        <v>0</v>
      </c>
      <c r="BI10" s="64">
        <f t="shared" si="49"/>
        <v>0</v>
      </c>
      <c r="BJ10" s="65">
        <f t="shared" si="50"/>
        <v>0</v>
      </c>
      <c r="BL10" s="10" t="s">
        <v>587</v>
      </c>
      <c r="BM10" s="10">
        <f>BF10</f>
        <v>222</v>
      </c>
      <c r="BN10" s="64">
        <f t="shared" si="51"/>
        <v>222</v>
      </c>
      <c r="BO10" s="64">
        <f t="shared" si="52"/>
        <v>0</v>
      </c>
      <c r="BP10" s="64">
        <f t="shared" si="53"/>
        <v>0</v>
      </c>
      <c r="BQ10" s="65">
        <f t="shared" si="54"/>
        <v>0</v>
      </c>
      <c r="BT10">
        <v>8</v>
      </c>
      <c r="BU10" s="24" t="s">
        <v>588</v>
      </c>
      <c r="BV10" s="24">
        <f>BV5-180</f>
        <v>-90</v>
      </c>
      <c r="BW10" s="64">
        <f t="shared" si="55"/>
        <v>90</v>
      </c>
      <c r="BX10" s="64">
        <f t="shared" si="56"/>
        <v>0</v>
      </c>
      <c r="BY10" s="64">
        <f t="shared" si="57"/>
        <v>0</v>
      </c>
      <c r="BZ10" s="65">
        <f t="shared" si="58"/>
        <v>0</v>
      </c>
      <c r="CD10" t="e">
        <f ca="1">[5]!arzqmr(CD3)</f>
        <v>#NAME?</v>
      </c>
      <c r="CE10" s="64" t="e">
        <f t="shared" ca="1" si="25"/>
        <v>#NAME?</v>
      </c>
      <c r="CF10" s="64" t="e">
        <f t="shared" ca="1" si="26"/>
        <v>#NAME?</v>
      </c>
      <c r="CG10" s="64" t="e">
        <f t="shared" ca="1" si="27"/>
        <v>#NAME?</v>
      </c>
      <c r="CH10" s="65" t="e">
        <f t="shared" ca="1" si="28"/>
        <v>#NAME?</v>
      </c>
      <c r="CJ10" s="33"/>
      <c r="CK10" s="29" t="s">
        <v>541</v>
      </c>
      <c r="CL10" s="29">
        <v>42.374166666699999</v>
      </c>
      <c r="CM10" s="64">
        <f t="shared" si="29"/>
        <v>42</v>
      </c>
      <c r="CN10" s="64">
        <f t="shared" si="30"/>
        <v>22</v>
      </c>
      <c r="CO10" s="64">
        <f t="shared" si="31"/>
        <v>27</v>
      </c>
      <c r="CP10" s="65">
        <f t="shared" si="32"/>
        <v>0</v>
      </c>
      <c r="CQ10" s="65">
        <f t="shared" si="33"/>
        <v>0</v>
      </c>
      <c r="CR10" s="27"/>
      <c r="CS10" s="27"/>
      <c r="CU10" s="3" t="s">
        <v>268</v>
      </c>
      <c r="CV10" s="3">
        <f>IF(CV6&lt;2,0,IF(CV6&lt;5,1,IF(CV6&lt;7,2,IF(CV6&lt;10,3,IF(CV6&lt;13,4,IF(CV6&lt;16,5,IF(CV6&lt;18,6,IF(CV6&lt;21,7,IF(CV6&lt;24,8,IF(CV6&lt;26,9,IF(CV6&lt;29,10,0)))))))))))</f>
        <v>2</v>
      </c>
      <c r="CW10" s="64">
        <f t="shared" si="69"/>
        <v>2</v>
      </c>
      <c r="CX10" s="64">
        <f t="shared" si="70"/>
        <v>0</v>
      </c>
      <c r="CY10" s="64">
        <f t="shared" si="71"/>
        <v>0</v>
      </c>
      <c r="CZ10" s="65">
        <f t="shared" si="72"/>
        <v>0</v>
      </c>
      <c r="DA10" s="65">
        <f t="shared" si="73"/>
        <v>0</v>
      </c>
      <c r="DB10" s="33"/>
      <c r="DC10" s="2" t="s">
        <v>268</v>
      </c>
      <c r="DD10" s="2">
        <f>IF(DD6&lt;2,0,IF(DD6&lt;5,1,IF(DD6&lt;7,2,IF(DD6&lt;10,3,IF(DD6&lt;13,4,IF(DD6&lt;16,5,IF(DD6&lt;18,6,IF(DD6&lt;21,7,IF(DD6&lt;24,8,IF(DD6&lt;26,9,IF(DD6&lt;29,10,0)))))))))))</f>
        <v>2</v>
      </c>
      <c r="DE10" s="64">
        <f t="shared" si="74"/>
        <v>2</v>
      </c>
      <c r="DF10" s="64">
        <f t="shared" si="75"/>
        <v>0</v>
      </c>
      <c r="DG10" s="64">
        <f t="shared" si="76"/>
        <v>0</v>
      </c>
      <c r="DH10" s="65">
        <f t="shared" si="77"/>
        <v>0</v>
      </c>
      <c r="DI10" s="65">
        <f t="shared" si="78"/>
        <v>0</v>
      </c>
      <c r="DJ10" s="65"/>
      <c r="DK10" s="65"/>
      <c r="DL10" s="33"/>
      <c r="DM10" s="10" t="s">
        <v>580</v>
      </c>
      <c r="DN10" s="80">
        <f>(((((((((DT10/60)+DS10)/60)+DR10)/60)+DQ10)/60)+DP10)/60)+DO10</f>
        <v>70.10490740740741</v>
      </c>
      <c r="DO10" s="64">
        <v>70</v>
      </c>
      <c r="DP10" s="64">
        <v>6</v>
      </c>
      <c r="DQ10" s="64">
        <v>17</v>
      </c>
      <c r="DR10" s="65">
        <v>40</v>
      </c>
      <c r="DS10" s="65">
        <v>0</v>
      </c>
      <c r="DT10" s="12"/>
      <c r="DU10" s="12"/>
      <c r="DW10" t="s">
        <v>589</v>
      </c>
      <c r="DX10" s="3" t="s">
        <v>268</v>
      </c>
      <c r="DY10" s="3">
        <f>IF(DY6&lt;2,0,IF(DY6&lt;5,1,IF(DY6&lt;7,2,IF(DY6&lt;10,3,IF(DY6&lt;13,4,IF(DY6&lt;16,5,IF(DY6&lt;18,6,IF(DY6&lt;21,7,IF(DY6&lt;24,8,IF(DY6&lt;26,9,IF(DY6&lt;29,10,0)))))))))))</f>
        <v>0</v>
      </c>
      <c r="DZ10" s="64">
        <f t="shared" si="79"/>
        <v>0</v>
      </c>
      <c r="EA10" s="64">
        <f t="shared" si="80"/>
        <v>0</v>
      </c>
      <c r="EB10" s="64">
        <f t="shared" si="81"/>
        <v>0</v>
      </c>
      <c r="EC10" s="65">
        <f t="shared" si="82"/>
        <v>0</v>
      </c>
      <c r="ED10" s="65">
        <f t="shared" si="83"/>
        <v>0</v>
      </c>
      <c r="EE10" t="str">
        <f>DW10</f>
        <v>شرقی</v>
      </c>
      <c r="EF10" s="2" t="s">
        <v>268</v>
      </c>
      <c r="EG10" s="2">
        <f>IF(EG6&lt;2,0,IF(EG6&lt;5,1,IF(EG6&lt;7,2,IF(EG6&lt;10,3,IF(EG6&lt;13,4,IF(EG6&lt;16,5,IF(EG6&lt;18,6,IF(EG6&lt;21,7,IF(EG6&lt;24,8,IF(EG6&lt;26,9,IF(EG6&lt;29,10,0)))))))))))</f>
        <v>0</v>
      </c>
      <c r="EH10" s="64">
        <f t="shared" si="84"/>
        <v>0</v>
      </c>
      <c r="EI10" s="64">
        <f t="shared" si="85"/>
        <v>0</v>
      </c>
      <c r="EJ10" s="64">
        <f t="shared" si="86"/>
        <v>0</v>
      </c>
      <c r="EK10" s="65">
        <f t="shared" si="87"/>
        <v>0</v>
      </c>
      <c r="EL10" s="65">
        <f t="shared" si="88"/>
        <v>0</v>
      </c>
      <c r="EM10" s="65"/>
      <c r="EN10" s="65"/>
      <c r="EO10" t="s">
        <v>176</v>
      </c>
      <c r="EP10" s="10" t="s">
        <v>580</v>
      </c>
      <c r="EQ10" s="80">
        <f>(((((((((EW10/60)+EV10)/60)+EU10)/60)+ET10)/60)+ES10)/60)+ER10</f>
        <v>70.10490740740741</v>
      </c>
      <c r="ER10" s="64">
        <v>70</v>
      </c>
      <c r="ES10" s="64">
        <v>6</v>
      </c>
      <c r="ET10" s="64">
        <v>17</v>
      </c>
      <c r="EU10" s="65">
        <v>40</v>
      </c>
      <c r="EV10" s="65">
        <v>0</v>
      </c>
      <c r="EW10" s="12"/>
      <c r="EX10" s="12"/>
      <c r="FA10" s="3" t="s">
        <v>268</v>
      </c>
      <c r="FB10" s="3">
        <f>IF(FB6&lt;2,0,IF(FB6&lt;5,1,IF(FB6&lt;7,2,IF(FB6&lt;10,3,IF(FB6&lt;13,4,IF(FB6&lt;16,5,IF(FB6&lt;18,6,IF(FB6&lt;21,7,IF(FB6&lt;24,8,IF(FB6&lt;26,9,IF(FB6&lt;29,10,0)))))))))))</f>
        <v>2</v>
      </c>
      <c r="FC10" s="64">
        <f t="shared" si="89"/>
        <v>2</v>
      </c>
      <c r="FD10" s="64">
        <f t="shared" si="90"/>
        <v>0</v>
      </c>
      <c r="FE10" s="64">
        <f t="shared" si="91"/>
        <v>0</v>
      </c>
      <c r="FF10" s="65">
        <f t="shared" si="92"/>
        <v>0</v>
      </c>
      <c r="FG10" s="65">
        <f t="shared" si="93"/>
        <v>0</v>
      </c>
      <c r="FL10" s="67" t="s">
        <v>590</v>
      </c>
      <c r="FM10" s="73">
        <f>(((((((((((FT10-FS10)*60)-FR10)*60)-FQ10)*60)-FP10)*60)-FO10)*60)-FN10)*60</f>
        <v>24.000004073604941</v>
      </c>
      <c r="FN10" s="73">
        <f>INT((((((((((FT10-FS10)*60)-FR10)*60)-FQ10)*60)-FP10)*60)-FO10)*60)</f>
        <v>50</v>
      </c>
      <c r="FO10" s="73">
        <f>INT((((((((FT10-FS10)*60)-FR10)*60)-FQ10)*60)-FP10)*60)</f>
        <v>39</v>
      </c>
      <c r="FP10" s="73">
        <f>INT((((((FT10-FS10)*60)-FR10)*60)-FQ10)*60)</f>
        <v>11</v>
      </c>
      <c r="FQ10" s="73">
        <f>INT(60*((60*(FT10-FS10))-FR10))</f>
        <v>30</v>
      </c>
      <c r="FR10" s="73">
        <f>INT(60*(FT10-FS10))</f>
        <v>55</v>
      </c>
      <c r="FS10" s="73">
        <f>INT(FT10)</f>
        <v>1</v>
      </c>
      <c r="FT10" s="74">
        <v>1.925054</v>
      </c>
      <c r="FU10" s="60"/>
      <c r="FV10" s="33"/>
      <c r="FW10" s="33"/>
      <c r="FX10" s="3" t="s">
        <v>268</v>
      </c>
      <c r="FY10" s="3">
        <f>IF(FY6&lt;2,0,IF(FY6&lt;5,1,IF(FY6&lt;7,2,IF(FY6&lt;10,3,IF(FY6&lt;13,4,IF(FY6&lt;16,5,IF(FY6&lt;18,6,IF(FY6&lt;21,7,IF(FY6&lt;24,8,IF(FY6&lt;26,9,IF(FY6&lt;29,10,0)))))))))))</f>
        <v>0</v>
      </c>
      <c r="FZ10" s="64">
        <f t="shared" si="94"/>
        <v>0</v>
      </c>
      <c r="GA10" s="64">
        <f t="shared" si="95"/>
        <v>0</v>
      </c>
      <c r="GB10" s="64">
        <f t="shared" si="96"/>
        <v>0</v>
      </c>
      <c r="GC10" s="65">
        <f t="shared" si="97"/>
        <v>0</v>
      </c>
      <c r="GD10" s="65">
        <f t="shared" si="98"/>
        <v>0</v>
      </c>
      <c r="GE10" s="76"/>
      <c r="GF10" s="2" t="s">
        <v>268</v>
      </c>
      <c r="GG10" s="2">
        <f>IF(GG6&lt;2,0,IF(GG6&lt;5,1,IF(GG6&lt;7,2,IF(GG6&lt;10,3,IF(GG6&lt;13,4,IF(GG6&lt;16,5,IF(GG6&lt;18,6,IF(GG6&lt;21,7,IF(GG6&lt;24,8,IF(GG6&lt;26,9,IF(GG6&lt;29,10,0)))))))))))</f>
        <v>0</v>
      </c>
      <c r="GH10" s="64">
        <f t="shared" si="99"/>
        <v>0</v>
      </c>
      <c r="GI10" s="64">
        <f t="shared" si="100"/>
        <v>0</v>
      </c>
      <c r="GJ10" s="64">
        <f t="shared" si="101"/>
        <v>0</v>
      </c>
      <c r="GK10" s="65">
        <f t="shared" si="102"/>
        <v>0</v>
      </c>
      <c r="GL10" s="65">
        <f t="shared" si="103"/>
        <v>0</v>
      </c>
      <c r="GM10" s="65"/>
      <c r="GN10" s="65"/>
      <c r="GP10" s="10" t="s">
        <v>580</v>
      </c>
      <c r="GQ10" s="80">
        <f>(((((((((GW10/60)+GV10)/60)+GU10)/60)+GT10)/60)+GS10)/60)+GR10</f>
        <v>70.10490740740741</v>
      </c>
      <c r="GR10" s="64">
        <v>70</v>
      </c>
      <c r="GS10" s="64">
        <v>6</v>
      </c>
      <c r="GT10" s="64">
        <v>17</v>
      </c>
      <c r="GU10" s="65">
        <v>40</v>
      </c>
      <c r="GV10" s="65">
        <v>0</v>
      </c>
      <c r="GW10" s="12"/>
      <c r="GX10" s="12"/>
      <c r="HC10" s="79" t="s">
        <v>582</v>
      </c>
      <c r="HD10" s="79">
        <f>180-HD6</f>
        <v>-25.452247893443882</v>
      </c>
      <c r="HE10" s="51">
        <f t="shared" si="59"/>
        <v>-26</v>
      </c>
      <c r="HF10" s="51">
        <f t="shared" si="60"/>
        <v>32</v>
      </c>
      <c r="HG10" s="51">
        <f t="shared" si="61"/>
        <v>51</v>
      </c>
      <c r="HI10" s="79" t="s">
        <v>582</v>
      </c>
      <c r="HJ10" s="79">
        <f>180-HJ6</f>
        <v>180</v>
      </c>
      <c r="HK10" s="51">
        <f t="shared" si="62"/>
        <v>180</v>
      </c>
      <c r="HL10" s="51">
        <f t="shared" si="63"/>
        <v>0</v>
      </c>
      <c r="HM10" s="51">
        <f t="shared" si="64"/>
        <v>0</v>
      </c>
    </row>
    <row r="11" spans="1:231" ht="27">
      <c r="C11" s="79" t="s">
        <v>591</v>
      </c>
      <c r="D11" s="79">
        <f>D10*60/D7</f>
        <v>16.129638028093336</v>
      </c>
      <c r="E11" s="51">
        <f>INT(ABS(D11))</f>
        <v>16</v>
      </c>
      <c r="F11" s="51">
        <f>INT((ABS(D11)-E11)*60)</f>
        <v>7</v>
      </c>
      <c r="G11" s="51">
        <f>INT((((ABS(D11)-E11)*60)-F11)*60)</f>
        <v>46</v>
      </c>
      <c r="I11" s="79" t="s">
        <v>591</v>
      </c>
      <c r="J11" s="79">
        <f>J10*60/J7</f>
        <v>0</v>
      </c>
      <c r="K11" s="51">
        <f>INT(ABS(J11))</f>
        <v>0</v>
      </c>
      <c r="L11" s="51">
        <f>INT((ABS(J11)-K11)*60)</f>
        <v>0</v>
      </c>
      <c r="M11" s="51">
        <f>INT((((ABS(J11)-K11)*60)-L11)*60)</f>
        <v>0</v>
      </c>
      <c r="P11" s="79" t="s">
        <v>592</v>
      </c>
      <c r="Q11" s="79"/>
      <c r="R11" s="64">
        <f t="shared" si="65"/>
        <v>0</v>
      </c>
      <c r="S11" s="64">
        <f t="shared" si="66"/>
        <v>0</v>
      </c>
      <c r="T11" s="64">
        <f t="shared" si="104"/>
        <v>0</v>
      </c>
      <c r="U11" s="65">
        <f t="shared" si="105"/>
        <v>0</v>
      </c>
      <c r="V11" s="65">
        <f t="shared" si="106"/>
        <v>0</v>
      </c>
      <c r="W11" s="65">
        <f t="shared" si="107"/>
        <v>0</v>
      </c>
      <c r="X11" s="65">
        <f t="shared" si="108"/>
        <v>0</v>
      </c>
      <c r="AB11" s="79" t="s">
        <v>592</v>
      </c>
      <c r="AC11" s="79"/>
      <c r="AD11" s="64">
        <f t="shared" si="67"/>
        <v>0</v>
      </c>
      <c r="AE11" s="64">
        <f t="shared" si="68"/>
        <v>0</v>
      </c>
      <c r="AF11" s="64">
        <f t="shared" si="109"/>
        <v>0</v>
      </c>
      <c r="AG11" s="65">
        <f t="shared" si="110"/>
        <v>0</v>
      </c>
      <c r="AH11" s="65">
        <f t="shared" si="111"/>
        <v>0</v>
      </c>
      <c r="AI11" s="65">
        <f t="shared" si="112"/>
        <v>0</v>
      </c>
      <c r="AJ11" s="65">
        <f t="shared" si="113"/>
        <v>0</v>
      </c>
      <c r="AM11" s="10"/>
      <c r="AN11" s="7" t="s">
        <v>593</v>
      </c>
      <c r="AO11" s="7">
        <f>360-AO10</f>
        <v>138</v>
      </c>
      <c r="AP11" s="64">
        <f t="shared" si="14"/>
        <v>138</v>
      </c>
      <c r="AQ11" s="64">
        <f t="shared" si="15"/>
        <v>0</v>
      </c>
      <c r="AR11" s="64">
        <f t="shared" si="16"/>
        <v>0</v>
      </c>
      <c r="AS11" s="65">
        <f t="shared" si="17"/>
        <v>0</v>
      </c>
      <c r="AT11" s="65">
        <f t="shared" si="18"/>
        <v>0</v>
      </c>
      <c r="AU11" s="65">
        <f t="shared" si="19"/>
        <v>0</v>
      </c>
      <c r="AV11" s="65">
        <f t="shared" si="20"/>
        <v>0</v>
      </c>
      <c r="AY11" s="7"/>
      <c r="AZ11" s="64">
        <f t="shared" si="21"/>
        <v>0</v>
      </c>
      <c r="BA11" s="64">
        <f t="shared" si="22"/>
        <v>0</v>
      </c>
      <c r="BB11" s="64">
        <f t="shared" si="23"/>
        <v>0</v>
      </c>
      <c r="BC11" s="65">
        <f t="shared" si="24"/>
        <v>0</v>
      </c>
      <c r="BE11" s="5" t="s">
        <v>594</v>
      </c>
      <c r="BF11" s="5">
        <f>ABS(COS(RADIANS(BF7))*BF5)</f>
        <v>0.2135059942144609</v>
      </c>
      <c r="BG11" s="64">
        <f t="shared" si="47"/>
        <v>0</v>
      </c>
      <c r="BH11" s="64">
        <f t="shared" si="48"/>
        <v>12</v>
      </c>
      <c r="BI11" s="64">
        <f t="shared" si="49"/>
        <v>48</v>
      </c>
      <c r="BJ11" s="65">
        <f t="shared" si="50"/>
        <v>37</v>
      </c>
      <c r="BL11" s="5" t="s">
        <v>594</v>
      </c>
      <c r="BM11" s="5">
        <f>ABS(COS(RADIANS(BM7))*BM5)</f>
        <v>0.2135059942144609</v>
      </c>
      <c r="BN11" s="64">
        <f t="shared" si="51"/>
        <v>0</v>
      </c>
      <c r="BO11" s="64">
        <f t="shared" si="52"/>
        <v>12</v>
      </c>
      <c r="BP11" s="64">
        <f t="shared" si="53"/>
        <v>48</v>
      </c>
      <c r="BQ11" s="65">
        <f t="shared" si="54"/>
        <v>37</v>
      </c>
      <c r="BR11" s="22">
        <f>IF(OR(BM7&lt;90,BM7&gt;270),IF(OR(BM10&lt;90,BM10&gt;270),1,2),IF(OR(BM10&lt;90,BM10&gt;270),2,1))</f>
        <v>1</v>
      </c>
      <c r="BT11">
        <v>9</v>
      </c>
      <c r="BU11" s="24" t="s">
        <v>595</v>
      </c>
      <c r="BV11" s="24">
        <f>BV10/2</f>
        <v>-45</v>
      </c>
      <c r="BW11" s="64">
        <f t="shared" si="55"/>
        <v>45</v>
      </c>
      <c r="BX11" s="64">
        <f t="shared" si="56"/>
        <v>0</v>
      </c>
      <c r="BY11" s="64">
        <f t="shared" si="57"/>
        <v>0</v>
      </c>
      <c r="BZ11" s="65">
        <f t="shared" si="58"/>
        <v>0</v>
      </c>
      <c r="CK11" s="24"/>
      <c r="CL11" s="24">
        <f>SIN(RADIANS(CL9+CL10))</f>
        <v>-0.99799831620122448</v>
      </c>
      <c r="CM11" s="64">
        <f t="shared" si="29"/>
        <v>0</v>
      </c>
      <c r="CN11" s="64">
        <f t="shared" si="30"/>
        <v>59</v>
      </c>
      <c r="CO11" s="64">
        <f t="shared" si="31"/>
        <v>52</v>
      </c>
      <c r="CP11" s="65">
        <f t="shared" si="32"/>
        <v>47</v>
      </c>
      <c r="CQ11" s="65">
        <f t="shared" si="33"/>
        <v>38</v>
      </c>
      <c r="CU11" s="3"/>
      <c r="CV11" s="3">
        <f>(CV6-1)*CV9</f>
        <v>1416</v>
      </c>
      <c r="CW11" s="64">
        <f t="shared" si="69"/>
        <v>1416</v>
      </c>
      <c r="CX11" s="64">
        <f t="shared" si="70"/>
        <v>0</v>
      </c>
      <c r="CY11" s="64">
        <f t="shared" si="71"/>
        <v>0</v>
      </c>
      <c r="CZ11" s="65">
        <f t="shared" si="72"/>
        <v>0</v>
      </c>
      <c r="DA11" s="65">
        <f t="shared" si="73"/>
        <v>0</v>
      </c>
      <c r="DB11" s="33"/>
      <c r="DC11" s="2"/>
      <c r="DD11" s="2">
        <f>(DD6-1)*DD9</f>
        <v>1416</v>
      </c>
      <c r="DE11" s="64">
        <f t="shared" si="74"/>
        <v>1416</v>
      </c>
      <c r="DF11" s="64">
        <f t="shared" si="75"/>
        <v>0</v>
      </c>
      <c r="DG11" s="64">
        <f t="shared" si="76"/>
        <v>0</v>
      </c>
      <c r="DH11" s="65">
        <f t="shared" si="77"/>
        <v>0</v>
      </c>
      <c r="DI11" s="65">
        <f t="shared" si="78"/>
        <v>0</v>
      </c>
      <c r="DJ11" s="12"/>
      <c r="DK11" s="12"/>
      <c r="DL11" s="33"/>
      <c r="DM11" s="10" t="s">
        <v>596</v>
      </c>
      <c r="DN11" s="80">
        <f>(((((((((DT11/60)+DS11)/60)+DR11)/60)+DQ11)/60)+DP11)/60)+DO11</f>
        <v>2.2064699074074074E-3</v>
      </c>
      <c r="DO11" s="12">
        <v>0</v>
      </c>
      <c r="DP11" s="12">
        <v>0</v>
      </c>
      <c r="DQ11" s="12">
        <v>7</v>
      </c>
      <c r="DR11" s="12">
        <v>56</v>
      </c>
      <c r="DS11" s="12">
        <v>35</v>
      </c>
      <c r="DT11" s="12">
        <v>51</v>
      </c>
      <c r="DU11" s="12">
        <v>14</v>
      </c>
      <c r="DX11" s="3"/>
      <c r="DY11" s="3">
        <f>(DY6-1)*DY9</f>
        <v>-354</v>
      </c>
      <c r="DZ11" s="64">
        <f t="shared" si="79"/>
        <v>354</v>
      </c>
      <c r="EA11" s="64">
        <f t="shared" si="80"/>
        <v>0</v>
      </c>
      <c r="EB11" s="64">
        <f t="shared" si="81"/>
        <v>0</v>
      </c>
      <c r="EC11" s="65">
        <f t="shared" si="82"/>
        <v>0</v>
      </c>
      <c r="ED11" s="65">
        <f t="shared" si="83"/>
        <v>0</v>
      </c>
      <c r="EF11" s="2"/>
      <c r="EG11" s="2">
        <f>(EG6-1)*EG9</f>
        <v>-354</v>
      </c>
      <c r="EH11" s="64">
        <f t="shared" si="84"/>
        <v>354</v>
      </c>
      <c r="EI11" s="64">
        <f t="shared" si="85"/>
        <v>0</v>
      </c>
      <c r="EJ11" s="64">
        <f t="shared" si="86"/>
        <v>0</v>
      </c>
      <c r="EK11" s="65">
        <f t="shared" si="87"/>
        <v>0</v>
      </c>
      <c r="EL11" s="65">
        <f t="shared" si="88"/>
        <v>0</v>
      </c>
      <c r="EM11" s="12"/>
      <c r="EN11" s="12"/>
      <c r="EO11" t="str">
        <f>EE10</f>
        <v>شرقی</v>
      </c>
      <c r="EP11" s="10" t="s">
        <v>596</v>
      </c>
      <c r="EQ11" s="80">
        <f>(((((((((EW11/60)+EV11)/60)+EU11)/60)+ET11)/60)+ES11)/60)+ER11</f>
        <v>2.2064699074074074E-3</v>
      </c>
      <c r="ER11" s="12">
        <v>0</v>
      </c>
      <c r="ES11" s="12">
        <v>0</v>
      </c>
      <c r="ET11" s="12">
        <v>7</v>
      </c>
      <c r="EU11" s="12">
        <v>56</v>
      </c>
      <c r="EV11" s="12">
        <v>35</v>
      </c>
      <c r="EW11" s="12">
        <v>51</v>
      </c>
      <c r="EX11" s="12">
        <v>14</v>
      </c>
      <c r="FA11" s="3"/>
      <c r="FB11" s="3">
        <f>(FB6-1)*FB9</f>
        <v>1416</v>
      </c>
      <c r="FC11" s="64">
        <f t="shared" si="89"/>
        <v>1416</v>
      </c>
      <c r="FD11" s="64">
        <f t="shared" si="90"/>
        <v>0</v>
      </c>
      <c r="FE11" s="64">
        <f t="shared" si="91"/>
        <v>0</v>
      </c>
      <c r="FF11" s="65">
        <f t="shared" si="92"/>
        <v>0</v>
      </c>
      <c r="FG11" s="65">
        <f t="shared" si="93"/>
        <v>0</v>
      </c>
      <c r="FL11" s="67" t="s">
        <v>597</v>
      </c>
      <c r="FM11" s="73">
        <f>(((((((((((FT11-FS11)*60)-FR11)*60)-FQ11)*60)-FP11)*60)-FO11)*60)-FN11)*60</f>
        <v>23.999970922523062</v>
      </c>
      <c r="FN11" s="73">
        <f>INT((((((((((FT11-FS11)*60)-FR11)*60)-FQ11)*60)-FP11)*60)-FO11)*60)</f>
        <v>50</v>
      </c>
      <c r="FO11" s="73">
        <f>INT((((((((FT11-FS11)*60)-FR11)*60)-FQ11)*60)-FP11)*60)</f>
        <v>39</v>
      </c>
      <c r="FP11" s="73">
        <f>INT((((((FT11-FS11)*60)-FR11)*60)-FQ11)*60)</f>
        <v>11</v>
      </c>
      <c r="FQ11" s="73">
        <f>INT(60*((60*(FT11-FS11))-FR11))</f>
        <v>30</v>
      </c>
      <c r="FR11" s="73">
        <f>INT(60*(FT11-FS11))</f>
        <v>55</v>
      </c>
      <c r="FS11" s="73">
        <f>INT(FT11)</f>
        <v>12</v>
      </c>
      <c r="FT11" s="74">
        <f>FT8+FT10</f>
        <v>12.925053999999999</v>
      </c>
      <c r="FU11" s="60"/>
      <c r="FV11" s="33"/>
      <c r="FW11" s="33"/>
      <c r="FX11" s="3"/>
      <c r="FY11" s="3">
        <f>(FY6-1)*FY9</f>
        <v>-354</v>
      </c>
      <c r="FZ11" s="64">
        <f t="shared" si="94"/>
        <v>354</v>
      </c>
      <c r="GA11" s="64">
        <f t="shared" si="95"/>
        <v>0</v>
      </c>
      <c r="GB11" s="64">
        <f t="shared" si="96"/>
        <v>0</v>
      </c>
      <c r="GC11" s="65">
        <f t="shared" si="97"/>
        <v>0</v>
      </c>
      <c r="GD11" s="65">
        <f t="shared" si="98"/>
        <v>0</v>
      </c>
      <c r="GE11" s="76"/>
      <c r="GF11" s="2"/>
      <c r="GG11" s="2">
        <f>(GG6-1)*GG9</f>
        <v>-354</v>
      </c>
      <c r="GH11" s="64">
        <f t="shared" si="99"/>
        <v>354</v>
      </c>
      <c r="GI11" s="64">
        <f t="shared" si="100"/>
        <v>0</v>
      </c>
      <c r="GJ11" s="64">
        <f t="shared" si="101"/>
        <v>0</v>
      </c>
      <c r="GK11" s="65">
        <f t="shared" si="102"/>
        <v>0</v>
      </c>
      <c r="GL11" s="65">
        <f t="shared" si="103"/>
        <v>0</v>
      </c>
      <c r="GM11" s="12"/>
      <c r="GN11" s="12"/>
      <c r="GP11" s="10" t="s">
        <v>596</v>
      </c>
      <c r="GQ11" s="80">
        <f>(((((((((GW11/60)+GV11)/60)+GU11)/60)+GT11)/60)+GS11)/60)+GR11</f>
        <v>2.2064699074074074E-3</v>
      </c>
      <c r="GR11" s="12">
        <v>0</v>
      </c>
      <c r="GS11" s="12">
        <v>0</v>
      </c>
      <c r="GT11" s="12">
        <v>7</v>
      </c>
      <c r="GU11" s="12">
        <v>56</v>
      </c>
      <c r="GV11" s="12">
        <v>35</v>
      </c>
      <c r="GW11" s="12">
        <v>51</v>
      </c>
      <c r="GX11" s="12">
        <v>14</v>
      </c>
      <c r="HC11" s="79" t="s">
        <v>586</v>
      </c>
      <c r="HD11" s="79">
        <f>TAN(RADIANS(HD6))*60</f>
        <v>28.557173827381025</v>
      </c>
      <c r="HE11" s="51">
        <f>INT(ABS(HD11))</f>
        <v>28</v>
      </c>
      <c r="HF11" s="51">
        <f>INT((ABS(HD11)-HE11)*60)</f>
        <v>33</v>
      </c>
      <c r="HG11" s="51">
        <f>INT((((ABS(HD11)-HE11)*60)-HF11)*60)</f>
        <v>25</v>
      </c>
      <c r="HI11" s="79" t="s">
        <v>586</v>
      </c>
      <c r="HJ11" s="79">
        <f>TAN(RADIANS(HJ6))*60</f>
        <v>0</v>
      </c>
      <c r="HK11" s="51">
        <f>INT(ABS(HJ11))</f>
        <v>0</v>
      </c>
      <c r="HL11" s="51">
        <f>INT((ABS(HJ11)-HK11)*60)</f>
        <v>0</v>
      </c>
      <c r="HM11" s="51">
        <f>INT((((ABS(HJ11)-HK11)*60)-HL11)*60)</f>
        <v>0</v>
      </c>
      <c r="HR11" s="33"/>
      <c r="HS11" s="33"/>
      <c r="HT11" s="33"/>
      <c r="HU11" s="33"/>
      <c r="HV11" s="33"/>
    </row>
    <row r="12" spans="1:231" ht="27">
      <c r="C12" s="79" t="s">
        <v>598</v>
      </c>
      <c r="D12" s="79">
        <f>DEGREES(ATAN(D11/60))</f>
        <v>15.046931314088866</v>
      </c>
      <c r="E12" s="51">
        <f t="shared" ref="E12:E21" si="114">INT(ABS(D12))</f>
        <v>15</v>
      </c>
      <c r="F12" s="51">
        <f t="shared" ref="F12:F21" si="115">INT((ABS(D12)-E12)*60)</f>
        <v>2</v>
      </c>
      <c r="G12" s="51">
        <f t="shared" ref="G12:G21" si="116">INT((((ABS(D12)-E12)*60)-F12)*60)</f>
        <v>48</v>
      </c>
      <c r="I12" s="79" t="s">
        <v>598</v>
      </c>
      <c r="J12" s="79">
        <f>DEGREES(ATAN(J11/60))</f>
        <v>0</v>
      </c>
      <c r="K12" s="51">
        <f t="shared" ref="K12:K21" si="117">INT(ABS(J12))</f>
        <v>0</v>
      </c>
      <c r="L12" s="51">
        <f t="shared" ref="L12:L21" si="118">INT((ABS(J12)-K12)*60)</f>
        <v>0</v>
      </c>
      <c r="M12" s="51">
        <f t="shared" ref="M12:M21" si="119">INT((((ABS(J12)-K12)*60)-L12)*60)</f>
        <v>0</v>
      </c>
      <c r="P12" s="79" t="s">
        <v>599</v>
      </c>
      <c r="Q12" s="79">
        <f>Q7-180</f>
        <v>-20</v>
      </c>
      <c r="R12" s="64">
        <f t="shared" si="65"/>
        <v>20</v>
      </c>
      <c r="S12" s="64">
        <f t="shared" si="66"/>
        <v>0</v>
      </c>
      <c r="T12" s="64">
        <f t="shared" si="104"/>
        <v>0</v>
      </c>
      <c r="U12" s="65">
        <f t="shared" si="105"/>
        <v>0</v>
      </c>
      <c r="V12" s="65">
        <f t="shared" si="106"/>
        <v>0</v>
      </c>
      <c r="W12" s="65">
        <f t="shared" si="107"/>
        <v>0</v>
      </c>
      <c r="X12" s="65">
        <f t="shared" si="108"/>
        <v>0</v>
      </c>
      <c r="AB12" s="79" t="s">
        <v>599</v>
      </c>
      <c r="AC12" s="79">
        <f>AC7-180</f>
        <v>-20</v>
      </c>
      <c r="AD12" s="64">
        <f t="shared" si="67"/>
        <v>20</v>
      </c>
      <c r="AE12" s="64">
        <f t="shared" si="68"/>
        <v>0</v>
      </c>
      <c r="AF12" s="64">
        <f t="shared" si="109"/>
        <v>0</v>
      </c>
      <c r="AG12" s="65">
        <f t="shared" si="110"/>
        <v>0</v>
      </c>
      <c r="AH12" s="65">
        <f t="shared" si="111"/>
        <v>0</v>
      </c>
      <c r="AI12" s="65">
        <f t="shared" si="112"/>
        <v>0</v>
      </c>
      <c r="AJ12" s="65">
        <f t="shared" si="113"/>
        <v>0</v>
      </c>
      <c r="AM12" s="10"/>
      <c r="AN12" s="7"/>
      <c r="AO12" s="7">
        <f>180-AO11</f>
        <v>42</v>
      </c>
      <c r="AP12" s="64">
        <f t="shared" si="14"/>
        <v>42</v>
      </c>
      <c r="AQ12" s="64">
        <f t="shared" si="15"/>
        <v>0</v>
      </c>
      <c r="AR12" s="64">
        <f t="shared" si="16"/>
        <v>0</v>
      </c>
      <c r="AS12" s="65">
        <f t="shared" si="17"/>
        <v>0</v>
      </c>
      <c r="AT12" s="65">
        <f t="shared" si="18"/>
        <v>0</v>
      </c>
      <c r="AU12" s="65">
        <f t="shared" si="19"/>
        <v>0</v>
      </c>
      <c r="AV12" s="65">
        <f t="shared" si="20"/>
        <v>0</v>
      </c>
      <c r="AY12" s="7">
        <f>180-AY10</f>
        <v>-42</v>
      </c>
      <c r="AZ12" s="64">
        <f t="shared" si="21"/>
        <v>42</v>
      </c>
      <c r="BA12" s="64">
        <f t="shared" si="22"/>
        <v>0</v>
      </c>
      <c r="BB12" s="64">
        <f t="shared" si="23"/>
        <v>0</v>
      </c>
      <c r="BC12" s="65">
        <f t="shared" si="24"/>
        <v>0</v>
      </c>
      <c r="BE12" s="5"/>
      <c r="BF12" s="5">
        <f>SQRT(POWER(ABS((COS(RADIANS(360-BF10)))-BF11),2))</f>
        <v>0.95665081969185495</v>
      </c>
      <c r="BG12" s="64">
        <f t="shared" si="47"/>
        <v>0</v>
      </c>
      <c r="BH12" s="64">
        <f t="shared" si="48"/>
        <v>57</v>
      </c>
      <c r="BI12" s="64">
        <f t="shared" si="49"/>
        <v>23</v>
      </c>
      <c r="BJ12" s="65">
        <f t="shared" si="50"/>
        <v>56</v>
      </c>
      <c r="BL12" s="5"/>
      <c r="BM12" s="5">
        <f>SQRT(POWER(ABS((COS(RADIANS(360-BM10)))-BM11),2))</f>
        <v>0.95665081969185495</v>
      </c>
      <c r="BN12" s="64">
        <f t="shared" si="51"/>
        <v>0</v>
      </c>
      <c r="BO12" s="64">
        <f t="shared" si="52"/>
        <v>57</v>
      </c>
      <c r="BP12" s="64">
        <f t="shared" si="53"/>
        <v>23</v>
      </c>
      <c r="BQ12" s="65">
        <f t="shared" si="54"/>
        <v>56</v>
      </c>
      <c r="BT12">
        <v>10</v>
      </c>
      <c r="BU12" s="24" t="s">
        <v>600</v>
      </c>
      <c r="BV12" s="24">
        <f>BV11</f>
        <v>-45</v>
      </c>
      <c r="BW12" s="64">
        <f t="shared" si="55"/>
        <v>45</v>
      </c>
      <c r="BX12" s="64">
        <f t="shared" si="56"/>
        <v>0</v>
      </c>
      <c r="BY12" s="64">
        <f t="shared" si="57"/>
        <v>0</v>
      </c>
      <c r="BZ12" s="65">
        <f t="shared" si="58"/>
        <v>0</v>
      </c>
      <c r="CJ12" t="s">
        <v>601</v>
      </c>
      <c r="CK12" s="8" t="s">
        <v>602</v>
      </c>
      <c r="CL12" s="8">
        <f>DEGREES(ASIN(CL7*CL11/60))</f>
        <v>-1.878157665204317</v>
      </c>
      <c r="CM12" s="64">
        <f t="shared" si="29"/>
        <v>1</v>
      </c>
      <c r="CN12" s="64">
        <f t="shared" si="30"/>
        <v>52</v>
      </c>
      <c r="CO12" s="64">
        <f t="shared" si="31"/>
        <v>41</v>
      </c>
      <c r="CP12" s="65">
        <f t="shared" si="32"/>
        <v>22</v>
      </c>
      <c r="CQ12" s="65">
        <f t="shared" si="33"/>
        <v>3</v>
      </c>
      <c r="CU12" s="3"/>
      <c r="CV12" s="3">
        <f>CV10*CV7</f>
        <v>26.352790859999999</v>
      </c>
      <c r="CW12" s="64">
        <f t="shared" si="69"/>
        <v>26</v>
      </c>
      <c r="CX12" s="64">
        <f t="shared" si="70"/>
        <v>21</v>
      </c>
      <c r="CY12" s="64">
        <f t="shared" si="71"/>
        <v>10</v>
      </c>
      <c r="CZ12" s="65">
        <f t="shared" si="72"/>
        <v>2</v>
      </c>
      <c r="DA12" s="65">
        <f t="shared" si="73"/>
        <v>49</v>
      </c>
      <c r="DB12" s="33"/>
      <c r="DC12" s="2"/>
      <c r="DD12" s="2">
        <f>DD10*DD7</f>
        <v>0.22281975368655693</v>
      </c>
      <c r="DE12" s="64">
        <f t="shared" si="74"/>
        <v>0</v>
      </c>
      <c r="DF12" s="64">
        <f t="shared" si="75"/>
        <v>13</v>
      </c>
      <c r="DG12" s="64">
        <f t="shared" si="76"/>
        <v>22</v>
      </c>
      <c r="DH12" s="65">
        <f t="shared" si="77"/>
        <v>9</v>
      </c>
      <c r="DI12" s="65">
        <f t="shared" si="78"/>
        <v>4</v>
      </c>
      <c r="DJ12" s="12"/>
      <c r="DK12" s="12"/>
      <c r="DL12" s="33"/>
      <c r="DM12" s="10" t="s">
        <v>268</v>
      </c>
      <c r="DN12" s="10">
        <f>IF(DN6&lt;2,0,IF(DN6&lt;5,1,IF(DN6&lt;7,2,IF(DN6&lt;10,3,IF(DN6&lt;13,4,IF(DN6&lt;16,5,IF(DN6&lt;18,6,IF(DN6&lt;21,7,IF(DN6&lt;24,8,IF(DN6&lt;26,9,IF(DN6&lt;29,10,0)))))))))))</f>
        <v>1</v>
      </c>
      <c r="DO12" s="64">
        <f t="shared" ref="DO12:DO20" si="120">INT(ABS(DN12))</f>
        <v>1</v>
      </c>
      <c r="DP12" s="64">
        <f t="shared" ref="DP12:DP20" si="121">INT((ABS(DN12)-DO12)*60)</f>
        <v>0</v>
      </c>
      <c r="DQ12" s="64">
        <f t="shared" ref="DQ12:DQ20" si="122">INT((((ABS(DN12)-DO12)*60)-DP12)*60)</f>
        <v>0</v>
      </c>
      <c r="DR12" s="65">
        <f t="shared" ref="DR12:DR20" si="123">INT((((((ABS(DN12)-DO12)*60)-DP12)*60)-DQ12)*60)</f>
        <v>0</v>
      </c>
      <c r="DS12" s="65">
        <f t="shared" ref="DS12:DS20" si="124">INT((((((((ABS(DN12)-DO12)*60)-DP12)*60)-DQ12)*60)-DR12)*60)</f>
        <v>0</v>
      </c>
      <c r="DT12" s="65"/>
      <c r="DU12" s="65"/>
      <c r="DX12" s="3"/>
      <c r="DY12" s="3">
        <f>DY10*DY7</f>
        <v>0</v>
      </c>
      <c r="DZ12" s="64">
        <f t="shared" si="79"/>
        <v>0</v>
      </c>
      <c r="EA12" s="64">
        <f t="shared" si="80"/>
        <v>0</v>
      </c>
      <c r="EB12" s="64">
        <f t="shared" si="81"/>
        <v>0</v>
      </c>
      <c r="EC12" s="65">
        <f t="shared" si="82"/>
        <v>0</v>
      </c>
      <c r="ED12" s="65">
        <f t="shared" si="83"/>
        <v>0</v>
      </c>
      <c r="EF12" s="2"/>
      <c r="EG12" s="2">
        <f>EG10*EG7</f>
        <v>0</v>
      </c>
      <c r="EH12" s="64">
        <f t="shared" si="84"/>
        <v>0</v>
      </c>
      <c r="EI12" s="64">
        <f t="shared" si="85"/>
        <v>0</v>
      </c>
      <c r="EJ12" s="64">
        <f t="shared" si="86"/>
        <v>0</v>
      </c>
      <c r="EK12" s="65">
        <f t="shared" si="87"/>
        <v>0</v>
      </c>
      <c r="EL12" s="65">
        <f t="shared" si="88"/>
        <v>0</v>
      </c>
      <c r="EM12" s="12"/>
      <c r="EN12" s="12"/>
      <c r="EP12" s="10" t="s">
        <v>268</v>
      </c>
      <c r="EQ12" s="10">
        <f>IF(EQ6&lt;2,0,IF(EQ6&lt;5,1,IF(EQ6&lt;7,2,IF(EQ6&lt;10,3,IF(EQ6&lt;13,4,IF(EQ6&lt;16,5,IF(EQ6&lt;18,6,IF(EQ6&lt;21,7,IF(EQ6&lt;24,8,IF(EQ6&lt;26,9,IF(EQ6&lt;29,10,0)))))))))))</f>
        <v>0</v>
      </c>
      <c r="ER12" s="64">
        <f t="shared" ref="ER12:ER20" si="125">INT(ABS(EQ12))</f>
        <v>0</v>
      </c>
      <c r="ES12" s="64">
        <f t="shared" ref="ES12:ES20" si="126">INT((ABS(EQ12)-ER12)*60)</f>
        <v>0</v>
      </c>
      <c r="ET12" s="64">
        <f t="shared" ref="ET12:ET20" si="127">INT((((ABS(EQ12)-ER12)*60)-ES12)*60)</f>
        <v>0</v>
      </c>
      <c r="EU12" s="65">
        <f t="shared" ref="EU12:EU20" si="128">INT((((((ABS(EQ12)-ER12)*60)-ES12)*60)-ET12)*60)</f>
        <v>0</v>
      </c>
      <c r="EV12" s="65">
        <f t="shared" ref="EV12:EV20" si="129">INT((((((((ABS(EQ12)-ER12)*60)-ES12)*60)-ET12)*60)-EU12)*60)</f>
        <v>0</v>
      </c>
      <c r="EW12" s="65"/>
      <c r="EX12" s="65"/>
      <c r="FA12" s="3"/>
      <c r="FB12" s="3">
        <f>FB10*FB7</f>
        <v>1.971294662765775</v>
      </c>
      <c r="FC12" s="64">
        <f t="shared" si="89"/>
        <v>1</v>
      </c>
      <c r="FD12" s="64">
        <f t="shared" si="90"/>
        <v>58</v>
      </c>
      <c r="FE12" s="64">
        <f t="shared" si="91"/>
        <v>16</v>
      </c>
      <c r="FF12" s="65">
        <f t="shared" si="92"/>
        <v>39</v>
      </c>
      <c r="FG12" s="65">
        <f t="shared" si="93"/>
        <v>38</v>
      </c>
      <c r="FL12" s="67" t="s">
        <v>603</v>
      </c>
      <c r="FM12" s="73">
        <f>(((((((((((FT12-FS12)*60)-FR12)*60)-FQ12)*60)-FP12)*60)-FO12)*60)-FN12)*60</f>
        <v>26.812285713676829</v>
      </c>
      <c r="FN12" s="73">
        <f>INT((((((((((FT12-FS12)*60)-FR12)*60)-FQ12)*60)-FP12)*60)-FO12)*60)</f>
        <v>51</v>
      </c>
      <c r="FO12" s="73">
        <f>INT((((((((FT12-FS12)*60)-FR12)*60)-FQ12)*60)-FP12)*60)</f>
        <v>40</v>
      </c>
      <c r="FP12" s="73">
        <f>INT((((((FT12-FS12)*60)-FR12)*60)-FQ12)*60)</f>
        <v>12</v>
      </c>
      <c r="FQ12" s="73">
        <f>INT(60*((60*(FT12-FS12))-FR12))</f>
        <v>21</v>
      </c>
      <c r="FR12" s="73">
        <f>INT(60*(FT12-FS12))</f>
        <v>53</v>
      </c>
      <c r="FS12" s="73">
        <f>INT(FT12)</f>
        <v>11</v>
      </c>
      <c r="FT12" s="74">
        <f>90-DEGREES(ATAN(TAN(RADIANS(90-FT11))/COS(RADIANS(FT6))))</f>
        <v>11.889225374803075</v>
      </c>
      <c r="FU12" s="60"/>
      <c r="FV12" s="33"/>
      <c r="FW12" s="33"/>
      <c r="FX12" s="3"/>
      <c r="FY12" s="3">
        <f>FY10*FY7</f>
        <v>0</v>
      </c>
      <c r="FZ12" s="64">
        <f t="shared" si="94"/>
        <v>0</v>
      </c>
      <c r="GA12" s="64">
        <f t="shared" si="95"/>
        <v>0</v>
      </c>
      <c r="GB12" s="64">
        <f t="shared" si="96"/>
        <v>0</v>
      </c>
      <c r="GC12" s="65">
        <f t="shared" si="97"/>
        <v>0</v>
      </c>
      <c r="GD12" s="65">
        <f t="shared" si="98"/>
        <v>0</v>
      </c>
      <c r="GE12" s="76"/>
      <c r="GF12" s="2"/>
      <c r="GG12" s="2">
        <f>GG10*GG7</f>
        <v>0</v>
      </c>
      <c r="GH12" s="64">
        <f t="shared" si="99"/>
        <v>0</v>
      </c>
      <c r="GI12" s="64">
        <f t="shared" si="100"/>
        <v>0</v>
      </c>
      <c r="GJ12" s="64">
        <f t="shared" si="101"/>
        <v>0</v>
      </c>
      <c r="GK12" s="65">
        <f t="shared" si="102"/>
        <v>0</v>
      </c>
      <c r="GL12" s="65">
        <f t="shared" si="103"/>
        <v>0</v>
      </c>
      <c r="GM12" s="12"/>
      <c r="GN12" s="12"/>
      <c r="GP12" s="10" t="s">
        <v>268</v>
      </c>
      <c r="GQ12" s="10">
        <f>IF(GQ6&lt;2,0,IF(GQ6&lt;5,1,IF(GQ6&lt;7,2,IF(GQ6&lt;10,3,IF(GQ6&lt;13,4,IF(GQ6&lt;16,5,IF(GQ6&lt;18,6,IF(GQ6&lt;21,7,IF(GQ6&lt;24,8,IF(GQ6&lt;26,9,IF(GQ6&lt;29,10,0)))))))))))</f>
        <v>0</v>
      </c>
      <c r="GR12" s="64">
        <f t="shared" ref="GR12:GR20" si="130">INT(ABS(GQ12))</f>
        <v>0</v>
      </c>
      <c r="GS12" s="64">
        <f t="shared" ref="GS12:GS20" si="131">INT((ABS(GQ12)-GR12)*60)</f>
        <v>0</v>
      </c>
      <c r="GT12" s="64">
        <f t="shared" ref="GT12:GT20" si="132">INT((((ABS(GQ12)-GR12)*60)-GS12)*60)</f>
        <v>0</v>
      </c>
      <c r="GU12" s="65">
        <f t="shared" ref="GU12:GU20" si="133">INT((((((ABS(GQ12)-GR12)*60)-GS12)*60)-GT12)*60)</f>
        <v>0</v>
      </c>
      <c r="GV12" s="65">
        <f t="shared" ref="GV12:GV20" si="134">INT((((((((ABS(GQ12)-GR12)*60)-GS12)*60)-GT12)*60)-GU12)*60)</f>
        <v>0</v>
      </c>
      <c r="GW12" s="65"/>
      <c r="GX12" s="65"/>
      <c r="HC12" s="79" t="s">
        <v>591</v>
      </c>
      <c r="HD12" s="79">
        <f>HD11*60/HD8</f>
        <v>28.584230888572272</v>
      </c>
      <c r="HE12" s="51">
        <f>INT(ABS(HD12))</f>
        <v>28</v>
      </c>
      <c r="HF12" s="51">
        <f>INT((ABS(HD12)-HE12)*60)</f>
        <v>35</v>
      </c>
      <c r="HG12" s="51">
        <f>INT((((ABS(HD12)-HE12)*60)-HF12)*60)</f>
        <v>3</v>
      </c>
      <c r="HI12" s="79" t="s">
        <v>591</v>
      </c>
      <c r="HJ12" s="79">
        <f>HJ11*60/HJ8</f>
        <v>0</v>
      </c>
      <c r="HK12" s="51">
        <f>INT(ABS(HJ12))</f>
        <v>0</v>
      </c>
      <c r="HL12" s="51">
        <f>INT((ABS(HJ12)-HK12)*60)</f>
        <v>0</v>
      </c>
      <c r="HM12" s="51">
        <f>INT((((ABS(HJ12)-HK12)*60)-HL12)*60)</f>
        <v>0</v>
      </c>
      <c r="HR12" s="33"/>
      <c r="HS12" s="81"/>
      <c r="HT12" s="81"/>
      <c r="HU12" s="81"/>
      <c r="HV12" s="27"/>
    </row>
    <row r="13" spans="1:231" ht="27">
      <c r="C13" s="79" t="s">
        <v>604</v>
      </c>
      <c r="D13" s="79">
        <f>(D4/2)+(COS(RADIANS(D5))*D6)</f>
        <v>2.3973729893000644</v>
      </c>
      <c r="E13" s="51">
        <f t="shared" si="114"/>
        <v>2</v>
      </c>
      <c r="F13" s="51">
        <f t="shared" si="115"/>
        <v>23</v>
      </c>
      <c r="G13" s="51">
        <f t="shared" si="116"/>
        <v>50</v>
      </c>
      <c r="I13" s="79" t="s">
        <v>604</v>
      </c>
      <c r="J13" s="79">
        <f>(J4/2)+(COS(RADIANS(J5))*J6)</f>
        <v>2.83016203704</v>
      </c>
      <c r="K13" s="51">
        <f t="shared" si="117"/>
        <v>2</v>
      </c>
      <c r="L13" s="51">
        <f t="shared" si="118"/>
        <v>49</v>
      </c>
      <c r="M13" s="51">
        <f t="shared" si="119"/>
        <v>48</v>
      </c>
      <c r="P13" s="79" t="s">
        <v>605</v>
      </c>
      <c r="Q13" s="79">
        <f>COS(RADIANS(Q6))*60</f>
        <v>-56.381557247154504</v>
      </c>
      <c r="R13" s="64">
        <f t="shared" si="65"/>
        <v>56</v>
      </c>
      <c r="S13" s="64">
        <f t="shared" si="66"/>
        <v>22</v>
      </c>
      <c r="T13" s="64">
        <f t="shared" si="104"/>
        <v>53</v>
      </c>
      <c r="U13" s="65">
        <f t="shared" si="105"/>
        <v>36</v>
      </c>
      <c r="V13" s="65">
        <f t="shared" si="106"/>
        <v>21</v>
      </c>
      <c r="W13" s="65">
        <f t="shared" si="107"/>
        <v>55</v>
      </c>
      <c r="X13" s="65">
        <f t="shared" si="108"/>
        <v>23</v>
      </c>
      <c r="AB13" s="79" t="s">
        <v>605</v>
      </c>
      <c r="AC13" s="79">
        <f>COS(RADIANS(AC6))*60</f>
        <v>56.381557247154504</v>
      </c>
      <c r="AD13" s="64">
        <f t="shared" si="67"/>
        <v>56</v>
      </c>
      <c r="AE13" s="64">
        <f t="shared" si="68"/>
        <v>22</v>
      </c>
      <c r="AF13" s="64">
        <f t="shared" si="109"/>
        <v>53</v>
      </c>
      <c r="AG13" s="65">
        <f t="shared" si="110"/>
        <v>36</v>
      </c>
      <c r="AH13" s="65">
        <f t="shared" si="111"/>
        <v>21</v>
      </c>
      <c r="AI13" s="65">
        <f t="shared" si="112"/>
        <v>55</v>
      </c>
      <c r="AJ13" s="65">
        <f t="shared" si="113"/>
        <v>23</v>
      </c>
      <c r="AM13" s="10"/>
      <c r="AN13" s="7"/>
      <c r="AO13" s="7">
        <f>AO12/2</f>
        <v>21</v>
      </c>
      <c r="AP13" s="64">
        <f t="shared" si="14"/>
        <v>21</v>
      </c>
      <c r="AQ13" s="64">
        <f t="shared" si="15"/>
        <v>0</v>
      </c>
      <c r="AR13" s="64">
        <f t="shared" si="16"/>
        <v>0</v>
      </c>
      <c r="AS13" s="65">
        <f t="shared" si="17"/>
        <v>0</v>
      </c>
      <c r="AT13" s="65">
        <f t="shared" si="18"/>
        <v>0</v>
      </c>
      <c r="AU13" s="65">
        <f t="shared" si="19"/>
        <v>0</v>
      </c>
      <c r="AV13" s="65">
        <f t="shared" si="20"/>
        <v>0</v>
      </c>
      <c r="AY13" s="7">
        <f>AY12/2</f>
        <v>-21</v>
      </c>
      <c r="AZ13" s="64">
        <f t="shared" si="21"/>
        <v>21</v>
      </c>
      <c r="BA13" s="64">
        <f t="shared" si="22"/>
        <v>0</v>
      </c>
      <c r="BB13" s="64">
        <f t="shared" si="23"/>
        <v>0</v>
      </c>
      <c r="BC13" s="65">
        <f t="shared" si="24"/>
        <v>0</v>
      </c>
      <c r="BE13" s="5"/>
      <c r="BF13" s="5">
        <f>POWER(ABS(SIN(RADIANS(360-BF10))),2)</f>
        <v>0.44773576836617346</v>
      </c>
      <c r="BG13" s="64">
        <f t="shared" si="47"/>
        <v>0</v>
      </c>
      <c r="BH13" s="64">
        <f t="shared" si="48"/>
        <v>26</v>
      </c>
      <c r="BI13" s="64">
        <f t="shared" si="49"/>
        <v>51</v>
      </c>
      <c r="BJ13" s="65">
        <f t="shared" si="50"/>
        <v>50</v>
      </c>
      <c r="BL13" s="5"/>
      <c r="BM13" s="5">
        <f>POWER(ABS(SIN(RADIANS(360-BM10))),2)</f>
        <v>0.44773576836617346</v>
      </c>
      <c r="BN13" s="64">
        <f t="shared" si="51"/>
        <v>0</v>
      </c>
      <c r="BO13" s="64">
        <f t="shared" si="52"/>
        <v>26</v>
      </c>
      <c r="BP13" s="64">
        <f t="shared" si="53"/>
        <v>51</v>
      </c>
      <c r="BQ13" s="65">
        <f t="shared" si="54"/>
        <v>50</v>
      </c>
      <c r="BT13">
        <v>11</v>
      </c>
      <c r="BU13" s="24"/>
      <c r="BV13" s="24">
        <f>180-BV12</f>
        <v>225</v>
      </c>
      <c r="BW13" s="64">
        <f t="shared" si="55"/>
        <v>225</v>
      </c>
      <c r="BX13" s="64">
        <f t="shared" si="56"/>
        <v>0</v>
      </c>
      <c r="BY13" s="64">
        <f t="shared" si="57"/>
        <v>0</v>
      </c>
      <c r="BZ13" s="65">
        <f t="shared" si="58"/>
        <v>0</v>
      </c>
      <c r="CJ13" t="s">
        <v>606</v>
      </c>
      <c r="CK13" s="24" t="s">
        <v>607</v>
      </c>
      <c r="CL13" s="24">
        <f>D26+Q21</f>
        <v>4.8385242920780049</v>
      </c>
      <c r="CM13" s="64">
        <f t="shared" si="29"/>
        <v>4</v>
      </c>
      <c r="CN13" s="64">
        <f t="shared" si="30"/>
        <v>50</v>
      </c>
      <c r="CO13" s="64">
        <f t="shared" si="31"/>
        <v>18</v>
      </c>
      <c r="CP13" s="65">
        <f t="shared" si="32"/>
        <v>41</v>
      </c>
      <c r="CQ13" s="65">
        <f t="shared" si="33"/>
        <v>14</v>
      </c>
      <c r="CU13" s="3"/>
      <c r="CV13" s="3">
        <f>CV11*CV7</f>
        <v>18657.775928880001</v>
      </c>
      <c r="CW13" s="64">
        <f t="shared" si="69"/>
        <v>18657</v>
      </c>
      <c r="CX13" s="64">
        <f t="shared" si="70"/>
        <v>46</v>
      </c>
      <c r="CY13" s="64">
        <f t="shared" si="71"/>
        <v>33</v>
      </c>
      <c r="CZ13" s="65">
        <f t="shared" si="72"/>
        <v>20</v>
      </c>
      <c r="DA13" s="65">
        <f t="shared" si="73"/>
        <v>38</v>
      </c>
      <c r="DB13" s="33"/>
      <c r="DC13" s="2"/>
      <c r="DD13" s="2">
        <f>DD11*DD7</f>
        <v>157.7563856100823</v>
      </c>
      <c r="DE13" s="64">
        <f t="shared" si="74"/>
        <v>157</v>
      </c>
      <c r="DF13" s="64">
        <f t="shared" si="75"/>
        <v>45</v>
      </c>
      <c r="DG13" s="64">
        <f t="shared" si="76"/>
        <v>22</v>
      </c>
      <c r="DH13" s="65">
        <f t="shared" si="77"/>
        <v>59</v>
      </c>
      <c r="DI13" s="65">
        <f t="shared" si="78"/>
        <v>17</v>
      </c>
      <c r="DJ13" s="12"/>
      <c r="DK13" s="12"/>
      <c r="DL13" s="33"/>
      <c r="DM13" s="10"/>
      <c r="DN13" s="10">
        <f>IF(DN5&gt;0,(DN6-1)*DN9,0)</f>
        <v>1062</v>
      </c>
      <c r="DO13" s="64">
        <f t="shared" si="120"/>
        <v>1062</v>
      </c>
      <c r="DP13" s="64">
        <f t="shared" si="121"/>
        <v>0</v>
      </c>
      <c r="DQ13" s="64">
        <f t="shared" si="122"/>
        <v>0</v>
      </c>
      <c r="DR13" s="65">
        <f t="shared" si="123"/>
        <v>0</v>
      </c>
      <c r="DS13" s="65">
        <f t="shared" si="124"/>
        <v>0</v>
      </c>
      <c r="DT13" s="12"/>
      <c r="DU13" s="12"/>
      <c r="DX13" s="3"/>
      <c r="DY13" s="3">
        <f>DY11*DY7</f>
        <v>-4664.4439822200002</v>
      </c>
      <c r="DZ13" s="64">
        <f t="shared" si="79"/>
        <v>4664</v>
      </c>
      <c r="EA13" s="64">
        <f t="shared" si="80"/>
        <v>26</v>
      </c>
      <c r="EB13" s="64">
        <f t="shared" si="81"/>
        <v>38</v>
      </c>
      <c r="EC13" s="65">
        <f t="shared" si="82"/>
        <v>20</v>
      </c>
      <c r="ED13" s="65">
        <f t="shared" si="83"/>
        <v>9</v>
      </c>
      <c r="EE13" s="33"/>
      <c r="EF13" s="2"/>
      <c r="EG13" s="2">
        <f>EG11*EG7</f>
        <v>-39.439096402520576</v>
      </c>
      <c r="EH13" s="64">
        <f t="shared" si="84"/>
        <v>39</v>
      </c>
      <c r="EI13" s="64">
        <f t="shared" si="85"/>
        <v>26</v>
      </c>
      <c r="EJ13" s="64">
        <f t="shared" si="86"/>
        <v>20</v>
      </c>
      <c r="EK13" s="65">
        <f t="shared" si="87"/>
        <v>44</v>
      </c>
      <c r="EL13" s="65">
        <f t="shared" si="88"/>
        <v>49</v>
      </c>
      <c r="EM13" s="12"/>
      <c r="EN13" s="12"/>
      <c r="EO13" s="33"/>
      <c r="EP13" s="10"/>
      <c r="EQ13" s="10">
        <f>IF(EQ5&gt;0,(EQ6-1)*EQ9,0)</f>
        <v>0</v>
      </c>
      <c r="ER13" s="64">
        <f t="shared" si="125"/>
        <v>0</v>
      </c>
      <c r="ES13" s="64">
        <f t="shared" si="126"/>
        <v>0</v>
      </c>
      <c r="ET13" s="64">
        <f t="shared" si="127"/>
        <v>0</v>
      </c>
      <c r="EU13" s="65">
        <f t="shared" si="128"/>
        <v>0</v>
      </c>
      <c r="EV13" s="65">
        <f t="shared" si="129"/>
        <v>0</v>
      </c>
      <c r="EW13" s="12"/>
      <c r="EX13" s="12"/>
      <c r="FA13" s="3"/>
      <c r="FB13" s="3">
        <f>FB11*FB7</f>
        <v>1395.6766212381688</v>
      </c>
      <c r="FC13" s="64">
        <f t="shared" si="89"/>
        <v>1395</v>
      </c>
      <c r="FD13" s="64">
        <f t="shared" si="90"/>
        <v>40</v>
      </c>
      <c r="FE13" s="64">
        <f t="shared" si="91"/>
        <v>35</v>
      </c>
      <c r="FF13" s="65">
        <f t="shared" si="92"/>
        <v>50</v>
      </c>
      <c r="FG13" s="65">
        <f t="shared" si="93"/>
        <v>11</v>
      </c>
      <c r="FL13" s="82" t="s">
        <v>144</v>
      </c>
      <c r="FM13" s="83"/>
      <c r="FN13" s="83"/>
      <c r="FO13" s="83"/>
      <c r="FP13" s="83"/>
      <c r="FQ13" s="83"/>
      <c r="FR13" s="83"/>
      <c r="FS13" s="83"/>
      <c r="FT13" s="61"/>
      <c r="FU13" s="60"/>
      <c r="FV13" s="33"/>
      <c r="FW13" s="33"/>
      <c r="FX13" s="3"/>
      <c r="FY13" s="3">
        <f>FY11*FY7</f>
        <v>-4664.4439822200002</v>
      </c>
      <c r="FZ13" s="64">
        <f t="shared" si="94"/>
        <v>4664</v>
      </c>
      <c r="GA13" s="64">
        <f t="shared" si="95"/>
        <v>26</v>
      </c>
      <c r="GB13" s="64">
        <f t="shared" si="96"/>
        <v>38</v>
      </c>
      <c r="GC13" s="65">
        <f t="shared" si="97"/>
        <v>20</v>
      </c>
      <c r="GD13" s="65">
        <f t="shared" si="98"/>
        <v>9</v>
      </c>
      <c r="GE13" s="76"/>
      <c r="GF13" s="2"/>
      <c r="GG13" s="2">
        <f>GG11*GG7</f>
        <v>-39.439096402520576</v>
      </c>
      <c r="GH13" s="64">
        <f t="shared" si="99"/>
        <v>39</v>
      </c>
      <c r="GI13" s="64">
        <f t="shared" si="100"/>
        <v>26</v>
      </c>
      <c r="GJ13" s="64">
        <f t="shared" si="101"/>
        <v>20</v>
      </c>
      <c r="GK13" s="65">
        <f t="shared" si="102"/>
        <v>44</v>
      </c>
      <c r="GL13" s="65">
        <f t="shared" si="103"/>
        <v>49</v>
      </c>
      <c r="GM13" s="12"/>
      <c r="GN13" s="12"/>
      <c r="GO13" s="33"/>
      <c r="GP13" s="10"/>
      <c r="GQ13" s="10">
        <f>IF(GQ5&gt;0,(GQ6-1)*GQ9,0)</f>
        <v>0</v>
      </c>
      <c r="GR13" s="64">
        <f t="shared" si="130"/>
        <v>0</v>
      </c>
      <c r="GS13" s="64">
        <f t="shared" si="131"/>
        <v>0</v>
      </c>
      <c r="GT13" s="64">
        <f t="shared" si="132"/>
        <v>0</v>
      </c>
      <c r="GU13" s="65">
        <f t="shared" si="133"/>
        <v>0</v>
      </c>
      <c r="GV13" s="65">
        <f t="shared" si="134"/>
        <v>0</v>
      </c>
      <c r="GW13" s="12"/>
      <c r="GX13" s="12"/>
      <c r="HC13" s="79" t="s">
        <v>598</v>
      </c>
      <c r="HD13" s="79">
        <f>DEGREES(ATAN(HD12/60))</f>
        <v>25.473309786800481</v>
      </c>
      <c r="HE13" s="51">
        <f t="shared" ref="HE13:HE22" si="135">INT(ABS(HD13))</f>
        <v>25</v>
      </c>
      <c r="HF13" s="51">
        <f t="shared" ref="HF13:HF22" si="136">INT((ABS(HD13)-HE13)*60)</f>
        <v>28</v>
      </c>
      <c r="HG13" s="51">
        <f t="shared" ref="HG13:HG22" si="137">INT((((ABS(HD13)-HE13)*60)-HF13)*60)</f>
        <v>23</v>
      </c>
      <c r="HI13" s="79" t="s">
        <v>598</v>
      </c>
      <c r="HJ13" s="79">
        <f>DEGREES(ATAN(HJ12/60))</f>
        <v>0</v>
      </c>
      <c r="HK13" s="51">
        <f t="shared" ref="HK13:HK18" si="138">INT(ABS(HJ13))</f>
        <v>0</v>
      </c>
      <c r="HL13" s="51">
        <f t="shared" ref="HL13:HL22" si="139">INT((ABS(HJ13)-HK13)*60)</f>
        <v>0</v>
      </c>
      <c r="HM13" s="51">
        <f t="shared" ref="HM13:HM22" si="140">INT((((ABS(HJ13)-HK13)*60)-HL13)*60)</f>
        <v>0</v>
      </c>
    </row>
    <row r="14" spans="1:231" ht="27">
      <c r="C14" s="79" t="s">
        <v>608</v>
      </c>
      <c r="D14" s="79">
        <f>DEGREES(ASIN(SIN(RADIANS(D12))*D13/60))</f>
        <v>0.59434204333524399</v>
      </c>
      <c r="E14" s="51">
        <f t="shared" si="114"/>
        <v>0</v>
      </c>
      <c r="F14" s="51">
        <f t="shared" si="115"/>
        <v>35</v>
      </c>
      <c r="G14" s="51">
        <f t="shared" si="116"/>
        <v>39</v>
      </c>
      <c r="I14" s="79" t="s">
        <v>608</v>
      </c>
      <c r="J14" s="79">
        <f>DEGREES(ASIN(SIN(RADIANS(180-J12))*J13/60))</f>
        <v>3.3110931579801174E-16</v>
      </c>
      <c r="K14" s="51">
        <f t="shared" si="117"/>
        <v>0</v>
      </c>
      <c r="L14" s="51">
        <f t="shared" si="118"/>
        <v>0</v>
      </c>
      <c r="M14" s="51">
        <f t="shared" si="119"/>
        <v>0</v>
      </c>
      <c r="P14" s="79" t="s">
        <v>609</v>
      </c>
      <c r="Q14" s="79">
        <f>Q13+Q10</f>
        <v>-56.550405944376564</v>
      </c>
      <c r="R14" s="64">
        <f t="shared" si="65"/>
        <v>56</v>
      </c>
      <c r="S14" s="64">
        <f t="shared" si="66"/>
        <v>33</v>
      </c>
      <c r="T14" s="64">
        <f t="shared" si="104"/>
        <v>1</v>
      </c>
      <c r="U14" s="65">
        <f t="shared" si="105"/>
        <v>27</v>
      </c>
      <c r="V14" s="65">
        <f t="shared" si="106"/>
        <v>41</v>
      </c>
      <c r="W14" s="65">
        <f t="shared" si="107"/>
        <v>2</v>
      </c>
      <c r="X14" s="65">
        <f t="shared" si="108"/>
        <v>20</v>
      </c>
      <c r="AB14" s="79" t="s">
        <v>609</v>
      </c>
      <c r="AC14" s="79">
        <f>AC13-AC10</f>
        <v>56.550405944376564</v>
      </c>
      <c r="AD14" s="64">
        <f t="shared" si="67"/>
        <v>56</v>
      </c>
      <c r="AE14" s="64">
        <f t="shared" si="68"/>
        <v>33</v>
      </c>
      <c r="AF14" s="64">
        <f t="shared" si="109"/>
        <v>1</v>
      </c>
      <c r="AG14" s="65">
        <f t="shared" si="110"/>
        <v>27</v>
      </c>
      <c r="AH14" s="65">
        <f t="shared" si="111"/>
        <v>41</v>
      </c>
      <c r="AI14" s="65">
        <f t="shared" si="112"/>
        <v>2</v>
      </c>
      <c r="AJ14" s="65">
        <f t="shared" si="113"/>
        <v>20</v>
      </c>
      <c r="AM14" s="10"/>
      <c r="AN14" s="7"/>
      <c r="AO14" s="7">
        <f>TAN(RADIANS(AO13))</f>
        <v>0.38386403503541577</v>
      </c>
      <c r="AP14" s="64">
        <f t="shared" si="14"/>
        <v>0</v>
      </c>
      <c r="AQ14" s="64">
        <f t="shared" si="15"/>
        <v>23</v>
      </c>
      <c r="AR14" s="64">
        <f t="shared" si="16"/>
        <v>1</v>
      </c>
      <c r="AS14" s="65">
        <f t="shared" si="17"/>
        <v>54</v>
      </c>
      <c r="AT14" s="65">
        <f t="shared" si="18"/>
        <v>37</v>
      </c>
      <c r="AU14" s="65">
        <f t="shared" si="19"/>
        <v>53</v>
      </c>
      <c r="AV14" s="65">
        <f t="shared" si="20"/>
        <v>38</v>
      </c>
      <c r="AY14" s="7">
        <f>TAN(RADIANS(AY13))</f>
        <v>-0.38386403503541577</v>
      </c>
      <c r="AZ14" s="64">
        <f t="shared" si="21"/>
        <v>0</v>
      </c>
      <c r="BA14" s="64">
        <f t="shared" si="22"/>
        <v>23</v>
      </c>
      <c r="BB14" s="64">
        <f t="shared" si="23"/>
        <v>1</v>
      </c>
      <c r="BC14" s="65">
        <f t="shared" si="24"/>
        <v>54</v>
      </c>
      <c r="BE14" s="5" t="s">
        <v>610</v>
      </c>
      <c r="BF14" s="5">
        <f>IF(AND(OR(BF7&lt;90,BF7&gt;270),OR(BF10&lt;90,BF10&gt;270)),SQRT(ABS(BF13+BF12)),SQRT(ABS(BF13-BF12)))</f>
        <v>0.71338282242123097</v>
      </c>
      <c r="BG14" s="64">
        <f t="shared" si="47"/>
        <v>0</v>
      </c>
      <c r="BH14" s="64">
        <f t="shared" si="48"/>
        <v>42</v>
      </c>
      <c r="BI14" s="64">
        <f t="shared" si="49"/>
        <v>48</v>
      </c>
      <c r="BJ14" s="65">
        <f t="shared" si="50"/>
        <v>10</v>
      </c>
      <c r="BL14" s="5" t="s">
        <v>610</v>
      </c>
      <c r="BM14" s="5">
        <f>IF(BR11=2,SQRT(ABS(BM13+BM12)),SQRT(ABS(BM13-BM12)))</f>
        <v>0.71338282242123097</v>
      </c>
      <c r="BN14" s="64">
        <f t="shared" si="51"/>
        <v>0</v>
      </c>
      <c r="BO14" s="64">
        <f t="shared" si="52"/>
        <v>42</v>
      </c>
      <c r="BP14" s="64">
        <f t="shared" si="53"/>
        <v>48</v>
      </c>
      <c r="BQ14" s="65">
        <f t="shared" si="54"/>
        <v>10</v>
      </c>
      <c r="BT14">
        <v>12</v>
      </c>
      <c r="BU14" s="24"/>
      <c r="BV14" s="24">
        <f>SIN(RADIANS(BV13))</f>
        <v>-0.70710678118654746</v>
      </c>
      <c r="BW14" s="64">
        <f t="shared" si="55"/>
        <v>0</v>
      </c>
      <c r="BX14" s="64">
        <f t="shared" si="56"/>
        <v>42</v>
      </c>
      <c r="BY14" s="64">
        <f t="shared" si="57"/>
        <v>25</v>
      </c>
      <c r="BZ14" s="65">
        <f t="shared" si="58"/>
        <v>35</v>
      </c>
      <c r="CK14" s="24" t="s">
        <v>611</v>
      </c>
      <c r="CL14" s="24">
        <f>SQRT(POWER(D10,2)+POWER(D28,2))</f>
        <v>16.114370148232581</v>
      </c>
      <c r="CM14" s="64">
        <f t="shared" si="29"/>
        <v>16</v>
      </c>
      <c r="CN14" s="64">
        <f t="shared" ref="CN14:CN21" si="141">INT((ABS(CL14)-CM14)*60)</f>
        <v>6</v>
      </c>
      <c r="CO14" s="64">
        <f t="shared" ref="CO14:CO21" si="142">INT((((ABS(CL14)-CM14)*60)-CN14)*60)</f>
        <v>51</v>
      </c>
      <c r="CP14" s="65">
        <f t="shared" ref="CP14:CP21" si="143">INT((((((ABS(CL14)-CM14)*60)-CN14)*60)-CO14)*60)</f>
        <v>43</v>
      </c>
      <c r="CQ14" s="65">
        <f t="shared" ref="CQ14:CQ21" si="144">INT((((((((ABS(CL14)-CM14)*60)-CN14)*60)-CO14)*60)-CP14)*60)</f>
        <v>57</v>
      </c>
      <c r="CU14" s="3"/>
      <c r="CV14" s="3">
        <f>CV13+CV12</f>
        <v>18684.128719740002</v>
      </c>
      <c r="CW14" s="64">
        <f t="shared" si="69"/>
        <v>18684</v>
      </c>
      <c r="CX14" s="64">
        <f t="shared" si="70"/>
        <v>7</v>
      </c>
      <c r="CY14" s="64">
        <f t="shared" si="71"/>
        <v>43</v>
      </c>
      <c r="CZ14" s="65">
        <f t="shared" si="72"/>
        <v>23</v>
      </c>
      <c r="DA14" s="65">
        <f t="shared" si="73"/>
        <v>27</v>
      </c>
      <c r="DB14" s="33"/>
      <c r="DC14" s="2"/>
      <c r="DD14" s="2">
        <f>DD13+DD12</f>
        <v>157.97920536376887</v>
      </c>
      <c r="DE14" s="64">
        <f t="shared" si="74"/>
        <v>157</v>
      </c>
      <c r="DF14" s="64">
        <f t="shared" si="75"/>
        <v>58</v>
      </c>
      <c r="DG14" s="64">
        <f t="shared" si="76"/>
        <v>45</v>
      </c>
      <c r="DH14" s="65">
        <f t="shared" si="77"/>
        <v>8</v>
      </c>
      <c r="DI14" s="65">
        <f t="shared" si="78"/>
        <v>21</v>
      </c>
      <c r="DJ14" s="12"/>
      <c r="DK14" s="12"/>
      <c r="DL14" s="33"/>
      <c r="DM14" s="10"/>
      <c r="DN14" s="10">
        <f>DN12*DN7</f>
        <v>359.94704471476336</v>
      </c>
      <c r="DO14" s="64">
        <f t="shared" si="120"/>
        <v>359</v>
      </c>
      <c r="DP14" s="64">
        <f t="shared" si="121"/>
        <v>56</v>
      </c>
      <c r="DQ14" s="64">
        <f t="shared" si="122"/>
        <v>49</v>
      </c>
      <c r="DR14" s="65">
        <f t="shared" si="123"/>
        <v>21</v>
      </c>
      <c r="DS14" s="65">
        <f t="shared" si="124"/>
        <v>39</v>
      </c>
      <c r="DT14" s="12"/>
      <c r="DU14" s="12"/>
      <c r="DX14" s="3"/>
      <c r="DY14" s="3">
        <f>DY13+DY12</f>
        <v>-4664.4439822200002</v>
      </c>
      <c r="DZ14" s="64">
        <f t="shared" si="79"/>
        <v>4664</v>
      </c>
      <c r="EA14" s="64">
        <f t="shared" si="80"/>
        <v>26</v>
      </c>
      <c r="EB14" s="64">
        <f t="shared" si="81"/>
        <v>38</v>
      </c>
      <c r="EC14" s="65">
        <f t="shared" si="82"/>
        <v>20</v>
      </c>
      <c r="ED14" s="65">
        <f t="shared" si="83"/>
        <v>9</v>
      </c>
      <c r="EE14" s="33"/>
      <c r="EF14" s="2"/>
      <c r="EG14" s="2">
        <f>EG13+EG12</f>
        <v>-39.439096402520576</v>
      </c>
      <c r="EH14" s="64">
        <f t="shared" si="84"/>
        <v>39</v>
      </c>
      <c r="EI14" s="64">
        <f t="shared" si="85"/>
        <v>26</v>
      </c>
      <c r="EJ14" s="64">
        <f t="shared" si="86"/>
        <v>20</v>
      </c>
      <c r="EK14" s="65">
        <f t="shared" si="87"/>
        <v>44</v>
      </c>
      <c r="EL14" s="65">
        <f t="shared" si="88"/>
        <v>49</v>
      </c>
      <c r="EM14" s="12"/>
      <c r="EN14" s="12"/>
      <c r="EO14" s="33"/>
      <c r="EP14" s="10"/>
      <c r="EQ14" s="10">
        <f>EQ12*EQ7</f>
        <v>0</v>
      </c>
      <c r="ER14" s="64">
        <f t="shared" si="125"/>
        <v>0</v>
      </c>
      <c r="ES14" s="64">
        <f t="shared" si="126"/>
        <v>0</v>
      </c>
      <c r="ET14" s="64">
        <f t="shared" si="127"/>
        <v>0</v>
      </c>
      <c r="EU14" s="65">
        <f t="shared" si="128"/>
        <v>0</v>
      </c>
      <c r="EV14" s="65">
        <f t="shared" si="129"/>
        <v>0</v>
      </c>
      <c r="EW14" s="12"/>
      <c r="EX14" s="12"/>
      <c r="FA14" s="3"/>
      <c r="FB14" s="3">
        <f>FB13+FB12</f>
        <v>1397.6479159009345</v>
      </c>
      <c r="FC14" s="64">
        <f t="shared" si="89"/>
        <v>1397</v>
      </c>
      <c r="FD14" s="64">
        <f t="shared" si="90"/>
        <v>38</v>
      </c>
      <c r="FE14" s="64">
        <f t="shared" si="91"/>
        <v>52</v>
      </c>
      <c r="FF14" s="65">
        <f t="shared" si="92"/>
        <v>29</v>
      </c>
      <c r="FG14" s="65">
        <f t="shared" si="93"/>
        <v>50</v>
      </c>
      <c r="FL14" s="84" t="s">
        <v>612</v>
      </c>
      <c r="FM14" s="85">
        <v>0</v>
      </c>
      <c r="FN14" s="85">
        <v>0</v>
      </c>
      <c r="FO14" s="85">
        <v>0</v>
      </c>
      <c r="FP14" s="85">
        <v>0</v>
      </c>
      <c r="FQ14" s="85">
        <v>0</v>
      </c>
      <c r="FR14" s="85">
        <v>0</v>
      </c>
      <c r="FS14" s="85">
        <v>0</v>
      </c>
      <c r="FT14" s="86">
        <f>FB29</f>
        <v>284.05853710995291</v>
      </c>
      <c r="FU14" s="60"/>
      <c r="FV14" s="33"/>
      <c r="FW14" s="33"/>
      <c r="FX14" s="3"/>
      <c r="FY14" s="3">
        <f>FY13+FY12</f>
        <v>-4664.4439822200002</v>
      </c>
      <c r="FZ14" s="64">
        <f t="shared" si="94"/>
        <v>4664</v>
      </c>
      <c r="GA14" s="64">
        <f t="shared" si="95"/>
        <v>26</v>
      </c>
      <c r="GB14" s="64">
        <f t="shared" si="96"/>
        <v>38</v>
      </c>
      <c r="GC14" s="65">
        <f t="shared" si="97"/>
        <v>20</v>
      </c>
      <c r="GD14" s="65">
        <f t="shared" si="98"/>
        <v>9</v>
      </c>
      <c r="GE14" s="60"/>
      <c r="GF14" s="2"/>
      <c r="GG14" s="2">
        <f>GG13+GG12</f>
        <v>-39.439096402520576</v>
      </c>
      <c r="GH14" s="64">
        <f t="shared" si="99"/>
        <v>39</v>
      </c>
      <c r="GI14" s="64">
        <f t="shared" si="100"/>
        <v>26</v>
      </c>
      <c r="GJ14" s="64">
        <f t="shared" si="101"/>
        <v>20</v>
      </c>
      <c r="GK14" s="65">
        <f t="shared" si="102"/>
        <v>44</v>
      </c>
      <c r="GL14" s="65">
        <f t="shared" si="103"/>
        <v>49</v>
      </c>
      <c r="GM14" s="12"/>
      <c r="GN14" s="12"/>
      <c r="GO14" s="33"/>
      <c r="GP14" s="10"/>
      <c r="GQ14" s="10">
        <f>GQ12*GQ7</f>
        <v>0</v>
      </c>
      <c r="GR14" s="64">
        <f t="shared" si="130"/>
        <v>0</v>
      </c>
      <c r="GS14" s="64">
        <f t="shared" si="131"/>
        <v>0</v>
      </c>
      <c r="GT14" s="64">
        <f t="shared" si="132"/>
        <v>0</v>
      </c>
      <c r="GU14" s="65">
        <f t="shared" si="133"/>
        <v>0</v>
      </c>
      <c r="GV14" s="65">
        <f t="shared" si="134"/>
        <v>0</v>
      </c>
      <c r="GW14" s="12"/>
      <c r="GX14" s="12"/>
      <c r="HC14" s="79" t="s">
        <v>604</v>
      </c>
      <c r="HD14" s="79">
        <f>(HD5/2)+(COS(RADIANS(HD6))*HD7)</f>
        <v>2.411206059749218</v>
      </c>
      <c r="HE14" s="51">
        <f t="shared" si="135"/>
        <v>2</v>
      </c>
      <c r="HF14" s="51">
        <f t="shared" si="136"/>
        <v>24</v>
      </c>
      <c r="HG14" s="51">
        <f t="shared" si="137"/>
        <v>40</v>
      </c>
      <c r="HI14" s="79" t="s">
        <v>604</v>
      </c>
      <c r="HJ14" s="79">
        <f>(HJ5/2)+(COS(RADIANS(HJ6))*HJ7)</f>
        <v>2.83016203704</v>
      </c>
      <c r="HK14" s="51">
        <f t="shared" si="138"/>
        <v>2</v>
      </c>
      <c r="HL14" s="51">
        <f t="shared" si="139"/>
        <v>49</v>
      </c>
      <c r="HM14" s="51">
        <f t="shared" si="140"/>
        <v>48</v>
      </c>
    </row>
    <row r="15" spans="1:231" ht="27">
      <c r="C15" s="79" t="s">
        <v>613</v>
      </c>
      <c r="D15" s="79">
        <f>D12+D14</f>
        <v>15.64127335742411</v>
      </c>
      <c r="E15" s="51">
        <f t="shared" si="114"/>
        <v>15</v>
      </c>
      <c r="F15" s="51">
        <f t="shared" si="115"/>
        <v>38</v>
      </c>
      <c r="G15" s="51">
        <f t="shared" si="116"/>
        <v>28</v>
      </c>
      <c r="I15" s="79" t="s">
        <v>613</v>
      </c>
      <c r="J15" s="79">
        <f>J12-J14</f>
        <v>-3.3110931579801174E-16</v>
      </c>
      <c r="K15" s="51">
        <f t="shared" si="117"/>
        <v>0</v>
      </c>
      <c r="L15" s="51">
        <f t="shared" si="118"/>
        <v>0</v>
      </c>
      <c r="M15" s="51">
        <f t="shared" si="119"/>
        <v>0</v>
      </c>
      <c r="P15" s="79" t="s">
        <v>614</v>
      </c>
      <c r="Q15" s="79">
        <f>SIN(RADIANS(Q6))*60</f>
        <v>-20.52120859954012</v>
      </c>
      <c r="R15" s="64">
        <f t="shared" si="65"/>
        <v>20</v>
      </c>
      <c r="S15" s="64">
        <f t="shared" si="66"/>
        <v>31</v>
      </c>
      <c r="T15" s="64">
        <f t="shared" si="104"/>
        <v>16</v>
      </c>
      <c r="U15" s="65">
        <f t="shared" si="105"/>
        <v>21</v>
      </c>
      <c r="V15" s="65">
        <f t="shared" si="106"/>
        <v>3</v>
      </c>
      <c r="W15" s="65">
        <f t="shared" si="107"/>
        <v>27</v>
      </c>
      <c r="X15" s="65">
        <f t="shared" si="108"/>
        <v>0</v>
      </c>
      <c r="AB15" s="79" t="s">
        <v>614</v>
      </c>
      <c r="AC15" s="79">
        <f>SIN(RADIANS(AC6))*60</f>
        <v>-20.521208599540124</v>
      </c>
      <c r="AD15" s="64">
        <f t="shared" si="67"/>
        <v>20</v>
      </c>
      <c r="AE15" s="64">
        <f t="shared" si="68"/>
        <v>31</v>
      </c>
      <c r="AF15" s="64">
        <f t="shared" si="109"/>
        <v>16</v>
      </c>
      <c r="AG15" s="65">
        <f t="shared" si="110"/>
        <v>21</v>
      </c>
      <c r="AH15" s="65">
        <f t="shared" si="111"/>
        <v>3</v>
      </c>
      <c r="AI15" s="65">
        <f t="shared" si="112"/>
        <v>27</v>
      </c>
      <c r="AJ15" s="65">
        <f t="shared" si="113"/>
        <v>0</v>
      </c>
      <c r="AM15" s="10"/>
      <c r="AN15" s="7" t="s">
        <v>615</v>
      </c>
      <c r="AO15" s="7">
        <v>60</v>
      </c>
      <c r="AP15" s="64">
        <f t="shared" si="14"/>
        <v>60</v>
      </c>
      <c r="AQ15" s="64">
        <f t="shared" si="15"/>
        <v>0</v>
      </c>
      <c r="AR15" s="64">
        <f t="shared" si="16"/>
        <v>0</v>
      </c>
      <c r="AS15" s="65">
        <f t="shared" si="17"/>
        <v>0</v>
      </c>
      <c r="AT15" s="65">
        <f t="shared" si="18"/>
        <v>0</v>
      </c>
      <c r="AU15" s="65">
        <f t="shared" si="19"/>
        <v>0</v>
      </c>
      <c r="AV15" s="65">
        <f t="shared" si="20"/>
        <v>0</v>
      </c>
      <c r="AY15" s="7">
        <v>60</v>
      </c>
      <c r="AZ15" s="64">
        <f t="shared" si="21"/>
        <v>60</v>
      </c>
      <c r="BA15" s="64">
        <f t="shared" si="22"/>
        <v>0</v>
      </c>
      <c r="BB15" s="64">
        <f t="shared" si="23"/>
        <v>0</v>
      </c>
      <c r="BC15" s="65">
        <f t="shared" si="24"/>
        <v>0</v>
      </c>
      <c r="BE15" s="4" t="s">
        <v>511</v>
      </c>
      <c r="BF15" s="4">
        <f>DEGREES(ASIN(SIN(RADIANS(360-BF10))*BF11)/BF14)/60</f>
        <v>0.19189259022433489</v>
      </c>
      <c r="BG15" s="64">
        <f t="shared" si="47"/>
        <v>0</v>
      </c>
      <c r="BH15" s="64">
        <f t="shared" si="48"/>
        <v>11</v>
      </c>
      <c r="BI15" s="64">
        <f t="shared" si="49"/>
        <v>30</v>
      </c>
      <c r="BJ15" s="65">
        <f t="shared" si="50"/>
        <v>48</v>
      </c>
      <c r="BL15" s="4" t="s">
        <v>511</v>
      </c>
      <c r="BM15" s="4">
        <f>DEGREES(ASIN(SIN(RADIANS(360-BM10))*BM11)/BM14)/60</f>
        <v>0.19189259022433489</v>
      </c>
      <c r="BN15" s="64">
        <f t="shared" si="51"/>
        <v>0</v>
      </c>
      <c r="BO15" s="64">
        <f t="shared" si="52"/>
        <v>11</v>
      </c>
      <c r="BP15" s="64">
        <f t="shared" si="53"/>
        <v>30</v>
      </c>
      <c r="BQ15" s="65">
        <f t="shared" si="54"/>
        <v>48</v>
      </c>
      <c r="BT15">
        <v>13</v>
      </c>
      <c r="BU15" s="24" t="s">
        <v>616</v>
      </c>
      <c r="BV15" s="24">
        <f>BV14*BV9*60/120</f>
        <v>-0.68479250000000003</v>
      </c>
      <c r="BW15" s="64">
        <f t="shared" si="55"/>
        <v>0</v>
      </c>
      <c r="BX15" s="64">
        <f t="shared" si="56"/>
        <v>41</v>
      </c>
      <c r="BY15" s="64">
        <f t="shared" si="57"/>
        <v>5</v>
      </c>
      <c r="BZ15" s="65">
        <f t="shared" si="58"/>
        <v>15</v>
      </c>
      <c r="CK15" s="24" t="s">
        <v>617</v>
      </c>
      <c r="CL15" s="24">
        <f>DEGREES(ASIN(D26*SIN(RADIANS(180-B6))/CL14))</f>
        <v>-2.2115197967444478</v>
      </c>
      <c r="CM15" s="64">
        <f t="shared" si="29"/>
        <v>2</v>
      </c>
      <c r="CN15" s="64">
        <f t="shared" si="141"/>
        <v>12</v>
      </c>
      <c r="CO15" s="64">
        <f t="shared" si="142"/>
        <v>41</v>
      </c>
      <c r="CP15" s="65">
        <f t="shared" si="143"/>
        <v>28</v>
      </c>
      <c r="CQ15" s="65">
        <f t="shared" si="144"/>
        <v>16</v>
      </c>
      <c r="CU15" s="3"/>
      <c r="CV15" s="3">
        <f>MOD(CV14,360)</f>
        <v>324.12871974000154</v>
      </c>
      <c r="CW15" s="64">
        <f t="shared" si="69"/>
        <v>324</v>
      </c>
      <c r="CX15" s="64">
        <f t="shared" si="70"/>
        <v>7</v>
      </c>
      <c r="CY15" s="64">
        <f t="shared" si="71"/>
        <v>43</v>
      </c>
      <c r="CZ15" s="65">
        <f t="shared" si="72"/>
        <v>23</v>
      </c>
      <c r="DA15" s="65">
        <f t="shared" si="73"/>
        <v>27</v>
      </c>
      <c r="DB15" s="33"/>
      <c r="DC15" s="2"/>
      <c r="DD15" s="2">
        <f>MOD(DD14,360)</f>
        <v>157.97920536376887</v>
      </c>
      <c r="DE15" s="64">
        <f t="shared" si="74"/>
        <v>157</v>
      </c>
      <c r="DF15" s="64">
        <f t="shared" si="75"/>
        <v>58</v>
      </c>
      <c r="DG15" s="64">
        <f t="shared" si="76"/>
        <v>45</v>
      </c>
      <c r="DH15" s="65">
        <f t="shared" si="77"/>
        <v>8</v>
      </c>
      <c r="DI15" s="65">
        <f t="shared" si="78"/>
        <v>21</v>
      </c>
      <c r="DJ15" s="12"/>
      <c r="DK15" s="12"/>
      <c r="DL15" s="33"/>
      <c r="DM15" s="10"/>
      <c r="DN15" s="10">
        <f>DN13*DN7</f>
        <v>382263.76148707868</v>
      </c>
      <c r="DO15" s="64">
        <f t="shared" si="120"/>
        <v>382263</v>
      </c>
      <c r="DP15" s="64">
        <f t="shared" si="121"/>
        <v>45</v>
      </c>
      <c r="DQ15" s="64">
        <f t="shared" si="122"/>
        <v>41</v>
      </c>
      <c r="DR15" s="65">
        <f t="shared" si="123"/>
        <v>21</v>
      </c>
      <c r="DS15" s="65">
        <f t="shared" si="124"/>
        <v>12</v>
      </c>
      <c r="DT15" s="12"/>
      <c r="DU15" s="12"/>
      <c r="DX15" s="3"/>
      <c r="DY15" s="3">
        <f>MOD(DY14,360)</f>
        <v>15.55601777999982</v>
      </c>
      <c r="DZ15" s="64">
        <f t="shared" si="79"/>
        <v>15</v>
      </c>
      <c r="EA15" s="64">
        <f t="shared" si="80"/>
        <v>33</v>
      </c>
      <c r="EB15" s="64">
        <f t="shared" si="81"/>
        <v>21</v>
      </c>
      <c r="EC15" s="65">
        <f t="shared" si="82"/>
        <v>39</v>
      </c>
      <c r="ED15" s="65">
        <f t="shared" si="83"/>
        <v>50</v>
      </c>
      <c r="EE15" s="33"/>
      <c r="EF15" s="2"/>
      <c r="EG15" s="2">
        <f>MOD(EG14,360)</f>
        <v>320.56090359747941</v>
      </c>
      <c r="EH15" s="64">
        <f t="shared" si="84"/>
        <v>320</v>
      </c>
      <c r="EI15" s="64">
        <f t="shared" si="85"/>
        <v>33</v>
      </c>
      <c r="EJ15" s="64">
        <f t="shared" si="86"/>
        <v>39</v>
      </c>
      <c r="EK15" s="65">
        <f t="shared" si="87"/>
        <v>15</v>
      </c>
      <c r="EL15" s="65">
        <f t="shared" si="88"/>
        <v>10</v>
      </c>
      <c r="EM15" s="12"/>
      <c r="EN15" s="12"/>
      <c r="EO15" s="33"/>
      <c r="EP15" s="10"/>
      <c r="EQ15" s="10">
        <f>EQ13*EQ7</f>
        <v>0</v>
      </c>
      <c r="ER15" s="64">
        <f t="shared" si="125"/>
        <v>0</v>
      </c>
      <c r="ES15" s="64">
        <f t="shared" si="126"/>
        <v>0</v>
      </c>
      <c r="ET15" s="64">
        <f t="shared" si="127"/>
        <v>0</v>
      </c>
      <c r="EU15" s="65">
        <f t="shared" si="128"/>
        <v>0</v>
      </c>
      <c r="EV15" s="65">
        <f t="shared" si="129"/>
        <v>0</v>
      </c>
      <c r="EW15" s="12"/>
      <c r="EX15" s="12"/>
      <c r="FA15" s="3"/>
      <c r="FB15" s="3">
        <f>MOD(FB14,360)</f>
        <v>317.64791590093455</v>
      </c>
      <c r="FC15" s="64">
        <f t="shared" si="89"/>
        <v>317</v>
      </c>
      <c r="FD15" s="64">
        <f t="shared" si="90"/>
        <v>38</v>
      </c>
      <c r="FE15" s="64">
        <f t="shared" si="91"/>
        <v>52</v>
      </c>
      <c r="FF15" s="65">
        <f t="shared" si="92"/>
        <v>29</v>
      </c>
      <c r="FG15" s="65">
        <f t="shared" si="93"/>
        <v>50</v>
      </c>
      <c r="FL15" s="82" t="s">
        <v>618</v>
      </c>
      <c r="FM15" s="60"/>
      <c r="FN15" s="60"/>
      <c r="FO15" s="60"/>
      <c r="FP15" s="60"/>
      <c r="FQ15" s="60"/>
      <c r="FR15" s="60"/>
      <c r="FS15" s="60"/>
      <c r="FT15" s="61"/>
      <c r="FU15" s="60"/>
      <c r="FV15" s="33"/>
      <c r="FW15" s="33"/>
      <c r="FX15" s="3"/>
      <c r="FY15" s="3">
        <f>MOD(FY14,360)</f>
        <v>15.55601777999982</v>
      </c>
      <c r="FZ15" s="64">
        <f t="shared" si="94"/>
        <v>15</v>
      </c>
      <c r="GA15" s="64">
        <f t="shared" si="95"/>
        <v>33</v>
      </c>
      <c r="GB15" s="64">
        <f t="shared" si="96"/>
        <v>21</v>
      </c>
      <c r="GC15" s="65">
        <f t="shared" si="97"/>
        <v>39</v>
      </c>
      <c r="GD15" s="65">
        <f t="shared" si="98"/>
        <v>50</v>
      </c>
      <c r="GE15" s="60"/>
      <c r="GF15" s="2"/>
      <c r="GG15" s="2">
        <f>MOD(GG14,360)</f>
        <v>320.56090359747941</v>
      </c>
      <c r="GH15" s="64">
        <f t="shared" si="99"/>
        <v>320</v>
      </c>
      <c r="GI15" s="64">
        <f t="shared" si="100"/>
        <v>33</v>
      </c>
      <c r="GJ15" s="64">
        <f t="shared" si="101"/>
        <v>39</v>
      </c>
      <c r="GK15" s="65">
        <f t="shared" si="102"/>
        <v>15</v>
      </c>
      <c r="GL15" s="65">
        <f t="shared" si="103"/>
        <v>10</v>
      </c>
      <c r="GM15" s="12"/>
      <c r="GN15" s="12"/>
      <c r="GO15" s="33"/>
      <c r="GP15" s="10"/>
      <c r="GQ15" s="10">
        <f>GQ13*GQ7</f>
        <v>0</v>
      </c>
      <c r="GR15" s="64">
        <f t="shared" si="130"/>
        <v>0</v>
      </c>
      <c r="GS15" s="64">
        <f t="shared" si="131"/>
        <v>0</v>
      </c>
      <c r="GT15" s="64">
        <f t="shared" si="132"/>
        <v>0</v>
      </c>
      <c r="GU15" s="65">
        <f t="shared" si="133"/>
        <v>0</v>
      </c>
      <c r="GV15" s="65">
        <f t="shared" si="134"/>
        <v>0</v>
      </c>
      <c r="GW15" s="12"/>
      <c r="GX15" s="12"/>
      <c r="HC15" s="79" t="s">
        <v>608</v>
      </c>
      <c r="HD15" s="79">
        <f>DEGREES(ASIN(SIN(RADIANS(HD13))*HD14/60))</f>
        <v>0.99034675213496992</v>
      </c>
      <c r="HE15" s="51">
        <f t="shared" si="135"/>
        <v>0</v>
      </c>
      <c r="HF15" s="51">
        <f t="shared" si="136"/>
        <v>59</v>
      </c>
      <c r="HG15" s="51">
        <f t="shared" si="137"/>
        <v>25</v>
      </c>
      <c r="HI15" s="79" t="s">
        <v>608</v>
      </c>
      <c r="HJ15" s="79">
        <f>DEGREES(ASIN(SIN(RADIANS(180-HJ13))*HJ14/60))</f>
        <v>3.3110931579801174E-16</v>
      </c>
      <c r="HK15" s="51">
        <f t="shared" si="138"/>
        <v>0</v>
      </c>
      <c r="HL15" s="51">
        <f t="shared" si="139"/>
        <v>0</v>
      </c>
      <c r="HM15" s="51">
        <f t="shared" si="140"/>
        <v>0</v>
      </c>
    </row>
    <row r="16" spans="1:231" ht="27">
      <c r="C16" s="79" t="s">
        <v>619</v>
      </c>
      <c r="D16" s="79">
        <f>SIN(RADIANS(D15))*60</f>
        <v>16.176814241843772</v>
      </c>
      <c r="E16" s="51">
        <f t="shared" si="114"/>
        <v>16</v>
      </c>
      <c r="F16" s="51">
        <f t="shared" si="115"/>
        <v>10</v>
      </c>
      <c r="G16" s="51">
        <f t="shared" si="116"/>
        <v>36</v>
      </c>
      <c r="I16" s="79" t="s">
        <v>619</v>
      </c>
      <c r="J16" s="79">
        <f>SIN(RADIANS(J15))*60</f>
        <v>-3.4673686468205884E-16</v>
      </c>
      <c r="K16" s="51">
        <f t="shared" si="117"/>
        <v>0</v>
      </c>
      <c r="L16" s="51">
        <f t="shared" si="118"/>
        <v>0</v>
      </c>
      <c r="M16" s="51">
        <f t="shared" si="119"/>
        <v>0</v>
      </c>
      <c r="P16" s="79" t="s">
        <v>620</v>
      </c>
      <c r="Q16" s="79">
        <f>SQRT(POWER(Q15,2)+POWER(Q14,2))</f>
        <v>60.15869359335872</v>
      </c>
      <c r="R16" s="64">
        <f t="shared" si="65"/>
        <v>60</v>
      </c>
      <c r="S16" s="64">
        <f t="shared" si="66"/>
        <v>9</v>
      </c>
      <c r="T16" s="64">
        <f t="shared" si="104"/>
        <v>31</v>
      </c>
      <c r="U16" s="65">
        <f t="shared" si="105"/>
        <v>17</v>
      </c>
      <c r="V16" s="65">
        <f t="shared" si="106"/>
        <v>48</v>
      </c>
      <c r="W16" s="65">
        <f t="shared" si="107"/>
        <v>58</v>
      </c>
      <c r="X16" s="65">
        <f t="shared" si="108"/>
        <v>11</v>
      </c>
      <c r="AB16" s="79" t="s">
        <v>620</v>
      </c>
      <c r="AC16" s="79">
        <f>SQRT(POWER(AC15,2)+POWER(AC14,2))</f>
        <v>60.15869359335872</v>
      </c>
      <c r="AD16" s="64">
        <f t="shared" si="67"/>
        <v>60</v>
      </c>
      <c r="AE16" s="64">
        <f t="shared" si="68"/>
        <v>9</v>
      </c>
      <c r="AF16" s="64">
        <f t="shared" si="109"/>
        <v>31</v>
      </c>
      <c r="AG16" s="65">
        <f t="shared" si="110"/>
        <v>17</v>
      </c>
      <c r="AH16" s="65">
        <f t="shared" si="111"/>
        <v>48</v>
      </c>
      <c r="AI16" s="65">
        <f t="shared" si="112"/>
        <v>58</v>
      </c>
      <c r="AJ16" s="65">
        <f t="shared" si="113"/>
        <v>11</v>
      </c>
      <c r="AM16" s="10"/>
      <c r="AN16" s="7" t="s">
        <v>621</v>
      </c>
      <c r="AO16" s="7">
        <f>AO15-AO9</f>
        <v>60.213505994214458</v>
      </c>
      <c r="AP16" s="64">
        <f t="shared" si="14"/>
        <v>60</v>
      </c>
      <c r="AQ16" s="64">
        <f t="shared" si="15"/>
        <v>12</v>
      </c>
      <c r="AR16" s="64">
        <f t="shared" si="16"/>
        <v>48</v>
      </c>
      <c r="AS16" s="65">
        <f t="shared" si="17"/>
        <v>37</v>
      </c>
      <c r="AT16" s="65">
        <f t="shared" si="18"/>
        <v>17</v>
      </c>
      <c r="AU16" s="65">
        <f t="shared" si="19"/>
        <v>41</v>
      </c>
      <c r="AV16" s="65">
        <f t="shared" si="20"/>
        <v>6</v>
      </c>
      <c r="AY16" s="7">
        <f>AY15-AY9</f>
        <v>60.213505994214458</v>
      </c>
      <c r="AZ16" s="64">
        <f t="shared" si="21"/>
        <v>60</v>
      </c>
      <c r="BA16" s="64">
        <f t="shared" si="22"/>
        <v>12</v>
      </c>
      <c r="BB16" s="64">
        <f t="shared" si="23"/>
        <v>48</v>
      </c>
      <c r="BC16" s="65">
        <f t="shared" si="24"/>
        <v>37</v>
      </c>
      <c r="BT16">
        <v>14</v>
      </c>
      <c r="BU16" s="30" t="s">
        <v>622</v>
      </c>
      <c r="BV16" s="30">
        <f>DEGREES(ASIN(BV15))/60</f>
        <v>-0.7203215105872961</v>
      </c>
      <c r="BW16" s="64">
        <f t="shared" si="55"/>
        <v>0</v>
      </c>
      <c r="BX16" s="64">
        <f t="shared" si="56"/>
        <v>43</v>
      </c>
      <c r="BY16" s="64">
        <f t="shared" si="57"/>
        <v>13</v>
      </c>
      <c r="BZ16" s="65">
        <f t="shared" si="58"/>
        <v>9</v>
      </c>
      <c r="CK16" s="24" t="s">
        <v>623</v>
      </c>
      <c r="CL16" s="24">
        <f>(D23+Q17)-CL15</f>
        <v>0.97450222409852039</v>
      </c>
      <c r="CM16" s="64">
        <f t="shared" si="29"/>
        <v>0</v>
      </c>
      <c r="CN16" s="64">
        <f t="shared" si="141"/>
        <v>58</v>
      </c>
      <c r="CO16" s="64">
        <f t="shared" si="142"/>
        <v>28</v>
      </c>
      <c r="CP16" s="65">
        <f t="shared" si="143"/>
        <v>12</v>
      </c>
      <c r="CQ16" s="65">
        <f t="shared" si="144"/>
        <v>28</v>
      </c>
      <c r="CU16" s="3"/>
      <c r="CV16" s="3">
        <f>IF((CV15+CV8)&lt;360,CV15+CV8,CV15+CV8-360)</f>
        <v>5.465738258520048</v>
      </c>
      <c r="CW16" s="64">
        <f t="shared" si="69"/>
        <v>5</v>
      </c>
      <c r="CX16" s="64">
        <f t="shared" si="70"/>
        <v>27</v>
      </c>
      <c r="CY16" s="64">
        <f t="shared" si="71"/>
        <v>56</v>
      </c>
      <c r="CZ16" s="65">
        <f t="shared" si="72"/>
        <v>39</v>
      </c>
      <c r="DA16" s="65">
        <f t="shared" si="73"/>
        <v>27</v>
      </c>
      <c r="DB16" s="33"/>
      <c r="DC16" s="2"/>
      <c r="DD16" s="2">
        <f>IF((DD15+DD8)&lt;360,DD15+DD8,DD15+DD8-360)</f>
        <v>200.47943684525035</v>
      </c>
      <c r="DE16" s="64">
        <f t="shared" si="74"/>
        <v>200</v>
      </c>
      <c r="DF16" s="64">
        <f t="shared" si="75"/>
        <v>28</v>
      </c>
      <c r="DG16" s="64">
        <f t="shared" si="76"/>
        <v>45</v>
      </c>
      <c r="DH16" s="65">
        <f t="shared" si="77"/>
        <v>58</v>
      </c>
      <c r="DI16" s="65">
        <f t="shared" si="78"/>
        <v>21</v>
      </c>
      <c r="DJ16" s="12"/>
      <c r="DK16" s="12"/>
      <c r="DL16" s="33"/>
      <c r="DM16" s="10"/>
      <c r="DN16" s="10">
        <f>DN15+DN14</f>
        <v>382623.70853179344</v>
      </c>
      <c r="DO16" s="64">
        <f t="shared" si="120"/>
        <v>382623</v>
      </c>
      <c r="DP16" s="64">
        <f t="shared" si="121"/>
        <v>42</v>
      </c>
      <c r="DQ16" s="64">
        <f t="shared" si="122"/>
        <v>30</v>
      </c>
      <c r="DR16" s="65">
        <f t="shared" si="123"/>
        <v>42</v>
      </c>
      <c r="DS16" s="65">
        <f t="shared" si="124"/>
        <v>52</v>
      </c>
      <c r="DT16" s="12"/>
      <c r="DU16" s="12"/>
      <c r="DX16" s="3"/>
      <c r="DY16" s="3">
        <f>IF((DY15+DY8)&lt;360,DY15+DY8,DY15+DY8-360)</f>
        <v>56.893036298518339</v>
      </c>
      <c r="DZ16" s="64">
        <f t="shared" si="79"/>
        <v>56</v>
      </c>
      <c r="EA16" s="64">
        <f t="shared" si="80"/>
        <v>53</v>
      </c>
      <c r="EB16" s="64">
        <f t="shared" si="81"/>
        <v>34</v>
      </c>
      <c r="EC16" s="65">
        <f t="shared" si="82"/>
        <v>55</v>
      </c>
      <c r="ED16" s="65">
        <f t="shared" si="83"/>
        <v>50</v>
      </c>
      <c r="EE16" s="33"/>
      <c r="EF16" s="2"/>
      <c r="EG16" s="2">
        <f>IF((EG15+EG8)&lt;360,EG15+EG8,EG15+EG8-360)</f>
        <v>3.0611350789608878</v>
      </c>
      <c r="EH16" s="64">
        <f t="shared" si="84"/>
        <v>3</v>
      </c>
      <c r="EI16" s="64">
        <f t="shared" si="85"/>
        <v>3</v>
      </c>
      <c r="EJ16" s="64">
        <f t="shared" si="86"/>
        <v>40</v>
      </c>
      <c r="EK16" s="65">
        <f t="shared" si="87"/>
        <v>5</v>
      </c>
      <c r="EL16" s="65">
        <f t="shared" si="88"/>
        <v>10</v>
      </c>
      <c r="EM16" s="12"/>
      <c r="EN16" s="12"/>
      <c r="EO16" s="33"/>
      <c r="EP16" s="10"/>
      <c r="EQ16" s="10">
        <f>EQ15+EQ14</f>
        <v>0</v>
      </c>
      <c r="ER16" s="64">
        <f t="shared" si="125"/>
        <v>0</v>
      </c>
      <c r="ES16" s="64">
        <f t="shared" si="126"/>
        <v>0</v>
      </c>
      <c r="ET16" s="64">
        <f t="shared" si="127"/>
        <v>0</v>
      </c>
      <c r="EU16" s="65">
        <f t="shared" si="128"/>
        <v>0</v>
      </c>
      <c r="EV16" s="65">
        <f t="shared" si="129"/>
        <v>0</v>
      </c>
      <c r="EW16" s="12"/>
      <c r="EX16" s="12"/>
      <c r="FA16" s="3"/>
      <c r="FB16" s="3">
        <f>IF((FB15+FB8)&lt;360,FB15+FB8,FB15+FB8-360)</f>
        <v>353.16180478982346</v>
      </c>
      <c r="FC16" s="64">
        <f t="shared" si="89"/>
        <v>353</v>
      </c>
      <c r="FD16" s="64">
        <f t="shared" si="90"/>
        <v>9</v>
      </c>
      <c r="FE16" s="64">
        <f t="shared" si="91"/>
        <v>42</v>
      </c>
      <c r="FF16" s="65">
        <f t="shared" si="92"/>
        <v>29</v>
      </c>
      <c r="FG16" s="65">
        <f t="shared" si="93"/>
        <v>50</v>
      </c>
      <c r="FL16" s="67" t="s">
        <v>624</v>
      </c>
      <c r="FM16" s="87">
        <f t="shared" ref="FM16:FM21" si="145">(((((((((((FT16-FS16)*60)-FR16)*60)-FQ16)*60)-FP16)*60)-FO16)*60)-FN16)*60</f>
        <v>41.962894073221833</v>
      </c>
      <c r="FN16" s="87">
        <f t="shared" ref="FN16:FN21" si="146">INT((((((((((FT16-FS16)*60)-FR16)*60)-FQ16)*60)-FP16)*60)-FO16)*60)</f>
        <v>56</v>
      </c>
      <c r="FO16" s="87">
        <f t="shared" ref="FO16:FO21" si="147">INT((((((((FT16-FS16)*60)-FR16)*60)-FQ16)*60)-FP16)*60)</f>
        <v>0</v>
      </c>
      <c r="FP16" s="87">
        <f t="shared" ref="FP16:FP21" si="148">INT((((((FT16-FS16)*60)-FR16)*60)-FQ16)*60)</f>
        <v>44</v>
      </c>
      <c r="FQ16" s="87">
        <f t="shared" ref="FQ16:FQ21" si="149">INT(60*((60*(FT16-FS16))-FR16))</f>
        <v>30</v>
      </c>
      <c r="FR16" s="87">
        <f t="shared" ref="FR16:FR21" si="150">INT(60*(FT16-FS16))</f>
        <v>3</v>
      </c>
      <c r="FS16" s="87">
        <f t="shared" ref="FS16:FS21" si="151">INT(FT16)</f>
        <v>183</v>
      </c>
      <c r="FT16" s="74">
        <f>IF(FT14-FT5&lt;0,360+FT14-FT5,FT14-FT5)</f>
        <v>183.05853710995291</v>
      </c>
      <c r="FU16" s="60"/>
      <c r="FV16" s="33"/>
      <c r="FW16" s="33"/>
      <c r="FX16" s="3"/>
      <c r="FY16" s="3">
        <f>IF((FY15+FY8)&lt;360,FY15+FY8,FY15+FY8-360)</f>
        <v>56.893036298518339</v>
      </c>
      <c r="FZ16" s="64">
        <f t="shared" si="94"/>
        <v>56</v>
      </c>
      <c r="GA16" s="64">
        <f t="shared" si="95"/>
        <v>53</v>
      </c>
      <c r="GB16" s="64">
        <f t="shared" si="96"/>
        <v>34</v>
      </c>
      <c r="GC16" s="65">
        <f t="shared" si="97"/>
        <v>55</v>
      </c>
      <c r="GD16" s="65">
        <f t="shared" si="98"/>
        <v>50</v>
      </c>
      <c r="GE16" s="76"/>
      <c r="GF16" s="2"/>
      <c r="GG16" s="2">
        <f>IF((GG15+GG8)&lt;360,GG15+GG8,GG15+GG8-360)</f>
        <v>3.0611350789608878</v>
      </c>
      <c r="GH16" s="64">
        <f t="shared" si="99"/>
        <v>3</v>
      </c>
      <c r="GI16" s="64">
        <f t="shared" si="100"/>
        <v>3</v>
      </c>
      <c r="GJ16" s="64">
        <f t="shared" si="101"/>
        <v>40</v>
      </c>
      <c r="GK16" s="65">
        <f t="shared" si="102"/>
        <v>5</v>
      </c>
      <c r="GL16" s="65">
        <f t="shared" si="103"/>
        <v>10</v>
      </c>
      <c r="GM16" s="12"/>
      <c r="GN16" s="12"/>
      <c r="GO16" s="33"/>
      <c r="GP16" s="10"/>
      <c r="GQ16" s="10">
        <f>GQ15+GQ14</f>
        <v>0</v>
      </c>
      <c r="GR16" s="64">
        <f t="shared" si="130"/>
        <v>0</v>
      </c>
      <c r="GS16" s="64">
        <f t="shared" si="131"/>
        <v>0</v>
      </c>
      <c r="GT16" s="64">
        <f t="shared" si="132"/>
        <v>0</v>
      </c>
      <c r="GU16" s="65">
        <f t="shared" si="133"/>
        <v>0</v>
      </c>
      <c r="GV16" s="65">
        <f t="shared" si="134"/>
        <v>0</v>
      </c>
      <c r="GW16" s="12"/>
      <c r="GX16" s="12"/>
      <c r="HC16" s="79" t="s">
        <v>613</v>
      </c>
      <c r="HD16" s="79">
        <f>HD13+HD15</f>
        <v>26.463656538935449</v>
      </c>
      <c r="HE16" s="51">
        <f t="shared" si="135"/>
        <v>26</v>
      </c>
      <c r="HF16" s="51">
        <f t="shared" si="136"/>
        <v>27</v>
      </c>
      <c r="HG16" s="51">
        <f t="shared" si="137"/>
        <v>49</v>
      </c>
      <c r="HI16" s="79" t="s">
        <v>613</v>
      </c>
      <c r="HJ16" s="79">
        <f>HJ13-HJ15</f>
        <v>-3.3110931579801174E-16</v>
      </c>
      <c r="HK16" s="51">
        <f t="shared" si="138"/>
        <v>0</v>
      </c>
      <c r="HL16" s="51">
        <f t="shared" si="139"/>
        <v>0</v>
      </c>
      <c r="HM16" s="51">
        <f t="shared" si="140"/>
        <v>0</v>
      </c>
    </row>
    <row r="17" spans="3:224" ht="27">
      <c r="C17" s="79" t="s">
        <v>625</v>
      </c>
      <c r="D17" s="79">
        <f>D16*D7/60</f>
        <v>16.161501706252828</v>
      </c>
      <c r="E17" s="51">
        <f t="shared" si="114"/>
        <v>16</v>
      </c>
      <c r="F17" s="51">
        <f t="shared" si="115"/>
        <v>9</v>
      </c>
      <c r="G17" s="51">
        <f t="shared" si="116"/>
        <v>41</v>
      </c>
      <c r="I17" s="79" t="s">
        <v>625</v>
      </c>
      <c r="J17" s="79">
        <f>J16*J7/60</f>
        <v>-3.4640865292776903E-16</v>
      </c>
      <c r="K17" s="51">
        <f t="shared" si="117"/>
        <v>0</v>
      </c>
      <c r="L17" s="51">
        <f t="shared" si="118"/>
        <v>0</v>
      </c>
      <c r="M17" s="51">
        <f t="shared" si="119"/>
        <v>0</v>
      </c>
      <c r="P17" s="88" t="s">
        <v>855</v>
      </c>
      <c r="Q17" s="88">
        <f>(SIN(RADIANS(Q12))*60*Q10)/Q16</f>
        <v>5.7597316871205902E-2</v>
      </c>
      <c r="R17" s="64">
        <f t="shared" si="65"/>
        <v>0</v>
      </c>
      <c r="S17" s="64">
        <f t="shared" si="66"/>
        <v>3</v>
      </c>
      <c r="T17" s="64">
        <f t="shared" si="104"/>
        <v>27</v>
      </c>
      <c r="U17" s="65">
        <f t="shared" si="105"/>
        <v>21</v>
      </c>
      <c r="V17" s="65">
        <f t="shared" si="106"/>
        <v>1</v>
      </c>
      <c r="W17" s="65">
        <f t="shared" si="107"/>
        <v>13</v>
      </c>
      <c r="X17" s="65">
        <f t="shared" si="108"/>
        <v>35</v>
      </c>
      <c r="AB17" s="88" t="s">
        <v>626</v>
      </c>
      <c r="AC17" s="88">
        <f>(SIN(RADIANS(AC12))*60*AC10)/AC16</f>
        <v>5.7597316871205902E-2</v>
      </c>
      <c r="AD17" s="64">
        <f t="shared" si="67"/>
        <v>0</v>
      </c>
      <c r="AE17" s="64">
        <f t="shared" si="68"/>
        <v>3</v>
      </c>
      <c r="AF17" s="64">
        <f t="shared" si="109"/>
        <v>27</v>
      </c>
      <c r="AG17" s="65">
        <f t="shared" si="110"/>
        <v>21</v>
      </c>
      <c r="AH17" s="65">
        <f t="shared" si="111"/>
        <v>1</v>
      </c>
      <c r="AI17" s="65">
        <f t="shared" si="112"/>
        <v>13</v>
      </c>
      <c r="AJ17" s="65">
        <f t="shared" si="113"/>
        <v>35</v>
      </c>
      <c r="AM17" s="10"/>
      <c r="AN17" s="7" t="s">
        <v>627</v>
      </c>
      <c r="AO17" s="7">
        <f>AO15+AO9</f>
        <v>59.786494005785542</v>
      </c>
      <c r="AP17" s="64">
        <f t="shared" si="14"/>
        <v>59</v>
      </c>
      <c r="AQ17" s="64">
        <f t="shared" si="15"/>
        <v>47</v>
      </c>
      <c r="AR17" s="64">
        <f t="shared" si="16"/>
        <v>11</v>
      </c>
      <c r="AS17" s="65">
        <f t="shared" si="17"/>
        <v>22</v>
      </c>
      <c r="AT17" s="65">
        <f t="shared" si="18"/>
        <v>42</v>
      </c>
      <c r="AU17" s="65">
        <f t="shared" si="19"/>
        <v>18</v>
      </c>
      <c r="AV17" s="65">
        <f t="shared" si="20"/>
        <v>53</v>
      </c>
      <c r="AY17" s="7">
        <f>AY15+AY9</f>
        <v>59.786494005785542</v>
      </c>
      <c r="AZ17" s="64">
        <f t="shared" si="21"/>
        <v>59</v>
      </c>
      <c r="BA17" s="64">
        <f t="shared" si="22"/>
        <v>47</v>
      </c>
      <c r="BB17" s="64">
        <f t="shared" si="23"/>
        <v>11</v>
      </c>
      <c r="BC17" s="65">
        <f t="shared" si="24"/>
        <v>22</v>
      </c>
      <c r="BT17">
        <v>15</v>
      </c>
      <c r="BU17" s="24" t="s">
        <v>628</v>
      </c>
      <c r="BV17" s="24">
        <f>BV12-BV16</f>
        <v>-44.279678489412703</v>
      </c>
      <c r="BW17" s="64">
        <f t="shared" si="55"/>
        <v>44</v>
      </c>
      <c r="BX17" s="64">
        <f t="shared" si="56"/>
        <v>16</v>
      </c>
      <c r="BY17" s="64">
        <f t="shared" si="57"/>
        <v>46</v>
      </c>
      <c r="BZ17" s="65">
        <f t="shared" si="58"/>
        <v>50</v>
      </c>
      <c r="CK17" s="24"/>
      <c r="CL17" s="24">
        <f>180-CL5</f>
        <v>12</v>
      </c>
      <c r="CM17" s="64">
        <f t="shared" si="29"/>
        <v>12</v>
      </c>
      <c r="CN17" s="64">
        <f t="shared" si="141"/>
        <v>0</v>
      </c>
      <c r="CO17" s="64">
        <f t="shared" si="142"/>
        <v>0</v>
      </c>
      <c r="CP17" s="65">
        <f t="shared" si="143"/>
        <v>0</v>
      </c>
      <c r="CQ17" s="65">
        <f t="shared" si="144"/>
        <v>0</v>
      </c>
      <c r="CU17" s="3"/>
      <c r="CV17" s="3">
        <f>INT((CV4-1251)/30)</f>
        <v>1</v>
      </c>
      <c r="CW17" s="64">
        <f t="shared" si="69"/>
        <v>1</v>
      </c>
      <c r="CX17" s="64">
        <f t="shared" si="70"/>
        <v>0</v>
      </c>
      <c r="CY17" s="64">
        <f t="shared" si="71"/>
        <v>0</v>
      </c>
      <c r="CZ17" s="65">
        <f t="shared" si="72"/>
        <v>0</v>
      </c>
      <c r="DA17" s="65">
        <f t="shared" si="73"/>
        <v>0</v>
      </c>
      <c r="DB17" s="33"/>
      <c r="DC17" s="2"/>
      <c r="DD17" s="2">
        <f>INT((DD4-1251)/30)</f>
        <v>1</v>
      </c>
      <c r="DE17" s="64">
        <f t="shared" si="74"/>
        <v>1</v>
      </c>
      <c r="DF17" s="64">
        <f t="shared" si="75"/>
        <v>0</v>
      </c>
      <c r="DG17" s="64">
        <f t="shared" si="76"/>
        <v>0</v>
      </c>
      <c r="DH17" s="65">
        <f t="shared" si="77"/>
        <v>0</v>
      </c>
      <c r="DI17" s="65">
        <f t="shared" si="78"/>
        <v>0</v>
      </c>
      <c r="DJ17" s="12"/>
      <c r="DK17" s="12"/>
      <c r="DL17" s="33"/>
      <c r="DM17" s="10"/>
      <c r="DN17" s="10">
        <f>MOD(DN16,360)</f>
        <v>303.70853179343976</v>
      </c>
      <c r="DO17" s="64">
        <f t="shared" si="120"/>
        <v>303</v>
      </c>
      <c r="DP17" s="64">
        <f t="shared" si="121"/>
        <v>42</v>
      </c>
      <c r="DQ17" s="64">
        <f t="shared" si="122"/>
        <v>30</v>
      </c>
      <c r="DR17" s="65">
        <f t="shared" si="123"/>
        <v>42</v>
      </c>
      <c r="DS17" s="65">
        <f t="shared" si="124"/>
        <v>52</v>
      </c>
      <c r="DT17" s="12"/>
      <c r="DU17" s="12"/>
      <c r="DX17" s="3"/>
      <c r="DY17" s="3">
        <f>INT((DY4-1251)/30)</f>
        <v>0</v>
      </c>
      <c r="DZ17" s="64">
        <f t="shared" si="79"/>
        <v>0</v>
      </c>
      <c r="EA17" s="64">
        <f t="shared" si="80"/>
        <v>0</v>
      </c>
      <c r="EB17" s="64">
        <f t="shared" si="81"/>
        <v>0</v>
      </c>
      <c r="EC17" s="65">
        <f t="shared" si="82"/>
        <v>0</v>
      </c>
      <c r="ED17" s="65">
        <f t="shared" si="83"/>
        <v>0</v>
      </c>
      <c r="EE17" s="33"/>
      <c r="EF17" s="2"/>
      <c r="EG17" s="2">
        <f>INT((EG4-1251)/30)</f>
        <v>0</v>
      </c>
      <c r="EH17" s="64">
        <f t="shared" si="84"/>
        <v>0</v>
      </c>
      <c r="EI17" s="64">
        <f t="shared" si="85"/>
        <v>0</v>
      </c>
      <c r="EJ17" s="64">
        <f t="shared" si="86"/>
        <v>0</v>
      </c>
      <c r="EK17" s="65">
        <f t="shared" si="87"/>
        <v>0</v>
      </c>
      <c r="EL17" s="65">
        <f t="shared" si="88"/>
        <v>0</v>
      </c>
      <c r="EM17" s="12"/>
      <c r="EN17" s="12"/>
      <c r="EO17" s="33"/>
      <c r="EP17" s="10"/>
      <c r="EQ17" s="10">
        <f>MOD(EQ16,360)</f>
        <v>0</v>
      </c>
      <c r="ER17" s="64">
        <f t="shared" si="125"/>
        <v>0</v>
      </c>
      <c r="ES17" s="64">
        <f t="shared" si="126"/>
        <v>0</v>
      </c>
      <c r="ET17" s="64">
        <f t="shared" si="127"/>
        <v>0</v>
      </c>
      <c r="EU17" s="65">
        <f t="shared" si="128"/>
        <v>0</v>
      </c>
      <c r="EV17" s="65">
        <f t="shared" si="129"/>
        <v>0</v>
      </c>
      <c r="EW17" s="12"/>
      <c r="EX17" s="12"/>
      <c r="FA17" s="3"/>
      <c r="FB17" s="3">
        <f>INT((FB4-1251)/30)</f>
        <v>1</v>
      </c>
      <c r="FC17" s="64">
        <f t="shared" si="89"/>
        <v>1</v>
      </c>
      <c r="FD17" s="64">
        <f t="shared" si="90"/>
        <v>0</v>
      </c>
      <c r="FE17" s="64">
        <f t="shared" si="91"/>
        <v>0</v>
      </c>
      <c r="FF17" s="65">
        <f t="shared" si="92"/>
        <v>0</v>
      </c>
      <c r="FG17" s="65">
        <f t="shared" si="93"/>
        <v>0</v>
      </c>
      <c r="FL17" s="67" t="s">
        <v>384</v>
      </c>
      <c r="FM17" s="87">
        <f t="shared" si="145"/>
        <v>55.031596696508132</v>
      </c>
      <c r="FN17" s="87">
        <f t="shared" si="146"/>
        <v>51</v>
      </c>
      <c r="FO17" s="87">
        <f t="shared" si="147"/>
        <v>48</v>
      </c>
      <c r="FP17" s="87">
        <f t="shared" si="148"/>
        <v>6</v>
      </c>
      <c r="FQ17" s="87">
        <f t="shared" si="149"/>
        <v>16</v>
      </c>
      <c r="FR17" s="87">
        <f t="shared" si="150"/>
        <v>6</v>
      </c>
      <c r="FS17" s="87">
        <f t="shared" si="151"/>
        <v>0</v>
      </c>
      <c r="FT17" s="74">
        <f>ABS((DEGREES(ASIN(SIN(RADIANS(ABS(FT14-FT5)))*FT4/SQRT(POWER(120+COS(RADIANS(ABS(FT14-FT5)))*FT4,2)+POWER((SIN(RADIANS(ABS(FT14-FT5)))*FT4),2)))))*2)</f>
        <v>0.10447599269186378</v>
      </c>
      <c r="FU17" s="60"/>
      <c r="FV17" s="33"/>
      <c r="FW17" s="33"/>
      <c r="FX17" s="3"/>
      <c r="FY17" s="3">
        <f>INT((FY4-1251)/30)</f>
        <v>0</v>
      </c>
      <c r="FZ17" s="64">
        <f t="shared" si="94"/>
        <v>0</v>
      </c>
      <c r="GA17" s="64">
        <f t="shared" si="95"/>
        <v>0</v>
      </c>
      <c r="GB17" s="64">
        <f t="shared" si="96"/>
        <v>0</v>
      </c>
      <c r="GC17" s="65">
        <f t="shared" si="97"/>
        <v>0</v>
      </c>
      <c r="GD17" s="65">
        <f t="shared" si="98"/>
        <v>0</v>
      </c>
      <c r="GE17" s="60"/>
      <c r="GF17" s="2"/>
      <c r="GG17" s="2">
        <f>INT((GG4-1251)/30)</f>
        <v>0</v>
      </c>
      <c r="GH17" s="64">
        <f t="shared" si="99"/>
        <v>0</v>
      </c>
      <c r="GI17" s="64">
        <f t="shared" si="100"/>
        <v>0</v>
      </c>
      <c r="GJ17" s="64">
        <f t="shared" si="101"/>
        <v>0</v>
      </c>
      <c r="GK17" s="65">
        <f t="shared" si="102"/>
        <v>0</v>
      </c>
      <c r="GL17" s="65">
        <f t="shared" si="103"/>
        <v>0</v>
      </c>
      <c r="GM17" s="12"/>
      <c r="GN17" s="12"/>
      <c r="GO17" s="33"/>
      <c r="GP17" s="10"/>
      <c r="GQ17" s="10">
        <f>MOD(GQ16,360)</f>
        <v>0</v>
      </c>
      <c r="GR17" s="64">
        <f t="shared" si="130"/>
        <v>0</v>
      </c>
      <c r="GS17" s="64">
        <f t="shared" si="131"/>
        <v>0</v>
      </c>
      <c r="GT17" s="64">
        <f t="shared" si="132"/>
        <v>0</v>
      </c>
      <c r="GU17" s="65">
        <f t="shared" si="133"/>
        <v>0</v>
      </c>
      <c r="GV17" s="65">
        <f t="shared" si="134"/>
        <v>0</v>
      </c>
      <c r="GW17" s="12"/>
      <c r="GX17" s="12"/>
      <c r="HC17" s="79" t="s">
        <v>619</v>
      </c>
      <c r="HD17" s="79">
        <f>SIN(RADIANS(HD16))*60</f>
        <v>26.737803289949941</v>
      </c>
      <c r="HE17" s="51">
        <f t="shared" si="135"/>
        <v>26</v>
      </c>
      <c r="HF17" s="51">
        <f t="shared" si="136"/>
        <v>44</v>
      </c>
      <c r="HG17" s="51">
        <f t="shared" si="137"/>
        <v>16</v>
      </c>
      <c r="HI17" s="79" t="s">
        <v>619</v>
      </c>
      <c r="HJ17" s="79">
        <f>SIN(RADIANS(HJ16))*60</f>
        <v>-3.4673686468205884E-16</v>
      </c>
      <c r="HK17" s="51">
        <f t="shared" si="138"/>
        <v>0</v>
      </c>
      <c r="HL17" s="51">
        <f t="shared" si="139"/>
        <v>0</v>
      </c>
      <c r="HM17" s="51">
        <f t="shared" si="140"/>
        <v>0</v>
      </c>
    </row>
    <row r="18" spans="3:224" ht="27">
      <c r="C18" s="79" t="s">
        <v>629</v>
      </c>
      <c r="D18" s="79">
        <f>60*D17/D10</f>
        <v>60.175488924183917</v>
      </c>
      <c r="E18" s="51">
        <f t="shared" si="114"/>
        <v>60</v>
      </c>
      <c r="F18" s="51">
        <f t="shared" si="115"/>
        <v>10</v>
      </c>
      <c r="G18" s="51">
        <f t="shared" si="116"/>
        <v>31</v>
      </c>
      <c r="I18" s="79" t="s">
        <v>629</v>
      </c>
      <c r="J18" s="79" t="e">
        <f>60*J17/J10</f>
        <v>#DIV/0!</v>
      </c>
      <c r="K18" s="51" t="e">
        <f>INT(ABS(J18))</f>
        <v>#DIV/0!</v>
      </c>
      <c r="L18" s="51" t="e">
        <f t="shared" si="118"/>
        <v>#DIV/0!</v>
      </c>
      <c r="M18" s="51" t="e">
        <f t="shared" si="119"/>
        <v>#DIV/0!</v>
      </c>
      <c r="P18" s="79"/>
      <c r="Q18" s="79">
        <f>D4/2</f>
        <v>2.61</v>
      </c>
      <c r="R18" s="64"/>
      <c r="S18" s="64"/>
      <c r="T18" s="64"/>
      <c r="U18" s="65"/>
      <c r="V18" s="65"/>
      <c r="W18" s="65"/>
      <c r="X18" s="65"/>
      <c r="AB18" s="79"/>
      <c r="AC18" s="79"/>
      <c r="AD18" s="64"/>
      <c r="AE18" s="64"/>
      <c r="AF18" s="64"/>
      <c r="AG18" s="65"/>
      <c r="AH18" s="65"/>
      <c r="AI18" s="65"/>
      <c r="AJ18" s="65"/>
      <c r="AM18" s="10"/>
      <c r="AN18" s="7"/>
      <c r="AO18" s="7">
        <f>AO14*AO16/AO17</f>
        <v>0.38660570014912787</v>
      </c>
      <c r="AP18" s="64">
        <f t="shared" si="14"/>
        <v>0</v>
      </c>
      <c r="AQ18" s="64">
        <f t="shared" si="15"/>
        <v>23</v>
      </c>
      <c r="AR18" s="64">
        <f t="shared" si="16"/>
        <v>11</v>
      </c>
      <c r="AS18" s="65">
        <f t="shared" si="17"/>
        <v>46</v>
      </c>
      <c r="AT18" s="65">
        <f t="shared" si="18"/>
        <v>49</v>
      </c>
      <c r="AU18" s="65">
        <f t="shared" si="19"/>
        <v>52</v>
      </c>
      <c r="AV18" s="65">
        <f t="shared" si="20"/>
        <v>26</v>
      </c>
      <c r="AY18" s="7">
        <f>AY14*AY16/AY17</f>
        <v>-0.38660570014912787</v>
      </c>
      <c r="AZ18" s="64">
        <f t="shared" si="21"/>
        <v>0</v>
      </c>
      <c r="BA18" s="64">
        <f t="shared" si="22"/>
        <v>23</v>
      </c>
      <c r="BB18" s="64">
        <f t="shared" si="23"/>
        <v>11</v>
      </c>
      <c r="BC18" s="65">
        <f t="shared" si="24"/>
        <v>46</v>
      </c>
      <c r="BS18" t="s">
        <v>630</v>
      </c>
      <c r="BT18">
        <v>16</v>
      </c>
      <c r="BU18" s="24" t="s">
        <v>552</v>
      </c>
      <c r="BV18" s="24">
        <v>253.2966667</v>
      </c>
      <c r="BW18" s="64">
        <f t="shared" si="55"/>
        <v>253</v>
      </c>
      <c r="BX18" s="64">
        <f t="shared" si="56"/>
        <v>17</v>
      </c>
      <c r="BY18" s="64">
        <f t="shared" si="57"/>
        <v>48</v>
      </c>
      <c r="BZ18" s="65">
        <f t="shared" si="58"/>
        <v>0</v>
      </c>
      <c r="CK18" s="24" t="s">
        <v>631</v>
      </c>
      <c r="CL18" s="24">
        <f>CL17+(180-CL9)</f>
        <v>-32</v>
      </c>
      <c r="CM18" s="64">
        <f t="shared" si="29"/>
        <v>32</v>
      </c>
      <c r="CN18" s="64">
        <f t="shared" si="141"/>
        <v>0</v>
      </c>
      <c r="CO18" s="64">
        <f t="shared" si="142"/>
        <v>0</v>
      </c>
      <c r="CP18" s="65">
        <f t="shared" si="143"/>
        <v>0</v>
      </c>
      <c r="CQ18" s="65">
        <f t="shared" si="144"/>
        <v>0</v>
      </c>
      <c r="CU18" s="3"/>
      <c r="CV18" s="3">
        <f>MOD((CV4-1251),30)</f>
        <v>5</v>
      </c>
      <c r="CW18" s="64">
        <f t="shared" si="69"/>
        <v>5</v>
      </c>
      <c r="CX18" s="64">
        <f t="shared" si="70"/>
        <v>0</v>
      </c>
      <c r="CY18" s="64">
        <f t="shared" si="71"/>
        <v>0</v>
      </c>
      <c r="CZ18" s="65">
        <f t="shared" si="72"/>
        <v>0</v>
      </c>
      <c r="DA18" s="65">
        <f t="shared" si="73"/>
        <v>0</v>
      </c>
      <c r="DB18" s="33"/>
      <c r="DC18" s="2"/>
      <c r="DD18" s="2">
        <f>MOD((DD4-1251),30)</f>
        <v>5</v>
      </c>
      <c r="DE18" s="64">
        <f t="shared" si="74"/>
        <v>5</v>
      </c>
      <c r="DF18" s="64">
        <f t="shared" si="75"/>
        <v>0</v>
      </c>
      <c r="DG18" s="64">
        <f t="shared" si="76"/>
        <v>0</v>
      </c>
      <c r="DH18" s="65">
        <f t="shared" si="77"/>
        <v>0</v>
      </c>
      <c r="DI18" s="65">
        <f t="shared" si="78"/>
        <v>0</v>
      </c>
      <c r="DJ18" s="12"/>
      <c r="DK18" s="12"/>
      <c r="DL18" s="33"/>
      <c r="DM18" s="10"/>
      <c r="DN18" s="10">
        <f>IF(DN5&gt;0,DN17+DN10,0)</f>
        <v>373.81343920084714</v>
      </c>
      <c r="DO18" s="64">
        <f t="shared" si="120"/>
        <v>373</v>
      </c>
      <c r="DP18" s="64">
        <f t="shared" si="121"/>
        <v>48</v>
      </c>
      <c r="DQ18" s="64">
        <f t="shared" si="122"/>
        <v>48</v>
      </c>
      <c r="DR18" s="65">
        <f t="shared" si="123"/>
        <v>22</v>
      </c>
      <c r="DS18" s="65">
        <f t="shared" si="124"/>
        <v>52</v>
      </c>
      <c r="DT18" s="12"/>
      <c r="DU18" s="12"/>
      <c r="DX18" s="3"/>
      <c r="DY18" s="3">
        <f>MOD((DY4-1251),30)</f>
        <v>0</v>
      </c>
      <c r="DZ18" s="64">
        <f t="shared" si="79"/>
        <v>0</v>
      </c>
      <c r="EA18" s="64">
        <f t="shared" si="80"/>
        <v>0</v>
      </c>
      <c r="EB18" s="64">
        <f t="shared" si="81"/>
        <v>0</v>
      </c>
      <c r="EC18" s="65">
        <f t="shared" si="82"/>
        <v>0</v>
      </c>
      <c r="ED18" s="65">
        <f t="shared" si="83"/>
        <v>0</v>
      </c>
      <c r="EE18" s="33"/>
      <c r="EF18" s="2"/>
      <c r="EG18" s="2">
        <f>MOD((EG4-1251),30)</f>
        <v>0</v>
      </c>
      <c r="EH18" s="64">
        <f t="shared" si="84"/>
        <v>0</v>
      </c>
      <c r="EI18" s="64">
        <f t="shared" si="85"/>
        <v>0</v>
      </c>
      <c r="EJ18" s="64">
        <f t="shared" si="86"/>
        <v>0</v>
      </c>
      <c r="EK18" s="65">
        <f t="shared" si="87"/>
        <v>0</v>
      </c>
      <c r="EL18" s="65">
        <f t="shared" si="88"/>
        <v>0</v>
      </c>
      <c r="EM18" s="12"/>
      <c r="EN18" s="12"/>
      <c r="EO18" s="33"/>
      <c r="EP18" s="10"/>
      <c r="EQ18" s="10">
        <f>IF(EQ5&gt;0,EQ17+EQ10,0)</f>
        <v>0</v>
      </c>
      <c r="ER18" s="64">
        <f t="shared" si="125"/>
        <v>0</v>
      </c>
      <c r="ES18" s="64">
        <f t="shared" si="126"/>
        <v>0</v>
      </c>
      <c r="ET18" s="64">
        <f t="shared" si="127"/>
        <v>0</v>
      </c>
      <c r="EU18" s="65">
        <f t="shared" si="128"/>
        <v>0</v>
      </c>
      <c r="EV18" s="65">
        <f t="shared" si="129"/>
        <v>0</v>
      </c>
      <c r="EW18" s="12"/>
      <c r="EX18" s="12"/>
      <c r="FA18" s="3"/>
      <c r="FB18" s="3">
        <f>MOD((FB4-1251),30)</f>
        <v>5</v>
      </c>
      <c r="FC18" s="64">
        <f t="shared" si="89"/>
        <v>5</v>
      </c>
      <c r="FD18" s="64">
        <f t="shared" si="90"/>
        <v>0</v>
      </c>
      <c r="FE18" s="64">
        <f t="shared" si="91"/>
        <v>0</v>
      </c>
      <c r="FF18" s="65">
        <f t="shared" si="92"/>
        <v>0</v>
      </c>
      <c r="FG18" s="65">
        <f t="shared" si="93"/>
        <v>0</v>
      </c>
      <c r="FL18" s="67" t="s">
        <v>632</v>
      </c>
      <c r="FM18" s="87">
        <f t="shared" si="145"/>
        <v>36.993657848797739</v>
      </c>
      <c r="FN18" s="87">
        <f t="shared" si="146"/>
        <v>48</v>
      </c>
      <c r="FO18" s="87">
        <f t="shared" si="147"/>
        <v>49</v>
      </c>
      <c r="FP18" s="87">
        <f t="shared" si="148"/>
        <v>50</v>
      </c>
      <c r="FQ18" s="87">
        <f t="shared" si="149"/>
        <v>46</v>
      </c>
      <c r="FR18" s="87">
        <f t="shared" si="150"/>
        <v>9</v>
      </c>
      <c r="FS18" s="87">
        <f t="shared" si="151"/>
        <v>284</v>
      </c>
      <c r="FT18" s="74">
        <f>IF(FT16&gt;180,MOD(FT14+FT17,360),FT14-FT17)</f>
        <v>284.16301310264475</v>
      </c>
      <c r="FU18" s="76"/>
      <c r="FV18" s="33"/>
      <c r="FW18" s="33"/>
      <c r="FX18" s="3"/>
      <c r="FY18" s="3">
        <f>MOD((FY4-1251),30)</f>
        <v>0</v>
      </c>
      <c r="FZ18" s="64">
        <f t="shared" si="94"/>
        <v>0</v>
      </c>
      <c r="GA18" s="64">
        <f t="shared" si="95"/>
        <v>0</v>
      </c>
      <c r="GB18" s="64">
        <f t="shared" si="96"/>
        <v>0</v>
      </c>
      <c r="GC18" s="65">
        <f t="shared" si="97"/>
        <v>0</v>
      </c>
      <c r="GD18" s="65">
        <f t="shared" si="98"/>
        <v>0</v>
      </c>
      <c r="GE18" s="76"/>
      <c r="GF18" s="2"/>
      <c r="GG18" s="2">
        <f>MOD((GG4-1251),30)</f>
        <v>0</v>
      </c>
      <c r="GH18" s="64">
        <f t="shared" si="99"/>
        <v>0</v>
      </c>
      <c r="GI18" s="64">
        <f t="shared" si="100"/>
        <v>0</v>
      </c>
      <c r="GJ18" s="64">
        <f t="shared" si="101"/>
        <v>0</v>
      </c>
      <c r="GK18" s="65">
        <f t="shared" si="102"/>
        <v>0</v>
      </c>
      <c r="GL18" s="65">
        <f t="shared" si="103"/>
        <v>0</v>
      </c>
      <c r="GM18" s="12"/>
      <c r="GN18" s="12"/>
      <c r="GO18" s="33"/>
      <c r="GP18" s="10"/>
      <c r="GQ18" s="10">
        <f>IF(GQ5&gt;0,GQ17+GQ10,0)</f>
        <v>0</v>
      </c>
      <c r="GR18" s="64">
        <f t="shared" si="130"/>
        <v>0</v>
      </c>
      <c r="GS18" s="64">
        <f t="shared" si="131"/>
        <v>0</v>
      </c>
      <c r="GT18" s="64">
        <f t="shared" si="132"/>
        <v>0</v>
      </c>
      <c r="GU18" s="65">
        <f t="shared" si="133"/>
        <v>0</v>
      </c>
      <c r="GV18" s="65">
        <f t="shared" si="134"/>
        <v>0</v>
      </c>
      <c r="GW18" s="12"/>
      <c r="GX18" s="12"/>
      <c r="HC18" s="79" t="s">
        <v>625</v>
      </c>
      <c r="HD18" s="79">
        <f>HD17*HD8/60</f>
        <v>26.712494007270418</v>
      </c>
      <c r="HE18" s="51">
        <f t="shared" si="135"/>
        <v>26</v>
      </c>
      <c r="HF18" s="51">
        <f t="shared" si="136"/>
        <v>42</v>
      </c>
      <c r="HG18" s="51">
        <f t="shared" si="137"/>
        <v>44</v>
      </c>
      <c r="HI18" s="79" t="s">
        <v>625</v>
      </c>
      <c r="HJ18" s="79">
        <f>HJ17*HJ8/60</f>
        <v>-3.4640865292776903E-16</v>
      </c>
      <c r="HK18" s="51">
        <f t="shared" si="138"/>
        <v>0</v>
      </c>
      <c r="HL18" s="51">
        <f t="shared" si="139"/>
        <v>0</v>
      </c>
      <c r="HM18" s="51">
        <f t="shared" si="140"/>
        <v>0</v>
      </c>
    </row>
    <row r="19" spans="3:224" ht="27">
      <c r="C19" s="79" t="s">
        <v>633</v>
      </c>
      <c r="D19" s="79">
        <f>D18-D8</f>
        <v>55.168115934883851</v>
      </c>
      <c r="E19" s="51">
        <f t="shared" si="114"/>
        <v>55</v>
      </c>
      <c r="F19" s="51">
        <f t="shared" si="115"/>
        <v>10</v>
      </c>
      <c r="G19" s="51">
        <f t="shared" si="116"/>
        <v>5</v>
      </c>
      <c r="I19" s="79" t="s">
        <v>633</v>
      </c>
      <c r="J19" s="79" t="e">
        <f>J18+J8</f>
        <v>#DIV/0!</v>
      </c>
      <c r="K19" s="51" t="e">
        <f t="shared" si="117"/>
        <v>#DIV/0!</v>
      </c>
      <c r="L19" s="51" t="e">
        <f t="shared" si="118"/>
        <v>#DIV/0!</v>
      </c>
      <c r="M19" s="51" t="e">
        <f t="shared" si="119"/>
        <v>#DIV/0!</v>
      </c>
      <c r="P19" s="4"/>
      <c r="Q19" s="4">
        <f>COS(RADIANS(360-Q8))</f>
        <v>-0.74314482547739402</v>
      </c>
      <c r="R19" s="64"/>
      <c r="S19" s="64"/>
      <c r="T19" s="64"/>
      <c r="U19" s="65"/>
      <c r="V19" s="65"/>
      <c r="W19" s="65"/>
      <c r="X19" s="65"/>
      <c r="AB19" s="4"/>
      <c r="AC19" s="4"/>
      <c r="AD19" s="64"/>
      <c r="AE19" s="64"/>
      <c r="AF19" s="64"/>
      <c r="AG19" s="65"/>
      <c r="AH19" s="65"/>
      <c r="AI19" s="65"/>
      <c r="AJ19" s="65"/>
      <c r="AM19" s="10"/>
      <c r="AN19" s="7"/>
      <c r="AO19" s="7">
        <f>DEGREES(ATAN(AO18))</f>
        <v>21.136785955229779</v>
      </c>
      <c r="AP19" s="64">
        <f t="shared" si="14"/>
        <v>21</v>
      </c>
      <c r="AQ19" s="64">
        <f t="shared" si="15"/>
        <v>8</v>
      </c>
      <c r="AR19" s="64">
        <f t="shared" si="16"/>
        <v>12</v>
      </c>
      <c r="AS19" s="65">
        <f t="shared" si="17"/>
        <v>25</v>
      </c>
      <c r="AT19" s="65">
        <f t="shared" si="18"/>
        <v>45</v>
      </c>
      <c r="AU19" s="65">
        <f t="shared" si="19"/>
        <v>58</v>
      </c>
      <c r="AV19" s="65">
        <f t="shared" si="20"/>
        <v>47</v>
      </c>
      <c r="AY19" s="7">
        <f>DEGREES(ATAN(AY18))</f>
        <v>-21.136785955229779</v>
      </c>
      <c r="AZ19" s="64">
        <f t="shared" si="21"/>
        <v>21</v>
      </c>
      <c r="BA19" s="64">
        <f t="shared" si="22"/>
        <v>8</v>
      </c>
      <c r="BB19" s="64">
        <f t="shared" si="23"/>
        <v>12</v>
      </c>
      <c r="BC19" s="65">
        <f t="shared" si="24"/>
        <v>25</v>
      </c>
      <c r="BT19">
        <v>17</v>
      </c>
      <c r="BU19" s="24" t="s">
        <v>634</v>
      </c>
      <c r="BV19" s="24">
        <f>BV18+BV12</f>
        <v>208.2966667</v>
      </c>
      <c r="BW19" s="64">
        <f>INT(ABS(BV19))</f>
        <v>208</v>
      </c>
      <c r="BX19" s="64">
        <f t="shared" si="56"/>
        <v>17</v>
      </c>
      <c r="BY19" s="64">
        <f t="shared" si="57"/>
        <v>48</v>
      </c>
      <c r="BZ19" s="65">
        <f t="shared" si="58"/>
        <v>0</v>
      </c>
      <c r="CJ19" t="s">
        <v>635</v>
      </c>
      <c r="CK19" s="13" t="s">
        <v>602</v>
      </c>
      <c r="CL19" s="24">
        <f>DEGREES(ASIN(SIN(RADIANS(CL18))*CL7/60))</f>
        <v>-0.99713988836621237</v>
      </c>
      <c r="CM19" s="64">
        <f t="shared" si="29"/>
        <v>0</v>
      </c>
      <c r="CN19" s="64">
        <f t="shared" si="141"/>
        <v>59</v>
      </c>
      <c r="CO19" s="64">
        <f t="shared" si="142"/>
        <v>49</v>
      </c>
      <c r="CP19" s="65">
        <f t="shared" si="143"/>
        <v>42</v>
      </c>
      <c r="CQ19" s="65">
        <f t="shared" si="144"/>
        <v>12</v>
      </c>
      <c r="CU19" s="3"/>
      <c r="CV19" s="39">
        <f>(((((((((DJ18/60)+DI18)/60)+CZ19)/60)+CY19)/60)+CX19)/60)+CW19</f>
        <v>38.259680555555555</v>
      </c>
      <c r="CW19" s="12">
        <v>38</v>
      </c>
      <c r="CX19" s="12">
        <v>15</v>
      </c>
      <c r="CY19" s="12">
        <v>34</v>
      </c>
      <c r="CZ19" s="12">
        <v>51</v>
      </c>
      <c r="DA19" s="12">
        <v>0</v>
      </c>
      <c r="DB19" s="33"/>
      <c r="DC19" s="2"/>
      <c r="DD19" s="38">
        <f>(((((((((DT20/60)+DS20)/60)+DH19)/60)+DG19)/60)+DF19)/60)+DE19</f>
        <v>104.39840277777778</v>
      </c>
      <c r="DE19" s="12">
        <v>104</v>
      </c>
      <c r="DF19" s="12">
        <v>23</v>
      </c>
      <c r="DG19" s="12">
        <v>54</v>
      </c>
      <c r="DH19" s="12">
        <v>15</v>
      </c>
      <c r="DI19" s="12"/>
      <c r="DJ19" s="12"/>
      <c r="DK19" s="12"/>
      <c r="DL19" s="33"/>
      <c r="DM19" s="10"/>
      <c r="DN19" s="10">
        <f>INT((DN4-1251)/30)</f>
        <v>1</v>
      </c>
      <c r="DO19" s="64">
        <f t="shared" si="120"/>
        <v>1</v>
      </c>
      <c r="DP19" s="64">
        <f t="shared" si="121"/>
        <v>0</v>
      </c>
      <c r="DQ19" s="64">
        <f t="shared" si="122"/>
        <v>0</v>
      </c>
      <c r="DR19" s="65">
        <f t="shared" si="123"/>
        <v>0</v>
      </c>
      <c r="DS19" s="65">
        <f t="shared" si="124"/>
        <v>0</v>
      </c>
      <c r="DT19" s="12"/>
      <c r="DU19" s="12"/>
      <c r="DX19" s="3"/>
      <c r="DY19" s="39">
        <f>(((((((((EM18/60)+EL18)/60)+EC19)/60)+EB19)/60)+EA19)/60)+DZ19</f>
        <v>38.259680555555555</v>
      </c>
      <c r="DZ19" s="12">
        <v>38</v>
      </c>
      <c r="EA19" s="12">
        <v>15</v>
      </c>
      <c r="EB19" s="12">
        <v>34</v>
      </c>
      <c r="EC19" s="12">
        <v>51</v>
      </c>
      <c r="ED19" s="12">
        <v>0</v>
      </c>
      <c r="EE19" s="33"/>
      <c r="EF19" s="2"/>
      <c r="EG19" s="38">
        <f>(((((((((EW19/60)+EV19)/60)+EK19)/60)+EJ19)/60)+EI19)/60)+EH19</f>
        <v>104.39840277777778</v>
      </c>
      <c r="EH19" s="12">
        <v>104</v>
      </c>
      <c r="EI19" s="12">
        <v>23</v>
      </c>
      <c r="EJ19" s="12">
        <v>54</v>
      </c>
      <c r="EK19" s="12">
        <v>15</v>
      </c>
      <c r="EL19" s="12"/>
      <c r="EM19" s="12"/>
      <c r="EN19" s="12"/>
      <c r="EO19" s="33"/>
      <c r="EP19" s="10"/>
      <c r="EQ19" s="10">
        <f>INT((EQ4-1251)/30)</f>
        <v>0</v>
      </c>
      <c r="ER19" s="64">
        <f t="shared" si="125"/>
        <v>0</v>
      </c>
      <c r="ES19" s="64">
        <f t="shared" si="126"/>
        <v>0</v>
      </c>
      <c r="ET19" s="64">
        <f t="shared" si="127"/>
        <v>0</v>
      </c>
      <c r="EU19" s="65">
        <f t="shared" si="128"/>
        <v>0</v>
      </c>
      <c r="EV19" s="65">
        <f t="shared" si="129"/>
        <v>0</v>
      </c>
      <c r="EW19" s="12"/>
      <c r="EX19" s="12"/>
      <c r="FA19" s="3"/>
      <c r="FB19" s="39">
        <f>(((((((((((FI19/60)+FH19)/60)+FG19)/60)+FF19)/60)+FE19)/60)+FD19)/60)+FC19</f>
        <v>38.416779931477194</v>
      </c>
      <c r="FC19" s="12">
        <v>38</v>
      </c>
      <c r="FD19" s="12">
        <v>25</v>
      </c>
      <c r="FE19" s="12">
        <v>0</v>
      </c>
      <c r="FF19" s="12">
        <v>24</v>
      </c>
      <c r="FG19" s="12">
        <v>27</v>
      </c>
      <c r="FH19" s="12">
        <v>54</v>
      </c>
      <c r="FI19" s="12">
        <v>43</v>
      </c>
      <c r="FL19" s="67" t="s">
        <v>603</v>
      </c>
      <c r="FM19" s="87">
        <f t="shared" si="145"/>
        <v>5.0485146639402956</v>
      </c>
      <c r="FN19" s="87">
        <f t="shared" si="146"/>
        <v>5</v>
      </c>
      <c r="FO19" s="87">
        <f t="shared" si="147"/>
        <v>42</v>
      </c>
      <c r="FP19" s="87">
        <f t="shared" si="148"/>
        <v>5</v>
      </c>
      <c r="FQ19" s="87">
        <f t="shared" si="149"/>
        <v>48</v>
      </c>
      <c r="FR19" s="87">
        <f t="shared" si="150"/>
        <v>22</v>
      </c>
      <c r="FS19" s="87">
        <f t="shared" si="151"/>
        <v>285</v>
      </c>
      <c r="FT19" s="74">
        <f>IF(FT18&lt;180,90-DEGREES(ATAN(TAN(RADIANS(90-FT18))/COS(RADIANS(FT6)))),180+(90-DEGREES(ATAN(TAN(RADIANS(90-FT18))/COS(RADIANS(FT6))))))</f>
        <v>285.38002639542714</v>
      </c>
      <c r="FU19" s="76"/>
      <c r="FV19" s="33"/>
      <c r="FW19" s="72"/>
      <c r="FX19" s="3"/>
      <c r="FY19" s="39">
        <f>(((((((((GM18/60)+GL18)/60)+GC19)/60)+GB19)/60)+GA19)/60)+FZ19</f>
        <v>38.259680555555555</v>
      </c>
      <c r="FZ19" s="12">
        <v>38</v>
      </c>
      <c r="GA19" s="12">
        <v>15</v>
      </c>
      <c r="GB19" s="12">
        <v>34</v>
      </c>
      <c r="GC19" s="12">
        <v>51</v>
      </c>
      <c r="GD19" s="12">
        <v>0</v>
      </c>
      <c r="GE19" s="76"/>
      <c r="GF19" s="2"/>
      <c r="GG19" s="38">
        <f>(((((((((GW19/60)+GV19)/60)+GK19)/60)+GJ19)/60)+GI19)/60)+GH19</f>
        <v>104.39840277777778</v>
      </c>
      <c r="GH19" s="12">
        <v>104</v>
      </c>
      <c r="GI19" s="12">
        <v>23</v>
      </c>
      <c r="GJ19" s="12">
        <v>54</v>
      </c>
      <c r="GK19" s="12">
        <v>15</v>
      </c>
      <c r="GL19" s="12"/>
      <c r="GM19" s="12"/>
      <c r="GN19" s="12"/>
      <c r="GO19" s="33"/>
      <c r="GP19" s="10"/>
      <c r="GQ19" s="10">
        <f>INT((GQ4-1251)/30)</f>
        <v>0</v>
      </c>
      <c r="GR19" s="64">
        <f t="shared" si="130"/>
        <v>0</v>
      </c>
      <c r="GS19" s="64">
        <f t="shared" si="131"/>
        <v>0</v>
      </c>
      <c r="GT19" s="64">
        <f t="shared" si="132"/>
        <v>0</v>
      </c>
      <c r="GU19" s="65">
        <f t="shared" si="133"/>
        <v>0</v>
      </c>
      <c r="GV19" s="65">
        <f t="shared" si="134"/>
        <v>0</v>
      </c>
      <c r="GW19" s="12"/>
      <c r="GX19" s="12"/>
      <c r="HC19" s="79" t="s">
        <v>629</v>
      </c>
      <c r="HD19" s="79">
        <f>60*HD18/HD11</f>
        <v>56.124238698280635</v>
      </c>
      <c r="HE19" s="51">
        <f t="shared" si="135"/>
        <v>56</v>
      </c>
      <c r="HF19" s="51">
        <f t="shared" si="136"/>
        <v>7</v>
      </c>
      <c r="HG19" s="51">
        <f t="shared" si="137"/>
        <v>27</v>
      </c>
      <c r="HI19" s="79" t="s">
        <v>629</v>
      </c>
      <c r="HJ19" s="79" t="e">
        <f>60*HJ18/HJ11</f>
        <v>#DIV/0!</v>
      </c>
      <c r="HK19" s="51" t="e">
        <f>INT(ABS(HJ19))</f>
        <v>#DIV/0!</v>
      </c>
      <c r="HL19" s="51" t="e">
        <f t="shared" si="139"/>
        <v>#DIV/0!</v>
      </c>
      <c r="HM19" s="51" t="e">
        <f t="shared" si="140"/>
        <v>#DIV/0!</v>
      </c>
    </row>
    <row r="20" spans="3:224" ht="37.5">
      <c r="C20" s="79" t="s">
        <v>615</v>
      </c>
      <c r="D20" s="79">
        <f>SQRT(POWER(D19,2)+POWER(D17,2))</f>
        <v>57.486651956832539</v>
      </c>
      <c r="E20" s="51">
        <f t="shared" si="114"/>
        <v>57</v>
      </c>
      <c r="F20" s="51">
        <f t="shared" si="115"/>
        <v>29</v>
      </c>
      <c r="G20" s="51">
        <f t="shared" si="116"/>
        <v>11</v>
      </c>
      <c r="I20" s="79" t="s">
        <v>615</v>
      </c>
      <c r="J20" s="79" t="e">
        <f>SQRT(POWER(J19,2)+POWER(J17,2))</f>
        <v>#DIV/0!</v>
      </c>
      <c r="K20" s="51" t="e">
        <f t="shared" si="117"/>
        <v>#DIV/0!</v>
      </c>
      <c r="L20" s="51" t="e">
        <f t="shared" si="118"/>
        <v>#DIV/0!</v>
      </c>
      <c r="M20" s="51" t="e">
        <f t="shared" si="119"/>
        <v>#DIV/0!</v>
      </c>
      <c r="Q20">
        <f>Q19*Q9</f>
        <v>-0.16884869722205911</v>
      </c>
      <c r="AM20" s="10"/>
      <c r="AN20" s="7" t="s">
        <v>511</v>
      </c>
      <c r="AO20" s="7">
        <f>AO13-AO19</f>
        <v>-0.13678595522977943</v>
      </c>
      <c r="AP20" s="64">
        <f t="shared" si="14"/>
        <v>0</v>
      </c>
      <c r="AQ20" s="64">
        <f t="shared" si="15"/>
        <v>8</v>
      </c>
      <c r="AR20" s="64">
        <f t="shared" si="16"/>
        <v>12</v>
      </c>
      <c r="AS20" s="65">
        <f t="shared" si="17"/>
        <v>25</v>
      </c>
      <c r="AT20" s="65">
        <f t="shared" si="18"/>
        <v>45</v>
      </c>
      <c r="AU20" s="65">
        <f t="shared" si="19"/>
        <v>58</v>
      </c>
      <c r="AV20" s="65">
        <f t="shared" si="20"/>
        <v>47</v>
      </c>
      <c r="AY20" s="7">
        <f>AY13-AY19</f>
        <v>0.13678595522977943</v>
      </c>
      <c r="AZ20" s="64">
        <f t="shared" si="21"/>
        <v>0</v>
      </c>
      <c r="BA20" s="64">
        <f t="shared" si="22"/>
        <v>8</v>
      </c>
      <c r="BB20" s="64">
        <f t="shared" si="23"/>
        <v>12</v>
      </c>
      <c r="BC20" s="65">
        <f t="shared" si="24"/>
        <v>25</v>
      </c>
      <c r="BT20">
        <v>18</v>
      </c>
      <c r="BU20" s="24" t="s">
        <v>556</v>
      </c>
      <c r="BV20" s="24">
        <f>BV4+360-BV19</f>
        <v>151.7033333</v>
      </c>
      <c r="BW20" s="64">
        <f>INT(ABS(BV20))</f>
        <v>151</v>
      </c>
      <c r="BX20" s="64">
        <f>INT((ABS(BV20)-BW20)*60)</f>
        <v>42</v>
      </c>
      <c r="BY20" s="64">
        <f>INT((((ABS(BV20)-BW20)*60)-BX20)*60)</f>
        <v>11</v>
      </c>
      <c r="BZ20" s="65">
        <f>INT((((((ABS(BV20)-BW20)*60)-BX20)*60)-BY20)*60)</f>
        <v>59</v>
      </c>
      <c r="CJ20" t="s">
        <v>704</v>
      </c>
      <c r="CK20" s="7" t="s">
        <v>636</v>
      </c>
      <c r="CL20" s="7">
        <f>(CL8+CL19)*-1</f>
        <v>1.6506843727297373</v>
      </c>
      <c r="CM20" s="64">
        <f t="shared" si="29"/>
        <v>1</v>
      </c>
      <c r="CN20" s="64">
        <f t="shared" si="141"/>
        <v>39</v>
      </c>
      <c r="CO20" s="64">
        <f t="shared" si="142"/>
        <v>2</v>
      </c>
      <c r="CP20" s="65">
        <f t="shared" si="143"/>
        <v>27</v>
      </c>
      <c r="CQ20" s="65">
        <f t="shared" si="144"/>
        <v>49</v>
      </c>
      <c r="CR20" t="e">
        <f ca="1">[5]!taqm3(CL4,CL5)</f>
        <v>#NAME?</v>
      </c>
      <c r="CU20" s="3"/>
      <c r="CV20" s="3">
        <f>1*CV19</f>
        <v>38.259680555555555</v>
      </c>
      <c r="CW20" s="64">
        <f>INT(ABS(CV20))</f>
        <v>38</v>
      </c>
      <c r="CX20" s="64">
        <f>INT((ABS(CV20)-CW20)*60)</f>
        <v>15</v>
      </c>
      <c r="CY20" s="64">
        <f>INT((((ABS(CV20)-CW20)*60)-CX20)*60)</f>
        <v>34</v>
      </c>
      <c r="CZ20" s="65">
        <f>INT((((((ABS(CV20)-CW20)*60)-CX20)*60)-CY20)*60)</f>
        <v>50</v>
      </c>
      <c r="DA20" s="65">
        <f>INT((((((((ABS(CV20)-CW20)*60)-CX20)*60)-CY20)*60)-CZ20)*60)</f>
        <v>59</v>
      </c>
      <c r="DB20" s="33"/>
      <c r="DC20" s="2"/>
      <c r="DD20" s="2">
        <f>1*DD19</f>
        <v>104.39840277777778</v>
      </c>
      <c r="DE20" s="64">
        <f t="shared" ref="DE20:DE29" si="152">INT(ABS(DD20))</f>
        <v>104</v>
      </c>
      <c r="DF20" s="64">
        <f t="shared" ref="DF20:DF29" si="153">INT((ABS(DD20)-DE20)*60)</f>
        <v>23</v>
      </c>
      <c r="DG20" s="64">
        <f t="shared" ref="DG20:DG29" si="154">INT((((ABS(DD20)-DE20)*60)-DF20)*60)</f>
        <v>54</v>
      </c>
      <c r="DH20" s="65">
        <f t="shared" ref="DH20:DH29" si="155">INT((((((ABS(DD20)-DE20)*60)-DF20)*60)-DG20)*60)</f>
        <v>14</v>
      </c>
      <c r="DI20" s="65">
        <f t="shared" ref="DI20:DI29" si="156">INT((((((((ABS(DD20)-DE20)*60)-DF20)*60)-DG20)*60)-DH20)*60)</f>
        <v>59</v>
      </c>
      <c r="DJ20" s="12"/>
      <c r="DK20" s="12"/>
      <c r="DL20" s="33"/>
      <c r="DM20" s="10"/>
      <c r="DN20" s="10">
        <f>MOD((DN4-1251),30)</f>
        <v>4</v>
      </c>
      <c r="DO20" s="64">
        <f t="shared" si="120"/>
        <v>4</v>
      </c>
      <c r="DP20" s="64">
        <f t="shared" si="121"/>
        <v>0</v>
      </c>
      <c r="DQ20" s="64">
        <f t="shared" si="122"/>
        <v>0</v>
      </c>
      <c r="DR20" s="65">
        <f t="shared" si="123"/>
        <v>0</v>
      </c>
      <c r="DS20" s="65">
        <f t="shared" si="124"/>
        <v>0</v>
      </c>
      <c r="DT20" s="12"/>
      <c r="DU20" s="12"/>
      <c r="DX20" s="3"/>
      <c r="DY20" s="3">
        <f>1*DY19</f>
        <v>38.259680555555555</v>
      </c>
      <c r="DZ20" s="64">
        <f>INT(ABS(DY20))</f>
        <v>38</v>
      </c>
      <c r="EA20" s="64">
        <f>INT((ABS(DY20)-DZ20)*60)</f>
        <v>15</v>
      </c>
      <c r="EB20" s="64">
        <f>INT((((ABS(DY20)-DZ20)*60)-EA20)*60)</f>
        <v>34</v>
      </c>
      <c r="EC20" s="65">
        <f>INT((((((ABS(DY20)-DZ20)*60)-EA20)*60)-EB20)*60)</f>
        <v>50</v>
      </c>
      <c r="ED20" s="65">
        <f>INT((((((((ABS(DY20)-DZ20)*60)-EA20)*60)-EB20)*60)-EC20)*60)</f>
        <v>59</v>
      </c>
      <c r="EE20" s="33"/>
      <c r="EF20" s="2"/>
      <c r="EG20" s="2">
        <f>1*EG19</f>
        <v>104.39840277777778</v>
      </c>
      <c r="EH20" s="64">
        <f t="shared" ref="EH20:EH30" si="157">INT(ABS(EG20))</f>
        <v>104</v>
      </c>
      <c r="EI20" s="64">
        <f t="shared" ref="EI20:EI30" si="158">INT((ABS(EG20)-EH20)*60)</f>
        <v>23</v>
      </c>
      <c r="EJ20" s="64">
        <f t="shared" ref="EJ20:EJ30" si="159">INT((((ABS(EG20)-EH20)*60)-EI20)*60)</f>
        <v>54</v>
      </c>
      <c r="EK20" s="65">
        <f t="shared" ref="EK20:EK30" si="160">INT((((((ABS(EG20)-EH20)*60)-EI20)*60)-EJ20)*60)</f>
        <v>14</v>
      </c>
      <c r="EL20" s="65">
        <f t="shared" ref="EL20:EL30" si="161">INT((((((((ABS(EG20)-EH20)*60)-EI20)*60)-EJ20)*60)-EK20)*60)</f>
        <v>59</v>
      </c>
      <c r="EM20" s="12"/>
      <c r="EN20" s="12"/>
      <c r="EO20" s="33"/>
      <c r="EP20" s="10"/>
      <c r="EQ20" s="10">
        <f>MOD((EQ4-1251),30)</f>
        <v>0</v>
      </c>
      <c r="ER20" s="64">
        <f t="shared" si="125"/>
        <v>0</v>
      </c>
      <c r="ES20" s="64">
        <f t="shared" si="126"/>
        <v>0</v>
      </c>
      <c r="ET20" s="64">
        <f t="shared" si="127"/>
        <v>0</v>
      </c>
      <c r="EU20" s="65">
        <f t="shared" si="128"/>
        <v>0</v>
      </c>
      <c r="EV20" s="65">
        <f t="shared" si="129"/>
        <v>0</v>
      </c>
      <c r="EW20" s="12"/>
      <c r="EX20" s="12"/>
      <c r="FA20" s="3"/>
      <c r="FB20" s="3">
        <f>1*FB19</f>
        <v>38.416779931477194</v>
      </c>
      <c r="FC20" s="64">
        <f>INT(ABS(FB20))</f>
        <v>38</v>
      </c>
      <c r="FD20" s="64">
        <f>INT((ABS(FB20)-FC20)*60)</f>
        <v>25</v>
      </c>
      <c r="FE20" s="64">
        <f>INT((((ABS(FB20)-FC20)*60)-FD20)*60)</f>
        <v>0</v>
      </c>
      <c r="FF20" s="65">
        <f>INT((((((ABS(FB20)-FC20)*60)-FD20)*60)-FE20)*60)</f>
        <v>24</v>
      </c>
      <c r="FG20" s="65">
        <f>INT((((((((ABS(FB20)-FC20)*60)-FD20)*60)-FE20)*60)-FF20)*60)</f>
        <v>27</v>
      </c>
      <c r="FL20" s="67" t="s">
        <v>637</v>
      </c>
      <c r="FM20" s="87">
        <f t="shared" si="145"/>
        <v>41.962894073221833</v>
      </c>
      <c r="FN20" s="87">
        <f t="shared" si="146"/>
        <v>56</v>
      </c>
      <c r="FO20" s="87">
        <f t="shared" si="147"/>
        <v>0</v>
      </c>
      <c r="FP20" s="87">
        <f t="shared" si="148"/>
        <v>44</v>
      </c>
      <c r="FQ20" s="87">
        <f t="shared" si="149"/>
        <v>30</v>
      </c>
      <c r="FR20" s="87">
        <f t="shared" si="150"/>
        <v>3</v>
      </c>
      <c r="FS20" s="87">
        <f t="shared" si="151"/>
        <v>273</v>
      </c>
      <c r="FT20" s="74">
        <f>IF(FT14&gt;FT8,FT14-FT8,FT14-FT8+360)</f>
        <v>273.05853710995291</v>
      </c>
      <c r="FU20" s="76"/>
      <c r="FV20" s="33"/>
      <c r="FW20" s="33"/>
      <c r="FX20" s="3"/>
      <c r="FY20" s="3">
        <f>1*FY19</f>
        <v>38.259680555555555</v>
      </c>
      <c r="FZ20" s="64">
        <f>INT(ABS(FY20))</f>
        <v>38</v>
      </c>
      <c r="GA20" s="64">
        <f>INT((ABS(FY20)-FZ20)*60)</f>
        <v>15</v>
      </c>
      <c r="GB20" s="64">
        <f>INT((((ABS(FY20)-FZ20)*60)-GA20)*60)</f>
        <v>34</v>
      </c>
      <c r="GC20" s="65">
        <f>INT((((((ABS(FY20)-FZ20)*60)-GA20)*60)-GB20)*60)</f>
        <v>50</v>
      </c>
      <c r="GD20" s="65">
        <f>INT((((((((ABS(FY20)-FZ20)*60)-GA20)*60)-GB20)*60)-GC20)*60)</f>
        <v>59</v>
      </c>
      <c r="GE20" s="76"/>
      <c r="GF20" s="2"/>
      <c r="GG20" s="2">
        <f>1*GG19</f>
        <v>104.39840277777778</v>
      </c>
      <c r="GH20" s="64">
        <f t="shared" ref="GH20:GH29" si="162">INT(ABS(GG20))</f>
        <v>104</v>
      </c>
      <c r="GI20" s="64">
        <f t="shared" ref="GI20:GI29" si="163">INT((ABS(GG20)-GH20)*60)</f>
        <v>23</v>
      </c>
      <c r="GJ20" s="64">
        <f t="shared" ref="GJ20:GJ29" si="164">INT((((ABS(GG20)-GH20)*60)-GI20)*60)</f>
        <v>54</v>
      </c>
      <c r="GK20" s="65">
        <f t="shared" ref="GK20:GK29" si="165">INT((((((ABS(GG20)-GH20)*60)-GI20)*60)-GJ20)*60)</f>
        <v>14</v>
      </c>
      <c r="GL20" s="65">
        <f t="shared" ref="GL20:GL29" si="166">INT((((((((ABS(GG20)-GH20)*60)-GI20)*60)-GJ20)*60)-GK20)*60)</f>
        <v>59</v>
      </c>
      <c r="GM20" s="12"/>
      <c r="GN20" s="12"/>
      <c r="GO20" s="33"/>
      <c r="GP20" s="10"/>
      <c r="GQ20" s="10">
        <f>MOD((GQ4-1251),30)</f>
        <v>0</v>
      </c>
      <c r="GR20" s="64">
        <f t="shared" si="130"/>
        <v>0</v>
      </c>
      <c r="GS20" s="64">
        <f t="shared" si="131"/>
        <v>0</v>
      </c>
      <c r="GT20" s="64">
        <f t="shared" si="132"/>
        <v>0</v>
      </c>
      <c r="GU20" s="65">
        <f t="shared" si="133"/>
        <v>0</v>
      </c>
      <c r="GV20" s="65">
        <f t="shared" si="134"/>
        <v>0</v>
      </c>
      <c r="GW20" s="12"/>
      <c r="GX20" s="12"/>
      <c r="HC20" s="79" t="s">
        <v>633</v>
      </c>
      <c r="HD20" s="79">
        <f>HD19-HD9</f>
        <v>51.103032638531417</v>
      </c>
      <c r="HE20" s="51">
        <f t="shared" si="135"/>
        <v>51</v>
      </c>
      <c r="HF20" s="51">
        <f t="shared" si="136"/>
        <v>6</v>
      </c>
      <c r="HG20" s="51">
        <f t="shared" si="137"/>
        <v>10</v>
      </c>
      <c r="HI20" s="79" t="s">
        <v>633</v>
      </c>
      <c r="HJ20" s="79" t="e">
        <f>HJ19+HJ9</f>
        <v>#DIV/0!</v>
      </c>
      <c r="HK20" s="51" t="e">
        <f>INT(ABS(HJ20))</f>
        <v>#DIV/0!</v>
      </c>
      <c r="HL20" s="51" t="e">
        <f t="shared" si="139"/>
        <v>#DIV/0!</v>
      </c>
      <c r="HM20" s="51" t="e">
        <f t="shared" si="140"/>
        <v>#DIV/0!</v>
      </c>
    </row>
    <row r="21" spans="3:224" ht="37.5">
      <c r="C21" s="79" t="s">
        <v>638</v>
      </c>
      <c r="D21" s="79">
        <f>IF(D5=0,0,DEGREES(ASIN(D8*SIN(RADIANS(180-D5))/D20)))</f>
        <v>-1.2946148895171332</v>
      </c>
      <c r="E21" s="51">
        <f t="shared" si="114"/>
        <v>1</v>
      </c>
      <c r="F21" s="51">
        <f t="shared" si="115"/>
        <v>17</v>
      </c>
      <c r="G21" s="51">
        <f t="shared" si="116"/>
        <v>40</v>
      </c>
      <c r="I21" s="79" t="s">
        <v>638</v>
      </c>
      <c r="J21" s="79">
        <f>IF(J5=0,0,DEGREES(ASIN(J8*SIN(RADIANS(180-J5))/J20)))</f>
        <v>0</v>
      </c>
      <c r="K21" s="51">
        <f t="shared" si="117"/>
        <v>0</v>
      </c>
      <c r="L21" s="51">
        <f t="shared" si="118"/>
        <v>0</v>
      </c>
      <c r="M21" s="51">
        <f t="shared" si="119"/>
        <v>0</v>
      </c>
      <c r="Q21">
        <f>Q20+(J4/2)</f>
        <v>2.4411513027779406</v>
      </c>
      <c r="R21" s="64">
        <f>INT(ABS(Q21))</f>
        <v>2</v>
      </c>
      <c r="S21" s="64">
        <f>INT((ABS(Q21)-R21)*60)</f>
        <v>26</v>
      </c>
      <c r="T21" s="64">
        <f>INT((((ABS(Q21)-R21)*60)-S21)*60)</f>
        <v>28</v>
      </c>
      <c r="U21" s="65">
        <f>INT((((((ABS(Q21)-R21)*60)-S21)*60)-T21)*60)</f>
        <v>8</v>
      </c>
      <c r="V21" s="65">
        <f>INT((((((((ABS(Q21)-R21)*60)-S21)*60)-T21)*60)-U21)*60)</f>
        <v>40</v>
      </c>
      <c r="AY21" s="7"/>
      <c r="AZ21" s="64">
        <f t="shared" si="21"/>
        <v>0</v>
      </c>
      <c r="BA21" s="64">
        <f t="shared" si="22"/>
        <v>0</v>
      </c>
      <c r="BB21" s="64">
        <f t="shared" si="23"/>
        <v>0</v>
      </c>
      <c r="BC21" s="65">
        <f t="shared" si="24"/>
        <v>0</v>
      </c>
      <c r="BT21">
        <v>19</v>
      </c>
      <c r="BU21" s="24" t="s">
        <v>639</v>
      </c>
      <c r="BV21" s="24">
        <f>180-BV20</f>
        <v>28.296666700000003</v>
      </c>
      <c r="BW21" s="64">
        <f>INT(ABS(BV21))</f>
        <v>28</v>
      </c>
      <c r="BX21" s="64">
        <f>INT((ABS(BV21)-BW21)*60)</f>
        <v>17</v>
      </c>
      <c r="BY21" s="64">
        <f>INT((((ABS(BV21)-BW21)*60)-BX21)*60)</f>
        <v>48</v>
      </c>
      <c r="BZ21" s="65">
        <f>INT((((((ABS(BV21)-BW21)*60)-BX21)*60)-BY21)*60)</f>
        <v>0</v>
      </c>
      <c r="CK21" s="24" t="s">
        <v>599</v>
      </c>
      <c r="CL21">
        <f>CL5+CL9</f>
        <v>392</v>
      </c>
      <c r="CM21" s="64">
        <f t="shared" si="29"/>
        <v>392</v>
      </c>
      <c r="CN21" s="64">
        <f t="shared" si="141"/>
        <v>0</v>
      </c>
      <c r="CO21" s="64">
        <f t="shared" si="142"/>
        <v>0</v>
      </c>
      <c r="CP21" s="65">
        <f t="shared" si="143"/>
        <v>0</v>
      </c>
      <c r="CQ21" s="65">
        <f t="shared" si="144"/>
        <v>0</v>
      </c>
      <c r="CU21" s="3"/>
      <c r="CV21" s="3">
        <f>IF(CV20+CV16&lt;360,CV20+CV16,CV20+CV16-360)</f>
        <v>43.725418814075603</v>
      </c>
      <c r="CW21" s="64">
        <f>INT(ABS(CV21))</f>
        <v>43</v>
      </c>
      <c r="CX21" s="64">
        <f>INT((ABS(CV21)-CW21)*60)</f>
        <v>43</v>
      </c>
      <c r="CY21" s="64">
        <f>INT((((ABS(CV21)-CW21)*60)-CX21)*60)</f>
        <v>31</v>
      </c>
      <c r="CZ21" s="65">
        <f>INT((((((ABS(CV21)-CW21)*60)-CX21)*60)-CY21)*60)</f>
        <v>30</v>
      </c>
      <c r="DA21" s="65">
        <f>INT((((((((ABS(CV21)-CW21)*60)-CX21)*60)-CY21)*60)-CZ21)*60)</f>
        <v>27</v>
      </c>
      <c r="DB21" s="33"/>
      <c r="DC21" s="2"/>
      <c r="DD21" s="2">
        <f>IF(DD20+DD16&lt;360,DD20+DD16,DD20+DD16-360)</f>
        <v>304.87783962302814</v>
      </c>
      <c r="DE21" s="64">
        <f t="shared" si="152"/>
        <v>304</v>
      </c>
      <c r="DF21" s="64">
        <f t="shared" si="153"/>
        <v>52</v>
      </c>
      <c r="DG21" s="64">
        <f t="shared" si="154"/>
        <v>40</v>
      </c>
      <c r="DH21" s="65">
        <f t="shared" si="155"/>
        <v>13</v>
      </c>
      <c r="DI21" s="65">
        <f t="shared" si="156"/>
        <v>21</v>
      </c>
      <c r="DJ21" s="12"/>
      <c r="DK21" s="12"/>
      <c r="DL21" s="72"/>
      <c r="DM21" s="10"/>
      <c r="DN21" s="80">
        <f>(((((((((FG32/60)+FF32)/60)+DR21)/60)+DQ21)/60)+DP21)/60)+DO21</f>
        <v>157.0323611111111</v>
      </c>
      <c r="DO21" s="12">
        <v>157</v>
      </c>
      <c r="DP21" s="12">
        <v>1</v>
      </c>
      <c r="DQ21" s="12">
        <v>56</v>
      </c>
      <c r="DR21" s="12">
        <v>30</v>
      </c>
      <c r="DS21" s="12"/>
      <c r="DT21" s="12"/>
      <c r="DU21" s="12"/>
      <c r="DX21" s="3"/>
      <c r="DY21" s="3">
        <f>IF(DY20+DY16&lt;360,DY20+DY16,DY20+DY16-360)</f>
        <v>95.152716854073901</v>
      </c>
      <c r="DZ21" s="64">
        <f>INT(ABS(DY21))</f>
        <v>95</v>
      </c>
      <c r="EA21" s="64">
        <f>INT((ABS(DY21)-DZ21)*60)</f>
        <v>9</v>
      </c>
      <c r="EB21" s="64">
        <f>INT((((ABS(DY21)-DZ21)*60)-EA21)*60)</f>
        <v>9</v>
      </c>
      <c r="EC21" s="65">
        <f>INT((((((ABS(DY21)-DZ21)*60)-EA21)*60)-EB21)*60)</f>
        <v>46</v>
      </c>
      <c r="ED21" s="65">
        <f>INT((((((((ABS(DY21)-DZ21)*60)-EA21)*60)-EB21)*60)-EC21)*60)</f>
        <v>50</v>
      </c>
      <c r="EE21" s="33"/>
      <c r="EF21" s="2"/>
      <c r="EG21" s="2">
        <f>IF(EG20+EG16&lt;360,EG20+EG16,EG20+EG16-360)</f>
        <v>107.45953785673866</v>
      </c>
      <c r="EH21" s="64">
        <f t="shared" si="157"/>
        <v>107</v>
      </c>
      <c r="EI21" s="64">
        <f t="shared" si="158"/>
        <v>27</v>
      </c>
      <c r="EJ21" s="64">
        <f t="shared" si="159"/>
        <v>34</v>
      </c>
      <c r="EK21" s="65">
        <f t="shared" si="160"/>
        <v>20</v>
      </c>
      <c r="EL21" s="65">
        <f t="shared" si="161"/>
        <v>10</v>
      </c>
      <c r="EM21" s="12"/>
      <c r="EN21" s="12"/>
      <c r="EO21" s="72"/>
      <c r="EP21" s="10"/>
      <c r="EQ21" s="80">
        <f>(((((((((GJ32/60)+GI32)/60)+EU21)/60)+ET21)/60)+ES21)/60)+ER21</f>
        <v>157.0323611111111</v>
      </c>
      <c r="ER21" s="12">
        <v>157</v>
      </c>
      <c r="ES21" s="12">
        <v>1</v>
      </c>
      <c r="ET21" s="12">
        <v>56</v>
      </c>
      <c r="EU21" s="12">
        <v>30</v>
      </c>
      <c r="EV21" s="12"/>
      <c r="EW21" s="12"/>
      <c r="EX21" s="12"/>
      <c r="FA21" s="3"/>
      <c r="FB21" s="3">
        <f>IF(FB20+FB16&lt;360,FB20+FB16,FB20+FB16-360)</f>
        <v>31.578584721300672</v>
      </c>
      <c r="FC21" s="64">
        <f>INT(ABS(FB21))</f>
        <v>31</v>
      </c>
      <c r="FD21" s="64">
        <f>INT((ABS(FB21)-FC21)*60)</f>
        <v>34</v>
      </c>
      <c r="FE21" s="64">
        <f>INT((((ABS(FB21)-FC21)*60)-FD21)*60)</f>
        <v>42</v>
      </c>
      <c r="FF21" s="65">
        <f>INT((((((ABS(FB21)-FC21)*60)-FD21)*60)-FE21)*60)</f>
        <v>54</v>
      </c>
      <c r="FG21" s="65">
        <f>INT((((((((ABS(FB21)-FC21)*60)-FD21)*60)-FE21)*60)-FF21)*60)</f>
        <v>17</v>
      </c>
      <c r="FL21" s="67" t="s">
        <v>640</v>
      </c>
      <c r="FM21" s="87">
        <f t="shared" si="145"/>
        <v>38.236891971901059</v>
      </c>
      <c r="FN21" s="87">
        <f t="shared" si="146"/>
        <v>13</v>
      </c>
      <c r="FO21" s="87">
        <f t="shared" si="147"/>
        <v>1</v>
      </c>
      <c r="FP21" s="87">
        <f t="shared" si="148"/>
        <v>53</v>
      </c>
      <c r="FQ21" s="87">
        <f t="shared" si="149"/>
        <v>26</v>
      </c>
      <c r="FR21" s="87">
        <f t="shared" si="150"/>
        <v>29</v>
      </c>
      <c r="FS21" s="87">
        <f t="shared" si="151"/>
        <v>273</v>
      </c>
      <c r="FT21" s="74">
        <f>IF(FT19&gt;FT12,FT19-FT12,FT19-FT12+360)</f>
        <v>273.49080102062408</v>
      </c>
      <c r="FU21" s="76"/>
      <c r="FV21" s="33"/>
      <c r="FW21" s="33"/>
      <c r="FX21" s="3"/>
      <c r="FY21" s="3">
        <f>IF(FY20+FY16&lt;360,FY20+FY16,FY20+FY16-360)</f>
        <v>95.152716854073901</v>
      </c>
      <c r="FZ21" s="64">
        <f>INT(ABS(FY21))</f>
        <v>95</v>
      </c>
      <c r="GA21" s="64">
        <f>INT((ABS(FY21)-FZ21)*60)</f>
        <v>9</v>
      </c>
      <c r="GB21" s="64">
        <f>INT((((ABS(FY21)-FZ21)*60)-GA21)*60)</f>
        <v>9</v>
      </c>
      <c r="GC21" s="65">
        <f>INT((((((ABS(FY21)-FZ21)*60)-GA21)*60)-GB21)*60)</f>
        <v>46</v>
      </c>
      <c r="GD21" s="65">
        <f>INT((((((((ABS(FY21)-FZ21)*60)-GA21)*60)-GB21)*60)-GC21)*60)</f>
        <v>50</v>
      </c>
      <c r="GE21" s="76"/>
      <c r="GF21" s="2"/>
      <c r="GG21" s="2">
        <f>IF(GG20+GG16&lt;360,GG20+GG16,GG20+GG16-360)</f>
        <v>107.45953785673866</v>
      </c>
      <c r="GH21" s="64">
        <f t="shared" si="162"/>
        <v>107</v>
      </c>
      <c r="GI21" s="64">
        <f t="shared" si="163"/>
        <v>27</v>
      </c>
      <c r="GJ21" s="64">
        <f t="shared" si="164"/>
        <v>34</v>
      </c>
      <c r="GK21" s="65">
        <f t="shared" si="165"/>
        <v>20</v>
      </c>
      <c r="GL21" s="65">
        <f t="shared" si="166"/>
        <v>10</v>
      </c>
      <c r="GM21" s="12"/>
      <c r="GN21" s="12"/>
      <c r="GO21" s="72"/>
      <c r="GP21" s="10"/>
      <c r="GQ21" s="80">
        <f>(((((((((IJ32/60)+II32)/60)+GU21)/60)+GT21)/60)+GS21)/60)+GR21</f>
        <v>157.0323611111111</v>
      </c>
      <c r="GR21" s="12">
        <v>157</v>
      </c>
      <c r="GS21" s="12">
        <v>1</v>
      </c>
      <c r="GT21" s="12">
        <v>56</v>
      </c>
      <c r="GU21" s="12">
        <v>30</v>
      </c>
      <c r="GV21" s="12"/>
      <c r="GW21" s="12"/>
      <c r="GX21" s="12"/>
      <c r="HC21" s="79" t="s">
        <v>615</v>
      </c>
      <c r="HD21" s="79">
        <f>SQRT(POWER(HD20,2)+POWER(HD18,2))</f>
        <v>57.663483080223877</v>
      </c>
      <c r="HE21" s="51">
        <f t="shared" si="135"/>
        <v>57</v>
      </c>
      <c r="HF21" s="51">
        <f t="shared" si="136"/>
        <v>39</v>
      </c>
      <c r="HG21" s="51">
        <f t="shared" si="137"/>
        <v>48</v>
      </c>
      <c r="HI21" s="79" t="s">
        <v>615</v>
      </c>
      <c r="HJ21" s="79" t="e">
        <f>SQRT(POWER(HJ20,2)+POWER(HJ18,2))</f>
        <v>#DIV/0!</v>
      </c>
      <c r="HK21" s="51" t="e">
        <f>INT(ABS(HJ21))</f>
        <v>#DIV/0!</v>
      </c>
      <c r="HL21" s="51" t="e">
        <f t="shared" si="139"/>
        <v>#DIV/0!</v>
      </c>
      <c r="HM21" s="51" t="e">
        <f t="shared" si="140"/>
        <v>#DIV/0!</v>
      </c>
    </row>
    <row r="22" spans="3:224" ht="37.5">
      <c r="C22" s="89"/>
      <c r="D22" s="89"/>
      <c r="E22" s="89"/>
      <c r="F22" s="89"/>
      <c r="G22" s="89"/>
      <c r="Q22">
        <f>Q7*-1</f>
        <v>-160</v>
      </c>
      <c r="R22">
        <f>Q8*-1</f>
        <v>-222</v>
      </c>
      <c r="AO22">
        <f>SIN(RADIANS(AO12))*AO9/60</f>
        <v>-2.3810565894995519E-3</v>
      </c>
      <c r="AP22" s="64">
        <f>INT(ABS(AO22))</f>
        <v>0</v>
      </c>
      <c r="AQ22" s="64">
        <f>INT((ABS(AO22)-AP22)*60)</f>
        <v>0</v>
      </c>
      <c r="AR22" s="64">
        <f>INT((((ABS(AO22)-AP22)*60)-AQ22)*60)</f>
        <v>8</v>
      </c>
      <c r="AS22" s="65">
        <f>INT((((((ABS(AO22)-AP22)*60)-AQ22)*60)-AR22)*60)</f>
        <v>34</v>
      </c>
      <c r="AT22" s="65">
        <f>INT((((((((ABS(AO22)-AP22)*60)-AQ22)*60)-AR22)*60)-AS22)*60)</f>
        <v>18</v>
      </c>
      <c r="AU22" s="65">
        <f>INT((((((((((ABS(AO22)-AP22)*60)-AQ22)*60)-AR22)*60)-AS22)*60)-AT22)*60)</f>
        <v>29</v>
      </c>
      <c r="AV22" s="65">
        <f>INT((((((((((((ABS(AO22)-AP22)*60)-AQ22)*60)-AR22)*60)-AS22)*60)-AT22)*60)-AU22)*60)</f>
        <v>36</v>
      </c>
      <c r="AY22" s="7">
        <f>SIN(RADIANS(AY12))*AY9/60</f>
        <v>2.3810565894995519E-3</v>
      </c>
      <c r="AZ22" s="64">
        <f t="shared" si="21"/>
        <v>0</v>
      </c>
      <c r="BA22" s="64">
        <f t="shared" si="22"/>
        <v>0</v>
      </c>
      <c r="BB22" s="64">
        <f t="shared" si="23"/>
        <v>8</v>
      </c>
      <c r="BC22" s="65">
        <f t="shared" si="24"/>
        <v>34</v>
      </c>
      <c r="BT22">
        <v>20</v>
      </c>
      <c r="BU22" s="24" t="s">
        <v>287</v>
      </c>
      <c r="BV22" s="24">
        <v>60</v>
      </c>
      <c r="BW22" s="64">
        <f t="shared" ref="BW22:BW32" si="167">INT(ABS(BV22))</f>
        <v>60</v>
      </c>
      <c r="BX22" s="64">
        <f t="shared" ref="BX22:BX32" si="168">INT((ABS(BV22)-BW22)*60)</f>
        <v>0</v>
      </c>
      <c r="BY22" s="64">
        <f t="shared" ref="BY22:BY32" si="169">INT((((ABS(BV22)-BW22)*60)-BX22)*60)</f>
        <v>0</v>
      </c>
      <c r="BZ22" s="65">
        <f t="shared" ref="BZ22:BZ32" si="170">INT((((((ABS(BV22)-BW22)*60)-BX22)*60)-BY22)*60)</f>
        <v>0</v>
      </c>
      <c r="CK22" s="4" t="s">
        <v>520</v>
      </c>
      <c r="CL22" s="4" t="e">
        <f ca="1">[4]!taqm3(CL4,CL5)</f>
        <v>#NAME?</v>
      </c>
      <c r="CU22" s="3"/>
      <c r="CV22" s="3">
        <f>(CW4*29)+INT(CW4/2)</f>
        <v>236</v>
      </c>
      <c r="CW22" s="64">
        <f>INT(ABS(CV22))</f>
        <v>236</v>
      </c>
      <c r="CX22" s="64">
        <f>INT((ABS(CV22)-CW22)*60)</f>
        <v>0</v>
      </c>
      <c r="CY22" s="64">
        <f>INT((((ABS(CV22)-CW22)*60)-CX22)*60)</f>
        <v>0</v>
      </c>
      <c r="CZ22" s="65">
        <f>INT((((((ABS(CV22)-CW22)*60)-CX22)*60)-CY22)*60)</f>
        <v>0</v>
      </c>
      <c r="DA22" s="65">
        <f>INT((((((((ABS(CV22)-CW22)*60)-CX22)*60)-CY22)*60)-CZ22)*60)</f>
        <v>0</v>
      </c>
      <c r="DB22" s="33"/>
      <c r="DC22" s="2"/>
      <c r="DD22" s="2">
        <f>(DE4*29)+INT(DE4/2)</f>
        <v>236</v>
      </c>
      <c r="DE22" s="64">
        <f t="shared" si="152"/>
        <v>236</v>
      </c>
      <c r="DF22" s="64">
        <f t="shared" si="153"/>
        <v>0</v>
      </c>
      <c r="DG22" s="64">
        <f t="shared" si="154"/>
        <v>0</v>
      </c>
      <c r="DH22" s="65">
        <f t="shared" si="155"/>
        <v>0</v>
      </c>
      <c r="DI22" s="65">
        <f t="shared" si="156"/>
        <v>0</v>
      </c>
      <c r="DJ22" s="12"/>
      <c r="DK22" s="12"/>
      <c r="DL22" s="33"/>
      <c r="DM22" s="10" t="s">
        <v>703</v>
      </c>
      <c r="DN22" s="132">
        <f>MOD((DN19*DN21),360)</f>
        <v>157.0323611111111</v>
      </c>
      <c r="DO22" s="64">
        <f t="shared" ref="DO22:DO30" si="171">INT(ABS(DN22))</f>
        <v>157</v>
      </c>
      <c r="DP22" s="64">
        <f t="shared" ref="DP22:DP30" si="172">INT((ABS(DN22)-DO22)*60)</f>
        <v>1</v>
      </c>
      <c r="DQ22" s="64">
        <f t="shared" ref="DQ22:DQ30" si="173">INT((((ABS(DN22)-DO22)*60)-DP22)*60)</f>
        <v>56</v>
      </c>
      <c r="DR22" s="65">
        <f t="shared" ref="DR22:DR30" si="174">INT((((((ABS(DN22)-DO22)*60)-DP22)*60)-DQ22)*60)</f>
        <v>29</v>
      </c>
      <c r="DS22" s="65">
        <f t="shared" ref="DS22:DS30" si="175">INT((((((((ABS(DN22)-DO22)*60)-DP22)*60)-DQ22)*60)-DR22)*60)</f>
        <v>59</v>
      </c>
      <c r="DT22" s="12"/>
      <c r="DU22" s="12"/>
      <c r="DX22" s="3"/>
      <c r="DY22" s="3">
        <f>(DZ4*29)+INT(DZ4/2)</f>
        <v>0</v>
      </c>
      <c r="DZ22" s="64">
        <f>INT(ABS(DY22))</f>
        <v>0</v>
      </c>
      <c r="EA22" s="64">
        <f>INT((ABS(DY22)-DZ22)*60)</f>
        <v>0</v>
      </c>
      <c r="EB22" s="64">
        <f>INT((((ABS(DY22)-DZ22)*60)-EA22)*60)</f>
        <v>0</v>
      </c>
      <c r="EC22" s="65">
        <f>INT((((((ABS(DY22)-DZ22)*60)-EA22)*60)-EB22)*60)</f>
        <v>0</v>
      </c>
      <c r="ED22" s="65">
        <f>INT((((((((ABS(DY22)-DZ22)*60)-EA22)*60)-EB22)*60)-EC22)*60)</f>
        <v>0</v>
      </c>
      <c r="EE22" s="33"/>
      <c r="EF22" s="2"/>
      <c r="EG22" s="2">
        <f>(EH4*29)+INT(EH4/2)</f>
        <v>0</v>
      </c>
      <c r="EH22" s="64">
        <f t="shared" si="157"/>
        <v>0</v>
      </c>
      <c r="EI22" s="64">
        <f t="shared" si="158"/>
        <v>0</v>
      </c>
      <c r="EJ22" s="64">
        <f t="shared" si="159"/>
        <v>0</v>
      </c>
      <c r="EK22" s="65">
        <f t="shared" si="160"/>
        <v>0</v>
      </c>
      <c r="EL22" s="65">
        <f t="shared" si="161"/>
        <v>0</v>
      </c>
      <c r="EM22" s="12"/>
      <c r="EN22" s="12"/>
      <c r="EO22" s="33"/>
      <c r="EP22" s="10"/>
      <c r="EQ22" s="10">
        <f>EQ19*EQ21</f>
        <v>0</v>
      </c>
      <c r="ER22" s="64">
        <f t="shared" ref="ER22:ER31" si="176">INT(ABS(EQ22))</f>
        <v>0</v>
      </c>
      <c r="ES22" s="64">
        <f t="shared" ref="ES22:ES31" si="177">INT((ABS(EQ22)-ER22)*60)</f>
        <v>0</v>
      </c>
      <c r="ET22" s="64">
        <f t="shared" ref="ET22:ET31" si="178">INT((((ABS(EQ22)-ER22)*60)-ES22)*60)</f>
        <v>0</v>
      </c>
      <c r="EU22" s="65">
        <f t="shared" ref="EU22:EU31" si="179">INT((((((ABS(EQ22)-ER22)*60)-ES22)*60)-ET22)*60)</f>
        <v>0</v>
      </c>
      <c r="EV22" s="65">
        <f t="shared" ref="EV22:EV31" si="180">INT((((((((ABS(EQ22)-ER22)*60)-ES22)*60)-ET22)*60)-EU22)*60)</f>
        <v>0</v>
      </c>
      <c r="EW22" s="12"/>
      <c r="EX22" s="12"/>
      <c r="FA22" s="3"/>
      <c r="FB22" s="3">
        <f>(FC4*29)+INT(FC4/2)</f>
        <v>236</v>
      </c>
      <c r="FC22" s="64">
        <f>INT(ABS(FB22))</f>
        <v>236</v>
      </c>
      <c r="FD22" s="64">
        <f>INT((ABS(FB22)-FC22)*60)</f>
        <v>0</v>
      </c>
      <c r="FE22" s="64">
        <f>INT((((ABS(FB22)-FC22)*60)-FD22)*60)</f>
        <v>0</v>
      </c>
      <c r="FF22" s="65">
        <f>INT((((((ABS(FB22)-FC22)*60)-FD22)*60)-FE22)*60)</f>
        <v>0</v>
      </c>
      <c r="FG22" s="65">
        <f>INT((((((((ABS(FB22)-FC22)*60)-FD22)*60)-FE22)*60)-FF22)*60)</f>
        <v>0</v>
      </c>
      <c r="FL22" s="67" t="s">
        <v>641</v>
      </c>
      <c r="FM22" s="87">
        <f>(((((((((((ABS(FT22)-FS22)*60)-FR22)*60)-FQ22)*60)-FP22)*60)-FO22)*60)-FN22)*60</f>
        <v>56.273997898679227</v>
      </c>
      <c r="FN22" s="87">
        <f>INT((((((((((ABS(FT22)-FS22)*60)-FR22)*60)-FQ22)*60)-FP22)*60)-FO22)*60)</f>
        <v>16</v>
      </c>
      <c r="FO22" s="87">
        <f>INT((((((((ABS(FT22)-FS22)*60)-FR22)*60)-FQ22)*60)-FP22)*60)</f>
        <v>0</v>
      </c>
      <c r="FP22" s="87">
        <f>INT((((((ABS(FT22)-FS22)*60)-FR22)*60)-FQ22)*60)</f>
        <v>9</v>
      </c>
      <c r="FQ22" s="87">
        <f>INT(60*((60*(ABS(FT22)-FS22))-FR22))</f>
        <v>56</v>
      </c>
      <c r="FR22" s="87">
        <f>INT(60*(ABS(FT22)-FS22))</f>
        <v>25</v>
      </c>
      <c r="FS22" s="87">
        <f>INT(ABS(FT22))</f>
        <v>0</v>
      </c>
      <c r="FT22" s="74">
        <f>FT21-FT20</f>
        <v>0.43226391067116765</v>
      </c>
      <c r="FU22" s="60"/>
      <c r="FV22" s="33"/>
      <c r="FW22" s="33"/>
      <c r="FX22" s="3"/>
      <c r="FY22" s="3">
        <f>(FZ4*29)+INT(FZ4/2)</f>
        <v>0</v>
      </c>
      <c r="FZ22" s="64">
        <f>INT(ABS(FY22))</f>
        <v>0</v>
      </c>
      <c r="GA22" s="64">
        <f>INT((ABS(FY22)-FZ22)*60)</f>
        <v>0</v>
      </c>
      <c r="GB22" s="64">
        <f>INT((((ABS(FY22)-FZ22)*60)-GA22)*60)</f>
        <v>0</v>
      </c>
      <c r="GC22" s="65">
        <f>INT((((((ABS(FY22)-FZ22)*60)-GA22)*60)-GB22)*60)</f>
        <v>0</v>
      </c>
      <c r="GD22" s="65">
        <f>INT((((((((ABS(FY22)-FZ22)*60)-GA22)*60)-GB22)*60)-GC22)*60)</f>
        <v>0</v>
      </c>
      <c r="GE22" s="60"/>
      <c r="GF22" s="2"/>
      <c r="GG22" s="2">
        <f>(GH4*29)+INT(GH4/2)</f>
        <v>0</v>
      </c>
      <c r="GH22" s="64">
        <f t="shared" si="162"/>
        <v>0</v>
      </c>
      <c r="GI22" s="64">
        <f t="shared" si="163"/>
        <v>0</v>
      </c>
      <c r="GJ22" s="64">
        <f t="shared" si="164"/>
        <v>0</v>
      </c>
      <c r="GK22" s="65">
        <f t="shared" si="165"/>
        <v>0</v>
      </c>
      <c r="GL22" s="65">
        <f t="shared" si="166"/>
        <v>0</v>
      </c>
      <c r="GM22" s="12"/>
      <c r="GN22" s="12"/>
      <c r="GO22" s="33"/>
      <c r="GP22" s="10"/>
      <c r="GQ22" s="10">
        <f>GQ19*GQ21</f>
        <v>0</v>
      </c>
      <c r="GR22" s="64">
        <f t="shared" ref="GR22:GR30" si="181">INT(ABS(GQ22))</f>
        <v>0</v>
      </c>
      <c r="GS22" s="64">
        <f t="shared" ref="GS22:GS30" si="182">INT((ABS(GQ22)-GR22)*60)</f>
        <v>0</v>
      </c>
      <c r="GT22" s="64">
        <f t="shared" ref="GT22:GT30" si="183">INT((((ABS(GQ22)-GR22)*60)-GS22)*60)</f>
        <v>0</v>
      </c>
      <c r="GU22" s="65">
        <f t="shared" ref="GU22:GU30" si="184">INT((((((ABS(GQ22)-GR22)*60)-GS22)*60)-GT22)*60)</f>
        <v>0</v>
      </c>
      <c r="GV22" s="65">
        <f t="shared" ref="GV22:GV30" si="185">INT((((((((ABS(GQ22)-GR22)*60)-GS22)*60)-GT22)*60)-GU22)*60)</f>
        <v>0</v>
      </c>
      <c r="GW22" s="12"/>
      <c r="GX22" s="12"/>
      <c r="HC22" s="79" t="s">
        <v>638</v>
      </c>
      <c r="HD22" s="79">
        <f>IF(HD6=0,0,DEGREES(ASIN(HD9*SIN(RADIANS(180-HD6))/HD21)))</f>
        <v>-2.1446474266688833</v>
      </c>
      <c r="HE22" s="51">
        <f t="shared" si="135"/>
        <v>2</v>
      </c>
      <c r="HF22" s="51">
        <f t="shared" si="136"/>
        <v>8</v>
      </c>
      <c r="HG22" s="51">
        <f t="shared" si="137"/>
        <v>40</v>
      </c>
      <c r="HI22" s="79" t="s">
        <v>638</v>
      </c>
      <c r="HJ22" s="79">
        <f>IF(HJ6=0,0,DEGREES(ASIN(HJ9*SIN(RADIANS(180-HJ6))/HJ21)))</f>
        <v>0</v>
      </c>
      <c r="HK22" s="51">
        <f>INT(ABS(HJ22))</f>
        <v>0</v>
      </c>
      <c r="HL22" s="51">
        <f t="shared" si="139"/>
        <v>0</v>
      </c>
      <c r="HM22" s="51">
        <f t="shared" si="140"/>
        <v>0</v>
      </c>
    </row>
    <row r="23" spans="3:224" ht="27">
      <c r="C23" s="79" t="s">
        <v>642</v>
      </c>
      <c r="D23" s="5">
        <f>D21+J21</f>
        <v>-1.2946148895171332</v>
      </c>
      <c r="E23" s="51">
        <f>INT(ABS(D23))</f>
        <v>1</v>
      </c>
      <c r="F23" s="51">
        <f>INT((ABS(D23)-E23)*60)</f>
        <v>17</v>
      </c>
      <c r="G23" s="51">
        <f>INT((((ABS(D23)-E23)*60)-F23)*60)</f>
        <v>40</v>
      </c>
      <c r="P23" t="s">
        <v>643</v>
      </c>
      <c r="Q23" t="e">
        <f ca="1">[5]!taqm2(0,Q22,R22)</f>
        <v>#NAME?</v>
      </c>
      <c r="R23" s="64" t="e">
        <f ca="1">INT(ABS(Q23))</f>
        <v>#NAME?</v>
      </c>
      <c r="S23" s="64" t="e">
        <f ca="1">INT((ABS(Q23)-R23)*60)</f>
        <v>#NAME?</v>
      </c>
      <c r="T23" s="64" t="e">
        <f ca="1">INT((((ABS(Q23)-R23)*60)-S23)*60)</f>
        <v>#NAME?</v>
      </c>
      <c r="U23" s="65" t="e">
        <f ca="1">INT((((((ABS(Q23)-R23)*60)-S23)*60)-T23)*60)</f>
        <v>#NAME?</v>
      </c>
      <c r="AN23" s="7" t="s">
        <v>511</v>
      </c>
      <c r="AO23">
        <f>DEGREES(ASIN(AO22))</f>
        <v>-0.13642462226866381</v>
      </c>
      <c r="AP23" s="64">
        <f>INT(ABS(AO23))</f>
        <v>0</v>
      </c>
      <c r="AQ23" s="64">
        <f>INT((ABS(AO23)-AP23)*60)</f>
        <v>8</v>
      </c>
      <c r="AR23" s="64">
        <f>INT((((ABS(AO23)-AP23)*60)-AQ23)*60)</f>
        <v>11</v>
      </c>
      <c r="AS23" s="65">
        <f>INT((((((ABS(AO23)-AP23)*60)-AQ23)*60)-AR23)*60)</f>
        <v>7</v>
      </c>
      <c r="AT23" s="65">
        <f>INT((((((((ABS(AO23)-AP23)*60)-AQ23)*60)-AR23)*60)-AS23)*60)</f>
        <v>43</v>
      </c>
      <c r="AU23" s="65">
        <f>INT((((((((((ABS(AO23)-AP23)*60)-AQ23)*60)-AR23)*60)-AS23)*60)-AT23)*60)</f>
        <v>6</v>
      </c>
      <c r="AV23" s="65">
        <f>INT((((((((((((ABS(AO23)-AP23)*60)-AQ23)*60)-AR23)*60)-AS23)*60)-AT23)*60)-AU23)*60)</f>
        <v>16</v>
      </c>
      <c r="AX23" s="9" t="s">
        <v>644</v>
      </c>
      <c r="AY23" s="9">
        <f>DEGREES(ASIN(AY22))</f>
        <v>0.13642462226866381</v>
      </c>
      <c r="AZ23" s="64">
        <f t="shared" si="21"/>
        <v>0</v>
      </c>
      <c r="BA23" s="64">
        <f t="shared" si="22"/>
        <v>8</v>
      </c>
      <c r="BB23" s="64">
        <f t="shared" si="23"/>
        <v>11</v>
      </c>
      <c r="BC23" s="65">
        <f t="shared" si="24"/>
        <v>7</v>
      </c>
      <c r="BT23">
        <v>21</v>
      </c>
      <c r="BU23" s="24" t="s">
        <v>615</v>
      </c>
      <c r="BV23" s="24">
        <f>BV9</f>
        <v>1.9368856818227556</v>
      </c>
      <c r="BW23" s="64">
        <f t="shared" si="167"/>
        <v>1</v>
      </c>
      <c r="BX23" s="64">
        <f t="shared" si="168"/>
        <v>56</v>
      </c>
      <c r="BY23" s="64">
        <f t="shared" si="169"/>
        <v>12</v>
      </c>
      <c r="BZ23" s="65">
        <f t="shared" si="170"/>
        <v>47</v>
      </c>
      <c r="CU23" s="3"/>
      <c r="CV23" s="3">
        <f>MOD((CV22*CV7),360)</f>
        <v>229.62932147999982</v>
      </c>
      <c r="CW23" s="64">
        <f t="shared" ref="CW23:CW29" si="186">INT(ABS(CV23))</f>
        <v>229</v>
      </c>
      <c r="CX23" s="64">
        <f t="shared" ref="CX23:CX29" si="187">INT((ABS(CV23)-CW23)*60)</f>
        <v>37</v>
      </c>
      <c r="CY23" s="64">
        <f t="shared" ref="CY23:CY29" si="188">INT((((ABS(CV23)-CW23)*60)-CX23)*60)</f>
        <v>45</v>
      </c>
      <c r="CZ23" s="65">
        <f t="shared" ref="CZ23:CZ29" si="189">INT((((((ABS(CV23)-CW23)*60)-CX23)*60)-CY23)*60)</f>
        <v>33</v>
      </c>
      <c r="DA23" s="65">
        <f t="shared" ref="DA23:DA29" si="190">INT((((((((ABS(CV23)-CW23)*60)-CX23)*60)-CY23)*60)-CZ23)*60)</f>
        <v>26</v>
      </c>
      <c r="DB23" s="33"/>
      <c r="DC23" s="2"/>
      <c r="DD23" s="2">
        <f>MOD((DD22*DD7),360)</f>
        <v>26.292730935013719</v>
      </c>
      <c r="DE23" s="64">
        <f t="shared" si="152"/>
        <v>26</v>
      </c>
      <c r="DF23" s="64">
        <f t="shared" si="153"/>
        <v>17</v>
      </c>
      <c r="DG23" s="64">
        <f t="shared" si="154"/>
        <v>33</v>
      </c>
      <c r="DH23" s="65">
        <f t="shared" si="155"/>
        <v>49</v>
      </c>
      <c r="DI23" s="65">
        <f t="shared" si="156"/>
        <v>52</v>
      </c>
      <c r="DJ23" s="12"/>
      <c r="DK23" s="12"/>
      <c r="DL23" s="33"/>
      <c r="DM23" s="10"/>
      <c r="DN23" s="10">
        <f>(DO4*29)+INT(DO4/2)</f>
        <v>206</v>
      </c>
      <c r="DO23" s="64">
        <f t="shared" si="171"/>
        <v>206</v>
      </c>
      <c r="DP23" s="64">
        <f t="shared" si="172"/>
        <v>0</v>
      </c>
      <c r="DQ23" s="64">
        <f t="shared" si="173"/>
        <v>0</v>
      </c>
      <c r="DR23" s="65">
        <f t="shared" si="174"/>
        <v>0</v>
      </c>
      <c r="DS23" s="65">
        <f t="shared" si="175"/>
        <v>0</v>
      </c>
      <c r="DT23" s="12"/>
      <c r="DU23" s="12"/>
      <c r="DX23" s="3"/>
      <c r="DY23" s="3">
        <f>MOD((DY22*DY7),360)</f>
        <v>0</v>
      </c>
      <c r="DZ23" s="64">
        <f t="shared" ref="DZ23:DZ31" si="191">INT(ABS(DY23))</f>
        <v>0</v>
      </c>
      <c r="EA23" s="64">
        <f t="shared" ref="EA23:EA31" si="192">INT((ABS(DY23)-DZ23)*60)</f>
        <v>0</v>
      </c>
      <c r="EB23" s="64">
        <f t="shared" ref="EB23:EB31" si="193">INT((((ABS(DY23)-DZ23)*60)-EA23)*60)</f>
        <v>0</v>
      </c>
      <c r="EC23" s="65">
        <f t="shared" ref="EC23:EC31" si="194">INT((((((ABS(DY23)-DZ23)*60)-EA23)*60)-EB23)*60)</f>
        <v>0</v>
      </c>
      <c r="ED23" s="65">
        <f t="shared" ref="ED23:ED31" si="195">INT((((((((ABS(DY23)-DZ23)*60)-EA23)*60)-EB23)*60)-EC23)*60)</f>
        <v>0</v>
      </c>
      <c r="EE23" s="33"/>
      <c r="EF23" s="2"/>
      <c r="EG23" s="2">
        <f>MOD((EG22*EG7),360)</f>
        <v>0</v>
      </c>
      <c r="EH23" s="64">
        <f t="shared" si="157"/>
        <v>0</v>
      </c>
      <c r="EI23" s="64">
        <f t="shared" si="158"/>
        <v>0</v>
      </c>
      <c r="EJ23" s="64">
        <f t="shared" si="159"/>
        <v>0</v>
      </c>
      <c r="EK23" s="65">
        <f t="shared" si="160"/>
        <v>0</v>
      </c>
      <c r="EL23" s="65">
        <f t="shared" si="161"/>
        <v>0</v>
      </c>
      <c r="EM23" s="12"/>
      <c r="EN23" s="12"/>
      <c r="EO23" s="33"/>
      <c r="EP23" s="10"/>
      <c r="EQ23" s="10">
        <f>(ER4*29)+INT(ER4/2)</f>
        <v>0</v>
      </c>
      <c r="ER23" s="64">
        <f t="shared" si="176"/>
        <v>0</v>
      </c>
      <c r="ES23" s="64">
        <f t="shared" si="177"/>
        <v>0</v>
      </c>
      <c r="ET23" s="64">
        <f t="shared" si="178"/>
        <v>0</v>
      </c>
      <c r="EU23" s="65">
        <f t="shared" si="179"/>
        <v>0</v>
      </c>
      <c r="EV23" s="65">
        <f t="shared" si="180"/>
        <v>0</v>
      </c>
      <c r="EW23" s="12"/>
      <c r="EX23" s="12"/>
      <c r="FA23" s="3"/>
      <c r="FB23" s="3">
        <f>MOD((FB22*FB7),360)</f>
        <v>232.61277020636146</v>
      </c>
      <c r="FC23" s="64">
        <f t="shared" ref="FC23:FC29" si="196">INT(ABS(FB23))</f>
        <v>232</v>
      </c>
      <c r="FD23" s="64">
        <f t="shared" ref="FD23:FD29" si="197">INT((ABS(FB23)-FC23)*60)</f>
        <v>36</v>
      </c>
      <c r="FE23" s="64">
        <f t="shared" ref="FE23:FE29" si="198">INT((((ABS(FB23)-FC23)*60)-FD23)*60)</f>
        <v>45</v>
      </c>
      <c r="FF23" s="65">
        <f t="shared" ref="FF23:FF29" si="199">INT((((((ABS(FB23)-FC23)*60)-FD23)*60)-FE23)*60)</f>
        <v>58</v>
      </c>
      <c r="FG23" s="65">
        <f t="shared" ref="FG23:FG29" si="200">INT((((((((ABS(FB23)-FC23)*60)-FD23)*60)-FE23)*60)-FF23)*60)</f>
        <v>21</v>
      </c>
      <c r="FL23" s="76"/>
      <c r="FM23" s="76"/>
      <c r="FN23" s="76"/>
      <c r="FO23" s="76"/>
      <c r="FP23" s="76"/>
      <c r="FQ23" s="76"/>
      <c r="FR23" s="76"/>
      <c r="FS23" s="76"/>
      <c r="FT23" s="90">
        <f>FT22/FT7</f>
        <v>2.8738909518437227E-2</v>
      </c>
      <c r="FU23" s="76"/>
      <c r="FV23" s="33"/>
      <c r="FW23" s="33"/>
      <c r="FX23" s="3"/>
      <c r="FY23" s="3">
        <f>MOD((FY22*FY7),360)</f>
        <v>0</v>
      </c>
      <c r="FZ23" s="64">
        <f t="shared" ref="FZ23:FZ29" si="201">INT(ABS(FY23))</f>
        <v>0</v>
      </c>
      <c r="GA23" s="64">
        <f t="shared" ref="GA23:GA29" si="202">INT((ABS(FY23)-FZ23)*60)</f>
        <v>0</v>
      </c>
      <c r="GB23" s="64">
        <f t="shared" ref="GB23:GB29" si="203">INT((((ABS(FY23)-FZ23)*60)-GA23)*60)</f>
        <v>0</v>
      </c>
      <c r="GC23" s="65">
        <f t="shared" ref="GC23:GC29" si="204">INT((((((ABS(FY23)-FZ23)*60)-GA23)*60)-GB23)*60)</f>
        <v>0</v>
      </c>
      <c r="GD23" s="65">
        <f t="shared" ref="GD23:GD29" si="205">INT((((((((ABS(FY23)-FZ23)*60)-GA23)*60)-GB23)*60)-GC23)*60)</f>
        <v>0</v>
      </c>
      <c r="GE23" s="76"/>
      <c r="GF23" s="2"/>
      <c r="GG23" s="2">
        <f>MOD((GG22*GG7),360)</f>
        <v>0</v>
      </c>
      <c r="GH23" s="64">
        <f t="shared" si="162"/>
        <v>0</v>
      </c>
      <c r="GI23" s="64">
        <f t="shared" si="163"/>
        <v>0</v>
      </c>
      <c r="GJ23" s="64">
        <f t="shared" si="164"/>
        <v>0</v>
      </c>
      <c r="GK23" s="65">
        <f t="shared" si="165"/>
        <v>0</v>
      </c>
      <c r="GL23" s="65">
        <f t="shared" si="166"/>
        <v>0</v>
      </c>
      <c r="GM23" s="12"/>
      <c r="GN23" s="12"/>
      <c r="GO23" s="33"/>
      <c r="GP23" s="10"/>
      <c r="GQ23" s="10">
        <f>(GR4*29)+INT(GR4/2)</f>
        <v>0</v>
      </c>
      <c r="GR23" s="64">
        <f t="shared" si="181"/>
        <v>0</v>
      </c>
      <c r="GS23" s="64">
        <f t="shared" si="182"/>
        <v>0</v>
      </c>
      <c r="GT23" s="64">
        <f t="shared" si="183"/>
        <v>0</v>
      </c>
      <c r="GU23" s="65">
        <f t="shared" si="184"/>
        <v>0</v>
      </c>
      <c r="GV23" s="65">
        <f t="shared" si="185"/>
        <v>0</v>
      </c>
      <c r="GW23" s="12"/>
      <c r="GX23" s="12"/>
      <c r="HC23" s="89"/>
      <c r="HD23" s="89"/>
      <c r="HE23" s="89"/>
      <c r="HF23" s="89"/>
      <c r="HG23" s="89"/>
    </row>
    <row r="24" spans="3:224" ht="27">
      <c r="D24">
        <f>ABS(HD24)</f>
        <v>2.1446474266688833</v>
      </c>
      <c r="BT24">
        <v>22</v>
      </c>
      <c r="BU24" s="24" t="s">
        <v>627</v>
      </c>
      <c r="BV24" s="24">
        <f>BV23+BV22</f>
        <v>61.936885681822758</v>
      </c>
      <c r="BW24" s="64">
        <f t="shared" si="167"/>
        <v>61</v>
      </c>
      <c r="BX24" s="64">
        <f t="shared" si="168"/>
        <v>56</v>
      </c>
      <c r="BY24" s="64">
        <f t="shared" si="169"/>
        <v>12</v>
      </c>
      <c r="BZ24" s="65">
        <f t="shared" si="170"/>
        <v>47</v>
      </c>
      <c r="CU24" s="3" t="s">
        <v>5</v>
      </c>
      <c r="CV24" s="3">
        <f>(CX4-1)*CV7</f>
        <v>263.52790859999999</v>
      </c>
      <c r="CW24" s="64">
        <f t="shared" si="186"/>
        <v>263</v>
      </c>
      <c r="CX24" s="64">
        <f t="shared" si="187"/>
        <v>31</v>
      </c>
      <c r="CY24" s="64">
        <f t="shared" si="188"/>
        <v>40</v>
      </c>
      <c r="CZ24" s="65">
        <f t="shared" si="189"/>
        <v>28</v>
      </c>
      <c r="DA24" s="65">
        <f t="shared" si="190"/>
        <v>15</v>
      </c>
      <c r="DB24" s="27"/>
      <c r="DC24" s="2" t="s">
        <v>5</v>
      </c>
      <c r="DD24" s="2">
        <f>(DF4-1)*DD7</f>
        <v>2.2281975368655695</v>
      </c>
      <c r="DE24" s="64">
        <f t="shared" si="152"/>
        <v>2</v>
      </c>
      <c r="DF24" s="64">
        <f t="shared" si="153"/>
        <v>13</v>
      </c>
      <c r="DG24" s="64">
        <f t="shared" si="154"/>
        <v>41</v>
      </c>
      <c r="DH24" s="65">
        <f t="shared" si="155"/>
        <v>30</v>
      </c>
      <c r="DI24" s="65">
        <f t="shared" si="156"/>
        <v>40</v>
      </c>
      <c r="DJ24" s="12"/>
      <c r="DK24" s="12"/>
      <c r="DL24" s="33"/>
      <c r="DM24" s="10"/>
      <c r="DN24" s="10">
        <f>MOD((DN23*DN7),360)</f>
        <v>349.09121124124795</v>
      </c>
      <c r="DO24" s="64">
        <f t="shared" si="171"/>
        <v>349</v>
      </c>
      <c r="DP24" s="64">
        <f t="shared" si="172"/>
        <v>5</v>
      </c>
      <c r="DQ24" s="64">
        <f t="shared" si="173"/>
        <v>28</v>
      </c>
      <c r="DR24" s="65">
        <f t="shared" si="174"/>
        <v>21</v>
      </c>
      <c r="DS24" s="65">
        <f t="shared" si="175"/>
        <v>37</v>
      </c>
      <c r="DT24" s="12"/>
      <c r="DU24" s="12"/>
      <c r="DX24" s="3" t="s">
        <v>5</v>
      </c>
      <c r="DY24" s="3">
        <f>(EA4-1)*DY7</f>
        <v>-13.176395429999999</v>
      </c>
      <c r="DZ24" s="64">
        <f t="shared" si="191"/>
        <v>13</v>
      </c>
      <c r="EA24" s="64">
        <f t="shared" si="192"/>
        <v>10</v>
      </c>
      <c r="EB24" s="64">
        <f t="shared" si="193"/>
        <v>35</v>
      </c>
      <c r="EC24" s="65">
        <f t="shared" si="194"/>
        <v>1</v>
      </c>
      <c r="ED24" s="65">
        <f t="shared" si="195"/>
        <v>24</v>
      </c>
      <c r="EE24" s="27"/>
      <c r="EF24" s="2" t="s">
        <v>5</v>
      </c>
      <c r="EG24" s="2">
        <f>IF(EI4&gt;0,(EI4-1)*EG7,0)</f>
        <v>0</v>
      </c>
      <c r="EH24" s="64">
        <f t="shared" si="157"/>
        <v>0</v>
      </c>
      <c r="EI24" s="64">
        <f t="shared" si="158"/>
        <v>0</v>
      </c>
      <c r="EJ24" s="64">
        <f t="shared" si="159"/>
        <v>0</v>
      </c>
      <c r="EK24" s="65">
        <f t="shared" si="160"/>
        <v>0</v>
      </c>
      <c r="EL24" s="65">
        <f t="shared" si="161"/>
        <v>0</v>
      </c>
      <c r="EM24" s="12"/>
      <c r="EN24" s="12"/>
      <c r="EO24" s="33"/>
      <c r="EP24" s="10"/>
      <c r="EQ24" s="10">
        <f>MOD((EQ23*EQ7),360)</f>
        <v>0</v>
      </c>
      <c r="ER24" s="64">
        <f t="shared" si="176"/>
        <v>0</v>
      </c>
      <c r="ES24" s="64">
        <f t="shared" si="177"/>
        <v>0</v>
      </c>
      <c r="ET24" s="64">
        <f t="shared" si="178"/>
        <v>0</v>
      </c>
      <c r="EU24" s="65">
        <f t="shared" si="179"/>
        <v>0</v>
      </c>
      <c r="EV24" s="65">
        <f t="shared" si="180"/>
        <v>0</v>
      </c>
      <c r="EW24" s="12"/>
      <c r="EX24" s="12"/>
      <c r="FA24" s="3" t="s">
        <v>5</v>
      </c>
      <c r="FB24" s="3">
        <f>(FD4-1)*FB7</f>
        <v>19.71294662765775</v>
      </c>
      <c r="FC24" s="64">
        <f t="shared" si="196"/>
        <v>19</v>
      </c>
      <c r="FD24" s="64">
        <f t="shared" si="197"/>
        <v>42</v>
      </c>
      <c r="FE24" s="64">
        <f t="shared" si="198"/>
        <v>46</v>
      </c>
      <c r="FF24" s="65">
        <f t="shared" si="199"/>
        <v>36</v>
      </c>
      <c r="FG24" s="65">
        <f t="shared" si="200"/>
        <v>28</v>
      </c>
      <c r="FL24" s="82" t="s">
        <v>645</v>
      </c>
      <c r="FM24" s="60"/>
      <c r="FN24" s="60"/>
      <c r="FO24" s="60"/>
      <c r="FP24" s="60"/>
      <c r="FQ24" s="60"/>
      <c r="FR24" s="60"/>
      <c r="FS24" s="60"/>
      <c r="FT24" s="60"/>
      <c r="FU24" s="60"/>
      <c r="FV24" s="33"/>
      <c r="FW24" s="33"/>
      <c r="FX24" s="3" t="s">
        <v>5</v>
      </c>
      <c r="FY24" s="3">
        <f>(GA4-1)*FY7</f>
        <v>-13.176395429999999</v>
      </c>
      <c r="FZ24" s="64">
        <f t="shared" si="201"/>
        <v>13</v>
      </c>
      <c r="GA24" s="64">
        <f t="shared" si="202"/>
        <v>10</v>
      </c>
      <c r="GB24" s="64">
        <f t="shared" si="203"/>
        <v>35</v>
      </c>
      <c r="GC24" s="65">
        <f t="shared" si="204"/>
        <v>1</v>
      </c>
      <c r="GD24" s="65">
        <f t="shared" si="205"/>
        <v>24</v>
      </c>
      <c r="GF24" s="2" t="s">
        <v>5</v>
      </c>
      <c r="GG24" s="2">
        <f>IF(GI4&gt;0,(GI4-1)*GG7,0)</f>
        <v>0</v>
      </c>
      <c r="GH24" s="64">
        <f t="shared" si="162"/>
        <v>0</v>
      </c>
      <c r="GI24" s="64">
        <f t="shared" si="163"/>
        <v>0</v>
      </c>
      <c r="GJ24" s="64">
        <f t="shared" si="164"/>
        <v>0</v>
      </c>
      <c r="GK24" s="65">
        <f t="shared" si="165"/>
        <v>0</v>
      </c>
      <c r="GL24" s="65">
        <f t="shared" si="166"/>
        <v>0</v>
      </c>
      <c r="GM24" s="12"/>
      <c r="GN24" s="12"/>
      <c r="GO24" s="33"/>
      <c r="GP24" s="10"/>
      <c r="GQ24" s="10">
        <f>MOD((GQ23*GQ7),360)</f>
        <v>0</v>
      </c>
      <c r="GR24" s="64">
        <f t="shared" si="181"/>
        <v>0</v>
      </c>
      <c r="GS24" s="64">
        <f t="shared" si="182"/>
        <v>0</v>
      </c>
      <c r="GT24" s="64">
        <f t="shared" si="183"/>
        <v>0</v>
      </c>
      <c r="GU24" s="65">
        <f t="shared" si="184"/>
        <v>0</v>
      </c>
      <c r="GV24" s="65">
        <f t="shared" si="185"/>
        <v>0</v>
      </c>
      <c r="GW24" s="12"/>
      <c r="GX24" s="12"/>
      <c r="HD24" s="5">
        <f>HD22+HJ22</f>
        <v>-2.1446474266688833</v>
      </c>
      <c r="HE24" s="51">
        <f>INT(ABS(HD24))</f>
        <v>2</v>
      </c>
      <c r="HF24" s="51">
        <f>INT((ABS(HD24)-HE24)*60)</f>
        <v>8</v>
      </c>
      <c r="HG24" s="51">
        <f>INT((((ABS(HD24)-HE24)*60)-HF24)*60)</f>
        <v>40</v>
      </c>
    </row>
    <row r="25" spans="3:224" ht="27">
      <c r="C25" s="79" t="s">
        <v>642</v>
      </c>
      <c r="D25">
        <f>IF(HB7&lt;180,D24*-1,D24)</f>
        <v>2.1446474266688833</v>
      </c>
      <c r="BT25">
        <v>23</v>
      </c>
      <c r="BU25" s="24" t="s">
        <v>646</v>
      </c>
      <c r="BV25" s="24">
        <f>BV22-BV23</f>
        <v>58.063114318177242</v>
      </c>
      <c r="BW25" s="64">
        <f t="shared" si="167"/>
        <v>58</v>
      </c>
      <c r="BX25" s="64">
        <f t="shared" si="168"/>
        <v>3</v>
      </c>
      <c r="BY25" s="64">
        <f t="shared" si="169"/>
        <v>47</v>
      </c>
      <c r="BZ25" s="65">
        <f t="shared" si="170"/>
        <v>12</v>
      </c>
      <c r="CU25" s="3" t="s">
        <v>219</v>
      </c>
      <c r="CV25" s="3">
        <f>(CY4/24)*CV7</f>
        <v>1.6470494287499999</v>
      </c>
      <c r="CW25" s="64">
        <f t="shared" si="186"/>
        <v>1</v>
      </c>
      <c r="CX25" s="64">
        <f t="shared" si="187"/>
        <v>38</v>
      </c>
      <c r="CY25" s="64">
        <f t="shared" si="188"/>
        <v>49</v>
      </c>
      <c r="CZ25" s="65">
        <f t="shared" si="189"/>
        <v>22</v>
      </c>
      <c r="DA25" s="65">
        <f t="shared" si="190"/>
        <v>40</v>
      </c>
      <c r="DB25" s="33"/>
      <c r="DC25" s="2" t="s">
        <v>219</v>
      </c>
      <c r="DD25" s="2">
        <f>(DG4/24)*DD7</f>
        <v>1.3926234605409808E-2</v>
      </c>
      <c r="DE25" s="64">
        <f t="shared" si="152"/>
        <v>0</v>
      </c>
      <c r="DF25" s="64">
        <f t="shared" si="153"/>
        <v>0</v>
      </c>
      <c r="DG25" s="64">
        <f t="shared" si="154"/>
        <v>50</v>
      </c>
      <c r="DH25" s="65">
        <f t="shared" si="155"/>
        <v>8</v>
      </c>
      <c r="DI25" s="65">
        <f t="shared" si="156"/>
        <v>4</v>
      </c>
      <c r="DJ25" s="12"/>
      <c r="DK25" s="12"/>
      <c r="DL25" s="33"/>
      <c r="DM25" s="10" t="s">
        <v>5</v>
      </c>
      <c r="DN25" s="10">
        <f>IF(DP4&gt;0,MOD(((DP4-1)*DN7),360),0)</f>
        <v>0</v>
      </c>
      <c r="DO25" s="64">
        <f t="shared" si="171"/>
        <v>0</v>
      </c>
      <c r="DP25" s="64">
        <f t="shared" si="172"/>
        <v>0</v>
      </c>
      <c r="DQ25" s="64">
        <f t="shared" si="173"/>
        <v>0</v>
      </c>
      <c r="DR25" s="65">
        <f t="shared" si="174"/>
        <v>0</v>
      </c>
      <c r="DS25" s="65">
        <f t="shared" si="175"/>
        <v>0</v>
      </c>
      <c r="DT25" s="12"/>
      <c r="DU25" s="12"/>
      <c r="DX25" s="3" t="s">
        <v>219</v>
      </c>
      <c r="DY25" s="3">
        <f>(EB4/24)*DY7</f>
        <v>0</v>
      </c>
      <c r="DZ25" s="64">
        <f t="shared" si="191"/>
        <v>0</v>
      </c>
      <c r="EA25" s="64">
        <f t="shared" si="192"/>
        <v>0</v>
      </c>
      <c r="EB25" s="64">
        <f t="shared" si="193"/>
        <v>0</v>
      </c>
      <c r="EC25" s="65">
        <f t="shared" si="194"/>
        <v>0</v>
      </c>
      <c r="ED25" s="65">
        <f t="shared" si="195"/>
        <v>0</v>
      </c>
      <c r="EE25" s="33"/>
      <c r="EF25" s="2" t="s">
        <v>219</v>
      </c>
      <c r="EG25" s="2">
        <f>(EJ4/24)*EG7</f>
        <v>0</v>
      </c>
      <c r="EH25" s="64">
        <f t="shared" si="157"/>
        <v>0</v>
      </c>
      <c r="EI25" s="64">
        <f t="shared" si="158"/>
        <v>0</v>
      </c>
      <c r="EJ25" s="64">
        <f t="shared" si="159"/>
        <v>0</v>
      </c>
      <c r="EK25" s="65">
        <f t="shared" si="160"/>
        <v>0</v>
      </c>
      <c r="EL25" s="65">
        <f t="shared" si="161"/>
        <v>0</v>
      </c>
      <c r="EM25" s="12"/>
      <c r="EN25" s="12"/>
      <c r="EO25" s="33"/>
      <c r="EP25" s="10" t="s">
        <v>5</v>
      </c>
      <c r="EQ25" s="10">
        <f>IF(ES4&gt;0,MOD(((ES4-1)*EQ7),360),0)</f>
        <v>0</v>
      </c>
      <c r="ER25" s="64">
        <f t="shared" si="176"/>
        <v>0</v>
      </c>
      <c r="ES25" s="64">
        <f t="shared" si="177"/>
        <v>0</v>
      </c>
      <c r="ET25" s="64">
        <f t="shared" si="178"/>
        <v>0</v>
      </c>
      <c r="EU25" s="65">
        <f t="shared" si="179"/>
        <v>0</v>
      </c>
      <c r="EV25" s="65">
        <f t="shared" si="180"/>
        <v>0</v>
      </c>
      <c r="EW25" s="12"/>
      <c r="EX25" s="12"/>
      <c r="FA25" s="3" t="s">
        <v>219</v>
      </c>
      <c r="FB25" s="3">
        <f>(FE4/24)*FB7</f>
        <v>0.12320591642286094</v>
      </c>
      <c r="FC25" s="64">
        <f t="shared" si="196"/>
        <v>0</v>
      </c>
      <c r="FD25" s="64">
        <f t="shared" si="197"/>
        <v>7</v>
      </c>
      <c r="FE25" s="64">
        <f t="shared" si="198"/>
        <v>23</v>
      </c>
      <c r="FF25" s="65">
        <f t="shared" si="199"/>
        <v>32</v>
      </c>
      <c r="FG25" s="65">
        <f t="shared" si="200"/>
        <v>28</v>
      </c>
      <c r="FL25" s="91" t="s">
        <v>535</v>
      </c>
      <c r="FM25" s="92" t="s">
        <v>201</v>
      </c>
      <c r="FN25" s="92" t="s">
        <v>200</v>
      </c>
      <c r="FO25" s="92" t="s">
        <v>199</v>
      </c>
      <c r="FP25" s="92" t="s">
        <v>168</v>
      </c>
      <c r="FQ25" s="92" t="s">
        <v>167</v>
      </c>
      <c r="FR25" s="92" t="s">
        <v>166</v>
      </c>
      <c r="FS25" s="92" t="s">
        <v>536</v>
      </c>
      <c r="FT25" s="92" t="s">
        <v>176</v>
      </c>
      <c r="FU25" s="93" t="s">
        <v>537</v>
      </c>
      <c r="FV25" s="33"/>
      <c r="FW25" s="33"/>
      <c r="FX25" s="3" t="s">
        <v>219</v>
      </c>
      <c r="FY25" s="3">
        <f>(GB4/24)*FY7</f>
        <v>0</v>
      </c>
      <c r="FZ25" s="64">
        <f t="shared" si="201"/>
        <v>0</v>
      </c>
      <c r="GA25" s="64">
        <f t="shared" si="202"/>
        <v>0</v>
      </c>
      <c r="GB25" s="64">
        <f t="shared" si="203"/>
        <v>0</v>
      </c>
      <c r="GC25" s="65">
        <f t="shared" si="204"/>
        <v>0</v>
      </c>
      <c r="GD25" s="65">
        <f t="shared" si="205"/>
        <v>0</v>
      </c>
      <c r="GF25" s="2" t="s">
        <v>219</v>
      </c>
      <c r="GG25" s="2">
        <f>(GJ4/24)*GG7</f>
        <v>0</v>
      </c>
      <c r="GH25" s="64">
        <f t="shared" si="162"/>
        <v>0</v>
      </c>
      <c r="GI25" s="64">
        <f t="shared" si="163"/>
        <v>0</v>
      </c>
      <c r="GJ25" s="64">
        <f t="shared" si="164"/>
        <v>0</v>
      </c>
      <c r="GK25" s="65">
        <f t="shared" si="165"/>
        <v>0</v>
      </c>
      <c r="GL25" s="65">
        <f t="shared" si="166"/>
        <v>0</v>
      </c>
      <c r="GM25" s="12"/>
      <c r="GN25" s="12"/>
      <c r="GO25" s="33"/>
      <c r="GP25" s="10" t="s">
        <v>5</v>
      </c>
      <c r="GQ25" s="10">
        <f>IF(GS4&gt;0,MOD(((GS4-1)*GQ7),360),0)</f>
        <v>0</v>
      </c>
      <c r="GR25" s="64">
        <f t="shared" si="181"/>
        <v>0</v>
      </c>
      <c r="GS25" s="64">
        <f t="shared" si="182"/>
        <v>0</v>
      </c>
      <c r="GT25" s="64">
        <f t="shared" si="183"/>
        <v>0</v>
      </c>
      <c r="GU25" s="65">
        <f t="shared" si="184"/>
        <v>0</v>
      </c>
      <c r="GV25" s="65">
        <f t="shared" si="185"/>
        <v>0</v>
      </c>
      <c r="GW25" s="12"/>
      <c r="GX25" s="12"/>
      <c r="HD25">
        <f>ABS(HD24)</f>
        <v>2.1446474266688833</v>
      </c>
      <c r="HL25" s="94"/>
      <c r="HM25" s="33"/>
      <c r="HN25" s="81"/>
      <c r="HO25" s="81"/>
      <c r="HP25" s="81"/>
    </row>
    <row r="26" spans="3:224" ht="21.75" customHeight="1">
      <c r="C26" s="79" t="s">
        <v>604</v>
      </c>
      <c r="D26">
        <f>D13</f>
        <v>2.3973729893000644</v>
      </c>
      <c r="E26" s="51">
        <f>INT(ABS(D26))</f>
        <v>2</v>
      </c>
      <c r="F26" s="51">
        <f>INT((ABS(D26)-E26)*60)</f>
        <v>23</v>
      </c>
      <c r="G26" s="51">
        <f>INT((((ABS(D26)-E26)*60)-F26)*60)</f>
        <v>50</v>
      </c>
      <c r="T26" t="e">
        <f ca="1">[4]!tash(Q22,R22)</f>
        <v>#NAME?</v>
      </c>
      <c r="U26" s="64" t="e">
        <f ca="1">INT(ABS(T26))</f>
        <v>#NAME?</v>
      </c>
      <c r="V26" s="64" t="e">
        <f ca="1">INT((ABS(T26)-U26)*60)</f>
        <v>#NAME?</v>
      </c>
      <c r="W26" s="64" t="e">
        <f ca="1">INT((((ABS(T26)-U26)*60)-V26)*60)</f>
        <v>#NAME?</v>
      </c>
      <c r="X26" s="65" t="e">
        <f ca="1">INT((((((ABS(T26)-U26)*60)-V26)*60)-W26)*60)</f>
        <v>#NAME?</v>
      </c>
      <c r="BT26">
        <v>24</v>
      </c>
      <c r="BU26" s="24"/>
      <c r="BV26" s="24">
        <f>BV20/2</f>
        <v>75.851666649999999</v>
      </c>
      <c r="BW26" s="64">
        <f t="shared" si="167"/>
        <v>75</v>
      </c>
      <c r="BX26" s="64">
        <f t="shared" si="168"/>
        <v>51</v>
      </c>
      <c r="BY26" s="64">
        <f t="shared" si="169"/>
        <v>5</v>
      </c>
      <c r="BZ26" s="65">
        <f t="shared" si="170"/>
        <v>59</v>
      </c>
      <c r="CU26" s="3" t="s">
        <v>166</v>
      </c>
      <c r="CV26" s="3">
        <f>(CZ4/1440)*CV7</f>
        <v>0.41176235718749998</v>
      </c>
      <c r="CW26" s="64">
        <f t="shared" si="186"/>
        <v>0</v>
      </c>
      <c r="CX26" s="64">
        <f t="shared" si="187"/>
        <v>24</v>
      </c>
      <c r="CY26" s="64">
        <f t="shared" si="188"/>
        <v>42</v>
      </c>
      <c r="CZ26" s="65">
        <f t="shared" si="189"/>
        <v>20</v>
      </c>
      <c r="DA26" s="65">
        <f t="shared" si="190"/>
        <v>40</v>
      </c>
      <c r="DB26" s="33"/>
      <c r="DC26" s="2" t="s">
        <v>166</v>
      </c>
      <c r="DD26" s="2">
        <f>(DH4/1440)*DD7</f>
        <v>3.4815586513524521E-3</v>
      </c>
      <c r="DE26" s="64">
        <f t="shared" si="152"/>
        <v>0</v>
      </c>
      <c r="DF26" s="64">
        <f t="shared" si="153"/>
        <v>0</v>
      </c>
      <c r="DG26" s="64">
        <f t="shared" si="154"/>
        <v>12</v>
      </c>
      <c r="DH26" s="65">
        <f t="shared" si="155"/>
        <v>32</v>
      </c>
      <c r="DI26" s="65">
        <f t="shared" si="156"/>
        <v>1</v>
      </c>
      <c r="DJ26" s="12"/>
      <c r="DK26" s="12"/>
      <c r="DL26" s="33"/>
      <c r="DM26" s="10" t="s">
        <v>219</v>
      </c>
      <c r="DN26" s="10">
        <f>360-(DN11*DQ4)</f>
        <v>360</v>
      </c>
      <c r="DO26" s="64">
        <f t="shared" si="171"/>
        <v>360</v>
      </c>
      <c r="DP26" s="64">
        <f t="shared" si="172"/>
        <v>0</v>
      </c>
      <c r="DQ26" s="64">
        <f t="shared" si="173"/>
        <v>0</v>
      </c>
      <c r="DR26" s="65">
        <f t="shared" si="174"/>
        <v>0</v>
      </c>
      <c r="DS26" s="65">
        <f t="shared" si="175"/>
        <v>0</v>
      </c>
      <c r="DT26" s="12"/>
      <c r="DU26" s="12"/>
      <c r="DX26" s="3" t="s">
        <v>166</v>
      </c>
      <c r="DY26" s="3">
        <f>(EC4/1440)*DY7</f>
        <v>9.1502746041666652E-2</v>
      </c>
      <c r="DZ26" s="64">
        <f t="shared" si="191"/>
        <v>0</v>
      </c>
      <c r="EA26" s="64">
        <f t="shared" si="192"/>
        <v>5</v>
      </c>
      <c r="EB26" s="64">
        <f t="shared" si="193"/>
        <v>29</v>
      </c>
      <c r="EC26" s="65">
        <f t="shared" si="194"/>
        <v>24</v>
      </c>
      <c r="ED26" s="65">
        <f t="shared" si="195"/>
        <v>35</v>
      </c>
      <c r="EE26" s="33"/>
      <c r="EF26" s="2" t="s">
        <v>166</v>
      </c>
      <c r="EG26" s="2">
        <f>(EK4/1440)*EG7</f>
        <v>7.7367970030054487E-4</v>
      </c>
      <c r="EH26" s="64">
        <f t="shared" si="157"/>
        <v>0</v>
      </c>
      <c r="EI26" s="64">
        <f t="shared" si="158"/>
        <v>0</v>
      </c>
      <c r="EJ26" s="64">
        <f t="shared" si="159"/>
        <v>2</v>
      </c>
      <c r="EK26" s="65">
        <f t="shared" si="160"/>
        <v>47</v>
      </c>
      <c r="EL26" s="65">
        <f t="shared" si="161"/>
        <v>6</v>
      </c>
      <c r="EM26" s="12"/>
      <c r="EN26" s="12"/>
      <c r="EO26" s="33"/>
      <c r="EP26" s="10" t="s">
        <v>219</v>
      </c>
      <c r="EQ26" s="10">
        <f>IF(ET4&gt;0,360-(EQ11*ET4),0)</f>
        <v>0</v>
      </c>
      <c r="ER26" s="64">
        <f t="shared" si="176"/>
        <v>0</v>
      </c>
      <c r="ES26" s="64">
        <f t="shared" si="177"/>
        <v>0</v>
      </c>
      <c r="ET26" s="64">
        <f t="shared" si="178"/>
        <v>0</v>
      </c>
      <c r="EU26" s="65">
        <f t="shared" si="179"/>
        <v>0</v>
      </c>
      <c r="EV26" s="65">
        <f t="shared" si="180"/>
        <v>0</v>
      </c>
      <c r="EW26" s="12"/>
      <c r="EX26" s="12"/>
      <c r="FA26" s="3" t="s">
        <v>166</v>
      </c>
      <c r="FB26" s="3">
        <f>(FF4/1440)*FB7</f>
        <v>3.0801479105715235E-2</v>
      </c>
      <c r="FC26" s="64">
        <f t="shared" si="196"/>
        <v>0</v>
      </c>
      <c r="FD26" s="64">
        <f t="shared" si="197"/>
        <v>1</v>
      </c>
      <c r="FE26" s="64">
        <f t="shared" si="198"/>
        <v>50</v>
      </c>
      <c r="FF26" s="65">
        <f t="shared" si="199"/>
        <v>53</v>
      </c>
      <c r="FG26" s="65">
        <f t="shared" si="200"/>
        <v>7</v>
      </c>
      <c r="FL26" s="67" t="s">
        <v>647</v>
      </c>
      <c r="FM26" s="95">
        <f>(((((((((((FU26-FS26)*60)-FR26)*60)-FQ26)*60)-FP26)*60)-FO26)*60)-FN26)*60</f>
        <v>2.4922073257039301</v>
      </c>
      <c r="FN26" s="95">
        <f>INT((((((((((FU26-FS26)*60)-FR26)*60)-FQ26)*60)-FP26)*60)-FO26)*60)</f>
        <v>16</v>
      </c>
      <c r="FO26" s="95">
        <f>INT((((((((FU26-FS26)*60)-FR26)*60)-FQ26)*60)-FP26)*60)</f>
        <v>36</v>
      </c>
      <c r="FP26" s="95">
        <f>INT((((((FU26-FS26)*60)-FR26)*60)-FQ26)*60)</f>
        <v>27</v>
      </c>
      <c r="FQ26" s="95">
        <f>INT(60*((60*(FU26-FS26))-FR26))</f>
        <v>43</v>
      </c>
      <c r="FR26" s="95">
        <f>INT(60*(FU26-FS26))</f>
        <v>1</v>
      </c>
      <c r="FS26" s="95">
        <f>INT(FU26)</f>
        <v>0</v>
      </c>
      <c r="FT26" s="96" t="str">
        <f>IF(FT23&lt;0,"ناقصه","زائدة")</f>
        <v>زائدة</v>
      </c>
      <c r="FU26" s="97">
        <f>ABS(FT23)</f>
        <v>2.8738909518437227E-2</v>
      </c>
      <c r="FV26" s="33"/>
      <c r="FW26" s="33"/>
      <c r="FX26" s="3" t="s">
        <v>166</v>
      </c>
      <c r="FY26" s="3">
        <f>(GC4/1440)*FY7</f>
        <v>9.1502746041666663E-3</v>
      </c>
      <c r="FZ26" s="64">
        <f t="shared" si="201"/>
        <v>0</v>
      </c>
      <c r="GA26" s="64">
        <f t="shared" si="202"/>
        <v>0</v>
      </c>
      <c r="GB26" s="64">
        <f t="shared" si="203"/>
        <v>32</v>
      </c>
      <c r="GC26" s="65">
        <f t="shared" si="204"/>
        <v>56</v>
      </c>
      <c r="GD26" s="65">
        <f t="shared" si="205"/>
        <v>27</v>
      </c>
      <c r="GF26" s="2" t="s">
        <v>166</v>
      </c>
      <c r="GG26" s="2">
        <f>(GK4/1440)*GG7</f>
        <v>7.7367970030054497E-5</v>
      </c>
      <c r="GH26" s="64">
        <f t="shared" si="162"/>
        <v>0</v>
      </c>
      <c r="GI26" s="64">
        <f t="shared" si="163"/>
        <v>0</v>
      </c>
      <c r="GJ26" s="64">
        <f t="shared" si="164"/>
        <v>0</v>
      </c>
      <c r="GK26" s="65">
        <f t="shared" si="165"/>
        <v>16</v>
      </c>
      <c r="GL26" s="65">
        <f t="shared" si="166"/>
        <v>42</v>
      </c>
      <c r="GM26" s="12"/>
      <c r="GN26" s="12"/>
      <c r="GO26" s="33"/>
      <c r="GP26" s="10" t="s">
        <v>219</v>
      </c>
      <c r="GQ26" s="10">
        <f>IF(GT4&gt;0,360-(GQ11*GT4),0)</f>
        <v>0</v>
      </c>
      <c r="GR26" s="64">
        <f t="shared" si="181"/>
        <v>0</v>
      </c>
      <c r="GS26" s="64">
        <f t="shared" si="182"/>
        <v>0</v>
      </c>
      <c r="GT26" s="64">
        <f t="shared" si="183"/>
        <v>0</v>
      </c>
      <c r="GU26" s="65">
        <f t="shared" si="184"/>
        <v>0</v>
      </c>
      <c r="GV26" s="65">
        <f t="shared" si="185"/>
        <v>0</v>
      </c>
      <c r="GW26" s="12"/>
      <c r="GX26" s="12"/>
      <c r="HC26" s="79" t="s">
        <v>642</v>
      </c>
      <c r="HD26">
        <f>IF(HB7&lt;180,HD25*-1,HD25)</f>
        <v>2.1446474266688833</v>
      </c>
      <c r="HL26" s="33"/>
      <c r="HM26" s="33"/>
      <c r="HN26" s="81"/>
      <c r="HO26" s="81"/>
      <c r="HP26" s="81"/>
    </row>
    <row r="27" spans="3:224" ht="27">
      <c r="C27" s="33"/>
      <c r="D27" s="33"/>
      <c r="E27" s="81"/>
      <c r="F27" s="81"/>
      <c r="G27" s="81"/>
      <c r="H27" s="33"/>
      <c r="U27" s="64"/>
      <c r="V27" s="64"/>
      <c r="W27" s="64"/>
      <c r="X27" s="65"/>
      <c r="BT27">
        <v>25</v>
      </c>
      <c r="BU27" s="24"/>
      <c r="BV27" s="24">
        <f>TAN(RADIANS(BV26))*60</f>
        <v>238.02002720380605</v>
      </c>
      <c r="BW27" s="64">
        <f t="shared" si="167"/>
        <v>238</v>
      </c>
      <c r="BX27" s="64">
        <f t="shared" si="168"/>
        <v>1</v>
      </c>
      <c r="BY27" s="64">
        <f t="shared" si="169"/>
        <v>12</v>
      </c>
      <c r="BZ27" s="65">
        <f t="shared" si="170"/>
        <v>5</v>
      </c>
      <c r="CU27" s="3" t="s">
        <v>167</v>
      </c>
      <c r="CV27" s="3">
        <f>(DA4/86400)*CV7</f>
        <v>3.0500915347222222E-3</v>
      </c>
      <c r="CW27" s="64">
        <f t="shared" si="186"/>
        <v>0</v>
      </c>
      <c r="CX27" s="64">
        <f t="shared" si="187"/>
        <v>0</v>
      </c>
      <c r="CY27" s="64">
        <f t="shared" si="188"/>
        <v>10</v>
      </c>
      <c r="CZ27" s="65">
        <f t="shared" si="189"/>
        <v>58</v>
      </c>
      <c r="DA27" s="65">
        <f t="shared" si="190"/>
        <v>49</v>
      </c>
      <c r="DB27" s="33"/>
      <c r="DC27" s="2" t="s">
        <v>167</v>
      </c>
      <c r="DD27" s="2">
        <f>(DI4/86400)*DD7</f>
        <v>2.5789323343351497E-5</v>
      </c>
      <c r="DE27" s="64">
        <f t="shared" si="152"/>
        <v>0</v>
      </c>
      <c r="DF27" s="64">
        <f t="shared" si="153"/>
        <v>0</v>
      </c>
      <c r="DG27" s="64">
        <f t="shared" si="154"/>
        <v>0</v>
      </c>
      <c r="DH27" s="65">
        <f t="shared" si="155"/>
        <v>5</v>
      </c>
      <c r="DI27" s="65">
        <f t="shared" si="156"/>
        <v>34</v>
      </c>
      <c r="DJ27" s="12"/>
      <c r="DK27" s="12"/>
      <c r="DL27" s="33"/>
      <c r="DM27" s="10" t="s">
        <v>166</v>
      </c>
      <c r="DN27" s="10">
        <f>360-(DR4*DN11/60)</f>
        <v>360</v>
      </c>
      <c r="DO27" s="64">
        <f t="shared" si="171"/>
        <v>360</v>
      </c>
      <c r="DP27" s="64">
        <f t="shared" si="172"/>
        <v>0</v>
      </c>
      <c r="DQ27" s="64">
        <f t="shared" si="173"/>
        <v>0</v>
      </c>
      <c r="DR27" s="65">
        <f t="shared" si="174"/>
        <v>0</v>
      </c>
      <c r="DS27" s="65">
        <f t="shared" si="175"/>
        <v>0</v>
      </c>
      <c r="DT27" s="12"/>
      <c r="DU27" s="12"/>
      <c r="DX27" s="3" t="s">
        <v>167</v>
      </c>
      <c r="DY27" s="3">
        <f>(ED4/86400)*DY7</f>
        <v>9.150274604166666E-4</v>
      </c>
      <c r="DZ27" s="64">
        <f t="shared" si="191"/>
        <v>0</v>
      </c>
      <c r="EA27" s="64">
        <f t="shared" si="192"/>
        <v>0</v>
      </c>
      <c r="EB27" s="64">
        <f t="shared" si="193"/>
        <v>3</v>
      </c>
      <c r="EC27" s="65">
        <f t="shared" si="194"/>
        <v>17</v>
      </c>
      <c r="ED27" s="65">
        <f t="shared" si="195"/>
        <v>38</v>
      </c>
      <c r="EE27" s="33"/>
      <c r="EF27" s="2" t="s">
        <v>167</v>
      </c>
      <c r="EG27" s="2">
        <f>(EL4/86400)*EG7</f>
        <v>7.7367970030054494E-6</v>
      </c>
      <c r="EH27" s="64">
        <f t="shared" si="157"/>
        <v>0</v>
      </c>
      <c r="EI27" s="64">
        <f t="shared" si="158"/>
        <v>0</v>
      </c>
      <c r="EJ27" s="64">
        <f t="shared" si="159"/>
        <v>0</v>
      </c>
      <c r="EK27" s="65">
        <f t="shared" si="160"/>
        <v>1</v>
      </c>
      <c r="EL27" s="65">
        <f t="shared" si="161"/>
        <v>40</v>
      </c>
      <c r="EM27" s="12"/>
      <c r="EN27" s="12"/>
      <c r="EO27" s="33"/>
      <c r="EP27" s="10" t="s">
        <v>166</v>
      </c>
      <c r="EQ27" s="10">
        <f>360-(EU4*EQ11/60)</f>
        <v>360</v>
      </c>
      <c r="ER27" s="64">
        <f t="shared" si="176"/>
        <v>360</v>
      </c>
      <c r="ES27" s="64">
        <f t="shared" si="177"/>
        <v>0</v>
      </c>
      <c r="ET27" s="64">
        <f t="shared" si="178"/>
        <v>0</v>
      </c>
      <c r="EU27" s="65">
        <f t="shared" si="179"/>
        <v>0</v>
      </c>
      <c r="EV27" s="65">
        <f t="shared" si="180"/>
        <v>0</v>
      </c>
      <c r="EW27" s="12"/>
      <c r="EX27" s="12"/>
      <c r="FA27" s="3" t="s">
        <v>167</v>
      </c>
      <c r="FB27" s="3">
        <f>(FG4/86400)*FB7</f>
        <v>2.2815910448677952E-4</v>
      </c>
      <c r="FC27" s="64">
        <f t="shared" si="196"/>
        <v>0</v>
      </c>
      <c r="FD27" s="64">
        <f t="shared" si="197"/>
        <v>0</v>
      </c>
      <c r="FE27" s="64">
        <f t="shared" si="198"/>
        <v>0</v>
      </c>
      <c r="FF27" s="65">
        <f t="shared" si="199"/>
        <v>49</v>
      </c>
      <c r="FG27" s="65">
        <f t="shared" si="200"/>
        <v>16</v>
      </c>
      <c r="FV27" s="33"/>
      <c r="FW27" s="33"/>
      <c r="FX27" s="3" t="s">
        <v>167</v>
      </c>
      <c r="FY27" s="3">
        <f>(GD4/86400)*FY7</f>
        <v>6.557696799652778E-3</v>
      </c>
      <c r="FZ27" s="64">
        <f t="shared" si="201"/>
        <v>0</v>
      </c>
      <c r="GA27" s="64">
        <f t="shared" si="202"/>
        <v>0</v>
      </c>
      <c r="GB27" s="64">
        <f t="shared" si="203"/>
        <v>23</v>
      </c>
      <c r="GC27" s="65">
        <f t="shared" si="204"/>
        <v>36</v>
      </c>
      <c r="GD27" s="65">
        <f t="shared" si="205"/>
        <v>27</v>
      </c>
      <c r="GF27" s="2" t="s">
        <v>167</v>
      </c>
      <c r="GG27" s="2">
        <f>(GL4/86400)*GG7</f>
        <v>5.5447045188205723E-5</v>
      </c>
      <c r="GH27" s="64">
        <f t="shared" si="162"/>
        <v>0</v>
      </c>
      <c r="GI27" s="64">
        <f t="shared" si="163"/>
        <v>0</v>
      </c>
      <c r="GJ27" s="64">
        <f t="shared" si="164"/>
        <v>0</v>
      </c>
      <c r="GK27" s="65">
        <f t="shared" si="165"/>
        <v>11</v>
      </c>
      <c r="GL27" s="65">
        <f t="shared" si="166"/>
        <v>58</v>
      </c>
      <c r="GM27" s="12"/>
      <c r="GN27" s="12"/>
      <c r="GO27" s="33"/>
      <c r="GP27" s="10" t="s">
        <v>166</v>
      </c>
      <c r="GQ27" s="10">
        <f>360-(GU4*GQ11/60)</f>
        <v>359.99996322550152</v>
      </c>
      <c r="GR27" s="64">
        <f t="shared" si="181"/>
        <v>359</v>
      </c>
      <c r="GS27" s="64">
        <f t="shared" si="182"/>
        <v>59</v>
      </c>
      <c r="GT27" s="64">
        <f t="shared" si="183"/>
        <v>59</v>
      </c>
      <c r="GU27" s="65">
        <f t="shared" si="184"/>
        <v>52</v>
      </c>
      <c r="GV27" s="65">
        <f t="shared" si="185"/>
        <v>3</v>
      </c>
      <c r="GW27" s="12"/>
      <c r="GX27" s="12"/>
      <c r="HL27" s="94"/>
      <c r="HM27" s="33"/>
      <c r="HN27" s="33"/>
      <c r="HO27" s="33"/>
      <c r="HP27" s="33"/>
    </row>
    <row r="28" spans="3:224" ht="27">
      <c r="C28" s="94"/>
      <c r="D28" s="33"/>
      <c r="E28" s="33"/>
      <c r="F28" s="33"/>
      <c r="G28" s="33"/>
      <c r="H28" s="33"/>
      <c r="BT28">
        <v>26</v>
      </c>
      <c r="BU28" s="24"/>
      <c r="BV28" s="24">
        <f>BV27*BV25/BV24</f>
        <v>223.13333803294853</v>
      </c>
      <c r="BW28" s="64">
        <f t="shared" si="167"/>
        <v>223</v>
      </c>
      <c r="BX28" s="64">
        <f t="shared" si="168"/>
        <v>8</v>
      </c>
      <c r="BY28" s="64">
        <f t="shared" si="169"/>
        <v>0</v>
      </c>
      <c r="BZ28" s="65">
        <f t="shared" si="170"/>
        <v>1</v>
      </c>
      <c r="CU28" s="3"/>
      <c r="CV28" s="3">
        <f>CV27+CV26+CV25+CV24+CV23+CV20+CV16</f>
        <v>538.94451077154758</v>
      </c>
      <c r="CW28" s="64">
        <f t="shared" si="186"/>
        <v>538</v>
      </c>
      <c r="CX28" s="64">
        <f t="shared" si="187"/>
        <v>56</v>
      </c>
      <c r="CY28" s="64">
        <f t="shared" si="188"/>
        <v>40</v>
      </c>
      <c r="CZ28" s="65">
        <f t="shared" si="189"/>
        <v>14</v>
      </c>
      <c r="DA28" s="65">
        <f t="shared" si="190"/>
        <v>19</v>
      </c>
      <c r="DB28" s="33"/>
      <c r="DC28" s="2"/>
      <c r="DD28" s="2">
        <f>DD27+DD26+DD25+DD24+DD23+DD20+DD16</f>
        <v>333.41620167748749</v>
      </c>
      <c r="DE28" s="64">
        <f t="shared" si="152"/>
        <v>333</v>
      </c>
      <c r="DF28" s="64">
        <f t="shared" si="153"/>
        <v>24</v>
      </c>
      <c r="DG28" s="64">
        <f t="shared" si="154"/>
        <v>58</v>
      </c>
      <c r="DH28" s="65">
        <f t="shared" si="155"/>
        <v>19</v>
      </c>
      <c r="DI28" s="65">
        <f t="shared" si="156"/>
        <v>33</v>
      </c>
      <c r="DJ28" s="12"/>
      <c r="DK28" s="12"/>
      <c r="DL28" s="33"/>
      <c r="DM28" s="10" t="s">
        <v>167</v>
      </c>
      <c r="DN28" s="10">
        <f>360-(DS4*DN11/3600)</f>
        <v>360</v>
      </c>
      <c r="DO28" s="64">
        <f t="shared" si="171"/>
        <v>360</v>
      </c>
      <c r="DP28" s="64">
        <f t="shared" si="172"/>
        <v>0</v>
      </c>
      <c r="DQ28" s="64">
        <f t="shared" si="173"/>
        <v>0</v>
      </c>
      <c r="DR28" s="65">
        <f t="shared" si="174"/>
        <v>0</v>
      </c>
      <c r="DS28" s="65">
        <f t="shared" si="175"/>
        <v>0</v>
      </c>
      <c r="DT28" s="12"/>
      <c r="DU28" s="12"/>
      <c r="DX28" s="3"/>
      <c r="DY28" s="3">
        <f>DY27+DY26+DY25</f>
        <v>9.2417773502083314E-2</v>
      </c>
      <c r="DZ28" s="64">
        <f t="shared" si="191"/>
        <v>0</v>
      </c>
      <c r="EA28" s="64">
        <f t="shared" si="192"/>
        <v>5</v>
      </c>
      <c r="EB28" s="64">
        <f t="shared" si="193"/>
        <v>32</v>
      </c>
      <c r="EC28" s="65">
        <f t="shared" si="194"/>
        <v>42</v>
      </c>
      <c r="ED28" s="65">
        <f t="shared" si="195"/>
        <v>14</v>
      </c>
      <c r="EE28" s="33"/>
      <c r="EF28" s="2"/>
      <c r="EG28" s="2">
        <f>EG27+EG26+EG25</f>
        <v>7.8141649730355028E-4</v>
      </c>
      <c r="EH28" s="64">
        <f t="shared" si="157"/>
        <v>0</v>
      </c>
      <c r="EI28" s="64">
        <f t="shared" si="158"/>
        <v>0</v>
      </c>
      <c r="EJ28" s="64">
        <f t="shared" si="159"/>
        <v>2</v>
      </c>
      <c r="EK28" s="65">
        <f t="shared" si="160"/>
        <v>48</v>
      </c>
      <c r="EL28" s="65">
        <f t="shared" si="161"/>
        <v>47</v>
      </c>
      <c r="EM28" s="12"/>
      <c r="EN28" s="12"/>
      <c r="EO28" s="33"/>
      <c r="EP28" s="10" t="s">
        <v>167</v>
      </c>
      <c r="EQ28" s="10">
        <f>360-(EV4*EQ11/3600)</f>
        <v>360</v>
      </c>
      <c r="ER28" s="64">
        <f t="shared" si="176"/>
        <v>360</v>
      </c>
      <c r="ES28" s="64">
        <f t="shared" si="177"/>
        <v>0</v>
      </c>
      <c r="ET28" s="64">
        <f t="shared" si="178"/>
        <v>0</v>
      </c>
      <c r="EU28" s="65">
        <f t="shared" si="179"/>
        <v>0</v>
      </c>
      <c r="EV28" s="65">
        <f t="shared" si="180"/>
        <v>0</v>
      </c>
      <c r="EW28" s="12"/>
      <c r="EX28" s="12"/>
      <c r="FA28" s="3"/>
      <c r="FB28" s="3">
        <f>FB27+FB26+FB25+FB24+FB23+FB20+FB16</f>
        <v>644.05853710995291</v>
      </c>
      <c r="FC28" s="64">
        <f t="shared" si="196"/>
        <v>644</v>
      </c>
      <c r="FD28" s="64">
        <f t="shared" si="197"/>
        <v>3</v>
      </c>
      <c r="FE28" s="64">
        <f t="shared" si="198"/>
        <v>30</v>
      </c>
      <c r="FF28" s="65">
        <f t="shared" si="199"/>
        <v>44</v>
      </c>
      <c r="FG28" s="65">
        <f t="shared" si="200"/>
        <v>0</v>
      </c>
      <c r="FV28" s="33"/>
      <c r="FW28" s="33"/>
      <c r="FX28" s="3"/>
      <c r="FY28" s="3">
        <f>FY27+FY26+FY25</f>
        <v>1.5707971403819444E-2</v>
      </c>
      <c r="FZ28" s="64">
        <f t="shared" si="201"/>
        <v>0</v>
      </c>
      <c r="GA28" s="64">
        <f t="shared" si="202"/>
        <v>0</v>
      </c>
      <c r="GB28" s="64">
        <f t="shared" si="203"/>
        <v>56</v>
      </c>
      <c r="GC28" s="65">
        <f t="shared" si="204"/>
        <v>32</v>
      </c>
      <c r="GD28" s="65">
        <f t="shared" si="205"/>
        <v>55</v>
      </c>
      <c r="GF28" s="2"/>
      <c r="GG28" s="2">
        <f>GG27+GG26+GG25</f>
        <v>1.3281501521826021E-4</v>
      </c>
      <c r="GH28" s="64">
        <f t="shared" si="162"/>
        <v>0</v>
      </c>
      <c r="GI28" s="64">
        <f t="shared" si="163"/>
        <v>0</v>
      </c>
      <c r="GJ28" s="64">
        <f t="shared" si="164"/>
        <v>0</v>
      </c>
      <c r="GK28" s="65">
        <f t="shared" si="165"/>
        <v>28</v>
      </c>
      <c r="GL28" s="65">
        <f t="shared" si="166"/>
        <v>41</v>
      </c>
      <c r="GM28" s="12"/>
      <c r="GN28" s="12"/>
      <c r="GO28" s="33"/>
      <c r="GP28" s="10" t="s">
        <v>167</v>
      </c>
      <c r="GQ28" s="10">
        <f>360-(GV4*GQ11/3600)</f>
        <v>359.99997364494277</v>
      </c>
      <c r="GR28" s="64">
        <f t="shared" si="181"/>
        <v>359</v>
      </c>
      <c r="GS28" s="64">
        <f t="shared" si="182"/>
        <v>59</v>
      </c>
      <c r="GT28" s="64">
        <f t="shared" si="183"/>
        <v>59</v>
      </c>
      <c r="GU28" s="65">
        <f t="shared" si="184"/>
        <v>54</v>
      </c>
      <c r="GV28" s="65">
        <f t="shared" si="185"/>
        <v>18</v>
      </c>
      <c r="GW28" s="12"/>
      <c r="GX28" s="12"/>
    </row>
    <row r="29" spans="3:224" ht="27">
      <c r="C29" s="94"/>
      <c r="D29" s="33"/>
      <c r="E29" s="81"/>
      <c r="F29" s="81"/>
      <c r="G29" s="81"/>
      <c r="H29" s="27"/>
      <c r="BT29">
        <v>27</v>
      </c>
      <c r="BU29" s="24"/>
      <c r="BV29" s="24">
        <f>DEGREES(ATAN(BV28/60))</f>
        <v>74.949316921763128</v>
      </c>
      <c r="BW29" s="64">
        <f t="shared" si="167"/>
        <v>74</v>
      </c>
      <c r="BX29" s="64">
        <f t="shared" si="168"/>
        <v>56</v>
      </c>
      <c r="BY29" s="64">
        <f t="shared" si="169"/>
        <v>57</v>
      </c>
      <c r="BZ29" s="65">
        <f t="shared" si="170"/>
        <v>32</v>
      </c>
      <c r="CU29" s="3" t="s">
        <v>648</v>
      </c>
      <c r="CV29" s="3">
        <f>MOD(CV28,360)</f>
        <v>178.94451077154758</v>
      </c>
      <c r="CW29" s="64">
        <f t="shared" si="186"/>
        <v>178</v>
      </c>
      <c r="CX29" s="64">
        <f t="shared" si="187"/>
        <v>56</v>
      </c>
      <c r="CY29" s="64">
        <f t="shared" si="188"/>
        <v>40</v>
      </c>
      <c r="CZ29" s="65">
        <f t="shared" si="189"/>
        <v>14</v>
      </c>
      <c r="DA29" s="65">
        <f t="shared" si="190"/>
        <v>19</v>
      </c>
      <c r="DB29" s="33"/>
      <c r="DC29" s="2" t="s">
        <v>648</v>
      </c>
      <c r="DD29" s="2">
        <f>MOD(DD28,360)</f>
        <v>333.41620167748749</v>
      </c>
      <c r="DE29" s="64">
        <f t="shared" si="152"/>
        <v>333</v>
      </c>
      <c r="DF29" s="64">
        <f t="shared" si="153"/>
        <v>24</v>
      </c>
      <c r="DG29" s="64">
        <f t="shared" si="154"/>
        <v>58</v>
      </c>
      <c r="DH29" s="65">
        <f t="shared" si="155"/>
        <v>19</v>
      </c>
      <c r="DI29" s="65">
        <f t="shared" si="156"/>
        <v>33</v>
      </c>
      <c r="DJ29" s="12"/>
      <c r="DK29" s="12"/>
      <c r="DL29" s="33"/>
      <c r="DM29" s="10" t="s">
        <v>648</v>
      </c>
      <c r="DN29" s="10">
        <f>DN28+DN27+DN26+DN25+DN24+DN22+DN18</f>
        <v>1959.9370115532063</v>
      </c>
      <c r="DO29" s="64">
        <f t="shared" si="171"/>
        <v>1959</v>
      </c>
      <c r="DP29" s="64">
        <f t="shared" si="172"/>
        <v>56</v>
      </c>
      <c r="DQ29" s="64">
        <f t="shared" si="173"/>
        <v>13</v>
      </c>
      <c r="DR29" s="65">
        <f t="shared" si="174"/>
        <v>14</v>
      </c>
      <c r="DS29" s="65">
        <f t="shared" si="175"/>
        <v>29</v>
      </c>
      <c r="DT29" s="12"/>
      <c r="DU29" s="12"/>
      <c r="DX29" s="3" t="s">
        <v>648</v>
      </c>
      <c r="DY29" s="3">
        <f>MOD(DY28,360)</f>
        <v>9.2417773502083314E-2</v>
      </c>
      <c r="DZ29" s="64">
        <f t="shared" si="191"/>
        <v>0</v>
      </c>
      <c r="EA29" s="64">
        <f t="shared" si="192"/>
        <v>5</v>
      </c>
      <c r="EB29" s="64">
        <f t="shared" si="193"/>
        <v>32</v>
      </c>
      <c r="EC29" s="65">
        <f t="shared" si="194"/>
        <v>42</v>
      </c>
      <c r="ED29" s="65">
        <f t="shared" si="195"/>
        <v>14</v>
      </c>
      <c r="EE29" s="33"/>
      <c r="EF29" s="2" t="s">
        <v>648</v>
      </c>
      <c r="EG29" s="2">
        <f>MOD(EG28,360)</f>
        <v>7.8141649730355028E-4</v>
      </c>
      <c r="EH29" s="64">
        <f t="shared" si="157"/>
        <v>0</v>
      </c>
      <c r="EI29" s="64">
        <f t="shared" si="158"/>
        <v>0</v>
      </c>
      <c r="EJ29" s="64">
        <f t="shared" si="159"/>
        <v>2</v>
      </c>
      <c r="EK29" s="65">
        <f t="shared" si="160"/>
        <v>48</v>
      </c>
      <c r="EL29" s="65">
        <f t="shared" si="161"/>
        <v>47</v>
      </c>
      <c r="EM29" s="12"/>
      <c r="EN29" s="12"/>
      <c r="EO29" s="33"/>
      <c r="EP29" s="10"/>
      <c r="EQ29" s="10">
        <f>EQ28+EQ27+EQ26+EQ25+EQ24+EQ22+EQ18</f>
        <v>720</v>
      </c>
      <c r="ER29" s="64">
        <f t="shared" si="176"/>
        <v>720</v>
      </c>
      <c r="ES29" s="64">
        <f t="shared" si="177"/>
        <v>0</v>
      </c>
      <c r="ET29" s="64">
        <f t="shared" si="178"/>
        <v>0</v>
      </c>
      <c r="EU29" s="65">
        <f t="shared" si="179"/>
        <v>0</v>
      </c>
      <c r="EV29" s="65">
        <f t="shared" si="180"/>
        <v>0</v>
      </c>
      <c r="EW29" s="12"/>
      <c r="EX29" s="12"/>
      <c r="FA29" s="3" t="s">
        <v>388</v>
      </c>
      <c r="FB29" s="3">
        <f>MOD(FB28,360)</f>
        <v>284.05853710995291</v>
      </c>
      <c r="FC29" s="64">
        <f t="shared" si="196"/>
        <v>284</v>
      </c>
      <c r="FD29" s="64">
        <f t="shared" si="197"/>
        <v>3</v>
      </c>
      <c r="FE29" s="64">
        <f t="shared" si="198"/>
        <v>30</v>
      </c>
      <c r="FF29" s="65">
        <f t="shared" si="199"/>
        <v>44</v>
      </c>
      <c r="FG29" s="65">
        <f t="shared" si="200"/>
        <v>0</v>
      </c>
      <c r="FV29" s="33"/>
      <c r="FW29" s="33"/>
      <c r="FX29" s="3" t="s">
        <v>648</v>
      </c>
      <c r="FY29" s="3">
        <f>MOD(FY28,360)</f>
        <v>1.5707971403819444E-2</v>
      </c>
      <c r="FZ29" s="64">
        <f t="shared" si="201"/>
        <v>0</v>
      </c>
      <c r="GA29" s="64">
        <f t="shared" si="202"/>
        <v>0</v>
      </c>
      <c r="GB29" s="64">
        <f t="shared" si="203"/>
        <v>56</v>
      </c>
      <c r="GC29" s="65">
        <f t="shared" si="204"/>
        <v>32</v>
      </c>
      <c r="GD29" s="65">
        <f t="shared" si="205"/>
        <v>55</v>
      </c>
      <c r="GF29" s="2" t="s">
        <v>648</v>
      </c>
      <c r="GG29" s="2">
        <f>MOD(GG28,360)</f>
        <v>1.3281501521826021E-4</v>
      </c>
      <c r="GH29" s="64">
        <f t="shared" si="162"/>
        <v>0</v>
      </c>
      <c r="GI29" s="64">
        <f t="shared" si="163"/>
        <v>0</v>
      </c>
      <c r="GJ29" s="64">
        <f t="shared" si="164"/>
        <v>0</v>
      </c>
      <c r="GK29" s="65">
        <f t="shared" si="165"/>
        <v>28</v>
      </c>
      <c r="GL29" s="65">
        <f t="shared" si="166"/>
        <v>41</v>
      </c>
      <c r="GM29" s="12"/>
      <c r="GN29" s="12"/>
      <c r="GO29" s="33"/>
      <c r="GP29" s="10"/>
      <c r="GQ29" s="10">
        <f>GQ28+GQ27+GQ26+GQ25+GQ24+GQ22+GQ18</f>
        <v>719.99993687044434</v>
      </c>
      <c r="GR29" s="64">
        <f t="shared" si="181"/>
        <v>719</v>
      </c>
      <c r="GS29" s="64">
        <f t="shared" si="182"/>
        <v>59</v>
      </c>
      <c r="GT29" s="64">
        <f t="shared" si="183"/>
        <v>59</v>
      </c>
      <c r="GU29" s="65">
        <f t="shared" si="184"/>
        <v>46</v>
      </c>
      <c r="GV29" s="65">
        <f t="shared" si="185"/>
        <v>21</v>
      </c>
      <c r="GW29" s="12"/>
      <c r="GX29" s="12"/>
    </row>
    <row r="30" spans="3:224" ht="27">
      <c r="U30" s="64"/>
      <c r="V30" s="64"/>
      <c r="W30" s="64"/>
      <c r="X30" s="65"/>
      <c r="BT30">
        <v>28</v>
      </c>
      <c r="BU30" s="30" t="s">
        <v>649</v>
      </c>
      <c r="BV30" s="30">
        <f>BV26-BV29</f>
        <v>0.90234972823687087</v>
      </c>
      <c r="BW30" s="64">
        <f t="shared" si="167"/>
        <v>0</v>
      </c>
      <c r="BX30" s="64">
        <f t="shared" si="168"/>
        <v>54</v>
      </c>
      <c r="BY30" s="64">
        <f t="shared" si="169"/>
        <v>8</v>
      </c>
      <c r="BZ30" s="65">
        <f t="shared" si="170"/>
        <v>27</v>
      </c>
      <c r="DB30" s="33"/>
      <c r="DL30" s="33"/>
      <c r="DM30" s="10" t="s">
        <v>703</v>
      </c>
      <c r="DN30" s="10">
        <f>MOD(DN29,360)</f>
        <v>159.93701155320628</v>
      </c>
      <c r="DO30" s="64">
        <f t="shared" si="171"/>
        <v>159</v>
      </c>
      <c r="DP30" s="64">
        <f t="shared" si="172"/>
        <v>56</v>
      </c>
      <c r="DQ30" s="64">
        <f t="shared" si="173"/>
        <v>13</v>
      </c>
      <c r="DR30" s="65">
        <f t="shared" si="174"/>
        <v>14</v>
      </c>
      <c r="DS30" s="65">
        <f t="shared" si="175"/>
        <v>29</v>
      </c>
      <c r="DT30" s="12"/>
      <c r="DU30" s="12"/>
      <c r="DX30" s="10" t="s">
        <v>650</v>
      </c>
      <c r="DY30">
        <f>CV29-DY29</f>
        <v>178.85209299804549</v>
      </c>
      <c r="DZ30" s="64">
        <f t="shared" si="191"/>
        <v>178</v>
      </c>
      <c r="EA30" s="64">
        <f t="shared" si="192"/>
        <v>51</v>
      </c>
      <c r="EB30" s="64">
        <f t="shared" si="193"/>
        <v>7</v>
      </c>
      <c r="EC30" s="65">
        <f t="shared" si="194"/>
        <v>32</v>
      </c>
      <c r="ED30" s="65">
        <f t="shared" si="195"/>
        <v>5</v>
      </c>
      <c r="EE30" s="33"/>
      <c r="EF30" s="10" t="s">
        <v>650</v>
      </c>
      <c r="EG30">
        <f>DD29-EG29</f>
        <v>333.41542026099017</v>
      </c>
      <c r="EH30" s="64">
        <f t="shared" si="157"/>
        <v>333</v>
      </c>
      <c r="EI30" s="64">
        <f t="shared" si="158"/>
        <v>24</v>
      </c>
      <c r="EJ30" s="64">
        <f t="shared" si="159"/>
        <v>55</v>
      </c>
      <c r="EK30" s="65">
        <f t="shared" si="160"/>
        <v>30</v>
      </c>
      <c r="EL30" s="65">
        <f t="shared" si="161"/>
        <v>46</v>
      </c>
      <c r="EO30" s="33"/>
      <c r="EP30" s="10" t="s">
        <v>651</v>
      </c>
      <c r="EQ30" s="10">
        <f>MOD(EQ29,360)</f>
        <v>0</v>
      </c>
      <c r="ER30" s="64">
        <f t="shared" si="176"/>
        <v>0</v>
      </c>
      <c r="ES30" s="64">
        <f t="shared" si="177"/>
        <v>0</v>
      </c>
      <c r="ET30" s="64">
        <f t="shared" si="178"/>
        <v>0</v>
      </c>
      <c r="EU30" s="65">
        <f t="shared" si="179"/>
        <v>0</v>
      </c>
      <c r="EV30" s="65">
        <f t="shared" si="180"/>
        <v>0</v>
      </c>
      <c r="EW30" s="12"/>
      <c r="EX30" s="12"/>
      <c r="FV30" s="33"/>
      <c r="FW30" s="33"/>
      <c r="FX30" s="10"/>
      <c r="FZ30" s="64"/>
      <c r="GA30" s="64"/>
      <c r="GB30" s="64"/>
      <c r="GC30" s="65"/>
      <c r="GD30" s="65"/>
      <c r="GF30" s="10"/>
      <c r="GH30" s="64"/>
      <c r="GI30" s="64"/>
      <c r="GJ30" s="64"/>
      <c r="GK30" s="65"/>
      <c r="GL30" s="65"/>
      <c r="GO30" s="33"/>
      <c r="GP30" s="10" t="s">
        <v>651</v>
      </c>
      <c r="GQ30" s="10">
        <f>MOD(GQ29,360)</f>
        <v>359.99993687044434</v>
      </c>
      <c r="GR30" s="64">
        <f t="shared" si="181"/>
        <v>359</v>
      </c>
      <c r="GS30" s="64">
        <f t="shared" si="182"/>
        <v>59</v>
      </c>
      <c r="GT30" s="64">
        <f t="shared" si="183"/>
        <v>59</v>
      </c>
      <c r="GU30" s="65">
        <f t="shared" si="184"/>
        <v>46</v>
      </c>
      <c r="GV30" s="65">
        <f t="shared" si="185"/>
        <v>21</v>
      </c>
      <c r="GW30" s="12"/>
      <c r="GX30" s="12"/>
    </row>
    <row r="31" spans="3:224" ht="27">
      <c r="BT31">
        <v>29</v>
      </c>
      <c r="BU31" s="7" t="s">
        <v>399</v>
      </c>
      <c r="BV31" s="7">
        <f>BV30+BV16</f>
        <v>0.18202821764957478</v>
      </c>
      <c r="BW31" s="64">
        <f t="shared" si="167"/>
        <v>0</v>
      </c>
      <c r="BX31" s="64">
        <f t="shared" si="168"/>
        <v>10</v>
      </c>
      <c r="BY31" s="64">
        <f t="shared" si="169"/>
        <v>55</v>
      </c>
      <c r="BZ31" s="65">
        <f t="shared" si="170"/>
        <v>18</v>
      </c>
      <c r="DL31" s="33"/>
      <c r="DM31" s="33"/>
      <c r="DN31" s="33"/>
      <c r="DO31" s="33"/>
      <c r="DP31" s="33"/>
      <c r="DQ31" s="33"/>
      <c r="DR31" s="33"/>
      <c r="DS31" s="33"/>
      <c r="DT31" s="33"/>
      <c r="DU31" s="33"/>
      <c r="DY31">
        <f>IF(DW10="شرقی",DY29*-1,DY29)</f>
        <v>-9.2417773502083314E-2</v>
      </c>
      <c r="DZ31" s="64">
        <f t="shared" si="191"/>
        <v>0</v>
      </c>
      <c r="EA31" s="64">
        <f t="shared" si="192"/>
        <v>5</v>
      </c>
      <c r="EB31" s="64">
        <f t="shared" si="193"/>
        <v>32</v>
      </c>
      <c r="EC31" s="65">
        <f t="shared" si="194"/>
        <v>42</v>
      </c>
      <c r="ED31" s="65">
        <f t="shared" si="195"/>
        <v>14</v>
      </c>
      <c r="EG31">
        <f>IF(EE10="شرقی",EG29*-1,EG29)</f>
        <v>-7.8141649730355028E-4</v>
      </c>
      <c r="EP31" s="10" t="s">
        <v>650</v>
      </c>
      <c r="EQ31">
        <f>DN30+360-EQ30</f>
        <v>519.93701155320628</v>
      </c>
      <c r="ER31" s="64">
        <f t="shared" si="176"/>
        <v>519</v>
      </c>
      <c r="ES31" s="64">
        <f t="shared" si="177"/>
        <v>56</v>
      </c>
      <c r="ET31" s="64">
        <f t="shared" si="178"/>
        <v>13</v>
      </c>
      <c r="EU31" s="65">
        <f t="shared" si="179"/>
        <v>14</v>
      </c>
      <c r="EV31" s="65">
        <f t="shared" si="180"/>
        <v>29</v>
      </c>
      <c r="FV31" s="33"/>
      <c r="FW31" s="33"/>
      <c r="FX31" s="9" t="s">
        <v>652</v>
      </c>
      <c r="FY31" s="9">
        <f>FY29+DY31+CV29</f>
        <v>178.86780096944932</v>
      </c>
      <c r="FZ31" s="64">
        <f>INT(ABS(FY31))</f>
        <v>178</v>
      </c>
      <c r="GA31" s="64">
        <f>INT((ABS(FY31)-FZ31)*60)</f>
        <v>52</v>
      </c>
      <c r="GB31" s="64">
        <f>INT((((ABS(FY31)-FZ31)*60)-GA31)*60)</f>
        <v>4</v>
      </c>
      <c r="GC31" s="65">
        <f>INT((((((ABS(FY31)-FZ31)*60)-GA31)*60)-GB31)*60)</f>
        <v>5</v>
      </c>
      <c r="GD31" s="65">
        <f>INT((((((((ABS(FY31)-FZ31)*60)-GA31)*60)-GB31)*60)-GC31)*60)</f>
        <v>0</v>
      </c>
      <c r="GF31" s="9" t="s">
        <v>653</v>
      </c>
      <c r="GG31" s="9">
        <f>GG29+EG31+DD29</f>
        <v>333.41555307600538</v>
      </c>
      <c r="GH31" s="64">
        <f>INT(ABS(GG31))</f>
        <v>333</v>
      </c>
      <c r="GI31" s="64">
        <f>INT((ABS(GG31)-GH31)*60)</f>
        <v>24</v>
      </c>
      <c r="GJ31" s="64">
        <f>INT((((ABS(GG31)-GH31)*60)-GI31)*60)</f>
        <v>55</v>
      </c>
      <c r="GK31" s="65">
        <f>INT((((((ABS(GG31)-GH31)*60)-GI31)*60)-GJ31)*60)</f>
        <v>59</v>
      </c>
      <c r="GL31" s="65">
        <f>INT((((((((ABS(GG31)-GH31)*60)-GI31)*60)-GJ31)*60)-GK31)*60)</f>
        <v>27</v>
      </c>
      <c r="GP31" s="10"/>
      <c r="GR31" s="64"/>
      <c r="GS31" s="64"/>
      <c r="GT31" s="64"/>
      <c r="GU31" s="65"/>
      <c r="GV31" s="65"/>
    </row>
    <row r="32" spans="3:224" ht="27">
      <c r="BT32">
        <v>30</v>
      </c>
      <c r="BU32" s="4"/>
      <c r="BV32" s="4">
        <f>BV4-BV31</f>
        <v>-0.18202821764957478</v>
      </c>
      <c r="BW32" s="64">
        <f t="shared" si="167"/>
        <v>0</v>
      </c>
      <c r="BX32" s="64">
        <f t="shared" si="168"/>
        <v>10</v>
      </c>
      <c r="BY32" s="64">
        <f t="shared" si="169"/>
        <v>55</v>
      </c>
      <c r="BZ32" s="65">
        <f t="shared" si="170"/>
        <v>18</v>
      </c>
      <c r="DB32" s="27"/>
      <c r="DC32" s="33"/>
      <c r="DD32" s="62"/>
      <c r="DE32" s="33"/>
      <c r="DF32" s="33"/>
      <c r="DG32" s="33"/>
      <c r="DH32" s="33"/>
      <c r="DI32" s="33"/>
      <c r="DJ32" s="33"/>
      <c r="DK32" s="33"/>
      <c r="DL32" s="27"/>
      <c r="DM32" s="33" t="s">
        <v>849</v>
      </c>
      <c r="DN32" s="62"/>
      <c r="DO32" s="33"/>
      <c r="DP32" s="33"/>
      <c r="DQ32" s="33"/>
      <c r="DR32" s="33"/>
      <c r="DS32" s="33"/>
      <c r="DT32" s="33"/>
      <c r="DU32" s="33"/>
      <c r="EQ32">
        <f>IF(EO11="شرقی",EQ30*-1,EQ30)</f>
        <v>0</v>
      </c>
      <c r="ER32" s="64"/>
      <c r="ES32" s="64"/>
      <c r="ET32" s="64"/>
      <c r="EU32" s="65"/>
      <c r="EV32" s="65"/>
      <c r="GP32" s="9" t="s">
        <v>654</v>
      </c>
      <c r="GQ32" s="9">
        <f>GQ30+EQ32+DN30</f>
        <v>519.93694842365062</v>
      </c>
    </row>
    <row r="33" spans="1:152" ht="27">
      <c r="DB33" s="27"/>
      <c r="DC33" s="33"/>
      <c r="DD33" s="33"/>
      <c r="DE33" s="33"/>
      <c r="DF33" s="33"/>
      <c r="DG33" s="33"/>
      <c r="DH33" s="33"/>
      <c r="DI33" s="33"/>
      <c r="DJ33" s="33"/>
      <c r="DK33" s="33"/>
      <c r="DL33" s="27">
        <f>360-DN33</f>
        <v>202.97874999999999</v>
      </c>
      <c r="DM33" s="33" t="s">
        <v>712</v>
      </c>
      <c r="DN33" s="80">
        <f t="shared" ref="DN33:DN38" si="206">(((((((((FG44/60)+FF44)/60)+DR33)/60)+DQ33)/60)+DP33)/60)+DO33</f>
        <v>157.02125000000001</v>
      </c>
      <c r="DO33" s="33">
        <v>157</v>
      </c>
      <c r="DP33" s="33">
        <v>1</v>
      </c>
      <c r="DQ33" s="33">
        <v>16</v>
      </c>
      <c r="DR33" s="33">
        <v>30</v>
      </c>
      <c r="DS33" s="33"/>
      <c r="DT33" s="33"/>
      <c r="DU33" s="33"/>
      <c r="ER33" s="64"/>
      <c r="ES33" s="64"/>
      <c r="ET33" s="64"/>
      <c r="EU33" s="65"/>
      <c r="EV33" s="65"/>
    </row>
    <row r="34" spans="1:152" ht="24.75">
      <c r="BU34">
        <v>261</v>
      </c>
      <c r="BV34">
        <v>100</v>
      </c>
      <c r="DB34" s="72"/>
      <c r="DC34" s="33"/>
      <c r="DD34" s="33"/>
      <c r="DE34" s="33"/>
      <c r="DF34" s="33"/>
      <c r="DG34" s="33"/>
      <c r="DH34" s="33"/>
      <c r="DI34" s="33"/>
      <c r="DJ34" s="33"/>
      <c r="DK34" s="33"/>
      <c r="DL34" s="27">
        <f t="shared" ref="DL34:DL39" si="207">360-DN34</f>
        <v>4.9856898148148048</v>
      </c>
      <c r="DM34" s="33" t="s">
        <v>830</v>
      </c>
      <c r="DN34" s="80">
        <f t="shared" si="206"/>
        <v>355.0143101851852</v>
      </c>
      <c r="DO34" s="33">
        <v>355</v>
      </c>
      <c r="DP34" s="33">
        <v>0</v>
      </c>
      <c r="DQ34" s="33">
        <v>51</v>
      </c>
      <c r="DR34" s="33">
        <v>31</v>
      </c>
      <c r="DS34" s="33"/>
      <c r="DT34" s="33"/>
      <c r="DU34" s="33"/>
    </row>
    <row r="35" spans="1:152" ht="27">
      <c r="BT35" t="s">
        <v>520</v>
      </c>
      <c r="BU35" t="e">
        <f ca="1">[5]!taqm3(BU34,BV34)</f>
        <v>#NAME?</v>
      </c>
      <c r="BV35" s="64" t="e">
        <f ca="1">INT(ABS(BU35))</f>
        <v>#NAME?</v>
      </c>
      <c r="BW35" s="64" t="e">
        <f ca="1">INT((ABS(BU35)-BV35)*60)</f>
        <v>#NAME?</v>
      </c>
      <c r="BX35" s="64" t="e">
        <f ca="1">INT((((ABS(BU35)-BV35)*60)-BW35)*60)</f>
        <v>#NAME?</v>
      </c>
      <c r="BY35" s="65" t="e">
        <f ca="1">INT((((((ABS(BU35)-BV35)*60)-BW35)*60)-BX35)*60)</f>
        <v>#NAME?</v>
      </c>
      <c r="DB35" s="72"/>
      <c r="DC35" s="33"/>
      <c r="DD35" s="33"/>
      <c r="DE35" s="33"/>
      <c r="DF35" s="33"/>
      <c r="DG35" s="33"/>
      <c r="DH35" s="33"/>
      <c r="DI35" s="33"/>
      <c r="DJ35" s="33"/>
      <c r="DK35" s="33"/>
      <c r="DL35" s="27">
        <f t="shared" si="207"/>
        <v>12.497449074074098</v>
      </c>
      <c r="DM35" s="33" t="s">
        <v>73</v>
      </c>
      <c r="DN35" s="80">
        <f t="shared" si="206"/>
        <v>347.5025509259259</v>
      </c>
      <c r="DO35" s="33">
        <v>347</v>
      </c>
      <c r="DP35" s="33">
        <v>30</v>
      </c>
      <c r="DQ35" s="33">
        <v>9</v>
      </c>
      <c r="DR35" s="33">
        <v>11</v>
      </c>
      <c r="DS35" s="33"/>
      <c r="DT35" s="33"/>
      <c r="DU35" s="33"/>
      <c r="EQ35">
        <v>96</v>
      </c>
    </row>
    <row r="36" spans="1:152" ht="27">
      <c r="DB36" s="72"/>
      <c r="DC36" s="33"/>
      <c r="DD36" s="33"/>
      <c r="DE36" s="33"/>
      <c r="DF36" s="33"/>
      <c r="DG36" s="33"/>
      <c r="DH36" s="33"/>
      <c r="DI36" s="33"/>
      <c r="DJ36" s="33"/>
      <c r="DK36" s="33"/>
      <c r="DL36" s="27">
        <f t="shared" si="207"/>
        <v>1.0591064814814786</v>
      </c>
      <c r="DM36" s="33" t="s">
        <v>831</v>
      </c>
      <c r="DN36" s="80">
        <f t="shared" si="206"/>
        <v>358.94089351851852</v>
      </c>
      <c r="DO36" s="33">
        <v>358</v>
      </c>
      <c r="DP36" s="33">
        <v>56</v>
      </c>
      <c r="DQ36" s="33">
        <v>27</v>
      </c>
      <c r="DR36" s="33">
        <v>13</v>
      </c>
      <c r="DS36" s="33"/>
      <c r="DT36" s="33"/>
      <c r="DU36" s="33"/>
      <c r="EQ36" t="e">
        <f ca="1">[5]!tash(11,0)</f>
        <v>#NAME?</v>
      </c>
      <c r="ER36" s="64" t="e">
        <f ca="1">INT(ABS(EQ36))</f>
        <v>#NAME?</v>
      </c>
      <c r="ES36" s="64" t="e">
        <f ca="1">INT((ABS(EQ36)-ER36)*60)</f>
        <v>#NAME?</v>
      </c>
      <c r="ET36" s="64" t="e">
        <f ca="1">INT((((ABS(EQ36)-ER36)*60)-ES36)*60)</f>
        <v>#NAME?</v>
      </c>
      <c r="EU36" s="65" t="e">
        <f ca="1">INT((((((ABS(EQ36)-ER36)*60)-ES36)*60)-ET36)*60)</f>
        <v>#NAME?</v>
      </c>
      <c r="EV36" s="65" t="e">
        <f ca="1">INT((((((((ABS(EQ36)-ER36)*60)-ES36)*60)-ET36)*60)-EU36)*60)</f>
        <v>#NAME?</v>
      </c>
    </row>
    <row r="37" spans="1:152" ht="27">
      <c r="DB37" s="72"/>
      <c r="DC37" s="33"/>
      <c r="DD37" s="33"/>
      <c r="DE37" s="33"/>
      <c r="DF37" s="33"/>
      <c r="DG37" s="33"/>
      <c r="DH37" s="33"/>
      <c r="DI37" s="33"/>
      <c r="DJ37" s="33"/>
      <c r="DK37" s="33"/>
      <c r="DL37" s="27">
        <f t="shared" si="207"/>
        <v>0.39716666666669198</v>
      </c>
      <c r="DM37" s="33" t="s">
        <v>832</v>
      </c>
      <c r="DN37" s="80">
        <f t="shared" si="206"/>
        <v>359.60283333333331</v>
      </c>
      <c r="DO37" s="33">
        <v>359</v>
      </c>
      <c r="DP37" s="33">
        <v>36</v>
      </c>
      <c r="DQ37" s="33">
        <v>10</v>
      </c>
      <c r="DR37" s="33">
        <v>12</v>
      </c>
      <c r="DS37" s="33"/>
      <c r="DT37" s="33"/>
      <c r="DU37" s="33"/>
      <c r="EQ37" t="e">
        <f ca="1">[5]!taqm1(27,0)</f>
        <v>#NAME?</v>
      </c>
      <c r="ER37" s="64" t="e">
        <f ca="1">INT(ABS(EQ37))</f>
        <v>#NAME?</v>
      </c>
      <c r="ES37" s="64" t="e">
        <f ca="1">INT((ABS(EQ37)-ER37)*60)</f>
        <v>#NAME?</v>
      </c>
      <c r="ET37" s="64" t="e">
        <f ca="1">INT((((ABS(EQ37)-ER37)*60)-ES37)*60)</f>
        <v>#NAME?</v>
      </c>
      <c r="EU37" s="65" t="e">
        <f ca="1">INT((((((ABS(EQ37)-ER37)*60)-ES37)*60)-ET37)*60)</f>
        <v>#NAME?</v>
      </c>
      <c r="EV37" s="65" t="e">
        <f ca="1">INT((((((((ABS(EQ37)-ER37)*60)-ES37)*60)-ET37)*60)-EU37)*60)</f>
        <v>#NAME?</v>
      </c>
    </row>
    <row r="38" spans="1:152" ht="27">
      <c r="A38" s="98" t="s">
        <v>655</v>
      </c>
      <c r="B38" s="98"/>
      <c r="C38" s="99"/>
      <c r="D38" s="94"/>
      <c r="E38" s="94"/>
      <c r="F38" s="94"/>
      <c r="G38" s="94"/>
      <c r="H38" s="33"/>
      <c r="I38" s="94"/>
      <c r="J38" s="94"/>
      <c r="K38" s="94"/>
      <c r="L38" s="94"/>
      <c r="M38" s="94"/>
      <c r="N38" s="33"/>
      <c r="O38" s="33"/>
      <c r="P38" s="94"/>
      <c r="Q38" s="94"/>
      <c r="R38" s="81"/>
      <c r="S38" s="81"/>
      <c r="T38" s="81"/>
      <c r="U38" s="27"/>
      <c r="V38" s="27"/>
      <c r="W38" s="27"/>
      <c r="X38" s="27"/>
      <c r="Y38" s="33"/>
      <c r="Z38" s="33"/>
      <c r="AA38" s="33"/>
      <c r="AB38" s="94"/>
      <c r="AC38" s="94"/>
      <c r="AD38" s="81"/>
      <c r="AE38" s="81"/>
      <c r="AF38" s="81"/>
      <c r="AG38" s="27"/>
      <c r="AH38" s="27"/>
      <c r="AI38" s="27"/>
      <c r="AJ38" s="27"/>
      <c r="AK38" s="33"/>
      <c r="AL38" s="81"/>
      <c r="AM38" s="81"/>
      <c r="AN38" s="81"/>
      <c r="AO38" s="27"/>
      <c r="AP38" s="33"/>
      <c r="DB38" s="33"/>
      <c r="DC38" s="33"/>
      <c r="DD38" s="72"/>
      <c r="DE38" s="81"/>
      <c r="DF38" s="81"/>
      <c r="DG38" s="81"/>
      <c r="DH38" s="27"/>
      <c r="DI38" s="27"/>
      <c r="DJ38" s="33"/>
      <c r="DK38" s="33"/>
      <c r="DL38" s="27">
        <f t="shared" si="207"/>
        <v>1.6574074074355849E-3</v>
      </c>
      <c r="DM38" s="33" t="s">
        <v>836</v>
      </c>
      <c r="DN38" s="80">
        <f t="shared" si="206"/>
        <v>359.99834259259256</v>
      </c>
      <c r="DO38" s="81">
        <v>359</v>
      </c>
      <c r="DP38" s="81">
        <v>59</v>
      </c>
      <c r="DQ38" s="81">
        <v>54</v>
      </c>
      <c r="DR38" s="27">
        <v>2</v>
      </c>
      <c r="DS38" s="27"/>
      <c r="DT38" s="33"/>
      <c r="DU38" s="33"/>
      <c r="EQ38" t="e">
        <f ca="1">[5]!taqam1(EQ35,0)</f>
        <v>#NAME?</v>
      </c>
      <c r="ER38" s="64" t="e">
        <f ca="1">INT(ABS(EQ38))</f>
        <v>#NAME?</v>
      </c>
      <c r="ES38" s="64" t="e">
        <f ca="1">INT((ABS(EQ38)-ER38)*60)</f>
        <v>#NAME?</v>
      </c>
      <c r="ET38" s="64" t="e">
        <f ca="1">INT((((ABS(EQ38)-ER38)*60)-ES38)*60)</f>
        <v>#NAME?</v>
      </c>
      <c r="EU38" s="65" t="e">
        <f ca="1">INT((((((ABS(EQ38)-ER38)*60)-ES38)*60)-ET38)*60)</f>
        <v>#NAME?</v>
      </c>
      <c r="EV38" s="65" t="e">
        <f ca="1">INT((((((((ABS(EQ38)-ER38)*60)-ES38)*60)-ET38)*60)-EU38)*60)</f>
        <v>#NAME?</v>
      </c>
    </row>
    <row r="39" spans="1:152" ht="27">
      <c r="C39" t="s">
        <v>512</v>
      </c>
      <c r="I39" t="s">
        <v>513</v>
      </c>
      <c r="P39" t="s">
        <v>514</v>
      </c>
      <c r="BU39" s="98" t="s">
        <v>399</v>
      </c>
      <c r="BW39" t="s">
        <v>518</v>
      </c>
      <c r="BX39" t="s">
        <v>166</v>
      </c>
      <c r="BY39" t="s">
        <v>167</v>
      </c>
      <c r="BZ39" t="s">
        <v>168</v>
      </c>
      <c r="DB39" s="33"/>
      <c r="DC39" s="33"/>
      <c r="DD39" s="33"/>
      <c r="DE39" s="81"/>
      <c r="DF39" s="81"/>
      <c r="DG39" s="81"/>
      <c r="DH39" s="27"/>
      <c r="DI39" s="27"/>
      <c r="DJ39" s="33"/>
      <c r="DK39" s="33"/>
      <c r="DL39" s="27">
        <f t="shared" si="207"/>
        <v>1.3888888872770622E-5</v>
      </c>
      <c r="DM39" s="33" t="s">
        <v>833</v>
      </c>
      <c r="DN39" s="80">
        <f>(((((((((FG51/60)+FF51)/60)+DR39)/60)+DQ39)/60)+DP39)/60)+DO39</f>
        <v>359.99998611111113</v>
      </c>
      <c r="DO39" s="81">
        <v>359</v>
      </c>
      <c r="DP39" s="81">
        <v>59</v>
      </c>
      <c r="DQ39" s="81">
        <v>59</v>
      </c>
      <c r="DR39" s="27">
        <v>57</v>
      </c>
      <c r="DS39" s="27"/>
      <c r="DT39" s="33"/>
      <c r="DU39" s="33"/>
      <c r="EQ39" t="e">
        <f ca="1">[5]!tamerk1(EQ35,0)</f>
        <v>#NAME?</v>
      </c>
      <c r="ER39" s="64" t="e">
        <f ca="1">INT(ABS(EQ39))</f>
        <v>#NAME?</v>
      </c>
      <c r="ES39" s="64" t="e">
        <f ca="1">INT((ABS(EQ39)-ER39)*60)</f>
        <v>#NAME?</v>
      </c>
      <c r="ET39" s="64" t="e">
        <f ca="1">INT((((ABS(EQ39)-ER39)*60)-ES39)*60)</f>
        <v>#NAME?</v>
      </c>
      <c r="EU39" s="65" t="e">
        <f ca="1">INT((((((ABS(EQ39)-ER39)*60)-ES39)*60)-ET39)*60)</f>
        <v>#NAME?</v>
      </c>
      <c r="EV39" s="65" t="e">
        <f ca="1">INT((((((((ABS(EQ39)-ER39)*60)-ES39)*60)-ET39)*60)-EU39)*60)</f>
        <v>#NAME?</v>
      </c>
    </row>
    <row r="40" spans="1:152" ht="27">
      <c r="C40" s="34" t="s">
        <v>516</v>
      </c>
      <c r="D40" s="34"/>
      <c r="E40" s="34"/>
      <c r="F40" s="34"/>
      <c r="G40" s="34"/>
      <c r="I40" s="34" t="s">
        <v>516</v>
      </c>
      <c r="J40" s="34"/>
      <c r="K40" s="34"/>
      <c r="L40" s="34"/>
      <c r="M40" s="34"/>
      <c r="P40" s="34" t="s">
        <v>517</v>
      </c>
      <c r="Q40" s="6"/>
      <c r="R40" s="52" t="s">
        <v>518</v>
      </c>
      <c r="S40" s="52" t="s">
        <v>166</v>
      </c>
      <c r="T40" s="52" t="s">
        <v>167</v>
      </c>
      <c r="U40" s="52" t="s">
        <v>168</v>
      </c>
      <c r="V40" s="52" t="s">
        <v>199</v>
      </c>
      <c r="W40" s="53" t="s">
        <v>200</v>
      </c>
      <c r="X40" s="53" t="s">
        <v>201</v>
      </c>
      <c r="Y40" s="27"/>
      <c r="Z40" s="27"/>
      <c r="AB40" s="34" t="s">
        <v>517</v>
      </c>
      <c r="AC40" s="6"/>
      <c r="AD40" s="52" t="s">
        <v>518</v>
      </c>
      <c r="AE40" s="52" t="s">
        <v>166</v>
      </c>
      <c r="AF40" s="52" t="s">
        <v>167</v>
      </c>
      <c r="AG40" s="52" t="s">
        <v>168</v>
      </c>
      <c r="AH40" s="52" t="s">
        <v>199</v>
      </c>
      <c r="AI40" s="53" t="s">
        <v>200</v>
      </c>
      <c r="AJ40" s="53" t="s">
        <v>201</v>
      </c>
      <c r="AK40" s="27"/>
      <c r="AN40" s="34" t="s">
        <v>517</v>
      </c>
      <c r="AO40" s="6"/>
      <c r="AP40" s="52" t="s">
        <v>518</v>
      </c>
      <c r="AQ40" s="52" t="s">
        <v>166</v>
      </c>
      <c r="AR40" s="52" t="s">
        <v>167</v>
      </c>
      <c r="AS40" s="52" t="s">
        <v>168</v>
      </c>
      <c r="AT40" s="52" t="s">
        <v>199</v>
      </c>
      <c r="AU40" s="53" t="s">
        <v>200</v>
      </c>
      <c r="AV40" s="53" t="s">
        <v>201</v>
      </c>
      <c r="BU40" s="98" t="s">
        <v>656</v>
      </c>
      <c r="BV40" s="98">
        <f>B41+D62+AO61</f>
        <v>61.882888052470463</v>
      </c>
      <c r="BW40" s="100">
        <f t="shared" ref="BW40:BW55" si="208">INT(ABS(BV40))</f>
        <v>61</v>
      </c>
      <c r="BX40" s="100">
        <f t="shared" ref="BX40:BX56" si="209">INT((ABS(BV40)-BW40)*60)</f>
        <v>52</v>
      </c>
      <c r="BY40" s="100">
        <f t="shared" ref="BY40:BY56" si="210">INT((((ABS(BV40)-BW40)*60)-BX40)*60)</f>
        <v>58</v>
      </c>
      <c r="BZ40" s="101">
        <f t="shared" ref="BZ40:BZ56" si="211">INT((((((ABS(BV40)-BW40)*60)-BX40)*60)-BY40)*60)</f>
        <v>23</v>
      </c>
      <c r="DB40" s="33"/>
      <c r="DC40" s="33"/>
      <c r="DD40" s="33"/>
      <c r="DE40" s="81"/>
      <c r="DF40" s="81"/>
      <c r="DG40" s="81"/>
      <c r="DH40" s="27"/>
      <c r="DI40" s="27"/>
      <c r="DJ40" s="27"/>
      <c r="DK40" s="27"/>
      <c r="DL40" s="72">
        <f>SUM(DL33:DL39)</f>
        <v>221.91983333333337</v>
      </c>
      <c r="DM40" s="33"/>
      <c r="DN40" s="72">
        <f>SUM(DN33:DN39)</f>
        <v>2298.0801666666666</v>
      </c>
      <c r="DO40" s="33"/>
      <c r="DP40" s="33"/>
      <c r="DQ40" s="33"/>
      <c r="DR40" s="33"/>
      <c r="DS40" s="33"/>
      <c r="DT40" s="33"/>
      <c r="DU40" s="33"/>
      <c r="EQ40" t="e">
        <f ca="1">[5]!tzohal1(EQ35)</f>
        <v>#NAME?</v>
      </c>
      <c r="ER40" s="64" t="e">
        <f ca="1">INT(ABS(EQ40))</f>
        <v>#NAME?</v>
      </c>
      <c r="ES40" s="64" t="e">
        <f ca="1">INT((ABS(EQ40)-ER40)*60)</f>
        <v>#NAME?</v>
      </c>
      <c r="ET40" s="64" t="e">
        <f ca="1">INT((((ABS(EQ40)-ER40)*60)-ES40)*60)</f>
        <v>#NAME?</v>
      </c>
      <c r="EU40" s="65" t="e">
        <f ca="1">INT((((((ABS(EQ40)-ER40)*60)-ES40)*60)-ET40)*60)</f>
        <v>#NAME?</v>
      </c>
      <c r="EV40" s="65" t="e">
        <f ca="1">INT((((((((ABS(EQ40)-ER40)*60)-ES40)*60)-ET40)*60)-EU40)*60)</f>
        <v>#NAME?</v>
      </c>
    </row>
    <row r="41" spans="1:152" ht="27">
      <c r="A41" t="s">
        <v>401</v>
      </c>
      <c r="B41">
        <v>60</v>
      </c>
      <c r="C41" s="54"/>
      <c r="D41" s="54"/>
      <c r="E41" s="54" t="s">
        <v>518</v>
      </c>
      <c r="F41" s="54" t="s">
        <v>166</v>
      </c>
      <c r="G41" s="54" t="s">
        <v>167</v>
      </c>
      <c r="I41" s="54"/>
      <c r="J41" s="54"/>
      <c r="K41" s="54" t="s">
        <v>518</v>
      </c>
      <c r="L41" s="54" t="s">
        <v>166</v>
      </c>
      <c r="M41" s="54" t="s">
        <v>167</v>
      </c>
      <c r="P41" s="63" t="s">
        <v>529</v>
      </c>
      <c r="Q41" s="63">
        <v>42.554166666999997</v>
      </c>
      <c r="R41" s="64">
        <f t="shared" ref="R41:R46" si="212">INT(ABS(Q41))</f>
        <v>42</v>
      </c>
      <c r="S41" s="64">
        <f t="shared" ref="S41:S46" si="213">INT((ABS(Q41)-R41)*60)</f>
        <v>33</v>
      </c>
      <c r="T41" s="64">
        <f t="shared" ref="T41:T47" si="214">INT((((ABS(Q41)-R41)*60)-S41)*60)</f>
        <v>15</v>
      </c>
      <c r="U41" s="65">
        <f t="shared" ref="U41:U46" si="215">INT((((((ABS(Q41)-R41)*60)-S41)*60)-T41)*60)</f>
        <v>0</v>
      </c>
      <c r="V41" s="65">
        <f t="shared" ref="V41:V46" si="216">INT((((((((ABS(Q41)-R41)*60)-S41)*60)-T41)*60)-U41)*60)</f>
        <v>0</v>
      </c>
      <c r="W41" s="65">
        <f t="shared" ref="W41:W46" si="217">INT((((((((((ABS(Q41)-R41)*60)-S41)*60)-T41)*60)-U41)*60)-V41)*60)</f>
        <v>0</v>
      </c>
      <c r="X41" s="65">
        <f t="shared" ref="X41:X46" si="218">INT((((((((((((ABS(Q41)-R41)*60)-S41)*60)-T41)*60)-U41)*60)-V41)*60)-W41)*60)</f>
        <v>15</v>
      </c>
      <c r="AB41" s="63" t="s">
        <v>529</v>
      </c>
      <c r="AC41" s="63">
        <v>42.554166666999997</v>
      </c>
      <c r="AD41" s="64">
        <f t="shared" ref="AD41:AD46" si="219">INT(ABS(AC41))</f>
        <v>42</v>
      </c>
      <c r="AE41" s="64">
        <f t="shared" ref="AE41:AE46" si="220">INT((ABS(AC41)-AD41)*60)</f>
        <v>33</v>
      </c>
      <c r="AF41" s="64">
        <f t="shared" ref="AF41:AF47" si="221">INT((((ABS(AC41)-AD41)*60)-AE41)*60)</f>
        <v>15</v>
      </c>
      <c r="AG41" s="65">
        <f t="shared" ref="AG41:AG46" si="222">INT((((((ABS(AC41)-AD41)*60)-AE41)*60)-AF41)*60)</f>
        <v>0</v>
      </c>
      <c r="AH41" s="65">
        <f t="shared" ref="AH41:AH46" si="223">INT((((((((ABS(AC41)-AD41)*60)-AE41)*60)-AF41)*60)-AG41)*60)</f>
        <v>0</v>
      </c>
      <c r="AI41" s="65">
        <f t="shared" ref="AI41:AI46" si="224">INT((((((((((ABS(AC41)-AD41)*60)-AE41)*60)-AF41)*60)-AG41)*60)-AH41)*60)</f>
        <v>0</v>
      </c>
      <c r="AJ41" s="65">
        <f t="shared" ref="AJ41:AJ46" si="225">INT((((((((((((ABS(AC41)-AD41)*60)-AE41)*60)-AF41)*60)-AG41)*60)-AH41)*60)-AI41)*60)</f>
        <v>15</v>
      </c>
      <c r="AM41" s="10"/>
      <c r="AN41" s="63" t="s">
        <v>378</v>
      </c>
      <c r="AO41" s="63">
        <v>42.643055556</v>
      </c>
      <c r="AP41" s="64">
        <f t="shared" ref="AP41:AP58" si="226">INT(ABS(AO41))</f>
        <v>42</v>
      </c>
      <c r="AQ41" s="64">
        <f t="shared" ref="AQ41:AQ58" si="227">INT((ABS(AO41)-AP41)*60)</f>
        <v>38</v>
      </c>
      <c r="AR41" s="64">
        <f t="shared" ref="AR41:AR58" si="228">INT((((ABS(AO41)-AP41)*60)-AQ41)*60)</f>
        <v>35</v>
      </c>
      <c r="AS41" s="65">
        <f t="shared" ref="AS41:AS58" si="229">INT((((((ABS(AO41)-AP41)*60)-AQ41)*60)-AR41)*60)</f>
        <v>0</v>
      </c>
      <c r="AT41" s="65">
        <f t="shared" ref="AT41:AT58" si="230">INT((((((((ABS(AO41)-AP41)*60)-AQ41)*60)-AR41)*60)-AS41)*60)</f>
        <v>0</v>
      </c>
      <c r="AU41" s="65">
        <f t="shared" ref="AU41:AU58" si="231">INT((((((((((ABS(AO41)-AP41)*60)-AQ41)*60)-AR41)*60)-AS41)*60)-AT41)*60)</f>
        <v>0</v>
      </c>
      <c r="AV41" s="65">
        <f t="shared" ref="AV41:AV58" si="232">INT((((((((((((ABS(AO41)-AP41)*60)-AQ41)*60)-AR41)*60)-AS41)*60)-AT41)*60)-AU41)*60)</f>
        <v>20</v>
      </c>
      <c r="AY41" s="63">
        <v>42.643055556</v>
      </c>
      <c r="BT41">
        <v>1</v>
      </c>
      <c r="BU41" s="30" t="s">
        <v>530</v>
      </c>
      <c r="BV41" s="30">
        <f>B41</f>
        <v>60</v>
      </c>
      <c r="BW41" s="64">
        <f t="shared" si="208"/>
        <v>60</v>
      </c>
      <c r="BX41" s="64">
        <f t="shared" si="209"/>
        <v>0</v>
      </c>
      <c r="BY41" s="64">
        <f t="shared" si="210"/>
        <v>0</v>
      </c>
      <c r="BZ41" s="65">
        <f t="shared" si="211"/>
        <v>0</v>
      </c>
      <c r="DB41" s="33"/>
      <c r="DC41" s="33"/>
      <c r="DD41" s="33"/>
      <c r="DE41" s="81"/>
      <c r="DF41" s="81"/>
      <c r="DG41" s="81"/>
      <c r="DH41" s="27"/>
      <c r="DI41" s="27"/>
      <c r="DJ41" s="33"/>
      <c r="DK41" s="33"/>
      <c r="DL41" s="33" t="e">
        <f ca="1">[5]!ba(DL40)</f>
        <v>#NAME?</v>
      </c>
      <c r="DM41" s="33"/>
      <c r="DN41" s="33" t="e">
        <f ca="1">[5]!ba(DN40)</f>
        <v>#NAME?</v>
      </c>
      <c r="DO41" s="64" t="e">
        <f ca="1">INT(ABS(DN41))</f>
        <v>#NAME?</v>
      </c>
      <c r="DP41" s="64" t="e">
        <f ca="1">INT((ABS(DN41)-DO41)*60)</f>
        <v>#NAME?</v>
      </c>
      <c r="DQ41" s="64" t="e">
        <f ca="1">INT((((ABS(DN41)-DO41)*60)-DP41)*60)</f>
        <v>#NAME?</v>
      </c>
      <c r="DR41" s="65" t="e">
        <f ca="1">INT((((((ABS(DN41)-DO41)*60)-DP41)*60)-DQ41)*60)</f>
        <v>#NAME?</v>
      </c>
      <c r="DS41" s="65" t="e">
        <f ca="1">INT((((((((ABS(DN41)-DO41)*60)-DP41)*60)-DQ41)*60)-DR41)*60)</f>
        <v>#NAME?</v>
      </c>
      <c r="DT41" s="33"/>
      <c r="DU41" s="33"/>
    </row>
    <row r="42" spans="1:152" ht="27">
      <c r="A42" t="s">
        <v>402</v>
      </c>
      <c r="B42">
        <v>20</v>
      </c>
      <c r="C42" s="63" t="s">
        <v>539</v>
      </c>
      <c r="D42" s="63">
        <v>5.22</v>
      </c>
      <c r="E42" s="51">
        <f t="shared" ref="E42:E48" si="233">INT(D42)</f>
        <v>5</v>
      </c>
      <c r="F42" s="51">
        <f t="shared" ref="F42:F48" si="234">INT((D42-E42)*60)</f>
        <v>13</v>
      </c>
      <c r="G42" s="51">
        <f t="shared" ref="G42:G48" si="235">INT((((D42-E42)*60)-F42)*60)</f>
        <v>11</v>
      </c>
      <c r="I42" s="63" t="s">
        <v>540</v>
      </c>
      <c r="J42" s="63">
        <v>5.22</v>
      </c>
      <c r="K42" s="51">
        <f t="shared" ref="K42:K48" si="236">INT(J42)</f>
        <v>5</v>
      </c>
      <c r="L42" s="51">
        <f t="shared" ref="L42:L48" si="237">INT((J42-K42)*60)</f>
        <v>13</v>
      </c>
      <c r="M42" s="51">
        <f t="shared" ref="M42:M48" si="238">INT((((J42-K42)*60)-L42)*60)</f>
        <v>11</v>
      </c>
      <c r="P42" s="63" t="s">
        <v>386</v>
      </c>
      <c r="Q42" s="63">
        <v>99.194166667000005</v>
      </c>
      <c r="R42" s="64">
        <f t="shared" si="212"/>
        <v>99</v>
      </c>
      <c r="S42" s="64">
        <f t="shared" si="213"/>
        <v>11</v>
      </c>
      <c r="T42" s="64">
        <f t="shared" si="214"/>
        <v>39</v>
      </c>
      <c r="U42" s="65">
        <f t="shared" si="215"/>
        <v>0</v>
      </c>
      <c r="V42" s="65">
        <f t="shared" si="216"/>
        <v>0</v>
      </c>
      <c r="W42" s="65">
        <f t="shared" si="217"/>
        <v>0</v>
      </c>
      <c r="X42" s="65">
        <f t="shared" si="218"/>
        <v>15</v>
      </c>
      <c r="AB42" s="63" t="s">
        <v>386</v>
      </c>
      <c r="AC42" s="63">
        <v>99.194166667000005</v>
      </c>
      <c r="AD42" s="64">
        <f t="shared" si="219"/>
        <v>99</v>
      </c>
      <c r="AE42" s="64">
        <f t="shared" si="220"/>
        <v>11</v>
      </c>
      <c r="AF42" s="64">
        <f t="shared" si="221"/>
        <v>39</v>
      </c>
      <c r="AG42" s="65">
        <f t="shared" si="222"/>
        <v>0</v>
      </c>
      <c r="AH42" s="65">
        <f t="shared" si="223"/>
        <v>0</v>
      </c>
      <c r="AI42" s="65">
        <f t="shared" si="224"/>
        <v>0</v>
      </c>
      <c r="AJ42" s="65">
        <f t="shared" si="225"/>
        <v>15</v>
      </c>
      <c r="AM42" s="10"/>
      <c r="AN42" s="63" t="s">
        <v>529</v>
      </c>
      <c r="AO42" s="63">
        <v>42.554166666999997</v>
      </c>
      <c r="AP42" s="64">
        <f t="shared" si="226"/>
        <v>42</v>
      </c>
      <c r="AQ42" s="64">
        <f t="shared" si="227"/>
        <v>33</v>
      </c>
      <c r="AR42" s="64">
        <f t="shared" si="228"/>
        <v>15</v>
      </c>
      <c r="AS42" s="65">
        <f t="shared" si="229"/>
        <v>0</v>
      </c>
      <c r="AT42" s="65">
        <f t="shared" si="230"/>
        <v>0</v>
      </c>
      <c r="AU42" s="65">
        <f t="shared" si="231"/>
        <v>0</v>
      </c>
      <c r="AV42" s="65">
        <f t="shared" si="232"/>
        <v>15</v>
      </c>
      <c r="AY42" s="63">
        <v>42.554166666999997</v>
      </c>
      <c r="BE42" t="s">
        <v>511</v>
      </c>
      <c r="BL42" t="s">
        <v>511</v>
      </c>
      <c r="BT42">
        <v>2</v>
      </c>
      <c r="BU42" s="24" t="s">
        <v>548</v>
      </c>
      <c r="BV42" s="24">
        <f>BV41*2</f>
        <v>120</v>
      </c>
      <c r="BW42" s="64">
        <f t="shared" si="208"/>
        <v>120</v>
      </c>
      <c r="BX42" s="64">
        <f t="shared" si="209"/>
        <v>0</v>
      </c>
      <c r="BY42" s="64">
        <f t="shared" si="210"/>
        <v>0</v>
      </c>
      <c r="BZ42" s="65">
        <f t="shared" si="211"/>
        <v>0</v>
      </c>
      <c r="DB42" s="33"/>
      <c r="DC42" s="33"/>
      <c r="DD42" s="33"/>
      <c r="DE42" s="81"/>
      <c r="DF42" s="81"/>
      <c r="DG42" s="81"/>
      <c r="DH42" s="27"/>
      <c r="DI42" s="27"/>
      <c r="DJ42" s="33"/>
      <c r="DK42" s="33"/>
      <c r="DL42" s="33"/>
      <c r="DM42" s="33" t="s">
        <v>834</v>
      </c>
      <c r="DN42" s="80">
        <f>(((((((((FG54/60)+FF54)/60)+DR42)/60)+DQ42)/60)+DP42)/60)+DO42</f>
        <v>359.99962962962962</v>
      </c>
      <c r="DO42" s="81">
        <v>359</v>
      </c>
      <c r="DP42" s="81">
        <v>59</v>
      </c>
      <c r="DQ42" s="81">
        <v>58</v>
      </c>
      <c r="DR42" s="27">
        <v>40</v>
      </c>
      <c r="DS42" s="27"/>
      <c r="DT42" s="27"/>
      <c r="DU42" s="27"/>
    </row>
    <row r="43" spans="1:152" ht="27">
      <c r="B43" s="10" t="s">
        <v>544</v>
      </c>
      <c r="C43" s="63" t="s">
        <v>545</v>
      </c>
      <c r="D43" s="63">
        <f>IF(AND(B44&gt;=90,B44&lt;=270),B44,0)</f>
        <v>0</v>
      </c>
      <c r="E43" s="51">
        <f t="shared" si="233"/>
        <v>0</v>
      </c>
      <c r="F43" s="51">
        <f t="shared" si="234"/>
        <v>0</v>
      </c>
      <c r="G43" s="51">
        <f t="shared" si="235"/>
        <v>0</v>
      </c>
      <c r="I43" s="63" t="s">
        <v>546</v>
      </c>
      <c r="J43" s="63">
        <f>IF(OR(B44&lt;90,B44&gt;270),B44,0)</f>
        <v>20</v>
      </c>
      <c r="K43" s="51">
        <f t="shared" si="236"/>
        <v>20</v>
      </c>
      <c r="L43" s="51">
        <f t="shared" si="237"/>
        <v>0</v>
      </c>
      <c r="M43" s="51">
        <f t="shared" si="238"/>
        <v>0</v>
      </c>
      <c r="P43" s="63" t="s">
        <v>378</v>
      </c>
      <c r="Q43" s="63">
        <v>42.643055556</v>
      </c>
      <c r="R43" s="64">
        <f t="shared" si="212"/>
        <v>42</v>
      </c>
      <c r="S43" s="64">
        <f t="shared" si="213"/>
        <v>38</v>
      </c>
      <c r="T43" s="64">
        <f t="shared" si="214"/>
        <v>35</v>
      </c>
      <c r="U43" s="65">
        <f t="shared" si="215"/>
        <v>0</v>
      </c>
      <c r="V43" s="65">
        <f t="shared" si="216"/>
        <v>0</v>
      </c>
      <c r="W43" s="65">
        <f t="shared" si="217"/>
        <v>0</v>
      </c>
      <c r="X43" s="65">
        <f t="shared" si="218"/>
        <v>20</v>
      </c>
      <c r="AB43" s="63" t="s">
        <v>378</v>
      </c>
      <c r="AC43" s="63">
        <v>42.643055556</v>
      </c>
      <c r="AD43" s="64">
        <f t="shared" si="219"/>
        <v>42</v>
      </c>
      <c r="AE43" s="64">
        <f t="shared" si="220"/>
        <v>38</v>
      </c>
      <c r="AF43" s="64">
        <f t="shared" si="221"/>
        <v>35</v>
      </c>
      <c r="AG43" s="65">
        <f t="shared" si="222"/>
        <v>0</v>
      </c>
      <c r="AH43" s="65">
        <f t="shared" si="223"/>
        <v>0</v>
      </c>
      <c r="AI43" s="65">
        <f t="shared" si="224"/>
        <v>0</v>
      </c>
      <c r="AJ43" s="65">
        <f t="shared" si="225"/>
        <v>20</v>
      </c>
      <c r="AM43" s="10"/>
      <c r="AN43" s="7" t="s">
        <v>547</v>
      </c>
      <c r="AO43" s="63">
        <v>0.22720833333339999</v>
      </c>
      <c r="AP43" s="64">
        <f t="shared" si="226"/>
        <v>0</v>
      </c>
      <c r="AQ43" s="64">
        <f t="shared" si="227"/>
        <v>13</v>
      </c>
      <c r="AR43" s="64">
        <f t="shared" si="228"/>
        <v>37</v>
      </c>
      <c r="AS43" s="65">
        <f t="shared" si="229"/>
        <v>57</v>
      </c>
      <c r="AT43" s="65">
        <f t="shared" si="230"/>
        <v>0</v>
      </c>
      <c r="AU43" s="65">
        <f t="shared" si="231"/>
        <v>0</v>
      </c>
      <c r="AV43" s="65">
        <f t="shared" si="232"/>
        <v>0</v>
      </c>
      <c r="AY43" s="63">
        <v>0.22720833333339999</v>
      </c>
      <c r="BE43" s="7" t="s">
        <v>547</v>
      </c>
      <c r="BF43" s="7">
        <f>AO43</f>
        <v>0.22720833333339999</v>
      </c>
      <c r="BG43" s="64">
        <f t="shared" ref="BG43:BG53" si="239">INT(ABS(BF43))</f>
        <v>0</v>
      </c>
      <c r="BH43" s="64">
        <f t="shared" ref="BH43:BH53" si="240">INT((ABS(BF43)-BG43)*60)</f>
        <v>13</v>
      </c>
      <c r="BI43" s="64">
        <f t="shared" ref="BI43:BI53" si="241">INT((((ABS(BF43)-BG43)*60)-BH43)*60)</f>
        <v>37</v>
      </c>
      <c r="BJ43" s="65">
        <f t="shared" ref="BJ43:BJ53" si="242">INT((((((ABS(BF43)-BG43)*60)-BH43)*60)-BI43)*60)</f>
        <v>57</v>
      </c>
      <c r="BL43" s="7" t="s">
        <v>547</v>
      </c>
      <c r="BM43" s="7">
        <f>AO43</f>
        <v>0.22720833333339999</v>
      </c>
      <c r="BN43" s="64">
        <f t="shared" ref="BN43:BN53" si="243">INT(ABS(BM43))</f>
        <v>0</v>
      </c>
      <c r="BO43" s="64">
        <f t="shared" ref="BO43:BO53" si="244">INT((ABS(BM43)-BN43)*60)</f>
        <v>13</v>
      </c>
      <c r="BP43" s="64">
        <f t="shared" ref="BP43:BP53" si="245">INT((((ABS(BM43)-BN43)*60)-BO43)*60)</f>
        <v>37</v>
      </c>
      <c r="BQ43" s="65">
        <f t="shared" ref="BQ43:BQ53" si="246">INT((((((ABS(BM43)-BN43)*60)-BO43)*60)-BP43)*60)</f>
        <v>57</v>
      </c>
      <c r="BT43">
        <v>3</v>
      </c>
      <c r="BU43" s="24"/>
      <c r="BV43" s="24">
        <f>360-BV42</f>
        <v>240</v>
      </c>
      <c r="BW43" s="64">
        <f t="shared" si="208"/>
        <v>240</v>
      </c>
      <c r="BX43" s="64">
        <f t="shared" si="209"/>
        <v>0</v>
      </c>
      <c r="BY43" s="64">
        <f t="shared" si="210"/>
        <v>0</v>
      </c>
      <c r="BZ43" s="65">
        <f t="shared" si="211"/>
        <v>0</v>
      </c>
      <c r="DB43" s="33"/>
      <c r="DC43" s="33"/>
      <c r="DD43" s="33"/>
      <c r="DE43" s="81"/>
      <c r="DF43" s="81"/>
      <c r="DG43" s="81"/>
      <c r="DH43" s="27"/>
      <c r="DI43" s="27"/>
      <c r="DJ43" s="33"/>
      <c r="DK43" s="33"/>
      <c r="DL43" s="33"/>
      <c r="DM43" s="33" t="s">
        <v>835</v>
      </c>
      <c r="DN43" s="80">
        <f>(((((((((FG55/60)+FF55)/60)+DR43)/60)+DQ43)/60)+DP43)/60)+DO43</f>
        <v>359.99973148148149</v>
      </c>
      <c r="DO43" s="81">
        <v>359</v>
      </c>
      <c r="DP43" s="81">
        <v>59</v>
      </c>
      <c r="DQ43" s="81">
        <v>59</v>
      </c>
      <c r="DR43" s="27">
        <v>2</v>
      </c>
      <c r="DS43" s="27"/>
      <c r="DT43" s="33"/>
      <c r="DU43" s="33"/>
    </row>
    <row r="44" spans="1:152" ht="27">
      <c r="A44" t="s">
        <v>553</v>
      </c>
      <c r="B44" s="10">
        <v>20</v>
      </c>
      <c r="C44" s="63" t="s">
        <v>554</v>
      </c>
      <c r="D44" s="63">
        <v>0.22016203704000001</v>
      </c>
      <c r="E44" s="51">
        <f t="shared" si="233"/>
        <v>0</v>
      </c>
      <c r="F44" s="51">
        <f t="shared" si="234"/>
        <v>13</v>
      </c>
      <c r="G44" s="51">
        <f t="shared" si="235"/>
        <v>12</v>
      </c>
      <c r="I44" s="63" t="s">
        <v>555</v>
      </c>
      <c r="J44" s="63">
        <v>0.22016203704000001</v>
      </c>
      <c r="K44" s="51">
        <f t="shared" si="236"/>
        <v>0</v>
      </c>
      <c r="L44" s="51">
        <f t="shared" si="237"/>
        <v>13</v>
      </c>
      <c r="M44" s="51">
        <f t="shared" si="238"/>
        <v>12</v>
      </c>
      <c r="P44" s="63" t="s">
        <v>556</v>
      </c>
      <c r="Q44" s="63">
        <f>360-Q45</f>
        <v>56.639999999999986</v>
      </c>
      <c r="R44" s="64">
        <f t="shared" si="212"/>
        <v>56</v>
      </c>
      <c r="S44" s="64">
        <f t="shared" si="213"/>
        <v>38</v>
      </c>
      <c r="T44" s="64">
        <f t="shared" si="214"/>
        <v>23</v>
      </c>
      <c r="U44" s="65">
        <f t="shared" si="215"/>
        <v>59</v>
      </c>
      <c r="V44" s="65">
        <f t="shared" si="216"/>
        <v>59</v>
      </c>
      <c r="W44" s="65">
        <f t="shared" si="217"/>
        <v>59</v>
      </c>
      <c r="X44" s="65">
        <f t="shared" si="218"/>
        <v>59</v>
      </c>
      <c r="Y44" t="s">
        <v>557</v>
      </c>
      <c r="AB44" s="63" t="s">
        <v>556</v>
      </c>
      <c r="AC44" s="63">
        <f>AC45-180</f>
        <v>48</v>
      </c>
      <c r="AD44" s="64">
        <f t="shared" si="219"/>
        <v>48</v>
      </c>
      <c r="AE44" s="64">
        <f t="shared" si="220"/>
        <v>0</v>
      </c>
      <c r="AF44" s="64">
        <f t="shared" si="221"/>
        <v>0</v>
      </c>
      <c r="AG44" s="65">
        <f t="shared" si="222"/>
        <v>0</v>
      </c>
      <c r="AH44" s="65">
        <f t="shared" si="223"/>
        <v>0</v>
      </c>
      <c r="AI44" s="65">
        <f t="shared" si="224"/>
        <v>0</v>
      </c>
      <c r="AJ44" s="65">
        <f t="shared" si="225"/>
        <v>0</v>
      </c>
      <c r="AK44" t="s">
        <v>557</v>
      </c>
      <c r="AM44" s="10"/>
      <c r="AN44" s="7" t="s">
        <v>386</v>
      </c>
      <c r="AO44" s="63">
        <v>98.694166666666604</v>
      </c>
      <c r="AP44" s="64">
        <f t="shared" si="226"/>
        <v>98</v>
      </c>
      <c r="AQ44" s="64">
        <f t="shared" si="227"/>
        <v>41</v>
      </c>
      <c r="AR44" s="64">
        <f t="shared" si="228"/>
        <v>38</v>
      </c>
      <c r="AS44" s="65">
        <f t="shared" si="229"/>
        <v>59</v>
      </c>
      <c r="AT44" s="65">
        <f t="shared" si="230"/>
        <v>59</v>
      </c>
      <c r="AU44" s="65">
        <f t="shared" si="231"/>
        <v>59</v>
      </c>
      <c r="AV44" s="65">
        <f t="shared" si="232"/>
        <v>59</v>
      </c>
      <c r="AY44" s="63">
        <v>98.694166666666604</v>
      </c>
      <c r="BE44" s="5"/>
      <c r="BF44" s="5"/>
      <c r="BG44" s="64">
        <f t="shared" si="239"/>
        <v>0</v>
      </c>
      <c r="BH44" s="64">
        <f t="shared" si="240"/>
        <v>0</v>
      </c>
      <c r="BI44" s="64">
        <f t="shared" si="241"/>
        <v>0</v>
      </c>
      <c r="BJ44" s="65">
        <f t="shared" si="242"/>
        <v>0</v>
      </c>
      <c r="BL44" s="5"/>
      <c r="BM44" s="5"/>
      <c r="BN44" s="64">
        <f t="shared" si="243"/>
        <v>0</v>
      </c>
      <c r="BO44" s="64">
        <f t="shared" si="244"/>
        <v>0</v>
      </c>
      <c r="BP44" s="64">
        <f t="shared" si="245"/>
        <v>0</v>
      </c>
      <c r="BQ44" s="65">
        <f t="shared" si="246"/>
        <v>0</v>
      </c>
      <c r="BT44">
        <v>4</v>
      </c>
      <c r="BU44" s="24" t="s">
        <v>566</v>
      </c>
      <c r="BV44" s="24">
        <f>SIN(RADIANS(BV43/2))*2*60</f>
        <v>103.92304845413264</v>
      </c>
      <c r="BW44" s="64">
        <f t="shared" si="208"/>
        <v>103</v>
      </c>
      <c r="BX44" s="64">
        <f t="shared" si="209"/>
        <v>55</v>
      </c>
      <c r="BY44" s="64">
        <f t="shared" si="210"/>
        <v>22</v>
      </c>
      <c r="BZ44" s="65">
        <f t="shared" si="211"/>
        <v>58</v>
      </c>
      <c r="DB44" s="33"/>
      <c r="DC44" s="33"/>
      <c r="DD44" s="33"/>
      <c r="DE44" s="81"/>
      <c r="DF44" s="81"/>
      <c r="DG44" s="81"/>
      <c r="DH44" s="27"/>
      <c r="DI44" s="27"/>
      <c r="DJ44" s="33"/>
      <c r="DK44" s="33"/>
      <c r="DL44" s="33"/>
      <c r="DM44" s="33"/>
      <c r="DN44" s="33" t="e">
        <f ca="1">[5]!ba(SUM(DN41:DN43))</f>
        <v>#NAME?</v>
      </c>
      <c r="DO44" s="81"/>
      <c r="DP44" s="81"/>
      <c r="DQ44" s="81"/>
      <c r="DR44" s="27"/>
      <c r="DS44" s="27"/>
      <c r="DT44" s="33"/>
      <c r="DU44" s="33"/>
    </row>
    <row r="45" spans="1:152" ht="27">
      <c r="C45" s="63" t="s">
        <v>561</v>
      </c>
      <c r="D45" s="63">
        <f>SQRT(3600-POWER((D42/2),2))</f>
        <v>59.943205619986657</v>
      </c>
      <c r="E45" s="51">
        <f t="shared" si="233"/>
        <v>59</v>
      </c>
      <c r="F45" s="51">
        <f t="shared" si="234"/>
        <v>56</v>
      </c>
      <c r="G45" s="51">
        <f t="shared" si="235"/>
        <v>35</v>
      </c>
      <c r="I45" s="63" t="s">
        <v>562</v>
      </c>
      <c r="J45" s="63">
        <f>SQRT(3600-POWER((J42/2),2))</f>
        <v>59.943205619986657</v>
      </c>
      <c r="K45" s="51">
        <f t="shared" si="236"/>
        <v>59</v>
      </c>
      <c r="L45" s="51">
        <f t="shared" si="237"/>
        <v>56</v>
      </c>
      <c r="M45" s="51">
        <f t="shared" si="238"/>
        <v>35</v>
      </c>
      <c r="O45" s="10" t="s">
        <v>563</v>
      </c>
      <c r="P45" s="35" t="s">
        <v>564</v>
      </c>
      <c r="Q45" s="35">
        <f>Y45</f>
        <v>303.36</v>
      </c>
      <c r="R45" s="64">
        <f t="shared" si="212"/>
        <v>303</v>
      </c>
      <c r="S45" s="64">
        <f t="shared" si="213"/>
        <v>21</v>
      </c>
      <c r="T45" s="64">
        <f t="shared" si="214"/>
        <v>36</v>
      </c>
      <c r="U45" s="65">
        <f t="shared" si="215"/>
        <v>0</v>
      </c>
      <c r="V45" s="65">
        <f t="shared" si="216"/>
        <v>0</v>
      </c>
      <c r="W45" s="65">
        <f t="shared" si="217"/>
        <v>0</v>
      </c>
      <c r="X45" s="65">
        <f t="shared" si="218"/>
        <v>0</v>
      </c>
      <c r="Y45" s="10">
        <f>IF(Q41&lt;Q42,Q41+360-Q42,Q41-Q42)</f>
        <v>303.36</v>
      </c>
      <c r="Z45" s="64"/>
      <c r="AA45" s="10" t="s">
        <v>563</v>
      </c>
      <c r="AB45" s="35" t="s">
        <v>564</v>
      </c>
      <c r="AC45" s="35">
        <v>228</v>
      </c>
      <c r="AD45" s="64">
        <f t="shared" si="219"/>
        <v>228</v>
      </c>
      <c r="AE45" s="64">
        <f t="shared" si="220"/>
        <v>0</v>
      </c>
      <c r="AF45" s="64">
        <f t="shared" si="221"/>
        <v>0</v>
      </c>
      <c r="AG45" s="65">
        <f t="shared" si="222"/>
        <v>0</v>
      </c>
      <c r="AH45" s="65">
        <f t="shared" si="223"/>
        <v>0</v>
      </c>
      <c r="AI45" s="65">
        <f t="shared" si="224"/>
        <v>0</v>
      </c>
      <c r="AJ45" s="65">
        <f t="shared" si="225"/>
        <v>0</v>
      </c>
      <c r="AK45" s="10">
        <f>IF(AC41&lt;AC42,AC41+360-AC42,AC41-AC42)</f>
        <v>303.36</v>
      </c>
      <c r="AM45" s="10" t="s">
        <v>531</v>
      </c>
      <c r="AN45" s="10" t="s">
        <v>565</v>
      </c>
      <c r="AO45" s="10">
        <f>AW45</f>
        <v>359.91111111100003</v>
      </c>
      <c r="AP45" s="64">
        <f t="shared" si="226"/>
        <v>359</v>
      </c>
      <c r="AQ45" s="64">
        <f t="shared" si="227"/>
        <v>54</v>
      </c>
      <c r="AR45" s="64">
        <f t="shared" si="228"/>
        <v>39</v>
      </c>
      <c r="AS45" s="65">
        <f t="shared" si="229"/>
        <v>59</v>
      </c>
      <c r="AT45" s="65">
        <f t="shared" si="230"/>
        <v>59</v>
      </c>
      <c r="AU45" s="65">
        <f t="shared" si="231"/>
        <v>59</v>
      </c>
      <c r="AV45" s="65">
        <f t="shared" si="232"/>
        <v>54</v>
      </c>
      <c r="AW45" s="10">
        <f>AO42+360-AO41</f>
        <v>359.91111111100003</v>
      </c>
      <c r="AY45" s="10">
        <v>24</v>
      </c>
      <c r="BE45" s="10" t="s">
        <v>565</v>
      </c>
      <c r="BF45" s="10">
        <v>318</v>
      </c>
      <c r="BG45" s="64">
        <f t="shared" si="239"/>
        <v>318</v>
      </c>
      <c r="BH45" s="64">
        <f t="shared" si="240"/>
        <v>0</v>
      </c>
      <c r="BI45" s="64">
        <f t="shared" si="241"/>
        <v>0</v>
      </c>
      <c r="BJ45" s="65">
        <f t="shared" si="242"/>
        <v>0</v>
      </c>
      <c r="BL45" s="10" t="s">
        <v>565</v>
      </c>
      <c r="BM45" s="10">
        <f>BF45</f>
        <v>318</v>
      </c>
      <c r="BN45" s="64">
        <f t="shared" si="243"/>
        <v>318</v>
      </c>
      <c r="BO45" s="64">
        <f t="shared" si="244"/>
        <v>0</v>
      </c>
      <c r="BP45" s="64">
        <f t="shared" si="245"/>
        <v>0</v>
      </c>
      <c r="BQ45" s="65">
        <f t="shared" si="246"/>
        <v>0</v>
      </c>
      <c r="BT45">
        <v>5</v>
      </c>
      <c r="BU45" s="24" t="s">
        <v>578</v>
      </c>
      <c r="BV45" s="24">
        <v>2.7391700000000001</v>
      </c>
      <c r="BW45" s="64">
        <f t="shared" si="208"/>
        <v>2</v>
      </c>
      <c r="BX45" s="64">
        <f t="shared" si="209"/>
        <v>44</v>
      </c>
      <c r="BY45" s="64">
        <f t="shared" si="210"/>
        <v>21</v>
      </c>
      <c r="BZ45" s="65">
        <f t="shared" si="211"/>
        <v>0</v>
      </c>
      <c r="DB45" s="33"/>
      <c r="DC45" s="33"/>
      <c r="DD45" s="33"/>
      <c r="DE45" s="81"/>
      <c r="DF45" s="81"/>
      <c r="DG45" s="81"/>
      <c r="DH45" s="27"/>
      <c r="DI45" s="27"/>
      <c r="DJ45" s="33"/>
      <c r="DK45" s="33"/>
      <c r="DT45" s="33"/>
      <c r="DU45" s="33"/>
    </row>
    <row r="46" spans="1:152" ht="27">
      <c r="C46" s="63" t="s">
        <v>657</v>
      </c>
      <c r="D46">
        <f>COS(RADIANS(B44))*D44</f>
        <v>0.20688464158368186</v>
      </c>
      <c r="E46" s="51">
        <f t="shared" si="233"/>
        <v>0</v>
      </c>
      <c r="F46" s="51">
        <f t="shared" si="234"/>
        <v>12</v>
      </c>
      <c r="G46" s="51">
        <f t="shared" si="235"/>
        <v>24</v>
      </c>
      <c r="I46" s="63" t="s">
        <v>657</v>
      </c>
      <c r="J46">
        <f>COS(RADIANS(B44))*J44</f>
        <v>0.20688464158368186</v>
      </c>
      <c r="K46" s="51">
        <f t="shared" si="236"/>
        <v>0</v>
      </c>
      <c r="L46" s="51">
        <f t="shared" si="237"/>
        <v>12</v>
      </c>
      <c r="M46" s="51">
        <f t="shared" si="238"/>
        <v>24</v>
      </c>
      <c r="O46" s="10" t="s">
        <v>563</v>
      </c>
      <c r="P46" s="35" t="s">
        <v>576</v>
      </c>
      <c r="Q46" s="35">
        <f>Y46</f>
        <v>359.91111111100003</v>
      </c>
      <c r="R46" s="64">
        <f t="shared" si="212"/>
        <v>359</v>
      </c>
      <c r="S46" s="64">
        <f t="shared" si="213"/>
        <v>54</v>
      </c>
      <c r="T46" s="64">
        <f t="shared" si="214"/>
        <v>39</v>
      </c>
      <c r="U46" s="65">
        <f t="shared" si="215"/>
        <v>59</v>
      </c>
      <c r="V46" s="65">
        <f t="shared" si="216"/>
        <v>59</v>
      </c>
      <c r="W46" s="65">
        <f t="shared" si="217"/>
        <v>59</v>
      </c>
      <c r="X46" s="65">
        <f t="shared" si="218"/>
        <v>54</v>
      </c>
      <c r="Y46" s="10">
        <f>IF(Q41&lt;Q43,Q41+360-Q43,Q41-Q43)</f>
        <v>359.91111111100003</v>
      </c>
      <c r="AA46" s="10" t="s">
        <v>563</v>
      </c>
      <c r="AB46" s="35" t="s">
        <v>576</v>
      </c>
      <c r="AC46" s="35">
        <v>354</v>
      </c>
      <c r="AD46" s="64">
        <f t="shared" si="219"/>
        <v>354</v>
      </c>
      <c r="AE46" s="64">
        <f t="shared" si="220"/>
        <v>0</v>
      </c>
      <c r="AF46" s="64">
        <f t="shared" si="221"/>
        <v>0</v>
      </c>
      <c r="AG46" s="65">
        <f t="shared" si="222"/>
        <v>0</v>
      </c>
      <c r="AH46" s="65">
        <f t="shared" si="223"/>
        <v>0</v>
      </c>
      <c r="AI46" s="65">
        <f t="shared" si="224"/>
        <v>0</v>
      </c>
      <c r="AJ46" s="65">
        <f t="shared" si="225"/>
        <v>0</v>
      </c>
      <c r="AK46" s="10">
        <f>IF(AC41&lt;AC43,AC41+360-AC43,AC41-AC43)</f>
        <v>359.91111111100003</v>
      </c>
      <c r="AM46" s="10"/>
      <c r="AN46" s="7" t="s">
        <v>577</v>
      </c>
      <c r="AO46" s="7">
        <f>COS(RADIANS(360-AO45))</f>
        <v>0.99999879657339474</v>
      </c>
      <c r="AP46" s="64">
        <f t="shared" si="226"/>
        <v>0</v>
      </c>
      <c r="AQ46" s="64">
        <f t="shared" si="227"/>
        <v>59</v>
      </c>
      <c r="AR46" s="64">
        <f t="shared" si="228"/>
        <v>59</v>
      </c>
      <c r="AS46" s="65">
        <f t="shared" si="229"/>
        <v>59</v>
      </c>
      <c r="AT46" s="65">
        <f t="shared" si="230"/>
        <v>44</v>
      </c>
      <c r="AU46" s="65">
        <f t="shared" si="231"/>
        <v>24</v>
      </c>
      <c r="AV46" s="65">
        <f t="shared" si="232"/>
        <v>12</v>
      </c>
      <c r="AY46" s="7">
        <f>COS(RADIANS(360-AY45))</f>
        <v>0.91354545764260098</v>
      </c>
      <c r="BE46" s="5"/>
      <c r="BF46" s="5"/>
      <c r="BG46" s="64">
        <f t="shared" si="239"/>
        <v>0</v>
      </c>
      <c r="BH46" s="64">
        <f t="shared" si="240"/>
        <v>0</v>
      </c>
      <c r="BI46" s="64">
        <f t="shared" si="241"/>
        <v>0</v>
      </c>
      <c r="BJ46" s="65">
        <f t="shared" si="242"/>
        <v>0</v>
      </c>
      <c r="BL46" s="5"/>
      <c r="BM46" s="5"/>
      <c r="BN46" s="64">
        <f t="shared" si="243"/>
        <v>0</v>
      </c>
      <c r="BO46" s="64">
        <f t="shared" si="244"/>
        <v>0</v>
      </c>
      <c r="BP46" s="64">
        <f t="shared" si="245"/>
        <v>0</v>
      </c>
      <c r="BQ46" s="65">
        <f t="shared" si="246"/>
        <v>0</v>
      </c>
      <c r="BT46">
        <v>6</v>
      </c>
      <c r="BU46" s="24" t="s">
        <v>287</v>
      </c>
      <c r="BV46" s="24">
        <f>BV44*BV45/120</f>
        <v>2.3721908052842209</v>
      </c>
      <c r="BW46" s="64">
        <f t="shared" si="208"/>
        <v>2</v>
      </c>
      <c r="BX46" s="64">
        <f t="shared" si="209"/>
        <v>22</v>
      </c>
      <c r="BY46" s="64">
        <f t="shared" si="210"/>
        <v>19</v>
      </c>
      <c r="BZ46" s="65">
        <f t="shared" si="211"/>
        <v>53</v>
      </c>
      <c r="DB46" s="33"/>
      <c r="DC46" s="33"/>
      <c r="DD46" s="33"/>
      <c r="DE46" s="81"/>
      <c r="DF46" s="81"/>
      <c r="DG46" s="81"/>
      <c r="DH46" s="27"/>
      <c r="DI46" s="27"/>
      <c r="DJ46" s="33"/>
      <c r="DK46" s="33"/>
      <c r="DL46" s="33"/>
      <c r="DM46" s="33"/>
      <c r="DN46" s="33"/>
      <c r="DO46" s="81"/>
      <c r="DP46" s="81"/>
      <c r="DQ46" s="81"/>
      <c r="DR46" s="27"/>
      <c r="DS46" s="27"/>
      <c r="DT46" s="33"/>
      <c r="DU46" s="33"/>
    </row>
    <row r="47" spans="1:152" ht="27">
      <c r="C47" s="79" t="s">
        <v>575</v>
      </c>
      <c r="D47" s="79">
        <f>D42+(COS(RADIANS(D43))*D44)</f>
        <v>5.4401620370399995</v>
      </c>
      <c r="E47" s="51">
        <f t="shared" si="233"/>
        <v>5</v>
      </c>
      <c r="F47" s="51">
        <f t="shared" si="234"/>
        <v>26</v>
      </c>
      <c r="G47" s="51">
        <f t="shared" si="235"/>
        <v>24</v>
      </c>
      <c r="I47" s="79" t="s">
        <v>575</v>
      </c>
      <c r="J47" s="79">
        <f>J42+(COS(RADIANS(J43))*J44)</f>
        <v>5.4268846415836816</v>
      </c>
      <c r="K47" s="51">
        <f t="shared" si="236"/>
        <v>5</v>
      </c>
      <c r="L47" s="51">
        <f t="shared" si="237"/>
        <v>25</v>
      </c>
      <c r="M47" s="51">
        <f t="shared" si="238"/>
        <v>36</v>
      </c>
      <c r="P47" s="63" t="s">
        <v>532</v>
      </c>
      <c r="Q47" s="63">
        <v>0.22720833333339999</v>
      </c>
      <c r="R47" s="64">
        <f t="shared" ref="R47:R55" si="247">INT(ABS(Q47))</f>
        <v>0</v>
      </c>
      <c r="S47" s="64">
        <f t="shared" ref="S47:S55" si="248">INT((ABS(Q47)-R47)*60)</f>
        <v>13</v>
      </c>
      <c r="T47" s="64">
        <f t="shared" si="214"/>
        <v>37</v>
      </c>
      <c r="U47" s="65">
        <f>INT((((((ABS(Q47)-R47)*60)-S47)*60)-T47)*60)</f>
        <v>57</v>
      </c>
      <c r="V47" s="65">
        <f>INT((((((((ABS(Q47)-R47)*60)-S47)*60)-T47)*60)-U47)*60)</f>
        <v>0</v>
      </c>
      <c r="W47" s="65">
        <f>INT((((((((((ABS(Q47)-R47)*60)-S47)*60)-T47)*60)-U47)*60)-V47)*60)</f>
        <v>0</v>
      </c>
      <c r="X47" s="65">
        <f>INT((((((((((((ABS(Q47)-R47)*60)-S47)*60)-T47)*60)-U47)*60)-V47)*60)-W47)*60)</f>
        <v>0</v>
      </c>
      <c r="AB47" s="63" t="s">
        <v>532</v>
      </c>
      <c r="AC47" s="63">
        <v>0.22720833333339999</v>
      </c>
      <c r="AD47" s="64">
        <f t="shared" ref="AD47:AD55" si="249">INT(ABS(AC47))</f>
        <v>0</v>
      </c>
      <c r="AE47" s="64">
        <f t="shared" ref="AE47:AE55" si="250">INT((ABS(AC47)-AD47)*60)</f>
        <v>13</v>
      </c>
      <c r="AF47" s="64">
        <f t="shared" si="221"/>
        <v>37</v>
      </c>
      <c r="AG47" s="65">
        <f>INT((((((ABS(AC47)-AD47)*60)-AE47)*60)-AF47)*60)</f>
        <v>57</v>
      </c>
      <c r="AH47" s="65">
        <f>INT((((((((ABS(AC47)-AD47)*60)-AE47)*60)-AF47)*60)-AG47)*60)</f>
        <v>0</v>
      </c>
      <c r="AI47" s="65">
        <f>INT((((((((((ABS(AC47)-AD47)*60)-AE47)*60)-AF47)*60)-AG47)*60)-AH47)*60)</f>
        <v>0</v>
      </c>
      <c r="AJ47" s="65">
        <f>INT((((((((((((ABS(AC47)-AD47)*60)-AE47)*60)-AF47)*60)-AG47)*60)-AH47)*60)-AI47)*60)</f>
        <v>0</v>
      </c>
      <c r="AM47" s="10"/>
      <c r="AN47" s="7" t="s">
        <v>583</v>
      </c>
      <c r="AO47" s="7">
        <f>AO46*AO43</f>
        <v>0.22720805990484672</v>
      </c>
      <c r="AP47" s="64">
        <f t="shared" si="226"/>
        <v>0</v>
      </c>
      <c r="AQ47" s="64">
        <f t="shared" si="227"/>
        <v>13</v>
      </c>
      <c r="AR47" s="64">
        <f t="shared" si="228"/>
        <v>37</v>
      </c>
      <c r="AS47" s="65">
        <f t="shared" si="229"/>
        <v>56</v>
      </c>
      <c r="AT47" s="65">
        <f t="shared" si="230"/>
        <v>56</v>
      </c>
      <c r="AU47" s="65">
        <f t="shared" si="231"/>
        <v>27</v>
      </c>
      <c r="AV47" s="65">
        <f t="shared" si="232"/>
        <v>22</v>
      </c>
      <c r="AY47" s="7">
        <f>AY46*AY43</f>
        <v>0.20756514085527353</v>
      </c>
      <c r="BE47" s="5"/>
      <c r="BF47" s="5"/>
      <c r="BG47" s="64">
        <f t="shared" si="239"/>
        <v>0</v>
      </c>
      <c r="BH47" s="64">
        <f t="shared" si="240"/>
        <v>0</v>
      </c>
      <c r="BI47" s="64">
        <f t="shared" si="241"/>
        <v>0</v>
      </c>
      <c r="BJ47" s="65">
        <f t="shared" si="242"/>
        <v>0</v>
      </c>
      <c r="BL47" s="5"/>
      <c r="BM47" s="5"/>
      <c r="BN47" s="64">
        <f t="shared" si="243"/>
        <v>0</v>
      </c>
      <c r="BO47" s="64">
        <f t="shared" si="244"/>
        <v>0</v>
      </c>
      <c r="BP47" s="64">
        <f t="shared" si="245"/>
        <v>0</v>
      </c>
      <c r="BQ47" s="65">
        <f t="shared" si="246"/>
        <v>0</v>
      </c>
      <c r="BT47">
        <v>7</v>
      </c>
      <c r="BU47" s="24" t="s">
        <v>588</v>
      </c>
      <c r="BV47" s="24">
        <f>BV42-180</f>
        <v>-60</v>
      </c>
      <c r="BW47" s="64">
        <f t="shared" si="208"/>
        <v>60</v>
      </c>
      <c r="BX47" s="64">
        <f t="shared" si="209"/>
        <v>0</v>
      </c>
      <c r="BY47" s="64">
        <f t="shared" si="210"/>
        <v>0</v>
      </c>
      <c r="BZ47" s="65">
        <f t="shared" si="211"/>
        <v>0</v>
      </c>
      <c r="DB47" s="33"/>
      <c r="DC47" s="33"/>
      <c r="DD47" s="33"/>
      <c r="DE47" s="81"/>
      <c r="DF47" s="81"/>
      <c r="DG47" s="81"/>
      <c r="DH47" s="27"/>
      <c r="DI47" s="27"/>
      <c r="DJ47" s="33"/>
      <c r="DK47" s="33"/>
      <c r="DL47" s="33"/>
      <c r="DM47" s="33"/>
      <c r="DN47" s="33"/>
      <c r="DO47" s="81"/>
      <c r="DP47" s="81"/>
      <c r="DQ47" s="81"/>
      <c r="DR47" s="27"/>
      <c r="DS47" s="27"/>
      <c r="DT47" s="33"/>
      <c r="DU47" s="33"/>
    </row>
    <row r="48" spans="1:152" ht="27">
      <c r="C48" s="79" t="s">
        <v>582</v>
      </c>
      <c r="D48" s="79">
        <f>180-D43</f>
        <v>180</v>
      </c>
      <c r="E48" s="51">
        <f t="shared" si="233"/>
        <v>180</v>
      </c>
      <c r="F48" s="51">
        <f t="shared" si="234"/>
        <v>0</v>
      </c>
      <c r="G48" s="51">
        <f t="shared" si="235"/>
        <v>0</v>
      </c>
      <c r="I48" s="79" t="s">
        <v>582</v>
      </c>
      <c r="J48" s="79">
        <f>180-J43</f>
        <v>160</v>
      </c>
      <c r="K48" s="51">
        <f t="shared" si="236"/>
        <v>160</v>
      </c>
      <c r="L48" s="51">
        <f t="shared" si="237"/>
        <v>0</v>
      </c>
      <c r="M48" s="51">
        <f t="shared" si="238"/>
        <v>0</v>
      </c>
      <c r="P48" s="79" t="s">
        <v>287</v>
      </c>
      <c r="Q48" s="79">
        <f>COS(RADIANS(Q46))*Q47</f>
        <v>0.22720805990484672</v>
      </c>
      <c r="R48" s="64">
        <f t="shared" si="247"/>
        <v>0</v>
      </c>
      <c r="S48" s="64">
        <f t="shared" si="248"/>
        <v>13</v>
      </c>
      <c r="T48" s="64">
        <f t="shared" ref="T48:T55" si="251">INT((((ABS(Q48)-R48)*60)-S48)*60)</f>
        <v>37</v>
      </c>
      <c r="U48" s="65">
        <f t="shared" ref="U48:U55" si="252">INT((((((ABS(Q48)-R48)*60)-S48)*60)-T48)*60)</f>
        <v>56</v>
      </c>
      <c r="V48" s="65">
        <f t="shared" ref="V48:V55" si="253">INT((((((((ABS(Q48)-R48)*60)-S48)*60)-T48)*60)-U48)*60)</f>
        <v>56</v>
      </c>
      <c r="W48" s="65">
        <f t="shared" ref="W48:W55" si="254">INT((((((((((ABS(Q48)-R48)*60)-S48)*60)-T48)*60)-U48)*60)-V48)*60)</f>
        <v>27</v>
      </c>
      <c r="X48" s="65">
        <f t="shared" ref="X48:X55" si="255">INT((((((((((((ABS(Q48)-R48)*60)-S48)*60)-T48)*60)-U48)*60)-V48)*60)-W48)*60)</f>
        <v>22</v>
      </c>
      <c r="AB48" s="79" t="s">
        <v>287</v>
      </c>
      <c r="AC48" s="79">
        <f>COS(RADIANS(AC46))*AC47</f>
        <v>0.22596366231019938</v>
      </c>
      <c r="AD48" s="64">
        <f t="shared" si="249"/>
        <v>0</v>
      </c>
      <c r="AE48" s="64">
        <f t="shared" si="250"/>
        <v>13</v>
      </c>
      <c r="AF48" s="64">
        <f t="shared" ref="AF48:AF55" si="256">INT((((ABS(AC48)-AD48)*60)-AE48)*60)</f>
        <v>33</v>
      </c>
      <c r="AG48" s="65">
        <f t="shared" ref="AG48:AG55" si="257">INT((((((ABS(AC48)-AD48)*60)-AE48)*60)-AF48)*60)</f>
        <v>28</v>
      </c>
      <c r="AH48" s="65">
        <f t="shared" ref="AH48:AH55" si="258">INT((((((((ABS(AC48)-AD48)*60)-AE48)*60)-AF48)*60)-AG48)*60)</f>
        <v>9</v>
      </c>
      <c r="AI48" s="65">
        <f t="shared" ref="AI48:AI55" si="259">INT((((((((((ABS(AC48)-AD48)*60)-AE48)*60)-AF48)*60)-AG48)*60)-AH48)*60)</f>
        <v>3</v>
      </c>
      <c r="AJ48" s="65">
        <f t="shared" ref="AJ48:AJ55" si="260">INT((((((((((((ABS(AC48)-AD48)*60)-AE48)*60)-AF48)*60)-AG48)*60)-AH48)*60)-AI48)*60)</f>
        <v>48</v>
      </c>
      <c r="AM48" s="10" t="s">
        <v>531</v>
      </c>
      <c r="AN48" s="10" t="s">
        <v>587</v>
      </c>
      <c r="AO48" s="10">
        <f>AW48</f>
        <v>303.8600000003334</v>
      </c>
      <c r="AP48" s="64">
        <f t="shared" si="226"/>
        <v>303</v>
      </c>
      <c r="AQ48" s="64">
        <f t="shared" si="227"/>
        <v>51</v>
      </c>
      <c r="AR48" s="64">
        <f t="shared" si="228"/>
        <v>36</v>
      </c>
      <c r="AS48" s="65">
        <f t="shared" si="229"/>
        <v>0</v>
      </c>
      <c r="AT48" s="65">
        <f t="shared" si="230"/>
        <v>0</v>
      </c>
      <c r="AU48" s="65">
        <f t="shared" si="231"/>
        <v>0</v>
      </c>
      <c r="AV48" s="65">
        <f t="shared" si="232"/>
        <v>15</v>
      </c>
      <c r="AW48" s="10">
        <f>360+AO42-AO44</f>
        <v>303.8600000003334</v>
      </c>
      <c r="AY48" s="10">
        <v>24</v>
      </c>
      <c r="BE48" s="10" t="s">
        <v>587</v>
      </c>
      <c r="BF48" s="10">
        <v>73</v>
      </c>
      <c r="BG48" s="64">
        <f t="shared" si="239"/>
        <v>73</v>
      </c>
      <c r="BH48" s="64">
        <f t="shared" si="240"/>
        <v>0</v>
      </c>
      <c r="BI48" s="64">
        <f t="shared" si="241"/>
        <v>0</v>
      </c>
      <c r="BJ48" s="65">
        <f t="shared" si="242"/>
        <v>0</v>
      </c>
      <c r="BL48" s="10" t="s">
        <v>587</v>
      </c>
      <c r="BM48" s="10">
        <f>BF48</f>
        <v>73</v>
      </c>
      <c r="BN48" s="64">
        <f t="shared" si="243"/>
        <v>73</v>
      </c>
      <c r="BO48" s="64">
        <f t="shared" si="244"/>
        <v>0</v>
      </c>
      <c r="BP48" s="64">
        <f t="shared" si="245"/>
        <v>0</v>
      </c>
      <c r="BQ48" s="65">
        <f t="shared" si="246"/>
        <v>0</v>
      </c>
      <c r="BT48">
        <v>8</v>
      </c>
      <c r="BU48" s="24" t="s">
        <v>595</v>
      </c>
      <c r="BV48" s="24">
        <f>BV47/2</f>
        <v>-30</v>
      </c>
      <c r="BW48" s="64">
        <f t="shared" si="208"/>
        <v>30</v>
      </c>
      <c r="BX48" s="64">
        <f t="shared" si="209"/>
        <v>0</v>
      </c>
      <c r="BY48" s="64">
        <f t="shared" si="210"/>
        <v>0</v>
      </c>
      <c r="BZ48" s="65">
        <f t="shared" si="211"/>
        <v>0</v>
      </c>
      <c r="DB48" s="33"/>
      <c r="DC48" s="33"/>
      <c r="DD48" s="33"/>
      <c r="DE48" s="81"/>
      <c r="DF48" s="81"/>
      <c r="DG48" s="81"/>
      <c r="DH48" s="27"/>
      <c r="DI48" s="27"/>
      <c r="DJ48" s="33"/>
      <c r="DK48" s="33"/>
      <c r="DL48" s="33"/>
      <c r="DM48" s="33"/>
      <c r="DN48" s="33"/>
      <c r="DO48" s="81"/>
      <c r="DP48" s="81"/>
      <c r="DQ48" s="81"/>
      <c r="DR48" s="27"/>
      <c r="DS48" s="27"/>
      <c r="DT48" s="33"/>
      <c r="DU48" s="33"/>
    </row>
    <row r="49" spans="3:138" ht="27">
      <c r="C49" s="79" t="s">
        <v>586</v>
      </c>
      <c r="D49" s="79">
        <f>TAN(RADIANS(D43))*60</f>
        <v>0</v>
      </c>
      <c r="E49" s="51">
        <f>INT(ABS(D49))</f>
        <v>0</v>
      </c>
      <c r="F49" s="51">
        <f>INT((ABS(D49)-E49)*60)</f>
        <v>0</v>
      </c>
      <c r="G49" s="51">
        <f>INT((((ABS(D49)-E49)*60)-F49)*60)</f>
        <v>0</v>
      </c>
      <c r="I49" s="79" t="s">
        <v>586</v>
      </c>
      <c r="J49" s="79">
        <f>TAN(RADIANS(J43))*60</f>
        <v>21.838214055972141</v>
      </c>
      <c r="K49" s="51">
        <f>INT(ABS(J49))</f>
        <v>21</v>
      </c>
      <c r="L49" s="51">
        <f>INT((ABS(J49)-K49)*60)</f>
        <v>50</v>
      </c>
      <c r="M49" s="51">
        <f>INT((((ABS(J49)-K49)*60)-L49)*60)</f>
        <v>17</v>
      </c>
      <c r="P49" s="79" t="s">
        <v>592</v>
      </c>
      <c r="Q49" s="79"/>
      <c r="R49" s="64">
        <f t="shared" si="247"/>
        <v>0</v>
      </c>
      <c r="S49" s="64">
        <f t="shared" si="248"/>
        <v>0</v>
      </c>
      <c r="T49" s="64">
        <f t="shared" si="251"/>
        <v>0</v>
      </c>
      <c r="U49" s="65">
        <f t="shared" si="252"/>
        <v>0</v>
      </c>
      <c r="V49" s="65">
        <f t="shared" si="253"/>
        <v>0</v>
      </c>
      <c r="W49" s="65">
        <f t="shared" si="254"/>
        <v>0</v>
      </c>
      <c r="X49" s="65">
        <f t="shared" si="255"/>
        <v>0</v>
      </c>
      <c r="AB49" s="79" t="s">
        <v>592</v>
      </c>
      <c r="AC49" s="79"/>
      <c r="AD49" s="64">
        <f t="shared" si="249"/>
        <v>0</v>
      </c>
      <c r="AE49" s="64">
        <f t="shared" si="250"/>
        <v>0</v>
      </c>
      <c r="AF49" s="64">
        <f t="shared" si="256"/>
        <v>0</v>
      </c>
      <c r="AG49" s="65">
        <f t="shared" si="257"/>
        <v>0</v>
      </c>
      <c r="AH49" s="65">
        <f t="shared" si="258"/>
        <v>0</v>
      </c>
      <c r="AI49" s="65">
        <f t="shared" si="259"/>
        <v>0</v>
      </c>
      <c r="AJ49" s="65">
        <f t="shared" si="260"/>
        <v>0</v>
      </c>
      <c r="AM49" s="10"/>
      <c r="AN49" s="7" t="s">
        <v>593</v>
      </c>
      <c r="AO49" s="7">
        <f>360-AO48</f>
        <v>56.1399999996666</v>
      </c>
      <c r="AP49" s="64">
        <f t="shared" si="226"/>
        <v>56</v>
      </c>
      <c r="AQ49" s="64">
        <f t="shared" si="227"/>
        <v>8</v>
      </c>
      <c r="AR49" s="64">
        <f t="shared" si="228"/>
        <v>23</v>
      </c>
      <c r="AS49" s="65">
        <f t="shared" si="229"/>
        <v>59</v>
      </c>
      <c r="AT49" s="65">
        <f t="shared" si="230"/>
        <v>59</v>
      </c>
      <c r="AU49" s="65">
        <f t="shared" si="231"/>
        <v>59</v>
      </c>
      <c r="AV49" s="65">
        <f t="shared" si="232"/>
        <v>44</v>
      </c>
      <c r="AY49" s="7"/>
      <c r="BE49" s="5" t="s">
        <v>594</v>
      </c>
      <c r="BF49" s="5">
        <f>ABS(COS(RADIANS(BF45))*BF43)</f>
        <v>0.16884869722205914</v>
      </c>
      <c r="BG49" s="64">
        <f t="shared" si="239"/>
        <v>0</v>
      </c>
      <c r="BH49" s="64">
        <f t="shared" si="240"/>
        <v>10</v>
      </c>
      <c r="BI49" s="64">
        <f t="shared" si="241"/>
        <v>7</v>
      </c>
      <c r="BJ49" s="65">
        <f t="shared" si="242"/>
        <v>51</v>
      </c>
      <c r="BL49" s="5" t="s">
        <v>594</v>
      </c>
      <c r="BM49" s="5">
        <f>ABS(COS(RADIANS(BM45))*BM43)</f>
        <v>0.16884869722205914</v>
      </c>
      <c r="BN49" s="64">
        <f t="shared" si="243"/>
        <v>0</v>
      </c>
      <c r="BO49" s="64">
        <f t="shared" si="244"/>
        <v>10</v>
      </c>
      <c r="BP49" s="64">
        <f t="shared" si="245"/>
        <v>7</v>
      </c>
      <c r="BQ49" s="65">
        <f t="shared" si="246"/>
        <v>51</v>
      </c>
      <c r="BR49" s="22">
        <f>IF(OR(BM45&lt;90,BM45&gt;270),IF(OR(BM48&lt;90,BM48&gt;270),1,2),IF(OR(BM48&lt;90,BM48&gt;270),2,1))</f>
        <v>1</v>
      </c>
      <c r="BT49">
        <v>9</v>
      </c>
      <c r="BU49" s="24" t="s">
        <v>600</v>
      </c>
      <c r="BV49" s="24">
        <f>BV48</f>
        <v>-30</v>
      </c>
      <c r="BW49" s="64">
        <f t="shared" si="208"/>
        <v>30</v>
      </c>
      <c r="BX49" s="64">
        <f t="shared" si="209"/>
        <v>0</v>
      </c>
      <c r="BY49" s="64">
        <f t="shared" si="210"/>
        <v>0</v>
      </c>
      <c r="BZ49" s="65">
        <f t="shared" si="211"/>
        <v>0</v>
      </c>
      <c r="DB49" s="33"/>
      <c r="DC49" s="33"/>
      <c r="DD49" s="72"/>
      <c r="DE49" s="33"/>
      <c r="DF49" s="33"/>
      <c r="DG49" s="33"/>
      <c r="DH49" s="33"/>
      <c r="DI49" s="33"/>
      <c r="DJ49" s="33"/>
      <c r="DK49" s="33"/>
      <c r="DL49" s="33"/>
      <c r="DM49" s="140" t="s">
        <v>848</v>
      </c>
      <c r="DN49" s="140"/>
      <c r="DO49" s="140" t="s">
        <v>837</v>
      </c>
      <c r="DP49" s="140"/>
      <c r="DQ49" s="140"/>
      <c r="DR49" s="141"/>
      <c r="DS49" s="145" t="s">
        <v>837</v>
      </c>
      <c r="DT49" s="5"/>
      <c r="DU49" s="5"/>
      <c r="DV49" s="5"/>
      <c r="EC49" s="136">
        <f>((EF49/60)+EE49)/60</f>
        <v>0.44194444444444442</v>
      </c>
      <c r="EE49" s="33">
        <v>26</v>
      </c>
      <c r="EF49" s="33">
        <v>31</v>
      </c>
    </row>
    <row r="50" spans="3:138" ht="27">
      <c r="C50" s="79" t="s">
        <v>591</v>
      </c>
      <c r="D50" s="79">
        <f>D49*60/D45</f>
        <v>0</v>
      </c>
      <c r="E50" s="51">
        <f>INT(ABS(D50))</f>
        <v>0</v>
      </c>
      <c r="F50" s="51">
        <f>INT((ABS(D50)-E50)*60)</f>
        <v>0</v>
      </c>
      <c r="G50" s="51">
        <f>INT((((ABS(D50)-E50)*60)-F50)*60)</f>
        <v>0</v>
      </c>
      <c r="I50" s="79" t="s">
        <v>591</v>
      </c>
      <c r="J50" s="79">
        <f>J49*60/J45</f>
        <v>21.858905105359298</v>
      </c>
      <c r="K50" s="51">
        <f>INT(ABS(J50))</f>
        <v>21</v>
      </c>
      <c r="L50" s="51">
        <f>INT((ABS(J50)-K50)*60)</f>
        <v>51</v>
      </c>
      <c r="M50" s="51">
        <f>INT((((ABS(J50)-K50)*60)-L50)*60)</f>
        <v>32</v>
      </c>
      <c r="P50" s="79" t="s">
        <v>599</v>
      </c>
      <c r="Q50" s="79">
        <f>Q45-180</f>
        <v>123.36000000000001</v>
      </c>
      <c r="R50" s="64">
        <f t="shared" si="247"/>
        <v>123</v>
      </c>
      <c r="S50" s="64">
        <f t="shared" si="248"/>
        <v>21</v>
      </c>
      <c r="T50" s="64">
        <f t="shared" si="251"/>
        <v>36</v>
      </c>
      <c r="U50" s="65">
        <f t="shared" si="252"/>
        <v>0</v>
      </c>
      <c r="V50" s="65">
        <f t="shared" si="253"/>
        <v>0</v>
      </c>
      <c r="W50" s="65">
        <f t="shared" si="254"/>
        <v>0</v>
      </c>
      <c r="X50" s="65">
        <f t="shared" si="255"/>
        <v>0</v>
      </c>
      <c r="AB50" s="79" t="s">
        <v>599</v>
      </c>
      <c r="AC50" s="79">
        <f>AC45-180</f>
        <v>48</v>
      </c>
      <c r="AD50" s="64">
        <f t="shared" si="249"/>
        <v>48</v>
      </c>
      <c r="AE50" s="64">
        <f t="shared" si="250"/>
        <v>0</v>
      </c>
      <c r="AF50" s="64">
        <f t="shared" si="256"/>
        <v>0</v>
      </c>
      <c r="AG50" s="65">
        <f t="shared" si="257"/>
        <v>0</v>
      </c>
      <c r="AH50" s="65">
        <f t="shared" si="258"/>
        <v>0</v>
      </c>
      <c r="AI50" s="65">
        <f t="shared" si="259"/>
        <v>0</v>
      </c>
      <c r="AJ50" s="65">
        <f t="shared" si="260"/>
        <v>0</v>
      </c>
      <c r="AM50" s="10"/>
      <c r="AN50" s="7"/>
      <c r="AO50" s="7">
        <f>180-AO49</f>
        <v>123.8600000003334</v>
      </c>
      <c r="AP50" s="64">
        <f t="shared" si="226"/>
        <v>123</v>
      </c>
      <c r="AQ50" s="64">
        <f t="shared" si="227"/>
        <v>51</v>
      </c>
      <c r="AR50" s="64">
        <f t="shared" si="228"/>
        <v>36</v>
      </c>
      <c r="AS50" s="65">
        <f t="shared" si="229"/>
        <v>0</v>
      </c>
      <c r="AT50" s="65">
        <f t="shared" si="230"/>
        <v>0</v>
      </c>
      <c r="AU50" s="65">
        <f t="shared" si="231"/>
        <v>0</v>
      </c>
      <c r="AV50" s="65">
        <f t="shared" si="232"/>
        <v>15</v>
      </c>
      <c r="AY50" s="7">
        <f>180-AY48</f>
        <v>156</v>
      </c>
      <c r="BE50" s="5"/>
      <c r="BF50" s="5">
        <f>SQRT(POWER(ABS((COS(RADIANS(360-BF48)))-BF49),2))</f>
        <v>0.12352300750067757</v>
      </c>
      <c r="BG50" s="64">
        <f t="shared" si="239"/>
        <v>0</v>
      </c>
      <c r="BH50" s="64">
        <f t="shared" si="240"/>
        <v>7</v>
      </c>
      <c r="BI50" s="64">
        <f t="shared" si="241"/>
        <v>24</v>
      </c>
      <c r="BJ50" s="65">
        <f t="shared" si="242"/>
        <v>40</v>
      </c>
      <c r="BL50" s="5"/>
      <c r="BM50" s="5">
        <f>SQRT(POWER(ABS((COS(RADIANS(360-BM48)))-BM49),2))</f>
        <v>0.12352300750067757</v>
      </c>
      <c r="BN50" s="64">
        <f t="shared" si="243"/>
        <v>0</v>
      </c>
      <c r="BO50" s="64">
        <f t="shared" si="244"/>
        <v>7</v>
      </c>
      <c r="BP50" s="64">
        <f t="shared" si="245"/>
        <v>24</v>
      </c>
      <c r="BQ50" s="65">
        <f t="shared" si="246"/>
        <v>40</v>
      </c>
      <c r="BT50">
        <v>10</v>
      </c>
      <c r="BU50" s="24"/>
      <c r="BV50" s="24">
        <f>180-BV49</f>
        <v>210</v>
      </c>
      <c r="BW50" s="64">
        <f t="shared" si="208"/>
        <v>210</v>
      </c>
      <c r="BX50" s="64">
        <f t="shared" si="209"/>
        <v>0</v>
      </c>
      <c r="BY50" s="64">
        <f t="shared" si="210"/>
        <v>0</v>
      </c>
      <c r="BZ50" s="65">
        <f t="shared" si="211"/>
        <v>0</v>
      </c>
      <c r="DB50" s="33"/>
      <c r="DC50" s="33"/>
      <c r="DD50" s="33"/>
      <c r="DE50" s="81"/>
      <c r="DF50" s="81"/>
      <c r="DG50" s="81"/>
      <c r="DH50" s="27"/>
      <c r="DI50" s="27"/>
      <c r="DJ50" s="33"/>
      <c r="DK50" s="33"/>
      <c r="DL50" s="33"/>
      <c r="DM50" s="136" t="s">
        <v>838</v>
      </c>
      <c r="DN50" s="136"/>
      <c r="DO50" s="142">
        <v>23</v>
      </c>
      <c r="DP50" s="142">
        <v>2</v>
      </c>
      <c r="DQ50" s="142">
        <f>((DO50/60)+DP50)/60</f>
        <v>3.9722222222222221E-2</v>
      </c>
      <c r="DR50" s="143" t="s">
        <v>839</v>
      </c>
      <c r="DS50" s="144">
        <v>24</v>
      </c>
      <c r="DT50" s="6">
        <v>2</v>
      </c>
      <c r="DU50" s="142">
        <f>((DS50/60)+DT50)/60</f>
        <v>0.04</v>
      </c>
      <c r="DV50" s="6" t="s">
        <v>839</v>
      </c>
      <c r="EC50" s="136">
        <f>((EF50/60)+EE50)/60</f>
        <v>0.33083333333333337</v>
      </c>
      <c r="EE50" s="33">
        <v>19</v>
      </c>
      <c r="EF50" s="27">
        <v>51</v>
      </c>
    </row>
    <row r="51" spans="3:138" ht="27">
      <c r="C51" s="79" t="s">
        <v>598</v>
      </c>
      <c r="D51" s="79">
        <f>DEGREES(ATAN(D50/60))</f>
        <v>0</v>
      </c>
      <c r="E51" s="51">
        <f t="shared" ref="E51:E60" si="261">INT(ABS(D51))</f>
        <v>0</v>
      </c>
      <c r="F51" s="51">
        <f t="shared" ref="F51:F60" si="262">INT((ABS(D51)-E51)*60)</f>
        <v>0</v>
      </c>
      <c r="G51" s="51">
        <f t="shared" ref="G51:G60" si="263">INT((((ABS(D51)-E51)*60)-F51)*60)</f>
        <v>0</v>
      </c>
      <c r="I51" s="79" t="s">
        <v>598</v>
      </c>
      <c r="J51" s="79">
        <f>DEGREES(ATAN(J50/60))</f>
        <v>20.017445257626012</v>
      </c>
      <c r="K51" s="51">
        <f t="shared" ref="K51:K56" si="264">INT(ABS(J51))</f>
        <v>20</v>
      </c>
      <c r="L51" s="51">
        <f t="shared" ref="L51:L60" si="265">INT((ABS(J51)-K51)*60)</f>
        <v>1</v>
      </c>
      <c r="M51" s="51">
        <f t="shared" ref="M51:M60" si="266">INT((((ABS(J51)-K51)*60)-L51)*60)</f>
        <v>2</v>
      </c>
      <c r="P51" s="79" t="s">
        <v>605</v>
      </c>
      <c r="Q51" s="79">
        <f>COS(RADIANS(Q44))*60</f>
        <v>32.993866333490395</v>
      </c>
      <c r="R51" s="64">
        <f t="shared" si="247"/>
        <v>32</v>
      </c>
      <c r="S51" s="64">
        <f t="shared" si="248"/>
        <v>59</v>
      </c>
      <c r="T51" s="64">
        <f t="shared" si="251"/>
        <v>37</v>
      </c>
      <c r="U51" s="65">
        <f t="shared" si="252"/>
        <v>55</v>
      </c>
      <c r="V51" s="65">
        <f t="shared" si="253"/>
        <v>7</v>
      </c>
      <c r="W51" s="65">
        <f t="shared" si="254"/>
        <v>40</v>
      </c>
      <c r="X51" s="65">
        <f t="shared" si="255"/>
        <v>55</v>
      </c>
      <c r="AB51" s="79" t="s">
        <v>605</v>
      </c>
      <c r="AC51" s="79">
        <f>COS(RADIANS(AC44))*60</f>
        <v>40.147836381531491</v>
      </c>
      <c r="AD51" s="64">
        <f t="shared" si="249"/>
        <v>40</v>
      </c>
      <c r="AE51" s="64">
        <f t="shared" si="250"/>
        <v>8</v>
      </c>
      <c r="AF51" s="64">
        <f t="shared" si="256"/>
        <v>52</v>
      </c>
      <c r="AG51" s="65">
        <f t="shared" si="257"/>
        <v>12</v>
      </c>
      <c r="AH51" s="65">
        <f t="shared" si="258"/>
        <v>39</v>
      </c>
      <c r="AI51" s="65">
        <f t="shared" si="259"/>
        <v>30</v>
      </c>
      <c r="AJ51" s="65">
        <f t="shared" si="260"/>
        <v>16</v>
      </c>
      <c r="AM51" s="10"/>
      <c r="AN51" s="7"/>
      <c r="AO51" s="7">
        <f>AO50/2</f>
        <v>61.9300000001667</v>
      </c>
      <c r="AP51" s="64">
        <f t="shared" si="226"/>
        <v>61</v>
      </c>
      <c r="AQ51" s="64">
        <f t="shared" si="227"/>
        <v>55</v>
      </c>
      <c r="AR51" s="64">
        <f t="shared" si="228"/>
        <v>48</v>
      </c>
      <c r="AS51" s="65">
        <f t="shared" si="229"/>
        <v>0</v>
      </c>
      <c r="AT51" s="65">
        <f t="shared" si="230"/>
        <v>0</v>
      </c>
      <c r="AU51" s="65">
        <f t="shared" si="231"/>
        <v>0</v>
      </c>
      <c r="AV51" s="65">
        <f t="shared" si="232"/>
        <v>7</v>
      </c>
      <c r="AY51" s="7">
        <f>AY50/2</f>
        <v>78</v>
      </c>
      <c r="BE51" s="5"/>
      <c r="BF51" s="5">
        <f>POWER(ABS(SIN(RADIANS(360-BF48))),2)</f>
        <v>0.91451878627752081</v>
      </c>
      <c r="BG51" s="64">
        <f t="shared" si="239"/>
        <v>0</v>
      </c>
      <c r="BH51" s="64">
        <f t="shared" si="240"/>
        <v>54</v>
      </c>
      <c r="BI51" s="64">
        <f t="shared" si="241"/>
        <v>52</v>
      </c>
      <c r="BJ51" s="65">
        <f t="shared" si="242"/>
        <v>16</v>
      </c>
      <c r="BL51" s="5"/>
      <c r="BM51" s="5">
        <f>POWER(ABS(SIN(RADIANS(360-BM48))),2)</f>
        <v>0.91451878627752081</v>
      </c>
      <c r="BN51" s="64">
        <f t="shared" si="243"/>
        <v>0</v>
      </c>
      <c r="BO51" s="64">
        <f t="shared" si="244"/>
        <v>54</v>
      </c>
      <c r="BP51" s="64">
        <f t="shared" si="245"/>
        <v>52</v>
      </c>
      <c r="BQ51" s="65">
        <f t="shared" si="246"/>
        <v>16</v>
      </c>
      <c r="BT51">
        <v>11</v>
      </c>
      <c r="BU51" s="24"/>
      <c r="BV51" s="24">
        <f>SIN(RADIANS(BV50))</f>
        <v>-0.50000000000000011</v>
      </c>
      <c r="BW51" s="64">
        <f t="shared" si="208"/>
        <v>0</v>
      </c>
      <c r="BX51" s="64">
        <f t="shared" si="209"/>
        <v>30</v>
      </c>
      <c r="BY51" s="64">
        <f t="shared" si="210"/>
        <v>0</v>
      </c>
      <c r="BZ51" s="65">
        <f t="shared" si="211"/>
        <v>0</v>
      </c>
      <c r="DC51" s="33"/>
      <c r="DD51" s="33"/>
      <c r="DE51" s="81"/>
      <c r="DF51" s="81"/>
      <c r="DG51" s="81"/>
      <c r="DH51" s="27"/>
      <c r="DI51" s="27"/>
      <c r="DJ51" s="33"/>
      <c r="DK51" s="33"/>
      <c r="DL51" s="72"/>
      <c r="DM51" s="136">
        <v>20</v>
      </c>
      <c r="DN51" s="137">
        <v>29</v>
      </c>
      <c r="DO51" s="136">
        <v>31</v>
      </c>
      <c r="DP51" s="136">
        <v>26</v>
      </c>
      <c r="DQ51" s="136">
        <f>((DO51/60)+DP51)/60</f>
        <v>0.44194444444444442</v>
      </c>
      <c r="DR51" s="136"/>
      <c r="DS51" s="138">
        <v>43</v>
      </c>
      <c r="DT51" s="138">
        <v>26</v>
      </c>
      <c r="DU51" s="138">
        <f>((DS51/60)+DT51)/60</f>
        <v>0.44527777777777777</v>
      </c>
      <c r="DV51" s="10"/>
      <c r="EC51" s="33">
        <f>EC49-EC50</f>
        <v>0.11111111111111105</v>
      </c>
    </row>
    <row r="52" spans="3:138" ht="27">
      <c r="C52" s="79" t="s">
        <v>604</v>
      </c>
      <c r="D52" s="79">
        <f>(D42/2)+(COS(RADIANS(D43))*D44)</f>
        <v>2.83016203704</v>
      </c>
      <c r="E52" s="51">
        <f t="shared" si="261"/>
        <v>2</v>
      </c>
      <c r="F52" s="51">
        <f t="shared" si="262"/>
        <v>49</v>
      </c>
      <c r="G52" s="51">
        <f t="shared" si="263"/>
        <v>48</v>
      </c>
      <c r="I52" s="79" t="s">
        <v>604</v>
      </c>
      <c r="J52" s="79">
        <f>(J42/2)+(COS(RADIANS(J43))*J44)</f>
        <v>2.8168846415836817</v>
      </c>
      <c r="K52" s="51">
        <f t="shared" si="264"/>
        <v>2</v>
      </c>
      <c r="L52" s="51">
        <f t="shared" si="265"/>
        <v>49</v>
      </c>
      <c r="M52" s="51">
        <f t="shared" si="266"/>
        <v>0</v>
      </c>
      <c r="P52" s="79" t="s">
        <v>609</v>
      </c>
      <c r="Q52" s="79">
        <f>Q51+Q48</f>
        <v>33.221074393395241</v>
      </c>
      <c r="R52" s="64">
        <f t="shared" si="247"/>
        <v>33</v>
      </c>
      <c r="S52" s="64">
        <f t="shared" si="248"/>
        <v>13</v>
      </c>
      <c r="T52" s="64">
        <f t="shared" si="251"/>
        <v>15</v>
      </c>
      <c r="U52" s="65">
        <f t="shared" si="252"/>
        <v>52</v>
      </c>
      <c r="V52" s="65">
        <f t="shared" si="253"/>
        <v>4</v>
      </c>
      <c r="W52" s="65">
        <f t="shared" si="254"/>
        <v>8</v>
      </c>
      <c r="X52" s="65">
        <f t="shared" si="255"/>
        <v>18</v>
      </c>
      <c r="AB52" s="79" t="s">
        <v>609</v>
      </c>
      <c r="AC52" s="79">
        <f>AC51-AC48</f>
        <v>39.921872719221291</v>
      </c>
      <c r="AD52" s="64">
        <f t="shared" si="249"/>
        <v>39</v>
      </c>
      <c r="AE52" s="64">
        <f t="shared" si="250"/>
        <v>55</v>
      </c>
      <c r="AF52" s="64">
        <f t="shared" si="256"/>
        <v>18</v>
      </c>
      <c r="AG52" s="65">
        <f t="shared" si="257"/>
        <v>44</v>
      </c>
      <c r="AH52" s="65">
        <f t="shared" si="258"/>
        <v>30</v>
      </c>
      <c r="AI52" s="65">
        <f t="shared" si="259"/>
        <v>26</v>
      </c>
      <c r="AJ52" s="65">
        <f t="shared" si="260"/>
        <v>27</v>
      </c>
      <c r="AM52" s="10"/>
      <c r="AN52" s="7"/>
      <c r="AO52" s="7">
        <f>TAN(RADIANS(AO51))</f>
        <v>1.8751960176578029</v>
      </c>
      <c r="AP52" s="64">
        <f t="shared" si="226"/>
        <v>1</v>
      </c>
      <c r="AQ52" s="64">
        <f t="shared" si="227"/>
        <v>52</v>
      </c>
      <c r="AR52" s="64">
        <f t="shared" si="228"/>
        <v>30</v>
      </c>
      <c r="AS52" s="65">
        <f t="shared" si="229"/>
        <v>42</v>
      </c>
      <c r="AT52" s="65">
        <f t="shared" si="230"/>
        <v>20</v>
      </c>
      <c r="AU52" s="65">
        <f t="shared" si="231"/>
        <v>23</v>
      </c>
      <c r="AV52" s="65">
        <f t="shared" si="232"/>
        <v>19</v>
      </c>
      <c r="AY52" s="7">
        <f>TAN(RADIANS(AY51))</f>
        <v>4.7046301094784511</v>
      </c>
      <c r="BE52" s="5" t="s">
        <v>610</v>
      </c>
      <c r="BF52" s="5">
        <f>IF(AND(OR(BF45&lt;90,BF45&gt;270),OR(BF48&lt;90,BF48&gt;270)),SQRT(ABS(BF51+BF50)),SQRT(ABS(BF51-BF50)))</f>
        <v>1.018843360766609</v>
      </c>
      <c r="BG52" s="64">
        <f t="shared" si="239"/>
        <v>1</v>
      </c>
      <c r="BH52" s="64">
        <f t="shared" si="240"/>
        <v>1</v>
      </c>
      <c r="BI52" s="64">
        <f t="shared" si="241"/>
        <v>7</v>
      </c>
      <c r="BJ52" s="65">
        <f t="shared" si="242"/>
        <v>50</v>
      </c>
      <c r="BL52" s="5" t="s">
        <v>610</v>
      </c>
      <c r="BM52" s="5">
        <f>IF(BR49=2,SQRT(ABS(BM51+BM50)),SQRT(ABS(BM51-BM50)))</f>
        <v>0.88937943464915092</v>
      </c>
      <c r="BN52" s="64">
        <f t="shared" si="243"/>
        <v>0</v>
      </c>
      <c r="BO52" s="64">
        <f t="shared" si="244"/>
        <v>53</v>
      </c>
      <c r="BP52" s="64">
        <f t="shared" si="245"/>
        <v>21</v>
      </c>
      <c r="BQ52" s="65">
        <f t="shared" si="246"/>
        <v>45</v>
      </c>
      <c r="BT52">
        <v>12</v>
      </c>
      <c r="BU52" s="24" t="s">
        <v>616</v>
      </c>
      <c r="BV52" s="24">
        <f>BV51*BV46*60/120</f>
        <v>-0.59304770132105533</v>
      </c>
      <c r="BW52" s="64">
        <f t="shared" si="208"/>
        <v>0</v>
      </c>
      <c r="BX52" s="64">
        <f t="shared" si="209"/>
        <v>35</v>
      </c>
      <c r="BY52" s="64">
        <f t="shared" si="210"/>
        <v>34</v>
      </c>
      <c r="BZ52" s="65">
        <f t="shared" si="211"/>
        <v>58</v>
      </c>
      <c r="DB52" s="33"/>
      <c r="DC52" s="33"/>
      <c r="DD52" s="33"/>
      <c r="DE52" s="81"/>
      <c r="DF52" s="81"/>
      <c r="DG52" s="81"/>
      <c r="DH52" s="27"/>
      <c r="DI52" s="27"/>
      <c r="DJ52" s="33"/>
      <c r="DK52" s="33"/>
      <c r="DL52" s="33"/>
      <c r="DM52" s="136">
        <v>40</v>
      </c>
      <c r="DN52" s="136">
        <v>29</v>
      </c>
      <c r="DO52" s="136">
        <v>13</v>
      </c>
      <c r="DP52" s="136">
        <v>26</v>
      </c>
      <c r="DQ52" s="136">
        <f>((DO52/60)+DP52)/60</f>
        <v>0.43694444444444441</v>
      </c>
      <c r="DR52" s="137">
        <f>DQ51-DQ52</f>
        <v>5.0000000000000044E-3</v>
      </c>
      <c r="DS52" s="138">
        <v>25</v>
      </c>
      <c r="DT52" s="10">
        <v>26</v>
      </c>
      <c r="DU52" s="138">
        <f>((DS52/60)+DT52)/60</f>
        <v>0.44027777777777782</v>
      </c>
      <c r="DV52" s="139">
        <f>DU51-DU52</f>
        <v>4.9999999999999489E-3</v>
      </c>
      <c r="EC52" s="33">
        <v>4.4600000000000004E-3</v>
      </c>
      <c r="ED52" s="136">
        <f>INT(ABS(EC52))</f>
        <v>0</v>
      </c>
      <c r="EE52" s="64">
        <f>INT((ABS(EC52)-ED52)*60)</f>
        <v>0</v>
      </c>
      <c r="EF52" s="64">
        <f>INT((((ABS(EC52)-ED52)*60)-EE52)*60)</f>
        <v>16</v>
      </c>
      <c r="EG52" s="65">
        <f>INT((((((ABS(EC52)-ED52)*60)-EE52)*60)-EF52)*60)</f>
        <v>3</v>
      </c>
      <c r="EH52" s="65">
        <f>INT((((((((ABS(EC52)-ED52)*60)-EE52)*60)-EF52)*60)-EG52)*60)</f>
        <v>21</v>
      </c>
    </row>
    <row r="53" spans="3:138" ht="27">
      <c r="C53" s="79" t="s">
        <v>608</v>
      </c>
      <c r="D53" s="79">
        <f>DEGREES(ASIN(SIN(RADIANS(D51))*D52/60))</f>
        <v>0</v>
      </c>
      <c r="E53" s="51">
        <f t="shared" si="261"/>
        <v>0</v>
      </c>
      <c r="F53" s="51">
        <f t="shared" si="262"/>
        <v>0</v>
      </c>
      <c r="G53" s="51">
        <f t="shared" si="263"/>
        <v>0</v>
      </c>
      <c r="I53" s="79" t="s">
        <v>608</v>
      </c>
      <c r="J53" s="79">
        <f>DEGREES(ASIN(SIN(RADIANS(180-J51))*J52/60))</f>
        <v>0.92081833604657681</v>
      </c>
      <c r="K53" s="51">
        <f t="shared" si="264"/>
        <v>0</v>
      </c>
      <c r="L53" s="51">
        <f t="shared" si="265"/>
        <v>55</v>
      </c>
      <c r="M53" s="51">
        <f t="shared" si="266"/>
        <v>14</v>
      </c>
      <c r="P53" s="79" t="s">
        <v>614</v>
      </c>
      <c r="Q53" s="79">
        <f>SIN(RADIANS(Q44))*60</f>
        <v>50.11391807041003</v>
      </c>
      <c r="R53" s="64">
        <f t="shared" si="247"/>
        <v>50</v>
      </c>
      <c r="S53" s="64">
        <f t="shared" si="248"/>
        <v>6</v>
      </c>
      <c r="T53" s="64">
        <f t="shared" si="251"/>
        <v>50</v>
      </c>
      <c r="U53" s="65">
        <f t="shared" si="252"/>
        <v>6</v>
      </c>
      <c r="V53" s="65">
        <f t="shared" si="253"/>
        <v>18</v>
      </c>
      <c r="W53" s="65">
        <f t="shared" si="254"/>
        <v>11</v>
      </c>
      <c r="X53" s="65">
        <f t="shared" si="255"/>
        <v>33</v>
      </c>
      <c r="AB53" s="79" t="s">
        <v>614</v>
      </c>
      <c r="AC53" s="79">
        <f>SIN(RADIANS(AC44))*60</f>
        <v>44.588689528643656</v>
      </c>
      <c r="AD53" s="64">
        <f t="shared" si="249"/>
        <v>44</v>
      </c>
      <c r="AE53" s="64">
        <f t="shared" si="250"/>
        <v>35</v>
      </c>
      <c r="AF53" s="64">
        <f t="shared" si="256"/>
        <v>19</v>
      </c>
      <c r="AG53" s="65">
        <f t="shared" si="257"/>
        <v>16</v>
      </c>
      <c r="AH53" s="65">
        <f t="shared" si="258"/>
        <v>56</v>
      </c>
      <c r="AI53" s="65">
        <f t="shared" si="259"/>
        <v>17</v>
      </c>
      <c r="AJ53" s="65">
        <f t="shared" si="260"/>
        <v>28</v>
      </c>
      <c r="AM53" s="10"/>
      <c r="AN53" s="7" t="s">
        <v>615</v>
      </c>
      <c r="AO53" s="7">
        <v>60</v>
      </c>
      <c r="AP53" s="64">
        <f t="shared" si="226"/>
        <v>60</v>
      </c>
      <c r="AQ53" s="64">
        <f t="shared" si="227"/>
        <v>0</v>
      </c>
      <c r="AR53" s="64">
        <f t="shared" si="228"/>
        <v>0</v>
      </c>
      <c r="AS53" s="65">
        <f t="shared" si="229"/>
        <v>0</v>
      </c>
      <c r="AT53" s="65">
        <f t="shared" si="230"/>
        <v>0</v>
      </c>
      <c r="AU53" s="65">
        <f t="shared" si="231"/>
        <v>0</v>
      </c>
      <c r="AV53" s="65">
        <f t="shared" si="232"/>
        <v>0</v>
      </c>
      <c r="AY53" s="7">
        <v>60</v>
      </c>
      <c r="BE53" s="4" t="s">
        <v>511</v>
      </c>
      <c r="BF53" s="4">
        <f>DEGREES(ASIN(SIN(RADIANS(360-BF48))*BF49)/BF52)/60</f>
        <v>-0.15200697328178844</v>
      </c>
      <c r="BG53" s="64">
        <f t="shared" si="239"/>
        <v>0</v>
      </c>
      <c r="BH53" s="64">
        <f t="shared" si="240"/>
        <v>9</v>
      </c>
      <c r="BI53" s="64">
        <f t="shared" si="241"/>
        <v>7</v>
      </c>
      <c r="BJ53" s="65">
        <f t="shared" si="242"/>
        <v>13</v>
      </c>
      <c r="BL53" s="4" t="s">
        <v>511</v>
      </c>
      <c r="BM53" s="4">
        <f>DEGREES(ASIN(SIN(RADIANS(360-BM48))*BM49)/BM52)/60</f>
        <v>-0.174134109115613</v>
      </c>
      <c r="BN53" s="64">
        <f t="shared" si="243"/>
        <v>0</v>
      </c>
      <c r="BO53" s="64">
        <f t="shared" si="244"/>
        <v>10</v>
      </c>
      <c r="BP53" s="64">
        <f t="shared" si="245"/>
        <v>26</v>
      </c>
      <c r="BQ53" s="65">
        <f t="shared" si="246"/>
        <v>52</v>
      </c>
      <c r="BT53">
        <v>13</v>
      </c>
      <c r="BU53" s="30" t="s">
        <v>622</v>
      </c>
      <c r="BV53" s="30">
        <f>DEGREES(ASIN(BV52))/60</f>
        <v>-0.60622636558288223</v>
      </c>
      <c r="BW53" s="64">
        <f t="shared" si="208"/>
        <v>0</v>
      </c>
      <c r="BX53" s="64">
        <f t="shared" si="209"/>
        <v>36</v>
      </c>
      <c r="BY53" s="64">
        <f t="shared" si="210"/>
        <v>22</v>
      </c>
      <c r="BZ53" s="65">
        <f t="shared" si="211"/>
        <v>24</v>
      </c>
      <c r="DB53" s="33"/>
      <c r="DC53" s="33"/>
      <c r="DD53" s="33"/>
      <c r="DE53" s="81"/>
      <c r="DF53" s="81"/>
      <c r="DG53" s="81"/>
      <c r="DH53" s="27"/>
      <c r="DI53" s="27"/>
      <c r="DJ53" s="33"/>
      <c r="DK53" s="33"/>
      <c r="DL53" s="33"/>
      <c r="DM53" s="136">
        <v>0</v>
      </c>
      <c r="DN53" s="136">
        <v>30</v>
      </c>
      <c r="DO53" s="136">
        <v>54</v>
      </c>
      <c r="DP53" s="136">
        <v>25</v>
      </c>
      <c r="DQ53" s="136">
        <f t="shared" ref="DQ53:DQ78" si="267">((DO53/60)+DP53)/60</f>
        <v>0.43166666666666664</v>
      </c>
      <c r="DR53" s="137">
        <f>DQ52-DQ53</f>
        <v>5.2777777777777701E-3</v>
      </c>
      <c r="DS53" s="28">
        <v>6</v>
      </c>
      <c r="DT53" s="10">
        <v>26</v>
      </c>
      <c r="DU53" s="138">
        <f t="shared" ref="DU53:DU78" si="268">((DS53/60)+DT53)/60</f>
        <v>0.435</v>
      </c>
      <c r="DV53" s="139">
        <f t="shared" ref="DV53:DV78" si="269">DU52-DU53</f>
        <v>5.2777777777778256E-3</v>
      </c>
      <c r="EC53" s="33">
        <f>EC49-EC52</f>
        <v>0.4374844444444444</v>
      </c>
      <c r="ED53" s="136">
        <f>INT(ABS(EC53))</f>
        <v>0</v>
      </c>
      <c r="EE53" s="64">
        <f>INT((ABS(EC53)-ED53)*60)</f>
        <v>26</v>
      </c>
      <c r="EF53" s="64">
        <f>INT((((ABS(EC53)-ED53)*60)-EE53)*60)</f>
        <v>14</v>
      </c>
      <c r="EG53" s="65">
        <f>INT((((((ABS(EC53)-ED53)*60)-EE53)*60)-EF53)*60)</f>
        <v>56</v>
      </c>
      <c r="EH53" s="65">
        <f>INT((((((((ABS(EC53)-ED53)*60)-EE53)*60)-EF53)*60)-EG53)*60)</f>
        <v>38</v>
      </c>
    </row>
    <row r="54" spans="3:138" ht="27">
      <c r="C54" s="79" t="s">
        <v>613</v>
      </c>
      <c r="D54" s="79">
        <f>D51+D53</f>
        <v>0</v>
      </c>
      <c r="E54" s="51">
        <f t="shared" si="261"/>
        <v>0</v>
      </c>
      <c r="F54" s="51">
        <f t="shared" si="262"/>
        <v>0</v>
      </c>
      <c r="G54" s="51">
        <f t="shared" si="263"/>
        <v>0</v>
      </c>
      <c r="I54" s="79" t="s">
        <v>613</v>
      </c>
      <c r="J54" s="79">
        <f>J51-J53</f>
        <v>19.096626921579436</v>
      </c>
      <c r="K54" s="51">
        <f t="shared" si="264"/>
        <v>19</v>
      </c>
      <c r="L54" s="51">
        <f t="shared" si="265"/>
        <v>5</v>
      </c>
      <c r="M54" s="51">
        <f t="shared" si="266"/>
        <v>47</v>
      </c>
      <c r="P54" s="79" t="s">
        <v>620</v>
      </c>
      <c r="Q54" s="79">
        <f>SQRT(POWER(Q53,2)+POWER(Q52,2))</f>
        <v>60.125240691570376</v>
      </c>
      <c r="R54" s="64">
        <f t="shared" si="247"/>
        <v>60</v>
      </c>
      <c r="S54" s="64">
        <f t="shared" si="248"/>
        <v>7</v>
      </c>
      <c r="T54" s="64">
        <f t="shared" si="251"/>
        <v>30</v>
      </c>
      <c r="U54" s="65">
        <f t="shared" si="252"/>
        <v>51</v>
      </c>
      <c r="V54" s="65">
        <f t="shared" si="253"/>
        <v>59</v>
      </c>
      <c r="W54" s="65">
        <f t="shared" si="254"/>
        <v>21</v>
      </c>
      <c r="X54" s="65">
        <f t="shared" si="255"/>
        <v>45</v>
      </c>
      <c r="AB54" s="79" t="s">
        <v>620</v>
      </c>
      <c r="AC54" s="79">
        <f>SQRT(POWER(AC53,2)+POWER(AC52,2))</f>
        <v>59.849036377300862</v>
      </c>
      <c r="AD54" s="64">
        <f t="shared" si="249"/>
        <v>59</v>
      </c>
      <c r="AE54" s="64">
        <f t="shared" si="250"/>
        <v>50</v>
      </c>
      <c r="AF54" s="64">
        <f t="shared" si="256"/>
        <v>56</v>
      </c>
      <c r="AG54" s="65">
        <f t="shared" si="257"/>
        <v>31</v>
      </c>
      <c r="AH54" s="65">
        <f t="shared" si="258"/>
        <v>51</v>
      </c>
      <c r="AI54" s="65">
        <f t="shared" si="259"/>
        <v>26</v>
      </c>
      <c r="AJ54" s="65">
        <f t="shared" si="260"/>
        <v>59</v>
      </c>
      <c r="AM54" s="10"/>
      <c r="AN54" s="7" t="s">
        <v>621</v>
      </c>
      <c r="AO54" s="7">
        <f>AO53-AO47</f>
        <v>59.772791940095154</v>
      </c>
      <c r="AP54" s="64">
        <f t="shared" si="226"/>
        <v>59</v>
      </c>
      <c r="AQ54" s="64">
        <f t="shared" si="227"/>
        <v>46</v>
      </c>
      <c r="AR54" s="64">
        <f t="shared" si="228"/>
        <v>22</v>
      </c>
      <c r="AS54" s="65">
        <f t="shared" si="229"/>
        <v>3</v>
      </c>
      <c r="AT54" s="65">
        <f t="shared" si="230"/>
        <v>3</v>
      </c>
      <c r="AU54" s="65">
        <f t="shared" si="231"/>
        <v>32</v>
      </c>
      <c r="AV54" s="65">
        <f t="shared" si="232"/>
        <v>37</v>
      </c>
      <c r="AY54" s="7">
        <f>AY53-AY47</f>
        <v>59.792434859144727</v>
      </c>
      <c r="BT54">
        <v>14</v>
      </c>
      <c r="BU54" s="24" t="s">
        <v>628</v>
      </c>
      <c r="BV54" s="24">
        <f>BV49-BV53</f>
        <v>-29.393773634417119</v>
      </c>
      <c r="BW54" s="64">
        <f t="shared" si="208"/>
        <v>29</v>
      </c>
      <c r="BX54" s="64">
        <f t="shared" si="209"/>
        <v>23</v>
      </c>
      <c r="BY54" s="64">
        <f t="shared" si="210"/>
        <v>37</v>
      </c>
      <c r="BZ54" s="65">
        <f t="shared" si="211"/>
        <v>35</v>
      </c>
      <c r="DB54" s="27"/>
      <c r="DC54" s="33"/>
      <c r="DD54" s="33"/>
      <c r="DE54" s="81"/>
      <c r="DF54" s="81"/>
      <c r="DG54" s="81"/>
      <c r="DH54" s="27"/>
      <c r="DI54" s="27"/>
      <c r="DJ54" s="33"/>
      <c r="DK54" s="33"/>
      <c r="DL54" s="33"/>
      <c r="DM54" s="136">
        <v>20</v>
      </c>
      <c r="DN54" s="136">
        <v>30</v>
      </c>
      <c r="DO54" s="136">
        <v>36</v>
      </c>
      <c r="DP54" s="136">
        <v>25</v>
      </c>
      <c r="DQ54" s="136">
        <f t="shared" si="267"/>
        <v>0.42666666666666669</v>
      </c>
      <c r="DR54" s="137">
        <f>DQ53-DQ54</f>
        <v>4.9999999999999489E-3</v>
      </c>
      <c r="DS54" s="28">
        <v>48</v>
      </c>
      <c r="DT54" s="10">
        <v>25</v>
      </c>
      <c r="DU54" s="138">
        <f t="shared" si="268"/>
        <v>0.43</v>
      </c>
      <c r="DV54" s="139">
        <f t="shared" si="269"/>
        <v>5.0000000000000044E-3</v>
      </c>
      <c r="EC54" s="33">
        <f>(EC52-0.00001)*2</f>
        <v>8.9000000000000017E-3</v>
      </c>
      <c r="ED54" s="136">
        <f>INT(ABS(EC54))</f>
        <v>0</v>
      </c>
      <c r="EE54" s="64">
        <f>INT((ABS(EC54)-ED54)*60)</f>
        <v>0</v>
      </c>
      <c r="EF54" s="64">
        <f>INT((((ABS(EC54)-ED54)*60)-EE54)*60)</f>
        <v>32</v>
      </c>
      <c r="EG54" s="65">
        <f>INT((((((ABS(EC54)-ED54)*60)-EE54)*60)-EF54)*60)</f>
        <v>2</v>
      </c>
      <c r="EH54" s="65">
        <f>INT((((((((ABS(EC54)-ED54)*60)-EE54)*60)-EF54)*60)-EG54)*60)</f>
        <v>24</v>
      </c>
    </row>
    <row r="55" spans="3:138" ht="27">
      <c r="C55" s="79" t="s">
        <v>619</v>
      </c>
      <c r="D55" s="79">
        <f>SIN(RADIANS(D54))*60</f>
        <v>0</v>
      </c>
      <c r="E55" s="51">
        <f t="shared" si="261"/>
        <v>0</v>
      </c>
      <c r="F55" s="51">
        <f t="shared" si="262"/>
        <v>0</v>
      </c>
      <c r="G55" s="51">
        <f t="shared" si="263"/>
        <v>0</v>
      </c>
      <c r="I55" s="79" t="s">
        <v>619</v>
      </c>
      <c r="J55" s="79">
        <f>SIN(RADIANS(J54))*60</f>
        <v>19.629736081090627</v>
      </c>
      <c r="K55" s="51">
        <f t="shared" si="264"/>
        <v>19</v>
      </c>
      <c r="L55" s="51">
        <f t="shared" si="265"/>
        <v>37</v>
      </c>
      <c r="M55" s="51">
        <f t="shared" si="266"/>
        <v>47</v>
      </c>
      <c r="P55" s="88" t="s">
        <v>626</v>
      </c>
      <c r="Q55" s="88">
        <f>(SIN(RADIANS(Q50))*60*Q48)/Q54</f>
        <v>0.1893761416676486</v>
      </c>
      <c r="R55" s="64">
        <f t="shared" si="247"/>
        <v>0</v>
      </c>
      <c r="S55" s="64">
        <f t="shared" si="248"/>
        <v>11</v>
      </c>
      <c r="T55" s="64">
        <f t="shared" si="251"/>
        <v>21</v>
      </c>
      <c r="U55" s="65">
        <f t="shared" si="252"/>
        <v>45</v>
      </c>
      <c r="V55" s="65">
        <f t="shared" si="253"/>
        <v>14</v>
      </c>
      <c r="W55" s="65">
        <f t="shared" si="254"/>
        <v>47</v>
      </c>
      <c r="X55" s="65">
        <f t="shared" si="255"/>
        <v>45</v>
      </c>
      <c r="AB55" s="88" t="s">
        <v>626</v>
      </c>
      <c r="AC55" s="88">
        <f>(SIN(RADIANS(AC50))*60*AC48)/AC54</f>
        <v>0.16834729835894394</v>
      </c>
      <c r="AD55" s="64">
        <f t="shared" si="249"/>
        <v>0</v>
      </c>
      <c r="AE55" s="64">
        <f t="shared" si="250"/>
        <v>10</v>
      </c>
      <c r="AF55" s="64">
        <f t="shared" si="256"/>
        <v>6</v>
      </c>
      <c r="AG55" s="65">
        <f t="shared" si="257"/>
        <v>3</v>
      </c>
      <c r="AH55" s="65">
        <f t="shared" si="258"/>
        <v>0</v>
      </c>
      <c r="AI55" s="65">
        <f t="shared" si="259"/>
        <v>59</v>
      </c>
      <c r="AJ55" s="65">
        <f t="shared" si="260"/>
        <v>12</v>
      </c>
      <c r="AM55" s="10"/>
      <c r="AN55" s="7" t="s">
        <v>627</v>
      </c>
      <c r="AO55" s="7">
        <f>AO53+AO47</f>
        <v>60.227208059904846</v>
      </c>
      <c r="AP55" s="64">
        <f t="shared" si="226"/>
        <v>60</v>
      </c>
      <c r="AQ55" s="64">
        <f t="shared" si="227"/>
        <v>13</v>
      </c>
      <c r="AR55" s="64">
        <f t="shared" si="228"/>
        <v>37</v>
      </c>
      <c r="AS55" s="65">
        <f t="shared" si="229"/>
        <v>56</v>
      </c>
      <c r="AT55" s="65">
        <f t="shared" si="230"/>
        <v>56</v>
      </c>
      <c r="AU55" s="65">
        <f t="shared" si="231"/>
        <v>27</v>
      </c>
      <c r="AV55" s="65">
        <f t="shared" si="232"/>
        <v>22</v>
      </c>
      <c r="AY55" s="7">
        <f>AY53+AY47</f>
        <v>60.207565140855273</v>
      </c>
      <c r="BT55">
        <v>15</v>
      </c>
      <c r="BU55" s="24" t="s">
        <v>552</v>
      </c>
      <c r="BV55" s="24">
        <f>B42</f>
        <v>20</v>
      </c>
      <c r="BW55" s="64">
        <f t="shared" si="208"/>
        <v>20</v>
      </c>
      <c r="BX55" s="64">
        <f t="shared" si="209"/>
        <v>0</v>
      </c>
      <c r="BY55" s="64">
        <f t="shared" si="210"/>
        <v>0</v>
      </c>
      <c r="BZ55" s="65">
        <f t="shared" si="211"/>
        <v>0</v>
      </c>
      <c r="DB55" s="33"/>
      <c r="DC55" s="33"/>
      <c r="DD55" s="33"/>
      <c r="DE55" s="81"/>
      <c r="DF55" s="81"/>
      <c r="DG55" s="81"/>
      <c r="DH55" s="27"/>
      <c r="DI55" s="27"/>
      <c r="DJ55" s="33"/>
      <c r="DK55" s="33"/>
      <c r="DL55" s="33"/>
      <c r="DM55" s="136">
        <v>40</v>
      </c>
      <c r="DN55" s="136">
        <v>30</v>
      </c>
      <c r="DO55" s="136">
        <v>18</v>
      </c>
      <c r="DP55" s="136">
        <v>25</v>
      </c>
      <c r="DQ55" s="136">
        <f t="shared" si="267"/>
        <v>0.42166666666666669</v>
      </c>
      <c r="DR55" s="137">
        <f t="shared" ref="DR55:DR78" si="270">DQ54-DQ55</f>
        <v>5.0000000000000044E-3</v>
      </c>
      <c r="DS55" s="28">
        <v>30</v>
      </c>
      <c r="DT55" s="10">
        <v>25</v>
      </c>
      <c r="DU55" s="138">
        <f t="shared" si="268"/>
        <v>0.42499999999999999</v>
      </c>
      <c r="DV55" s="139">
        <f t="shared" si="269"/>
        <v>5.0000000000000044E-3</v>
      </c>
      <c r="EC55" s="33">
        <f>EC49-EC54</f>
        <v>0.4330444444444444</v>
      </c>
      <c r="ED55" s="136">
        <f>INT(ABS(EC55))</f>
        <v>0</v>
      </c>
      <c r="EE55" s="64">
        <f>INT((ABS(EC55)-ED55)*60)</f>
        <v>25</v>
      </c>
      <c r="EF55" s="64">
        <f>INT((((ABS(EC55)-ED55)*60)-EE55)*60)</f>
        <v>58</v>
      </c>
      <c r="EG55" s="65">
        <f>INT((((((ABS(EC55)-ED55)*60)-EE55)*60)-EF55)*60)</f>
        <v>57</v>
      </c>
      <c r="EH55" s="65">
        <f>INT((((((((ABS(EC55)-ED55)*60)-EE55)*60)-EF55)*60)-EG55)*60)</f>
        <v>35</v>
      </c>
    </row>
    <row r="56" spans="3:138" ht="27">
      <c r="C56" s="79" t="s">
        <v>625</v>
      </c>
      <c r="D56" s="79">
        <f>D55*D45/60</f>
        <v>0</v>
      </c>
      <c r="E56" s="51">
        <f t="shared" si="261"/>
        <v>0</v>
      </c>
      <c r="F56" s="51">
        <f t="shared" si="262"/>
        <v>0</v>
      </c>
      <c r="G56" s="51">
        <f t="shared" si="263"/>
        <v>0</v>
      </c>
      <c r="I56" s="79" t="s">
        <v>625</v>
      </c>
      <c r="J56" s="79">
        <f>J55*J45/60</f>
        <v>19.611155102914775</v>
      </c>
      <c r="K56" s="51">
        <f t="shared" si="264"/>
        <v>19</v>
      </c>
      <c r="L56" s="51">
        <f t="shared" si="265"/>
        <v>36</v>
      </c>
      <c r="M56" s="51">
        <f t="shared" si="266"/>
        <v>40</v>
      </c>
      <c r="P56" s="79"/>
      <c r="Q56" s="79"/>
      <c r="R56" s="64"/>
      <c r="S56" s="64"/>
      <c r="T56" s="64"/>
      <c r="U56" s="65"/>
      <c r="V56" s="65"/>
      <c r="W56" s="65"/>
      <c r="X56" s="65"/>
      <c r="AB56" s="79"/>
      <c r="AC56" s="79"/>
      <c r="AD56" s="64"/>
      <c r="AE56" s="64"/>
      <c r="AF56" s="64"/>
      <c r="AG56" s="65"/>
      <c r="AH56" s="65"/>
      <c r="AI56" s="65"/>
      <c r="AJ56" s="65"/>
      <c r="AM56" s="10"/>
      <c r="AN56" s="7"/>
      <c r="AO56" s="7">
        <f>AO52*AO54/AO55</f>
        <v>1.8610476065712538</v>
      </c>
      <c r="AP56" s="64">
        <f t="shared" si="226"/>
        <v>1</v>
      </c>
      <c r="AQ56" s="64">
        <f t="shared" si="227"/>
        <v>51</v>
      </c>
      <c r="AR56" s="64">
        <f t="shared" si="228"/>
        <v>39</v>
      </c>
      <c r="AS56" s="65">
        <f t="shared" si="229"/>
        <v>46</v>
      </c>
      <c r="AT56" s="65">
        <f t="shared" si="230"/>
        <v>16</v>
      </c>
      <c r="AU56" s="65">
        <f t="shared" si="231"/>
        <v>58</v>
      </c>
      <c r="AV56" s="65">
        <f t="shared" si="232"/>
        <v>52</v>
      </c>
      <c r="AY56" s="7">
        <f>AY52*AY54/AY55</f>
        <v>4.6721917536319291</v>
      </c>
      <c r="BS56" t="s">
        <v>630</v>
      </c>
      <c r="BT56">
        <v>16</v>
      </c>
      <c r="BU56" s="24" t="s">
        <v>634</v>
      </c>
      <c r="BV56" s="24">
        <f>BV55+BV49</f>
        <v>-10</v>
      </c>
      <c r="BW56" s="64">
        <f>INT(ABS(BV56))</f>
        <v>10</v>
      </c>
      <c r="BX56" s="64">
        <f t="shared" si="209"/>
        <v>0</v>
      </c>
      <c r="BY56" s="64">
        <f t="shared" si="210"/>
        <v>0</v>
      </c>
      <c r="BZ56" s="65">
        <f t="shared" si="211"/>
        <v>0</v>
      </c>
      <c r="DB56" s="33"/>
      <c r="DC56" s="33"/>
      <c r="DD56" s="33"/>
      <c r="DE56" s="81"/>
      <c r="DF56" s="81"/>
      <c r="DG56" s="81"/>
      <c r="DH56" s="27"/>
      <c r="DI56" s="27"/>
      <c r="DJ56" s="33"/>
      <c r="DK56" s="33"/>
      <c r="DL56" s="33"/>
      <c r="DM56" s="136">
        <v>0</v>
      </c>
      <c r="DN56" s="136">
        <v>31</v>
      </c>
      <c r="DO56" s="136">
        <v>3</v>
      </c>
      <c r="DP56" s="136">
        <v>25</v>
      </c>
      <c r="DQ56" s="136">
        <f t="shared" si="267"/>
        <v>0.41750000000000004</v>
      </c>
      <c r="DR56" s="137">
        <f t="shared" si="270"/>
        <v>4.1666666666666519E-3</v>
      </c>
      <c r="DS56" s="28">
        <v>12</v>
      </c>
      <c r="DT56" s="10">
        <v>25</v>
      </c>
      <c r="DU56" s="138">
        <f t="shared" si="268"/>
        <v>0.42</v>
      </c>
      <c r="DV56" s="139">
        <f t="shared" si="269"/>
        <v>5.0000000000000044E-3</v>
      </c>
      <c r="EC56" s="33">
        <f>EC49-((EC52-0.00001)*3)</f>
        <v>0.42859444444444439</v>
      </c>
      <c r="ED56" s="136">
        <f>INT(ABS(EC56))</f>
        <v>0</v>
      </c>
      <c r="EE56" s="64">
        <f>INT((ABS(EC56)-ED56)*60)</f>
        <v>25</v>
      </c>
      <c r="EF56" s="64">
        <f>INT((((ABS(EC56)-ED56)*60)-EE56)*60)</f>
        <v>42</v>
      </c>
      <c r="EG56" s="65">
        <f>INT((((((ABS(EC56)-ED56)*60)-EE56)*60)-EF56)*60)</f>
        <v>56</v>
      </c>
      <c r="EH56" s="65">
        <f>INT((((((((ABS(EC56)-ED56)*60)-EE56)*60)-EF56)*60)-EG56)*60)</f>
        <v>23</v>
      </c>
    </row>
    <row r="57" spans="3:138" ht="27">
      <c r="C57" s="79" t="s">
        <v>629</v>
      </c>
      <c r="D57" s="79" t="e">
        <f>60*D56/D49</f>
        <v>#DIV/0!</v>
      </c>
      <c r="E57" s="51" t="e">
        <f t="shared" si="261"/>
        <v>#DIV/0!</v>
      </c>
      <c r="F57" s="51" t="e">
        <f t="shared" si="262"/>
        <v>#DIV/0!</v>
      </c>
      <c r="G57" s="51" t="e">
        <f t="shared" si="263"/>
        <v>#DIV/0!</v>
      </c>
      <c r="I57" s="79" t="s">
        <v>629</v>
      </c>
      <c r="J57" s="79">
        <f>60*J56/J49</f>
        <v>53.881205814680634</v>
      </c>
      <c r="K57" s="51">
        <f>INT(ABS(J57))</f>
        <v>53</v>
      </c>
      <c r="L57" s="51">
        <f t="shared" si="265"/>
        <v>52</v>
      </c>
      <c r="M57" s="51">
        <f t="shared" si="266"/>
        <v>52</v>
      </c>
      <c r="P57" s="4"/>
      <c r="Q57" s="4"/>
      <c r="R57" s="64"/>
      <c r="S57" s="64"/>
      <c r="T57" s="64"/>
      <c r="U57" s="65"/>
      <c r="V57" s="65"/>
      <c r="W57" s="65"/>
      <c r="X57" s="65"/>
      <c r="AB57" s="4"/>
      <c r="AC57" s="4"/>
      <c r="AD57" s="64"/>
      <c r="AE57" s="64"/>
      <c r="AF57" s="64"/>
      <c r="AG57" s="65"/>
      <c r="AH57" s="65"/>
      <c r="AI57" s="65"/>
      <c r="AJ57" s="65"/>
      <c r="AM57" s="10"/>
      <c r="AN57" s="7"/>
      <c r="AO57" s="7">
        <f>DEGREES(ATAN(AO56))</f>
        <v>61.749449349375091</v>
      </c>
      <c r="AP57" s="64">
        <f t="shared" si="226"/>
        <v>61</v>
      </c>
      <c r="AQ57" s="64">
        <f t="shared" si="227"/>
        <v>44</v>
      </c>
      <c r="AR57" s="64">
        <f t="shared" si="228"/>
        <v>58</v>
      </c>
      <c r="AS57" s="65">
        <f t="shared" si="229"/>
        <v>1</v>
      </c>
      <c r="AT57" s="65">
        <f t="shared" si="230"/>
        <v>3</v>
      </c>
      <c r="AU57" s="65">
        <f t="shared" si="231"/>
        <v>34</v>
      </c>
      <c r="AV57" s="65">
        <f t="shared" si="232"/>
        <v>4</v>
      </c>
      <c r="AY57" s="7">
        <f>DEGREES(ATAN(AY56))</f>
        <v>77.919125147399313</v>
      </c>
      <c r="BT57">
        <v>17</v>
      </c>
      <c r="BU57" s="29" t="s">
        <v>541</v>
      </c>
      <c r="BV57" s="29">
        <f>BV40</f>
        <v>61.882888052470463</v>
      </c>
      <c r="BW57" s="64">
        <f>INT(ABS(BV57))</f>
        <v>61</v>
      </c>
      <c r="BX57" s="64">
        <f>INT((ABS(BV57)-BW57)*60)</f>
        <v>52</v>
      </c>
      <c r="BY57" s="64">
        <f>INT((((ABS(BV57)-BW57)*60)-BX57)*60)</f>
        <v>58</v>
      </c>
      <c r="BZ57" s="65">
        <f>INT((((((ABS(BV57)-BW57)*60)-BX57)*60)-BY57)*60)</f>
        <v>23</v>
      </c>
      <c r="DB57" s="33"/>
      <c r="DC57" s="33"/>
      <c r="DD57" s="33"/>
      <c r="DE57" s="81"/>
      <c r="DF57" s="81"/>
      <c r="DG57" s="81"/>
      <c r="DH57" s="27"/>
      <c r="DI57" s="27"/>
      <c r="DJ57" s="33"/>
      <c r="DK57" s="33"/>
      <c r="DL57" s="33"/>
      <c r="DM57" s="136">
        <v>20</v>
      </c>
      <c r="DN57" s="136">
        <v>31</v>
      </c>
      <c r="DO57" s="136">
        <v>53</v>
      </c>
      <c r="DP57" s="136">
        <v>24</v>
      </c>
      <c r="DQ57" s="136">
        <f t="shared" si="267"/>
        <v>0.41472222222222221</v>
      </c>
      <c r="DR57" s="137">
        <f t="shared" si="270"/>
        <v>2.7777777777778234E-3</v>
      </c>
      <c r="DS57" s="28">
        <v>55</v>
      </c>
      <c r="DT57" s="10">
        <v>24</v>
      </c>
      <c r="DU57" s="138">
        <f t="shared" si="268"/>
        <v>0.4152777777777778</v>
      </c>
      <c r="DV57" s="139">
        <f t="shared" si="269"/>
        <v>4.7222222222221832E-3</v>
      </c>
      <c r="EC57" s="33"/>
    </row>
    <row r="58" spans="3:138" ht="27">
      <c r="C58" s="79" t="s">
        <v>633</v>
      </c>
      <c r="D58" s="79" t="e">
        <f>D57-D47</f>
        <v>#DIV/0!</v>
      </c>
      <c r="E58" s="51" t="e">
        <f t="shared" si="261"/>
        <v>#DIV/0!</v>
      </c>
      <c r="F58" s="51" t="e">
        <f t="shared" si="262"/>
        <v>#DIV/0!</v>
      </c>
      <c r="G58" s="51" t="e">
        <f t="shared" si="263"/>
        <v>#DIV/0!</v>
      </c>
      <c r="I58" s="79" t="s">
        <v>633</v>
      </c>
      <c r="J58" s="79">
        <f>J57+J47</f>
        <v>59.308090456264317</v>
      </c>
      <c r="K58" s="51">
        <f>INT(ABS(J58))</f>
        <v>59</v>
      </c>
      <c r="L58" s="51">
        <f t="shared" si="265"/>
        <v>18</v>
      </c>
      <c r="M58" s="51">
        <f t="shared" si="266"/>
        <v>29</v>
      </c>
      <c r="AM58" s="10"/>
      <c r="AN58" s="7" t="s">
        <v>511</v>
      </c>
      <c r="AO58" s="7">
        <f>AO51-AO57</f>
        <v>0.18055065079160926</v>
      </c>
      <c r="AP58" s="64">
        <f t="shared" si="226"/>
        <v>0</v>
      </c>
      <c r="AQ58" s="64">
        <f t="shared" si="227"/>
        <v>10</v>
      </c>
      <c r="AR58" s="64">
        <f t="shared" si="228"/>
        <v>49</v>
      </c>
      <c r="AS58" s="65">
        <f t="shared" si="229"/>
        <v>58</v>
      </c>
      <c r="AT58" s="65">
        <f t="shared" si="230"/>
        <v>56</v>
      </c>
      <c r="AU58" s="65">
        <f t="shared" si="231"/>
        <v>26</v>
      </c>
      <c r="AV58" s="65">
        <f t="shared" si="232"/>
        <v>3</v>
      </c>
      <c r="AY58" s="7">
        <f>AY51-AY57</f>
        <v>8.0874852600686609E-2</v>
      </c>
      <c r="BT58">
        <v>18</v>
      </c>
      <c r="BU58" s="24" t="s">
        <v>556</v>
      </c>
      <c r="BV58" s="24">
        <f>BV57+360-BV56</f>
        <v>431.88288805247043</v>
      </c>
      <c r="BW58" s="64">
        <f>INT(ABS(BV58))</f>
        <v>431</v>
      </c>
      <c r="BX58" s="64">
        <f>INT((ABS(BV58)-BW58)*60)</f>
        <v>52</v>
      </c>
      <c r="BY58" s="64">
        <f>INT((((ABS(BV58)-BW58)*60)-BX58)*60)</f>
        <v>58</v>
      </c>
      <c r="BZ58" s="65">
        <f>INT((((((ABS(BV58)-BW58)*60)-BX58)*60)-BY58)*60)</f>
        <v>23</v>
      </c>
      <c r="DB58" s="33"/>
      <c r="DC58" s="33"/>
      <c r="DD58" s="33"/>
      <c r="DE58" s="81"/>
      <c r="DF58" s="81"/>
      <c r="DG58" s="81"/>
      <c r="DH58" s="27"/>
      <c r="DI58" s="27"/>
      <c r="DJ58" s="33"/>
      <c r="DK58" s="33"/>
      <c r="DL58" s="33"/>
      <c r="DM58" s="136">
        <v>40</v>
      </c>
      <c r="DN58" s="136">
        <v>31</v>
      </c>
      <c r="DO58" s="136">
        <v>27</v>
      </c>
      <c r="DP58" s="136">
        <v>24</v>
      </c>
      <c r="DQ58" s="136">
        <f t="shared" si="267"/>
        <v>0.40749999999999997</v>
      </c>
      <c r="DR58" s="137">
        <f t="shared" si="270"/>
        <v>7.222222222222241E-3</v>
      </c>
      <c r="DS58" s="28">
        <v>38</v>
      </c>
      <c r="DT58" s="10">
        <v>24</v>
      </c>
      <c r="DU58" s="138">
        <f t="shared" si="268"/>
        <v>0.41055555555555556</v>
      </c>
      <c r="DV58" s="139">
        <f t="shared" si="269"/>
        <v>4.7222222222222388E-3</v>
      </c>
    </row>
    <row r="59" spans="3:138" ht="27">
      <c r="C59" s="79" t="s">
        <v>615</v>
      </c>
      <c r="D59" s="79" t="e">
        <f>SQRT(POWER(D58,2)+POWER(D56,2))</f>
        <v>#DIV/0!</v>
      </c>
      <c r="E59" s="51" t="e">
        <f t="shared" si="261"/>
        <v>#DIV/0!</v>
      </c>
      <c r="F59" s="51" t="e">
        <f t="shared" si="262"/>
        <v>#DIV/0!</v>
      </c>
      <c r="G59" s="51" t="e">
        <f t="shared" si="263"/>
        <v>#DIV/0!</v>
      </c>
      <c r="I59" s="79" t="s">
        <v>615</v>
      </c>
      <c r="J59" s="79">
        <f>SQRT(POWER(J58,2)+POWER(J56,2))</f>
        <v>62.466366934847514</v>
      </c>
      <c r="K59" s="51">
        <f>INT(ABS(J59))</f>
        <v>62</v>
      </c>
      <c r="L59" s="51">
        <f t="shared" si="265"/>
        <v>27</v>
      </c>
      <c r="M59" s="51">
        <f t="shared" si="266"/>
        <v>58</v>
      </c>
      <c r="BT59">
        <v>19</v>
      </c>
      <c r="BU59" s="24" t="s">
        <v>639</v>
      </c>
      <c r="BV59" s="24">
        <f>180-BV58</f>
        <v>-251.88288805247043</v>
      </c>
      <c r="BW59" s="64">
        <f>INT(ABS(BV59))</f>
        <v>251</v>
      </c>
      <c r="BX59" s="64">
        <f>INT((ABS(BV59)-BW59)*60)</f>
        <v>52</v>
      </c>
      <c r="BY59" s="64">
        <f>INT((((ABS(BV59)-BW59)*60)-BX59)*60)</f>
        <v>58</v>
      </c>
      <c r="BZ59" s="65">
        <f>INT((((((ABS(BV59)-BW59)*60)-BX59)*60)-BY59)*60)</f>
        <v>23</v>
      </c>
      <c r="DB59" s="33"/>
      <c r="DC59" s="33"/>
      <c r="DD59" s="33"/>
      <c r="DE59" s="81"/>
      <c r="DF59" s="81"/>
      <c r="DG59" s="81"/>
      <c r="DH59" s="27"/>
      <c r="DI59" s="27"/>
      <c r="DJ59" s="33"/>
      <c r="DK59" s="33"/>
      <c r="DL59" s="33"/>
      <c r="DM59" s="136">
        <v>0</v>
      </c>
      <c r="DN59" s="136">
        <v>32</v>
      </c>
      <c r="DO59" s="136">
        <v>10</v>
      </c>
      <c r="DP59" s="136">
        <v>24</v>
      </c>
      <c r="DQ59" s="136">
        <f t="shared" si="267"/>
        <v>0.40277777777777779</v>
      </c>
      <c r="DR59" s="137">
        <f t="shared" si="270"/>
        <v>4.7222222222221832E-3</v>
      </c>
      <c r="DS59" s="28">
        <v>21</v>
      </c>
      <c r="DT59" s="10">
        <v>24</v>
      </c>
      <c r="DU59" s="138">
        <f t="shared" si="268"/>
        <v>0.40583333333333338</v>
      </c>
      <c r="DV59" s="139">
        <f t="shared" si="269"/>
        <v>4.7222222222221832E-3</v>
      </c>
    </row>
    <row r="60" spans="3:138" ht="27">
      <c r="C60" s="79" t="s">
        <v>638</v>
      </c>
      <c r="D60" s="79">
        <f>IF(D43=0,0,DEGREES(ASIN(D47*SIN(RADIANS(180-D43))/D59)))</f>
        <v>0</v>
      </c>
      <c r="E60" s="51">
        <f t="shared" si="261"/>
        <v>0</v>
      </c>
      <c r="F60" s="51">
        <f t="shared" si="262"/>
        <v>0</v>
      </c>
      <c r="G60" s="51">
        <f t="shared" si="263"/>
        <v>0</v>
      </c>
      <c r="I60" s="79" t="s">
        <v>638</v>
      </c>
      <c r="J60" s="79">
        <f>IF(J43=0,0,DEGREES(ASIN(J47*SIN(RADIANS(180-J43))/J59)))</f>
        <v>1.7027174476706859</v>
      </c>
      <c r="K60" s="51">
        <f>INT(ABS(J60))</f>
        <v>1</v>
      </c>
      <c r="L60" s="51">
        <f t="shared" si="265"/>
        <v>42</v>
      </c>
      <c r="M60" s="51">
        <f t="shared" si="266"/>
        <v>9</v>
      </c>
      <c r="AO60">
        <f>SIN(RADIANS(AO50))*AO47/60</f>
        <v>3.1445650866474715E-3</v>
      </c>
      <c r="AP60" s="64">
        <f>INT(ABS(AO60))</f>
        <v>0</v>
      </c>
      <c r="AQ60" s="64">
        <f>INT((ABS(AO60)-AP60)*60)</f>
        <v>0</v>
      </c>
      <c r="AR60" s="64">
        <f>INT((((ABS(AO60)-AP60)*60)-AQ60)*60)</f>
        <v>11</v>
      </c>
      <c r="AS60" s="65">
        <f>INT((((((ABS(AO60)-AP60)*60)-AQ60)*60)-AR60)*60)</f>
        <v>19</v>
      </c>
      <c r="AT60" s="65">
        <f>INT((((((((ABS(AO60)-AP60)*60)-AQ60)*60)-AR60)*60)-AS60)*60)</f>
        <v>13</v>
      </c>
      <c r="AU60" s="65">
        <f>INT((((((((((ABS(AO60)-AP60)*60)-AQ60)*60)-AR60)*60)-AS60)*60)-AT60)*60)</f>
        <v>33</v>
      </c>
      <c r="AV60" s="65">
        <f>INT((((((((((((ABS(AO60)-AP60)*60)-AQ60)*60)-AR60)*60)-AS60)*60)-AT60)*60)-AU60)*60)</f>
        <v>48</v>
      </c>
      <c r="AY60">
        <f>SIN(RADIANS(AY50))*AY47/60</f>
        <v>1.4070724768504939E-3</v>
      </c>
      <c r="BT60">
        <v>20</v>
      </c>
      <c r="BU60" s="24" t="s">
        <v>287</v>
      </c>
      <c r="BV60" s="24">
        <v>60</v>
      </c>
      <c r="BW60" s="64">
        <f t="shared" ref="BW60:BW70" si="271">INT(ABS(BV60))</f>
        <v>60</v>
      </c>
      <c r="BX60" s="64">
        <f t="shared" ref="BX60:BX70" si="272">INT((ABS(BV60)-BW60)*60)</f>
        <v>0</v>
      </c>
      <c r="BY60" s="64">
        <f t="shared" ref="BY60:BY70" si="273">INT((((ABS(BV60)-BW60)*60)-BX60)*60)</f>
        <v>0</v>
      </c>
      <c r="BZ60" s="65">
        <f t="shared" ref="BZ60:BZ70" si="274">INT((((((ABS(BV60)-BW60)*60)-BX60)*60)-BY60)*60)</f>
        <v>0</v>
      </c>
      <c r="DB60" s="33"/>
      <c r="DC60" s="33"/>
      <c r="DD60" s="33"/>
      <c r="DE60" s="33"/>
      <c r="DF60" s="33"/>
      <c r="DG60" s="33"/>
      <c r="DH60" s="33"/>
      <c r="DI60" s="33"/>
      <c r="DJ60" s="33"/>
      <c r="DK60" s="33"/>
      <c r="DL60" s="33"/>
      <c r="DM60" s="136">
        <v>20</v>
      </c>
      <c r="DN60" s="136">
        <v>32</v>
      </c>
      <c r="DO60" s="136">
        <v>53</v>
      </c>
      <c r="DP60" s="136">
        <v>23</v>
      </c>
      <c r="DQ60" s="136">
        <f t="shared" si="267"/>
        <v>0.39805555555555555</v>
      </c>
      <c r="DR60" s="137">
        <f t="shared" si="270"/>
        <v>4.7222222222222388E-3</v>
      </c>
      <c r="DS60" s="28">
        <v>4</v>
      </c>
      <c r="DT60" s="10">
        <v>24</v>
      </c>
      <c r="DU60" s="138">
        <f t="shared" si="268"/>
        <v>0.40111111111111108</v>
      </c>
      <c r="DV60" s="139">
        <f t="shared" si="269"/>
        <v>4.7222222222222943E-3</v>
      </c>
    </row>
    <row r="61" spans="3:138" ht="27">
      <c r="C61" s="89"/>
      <c r="D61" s="89"/>
      <c r="E61" s="89"/>
      <c r="F61" s="89"/>
      <c r="G61" s="89"/>
      <c r="AN61" s="7" t="s">
        <v>511</v>
      </c>
      <c r="AO61">
        <f>DEGREES(ASIN(AO60))</f>
        <v>0.18017060479977454</v>
      </c>
      <c r="AP61" s="64">
        <f>INT(ABS(AO61))</f>
        <v>0</v>
      </c>
      <c r="AQ61" s="64">
        <f>INT((ABS(AO61)-AP61)*60)</f>
        <v>10</v>
      </c>
      <c r="AR61" s="64">
        <f>INT((((ABS(AO61)-AP61)*60)-AQ61)*60)</f>
        <v>48</v>
      </c>
      <c r="AS61" s="65">
        <f>INT((((((ABS(AO61)-AP61)*60)-AQ61)*60)-AR61)*60)</f>
        <v>36</v>
      </c>
      <c r="AT61" s="65">
        <f>INT((((((((ABS(AO61)-AP61)*60)-AQ61)*60)-AR61)*60)-AS61)*60)</f>
        <v>51</v>
      </c>
      <c r="AU61" s="65">
        <f>INT((((((((((ABS(AO61)-AP61)*60)-AQ61)*60)-AR61)*60)-AS61)*60)-AT61)*60)</f>
        <v>2</v>
      </c>
      <c r="AV61" s="65">
        <f>INT((((((((((((ABS(AO61)-AP61)*60)-AQ61)*60)-AR61)*60)-AS61)*60)-AT61)*60)-AU61)*60)</f>
        <v>17</v>
      </c>
      <c r="AX61" t="s">
        <v>644</v>
      </c>
      <c r="AY61">
        <f>DEGREES(ASIN(AY60))</f>
        <v>8.0619340994974198E-2</v>
      </c>
      <c r="AZ61" s="64">
        <f>INT(ABS(AY61))</f>
        <v>0</v>
      </c>
      <c r="BA61" s="64">
        <f>INT((ABS(AY61)-AZ61)*60)</f>
        <v>4</v>
      </c>
      <c r="BB61" s="64">
        <f>INT((((ABS(AY61)-AZ61)*60)-BA61)*60)</f>
        <v>50</v>
      </c>
      <c r="BC61" s="65">
        <f>INT((((((ABS(AY61)-AZ61)*60)-BA61)*60)-BB61)*60)</f>
        <v>13</v>
      </c>
      <c r="BT61">
        <v>21</v>
      </c>
      <c r="BU61" s="24" t="s">
        <v>615</v>
      </c>
      <c r="BV61" s="24">
        <f>BV46</f>
        <v>2.3721908052842209</v>
      </c>
      <c r="BW61" s="64">
        <f t="shared" si="271"/>
        <v>2</v>
      </c>
      <c r="BX61" s="64">
        <f t="shared" si="272"/>
        <v>22</v>
      </c>
      <c r="BY61" s="64">
        <f t="shared" si="273"/>
        <v>19</v>
      </c>
      <c r="BZ61" s="65">
        <f t="shared" si="274"/>
        <v>53</v>
      </c>
      <c r="DC61" s="33"/>
      <c r="DD61" s="33"/>
      <c r="DE61" s="33"/>
      <c r="DF61" s="33"/>
      <c r="DG61" s="33"/>
      <c r="DH61" s="33"/>
      <c r="DI61" s="33"/>
      <c r="DJ61" s="33"/>
      <c r="DK61" s="33"/>
      <c r="DL61" s="33"/>
      <c r="DM61" s="136">
        <v>40</v>
      </c>
      <c r="DN61" s="136">
        <v>32</v>
      </c>
      <c r="DO61" s="136">
        <v>37</v>
      </c>
      <c r="DP61" s="136">
        <v>23</v>
      </c>
      <c r="DQ61" s="136">
        <f t="shared" si="267"/>
        <v>0.39361111111111113</v>
      </c>
      <c r="DR61" s="137">
        <f t="shared" si="270"/>
        <v>4.4444444444444176E-3</v>
      </c>
      <c r="DS61" s="10">
        <v>48</v>
      </c>
      <c r="DT61" s="10">
        <v>23</v>
      </c>
      <c r="DU61" s="138">
        <f t="shared" si="268"/>
        <v>0.39666666666666667</v>
      </c>
      <c r="DV61" s="139">
        <f t="shared" si="269"/>
        <v>4.4444444444444176E-3</v>
      </c>
    </row>
    <row r="62" spans="3:138" ht="27">
      <c r="C62" s="79" t="s">
        <v>642</v>
      </c>
      <c r="D62" s="5">
        <f>D60+J60</f>
        <v>1.7027174476706859</v>
      </c>
      <c r="E62" s="51">
        <f>INT(ABS(D62))</f>
        <v>1</v>
      </c>
      <c r="F62" s="51">
        <f>INT((ABS(D62)-E62)*60)</f>
        <v>42</v>
      </c>
      <c r="G62" s="51">
        <f>INT((((ABS(D62)-E62)*60)-F62)*60)</f>
        <v>9</v>
      </c>
      <c r="BT62">
        <v>22</v>
      </c>
      <c r="BU62" s="24" t="s">
        <v>627</v>
      </c>
      <c r="BV62" s="24">
        <f>BV61+BV60</f>
        <v>62.37219080528422</v>
      </c>
      <c r="BW62" s="64">
        <f t="shared" si="271"/>
        <v>62</v>
      </c>
      <c r="BX62" s="64">
        <f t="shared" si="272"/>
        <v>22</v>
      </c>
      <c r="BY62" s="64">
        <f t="shared" si="273"/>
        <v>19</v>
      </c>
      <c r="BZ62" s="65">
        <f t="shared" si="274"/>
        <v>53</v>
      </c>
      <c r="DC62" s="33"/>
      <c r="DD62" s="33"/>
      <c r="DE62" s="33"/>
      <c r="DF62" s="33"/>
      <c r="DG62" s="33"/>
      <c r="DH62" s="33"/>
      <c r="DI62" s="33"/>
      <c r="DJ62" s="33"/>
      <c r="DK62" s="33"/>
      <c r="DL62" s="33"/>
      <c r="DM62" s="136">
        <v>0</v>
      </c>
      <c r="DN62" s="136">
        <v>33</v>
      </c>
      <c r="DO62" s="136">
        <v>21</v>
      </c>
      <c r="DP62" s="136">
        <v>23</v>
      </c>
      <c r="DQ62" s="136">
        <f t="shared" si="267"/>
        <v>0.38916666666666672</v>
      </c>
      <c r="DR62" s="137">
        <f t="shared" si="270"/>
        <v>4.4444444444444176E-3</v>
      </c>
      <c r="DS62" s="10">
        <v>31</v>
      </c>
      <c r="DT62" s="10">
        <v>23</v>
      </c>
      <c r="DU62" s="138">
        <f t="shared" si="268"/>
        <v>0.39194444444444443</v>
      </c>
      <c r="DV62" s="139">
        <f t="shared" si="269"/>
        <v>4.7222222222222388E-3</v>
      </c>
    </row>
    <row r="63" spans="3:138" ht="27">
      <c r="D63">
        <f>B44+D62</f>
        <v>21.702717447670686</v>
      </c>
      <c r="E63" s="51">
        <f>INT(ABS(D63))</f>
        <v>21</v>
      </c>
      <c r="F63" s="51">
        <f>INT((ABS(D63)-E63)*60)</f>
        <v>42</v>
      </c>
      <c r="G63" s="51">
        <f>INT((((ABS(D63)-E63)*60)-F63)*60)</f>
        <v>9</v>
      </c>
      <c r="BT63">
        <v>23</v>
      </c>
      <c r="BU63" s="24" t="s">
        <v>646</v>
      </c>
      <c r="BV63" s="24">
        <f>BV60-BV61</f>
        <v>57.62780919471578</v>
      </c>
      <c r="BW63" s="64">
        <f t="shared" si="271"/>
        <v>57</v>
      </c>
      <c r="BX63" s="64">
        <f t="shared" si="272"/>
        <v>37</v>
      </c>
      <c r="BY63" s="64">
        <f t="shared" si="273"/>
        <v>40</v>
      </c>
      <c r="BZ63" s="65">
        <f t="shared" si="274"/>
        <v>6</v>
      </c>
      <c r="DC63" s="33"/>
      <c r="DD63" s="33"/>
      <c r="DE63" s="33"/>
      <c r="DF63" s="33"/>
      <c r="DG63" s="33"/>
      <c r="DH63" s="33"/>
      <c r="DI63" s="33"/>
      <c r="DJ63" s="33"/>
      <c r="DK63" s="33"/>
      <c r="DL63" s="33"/>
      <c r="DM63" s="136">
        <v>20</v>
      </c>
      <c r="DN63" s="136">
        <v>33</v>
      </c>
      <c r="DO63" s="136">
        <v>5</v>
      </c>
      <c r="DP63" s="136">
        <v>23</v>
      </c>
      <c r="DQ63" s="136">
        <f t="shared" si="267"/>
        <v>0.38472222222222219</v>
      </c>
      <c r="DR63" s="137">
        <f t="shared" si="270"/>
        <v>4.4444444444445286E-3</v>
      </c>
      <c r="DS63" s="10">
        <v>15</v>
      </c>
      <c r="DT63" s="10">
        <v>23</v>
      </c>
      <c r="DU63" s="138">
        <f t="shared" si="268"/>
        <v>0.38750000000000001</v>
      </c>
      <c r="DV63" s="139">
        <f t="shared" si="269"/>
        <v>4.4444444444444176E-3</v>
      </c>
    </row>
    <row r="64" spans="3:138" ht="27">
      <c r="D64">
        <f>(SIN(RADIANS(D63))*60)*D46/(SIN(RADIANS(D62))*60)</f>
        <v>2.5747102099522006</v>
      </c>
      <c r="E64" s="51">
        <f>INT(ABS(D64))</f>
        <v>2</v>
      </c>
      <c r="F64" s="51">
        <f>INT((ABS(D64)-E64)*60)</f>
        <v>34</v>
      </c>
      <c r="G64" s="51">
        <f>INT((((ABS(D64)-E64)*60)-F64)*60)</f>
        <v>28</v>
      </c>
      <c r="BT64">
        <v>24</v>
      </c>
      <c r="BU64" s="24"/>
      <c r="BV64" s="24">
        <f>BV58/2</f>
        <v>215.94144402623522</v>
      </c>
      <c r="BW64" s="64">
        <f t="shared" si="271"/>
        <v>215</v>
      </c>
      <c r="BX64" s="64">
        <f t="shared" si="272"/>
        <v>56</v>
      </c>
      <c r="BY64" s="64">
        <f t="shared" si="273"/>
        <v>29</v>
      </c>
      <c r="BZ64" s="65">
        <f t="shared" si="274"/>
        <v>11</v>
      </c>
      <c r="DC64" s="33"/>
      <c r="DD64" s="33"/>
      <c r="DE64" s="33"/>
      <c r="DF64" s="33"/>
      <c r="DG64" s="33"/>
      <c r="DH64" s="33"/>
      <c r="DI64" s="33"/>
      <c r="DJ64" s="33"/>
      <c r="DK64" s="33"/>
      <c r="DL64" s="33"/>
      <c r="DM64" s="136">
        <v>40</v>
      </c>
      <c r="DN64" s="136">
        <v>33</v>
      </c>
      <c r="DO64" s="136">
        <v>51</v>
      </c>
      <c r="DP64" s="136">
        <v>22</v>
      </c>
      <c r="DQ64" s="136">
        <f t="shared" si="267"/>
        <v>0.38083333333333336</v>
      </c>
      <c r="DR64" s="137">
        <f t="shared" si="270"/>
        <v>3.8888888888888307E-3</v>
      </c>
      <c r="DS64" s="10">
        <v>1</v>
      </c>
      <c r="DT64" s="10">
        <v>23</v>
      </c>
      <c r="DU64" s="138">
        <f t="shared" si="268"/>
        <v>0.38361111111111107</v>
      </c>
      <c r="DV64" s="139">
        <f t="shared" si="269"/>
        <v>3.8888888888889417E-3</v>
      </c>
    </row>
    <row r="65" spans="1:126" ht="27">
      <c r="D65">
        <f>SIN(RADIANS(D62))*60</f>
        <v>1.7828190951417815</v>
      </c>
      <c r="BT65">
        <v>25</v>
      </c>
      <c r="BU65" s="24"/>
      <c r="BV65" s="24">
        <f>TAN(RADIANS(BV64))*60</f>
        <v>43.4989330390638</v>
      </c>
      <c r="BW65" s="64">
        <f t="shared" si="271"/>
        <v>43</v>
      </c>
      <c r="BX65" s="64">
        <f t="shared" si="272"/>
        <v>29</v>
      </c>
      <c r="BY65" s="64">
        <f t="shared" si="273"/>
        <v>56</v>
      </c>
      <c r="BZ65" s="65">
        <f t="shared" si="274"/>
        <v>9</v>
      </c>
      <c r="DC65" s="33"/>
      <c r="DD65" s="33"/>
      <c r="DE65" s="33"/>
      <c r="DF65" s="33"/>
      <c r="DG65" s="33"/>
      <c r="DH65" s="33"/>
      <c r="DI65" s="33"/>
      <c r="DJ65" s="33"/>
      <c r="DK65" s="33"/>
      <c r="DL65" s="33"/>
      <c r="DM65" s="136">
        <v>0</v>
      </c>
      <c r="DN65" s="136">
        <v>34</v>
      </c>
      <c r="DO65" s="136">
        <v>37</v>
      </c>
      <c r="DP65" s="136">
        <v>22</v>
      </c>
      <c r="DQ65" s="136">
        <f t="shared" si="267"/>
        <v>0.37694444444444447</v>
      </c>
      <c r="DR65" s="137">
        <f t="shared" si="270"/>
        <v>3.8888888888888862E-3</v>
      </c>
      <c r="DS65" s="10">
        <v>47</v>
      </c>
      <c r="DT65" s="10">
        <v>22</v>
      </c>
      <c r="DU65" s="138">
        <f t="shared" si="268"/>
        <v>0.37972222222222224</v>
      </c>
      <c r="DV65" s="139">
        <f t="shared" si="269"/>
        <v>3.8888888888888307E-3</v>
      </c>
    </row>
    <row r="66" spans="1:126" ht="27">
      <c r="D66">
        <f>SIN(RADIANS(D63))*60</f>
        <v>22.187449448259798</v>
      </c>
      <c r="BT66">
        <v>26</v>
      </c>
      <c r="BU66" s="24"/>
      <c r="BV66" s="24">
        <f>BV65*BV63/BV62</f>
        <v>40.1901581615843</v>
      </c>
      <c r="BW66" s="64">
        <f t="shared" si="271"/>
        <v>40</v>
      </c>
      <c r="BX66" s="64">
        <f t="shared" si="272"/>
        <v>11</v>
      </c>
      <c r="BY66" s="64">
        <f t="shared" si="273"/>
        <v>24</v>
      </c>
      <c r="BZ66" s="65">
        <f t="shared" si="274"/>
        <v>34</v>
      </c>
      <c r="DM66" s="136">
        <v>20</v>
      </c>
      <c r="DN66" s="136">
        <v>34</v>
      </c>
      <c r="DO66" s="136">
        <v>24</v>
      </c>
      <c r="DP66" s="136">
        <v>22</v>
      </c>
      <c r="DQ66" s="136">
        <f t="shared" si="267"/>
        <v>0.37333333333333329</v>
      </c>
      <c r="DR66" s="137">
        <f t="shared" si="270"/>
        <v>3.611111111111176E-3</v>
      </c>
      <c r="DS66" s="10">
        <v>33</v>
      </c>
      <c r="DT66" s="10">
        <v>22</v>
      </c>
      <c r="DU66" s="138">
        <f t="shared" si="268"/>
        <v>0.37583333333333335</v>
      </c>
      <c r="DV66" s="139">
        <f t="shared" si="269"/>
        <v>3.8888888888888862E-3</v>
      </c>
    </row>
    <row r="67" spans="1:126" ht="27">
      <c r="C67" t="s">
        <v>1350</v>
      </c>
      <c r="BT67">
        <v>27</v>
      </c>
      <c r="BU67" s="24"/>
      <c r="BV67" s="24">
        <f>DEGREES(ATAN(BV66/60))</f>
        <v>33.81559824373489</v>
      </c>
      <c r="BW67" s="64">
        <f t="shared" si="271"/>
        <v>33</v>
      </c>
      <c r="BX67" s="64">
        <f t="shared" si="272"/>
        <v>48</v>
      </c>
      <c r="BY67" s="64">
        <f t="shared" si="273"/>
        <v>56</v>
      </c>
      <c r="BZ67" s="65">
        <f t="shared" si="274"/>
        <v>9</v>
      </c>
      <c r="DM67" s="136">
        <v>40</v>
      </c>
      <c r="DN67" s="136">
        <v>34</v>
      </c>
      <c r="DO67" s="136">
        <v>10</v>
      </c>
      <c r="DP67" s="136">
        <v>22</v>
      </c>
      <c r="DQ67" s="136">
        <f t="shared" si="267"/>
        <v>0.36944444444444446</v>
      </c>
      <c r="DR67" s="137">
        <f t="shared" si="270"/>
        <v>3.8888888888888307E-3</v>
      </c>
      <c r="DS67" s="10">
        <v>20</v>
      </c>
      <c r="DT67" s="10">
        <v>22</v>
      </c>
      <c r="DU67" s="138">
        <f t="shared" si="268"/>
        <v>0.37222222222222218</v>
      </c>
      <c r="DV67" s="139">
        <f t="shared" si="269"/>
        <v>3.611111111111176E-3</v>
      </c>
    </row>
    <row r="68" spans="1:126" ht="27">
      <c r="C68" t="s">
        <v>1348</v>
      </c>
      <c r="J68" t="s">
        <v>1349</v>
      </c>
      <c r="BT68">
        <v>28</v>
      </c>
      <c r="BU68" s="30" t="s">
        <v>649</v>
      </c>
      <c r="BV68" s="30">
        <f>BV64-BV67</f>
        <v>182.12584578250033</v>
      </c>
      <c r="BW68" s="64">
        <f t="shared" si="271"/>
        <v>182</v>
      </c>
      <c r="BX68" s="64">
        <f t="shared" si="272"/>
        <v>7</v>
      </c>
      <c r="BY68" s="64">
        <f t="shared" si="273"/>
        <v>33</v>
      </c>
      <c r="BZ68" s="65">
        <f t="shared" si="274"/>
        <v>2</v>
      </c>
      <c r="DM68" s="136">
        <v>0</v>
      </c>
      <c r="DN68" s="136">
        <v>35</v>
      </c>
      <c r="DO68" s="136">
        <v>57</v>
      </c>
      <c r="DP68" s="136">
        <v>21</v>
      </c>
      <c r="DQ68" s="136">
        <f t="shared" si="267"/>
        <v>0.36583333333333334</v>
      </c>
      <c r="DR68" s="137">
        <f t="shared" si="270"/>
        <v>3.6111111111111205E-3</v>
      </c>
      <c r="DS68" s="10">
        <v>6</v>
      </c>
      <c r="DT68" s="10">
        <v>22</v>
      </c>
      <c r="DU68" s="138">
        <f t="shared" si="268"/>
        <v>0.36833333333333335</v>
      </c>
      <c r="DV68" s="139">
        <f t="shared" si="269"/>
        <v>3.8888888888888307E-3</v>
      </c>
    </row>
    <row r="69" spans="1:126" ht="27">
      <c r="C69" s="24"/>
      <c r="D69" s="24" t="s">
        <v>1340</v>
      </c>
      <c r="E69" s="24">
        <v>149</v>
      </c>
      <c r="F69" s="191">
        <f>INT(ABS(E69))</f>
        <v>149</v>
      </c>
      <c r="G69" s="191">
        <f>INT((ABS(E69)-F69)*60)</f>
        <v>0</v>
      </c>
      <c r="H69" s="191">
        <f>INT((((ABS(E69)-F69)*60)-G69)*60)</f>
        <v>0</v>
      </c>
      <c r="J69" s="24"/>
      <c r="K69" s="24" t="s">
        <v>1340</v>
      </c>
      <c r="L69" s="24">
        <f>E69</f>
        <v>149</v>
      </c>
      <c r="M69" s="191">
        <f t="shared" ref="M69:M77" si="275">INT(ABS(L69))</f>
        <v>149</v>
      </c>
      <c r="N69" s="191">
        <f t="shared" ref="N69:N77" si="276">INT((ABS(L69)-M69)*60)</f>
        <v>0</v>
      </c>
      <c r="O69" s="191">
        <f t="shared" ref="O69:O77" si="277">INT((((ABS(L69)-M69)*60)-N69)*60)</f>
        <v>0</v>
      </c>
      <c r="BT69">
        <v>29</v>
      </c>
      <c r="BU69" s="7" t="s">
        <v>399</v>
      </c>
      <c r="BV69" s="7">
        <f>BV68+BV53</f>
        <v>181.51961941691746</v>
      </c>
      <c r="BW69" s="64">
        <f t="shared" si="271"/>
        <v>181</v>
      </c>
      <c r="BX69" s="64">
        <f t="shared" si="272"/>
        <v>31</v>
      </c>
      <c r="BY69" s="64">
        <f t="shared" si="273"/>
        <v>10</v>
      </c>
      <c r="BZ69" s="65">
        <f t="shared" si="274"/>
        <v>37</v>
      </c>
      <c r="DM69" s="136">
        <v>20</v>
      </c>
      <c r="DN69" s="136">
        <v>35</v>
      </c>
      <c r="DO69" s="136">
        <v>42</v>
      </c>
      <c r="DP69" s="136">
        <v>21</v>
      </c>
      <c r="DQ69" s="136">
        <f t="shared" si="267"/>
        <v>0.36166666666666664</v>
      </c>
      <c r="DR69" s="137">
        <f t="shared" si="270"/>
        <v>4.1666666666667074E-3</v>
      </c>
      <c r="DS69" s="10">
        <v>51</v>
      </c>
      <c r="DT69" s="10">
        <v>21</v>
      </c>
      <c r="DU69" s="138">
        <f t="shared" si="268"/>
        <v>0.36416666666666669</v>
      </c>
      <c r="DV69" s="139">
        <f t="shared" si="269"/>
        <v>4.1666666666666519E-3</v>
      </c>
    </row>
    <row r="70" spans="1:126" ht="27">
      <c r="B70" s="24">
        <v>0.22666666999999999</v>
      </c>
      <c r="C70" s="24"/>
      <c r="D70" s="24" t="s">
        <v>1333</v>
      </c>
      <c r="E70" s="10">
        <f>B70</f>
        <v>0.22666666999999999</v>
      </c>
      <c r="F70" s="191">
        <f t="shared" ref="F70:F88" si="278">INT(ABS(E70))</f>
        <v>0</v>
      </c>
      <c r="G70" s="191">
        <f t="shared" ref="G70:G88" si="279">INT((ABS(E70)-F70)*60)</f>
        <v>13</v>
      </c>
      <c r="H70" s="191">
        <f t="shared" ref="H70:H88" si="280">INT((((ABS(E70)-F70)*60)-G70)*60)</f>
        <v>36</v>
      </c>
      <c r="J70" s="24"/>
      <c r="K70" s="24" t="s">
        <v>1333</v>
      </c>
      <c r="L70" s="24">
        <f>E70</f>
        <v>0.22666666999999999</v>
      </c>
      <c r="M70" s="191">
        <f t="shared" si="275"/>
        <v>0</v>
      </c>
      <c r="N70" s="191">
        <f t="shared" si="276"/>
        <v>13</v>
      </c>
      <c r="O70" s="191">
        <f t="shared" si="277"/>
        <v>36</v>
      </c>
      <c r="BT70">
        <v>30</v>
      </c>
      <c r="BU70" s="4"/>
      <c r="BV70" s="4">
        <f>BV57-BV69</f>
        <v>-119.636731364447</v>
      </c>
      <c r="BW70" s="64">
        <f t="shared" si="271"/>
        <v>119</v>
      </c>
      <c r="BX70" s="64">
        <f t="shared" si="272"/>
        <v>38</v>
      </c>
      <c r="BY70" s="64">
        <f t="shared" si="273"/>
        <v>12</v>
      </c>
      <c r="BZ70" s="65">
        <f t="shared" si="274"/>
        <v>13</v>
      </c>
      <c r="DM70" s="136">
        <v>40</v>
      </c>
      <c r="DN70" s="136">
        <v>35</v>
      </c>
      <c r="DO70" s="136">
        <v>30</v>
      </c>
      <c r="DP70" s="136">
        <v>21</v>
      </c>
      <c r="DQ70" s="136">
        <f t="shared" si="267"/>
        <v>0.35833333333333334</v>
      </c>
      <c r="DR70" s="137">
        <f t="shared" si="270"/>
        <v>3.3333333333332993E-3</v>
      </c>
      <c r="DS70" s="10">
        <v>38</v>
      </c>
      <c r="DT70" s="10">
        <v>21</v>
      </c>
      <c r="DU70" s="138">
        <f t="shared" si="268"/>
        <v>0.36055555555555557</v>
      </c>
      <c r="DV70" s="139">
        <f t="shared" si="269"/>
        <v>3.6111111111111205E-3</v>
      </c>
    </row>
    <row r="71" spans="1:126" ht="27">
      <c r="C71" s="24"/>
      <c r="D71" s="24" t="s">
        <v>291</v>
      </c>
      <c r="E71" s="24">
        <v>5.33</v>
      </c>
      <c r="F71" s="191">
        <f t="shared" si="278"/>
        <v>5</v>
      </c>
      <c r="G71" s="191">
        <f t="shared" si="279"/>
        <v>19</v>
      </c>
      <c r="H71" s="191">
        <f t="shared" si="280"/>
        <v>48</v>
      </c>
      <c r="J71" s="24"/>
      <c r="K71" s="24" t="s">
        <v>291</v>
      </c>
      <c r="L71" s="24">
        <v>24.667999999999999</v>
      </c>
      <c r="M71" s="191">
        <f t="shared" si="275"/>
        <v>24</v>
      </c>
      <c r="N71" s="191">
        <f t="shared" si="276"/>
        <v>40</v>
      </c>
      <c r="O71" s="191">
        <f t="shared" si="277"/>
        <v>4</v>
      </c>
      <c r="DM71" s="136">
        <v>0</v>
      </c>
      <c r="DN71" s="136">
        <v>36</v>
      </c>
      <c r="DO71" s="136">
        <v>17</v>
      </c>
      <c r="DP71" s="136">
        <v>21</v>
      </c>
      <c r="DQ71" s="136">
        <f t="shared" si="267"/>
        <v>0.35472222222222227</v>
      </c>
      <c r="DR71" s="137">
        <f t="shared" si="270"/>
        <v>3.611111111111065E-3</v>
      </c>
      <c r="DS71" s="10">
        <v>27</v>
      </c>
      <c r="DT71" s="10">
        <v>21</v>
      </c>
      <c r="DU71" s="138">
        <f t="shared" si="268"/>
        <v>0.35749999999999998</v>
      </c>
      <c r="DV71" s="139">
        <f t="shared" si="269"/>
        <v>3.0555555555555891E-3</v>
      </c>
    </row>
    <row r="72" spans="1:126" ht="27">
      <c r="A72" s="33"/>
      <c r="B72" s="33"/>
      <c r="C72" s="24">
        <v>1</v>
      </c>
      <c r="D72" s="24" t="s">
        <v>657</v>
      </c>
      <c r="E72" s="24">
        <f>([2]!csn(E69)*E70)/60</f>
        <v>-0.19429125768303643</v>
      </c>
      <c r="F72" s="191">
        <f t="shared" si="278"/>
        <v>0</v>
      </c>
      <c r="G72" s="191">
        <f t="shared" si="279"/>
        <v>11</v>
      </c>
      <c r="H72" s="191">
        <f t="shared" si="280"/>
        <v>39</v>
      </c>
      <c r="I72" s="33"/>
      <c r="J72" s="24">
        <v>1</v>
      </c>
      <c r="K72" s="24" t="s">
        <v>657</v>
      </c>
      <c r="L72" s="24">
        <f>([2]!csn(L69)*L70)/60</f>
        <v>-0.19429125768303643</v>
      </c>
      <c r="M72" s="191">
        <f t="shared" si="275"/>
        <v>0</v>
      </c>
      <c r="N72" s="191">
        <f t="shared" si="276"/>
        <v>11</v>
      </c>
      <c r="O72" s="191">
        <f t="shared" si="277"/>
        <v>39</v>
      </c>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33"/>
      <c r="CA72" s="33"/>
      <c r="DM72" s="136">
        <v>20</v>
      </c>
      <c r="DN72" s="136">
        <v>36</v>
      </c>
      <c r="DO72" s="136">
        <v>4</v>
      </c>
      <c r="DP72" s="136">
        <v>21</v>
      </c>
      <c r="DQ72" s="136">
        <f t="shared" si="267"/>
        <v>0.3511111111111111</v>
      </c>
      <c r="DR72" s="137">
        <f t="shared" si="270"/>
        <v>3.611111111111176E-3</v>
      </c>
      <c r="DS72" s="10">
        <v>12</v>
      </c>
      <c r="DT72" s="10">
        <v>21</v>
      </c>
      <c r="DU72" s="138">
        <f t="shared" si="268"/>
        <v>0.35333333333333333</v>
      </c>
      <c r="DV72" s="139">
        <f t="shared" si="269"/>
        <v>4.1666666666666519E-3</v>
      </c>
    </row>
    <row r="73" spans="1:126" ht="27">
      <c r="A73" s="33"/>
      <c r="B73" s="33"/>
      <c r="C73" s="24">
        <v>2</v>
      </c>
      <c r="D73" s="24" t="s">
        <v>575</v>
      </c>
      <c r="E73" s="24">
        <f>E71+E72</f>
        <v>5.1357087423169636</v>
      </c>
      <c r="F73" s="191">
        <f t="shared" si="278"/>
        <v>5</v>
      </c>
      <c r="G73" s="191">
        <f t="shared" si="279"/>
        <v>8</v>
      </c>
      <c r="H73" s="191">
        <f t="shared" si="280"/>
        <v>8</v>
      </c>
      <c r="I73" s="33"/>
      <c r="J73" s="24">
        <v>2</v>
      </c>
      <c r="K73" s="24" t="s">
        <v>575</v>
      </c>
      <c r="L73" s="24">
        <f>L71-L72</f>
        <v>24.862291257683037</v>
      </c>
      <c r="M73" s="191">
        <f t="shared" si="275"/>
        <v>24</v>
      </c>
      <c r="N73" s="191">
        <f t="shared" si="276"/>
        <v>51</v>
      </c>
      <c r="O73" s="191">
        <f t="shared" si="277"/>
        <v>44</v>
      </c>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33"/>
      <c r="CA73" s="33"/>
      <c r="DM73" s="136">
        <v>40</v>
      </c>
      <c r="DN73" s="136">
        <v>36</v>
      </c>
      <c r="DO73" s="136">
        <v>52</v>
      </c>
      <c r="DP73" s="136">
        <v>20</v>
      </c>
      <c r="DQ73" s="136">
        <f t="shared" si="267"/>
        <v>0.3477777777777778</v>
      </c>
      <c r="DR73" s="137">
        <f t="shared" si="270"/>
        <v>3.3333333333332993E-3</v>
      </c>
      <c r="DS73" s="10">
        <v>0</v>
      </c>
      <c r="DT73" s="10">
        <v>21</v>
      </c>
      <c r="DU73" s="138">
        <f t="shared" si="268"/>
        <v>0.35</v>
      </c>
      <c r="DV73" s="139">
        <f t="shared" si="269"/>
        <v>3.3333333333333548E-3</v>
      </c>
    </row>
    <row r="74" spans="1:126" ht="27">
      <c r="A74" s="33"/>
      <c r="B74" s="33"/>
      <c r="C74" s="24">
        <v>3</v>
      </c>
      <c r="D74" s="24" t="s">
        <v>582</v>
      </c>
      <c r="E74" s="24">
        <f>180-E69</f>
        <v>31</v>
      </c>
      <c r="F74" s="191">
        <f t="shared" si="278"/>
        <v>31</v>
      </c>
      <c r="G74" s="191">
        <f t="shared" si="279"/>
        <v>0</v>
      </c>
      <c r="H74" s="191">
        <f t="shared" si="280"/>
        <v>0</v>
      </c>
      <c r="I74" s="33"/>
      <c r="J74" s="24">
        <v>3</v>
      </c>
      <c r="K74" s="24" t="s">
        <v>582</v>
      </c>
      <c r="L74" s="24">
        <f>180-L69</f>
        <v>31</v>
      </c>
      <c r="M74" s="191">
        <f t="shared" si="275"/>
        <v>31</v>
      </c>
      <c r="N74" s="191">
        <f t="shared" si="276"/>
        <v>0</v>
      </c>
      <c r="O74" s="191">
        <f t="shared" si="277"/>
        <v>0</v>
      </c>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c r="BZ74" s="33"/>
      <c r="CA74" s="33"/>
      <c r="DM74" s="136">
        <v>0</v>
      </c>
      <c r="DN74" s="136">
        <v>37</v>
      </c>
      <c r="DO74" s="136">
        <v>40</v>
      </c>
      <c r="DP74" s="136">
        <v>20</v>
      </c>
      <c r="DQ74" s="136">
        <f t="shared" si="267"/>
        <v>0.34444444444444444</v>
      </c>
      <c r="DR74" s="137">
        <f t="shared" si="270"/>
        <v>3.3333333333333548E-3</v>
      </c>
      <c r="DS74" s="10">
        <v>48</v>
      </c>
      <c r="DT74" s="10">
        <v>20</v>
      </c>
      <c r="DU74" s="138">
        <f t="shared" si="268"/>
        <v>0.34666666666666668</v>
      </c>
      <c r="DV74" s="139">
        <f t="shared" si="269"/>
        <v>3.3333333333332993E-3</v>
      </c>
    </row>
    <row r="75" spans="1:126" ht="27">
      <c r="A75" s="33"/>
      <c r="B75" s="33"/>
      <c r="C75" s="24">
        <v>4</v>
      </c>
      <c r="D75" s="24" t="s">
        <v>1342</v>
      </c>
      <c r="E75" s="24">
        <f>[2]!tn(E69)</f>
        <v>-36.051637141653636</v>
      </c>
      <c r="F75" s="191">
        <f t="shared" si="278"/>
        <v>36</v>
      </c>
      <c r="G75" s="191">
        <f t="shared" si="279"/>
        <v>3</v>
      </c>
      <c r="H75" s="191">
        <f t="shared" si="280"/>
        <v>5</v>
      </c>
      <c r="I75" s="33"/>
      <c r="J75" s="24">
        <v>4</v>
      </c>
      <c r="K75" s="24" t="s">
        <v>1342</v>
      </c>
      <c r="L75" s="24">
        <f>[2]!tn(L69)</f>
        <v>-36.051637141653636</v>
      </c>
      <c r="M75" s="191">
        <f t="shared" si="275"/>
        <v>36</v>
      </c>
      <c r="N75" s="191">
        <f t="shared" si="276"/>
        <v>3</v>
      </c>
      <c r="O75" s="191">
        <f t="shared" si="277"/>
        <v>5</v>
      </c>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33"/>
      <c r="CA75" s="33"/>
      <c r="DM75" s="136">
        <v>20</v>
      </c>
      <c r="DN75" s="136">
        <v>37</v>
      </c>
      <c r="DO75" s="136">
        <v>28</v>
      </c>
      <c r="DP75" s="136">
        <v>20</v>
      </c>
      <c r="DQ75" s="136">
        <f t="shared" si="267"/>
        <v>0.34111111111111109</v>
      </c>
      <c r="DR75" s="137">
        <f t="shared" si="270"/>
        <v>3.3333333333333548E-3</v>
      </c>
      <c r="DS75" s="10">
        <v>38</v>
      </c>
      <c r="DT75" s="10">
        <v>20</v>
      </c>
      <c r="DU75" s="138">
        <f t="shared" si="268"/>
        <v>0.34388888888888886</v>
      </c>
      <c r="DV75" s="139">
        <f t="shared" si="269"/>
        <v>2.7777777777778234E-3</v>
      </c>
    </row>
    <row r="76" spans="1:126" ht="27">
      <c r="C76" s="24">
        <v>5</v>
      </c>
      <c r="D76" s="24" t="s">
        <v>1334</v>
      </c>
      <c r="E76" s="24">
        <v>60</v>
      </c>
      <c r="F76" s="191">
        <f t="shared" si="278"/>
        <v>60</v>
      </c>
      <c r="G76" s="191">
        <f t="shared" si="279"/>
        <v>0</v>
      </c>
      <c r="H76" s="191">
        <f t="shared" si="280"/>
        <v>0</v>
      </c>
      <c r="J76" s="24">
        <v>5</v>
      </c>
      <c r="K76" s="24" t="s">
        <v>1334</v>
      </c>
      <c r="L76" s="24">
        <v>60</v>
      </c>
      <c r="M76" s="191">
        <f t="shared" si="275"/>
        <v>60</v>
      </c>
      <c r="N76" s="191">
        <f t="shared" si="276"/>
        <v>0</v>
      </c>
      <c r="O76" s="191">
        <f t="shared" si="277"/>
        <v>0</v>
      </c>
      <c r="DM76" s="136">
        <v>40</v>
      </c>
      <c r="DN76" s="136">
        <v>37</v>
      </c>
      <c r="DO76" s="136">
        <v>17</v>
      </c>
      <c r="DP76" s="136">
        <v>20</v>
      </c>
      <c r="DQ76" s="136">
        <f t="shared" si="267"/>
        <v>0.33805555555555561</v>
      </c>
      <c r="DR76" s="137">
        <f t="shared" si="270"/>
        <v>3.0555555555554781E-3</v>
      </c>
      <c r="DS76" s="10">
        <v>27</v>
      </c>
      <c r="DT76" s="10">
        <v>20</v>
      </c>
      <c r="DU76" s="138">
        <f t="shared" si="268"/>
        <v>0.34083333333333332</v>
      </c>
      <c r="DV76" s="139">
        <f t="shared" si="269"/>
        <v>3.0555555555555336E-3</v>
      </c>
    </row>
    <row r="77" spans="1:126" ht="27">
      <c r="C77" s="24">
        <v>6</v>
      </c>
      <c r="D77" s="24" t="s">
        <v>1343</v>
      </c>
      <c r="E77" s="24">
        <f>E71/2</f>
        <v>2.665</v>
      </c>
      <c r="F77" s="191">
        <f t="shared" si="278"/>
        <v>2</v>
      </c>
      <c r="G77" s="191">
        <f t="shared" si="279"/>
        <v>39</v>
      </c>
      <c r="H77" s="191">
        <f t="shared" si="280"/>
        <v>54</v>
      </c>
      <c r="J77" s="24">
        <v>6</v>
      </c>
      <c r="K77" s="24" t="s">
        <v>1343</v>
      </c>
      <c r="L77" s="24">
        <f>L71/2</f>
        <v>12.334</v>
      </c>
      <c r="M77" s="191">
        <f t="shared" si="275"/>
        <v>12</v>
      </c>
      <c r="N77" s="191">
        <f t="shared" si="276"/>
        <v>20</v>
      </c>
      <c r="O77" s="191">
        <f t="shared" si="277"/>
        <v>2</v>
      </c>
      <c r="DM77" s="136">
        <v>0</v>
      </c>
      <c r="DN77" s="136">
        <v>38</v>
      </c>
      <c r="DO77" s="136">
        <v>5</v>
      </c>
      <c r="DP77" s="136">
        <v>20</v>
      </c>
      <c r="DQ77" s="136">
        <f t="shared" si="267"/>
        <v>0.3347222222222222</v>
      </c>
      <c r="DR77" s="137">
        <f t="shared" si="270"/>
        <v>3.3333333333334103E-3</v>
      </c>
      <c r="DS77" s="10">
        <v>13</v>
      </c>
      <c r="DT77" s="10">
        <v>20</v>
      </c>
      <c r="DU77" s="138">
        <f t="shared" si="268"/>
        <v>0.33694444444444444</v>
      </c>
      <c r="DV77" s="139">
        <f t="shared" si="269"/>
        <v>3.8888888888888862E-3</v>
      </c>
    </row>
    <row r="78" spans="1:126" ht="27">
      <c r="C78" s="24">
        <v>7</v>
      </c>
      <c r="D78" s="24" t="s">
        <v>1335</v>
      </c>
      <c r="E78" s="24">
        <f>SQRT(POWER(E76,2)-POWER(E77,2))</f>
        <v>59.940785572096068</v>
      </c>
      <c r="F78" s="191">
        <f t="shared" si="278"/>
        <v>59</v>
      </c>
      <c r="G78" s="191">
        <f t="shared" si="279"/>
        <v>56</v>
      </c>
      <c r="H78" s="191">
        <f t="shared" si="280"/>
        <v>26</v>
      </c>
      <c r="J78" s="24">
        <v>7</v>
      </c>
      <c r="K78" s="24" t="s">
        <v>1335</v>
      </c>
      <c r="L78" s="24">
        <f>SQRT(POWER(L76,2)-POWER(L77,2))</f>
        <v>58.718586869917097</v>
      </c>
      <c r="M78" s="191">
        <f t="shared" ref="M78:M87" si="281">INT(ABS(L78))</f>
        <v>58</v>
      </c>
      <c r="N78" s="191">
        <f t="shared" ref="N78:N87" si="282">INT((ABS(L78)-M78)*60)</f>
        <v>43</v>
      </c>
      <c r="O78" s="191">
        <f t="shared" ref="O78:O87" si="283">INT((((ABS(L78)-M78)*60)-N78)*60)</f>
        <v>6</v>
      </c>
      <c r="DM78" s="136">
        <v>20</v>
      </c>
      <c r="DN78" s="136">
        <v>38</v>
      </c>
      <c r="DO78" s="136">
        <v>51</v>
      </c>
      <c r="DP78" s="136">
        <v>19</v>
      </c>
      <c r="DQ78" s="136">
        <f t="shared" si="267"/>
        <v>0.33083333333333337</v>
      </c>
      <c r="DR78" s="137">
        <f t="shared" si="270"/>
        <v>3.8888888888888307E-3</v>
      </c>
      <c r="DS78" s="10">
        <v>1</v>
      </c>
      <c r="DT78" s="10">
        <v>20</v>
      </c>
      <c r="DU78" s="138">
        <f t="shared" si="268"/>
        <v>0.33361111111111108</v>
      </c>
      <c r="DV78" s="139">
        <f t="shared" si="269"/>
        <v>3.3333333333333548E-3</v>
      </c>
    </row>
    <row r="79" spans="1:126" ht="27">
      <c r="C79" s="24">
        <v>8</v>
      </c>
      <c r="D79" s="24" t="s">
        <v>591</v>
      </c>
      <c r="E79" s="24">
        <f>E75*60/E78</f>
        <v>-36.087251907926188</v>
      </c>
      <c r="F79" s="191">
        <f t="shared" si="278"/>
        <v>36</v>
      </c>
      <c r="G79" s="191">
        <f t="shared" si="279"/>
        <v>5</v>
      </c>
      <c r="H79" s="191">
        <f t="shared" si="280"/>
        <v>14</v>
      </c>
      <c r="J79" s="24">
        <v>8</v>
      </c>
      <c r="K79" s="24" t="s">
        <v>591</v>
      </c>
      <c r="L79" s="24">
        <f>L75*60/L78</f>
        <v>-36.838390428081368</v>
      </c>
      <c r="M79" s="191">
        <f t="shared" si="281"/>
        <v>36</v>
      </c>
      <c r="N79" s="191">
        <f t="shared" si="282"/>
        <v>50</v>
      </c>
      <c r="O79" s="191">
        <f t="shared" si="283"/>
        <v>18</v>
      </c>
      <c r="DM79" s="136"/>
      <c r="DN79" s="136"/>
      <c r="DO79" s="136"/>
      <c r="DP79" s="136"/>
      <c r="DQ79" s="136"/>
      <c r="DR79" s="136"/>
    </row>
    <row r="80" spans="1:126" ht="27">
      <c r="C80" s="24">
        <v>9</v>
      </c>
      <c r="D80" s="24" t="s">
        <v>604</v>
      </c>
      <c r="E80" s="24">
        <f>E77+E72</f>
        <v>2.4707087423169636</v>
      </c>
      <c r="F80" s="191">
        <f t="shared" si="278"/>
        <v>2</v>
      </c>
      <c r="G80" s="191">
        <f t="shared" si="279"/>
        <v>28</v>
      </c>
      <c r="H80" s="191">
        <f t="shared" si="280"/>
        <v>14</v>
      </c>
      <c r="J80" s="24">
        <v>9</v>
      </c>
      <c r="K80" s="24" t="s">
        <v>604</v>
      </c>
      <c r="L80" s="24">
        <f>L77-L72</f>
        <v>12.528291257683035</v>
      </c>
      <c r="M80" s="191">
        <f t="shared" si="281"/>
        <v>12</v>
      </c>
      <c r="N80" s="191">
        <f t="shared" si="282"/>
        <v>31</v>
      </c>
      <c r="O80" s="191">
        <f t="shared" si="283"/>
        <v>41</v>
      </c>
      <c r="DL80" s="136">
        <f>INT(ABS(DQ80))</f>
        <v>0</v>
      </c>
      <c r="DM80" s="64">
        <f>INT((ABS(DQ80)-DL80)*60)</f>
        <v>22</v>
      </c>
      <c r="DN80" s="64">
        <f>INT((((ABS(DQ80)-DL80)*60)-DM80)*60)</f>
        <v>55</v>
      </c>
      <c r="DO80" s="65">
        <f>INT((((((ABS(DQ80)-DL80)*60)-DM80)*60)-DN80)*60)</f>
        <v>12</v>
      </c>
      <c r="DP80" s="65">
        <f>INT((((((((ABS(DQ80)-DL80)*60)-DM80)*60)-DN80)*60)-DO80)*60)</f>
        <v>51</v>
      </c>
      <c r="DQ80" s="136">
        <f>SUM(DQ51:DQ78)/28</f>
        <v>0.38200396825396826</v>
      </c>
      <c r="DR80" s="137">
        <f>SUM(DR52:DR78)/27</f>
        <v>4.1152263374485574E-3</v>
      </c>
      <c r="DU80" s="136">
        <f>SUM(DU51:DU78)/28</f>
        <v>0.38470238095238102</v>
      </c>
      <c r="DV80" s="137">
        <f>SUM(DV52:DV78)/27</f>
        <v>4.1358024691358032E-3</v>
      </c>
    </row>
    <row r="81" spans="3:15" ht="27">
      <c r="C81" s="24">
        <v>10</v>
      </c>
      <c r="D81" s="24" t="s">
        <v>1339</v>
      </c>
      <c r="E81" s="24">
        <f>[2]!asn([2]!sn(E69)*E80/60)</f>
        <v>1.2152477704816904</v>
      </c>
      <c r="F81" s="191">
        <f t="shared" si="278"/>
        <v>1</v>
      </c>
      <c r="G81" s="191">
        <f t="shared" si="279"/>
        <v>12</v>
      </c>
      <c r="H81" s="191">
        <f t="shared" si="280"/>
        <v>54</v>
      </c>
      <c r="J81" s="24">
        <v>10</v>
      </c>
      <c r="K81" s="24" t="s">
        <v>1339</v>
      </c>
      <c r="L81" s="24">
        <f>[2]!asn([2]!sn(L69)*L80/60)</f>
        <v>6.1736678772066105</v>
      </c>
      <c r="M81" s="191">
        <f t="shared" si="281"/>
        <v>6</v>
      </c>
      <c r="N81" s="191">
        <f t="shared" si="282"/>
        <v>10</v>
      </c>
      <c r="O81" s="191">
        <f t="shared" si="283"/>
        <v>25</v>
      </c>
    </row>
    <row r="82" spans="3:15" ht="27">
      <c r="C82" s="24">
        <v>11</v>
      </c>
      <c r="D82" s="24" t="s">
        <v>1341</v>
      </c>
      <c r="E82" s="24">
        <f>180-[2]!atj(E79)</f>
        <v>211.02498151954501</v>
      </c>
      <c r="F82" s="191">
        <f t="shared" si="278"/>
        <v>211</v>
      </c>
      <c r="G82" s="191">
        <f t="shared" si="279"/>
        <v>1</v>
      </c>
      <c r="H82" s="191">
        <f t="shared" si="280"/>
        <v>29</v>
      </c>
      <c r="J82" s="24">
        <v>11</v>
      </c>
      <c r="K82" s="24" t="s">
        <v>1341</v>
      </c>
      <c r="L82" s="24">
        <f>180-[2]!atj(L79)</f>
        <v>211.5488087657223</v>
      </c>
      <c r="M82" s="191">
        <f t="shared" si="281"/>
        <v>211</v>
      </c>
      <c r="N82" s="191">
        <f t="shared" si="282"/>
        <v>32</v>
      </c>
      <c r="O82" s="191">
        <f t="shared" si="283"/>
        <v>55</v>
      </c>
    </row>
    <row r="83" spans="3:15" ht="27">
      <c r="C83" s="24">
        <v>12</v>
      </c>
      <c r="D83" s="24" t="s">
        <v>1336</v>
      </c>
      <c r="E83" s="24">
        <f>180-(E82+E81)</f>
        <v>-32.24022929002669</v>
      </c>
      <c r="F83" s="191">
        <f t="shared" si="278"/>
        <v>32</v>
      </c>
      <c r="G83" s="191">
        <f t="shared" si="279"/>
        <v>14</v>
      </c>
      <c r="H83" s="191">
        <f t="shared" si="280"/>
        <v>24</v>
      </c>
      <c r="J83" s="24">
        <v>12</v>
      </c>
      <c r="K83" s="24" t="s">
        <v>1336</v>
      </c>
      <c r="L83" s="24">
        <f>180-(L82+L81)</f>
        <v>-37.72247664292891</v>
      </c>
      <c r="M83" s="191">
        <f t="shared" si="281"/>
        <v>37</v>
      </c>
      <c r="N83" s="191">
        <f t="shared" si="282"/>
        <v>43</v>
      </c>
      <c r="O83" s="191">
        <f t="shared" si="283"/>
        <v>20</v>
      </c>
    </row>
    <row r="84" spans="3:15" ht="27">
      <c r="C84" s="24">
        <v>13</v>
      </c>
      <c r="D84" s="24" t="s">
        <v>1337</v>
      </c>
      <c r="E84" s="24">
        <f>E78*[2]!sn(E83)/60</f>
        <v>-31.976627980013841</v>
      </c>
      <c r="F84" s="191">
        <f t="shared" si="278"/>
        <v>31</v>
      </c>
      <c r="G84" s="191">
        <f t="shared" si="279"/>
        <v>58</v>
      </c>
      <c r="H84" s="191">
        <f t="shared" si="280"/>
        <v>35</v>
      </c>
      <c r="J84" s="24">
        <v>13</v>
      </c>
      <c r="K84" s="24" t="s">
        <v>1337</v>
      </c>
      <c r="L84" s="24">
        <f>L78*[2]!sn(L83)/60</f>
        <v>-35.926226543296835</v>
      </c>
      <c r="M84" s="191">
        <f t="shared" si="281"/>
        <v>35</v>
      </c>
      <c r="N84" s="191">
        <f t="shared" si="282"/>
        <v>55</v>
      </c>
      <c r="O84" s="191">
        <f t="shared" si="283"/>
        <v>34</v>
      </c>
    </row>
    <row r="85" spans="3:15" ht="27">
      <c r="C85" s="24">
        <v>14</v>
      </c>
      <c r="D85" s="24" t="s">
        <v>1338</v>
      </c>
      <c r="E85" s="24">
        <f>E84*60/E75</f>
        <v>53.218045861892506</v>
      </c>
      <c r="F85" s="191">
        <f t="shared" si="278"/>
        <v>53</v>
      </c>
      <c r="G85" s="191">
        <f t="shared" si="279"/>
        <v>13</v>
      </c>
      <c r="H85" s="191">
        <f t="shared" si="280"/>
        <v>4</v>
      </c>
      <c r="J85" s="24">
        <v>14</v>
      </c>
      <c r="K85" s="24" t="s">
        <v>1338</v>
      </c>
      <c r="L85" s="24">
        <f>L84*60/L75</f>
        <v>59.791281714285475</v>
      </c>
      <c r="M85" s="191">
        <f t="shared" si="281"/>
        <v>59</v>
      </c>
      <c r="N85" s="191">
        <f t="shared" si="282"/>
        <v>47</v>
      </c>
      <c r="O85" s="191">
        <f t="shared" si="283"/>
        <v>28</v>
      </c>
    </row>
    <row r="86" spans="3:15" ht="27">
      <c r="C86" s="24">
        <v>15</v>
      </c>
      <c r="D86" s="24" t="s">
        <v>633</v>
      </c>
      <c r="E86" s="24">
        <f>E73+E85</f>
        <v>58.35375460420947</v>
      </c>
      <c r="F86" s="191">
        <f t="shared" si="278"/>
        <v>58</v>
      </c>
      <c r="G86" s="191">
        <f t="shared" si="279"/>
        <v>21</v>
      </c>
      <c r="H86" s="191">
        <f t="shared" si="280"/>
        <v>13</v>
      </c>
      <c r="J86" s="24">
        <v>15</v>
      </c>
      <c r="K86" s="24" t="s">
        <v>633</v>
      </c>
      <c r="L86" s="24">
        <f>L85-L73</f>
        <v>34.928990456602435</v>
      </c>
      <c r="M86" s="191">
        <f t="shared" si="281"/>
        <v>34</v>
      </c>
      <c r="N86" s="191">
        <f t="shared" si="282"/>
        <v>55</v>
      </c>
      <c r="O86" s="191">
        <f t="shared" si="283"/>
        <v>44</v>
      </c>
    </row>
    <row r="87" spans="3:15" ht="27">
      <c r="C87" s="24">
        <v>16</v>
      </c>
      <c r="D87" s="24" t="s">
        <v>615</v>
      </c>
      <c r="E87" s="24">
        <f>SQRT(POWER(E86,2)+POWER(E84,2))</f>
        <v>66.54070493600517</v>
      </c>
      <c r="F87" s="191">
        <f t="shared" si="278"/>
        <v>66</v>
      </c>
      <c r="G87" s="191">
        <f t="shared" si="279"/>
        <v>32</v>
      </c>
      <c r="H87" s="191">
        <f t="shared" si="280"/>
        <v>26</v>
      </c>
      <c r="J87" s="24">
        <v>16</v>
      </c>
      <c r="K87" s="24" t="s">
        <v>615</v>
      </c>
      <c r="L87" s="24">
        <f>SQRT(POWER(L86,2)+POWER(L84,2))</f>
        <v>50.107166433133195</v>
      </c>
      <c r="M87" s="191">
        <f t="shared" si="281"/>
        <v>50</v>
      </c>
      <c r="N87" s="191">
        <f t="shared" si="282"/>
        <v>6</v>
      </c>
      <c r="O87" s="191">
        <f t="shared" si="283"/>
        <v>25</v>
      </c>
    </row>
    <row r="88" spans="3:15" ht="27">
      <c r="C88" s="24">
        <v>17</v>
      </c>
      <c r="D88" s="24" t="s">
        <v>1347</v>
      </c>
      <c r="E88" s="24">
        <f>[2]!asn([2]!sn(E74)*E73/E87)</f>
        <v>2.2781871607715853</v>
      </c>
      <c r="F88" s="191">
        <f t="shared" si="278"/>
        <v>2</v>
      </c>
      <c r="G88" s="191">
        <f t="shared" si="279"/>
        <v>16</v>
      </c>
      <c r="H88" s="191">
        <f t="shared" si="280"/>
        <v>41</v>
      </c>
      <c r="J88" s="24">
        <v>17</v>
      </c>
      <c r="K88" s="24" t="s">
        <v>1347</v>
      </c>
      <c r="L88" s="24">
        <f>[2]!asn([2]!sn(L74)*L73/L87)</f>
        <v>14.806343542767863</v>
      </c>
      <c r="M88" s="191">
        <f>INT(ABS(L88))</f>
        <v>14</v>
      </c>
      <c r="N88" s="191">
        <f>INT((ABS(L88)-M88)*60)</f>
        <v>48</v>
      </c>
      <c r="O88" s="191">
        <f>INT((((ABS(L88)-M88)*60)-N88)*60)</f>
        <v>22</v>
      </c>
    </row>
    <row r="89" spans="3:15">
      <c r="C89" s="24"/>
      <c r="D89" s="24"/>
      <c r="E89" s="24"/>
      <c r="F89" s="24"/>
      <c r="G89" s="24"/>
      <c r="H89" s="24"/>
      <c r="J89" s="24"/>
      <c r="K89" s="24"/>
      <c r="L89" s="24"/>
      <c r="M89" s="24"/>
      <c r="N89" s="24"/>
      <c r="O89" s="24"/>
    </row>
    <row r="90" spans="3:15">
      <c r="C90" s="24"/>
      <c r="D90" s="24"/>
      <c r="E90" s="24">
        <f>E69</f>
        <v>149</v>
      </c>
      <c r="F90" s="24"/>
      <c r="G90" s="24"/>
      <c r="H90" s="24"/>
      <c r="J90" s="24"/>
      <c r="K90" s="24"/>
      <c r="L90" s="24">
        <f>L69</f>
        <v>149</v>
      </c>
      <c r="M90" s="24"/>
      <c r="N90" s="24"/>
      <c r="O90" s="24"/>
    </row>
    <row r="91" spans="3:15">
      <c r="C91" s="24"/>
      <c r="D91" s="24"/>
      <c r="E91" s="24">
        <f>90-E90</f>
        <v>-59</v>
      </c>
      <c r="F91" s="24"/>
      <c r="G91" s="24"/>
      <c r="H91" s="24"/>
      <c r="J91" s="24"/>
      <c r="K91" s="24"/>
      <c r="L91" s="24">
        <f>90-L90</f>
        <v>-59</v>
      </c>
      <c r="M91" s="24"/>
      <c r="N91" s="24"/>
      <c r="O91" s="24"/>
    </row>
    <row r="92" spans="3:15">
      <c r="C92" s="24">
        <v>3</v>
      </c>
      <c r="D92" s="24" t="s">
        <v>1344</v>
      </c>
      <c r="E92" s="24">
        <f>[2]!sn(E91)*E73/60</f>
        <v>-4.4021615998440717</v>
      </c>
      <c r="F92" s="24"/>
      <c r="G92" s="24"/>
      <c r="H92" s="24"/>
      <c r="J92" s="24">
        <v>3</v>
      </c>
      <c r="K92" s="24" t="s">
        <v>1344</v>
      </c>
      <c r="L92" s="24">
        <f>[2]!sn(L91)*L73/60</f>
        <v>-21.311143086617893</v>
      </c>
      <c r="M92" s="24"/>
      <c r="N92" s="24"/>
      <c r="O92" s="24"/>
    </row>
    <row r="93" spans="3:15">
      <c r="C93" s="24">
        <v>4</v>
      </c>
      <c r="D93" s="24" t="s">
        <v>1345</v>
      </c>
      <c r="E93" s="24">
        <f>120+E92</f>
        <v>115.59783840015592</v>
      </c>
      <c r="F93" s="24"/>
      <c r="G93" s="24"/>
      <c r="H93" s="24"/>
      <c r="J93" s="24">
        <v>4</v>
      </c>
      <c r="K93" s="24" t="s">
        <v>1345</v>
      </c>
      <c r="L93" s="24">
        <f>120+L92</f>
        <v>98.688856913382111</v>
      </c>
      <c r="M93" s="24"/>
      <c r="N93" s="24"/>
      <c r="O93" s="24"/>
    </row>
    <row r="94" spans="3:15">
      <c r="C94" s="24"/>
      <c r="D94" s="24" t="s">
        <v>1334</v>
      </c>
      <c r="E94" s="24">
        <f>SQRT(POWER(E73,2)-POWER(E92,2))</f>
        <v>2.645085543941665</v>
      </c>
      <c r="F94" s="24"/>
      <c r="G94" s="24"/>
      <c r="H94" s="24"/>
      <c r="J94" s="24"/>
      <c r="K94" s="24" t="s">
        <v>1334</v>
      </c>
      <c r="L94" s="24">
        <f>SQRT(POWER(L73,2)-POWER(L92,2))</f>
        <v>12.805026627210143</v>
      </c>
      <c r="M94" s="24"/>
      <c r="N94" s="24"/>
      <c r="O94" s="24"/>
    </row>
    <row r="95" spans="3:15">
      <c r="C95" s="24"/>
      <c r="D95" s="24" t="s">
        <v>1346</v>
      </c>
      <c r="E95" s="24">
        <f>SQRT(POWER(E93,2)+(POWER(E94,2)))</f>
        <v>115.62809658695993</v>
      </c>
      <c r="F95" s="24"/>
      <c r="G95" s="24"/>
      <c r="H95" s="24"/>
      <c r="J95" s="24"/>
      <c r="K95" s="24" t="s">
        <v>1346</v>
      </c>
      <c r="L95" s="24">
        <f>SQRT(POWER(L93,2)+(POWER(L94,2)))</f>
        <v>99.516125255124194</v>
      </c>
      <c r="M95" s="24"/>
      <c r="N95" s="24"/>
      <c r="O95" s="24"/>
    </row>
    <row r="96" spans="3:15">
      <c r="C96" s="24"/>
      <c r="D96" s="24" t="s">
        <v>1339</v>
      </c>
      <c r="E96" s="24">
        <f>[2]!asn(E94*60/E95)</f>
        <v>1.3108012987061188</v>
      </c>
      <c r="F96" s="24"/>
      <c r="G96" s="24"/>
      <c r="H96" s="24"/>
      <c r="J96" s="24"/>
      <c r="K96" s="24" t="s">
        <v>1339</v>
      </c>
      <c r="L96" s="24">
        <f>[2]!asn(L94*60/L95)</f>
        <v>7.3929099688404127</v>
      </c>
      <c r="M96" s="24"/>
      <c r="N96" s="24"/>
      <c r="O96" s="24"/>
    </row>
    <row r="97" spans="3:15" ht="27">
      <c r="C97" s="24"/>
      <c r="D97" s="24" t="s">
        <v>1285</v>
      </c>
      <c r="E97" s="24">
        <f>E96*2</f>
        <v>2.6216025974122377</v>
      </c>
      <c r="F97" s="191">
        <f>INT(ABS(E97))</f>
        <v>2</v>
      </c>
      <c r="G97" s="191">
        <f>INT((ABS(E97)-F97)*60)</f>
        <v>37</v>
      </c>
      <c r="H97" s="191">
        <f>INT((((ABS(E97)-F97)*60)-G97)*60)</f>
        <v>17</v>
      </c>
      <c r="J97" s="24"/>
      <c r="K97" s="24" t="s">
        <v>1285</v>
      </c>
      <c r="L97" s="24">
        <f>L96*2</f>
        <v>14.785819937680825</v>
      </c>
      <c r="M97" s="191">
        <f>INT(ABS(L97))</f>
        <v>14</v>
      </c>
      <c r="N97" s="191">
        <f>INT((ABS(L97)-M97)*60)</f>
        <v>47</v>
      </c>
      <c r="O97" s="191">
        <f>INT((((ABS(L97)-M97)*60)-N97)*60)</f>
        <v>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C548"/>
  <sheetViews>
    <sheetView rightToLeft="1" topLeftCell="I17" zoomScale="95" workbookViewId="0">
      <selection activeCell="M34" sqref="M34"/>
    </sheetView>
  </sheetViews>
  <sheetFormatPr defaultRowHeight="15"/>
  <cols>
    <col min="7" max="7" width="15.7109375" customWidth="1"/>
    <col min="12" max="12" width="12.5703125" customWidth="1"/>
    <col min="13" max="13" width="10.85546875" customWidth="1"/>
    <col min="32" max="32" width="12.42578125" customWidth="1"/>
    <col min="52" max="52" width="19.7109375" customWidth="1"/>
    <col min="53" max="53" width="11.5703125" customWidth="1"/>
    <col min="55" max="55" width="12.140625" customWidth="1"/>
    <col min="75" max="75" width="11.28515625" customWidth="1"/>
    <col min="79" max="79" width="18.7109375" customWidth="1"/>
    <col min="81" max="81" width="5.7109375" customWidth="1"/>
    <col min="82" max="82" width="5.28515625" customWidth="1"/>
    <col min="83" max="83" width="5.5703125" customWidth="1"/>
    <col min="84" max="84" width="5.85546875" customWidth="1"/>
    <col min="85" max="85" width="15.42578125" customWidth="1"/>
    <col min="87" max="87" width="9.7109375" customWidth="1"/>
    <col min="88" max="88" width="5.28515625" customWidth="1"/>
    <col min="89" max="89" width="5.7109375" customWidth="1"/>
    <col min="90" max="90" width="5.140625" customWidth="1"/>
    <col min="114" max="114" width="7.28515625" customWidth="1"/>
    <col min="115" max="115" width="6.85546875" customWidth="1"/>
    <col min="116" max="116" width="7" customWidth="1"/>
    <col min="117" max="117" width="6.42578125" customWidth="1"/>
  </cols>
  <sheetData>
    <row r="1" spans="1:471" ht="18" customHeight="1" thickBot="1">
      <c r="H1">
        <v>118</v>
      </c>
      <c r="M1" t="s">
        <v>87</v>
      </c>
      <c r="N1" t="s">
        <v>165</v>
      </c>
      <c r="O1">
        <v>1</v>
      </c>
      <c r="P1">
        <v>2</v>
      </c>
      <c r="Q1">
        <v>3</v>
      </c>
      <c r="R1">
        <v>4</v>
      </c>
      <c r="S1">
        <v>5</v>
      </c>
      <c r="T1">
        <v>6</v>
      </c>
      <c r="U1">
        <v>7</v>
      </c>
      <c r="V1">
        <v>8</v>
      </c>
      <c r="W1">
        <v>9</v>
      </c>
      <c r="X1">
        <v>10</v>
      </c>
      <c r="Y1">
        <v>11</v>
      </c>
      <c r="Z1">
        <v>12</v>
      </c>
      <c r="AA1">
        <v>13</v>
      </c>
      <c r="DG1" s="797" t="s">
        <v>3803</v>
      </c>
      <c r="DH1">
        <v>1</v>
      </c>
      <c r="DI1" s="970">
        <v>0</v>
      </c>
      <c r="DJ1" s="970">
        <v>1</v>
      </c>
      <c r="DK1" s="921">
        <f>DJ1+1</f>
        <v>2</v>
      </c>
      <c r="DL1" s="921">
        <f t="shared" ref="DL1:FW1" si="0">DK1+1</f>
        <v>3</v>
      </c>
      <c r="DM1" s="921">
        <f t="shared" si="0"/>
        <v>4</v>
      </c>
      <c r="DN1" s="921">
        <f t="shared" si="0"/>
        <v>5</v>
      </c>
      <c r="DO1" s="921">
        <f t="shared" si="0"/>
        <v>6</v>
      </c>
      <c r="DP1" s="921">
        <f t="shared" si="0"/>
        <v>7</v>
      </c>
      <c r="DQ1" s="921">
        <f t="shared" si="0"/>
        <v>8</v>
      </c>
      <c r="DR1" s="921">
        <f t="shared" si="0"/>
        <v>9</v>
      </c>
      <c r="DS1" s="921">
        <f t="shared" si="0"/>
        <v>10</v>
      </c>
      <c r="DT1" s="921">
        <f t="shared" si="0"/>
        <v>11</v>
      </c>
      <c r="DU1" s="921">
        <f t="shared" si="0"/>
        <v>12</v>
      </c>
      <c r="DV1" s="921">
        <f t="shared" si="0"/>
        <v>13</v>
      </c>
      <c r="DW1" s="921">
        <f t="shared" si="0"/>
        <v>14</v>
      </c>
      <c r="DX1" s="921">
        <f t="shared" si="0"/>
        <v>15</v>
      </c>
      <c r="DY1" s="921">
        <f t="shared" si="0"/>
        <v>16</v>
      </c>
      <c r="DZ1" s="921">
        <f t="shared" si="0"/>
        <v>17</v>
      </c>
      <c r="EA1" s="921">
        <f t="shared" si="0"/>
        <v>18</v>
      </c>
      <c r="EB1" s="921">
        <f t="shared" si="0"/>
        <v>19</v>
      </c>
      <c r="EC1" s="921">
        <f t="shared" si="0"/>
        <v>20</v>
      </c>
      <c r="ED1" s="921">
        <f t="shared" si="0"/>
        <v>21</v>
      </c>
      <c r="EE1" s="921">
        <f t="shared" si="0"/>
        <v>22</v>
      </c>
      <c r="EF1" s="921">
        <f t="shared" si="0"/>
        <v>23</v>
      </c>
      <c r="EG1" s="921">
        <f t="shared" si="0"/>
        <v>24</v>
      </c>
      <c r="EH1" s="921">
        <f t="shared" si="0"/>
        <v>25</v>
      </c>
      <c r="EI1" s="921">
        <f t="shared" si="0"/>
        <v>26</v>
      </c>
      <c r="EJ1" s="921">
        <f t="shared" si="0"/>
        <v>27</v>
      </c>
      <c r="EK1" s="921">
        <f t="shared" si="0"/>
        <v>28</v>
      </c>
      <c r="EL1" s="921">
        <f t="shared" si="0"/>
        <v>29</v>
      </c>
      <c r="EM1" s="921">
        <f t="shared" si="0"/>
        <v>30</v>
      </c>
      <c r="EN1" s="921">
        <f t="shared" si="0"/>
        <v>31</v>
      </c>
      <c r="EO1" s="921">
        <f t="shared" si="0"/>
        <v>32</v>
      </c>
      <c r="EP1" s="921">
        <f t="shared" si="0"/>
        <v>33</v>
      </c>
      <c r="EQ1" s="921">
        <f t="shared" si="0"/>
        <v>34</v>
      </c>
      <c r="ER1" s="921">
        <f t="shared" si="0"/>
        <v>35</v>
      </c>
      <c r="ES1" s="921">
        <f t="shared" si="0"/>
        <v>36</v>
      </c>
      <c r="ET1" s="921">
        <f t="shared" si="0"/>
        <v>37</v>
      </c>
      <c r="EU1" s="921">
        <f t="shared" si="0"/>
        <v>38</v>
      </c>
      <c r="EV1" s="921">
        <f t="shared" si="0"/>
        <v>39</v>
      </c>
      <c r="EW1" s="921">
        <f t="shared" si="0"/>
        <v>40</v>
      </c>
      <c r="EX1" s="921">
        <f t="shared" si="0"/>
        <v>41</v>
      </c>
      <c r="EY1" s="921">
        <f t="shared" si="0"/>
        <v>42</v>
      </c>
      <c r="EZ1" s="921">
        <f t="shared" si="0"/>
        <v>43</v>
      </c>
      <c r="FA1" s="921">
        <f t="shared" si="0"/>
        <v>44</v>
      </c>
      <c r="FB1" s="921">
        <f t="shared" si="0"/>
        <v>45</v>
      </c>
      <c r="FC1" s="921">
        <f t="shared" si="0"/>
        <v>46</v>
      </c>
      <c r="FD1" s="921">
        <f t="shared" si="0"/>
        <v>47</v>
      </c>
      <c r="FE1" s="921">
        <f t="shared" si="0"/>
        <v>48</v>
      </c>
      <c r="FF1" s="921">
        <f t="shared" si="0"/>
        <v>49</v>
      </c>
      <c r="FG1" s="921">
        <f t="shared" si="0"/>
        <v>50</v>
      </c>
      <c r="FH1" s="921">
        <f t="shared" si="0"/>
        <v>51</v>
      </c>
      <c r="FI1" s="921">
        <f t="shared" si="0"/>
        <v>52</v>
      </c>
      <c r="FJ1" s="921">
        <f t="shared" si="0"/>
        <v>53</v>
      </c>
      <c r="FK1" s="921">
        <f t="shared" si="0"/>
        <v>54</v>
      </c>
      <c r="FL1" s="921">
        <f t="shared" si="0"/>
        <v>55</v>
      </c>
      <c r="FM1" s="921">
        <f t="shared" si="0"/>
        <v>56</v>
      </c>
      <c r="FN1" s="921">
        <f t="shared" si="0"/>
        <v>57</v>
      </c>
      <c r="FO1" s="921">
        <f t="shared" si="0"/>
        <v>58</v>
      </c>
      <c r="FP1" s="921">
        <f t="shared" si="0"/>
        <v>59</v>
      </c>
      <c r="FQ1" s="921">
        <f t="shared" si="0"/>
        <v>60</v>
      </c>
      <c r="FR1" s="921">
        <f t="shared" si="0"/>
        <v>61</v>
      </c>
      <c r="FS1" s="921">
        <f t="shared" si="0"/>
        <v>62</v>
      </c>
      <c r="FT1" s="921">
        <f t="shared" si="0"/>
        <v>63</v>
      </c>
      <c r="FU1" s="921">
        <f t="shared" si="0"/>
        <v>64</v>
      </c>
      <c r="FV1" s="921">
        <f t="shared" si="0"/>
        <v>65</v>
      </c>
      <c r="FW1" s="921">
        <f t="shared" si="0"/>
        <v>66</v>
      </c>
      <c r="FX1" s="921">
        <f t="shared" ref="FX1:II1" si="1">FW1+1</f>
        <v>67</v>
      </c>
      <c r="FY1" s="921">
        <f t="shared" si="1"/>
        <v>68</v>
      </c>
      <c r="FZ1" s="921">
        <f t="shared" si="1"/>
        <v>69</v>
      </c>
      <c r="GA1" s="921">
        <f t="shared" si="1"/>
        <v>70</v>
      </c>
      <c r="GB1" s="921">
        <f t="shared" si="1"/>
        <v>71</v>
      </c>
      <c r="GC1" s="921">
        <f t="shared" si="1"/>
        <v>72</v>
      </c>
      <c r="GD1" s="921">
        <f t="shared" si="1"/>
        <v>73</v>
      </c>
      <c r="GE1" s="921">
        <f t="shared" si="1"/>
        <v>74</v>
      </c>
      <c r="GF1" s="921">
        <f t="shared" si="1"/>
        <v>75</v>
      </c>
      <c r="GG1" s="921">
        <f t="shared" si="1"/>
        <v>76</v>
      </c>
      <c r="GH1" s="921">
        <f t="shared" si="1"/>
        <v>77</v>
      </c>
      <c r="GI1" s="921">
        <f t="shared" si="1"/>
        <v>78</v>
      </c>
      <c r="GJ1" s="921">
        <f t="shared" si="1"/>
        <v>79</v>
      </c>
      <c r="GK1" s="921">
        <f t="shared" si="1"/>
        <v>80</v>
      </c>
      <c r="GL1" s="921">
        <f t="shared" si="1"/>
        <v>81</v>
      </c>
      <c r="GM1" s="921">
        <f t="shared" si="1"/>
        <v>82</v>
      </c>
      <c r="GN1" s="921">
        <f t="shared" si="1"/>
        <v>83</v>
      </c>
      <c r="GO1" s="921">
        <f t="shared" si="1"/>
        <v>84</v>
      </c>
      <c r="GP1" s="921">
        <f t="shared" si="1"/>
        <v>85</v>
      </c>
      <c r="GQ1" s="921">
        <f t="shared" si="1"/>
        <v>86</v>
      </c>
      <c r="GR1" s="921">
        <f t="shared" si="1"/>
        <v>87</v>
      </c>
      <c r="GS1" s="921">
        <f t="shared" si="1"/>
        <v>88</v>
      </c>
      <c r="GT1" s="921">
        <f t="shared" si="1"/>
        <v>89</v>
      </c>
      <c r="GU1" s="921">
        <f t="shared" si="1"/>
        <v>90</v>
      </c>
      <c r="GV1" s="921">
        <f t="shared" si="1"/>
        <v>91</v>
      </c>
      <c r="GW1" s="921">
        <f t="shared" si="1"/>
        <v>92</v>
      </c>
      <c r="GX1" s="921">
        <f t="shared" si="1"/>
        <v>93</v>
      </c>
      <c r="GY1" s="921">
        <f t="shared" si="1"/>
        <v>94</v>
      </c>
      <c r="GZ1" s="921">
        <f t="shared" si="1"/>
        <v>95</v>
      </c>
      <c r="HA1" s="921">
        <f t="shared" si="1"/>
        <v>96</v>
      </c>
      <c r="HB1" s="921">
        <f t="shared" si="1"/>
        <v>97</v>
      </c>
      <c r="HC1" s="921">
        <f t="shared" si="1"/>
        <v>98</v>
      </c>
      <c r="HD1" s="921">
        <f t="shared" si="1"/>
        <v>99</v>
      </c>
      <c r="HE1" s="921">
        <f t="shared" si="1"/>
        <v>100</v>
      </c>
      <c r="HF1" s="921">
        <f t="shared" si="1"/>
        <v>101</v>
      </c>
      <c r="HG1" s="921">
        <f t="shared" si="1"/>
        <v>102</v>
      </c>
      <c r="HH1" s="921">
        <f t="shared" si="1"/>
        <v>103</v>
      </c>
      <c r="HI1" s="921">
        <f t="shared" si="1"/>
        <v>104</v>
      </c>
      <c r="HJ1" s="921">
        <f t="shared" si="1"/>
        <v>105</v>
      </c>
      <c r="HK1" s="921">
        <f t="shared" si="1"/>
        <v>106</v>
      </c>
      <c r="HL1" s="921">
        <f t="shared" si="1"/>
        <v>107</v>
      </c>
      <c r="HM1" s="921">
        <f t="shared" si="1"/>
        <v>108</v>
      </c>
      <c r="HN1" s="921">
        <f t="shared" si="1"/>
        <v>109</v>
      </c>
      <c r="HO1" s="921">
        <f t="shared" si="1"/>
        <v>110</v>
      </c>
      <c r="HP1" s="921">
        <f t="shared" si="1"/>
        <v>111</v>
      </c>
      <c r="HQ1" s="921">
        <f t="shared" si="1"/>
        <v>112</v>
      </c>
      <c r="HR1" s="921">
        <f t="shared" si="1"/>
        <v>113</v>
      </c>
      <c r="HS1" s="921">
        <f t="shared" si="1"/>
        <v>114</v>
      </c>
      <c r="HT1" s="921">
        <f t="shared" si="1"/>
        <v>115</v>
      </c>
      <c r="HU1" s="921">
        <f t="shared" si="1"/>
        <v>116</v>
      </c>
      <c r="HV1" s="921">
        <f t="shared" si="1"/>
        <v>117</v>
      </c>
      <c r="HW1" s="921">
        <f t="shared" si="1"/>
        <v>118</v>
      </c>
      <c r="HX1" s="921">
        <f t="shared" si="1"/>
        <v>119</v>
      </c>
      <c r="HY1" s="921">
        <f t="shared" si="1"/>
        <v>120</v>
      </c>
      <c r="HZ1" s="921">
        <f t="shared" si="1"/>
        <v>121</v>
      </c>
      <c r="IA1" s="921">
        <f t="shared" si="1"/>
        <v>122</v>
      </c>
      <c r="IB1" s="921">
        <f t="shared" si="1"/>
        <v>123</v>
      </c>
      <c r="IC1" s="921">
        <f t="shared" si="1"/>
        <v>124</v>
      </c>
      <c r="ID1" s="921">
        <f t="shared" si="1"/>
        <v>125</v>
      </c>
      <c r="IE1" s="921">
        <f t="shared" si="1"/>
        <v>126</v>
      </c>
      <c r="IF1" s="921">
        <f t="shared" si="1"/>
        <v>127</v>
      </c>
      <c r="IG1" s="921">
        <f t="shared" si="1"/>
        <v>128</v>
      </c>
      <c r="IH1" s="921">
        <f t="shared" si="1"/>
        <v>129</v>
      </c>
      <c r="II1" s="921">
        <f t="shared" si="1"/>
        <v>130</v>
      </c>
      <c r="IJ1" s="921">
        <f t="shared" ref="IJ1:KU1" si="2">II1+1</f>
        <v>131</v>
      </c>
      <c r="IK1" s="921">
        <f t="shared" si="2"/>
        <v>132</v>
      </c>
      <c r="IL1" s="921">
        <f t="shared" si="2"/>
        <v>133</v>
      </c>
      <c r="IM1" s="921">
        <f t="shared" si="2"/>
        <v>134</v>
      </c>
      <c r="IN1" s="921">
        <f t="shared" si="2"/>
        <v>135</v>
      </c>
      <c r="IO1" s="921">
        <f t="shared" si="2"/>
        <v>136</v>
      </c>
      <c r="IP1" s="921">
        <f t="shared" si="2"/>
        <v>137</v>
      </c>
      <c r="IQ1" s="921">
        <f t="shared" si="2"/>
        <v>138</v>
      </c>
      <c r="IR1" s="921">
        <f t="shared" si="2"/>
        <v>139</v>
      </c>
      <c r="IS1" s="921">
        <f t="shared" si="2"/>
        <v>140</v>
      </c>
      <c r="IT1" s="921">
        <f t="shared" si="2"/>
        <v>141</v>
      </c>
      <c r="IU1" s="921">
        <f t="shared" si="2"/>
        <v>142</v>
      </c>
      <c r="IV1" s="921">
        <f t="shared" si="2"/>
        <v>143</v>
      </c>
      <c r="IW1" s="921">
        <f t="shared" si="2"/>
        <v>144</v>
      </c>
      <c r="IX1" s="921">
        <f t="shared" si="2"/>
        <v>145</v>
      </c>
      <c r="IY1" s="921">
        <f t="shared" si="2"/>
        <v>146</v>
      </c>
      <c r="IZ1" s="921">
        <f t="shared" si="2"/>
        <v>147</v>
      </c>
      <c r="JA1" s="921">
        <f t="shared" si="2"/>
        <v>148</v>
      </c>
      <c r="JB1" s="921">
        <f t="shared" si="2"/>
        <v>149</v>
      </c>
      <c r="JC1" s="921">
        <f t="shared" si="2"/>
        <v>150</v>
      </c>
      <c r="JD1" s="921">
        <f t="shared" si="2"/>
        <v>151</v>
      </c>
      <c r="JE1" s="921">
        <f t="shared" si="2"/>
        <v>152</v>
      </c>
      <c r="JF1" s="921">
        <f t="shared" si="2"/>
        <v>153</v>
      </c>
      <c r="JG1" s="921">
        <f t="shared" si="2"/>
        <v>154</v>
      </c>
      <c r="JH1" s="921">
        <f t="shared" si="2"/>
        <v>155</v>
      </c>
      <c r="JI1" s="921">
        <f t="shared" si="2"/>
        <v>156</v>
      </c>
      <c r="JJ1" s="921">
        <f t="shared" si="2"/>
        <v>157</v>
      </c>
      <c r="JK1" s="921">
        <f t="shared" si="2"/>
        <v>158</v>
      </c>
      <c r="JL1" s="921">
        <f t="shared" si="2"/>
        <v>159</v>
      </c>
      <c r="JM1" s="921">
        <f t="shared" si="2"/>
        <v>160</v>
      </c>
      <c r="JN1" s="921">
        <f t="shared" si="2"/>
        <v>161</v>
      </c>
      <c r="JO1" s="921">
        <f t="shared" si="2"/>
        <v>162</v>
      </c>
      <c r="JP1" s="921">
        <f t="shared" si="2"/>
        <v>163</v>
      </c>
      <c r="JQ1" s="921">
        <f t="shared" si="2"/>
        <v>164</v>
      </c>
      <c r="JR1" s="921">
        <f t="shared" si="2"/>
        <v>165</v>
      </c>
      <c r="JS1" s="921">
        <f t="shared" si="2"/>
        <v>166</v>
      </c>
      <c r="JT1" s="921">
        <f t="shared" si="2"/>
        <v>167</v>
      </c>
      <c r="JU1" s="921">
        <f t="shared" si="2"/>
        <v>168</v>
      </c>
      <c r="JV1" s="921">
        <f t="shared" si="2"/>
        <v>169</v>
      </c>
      <c r="JW1" s="921">
        <f t="shared" si="2"/>
        <v>170</v>
      </c>
      <c r="JX1" s="921">
        <f t="shared" si="2"/>
        <v>171</v>
      </c>
      <c r="JY1" s="921">
        <f t="shared" si="2"/>
        <v>172</v>
      </c>
      <c r="JZ1" s="921">
        <f t="shared" si="2"/>
        <v>173</v>
      </c>
      <c r="KA1" s="921">
        <f t="shared" si="2"/>
        <v>174</v>
      </c>
      <c r="KB1" s="921">
        <f t="shared" si="2"/>
        <v>175</v>
      </c>
      <c r="KC1" s="921">
        <f t="shared" si="2"/>
        <v>176</v>
      </c>
      <c r="KD1" s="921">
        <f t="shared" si="2"/>
        <v>177</v>
      </c>
      <c r="KE1" s="921">
        <f t="shared" si="2"/>
        <v>178</v>
      </c>
      <c r="KF1" s="921">
        <f t="shared" si="2"/>
        <v>179</v>
      </c>
      <c r="KG1" s="921">
        <f t="shared" si="2"/>
        <v>180</v>
      </c>
      <c r="KH1" s="921">
        <f t="shared" si="2"/>
        <v>181</v>
      </c>
      <c r="KI1" s="921">
        <f t="shared" si="2"/>
        <v>182</v>
      </c>
      <c r="KJ1" s="921">
        <f t="shared" si="2"/>
        <v>183</v>
      </c>
      <c r="KK1" s="921">
        <f t="shared" si="2"/>
        <v>184</v>
      </c>
      <c r="KL1" s="921">
        <f t="shared" si="2"/>
        <v>185</v>
      </c>
      <c r="KM1" s="921">
        <f t="shared" si="2"/>
        <v>186</v>
      </c>
      <c r="KN1" s="921">
        <f t="shared" si="2"/>
        <v>187</v>
      </c>
      <c r="KO1" s="921">
        <f t="shared" si="2"/>
        <v>188</v>
      </c>
      <c r="KP1" s="921">
        <f t="shared" si="2"/>
        <v>189</v>
      </c>
      <c r="KQ1" s="921">
        <f t="shared" si="2"/>
        <v>190</v>
      </c>
      <c r="KR1" s="921">
        <f t="shared" si="2"/>
        <v>191</v>
      </c>
      <c r="KS1" s="921">
        <f t="shared" si="2"/>
        <v>192</v>
      </c>
      <c r="KT1" s="921">
        <f t="shared" si="2"/>
        <v>193</v>
      </c>
      <c r="KU1" s="921">
        <f t="shared" si="2"/>
        <v>194</v>
      </c>
      <c r="KV1" s="921">
        <f t="shared" ref="KV1:NG1" si="3">KU1+1</f>
        <v>195</v>
      </c>
      <c r="KW1" s="921">
        <f t="shared" si="3"/>
        <v>196</v>
      </c>
      <c r="KX1" s="921">
        <f t="shared" si="3"/>
        <v>197</v>
      </c>
      <c r="KY1" s="921">
        <f t="shared" si="3"/>
        <v>198</v>
      </c>
      <c r="KZ1" s="921">
        <f t="shared" si="3"/>
        <v>199</v>
      </c>
      <c r="LA1" s="921">
        <f t="shared" si="3"/>
        <v>200</v>
      </c>
      <c r="LB1" s="921">
        <f t="shared" si="3"/>
        <v>201</v>
      </c>
      <c r="LC1" s="921">
        <f t="shared" si="3"/>
        <v>202</v>
      </c>
      <c r="LD1" s="921">
        <f t="shared" si="3"/>
        <v>203</v>
      </c>
      <c r="LE1" s="921">
        <f t="shared" si="3"/>
        <v>204</v>
      </c>
      <c r="LF1" s="921">
        <f t="shared" si="3"/>
        <v>205</v>
      </c>
      <c r="LG1" s="921">
        <f t="shared" si="3"/>
        <v>206</v>
      </c>
      <c r="LH1" s="921">
        <f t="shared" si="3"/>
        <v>207</v>
      </c>
      <c r="LI1" s="921">
        <f t="shared" si="3"/>
        <v>208</v>
      </c>
      <c r="LJ1" s="921">
        <f t="shared" si="3"/>
        <v>209</v>
      </c>
      <c r="LK1" s="921">
        <f t="shared" si="3"/>
        <v>210</v>
      </c>
      <c r="LL1" s="921">
        <f t="shared" si="3"/>
        <v>211</v>
      </c>
      <c r="LM1" s="921">
        <f t="shared" si="3"/>
        <v>212</v>
      </c>
      <c r="LN1" s="921">
        <f t="shared" si="3"/>
        <v>213</v>
      </c>
      <c r="LO1" s="921">
        <f t="shared" si="3"/>
        <v>214</v>
      </c>
      <c r="LP1" s="921">
        <f t="shared" si="3"/>
        <v>215</v>
      </c>
      <c r="LQ1" s="921">
        <f t="shared" si="3"/>
        <v>216</v>
      </c>
      <c r="LR1" s="921">
        <f t="shared" si="3"/>
        <v>217</v>
      </c>
      <c r="LS1" s="921">
        <f t="shared" si="3"/>
        <v>218</v>
      </c>
      <c r="LT1" s="921">
        <f t="shared" si="3"/>
        <v>219</v>
      </c>
      <c r="LU1" s="921">
        <f t="shared" si="3"/>
        <v>220</v>
      </c>
      <c r="LV1" s="921">
        <f t="shared" si="3"/>
        <v>221</v>
      </c>
      <c r="LW1" s="921">
        <f t="shared" si="3"/>
        <v>222</v>
      </c>
      <c r="LX1" s="921">
        <f t="shared" si="3"/>
        <v>223</v>
      </c>
      <c r="LY1" s="921">
        <f t="shared" si="3"/>
        <v>224</v>
      </c>
      <c r="LZ1" s="921">
        <f t="shared" si="3"/>
        <v>225</v>
      </c>
      <c r="MA1" s="921">
        <f t="shared" si="3"/>
        <v>226</v>
      </c>
      <c r="MB1" s="921">
        <f t="shared" si="3"/>
        <v>227</v>
      </c>
      <c r="MC1" s="921">
        <f t="shared" si="3"/>
        <v>228</v>
      </c>
      <c r="MD1" s="921">
        <f t="shared" si="3"/>
        <v>229</v>
      </c>
      <c r="ME1" s="921">
        <f t="shared" si="3"/>
        <v>230</v>
      </c>
      <c r="MF1" s="921">
        <f t="shared" si="3"/>
        <v>231</v>
      </c>
      <c r="MG1" s="921">
        <f t="shared" si="3"/>
        <v>232</v>
      </c>
      <c r="MH1" s="921">
        <f t="shared" si="3"/>
        <v>233</v>
      </c>
      <c r="MI1" s="921">
        <f t="shared" si="3"/>
        <v>234</v>
      </c>
      <c r="MJ1" s="921">
        <f t="shared" si="3"/>
        <v>235</v>
      </c>
      <c r="MK1" s="921">
        <f t="shared" si="3"/>
        <v>236</v>
      </c>
      <c r="ML1" s="921">
        <f t="shared" si="3"/>
        <v>237</v>
      </c>
      <c r="MM1" s="921">
        <f t="shared" si="3"/>
        <v>238</v>
      </c>
      <c r="MN1" s="921">
        <f t="shared" si="3"/>
        <v>239</v>
      </c>
      <c r="MO1" s="921">
        <f t="shared" si="3"/>
        <v>240</v>
      </c>
      <c r="MP1" s="921">
        <f t="shared" si="3"/>
        <v>241</v>
      </c>
      <c r="MQ1" s="921">
        <f t="shared" si="3"/>
        <v>242</v>
      </c>
      <c r="MR1" s="921">
        <f t="shared" si="3"/>
        <v>243</v>
      </c>
      <c r="MS1" s="921">
        <f t="shared" si="3"/>
        <v>244</v>
      </c>
      <c r="MT1" s="921">
        <f t="shared" si="3"/>
        <v>245</v>
      </c>
      <c r="MU1" s="921">
        <f t="shared" si="3"/>
        <v>246</v>
      </c>
      <c r="MV1" s="921">
        <f t="shared" si="3"/>
        <v>247</v>
      </c>
      <c r="MW1" s="921">
        <f t="shared" si="3"/>
        <v>248</v>
      </c>
      <c r="MX1" s="921">
        <f t="shared" si="3"/>
        <v>249</v>
      </c>
      <c r="MY1" s="921">
        <f t="shared" si="3"/>
        <v>250</v>
      </c>
      <c r="MZ1" s="921">
        <f t="shared" si="3"/>
        <v>251</v>
      </c>
      <c r="NA1" s="921">
        <f t="shared" si="3"/>
        <v>252</v>
      </c>
      <c r="NB1" s="921">
        <f t="shared" si="3"/>
        <v>253</v>
      </c>
      <c r="NC1" s="921">
        <f t="shared" si="3"/>
        <v>254</v>
      </c>
      <c r="ND1" s="921">
        <f t="shared" si="3"/>
        <v>255</v>
      </c>
      <c r="NE1" s="921">
        <f t="shared" si="3"/>
        <v>256</v>
      </c>
      <c r="NF1" s="921">
        <f t="shared" si="3"/>
        <v>257</v>
      </c>
      <c r="NG1" s="921">
        <f t="shared" si="3"/>
        <v>258</v>
      </c>
      <c r="NH1" s="921">
        <f t="shared" ref="NH1:PS1" si="4">NG1+1</f>
        <v>259</v>
      </c>
      <c r="NI1" s="921">
        <f t="shared" si="4"/>
        <v>260</v>
      </c>
      <c r="NJ1" s="921">
        <f t="shared" si="4"/>
        <v>261</v>
      </c>
      <c r="NK1" s="921">
        <f t="shared" si="4"/>
        <v>262</v>
      </c>
      <c r="NL1" s="921">
        <f t="shared" si="4"/>
        <v>263</v>
      </c>
      <c r="NM1" s="921">
        <f t="shared" si="4"/>
        <v>264</v>
      </c>
      <c r="NN1" s="921">
        <f t="shared" si="4"/>
        <v>265</v>
      </c>
      <c r="NO1" s="921">
        <f t="shared" si="4"/>
        <v>266</v>
      </c>
      <c r="NP1" s="921">
        <f t="shared" si="4"/>
        <v>267</v>
      </c>
      <c r="NQ1" s="921">
        <f t="shared" si="4"/>
        <v>268</v>
      </c>
      <c r="NR1" s="921">
        <f t="shared" si="4"/>
        <v>269</v>
      </c>
      <c r="NS1" s="921">
        <f t="shared" si="4"/>
        <v>270</v>
      </c>
      <c r="NT1" s="921">
        <f t="shared" si="4"/>
        <v>271</v>
      </c>
      <c r="NU1" s="921">
        <f t="shared" si="4"/>
        <v>272</v>
      </c>
      <c r="NV1" s="921">
        <f t="shared" si="4"/>
        <v>273</v>
      </c>
      <c r="NW1" s="921">
        <f t="shared" si="4"/>
        <v>274</v>
      </c>
      <c r="NX1" s="921">
        <f t="shared" si="4"/>
        <v>275</v>
      </c>
      <c r="NY1" s="921">
        <f t="shared" si="4"/>
        <v>276</v>
      </c>
      <c r="NZ1" s="921">
        <f t="shared" si="4"/>
        <v>277</v>
      </c>
      <c r="OA1" s="921">
        <f t="shared" si="4"/>
        <v>278</v>
      </c>
      <c r="OB1" s="921">
        <f t="shared" si="4"/>
        <v>279</v>
      </c>
      <c r="OC1" s="921">
        <f t="shared" si="4"/>
        <v>280</v>
      </c>
      <c r="OD1" s="921">
        <f t="shared" si="4"/>
        <v>281</v>
      </c>
      <c r="OE1" s="921">
        <f t="shared" si="4"/>
        <v>282</v>
      </c>
      <c r="OF1" s="921">
        <f t="shared" si="4"/>
        <v>283</v>
      </c>
      <c r="OG1" s="921">
        <f t="shared" si="4"/>
        <v>284</v>
      </c>
      <c r="OH1" s="921">
        <f t="shared" si="4"/>
        <v>285</v>
      </c>
      <c r="OI1" s="921">
        <f t="shared" si="4"/>
        <v>286</v>
      </c>
      <c r="OJ1" s="921">
        <f t="shared" si="4"/>
        <v>287</v>
      </c>
      <c r="OK1" s="921">
        <f t="shared" si="4"/>
        <v>288</v>
      </c>
      <c r="OL1" s="921">
        <f t="shared" si="4"/>
        <v>289</v>
      </c>
      <c r="OM1" s="921">
        <f t="shared" si="4"/>
        <v>290</v>
      </c>
      <c r="ON1" s="921">
        <f t="shared" si="4"/>
        <v>291</v>
      </c>
      <c r="OO1" s="921">
        <f t="shared" si="4"/>
        <v>292</v>
      </c>
      <c r="OP1" s="921">
        <f t="shared" si="4"/>
        <v>293</v>
      </c>
      <c r="OQ1" s="921">
        <f t="shared" si="4"/>
        <v>294</v>
      </c>
      <c r="OR1" s="921">
        <f t="shared" si="4"/>
        <v>295</v>
      </c>
      <c r="OS1" s="921">
        <f t="shared" si="4"/>
        <v>296</v>
      </c>
      <c r="OT1" s="921">
        <f t="shared" si="4"/>
        <v>297</v>
      </c>
      <c r="OU1" s="921">
        <f t="shared" si="4"/>
        <v>298</v>
      </c>
      <c r="OV1" s="921">
        <f t="shared" si="4"/>
        <v>299</v>
      </c>
      <c r="OW1" s="921">
        <f t="shared" si="4"/>
        <v>300</v>
      </c>
      <c r="OX1" s="921">
        <f t="shared" si="4"/>
        <v>301</v>
      </c>
      <c r="OY1" s="921">
        <f t="shared" si="4"/>
        <v>302</v>
      </c>
      <c r="OZ1" s="921">
        <f t="shared" si="4"/>
        <v>303</v>
      </c>
      <c r="PA1" s="921">
        <f t="shared" si="4"/>
        <v>304</v>
      </c>
      <c r="PB1" s="921">
        <f t="shared" si="4"/>
        <v>305</v>
      </c>
      <c r="PC1" s="921">
        <f t="shared" si="4"/>
        <v>306</v>
      </c>
      <c r="PD1" s="921">
        <f t="shared" si="4"/>
        <v>307</v>
      </c>
      <c r="PE1" s="921">
        <f t="shared" si="4"/>
        <v>308</v>
      </c>
      <c r="PF1" s="921">
        <f t="shared" si="4"/>
        <v>309</v>
      </c>
      <c r="PG1" s="921">
        <f t="shared" si="4"/>
        <v>310</v>
      </c>
      <c r="PH1" s="921">
        <f t="shared" si="4"/>
        <v>311</v>
      </c>
      <c r="PI1" s="921">
        <f t="shared" si="4"/>
        <v>312</v>
      </c>
      <c r="PJ1" s="921">
        <f t="shared" si="4"/>
        <v>313</v>
      </c>
      <c r="PK1" s="921">
        <f t="shared" si="4"/>
        <v>314</v>
      </c>
      <c r="PL1" s="921">
        <f t="shared" si="4"/>
        <v>315</v>
      </c>
      <c r="PM1" s="921">
        <f t="shared" si="4"/>
        <v>316</v>
      </c>
      <c r="PN1" s="921">
        <f t="shared" si="4"/>
        <v>317</v>
      </c>
      <c r="PO1" s="921">
        <f t="shared" si="4"/>
        <v>318</v>
      </c>
      <c r="PP1" s="921">
        <f t="shared" si="4"/>
        <v>319</v>
      </c>
      <c r="PQ1" s="921">
        <f t="shared" si="4"/>
        <v>320</v>
      </c>
      <c r="PR1" s="921">
        <f t="shared" si="4"/>
        <v>321</v>
      </c>
      <c r="PS1" s="921">
        <f t="shared" si="4"/>
        <v>322</v>
      </c>
      <c r="PT1" s="921">
        <f t="shared" ref="PT1:RA1" si="5">PS1+1</f>
        <v>323</v>
      </c>
      <c r="PU1" s="921">
        <f t="shared" si="5"/>
        <v>324</v>
      </c>
      <c r="PV1" s="921">
        <f t="shared" si="5"/>
        <v>325</v>
      </c>
      <c r="PW1" s="921">
        <f t="shared" si="5"/>
        <v>326</v>
      </c>
      <c r="PX1" s="921">
        <f t="shared" si="5"/>
        <v>327</v>
      </c>
      <c r="PY1" s="921">
        <f t="shared" si="5"/>
        <v>328</v>
      </c>
      <c r="PZ1" s="921">
        <f t="shared" si="5"/>
        <v>329</v>
      </c>
      <c r="QA1" s="921">
        <f t="shared" si="5"/>
        <v>330</v>
      </c>
      <c r="QB1" s="921">
        <f t="shared" si="5"/>
        <v>331</v>
      </c>
      <c r="QC1" s="921">
        <f t="shared" si="5"/>
        <v>332</v>
      </c>
      <c r="QD1" s="921">
        <f t="shared" si="5"/>
        <v>333</v>
      </c>
      <c r="QE1" s="921">
        <f t="shared" si="5"/>
        <v>334</v>
      </c>
      <c r="QF1" s="921">
        <f t="shared" si="5"/>
        <v>335</v>
      </c>
      <c r="QG1" s="921">
        <f t="shared" si="5"/>
        <v>336</v>
      </c>
      <c r="QH1" s="921">
        <f t="shared" si="5"/>
        <v>337</v>
      </c>
      <c r="QI1" s="921">
        <f t="shared" si="5"/>
        <v>338</v>
      </c>
      <c r="QJ1" s="921">
        <f t="shared" si="5"/>
        <v>339</v>
      </c>
      <c r="QK1" s="921">
        <f t="shared" si="5"/>
        <v>340</v>
      </c>
      <c r="QL1" s="921">
        <f t="shared" si="5"/>
        <v>341</v>
      </c>
      <c r="QM1" s="921">
        <f t="shared" si="5"/>
        <v>342</v>
      </c>
      <c r="QN1" s="921">
        <f t="shared" si="5"/>
        <v>343</v>
      </c>
      <c r="QO1" s="921">
        <f t="shared" si="5"/>
        <v>344</v>
      </c>
      <c r="QP1" s="921">
        <f t="shared" si="5"/>
        <v>345</v>
      </c>
      <c r="QQ1" s="921">
        <f t="shared" si="5"/>
        <v>346</v>
      </c>
      <c r="QR1" s="921">
        <f t="shared" si="5"/>
        <v>347</v>
      </c>
      <c r="QS1" s="921">
        <f t="shared" si="5"/>
        <v>348</v>
      </c>
      <c r="QT1" s="921">
        <f t="shared" si="5"/>
        <v>349</v>
      </c>
      <c r="QU1" s="921">
        <f t="shared" si="5"/>
        <v>350</v>
      </c>
      <c r="QV1" s="921">
        <f t="shared" si="5"/>
        <v>351</v>
      </c>
      <c r="QW1" s="921">
        <f t="shared" si="5"/>
        <v>352</v>
      </c>
      <c r="QX1" s="921">
        <f t="shared" si="5"/>
        <v>353</v>
      </c>
      <c r="QY1" s="921">
        <f t="shared" si="5"/>
        <v>354</v>
      </c>
      <c r="QZ1" s="921">
        <f t="shared" si="5"/>
        <v>355</v>
      </c>
      <c r="RA1" s="921">
        <f t="shared" si="5"/>
        <v>356</v>
      </c>
      <c r="RB1" t="e">
        <f>IF(AND(QZ5&gt;=10,QZ6&gt;=10),QY1,QZ1)</f>
        <v>#VALUE!</v>
      </c>
    </row>
    <row r="2" spans="1:471" ht="18.75" customHeight="1" thickBot="1">
      <c r="G2" t="s">
        <v>147</v>
      </c>
      <c r="J2" s="21">
        <f>IF(E4=16,(((C4-1)*M2)+IF(B4=1,0,IF(B4=2,O4,IF(B4=3,P4,IF(B4=4,Q4,IF(B4=5,R4,IF(B4=6,S4,IF(B4=7,T4,IF(B4=8,U4,IF(B4=9,V4,IF(B4=10,W4,IF(B4=11,X4,Y4)))))))))))+A4),0)</f>
        <v>526227</v>
      </c>
      <c r="K2" s="10">
        <v>1</v>
      </c>
      <c r="L2" s="10" t="s">
        <v>152</v>
      </c>
      <c r="M2" s="10">
        <v>365</v>
      </c>
      <c r="N2" s="10"/>
      <c r="O2" s="10" t="s">
        <v>181</v>
      </c>
      <c r="P2" s="10" t="s">
        <v>182</v>
      </c>
      <c r="Q2" s="10" t="s">
        <v>183</v>
      </c>
      <c r="R2" s="10" t="s">
        <v>184</v>
      </c>
      <c r="S2" s="10" t="s">
        <v>185</v>
      </c>
      <c r="T2" s="10" t="s">
        <v>186</v>
      </c>
      <c r="U2" s="10" t="s">
        <v>187</v>
      </c>
      <c r="V2" s="10" t="s">
        <v>188</v>
      </c>
      <c r="W2" s="10" t="s">
        <v>189</v>
      </c>
      <c r="X2" s="10" t="s">
        <v>190</v>
      </c>
      <c r="Y2" s="10" t="s">
        <v>191</v>
      </c>
      <c r="Z2" s="10" t="s">
        <v>192</v>
      </c>
      <c r="AA2" s="10" t="s">
        <v>31</v>
      </c>
      <c r="AE2" s="759" t="s">
        <v>1539</v>
      </c>
      <c r="AF2" s="759"/>
      <c r="CA2" s="784" t="s">
        <v>3760</v>
      </c>
      <c r="CB2" s="785"/>
      <c r="CC2" s="785"/>
      <c r="CD2" s="785"/>
      <c r="CE2" s="785"/>
      <c r="CF2" s="786"/>
      <c r="CG2" s="486" t="s">
        <v>3759</v>
      </c>
      <c r="CH2" s="487"/>
      <c r="CI2" s="487"/>
      <c r="CJ2" s="487"/>
      <c r="CK2" s="487"/>
      <c r="CL2" s="773"/>
      <c r="CO2" s="759"/>
      <c r="CP2" s="759"/>
      <c r="CQ2" s="759"/>
      <c r="CR2" s="759"/>
      <c r="CS2" s="759"/>
      <c r="CT2" s="759"/>
      <c r="CU2" s="759"/>
      <c r="CV2" s="784" t="s">
        <v>3760</v>
      </c>
      <c r="CW2" s="785"/>
      <c r="CX2" s="785"/>
      <c r="CY2" s="785"/>
      <c r="CZ2" s="785"/>
      <c r="DA2" s="786"/>
      <c r="DC2" s="108" t="s">
        <v>3553</v>
      </c>
      <c r="DD2" s="109" t="s">
        <v>3804</v>
      </c>
      <c r="DE2" s="316" t="s">
        <v>3805</v>
      </c>
      <c r="DG2" s="797" t="s">
        <v>326</v>
      </c>
      <c r="DI2" s="971">
        <f>[1]!mbtool(2,17,0,1)</f>
        <v>9.5138888888888884E-2</v>
      </c>
      <c r="DJ2" s="971">
        <f>[1]!mbtool(2,17,0,1)</f>
        <v>9.5138888888888884E-2</v>
      </c>
      <c r="DK2" s="969">
        <f>[1]!mbtool(2,17,0,1)</f>
        <v>9.5138888888888884E-2</v>
      </c>
      <c r="DL2" s="969">
        <f>[1]!mbtool(2,17,0,1)</f>
        <v>9.5138888888888884E-2</v>
      </c>
      <c r="DM2" s="969">
        <f>[1]!mbtool(2,17,0,1)</f>
        <v>9.5138888888888884E-2</v>
      </c>
      <c r="DN2" s="969">
        <f>[1]!mbtool(2,17,0,1)</f>
        <v>9.5138888888888884E-2</v>
      </c>
      <c r="DO2" s="969">
        <f>[1]!mbtool(2,17,0,1)</f>
        <v>9.5138888888888884E-2</v>
      </c>
      <c r="DP2" s="969">
        <f>[1]!mbtool(2,17,0,1)</f>
        <v>9.5138888888888884E-2</v>
      </c>
      <c r="DQ2" s="969">
        <f>[1]!mbtool(2,17,0,1)</f>
        <v>9.5138888888888884E-2</v>
      </c>
      <c r="DR2" s="969">
        <f>[1]!mbtool(2,17,0,1)</f>
        <v>9.5138888888888884E-2</v>
      </c>
      <c r="DS2" s="969">
        <f>[1]!mbtool(2,17,0,1)</f>
        <v>9.5138888888888884E-2</v>
      </c>
      <c r="DT2" s="969">
        <f>[1]!mbtool(2,17,0,1)</f>
        <v>9.5138888888888884E-2</v>
      </c>
      <c r="DU2" s="969">
        <f>[1]!mbtool(2,17,0,1)</f>
        <v>9.5138888888888884E-2</v>
      </c>
      <c r="DV2" s="969">
        <f>[1]!mbtool(2,17,0,1)</f>
        <v>9.5138888888888884E-2</v>
      </c>
      <c r="DW2" s="969">
        <f>[1]!mbtool(2,17,0,1)</f>
        <v>9.5138888888888884E-2</v>
      </c>
      <c r="DX2" s="969">
        <f>[1]!mbtool(2,17,0,1)</f>
        <v>9.5138888888888884E-2</v>
      </c>
      <c r="DY2" s="969">
        <f>[1]!mbtool(2,17,0,1)</f>
        <v>9.5138888888888884E-2</v>
      </c>
      <c r="DZ2" s="969">
        <f>[1]!mbtool(2,17,0,1)</f>
        <v>9.5138888888888884E-2</v>
      </c>
      <c r="EA2" s="969">
        <f>[1]!mbtool(2,17,0,1)</f>
        <v>9.5138888888888884E-2</v>
      </c>
      <c r="EB2" s="969">
        <f>[1]!mbtool(2,17,0,1)</f>
        <v>9.5138888888888884E-2</v>
      </c>
      <c r="EC2" s="969">
        <f>[1]!mbtool(2,17,0,1)</f>
        <v>9.5138888888888884E-2</v>
      </c>
      <c r="ED2" s="969">
        <f>[1]!mbtool(2,17,0,1)</f>
        <v>9.5138888888888884E-2</v>
      </c>
      <c r="EE2" s="969">
        <f>[1]!mbtool(2,17,0,1)</f>
        <v>9.5138888888888884E-2</v>
      </c>
      <c r="EF2" s="969">
        <f>[1]!mbtool(2,17,0,1)</f>
        <v>9.5138888888888884E-2</v>
      </c>
      <c r="EG2" s="969">
        <f>[1]!mbtool(2,17,0,1)</f>
        <v>9.5138888888888884E-2</v>
      </c>
      <c r="EH2" s="969">
        <f>[1]!mbtool(2,17,0,1)</f>
        <v>9.5138888888888884E-2</v>
      </c>
      <c r="EI2" s="969">
        <f>[1]!mbtool(2,17,0,1)</f>
        <v>9.5138888888888884E-2</v>
      </c>
      <c r="EJ2" s="969">
        <f>[1]!mbtool(2,17,0,1)</f>
        <v>9.5138888888888884E-2</v>
      </c>
      <c r="EK2" s="969">
        <f>[1]!mbtool(2,17,0,1)</f>
        <v>9.5138888888888884E-2</v>
      </c>
      <c r="EL2" s="969">
        <f>[1]!mbtool(2,17,0,1)</f>
        <v>9.5138888888888884E-2</v>
      </c>
      <c r="EM2" s="969">
        <f>[1]!mbtool(2,17,0,1)</f>
        <v>9.5138888888888884E-2</v>
      </c>
      <c r="EN2" s="969">
        <f>[1]!mbtool(2,17,0,1)</f>
        <v>9.5138888888888884E-2</v>
      </c>
      <c r="EO2" s="969">
        <f>[1]!mbtool(2,17,0,1)</f>
        <v>9.5138888888888884E-2</v>
      </c>
      <c r="EP2" s="969">
        <f>[1]!mbtool(2,17,0,1)</f>
        <v>9.5138888888888884E-2</v>
      </c>
      <c r="EQ2" s="969">
        <f>[1]!mbtool(2,17,0,1)</f>
        <v>9.5138888888888884E-2</v>
      </c>
      <c r="ER2" s="969">
        <f>[1]!mbtool(2,17,0,1)</f>
        <v>9.5138888888888884E-2</v>
      </c>
      <c r="ES2" s="969">
        <f>[1]!mbtool(2,17,0,1)</f>
        <v>9.5138888888888884E-2</v>
      </c>
      <c r="ET2" s="969">
        <f>[1]!mbtool(2,17,0,1)</f>
        <v>9.5138888888888884E-2</v>
      </c>
      <c r="EU2" s="969">
        <f>[1]!mbtool(2,17,0,1)</f>
        <v>9.5138888888888884E-2</v>
      </c>
      <c r="EV2" s="969">
        <f>[1]!mbtool(2,17,0,1)</f>
        <v>9.5138888888888884E-2</v>
      </c>
      <c r="EW2" s="969">
        <f>[1]!mbtool(2,17,0,1)</f>
        <v>9.5138888888888884E-2</v>
      </c>
      <c r="EX2" s="969">
        <f>[1]!mbtool(2,17,0,1)</f>
        <v>9.5138888888888884E-2</v>
      </c>
      <c r="EY2" s="969">
        <f>[1]!mbtool(2,17,0,1)</f>
        <v>9.5138888888888884E-2</v>
      </c>
      <c r="EZ2" s="969">
        <f>[1]!mbtool(2,17,0,1)</f>
        <v>9.5138888888888884E-2</v>
      </c>
      <c r="FA2" s="969">
        <f>[1]!mbtool(2,17,0,1)</f>
        <v>9.5138888888888884E-2</v>
      </c>
      <c r="FB2" s="969">
        <f>[1]!mbtool(2,17,0,1)</f>
        <v>9.5138888888888884E-2</v>
      </c>
      <c r="FC2" s="969">
        <f>[1]!mbtool(2,17,0,1)</f>
        <v>9.5138888888888884E-2</v>
      </c>
      <c r="FD2" s="969">
        <f>[1]!mbtool(2,17,0,1)</f>
        <v>9.5138888888888884E-2</v>
      </c>
      <c r="FE2" s="969">
        <f>[1]!mbtool(2,17,0,1)</f>
        <v>9.5138888888888884E-2</v>
      </c>
      <c r="FF2" s="969">
        <f>[1]!mbtool(2,17,0,1)</f>
        <v>9.5138888888888884E-2</v>
      </c>
      <c r="FG2" s="969">
        <f>[1]!mbtool(2,17,0,1)</f>
        <v>9.5138888888888884E-2</v>
      </c>
      <c r="FH2" s="969">
        <f>[1]!mbtool(2,17,0,1)</f>
        <v>9.5138888888888884E-2</v>
      </c>
      <c r="FI2" s="969">
        <f>[1]!mbtool(2,17,0,1)</f>
        <v>9.5138888888888884E-2</v>
      </c>
      <c r="FJ2" s="969">
        <f>[1]!mbtool(2,17,0,1)</f>
        <v>9.5138888888888884E-2</v>
      </c>
      <c r="FK2" s="969">
        <f>[1]!mbtool(2,17,0,1)</f>
        <v>9.5138888888888884E-2</v>
      </c>
      <c r="FL2" s="969">
        <f>[1]!mbtool(2,17,0,1)</f>
        <v>9.5138888888888884E-2</v>
      </c>
      <c r="FM2" s="969">
        <f>[1]!mbtool(2,17,0,1)</f>
        <v>9.5138888888888884E-2</v>
      </c>
      <c r="FN2" s="969">
        <f>[1]!mbtool(2,17,0,1)</f>
        <v>9.5138888888888884E-2</v>
      </c>
      <c r="FO2" s="969">
        <f>[1]!mbtool(2,17,0,1)</f>
        <v>9.5138888888888884E-2</v>
      </c>
      <c r="FP2" s="969">
        <f>[1]!mbtool(2,17,0,1)</f>
        <v>9.5138888888888884E-2</v>
      </c>
      <c r="FQ2" s="969">
        <f>[1]!mbtool(2,17,0,1)</f>
        <v>9.5138888888888884E-2</v>
      </c>
      <c r="FR2" s="969">
        <f>[1]!mbtool(2,17,0,1)</f>
        <v>9.5138888888888884E-2</v>
      </c>
      <c r="FS2" s="969">
        <f>[1]!mbtool(2,17,0,1)</f>
        <v>9.5138888888888884E-2</v>
      </c>
      <c r="FT2" s="969">
        <f>[1]!mbtool(2,17,0,1)</f>
        <v>9.5138888888888884E-2</v>
      </c>
      <c r="FU2" s="969">
        <f>[1]!mbtool(2,17,0,1)</f>
        <v>9.5138888888888884E-2</v>
      </c>
      <c r="FV2" s="969">
        <f>[1]!mbtool(2,17,0,1)</f>
        <v>9.5138888888888884E-2</v>
      </c>
      <c r="FW2" s="969">
        <f>[1]!mbtool(2,17,0,1)</f>
        <v>9.5138888888888884E-2</v>
      </c>
      <c r="FX2" s="969">
        <f>[1]!mbtool(2,17,0,1)</f>
        <v>9.5138888888888884E-2</v>
      </c>
      <c r="FY2" s="969">
        <f>[1]!mbtool(2,17,0,1)</f>
        <v>9.5138888888888884E-2</v>
      </c>
      <c r="FZ2" s="969">
        <f>[1]!mbtool(2,17,0,1)</f>
        <v>9.5138888888888884E-2</v>
      </c>
      <c r="GA2" s="969">
        <f>[1]!mbtool(2,17,0,1)</f>
        <v>9.5138888888888884E-2</v>
      </c>
      <c r="GB2" s="969">
        <f>[1]!mbtool(2,17,0,1)</f>
        <v>9.5138888888888884E-2</v>
      </c>
      <c r="GC2" s="969">
        <f>[1]!mbtool(2,17,0,1)</f>
        <v>9.5138888888888884E-2</v>
      </c>
      <c r="GD2" s="969">
        <f>[1]!mbtool(2,17,0,1)</f>
        <v>9.5138888888888884E-2</v>
      </c>
      <c r="GE2" s="969">
        <f>[1]!mbtool(2,17,0,1)</f>
        <v>9.5138888888888884E-2</v>
      </c>
      <c r="GF2" s="969">
        <f>[1]!mbtool(2,17,0,1)</f>
        <v>9.5138888888888884E-2</v>
      </c>
      <c r="GG2" s="969">
        <f>[1]!mbtool(2,17,0,1)</f>
        <v>9.5138888888888884E-2</v>
      </c>
      <c r="GH2" s="969">
        <f>[1]!mbtool(2,17,0,1)</f>
        <v>9.5138888888888884E-2</v>
      </c>
      <c r="GI2" s="969">
        <f>[1]!mbtool(2,17,0,1)</f>
        <v>9.5138888888888884E-2</v>
      </c>
      <c r="GJ2" s="969">
        <f>[1]!mbtool(2,17,0,1)</f>
        <v>9.5138888888888884E-2</v>
      </c>
      <c r="GK2" s="969">
        <f>[1]!mbtool(2,17,0,1)</f>
        <v>9.5138888888888884E-2</v>
      </c>
      <c r="GL2" s="969">
        <f>[1]!mbtool(2,17,0,1)</f>
        <v>9.5138888888888884E-2</v>
      </c>
      <c r="GM2" s="969">
        <f>[1]!mbtool(2,17,0,1)</f>
        <v>9.5138888888888884E-2</v>
      </c>
      <c r="GN2" s="969">
        <f>[1]!mbtool(2,17,0,1)</f>
        <v>9.5138888888888884E-2</v>
      </c>
      <c r="GO2" s="969">
        <f>[1]!mbtool(2,17,0,1)</f>
        <v>9.5138888888888884E-2</v>
      </c>
      <c r="GP2" s="969">
        <f>[1]!mbtool(2,17,0,1)</f>
        <v>9.5138888888888884E-2</v>
      </c>
      <c r="GQ2" s="969">
        <f>[1]!mbtool(2,17,0,1)</f>
        <v>9.5138888888888884E-2</v>
      </c>
      <c r="GR2" s="969">
        <f>[1]!mbtool(2,17,0,1)</f>
        <v>9.5138888888888884E-2</v>
      </c>
      <c r="GS2" s="969">
        <f>[1]!mbtool(2,17,0,1)</f>
        <v>9.5138888888888884E-2</v>
      </c>
      <c r="GT2" s="969">
        <f>[1]!mbtool(2,17,0,1)</f>
        <v>9.5138888888888884E-2</v>
      </c>
      <c r="GU2" s="969">
        <f>[1]!mbtool(2,17,0,1)</f>
        <v>9.5138888888888884E-2</v>
      </c>
      <c r="GV2" s="969">
        <f>[1]!mbtool(2,17,0,1)</f>
        <v>9.5138888888888884E-2</v>
      </c>
      <c r="GW2" s="969">
        <f>[1]!mbtool(2,17,0,1)</f>
        <v>9.5138888888888884E-2</v>
      </c>
      <c r="GX2" s="969">
        <f>[1]!mbtool(2,17,0,1)</f>
        <v>9.5138888888888884E-2</v>
      </c>
      <c r="GY2" s="969">
        <f>[1]!mbtool(2,17,0,1)</f>
        <v>9.5138888888888884E-2</v>
      </c>
      <c r="GZ2" s="969">
        <f>[1]!mbtool(2,17,0,1)</f>
        <v>9.5138888888888884E-2</v>
      </c>
      <c r="HA2" s="969">
        <f>[1]!mbtool(2,17,0,1)</f>
        <v>9.5138888888888884E-2</v>
      </c>
      <c r="HB2" s="969">
        <f>[1]!mbtool(2,17,0,1)</f>
        <v>9.5138888888888884E-2</v>
      </c>
      <c r="HC2" s="969">
        <f>[1]!mbtool(2,17,0,1)</f>
        <v>9.5138888888888884E-2</v>
      </c>
      <c r="HD2" s="969">
        <f>[1]!mbtool(2,17,0,1)</f>
        <v>9.5138888888888884E-2</v>
      </c>
      <c r="HE2" s="969">
        <f>[1]!mbtool(2,17,0,1)</f>
        <v>9.5138888888888884E-2</v>
      </c>
      <c r="HF2" s="969">
        <f>[1]!mbtool(2,17,0,1)</f>
        <v>9.5138888888888884E-2</v>
      </c>
      <c r="HG2" s="969">
        <f>[1]!mbtool(2,17,0,1)</f>
        <v>9.5138888888888884E-2</v>
      </c>
      <c r="HH2" s="969">
        <f>[1]!mbtool(2,17,0,1)</f>
        <v>9.5138888888888884E-2</v>
      </c>
      <c r="HI2" s="969">
        <f>[1]!mbtool(2,17,0,1)</f>
        <v>9.5138888888888884E-2</v>
      </c>
      <c r="HJ2" s="969">
        <f>[1]!mbtool(2,17,0,1)</f>
        <v>9.5138888888888884E-2</v>
      </c>
      <c r="HK2" s="969">
        <f>[1]!mbtool(2,17,0,1)</f>
        <v>9.5138888888888884E-2</v>
      </c>
      <c r="HL2" s="969">
        <f>[1]!mbtool(2,17,0,1)</f>
        <v>9.5138888888888884E-2</v>
      </c>
      <c r="HM2" s="969">
        <f>[1]!mbtool(2,17,0,1)</f>
        <v>9.5138888888888884E-2</v>
      </c>
      <c r="HN2" s="969">
        <f>[1]!mbtool(2,17,0,1)</f>
        <v>9.5138888888888884E-2</v>
      </c>
      <c r="HO2" s="969">
        <f>[1]!mbtool(2,17,0,1)</f>
        <v>9.5138888888888884E-2</v>
      </c>
      <c r="HP2" s="969">
        <f>[1]!mbtool(2,17,0,1)</f>
        <v>9.5138888888888884E-2</v>
      </c>
      <c r="HQ2" s="969">
        <f>[1]!mbtool(2,17,0,1)</f>
        <v>9.5138888888888884E-2</v>
      </c>
      <c r="HR2" s="969">
        <f>[1]!mbtool(2,17,0,1)</f>
        <v>9.5138888888888884E-2</v>
      </c>
      <c r="HS2" s="969">
        <f>[1]!mbtool(2,17,0,1)</f>
        <v>9.5138888888888884E-2</v>
      </c>
      <c r="HT2" s="969">
        <f>[1]!mbtool(2,17,0,1)</f>
        <v>9.5138888888888884E-2</v>
      </c>
      <c r="HU2" s="969">
        <f>[1]!mbtool(2,17,0,1)</f>
        <v>9.5138888888888884E-2</v>
      </c>
      <c r="HV2" s="969">
        <f>[1]!mbtool(2,17,0,1)</f>
        <v>9.5138888888888884E-2</v>
      </c>
      <c r="HW2" s="969">
        <f>[1]!mbtool(2,17,0,1)</f>
        <v>9.5138888888888884E-2</v>
      </c>
      <c r="HX2" s="969">
        <f>[1]!mbtool(2,17,0,1)</f>
        <v>9.5138888888888884E-2</v>
      </c>
      <c r="HY2" s="969">
        <f>[1]!mbtool(2,17,0,1)</f>
        <v>9.5138888888888884E-2</v>
      </c>
      <c r="HZ2" s="969">
        <f>[1]!mbtool(2,17,0,1)</f>
        <v>9.5138888888888884E-2</v>
      </c>
      <c r="IA2" s="969">
        <f>[1]!mbtool(2,17,0,1)</f>
        <v>9.5138888888888884E-2</v>
      </c>
      <c r="IB2" s="969">
        <f>[1]!mbtool(2,17,0,1)</f>
        <v>9.5138888888888884E-2</v>
      </c>
      <c r="IC2" s="969">
        <f>[1]!mbtool(2,17,0,1)</f>
        <v>9.5138888888888884E-2</v>
      </c>
      <c r="ID2" s="969">
        <f>[1]!mbtool(2,17,0,1)</f>
        <v>9.5138888888888884E-2</v>
      </c>
      <c r="IE2" s="969">
        <f>[1]!mbtool(2,17,0,1)</f>
        <v>9.5138888888888884E-2</v>
      </c>
      <c r="IF2" s="969">
        <f>[1]!mbtool(2,17,0,1)</f>
        <v>9.5138888888888884E-2</v>
      </c>
      <c r="IG2" s="969">
        <f>[1]!mbtool(2,17,0,1)</f>
        <v>9.5138888888888884E-2</v>
      </c>
      <c r="IH2" s="969">
        <f>[1]!mbtool(2,17,0,1)</f>
        <v>9.5138888888888884E-2</v>
      </c>
      <c r="II2" s="969">
        <f>[1]!mbtool(2,17,0,1)</f>
        <v>9.5138888888888884E-2</v>
      </c>
      <c r="IJ2" s="969">
        <f>[1]!mbtool(2,17,0,1)</f>
        <v>9.5138888888888884E-2</v>
      </c>
      <c r="IK2" s="969">
        <f>[1]!mbtool(2,17,0,1)</f>
        <v>9.5138888888888884E-2</v>
      </c>
      <c r="IL2" s="969">
        <f>[1]!mbtool(2,17,0,1)</f>
        <v>9.5138888888888884E-2</v>
      </c>
      <c r="IM2" s="969">
        <f>[1]!mbtool(2,17,0,1)</f>
        <v>9.5138888888888884E-2</v>
      </c>
      <c r="IN2" s="969">
        <f>[1]!mbtool(2,17,0,1)</f>
        <v>9.5138888888888884E-2</v>
      </c>
      <c r="IO2" s="969">
        <f>[1]!mbtool(2,17,0,1)</f>
        <v>9.5138888888888884E-2</v>
      </c>
      <c r="IP2" s="969">
        <f>[1]!mbtool(2,17,0,1)</f>
        <v>9.5138888888888884E-2</v>
      </c>
      <c r="IQ2" s="969">
        <f>[1]!mbtool(2,17,0,1)</f>
        <v>9.5138888888888884E-2</v>
      </c>
      <c r="IR2" s="969">
        <f>[1]!mbtool(2,17,0,1)</f>
        <v>9.5138888888888884E-2</v>
      </c>
      <c r="IS2" s="969">
        <f>[1]!mbtool(2,17,0,1)</f>
        <v>9.5138888888888884E-2</v>
      </c>
      <c r="IT2" s="969">
        <f>[1]!mbtool(2,17,0,1)</f>
        <v>9.5138888888888884E-2</v>
      </c>
      <c r="IU2" s="969">
        <f>[1]!mbtool(2,17,0,1)</f>
        <v>9.5138888888888884E-2</v>
      </c>
      <c r="IV2" s="969">
        <f>[1]!mbtool(2,17,0,1)</f>
        <v>9.5138888888888884E-2</v>
      </c>
      <c r="IW2" s="969">
        <f>[1]!mbtool(2,17,0,1)</f>
        <v>9.5138888888888884E-2</v>
      </c>
      <c r="IX2" s="969">
        <f>[1]!mbtool(2,17,0,1)</f>
        <v>9.5138888888888884E-2</v>
      </c>
      <c r="IY2" s="969">
        <f>[1]!mbtool(2,17,0,1)</f>
        <v>9.5138888888888884E-2</v>
      </c>
      <c r="IZ2" s="969">
        <f>[1]!mbtool(2,17,0,1)</f>
        <v>9.5138888888888884E-2</v>
      </c>
      <c r="JA2" s="969">
        <f>[1]!mbtool(2,17,0,1)</f>
        <v>9.5138888888888884E-2</v>
      </c>
      <c r="JB2" s="969">
        <f>[1]!mbtool(2,17,0,1)</f>
        <v>9.5138888888888884E-2</v>
      </c>
      <c r="JC2" s="969">
        <f>[1]!mbtool(2,17,0,1)</f>
        <v>9.5138888888888884E-2</v>
      </c>
      <c r="JD2" s="969">
        <f>[1]!mbtool(2,17,0,1)</f>
        <v>9.5138888888888884E-2</v>
      </c>
      <c r="JE2" s="969">
        <f>[1]!mbtool(2,17,0,1)</f>
        <v>9.5138888888888884E-2</v>
      </c>
      <c r="JF2" s="969">
        <f>[1]!mbtool(2,17,0,1)</f>
        <v>9.5138888888888884E-2</v>
      </c>
      <c r="JG2" s="969">
        <f>[1]!mbtool(2,17,0,1)</f>
        <v>9.5138888888888884E-2</v>
      </c>
      <c r="JH2" s="969">
        <f>[1]!mbtool(2,17,0,1)</f>
        <v>9.5138888888888884E-2</v>
      </c>
      <c r="JI2" s="969">
        <f>[1]!mbtool(2,17,0,1)</f>
        <v>9.5138888888888884E-2</v>
      </c>
      <c r="JJ2" s="969">
        <f>[1]!mbtool(2,17,0,1)</f>
        <v>9.5138888888888884E-2</v>
      </c>
      <c r="JK2" s="969">
        <f>[1]!mbtool(2,17,0,1)</f>
        <v>9.5138888888888884E-2</v>
      </c>
      <c r="JL2" s="969">
        <f>[1]!mbtool(2,17,0,1)</f>
        <v>9.5138888888888884E-2</v>
      </c>
      <c r="JM2" s="969">
        <f>[1]!mbtool(2,17,0,1)</f>
        <v>9.5138888888888884E-2</v>
      </c>
      <c r="JN2" s="969">
        <f>[1]!mbtool(2,17,0,1)</f>
        <v>9.5138888888888884E-2</v>
      </c>
      <c r="JO2" s="969">
        <f>[1]!mbtool(2,17,0,1)</f>
        <v>9.5138888888888884E-2</v>
      </c>
      <c r="JP2" s="969">
        <f>[1]!mbtool(2,17,0,1)</f>
        <v>9.5138888888888884E-2</v>
      </c>
      <c r="JQ2" s="969">
        <f>[1]!mbtool(2,17,0,1)</f>
        <v>9.5138888888888884E-2</v>
      </c>
      <c r="JR2" s="969">
        <f>[1]!mbtool(2,17,0,1)</f>
        <v>9.5138888888888884E-2</v>
      </c>
      <c r="JS2" s="969">
        <f>[1]!mbtool(2,17,0,1)</f>
        <v>9.5138888888888884E-2</v>
      </c>
      <c r="JT2" s="969">
        <f>[1]!mbtool(2,17,0,1)</f>
        <v>9.5138888888888884E-2</v>
      </c>
      <c r="JU2" s="969">
        <f>[1]!mbtool(2,17,0,1)</f>
        <v>9.5138888888888884E-2</v>
      </c>
      <c r="JV2" s="969">
        <f>[1]!mbtool(2,17,0,1)</f>
        <v>9.5138888888888884E-2</v>
      </c>
      <c r="JW2" s="969">
        <f>[1]!mbtool(2,17,0,1)</f>
        <v>9.5138888888888884E-2</v>
      </c>
      <c r="JX2" s="969">
        <f>[1]!mbtool(2,17,0,1)</f>
        <v>9.5138888888888884E-2</v>
      </c>
      <c r="JY2" s="969">
        <f>[1]!mbtool(2,17,0,1)</f>
        <v>9.5138888888888884E-2</v>
      </c>
      <c r="JZ2" s="969">
        <f>[1]!mbtool(2,17,0,1)</f>
        <v>9.5138888888888884E-2</v>
      </c>
      <c r="KA2" s="969">
        <f>[1]!mbtool(2,17,0,1)</f>
        <v>9.5138888888888884E-2</v>
      </c>
      <c r="KB2" s="969">
        <f>[1]!mbtool(2,17,0,1)</f>
        <v>9.5138888888888884E-2</v>
      </c>
      <c r="KC2" s="969">
        <f>[1]!mbtool(2,17,0,1)</f>
        <v>9.5138888888888884E-2</v>
      </c>
      <c r="KD2" s="969">
        <f>[1]!mbtool(2,17,0,1)</f>
        <v>9.5138888888888884E-2</v>
      </c>
      <c r="KE2" s="969">
        <f>[1]!mbtool(2,17,0,1)</f>
        <v>9.5138888888888884E-2</v>
      </c>
      <c r="KF2" s="969">
        <f>[1]!mbtool(2,17,0,1)</f>
        <v>9.5138888888888884E-2</v>
      </c>
      <c r="KG2" s="969">
        <f>[1]!mbtool(2,17,0,1)</f>
        <v>9.5138888888888884E-2</v>
      </c>
      <c r="KH2" s="969">
        <f>[1]!mbtool(2,17,0,1)</f>
        <v>9.5138888888888884E-2</v>
      </c>
      <c r="KI2" s="969">
        <f>[1]!mbtool(2,17,0,1)</f>
        <v>9.5138888888888884E-2</v>
      </c>
      <c r="KJ2" s="969">
        <f>[1]!mbtool(2,17,0,1)</f>
        <v>9.5138888888888884E-2</v>
      </c>
      <c r="KK2" s="969">
        <f>[1]!mbtool(2,17,0,1)</f>
        <v>9.5138888888888884E-2</v>
      </c>
      <c r="KL2" s="969">
        <f>[1]!mbtool(2,17,0,1)</f>
        <v>9.5138888888888884E-2</v>
      </c>
      <c r="KM2" s="969">
        <f>[1]!mbtool(2,17,0,1)</f>
        <v>9.5138888888888884E-2</v>
      </c>
      <c r="KN2" s="969">
        <f>[1]!mbtool(2,17,0,1)</f>
        <v>9.5138888888888884E-2</v>
      </c>
      <c r="KO2" s="969">
        <f>[1]!mbtool(2,17,0,1)</f>
        <v>9.5138888888888884E-2</v>
      </c>
      <c r="KP2" s="969">
        <f>[1]!mbtool(2,17,0,1)</f>
        <v>9.5138888888888884E-2</v>
      </c>
      <c r="KQ2" s="969">
        <f>[1]!mbtool(2,17,0,1)</f>
        <v>9.5138888888888884E-2</v>
      </c>
      <c r="KR2" s="969">
        <f>[1]!mbtool(2,17,0,1)</f>
        <v>9.5138888888888884E-2</v>
      </c>
      <c r="KS2" s="969">
        <f>[1]!mbtool(2,17,0,1)</f>
        <v>9.5138888888888884E-2</v>
      </c>
      <c r="KT2" s="969">
        <f>[1]!mbtool(2,17,0,1)</f>
        <v>9.5138888888888884E-2</v>
      </c>
      <c r="KU2" s="969">
        <f>[1]!mbtool(2,17,0,1)</f>
        <v>9.5138888888888884E-2</v>
      </c>
      <c r="KV2" s="969">
        <f>[1]!mbtool(2,17,0,1)</f>
        <v>9.5138888888888884E-2</v>
      </c>
      <c r="KW2" s="969">
        <f>[1]!mbtool(2,17,0,1)</f>
        <v>9.5138888888888884E-2</v>
      </c>
      <c r="KX2" s="969">
        <f>[1]!mbtool(2,17,0,1)</f>
        <v>9.5138888888888884E-2</v>
      </c>
      <c r="KY2" s="969">
        <f>[1]!mbtool(2,17,0,1)</f>
        <v>9.5138888888888884E-2</v>
      </c>
      <c r="KZ2" s="969">
        <f>[1]!mbtool(2,17,0,1)</f>
        <v>9.5138888888888884E-2</v>
      </c>
      <c r="LA2" s="969">
        <f>[1]!mbtool(2,17,0,1)</f>
        <v>9.5138888888888884E-2</v>
      </c>
      <c r="LB2" s="969">
        <f>[1]!mbtool(2,17,0,1)</f>
        <v>9.5138888888888884E-2</v>
      </c>
      <c r="LC2" s="969">
        <f>[1]!mbtool(2,17,0,1)</f>
        <v>9.5138888888888884E-2</v>
      </c>
      <c r="LD2" s="969">
        <f>[1]!mbtool(2,17,0,1)</f>
        <v>9.5138888888888884E-2</v>
      </c>
      <c r="LE2" s="969">
        <f>[1]!mbtool(2,17,0,1)</f>
        <v>9.5138888888888884E-2</v>
      </c>
      <c r="LF2" s="969">
        <f>[1]!mbtool(2,17,0,1)</f>
        <v>9.5138888888888884E-2</v>
      </c>
      <c r="LG2" s="969">
        <f>[1]!mbtool(2,17,0,1)</f>
        <v>9.5138888888888884E-2</v>
      </c>
      <c r="LH2" s="969">
        <f>[1]!mbtool(2,17,0,1)</f>
        <v>9.5138888888888884E-2</v>
      </c>
      <c r="LI2" s="969">
        <f>[1]!mbtool(2,17,0,1)</f>
        <v>9.5138888888888884E-2</v>
      </c>
      <c r="LJ2" s="969">
        <f>[1]!mbtool(2,17,0,1)</f>
        <v>9.5138888888888884E-2</v>
      </c>
      <c r="LK2" s="969">
        <f>[1]!mbtool(2,17,0,1)</f>
        <v>9.5138888888888884E-2</v>
      </c>
      <c r="LL2" s="969">
        <f>[1]!mbtool(2,17,0,1)</f>
        <v>9.5138888888888884E-2</v>
      </c>
      <c r="LM2" s="969">
        <f>[1]!mbtool(2,17,0,1)</f>
        <v>9.5138888888888884E-2</v>
      </c>
      <c r="LN2" s="969">
        <f>[1]!mbtool(2,17,0,1)</f>
        <v>9.5138888888888884E-2</v>
      </c>
      <c r="LO2" s="969">
        <f>[1]!mbtool(2,17,0,1)</f>
        <v>9.5138888888888884E-2</v>
      </c>
      <c r="LP2" s="969">
        <f>[1]!mbtool(2,17,0,1)</f>
        <v>9.5138888888888884E-2</v>
      </c>
      <c r="LQ2" s="969">
        <f>[1]!mbtool(2,17,0,1)</f>
        <v>9.5138888888888884E-2</v>
      </c>
      <c r="LR2" s="969">
        <f>[1]!mbtool(2,17,0,1)</f>
        <v>9.5138888888888884E-2</v>
      </c>
      <c r="LS2" s="969">
        <f>[1]!mbtool(2,17,0,1)</f>
        <v>9.5138888888888884E-2</v>
      </c>
      <c r="LT2" s="969">
        <f>[1]!mbtool(2,17,0,1)</f>
        <v>9.5138888888888884E-2</v>
      </c>
      <c r="LU2" s="969">
        <f>[1]!mbtool(2,17,0,1)</f>
        <v>9.5138888888888884E-2</v>
      </c>
      <c r="LV2" s="969">
        <f>[1]!mbtool(2,17,0,1)</f>
        <v>9.5138888888888884E-2</v>
      </c>
      <c r="LW2" s="969">
        <f>[1]!mbtool(2,17,0,1)</f>
        <v>9.5138888888888884E-2</v>
      </c>
      <c r="LX2" s="969">
        <f>[1]!mbtool(2,17,0,1)</f>
        <v>9.5138888888888884E-2</v>
      </c>
      <c r="LY2" s="969">
        <f>[1]!mbtool(2,17,0,1)</f>
        <v>9.5138888888888884E-2</v>
      </c>
      <c r="LZ2" s="969">
        <f>[1]!mbtool(2,17,0,1)</f>
        <v>9.5138888888888884E-2</v>
      </c>
      <c r="MA2" s="969">
        <f>[1]!mbtool(2,17,0,1)</f>
        <v>9.5138888888888884E-2</v>
      </c>
      <c r="MB2" s="969">
        <f>[1]!mbtool(2,17,0,1)</f>
        <v>9.5138888888888884E-2</v>
      </c>
      <c r="MC2" s="969">
        <f>[1]!mbtool(2,17,0,1)</f>
        <v>9.5138888888888884E-2</v>
      </c>
      <c r="MD2" s="969">
        <f>[1]!mbtool(2,17,0,1)</f>
        <v>9.5138888888888884E-2</v>
      </c>
      <c r="ME2" s="969">
        <f>[1]!mbtool(2,17,0,1)</f>
        <v>9.5138888888888884E-2</v>
      </c>
      <c r="MF2" s="969">
        <f>[1]!mbtool(2,17,0,1)</f>
        <v>9.5138888888888884E-2</v>
      </c>
      <c r="MG2" s="969">
        <f>[1]!mbtool(2,17,0,1)</f>
        <v>9.5138888888888884E-2</v>
      </c>
      <c r="MH2" s="969">
        <f>[1]!mbtool(2,17,0,1)</f>
        <v>9.5138888888888884E-2</v>
      </c>
      <c r="MI2" s="969">
        <f>[1]!mbtool(2,17,0,1)</f>
        <v>9.5138888888888884E-2</v>
      </c>
      <c r="MJ2" s="969">
        <f>[1]!mbtool(2,17,0,1)</f>
        <v>9.5138888888888884E-2</v>
      </c>
      <c r="MK2" s="969">
        <f>[1]!mbtool(2,17,0,1)</f>
        <v>9.5138888888888884E-2</v>
      </c>
      <c r="ML2" s="969">
        <f>[1]!mbtool(2,17,0,1)</f>
        <v>9.5138888888888884E-2</v>
      </c>
      <c r="MM2" s="969">
        <f>[1]!mbtool(2,17,0,1)</f>
        <v>9.5138888888888884E-2</v>
      </c>
      <c r="MN2" s="969">
        <f>[1]!mbtool(2,17,0,1)</f>
        <v>9.5138888888888884E-2</v>
      </c>
      <c r="MO2" s="969">
        <f>[1]!mbtool(2,17,0,1)</f>
        <v>9.5138888888888884E-2</v>
      </c>
      <c r="MP2" s="969">
        <f>[1]!mbtool(2,17,0,1)</f>
        <v>9.5138888888888884E-2</v>
      </c>
      <c r="MQ2" s="969">
        <f>[1]!mbtool(2,17,0,1)</f>
        <v>9.5138888888888884E-2</v>
      </c>
      <c r="MR2" s="969">
        <f>[1]!mbtool(2,17,0,1)</f>
        <v>9.5138888888888884E-2</v>
      </c>
      <c r="MS2" s="969">
        <f>[1]!mbtool(2,17,0,1)</f>
        <v>9.5138888888888884E-2</v>
      </c>
      <c r="MT2" s="969">
        <f>[1]!mbtool(2,17,0,1)</f>
        <v>9.5138888888888884E-2</v>
      </c>
      <c r="MU2" s="969">
        <f>[1]!mbtool(2,17,0,1)</f>
        <v>9.5138888888888884E-2</v>
      </c>
      <c r="MV2" s="969">
        <f>[1]!mbtool(2,17,0,1)</f>
        <v>9.5138888888888884E-2</v>
      </c>
      <c r="MW2" s="969">
        <f>[1]!mbtool(2,17,0,1)</f>
        <v>9.5138888888888884E-2</v>
      </c>
      <c r="MX2" s="969">
        <f>[1]!mbtool(2,17,0,1)</f>
        <v>9.5138888888888884E-2</v>
      </c>
      <c r="MY2" s="969">
        <f>[1]!mbtool(2,17,0,1)</f>
        <v>9.5138888888888884E-2</v>
      </c>
      <c r="MZ2" s="969">
        <f>[1]!mbtool(2,17,0,1)</f>
        <v>9.5138888888888884E-2</v>
      </c>
      <c r="NA2" s="969">
        <f>[1]!mbtool(2,17,0,1)</f>
        <v>9.5138888888888884E-2</v>
      </c>
      <c r="NB2" s="969">
        <f>[1]!mbtool(2,17,0,1)</f>
        <v>9.5138888888888884E-2</v>
      </c>
      <c r="NC2" s="969">
        <f>[1]!mbtool(2,17,0,1)</f>
        <v>9.5138888888888884E-2</v>
      </c>
      <c r="ND2" s="969">
        <f>[1]!mbtool(2,17,0,1)</f>
        <v>9.5138888888888884E-2</v>
      </c>
      <c r="NE2" s="969">
        <f>[1]!mbtool(2,17,0,1)</f>
        <v>9.5138888888888884E-2</v>
      </c>
      <c r="NF2" s="969">
        <f>[1]!mbtool(2,17,0,1)</f>
        <v>9.5138888888888884E-2</v>
      </c>
      <c r="NG2" s="969">
        <f>[1]!mbtool(2,17,0,1)</f>
        <v>9.5138888888888884E-2</v>
      </c>
      <c r="NH2" s="969">
        <f>[1]!mbtool(2,17,0,1)</f>
        <v>9.5138888888888884E-2</v>
      </c>
      <c r="NI2" s="969">
        <f>[1]!mbtool(2,17,0,1)</f>
        <v>9.5138888888888884E-2</v>
      </c>
      <c r="NJ2" s="969">
        <f>[1]!mbtool(2,17,0,1)</f>
        <v>9.5138888888888884E-2</v>
      </c>
      <c r="NK2" s="969">
        <f>[1]!mbtool(2,17,0,1)</f>
        <v>9.5138888888888884E-2</v>
      </c>
      <c r="NL2" s="969">
        <f>[1]!mbtool(2,17,0,1)</f>
        <v>9.5138888888888884E-2</v>
      </c>
      <c r="NM2" s="969">
        <f>[1]!mbtool(2,17,0,1)</f>
        <v>9.5138888888888884E-2</v>
      </c>
      <c r="NN2" s="969">
        <f>[1]!mbtool(2,17,0,1)</f>
        <v>9.5138888888888884E-2</v>
      </c>
      <c r="NO2" s="969">
        <f>[1]!mbtool(2,17,0,1)</f>
        <v>9.5138888888888884E-2</v>
      </c>
      <c r="NP2" s="969">
        <f>[1]!mbtool(2,17,0,1)</f>
        <v>9.5138888888888884E-2</v>
      </c>
      <c r="NQ2" s="969">
        <f>[1]!mbtool(2,17,0,1)</f>
        <v>9.5138888888888884E-2</v>
      </c>
      <c r="NR2" s="969">
        <f>[1]!mbtool(2,17,0,1)</f>
        <v>9.5138888888888884E-2</v>
      </c>
      <c r="NS2" s="969">
        <f>[1]!mbtool(2,17,0,1)</f>
        <v>9.5138888888888884E-2</v>
      </c>
      <c r="NT2" s="969">
        <f>[1]!mbtool(2,17,0,1)</f>
        <v>9.5138888888888884E-2</v>
      </c>
      <c r="NU2" s="969">
        <f>[1]!mbtool(2,17,0,1)</f>
        <v>9.5138888888888884E-2</v>
      </c>
      <c r="NV2" s="969">
        <f>[1]!mbtool(2,17,0,1)</f>
        <v>9.5138888888888884E-2</v>
      </c>
      <c r="NW2" s="969">
        <f>[1]!mbtool(2,17,0,1)</f>
        <v>9.5138888888888884E-2</v>
      </c>
      <c r="NX2" s="969">
        <f>[1]!mbtool(2,17,0,1)</f>
        <v>9.5138888888888884E-2</v>
      </c>
      <c r="NY2" s="969">
        <f>[1]!mbtool(2,17,0,1)</f>
        <v>9.5138888888888884E-2</v>
      </c>
      <c r="NZ2" s="969">
        <f>[1]!mbtool(2,17,0,1)</f>
        <v>9.5138888888888884E-2</v>
      </c>
      <c r="OA2" s="969">
        <f>[1]!mbtool(2,17,0,1)</f>
        <v>9.5138888888888884E-2</v>
      </c>
      <c r="OB2" s="969">
        <f>[1]!mbtool(2,17,0,1)</f>
        <v>9.5138888888888884E-2</v>
      </c>
      <c r="OC2" s="969">
        <f>[1]!mbtool(2,17,0,1)</f>
        <v>9.5138888888888884E-2</v>
      </c>
      <c r="OD2" s="969">
        <f>[1]!mbtool(2,17,0,1)</f>
        <v>9.5138888888888884E-2</v>
      </c>
      <c r="OE2" s="969">
        <f>[1]!mbtool(2,17,0,1)</f>
        <v>9.5138888888888884E-2</v>
      </c>
      <c r="OF2" s="969">
        <f>[1]!mbtool(2,17,0,1)</f>
        <v>9.5138888888888884E-2</v>
      </c>
      <c r="OG2" s="969">
        <f>[1]!mbtool(2,17,0,1)</f>
        <v>9.5138888888888884E-2</v>
      </c>
      <c r="OH2" s="969">
        <f>[1]!mbtool(2,17,0,1)</f>
        <v>9.5138888888888884E-2</v>
      </c>
      <c r="OI2" s="969">
        <f>[1]!mbtool(2,17,0,1)</f>
        <v>9.5138888888888884E-2</v>
      </c>
      <c r="OJ2" s="969">
        <f>[1]!mbtool(2,17,0,1)</f>
        <v>9.5138888888888884E-2</v>
      </c>
      <c r="OK2" s="969">
        <f>[1]!mbtool(2,17,0,1)</f>
        <v>9.5138888888888884E-2</v>
      </c>
      <c r="OL2" s="969">
        <f>[1]!mbtool(2,17,0,1)</f>
        <v>9.5138888888888884E-2</v>
      </c>
      <c r="OM2" s="969">
        <f>[1]!mbtool(2,17,0,1)</f>
        <v>9.5138888888888884E-2</v>
      </c>
      <c r="ON2" s="969">
        <f>[1]!mbtool(2,17,0,1)</f>
        <v>9.5138888888888884E-2</v>
      </c>
      <c r="OO2" s="969">
        <f>[1]!mbtool(2,17,0,1)</f>
        <v>9.5138888888888884E-2</v>
      </c>
      <c r="OP2" s="969">
        <f>[1]!mbtool(2,17,0,1)</f>
        <v>9.5138888888888884E-2</v>
      </c>
      <c r="OQ2" s="969">
        <f>[1]!mbtool(2,17,0,1)</f>
        <v>9.5138888888888884E-2</v>
      </c>
      <c r="OR2" s="969">
        <f>[1]!mbtool(2,17,0,1)</f>
        <v>9.5138888888888884E-2</v>
      </c>
      <c r="OS2" s="969">
        <f>[1]!mbtool(2,17,0,1)</f>
        <v>9.5138888888888884E-2</v>
      </c>
      <c r="OT2" s="969">
        <f>[1]!mbtool(2,17,0,1)</f>
        <v>9.5138888888888884E-2</v>
      </c>
      <c r="OU2" s="969">
        <f>[1]!mbtool(2,17,0,1)</f>
        <v>9.5138888888888884E-2</v>
      </c>
      <c r="OV2" s="969">
        <f>[1]!mbtool(2,17,0,1)</f>
        <v>9.5138888888888884E-2</v>
      </c>
      <c r="OW2" s="969">
        <f>[1]!mbtool(2,17,0,1)</f>
        <v>9.5138888888888884E-2</v>
      </c>
      <c r="OX2" s="969">
        <f>[1]!mbtool(2,17,0,1)</f>
        <v>9.5138888888888884E-2</v>
      </c>
      <c r="OY2" s="969">
        <f>[1]!mbtool(2,17,0,1)</f>
        <v>9.5138888888888884E-2</v>
      </c>
      <c r="OZ2" s="969">
        <f>[1]!mbtool(2,17,0,1)</f>
        <v>9.5138888888888884E-2</v>
      </c>
      <c r="PA2" s="969">
        <f>[1]!mbtool(2,17,0,1)</f>
        <v>9.5138888888888884E-2</v>
      </c>
      <c r="PB2" s="969">
        <f>[1]!mbtool(2,17,0,1)</f>
        <v>9.5138888888888884E-2</v>
      </c>
      <c r="PC2" s="969">
        <f>[1]!mbtool(2,17,0,1)</f>
        <v>9.5138888888888884E-2</v>
      </c>
      <c r="PD2" s="969">
        <f>[1]!mbtool(2,17,0,1)</f>
        <v>9.5138888888888884E-2</v>
      </c>
      <c r="PE2" s="969">
        <f>[1]!mbtool(2,17,0,1)</f>
        <v>9.5138888888888884E-2</v>
      </c>
      <c r="PF2" s="969">
        <f>[1]!mbtool(2,17,0,1)</f>
        <v>9.5138888888888884E-2</v>
      </c>
      <c r="PG2" s="969">
        <f>[1]!mbtool(2,17,0,1)</f>
        <v>9.5138888888888884E-2</v>
      </c>
      <c r="PH2" s="969">
        <f>[1]!mbtool(2,17,0,1)</f>
        <v>9.5138888888888884E-2</v>
      </c>
      <c r="PI2" s="969">
        <f>[1]!mbtool(2,17,0,1)</f>
        <v>9.5138888888888884E-2</v>
      </c>
      <c r="PJ2" s="969">
        <f>[1]!mbtool(2,17,0,1)</f>
        <v>9.5138888888888884E-2</v>
      </c>
      <c r="PK2" s="969">
        <f>[1]!mbtool(2,17,0,1)</f>
        <v>9.5138888888888884E-2</v>
      </c>
      <c r="PL2" s="969">
        <f>[1]!mbtool(2,17,0,1)</f>
        <v>9.5138888888888884E-2</v>
      </c>
      <c r="PM2" s="969">
        <f>[1]!mbtool(2,17,0,1)</f>
        <v>9.5138888888888884E-2</v>
      </c>
      <c r="PN2" s="969">
        <f>[1]!mbtool(2,17,0,1)</f>
        <v>9.5138888888888884E-2</v>
      </c>
      <c r="PO2" s="969">
        <f>[1]!mbtool(2,17,0,1)</f>
        <v>9.5138888888888884E-2</v>
      </c>
      <c r="PP2" s="969">
        <f>[1]!mbtool(2,17,0,1)</f>
        <v>9.5138888888888884E-2</v>
      </c>
      <c r="PQ2" s="969">
        <f>[1]!mbtool(2,17,0,1)</f>
        <v>9.5138888888888884E-2</v>
      </c>
      <c r="PR2" s="969">
        <f>[1]!mbtool(2,17,0,1)</f>
        <v>9.5138888888888884E-2</v>
      </c>
      <c r="PS2" s="969">
        <f>[1]!mbtool(2,17,0,1)</f>
        <v>9.5138888888888884E-2</v>
      </c>
      <c r="PT2" s="969">
        <f>[1]!mbtool(2,17,0,1)</f>
        <v>9.5138888888888884E-2</v>
      </c>
      <c r="PU2" s="969">
        <f>[1]!mbtool(2,17,0,1)</f>
        <v>9.5138888888888884E-2</v>
      </c>
      <c r="PV2" s="969">
        <f>[1]!mbtool(2,17,0,1)</f>
        <v>9.5138888888888884E-2</v>
      </c>
      <c r="PW2" s="969">
        <f>[1]!mbtool(2,17,0,1)</f>
        <v>9.5138888888888884E-2</v>
      </c>
      <c r="PX2" s="969">
        <f>[1]!mbtool(2,17,0,1)</f>
        <v>9.5138888888888884E-2</v>
      </c>
      <c r="PY2" s="969">
        <f>[1]!mbtool(2,17,0,1)</f>
        <v>9.5138888888888884E-2</v>
      </c>
      <c r="PZ2" s="969">
        <f>[1]!mbtool(2,17,0,1)</f>
        <v>9.5138888888888884E-2</v>
      </c>
      <c r="QA2" s="969">
        <f>[1]!mbtool(2,17,0,1)</f>
        <v>9.5138888888888884E-2</v>
      </c>
      <c r="QB2" s="969">
        <f>[1]!mbtool(2,17,0,1)</f>
        <v>9.5138888888888884E-2</v>
      </c>
      <c r="QC2" s="969">
        <f>[1]!mbtool(2,17,0,1)</f>
        <v>9.5138888888888884E-2</v>
      </c>
      <c r="QD2" s="969">
        <f>[1]!mbtool(2,17,0,1)</f>
        <v>9.5138888888888884E-2</v>
      </c>
      <c r="QE2" s="969">
        <f>[1]!mbtool(2,17,0,1)</f>
        <v>9.5138888888888884E-2</v>
      </c>
      <c r="QF2" s="969">
        <f>[1]!mbtool(2,17,0,1)</f>
        <v>9.5138888888888884E-2</v>
      </c>
      <c r="QG2" s="969">
        <f>[1]!mbtool(2,17,0,1)</f>
        <v>9.5138888888888884E-2</v>
      </c>
      <c r="QH2" s="969">
        <f>[1]!mbtool(2,17,0,1)</f>
        <v>9.5138888888888884E-2</v>
      </c>
      <c r="QI2" s="969">
        <f>[1]!mbtool(2,17,0,1)</f>
        <v>9.5138888888888884E-2</v>
      </c>
      <c r="QJ2" s="969">
        <f>[1]!mbtool(2,17,0,1)</f>
        <v>9.5138888888888884E-2</v>
      </c>
      <c r="QK2" s="969">
        <f>[1]!mbtool(2,17,0,1)</f>
        <v>9.5138888888888884E-2</v>
      </c>
      <c r="QL2" s="969">
        <f>[1]!mbtool(2,17,0,1)</f>
        <v>9.5138888888888884E-2</v>
      </c>
      <c r="QM2" s="969">
        <f>[1]!mbtool(2,17,0,1)</f>
        <v>9.5138888888888884E-2</v>
      </c>
      <c r="QN2" s="969">
        <f>[1]!mbtool(2,17,0,1)</f>
        <v>9.5138888888888884E-2</v>
      </c>
      <c r="QO2" s="969">
        <f>[1]!mbtool(2,17,0,1)</f>
        <v>9.5138888888888884E-2</v>
      </c>
      <c r="QP2" s="969">
        <f>[1]!mbtool(2,17,0,1)</f>
        <v>9.5138888888888884E-2</v>
      </c>
      <c r="QQ2" s="969">
        <f>[1]!mbtool(2,17,0,1)</f>
        <v>9.5138888888888884E-2</v>
      </c>
      <c r="QR2" s="969">
        <f>[1]!mbtool(2,17,0,1)</f>
        <v>9.5138888888888884E-2</v>
      </c>
      <c r="QS2" s="969">
        <f>[1]!mbtool(2,17,0,1)</f>
        <v>9.5138888888888884E-2</v>
      </c>
      <c r="QT2" s="969">
        <f>[1]!mbtool(2,17,0,1)</f>
        <v>9.5138888888888884E-2</v>
      </c>
      <c r="QU2" s="969">
        <f>[1]!mbtool(2,17,0,1)</f>
        <v>9.5138888888888884E-2</v>
      </c>
      <c r="QV2" s="969">
        <f>[1]!mbtool(2,17,0,1)</f>
        <v>9.5138888888888884E-2</v>
      </c>
      <c r="QW2" s="969">
        <f>[1]!mbtool(2,17,0,1)</f>
        <v>9.5138888888888884E-2</v>
      </c>
      <c r="QX2" s="969">
        <f>[1]!mbtool(2,17,0,1)</f>
        <v>9.5138888888888884E-2</v>
      </c>
      <c r="QY2" s="969">
        <f>[1]!mbtool(2,17,0,1)</f>
        <v>9.5138888888888884E-2</v>
      </c>
      <c r="QZ2" s="969">
        <f>[1]!mbtool(2,17,0,1)</f>
        <v>9.5138888888888884E-2</v>
      </c>
      <c r="RA2" s="968"/>
    </row>
    <row r="3" spans="1:471" ht="18.75" customHeight="1" thickBot="1">
      <c r="B3" t="s">
        <v>144</v>
      </c>
      <c r="D3" t="s">
        <v>145</v>
      </c>
      <c r="E3" t="s">
        <v>146</v>
      </c>
      <c r="G3" s="16">
        <f>IF(E49=1,J2,IF(E49=2,J5,IF(E49=3,J8,IF(E49=4,J11,IF(E49=5,J14,IF(E49=6,J17,IF(E49=7,J20,IF(E49=8,J23,IF(E49=9,J26,IF(E49=10,J29,IF(E49=11,J32,IF(E49=12,J35,IF(E49=13,J38,IF(E49=14,J41,IF(E49=15,J44,J47)))))))))))))))</f>
        <v>526582.01057989092</v>
      </c>
      <c r="J3" s="10"/>
      <c r="K3" s="10"/>
      <c r="L3" s="10"/>
      <c r="M3" s="10"/>
      <c r="N3" s="10"/>
      <c r="O3" s="10">
        <v>30</v>
      </c>
      <c r="P3" s="10">
        <v>30</v>
      </c>
      <c r="Q3" s="10">
        <v>30</v>
      </c>
      <c r="R3" s="10">
        <v>30</v>
      </c>
      <c r="S3" s="10">
        <v>30</v>
      </c>
      <c r="T3" s="10">
        <v>30</v>
      </c>
      <c r="U3" s="10">
        <v>30</v>
      </c>
      <c r="V3" s="10">
        <v>30</v>
      </c>
      <c r="W3" s="10">
        <v>30</v>
      </c>
      <c r="X3" s="10">
        <v>30</v>
      </c>
      <c r="Y3" s="10">
        <v>30</v>
      </c>
      <c r="Z3" s="10">
        <v>30</v>
      </c>
      <c r="AA3" s="10">
        <v>5</v>
      </c>
      <c r="AE3" s="277" t="s">
        <v>60</v>
      </c>
      <c r="AF3" s="194">
        <v>1442</v>
      </c>
      <c r="AK3" s="759"/>
      <c r="AL3" s="705" t="s">
        <v>3541</v>
      </c>
      <c r="AM3" s="706"/>
      <c r="AN3" s="706" t="e">
        <f>AX63</f>
        <v>#VALUE!</v>
      </c>
      <c r="AO3" s="706"/>
      <c r="AP3" s="706"/>
      <c r="AQ3" s="706"/>
      <c r="AR3" s="706"/>
      <c r="AS3" s="706"/>
      <c r="AT3" s="706"/>
      <c r="AU3" s="706"/>
      <c r="AV3" s="706"/>
      <c r="AW3" s="706"/>
      <c r="AX3" s="707"/>
      <c r="AZ3" s="728" t="s">
        <v>3</v>
      </c>
      <c r="BA3" s="730">
        <v>1386</v>
      </c>
      <c r="BB3" s="109">
        <f>BA3</f>
        <v>1386</v>
      </c>
      <c r="BC3" s="109">
        <f>BB3</f>
        <v>1386</v>
      </c>
      <c r="BD3" s="109">
        <f t="shared" ref="BD3:BM3" si="6">BC3</f>
        <v>1386</v>
      </c>
      <c r="BE3" s="109">
        <f t="shared" si="6"/>
        <v>1386</v>
      </c>
      <c r="BF3" s="109">
        <f t="shared" si="6"/>
        <v>1386</v>
      </c>
      <c r="BG3" s="109">
        <f t="shared" si="6"/>
        <v>1386</v>
      </c>
      <c r="BH3" s="109">
        <f t="shared" si="6"/>
        <v>1386</v>
      </c>
      <c r="BI3" s="109">
        <f t="shared" si="6"/>
        <v>1386</v>
      </c>
      <c r="BJ3" s="109">
        <f t="shared" si="6"/>
        <v>1386</v>
      </c>
      <c r="BK3" s="109">
        <f t="shared" si="6"/>
        <v>1386</v>
      </c>
      <c r="BL3" s="109">
        <f t="shared" si="6"/>
        <v>1386</v>
      </c>
      <c r="BM3" s="109">
        <f t="shared" si="6"/>
        <v>1386</v>
      </c>
      <c r="BN3" s="316"/>
      <c r="BP3" s="742" t="s">
        <v>3541</v>
      </c>
      <c r="BQ3" s="743"/>
      <c r="BR3" s="743"/>
      <c r="BS3" s="706"/>
      <c r="BT3" s="743"/>
      <c r="BU3" s="744"/>
      <c r="BV3" s="108" t="s">
        <v>60</v>
      </c>
      <c r="BW3" s="316">
        <f>BP4</f>
        <v>1386</v>
      </c>
      <c r="BX3" s="108" t="s">
        <v>60</v>
      </c>
      <c r="BY3" s="316">
        <f>BW3</f>
        <v>1386</v>
      </c>
      <c r="CA3" s="787" t="s">
        <v>3</v>
      </c>
      <c r="CB3" s="242">
        <f>BP4</f>
        <v>1386</v>
      </c>
      <c r="CC3" s="242"/>
      <c r="CD3" s="242"/>
      <c r="CE3" s="242"/>
      <c r="CF3" s="788"/>
      <c r="CG3" s="490" t="s">
        <v>3</v>
      </c>
      <c r="CH3" s="309">
        <v>1442</v>
      </c>
      <c r="CI3" s="309"/>
      <c r="CJ3" s="309"/>
      <c r="CK3" s="309"/>
      <c r="CL3" s="774"/>
      <c r="CO3" s="759" t="s">
        <v>3</v>
      </c>
      <c r="CP3" s="759">
        <v>1443</v>
      </c>
      <c r="CQ3" s="759"/>
      <c r="CR3" s="759"/>
      <c r="CS3" s="759"/>
      <c r="CT3" s="759"/>
      <c r="CU3" s="759"/>
      <c r="CV3" s="787" t="s">
        <v>3</v>
      </c>
      <c r="CW3" s="242">
        <f>CP3</f>
        <v>1443</v>
      </c>
      <c r="CX3" s="242"/>
      <c r="CY3" s="242"/>
      <c r="CZ3" s="242"/>
      <c r="DA3" s="788"/>
      <c r="DC3" s="747">
        <v>1</v>
      </c>
      <c r="DD3" s="218">
        <v>1</v>
      </c>
      <c r="DE3" s="320">
        <v>-10</v>
      </c>
      <c r="DG3" s="797" t="s">
        <v>177</v>
      </c>
      <c r="DI3" s="971">
        <f t="shared" ref="DI3:EM3" si="7">35+(41/60)</f>
        <v>35.68333333333333</v>
      </c>
      <c r="DJ3" s="971">
        <f t="shared" si="7"/>
        <v>35.68333333333333</v>
      </c>
      <c r="DK3" s="969">
        <f t="shared" si="7"/>
        <v>35.68333333333333</v>
      </c>
      <c r="DL3" s="969">
        <f t="shared" si="7"/>
        <v>35.68333333333333</v>
      </c>
      <c r="DM3" s="969">
        <f t="shared" si="7"/>
        <v>35.68333333333333</v>
      </c>
      <c r="DN3" s="969">
        <f t="shared" si="7"/>
        <v>35.68333333333333</v>
      </c>
      <c r="DO3" s="969">
        <f t="shared" si="7"/>
        <v>35.68333333333333</v>
      </c>
      <c r="DP3" s="969">
        <f t="shared" si="7"/>
        <v>35.68333333333333</v>
      </c>
      <c r="DQ3" s="969">
        <f t="shared" si="7"/>
        <v>35.68333333333333</v>
      </c>
      <c r="DR3" s="969">
        <f t="shared" si="7"/>
        <v>35.68333333333333</v>
      </c>
      <c r="DS3" s="969">
        <f t="shared" si="7"/>
        <v>35.68333333333333</v>
      </c>
      <c r="DT3" s="969">
        <f t="shared" si="7"/>
        <v>35.68333333333333</v>
      </c>
      <c r="DU3" s="969">
        <f t="shared" si="7"/>
        <v>35.68333333333333</v>
      </c>
      <c r="DV3" s="969">
        <f t="shared" si="7"/>
        <v>35.68333333333333</v>
      </c>
      <c r="DW3" s="969">
        <f t="shared" si="7"/>
        <v>35.68333333333333</v>
      </c>
      <c r="DX3" s="969">
        <f t="shared" si="7"/>
        <v>35.68333333333333</v>
      </c>
      <c r="DY3" s="969">
        <f t="shared" si="7"/>
        <v>35.68333333333333</v>
      </c>
      <c r="DZ3" s="969">
        <f t="shared" si="7"/>
        <v>35.68333333333333</v>
      </c>
      <c r="EA3" s="969">
        <f t="shared" si="7"/>
        <v>35.68333333333333</v>
      </c>
      <c r="EB3" s="969">
        <f t="shared" si="7"/>
        <v>35.68333333333333</v>
      </c>
      <c r="EC3" s="969">
        <f t="shared" si="7"/>
        <v>35.68333333333333</v>
      </c>
      <c r="ED3" s="969">
        <f t="shared" si="7"/>
        <v>35.68333333333333</v>
      </c>
      <c r="EE3" s="969">
        <f t="shared" si="7"/>
        <v>35.68333333333333</v>
      </c>
      <c r="EF3" s="969">
        <f t="shared" si="7"/>
        <v>35.68333333333333</v>
      </c>
      <c r="EG3" s="969">
        <f t="shared" si="7"/>
        <v>35.68333333333333</v>
      </c>
      <c r="EH3" s="969">
        <f t="shared" si="7"/>
        <v>35.68333333333333</v>
      </c>
      <c r="EI3" s="969">
        <f t="shared" si="7"/>
        <v>35.68333333333333</v>
      </c>
      <c r="EJ3" s="969">
        <f t="shared" si="7"/>
        <v>35.68333333333333</v>
      </c>
      <c r="EK3" s="969">
        <f t="shared" si="7"/>
        <v>35.68333333333333</v>
      </c>
      <c r="EL3" s="969">
        <f t="shared" si="7"/>
        <v>35.68333333333333</v>
      </c>
      <c r="EM3" s="969">
        <f t="shared" si="7"/>
        <v>35.68333333333333</v>
      </c>
      <c r="EN3" s="969">
        <f t="shared" ref="EN3:GY3" si="8">35+(41/60)</f>
        <v>35.68333333333333</v>
      </c>
      <c r="EO3" s="969">
        <f t="shared" si="8"/>
        <v>35.68333333333333</v>
      </c>
      <c r="EP3" s="969">
        <f t="shared" si="8"/>
        <v>35.68333333333333</v>
      </c>
      <c r="EQ3" s="969">
        <f t="shared" si="8"/>
        <v>35.68333333333333</v>
      </c>
      <c r="ER3" s="969">
        <f t="shared" si="8"/>
        <v>35.68333333333333</v>
      </c>
      <c r="ES3" s="969">
        <f t="shared" si="8"/>
        <v>35.68333333333333</v>
      </c>
      <c r="ET3" s="969">
        <f t="shared" si="8"/>
        <v>35.68333333333333</v>
      </c>
      <c r="EU3" s="969">
        <f t="shared" si="8"/>
        <v>35.68333333333333</v>
      </c>
      <c r="EV3" s="969">
        <f t="shared" si="8"/>
        <v>35.68333333333333</v>
      </c>
      <c r="EW3" s="969">
        <f t="shared" si="8"/>
        <v>35.68333333333333</v>
      </c>
      <c r="EX3" s="969">
        <f t="shared" si="8"/>
        <v>35.68333333333333</v>
      </c>
      <c r="EY3" s="969">
        <f t="shared" si="8"/>
        <v>35.68333333333333</v>
      </c>
      <c r="EZ3" s="969">
        <f t="shared" si="8"/>
        <v>35.68333333333333</v>
      </c>
      <c r="FA3" s="969">
        <f t="shared" si="8"/>
        <v>35.68333333333333</v>
      </c>
      <c r="FB3" s="969">
        <f t="shared" si="8"/>
        <v>35.68333333333333</v>
      </c>
      <c r="FC3" s="969">
        <f t="shared" si="8"/>
        <v>35.68333333333333</v>
      </c>
      <c r="FD3" s="969">
        <f t="shared" si="8"/>
        <v>35.68333333333333</v>
      </c>
      <c r="FE3" s="969">
        <f t="shared" si="8"/>
        <v>35.68333333333333</v>
      </c>
      <c r="FF3" s="969">
        <f t="shared" si="8"/>
        <v>35.68333333333333</v>
      </c>
      <c r="FG3" s="969">
        <f t="shared" si="8"/>
        <v>35.68333333333333</v>
      </c>
      <c r="FH3" s="969">
        <f t="shared" si="8"/>
        <v>35.68333333333333</v>
      </c>
      <c r="FI3" s="969">
        <f t="shared" si="8"/>
        <v>35.68333333333333</v>
      </c>
      <c r="FJ3" s="969">
        <f t="shared" si="8"/>
        <v>35.68333333333333</v>
      </c>
      <c r="FK3" s="969">
        <f t="shared" si="8"/>
        <v>35.68333333333333</v>
      </c>
      <c r="FL3" s="969">
        <f t="shared" si="8"/>
        <v>35.68333333333333</v>
      </c>
      <c r="FM3" s="969">
        <f t="shared" si="8"/>
        <v>35.68333333333333</v>
      </c>
      <c r="FN3" s="969">
        <f t="shared" si="8"/>
        <v>35.68333333333333</v>
      </c>
      <c r="FO3" s="969">
        <f t="shared" si="8"/>
        <v>35.68333333333333</v>
      </c>
      <c r="FP3" s="969">
        <f t="shared" si="8"/>
        <v>35.68333333333333</v>
      </c>
      <c r="FQ3" s="969">
        <f t="shared" si="8"/>
        <v>35.68333333333333</v>
      </c>
      <c r="FR3" s="969">
        <f t="shared" si="8"/>
        <v>35.68333333333333</v>
      </c>
      <c r="FS3" s="969">
        <f t="shared" si="8"/>
        <v>35.68333333333333</v>
      </c>
      <c r="FT3" s="969">
        <f t="shared" si="8"/>
        <v>35.68333333333333</v>
      </c>
      <c r="FU3" s="969">
        <f t="shared" si="8"/>
        <v>35.68333333333333</v>
      </c>
      <c r="FV3" s="969">
        <f t="shared" si="8"/>
        <v>35.68333333333333</v>
      </c>
      <c r="FW3" s="969">
        <f t="shared" si="8"/>
        <v>35.68333333333333</v>
      </c>
      <c r="FX3" s="969">
        <f t="shared" si="8"/>
        <v>35.68333333333333</v>
      </c>
      <c r="FY3" s="969">
        <f t="shared" si="8"/>
        <v>35.68333333333333</v>
      </c>
      <c r="FZ3" s="969">
        <f t="shared" si="8"/>
        <v>35.68333333333333</v>
      </c>
      <c r="GA3" s="969">
        <f t="shared" si="8"/>
        <v>35.68333333333333</v>
      </c>
      <c r="GB3" s="969">
        <f t="shared" si="8"/>
        <v>35.68333333333333</v>
      </c>
      <c r="GC3" s="969">
        <f t="shared" si="8"/>
        <v>35.68333333333333</v>
      </c>
      <c r="GD3" s="969">
        <f t="shared" si="8"/>
        <v>35.68333333333333</v>
      </c>
      <c r="GE3" s="969">
        <f t="shared" si="8"/>
        <v>35.68333333333333</v>
      </c>
      <c r="GF3" s="969">
        <f t="shared" si="8"/>
        <v>35.68333333333333</v>
      </c>
      <c r="GG3" s="969">
        <f t="shared" si="8"/>
        <v>35.68333333333333</v>
      </c>
      <c r="GH3" s="969">
        <f t="shared" si="8"/>
        <v>35.68333333333333</v>
      </c>
      <c r="GI3" s="969">
        <f t="shared" si="8"/>
        <v>35.68333333333333</v>
      </c>
      <c r="GJ3" s="969">
        <f t="shared" si="8"/>
        <v>35.68333333333333</v>
      </c>
      <c r="GK3" s="969">
        <f t="shared" si="8"/>
        <v>35.68333333333333</v>
      </c>
      <c r="GL3" s="969">
        <f t="shared" si="8"/>
        <v>35.68333333333333</v>
      </c>
      <c r="GM3" s="969">
        <f t="shared" si="8"/>
        <v>35.68333333333333</v>
      </c>
      <c r="GN3" s="969">
        <f t="shared" si="8"/>
        <v>35.68333333333333</v>
      </c>
      <c r="GO3" s="969">
        <f t="shared" si="8"/>
        <v>35.68333333333333</v>
      </c>
      <c r="GP3" s="969">
        <f t="shared" si="8"/>
        <v>35.68333333333333</v>
      </c>
      <c r="GQ3" s="969">
        <f t="shared" si="8"/>
        <v>35.68333333333333</v>
      </c>
      <c r="GR3" s="969">
        <f t="shared" si="8"/>
        <v>35.68333333333333</v>
      </c>
      <c r="GS3" s="969">
        <f t="shared" si="8"/>
        <v>35.68333333333333</v>
      </c>
      <c r="GT3" s="969">
        <f t="shared" si="8"/>
        <v>35.68333333333333</v>
      </c>
      <c r="GU3" s="969">
        <f t="shared" si="8"/>
        <v>35.68333333333333</v>
      </c>
      <c r="GV3" s="969">
        <f t="shared" si="8"/>
        <v>35.68333333333333</v>
      </c>
      <c r="GW3" s="969">
        <f t="shared" si="8"/>
        <v>35.68333333333333</v>
      </c>
      <c r="GX3" s="969">
        <f t="shared" si="8"/>
        <v>35.68333333333333</v>
      </c>
      <c r="GY3" s="969">
        <f t="shared" si="8"/>
        <v>35.68333333333333</v>
      </c>
      <c r="GZ3" s="969">
        <f t="shared" ref="GZ3:JK3" si="9">35+(41/60)</f>
        <v>35.68333333333333</v>
      </c>
      <c r="HA3" s="969">
        <f t="shared" si="9"/>
        <v>35.68333333333333</v>
      </c>
      <c r="HB3" s="969">
        <f t="shared" si="9"/>
        <v>35.68333333333333</v>
      </c>
      <c r="HC3" s="969">
        <f t="shared" si="9"/>
        <v>35.68333333333333</v>
      </c>
      <c r="HD3" s="969">
        <f t="shared" si="9"/>
        <v>35.68333333333333</v>
      </c>
      <c r="HE3" s="969">
        <f t="shared" si="9"/>
        <v>35.68333333333333</v>
      </c>
      <c r="HF3" s="969">
        <f t="shared" si="9"/>
        <v>35.68333333333333</v>
      </c>
      <c r="HG3" s="969">
        <f t="shared" si="9"/>
        <v>35.68333333333333</v>
      </c>
      <c r="HH3" s="969">
        <f t="shared" si="9"/>
        <v>35.68333333333333</v>
      </c>
      <c r="HI3" s="969">
        <f t="shared" si="9"/>
        <v>35.68333333333333</v>
      </c>
      <c r="HJ3" s="969">
        <f t="shared" si="9"/>
        <v>35.68333333333333</v>
      </c>
      <c r="HK3" s="969">
        <f t="shared" si="9"/>
        <v>35.68333333333333</v>
      </c>
      <c r="HL3" s="969">
        <f t="shared" si="9"/>
        <v>35.68333333333333</v>
      </c>
      <c r="HM3" s="969">
        <f t="shared" si="9"/>
        <v>35.68333333333333</v>
      </c>
      <c r="HN3" s="969">
        <f t="shared" si="9"/>
        <v>35.68333333333333</v>
      </c>
      <c r="HO3" s="969">
        <f t="shared" si="9"/>
        <v>35.68333333333333</v>
      </c>
      <c r="HP3" s="969">
        <f t="shared" si="9"/>
        <v>35.68333333333333</v>
      </c>
      <c r="HQ3" s="969">
        <f t="shared" si="9"/>
        <v>35.68333333333333</v>
      </c>
      <c r="HR3" s="969">
        <f t="shared" si="9"/>
        <v>35.68333333333333</v>
      </c>
      <c r="HS3" s="969">
        <f t="shared" si="9"/>
        <v>35.68333333333333</v>
      </c>
      <c r="HT3" s="969">
        <f t="shared" si="9"/>
        <v>35.68333333333333</v>
      </c>
      <c r="HU3" s="969">
        <f t="shared" si="9"/>
        <v>35.68333333333333</v>
      </c>
      <c r="HV3" s="969">
        <f t="shared" si="9"/>
        <v>35.68333333333333</v>
      </c>
      <c r="HW3" s="969">
        <f t="shared" si="9"/>
        <v>35.68333333333333</v>
      </c>
      <c r="HX3" s="969">
        <f t="shared" si="9"/>
        <v>35.68333333333333</v>
      </c>
      <c r="HY3" s="969">
        <f t="shared" si="9"/>
        <v>35.68333333333333</v>
      </c>
      <c r="HZ3" s="969">
        <f t="shared" si="9"/>
        <v>35.68333333333333</v>
      </c>
      <c r="IA3" s="969">
        <f t="shared" si="9"/>
        <v>35.68333333333333</v>
      </c>
      <c r="IB3" s="969">
        <f t="shared" si="9"/>
        <v>35.68333333333333</v>
      </c>
      <c r="IC3" s="969">
        <f t="shared" si="9"/>
        <v>35.68333333333333</v>
      </c>
      <c r="ID3" s="969">
        <f t="shared" si="9"/>
        <v>35.68333333333333</v>
      </c>
      <c r="IE3" s="969">
        <f t="shared" si="9"/>
        <v>35.68333333333333</v>
      </c>
      <c r="IF3" s="969">
        <f t="shared" si="9"/>
        <v>35.68333333333333</v>
      </c>
      <c r="IG3" s="969">
        <f t="shared" si="9"/>
        <v>35.68333333333333</v>
      </c>
      <c r="IH3" s="969">
        <f t="shared" si="9"/>
        <v>35.68333333333333</v>
      </c>
      <c r="II3" s="969">
        <f t="shared" si="9"/>
        <v>35.68333333333333</v>
      </c>
      <c r="IJ3" s="969">
        <f t="shared" si="9"/>
        <v>35.68333333333333</v>
      </c>
      <c r="IK3" s="969">
        <f t="shared" si="9"/>
        <v>35.68333333333333</v>
      </c>
      <c r="IL3" s="969">
        <f t="shared" si="9"/>
        <v>35.68333333333333</v>
      </c>
      <c r="IM3" s="969">
        <f t="shared" si="9"/>
        <v>35.68333333333333</v>
      </c>
      <c r="IN3" s="969">
        <f t="shared" si="9"/>
        <v>35.68333333333333</v>
      </c>
      <c r="IO3" s="969">
        <f t="shared" si="9"/>
        <v>35.68333333333333</v>
      </c>
      <c r="IP3" s="969">
        <f t="shared" si="9"/>
        <v>35.68333333333333</v>
      </c>
      <c r="IQ3" s="969">
        <f t="shared" si="9"/>
        <v>35.68333333333333</v>
      </c>
      <c r="IR3" s="969">
        <f t="shared" si="9"/>
        <v>35.68333333333333</v>
      </c>
      <c r="IS3" s="969">
        <f t="shared" si="9"/>
        <v>35.68333333333333</v>
      </c>
      <c r="IT3" s="969">
        <f t="shared" si="9"/>
        <v>35.68333333333333</v>
      </c>
      <c r="IU3" s="969">
        <f t="shared" si="9"/>
        <v>35.68333333333333</v>
      </c>
      <c r="IV3" s="969">
        <f t="shared" si="9"/>
        <v>35.68333333333333</v>
      </c>
      <c r="IW3" s="969">
        <f t="shared" si="9"/>
        <v>35.68333333333333</v>
      </c>
      <c r="IX3" s="969">
        <f t="shared" si="9"/>
        <v>35.68333333333333</v>
      </c>
      <c r="IY3" s="969">
        <f t="shared" si="9"/>
        <v>35.68333333333333</v>
      </c>
      <c r="IZ3" s="969">
        <f t="shared" si="9"/>
        <v>35.68333333333333</v>
      </c>
      <c r="JA3" s="969">
        <f t="shared" si="9"/>
        <v>35.68333333333333</v>
      </c>
      <c r="JB3" s="969">
        <f t="shared" si="9"/>
        <v>35.68333333333333</v>
      </c>
      <c r="JC3" s="969">
        <f t="shared" si="9"/>
        <v>35.68333333333333</v>
      </c>
      <c r="JD3" s="969">
        <f t="shared" si="9"/>
        <v>35.68333333333333</v>
      </c>
      <c r="JE3" s="969">
        <f t="shared" si="9"/>
        <v>35.68333333333333</v>
      </c>
      <c r="JF3" s="969">
        <f t="shared" si="9"/>
        <v>35.68333333333333</v>
      </c>
      <c r="JG3" s="969">
        <f t="shared" si="9"/>
        <v>35.68333333333333</v>
      </c>
      <c r="JH3" s="969">
        <f t="shared" si="9"/>
        <v>35.68333333333333</v>
      </c>
      <c r="JI3" s="969">
        <f t="shared" si="9"/>
        <v>35.68333333333333</v>
      </c>
      <c r="JJ3" s="969">
        <f t="shared" si="9"/>
        <v>35.68333333333333</v>
      </c>
      <c r="JK3" s="969">
        <f t="shared" si="9"/>
        <v>35.68333333333333</v>
      </c>
      <c r="JL3" s="969">
        <f t="shared" ref="JL3:LW3" si="10">35+(41/60)</f>
        <v>35.68333333333333</v>
      </c>
      <c r="JM3" s="969">
        <f t="shared" si="10"/>
        <v>35.68333333333333</v>
      </c>
      <c r="JN3" s="969">
        <f t="shared" si="10"/>
        <v>35.68333333333333</v>
      </c>
      <c r="JO3" s="969">
        <f t="shared" si="10"/>
        <v>35.68333333333333</v>
      </c>
      <c r="JP3" s="969">
        <f t="shared" si="10"/>
        <v>35.68333333333333</v>
      </c>
      <c r="JQ3" s="969">
        <f t="shared" si="10"/>
        <v>35.68333333333333</v>
      </c>
      <c r="JR3" s="969">
        <f t="shared" si="10"/>
        <v>35.68333333333333</v>
      </c>
      <c r="JS3" s="969">
        <f t="shared" si="10"/>
        <v>35.68333333333333</v>
      </c>
      <c r="JT3" s="969">
        <f t="shared" si="10"/>
        <v>35.68333333333333</v>
      </c>
      <c r="JU3" s="969">
        <f t="shared" si="10"/>
        <v>35.68333333333333</v>
      </c>
      <c r="JV3" s="969">
        <f t="shared" si="10"/>
        <v>35.68333333333333</v>
      </c>
      <c r="JW3" s="969">
        <f t="shared" si="10"/>
        <v>35.68333333333333</v>
      </c>
      <c r="JX3" s="969">
        <f t="shared" si="10"/>
        <v>35.68333333333333</v>
      </c>
      <c r="JY3" s="969">
        <f t="shared" si="10"/>
        <v>35.68333333333333</v>
      </c>
      <c r="JZ3" s="969">
        <f t="shared" si="10"/>
        <v>35.68333333333333</v>
      </c>
      <c r="KA3" s="969">
        <f t="shared" si="10"/>
        <v>35.68333333333333</v>
      </c>
      <c r="KB3" s="969">
        <f t="shared" si="10"/>
        <v>35.68333333333333</v>
      </c>
      <c r="KC3" s="969">
        <f t="shared" si="10"/>
        <v>35.68333333333333</v>
      </c>
      <c r="KD3" s="969">
        <f t="shared" si="10"/>
        <v>35.68333333333333</v>
      </c>
      <c r="KE3" s="969">
        <f t="shared" si="10"/>
        <v>35.68333333333333</v>
      </c>
      <c r="KF3" s="969">
        <f t="shared" si="10"/>
        <v>35.68333333333333</v>
      </c>
      <c r="KG3" s="969">
        <f t="shared" si="10"/>
        <v>35.68333333333333</v>
      </c>
      <c r="KH3" s="969">
        <f t="shared" si="10"/>
        <v>35.68333333333333</v>
      </c>
      <c r="KI3" s="969">
        <f t="shared" si="10"/>
        <v>35.68333333333333</v>
      </c>
      <c r="KJ3" s="969">
        <f t="shared" si="10"/>
        <v>35.68333333333333</v>
      </c>
      <c r="KK3" s="969">
        <f t="shared" si="10"/>
        <v>35.68333333333333</v>
      </c>
      <c r="KL3" s="969">
        <f t="shared" si="10"/>
        <v>35.68333333333333</v>
      </c>
      <c r="KM3" s="969">
        <f t="shared" si="10"/>
        <v>35.68333333333333</v>
      </c>
      <c r="KN3" s="969">
        <f t="shared" si="10"/>
        <v>35.68333333333333</v>
      </c>
      <c r="KO3" s="969">
        <f t="shared" si="10"/>
        <v>35.68333333333333</v>
      </c>
      <c r="KP3" s="969">
        <f t="shared" si="10"/>
        <v>35.68333333333333</v>
      </c>
      <c r="KQ3" s="969">
        <f t="shared" si="10"/>
        <v>35.68333333333333</v>
      </c>
      <c r="KR3" s="969">
        <f t="shared" si="10"/>
        <v>35.68333333333333</v>
      </c>
      <c r="KS3" s="969">
        <f t="shared" si="10"/>
        <v>35.68333333333333</v>
      </c>
      <c r="KT3" s="969">
        <f t="shared" si="10"/>
        <v>35.68333333333333</v>
      </c>
      <c r="KU3" s="969">
        <f t="shared" si="10"/>
        <v>35.68333333333333</v>
      </c>
      <c r="KV3" s="969">
        <f t="shared" si="10"/>
        <v>35.68333333333333</v>
      </c>
      <c r="KW3" s="969">
        <f t="shared" si="10"/>
        <v>35.68333333333333</v>
      </c>
      <c r="KX3" s="969">
        <f t="shared" si="10"/>
        <v>35.68333333333333</v>
      </c>
      <c r="KY3" s="969">
        <f t="shared" si="10"/>
        <v>35.68333333333333</v>
      </c>
      <c r="KZ3" s="969">
        <f t="shared" si="10"/>
        <v>35.68333333333333</v>
      </c>
      <c r="LA3" s="969">
        <f t="shared" si="10"/>
        <v>35.68333333333333</v>
      </c>
      <c r="LB3" s="969">
        <f t="shared" si="10"/>
        <v>35.68333333333333</v>
      </c>
      <c r="LC3" s="969">
        <f t="shared" si="10"/>
        <v>35.68333333333333</v>
      </c>
      <c r="LD3" s="969">
        <f t="shared" si="10"/>
        <v>35.68333333333333</v>
      </c>
      <c r="LE3" s="969">
        <f t="shared" si="10"/>
        <v>35.68333333333333</v>
      </c>
      <c r="LF3" s="969">
        <f t="shared" si="10"/>
        <v>35.68333333333333</v>
      </c>
      <c r="LG3" s="969">
        <f t="shared" si="10"/>
        <v>35.68333333333333</v>
      </c>
      <c r="LH3" s="969">
        <f t="shared" si="10"/>
        <v>35.68333333333333</v>
      </c>
      <c r="LI3" s="969">
        <f t="shared" si="10"/>
        <v>35.68333333333333</v>
      </c>
      <c r="LJ3" s="969">
        <f t="shared" si="10"/>
        <v>35.68333333333333</v>
      </c>
      <c r="LK3" s="969">
        <f t="shared" si="10"/>
        <v>35.68333333333333</v>
      </c>
      <c r="LL3" s="969">
        <f t="shared" si="10"/>
        <v>35.68333333333333</v>
      </c>
      <c r="LM3" s="969">
        <f t="shared" si="10"/>
        <v>35.68333333333333</v>
      </c>
      <c r="LN3" s="969">
        <f t="shared" si="10"/>
        <v>35.68333333333333</v>
      </c>
      <c r="LO3" s="969">
        <f t="shared" si="10"/>
        <v>35.68333333333333</v>
      </c>
      <c r="LP3" s="969">
        <f t="shared" si="10"/>
        <v>35.68333333333333</v>
      </c>
      <c r="LQ3" s="969">
        <f t="shared" si="10"/>
        <v>35.68333333333333</v>
      </c>
      <c r="LR3" s="969">
        <f t="shared" si="10"/>
        <v>35.68333333333333</v>
      </c>
      <c r="LS3" s="969">
        <f t="shared" si="10"/>
        <v>35.68333333333333</v>
      </c>
      <c r="LT3" s="969">
        <f t="shared" si="10"/>
        <v>35.68333333333333</v>
      </c>
      <c r="LU3" s="969">
        <f t="shared" si="10"/>
        <v>35.68333333333333</v>
      </c>
      <c r="LV3" s="969">
        <f t="shared" si="10"/>
        <v>35.68333333333333</v>
      </c>
      <c r="LW3" s="969">
        <f t="shared" si="10"/>
        <v>35.68333333333333</v>
      </c>
      <c r="LX3" s="969">
        <f t="shared" ref="LX3:OI3" si="11">35+(41/60)</f>
        <v>35.68333333333333</v>
      </c>
      <c r="LY3" s="969">
        <f t="shared" si="11"/>
        <v>35.68333333333333</v>
      </c>
      <c r="LZ3" s="969">
        <f t="shared" si="11"/>
        <v>35.68333333333333</v>
      </c>
      <c r="MA3" s="969">
        <f t="shared" si="11"/>
        <v>35.68333333333333</v>
      </c>
      <c r="MB3" s="969">
        <f t="shared" si="11"/>
        <v>35.68333333333333</v>
      </c>
      <c r="MC3" s="969">
        <f t="shared" si="11"/>
        <v>35.68333333333333</v>
      </c>
      <c r="MD3" s="969">
        <f t="shared" si="11"/>
        <v>35.68333333333333</v>
      </c>
      <c r="ME3" s="969">
        <f t="shared" si="11"/>
        <v>35.68333333333333</v>
      </c>
      <c r="MF3" s="969">
        <f t="shared" si="11"/>
        <v>35.68333333333333</v>
      </c>
      <c r="MG3" s="969">
        <f t="shared" si="11"/>
        <v>35.68333333333333</v>
      </c>
      <c r="MH3" s="969">
        <f t="shared" si="11"/>
        <v>35.68333333333333</v>
      </c>
      <c r="MI3" s="969">
        <f t="shared" si="11"/>
        <v>35.68333333333333</v>
      </c>
      <c r="MJ3" s="969">
        <f t="shared" si="11"/>
        <v>35.68333333333333</v>
      </c>
      <c r="MK3" s="969">
        <f t="shared" si="11"/>
        <v>35.68333333333333</v>
      </c>
      <c r="ML3" s="969">
        <f t="shared" si="11"/>
        <v>35.68333333333333</v>
      </c>
      <c r="MM3" s="969">
        <f t="shared" si="11"/>
        <v>35.68333333333333</v>
      </c>
      <c r="MN3" s="969">
        <f t="shared" si="11"/>
        <v>35.68333333333333</v>
      </c>
      <c r="MO3" s="969">
        <f t="shared" si="11"/>
        <v>35.68333333333333</v>
      </c>
      <c r="MP3" s="969">
        <f t="shared" si="11"/>
        <v>35.68333333333333</v>
      </c>
      <c r="MQ3" s="969">
        <f t="shared" si="11"/>
        <v>35.68333333333333</v>
      </c>
      <c r="MR3" s="969">
        <f t="shared" si="11"/>
        <v>35.68333333333333</v>
      </c>
      <c r="MS3" s="969">
        <f t="shared" si="11"/>
        <v>35.68333333333333</v>
      </c>
      <c r="MT3" s="969">
        <f t="shared" si="11"/>
        <v>35.68333333333333</v>
      </c>
      <c r="MU3" s="969">
        <f t="shared" si="11"/>
        <v>35.68333333333333</v>
      </c>
      <c r="MV3" s="969">
        <f t="shared" si="11"/>
        <v>35.68333333333333</v>
      </c>
      <c r="MW3" s="969">
        <f t="shared" si="11"/>
        <v>35.68333333333333</v>
      </c>
      <c r="MX3" s="969">
        <f t="shared" si="11"/>
        <v>35.68333333333333</v>
      </c>
      <c r="MY3" s="969">
        <f t="shared" si="11"/>
        <v>35.68333333333333</v>
      </c>
      <c r="MZ3" s="969">
        <f t="shared" si="11"/>
        <v>35.68333333333333</v>
      </c>
      <c r="NA3" s="969">
        <f t="shared" si="11"/>
        <v>35.68333333333333</v>
      </c>
      <c r="NB3" s="969">
        <f t="shared" si="11"/>
        <v>35.68333333333333</v>
      </c>
      <c r="NC3" s="969">
        <f t="shared" si="11"/>
        <v>35.68333333333333</v>
      </c>
      <c r="ND3" s="969">
        <f t="shared" si="11"/>
        <v>35.68333333333333</v>
      </c>
      <c r="NE3" s="969">
        <f t="shared" si="11"/>
        <v>35.68333333333333</v>
      </c>
      <c r="NF3" s="969">
        <f t="shared" si="11"/>
        <v>35.68333333333333</v>
      </c>
      <c r="NG3" s="969">
        <f t="shared" si="11"/>
        <v>35.68333333333333</v>
      </c>
      <c r="NH3" s="969">
        <f t="shared" si="11"/>
        <v>35.68333333333333</v>
      </c>
      <c r="NI3" s="969">
        <f t="shared" si="11"/>
        <v>35.68333333333333</v>
      </c>
      <c r="NJ3" s="969">
        <f t="shared" si="11"/>
        <v>35.68333333333333</v>
      </c>
      <c r="NK3" s="969">
        <f t="shared" si="11"/>
        <v>35.68333333333333</v>
      </c>
      <c r="NL3" s="969">
        <f t="shared" si="11"/>
        <v>35.68333333333333</v>
      </c>
      <c r="NM3" s="969">
        <f t="shared" si="11"/>
        <v>35.68333333333333</v>
      </c>
      <c r="NN3" s="969">
        <f t="shared" si="11"/>
        <v>35.68333333333333</v>
      </c>
      <c r="NO3" s="969">
        <f t="shared" si="11"/>
        <v>35.68333333333333</v>
      </c>
      <c r="NP3" s="969">
        <f t="shared" si="11"/>
        <v>35.68333333333333</v>
      </c>
      <c r="NQ3" s="969">
        <f t="shared" si="11"/>
        <v>35.68333333333333</v>
      </c>
      <c r="NR3" s="969">
        <f t="shared" si="11"/>
        <v>35.68333333333333</v>
      </c>
      <c r="NS3" s="969">
        <f t="shared" si="11"/>
        <v>35.68333333333333</v>
      </c>
      <c r="NT3" s="969">
        <f t="shared" si="11"/>
        <v>35.68333333333333</v>
      </c>
      <c r="NU3" s="969">
        <f t="shared" si="11"/>
        <v>35.68333333333333</v>
      </c>
      <c r="NV3" s="969">
        <f t="shared" si="11"/>
        <v>35.68333333333333</v>
      </c>
      <c r="NW3" s="969">
        <f t="shared" si="11"/>
        <v>35.68333333333333</v>
      </c>
      <c r="NX3" s="969">
        <f t="shared" si="11"/>
        <v>35.68333333333333</v>
      </c>
      <c r="NY3" s="969">
        <f t="shared" si="11"/>
        <v>35.68333333333333</v>
      </c>
      <c r="NZ3" s="969">
        <f t="shared" si="11"/>
        <v>35.68333333333333</v>
      </c>
      <c r="OA3" s="969">
        <f t="shared" si="11"/>
        <v>35.68333333333333</v>
      </c>
      <c r="OB3" s="969">
        <f t="shared" si="11"/>
        <v>35.68333333333333</v>
      </c>
      <c r="OC3" s="969">
        <f t="shared" si="11"/>
        <v>35.68333333333333</v>
      </c>
      <c r="OD3" s="969">
        <f t="shared" si="11"/>
        <v>35.68333333333333</v>
      </c>
      <c r="OE3" s="969">
        <f t="shared" si="11"/>
        <v>35.68333333333333</v>
      </c>
      <c r="OF3" s="969">
        <f t="shared" si="11"/>
        <v>35.68333333333333</v>
      </c>
      <c r="OG3" s="969">
        <f t="shared" si="11"/>
        <v>35.68333333333333</v>
      </c>
      <c r="OH3" s="969">
        <f t="shared" si="11"/>
        <v>35.68333333333333</v>
      </c>
      <c r="OI3" s="969">
        <f t="shared" si="11"/>
        <v>35.68333333333333</v>
      </c>
      <c r="OJ3" s="969">
        <f t="shared" ref="OJ3:QU3" si="12">35+(41/60)</f>
        <v>35.68333333333333</v>
      </c>
      <c r="OK3" s="969">
        <f t="shared" si="12"/>
        <v>35.68333333333333</v>
      </c>
      <c r="OL3" s="969">
        <f t="shared" si="12"/>
        <v>35.68333333333333</v>
      </c>
      <c r="OM3" s="969">
        <f t="shared" si="12"/>
        <v>35.68333333333333</v>
      </c>
      <c r="ON3" s="969">
        <f t="shared" si="12"/>
        <v>35.68333333333333</v>
      </c>
      <c r="OO3" s="969">
        <f t="shared" si="12"/>
        <v>35.68333333333333</v>
      </c>
      <c r="OP3" s="969">
        <f t="shared" si="12"/>
        <v>35.68333333333333</v>
      </c>
      <c r="OQ3" s="969">
        <f t="shared" si="12"/>
        <v>35.68333333333333</v>
      </c>
      <c r="OR3" s="969">
        <f t="shared" si="12"/>
        <v>35.68333333333333</v>
      </c>
      <c r="OS3" s="969">
        <f t="shared" si="12"/>
        <v>35.68333333333333</v>
      </c>
      <c r="OT3" s="969">
        <f t="shared" si="12"/>
        <v>35.68333333333333</v>
      </c>
      <c r="OU3" s="969">
        <f t="shared" si="12"/>
        <v>35.68333333333333</v>
      </c>
      <c r="OV3" s="969">
        <f t="shared" si="12"/>
        <v>35.68333333333333</v>
      </c>
      <c r="OW3" s="969">
        <f t="shared" si="12"/>
        <v>35.68333333333333</v>
      </c>
      <c r="OX3" s="969">
        <f t="shared" si="12"/>
        <v>35.68333333333333</v>
      </c>
      <c r="OY3" s="969">
        <f t="shared" si="12"/>
        <v>35.68333333333333</v>
      </c>
      <c r="OZ3" s="969">
        <f t="shared" si="12"/>
        <v>35.68333333333333</v>
      </c>
      <c r="PA3" s="969">
        <f t="shared" si="12"/>
        <v>35.68333333333333</v>
      </c>
      <c r="PB3" s="969">
        <f t="shared" si="12"/>
        <v>35.68333333333333</v>
      </c>
      <c r="PC3" s="969">
        <f t="shared" si="12"/>
        <v>35.68333333333333</v>
      </c>
      <c r="PD3" s="969">
        <f t="shared" si="12"/>
        <v>35.68333333333333</v>
      </c>
      <c r="PE3" s="969">
        <f t="shared" si="12"/>
        <v>35.68333333333333</v>
      </c>
      <c r="PF3" s="969">
        <f t="shared" si="12"/>
        <v>35.68333333333333</v>
      </c>
      <c r="PG3" s="969">
        <f t="shared" si="12"/>
        <v>35.68333333333333</v>
      </c>
      <c r="PH3" s="969">
        <f t="shared" si="12"/>
        <v>35.68333333333333</v>
      </c>
      <c r="PI3" s="969">
        <f t="shared" si="12"/>
        <v>35.68333333333333</v>
      </c>
      <c r="PJ3" s="969">
        <f t="shared" si="12"/>
        <v>35.68333333333333</v>
      </c>
      <c r="PK3" s="969">
        <f t="shared" si="12"/>
        <v>35.68333333333333</v>
      </c>
      <c r="PL3" s="969">
        <f t="shared" si="12"/>
        <v>35.68333333333333</v>
      </c>
      <c r="PM3" s="969">
        <f t="shared" si="12"/>
        <v>35.68333333333333</v>
      </c>
      <c r="PN3" s="969">
        <f t="shared" si="12"/>
        <v>35.68333333333333</v>
      </c>
      <c r="PO3" s="969">
        <f t="shared" si="12"/>
        <v>35.68333333333333</v>
      </c>
      <c r="PP3" s="969">
        <f t="shared" si="12"/>
        <v>35.68333333333333</v>
      </c>
      <c r="PQ3" s="969">
        <f t="shared" si="12"/>
        <v>35.68333333333333</v>
      </c>
      <c r="PR3" s="969">
        <f t="shared" si="12"/>
        <v>35.68333333333333</v>
      </c>
      <c r="PS3" s="969">
        <f t="shared" si="12"/>
        <v>35.68333333333333</v>
      </c>
      <c r="PT3" s="969">
        <f t="shared" si="12"/>
        <v>35.68333333333333</v>
      </c>
      <c r="PU3" s="969">
        <f t="shared" si="12"/>
        <v>35.68333333333333</v>
      </c>
      <c r="PV3" s="969">
        <f t="shared" si="12"/>
        <v>35.68333333333333</v>
      </c>
      <c r="PW3" s="969">
        <f t="shared" si="12"/>
        <v>35.68333333333333</v>
      </c>
      <c r="PX3" s="969">
        <f t="shared" si="12"/>
        <v>35.68333333333333</v>
      </c>
      <c r="PY3" s="969">
        <f t="shared" si="12"/>
        <v>35.68333333333333</v>
      </c>
      <c r="PZ3" s="969">
        <f t="shared" si="12"/>
        <v>35.68333333333333</v>
      </c>
      <c r="QA3" s="969">
        <f t="shared" si="12"/>
        <v>35.68333333333333</v>
      </c>
      <c r="QB3" s="969">
        <f t="shared" si="12"/>
        <v>35.68333333333333</v>
      </c>
      <c r="QC3" s="969">
        <f t="shared" si="12"/>
        <v>35.68333333333333</v>
      </c>
      <c r="QD3" s="969">
        <f t="shared" si="12"/>
        <v>35.68333333333333</v>
      </c>
      <c r="QE3" s="969">
        <f t="shared" si="12"/>
        <v>35.68333333333333</v>
      </c>
      <c r="QF3" s="969">
        <f t="shared" si="12"/>
        <v>35.68333333333333</v>
      </c>
      <c r="QG3" s="969">
        <f t="shared" si="12"/>
        <v>35.68333333333333</v>
      </c>
      <c r="QH3" s="969">
        <f t="shared" si="12"/>
        <v>35.68333333333333</v>
      </c>
      <c r="QI3" s="969">
        <f t="shared" si="12"/>
        <v>35.68333333333333</v>
      </c>
      <c r="QJ3" s="969">
        <f t="shared" si="12"/>
        <v>35.68333333333333</v>
      </c>
      <c r="QK3" s="969">
        <f t="shared" si="12"/>
        <v>35.68333333333333</v>
      </c>
      <c r="QL3" s="969">
        <f t="shared" si="12"/>
        <v>35.68333333333333</v>
      </c>
      <c r="QM3" s="969">
        <f t="shared" si="12"/>
        <v>35.68333333333333</v>
      </c>
      <c r="QN3" s="969">
        <f t="shared" si="12"/>
        <v>35.68333333333333</v>
      </c>
      <c r="QO3" s="969">
        <f t="shared" si="12"/>
        <v>35.68333333333333</v>
      </c>
      <c r="QP3" s="969">
        <f t="shared" si="12"/>
        <v>35.68333333333333</v>
      </c>
      <c r="QQ3" s="969">
        <f t="shared" si="12"/>
        <v>35.68333333333333</v>
      </c>
      <c r="QR3" s="969">
        <f t="shared" si="12"/>
        <v>35.68333333333333</v>
      </c>
      <c r="QS3" s="969">
        <f t="shared" si="12"/>
        <v>35.68333333333333</v>
      </c>
      <c r="QT3" s="969">
        <f t="shared" si="12"/>
        <v>35.68333333333333</v>
      </c>
      <c r="QU3" s="969">
        <f t="shared" si="12"/>
        <v>35.68333333333333</v>
      </c>
      <c r="QV3" s="969">
        <f t="shared" ref="QV3:QZ3" si="13">35+(41/60)</f>
        <v>35.68333333333333</v>
      </c>
      <c r="QW3" s="969">
        <f t="shared" si="13"/>
        <v>35.68333333333333</v>
      </c>
      <c r="QX3" s="969">
        <f t="shared" si="13"/>
        <v>35.68333333333333</v>
      </c>
      <c r="QY3" s="969">
        <f t="shared" si="13"/>
        <v>35.68333333333333</v>
      </c>
      <c r="QZ3" s="969">
        <f t="shared" si="13"/>
        <v>35.68333333333333</v>
      </c>
      <c r="RA3" s="968"/>
    </row>
    <row r="4" spans="1:471" ht="17.25">
      <c r="A4" s="22">
        <v>22</v>
      </c>
      <c r="B4" s="22">
        <v>9</v>
      </c>
      <c r="C4" s="22">
        <v>1442</v>
      </c>
      <c r="D4" t="s">
        <v>151</v>
      </c>
      <c r="E4">
        <f>IF(D4="هبوطی",1,IF(D4="طوفانی",2,IF(D4="بخت نصری",3,IF(D4="رومی اسکندرانی",4,IF(D4="ترکی",5,IF(D4="هندی",6,IF(D4="عیسوی",7,IF(D4="شاکه شالباهن",8,IF(D4="هجری",9,IF(D4="فرسی قدیمی",10,IF(D4="جلالی",11,IF(D4="الهی",12,IF(D4="ولایتی",13,IF(D4="محمدشاهی",14,IF(D4="طغیانی",15,IF(D4="شمسی",16,0))))))))))))))))</f>
        <v>16</v>
      </c>
      <c r="J4" s="10"/>
      <c r="K4" s="10"/>
      <c r="L4" s="10"/>
      <c r="M4" s="10"/>
      <c r="N4" s="10"/>
      <c r="O4" s="10">
        <f>O3</f>
        <v>30</v>
      </c>
      <c r="P4" s="10">
        <f t="shared" ref="P4:AA4" si="14">P3+O4</f>
        <v>60</v>
      </c>
      <c r="Q4" s="10">
        <f t="shared" si="14"/>
        <v>90</v>
      </c>
      <c r="R4" s="10">
        <f t="shared" si="14"/>
        <v>120</v>
      </c>
      <c r="S4" s="10">
        <f t="shared" si="14"/>
        <v>150</v>
      </c>
      <c r="T4" s="10">
        <f t="shared" si="14"/>
        <v>180</v>
      </c>
      <c r="U4" s="10">
        <f t="shared" si="14"/>
        <v>210</v>
      </c>
      <c r="V4" s="10">
        <f t="shared" si="14"/>
        <v>240</v>
      </c>
      <c r="W4" s="10">
        <f t="shared" si="14"/>
        <v>270</v>
      </c>
      <c r="X4" s="10">
        <f t="shared" si="14"/>
        <v>300</v>
      </c>
      <c r="Y4" s="10">
        <f t="shared" si="14"/>
        <v>330</v>
      </c>
      <c r="Z4" s="10">
        <f t="shared" si="14"/>
        <v>360</v>
      </c>
      <c r="AA4" s="10">
        <f t="shared" si="14"/>
        <v>365</v>
      </c>
      <c r="AE4" s="242" t="s">
        <v>4</v>
      </c>
      <c r="AF4" s="196">
        <v>8</v>
      </c>
      <c r="AK4" s="759" t="s">
        <v>144</v>
      </c>
      <c r="AL4" s="704">
        <v>1443</v>
      </c>
      <c r="AM4" s="301">
        <f t="shared" ref="AM4:AW4" si="15">AL4</f>
        <v>1443</v>
      </c>
      <c r="AN4" s="301">
        <f t="shared" si="15"/>
        <v>1443</v>
      </c>
      <c r="AO4" s="301">
        <f t="shared" si="15"/>
        <v>1443</v>
      </c>
      <c r="AP4" s="301">
        <f t="shared" si="15"/>
        <v>1443</v>
      </c>
      <c r="AQ4" s="301">
        <f t="shared" si="15"/>
        <v>1443</v>
      </c>
      <c r="AR4" s="301">
        <f t="shared" si="15"/>
        <v>1443</v>
      </c>
      <c r="AS4" s="301">
        <f t="shared" si="15"/>
        <v>1443</v>
      </c>
      <c r="AT4" s="301">
        <f t="shared" si="15"/>
        <v>1443</v>
      </c>
      <c r="AU4" s="301">
        <f t="shared" si="15"/>
        <v>1443</v>
      </c>
      <c r="AV4" s="301">
        <f t="shared" si="15"/>
        <v>1443</v>
      </c>
      <c r="AW4" s="301">
        <f t="shared" si="15"/>
        <v>1443</v>
      </c>
      <c r="AX4" s="301"/>
      <c r="AZ4" s="732" t="s">
        <v>4</v>
      </c>
      <c r="BA4" s="731">
        <v>6</v>
      </c>
      <c r="BB4" s="113">
        <v>1</v>
      </c>
      <c r="BC4" s="113">
        <v>2</v>
      </c>
      <c r="BD4" s="113">
        <v>3</v>
      </c>
      <c r="BE4" s="113">
        <v>4</v>
      </c>
      <c r="BF4" s="113">
        <v>5</v>
      </c>
      <c r="BG4" s="113">
        <v>6</v>
      </c>
      <c r="BH4" s="113">
        <v>7</v>
      </c>
      <c r="BI4" s="113">
        <v>8</v>
      </c>
      <c r="BJ4" s="113">
        <v>9</v>
      </c>
      <c r="BK4" s="113">
        <v>10</v>
      </c>
      <c r="BL4" s="113">
        <v>11</v>
      </c>
      <c r="BM4" s="113">
        <v>12</v>
      </c>
      <c r="BN4" s="317"/>
      <c r="BP4" s="410">
        <f>BA3</f>
        <v>1386</v>
      </c>
      <c r="BQ4" s="728">
        <f t="shared" ref="BQ4:BS5" si="16">BP4</f>
        <v>1386</v>
      </c>
      <c r="BR4" s="752">
        <f t="shared" si="16"/>
        <v>1386</v>
      </c>
      <c r="BS4" s="752">
        <f t="shared" si="16"/>
        <v>1386</v>
      </c>
      <c r="BT4" s="729" t="s">
        <v>3</v>
      </c>
      <c r="BU4" s="730">
        <f>BR4</f>
        <v>1386</v>
      </c>
      <c r="BV4" s="112" t="s">
        <v>4</v>
      </c>
      <c r="BW4" s="317">
        <f>BP5</f>
        <v>1</v>
      </c>
      <c r="BX4" s="112" t="s">
        <v>4</v>
      </c>
      <c r="BY4" s="317">
        <f>BW4</f>
        <v>1</v>
      </c>
      <c r="CA4" s="787" t="s">
        <v>4</v>
      </c>
      <c r="CB4" s="242">
        <f>BP5</f>
        <v>1</v>
      </c>
      <c r="CC4" s="242"/>
      <c r="CD4" s="242"/>
      <c r="CE4" s="242"/>
      <c r="CF4" s="788"/>
      <c r="CG4" s="490" t="s">
        <v>4</v>
      </c>
      <c r="CH4" s="309">
        <v>1</v>
      </c>
      <c r="CI4" s="309"/>
      <c r="CJ4" s="309"/>
      <c r="CK4" s="309"/>
      <c r="CL4" s="774"/>
      <c r="CO4" s="759" t="s">
        <v>4</v>
      </c>
      <c r="CP4" s="759">
        <v>8</v>
      </c>
      <c r="CQ4" s="759"/>
      <c r="CR4" s="759"/>
      <c r="CS4" s="759"/>
      <c r="CT4" s="759"/>
      <c r="CU4" s="759"/>
      <c r="CV4" s="787" t="s">
        <v>4</v>
      </c>
      <c r="CW4" s="242">
        <f>CP4</f>
        <v>8</v>
      </c>
      <c r="CX4" s="242"/>
      <c r="CY4" s="242"/>
      <c r="CZ4" s="242"/>
      <c r="DA4" s="788"/>
      <c r="DC4" s="906"/>
      <c r="DD4" s="114">
        <f>DD3-1</f>
        <v>0</v>
      </c>
      <c r="DE4" s="115">
        <f>(DE3-1)*354</f>
        <v>-3894</v>
      </c>
      <c r="DG4" s="797" t="s">
        <v>3499</v>
      </c>
      <c r="DI4" s="971" t="e">
        <f>[1]!qsn([1]!ml([1]!taqsha(1,1,[1]!roz(DI1+1,0,0,0),DI2)),DI3)/30</f>
        <v>#VALUE!</v>
      </c>
      <c r="DJ4" s="971" t="e">
        <f>[1]!qsn([1]!ml([1]!taqsha(1,1,[1]!roz(DJ1+1,0,0,0),DJ2)),DJ3)/30</f>
        <v>#VALUE!</v>
      </c>
      <c r="DK4" s="969" t="e">
        <f>[1]!qsn([1]!ml([1]!taqsha(1,1,[1]!roz(DK1+1,0,0,0),DK2)),DK3)/30</f>
        <v>#VALUE!</v>
      </c>
      <c r="DL4" s="969" t="e">
        <f>[1]!qsn([1]!ml([1]!taqsha(1,1,[1]!roz(DL1+1,0,0,0),DL2)),DL3)/30</f>
        <v>#VALUE!</v>
      </c>
      <c r="DM4" s="969" t="e">
        <f>[1]!qsn([1]!ml([1]!taqsha(1,1,[1]!roz(DM1+1,0,0,0),DM2)),DM3)/30</f>
        <v>#VALUE!</v>
      </c>
      <c r="DN4" s="969" t="e">
        <f>[1]!qsn([1]!ml([1]!taqsha(1,1,[1]!roz(DN1+1,0,0,0),DN2)),DN3)/30</f>
        <v>#VALUE!</v>
      </c>
      <c r="DO4" s="969" t="e">
        <f>[1]!qsn([1]!ml([1]!taqsha(1,1,[1]!roz(DO1+1,0,0,0),DO2)),DO3)/30</f>
        <v>#VALUE!</v>
      </c>
      <c r="DP4" s="969" t="e">
        <f>[1]!qsn([1]!ml([1]!taqsha(1,1,[1]!roz(DP1+1,0,0,0),DP2)),DP3)/30</f>
        <v>#VALUE!</v>
      </c>
      <c r="DQ4" s="969" t="e">
        <f>[1]!qsn([1]!ml([1]!taqsha(1,1,[1]!roz(DQ1+1,0,0,0),DQ2)),DQ3)/30</f>
        <v>#VALUE!</v>
      </c>
      <c r="DR4" s="969" t="e">
        <f>[1]!qsn([1]!ml([1]!taqsha(1,1,[1]!roz(DR1+1,0,0,0),DR2)),DR3)/30</f>
        <v>#VALUE!</v>
      </c>
      <c r="DS4" s="969" t="e">
        <f>[1]!qsn([1]!ml([1]!taqsha(1,1,[1]!roz(DS1+1,0,0,0),DS2)),DS3)/30</f>
        <v>#VALUE!</v>
      </c>
      <c r="DT4" s="969" t="e">
        <f>[1]!qsn([1]!ml([1]!taqsha(1,1,[1]!roz(DT1+1,0,0,0),DT2)),DT3)/30</f>
        <v>#VALUE!</v>
      </c>
      <c r="DU4" s="969" t="e">
        <f>[1]!qsn([1]!ml([1]!taqsha(1,1,[1]!roz(DU1+1,0,0,0),DU2)),DU3)/30</f>
        <v>#VALUE!</v>
      </c>
      <c r="DV4" s="969" t="e">
        <f>[1]!qsn([1]!ml([1]!taqsha(1,1,[1]!roz(DV1+1,0,0,0),DV2)),DV3)/30</f>
        <v>#VALUE!</v>
      </c>
      <c r="DW4" s="969" t="e">
        <f>[1]!qsn([1]!ml([1]!taqsha(1,1,[1]!roz(DW1+1,0,0,0),DW2)),DW3)/30</f>
        <v>#VALUE!</v>
      </c>
      <c r="DX4" s="969" t="e">
        <f>[1]!qsn([1]!ml([1]!taqsha(1,1,[1]!roz(DX1+1,0,0,0),DX2)),DX3)/30</f>
        <v>#VALUE!</v>
      </c>
      <c r="DY4" s="969" t="e">
        <f>[1]!qsn([1]!ml([1]!taqsha(1,1,[1]!roz(DY1+1,0,0,0),DY2)),DY3)/30</f>
        <v>#VALUE!</v>
      </c>
      <c r="DZ4" s="969" t="e">
        <f>[1]!qsn([1]!ml([1]!taqsha(1,1,[1]!roz(DZ1+1,0,0,0),DZ2)),DZ3)/30</f>
        <v>#VALUE!</v>
      </c>
      <c r="EA4" s="969" t="e">
        <f>[1]!qsn([1]!ml([1]!taqsha(1,1,[1]!roz(EA1+1,0,0,0),EA2)),EA3)/30</f>
        <v>#VALUE!</v>
      </c>
      <c r="EB4" s="969" t="e">
        <f>[1]!qsn([1]!ml([1]!taqsha(1,1,[1]!roz(EB1+1,0,0,0),EB2)),EB3)/30</f>
        <v>#VALUE!</v>
      </c>
      <c r="EC4" s="969" t="e">
        <f>[1]!qsn([1]!ml([1]!taqsha(1,1,[1]!roz(EC1+1,0,0,0),EC2)),EC3)/30</f>
        <v>#VALUE!</v>
      </c>
      <c r="ED4" s="969" t="e">
        <f>[1]!qsn([1]!ml([1]!taqsha(1,1,[1]!roz(ED1+1,0,0,0),ED2)),ED3)/30</f>
        <v>#VALUE!</v>
      </c>
      <c r="EE4" s="969" t="e">
        <f>[1]!qsn([1]!ml([1]!taqsha(1,1,[1]!roz(EE1+1,0,0,0),EE2)),EE3)/30</f>
        <v>#VALUE!</v>
      </c>
      <c r="EF4" s="969" t="e">
        <f>[1]!qsn([1]!ml([1]!taqsha(1,1,[1]!roz(EF1+1,0,0,0),EF2)),EF3)/30</f>
        <v>#VALUE!</v>
      </c>
      <c r="EG4" s="969" t="e">
        <f>[1]!qsn([1]!ml([1]!taqsha(1,1,[1]!roz(EG1+1,0,0,0),EG2)),EG3)/30</f>
        <v>#VALUE!</v>
      </c>
      <c r="EH4" s="969" t="e">
        <f>[1]!qsn([1]!ml([1]!taqsha(1,1,[1]!roz(EH1+1,0,0,0),EH2)),EH3)/30</f>
        <v>#VALUE!</v>
      </c>
      <c r="EI4" s="969" t="e">
        <f>[1]!qsn([1]!ml([1]!taqsha(1,1,[1]!roz(EI1+1,0,0,0),EI2)),EI3)/30</f>
        <v>#VALUE!</v>
      </c>
      <c r="EJ4" s="969" t="e">
        <f>[1]!qsn([1]!ml([1]!taqsha(1,1,[1]!roz(EJ1+1,0,0,0),EJ2)),EJ3)/30</f>
        <v>#VALUE!</v>
      </c>
      <c r="EK4" s="969" t="e">
        <f>[1]!qsn([1]!ml([1]!taqsha(1,1,[1]!roz(EK1+1,0,0,0),EK2)),EK3)/30</f>
        <v>#VALUE!</v>
      </c>
      <c r="EL4" s="969" t="e">
        <f>[1]!qsn([1]!ml([1]!taqsha(1,1,[1]!roz(EL1+1,0,0,0),EL2)),EL3)/30</f>
        <v>#VALUE!</v>
      </c>
      <c r="EM4" s="969" t="e">
        <f>[1]!qsn([1]!ml([1]!taqsha(1,1,[1]!roz(EM1+1,0,0,0),EM2)),EM3)/30</f>
        <v>#VALUE!</v>
      </c>
      <c r="EN4" s="969" t="e">
        <f>[1]!qsn([1]!ml([1]!taqsha(1,1,[1]!roz(EN1+1,0,0,0),EN2)),EN3)/30</f>
        <v>#VALUE!</v>
      </c>
      <c r="EO4" s="969" t="e">
        <f>[1]!qsn([1]!ml([1]!taqsha(1,1,[1]!roz(EO1+1,0,0,0),EO2)),EO3)/30</f>
        <v>#VALUE!</v>
      </c>
      <c r="EP4" s="969" t="e">
        <f>[1]!qsn([1]!ml([1]!taqsha(1,1,[1]!roz(EP1+1,0,0,0),EP2)),EP3)/30</f>
        <v>#VALUE!</v>
      </c>
      <c r="EQ4" s="969" t="e">
        <f>[1]!qsn([1]!ml([1]!taqsha(1,1,[1]!roz(EQ1+1,0,0,0),EQ2)),EQ3)/30</f>
        <v>#VALUE!</v>
      </c>
      <c r="ER4" s="969" t="e">
        <f>[1]!qsn([1]!ml([1]!taqsha(1,1,[1]!roz(ER1+1,0,0,0),ER2)),ER3)/30</f>
        <v>#VALUE!</v>
      </c>
      <c r="ES4" s="969" t="e">
        <f>[1]!qsn([1]!ml([1]!taqsha(1,1,[1]!roz(ES1+1,0,0,0),ES2)),ES3)/30</f>
        <v>#VALUE!</v>
      </c>
      <c r="ET4" s="969" t="e">
        <f>[1]!qsn([1]!ml([1]!taqsha(1,1,[1]!roz(ET1+1,0,0,0),ET2)),ET3)/30</f>
        <v>#VALUE!</v>
      </c>
      <c r="EU4" s="969" t="e">
        <f>[1]!qsn([1]!ml([1]!taqsha(1,1,[1]!roz(EU1+1,0,0,0),EU2)),EU3)/30</f>
        <v>#VALUE!</v>
      </c>
      <c r="EV4" s="969" t="e">
        <f>[1]!qsn([1]!ml([1]!taqsha(1,1,[1]!roz(EV1+1,0,0,0),EV2)),EV3)/30</f>
        <v>#VALUE!</v>
      </c>
      <c r="EW4" s="969" t="e">
        <f>[1]!qsn([1]!ml([1]!taqsha(1,1,[1]!roz(EW1+1,0,0,0),EW2)),EW3)/30</f>
        <v>#VALUE!</v>
      </c>
      <c r="EX4" s="969" t="e">
        <f>[1]!qsn([1]!ml([1]!taqsha(1,1,[1]!roz(EX1+1,0,0,0),EX2)),EX3)/30</f>
        <v>#VALUE!</v>
      </c>
      <c r="EY4" s="969" t="e">
        <f>[1]!qsn([1]!ml([1]!taqsha(1,1,[1]!roz(EY1+1,0,0,0),EY2)),EY3)/30</f>
        <v>#VALUE!</v>
      </c>
      <c r="EZ4" s="969" t="e">
        <f>[1]!qsn([1]!ml([1]!taqsha(1,1,[1]!roz(EZ1+1,0,0,0),EZ2)),EZ3)/30</f>
        <v>#VALUE!</v>
      </c>
      <c r="FA4" s="969" t="e">
        <f>[1]!qsn([1]!ml([1]!taqsha(1,1,[1]!roz(FA1+1,0,0,0),FA2)),FA3)/30</f>
        <v>#VALUE!</v>
      </c>
      <c r="FB4" s="969" t="e">
        <f>[1]!qsn([1]!ml([1]!taqsha(1,1,[1]!roz(FB1+1,0,0,0),FB2)),FB3)/30</f>
        <v>#VALUE!</v>
      </c>
      <c r="FC4" s="969" t="e">
        <f>[1]!qsn([1]!ml([1]!taqsha(1,1,[1]!roz(FC1+1,0,0,0),FC2)),FC3)/30</f>
        <v>#VALUE!</v>
      </c>
      <c r="FD4" s="969" t="e">
        <f>[1]!qsn([1]!ml([1]!taqsha(1,1,[1]!roz(FD1+1,0,0,0),FD2)),FD3)/30</f>
        <v>#VALUE!</v>
      </c>
      <c r="FE4" s="969" t="e">
        <f>[1]!qsn([1]!ml([1]!taqsha(1,1,[1]!roz(FE1+1,0,0,0),FE2)),FE3)/30</f>
        <v>#VALUE!</v>
      </c>
      <c r="FF4" s="969" t="e">
        <f>[1]!qsn([1]!ml([1]!taqsha(1,1,[1]!roz(FF1+1,0,0,0),FF2)),FF3)/30</f>
        <v>#VALUE!</v>
      </c>
      <c r="FG4" s="969" t="e">
        <f>[1]!qsn([1]!ml([1]!taqsha(1,1,[1]!roz(FG1+1,0,0,0),FG2)),FG3)/30</f>
        <v>#VALUE!</v>
      </c>
      <c r="FH4" s="969" t="e">
        <f>[1]!qsn([1]!ml([1]!taqsha(1,1,[1]!roz(FH1+1,0,0,0),FH2)),FH3)/30</f>
        <v>#VALUE!</v>
      </c>
      <c r="FI4" s="969" t="e">
        <f>[1]!qsn([1]!ml([1]!taqsha(1,1,[1]!roz(FI1+1,0,0,0),FI2)),FI3)/30</f>
        <v>#VALUE!</v>
      </c>
      <c r="FJ4" s="969" t="e">
        <f>[1]!qsn([1]!ml([1]!taqsha(1,1,[1]!roz(FJ1+1,0,0,0),FJ2)),FJ3)/30</f>
        <v>#VALUE!</v>
      </c>
      <c r="FK4" s="969" t="e">
        <f>[1]!qsn([1]!ml([1]!taqsha(1,1,[1]!roz(FK1+1,0,0,0),FK2)),FK3)/30</f>
        <v>#VALUE!</v>
      </c>
      <c r="FL4" s="969" t="e">
        <f>[1]!qsn([1]!ml([1]!taqsha(1,1,[1]!roz(FL1+1,0,0,0),FL2)),FL3)/30</f>
        <v>#VALUE!</v>
      </c>
      <c r="FM4" s="969" t="e">
        <f>[1]!qsn([1]!ml([1]!taqsha(1,1,[1]!roz(FM1+1,0,0,0),FM2)),FM3)/30</f>
        <v>#VALUE!</v>
      </c>
      <c r="FN4" s="969" t="e">
        <f>[1]!qsn([1]!ml([1]!taqsha(1,1,[1]!roz(FN1+1,0,0,0),FN2)),FN3)/30</f>
        <v>#VALUE!</v>
      </c>
      <c r="FO4" s="969" t="e">
        <f>[1]!qsn([1]!ml([1]!taqsha(1,1,[1]!roz(FO1+1,0,0,0),FO2)),FO3)/30</f>
        <v>#VALUE!</v>
      </c>
      <c r="FP4" s="969" t="e">
        <f>[1]!qsn([1]!ml([1]!taqsha(1,1,[1]!roz(FP1+1,0,0,0),FP2)),FP3)/30</f>
        <v>#VALUE!</v>
      </c>
      <c r="FQ4" s="969" t="e">
        <f>[1]!qsn([1]!ml([1]!taqsha(1,1,[1]!roz(FQ1+1,0,0,0),FQ2)),FQ3)/30</f>
        <v>#VALUE!</v>
      </c>
      <c r="FR4" s="969" t="e">
        <f>[1]!qsn([1]!ml([1]!taqsha(1,1,[1]!roz(FR1+1,0,0,0),FR2)),FR3)/30</f>
        <v>#VALUE!</v>
      </c>
      <c r="FS4" s="969" t="e">
        <f>[1]!qsn([1]!ml([1]!taqsha(1,1,[1]!roz(FS1+1,0,0,0),FS2)),FS3)/30</f>
        <v>#VALUE!</v>
      </c>
      <c r="FT4" s="969" t="e">
        <f>[1]!qsn([1]!ml([1]!taqsha(1,1,[1]!roz(FT1+1,0,0,0),FT2)),FT3)/30</f>
        <v>#VALUE!</v>
      </c>
      <c r="FU4" s="969" t="e">
        <f>[1]!qsn([1]!ml([1]!taqsha(1,1,[1]!roz(FU1+1,0,0,0),FU2)),FU3)/30</f>
        <v>#VALUE!</v>
      </c>
      <c r="FV4" s="969" t="e">
        <f>[1]!qsn([1]!ml([1]!taqsha(1,1,[1]!roz(FV1+1,0,0,0),FV2)),FV3)/30</f>
        <v>#VALUE!</v>
      </c>
      <c r="FW4" s="969" t="e">
        <f>[1]!qsn([1]!ml([1]!taqsha(1,1,[1]!roz(FW1+1,0,0,0),FW2)),FW3)/30</f>
        <v>#VALUE!</v>
      </c>
      <c r="FX4" s="969" t="e">
        <f>[1]!qsn([1]!ml([1]!taqsha(1,1,[1]!roz(FX1+1,0,0,0),FX2)),FX3)/30</f>
        <v>#VALUE!</v>
      </c>
      <c r="FY4" s="969" t="e">
        <f>[1]!qsn([1]!ml([1]!taqsha(1,1,[1]!roz(FY1+1,0,0,0),FY2)),FY3)/30</f>
        <v>#VALUE!</v>
      </c>
      <c r="FZ4" s="969" t="e">
        <f>[1]!qsn([1]!ml([1]!taqsha(1,1,[1]!roz(FZ1+1,0,0,0),FZ2)),FZ3)/30</f>
        <v>#VALUE!</v>
      </c>
      <c r="GA4" s="969" t="e">
        <f>[1]!qsn([1]!ml([1]!taqsha(1,1,[1]!roz(GA1+1,0,0,0),GA2)),GA3)/30</f>
        <v>#VALUE!</v>
      </c>
      <c r="GB4" s="969" t="e">
        <f>[1]!qsn([1]!ml([1]!taqsha(1,1,[1]!roz(GB1+1,0,0,0),GB2)),GB3)/30</f>
        <v>#VALUE!</v>
      </c>
      <c r="GC4" s="969" t="e">
        <f>[1]!qsn([1]!ml([1]!taqsha(1,1,[1]!roz(GC1+1,0,0,0),GC2)),GC3)/30</f>
        <v>#VALUE!</v>
      </c>
      <c r="GD4" s="969" t="e">
        <f>[1]!qsn([1]!ml([1]!taqsha(1,1,[1]!roz(GD1+1,0,0,0),GD2)),GD3)/30</f>
        <v>#VALUE!</v>
      </c>
      <c r="GE4" s="969" t="e">
        <f>[1]!qsn([1]!ml([1]!taqsha(1,1,[1]!roz(GE1+1,0,0,0),GE2)),GE3)/30</f>
        <v>#VALUE!</v>
      </c>
      <c r="GF4" s="969" t="e">
        <f>[1]!qsn([1]!ml([1]!taqsha(1,1,[1]!roz(GF1+1,0,0,0),GF2)),GF3)/30</f>
        <v>#VALUE!</v>
      </c>
      <c r="GG4" s="969" t="e">
        <f>[1]!qsn([1]!ml([1]!taqsha(1,1,[1]!roz(GG1+1,0,0,0),GG2)),GG3)/30</f>
        <v>#VALUE!</v>
      </c>
      <c r="GH4" s="969" t="e">
        <f>[1]!qsn([1]!ml([1]!taqsha(1,1,[1]!roz(GH1+1,0,0,0),GH2)),GH3)/30</f>
        <v>#VALUE!</v>
      </c>
      <c r="GI4" s="969" t="e">
        <f>[1]!qsn([1]!ml([1]!taqsha(1,1,[1]!roz(GI1+1,0,0,0),GI2)),GI3)/30</f>
        <v>#VALUE!</v>
      </c>
      <c r="GJ4" s="969" t="e">
        <f>[1]!qsn([1]!ml([1]!taqsha(1,1,[1]!roz(GJ1+1,0,0,0),GJ2)),GJ3)/30</f>
        <v>#VALUE!</v>
      </c>
      <c r="GK4" s="969" t="e">
        <f>[1]!qsn([1]!ml([1]!taqsha(1,1,[1]!roz(GK1+1,0,0,0),GK2)),GK3)/30</f>
        <v>#VALUE!</v>
      </c>
      <c r="GL4" s="969" t="e">
        <f>[1]!qsn([1]!ml([1]!taqsha(1,1,[1]!roz(GL1+1,0,0,0),GL2)),GL3)/30</f>
        <v>#VALUE!</v>
      </c>
      <c r="GM4" s="969" t="e">
        <f>[1]!qsn([1]!ml([1]!taqsha(1,1,[1]!roz(GM1+1,0,0,0),GM2)),GM3)/30</f>
        <v>#VALUE!</v>
      </c>
      <c r="GN4" s="969" t="e">
        <f>[1]!qsn([1]!ml([1]!taqsha(1,1,[1]!roz(GN1+1,0,0,0),GN2)),GN3)/30</f>
        <v>#VALUE!</v>
      </c>
      <c r="GO4" s="969" t="e">
        <f>[1]!qsn([1]!ml([1]!taqsha(1,1,[1]!roz(GO1+1,0,0,0),GO2)),GO3)/30</f>
        <v>#VALUE!</v>
      </c>
      <c r="GP4" s="969" t="e">
        <f>[1]!qsn([1]!ml([1]!taqsha(1,1,[1]!roz(GP1+1,0,0,0),GP2)),GP3)/30</f>
        <v>#VALUE!</v>
      </c>
      <c r="GQ4" s="969" t="e">
        <f>[1]!qsn([1]!ml([1]!taqsha(1,1,[1]!roz(GQ1+1,0,0,0),GQ2)),GQ3)/30</f>
        <v>#VALUE!</v>
      </c>
      <c r="GR4" s="969" t="e">
        <f>[1]!qsn([1]!ml([1]!taqsha(1,1,[1]!roz(GR1+1,0,0,0),GR2)),GR3)/30</f>
        <v>#VALUE!</v>
      </c>
      <c r="GS4" s="969" t="e">
        <f>[1]!qsn([1]!ml([1]!taqsha(1,1,[1]!roz(GS1+1,0,0,0),GS2)),GS3)/30</f>
        <v>#VALUE!</v>
      </c>
      <c r="GT4" s="969" t="e">
        <f>[1]!qsn([1]!ml([1]!taqsha(1,1,[1]!roz(GT1+1,0,0,0),GT2)),GT3)/30</f>
        <v>#VALUE!</v>
      </c>
      <c r="GU4" s="969" t="e">
        <f>[1]!qsn([1]!ml([1]!taqsha(1,1,[1]!roz(GU1+1,0,0,0),GU2)),GU3)/30</f>
        <v>#VALUE!</v>
      </c>
      <c r="GV4" s="969" t="e">
        <f>[1]!qsn([1]!ml([1]!taqsha(1,1,[1]!roz(GV1+1,0,0,0),GV2)),GV3)/30</f>
        <v>#VALUE!</v>
      </c>
      <c r="GW4" s="969" t="e">
        <f>[1]!qsn([1]!ml([1]!taqsha(1,1,[1]!roz(GW1+1,0,0,0),GW2)),GW3)/30</f>
        <v>#VALUE!</v>
      </c>
      <c r="GX4" s="969" t="e">
        <f>[1]!qsn([1]!ml([1]!taqsha(1,1,[1]!roz(GX1+1,0,0,0),GX2)),GX3)/30</f>
        <v>#VALUE!</v>
      </c>
      <c r="GY4" s="969" t="e">
        <f>[1]!qsn([1]!ml([1]!taqsha(1,1,[1]!roz(GY1+1,0,0,0),GY2)),GY3)/30</f>
        <v>#VALUE!</v>
      </c>
      <c r="GZ4" s="969" t="e">
        <f>[1]!qsn([1]!ml([1]!taqsha(1,1,[1]!roz(GZ1+1,0,0,0),GZ2)),GZ3)/30</f>
        <v>#VALUE!</v>
      </c>
      <c r="HA4" s="969" t="e">
        <f>[1]!qsn([1]!ml([1]!taqsha(1,1,[1]!roz(HA1+1,0,0,0),HA2)),HA3)/30</f>
        <v>#VALUE!</v>
      </c>
      <c r="HB4" s="969" t="e">
        <f>[1]!qsn([1]!ml([1]!taqsha(1,1,[1]!roz(HB1+1,0,0,0),HB2)),HB3)/30</f>
        <v>#VALUE!</v>
      </c>
      <c r="HC4" s="969" t="e">
        <f>[1]!qsn([1]!ml([1]!taqsha(1,1,[1]!roz(HC1+1,0,0,0),HC2)),HC3)/30</f>
        <v>#VALUE!</v>
      </c>
      <c r="HD4" s="969" t="e">
        <f>[1]!qsn([1]!ml([1]!taqsha(1,1,[1]!roz(HD1+1,0,0,0),HD2)),HD3)/30</f>
        <v>#VALUE!</v>
      </c>
      <c r="HE4" s="969" t="e">
        <f>[1]!qsn([1]!ml([1]!taqsha(1,1,[1]!roz(HE1+1,0,0,0),HE2)),HE3)/30</f>
        <v>#VALUE!</v>
      </c>
      <c r="HF4" s="969" t="e">
        <f>[1]!qsn([1]!ml([1]!taqsha(1,1,[1]!roz(HF1+1,0,0,0),HF2)),HF3)/30</f>
        <v>#VALUE!</v>
      </c>
      <c r="HG4" s="969" t="e">
        <f>[1]!qsn([1]!ml([1]!taqsha(1,1,[1]!roz(HG1+1,0,0,0),HG2)),HG3)/30</f>
        <v>#VALUE!</v>
      </c>
      <c r="HH4" s="969" t="e">
        <f>[1]!qsn([1]!ml([1]!taqsha(1,1,[1]!roz(HH1+1,0,0,0),HH2)),HH3)/30</f>
        <v>#VALUE!</v>
      </c>
      <c r="HI4" s="969" t="e">
        <f>[1]!qsn([1]!ml([1]!taqsha(1,1,[1]!roz(HI1+1,0,0,0),HI2)),HI3)/30</f>
        <v>#VALUE!</v>
      </c>
      <c r="HJ4" s="969" t="e">
        <f>[1]!qsn([1]!ml([1]!taqsha(1,1,[1]!roz(HJ1+1,0,0,0),HJ2)),HJ3)/30</f>
        <v>#VALUE!</v>
      </c>
      <c r="HK4" s="969" t="e">
        <f>[1]!qsn([1]!ml([1]!taqsha(1,1,[1]!roz(HK1+1,0,0,0),HK2)),HK3)/30</f>
        <v>#VALUE!</v>
      </c>
      <c r="HL4" s="969" t="e">
        <f>[1]!qsn([1]!ml([1]!taqsha(1,1,[1]!roz(HL1+1,0,0,0),HL2)),HL3)/30</f>
        <v>#VALUE!</v>
      </c>
      <c r="HM4" s="969" t="e">
        <f>[1]!qsn([1]!ml([1]!taqsha(1,1,[1]!roz(HM1+1,0,0,0),HM2)),HM3)/30</f>
        <v>#VALUE!</v>
      </c>
      <c r="HN4" s="969" t="e">
        <f>[1]!qsn([1]!ml([1]!taqsha(1,1,[1]!roz(HN1+1,0,0,0),HN2)),HN3)/30</f>
        <v>#VALUE!</v>
      </c>
      <c r="HO4" s="969" t="e">
        <f>[1]!qsn([1]!ml([1]!taqsha(1,1,[1]!roz(HO1+1,0,0,0),HO2)),HO3)/30</f>
        <v>#VALUE!</v>
      </c>
      <c r="HP4" s="969" t="e">
        <f>[1]!qsn([1]!ml([1]!taqsha(1,1,[1]!roz(HP1+1,0,0,0),HP2)),HP3)/30</f>
        <v>#VALUE!</v>
      </c>
      <c r="HQ4" s="969" t="e">
        <f>[1]!qsn([1]!ml([1]!taqsha(1,1,[1]!roz(HQ1+1,0,0,0),HQ2)),HQ3)/30</f>
        <v>#VALUE!</v>
      </c>
      <c r="HR4" s="969" t="e">
        <f>[1]!qsn([1]!ml([1]!taqsha(1,1,[1]!roz(HR1+1,0,0,0),HR2)),HR3)/30</f>
        <v>#VALUE!</v>
      </c>
      <c r="HS4" s="969" t="e">
        <f>[1]!qsn([1]!ml([1]!taqsha(1,1,[1]!roz(HS1+1,0,0,0),HS2)),HS3)/30</f>
        <v>#VALUE!</v>
      </c>
      <c r="HT4" s="969" t="e">
        <f>[1]!qsn([1]!ml([1]!taqsha(1,1,[1]!roz(HT1+1,0,0,0),HT2)),HT3)/30</f>
        <v>#VALUE!</v>
      </c>
      <c r="HU4" s="969" t="e">
        <f>[1]!qsn([1]!ml([1]!taqsha(1,1,[1]!roz(HU1+1,0,0,0),HU2)),HU3)/30</f>
        <v>#VALUE!</v>
      </c>
      <c r="HV4" s="969" t="e">
        <f>[1]!qsn([1]!ml([1]!taqsha(1,1,[1]!roz(HV1+1,0,0,0),HV2)),HV3)/30</f>
        <v>#VALUE!</v>
      </c>
      <c r="HW4" s="969" t="e">
        <f>[1]!qsn([1]!ml([1]!taqsha(1,1,[1]!roz(HW1+1,0,0,0),HW2)),HW3)/30</f>
        <v>#VALUE!</v>
      </c>
      <c r="HX4" s="969" t="e">
        <f>[1]!qsn([1]!ml([1]!taqsha(1,1,[1]!roz(HX1+1,0,0,0),HX2)),HX3)/30</f>
        <v>#VALUE!</v>
      </c>
      <c r="HY4" s="969" t="e">
        <f>[1]!qsn([1]!ml([1]!taqsha(1,1,[1]!roz(HY1+1,0,0,0),HY2)),HY3)/30</f>
        <v>#VALUE!</v>
      </c>
      <c r="HZ4" s="969" t="e">
        <f>[1]!qsn([1]!ml([1]!taqsha(1,1,[1]!roz(HZ1+1,0,0,0),HZ2)),HZ3)/30</f>
        <v>#VALUE!</v>
      </c>
      <c r="IA4" s="969" t="e">
        <f>[1]!qsn([1]!ml([1]!taqsha(1,1,[1]!roz(IA1+1,0,0,0),IA2)),IA3)/30</f>
        <v>#VALUE!</v>
      </c>
      <c r="IB4" s="969" t="e">
        <f>[1]!qsn([1]!ml([1]!taqsha(1,1,[1]!roz(IB1+1,0,0,0),IB2)),IB3)/30</f>
        <v>#VALUE!</v>
      </c>
      <c r="IC4" s="969" t="e">
        <f>[1]!qsn([1]!ml([1]!taqsha(1,1,[1]!roz(IC1+1,0,0,0),IC2)),IC3)/30</f>
        <v>#VALUE!</v>
      </c>
      <c r="ID4" s="969" t="e">
        <f>[1]!qsn([1]!ml([1]!taqsha(1,1,[1]!roz(ID1+1,0,0,0),ID2)),ID3)/30</f>
        <v>#VALUE!</v>
      </c>
      <c r="IE4" s="969" t="e">
        <f>[1]!qsn([1]!ml([1]!taqsha(1,1,[1]!roz(IE1+1,0,0,0),IE2)),IE3)/30</f>
        <v>#VALUE!</v>
      </c>
      <c r="IF4" s="969" t="e">
        <f>[1]!qsn([1]!ml([1]!taqsha(1,1,[1]!roz(IF1+1,0,0,0),IF2)),IF3)/30</f>
        <v>#VALUE!</v>
      </c>
      <c r="IG4" s="969" t="e">
        <f>[1]!qsn([1]!ml([1]!taqsha(1,1,[1]!roz(IG1+1,0,0,0),IG2)),IG3)/30</f>
        <v>#VALUE!</v>
      </c>
      <c r="IH4" s="969" t="e">
        <f>[1]!qsn([1]!ml([1]!taqsha(1,1,[1]!roz(IH1+1,0,0,0),IH2)),IH3)/30</f>
        <v>#VALUE!</v>
      </c>
      <c r="II4" s="969" t="e">
        <f>[1]!qsn([1]!ml([1]!taqsha(1,1,[1]!roz(II1+1,0,0,0),II2)),II3)/30</f>
        <v>#VALUE!</v>
      </c>
      <c r="IJ4" s="969" t="e">
        <f>[1]!qsn([1]!ml([1]!taqsha(1,1,[1]!roz(IJ1+1,0,0,0),IJ2)),IJ3)/30</f>
        <v>#VALUE!</v>
      </c>
      <c r="IK4" s="969" t="e">
        <f>[1]!qsn([1]!ml([1]!taqsha(1,1,[1]!roz(IK1+1,0,0,0),IK2)),IK3)/30</f>
        <v>#VALUE!</v>
      </c>
      <c r="IL4" s="969" t="e">
        <f>[1]!qsn([1]!ml([1]!taqsha(1,1,[1]!roz(IL1+1,0,0,0),IL2)),IL3)/30</f>
        <v>#VALUE!</v>
      </c>
      <c r="IM4" s="969" t="e">
        <f>[1]!qsn([1]!ml([1]!taqsha(1,1,[1]!roz(IM1+1,0,0,0),IM2)),IM3)/30</f>
        <v>#VALUE!</v>
      </c>
      <c r="IN4" s="969" t="e">
        <f>[1]!qsn([1]!ml([1]!taqsha(1,1,[1]!roz(IN1+1,0,0,0),IN2)),IN3)/30</f>
        <v>#VALUE!</v>
      </c>
      <c r="IO4" s="969" t="e">
        <f>[1]!qsn([1]!ml([1]!taqsha(1,1,[1]!roz(IO1+1,0,0,0),IO2)),IO3)/30</f>
        <v>#VALUE!</v>
      </c>
      <c r="IP4" s="969" t="e">
        <f>[1]!qsn([1]!ml([1]!taqsha(1,1,[1]!roz(IP1+1,0,0,0),IP2)),IP3)/30</f>
        <v>#VALUE!</v>
      </c>
      <c r="IQ4" s="969" t="e">
        <f>[1]!qsn([1]!ml([1]!taqsha(1,1,[1]!roz(IQ1+1,0,0,0),IQ2)),IQ3)/30</f>
        <v>#VALUE!</v>
      </c>
      <c r="IR4" s="969" t="e">
        <f>[1]!qsn([1]!ml([1]!taqsha(1,1,[1]!roz(IR1+1,0,0,0),IR2)),IR3)/30</f>
        <v>#VALUE!</v>
      </c>
      <c r="IS4" s="969" t="e">
        <f>[1]!qsn([1]!ml([1]!taqsha(1,1,[1]!roz(IS1+1,0,0,0),IS2)),IS3)/30</f>
        <v>#VALUE!</v>
      </c>
      <c r="IT4" s="969" t="e">
        <f>[1]!qsn([1]!ml([1]!taqsha(1,1,[1]!roz(IT1+1,0,0,0),IT2)),IT3)/30</f>
        <v>#VALUE!</v>
      </c>
      <c r="IU4" s="969" t="e">
        <f>[1]!qsn([1]!ml([1]!taqsha(1,1,[1]!roz(IU1+1,0,0,0),IU2)),IU3)/30</f>
        <v>#VALUE!</v>
      </c>
      <c r="IV4" s="969" t="e">
        <f>[1]!qsn([1]!ml([1]!taqsha(1,1,[1]!roz(IV1+1,0,0,0),IV2)),IV3)/30</f>
        <v>#VALUE!</v>
      </c>
      <c r="IW4" s="969" t="e">
        <f>[1]!qsn([1]!ml([1]!taqsha(1,1,[1]!roz(IW1+1,0,0,0),IW2)),IW3)/30</f>
        <v>#VALUE!</v>
      </c>
      <c r="IX4" s="969" t="e">
        <f>[1]!qsn([1]!ml([1]!taqsha(1,1,[1]!roz(IX1+1,0,0,0),IX2)),IX3)/30</f>
        <v>#VALUE!</v>
      </c>
      <c r="IY4" s="969" t="e">
        <f>[1]!qsn([1]!ml([1]!taqsha(1,1,[1]!roz(IY1+1,0,0,0),IY2)),IY3)/30</f>
        <v>#VALUE!</v>
      </c>
      <c r="IZ4" s="969" t="e">
        <f>[1]!qsn([1]!ml([1]!taqsha(1,1,[1]!roz(IZ1+1,0,0,0),IZ2)),IZ3)/30</f>
        <v>#VALUE!</v>
      </c>
      <c r="JA4" s="969" t="e">
        <f>[1]!qsn([1]!ml([1]!taqsha(1,1,[1]!roz(JA1+1,0,0,0),JA2)),JA3)/30</f>
        <v>#VALUE!</v>
      </c>
      <c r="JB4" s="969" t="e">
        <f>[1]!qsn([1]!ml([1]!taqsha(1,1,[1]!roz(JB1+1,0,0,0),JB2)),JB3)/30</f>
        <v>#VALUE!</v>
      </c>
      <c r="JC4" s="969" t="e">
        <f>[1]!qsn([1]!ml([1]!taqsha(1,1,[1]!roz(JC1+1,0,0,0),JC2)),JC3)/30</f>
        <v>#VALUE!</v>
      </c>
      <c r="JD4" s="969" t="e">
        <f>[1]!qsn([1]!ml([1]!taqsha(1,1,[1]!roz(JD1+1,0,0,0),JD2)),JD3)/30</f>
        <v>#VALUE!</v>
      </c>
      <c r="JE4" s="969" t="e">
        <f>[1]!qsn([1]!ml([1]!taqsha(1,1,[1]!roz(JE1+1,0,0,0),JE2)),JE3)/30</f>
        <v>#VALUE!</v>
      </c>
      <c r="JF4" s="969" t="e">
        <f>[1]!qsn([1]!ml([1]!taqsha(1,1,[1]!roz(JF1+1,0,0,0),JF2)),JF3)/30</f>
        <v>#VALUE!</v>
      </c>
      <c r="JG4" s="969" t="e">
        <f>[1]!qsn([1]!ml([1]!taqsha(1,1,[1]!roz(JG1+1,0,0,0),JG2)),JG3)/30</f>
        <v>#VALUE!</v>
      </c>
      <c r="JH4" s="969" t="e">
        <f>[1]!qsn([1]!ml([1]!taqsha(1,1,[1]!roz(JH1+1,0,0,0),JH2)),JH3)/30</f>
        <v>#VALUE!</v>
      </c>
      <c r="JI4" s="969" t="e">
        <f>[1]!qsn([1]!ml([1]!taqsha(1,1,[1]!roz(JI1+1,0,0,0),JI2)),JI3)/30</f>
        <v>#VALUE!</v>
      </c>
      <c r="JJ4" s="969" t="e">
        <f>[1]!qsn([1]!ml([1]!taqsha(1,1,[1]!roz(JJ1+1,0,0,0),JJ2)),JJ3)/30</f>
        <v>#VALUE!</v>
      </c>
      <c r="JK4" s="969" t="e">
        <f>[1]!qsn([1]!ml([1]!taqsha(1,1,[1]!roz(JK1+1,0,0,0),JK2)),JK3)/30</f>
        <v>#VALUE!</v>
      </c>
      <c r="JL4" s="969" t="e">
        <f>[1]!qsn([1]!ml([1]!taqsha(1,1,[1]!roz(JL1+1,0,0,0),JL2)),JL3)/30</f>
        <v>#VALUE!</v>
      </c>
      <c r="JM4" s="969" t="e">
        <f>[1]!qsn([1]!ml([1]!taqsha(1,1,[1]!roz(JM1+1,0,0,0),JM2)),JM3)/30</f>
        <v>#VALUE!</v>
      </c>
      <c r="JN4" s="969" t="e">
        <f>[1]!qsn([1]!ml([1]!taqsha(1,1,[1]!roz(JN1+1,0,0,0),JN2)),JN3)/30</f>
        <v>#VALUE!</v>
      </c>
      <c r="JO4" s="969" t="e">
        <f>[1]!qsn([1]!ml([1]!taqsha(1,1,[1]!roz(JO1+1,0,0,0),JO2)),JO3)/30</f>
        <v>#VALUE!</v>
      </c>
      <c r="JP4" s="969" t="e">
        <f>[1]!qsn([1]!ml([1]!taqsha(1,1,[1]!roz(JP1+1,0,0,0),JP2)),JP3)/30</f>
        <v>#VALUE!</v>
      </c>
      <c r="JQ4" s="969" t="e">
        <f>[1]!qsn([1]!ml([1]!taqsha(1,1,[1]!roz(JQ1+1,0,0,0),JQ2)),JQ3)/30</f>
        <v>#VALUE!</v>
      </c>
      <c r="JR4" s="969" t="e">
        <f>[1]!qsn([1]!ml([1]!taqsha(1,1,[1]!roz(JR1+1,0,0,0),JR2)),JR3)/30</f>
        <v>#VALUE!</v>
      </c>
      <c r="JS4" s="969" t="e">
        <f>[1]!qsn([1]!ml([1]!taqsha(1,1,[1]!roz(JS1+1,0,0,0),JS2)),JS3)/30</f>
        <v>#VALUE!</v>
      </c>
      <c r="JT4" s="969" t="e">
        <f>[1]!qsn([1]!ml([1]!taqsha(1,1,[1]!roz(JT1+1,0,0,0),JT2)),JT3)/30</f>
        <v>#VALUE!</v>
      </c>
      <c r="JU4" s="969" t="e">
        <f>[1]!qsn([1]!ml([1]!taqsha(1,1,[1]!roz(JU1+1,0,0,0),JU2)),JU3)/30</f>
        <v>#VALUE!</v>
      </c>
      <c r="JV4" s="969" t="e">
        <f>[1]!qsn([1]!ml([1]!taqsha(1,1,[1]!roz(JV1+1,0,0,0),JV2)),JV3)/30</f>
        <v>#VALUE!</v>
      </c>
      <c r="JW4" s="969" t="e">
        <f>[1]!qsn([1]!ml([1]!taqsha(1,1,[1]!roz(JW1+1,0,0,0),JW2)),JW3)/30</f>
        <v>#VALUE!</v>
      </c>
      <c r="JX4" s="969" t="e">
        <f>[1]!qsn([1]!ml([1]!taqsha(1,1,[1]!roz(JX1+1,0,0,0),JX2)),JX3)/30</f>
        <v>#VALUE!</v>
      </c>
      <c r="JY4" s="969" t="e">
        <f>[1]!qsn([1]!ml([1]!taqsha(1,1,[1]!roz(JY1+1,0,0,0),JY2)),JY3)/30</f>
        <v>#VALUE!</v>
      </c>
      <c r="JZ4" s="969" t="e">
        <f>[1]!qsn([1]!ml([1]!taqsha(1,1,[1]!roz(JZ1+1,0,0,0),JZ2)),JZ3)/30</f>
        <v>#VALUE!</v>
      </c>
      <c r="KA4" s="969" t="e">
        <f>[1]!qsn([1]!ml([1]!taqsha(1,1,[1]!roz(KA1+1,0,0,0),KA2)),KA3)/30</f>
        <v>#VALUE!</v>
      </c>
      <c r="KB4" s="969" t="e">
        <f>[1]!qsn([1]!ml([1]!taqsha(1,1,[1]!roz(KB1+1,0,0,0),KB2)),KB3)/30</f>
        <v>#VALUE!</v>
      </c>
      <c r="KC4" s="969" t="e">
        <f>[1]!qsn([1]!ml([1]!taqsha(1,1,[1]!roz(KC1+1,0,0,0),KC2)),KC3)/30</f>
        <v>#VALUE!</v>
      </c>
      <c r="KD4" s="969" t="e">
        <f>[1]!qsn([1]!ml([1]!taqsha(1,1,[1]!roz(KD1+1,0,0,0),KD2)),KD3)/30</f>
        <v>#VALUE!</v>
      </c>
      <c r="KE4" s="969" t="e">
        <f>[1]!qsn([1]!ml([1]!taqsha(1,1,[1]!roz(KE1+1,0,0,0),KE2)),KE3)/30</f>
        <v>#VALUE!</v>
      </c>
      <c r="KF4" s="969" t="e">
        <f>[1]!qsn([1]!ml([1]!taqsha(1,1,[1]!roz(KF1+1,0,0,0),KF2)),KF3)/30</f>
        <v>#VALUE!</v>
      </c>
      <c r="KG4" s="969" t="e">
        <f>[1]!qsn([1]!ml([1]!taqsha(1,1,[1]!roz(KG1+1,0,0,0),KG2)),KG3)/30</f>
        <v>#VALUE!</v>
      </c>
      <c r="KH4" s="969" t="e">
        <f>[1]!qsn([1]!ml([1]!taqsha(1,1,[1]!roz(KH1+1,0,0,0),KH2)),KH3)/30</f>
        <v>#VALUE!</v>
      </c>
      <c r="KI4" s="969" t="e">
        <f>[1]!qsn([1]!ml([1]!taqsha(1,1,[1]!roz(KI1+1,0,0,0),KI2)),KI3)/30</f>
        <v>#VALUE!</v>
      </c>
      <c r="KJ4" s="969" t="e">
        <f>[1]!qsn([1]!ml([1]!taqsha(1,1,[1]!roz(KJ1+1,0,0,0),KJ2)),KJ3)/30</f>
        <v>#VALUE!</v>
      </c>
      <c r="KK4" s="969" t="e">
        <f>[1]!qsn([1]!ml([1]!taqsha(1,1,[1]!roz(KK1+1,0,0,0),KK2)),KK3)/30</f>
        <v>#VALUE!</v>
      </c>
      <c r="KL4" s="969" t="e">
        <f>[1]!qsn([1]!ml([1]!taqsha(1,1,[1]!roz(KL1+1,0,0,0),KL2)),KL3)/30</f>
        <v>#VALUE!</v>
      </c>
      <c r="KM4" s="969" t="e">
        <f>[1]!qsn([1]!ml([1]!taqsha(1,1,[1]!roz(KM1+1,0,0,0),KM2)),KM3)/30</f>
        <v>#VALUE!</v>
      </c>
      <c r="KN4" s="969" t="e">
        <f>[1]!qsn([1]!ml([1]!taqsha(1,1,[1]!roz(KN1+1,0,0,0),KN2)),KN3)/30</f>
        <v>#VALUE!</v>
      </c>
      <c r="KO4" s="969" t="e">
        <f>[1]!qsn([1]!ml([1]!taqsha(1,1,[1]!roz(KO1+1,0,0,0),KO2)),KO3)/30</f>
        <v>#VALUE!</v>
      </c>
      <c r="KP4" s="969" t="e">
        <f>[1]!qsn([1]!ml([1]!taqsha(1,1,[1]!roz(KP1+1,0,0,0),KP2)),KP3)/30</f>
        <v>#VALUE!</v>
      </c>
      <c r="KQ4" s="969" t="e">
        <f>[1]!qsn([1]!ml([1]!taqsha(1,1,[1]!roz(KQ1+1,0,0,0),KQ2)),KQ3)/30</f>
        <v>#VALUE!</v>
      </c>
      <c r="KR4" s="969" t="e">
        <f>[1]!qsn([1]!ml([1]!taqsha(1,1,[1]!roz(KR1+1,0,0,0),KR2)),KR3)/30</f>
        <v>#VALUE!</v>
      </c>
      <c r="KS4" s="969" t="e">
        <f>[1]!qsn([1]!ml([1]!taqsha(1,1,[1]!roz(KS1+1,0,0,0),KS2)),KS3)/30</f>
        <v>#VALUE!</v>
      </c>
      <c r="KT4" s="969" t="e">
        <f>[1]!qsn([1]!ml([1]!taqsha(1,1,[1]!roz(KT1+1,0,0,0),KT2)),KT3)/30</f>
        <v>#VALUE!</v>
      </c>
      <c r="KU4" s="969" t="e">
        <f>[1]!qsn([1]!ml([1]!taqsha(1,1,[1]!roz(KU1+1,0,0,0),KU2)),KU3)/30</f>
        <v>#VALUE!</v>
      </c>
      <c r="KV4" s="969" t="e">
        <f>[1]!qsn([1]!ml([1]!taqsha(1,1,[1]!roz(KV1+1,0,0,0),KV2)),KV3)/30</f>
        <v>#VALUE!</v>
      </c>
      <c r="KW4" s="969" t="e">
        <f>[1]!qsn([1]!ml([1]!taqsha(1,1,[1]!roz(KW1+1,0,0,0),KW2)),KW3)/30</f>
        <v>#VALUE!</v>
      </c>
      <c r="KX4" s="969" t="e">
        <f>[1]!qsn([1]!ml([1]!taqsha(1,1,[1]!roz(KX1+1,0,0,0),KX2)),KX3)/30</f>
        <v>#VALUE!</v>
      </c>
      <c r="KY4" s="969" t="e">
        <f>[1]!qsn([1]!ml([1]!taqsha(1,1,[1]!roz(KY1+1,0,0,0),KY2)),KY3)/30</f>
        <v>#VALUE!</v>
      </c>
      <c r="KZ4" s="969" t="e">
        <f>[1]!qsn([1]!ml([1]!taqsha(1,1,[1]!roz(KZ1+1,0,0,0),KZ2)),KZ3)/30</f>
        <v>#VALUE!</v>
      </c>
      <c r="LA4" s="969" t="e">
        <f>[1]!qsn([1]!ml([1]!taqsha(1,1,[1]!roz(LA1+1,0,0,0),LA2)),LA3)/30</f>
        <v>#VALUE!</v>
      </c>
      <c r="LB4" s="969" t="e">
        <f>[1]!qsn([1]!ml([1]!taqsha(1,1,[1]!roz(LB1+1,0,0,0),LB2)),LB3)/30</f>
        <v>#VALUE!</v>
      </c>
      <c r="LC4" s="969" t="e">
        <f>[1]!qsn([1]!ml([1]!taqsha(1,1,[1]!roz(LC1+1,0,0,0),LC2)),LC3)/30</f>
        <v>#VALUE!</v>
      </c>
      <c r="LD4" s="969" t="e">
        <f>[1]!qsn([1]!ml([1]!taqsha(1,1,[1]!roz(LD1+1,0,0,0),LD2)),LD3)/30</f>
        <v>#VALUE!</v>
      </c>
      <c r="LE4" s="969" t="e">
        <f>[1]!qsn([1]!ml([1]!taqsha(1,1,[1]!roz(LE1+1,0,0,0),LE2)),LE3)/30</f>
        <v>#VALUE!</v>
      </c>
      <c r="LF4" s="969" t="e">
        <f>[1]!qsn([1]!ml([1]!taqsha(1,1,[1]!roz(LF1+1,0,0,0),LF2)),LF3)/30</f>
        <v>#VALUE!</v>
      </c>
      <c r="LG4" s="969" t="e">
        <f>[1]!qsn([1]!ml([1]!taqsha(1,1,[1]!roz(LG1+1,0,0,0),LG2)),LG3)/30</f>
        <v>#VALUE!</v>
      </c>
      <c r="LH4" s="969" t="e">
        <f>[1]!qsn([1]!ml([1]!taqsha(1,1,[1]!roz(LH1+1,0,0,0),LH2)),LH3)/30</f>
        <v>#VALUE!</v>
      </c>
      <c r="LI4" s="969" t="e">
        <f>[1]!qsn([1]!ml([1]!taqsha(1,1,[1]!roz(LI1+1,0,0,0),LI2)),LI3)/30</f>
        <v>#VALUE!</v>
      </c>
      <c r="LJ4" s="969" t="e">
        <f>[1]!qsn([1]!ml([1]!taqsha(1,1,[1]!roz(LJ1+1,0,0,0),LJ2)),LJ3)/30</f>
        <v>#VALUE!</v>
      </c>
      <c r="LK4" s="969" t="e">
        <f>[1]!qsn([1]!ml([1]!taqsha(1,1,[1]!roz(LK1+1,0,0,0),LK2)),LK3)/30</f>
        <v>#VALUE!</v>
      </c>
      <c r="LL4" s="969" t="e">
        <f>[1]!qsn([1]!ml([1]!taqsha(1,1,[1]!roz(LL1+1,0,0,0),LL2)),LL3)/30</f>
        <v>#VALUE!</v>
      </c>
      <c r="LM4" s="969" t="e">
        <f>[1]!qsn([1]!ml([1]!taqsha(1,1,[1]!roz(LM1+1,0,0,0),LM2)),LM3)/30</f>
        <v>#VALUE!</v>
      </c>
      <c r="LN4" s="969" t="e">
        <f>[1]!qsn([1]!ml([1]!taqsha(1,1,[1]!roz(LN1+1,0,0,0),LN2)),LN3)/30</f>
        <v>#VALUE!</v>
      </c>
      <c r="LO4" s="969" t="e">
        <f>[1]!qsn([1]!ml([1]!taqsha(1,1,[1]!roz(LO1+1,0,0,0),LO2)),LO3)/30</f>
        <v>#VALUE!</v>
      </c>
      <c r="LP4" s="969" t="e">
        <f>[1]!qsn([1]!ml([1]!taqsha(1,1,[1]!roz(LP1+1,0,0,0),LP2)),LP3)/30</f>
        <v>#VALUE!</v>
      </c>
      <c r="LQ4" s="969" t="e">
        <f>[1]!qsn([1]!ml([1]!taqsha(1,1,[1]!roz(LQ1+1,0,0,0),LQ2)),LQ3)/30</f>
        <v>#VALUE!</v>
      </c>
      <c r="LR4" s="969" t="e">
        <f>[1]!qsn([1]!ml([1]!taqsha(1,1,[1]!roz(LR1+1,0,0,0),LR2)),LR3)/30</f>
        <v>#VALUE!</v>
      </c>
      <c r="LS4" s="969" t="e">
        <f>[1]!qsn([1]!ml([1]!taqsha(1,1,[1]!roz(LS1+1,0,0,0),LS2)),LS3)/30</f>
        <v>#VALUE!</v>
      </c>
      <c r="LT4" s="969" t="e">
        <f>[1]!qsn([1]!ml([1]!taqsha(1,1,[1]!roz(LT1+1,0,0,0),LT2)),LT3)/30</f>
        <v>#VALUE!</v>
      </c>
      <c r="LU4" s="969" t="e">
        <f>[1]!qsn([1]!ml([1]!taqsha(1,1,[1]!roz(LU1+1,0,0,0),LU2)),LU3)/30</f>
        <v>#VALUE!</v>
      </c>
      <c r="LV4" s="969" t="e">
        <f>[1]!qsn([1]!ml([1]!taqsha(1,1,[1]!roz(LV1+1,0,0,0),LV2)),LV3)/30</f>
        <v>#VALUE!</v>
      </c>
      <c r="LW4" s="969" t="e">
        <f>[1]!qsn([1]!ml([1]!taqsha(1,1,[1]!roz(LW1+1,0,0,0),LW2)),LW3)/30</f>
        <v>#VALUE!</v>
      </c>
      <c r="LX4" s="969" t="e">
        <f>[1]!qsn([1]!ml([1]!taqsha(1,1,[1]!roz(LX1+1,0,0,0),LX2)),LX3)/30</f>
        <v>#VALUE!</v>
      </c>
      <c r="LY4" s="969" t="e">
        <f>[1]!qsn([1]!ml([1]!taqsha(1,1,[1]!roz(LY1+1,0,0,0),LY2)),LY3)/30</f>
        <v>#VALUE!</v>
      </c>
      <c r="LZ4" s="969" t="e">
        <f>[1]!qsn([1]!ml([1]!taqsha(1,1,[1]!roz(LZ1+1,0,0,0),LZ2)),LZ3)/30</f>
        <v>#VALUE!</v>
      </c>
      <c r="MA4" s="969" t="e">
        <f>[1]!qsn([1]!ml([1]!taqsha(1,1,[1]!roz(MA1+1,0,0,0),MA2)),MA3)/30</f>
        <v>#VALUE!</v>
      </c>
      <c r="MB4" s="969" t="e">
        <f>[1]!qsn([1]!ml([1]!taqsha(1,1,[1]!roz(MB1+1,0,0,0),MB2)),MB3)/30</f>
        <v>#VALUE!</v>
      </c>
      <c r="MC4" s="969" t="e">
        <f>[1]!qsn([1]!ml([1]!taqsha(1,1,[1]!roz(MC1+1,0,0,0),MC2)),MC3)/30</f>
        <v>#VALUE!</v>
      </c>
      <c r="MD4" s="969" t="e">
        <f>[1]!qsn([1]!ml([1]!taqsha(1,1,[1]!roz(MD1+1,0,0,0),MD2)),MD3)/30</f>
        <v>#VALUE!</v>
      </c>
      <c r="ME4" s="969" t="e">
        <f>[1]!qsn([1]!ml([1]!taqsha(1,1,[1]!roz(ME1+1,0,0,0),ME2)),ME3)/30</f>
        <v>#VALUE!</v>
      </c>
      <c r="MF4" s="969" t="e">
        <f>[1]!qsn([1]!ml([1]!taqsha(1,1,[1]!roz(MF1+1,0,0,0),MF2)),MF3)/30</f>
        <v>#VALUE!</v>
      </c>
      <c r="MG4" s="969" t="e">
        <f>[1]!qsn([1]!ml([1]!taqsha(1,1,[1]!roz(MG1+1,0,0,0),MG2)),MG3)/30</f>
        <v>#VALUE!</v>
      </c>
      <c r="MH4" s="969" t="e">
        <f>[1]!qsn([1]!ml([1]!taqsha(1,1,[1]!roz(MH1+1,0,0,0),MH2)),MH3)/30</f>
        <v>#VALUE!</v>
      </c>
      <c r="MI4" s="969" t="e">
        <f>[1]!qsn([1]!ml([1]!taqsha(1,1,[1]!roz(MI1+1,0,0,0),MI2)),MI3)/30</f>
        <v>#VALUE!</v>
      </c>
      <c r="MJ4" s="969" t="e">
        <f>[1]!qsn([1]!ml([1]!taqsha(1,1,[1]!roz(MJ1+1,0,0,0),MJ2)),MJ3)/30</f>
        <v>#VALUE!</v>
      </c>
      <c r="MK4" s="969" t="e">
        <f>[1]!qsn([1]!ml([1]!taqsha(1,1,[1]!roz(MK1+1,0,0,0),MK2)),MK3)/30</f>
        <v>#VALUE!</v>
      </c>
      <c r="ML4" s="969" t="e">
        <f>[1]!qsn([1]!ml([1]!taqsha(1,1,[1]!roz(ML1+1,0,0,0),ML2)),ML3)/30</f>
        <v>#VALUE!</v>
      </c>
      <c r="MM4" s="969" t="e">
        <f>[1]!qsn([1]!ml([1]!taqsha(1,1,[1]!roz(MM1+1,0,0,0),MM2)),MM3)/30</f>
        <v>#VALUE!</v>
      </c>
      <c r="MN4" s="969" t="e">
        <f>[1]!qsn([1]!ml([1]!taqsha(1,1,[1]!roz(MN1+1,0,0,0),MN2)),MN3)/30</f>
        <v>#VALUE!</v>
      </c>
      <c r="MO4" s="969" t="e">
        <f>[1]!qsn([1]!ml([1]!taqsha(1,1,[1]!roz(MO1+1,0,0,0),MO2)),MO3)/30</f>
        <v>#VALUE!</v>
      </c>
      <c r="MP4" s="969" t="e">
        <f>[1]!qsn([1]!ml([1]!taqsha(1,1,[1]!roz(MP1+1,0,0,0),MP2)),MP3)/30</f>
        <v>#VALUE!</v>
      </c>
      <c r="MQ4" s="969" t="e">
        <f>[1]!qsn([1]!ml([1]!taqsha(1,1,[1]!roz(MQ1+1,0,0,0),MQ2)),MQ3)/30</f>
        <v>#VALUE!</v>
      </c>
      <c r="MR4" s="969" t="e">
        <f>[1]!qsn([1]!ml([1]!taqsha(1,1,[1]!roz(MR1+1,0,0,0),MR2)),MR3)/30</f>
        <v>#VALUE!</v>
      </c>
      <c r="MS4" s="969" t="e">
        <f>[1]!qsn([1]!ml([1]!taqsha(1,1,[1]!roz(MS1+1,0,0,0),MS2)),MS3)/30</f>
        <v>#VALUE!</v>
      </c>
      <c r="MT4" s="969" t="e">
        <f>[1]!qsn([1]!ml([1]!taqsha(1,1,[1]!roz(MT1+1,0,0,0),MT2)),MT3)/30</f>
        <v>#VALUE!</v>
      </c>
      <c r="MU4" s="969" t="e">
        <f>[1]!qsn([1]!ml([1]!taqsha(1,1,[1]!roz(MU1+1,0,0,0),MU2)),MU3)/30</f>
        <v>#VALUE!</v>
      </c>
      <c r="MV4" s="969" t="e">
        <f>[1]!qsn([1]!ml([1]!taqsha(1,1,[1]!roz(MV1+1,0,0,0),MV2)),MV3)/30</f>
        <v>#VALUE!</v>
      </c>
      <c r="MW4" s="969" t="e">
        <f>[1]!qsn([1]!ml([1]!taqsha(1,1,[1]!roz(MW1+1,0,0,0),MW2)),MW3)/30</f>
        <v>#VALUE!</v>
      </c>
      <c r="MX4" s="969" t="e">
        <f>[1]!qsn([1]!ml([1]!taqsha(1,1,[1]!roz(MX1+1,0,0,0),MX2)),MX3)/30</f>
        <v>#VALUE!</v>
      </c>
      <c r="MY4" s="969" t="e">
        <f>[1]!qsn([1]!ml([1]!taqsha(1,1,[1]!roz(MY1+1,0,0,0),MY2)),MY3)/30</f>
        <v>#VALUE!</v>
      </c>
      <c r="MZ4" s="969" t="e">
        <f>[1]!qsn([1]!ml([1]!taqsha(1,1,[1]!roz(MZ1+1,0,0,0),MZ2)),MZ3)/30</f>
        <v>#VALUE!</v>
      </c>
      <c r="NA4" s="969" t="e">
        <f>[1]!qsn([1]!ml([1]!taqsha(1,1,[1]!roz(NA1+1,0,0,0),NA2)),NA3)/30</f>
        <v>#VALUE!</v>
      </c>
      <c r="NB4" s="969" t="e">
        <f>[1]!qsn([1]!ml([1]!taqsha(1,1,[1]!roz(NB1+1,0,0,0),NB2)),NB3)/30</f>
        <v>#VALUE!</v>
      </c>
      <c r="NC4" s="969" t="e">
        <f>[1]!qsn([1]!ml([1]!taqsha(1,1,[1]!roz(NC1+1,0,0,0),NC2)),NC3)/30</f>
        <v>#VALUE!</v>
      </c>
      <c r="ND4" s="969" t="e">
        <f>[1]!qsn([1]!ml([1]!taqsha(1,1,[1]!roz(ND1+1,0,0,0),ND2)),ND3)/30</f>
        <v>#VALUE!</v>
      </c>
      <c r="NE4" s="969" t="e">
        <f>[1]!qsn([1]!ml([1]!taqsha(1,1,[1]!roz(NE1+1,0,0,0),NE2)),NE3)/30</f>
        <v>#VALUE!</v>
      </c>
      <c r="NF4" s="969" t="e">
        <f>[1]!qsn([1]!ml([1]!taqsha(1,1,[1]!roz(NF1+1,0,0,0),NF2)),NF3)/30</f>
        <v>#VALUE!</v>
      </c>
      <c r="NG4" s="969" t="e">
        <f>[1]!qsn([1]!ml([1]!taqsha(1,1,[1]!roz(NG1+1,0,0,0),NG2)),NG3)/30</f>
        <v>#VALUE!</v>
      </c>
      <c r="NH4" s="969" t="e">
        <f>[1]!qsn([1]!ml([1]!taqsha(1,1,[1]!roz(NH1+1,0,0,0),NH2)),NH3)/30</f>
        <v>#VALUE!</v>
      </c>
      <c r="NI4" s="969" t="e">
        <f>[1]!qsn([1]!ml([1]!taqsha(1,1,[1]!roz(NI1+1,0,0,0),NI2)),NI3)/30</f>
        <v>#VALUE!</v>
      </c>
      <c r="NJ4" s="969" t="e">
        <f>[1]!qsn([1]!ml([1]!taqsha(1,1,[1]!roz(NJ1+1,0,0,0),NJ2)),NJ3)/30</f>
        <v>#VALUE!</v>
      </c>
      <c r="NK4" s="969" t="e">
        <f>[1]!qsn([1]!ml([1]!taqsha(1,1,[1]!roz(NK1+1,0,0,0),NK2)),NK3)/30</f>
        <v>#VALUE!</v>
      </c>
      <c r="NL4" s="969" t="e">
        <f>[1]!qsn([1]!ml([1]!taqsha(1,1,[1]!roz(NL1+1,0,0,0),NL2)),NL3)/30</f>
        <v>#VALUE!</v>
      </c>
      <c r="NM4" s="969" t="e">
        <f>[1]!qsn([1]!ml([1]!taqsha(1,1,[1]!roz(NM1+1,0,0,0),NM2)),NM3)/30</f>
        <v>#VALUE!</v>
      </c>
      <c r="NN4" s="969" t="e">
        <f>[1]!qsn([1]!ml([1]!taqsha(1,1,[1]!roz(NN1+1,0,0,0),NN2)),NN3)/30</f>
        <v>#VALUE!</v>
      </c>
      <c r="NO4" s="969" t="e">
        <f>[1]!qsn([1]!ml([1]!taqsha(1,1,[1]!roz(NO1+1,0,0,0),NO2)),NO3)/30</f>
        <v>#VALUE!</v>
      </c>
      <c r="NP4" s="969" t="e">
        <f>[1]!qsn([1]!ml([1]!taqsha(1,1,[1]!roz(NP1+1,0,0,0),NP2)),NP3)/30</f>
        <v>#VALUE!</v>
      </c>
      <c r="NQ4" s="969" t="e">
        <f>[1]!qsn([1]!ml([1]!taqsha(1,1,[1]!roz(NQ1+1,0,0,0),NQ2)),NQ3)/30</f>
        <v>#VALUE!</v>
      </c>
      <c r="NR4" s="969" t="e">
        <f>[1]!qsn([1]!ml([1]!taqsha(1,1,[1]!roz(NR1+1,0,0,0),NR2)),NR3)/30</f>
        <v>#VALUE!</v>
      </c>
      <c r="NS4" s="969" t="e">
        <f>[1]!qsn([1]!ml([1]!taqsha(1,1,[1]!roz(NS1+1,0,0,0),NS2)),NS3)/30</f>
        <v>#VALUE!</v>
      </c>
      <c r="NT4" s="969" t="e">
        <f>[1]!qsn([1]!ml([1]!taqsha(1,1,[1]!roz(NT1+1,0,0,0),NT2)),NT3)/30</f>
        <v>#VALUE!</v>
      </c>
      <c r="NU4" s="969" t="e">
        <f>[1]!qsn([1]!ml([1]!taqsha(1,1,[1]!roz(NU1+1,0,0,0),NU2)),NU3)/30</f>
        <v>#VALUE!</v>
      </c>
      <c r="NV4" s="969" t="e">
        <f>[1]!qsn([1]!ml([1]!taqsha(1,1,[1]!roz(NV1+1,0,0,0),NV2)),NV3)/30</f>
        <v>#VALUE!</v>
      </c>
      <c r="NW4" s="969" t="e">
        <f>[1]!qsn([1]!ml([1]!taqsha(1,1,[1]!roz(NW1+1,0,0,0),NW2)),NW3)/30</f>
        <v>#VALUE!</v>
      </c>
      <c r="NX4" s="969" t="e">
        <f>[1]!qsn([1]!ml([1]!taqsha(1,1,[1]!roz(NX1+1,0,0,0),NX2)),NX3)/30</f>
        <v>#VALUE!</v>
      </c>
      <c r="NY4" s="969" t="e">
        <f>[1]!qsn([1]!ml([1]!taqsha(1,1,[1]!roz(NY1+1,0,0,0),NY2)),NY3)/30</f>
        <v>#VALUE!</v>
      </c>
      <c r="NZ4" s="969" t="e">
        <f>[1]!qsn([1]!ml([1]!taqsha(1,1,[1]!roz(NZ1+1,0,0,0),NZ2)),NZ3)/30</f>
        <v>#VALUE!</v>
      </c>
      <c r="OA4" s="969" t="e">
        <f>[1]!qsn([1]!ml([1]!taqsha(1,1,[1]!roz(OA1+1,0,0,0),OA2)),OA3)/30</f>
        <v>#VALUE!</v>
      </c>
      <c r="OB4" s="969" t="e">
        <f>[1]!qsn([1]!ml([1]!taqsha(1,1,[1]!roz(OB1+1,0,0,0),OB2)),OB3)/30</f>
        <v>#VALUE!</v>
      </c>
      <c r="OC4" s="969" t="e">
        <f>[1]!qsn([1]!ml([1]!taqsha(1,1,[1]!roz(OC1+1,0,0,0),OC2)),OC3)/30</f>
        <v>#VALUE!</v>
      </c>
      <c r="OD4" s="969" t="e">
        <f>[1]!qsn([1]!ml([1]!taqsha(1,1,[1]!roz(OD1+1,0,0,0),OD2)),OD3)/30</f>
        <v>#VALUE!</v>
      </c>
      <c r="OE4" s="969" t="e">
        <f>[1]!qsn([1]!ml([1]!taqsha(1,1,[1]!roz(OE1+1,0,0,0),OE2)),OE3)/30</f>
        <v>#VALUE!</v>
      </c>
      <c r="OF4" s="969" t="e">
        <f>[1]!qsn([1]!ml([1]!taqsha(1,1,[1]!roz(OF1+1,0,0,0),OF2)),OF3)/30</f>
        <v>#VALUE!</v>
      </c>
      <c r="OG4" s="969" t="e">
        <f>[1]!qsn([1]!ml([1]!taqsha(1,1,[1]!roz(OG1+1,0,0,0),OG2)),OG3)/30</f>
        <v>#VALUE!</v>
      </c>
      <c r="OH4" s="969" t="e">
        <f>[1]!qsn([1]!ml([1]!taqsha(1,1,[1]!roz(OH1+1,0,0,0),OH2)),OH3)/30</f>
        <v>#VALUE!</v>
      </c>
      <c r="OI4" s="969" t="e">
        <f>[1]!qsn([1]!ml([1]!taqsha(1,1,[1]!roz(OI1+1,0,0,0),OI2)),OI3)/30</f>
        <v>#VALUE!</v>
      </c>
      <c r="OJ4" s="969" t="e">
        <f>[1]!qsn([1]!ml([1]!taqsha(1,1,[1]!roz(OJ1+1,0,0,0),OJ2)),OJ3)/30</f>
        <v>#VALUE!</v>
      </c>
      <c r="OK4" s="969" t="e">
        <f>[1]!qsn([1]!ml([1]!taqsha(1,1,[1]!roz(OK1+1,0,0,0),OK2)),OK3)/30</f>
        <v>#VALUE!</v>
      </c>
      <c r="OL4" s="969" t="e">
        <f>[1]!qsn([1]!ml([1]!taqsha(1,1,[1]!roz(OL1+1,0,0,0),OL2)),OL3)/30</f>
        <v>#VALUE!</v>
      </c>
      <c r="OM4" s="969" t="e">
        <f>[1]!qsn([1]!ml([1]!taqsha(1,1,[1]!roz(OM1+1,0,0,0),OM2)),OM3)/30</f>
        <v>#VALUE!</v>
      </c>
      <c r="ON4" s="969" t="e">
        <f>[1]!qsn([1]!ml([1]!taqsha(1,1,[1]!roz(ON1+1,0,0,0),ON2)),ON3)/30</f>
        <v>#VALUE!</v>
      </c>
      <c r="OO4" s="969" t="e">
        <f>[1]!qsn([1]!ml([1]!taqsha(1,1,[1]!roz(OO1+1,0,0,0),OO2)),OO3)/30</f>
        <v>#VALUE!</v>
      </c>
      <c r="OP4" s="969" t="e">
        <f>[1]!qsn([1]!ml([1]!taqsha(1,1,[1]!roz(OP1+1,0,0,0),OP2)),OP3)/30</f>
        <v>#VALUE!</v>
      </c>
      <c r="OQ4" s="969" t="e">
        <f>[1]!qsn([1]!ml([1]!taqsha(1,1,[1]!roz(OQ1+1,0,0,0),OQ2)),OQ3)/30</f>
        <v>#VALUE!</v>
      </c>
      <c r="OR4" s="969" t="e">
        <f>[1]!qsn([1]!ml([1]!taqsha(1,1,[1]!roz(OR1+1,0,0,0),OR2)),OR3)/30</f>
        <v>#VALUE!</v>
      </c>
      <c r="OS4" s="969" t="e">
        <f>[1]!qsn([1]!ml([1]!taqsha(1,1,[1]!roz(OS1+1,0,0,0),OS2)),OS3)/30</f>
        <v>#VALUE!</v>
      </c>
      <c r="OT4" s="969" t="e">
        <f>[1]!qsn([1]!ml([1]!taqsha(1,1,[1]!roz(OT1+1,0,0,0),OT2)),OT3)/30</f>
        <v>#VALUE!</v>
      </c>
      <c r="OU4" s="969" t="e">
        <f>[1]!qsn([1]!ml([1]!taqsha(1,1,[1]!roz(OU1+1,0,0,0),OU2)),OU3)/30</f>
        <v>#VALUE!</v>
      </c>
      <c r="OV4" s="969" t="e">
        <f>[1]!qsn([1]!ml([1]!taqsha(1,1,[1]!roz(OV1+1,0,0,0),OV2)),OV3)/30</f>
        <v>#VALUE!</v>
      </c>
      <c r="OW4" s="969" t="e">
        <f>[1]!qsn([1]!ml([1]!taqsha(1,1,[1]!roz(OW1+1,0,0,0),OW2)),OW3)/30</f>
        <v>#VALUE!</v>
      </c>
      <c r="OX4" s="969" t="e">
        <f>[1]!qsn([1]!ml([1]!taqsha(1,1,[1]!roz(OX1+1,0,0,0),OX2)),OX3)/30</f>
        <v>#VALUE!</v>
      </c>
      <c r="OY4" s="969" t="e">
        <f>[1]!qsn([1]!ml([1]!taqsha(1,1,[1]!roz(OY1+1,0,0,0),OY2)),OY3)/30</f>
        <v>#VALUE!</v>
      </c>
      <c r="OZ4" s="969" t="e">
        <f>[1]!qsn([1]!ml([1]!taqsha(1,1,[1]!roz(OZ1+1,0,0,0),OZ2)),OZ3)/30</f>
        <v>#VALUE!</v>
      </c>
      <c r="PA4" s="969" t="e">
        <f>[1]!qsn([1]!ml([1]!taqsha(1,1,[1]!roz(PA1+1,0,0,0),PA2)),PA3)/30</f>
        <v>#VALUE!</v>
      </c>
      <c r="PB4" s="969" t="e">
        <f>[1]!qsn([1]!ml([1]!taqsha(1,1,[1]!roz(PB1+1,0,0,0),PB2)),PB3)/30</f>
        <v>#VALUE!</v>
      </c>
      <c r="PC4" s="969" t="e">
        <f>[1]!qsn([1]!ml([1]!taqsha(1,1,[1]!roz(PC1+1,0,0,0),PC2)),PC3)/30</f>
        <v>#VALUE!</v>
      </c>
      <c r="PD4" s="969" t="e">
        <f>[1]!qsn([1]!ml([1]!taqsha(1,1,[1]!roz(PD1+1,0,0,0),PD2)),PD3)/30</f>
        <v>#VALUE!</v>
      </c>
      <c r="PE4" s="969" t="e">
        <f>[1]!qsn([1]!ml([1]!taqsha(1,1,[1]!roz(PE1+1,0,0,0),PE2)),PE3)/30</f>
        <v>#VALUE!</v>
      </c>
      <c r="PF4" s="969" t="e">
        <f>[1]!qsn([1]!ml([1]!taqsha(1,1,[1]!roz(PF1+1,0,0,0),PF2)),PF3)/30</f>
        <v>#VALUE!</v>
      </c>
      <c r="PG4" s="969" t="e">
        <f>[1]!qsn([1]!ml([1]!taqsha(1,1,[1]!roz(PG1+1,0,0,0),PG2)),PG3)/30</f>
        <v>#VALUE!</v>
      </c>
      <c r="PH4" s="969" t="e">
        <f>[1]!qsn([1]!ml([1]!taqsha(1,1,[1]!roz(PH1+1,0,0,0),PH2)),PH3)/30</f>
        <v>#VALUE!</v>
      </c>
      <c r="PI4" s="969" t="e">
        <f>[1]!qsn([1]!ml([1]!taqsha(1,1,[1]!roz(PI1+1,0,0,0),PI2)),PI3)/30</f>
        <v>#VALUE!</v>
      </c>
      <c r="PJ4" s="969" t="e">
        <f>[1]!qsn([1]!ml([1]!taqsha(1,1,[1]!roz(PJ1+1,0,0,0),PJ2)),PJ3)/30</f>
        <v>#VALUE!</v>
      </c>
      <c r="PK4" s="969" t="e">
        <f>[1]!qsn([1]!ml([1]!taqsha(1,1,[1]!roz(PK1+1,0,0,0),PK2)),PK3)/30</f>
        <v>#VALUE!</v>
      </c>
      <c r="PL4" s="969" t="e">
        <f>[1]!qsn([1]!ml([1]!taqsha(1,1,[1]!roz(PL1+1,0,0,0),PL2)),PL3)/30</f>
        <v>#VALUE!</v>
      </c>
      <c r="PM4" s="969" t="e">
        <f>[1]!qsn([1]!ml([1]!taqsha(1,1,[1]!roz(PM1+1,0,0,0),PM2)),PM3)/30</f>
        <v>#VALUE!</v>
      </c>
      <c r="PN4" s="969" t="e">
        <f>[1]!qsn([1]!ml([1]!taqsha(1,1,[1]!roz(PN1+1,0,0,0),PN2)),PN3)/30</f>
        <v>#VALUE!</v>
      </c>
      <c r="PO4" s="969" t="e">
        <f>[1]!qsn([1]!ml([1]!taqsha(1,1,[1]!roz(PO1+1,0,0,0),PO2)),PO3)/30</f>
        <v>#VALUE!</v>
      </c>
      <c r="PP4" s="969" t="e">
        <f>[1]!qsn([1]!ml([1]!taqsha(1,1,[1]!roz(PP1+1,0,0,0),PP2)),PP3)/30</f>
        <v>#VALUE!</v>
      </c>
      <c r="PQ4" s="969" t="e">
        <f>[1]!qsn([1]!ml([1]!taqsha(1,1,[1]!roz(PQ1+1,0,0,0),PQ2)),PQ3)/30</f>
        <v>#VALUE!</v>
      </c>
      <c r="PR4" s="969" t="e">
        <f>[1]!qsn([1]!ml([1]!taqsha(1,1,[1]!roz(PR1+1,0,0,0),PR2)),PR3)/30</f>
        <v>#VALUE!</v>
      </c>
      <c r="PS4" s="969" t="e">
        <f>[1]!qsn([1]!ml([1]!taqsha(1,1,[1]!roz(PS1+1,0,0,0),PS2)),PS3)/30</f>
        <v>#VALUE!</v>
      </c>
      <c r="PT4" s="969" t="e">
        <f>[1]!qsn([1]!ml([1]!taqsha(1,1,[1]!roz(PT1+1,0,0,0),PT2)),PT3)/30</f>
        <v>#VALUE!</v>
      </c>
      <c r="PU4" s="969" t="e">
        <f>[1]!qsn([1]!ml([1]!taqsha(1,1,[1]!roz(PU1+1,0,0,0),PU2)),PU3)/30</f>
        <v>#VALUE!</v>
      </c>
      <c r="PV4" s="969" t="e">
        <f>[1]!qsn([1]!ml([1]!taqsha(1,1,[1]!roz(PV1+1,0,0,0),PV2)),PV3)/30</f>
        <v>#VALUE!</v>
      </c>
      <c r="PW4" s="969" t="e">
        <f>[1]!qsn([1]!ml([1]!taqsha(1,1,[1]!roz(PW1+1,0,0,0),PW2)),PW3)/30</f>
        <v>#VALUE!</v>
      </c>
      <c r="PX4" s="969" t="e">
        <f>[1]!qsn([1]!ml([1]!taqsha(1,1,[1]!roz(PX1+1,0,0,0),PX2)),PX3)/30</f>
        <v>#VALUE!</v>
      </c>
      <c r="PY4" s="969" t="e">
        <f>[1]!qsn([1]!ml([1]!taqsha(1,1,[1]!roz(PY1+1,0,0,0),PY2)),PY3)/30</f>
        <v>#VALUE!</v>
      </c>
      <c r="PZ4" s="969" t="e">
        <f>[1]!qsn([1]!ml([1]!taqsha(1,1,[1]!roz(PZ1+1,0,0,0),PZ2)),PZ3)/30</f>
        <v>#VALUE!</v>
      </c>
      <c r="QA4" s="969" t="e">
        <f>[1]!qsn([1]!ml([1]!taqsha(1,1,[1]!roz(QA1+1,0,0,0),QA2)),QA3)/30</f>
        <v>#VALUE!</v>
      </c>
      <c r="QB4" s="969" t="e">
        <f>[1]!qsn([1]!ml([1]!taqsha(1,1,[1]!roz(QB1+1,0,0,0),QB2)),QB3)/30</f>
        <v>#VALUE!</v>
      </c>
      <c r="QC4" s="969" t="e">
        <f>[1]!qsn([1]!ml([1]!taqsha(1,1,[1]!roz(QC1+1,0,0,0),QC2)),QC3)/30</f>
        <v>#VALUE!</v>
      </c>
      <c r="QD4" s="969" t="e">
        <f>[1]!qsn([1]!ml([1]!taqsha(1,1,[1]!roz(QD1+1,0,0,0),QD2)),QD3)/30</f>
        <v>#VALUE!</v>
      </c>
      <c r="QE4" s="969" t="e">
        <f>[1]!qsn([1]!ml([1]!taqsha(1,1,[1]!roz(QE1+1,0,0,0),QE2)),QE3)/30</f>
        <v>#VALUE!</v>
      </c>
      <c r="QF4" s="969" t="e">
        <f>[1]!qsn([1]!ml([1]!taqsha(1,1,[1]!roz(QF1+1,0,0,0),QF2)),QF3)/30</f>
        <v>#VALUE!</v>
      </c>
      <c r="QG4" s="969" t="e">
        <f>[1]!qsn([1]!ml([1]!taqsha(1,1,[1]!roz(QG1+1,0,0,0),QG2)),QG3)/30</f>
        <v>#VALUE!</v>
      </c>
      <c r="QH4" s="969" t="e">
        <f>[1]!qsn([1]!ml([1]!taqsha(1,1,[1]!roz(QH1+1,0,0,0),QH2)),QH3)/30</f>
        <v>#VALUE!</v>
      </c>
      <c r="QI4" s="969" t="e">
        <f>[1]!qsn([1]!ml([1]!taqsha(1,1,[1]!roz(QI1+1,0,0,0),QI2)),QI3)/30</f>
        <v>#VALUE!</v>
      </c>
      <c r="QJ4" s="969" t="e">
        <f>[1]!qsn([1]!ml([1]!taqsha(1,1,[1]!roz(QJ1+1,0,0,0),QJ2)),QJ3)/30</f>
        <v>#VALUE!</v>
      </c>
      <c r="QK4" s="969" t="e">
        <f>[1]!qsn([1]!ml([1]!taqsha(1,1,[1]!roz(QK1+1,0,0,0),QK2)),QK3)/30</f>
        <v>#VALUE!</v>
      </c>
      <c r="QL4" s="969" t="e">
        <f>[1]!qsn([1]!ml([1]!taqsha(1,1,[1]!roz(QL1+1,0,0,0),QL2)),QL3)/30</f>
        <v>#VALUE!</v>
      </c>
      <c r="QM4" s="969" t="e">
        <f>[1]!qsn([1]!ml([1]!taqsha(1,1,[1]!roz(QM1+1,0,0,0),QM2)),QM3)/30</f>
        <v>#VALUE!</v>
      </c>
      <c r="QN4" s="969" t="e">
        <f>[1]!qsn([1]!ml([1]!taqsha(1,1,[1]!roz(QN1+1,0,0,0),QN2)),QN3)/30</f>
        <v>#VALUE!</v>
      </c>
      <c r="QO4" s="969" t="e">
        <f>[1]!qsn([1]!ml([1]!taqsha(1,1,[1]!roz(QO1+1,0,0,0),QO2)),QO3)/30</f>
        <v>#VALUE!</v>
      </c>
      <c r="QP4" s="969" t="e">
        <f>[1]!qsn([1]!ml([1]!taqsha(1,1,[1]!roz(QP1+1,0,0,0),QP2)),QP3)/30</f>
        <v>#VALUE!</v>
      </c>
      <c r="QQ4" s="969" t="e">
        <f>[1]!qsn([1]!ml([1]!taqsha(1,1,[1]!roz(QQ1+1,0,0,0),QQ2)),QQ3)/30</f>
        <v>#VALUE!</v>
      </c>
      <c r="QR4" s="969" t="e">
        <f>[1]!qsn([1]!ml([1]!taqsha(1,1,[1]!roz(QR1+1,0,0,0),QR2)),QR3)/30</f>
        <v>#VALUE!</v>
      </c>
      <c r="QS4" s="969" t="e">
        <f>[1]!qsn([1]!ml([1]!taqsha(1,1,[1]!roz(QS1+1,0,0,0),QS2)),QS3)/30</f>
        <v>#VALUE!</v>
      </c>
      <c r="QT4" s="969" t="e">
        <f>[1]!qsn([1]!ml([1]!taqsha(1,1,[1]!roz(QT1+1,0,0,0),QT2)),QT3)/30</f>
        <v>#VALUE!</v>
      </c>
      <c r="QU4" s="969" t="e">
        <f>[1]!qsn([1]!ml([1]!taqsha(1,1,[1]!roz(QU1+1,0,0,0),QU2)),QU3)/30</f>
        <v>#VALUE!</v>
      </c>
      <c r="QV4" s="969" t="e">
        <f>[1]!qsn([1]!ml([1]!taqsha(1,1,[1]!roz(QV1+1,0,0,0),QV2)),QV3)/30</f>
        <v>#VALUE!</v>
      </c>
      <c r="QW4" s="969" t="e">
        <f>[1]!qsn([1]!ml([1]!taqsha(1,1,[1]!roz(QW1+1,0,0,0),QW2)),QW3)/30</f>
        <v>#VALUE!</v>
      </c>
      <c r="QX4" s="969" t="e">
        <f>[1]!qsn([1]!ml([1]!taqsha(1,1,[1]!roz(QX1+1,0,0,0),QX2)),QX3)/30</f>
        <v>#VALUE!</v>
      </c>
      <c r="QY4" s="969" t="e">
        <f>[1]!qsn([1]!ml([1]!taqsha(1,1,[1]!roz(QY1+1,0,0,0),QY2)),QY3)/30</f>
        <v>#VALUE!</v>
      </c>
      <c r="QZ4" s="969" t="e">
        <f>[1]!qsn([1]!ml([1]!taqsha(1,1,[1]!roz(QZ1+1,0,0,0),QZ2)),QZ3)/30</f>
        <v>#VALUE!</v>
      </c>
      <c r="RA4" s="968"/>
    </row>
    <row r="5" spans="1:471" ht="18" thickBot="1">
      <c r="H5">
        <v>2350</v>
      </c>
      <c r="J5" s="21">
        <f>IF(E7=16,(((C7-1)*M5)+IF(B7=1,0,IF(B7=2,O7,IF(B7=3,P7,IF(B7=4,Q7,IF(B7=5,R7,IF(B7=6,S7,IF(B7=7,T7,IF(B7=8,U7,IF(B7=9,V7,IF(B7=10,W7,IF(B7=11,X7,Y7)))))))))))+A7),0)</f>
        <v>526227</v>
      </c>
      <c r="K5" s="4">
        <v>2</v>
      </c>
      <c r="L5" s="4" t="s">
        <v>153</v>
      </c>
      <c r="M5" s="4">
        <v>365</v>
      </c>
      <c r="N5" s="4"/>
      <c r="O5" s="4" t="s">
        <v>181</v>
      </c>
      <c r="P5" s="4" t="s">
        <v>182</v>
      </c>
      <c r="Q5" s="4" t="s">
        <v>183</v>
      </c>
      <c r="R5" s="4" t="s">
        <v>184</v>
      </c>
      <c r="S5" s="4" t="s">
        <v>185</v>
      </c>
      <c r="T5" s="4" t="s">
        <v>186</v>
      </c>
      <c r="U5" s="4" t="s">
        <v>187</v>
      </c>
      <c r="V5" s="4" t="s">
        <v>188</v>
      </c>
      <c r="W5" s="4" t="s">
        <v>189</v>
      </c>
      <c r="X5" s="4" t="s">
        <v>190</v>
      </c>
      <c r="Y5" s="4" t="s">
        <v>191</v>
      </c>
      <c r="Z5" s="4" t="s">
        <v>192</v>
      </c>
      <c r="AA5" s="4" t="s">
        <v>31</v>
      </c>
      <c r="AE5" s="246" t="s">
        <v>5</v>
      </c>
      <c r="AF5" s="198">
        <v>6</v>
      </c>
      <c r="AK5" s="759" t="e">
        <f>AX63</f>
        <v>#VALUE!</v>
      </c>
      <c r="AL5" s="701">
        <v>1</v>
      </c>
      <c r="AM5" s="304">
        <f t="shared" ref="AM5:AW5" si="17">AL5+1</f>
        <v>2</v>
      </c>
      <c r="AN5" s="304">
        <f t="shared" si="17"/>
        <v>3</v>
      </c>
      <c r="AO5" s="304">
        <f t="shared" si="17"/>
        <v>4</v>
      </c>
      <c r="AP5" s="304">
        <f t="shared" si="17"/>
        <v>5</v>
      </c>
      <c r="AQ5" s="304">
        <f t="shared" si="17"/>
        <v>6</v>
      </c>
      <c r="AR5" s="304">
        <f t="shared" si="17"/>
        <v>7</v>
      </c>
      <c r="AS5" s="304">
        <f t="shared" si="17"/>
        <v>8</v>
      </c>
      <c r="AT5" s="304">
        <f>AS5+1</f>
        <v>9</v>
      </c>
      <c r="AU5" s="304">
        <f t="shared" si="17"/>
        <v>10</v>
      </c>
      <c r="AV5" s="304">
        <f t="shared" si="17"/>
        <v>11</v>
      </c>
      <c r="AW5" s="304">
        <f t="shared" si="17"/>
        <v>12</v>
      </c>
      <c r="AX5" s="304"/>
      <c r="AZ5" s="732" t="s">
        <v>3553</v>
      </c>
      <c r="BA5" s="731">
        <v>8</v>
      </c>
      <c r="BB5" s="113">
        <v>29</v>
      </c>
      <c r="BC5" s="113">
        <v>29</v>
      </c>
      <c r="BD5" s="113">
        <v>29</v>
      </c>
      <c r="BE5" s="113">
        <v>29</v>
      </c>
      <c r="BF5" s="113">
        <v>29</v>
      </c>
      <c r="BG5" s="113">
        <v>29</v>
      </c>
      <c r="BH5" s="113">
        <v>29</v>
      </c>
      <c r="BI5" s="113">
        <v>29</v>
      </c>
      <c r="BJ5" s="113">
        <v>29</v>
      </c>
      <c r="BK5" s="113">
        <v>29</v>
      </c>
      <c r="BL5" s="113">
        <v>29</v>
      </c>
      <c r="BM5" s="113">
        <v>29</v>
      </c>
      <c r="BN5" s="317"/>
      <c r="BP5" s="396">
        <v>1</v>
      </c>
      <c r="BQ5" s="732">
        <f t="shared" si="16"/>
        <v>1</v>
      </c>
      <c r="BR5" s="753">
        <f t="shared" si="16"/>
        <v>1</v>
      </c>
      <c r="BS5" s="753">
        <f t="shared" si="16"/>
        <v>1</v>
      </c>
      <c r="BT5" s="238" t="s">
        <v>4</v>
      </c>
      <c r="BU5" s="731">
        <f>BP5</f>
        <v>1</v>
      </c>
      <c r="BV5" s="112" t="s">
        <v>3553</v>
      </c>
      <c r="BW5" s="317">
        <f>BP6</f>
        <v>1</v>
      </c>
      <c r="BX5" s="747" t="s">
        <v>5</v>
      </c>
      <c r="BY5" s="320">
        <f>BW5</f>
        <v>1</v>
      </c>
      <c r="CA5" s="787" t="s">
        <v>3758</v>
      </c>
      <c r="CB5" s="242" t="e">
        <f>BU8</f>
        <v>#VALUE!</v>
      </c>
      <c r="CC5" s="242"/>
      <c r="CD5" s="242"/>
      <c r="CE5" s="242"/>
      <c r="CF5" s="788"/>
      <c r="CG5" s="490" t="s">
        <v>3757</v>
      </c>
      <c r="CH5" s="309">
        <v>30</v>
      </c>
      <c r="CI5" s="309"/>
      <c r="CJ5" s="309"/>
      <c r="CK5" s="309"/>
      <c r="CL5" s="774"/>
      <c r="CO5" s="759" t="s">
        <v>5</v>
      </c>
      <c r="CP5" s="759">
        <v>18</v>
      </c>
      <c r="CQ5" s="759"/>
      <c r="CR5" s="759"/>
      <c r="CS5" s="759"/>
      <c r="CT5" s="759"/>
      <c r="CU5" s="759"/>
      <c r="CV5" s="787" t="s">
        <v>3758</v>
      </c>
      <c r="CW5" s="242">
        <f>CP5</f>
        <v>18</v>
      </c>
      <c r="CX5" s="242"/>
      <c r="CY5" s="242"/>
      <c r="CZ5" s="242"/>
      <c r="DA5" s="788"/>
      <c r="DC5" s="906"/>
      <c r="DD5" s="114">
        <f>DD4/2</f>
        <v>0</v>
      </c>
      <c r="DE5" s="115">
        <f>[1]!kab(MOD(DE3-1,30))</f>
        <v>7</v>
      </c>
      <c r="DG5" s="797" t="s">
        <v>3802</v>
      </c>
      <c r="DI5" s="971" t="e">
        <f>[1]!bodmoadal(1,1,(DI1+1),[1]!qsn([1]!ml([1]!taqsha(1,1,1+DI1,DI2)),DI3)/30,DI2,DI3)</f>
        <v>#VALUE!</v>
      </c>
      <c r="DJ5" s="971" t="e">
        <f>[1]!bodmoadal(1,1,(DJ1+1),[1]!qsn([1]!ml([1]!taqsha(1,1,1+DJ1,DJ2)),DJ3)/30,DJ2,DJ3)</f>
        <v>#VALUE!</v>
      </c>
      <c r="DK5" s="969" t="e">
        <f>[1]!bodmoadal(1,1,(DK1+1),[1]!qsn([1]!ml([1]!taqsha(1,1,1+DK1,DK2)),DK3)/30,DK2,DK3)</f>
        <v>#VALUE!</v>
      </c>
      <c r="DL5" s="969" t="e">
        <f>[1]!bodmoadal(1,1,(DL1+1),[1]!qsn([1]!ml([1]!taqsha(1,1,1+DL1,DL2)),DL3)/30,DL2,DL3)</f>
        <v>#VALUE!</v>
      </c>
      <c r="DM5" s="969" t="e">
        <f>[1]!bodmoadal(1,1,(DM1+1),[1]!qsn([1]!ml([1]!taqsha(1,1,1+DM1,DM2)),DM3)/30,DM2,DM3)</f>
        <v>#VALUE!</v>
      </c>
      <c r="DN5" s="969" t="e">
        <f>[1]!bodmoadal(1,1,(DN1+1),[1]!qsn([1]!ml([1]!taqsha(1,1,1+DN1,DN2)),DN3)/30,DN2,DN3)</f>
        <v>#VALUE!</v>
      </c>
      <c r="DO5" s="969" t="e">
        <f>[1]!bodmoadal(1,1,(DO1+1),[1]!qsn([1]!ml([1]!taqsha(1,1,1+DO1,DO2)),DO3)/30,DO2,DO3)</f>
        <v>#VALUE!</v>
      </c>
      <c r="DP5" s="969" t="e">
        <f>[1]!bodmoadal(1,1,(DP1+1),[1]!qsn([1]!ml([1]!taqsha(1,1,1+DP1,DP2)),DP3)/30,DP2,DP3)</f>
        <v>#VALUE!</v>
      </c>
      <c r="DQ5" s="969" t="e">
        <f>[1]!bodmoadal(1,1,(DQ1+1),[1]!qsn([1]!ml([1]!taqsha(1,1,1+DQ1,DQ2)),DQ3)/30,DQ2,DQ3)</f>
        <v>#VALUE!</v>
      </c>
      <c r="DR5" s="969" t="e">
        <f>[1]!bodmoadal(1,1,(DR1+1),[1]!qsn([1]!ml([1]!taqsha(1,1,1+DR1,DR2)),DR3)/30,DR2,DR3)</f>
        <v>#VALUE!</v>
      </c>
      <c r="DS5" s="969" t="e">
        <f>[1]!bodmoadal(1,1,(DS1+1),[1]!qsn([1]!ml([1]!taqsha(1,1,1+DS1,DS2)),DS3)/30,DS2,DS3)</f>
        <v>#VALUE!</v>
      </c>
      <c r="DT5" s="969" t="e">
        <f>[1]!bodmoadal(1,1,(DT1+1),[1]!qsn([1]!ml([1]!taqsha(1,1,1+DT1,DT2)),DT3)/30,DT2,DT3)</f>
        <v>#VALUE!</v>
      </c>
      <c r="DU5" s="969" t="e">
        <f>[1]!bodmoadal(1,1,(DU1+1),[1]!qsn([1]!ml([1]!taqsha(1,1,1+DU1,DU2)),DU3)/30,DU2,DU3)</f>
        <v>#VALUE!</v>
      </c>
      <c r="DV5" s="969" t="e">
        <f>[1]!bodmoadal(1,1,(DV1+1),[1]!qsn([1]!ml([1]!taqsha(1,1,1+DV1,DV2)),DV3)/30,DV2,DV3)</f>
        <v>#VALUE!</v>
      </c>
      <c r="DW5" s="969" t="e">
        <f>[1]!bodmoadal(1,1,(DW1+1),[1]!qsn([1]!ml([1]!taqsha(1,1,1+DW1,DW2)),DW3)/30,DW2,DW3)</f>
        <v>#VALUE!</v>
      </c>
      <c r="DX5" s="969" t="e">
        <f>[1]!bodmoadal(1,1,(DX1+1),[1]!qsn([1]!ml([1]!taqsha(1,1,1+DX1,DX2)),DX3)/30,DX2,DX3)</f>
        <v>#VALUE!</v>
      </c>
      <c r="DY5" s="969" t="e">
        <f>[1]!bodmoadal(1,1,(DY1+1),[1]!qsn([1]!ml([1]!taqsha(1,1,1+DY1,DY2)),DY3)/30,DY2,DY3)</f>
        <v>#VALUE!</v>
      </c>
      <c r="DZ5" s="969" t="e">
        <f>[1]!bodmoadal(1,1,(DZ1+1),[1]!qsn([1]!ml([1]!taqsha(1,1,1+DZ1,DZ2)),DZ3)/30,DZ2,DZ3)</f>
        <v>#VALUE!</v>
      </c>
      <c r="EA5" s="969" t="e">
        <f>[1]!bodmoadal(1,1,(EA1+1),[1]!qsn([1]!ml([1]!taqsha(1,1,1+EA1,EA2)),EA3)/30,EA2,EA3)</f>
        <v>#VALUE!</v>
      </c>
      <c r="EB5" s="969" t="e">
        <f>[1]!bodmoadal(1,1,(EB1+1),[1]!qsn([1]!ml([1]!taqsha(1,1,1+EB1,EB2)),EB3)/30,EB2,EB3)</f>
        <v>#VALUE!</v>
      </c>
      <c r="EC5" s="969" t="e">
        <f>[1]!bodmoadal(1,1,(EC1+1),[1]!qsn([1]!ml([1]!taqsha(1,1,1+EC1,EC2)),EC3)/30,EC2,EC3)</f>
        <v>#VALUE!</v>
      </c>
      <c r="ED5" s="969" t="e">
        <f>[1]!bodmoadal(1,1,(ED1+1),[1]!qsn([1]!ml([1]!taqsha(1,1,1+ED1,ED2)),ED3)/30,ED2,ED3)</f>
        <v>#VALUE!</v>
      </c>
      <c r="EE5" s="969" t="e">
        <f>[1]!bodmoadal(1,1,(EE1+1),[1]!qsn([1]!ml([1]!taqsha(1,1,1+EE1,EE2)),EE3)/30,EE2,EE3)</f>
        <v>#VALUE!</v>
      </c>
      <c r="EF5" s="969" t="e">
        <f>[1]!bodmoadal(1,1,(EF1+1),[1]!qsn([1]!ml([1]!taqsha(1,1,1+EF1,EF2)),EF3)/30,EF2,EF3)</f>
        <v>#VALUE!</v>
      </c>
      <c r="EG5" s="969" t="e">
        <f>[1]!bodmoadal(1,1,(EG1+1),[1]!qsn([1]!ml([1]!taqsha(1,1,1+EG1,EG2)),EG3)/30,EG2,EG3)</f>
        <v>#VALUE!</v>
      </c>
      <c r="EH5" s="969" t="e">
        <f>[1]!bodmoadal(1,1,(EH1+1),[1]!qsn([1]!ml([1]!taqsha(1,1,1+EH1,EH2)),EH3)/30,EH2,EH3)</f>
        <v>#VALUE!</v>
      </c>
      <c r="EI5" s="969" t="e">
        <f>[1]!bodmoadal(1,1,(EI1+1),[1]!qsn([1]!ml([1]!taqsha(1,1,1+EI1,EI2)),EI3)/30,EI2,EI3)</f>
        <v>#VALUE!</v>
      </c>
      <c r="EJ5" s="969" t="e">
        <f>[1]!bodmoadal(1,1,(EJ1+1),[1]!qsn([1]!ml([1]!taqsha(1,1,1+EJ1,EJ2)),EJ3)/30,EJ2,EJ3)</f>
        <v>#VALUE!</v>
      </c>
      <c r="EK5" s="969" t="e">
        <f>[1]!bodmoadal(1,1,(EK1+1),[1]!qsn([1]!ml([1]!taqsha(1,1,1+EK1,EK2)),EK3)/30,EK2,EK3)</f>
        <v>#VALUE!</v>
      </c>
      <c r="EL5" s="969" t="e">
        <f>[1]!bodmoadal(1,1,(EL1+1),[1]!qsn([1]!ml([1]!taqsha(1,1,1+EL1,EL2)),EL3)/30,EL2,EL3)</f>
        <v>#VALUE!</v>
      </c>
      <c r="EM5" s="969" t="e">
        <f>[1]!bodmoadal(1,1,(EM1+1),[1]!qsn([1]!ml([1]!taqsha(1,1,1+EM1,EM2)),EM3)/30,EM2,EM3)</f>
        <v>#VALUE!</v>
      </c>
      <c r="EN5" s="969" t="e">
        <f>[1]!bodmoadal(1,1,(EN1+1),[1]!qsn([1]!ml([1]!taqsha(1,1,1+EN1,EN2)),EN3)/30,EN2,EN3)</f>
        <v>#VALUE!</v>
      </c>
      <c r="EO5" s="969" t="e">
        <f>[1]!bodmoadal(1,1,(EO1+1),[1]!qsn([1]!ml([1]!taqsha(1,1,1+EO1,EO2)),EO3)/30,EO2,EO3)</f>
        <v>#VALUE!</v>
      </c>
      <c r="EP5" s="969" t="e">
        <f>[1]!bodmoadal(1,1,(EP1+1),[1]!qsn([1]!ml([1]!taqsha(1,1,1+EP1,EP2)),EP3)/30,EP2,EP3)</f>
        <v>#VALUE!</v>
      </c>
      <c r="EQ5" s="969" t="e">
        <f>[1]!bodmoadal(1,1,(EQ1+1),[1]!qsn([1]!ml([1]!taqsha(1,1,1+EQ1,EQ2)),EQ3)/30,EQ2,EQ3)</f>
        <v>#VALUE!</v>
      </c>
      <c r="ER5" s="969" t="e">
        <f>[1]!bodmoadal(1,1,(ER1+1),[1]!qsn([1]!ml([1]!taqsha(1,1,1+ER1,ER2)),ER3)/30,ER2,ER3)</f>
        <v>#VALUE!</v>
      </c>
      <c r="ES5" s="969" t="e">
        <f>[1]!bodmoadal(1,1,(ES1+1),[1]!qsn([1]!ml([1]!taqsha(1,1,1+ES1,ES2)),ES3)/30,ES2,ES3)</f>
        <v>#VALUE!</v>
      </c>
      <c r="ET5" s="969" t="e">
        <f>[1]!bodmoadal(1,1,(ET1+1),[1]!qsn([1]!ml([1]!taqsha(1,1,1+ET1,ET2)),ET3)/30,ET2,ET3)</f>
        <v>#VALUE!</v>
      </c>
      <c r="EU5" s="969" t="e">
        <f>[1]!bodmoadal(1,1,(EU1+1),[1]!qsn([1]!ml([1]!taqsha(1,1,1+EU1,EU2)),EU3)/30,EU2,EU3)</f>
        <v>#VALUE!</v>
      </c>
      <c r="EV5" s="969" t="e">
        <f>[1]!bodmoadal(1,1,(EV1+1),[1]!qsn([1]!ml([1]!taqsha(1,1,1+EV1,EV2)),EV3)/30,EV2,EV3)</f>
        <v>#VALUE!</v>
      </c>
      <c r="EW5" s="969" t="e">
        <f>[1]!bodmoadal(1,1,(EW1+1),[1]!qsn([1]!ml([1]!taqsha(1,1,1+EW1,EW2)),EW3)/30,EW2,EW3)</f>
        <v>#VALUE!</v>
      </c>
      <c r="EX5" s="969" t="e">
        <f>[1]!bodmoadal(1,1,(EX1+1),[1]!qsn([1]!ml([1]!taqsha(1,1,1+EX1,EX2)),EX3)/30,EX2,EX3)</f>
        <v>#VALUE!</v>
      </c>
      <c r="EY5" s="969" t="e">
        <f>[1]!bodmoadal(1,1,(EY1+1),[1]!qsn([1]!ml([1]!taqsha(1,1,1+EY1,EY2)),EY3)/30,EY2,EY3)</f>
        <v>#VALUE!</v>
      </c>
      <c r="EZ5" s="969" t="e">
        <f>[1]!bodmoadal(1,1,(EZ1+1),[1]!qsn([1]!ml([1]!taqsha(1,1,1+EZ1,EZ2)),EZ3)/30,EZ2,EZ3)</f>
        <v>#VALUE!</v>
      </c>
      <c r="FA5" s="969" t="e">
        <f>[1]!bodmoadal(1,1,(FA1+1),[1]!qsn([1]!ml([1]!taqsha(1,1,1+FA1,FA2)),FA3)/30,FA2,FA3)</f>
        <v>#VALUE!</v>
      </c>
      <c r="FB5" s="969" t="e">
        <f>[1]!bodmoadal(1,1,(FB1+1),[1]!qsn([1]!ml([1]!taqsha(1,1,1+FB1,FB2)),FB3)/30,FB2,FB3)</f>
        <v>#VALUE!</v>
      </c>
      <c r="FC5" s="969" t="e">
        <f>[1]!bodmoadal(1,1,(FC1+1),[1]!qsn([1]!ml([1]!taqsha(1,1,1+FC1,FC2)),FC3)/30,FC2,FC3)</f>
        <v>#VALUE!</v>
      </c>
      <c r="FD5" s="969" t="e">
        <f>[1]!bodmoadal(1,1,(FD1+1),[1]!qsn([1]!ml([1]!taqsha(1,1,1+FD1,FD2)),FD3)/30,FD2,FD3)</f>
        <v>#VALUE!</v>
      </c>
      <c r="FE5" s="969" t="e">
        <f>[1]!bodmoadal(1,1,(FE1+1),[1]!qsn([1]!ml([1]!taqsha(1,1,1+FE1,FE2)),FE3)/30,FE2,FE3)</f>
        <v>#VALUE!</v>
      </c>
      <c r="FF5" s="969" t="e">
        <f>[1]!bodmoadal(1,1,(FF1+1),[1]!qsn([1]!ml([1]!taqsha(1,1,1+FF1,FF2)),FF3)/30,FF2,FF3)</f>
        <v>#VALUE!</v>
      </c>
      <c r="FG5" s="969" t="e">
        <f>[1]!bodmoadal(1,1,(FG1+1),[1]!qsn([1]!ml([1]!taqsha(1,1,1+FG1,FG2)),FG3)/30,FG2,FG3)</f>
        <v>#VALUE!</v>
      </c>
      <c r="FH5" s="969" t="e">
        <f>[1]!bodmoadal(1,1,(FH1+1),[1]!qsn([1]!ml([1]!taqsha(1,1,1+FH1,FH2)),FH3)/30,FH2,FH3)</f>
        <v>#VALUE!</v>
      </c>
      <c r="FI5" s="969" t="e">
        <f>[1]!bodmoadal(1,1,(FI1+1),[1]!qsn([1]!ml([1]!taqsha(1,1,1+FI1,FI2)),FI3)/30,FI2,FI3)</f>
        <v>#VALUE!</v>
      </c>
      <c r="FJ5" s="969" t="e">
        <f>[1]!bodmoadal(1,1,(FJ1+1),[1]!qsn([1]!ml([1]!taqsha(1,1,1+FJ1,FJ2)),FJ3)/30,FJ2,FJ3)</f>
        <v>#VALUE!</v>
      </c>
      <c r="FK5" s="969" t="e">
        <f>[1]!bodmoadal(1,1,(FK1+1),[1]!qsn([1]!ml([1]!taqsha(1,1,1+FK1,FK2)),FK3)/30,FK2,FK3)</f>
        <v>#VALUE!</v>
      </c>
      <c r="FL5" s="969" t="e">
        <f>[1]!bodmoadal(1,1,(FL1+1),[1]!qsn([1]!ml([1]!taqsha(1,1,1+FL1,FL2)),FL3)/30,FL2,FL3)</f>
        <v>#VALUE!</v>
      </c>
      <c r="FM5" s="969" t="e">
        <f>[1]!bodmoadal(1,1,(FM1+1),[1]!qsn([1]!ml([1]!taqsha(1,1,1+FM1,FM2)),FM3)/30,FM2,FM3)</f>
        <v>#VALUE!</v>
      </c>
      <c r="FN5" s="969" t="e">
        <f>[1]!bodmoadal(1,1,(FN1+1),[1]!qsn([1]!ml([1]!taqsha(1,1,1+FN1,FN2)),FN3)/30,FN2,FN3)</f>
        <v>#VALUE!</v>
      </c>
      <c r="FO5" s="969" t="e">
        <f>[1]!bodmoadal(1,1,(FO1+1),[1]!qsn([1]!ml([1]!taqsha(1,1,1+FO1,FO2)),FO3)/30,FO2,FO3)</f>
        <v>#VALUE!</v>
      </c>
      <c r="FP5" s="969" t="e">
        <f>[1]!bodmoadal(1,1,(FP1+1),[1]!qsn([1]!ml([1]!taqsha(1,1,1+FP1,FP2)),FP3)/30,FP2,FP3)</f>
        <v>#VALUE!</v>
      </c>
      <c r="FQ5" s="969" t="e">
        <f>[1]!bodmoadal(1,1,(FQ1+1),[1]!qsn([1]!ml([1]!taqsha(1,1,1+FQ1,FQ2)),FQ3)/30,FQ2,FQ3)</f>
        <v>#VALUE!</v>
      </c>
      <c r="FR5" s="969" t="e">
        <f>[1]!bodmoadal(1,1,(FR1+1),[1]!qsn([1]!ml([1]!taqsha(1,1,1+FR1,FR2)),FR3)/30,FR2,FR3)</f>
        <v>#VALUE!</v>
      </c>
      <c r="FS5" s="969" t="e">
        <f>[1]!bodmoadal(1,1,(FS1+1),[1]!qsn([1]!ml([1]!taqsha(1,1,1+FS1,FS2)),FS3)/30,FS2,FS3)</f>
        <v>#VALUE!</v>
      </c>
      <c r="FT5" s="969" t="e">
        <f>[1]!bodmoadal(1,1,(FT1+1),[1]!qsn([1]!ml([1]!taqsha(1,1,1+FT1,FT2)),FT3)/30,FT2,FT3)</f>
        <v>#VALUE!</v>
      </c>
      <c r="FU5" s="969" t="e">
        <f>[1]!bodmoadal(1,1,(FU1+1),[1]!qsn([1]!ml([1]!taqsha(1,1,1+FU1,FU2)),FU3)/30,FU2,FU3)</f>
        <v>#VALUE!</v>
      </c>
      <c r="FV5" s="969" t="e">
        <f>[1]!bodmoadal(1,1,(FV1+1),[1]!qsn([1]!ml([1]!taqsha(1,1,1+FV1,FV2)),FV3)/30,FV2,FV3)</f>
        <v>#VALUE!</v>
      </c>
      <c r="FW5" s="969" t="e">
        <f>[1]!bodmoadal(1,1,(FW1+1),[1]!qsn([1]!ml([1]!taqsha(1,1,1+FW1,FW2)),FW3)/30,FW2,FW3)</f>
        <v>#VALUE!</v>
      </c>
      <c r="FX5" s="969" t="e">
        <f>[1]!bodmoadal(1,1,(FX1+1),[1]!qsn([1]!ml([1]!taqsha(1,1,1+FX1,FX2)),FX3)/30,FX2,FX3)</f>
        <v>#VALUE!</v>
      </c>
      <c r="FY5" s="969" t="e">
        <f>[1]!bodmoadal(1,1,(FY1+1),[1]!qsn([1]!ml([1]!taqsha(1,1,1+FY1,FY2)),FY3)/30,FY2,FY3)</f>
        <v>#VALUE!</v>
      </c>
      <c r="FZ5" s="969" t="e">
        <f>[1]!bodmoadal(1,1,(FZ1+1),[1]!qsn([1]!ml([1]!taqsha(1,1,1+FZ1,FZ2)),FZ3)/30,FZ2,FZ3)</f>
        <v>#VALUE!</v>
      </c>
      <c r="GA5" s="969" t="e">
        <f>[1]!bodmoadal(1,1,(GA1+1),[1]!qsn([1]!ml([1]!taqsha(1,1,1+GA1,GA2)),GA3)/30,GA2,GA3)</f>
        <v>#VALUE!</v>
      </c>
      <c r="GB5" s="969" t="e">
        <f>[1]!bodmoadal(1,1,(GB1+1),[1]!qsn([1]!ml([1]!taqsha(1,1,1+GB1,GB2)),GB3)/30,GB2,GB3)</f>
        <v>#VALUE!</v>
      </c>
      <c r="GC5" s="969" t="e">
        <f>[1]!bodmoadal(1,1,(GC1+1),[1]!qsn([1]!ml([1]!taqsha(1,1,1+GC1,GC2)),GC3)/30,GC2,GC3)</f>
        <v>#VALUE!</v>
      </c>
      <c r="GD5" s="969" t="e">
        <f>[1]!bodmoadal(1,1,(GD1+1),[1]!qsn([1]!ml([1]!taqsha(1,1,1+GD1,GD2)),GD3)/30,GD2,GD3)</f>
        <v>#VALUE!</v>
      </c>
      <c r="GE5" s="969" t="e">
        <f>[1]!bodmoadal(1,1,(GE1+1),[1]!qsn([1]!ml([1]!taqsha(1,1,1+GE1,GE2)),GE3)/30,GE2,GE3)</f>
        <v>#VALUE!</v>
      </c>
      <c r="GF5" s="969" t="e">
        <f>[1]!bodmoadal(1,1,(GF1+1),[1]!qsn([1]!ml([1]!taqsha(1,1,1+GF1,GF2)),GF3)/30,GF2,GF3)</f>
        <v>#VALUE!</v>
      </c>
      <c r="GG5" s="969" t="e">
        <f>[1]!bodmoadal(1,1,(GG1+1),[1]!qsn([1]!ml([1]!taqsha(1,1,1+GG1,GG2)),GG3)/30,GG2,GG3)</f>
        <v>#VALUE!</v>
      </c>
      <c r="GH5" s="969" t="e">
        <f>[1]!bodmoadal(1,1,(GH1+1),[1]!qsn([1]!ml([1]!taqsha(1,1,1+GH1,GH2)),GH3)/30,GH2,GH3)</f>
        <v>#VALUE!</v>
      </c>
      <c r="GI5" s="969" t="e">
        <f>[1]!bodmoadal(1,1,(GI1+1),[1]!qsn([1]!ml([1]!taqsha(1,1,1+GI1,GI2)),GI3)/30,GI2,GI3)</f>
        <v>#VALUE!</v>
      </c>
      <c r="GJ5" s="969" t="e">
        <f>[1]!bodmoadal(1,1,(GJ1+1),[1]!qsn([1]!ml([1]!taqsha(1,1,1+GJ1,GJ2)),GJ3)/30,GJ2,GJ3)</f>
        <v>#VALUE!</v>
      </c>
      <c r="GK5" s="969" t="e">
        <f>[1]!bodmoadal(1,1,(GK1+1),[1]!qsn([1]!ml([1]!taqsha(1,1,1+GK1,GK2)),GK3)/30,GK2,GK3)</f>
        <v>#VALUE!</v>
      </c>
      <c r="GL5" s="969" t="e">
        <f>[1]!bodmoadal(1,1,(GL1+1),[1]!qsn([1]!ml([1]!taqsha(1,1,1+GL1,GL2)),GL3)/30,GL2,GL3)</f>
        <v>#VALUE!</v>
      </c>
      <c r="GM5" s="969" t="e">
        <f>[1]!bodmoadal(1,1,(GM1+1),[1]!qsn([1]!ml([1]!taqsha(1,1,1+GM1,GM2)),GM3)/30,GM2,GM3)</f>
        <v>#VALUE!</v>
      </c>
      <c r="GN5" s="969" t="e">
        <f>[1]!bodmoadal(1,1,(GN1+1),[1]!qsn([1]!ml([1]!taqsha(1,1,1+GN1,GN2)),GN3)/30,GN2,GN3)</f>
        <v>#VALUE!</v>
      </c>
      <c r="GO5" s="969" t="e">
        <f>[1]!bodmoadal(1,1,(GO1+1),[1]!qsn([1]!ml([1]!taqsha(1,1,1+GO1,GO2)),GO3)/30,GO2,GO3)</f>
        <v>#VALUE!</v>
      </c>
      <c r="GP5" s="969" t="e">
        <f>[1]!bodmoadal(1,1,(GP1+1),[1]!qsn([1]!ml([1]!taqsha(1,1,1+GP1,GP2)),GP3)/30,GP2,GP3)</f>
        <v>#VALUE!</v>
      </c>
      <c r="GQ5" s="969" t="e">
        <f>[1]!bodmoadal(1,1,(GQ1+1),[1]!qsn([1]!ml([1]!taqsha(1,1,1+GQ1,GQ2)),GQ3)/30,GQ2,GQ3)</f>
        <v>#VALUE!</v>
      </c>
      <c r="GR5" s="969" t="e">
        <f>[1]!bodmoadal(1,1,(GR1+1),[1]!qsn([1]!ml([1]!taqsha(1,1,1+GR1,GR2)),GR3)/30,GR2,GR3)</f>
        <v>#VALUE!</v>
      </c>
      <c r="GS5" s="969" t="e">
        <f>[1]!bodmoadal(1,1,(GS1+1),[1]!qsn([1]!ml([1]!taqsha(1,1,1+GS1,GS2)),GS3)/30,GS2,GS3)</f>
        <v>#VALUE!</v>
      </c>
      <c r="GT5" s="969" t="e">
        <f>[1]!bodmoadal(1,1,(GT1+1),[1]!qsn([1]!ml([1]!taqsha(1,1,1+GT1,GT2)),GT3)/30,GT2,GT3)</f>
        <v>#VALUE!</v>
      </c>
      <c r="GU5" s="969" t="e">
        <f>[1]!bodmoadal(1,1,(GU1+1),[1]!qsn([1]!ml([1]!taqsha(1,1,1+GU1,GU2)),GU3)/30,GU2,GU3)</f>
        <v>#VALUE!</v>
      </c>
      <c r="GV5" s="969" t="e">
        <f>[1]!bodmoadal(1,1,(GV1+1),[1]!qsn([1]!ml([1]!taqsha(1,1,1+GV1,GV2)),GV3)/30,GV2,GV3)</f>
        <v>#VALUE!</v>
      </c>
      <c r="GW5" s="969" t="e">
        <f>[1]!bodmoadal(1,1,(GW1+1),[1]!qsn([1]!ml([1]!taqsha(1,1,1+GW1,GW2)),GW3)/30,GW2,GW3)</f>
        <v>#VALUE!</v>
      </c>
      <c r="GX5" s="969" t="e">
        <f>[1]!bodmoadal(1,1,(GX1+1),[1]!qsn([1]!ml([1]!taqsha(1,1,1+GX1,GX2)),GX3)/30,GX2,GX3)</f>
        <v>#VALUE!</v>
      </c>
      <c r="GY5" s="969" t="e">
        <f>[1]!bodmoadal(1,1,(GY1+1),[1]!qsn([1]!ml([1]!taqsha(1,1,1+GY1,GY2)),GY3)/30,GY2,GY3)</f>
        <v>#VALUE!</v>
      </c>
      <c r="GZ5" s="969" t="e">
        <f>[1]!bodmoadal(1,1,(GZ1+1),[1]!qsn([1]!ml([1]!taqsha(1,1,1+GZ1,GZ2)),GZ3)/30,GZ2,GZ3)</f>
        <v>#VALUE!</v>
      </c>
      <c r="HA5" s="969" t="e">
        <f>[1]!bodmoadal(1,1,(HA1+1),[1]!qsn([1]!ml([1]!taqsha(1,1,1+HA1,HA2)),HA3)/30,HA2,HA3)</f>
        <v>#VALUE!</v>
      </c>
      <c r="HB5" s="969" t="e">
        <f>[1]!bodmoadal(1,1,(HB1+1),[1]!qsn([1]!ml([1]!taqsha(1,1,1+HB1,HB2)),HB3)/30,HB2,HB3)</f>
        <v>#VALUE!</v>
      </c>
      <c r="HC5" s="969" t="e">
        <f>[1]!bodmoadal(1,1,(HC1+1),[1]!qsn([1]!ml([1]!taqsha(1,1,1+HC1,HC2)),HC3)/30,HC2,HC3)</f>
        <v>#VALUE!</v>
      </c>
      <c r="HD5" s="969" t="e">
        <f>[1]!bodmoadal(1,1,(HD1+1),[1]!qsn([1]!ml([1]!taqsha(1,1,1+HD1,HD2)),HD3)/30,HD2,HD3)</f>
        <v>#VALUE!</v>
      </c>
      <c r="HE5" s="969" t="e">
        <f>[1]!bodmoadal(1,1,(HE1+1),[1]!qsn([1]!ml([1]!taqsha(1,1,1+HE1,HE2)),HE3)/30,HE2,HE3)</f>
        <v>#VALUE!</v>
      </c>
      <c r="HF5" s="969" t="e">
        <f>[1]!bodmoadal(1,1,(HF1+1),[1]!qsn([1]!ml([1]!taqsha(1,1,1+HF1,HF2)),HF3)/30,HF2,HF3)</f>
        <v>#VALUE!</v>
      </c>
      <c r="HG5" s="969" t="e">
        <f>[1]!bodmoadal(1,1,(HG1+1),[1]!qsn([1]!ml([1]!taqsha(1,1,1+HG1,HG2)),HG3)/30,HG2,HG3)</f>
        <v>#VALUE!</v>
      </c>
      <c r="HH5" s="969" t="e">
        <f>[1]!bodmoadal(1,1,(HH1+1),[1]!qsn([1]!ml([1]!taqsha(1,1,1+HH1,HH2)),HH3)/30,HH2,HH3)</f>
        <v>#VALUE!</v>
      </c>
      <c r="HI5" s="969" t="e">
        <f>[1]!bodmoadal(1,1,(HI1+1),[1]!qsn([1]!ml([1]!taqsha(1,1,1+HI1,HI2)),HI3)/30,HI2,HI3)</f>
        <v>#VALUE!</v>
      </c>
      <c r="HJ5" s="969" t="e">
        <f>[1]!bodmoadal(1,1,(HJ1+1),[1]!qsn([1]!ml([1]!taqsha(1,1,1+HJ1,HJ2)),HJ3)/30,HJ2,HJ3)</f>
        <v>#VALUE!</v>
      </c>
      <c r="HK5" s="969" t="e">
        <f>[1]!bodmoadal(1,1,(HK1+1),[1]!qsn([1]!ml([1]!taqsha(1,1,1+HK1,HK2)),HK3)/30,HK2,HK3)</f>
        <v>#VALUE!</v>
      </c>
      <c r="HL5" s="969" t="e">
        <f>[1]!bodmoadal(1,1,(HL1+1),[1]!qsn([1]!ml([1]!taqsha(1,1,1+HL1,HL2)),HL3)/30,HL2,HL3)</f>
        <v>#VALUE!</v>
      </c>
      <c r="HM5" s="969" t="e">
        <f>[1]!bodmoadal(1,1,(HM1+1),[1]!qsn([1]!ml([1]!taqsha(1,1,1+HM1,HM2)),HM3)/30,HM2,HM3)</f>
        <v>#VALUE!</v>
      </c>
      <c r="HN5" s="969" t="e">
        <f>[1]!bodmoadal(1,1,(HN1+1),[1]!qsn([1]!ml([1]!taqsha(1,1,1+HN1,HN2)),HN3)/30,HN2,HN3)</f>
        <v>#VALUE!</v>
      </c>
      <c r="HO5" s="969" t="e">
        <f>[1]!bodmoadal(1,1,(HO1+1),[1]!qsn([1]!ml([1]!taqsha(1,1,1+HO1,HO2)),HO3)/30,HO2,HO3)</f>
        <v>#VALUE!</v>
      </c>
      <c r="HP5" s="969" t="e">
        <f>[1]!bodmoadal(1,1,(HP1+1),[1]!qsn([1]!ml([1]!taqsha(1,1,1+HP1,HP2)),HP3)/30,HP2,HP3)</f>
        <v>#VALUE!</v>
      </c>
      <c r="HQ5" s="969" t="e">
        <f>[1]!bodmoadal(1,1,(HQ1+1),[1]!qsn([1]!ml([1]!taqsha(1,1,1+HQ1,HQ2)),HQ3)/30,HQ2,HQ3)</f>
        <v>#VALUE!</v>
      </c>
      <c r="HR5" s="969" t="e">
        <f>[1]!bodmoadal(1,1,(HR1+1),[1]!qsn([1]!ml([1]!taqsha(1,1,1+HR1,HR2)),HR3)/30,HR2,HR3)</f>
        <v>#VALUE!</v>
      </c>
      <c r="HS5" s="969" t="e">
        <f>[1]!bodmoadal(1,1,(HS1+1),[1]!qsn([1]!ml([1]!taqsha(1,1,1+HS1,HS2)),HS3)/30,HS2,HS3)</f>
        <v>#VALUE!</v>
      </c>
      <c r="HT5" s="969" t="e">
        <f>[1]!bodmoadal(1,1,(HT1+1),[1]!qsn([1]!ml([1]!taqsha(1,1,1+HT1,HT2)),HT3)/30,HT2,HT3)</f>
        <v>#VALUE!</v>
      </c>
      <c r="HU5" s="969" t="e">
        <f>[1]!bodmoadal(1,1,(HU1+1),[1]!qsn([1]!ml([1]!taqsha(1,1,1+HU1,HU2)),HU3)/30,HU2,HU3)</f>
        <v>#VALUE!</v>
      </c>
      <c r="HV5" s="969" t="e">
        <f>[1]!bodmoadal(1,1,(HV1+1),[1]!qsn([1]!ml([1]!taqsha(1,1,1+HV1,HV2)),HV3)/30,HV2,HV3)</f>
        <v>#VALUE!</v>
      </c>
      <c r="HW5" s="969" t="e">
        <f>[1]!bodmoadal(1,1,(HW1+1),[1]!qsn([1]!ml([1]!taqsha(1,1,1+HW1,HW2)),HW3)/30,HW2,HW3)</f>
        <v>#VALUE!</v>
      </c>
      <c r="HX5" s="969" t="e">
        <f>[1]!bodmoadal(1,1,(HX1+1),[1]!qsn([1]!ml([1]!taqsha(1,1,1+HX1,HX2)),HX3)/30,HX2,HX3)</f>
        <v>#VALUE!</v>
      </c>
      <c r="HY5" s="969" t="e">
        <f>[1]!bodmoadal(1,1,(HY1+1),[1]!qsn([1]!ml([1]!taqsha(1,1,1+HY1,HY2)),HY3)/30,HY2,HY3)</f>
        <v>#VALUE!</v>
      </c>
      <c r="HZ5" s="969" t="e">
        <f>[1]!bodmoadal(1,1,(HZ1+1),[1]!qsn([1]!ml([1]!taqsha(1,1,1+HZ1,HZ2)),HZ3)/30,HZ2,HZ3)</f>
        <v>#VALUE!</v>
      </c>
      <c r="IA5" s="969" t="e">
        <f>[1]!bodmoadal(1,1,(IA1+1),[1]!qsn([1]!ml([1]!taqsha(1,1,1+IA1,IA2)),IA3)/30,IA2,IA3)</f>
        <v>#VALUE!</v>
      </c>
      <c r="IB5" s="969" t="e">
        <f>[1]!bodmoadal(1,1,(IB1+1),[1]!qsn([1]!ml([1]!taqsha(1,1,1+IB1,IB2)),IB3)/30,IB2,IB3)</f>
        <v>#VALUE!</v>
      </c>
      <c r="IC5" s="969" t="e">
        <f>[1]!bodmoadal(1,1,(IC1+1),[1]!qsn([1]!ml([1]!taqsha(1,1,1+IC1,IC2)),IC3)/30,IC2,IC3)</f>
        <v>#VALUE!</v>
      </c>
      <c r="ID5" s="969" t="e">
        <f>[1]!bodmoadal(1,1,(ID1+1),[1]!qsn([1]!ml([1]!taqsha(1,1,1+ID1,ID2)),ID3)/30,ID2,ID3)</f>
        <v>#VALUE!</v>
      </c>
      <c r="IE5" s="969" t="e">
        <f>[1]!bodmoadal(1,1,(IE1+1),[1]!qsn([1]!ml([1]!taqsha(1,1,1+IE1,IE2)),IE3)/30,IE2,IE3)</f>
        <v>#VALUE!</v>
      </c>
      <c r="IF5" s="969" t="e">
        <f>[1]!bodmoadal(1,1,(IF1+1),[1]!qsn([1]!ml([1]!taqsha(1,1,1+IF1,IF2)),IF3)/30,IF2,IF3)</f>
        <v>#VALUE!</v>
      </c>
      <c r="IG5" s="969" t="e">
        <f>[1]!bodmoadal(1,1,(IG1+1),[1]!qsn([1]!ml([1]!taqsha(1,1,1+IG1,IG2)),IG3)/30,IG2,IG3)</f>
        <v>#VALUE!</v>
      </c>
      <c r="IH5" s="969" t="e">
        <f>[1]!bodmoadal(1,1,(IH1+1),[1]!qsn([1]!ml([1]!taqsha(1,1,1+IH1,IH2)),IH3)/30,IH2,IH3)</f>
        <v>#VALUE!</v>
      </c>
      <c r="II5" s="969" t="e">
        <f>[1]!bodmoadal(1,1,(II1+1),[1]!qsn([1]!ml([1]!taqsha(1,1,1+II1,II2)),II3)/30,II2,II3)</f>
        <v>#VALUE!</v>
      </c>
      <c r="IJ5" s="969" t="e">
        <f>[1]!bodmoadal(1,1,(IJ1+1),[1]!qsn([1]!ml([1]!taqsha(1,1,1+IJ1,IJ2)),IJ3)/30,IJ2,IJ3)</f>
        <v>#VALUE!</v>
      </c>
      <c r="IK5" s="969" t="e">
        <f>[1]!bodmoadal(1,1,(IK1+1),[1]!qsn([1]!ml([1]!taqsha(1,1,1+IK1,IK2)),IK3)/30,IK2,IK3)</f>
        <v>#VALUE!</v>
      </c>
      <c r="IL5" s="969" t="e">
        <f>[1]!bodmoadal(1,1,(IL1+1),[1]!qsn([1]!ml([1]!taqsha(1,1,1+IL1,IL2)),IL3)/30,IL2,IL3)</f>
        <v>#VALUE!</v>
      </c>
      <c r="IM5" s="969" t="e">
        <f>[1]!bodmoadal(1,1,(IM1+1),[1]!qsn([1]!ml([1]!taqsha(1,1,1+IM1,IM2)),IM3)/30,IM2,IM3)</f>
        <v>#VALUE!</v>
      </c>
      <c r="IN5" s="969" t="e">
        <f>[1]!bodmoadal(1,1,(IN1+1),[1]!qsn([1]!ml([1]!taqsha(1,1,1+IN1,IN2)),IN3)/30,IN2,IN3)</f>
        <v>#VALUE!</v>
      </c>
      <c r="IO5" s="969" t="e">
        <f>[1]!bodmoadal(1,1,(IO1+1),[1]!qsn([1]!ml([1]!taqsha(1,1,1+IO1,IO2)),IO3)/30,IO2,IO3)</f>
        <v>#VALUE!</v>
      </c>
      <c r="IP5" s="969" t="e">
        <f>[1]!bodmoadal(1,1,(IP1+1),[1]!qsn([1]!ml([1]!taqsha(1,1,1+IP1,IP2)),IP3)/30,IP2,IP3)</f>
        <v>#VALUE!</v>
      </c>
      <c r="IQ5" s="969" t="e">
        <f>[1]!bodmoadal(1,1,(IQ1+1),[1]!qsn([1]!ml([1]!taqsha(1,1,1+IQ1,IQ2)),IQ3)/30,IQ2,IQ3)</f>
        <v>#VALUE!</v>
      </c>
      <c r="IR5" s="969" t="e">
        <f>[1]!bodmoadal(1,1,(IR1+1),[1]!qsn([1]!ml([1]!taqsha(1,1,1+IR1,IR2)),IR3)/30,IR2,IR3)</f>
        <v>#VALUE!</v>
      </c>
      <c r="IS5" s="969" t="e">
        <f>[1]!bodmoadal(1,1,(IS1+1),[1]!qsn([1]!ml([1]!taqsha(1,1,1+IS1,IS2)),IS3)/30,IS2,IS3)</f>
        <v>#VALUE!</v>
      </c>
      <c r="IT5" s="969" t="e">
        <f>[1]!bodmoadal(1,1,(IT1+1),[1]!qsn([1]!ml([1]!taqsha(1,1,1+IT1,IT2)),IT3)/30,IT2,IT3)</f>
        <v>#VALUE!</v>
      </c>
      <c r="IU5" s="969" t="e">
        <f>[1]!bodmoadal(1,1,(IU1+1),[1]!qsn([1]!ml([1]!taqsha(1,1,1+IU1,IU2)),IU3)/30,IU2,IU3)</f>
        <v>#VALUE!</v>
      </c>
      <c r="IV5" s="969" t="e">
        <f>[1]!bodmoadal(1,1,(IV1+1),[1]!qsn([1]!ml([1]!taqsha(1,1,1+IV1,IV2)),IV3)/30,IV2,IV3)</f>
        <v>#VALUE!</v>
      </c>
      <c r="IW5" s="969" t="e">
        <f>[1]!bodmoadal(1,1,(IW1+1),[1]!qsn([1]!ml([1]!taqsha(1,1,1+IW1,IW2)),IW3)/30,IW2,IW3)</f>
        <v>#VALUE!</v>
      </c>
      <c r="IX5" s="969" t="e">
        <f>[1]!bodmoadal(1,1,(IX1+1),[1]!qsn([1]!ml([1]!taqsha(1,1,1+IX1,IX2)),IX3)/30,IX2,IX3)</f>
        <v>#VALUE!</v>
      </c>
      <c r="IY5" s="969" t="e">
        <f>[1]!bodmoadal(1,1,(IY1+1),[1]!qsn([1]!ml([1]!taqsha(1,1,1+IY1,IY2)),IY3)/30,IY2,IY3)</f>
        <v>#VALUE!</v>
      </c>
      <c r="IZ5" s="969" t="e">
        <f>[1]!bodmoadal(1,1,(IZ1+1),[1]!qsn([1]!ml([1]!taqsha(1,1,1+IZ1,IZ2)),IZ3)/30,IZ2,IZ3)</f>
        <v>#VALUE!</v>
      </c>
      <c r="JA5" s="969" t="e">
        <f>[1]!bodmoadal(1,1,(JA1+1),[1]!qsn([1]!ml([1]!taqsha(1,1,1+JA1,JA2)),JA3)/30,JA2,JA3)</f>
        <v>#VALUE!</v>
      </c>
      <c r="JB5" s="969" t="e">
        <f>[1]!bodmoadal(1,1,(JB1+1),[1]!qsn([1]!ml([1]!taqsha(1,1,1+JB1,JB2)),JB3)/30,JB2,JB3)</f>
        <v>#VALUE!</v>
      </c>
      <c r="JC5" s="969" t="e">
        <f>[1]!bodmoadal(1,1,(JC1+1),[1]!qsn([1]!ml([1]!taqsha(1,1,1+JC1,JC2)),JC3)/30,JC2,JC3)</f>
        <v>#VALUE!</v>
      </c>
      <c r="JD5" s="969" t="e">
        <f>[1]!bodmoadal(1,1,(JD1+1),[1]!qsn([1]!ml([1]!taqsha(1,1,1+JD1,JD2)),JD3)/30,JD2,JD3)</f>
        <v>#VALUE!</v>
      </c>
      <c r="JE5" s="969" t="e">
        <f>[1]!bodmoadal(1,1,(JE1+1),[1]!qsn([1]!ml([1]!taqsha(1,1,1+JE1,JE2)),JE3)/30,JE2,JE3)</f>
        <v>#VALUE!</v>
      </c>
      <c r="JF5" s="969" t="e">
        <f>[1]!bodmoadal(1,1,(JF1+1),[1]!qsn([1]!ml([1]!taqsha(1,1,1+JF1,JF2)),JF3)/30,JF2,JF3)</f>
        <v>#VALUE!</v>
      </c>
      <c r="JG5" s="969" t="e">
        <f>[1]!bodmoadal(1,1,(JG1+1),[1]!qsn([1]!ml([1]!taqsha(1,1,1+JG1,JG2)),JG3)/30,JG2,JG3)</f>
        <v>#VALUE!</v>
      </c>
      <c r="JH5" s="969" t="e">
        <f>[1]!bodmoadal(1,1,(JH1+1),[1]!qsn([1]!ml([1]!taqsha(1,1,1+JH1,JH2)),JH3)/30,JH2,JH3)</f>
        <v>#VALUE!</v>
      </c>
      <c r="JI5" s="969" t="e">
        <f>[1]!bodmoadal(1,1,(JI1+1),[1]!qsn([1]!ml([1]!taqsha(1,1,1+JI1,JI2)),JI3)/30,JI2,JI3)</f>
        <v>#VALUE!</v>
      </c>
      <c r="JJ5" s="969" t="e">
        <f>[1]!bodmoadal(1,1,(JJ1+1),[1]!qsn([1]!ml([1]!taqsha(1,1,1+JJ1,JJ2)),JJ3)/30,JJ2,JJ3)</f>
        <v>#VALUE!</v>
      </c>
      <c r="JK5" s="969" t="e">
        <f>[1]!bodmoadal(1,1,(JK1+1),[1]!qsn([1]!ml([1]!taqsha(1,1,1+JK1,JK2)),JK3)/30,JK2,JK3)</f>
        <v>#VALUE!</v>
      </c>
      <c r="JL5" s="969" t="e">
        <f>[1]!bodmoadal(1,1,(JL1+1),[1]!qsn([1]!ml([1]!taqsha(1,1,1+JL1,JL2)),JL3)/30,JL2,JL3)</f>
        <v>#VALUE!</v>
      </c>
      <c r="JM5" s="969" t="e">
        <f>[1]!bodmoadal(1,1,(JM1+1),[1]!qsn([1]!ml([1]!taqsha(1,1,1+JM1,JM2)),JM3)/30,JM2,JM3)</f>
        <v>#VALUE!</v>
      </c>
      <c r="JN5" s="969" t="e">
        <f>[1]!bodmoadal(1,1,(JN1+1),[1]!qsn([1]!ml([1]!taqsha(1,1,1+JN1,JN2)),JN3)/30,JN2,JN3)</f>
        <v>#VALUE!</v>
      </c>
      <c r="JO5" s="969" t="e">
        <f>[1]!bodmoadal(1,1,(JO1+1),[1]!qsn([1]!ml([1]!taqsha(1,1,1+JO1,JO2)),JO3)/30,JO2,JO3)</f>
        <v>#VALUE!</v>
      </c>
      <c r="JP5" s="969" t="e">
        <f>[1]!bodmoadal(1,1,(JP1+1),[1]!qsn([1]!ml([1]!taqsha(1,1,1+JP1,JP2)),JP3)/30,JP2,JP3)</f>
        <v>#VALUE!</v>
      </c>
      <c r="JQ5" s="969" t="e">
        <f>[1]!bodmoadal(1,1,(JQ1+1),[1]!qsn([1]!ml([1]!taqsha(1,1,1+JQ1,JQ2)),JQ3)/30,JQ2,JQ3)</f>
        <v>#VALUE!</v>
      </c>
      <c r="JR5" s="969" t="e">
        <f>[1]!bodmoadal(1,1,(JR1+1),[1]!qsn([1]!ml([1]!taqsha(1,1,1+JR1,JR2)),JR3)/30,JR2,JR3)</f>
        <v>#VALUE!</v>
      </c>
      <c r="JS5" s="969" t="e">
        <f>[1]!bodmoadal(1,1,(JS1+1),[1]!qsn([1]!ml([1]!taqsha(1,1,1+JS1,JS2)),JS3)/30,JS2,JS3)</f>
        <v>#VALUE!</v>
      </c>
      <c r="JT5" s="969" t="e">
        <f>[1]!bodmoadal(1,1,(JT1+1),[1]!qsn([1]!ml([1]!taqsha(1,1,1+JT1,JT2)),JT3)/30,JT2,JT3)</f>
        <v>#VALUE!</v>
      </c>
      <c r="JU5" s="969" t="e">
        <f>[1]!bodmoadal(1,1,(JU1+1),[1]!qsn([1]!ml([1]!taqsha(1,1,1+JU1,JU2)),JU3)/30,JU2,JU3)</f>
        <v>#VALUE!</v>
      </c>
      <c r="JV5" s="969" t="e">
        <f>[1]!bodmoadal(1,1,(JV1+1),[1]!qsn([1]!ml([1]!taqsha(1,1,1+JV1,JV2)),JV3)/30,JV2,JV3)</f>
        <v>#VALUE!</v>
      </c>
      <c r="JW5" s="969" t="e">
        <f>[1]!bodmoadal(1,1,(JW1+1),[1]!qsn([1]!ml([1]!taqsha(1,1,1+JW1,JW2)),JW3)/30,JW2,JW3)</f>
        <v>#VALUE!</v>
      </c>
      <c r="JX5" s="969" t="e">
        <f>[1]!bodmoadal(1,1,(JX1+1),[1]!qsn([1]!ml([1]!taqsha(1,1,1+JX1,JX2)),JX3)/30,JX2,JX3)</f>
        <v>#VALUE!</v>
      </c>
      <c r="JY5" s="969" t="e">
        <f>[1]!bodmoadal(1,1,(JY1+1),[1]!qsn([1]!ml([1]!taqsha(1,1,1+JY1,JY2)),JY3)/30,JY2,JY3)</f>
        <v>#VALUE!</v>
      </c>
      <c r="JZ5" s="969" t="e">
        <f>[1]!bodmoadal(1,1,(JZ1+1),[1]!qsn([1]!ml([1]!taqsha(1,1,1+JZ1,JZ2)),JZ3)/30,JZ2,JZ3)</f>
        <v>#VALUE!</v>
      </c>
      <c r="KA5" s="969" t="e">
        <f>[1]!bodmoadal(1,1,(KA1+1),[1]!qsn([1]!ml([1]!taqsha(1,1,1+KA1,KA2)),KA3)/30,KA2,KA3)</f>
        <v>#VALUE!</v>
      </c>
      <c r="KB5" s="969" t="e">
        <f>[1]!bodmoadal(1,1,(KB1+1),[1]!qsn([1]!ml([1]!taqsha(1,1,1+KB1,KB2)),KB3)/30,KB2,KB3)</f>
        <v>#VALUE!</v>
      </c>
      <c r="KC5" s="969" t="e">
        <f>[1]!bodmoadal(1,1,(KC1+1),[1]!qsn([1]!ml([1]!taqsha(1,1,1+KC1,KC2)),KC3)/30,KC2,KC3)</f>
        <v>#VALUE!</v>
      </c>
      <c r="KD5" s="969" t="e">
        <f>[1]!bodmoadal(1,1,(KD1+1),[1]!qsn([1]!ml([1]!taqsha(1,1,1+KD1,KD2)),KD3)/30,KD2,KD3)</f>
        <v>#VALUE!</v>
      </c>
      <c r="KE5" s="969" t="e">
        <f>[1]!bodmoadal(1,1,(KE1+1),[1]!qsn([1]!ml([1]!taqsha(1,1,1+KE1,KE2)),KE3)/30,KE2,KE3)</f>
        <v>#VALUE!</v>
      </c>
      <c r="KF5" s="969" t="e">
        <f>[1]!bodmoadal(1,1,(KF1+1),[1]!qsn([1]!ml([1]!taqsha(1,1,1+KF1,KF2)),KF3)/30,KF2,KF3)</f>
        <v>#VALUE!</v>
      </c>
      <c r="KG5" s="969" t="e">
        <f>[1]!bodmoadal(1,1,(KG1+1),[1]!qsn([1]!ml([1]!taqsha(1,1,1+KG1,KG2)),KG3)/30,KG2,KG3)</f>
        <v>#VALUE!</v>
      </c>
      <c r="KH5" s="969" t="e">
        <f>[1]!bodmoadal(1,1,(KH1+1),[1]!qsn([1]!ml([1]!taqsha(1,1,1+KH1,KH2)),KH3)/30,KH2,KH3)</f>
        <v>#VALUE!</v>
      </c>
      <c r="KI5" s="969" t="e">
        <f>[1]!bodmoadal(1,1,(KI1+1),[1]!qsn([1]!ml([1]!taqsha(1,1,1+KI1,KI2)),KI3)/30,KI2,KI3)</f>
        <v>#VALUE!</v>
      </c>
      <c r="KJ5" s="969" t="e">
        <f>[1]!bodmoadal(1,1,(KJ1+1),[1]!qsn([1]!ml([1]!taqsha(1,1,1+KJ1,KJ2)),KJ3)/30,KJ2,KJ3)</f>
        <v>#VALUE!</v>
      </c>
      <c r="KK5" s="969" t="e">
        <f>[1]!bodmoadal(1,1,(KK1+1),[1]!qsn([1]!ml([1]!taqsha(1,1,1+KK1,KK2)),KK3)/30,KK2,KK3)</f>
        <v>#VALUE!</v>
      </c>
      <c r="KL5" s="969" t="e">
        <f>[1]!bodmoadal(1,1,(KL1+1),[1]!qsn([1]!ml([1]!taqsha(1,1,1+KL1,KL2)),KL3)/30,KL2,KL3)</f>
        <v>#VALUE!</v>
      </c>
      <c r="KM5" s="969" t="e">
        <f>[1]!bodmoadal(1,1,(KM1+1),[1]!qsn([1]!ml([1]!taqsha(1,1,1+KM1,KM2)),KM3)/30,KM2,KM3)</f>
        <v>#VALUE!</v>
      </c>
      <c r="KN5" s="969" t="e">
        <f>[1]!bodmoadal(1,1,(KN1+1),[1]!qsn([1]!ml([1]!taqsha(1,1,1+KN1,KN2)),KN3)/30,KN2,KN3)</f>
        <v>#VALUE!</v>
      </c>
      <c r="KO5" s="969" t="e">
        <f>[1]!bodmoadal(1,1,(KO1+1),[1]!qsn([1]!ml([1]!taqsha(1,1,1+KO1,KO2)),KO3)/30,KO2,KO3)</f>
        <v>#VALUE!</v>
      </c>
      <c r="KP5" s="969" t="e">
        <f>[1]!bodmoadal(1,1,(KP1+1),[1]!qsn([1]!ml([1]!taqsha(1,1,1+KP1,KP2)),KP3)/30,KP2,KP3)</f>
        <v>#VALUE!</v>
      </c>
      <c r="KQ5" s="969" t="e">
        <f>[1]!bodmoadal(1,1,(KQ1+1),[1]!qsn([1]!ml([1]!taqsha(1,1,1+KQ1,KQ2)),KQ3)/30,KQ2,KQ3)</f>
        <v>#VALUE!</v>
      </c>
      <c r="KR5" s="969" t="e">
        <f>[1]!bodmoadal(1,1,(KR1+1),[1]!qsn([1]!ml([1]!taqsha(1,1,1+KR1,KR2)),KR3)/30,KR2,KR3)</f>
        <v>#VALUE!</v>
      </c>
      <c r="KS5" s="969" t="e">
        <f>[1]!bodmoadal(1,1,(KS1+1),[1]!qsn([1]!ml([1]!taqsha(1,1,1+KS1,KS2)),KS3)/30,KS2,KS3)</f>
        <v>#VALUE!</v>
      </c>
      <c r="KT5" s="969" t="e">
        <f>[1]!bodmoadal(1,1,(KT1+1),[1]!qsn([1]!ml([1]!taqsha(1,1,1+KT1,KT2)),KT3)/30,KT2,KT3)</f>
        <v>#VALUE!</v>
      </c>
      <c r="KU5" s="969" t="e">
        <f>[1]!bodmoadal(1,1,(KU1+1),[1]!qsn([1]!ml([1]!taqsha(1,1,1+KU1,KU2)),KU3)/30,KU2,KU3)</f>
        <v>#VALUE!</v>
      </c>
      <c r="KV5" s="969" t="e">
        <f>[1]!bodmoadal(1,1,(KV1+1),[1]!qsn([1]!ml([1]!taqsha(1,1,1+KV1,KV2)),KV3)/30,KV2,KV3)</f>
        <v>#VALUE!</v>
      </c>
      <c r="KW5" s="969" t="e">
        <f>[1]!bodmoadal(1,1,(KW1+1),[1]!qsn([1]!ml([1]!taqsha(1,1,1+KW1,KW2)),KW3)/30,KW2,KW3)</f>
        <v>#VALUE!</v>
      </c>
      <c r="KX5" s="969" t="e">
        <f>[1]!bodmoadal(1,1,(KX1+1),[1]!qsn([1]!ml([1]!taqsha(1,1,1+KX1,KX2)),KX3)/30,KX2,KX3)</f>
        <v>#VALUE!</v>
      </c>
      <c r="KY5" s="969" t="e">
        <f>[1]!bodmoadal(1,1,(KY1+1),[1]!qsn([1]!ml([1]!taqsha(1,1,1+KY1,KY2)),KY3)/30,KY2,KY3)</f>
        <v>#VALUE!</v>
      </c>
      <c r="KZ5" s="969" t="e">
        <f>[1]!bodmoadal(1,1,(KZ1+1),[1]!qsn([1]!ml([1]!taqsha(1,1,1+KZ1,KZ2)),KZ3)/30,KZ2,KZ3)</f>
        <v>#VALUE!</v>
      </c>
      <c r="LA5" s="969" t="e">
        <f>[1]!bodmoadal(1,1,(LA1+1),[1]!qsn([1]!ml([1]!taqsha(1,1,1+LA1,LA2)),LA3)/30,LA2,LA3)</f>
        <v>#VALUE!</v>
      </c>
      <c r="LB5" s="969" t="e">
        <f>[1]!bodmoadal(1,1,(LB1+1),[1]!qsn([1]!ml([1]!taqsha(1,1,1+LB1,LB2)),LB3)/30,LB2,LB3)</f>
        <v>#VALUE!</v>
      </c>
      <c r="LC5" s="969" t="e">
        <f>[1]!bodmoadal(1,1,(LC1+1),[1]!qsn([1]!ml([1]!taqsha(1,1,1+LC1,LC2)),LC3)/30,LC2,LC3)</f>
        <v>#VALUE!</v>
      </c>
      <c r="LD5" s="969" t="e">
        <f>[1]!bodmoadal(1,1,(LD1+1),[1]!qsn([1]!ml([1]!taqsha(1,1,1+LD1,LD2)),LD3)/30,LD2,LD3)</f>
        <v>#VALUE!</v>
      </c>
      <c r="LE5" s="969" t="e">
        <f>[1]!bodmoadal(1,1,(LE1+1),[1]!qsn([1]!ml([1]!taqsha(1,1,1+LE1,LE2)),LE3)/30,LE2,LE3)</f>
        <v>#VALUE!</v>
      </c>
      <c r="LF5" s="969" t="e">
        <f>[1]!bodmoadal(1,1,(LF1+1),[1]!qsn([1]!ml([1]!taqsha(1,1,1+LF1,LF2)),LF3)/30,LF2,LF3)</f>
        <v>#VALUE!</v>
      </c>
      <c r="LG5" s="969" t="e">
        <f>[1]!bodmoadal(1,1,(LG1+1),[1]!qsn([1]!ml([1]!taqsha(1,1,1+LG1,LG2)),LG3)/30,LG2,LG3)</f>
        <v>#VALUE!</v>
      </c>
      <c r="LH5" s="969" t="e">
        <f>[1]!bodmoadal(1,1,(LH1+1),[1]!qsn([1]!ml([1]!taqsha(1,1,1+LH1,LH2)),LH3)/30,LH2,LH3)</f>
        <v>#VALUE!</v>
      </c>
      <c r="LI5" s="969" t="e">
        <f>[1]!bodmoadal(1,1,(LI1+1),[1]!qsn([1]!ml([1]!taqsha(1,1,1+LI1,LI2)),LI3)/30,LI2,LI3)</f>
        <v>#VALUE!</v>
      </c>
      <c r="LJ5" s="969" t="e">
        <f>[1]!bodmoadal(1,1,(LJ1+1),[1]!qsn([1]!ml([1]!taqsha(1,1,1+LJ1,LJ2)),LJ3)/30,LJ2,LJ3)</f>
        <v>#VALUE!</v>
      </c>
      <c r="LK5" s="969" t="e">
        <f>[1]!bodmoadal(1,1,(LK1+1),[1]!qsn([1]!ml([1]!taqsha(1,1,1+LK1,LK2)),LK3)/30,LK2,LK3)</f>
        <v>#VALUE!</v>
      </c>
      <c r="LL5" s="969" t="e">
        <f>[1]!bodmoadal(1,1,(LL1+1),[1]!qsn([1]!ml([1]!taqsha(1,1,1+LL1,LL2)),LL3)/30,LL2,LL3)</f>
        <v>#VALUE!</v>
      </c>
      <c r="LM5" s="969" t="e">
        <f>[1]!bodmoadal(1,1,(LM1+1),[1]!qsn([1]!ml([1]!taqsha(1,1,1+LM1,LM2)),LM3)/30,LM2,LM3)</f>
        <v>#VALUE!</v>
      </c>
      <c r="LN5" s="969" t="e">
        <f>[1]!bodmoadal(1,1,(LN1+1),[1]!qsn([1]!ml([1]!taqsha(1,1,1+LN1,LN2)),LN3)/30,LN2,LN3)</f>
        <v>#VALUE!</v>
      </c>
      <c r="LO5" s="969" t="e">
        <f>[1]!bodmoadal(1,1,(LO1+1),[1]!qsn([1]!ml([1]!taqsha(1,1,1+LO1,LO2)),LO3)/30,LO2,LO3)</f>
        <v>#VALUE!</v>
      </c>
      <c r="LP5" s="969" t="e">
        <f>[1]!bodmoadal(1,1,(LP1+1),[1]!qsn([1]!ml([1]!taqsha(1,1,1+LP1,LP2)),LP3)/30,LP2,LP3)</f>
        <v>#VALUE!</v>
      </c>
      <c r="LQ5" s="969" t="e">
        <f>[1]!bodmoadal(1,1,(LQ1+1),[1]!qsn([1]!ml([1]!taqsha(1,1,1+LQ1,LQ2)),LQ3)/30,LQ2,LQ3)</f>
        <v>#VALUE!</v>
      </c>
      <c r="LR5" s="969" t="e">
        <f>[1]!bodmoadal(1,1,(LR1+1),[1]!qsn([1]!ml([1]!taqsha(1,1,1+LR1,LR2)),LR3)/30,LR2,LR3)</f>
        <v>#VALUE!</v>
      </c>
      <c r="LS5" s="969" t="e">
        <f>[1]!bodmoadal(1,1,(LS1+1),[1]!qsn([1]!ml([1]!taqsha(1,1,1+LS1,LS2)),LS3)/30,LS2,LS3)</f>
        <v>#VALUE!</v>
      </c>
      <c r="LT5" s="969" t="e">
        <f>[1]!bodmoadal(1,1,(LT1+1),[1]!qsn([1]!ml([1]!taqsha(1,1,1+LT1,LT2)),LT3)/30,LT2,LT3)</f>
        <v>#VALUE!</v>
      </c>
      <c r="LU5" s="969" t="e">
        <f>[1]!bodmoadal(1,1,(LU1+1),[1]!qsn([1]!ml([1]!taqsha(1,1,1+LU1,LU2)),LU3)/30,LU2,LU3)</f>
        <v>#VALUE!</v>
      </c>
      <c r="LV5" s="969" t="e">
        <f>[1]!bodmoadal(1,1,(LV1+1),[1]!qsn([1]!ml([1]!taqsha(1,1,1+LV1,LV2)),LV3)/30,LV2,LV3)</f>
        <v>#VALUE!</v>
      </c>
      <c r="LW5" s="969" t="e">
        <f>[1]!bodmoadal(1,1,(LW1+1),[1]!qsn([1]!ml([1]!taqsha(1,1,1+LW1,LW2)),LW3)/30,LW2,LW3)</f>
        <v>#VALUE!</v>
      </c>
      <c r="LX5" s="969" t="e">
        <f>[1]!bodmoadal(1,1,(LX1+1),[1]!qsn([1]!ml([1]!taqsha(1,1,1+LX1,LX2)),LX3)/30,LX2,LX3)</f>
        <v>#VALUE!</v>
      </c>
      <c r="LY5" s="969" t="e">
        <f>[1]!bodmoadal(1,1,(LY1+1),[1]!qsn([1]!ml([1]!taqsha(1,1,1+LY1,LY2)),LY3)/30,LY2,LY3)</f>
        <v>#VALUE!</v>
      </c>
      <c r="LZ5" s="969" t="e">
        <f>[1]!bodmoadal(1,1,(LZ1+1),[1]!qsn([1]!ml([1]!taqsha(1,1,1+LZ1,LZ2)),LZ3)/30,LZ2,LZ3)</f>
        <v>#VALUE!</v>
      </c>
      <c r="MA5" s="969" t="e">
        <f>[1]!bodmoadal(1,1,(MA1+1),[1]!qsn([1]!ml([1]!taqsha(1,1,1+MA1,MA2)),MA3)/30,MA2,MA3)</f>
        <v>#VALUE!</v>
      </c>
      <c r="MB5" s="969" t="e">
        <f>[1]!bodmoadal(1,1,(MB1+1),[1]!qsn([1]!ml([1]!taqsha(1,1,1+MB1,MB2)),MB3)/30,MB2,MB3)</f>
        <v>#VALUE!</v>
      </c>
      <c r="MC5" s="969" t="e">
        <f>[1]!bodmoadal(1,1,(MC1+1),[1]!qsn([1]!ml([1]!taqsha(1,1,1+MC1,MC2)),MC3)/30,MC2,MC3)</f>
        <v>#VALUE!</v>
      </c>
      <c r="MD5" s="969" t="e">
        <f>[1]!bodmoadal(1,1,(MD1+1),[1]!qsn([1]!ml([1]!taqsha(1,1,1+MD1,MD2)),MD3)/30,MD2,MD3)</f>
        <v>#VALUE!</v>
      </c>
      <c r="ME5" s="969" t="e">
        <f>[1]!bodmoadal(1,1,(ME1+1),[1]!qsn([1]!ml([1]!taqsha(1,1,1+ME1,ME2)),ME3)/30,ME2,ME3)</f>
        <v>#VALUE!</v>
      </c>
      <c r="MF5" s="969" t="e">
        <f>[1]!bodmoadal(1,1,(MF1+1),[1]!qsn([1]!ml([1]!taqsha(1,1,1+MF1,MF2)),MF3)/30,MF2,MF3)</f>
        <v>#VALUE!</v>
      </c>
      <c r="MG5" s="969" t="e">
        <f>[1]!bodmoadal(1,1,(MG1+1),[1]!qsn([1]!ml([1]!taqsha(1,1,1+MG1,MG2)),MG3)/30,MG2,MG3)</f>
        <v>#VALUE!</v>
      </c>
      <c r="MH5" s="969" t="e">
        <f>[1]!bodmoadal(1,1,(MH1+1),[1]!qsn([1]!ml([1]!taqsha(1,1,1+MH1,MH2)),MH3)/30,MH2,MH3)</f>
        <v>#VALUE!</v>
      </c>
      <c r="MI5" s="969" t="e">
        <f>[1]!bodmoadal(1,1,(MI1+1),[1]!qsn([1]!ml([1]!taqsha(1,1,1+MI1,MI2)),MI3)/30,MI2,MI3)</f>
        <v>#VALUE!</v>
      </c>
      <c r="MJ5" s="969" t="e">
        <f>[1]!bodmoadal(1,1,(MJ1+1),[1]!qsn([1]!ml([1]!taqsha(1,1,1+MJ1,MJ2)),MJ3)/30,MJ2,MJ3)</f>
        <v>#VALUE!</v>
      </c>
      <c r="MK5" s="969" t="e">
        <f>[1]!bodmoadal(1,1,(MK1+1),[1]!qsn([1]!ml([1]!taqsha(1,1,1+MK1,MK2)),MK3)/30,MK2,MK3)</f>
        <v>#VALUE!</v>
      </c>
      <c r="ML5" s="969" t="e">
        <f>[1]!bodmoadal(1,1,(ML1+1),[1]!qsn([1]!ml([1]!taqsha(1,1,1+ML1,ML2)),ML3)/30,ML2,ML3)</f>
        <v>#VALUE!</v>
      </c>
      <c r="MM5" s="969" t="e">
        <f>[1]!bodmoadal(1,1,(MM1+1),[1]!qsn([1]!ml([1]!taqsha(1,1,1+MM1,MM2)),MM3)/30,MM2,MM3)</f>
        <v>#VALUE!</v>
      </c>
      <c r="MN5" s="969" t="e">
        <f>[1]!bodmoadal(1,1,(MN1+1),[1]!qsn([1]!ml([1]!taqsha(1,1,1+MN1,MN2)),MN3)/30,MN2,MN3)</f>
        <v>#VALUE!</v>
      </c>
      <c r="MO5" s="969" t="e">
        <f>[1]!bodmoadal(1,1,(MO1+1),[1]!qsn([1]!ml([1]!taqsha(1,1,1+MO1,MO2)),MO3)/30,MO2,MO3)</f>
        <v>#VALUE!</v>
      </c>
      <c r="MP5" s="969" t="e">
        <f>[1]!bodmoadal(1,1,(MP1+1),[1]!qsn([1]!ml([1]!taqsha(1,1,1+MP1,MP2)),MP3)/30,MP2,MP3)</f>
        <v>#VALUE!</v>
      </c>
      <c r="MQ5" s="969" t="e">
        <f>[1]!bodmoadal(1,1,(MQ1+1),[1]!qsn([1]!ml([1]!taqsha(1,1,1+MQ1,MQ2)),MQ3)/30,MQ2,MQ3)</f>
        <v>#VALUE!</v>
      </c>
      <c r="MR5" s="969" t="e">
        <f>[1]!bodmoadal(1,1,(MR1+1),[1]!qsn([1]!ml([1]!taqsha(1,1,1+MR1,MR2)),MR3)/30,MR2,MR3)</f>
        <v>#VALUE!</v>
      </c>
      <c r="MS5" s="969" t="e">
        <f>[1]!bodmoadal(1,1,(MS1+1),[1]!qsn([1]!ml([1]!taqsha(1,1,1+MS1,MS2)),MS3)/30,MS2,MS3)</f>
        <v>#VALUE!</v>
      </c>
      <c r="MT5" s="969" t="e">
        <f>[1]!bodmoadal(1,1,(MT1+1),[1]!qsn([1]!ml([1]!taqsha(1,1,1+MT1,MT2)),MT3)/30,MT2,MT3)</f>
        <v>#VALUE!</v>
      </c>
      <c r="MU5" s="969" t="e">
        <f>[1]!bodmoadal(1,1,(MU1+1),[1]!qsn([1]!ml([1]!taqsha(1,1,1+MU1,MU2)),MU3)/30,MU2,MU3)</f>
        <v>#VALUE!</v>
      </c>
      <c r="MV5" s="969" t="e">
        <f>[1]!bodmoadal(1,1,(MV1+1),[1]!qsn([1]!ml([1]!taqsha(1,1,1+MV1,MV2)),MV3)/30,MV2,MV3)</f>
        <v>#VALUE!</v>
      </c>
      <c r="MW5" s="969" t="e">
        <f>[1]!bodmoadal(1,1,(MW1+1),[1]!qsn([1]!ml([1]!taqsha(1,1,1+MW1,MW2)),MW3)/30,MW2,MW3)</f>
        <v>#VALUE!</v>
      </c>
      <c r="MX5" s="969" t="e">
        <f>[1]!bodmoadal(1,1,(MX1+1),[1]!qsn([1]!ml([1]!taqsha(1,1,1+MX1,MX2)),MX3)/30,MX2,MX3)</f>
        <v>#VALUE!</v>
      </c>
      <c r="MY5" s="969" t="e">
        <f>[1]!bodmoadal(1,1,(MY1+1),[1]!qsn([1]!ml([1]!taqsha(1,1,1+MY1,MY2)),MY3)/30,MY2,MY3)</f>
        <v>#VALUE!</v>
      </c>
      <c r="MZ5" s="969" t="e">
        <f>[1]!bodmoadal(1,1,(MZ1+1),[1]!qsn([1]!ml([1]!taqsha(1,1,1+MZ1,MZ2)),MZ3)/30,MZ2,MZ3)</f>
        <v>#VALUE!</v>
      </c>
      <c r="NA5" s="969" t="e">
        <f>[1]!bodmoadal(1,1,(NA1+1),[1]!qsn([1]!ml([1]!taqsha(1,1,1+NA1,NA2)),NA3)/30,NA2,NA3)</f>
        <v>#VALUE!</v>
      </c>
      <c r="NB5" s="969" t="e">
        <f>[1]!bodmoadal(1,1,(NB1+1),[1]!qsn([1]!ml([1]!taqsha(1,1,1+NB1,NB2)),NB3)/30,NB2,NB3)</f>
        <v>#VALUE!</v>
      </c>
      <c r="NC5" s="969" t="e">
        <f>[1]!bodmoadal(1,1,(NC1+1),[1]!qsn([1]!ml([1]!taqsha(1,1,1+NC1,NC2)),NC3)/30,NC2,NC3)</f>
        <v>#VALUE!</v>
      </c>
      <c r="ND5" s="969" t="e">
        <f>[1]!bodmoadal(1,1,(ND1+1),[1]!qsn([1]!ml([1]!taqsha(1,1,1+ND1,ND2)),ND3)/30,ND2,ND3)</f>
        <v>#VALUE!</v>
      </c>
      <c r="NE5" s="969" t="e">
        <f>[1]!bodmoadal(1,1,(NE1+1),[1]!qsn([1]!ml([1]!taqsha(1,1,1+NE1,NE2)),NE3)/30,NE2,NE3)</f>
        <v>#VALUE!</v>
      </c>
      <c r="NF5" s="969" t="e">
        <f>[1]!bodmoadal(1,1,(NF1+1),[1]!qsn([1]!ml([1]!taqsha(1,1,1+NF1,NF2)),NF3)/30,NF2,NF3)</f>
        <v>#VALUE!</v>
      </c>
      <c r="NG5" s="969" t="e">
        <f>[1]!bodmoadal(1,1,(NG1+1),[1]!qsn([1]!ml([1]!taqsha(1,1,1+NG1,NG2)),NG3)/30,NG2,NG3)</f>
        <v>#VALUE!</v>
      </c>
      <c r="NH5" s="969" t="e">
        <f>[1]!bodmoadal(1,1,(NH1+1),[1]!qsn([1]!ml([1]!taqsha(1,1,1+NH1,NH2)),NH3)/30,NH2,NH3)</f>
        <v>#VALUE!</v>
      </c>
      <c r="NI5" s="969" t="e">
        <f>[1]!bodmoadal(1,1,(NI1+1),[1]!qsn([1]!ml([1]!taqsha(1,1,1+NI1,NI2)),NI3)/30,NI2,NI3)</f>
        <v>#VALUE!</v>
      </c>
      <c r="NJ5" s="969" t="e">
        <f>[1]!bodmoadal(1,1,(NJ1+1),[1]!qsn([1]!ml([1]!taqsha(1,1,1+NJ1,NJ2)),NJ3)/30,NJ2,NJ3)</f>
        <v>#VALUE!</v>
      </c>
      <c r="NK5" s="969" t="e">
        <f>[1]!bodmoadal(1,1,(NK1+1),[1]!qsn([1]!ml([1]!taqsha(1,1,1+NK1,NK2)),NK3)/30,NK2,NK3)</f>
        <v>#VALUE!</v>
      </c>
      <c r="NL5" s="969" t="e">
        <f>[1]!bodmoadal(1,1,(NL1+1),[1]!qsn([1]!ml([1]!taqsha(1,1,1+NL1,NL2)),NL3)/30,NL2,NL3)</f>
        <v>#VALUE!</v>
      </c>
      <c r="NM5" s="969" t="e">
        <f>[1]!bodmoadal(1,1,(NM1+1),[1]!qsn([1]!ml([1]!taqsha(1,1,1+NM1,NM2)),NM3)/30,NM2,NM3)</f>
        <v>#VALUE!</v>
      </c>
      <c r="NN5" s="969" t="e">
        <f>[1]!bodmoadal(1,1,(NN1+1),[1]!qsn([1]!ml([1]!taqsha(1,1,1+NN1,NN2)),NN3)/30,NN2,NN3)</f>
        <v>#VALUE!</v>
      </c>
      <c r="NO5" s="969" t="e">
        <f>[1]!bodmoadal(1,1,(NO1+1),[1]!qsn([1]!ml([1]!taqsha(1,1,1+NO1,NO2)),NO3)/30,NO2,NO3)</f>
        <v>#VALUE!</v>
      </c>
      <c r="NP5" s="969" t="e">
        <f>[1]!bodmoadal(1,1,(NP1+1),[1]!qsn([1]!ml([1]!taqsha(1,1,1+NP1,NP2)),NP3)/30,NP2,NP3)</f>
        <v>#VALUE!</v>
      </c>
      <c r="NQ5" s="969" t="e">
        <f>[1]!bodmoadal(1,1,(NQ1+1),[1]!qsn([1]!ml([1]!taqsha(1,1,1+NQ1,NQ2)),NQ3)/30,NQ2,NQ3)</f>
        <v>#VALUE!</v>
      </c>
      <c r="NR5" s="969" t="e">
        <f>[1]!bodmoadal(1,1,(NR1+1),[1]!qsn([1]!ml([1]!taqsha(1,1,1+NR1,NR2)),NR3)/30,NR2,NR3)</f>
        <v>#VALUE!</v>
      </c>
      <c r="NS5" s="969" t="e">
        <f>[1]!bodmoadal(1,1,(NS1+1),[1]!qsn([1]!ml([1]!taqsha(1,1,1+NS1,NS2)),NS3)/30,NS2,NS3)</f>
        <v>#VALUE!</v>
      </c>
      <c r="NT5" s="969" t="e">
        <f>[1]!bodmoadal(1,1,(NT1+1),[1]!qsn([1]!ml([1]!taqsha(1,1,1+NT1,NT2)),NT3)/30,NT2,NT3)</f>
        <v>#VALUE!</v>
      </c>
      <c r="NU5" s="969" t="e">
        <f>[1]!bodmoadal(1,1,(NU1+1),[1]!qsn([1]!ml([1]!taqsha(1,1,1+NU1,NU2)),NU3)/30,NU2,NU3)</f>
        <v>#VALUE!</v>
      </c>
      <c r="NV5" s="969" t="e">
        <f>[1]!bodmoadal(1,1,(NV1+1),[1]!qsn([1]!ml([1]!taqsha(1,1,1+NV1,NV2)),NV3)/30,NV2,NV3)</f>
        <v>#VALUE!</v>
      </c>
      <c r="NW5" s="969" t="e">
        <f>[1]!bodmoadal(1,1,(NW1+1),[1]!qsn([1]!ml([1]!taqsha(1,1,1+NW1,NW2)),NW3)/30,NW2,NW3)</f>
        <v>#VALUE!</v>
      </c>
      <c r="NX5" s="969" t="e">
        <f>[1]!bodmoadal(1,1,(NX1+1),[1]!qsn([1]!ml([1]!taqsha(1,1,1+NX1,NX2)),NX3)/30,NX2,NX3)</f>
        <v>#VALUE!</v>
      </c>
      <c r="NY5" s="969" t="e">
        <f>[1]!bodmoadal(1,1,(NY1+1),[1]!qsn([1]!ml([1]!taqsha(1,1,1+NY1,NY2)),NY3)/30,NY2,NY3)</f>
        <v>#VALUE!</v>
      </c>
      <c r="NZ5" s="969" t="e">
        <f>[1]!bodmoadal(1,1,(NZ1+1),[1]!qsn([1]!ml([1]!taqsha(1,1,1+NZ1,NZ2)),NZ3)/30,NZ2,NZ3)</f>
        <v>#VALUE!</v>
      </c>
      <c r="OA5" s="969" t="e">
        <f>[1]!bodmoadal(1,1,(OA1+1),[1]!qsn([1]!ml([1]!taqsha(1,1,1+OA1,OA2)),OA3)/30,OA2,OA3)</f>
        <v>#VALUE!</v>
      </c>
      <c r="OB5" s="969" t="e">
        <f>[1]!bodmoadal(1,1,(OB1+1),[1]!qsn([1]!ml([1]!taqsha(1,1,1+OB1,OB2)),OB3)/30,OB2,OB3)</f>
        <v>#VALUE!</v>
      </c>
      <c r="OC5" s="969" t="e">
        <f>[1]!bodmoadal(1,1,(OC1+1),[1]!qsn([1]!ml([1]!taqsha(1,1,1+OC1,OC2)),OC3)/30,OC2,OC3)</f>
        <v>#VALUE!</v>
      </c>
      <c r="OD5" s="969" t="e">
        <f>[1]!bodmoadal(1,1,(OD1+1),[1]!qsn([1]!ml([1]!taqsha(1,1,1+OD1,OD2)),OD3)/30,OD2,OD3)</f>
        <v>#VALUE!</v>
      </c>
      <c r="OE5" s="969" t="e">
        <f>[1]!bodmoadal(1,1,(OE1+1),[1]!qsn([1]!ml([1]!taqsha(1,1,1+OE1,OE2)),OE3)/30,OE2,OE3)</f>
        <v>#VALUE!</v>
      </c>
      <c r="OF5" s="969" t="e">
        <f>[1]!bodmoadal(1,1,(OF1+1),[1]!qsn([1]!ml([1]!taqsha(1,1,1+OF1,OF2)),OF3)/30,OF2,OF3)</f>
        <v>#VALUE!</v>
      </c>
      <c r="OG5" s="969" t="e">
        <f>[1]!bodmoadal(1,1,(OG1+1),[1]!qsn([1]!ml([1]!taqsha(1,1,1+OG1,OG2)),OG3)/30,OG2,OG3)</f>
        <v>#VALUE!</v>
      </c>
      <c r="OH5" s="969" t="e">
        <f>[1]!bodmoadal(1,1,(OH1+1),[1]!qsn([1]!ml([1]!taqsha(1,1,1+OH1,OH2)),OH3)/30,OH2,OH3)</f>
        <v>#VALUE!</v>
      </c>
      <c r="OI5" s="969" t="e">
        <f>[1]!bodmoadal(1,1,(OI1+1),[1]!qsn([1]!ml([1]!taqsha(1,1,1+OI1,OI2)),OI3)/30,OI2,OI3)</f>
        <v>#VALUE!</v>
      </c>
      <c r="OJ5" s="969" t="e">
        <f>[1]!bodmoadal(1,1,(OJ1+1),[1]!qsn([1]!ml([1]!taqsha(1,1,1+OJ1,OJ2)),OJ3)/30,OJ2,OJ3)</f>
        <v>#VALUE!</v>
      </c>
      <c r="OK5" s="969" t="e">
        <f>[1]!bodmoadal(1,1,(OK1+1),[1]!qsn([1]!ml([1]!taqsha(1,1,1+OK1,OK2)),OK3)/30,OK2,OK3)</f>
        <v>#VALUE!</v>
      </c>
      <c r="OL5" s="969" t="e">
        <f>[1]!bodmoadal(1,1,(OL1+1),[1]!qsn([1]!ml([1]!taqsha(1,1,1+OL1,OL2)),OL3)/30,OL2,OL3)</f>
        <v>#VALUE!</v>
      </c>
      <c r="OM5" s="969" t="e">
        <f>[1]!bodmoadal(1,1,(OM1+1),[1]!qsn([1]!ml([1]!taqsha(1,1,1+OM1,OM2)),OM3)/30,OM2,OM3)</f>
        <v>#VALUE!</v>
      </c>
      <c r="ON5" s="969" t="e">
        <f>[1]!bodmoadal(1,1,(ON1+1),[1]!qsn([1]!ml([1]!taqsha(1,1,1+ON1,ON2)),ON3)/30,ON2,ON3)</f>
        <v>#VALUE!</v>
      </c>
      <c r="OO5" s="969" t="e">
        <f>[1]!bodmoadal(1,1,(OO1+1),[1]!qsn([1]!ml([1]!taqsha(1,1,1+OO1,OO2)),OO3)/30,OO2,OO3)</f>
        <v>#VALUE!</v>
      </c>
      <c r="OP5" s="969" t="e">
        <f>[1]!bodmoadal(1,1,(OP1+1),[1]!qsn([1]!ml([1]!taqsha(1,1,1+OP1,OP2)),OP3)/30,OP2,OP3)</f>
        <v>#VALUE!</v>
      </c>
      <c r="OQ5" s="969" t="e">
        <f>[1]!bodmoadal(1,1,(OQ1+1),[1]!qsn([1]!ml([1]!taqsha(1,1,1+OQ1,OQ2)),OQ3)/30,OQ2,OQ3)</f>
        <v>#VALUE!</v>
      </c>
      <c r="OR5" s="969" t="e">
        <f>[1]!bodmoadal(1,1,(OR1+1),[1]!qsn([1]!ml([1]!taqsha(1,1,1+OR1,OR2)),OR3)/30,OR2,OR3)</f>
        <v>#VALUE!</v>
      </c>
      <c r="OS5" s="969" t="e">
        <f>[1]!bodmoadal(1,1,(OS1+1),[1]!qsn([1]!ml([1]!taqsha(1,1,1+OS1,OS2)),OS3)/30,OS2,OS3)</f>
        <v>#VALUE!</v>
      </c>
      <c r="OT5" s="969" t="e">
        <f>[1]!bodmoadal(1,1,(OT1+1),[1]!qsn([1]!ml([1]!taqsha(1,1,1+OT1,OT2)),OT3)/30,OT2,OT3)</f>
        <v>#VALUE!</v>
      </c>
      <c r="OU5" s="969" t="e">
        <f>[1]!bodmoadal(1,1,(OU1+1),[1]!qsn([1]!ml([1]!taqsha(1,1,1+OU1,OU2)),OU3)/30,OU2,OU3)</f>
        <v>#VALUE!</v>
      </c>
      <c r="OV5" s="969" t="e">
        <f>[1]!bodmoadal(1,1,(OV1+1),[1]!qsn([1]!ml([1]!taqsha(1,1,1+OV1,OV2)),OV3)/30,OV2,OV3)</f>
        <v>#VALUE!</v>
      </c>
      <c r="OW5" s="969" t="e">
        <f>[1]!bodmoadal(1,1,(OW1+1),[1]!qsn([1]!ml([1]!taqsha(1,1,1+OW1,OW2)),OW3)/30,OW2,OW3)</f>
        <v>#VALUE!</v>
      </c>
      <c r="OX5" s="969" t="e">
        <f>[1]!bodmoadal(1,1,(OX1+1),[1]!qsn([1]!ml([1]!taqsha(1,1,1+OX1,OX2)),OX3)/30,OX2,OX3)</f>
        <v>#VALUE!</v>
      </c>
      <c r="OY5" s="969" t="e">
        <f>[1]!bodmoadal(1,1,(OY1+1),[1]!qsn([1]!ml([1]!taqsha(1,1,1+OY1,OY2)),OY3)/30,OY2,OY3)</f>
        <v>#VALUE!</v>
      </c>
      <c r="OZ5" s="969" t="e">
        <f>[1]!bodmoadal(1,1,(OZ1+1),[1]!qsn([1]!ml([1]!taqsha(1,1,1+OZ1,OZ2)),OZ3)/30,OZ2,OZ3)</f>
        <v>#VALUE!</v>
      </c>
      <c r="PA5" s="969" t="e">
        <f>[1]!bodmoadal(1,1,(PA1+1),[1]!qsn([1]!ml([1]!taqsha(1,1,1+PA1,PA2)),PA3)/30,PA2,PA3)</f>
        <v>#VALUE!</v>
      </c>
      <c r="PB5" s="969" t="e">
        <f>[1]!bodmoadal(1,1,(PB1+1),[1]!qsn([1]!ml([1]!taqsha(1,1,1+PB1,PB2)),PB3)/30,PB2,PB3)</f>
        <v>#VALUE!</v>
      </c>
      <c r="PC5" s="969" t="e">
        <f>[1]!bodmoadal(1,1,(PC1+1),[1]!qsn([1]!ml([1]!taqsha(1,1,1+PC1,PC2)),PC3)/30,PC2,PC3)</f>
        <v>#VALUE!</v>
      </c>
      <c r="PD5" s="969" t="e">
        <f>[1]!bodmoadal(1,1,(PD1+1),[1]!qsn([1]!ml([1]!taqsha(1,1,1+PD1,PD2)),PD3)/30,PD2,PD3)</f>
        <v>#VALUE!</v>
      </c>
      <c r="PE5" s="969" t="e">
        <f>[1]!bodmoadal(1,1,(PE1+1),[1]!qsn([1]!ml([1]!taqsha(1,1,1+PE1,PE2)),PE3)/30,PE2,PE3)</f>
        <v>#VALUE!</v>
      </c>
      <c r="PF5" s="969" t="e">
        <f>[1]!bodmoadal(1,1,(PF1+1),[1]!qsn([1]!ml([1]!taqsha(1,1,1+PF1,PF2)),PF3)/30,PF2,PF3)</f>
        <v>#VALUE!</v>
      </c>
      <c r="PG5" s="969" t="e">
        <f>[1]!bodmoadal(1,1,(PG1+1),[1]!qsn([1]!ml([1]!taqsha(1,1,1+PG1,PG2)),PG3)/30,PG2,PG3)</f>
        <v>#VALUE!</v>
      </c>
      <c r="PH5" s="969" t="e">
        <f>[1]!bodmoadal(1,1,(PH1+1),[1]!qsn([1]!ml([1]!taqsha(1,1,1+PH1,PH2)),PH3)/30,PH2,PH3)</f>
        <v>#VALUE!</v>
      </c>
      <c r="PI5" s="969" t="e">
        <f>[1]!bodmoadal(1,1,(PI1+1),[1]!qsn([1]!ml([1]!taqsha(1,1,1+PI1,PI2)),PI3)/30,PI2,PI3)</f>
        <v>#VALUE!</v>
      </c>
      <c r="PJ5" s="969" t="e">
        <f>[1]!bodmoadal(1,1,(PJ1+1),[1]!qsn([1]!ml([1]!taqsha(1,1,1+PJ1,PJ2)),PJ3)/30,PJ2,PJ3)</f>
        <v>#VALUE!</v>
      </c>
      <c r="PK5" s="969" t="e">
        <f>[1]!bodmoadal(1,1,(PK1+1),[1]!qsn([1]!ml([1]!taqsha(1,1,1+PK1,PK2)),PK3)/30,PK2,PK3)</f>
        <v>#VALUE!</v>
      </c>
      <c r="PL5" s="969" t="e">
        <f>[1]!bodmoadal(1,1,(PL1+1),[1]!qsn([1]!ml([1]!taqsha(1,1,1+PL1,PL2)),PL3)/30,PL2,PL3)</f>
        <v>#VALUE!</v>
      </c>
      <c r="PM5" s="969" t="e">
        <f>[1]!bodmoadal(1,1,(PM1+1),[1]!qsn([1]!ml([1]!taqsha(1,1,1+PM1,PM2)),PM3)/30,PM2,PM3)</f>
        <v>#VALUE!</v>
      </c>
      <c r="PN5" s="969" t="e">
        <f>[1]!bodmoadal(1,1,(PN1+1),[1]!qsn([1]!ml([1]!taqsha(1,1,1+PN1,PN2)),PN3)/30,PN2,PN3)</f>
        <v>#VALUE!</v>
      </c>
      <c r="PO5" s="969" t="e">
        <f>[1]!bodmoadal(1,1,(PO1+1),[1]!qsn([1]!ml([1]!taqsha(1,1,1+PO1,PO2)),PO3)/30,PO2,PO3)</f>
        <v>#VALUE!</v>
      </c>
      <c r="PP5" s="969" t="e">
        <f>[1]!bodmoadal(1,1,(PP1+1),[1]!qsn([1]!ml([1]!taqsha(1,1,1+PP1,PP2)),PP3)/30,PP2,PP3)</f>
        <v>#VALUE!</v>
      </c>
      <c r="PQ5" s="969" t="e">
        <f>[1]!bodmoadal(1,1,(PQ1+1),[1]!qsn([1]!ml([1]!taqsha(1,1,1+PQ1,PQ2)),PQ3)/30,PQ2,PQ3)</f>
        <v>#VALUE!</v>
      </c>
      <c r="PR5" s="969" t="e">
        <f>[1]!bodmoadal(1,1,(PR1+1),[1]!qsn([1]!ml([1]!taqsha(1,1,1+PR1,PR2)),PR3)/30,PR2,PR3)</f>
        <v>#VALUE!</v>
      </c>
      <c r="PS5" s="969" t="e">
        <f>[1]!bodmoadal(1,1,(PS1+1),[1]!qsn([1]!ml([1]!taqsha(1,1,1+PS1,PS2)),PS3)/30,PS2,PS3)</f>
        <v>#VALUE!</v>
      </c>
      <c r="PT5" s="969" t="e">
        <f>[1]!bodmoadal(1,1,(PT1+1),[1]!qsn([1]!ml([1]!taqsha(1,1,1+PT1,PT2)),PT3)/30,PT2,PT3)</f>
        <v>#VALUE!</v>
      </c>
      <c r="PU5" s="969" t="e">
        <f>[1]!bodmoadal(1,1,(PU1+1),[1]!qsn([1]!ml([1]!taqsha(1,1,1+PU1,PU2)),PU3)/30,PU2,PU3)</f>
        <v>#VALUE!</v>
      </c>
      <c r="PV5" s="969" t="e">
        <f>[1]!bodmoadal(1,1,(PV1+1),[1]!qsn([1]!ml([1]!taqsha(1,1,1+PV1,PV2)),PV3)/30,PV2,PV3)</f>
        <v>#VALUE!</v>
      </c>
      <c r="PW5" s="969" t="e">
        <f>[1]!bodmoadal(1,1,(PW1+1),[1]!qsn([1]!ml([1]!taqsha(1,1,1+PW1,PW2)),PW3)/30,PW2,PW3)</f>
        <v>#VALUE!</v>
      </c>
      <c r="PX5" s="969" t="e">
        <f>[1]!bodmoadal(1,1,(PX1+1),[1]!qsn([1]!ml([1]!taqsha(1,1,1+PX1,PX2)),PX3)/30,PX2,PX3)</f>
        <v>#VALUE!</v>
      </c>
      <c r="PY5" s="969" t="e">
        <f>[1]!bodmoadal(1,1,(PY1+1),[1]!qsn([1]!ml([1]!taqsha(1,1,1+PY1,PY2)),PY3)/30,PY2,PY3)</f>
        <v>#VALUE!</v>
      </c>
      <c r="PZ5" s="969" t="e">
        <f>[1]!bodmoadal(1,1,(PZ1+1),[1]!qsn([1]!ml([1]!taqsha(1,1,1+PZ1,PZ2)),PZ3)/30,PZ2,PZ3)</f>
        <v>#VALUE!</v>
      </c>
      <c r="QA5" s="969" t="e">
        <f>[1]!bodmoadal(1,1,(QA1+1),[1]!qsn([1]!ml([1]!taqsha(1,1,1+QA1,QA2)),QA3)/30,QA2,QA3)</f>
        <v>#VALUE!</v>
      </c>
      <c r="QB5" s="969" t="e">
        <f>[1]!bodmoadal(1,1,(QB1+1),[1]!qsn([1]!ml([1]!taqsha(1,1,1+QB1,QB2)),QB3)/30,QB2,QB3)</f>
        <v>#VALUE!</v>
      </c>
      <c r="QC5" s="969" t="e">
        <f>[1]!bodmoadal(1,1,(QC1+1),[1]!qsn([1]!ml([1]!taqsha(1,1,1+QC1,QC2)),QC3)/30,QC2,QC3)</f>
        <v>#VALUE!</v>
      </c>
      <c r="QD5" s="969" t="e">
        <f>[1]!bodmoadal(1,1,(QD1+1),[1]!qsn([1]!ml([1]!taqsha(1,1,1+QD1,QD2)),QD3)/30,QD2,QD3)</f>
        <v>#VALUE!</v>
      </c>
      <c r="QE5" s="969" t="e">
        <f>[1]!bodmoadal(1,1,(QE1+1),[1]!qsn([1]!ml([1]!taqsha(1,1,1+QE1,QE2)),QE3)/30,QE2,QE3)</f>
        <v>#VALUE!</v>
      </c>
      <c r="QF5" s="969" t="e">
        <f>[1]!bodmoadal(1,1,(QF1+1),[1]!qsn([1]!ml([1]!taqsha(1,1,1+QF1,QF2)),QF3)/30,QF2,QF3)</f>
        <v>#VALUE!</v>
      </c>
      <c r="QG5" s="969" t="e">
        <f>[1]!bodmoadal(1,1,(QG1+1),[1]!qsn([1]!ml([1]!taqsha(1,1,1+QG1,QG2)),QG3)/30,QG2,QG3)</f>
        <v>#VALUE!</v>
      </c>
      <c r="QH5" s="969" t="e">
        <f>[1]!bodmoadal(1,1,(QH1+1),[1]!qsn([1]!ml([1]!taqsha(1,1,1+QH1,QH2)),QH3)/30,QH2,QH3)</f>
        <v>#VALUE!</v>
      </c>
      <c r="QI5" s="969" t="e">
        <f>[1]!bodmoadal(1,1,(QI1+1),[1]!qsn([1]!ml([1]!taqsha(1,1,1+QI1,QI2)),QI3)/30,QI2,QI3)</f>
        <v>#VALUE!</v>
      </c>
      <c r="QJ5" s="969" t="e">
        <f>[1]!bodmoadal(1,1,(QJ1+1),[1]!qsn([1]!ml([1]!taqsha(1,1,1+QJ1,QJ2)),QJ3)/30,QJ2,QJ3)</f>
        <v>#VALUE!</v>
      </c>
      <c r="QK5" s="969" t="e">
        <f>[1]!bodmoadal(1,1,(QK1+1),[1]!qsn([1]!ml([1]!taqsha(1,1,1+QK1,QK2)),QK3)/30,QK2,QK3)</f>
        <v>#VALUE!</v>
      </c>
      <c r="QL5" s="969" t="e">
        <f>[1]!bodmoadal(1,1,(QL1+1),[1]!qsn([1]!ml([1]!taqsha(1,1,1+QL1,QL2)),QL3)/30,QL2,QL3)</f>
        <v>#VALUE!</v>
      </c>
      <c r="QM5" s="969" t="e">
        <f>[1]!bodmoadal(1,1,(QM1+1),[1]!qsn([1]!ml([1]!taqsha(1,1,1+QM1,QM2)),QM3)/30,QM2,QM3)</f>
        <v>#VALUE!</v>
      </c>
      <c r="QN5" s="969" t="e">
        <f>[1]!bodmoadal(1,1,(QN1+1),[1]!qsn([1]!ml([1]!taqsha(1,1,1+QN1,QN2)),QN3)/30,QN2,QN3)</f>
        <v>#VALUE!</v>
      </c>
      <c r="QO5" s="969" t="e">
        <f>[1]!bodmoadal(1,1,(QO1+1),[1]!qsn([1]!ml([1]!taqsha(1,1,1+QO1,QO2)),QO3)/30,QO2,QO3)</f>
        <v>#VALUE!</v>
      </c>
      <c r="QP5" s="969" t="e">
        <f>[1]!bodmoadal(1,1,(QP1+1),[1]!qsn([1]!ml([1]!taqsha(1,1,1+QP1,QP2)),QP3)/30,QP2,QP3)</f>
        <v>#VALUE!</v>
      </c>
      <c r="QQ5" s="969" t="e">
        <f>[1]!bodmoadal(1,1,(QQ1+1),[1]!qsn([1]!ml([1]!taqsha(1,1,1+QQ1,QQ2)),QQ3)/30,QQ2,QQ3)</f>
        <v>#VALUE!</v>
      </c>
      <c r="QR5" s="969" t="e">
        <f>[1]!bodmoadal(1,1,(QR1+1),[1]!qsn([1]!ml([1]!taqsha(1,1,1+QR1,QR2)),QR3)/30,QR2,QR3)</f>
        <v>#VALUE!</v>
      </c>
      <c r="QS5" s="969" t="e">
        <f>[1]!bodmoadal(1,1,(QS1+1),[1]!qsn([1]!ml([1]!taqsha(1,1,1+QS1,QS2)),QS3)/30,QS2,QS3)</f>
        <v>#VALUE!</v>
      </c>
      <c r="QT5" s="969" t="e">
        <f>[1]!bodmoadal(1,1,(QT1+1),[1]!qsn([1]!ml([1]!taqsha(1,1,1+QT1,QT2)),QT3)/30,QT2,QT3)</f>
        <v>#VALUE!</v>
      </c>
      <c r="QU5" s="969" t="e">
        <f>[1]!bodmoadal(1,1,(QU1+1),[1]!qsn([1]!ml([1]!taqsha(1,1,1+QU1,QU2)),QU3)/30,QU2,QU3)</f>
        <v>#VALUE!</v>
      </c>
      <c r="QV5" s="969" t="e">
        <f>[1]!bodmoadal(1,1,(QV1+1),[1]!qsn([1]!ml([1]!taqsha(1,1,1+QV1,QV2)),QV3)/30,QV2,QV3)</f>
        <v>#VALUE!</v>
      </c>
      <c r="QW5" s="969" t="e">
        <f>[1]!bodmoadal(1,1,(QW1+1),[1]!qsn([1]!ml([1]!taqsha(1,1,1+QW1,QW2)),QW3)/30,QW2,QW3)</f>
        <v>#VALUE!</v>
      </c>
      <c r="QX5" s="969" t="e">
        <f>[1]!bodmoadal(1,1,(QX1+1),[1]!qsn([1]!ml([1]!taqsha(1,1,1+QX1,QX2)),QX3)/30,QX2,QX3)</f>
        <v>#VALUE!</v>
      </c>
      <c r="QY5" s="969" t="e">
        <f>[1]!bodmoadal(1,1,(QY1+1),[1]!qsn([1]!ml([1]!taqsha(1,1,1+QY1,QY2)),QY3)/30,QY2,QY3)</f>
        <v>#VALUE!</v>
      </c>
      <c r="QZ5" s="969" t="e">
        <f>[1]!bodmoadal(1,1,(QZ1+1),[1]!qsn([1]!ml([1]!taqsha(1,1,1+QZ1,QZ2)),QZ3)/30,QZ2,QZ3)</f>
        <v>#VALUE!</v>
      </c>
      <c r="RA5" s="968"/>
    </row>
    <row r="6" spans="1:471" ht="18" thickBot="1">
      <c r="B6" t="s">
        <v>144</v>
      </c>
      <c r="D6" t="s">
        <v>145</v>
      </c>
      <c r="E6" t="s">
        <v>146</v>
      </c>
      <c r="H6" t="s">
        <v>149</v>
      </c>
      <c r="J6" s="4"/>
      <c r="K6" s="4"/>
      <c r="L6" s="4"/>
      <c r="M6" s="4"/>
      <c r="N6" s="4"/>
      <c r="O6" s="4">
        <v>30</v>
      </c>
      <c r="P6" s="4">
        <v>30</v>
      </c>
      <c r="Q6" s="4">
        <v>30</v>
      </c>
      <c r="R6" s="4">
        <v>30</v>
      </c>
      <c r="S6" s="4">
        <v>30</v>
      </c>
      <c r="T6" s="4">
        <v>30</v>
      </c>
      <c r="U6" s="4">
        <v>30</v>
      </c>
      <c r="V6" s="4">
        <v>30</v>
      </c>
      <c r="W6" s="4">
        <v>30</v>
      </c>
      <c r="X6" s="4">
        <v>30</v>
      </c>
      <c r="Y6" s="4">
        <v>30</v>
      </c>
      <c r="Z6" s="4">
        <v>30</v>
      </c>
      <c r="AA6" s="4">
        <v>5</v>
      </c>
      <c r="AE6" s="207"/>
      <c r="AF6" s="199">
        <f>(AF3-1)*354.367092592592</f>
        <v>510642.98042592505</v>
      </c>
      <c r="AK6" s="759"/>
      <c r="AL6" s="701">
        <v>0</v>
      </c>
      <c r="AM6" s="304">
        <f t="shared" ref="AM6:AW6" si="18">AL6</f>
        <v>0</v>
      </c>
      <c r="AN6" s="304">
        <f t="shared" si="18"/>
        <v>0</v>
      </c>
      <c r="AO6" s="304">
        <f t="shared" si="18"/>
        <v>0</v>
      </c>
      <c r="AP6" s="304">
        <f t="shared" si="18"/>
        <v>0</v>
      </c>
      <c r="AQ6" s="304">
        <f t="shared" si="18"/>
        <v>0</v>
      </c>
      <c r="AR6" s="304">
        <f t="shared" si="18"/>
        <v>0</v>
      </c>
      <c r="AS6" s="304">
        <f t="shared" si="18"/>
        <v>0</v>
      </c>
      <c r="AT6" s="304">
        <f t="shared" si="18"/>
        <v>0</v>
      </c>
      <c r="AU6" s="304">
        <f t="shared" si="18"/>
        <v>0</v>
      </c>
      <c r="AV6" s="304">
        <f t="shared" si="18"/>
        <v>0</v>
      </c>
      <c r="AW6" s="304">
        <f t="shared" si="18"/>
        <v>0</v>
      </c>
      <c r="AX6" s="304"/>
      <c r="AZ6" s="732"/>
      <c r="BA6" s="731">
        <v>0</v>
      </c>
      <c r="BB6" s="113">
        <v>0</v>
      </c>
      <c r="BC6" s="113">
        <v>0</v>
      </c>
      <c r="BD6" s="113">
        <v>0</v>
      </c>
      <c r="BE6" s="113">
        <v>0</v>
      </c>
      <c r="BF6" s="113">
        <v>0</v>
      </c>
      <c r="BG6" s="113">
        <v>0</v>
      </c>
      <c r="BH6" s="113">
        <v>0</v>
      </c>
      <c r="BI6" s="113">
        <v>0</v>
      </c>
      <c r="BJ6" s="113">
        <v>0</v>
      </c>
      <c r="BK6" s="113">
        <v>0</v>
      </c>
      <c r="BL6" s="113">
        <v>0</v>
      </c>
      <c r="BM6" s="113">
        <v>0</v>
      </c>
      <c r="BN6" s="317"/>
      <c r="BP6" s="397">
        <v>1</v>
      </c>
      <c r="BQ6" s="4"/>
      <c r="BR6" s="753"/>
      <c r="BS6" s="755" t="s">
        <v>3555</v>
      </c>
      <c r="BT6" s="4"/>
      <c r="BU6" s="4"/>
      <c r="BV6" s="757" t="s">
        <v>3543</v>
      </c>
      <c r="BW6" s="758" t="e">
        <f>BU8</f>
        <v>#VALUE!</v>
      </c>
      <c r="BX6" s="112"/>
      <c r="BY6" s="317"/>
      <c r="CA6" s="787" t="s">
        <v>3755</v>
      </c>
      <c r="CB6" s="242">
        <v>5</v>
      </c>
      <c r="CC6" s="242"/>
      <c r="CD6" s="242"/>
      <c r="CE6" s="242"/>
      <c r="CF6" s="788"/>
      <c r="CG6" s="490" t="s">
        <v>3756</v>
      </c>
      <c r="CH6" s="309">
        <v>2</v>
      </c>
      <c r="CI6" s="309"/>
      <c r="CJ6" s="309"/>
      <c r="CK6" s="309"/>
      <c r="CL6" s="774"/>
      <c r="CO6" s="759" t="s">
        <v>3488</v>
      </c>
      <c r="CP6" s="759">
        <v>6</v>
      </c>
      <c r="CQ6" s="759"/>
      <c r="CR6" s="759"/>
      <c r="CS6" s="759"/>
      <c r="CT6" s="759"/>
      <c r="CU6" s="759"/>
      <c r="CV6" s="787" t="s">
        <v>3755</v>
      </c>
      <c r="CW6" s="242">
        <v>6</v>
      </c>
      <c r="CX6" s="242"/>
      <c r="CY6" s="242"/>
      <c r="CZ6" s="242"/>
      <c r="DA6" s="788"/>
      <c r="DC6" s="906"/>
      <c r="DD6" s="114">
        <f>ROUNDUP(DD5,0.5)</f>
        <v>0</v>
      </c>
      <c r="DE6" s="115">
        <f>INT(DE3/30)*11</f>
        <v>-11</v>
      </c>
      <c r="DG6" s="797" t="s">
        <v>3552</v>
      </c>
      <c r="DI6" s="971" t="e">
        <f>[1]!bodsava(1,1,(DI1+1),[1]!qsn([1]!ml([1]!taqsha(1,1,1+DI1,DI2)),DI3)/30,DI2,DI3)</f>
        <v>#VALUE!</v>
      </c>
      <c r="DJ6" s="971" t="e">
        <f>[1]!bodsava(1,1,(DJ1+1),[1]!qsn([1]!ml([1]!taqsha(1,1,1+DJ1,DJ2)),DJ3)/30,DJ2,DJ3)</f>
        <v>#VALUE!</v>
      </c>
      <c r="DK6" s="969" t="e">
        <f>[1]!bodsava(1,1,(DK1+1),[1]!qsn([1]!ml([1]!taqsha(1,1,1+DK1,DK2)),DK3)/30,DK2,DK3)</f>
        <v>#VALUE!</v>
      </c>
      <c r="DL6" s="969" t="e">
        <f>[1]!bodsava(1,1,(DL1+1),[1]!qsn([1]!ml([1]!taqsha(1,1,1+DL1,DL2)),DL3)/30,DL2,DL3)</f>
        <v>#VALUE!</v>
      </c>
      <c r="DM6" s="969" t="e">
        <f>[1]!bodsava(1,1,(DM1+1),[1]!qsn([1]!ml([1]!taqsha(1,1,1+DM1,DM2)),DM3)/30,DM2,DM3)</f>
        <v>#VALUE!</v>
      </c>
      <c r="DN6" s="969" t="e">
        <f>[1]!bodsava(1,1,(DN1+1),[1]!qsn([1]!ml([1]!taqsha(1,1,1+DN1,DN2)),DN3)/30,DN2,DN3)</f>
        <v>#VALUE!</v>
      </c>
      <c r="DO6" s="969" t="e">
        <f>[1]!bodsava(1,1,(DO1+1),[1]!qsn([1]!ml([1]!taqsha(1,1,1+DO1,DO2)),DO3)/30,DO2,DO3)</f>
        <v>#VALUE!</v>
      </c>
      <c r="DP6" s="969" t="e">
        <f>[1]!bodsava(1,1,(DP1+1),[1]!qsn([1]!ml([1]!taqsha(1,1,1+DP1,DP2)),DP3)/30,DP2,DP3)</f>
        <v>#VALUE!</v>
      </c>
      <c r="DQ6" s="969" t="e">
        <f>[1]!bodsava(1,1,(DQ1+1),[1]!qsn([1]!ml([1]!taqsha(1,1,1+DQ1,DQ2)),DQ3)/30,DQ2,DQ3)</f>
        <v>#VALUE!</v>
      </c>
      <c r="DR6" s="969" t="e">
        <f>[1]!bodsava(1,1,(DR1+1),[1]!qsn([1]!ml([1]!taqsha(1,1,1+DR1,DR2)),DR3)/30,DR2,DR3)</f>
        <v>#VALUE!</v>
      </c>
      <c r="DS6" s="969" t="e">
        <f>[1]!bodsava(1,1,(DS1+1),[1]!qsn([1]!ml([1]!taqsha(1,1,1+DS1,DS2)),DS3)/30,DS2,DS3)</f>
        <v>#VALUE!</v>
      </c>
      <c r="DT6" s="969" t="e">
        <f>[1]!bodsava(1,1,(DT1+1),[1]!qsn([1]!ml([1]!taqsha(1,1,1+DT1,DT2)),DT3)/30,DT2,DT3)</f>
        <v>#VALUE!</v>
      </c>
      <c r="DU6" s="969" t="e">
        <f>[1]!bodsava(1,1,(DU1+1),[1]!qsn([1]!ml([1]!taqsha(1,1,1+DU1,DU2)),DU3)/30,DU2,DU3)</f>
        <v>#VALUE!</v>
      </c>
      <c r="DV6" s="969" t="e">
        <f>[1]!bodsava(1,1,(DV1+1),[1]!qsn([1]!ml([1]!taqsha(1,1,1+DV1,DV2)),DV3)/30,DV2,DV3)</f>
        <v>#VALUE!</v>
      </c>
      <c r="DW6" s="969" t="e">
        <f>[1]!bodsava(1,1,(DW1+1),[1]!qsn([1]!ml([1]!taqsha(1,1,1+DW1,DW2)),DW3)/30,DW2,DW3)</f>
        <v>#VALUE!</v>
      </c>
      <c r="DX6" s="969" t="e">
        <f>[1]!bodsava(1,1,(DX1+1),[1]!qsn([1]!ml([1]!taqsha(1,1,1+DX1,DX2)),DX3)/30,DX2,DX3)</f>
        <v>#VALUE!</v>
      </c>
      <c r="DY6" s="969" t="e">
        <f>[1]!bodsava(1,1,(DY1+1),[1]!qsn([1]!ml([1]!taqsha(1,1,1+DY1,DY2)),DY3)/30,DY2,DY3)</f>
        <v>#VALUE!</v>
      </c>
      <c r="DZ6" s="969" t="e">
        <f>[1]!bodsava(1,1,(DZ1+1),[1]!qsn([1]!ml([1]!taqsha(1,1,1+DZ1,DZ2)),DZ3)/30,DZ2,DZ3)</f>
        <v>#VALUE!</v>
      </c>
      <c r="EA6" s="969" t="e">
        <f>[1]!bodsava(1,1,(EA1+1),[1]!qsn([1]!ml([1]!taqsha(1,1,1+EA1,EA2)),EA3)/30,EA2,EA3)</f>
        <v>#VALUE!</v>
      </c>
      <c r="EB6" s="969" t="e">
        <f>[1]!bodsava(1,1,(EB1+1),[1]!qsn([1]!ml([1]!taqsha(1,1,1+EB1,EB2)),EB3)/30,EB2,EB3)</f>
        <v>#VALUE!</v>
      </c>
      <c r="EC6" s="969" t="e">
        <f>[1]!bodsava(1,1,(EC1+1),[1]!qsn([1]!ml([1]!taqsha(1,1,1+EC1,EC2)),EC3)/30,EC2,EC3)</f>
        <v>#VALUE!</v>
      </c>
      <c r="ED6" s="969" t="e">
        <f>[1]!bodsava(1,1,(ED1+1),[1]!qsn([1]!ml([1]!taqsha(1,1,1+ED1,ED2)),ED3)/30,ED2,ED3)</f>
        <v>#VALUE!</v>
      </c>
      <c r="EE6" s="969" t="e">
        <f>[1]!bodsava(1,1,(EE1+1),[1]!qsn([1]!ml([1]!taqsha(1,1,1+EE1,EE2)),EE3)/30,EE2,EE3)</f>
        <v>#VALUE!</v>
      </c>
      <c r="EF6" s="969" t="e">
        <f>[1]!bodsava(1,1,(EF1+1),[1]!qsn([1]!ml([1]!taqsha(1,1,1+EF1,EF2)),EF3)/30,EF2,EF3)</f>
        <v>#VALUE!</v>
      </c>
      <c r="EG6" s="969" t="e">
        <f>[1]!bodsava(1,1,(EG1+1),[1]!qsn([1]!ml([1]!taqsha(1,1,1+EG1,EG2)),EG3)/30,EG2,EG3)</f>
        <v>#VALUE!</v>
      </c>
      <c r="EH6" s="969" t="e">
        <f>[1]!bodsava(1,1,(EH1+1),[1]!qsn([1]!ml([1]!taqsha(1,1,1+EH1,EH2)),EH3)/30,EH2,EH3)</f>
        <v>#VALUE!</v>
      </c>
      <c r="EI6" s="969" t="e">
        <f>[1]!bodsava(1,1,(EI1+1),[1]!qsn([1]!ml([1]!taqsha(1,1,1+EI1,EI2)),EI3)/30,EI2,EI3)</f>
        <v>#VALUE!</v>
      </c>
      <c r="EJ6" s="969" t="e">
        <f>[1]!bodsava(1,1,(EJ1+1),[1]!qsn([1]!ml([1]!taqsha(1,1,1+EJ1,EJ2)),EJ3)/30,EJ2,EJ3)</f>
        <v>#VALUE!</v>
      </c>
      <c r="EK6" s="969" t="e">
        <f>[1]!bodsava(1,1,(EK1+1),[1]!qsn([1]!ml([1]!taqsha(1,1,1+EK1,EK2)),EK3)/30,EK2,EK3)</f>
        <v>#VALUE!</v>
      </c>
      <c r="EL6" s="969" t="e">
        <f>[1]!bodsava(1,1,(EL1+1),[1]!qsn([1]!ml([1]!taqsha(1,1,1+EL1,EL2)),EL3)/30,EL2,EL3)</f>
        <v>#VALUE!</v>
      </c>
      <c r="EM6" s="969" t="e">
        <f>[1]!bodsava(1,1,(EM1+1),[1]!qsn([1]!ml([1]!taqsha(1,1,1+EM1,EM2)),EM3)/30,EM2,EM3)</f>
        <v>#VALUE!</v>
      </c>
      <c r="EN6" s="969" t="e">
        <f>[1]!bodsava(1,1,(EN1+1),[1]!qsn([1]!ml([1]!taqsha(1,1,1+EN1,EN2)),EN3)/30,EN2,EN3)</f>
        <v>#VALUE!</v>
      </c>
      <c r="EO6" s="969" t="e">
        <f>[1]!bodsava(1,1,(EO1+1),[1]!qsn([1]!ml([1]!taqsha(1,1,1+EO1,EO2)),EO3)/30,EO2,EO3)</f>
        <v>#VALUE!</v>
      </c>
      <c r="EP6" s="969" t="e">
        <f>[1]!bodsava(1,1,(EP1+1),[1]!qsn([1]!ml([1]!taqsha(1,1,1+EP1,EP2)),EP3)/30,EP2,EP3)</f>
        <v>#VALUE!</v>
      </c>
      <c r="EQ6" s="969" t="e">
        <f>[1]!bodsava(1,1,(EQ1+1),[1]!qsn([1]!ml([1]!taqsha(1,1,1+EQ1,EQ2)),EQ3)/30,EQ2,EQ3)</f>
        <v>#VALUE!</v>
      </c>
      <c r="ER6" s="969" t="e">
        <f>[1]!bodsava(1,1,(ER1+1),[1]!qsn([1]!ml([1]!taqsha(1,1,1+ER1,ER2)),ER3)/30,ER2,ER3)</f>
        <v>#VALUE!</v>
      </c>
      <c r="ES6" s="969" t="e">
        <f>[1]!bodsava(1,1,(ES1+1),[1]!qsn([1]!ml([1]!taqsha(1,1,1+ES1,ES2)),ES3)/30,ES2,ES3)</f>
        <v>#VALUE!</v>
      </c>
      <c r="ET6" s="969" t="e">
        <f>[1]!bodsava(1,1,(ET1+1),[1]!qsn([1]!ml([1]!taqsha(1,1,1+ET1,ET2)),ET3)/30,ET2,ET3)</f>
        <v>#VALUE!</v>
      </c>
      <c r="EU6" s="969" t="e">
        <f>[1]!bodsava(1,1,(EU1+1),[1]!qsn([1]!ml([1]!taqsha(1,1,1+EU1,EU2)),EU3)/30,EU2,EU3)</f>
        <v>#VALUE!</v>
      </c>
      <c r="EV6" s="969" t="e">
        <f>[1]!bodsava(1,1,(EV1+1),[1]!qsn([1]!ml([1]!taqsha(1,1,1+EV1,EV2)),EV3)/30,EV2,EV3)</f>
        <v>#VALUE!</v>
      </c>
      <c r="EW6" s="969" t="e">
        <f>[1]!bodsava(1,1,(EW1+1),[1]!qsn([1]!ml([1]!taqsha(1,1,1+EW1,EW2)),EW3)/30,EW2,EW3)</f>
        <v>#VALUE!</v>
      </c>
      <c r="EX6" s="969" t="e">
        <f>[1]!bodsava(1,1,(EX1+1),[1]!qsn([1]!ml([1]!taqsha(1,1,1+EX1,EX2)),EX3)/30,EX2,EX3)</f>
        <v>#VALUE!</v>
      </c>
      <c r="EY6" s="969" t="e">
        <f>[1]!bodsava(1,1,(EY1+1),[1]!qsn([1]!ml([1]!taqsha(1,1,1+EY1,EY2)),EY3)/30,EY2,EY3)</f>
        <v>#VALUE!</v>
      </c>
      <c r="EZ6" s="969" t="e">
        <f>[1]!bodsava(1,1,(EZ1+1),[1]!qsn([1]!ml([1]!taqsha(1,1,1+EZ1,EZ2)),EZ3)/30,EZ2,EZ3)</f>
        <v>#VALUE!</v>
      </c>
      <c r="FA6" s="969" t="e">
        <f>[1]!bodsava(1,1,(FA1+1),[1]!qsn([1]!ml([1]!taqsha(1,1,1+FA1,FA2)),FA3)/30,FA2,FA3)</f>
        <v>#VALUE!</v>
      </c>
      <c r="FB6" s="969" t="e">
        <f>[1]!bodsava(1,1,(FB1+1),[1]!qsn([1]!ml([1]!taqsha(1,1,1+FB1,FB2)),FB3)/30,FB2,FB3)</f>
        <v>#VALUE!</v>
      </c>
      <c r="FC6" s="969" t="e">
        <f>[1]!bodsava(1,1,(FC1+1),[1]!qsn([1]!ml([1]!taqsha(1,1,1+FC1,FC2)),FC3)/30,FC2,FC3)</f>
        <v>#VALUE!</v>
      </c>
      <c r="FD6" s="969" t="e">
        <f>[1]!bodsava(1,1,(FD1+1),[1]!qsn([1]!ml([1]!taqsha(1,1,1+FD1,FD2)),FD3)/30,FD2,FD3)</f>
        <v>#VALUE!</v>
      </c>
      <c r="FE6" s="969" t="e">
        <f>[1]!bodsava(1,1,(FE1+1),[1]!qsn([1]!ml([1]!taqsha(1,1,1+FE1,FE2)),FE3)/30,FE2,FE3)</f>
        <v>#VALUE!</v>
      </c>
      <c r="FF6" s="969" t="e">
        <f>[1]!bodsava(1,1,(FF1+1),[1]!qsn([1]!ml([1]!taqsha(1,1,1+FF1,FF2)),FF3)/30,FF2,FF3)</f>
        <v>#VALUE!</v>
      </c>
      <c r="FG6" s="969" t="e">
        <f>[1]!bodsava(1,1,(FG1+1),[1]!qsn([1]!ml([1]!taqsha(1,1,1+FG1,FG2)),FG3)/30,FG2,FG3)</f>
        <v>#VALUE!</v>
      </c>
      <c r="FH6" s="969" t="e">
        <f>[1]!bodsava(1,1,(FH1+1),[1]!qsn([1]!ml([1]!taqsha(1,1,1+FH1,FH2)),FH3)/30,FH2,FH3)</f>
        <v>#VALUE!</v>
      </c>
      <c r="FI6" s="969" t="e">
        <f>[1]!bodsava(1,1,(FI1+1),[1]!qsn([1]!ml([1]!taqsha(1,1,1+FI1,FI2)),FI3)/30,FI2,FI3)</f>
        <v>#VALUE!</v>
      </c>
      <c r="FJ6" s="969" t="e">
        <f>[1]!bodsava(1,1,(FJ1+1),[1]!qsn([1]!ml([1]!taqsha(1,1,1+FJ1,FJ2)),FJ3)/30,FJ2,FJ3)</f>
        <v>#VALUE!</v>
      </c>
      <c r="FK6" s="969" t="e">
        <f>[1]!bodsava(1,1,(FK1+1),[1]!qsn([1]!ml([1]!taqsha(1,1,1+FK1,FK2)),FK3)/30,FK2,FK3)</f>
        <v>#VALUE!</v>
      </c>
      <c r="FL6" s="969" t="e">
        <f>[1]!bodsava(1,1,(FL1+1),[1]!qsn([1]!ml([1]!taqsha(1,1,1+FL1,FL2)),FL3)/30,FL2,FL3)</f>
        <v>#VALUE!</v>
      </c>
      <c r="FM6" s="969" t="e">
        <f>[1]!bodsava(1,1,(FM1+1),[1]!qsn([1]!ml([1]!taqsha(1,1,1+FM1,FM2)),FM3)/30,FM2,FM3)</f>
        <v>#VALUE!</v>
      </c>
      <c r="FN6" s="969" t="e">
        <f>[1]!bodsava(1,1,(FN1+1),[1]!qsn([1]!ml([1]!taqsha(1,1,1+FN1,FN2)),FN3)/30,FN2,FN3)</f>
        <v>#VALUE!</v>
      </c>
      <c r="FO6" s="969" t="e">
        <f>[1]!bodsava(1,1,(FO1+1),[1]!qsn([1]!ml([1]!taqsha(1,1,1+FO1,FO2)),FO3)/30,FO2,FO3)</f>
        <v>#VALUE!</v>
      </c>
      <c r="FP6" s="969" t="e">
        <f>[1]!bodsava(1,1,(FP1+1),[1]!qsn([1]!ml([1]!taqsha(1,1,1+FP1,FP2)),FP3)/30,FP2,FP3)</f>
        <v>#VALUE!</v>
      </c>
      <c r="FQ6" s="969" t="e">
        <f>[1]!bodsava(1,1,(FQ1+1),[1]!qsn([1]!ml([1]!taqsha(1,1,1+FQ1,FQ2)),FQ3)/30,FQ2,FQ3)</f>
        <v>#VALUE!</v>
      </c>
      <c r="FR6" s="969" t="e">
        <f>[1]!bodsava(1,1,(FR1+1),[1]!qsn([1]!ml([1]!taqsha(1,1,1+FR1,FR2)),FR3)/30,FR2,FR3)</f>
        <v>#VALUE!</v>
      </c>
      <c r="FS6" s="969" t="e">
        <f>[1]!bodsava(1,1,(FS1+1),[1]!qsn([1]!ml([1]!taqsha(1,1,1+FS1,FS2)),FS3)/30,FS2,FS3)</f>
        <v>#VALUE!</v>
      </c>
      <c r="FT6" s="969" t="e">
        <f>[1]!bodsava(1,1,(FT1+1),[1]!qsn([1]!ml([1]!taqsha(1,1,1+FT1,FT2)),FT3)/30,FT2,FT3)</f>
        <v>#VALUE!</v>
      </c>
      <c r="FU6" s="969" t="e">
        <f>[1]!bodsava(1,1,(FU1+1),[1]!qsn([1]!ml([1]!taqsha(1,1,1+FU1,FU2)),FU3)/30,FU2,FU3)</f>
        <v>#VALUE!</v>
      </c>
      <c r="FV6" s="969" t="e">
        <f>[1]!bodsava(1,1,(FV1+1),[1]!qsn([1]!ml([1]!taqsha(1,1,1+FV1,FV2)),FV3)/30,FV2,FV3)</f>
        <v>#VALUE!</v>
      </c>
      <c r="FW6" s="969" t="e">
        <f>[1]!bodsava(1,1,(FW1+1),[1]!qsn([1]!ml([1]!taqsha(1,1,1+FW1,FW2)),FW3)/30,FW2,FW3)</f>
        <v>#VALUE!</v>
      </c>
      <c r="FX6" s="969" t="e">
        <f>[1]!bodsava(1,1,(FX1+1),[1]!qsn([1]!ml([1]!taqsha(1,1,1+FX1,FX2)),FX3)/30,FX2,FX3)</f>
        <v>#VALUE!</v>
      </c>
      <c r="FY6" s="969" t="e">
        <f>[1]!bodsava(1,1,(FY1+1),[1]!qsn([1]!ml([1]!taqsha(1,1,1+FY1,FY2)),FY3)/30,FY2,FY3)</f>
        <v>#VALUE!</v>
      </c>
      <c r="FZ6" s="969" t="e">
        <f>[1]!bodsava(1,1,(FZ1+1),[1]!qsn([1]!ml([1]!taqsha(1,1,1+FZ1,FZ2)),FZ3)/30,FZ2,FZ3)</f>
        <v>#VALUE!</v>
      </c>
      <c r="GA6" s="969" t="e">
        <f>[1]!bodsava(1,1,(GA1+1),[1]!qsn([1]!ml([1]!taqsha(1,1,1+GA1,GA2)),GA3)/30,GA2,GA3)</f>
        <v>#VALUE!</v>
      </c>
      <c r="GB6" s="969" t="e">
        <f>[1]!bodsava(1,1,(GB1+1),[1]!qsn([1]!ml([1]!taqsha(1,1,1+GB1,GB2)),GB3)/30,GB2,GB3)</f>
        <v>#VALUE!</v>
      </c>
      <c r="GC6" s="969" t="e">
        <f>[1]!bodsava(1,1,(GC1+1),[1]!qsn([1]!ml([1]!taqsha(1,1,1+GC1,GC2)),GC3)/30,GC2,GC3)</f>
        <v>#VALUE!</v>
      </c>
      <c r="GD6" s="969" t="e">
        <f>[1]!bodsava(1,1,(GD1+1),[1]!qsn([1]!ml([1]!taqsha(1,1,1+GD1,GD2)),GD3)/30,GD2,GD3)</f>
        <v>#VALUE!</v>
      </c>
      <c r="GE6" s="969" t="e">
        <f>[1]!bodsava(1,1,(GE1+1),[1]!qsn([1]!ml([1]!taqsha(1,1,1+GE1,GE2)),GE3)/30,GE2,GE3)</f>
        <v>#VALUE!</v>
      </c>
      <c r="GF6" s="969" t="e">
        <f>[1]!bodsava(1,1,(GF1+1),[1]!qsn([1]!ml([1]!taqsha(1,1,1+GF1,GF2)),GF3)/30,GF2,GF3)</f>
        <v>#VALUE!</v>
      </c>
      <c r="GG6" s="969" t="e">
        <f>[1]!bodsava(1,1,(GG1+1),[1]!qsn([1]!ml([1]!taqsha(1,1,1+GG1,GG2)),GG3)/30,GG2,GG3)</f>
        <v>#VALUE!</v>
      </c>
      <c r="GH6" s="969" t="e">
        <f>[1]!bodsava(1,1,(GH1+1),[1]!qsn([1]!ml([1]!taqsha(1,1,1+GH1,GH2)),GH3)/30,GH2,GH3)</f>
        <v>#VALUE!</v>
      </c>
      <c r="GI6" s="969" t="e">
        <f>[1]!bodsava(1,1,(GI1+1),[1]!qsn([1]!ml([1]!taqsha(1,1,1+GI1,GI2)),GI3)/30,GI2,GI3)</f>
        <v>#VALUE!</v>
      </c>
      <c r="GJ6" s="969" t="e">
        <f>[1]!bodsava(1,1,(GJ1+1),[1]!qsn([1]!ml([1]!taqsha(1,1,1+GJ1,GJ2)),GJ3)/30,GJ2,GJ3)</f>
        <v>#VALUE!</v>
      </c>
      <c r="GK6" s="969" t="e">
        <f>[1]!bodsava(1,1,(GK1+1),[1]!qsn([1]!ml([1]!taqsha(1,1,1+GK1,GK2)),GK3)/30,GK2,GK3)</f>
        <v>#VALUE!</v>
      </c>
      <c r="GL6" s="969" t="e">
        <f>[1]!bodsava(1,1,(GL1+1),[1]!qsn([1]!ml([1]!taqsha(1,1,1+GL1,GL2)),GL3)/30,GL2,GL3)</f>
        <v>#VALUE!</v>
      </c>
      <c r="GM6" s="969" t="e">
        <f>[1]!bodsava(1,1,(GM1+1),[1]!qsn([1]!ml([1]!taqsha(1,1,1+GM1,GM2)),GM3)/30,GM2,GM3)</f>
        <v>#VALUE!</v>
      </c>
      <c r="GN6" s="969" t="e">
        <f>[1]!bodsava(1,1,(GN1+1),[1]!qsn([1]!ml([1]!taqsha(1,1,1+GN1,GN2)),GN3)/30,GN2,GN3)</f>
        <v>#VALUE!</v>
      </c>
      <c r="GO6" s="969" t="e">
        <f>[1]!bodsava(1,1,(GO1+1),[1]!qsn([1]!ml([1]!taqsha(1,1,1+GO1,GO2)),GO3)/30,GO2,GO3)</f>
        <v>#VALUE!</v>
      </c>
      <c r="GP6" s="969" t="e">
        <f>[1]!bodsava(1,1,(GP1+1),[1]!qsn([1]!ml([1]!taqsha(1,1,1+GP1,GP2)),GP3)/30,GP2,GP3)</f>
        <v>#VALUE!</v>
      </c>
      <c r="GQ6" s="969" t="e">
        <f>[1]!bodsava(1,1,(GQ1+1),[1]!qsn([1]!ml([1]!taqsha(1,1,1+GQ1,GQ2)),GQ3)/30,GQ2,GQ3)</f>
        <v>#VALUE!</v>
      </c>
      <c r="GR6" s="969" t="e">
        <f>[1]!bodsava(1,1,(GR1+1),[1]!qsn([1]!ml([1]!taqsha(1,1,1+GR1,GR2)),GR3)/30,GR2,GR3)</f>
        <v>#VALUE!</v>
      </c>
      <c r="GS6" s="969" t="e">
        <f>[1]!bodsava(1,1,(GS1+1),[1]!qsn([1]!ml([1]!taqsha(1,1,1+GS1,GS2)),GS3)/30,GS2,GS3)</f>
        <v>#VALUE!</v>
      </c>
      <c r="GT6" s="969" t="e">
        <f>[1]!bodsava(1,1,(GT1+1),[1]!qsn([1]!ml([1]!taqsha(1,1,1+GT1,GT2)),GT3)/30,GT2,GT3)</f>
        <v>#VALUE!</v>
      </c>
      <c r="GU6" s="969" t="e">
        <f>[1]!bodsava(1,1,(GU1+1),[1]!qsn([1]!ml([1]!taqsha(1,1,1+GU1,GU2)),GU3)/30,GU2,GU3)</f>
        <v>#VALUE!</v>
      </c>
      <c r="GV6" s="969" t="e">
        <f>[1]!bodsava(1,1,(GV1+1),[1]!qsn([1]!ml([1]!taqsha(1,1,1+GV1,GV2)),GV3)/30,GV2,GV3)</f>
        <v>#VALUE!</v>
      </c>
      <c r="GW6" s="969" t="e">
        <f>[1]!bodsava(1,1,(GW1+1),[1]!qsn([1]!ml([1]!taqsha(1,1,1+GW1,GW2)),GW3)/30,GW2,GW3)</f>
        <v>#VALUE!</v>
      </c>
      <c r="GX6" s="969" t="e">
        <f>[1]!bodsava(1,1,(GX1+1),[1]!qsn([1]!ml([1]!taqsha(1,1,1+GX1,GX2)),GX3)/30,GX2,GX3)</f>
        <v>#VALUE!</v>
      </c>
      <c r="GY6" s="969" t="e">
        <f>[1]!bodsava(1,1,(GY1+1),[1]!qsn([1]!ml([1]!taqsha(1,1,1+GY1,GY2)),GY3)/30,GY2,GY3)</f>
        <v>#VALUE!</v>
      </c>
      <c r="GZ6" s="969" t="e">
        <f>[1]!bodsava(1,1,(GZ1+1),[1]!qsn([1]!ml([1]!taqsha(1,1,1+GZ1,GZ2)),GZ3)/30,GZ2,GZ3)</f>
        <v>#VALUE!</v>
      </c>
      <c r="HA6" s="969" t="e">
        <f>[1]!bodsava(1,1,(HA1+1),[1]!qsn([1]!ml([1]!taqsha(1,1,1+HA1,HA2)),HA3)/30,HA2,HA3)</f>
        <v>#VALUE!</v>
      </c>
      <c r="HB6" s="969" t="e">
        <f>[1]!bodsava(1,1,(HB1+1),[1]!qsn([1]!ml([1]!taqsha(1,1,1+HB1,HB2)),HB3)/30,HB2,HB3)</f>
        <v>#VALUE!</v>
      </c>
      <c r="HC6" s="969" t="e">
        <f>[1]!bodsava(1,1,(HC1+1),[1]!qsn([1]!ml([1]!taqsha(1,1,1+HC1,HC2)),HC3)/30,HC2,HC3)</f>
        <v>#VALUE!</v>
      </c>
      <c r="HD6" s="969" t="e">
        <f>[1]!bodsava(1,1,(HD1+1),[1]!qsn([1]!ml([1]!taqsha(1,1,1+HD1,HD2)),HD3)/30,HD2,HD3)</f>
        <v>#VALUE!</v>
      </c>
      <c r="HE6" s="969" t="e">
        <f>[1]!bodsava(1,1,(HE1+1),[1]!qsn([1]!ml([1]!taqsha(1,1,1+HE1,HE2)),HE3)/30,HE2,HE3)</f>
        <v>#VALUE!</v>
      </c>
      <c r="HF6" s="969" t="e">
        <f>[1]!bodsava(1,1,(HF1+1),[1]!qsn([1]!ml([1]!taqsha(1,1,1+HF1,HF2)),HF3)/30,HF2,HF3)</f>
        <v>#VALUE!</v>
      </c>
      <c r="HG6" s="969" t="e">
        <f>[1]!bodsava(1,1,(HG1+1),[1]!qsn([1]!ml([1]!taqsha(1,1,1+HG1,HG2)),HG3)/30,HG2,HG3)</f>
        <v>#VALUE!</v>
      </c>
      <c r="HH6" s="969" t="e">
        <f>[1]!bodsava(1,1,(HH1+1),[1]!qsn([1]!ml([1]!taqsha(1,1,1+HH1,HH2)),HH3)/30,HH2,HH3)</f>
        <v>#VALUE!</v>
      </c>
      <c r="HI6" s="969" t="e">
        <f>[1]!bodsava(1,1,(HI1+1),[1]!qsn([1]!ml([1]!taqsha(1,1,1+HI1,HI2)),HI3)/30,HI2,HI3)</f>
        <v>#VALUE!</v>
      </c>
      <c r="HJ6" s="969" t="e">
        <f>[1]!bodsava(1,1,(HJ1+1),[1]!qsn([1]!ml([1]!taqsha(1,1,1+HJ1,HJ2)),HJ3)/30,HJ2,HJ3)</f>
        <v>#VALUE!</v>
      </c>
      <c r="HK6" s="969" t="e">
        <f>[1]!bodsava(1,1,(HK1+1),[1]!qsn([1]!ml([1]!taqsha(1,1,1+HK1,HK2)),HK3)/30,HK2,HK3)</f>
        <v>#VALUE!</v>
      </c>
      <c r="HL6" s="969" t="e">
        <f>[1]!bodsava(1,1,(HL1+1),[1]!qsn([1]!ml([1]!taqsha(1,1,1+HL1,HL2)),HL3)/30,HL2,HL3)</f>
        <v>#VALUE!</v>
      </c>
      <c r="HM6" s="969" t="e">
        <f>[1]!bodsava(1,1,(HM1+1),[1]!qsn([1]!ml([1]!taqsha(1,1,1+HM1,HM2)),HM3)/30,HM2,HM3)</f>
        <v>#VALUE!</v>
      </c>
      <c r="HN6" s="969" t="e">
        <f>[1]!bodsava(1,1,(HN1+1),[1]!qsn([1]!ml([1]!taqsha(1,1,1+HN1,HN2)),HN3)/30,HN2,HN3)</f>
        <v>#VALUE!</v>
      </c>
      <c r="HO6" s="969" t="e">
        <f>[1]!bodsava(1,1,(HO1+1),[1]!qsn([1]!ml([1]!taqsha(1,1,1+HO1,HO2)),HO3)/30,HO2,HO3)</f>
        <v>#VALUE!</v>
      </c>
      <c r="HP6" s="969" t="e">
        <f>[1]!bodsava(1,1,(HP1+1),[1]!qsn([1]!ml([1]!taqsha(1,1,1+HP1,HP2)),HP3)/30,HP2,HP3)</f>
        <v>#VALUE!</v>
      </c>
      <c r="HQ6" s="969" t="e">
        <f>[1]!bodsava(1,1,(HQ1+1),[1]!qsn([1]!ml([1]!taqsha(1,1,1+HQ1,HQ2)),HQ3)/30,HQ2,HQ3)</f>
        <v>#VALUE!</v>
      </c>
      <c r="HR6" s="969" t="e">
        <f>[1]!bodsava(1,1,(HR1+1),[1]!qsn([1]!ml([1]!taqsha(1,1,1+HR1,HR2)),HR3)/30,HR2,HR3)</f>
        <v>#VALUE!</v>
      </c>
      <c r="HS6" s="969" t="e">
        <f>[1]!bodsava(1,1,(HS1+1),[1]!qsn([1]!ml([1]!taqsha(1,1,1+HS1,HS2)),HS3)/30,HS2,HS3)</f>
        <v>#VALUE!</v>
      </c>
      <c r="HT6" s="969" t="e">
        <f>[1]!bodsava(1,1,(HT1+1),[1]!qsn([1]!ml([1]!taqsha(1,1,1+HT1,HT2)),HT3)/30,HT2,HT3)</f>
        <v>#VALUE!</v>
      </c>
      <c r="HU6" s="969" t="e">
        <f>[1]!bodsava(1,1,(HU1+1),[1]!qsn([1]!ml([1]!taqsha(1,1,1+HU1,HU2)),HU3)/30,HU2,HU3)</f>
        <v>#VALUE!</v>
      </c>
      <c r="HV6" s="969" t="e">
        <f>[1]!bodsava(1,1,(HV1+1),[1]!qsn([1]!ml([1]!taqsha(1,1,1+HV1,HV2)),HV3)/30,HV2,HV3)</f>
        <v>#VALUE!</v>
      </c>
      <c r="HW6" s="969" t="e">
        <f>[1]!bodsava(1,1,(HW1+1),[1]!qsn([1]!ml([1]!taqsha(1,1,1+HW1,HW2)),HW3)/30,HW2,HW3)</f>
        <v>#VALUE!</v>
      </c>
      <c r="HX6" s="969" t="e">
        <f>[1]!bodsava(1,1,(HX1+1),[1]!qsn([1]!ml([1]!taqsha(1,1,1+HX1,HX2)),HX3)/30,HX2,HX3)</f>
        <v>#VALUE!</v>
      </c>
      <c r="HY6" s="969" t="e">
        <f>[1]!bodsava(1,1,(HY1+1),[1]!qsn([1]!ml([1]!taqsha(1,1,1+HY1,HY2)),HY3)/30,HY2,HY3)</f>
        <v>#VALUE!</v>
      </c>
      <c r="HZ6" s="969" t="e">
        <f>[1]!bodsava(1,1,(HZ1+1),[1]!qsn([1]!ml([1]!taqsha(1,1,1+HZ1,HZ2)),HZ3)/30,HZ2,HZ3)</f>
        <v>#VALUE!</v>
      </c>
      <c r="IA6" s="969" t="e">
        <f>[1]!bodsava(1,1,(IA1+1),[1]!qsn([1]!ml([1]!taqsha(1,1,1+IA1,IA2)),IA3)/30,IA2,IA3)</f>
        <v>#VALUE!</v>
      </c>
      <c r="IB6" s="969" t="e">
        <f>[1]!bodsava(1,1,(IB1+1),[1]!qsn([1]!ml([1]!taqsha(1,1,1+IB1,IB2)),IB3)/30,IB2,IB3)</f>
        <v>#VALUE!</v>
      </c>
      <c r="IC6" s="969" t="e">
        <f>[1]!bodsava(1,1,(IC1+1),[1]!qsn([1]!ml([1]!taqsha(1,1,1+IC1,IC2)),IC3)/30,IC2,IC3)</f>
        <v>#VALUE!</v>
      </c>
      <c r="ID6" s="969" t="e">
        <f>[1]!bodsava(1,1,(ID1+1),[1]!qsn([1]!ml([1]!taqsha(1,1,1+ID1,ID2)),ID3)/30,ID2,ID3)</f>
        <v>#VALUE!</v>
      </c>
      <c r="IE6" s="969" t="e">
        <f>[1]!bodsava(1,1,(IE1+1),[1]!qsn([1]!ml([1]!taqsha(1,1,1+IE1,IE2)),IE3)/30,IE2,IE3)</f>
        <v>#VALUE!</v>
      </c>
      <c r="IF6" s="969" t="e">
        <f>[1]!bodsava(1,1,(IF1+1),[1]!qsn([1]!ml([1]!taqsha(1,1,1+IF1,IF2)),IF3)/30,IF2,IF3)</f>
        <v>#VALUE!</v>
      </c>
      <c r="IG6" s="969" t="e">
        <f>[1]!bodsava(1,1,(IG1+1),[1]!qsn([1]!ml([1]!taqsha(1,1,1+IG1,IG2)),IG3)/30,IG2,IG3)</f>
        <v>#VALUE!</v>
      </c>
      <c r="IH6" s="969" t="e">
        <f>[1]!bodsava(1,1,(IH1+1),[1]!qsn([1]!ml([1]!taqsha(1,1,1+IH1,IH2)),IH3)/30,IH2,IH3)</f>
        <v>#VALUE!</v>
      </c>
      <c r="II6" s="969" t="e">
        <f>[1]!bodsava(1,1,(II1+1),[1]!qsn([1]!ml([1]!taqsha(1,1,1+II1,II2)),II3)/30,II2,II3)</f>
        <v>#VALUE!</v>
      </c>
      <c r="IJ6" s="969" t="e">
        <f>[1]!bodsava(1,1,(IJ1+1),[1]!qsn([1]!ml([1]!taqsha(1,1,1+IJ1,IJ2)),IJ3)/30,IJ2,IJ3)</f>
        <v>#VALUE!</v>
      </c>
      <c r="IK6" s="969" t="e">
        <f>[1]!bodsava(1,1,(IK1+1),[1]!qsn([1]!ml([1]!taqsha(1,1,1+IK1,IK2)),IK3)/30,IK2,IK3)</f>
        <v>#VALUE!</v>
      </c>
      <c r="IL6" s="969" t="e">
        <f>[1]!bodsava(1,1,(IL1+1),[1]!qsn([1]!ml([1]!taqsha(1,1,1+IL1,IL2)),IL3)/30,IL2,IL3)</f>
        <v>#VALUE!</v>
      </c>
      <c r="IM6" s="969" t="e">
        <f>[1]!bodsava(1,1,(IM1+1),[1]!qsn([1]!ml([1]!taqsha(1,1,1+IM1,IM2)),IM3)/30,IM2,IM3)</f>
        <v>#VALUE!</v>
      </c>
      <c r="IN6" s="969" t="e">
        <f>[1]!bodsava(1,1,(IN1+1),[1]!qsn([1]!ml([1]!taqsha(1,1,1+IN1,IN2)),IN3)/30,IN2,IN3)</f>
        <v>#VALUE!</v>
      </c>
      <c r="IO6" s="969" t="e">
        <f>[1]!bodsava(1,1,(IO1+1),[1]!qsn([1]!ml([1]!taqsha(1,1,1+IO1,IO2)),IO3)/30,IO2,IO3)</f>
        <v>#VALUE!</v>
      </c>
      <c r="IP6" s="969" t="e">
        <f>[1]!bodsava(1,1,(IP1+1),[1]!qsn([1]!ml([1]!taqsha(1,1,1+IP1,IP2)),IP3)/30,IP2,IP3)</f>
        <v>#VALUE!</v>
      </c>
      <c r="IQ6" s="969" t="e">
        <f>[1]!bodsava(1,1,(IQ1+1),[1]!qsn([1]!ml([1]!taqsha(1,1,1+IQ1,IQ2)),IQ3)/30,IQ2,IQ3)</f>
        <v>#VALUE!</v>
      </c>
      <c r="IR6" s="969" t="e">
        <f>[1]!bodsava(1,1,(IR1+1),[1]!qsn([1]!ml([1]!taqsha(1,1,1+IR1,IR2)),IR3)/30,IR2,IR3)</f>
        <v>#VALUE!</v>
      </c>
      <c r="IS6" s="969" t="e">
        <f>[1]!bodsava(1,1,(IS1+1),[1]!qsn([1]!ml([1]!taqsha(1,1,1+IS1,IS2)),IS3)/30,IS2,IS3)</f>
        <v>#VALUE!</v>
      </c>
      <c r="IT6" s="969" t="e">
        <f>[1]!bodsava(1,1,(IT1+1),[1]!qsn([1]!ml([1]!taqsha(1,1,1+IT1,IT2)),IT3)/30,IT2,IT3)</f>
        <v>#VALUE!</v>
      </c>
      <c r="IU6" s="969" t="e">
        <f>[1]!bodsava(1,1,(IU1+1),[1]!qsn([1]!ml([1]!taqsha(1,1,1+IU1,IU2)),IU3)/30,IU2,IU3)</f>
        <v>#VALUE!</v>
      </c>
      <c r="IV6" s="969" t="e">
        <f>[1]!bodsava(1,1,(IV1+1),[1]!qsn([1]!ml([1]!taqsha(1,1,1+IV1,IV2)),IV3)/30,IV2,IV3)</f>
        <v>#VALUE!</v>
      </c>
      <c r="IW6" s="969" t="e">
        <f>[1]!bodsava(1,1,(IW1+1),[1]!qsn([1]!ml([1]!taqsha(1,1,1+IW1,IW2)),IW3)/30,IW2,IW3)</f>
        <v>#VALUE!</v>
      </c>
      <c r="IX6" s="969" t="e">
        <f>[1]!bodsava(1,1,(IX1+1),[1]!qsn([1]!ml([1]!taqsha(1,1,1+IX1,IX2)),IX3)/30,IX2,IX3)</f>
        <v>#VALUE!</v>
      </c>
      <c r="IY6" s="969" t="e">
        <f>[1]!bodsava(1,1,(IY1+1),[1]!qsn([1]!ml([1]!taqsha(1,1,1+IY1,IY2)),IY3)/30,IY2,IY3)</f>
        <v>#VALUE!</v>
      </c>
      <c r="IZ6" s="969" t="e">
        <f>[1]!bodsava(1,1,(IZ1+1),[1]!qsn([1]!ml([1]!taqsha(1,1,1+IZ1,IZ2)),IZ3)/30,IZ2,IZ3)</f>
        <v>#VALUE!</v>
      </c>
      <c r="JA6" s="969" t="e">
        <f>[1]!bodsava(1,1,(JA1+1),[1]!qsn([1]!ml([1]!taqsha(1,1,1+JA1,JA2)),JA3)/30,JA2,JA3)</f>
        <v>#VALUE!</v>
      </c>
      <c r="JB6" s="969" t="e">
        <f>[1]!bodsava(1,1,(JB1+1),[1]!qsn([1]!ml([1]!taqsha(1,1,1+JB1,JB2)),JB3)/30,JB2,JB3)</f>
        <v>#VALUE!</v>
      </c>
      <c r="JC6" s="969" t="e">
        <f>[1]!bodsava(1,1,(JC1+1),[1]!qsn([1]!ml([1]!taqsha(1,1,1+JC1,JC2)),JC3)/30,JC2,JC3)</f>
        <v>#VALUE!</v>
      </c>
      <c r="JD6" s="969" t="e">
        <f>[1]!bodsava(1,1,(JD1+1),[1]!qsn([1]!ml([1]!taqsha(1,1,1+JD1,JD2)),JD3)/30,JD2,JD3)</f>
        <v>#VALUE!</v>
      </c>
      <c r="JE6" s="969" t="e">
        <f>[1]!bodsava(1,1,(JE1+1),[1]!qsn([1]!ml([1]!taqsha(1,1,1+JE1,JE2)),JE3)/30,JE2,JE3)</f>
        <v>#VALUE!</v>
      </c>
      <c r="JF6" s="969" t="e">
        <f>[1]!bodsava(1,1,(JF1+1),[1]!qsn([1]!ml([1]!taqsha(1,1,1+JF1,JF2)),JF3)/30,JF2,JF3)</f>
        <v>#VALUE!</v>
      </c>
      <c r="JG6" s="969" t="e">
        <f>[1]!bodsava(1,1,(JG1+1),[1]!qsn([1]!ml([1]!taqsha(1,1,1+JG1,JG2)),JG3)/30,JG2,JG3)</f>
        <v>#VALUE!</v>
      </c>
      <c r="JH6" s="969" t="e">
        <f>[1]!bodsava(1,1,(JH1+1),[1]!qsn([1]!ml([1]!taqsha(1,1,1+JH1,JH2)),JH3)/30,JH2,JH3)</f>
        <v>#VALUE!</v>
      </c>
      <c r="JI6" s="969" t="e">
        <f>[1]!bodsava(1,1,(JI1+1),[1]!qsn([1]!ml([1]!taqsha(1,1,1+JI1,JI2)),JI3)/30,JI2,JI3)</f>
        <v>#VALUE!</v>
      </c>
      <c r="JJ6" s="969" t="e">
        <f>[1]!bodsava(1,1,(JJ1+1),[1]!qsn([1]!ml([1]!taqsha(1,1,1+JJ1,JJ2)),JJ3)/30,JJ2,JJ3)</f>
        <v>#VALUE!</v>
      </c>
      <c r="JK6" s="969" t="e">
        <f>[1]!bodsava(1,1,(JK1+1),[1]!qsn([1]!ml([1]!taqsha(1,1,1+JK1,JK2)),JK3)/30,JK2,JK3)</f>
        <v>#VALUE!</v>
      </c>
      <c r="JL6" s="969" t="e">
        <f>[1]!bodsava(1,1,(JL1+1),[1]!qsn([1]!ml([1]!taqsha(1,1,1+JL1,JL2)),JL3)/30,JL2,JL3)</f>
        <v>#VALUE!</v>
      </c>
      <c r="JM6" s="969" t="e">
        <f>[1]!bodsava(1,1,(JM1+1),[1]!qsn([1]!ml([1]!taqsha(1,1,1+JM1,JM2)),JM3)/30,JM2,JM3)</f>
        <v>#VALUE!</v>
      </c>
      <c r="JN6" s="969" t="e">
        <f>[1]!bodsava(1,1,(JN1+1),[1]!qsn([1]!ml([1]!taqsha(1,1,1+JN1,JN2)),JN3)/30,JN2,JN3)</f>
        <v>#VALUE!</v>
      </c>
      <c r="JO6" s="969" t="e">
        <f>[1]!bodsava(1,1,(JO1+1),[1]!qsn([1]!ml([1]!taqsha(1,1,1+JO1,JO2)),JO3)/30,JO2,JO3)</f>
        <v>#VALUE!</v>
      </c>
      <c r="JP6" s="969" t="e">
        <f>[1]!bodsava(1,1,(JP1+1),[1]!qsn([1]!ml([1]!taqsha(1,1,1+JP1,JP2)),JP3)/30,JP2,JP3)</f>
        <v>#VALUE!</v>
      </c>
      <c r="JQ6" s="969" t="e">
        <f>[1]!bodsava(1,1,(JQ1+1),[1]!qsn([1]!ml([1]!taqsha(1,1,1+JQ1,JQ2)),JQ3)/30,JQ2,JQ3)</f>
        <v>#VALUE!</v>
      </c>
      <c r="JR6" s="969" t="e">
        <f>[1]!bodsava(1,1,(JR1+1),[1]!qsn([1]!ml([1]!taqsha(1,1,1+JR1,JR2)),JR3)/30,JR2,JR3)</f>
        <v>#VALUE!</v>
      </c>
      <c r="JS6" s="969" t="e">
        <f>[1]!bodsava(1,1,(JS1+1),[1]!qsn([1]!ml([1]!taqsha(1,1,1+JS1,JS2)),JS3)/30,JS2,JS3)</f>
        <v>#VALUE!</v>
      </c>
      <c r="JT6" s="969" t="e">
        <f>[1]!bodsava(1,1,(JT1+1),[1]!qsn([1]!ml([1]!taqsha(1,1,1+JT1,JT2)),JT3)/30,JT2,JT3)</f>
        <v>#VALUE!</v>
      </c>
      <c r="JU6" s="969" t="e">
        <f>[1]!bodsava(1,1,(JU1+1),[1]!qsn([1]!ml([1]!taqsha(1,1,1+JU1,JU2)),JU3)/30,JU2,JU3)</f>
        <v>#VALUE!</v>
      </c>
      <c r="JV6" s="969" t="e">
        <f>[1]!bodsava(1,1,(JV1+1),[1]!qsn([1]!ml([1]!taqsha(1,1,1+JV1,JV2)),JV3)/30,JV2,JV3)</f>
        <v>#VALUE!</v>
      </c>
      <c r="JW6" s="969" t="e">
        <f>[1]!bodsava(1,1,(JW1+1),[1]!qsn([1]!ml([1]!taqsha(1,1,1+JW1,JW2)),JW3)/30,JW2,JW3)</f>
        <v>#VALUE!</v>
      </c>
      <c r="JX6" s="969" t="e">
        <f>[1]!bodsava(1,1,(JX1+1),[1]!qsn([1]!ml([1]!taqsha(1,1,1+JX1,JX2)),JX3)/30,JX2,JX3)</f>
        <v>#VALUE!</v>
      </c>
      <c r="JY6" s="969" t="e">
        <f>[1]!bodsava(1,1,(JY1+1),[1]!qsn([1]!ml([1]!taqsha(1,1,1+JY1,JY2)),JY3)/30,JY2,JY3)</f>
        <v>#VALUE!</v>
      </c>
      <c r="JZ6" s="969" t="e">
        <f>[1]!bodsava(1,1,(JZ1+1),[1]!qsn([1]!ml([1]!taqsha(1,1,1+JZ1,JZ2)),JZ3)/30,JZ2,JZ3)</f>
        <v>#VALUE!</v>
      </c>
      <c r="KA6" s="969" t="e">
        <f>[1]!bodsava(1,1,(KA1+1),[1]!qsn([1]!ml([1]!taqsha(1,1,1+KA1,KA2)),KA3)/30,KA2,KA3)</f>
        <v>#VALUE!</v>
      </c>
      <c r="KB6" s="969" t="e">
        <f>[1]!bodsava(1,1,(KB1+1),[1]!qsn([1]!ml([1]!taqsha(1,1,1+KB1,KB2)),KB3)/30,KB2,KB3)</f>
        <v>#VALUE!</v>
      </c>
      <c r="KC6" s="969" t="e">
        <f>[1]!bodsava(1,1,(KC1+1),[1]!qsn([1]!ml([1]!taqsha(1,1,1+KC1,KC2)),KC3)/30,KC2,KC3)</f>
        <v>#VALUE!</v>
      </c>
      <c r="KD6" s="969" t="e">
        <f>[1]!bodsava(1,1,(KD1+1),[1]!qsn([1]!ml([1]!taqsha(1,1,1+KD1,KD2)),KD3)/30,KD2,KD3)</f>
        <v>#VALUE!</v>
      </c>
      <c r="KE6" s="969" t="e">
        <f>[1]!bodsava(1,1,(KE1+1),[1]!qsn([1]!ml([1]!taqsha(1,1,1+KE1,KE2)),KE3)/30,KE2,KE3)</f>
        <v>#VALUE!</v>
      </c>
      <c r="KF6" s="969" t="e">
        <f>[1]!bodsava(1,1,(KF1+1),[1]!qsn([1]!ml([1]!taqsha(1,1,1+KF1,KF2)),KF3)/30,KF2,KF3)</f>
        <v>#VALUE!</v>
      </c>
      <c r="KG6" s="969" t="e">
        <f>[1]!bodsava(1,1,(KG1+1),[1]!qsn([1]!ml([1]!taqsha(1,1,1+KG1,KG2)),KG3)/30,KG2,KG3)</f>
        <v>#VALUE!</v>
      </c>
      <c r="KH6" s="969" t="e">
        <f>[1]!bodsava(1,1,(KH1+1),[1]!qsn([1]!ml([1]!taqsha(1,1,1+KH1,KH2)),KH3)/30,KH2,KH3)</f>
        <v>#VALUE!</v>
      </c>
      <c r="KI6" s="969" t="e">
        <f>[1]!bodsava(1,1,(KI1+1),[1]!qsn([1]!ml([1]!taqsha(1,1,1+KI1,KI2)),KI3)/30,KI2,KI3)</f>
        <v>#VALUE!</v>
      </c>
      <c r="KJ6" s="969" t="e">
        <f>[1]!bodsava(1,1,(KJ1+1),[1]!qsn([1]!ml([1]!taqsha(1,1,1+KJ1,KJ2)),KJ3)/30,KJ2,KJ3)</f>
        <v>#VALUE!</v>
      </c>
      <c r="KK6" s="969" t="e">
        <f>[1]!bodsava(1,1,(KK1+1),[1]!qsn([1]!ml([1]!taqsha(1,1,1+KK1,KK2)),KK3)/30,KK2,KK3)</f>
        <v>#VALUE!</v>
      </c>
      <c r="KL6" s="969" t="e">
        <f>[1]!bodsava(1,1,(KL1+1),[1]!qsn([1]!ml([1]!taqsha(1,1,1+KL1,KL2)),KL3)/30,KL2,KL3)</f>
        <v>#VALUE!</v>
      </c>
      <c r="KM6" s="969" t="e">
        <f>[1]!bodsava(1,1,(KM1+1),[1]!qsn([1]!ml([1]!taqsha(1,1,1+KM1,KM2)),KM3)/30,KM2,KM3)</f>
        <v>#VALUE!</v>
      </c>
      <c r="KN6" s="969" t="e">
        <f>[1]!bodsava(1,1,(KN1+1),[1]!qsn([1]!ml([1]!taqsha(1,1,1+KN1,KN2)),KN3)/30,KN2,KN3)</f>
        <v>#VALUE!</v>
      </c>
      <c r="KO6" s="969" t="e">
        <f>[1]!bodsava(1,1,(KO1+1),[1]!qsn([1]!ml([1]!taqsha(1,1,1+KO1,KO2)),KO3)/30,KO2,KO3)</f>
        <v>#VALUE!</v>
      </c>
      <c r="KP6" s="969" t="e">
        <f>[1]!bodsava(1,1,(KP1+1),[1]!qsn([1]!ml([1]!taqsha(1,1,1+KP1,KP2)),KP3)/30,KP2,KP3)</f>
        <v>#VALUE!</v>
      </c>
      <c r="KQ6" s="969" t="e">
        <f>[1]!bodsava(1,1,(KQ1+1),[1]!qsn([1]!ml([1]!taqsha(1,1,1+KQ1,KQ2)),KQ3)/30,KQ2,KQ3)</f>
        <v>#VALUE!</v>
      </c>
      <c r="KR6" s="969" t="e">
        <f>[1]!bodsava(1,1,(KR1+1),[1]!qsn([1]!ml([1]!taqsha(1,1,1+KR1,KR2)),KR3)/30,KR2,KR3)</f>
        <v>#VALUE!</v>
      </c>
      <c r="KS6" s="969" t="e">
        <f>[1]!bodsava(1,1,(KS1+1),[1]!qsn([1]!ml([1]!taqsha(1,1,1+KS1,KS2)),KS3)/30,KS2,KS3)</f>
        <v>#VALUE!</v>
      </c>
      <c r="KT6" s="969" t="e">
        <f>[1]!bodsava(1,1,(KT1+1),[1]!qsn([1]!ml([1]!taqsha(1,1,1+KT1,KT2)),KT3)/30,KT2,KT3)</f>
        <v>#VALUE!</v>
      </c>
      <c r="KU6" s="969" t="e">
        <f>[1]!bodsava(1,1,(KU1+1),[1]!qsn([1]!ml([1]!taqsha(1,1,1+KU1,KU2)),KU3)/30,KU2,KU3)</f>
        <v>#VALUE!</v>
      </c>
      <c r="KV6" s="969" t="e">
        <f>[1]!bodsava(1,1,(KV1+1),[1]!qsn([1]!ml([1]!taqsha(1,1,1+KV1,KV2)),KV3)/30,KV2,KV3)</f>
        <v>#VALUE!</v>
      </c>
      <c r="KW6" s="969" t="e">
        <f>[1]!bodsava(1,1,(KW1+1),[1]!qsn([1]!ml([1]!taqsha(1,1,1+KW1,KW2)),KW3)/30,KW2,KW3)</f>
        <v>#VALUE!</v>
      </c>
      <c r="KX6" s="969" t="e">
        <f>[1]!bodsava(1,1,(KX1+1),[1]!qsn([1]!ml([1]!taqsha(1,1,1+KX1,KX2)),KX3)/30,KX2,KX3)</f>
        <v>#VALUE!</v>
      </c>
      <c r="KY6" s="969" t="e">
        <f>[1]!bodsava(1,1,(KY1+1),[1]!qsn([1]!ml([1]!taqsha(1,1,1+KY1,KY2)),KY3)/30,KY2,KY3)</f>
        <v>#VALUE!</v>
      </c>
      <c r="KZ6" s="969" t="e">
        <f>[1]!bodsava(1,1,(KZ1+1),[1]!qsn([1]!ml([1]!taqsha(1,1,1+KZ1,KZ2)),KZ3)/30,KZ2,KZ3)</f>
        <v>#VALUE!</v>
      </c>
      <c r="LA6" s="969" t="e">
        <f>[1]!bodsava(1,1,(LA1+1),[1]!qsn([1]!ml([1]!taqsha(1,1,1+LA1,LA2)),LA3)/30,LA2,LA3)</f>
        <v>#VALUE!</v>
      </c>
      <c r="LB6" s="969" t="e">
        <f>[1]!bodsava(1,1,(LB1+1),[1]!qsn([1]!ml([1]!taqsha(1,1,1+LB1,LB2)),LB3)/30,LB2,LB3)</f>
        <v>#VALUE!</v>
      </c>
      <c r="LC6" s="969" t="e">
        <f>[1]!bodsava(1,1,(LC1+1),[1]!qsn([1]!ml([1]!taqsha(1,1,1+LC1,LC2)),LC3)/30,LC2,LC3)</f>
        <v>#VALUE!</v>
      </c>
      <c r="LD6" s="969" t="e">
        <f>[1]!bodsava(1,1,(LD1+1),[1]!qsn([1]!ml([1]!taqsha(1,1,1+LD1,LD2)),LD3)/30,LD2,LD3)</f>
        <v>#VALUE!</v>
      </c>
      <c r="LE6" s="969" t="e">
        <f>[1]!bodsava(1,1,(LE1+1),[1]!qsn([1]!ml([1]!taqsha(1,1,1+LE1,LE2)),LE3)/30,LE2,LE3)</f>
        <v>#VALUE!</v>
      </c>
      <c r="LF6" s="969" t="e">
        <f>[1]!bodsava(1,1,(LF1+1),[1]!qsn([1]!ml([1]!taqsha(1,1,1+LF1,LF2)),LF3)/30,LF2,LF3)</f>
        <v>#VALUE!</v>
      </c>
      <c r="LG6" s="969" t="e">
        <f>[1]!bodsava(1,1,(LG1+1),[1]!qsn([1]!ml([1]!taqsha(1,1,1+LG1,LG2)),LG3)/30,LG2,LG3)</f>
        <v>#VALUE!</v>
      </c>
      <c r="LH6" s="969" t="e">
        <f>[1]!bodsava(1,1,(LH1+1),[1]!qsn([1]!ml([1]!taqsha(1,1,1+LH1,LH2)),LH3)/30,LH2,LH3)</f>
        <v>#VALUE!</v>
      </c>
      <c r="LI6" s="969" t="e">
        <f>[1]!bodsava(1,1,(LI1+1),[1]!qsn([1]!ml([1]!taqsha(1,1,1+LI1,LI2)),LI3)/30,LI2,LI3)</f>
        <v>#VALUE!</v>
      </c>
      <c r="LJ6" s="969" t="e">
        <f>[1]!bodsava(1,1,(LJ1+1),[1]!qsn([1]!ml([1]!taqsha(1,1,1+LJ1,LJ2)),LJ3)/30,LJ2,LJ3)</f>
        <v>#VALUE!</v>
      </c>
      <c r="LK6" s="969" t="e">
        <f>[1]!bodsava(1,1,(LK1+1),[1]!qsn([1]!ml([1]!taqsha(1,1,1+LK1,LK2)),LK3)/30,LK2,LK3)</f>
        <v>#VALUE!</v>
      </c>
      <c r="LL6" s="969" t="e">
        <f>[1]!bodsava(1,1,(LL1+1),[1]!qsn([1]!ml([1]!taqsha(1,1,1+LL1,LL2)),LL3)/30,LL2,LL3)</f>
        <v>#VALUE!</v>
      </c>
      <c r="LM6" s="969" t="e">
        <f>[1]!bodsava(1,1,(LM1+1),[1]!qsn([1]!ml([1]!taqsha(1,1,1+LM1,LM2)),LM3)/30,LM2,LM3)</f>
        <v>#VALUE!</v>
      </c>
      <c r="LN6" s="969" t="e">
        <f>[1]!bodsava(1,1,(LN1+1),[1]!qsn([1]!ml([1]!taqsha(1,1,1+LN1,LN2)),LN3)/30,LN2,LN3)</f>
        <v>#VALUE!</v>
      </c>
      <c r="LO6" s="969" t="e">
        <f>[1]!bodsava(1,1,(LO1+1),[1]!qsn([1]!ml([1]!taqsha(1,1,1+LO1,LO2)),LO3)/30,LO2,LO3)</f>
        <v>#VALUE!</v>
      </c>
      <c r="LP6" s="969" t="e">
        <f>[1]!bodsava(1,1,(LP1+1),[1]!qsn([1]!ml([1]!taqsha(1,1,1+LP1,LP2)),LP3)/30,LP2,LP3)</f>
        <v>#VALUE!</v>
      </c>
      <c r="LQ6" s="969" t="e">
        <f>[1]!bodsava(1,1,(LQ1+1),[1]!qsn([1]!ml([1]!taqsha(1,1,1+LQ1,LQ2)),LQ3)/30,LQ2,LQ3)</f>
        <v>#VALUE!</v>
      </c>
      <c r="LR6" s="969" t="e">
        <f>[1]!bodsava(1,1,(LR1+1),[1]!qsn([1]!ml([1]!taqsha(1,1,1+LR1,LR2)),LR3)/30,LR2,LR3)</f>
        <v>#VALUE!</v>
      </c>
      <c r="LS6" s="969" t="e">
        <f>[1]!bodsava(1,1,(LS1+1),[1]!qsn([1]!ml([1]!taqsha(1,1,1+LS1,LS2)),LS3)/30,LS2,LS3)</f>
        <v>#VALUE!</v>
      </c>
      <c r="LT6" s="969" t="e">
        <f>[1]!bodsava(1,1,(LT1+1),[1]!qsn([1]!ml([1]!taqsha(1,1,1+LT1,LT2)),LT3)/30,LT2,LT3)</f>
        <v>#VALUE!</v>
      </c>
      <c r="LU6" s="969" t="e">
        <f>[1]!bodsava(1,1,(LU1+1),[1]!qsn([1]!ml([1]!taqsha(1,1,1+LU1,LU2)),LU3)/30,LU2,LU3)</f>
        <v>#VALUE!</v>
      </c>
      <c r="LV6" s="969" t="e">
        <f>[1]!bodsava(1,1,(LV1+1),[1]!qsn([1]!ml([1]!taqsha(1,1,1+LV1,LV2)),LV3)/30,LV2,LV3)</f>
        <v>#VALUE!</v>
      </c>
      <c r="LW6" s="969" t="e">
        <f>[1]!bodsava(1,1,(LW1+1),[1]!qsn([1]!ml([1]!taqsha(1,1,1+LW1,LW2)),LW3)/30,LW2,LW3)</f>
        <v>#VALUE!</v>
      </c>
      <c r="LX6" s="969" t="e">
        <f>[1]!bodsava(1,1,(LX1+1),[1]!qsn([1]!ml([1]!taqsha(1,1,1+LX1,LX2)),LX3)/30,LX2,LX3)</f>
        <v>#VALUE!</v>
      </c>
      <c r="LY6" s="969" t="e">
        <f>[1]!bodsava(1,1,(LY1+1),[1]!qsn([1]!ml([1]!taqsha(1,1,1+LY1,LY2)),LY3)/30,LY2,LY3)</f>
        <v>#VALUE!</v>
      </c>
      <c r="LZ6" s="969" t="e">
        <f>[1]!bodsava(1,1,(LZ1+1),[1]!qsn([1]!ml([1]!taqsha(1,1,1+LZ1,LZ2)),LZ3)/30,LZ2,LZ3)</f>
        <v>#VALUE!</v>
      </c>
      <c r="MA6" s="969" t="e">
        <f>[1]!bodsava(1,1,(MA1+1),[1]!qsn([1]!ml([1]!taqsha(1,1,1+MA1,MA2)),MA3)/30,MA2,MA3)</f>
        <v>#VALUE!</v>
      </c>
      <c r="MB6" s="969" t="e">
        <f>[1]!bodsava(1,1,(MB1+1),[1]!qsn([1]!ml([1]!taqsha(1,1,1+MB1,MB2)),MB3)/30,MB2,MB3)</f>
        <v>#VALUE!</v>
      </c>
      <c r="MC6" s="969" t="e">
        <f>[1]!bodsava(1,1,(MC1+1),[1]!qsn([1]!ml([1]!taqsha(1,1,1+MC1,MC2)),MC3)/30,MC2,MC3)</f>
        <v>#VALUE!</v>
      </c>
      <c r="MD6" s="969" t="e">
        <f>[1]!bodsava(1,1,(MD1+1),[1]!qsn([1]!ml([1]!taqsha(1,1,1+MD1,MD2)),MD3)/30,MD2,MD3)</f>
        <v>#VALUE!</v>
      </c>
      <c r="ME6" s="969" t="e">
        <f>[1]!bodsava(1,1,(ME1+1),[1]!qsn([1]!ml([1]!taqsha(1,1,1+ME1,ME2)),ME3)/30,ME2,ME3)</f>
        <v>#VALUE!</v>
      </c>
      <c r="MF6" s="969" t="e">
        <f>[1]!bodsava(1,1,(MF1+1),[1]!qsn([1]!ml([1]!taqsha(1,1,1+MF1,MF2)),MF3)/30,MF2,MF3)</f>
        <v>#VALUE!</v>
      </c>
      <c r="MG6" s="969" t="e">
        <f>[1]!bodsava(1,1,(MG1+1),[1]!qsn([1]!ml([1]!taqsha(1,1,1+MG1,MG2)),MG3)/30,MG2,MG3)</f>
        <v>#VALUE!</v>
      </c>
      <c r="MH6" s="969" t="e">
        <f>[1]!bodsava(1,1,(MH1+1),[1]!qsn([1]!ml([1]!taqsha(1,1,1+MH1,MH2)),MH3)/30,MH2,MH3)</f>
        <v>#VALUE!</v>
      </c>
      <c r="MI6" s="969" t="e">
        <f>[1]!bodsava(1,1,(MI1+1),[1]!qsn([1]!ml([1]!taqsha(1,1,1+MI1,MI2)),MI3)/30,MI2,MI3)</f>
        <v>#VALUE!</v>
      </c>
      <c r="MJ6" s="969" t="e">
        <f>[1]!bodsava(1,1,(MJ1+1),[1]!qsn([1]!ml([1]!taqsha(1,1,1+MJ1,MJ2)),MJ3)/30,MJ2,MJ3)</f>
        <v>#VALUE!</v>
      </c>
      <c r="MK6" s="969" t="e">
        <f>[1]!bodsava(1,1,(MK1+1),[1]!qsn([1]!ml([1]!taqsha(1,1,1+MK1,MK2)),MK3)/30,MK2,MK3)</f>
        <v>#VALUE!</v>
      </c>
      <c r="ML6" s="969" t="e">
        <f>[1]!bodsava(1,1,(ML1+1),[1]!qsn([1]!ml([1]!taqsha(1,1,1+ML1,ML2)),ML3)/30,ML2,ML3)</f>
        <v>#VALUE!</v>
      </c>
      <c r="MM6" s="969" t="e">
        <f>[1]!bodsava(1,1,(MM1+1),[1]!qsn([1]!ml([1]!taqsha(1,1,1+MM1,MM2)),MM3)/30,MM2,MM3)</f>
        <v>#VALUE!</v>
      </c>
      <c r="MN6" s="969" t="e">
        <f>[1]!bodsava(1,1,(MN1+1),[1]!qsn([1]!ml([1]!taqsha(1,1,1+MN1,MN2)),MN3)/30,MN2,MN3)</f>
        <v>#VALUE!</v>
      </c>
      <c r="MO6" s="969" t="e">
        <f>[1]!bodsava(1,1,(MO1+1),[1]!qsn([1]!ml([1]!taqsha(1,1,1+MO1,MO2)),MO3)/30,MO2,MO3)</f>
        <v>#VALUE!</v>
      </c>
      <c r="MP6" s="969" t="e">
        <f>[1]!bodsava(1,1,(MP1+1),[1]!qsn([1]!ml([1]!taqsha(1,1,1+MP1,MP2)),MP3)/30,MP2,MP3)</f>
        <v>#VALUE!</v>
      </c>
      <c r="MQ6" s="969" t="e">
        <f>[1]!bodsava(1,1,(MQ1+1),[1]!qsn([1]!ml([1]!taqsha(1,1,1+MQ1,MQ2)),MQ3)/30,MQ2,MQ3)</f>
        <v>#VALUE!</v>
      </c>
      <c r="MR6" s="969" t="e">
        <f>[1]!bodsava(1,1,(MR1+1),[1]!qsn([1]!ml([1]!taqsha(1,1,1+MR1,MR2)),MR3)/30,MR2,MR3)</f>
        <v>#VALUE!</v>
      </c>
      <c r="MS6" s="969" t="e">
        <f>[1]!bodsava(1,1,(MS1+1),[1]!qsn([1]!ml([1]!taqsha(1,1,1+MS1,MS2)),MS3)/30,MS2,MS3)</f>
        <v>#VALUE!</v>
      </c>
      <c r="MT6" s="969" t="e">
        <f>[1]!bodsava(1,1,(MT1+1),[1]!qsn([1]!ml([1]!taqsha(1,1,1+MT1,MT2)),MT3)/30,MT2,MT3)</f>
        <v>#VALUE!</v>
      </c>
      <c r="MU6" s="969" t="e">
        <f>[1]!bodsava(1,1,(MU1+1),[1]!qsn([1]!ml([1]!taqsha(1,1,1+MU1,MU2)),MU3)/30,MU2,MU3)</f>
        <v>#VALUE!</v>
      </c>
      <c r="MV6" s="969" t="e">
        <f>[1]!bodsava(1,1,(MV1+1),[1]!qsn([1]!ml([1]!taqsha(1,1,1+MV1,MV2)),MV3)/30,MV2,MV3)</f>
        <v>#VALUE!</v>
      </c>
      <c r="MW6" s="969" t="e">
        <f>[1]!bodsava(1,1,(MW1+1),[1]!qsn([1]!ml([1]!taqsha(1,1,1+MW1,MW2)),MW3)/30,MW2,MW3)</f>
        <v>#VALUE!</v>
      </c>
      <c r="MX6" s="969" t="e">
        <f>[1]!bodsava(1,1,(MX1+1),[1]!qsn([1]!ml([1]!taqsha(1,1,1+MX1,MX2)),MX3)/30,MX2,MX3)</f>
        <v>#VALUE!</v>
      </c>
      <c r="MY6" s="969" t="e">
        <f>[1]!bodsava(1,1,(MY1+1),[1]!qsn([1]!ml([1]!taqsha(1,1,1+MY1,MY2)),MY3)/30,MY2,MY3)</f>
        <v>#VALUE!</v>
      </c>
      <c r="MZ6" s="969" t="e">
        <f>[1]!bodsava(1,1,(MZ1+1),[1]!qsn([1]!ml([1]!taqsha(1,1,1+MZ1,MZ2)),MZ3)/30,MZ2,MZ3)</f>
        <v>#VALUE!</v>
      </c>
      <c r="NA6" s="969" t="e">
        <f>[1]!bodsava(1,1,(NA1+1),[1]!qsn([1]!ml([1]!taqsha(1,1,1+NA1,NA2)),NA3)/30,NA2,NA3)</f>
        <v>#VALUE!</v>
      </c>
      <c r="NB6" s="969" t="e">
        <f>[1]!bodsava(1,1,(NB1+1),[1]!qsn([1]!ml([1]!taqsha(1,1,1+NB1,NB2)),NB3)/30,NB2,NB3)</f>
        <v>#VALUE!</v>
      </c>
      <c r="NC6" s="969" t="e">
        <f>[1]!bodsava(1,1,(NC1+1),[1]!qsn([1]!ml([1]!taqsha(1,1,1+NC1,NC2)),NC3)/30,NC2,NC3)</f>
        <v>#VALUE!</v>
      </c>
      <c r="ND6" s="969" t="e">
        <f>[1]!bodsava(1,1,(ND1+1),[1]!qsn([1]!ml([1]!taqsha(1,1,1+ND1,ND2)),ND3)/30,ND2,ND3)</f>
        <v>#VALUE!</v>
      </c>
      <c r="NE6" s="969" t="e">
        <f>[1]!bodsava(1,1,(NE1+1),[1]!qsn([1]!ml([1]!taqsha(1,1,1+NE1,NE2)),NE3)/30,NE2,NE3)</f>
        <v>#VALUE!</v>
      </c>
      <c r="NF6" s="969" t="e">
        <f>[1]!bodsava(1,1,(NF1+1),[1]!qsn([1]!ml([1]!taqsha(1,1,1+NF1,NF2)),NF3)/30,NF2,NF3)</f>
        <v>#VALUE!</v>
      </c>
      <c r="NG6" s="969" t="e">
        <f>[1]!bodsava(1,1,(NG1+1),[1]!qsn([1]!ml([1]!taqsha(1,1,1+NG1,NG2)),NG3)/30,NG2,NG3)</f>
        <v>#VALUE!</v>
      </c>
      <c r="NH6" s="969" t="e">
        <f>[1]!bodsava(1,1,(NH1+1),[1]!qsn([1]!ml([1]!taqsha(1,1,1+NH1,NH2)),NH3)/30,NH2,NH3)</f>
        <v>#VALUE!</v>
      </c>
      <c r="NI6" s="969" t="e">
        <f>[1]!bodsava(1,1,(NI1+1),[1]!qsn([1]!ml([1]!taqsha(1,1,1+NI1,NI2)),NI3)/30,NI2,NI3)</f>
        <v>#VALUE!</v>
      </c>
      <c r="NJ6" s="969" t="e">
        <f>[1]!bodsava(1,1,(NJ1+1),[1]!qsn([1]!ml([1]!taqsha(1,1,1+NJ1,NJ2)),NJ3)/30,NJ2,NJ3)</f>
        <v>#VALUE!</v>
      </c>
      <c r="NK6" s="969" t="e">
        <f>[1]!bodsava(1,1,(NK1+1),[1]!qsn([1]!ml([1]!taqsha(1,1,1+NK1,NK2)),NK3)/30,NK2,NK3)</f>
        <v>#VALUE!</v>
      </c>
      <c r="NL6" s="969" t="e">
        <f>[1]!bodsava(1,1,(NL1+1),[1]!qsn([1]!ml([1]!taqsha(1,1,1+NL1,NL2)),NL3)/30,NL2,NL3)</f>
        <v>#VALUE!</v>
      </c>
      <c r="NM6" s="969" t="e">
        <f>[1]!bodsava(1,1,(NM1+1),[1]!qsn([1]!ml([1]!taqsha(1,1,1+NM1,NM2)),NM3)/30,NM2,NM3)</f>
        <v>#VALUE!</v>
      </c>
      <c r="NN6" s="969" t="e">
        <f>[1]!bodsava(1,1,(NN1+1),[1]!qsn([1]!ml([1]!taqsha(1,1,1+NN1,NN2)),NN3)/30,NN2,NN3)</f>
        <v>#VALUE!</v>
      </c>
      <c r="NO6" s="969" t="e">
        <f>[1]!bodsava(1,1,(NO1+1),[1]!qsn([1]!ml([1]!taqsha(1,1,1+NO1,NO2)),NO3)/30,NO2,NO3)</f>
        <v>#VALUE!</v>
      </c>
      <c r="NP6" s="969" t="e">
        <f>[1]!bodsava(1,1,(NP1+1),[1]!qsn([1]!ml([1]!taqsha(1,1,1+NP1,NP2)),NP3)/30,NP2,NP3)</f>
        <v>#VALUE!</v>
      </c>
      <c r="NQ6" s="969" t="e">
        <f>[1]!bodsava(1,1,(NQ1+1),[1]!qsn([1]!ml([1]!taqsha(1,1,1+NQ1,NQ2)),NQ3)/30,NQ2,NQ3)</f>
        <v>#VALUE!</v>
      </c>
      <c r="NR6" s="969" t="e">
        <f>[1]!bodsava(1,1,(NR1+1),[1]!qsn([1]!ml([1]!taqsha(1,1,1+NR1,NR2)),NR3)/30,NR2,NR3)</f>
        <v>#VALUE!</v>
      </c>
      <c r="NS6" s="969" t="e">
        <f>[1]!bodsava(1,1,(NS1+1),[1]!qsn([1]!ml([1]!taqsha(1,1,1+NS1,NS2)),NS3)/30,NS2,NS3)</f>
        <v>#VALUE!</v>
      </c>
      <c r="NT6" s="969" t="e">
        <f>[1]!bodsava(1,1,(NT1+1),[1]!qsn([1]!ml([1]!taqsha(1,1,1+NT1,NT2)),NT3)/30,NT2,NT3)</f>
        <v>#VALUE!</v>
      </c>
      <c r="NU6" s="969" t="e">
        <f>[1]!bodsava(1,1,(NU1+1),[1]!qsn([1]!ml([1]!taqsha(1,1,1+NU1,NU2)),NU3)/30,NU2,NU3)</f>
        <v>#VALUE!</v>
      </c>
      <c r="NV6" s="969" t="e">
        <f>[1]!bodsava(1,1,(NV1+1),[1]!qsn([1]!ml([1]!taqsha(1,1,1+NV1,NV2)),NV3)/30,NV2,NV3)</f>
        <v>#VALUE!</v>
      </c>
      <c r="NW6" s="969" t="e">
        <f>[1]!bodsava(1,1,(NW1+1),[1]!qsn([1]!ml([1]!taqsha(1,1,1+NW1,NW2)),NW3)/30,NW2,NW3)</f>
        <v>#VALUE!</v>
      </c>
      <c r="NX6" s="969" t="e">
        <f>[1]!bodsava(1,1,(NX1+1),[1]!qsn([1]!ml([1]!taqsha(1,1,1+NX1,NX2)),NX3)/30,NX2,NX3)</f>
        <v>#VALUE!</v>
      </c>
      <c r="NY6" s="969" t="e">
        <f>[1]!bodsava(1,1,(NY1+1),[1]!qsn([1]!ml([1]!taqsha(1,1,1+NY1,NY2)),NY3)/30,NY2,NY3)</f>
        <v>#VALUE!</v>
      </c>
      <c r="NZ6" s="969" t="e">
        <f>[1]!bodsava(1,1,(NZ1+1),[1]!qsn([1]!ml([1]!taqsha(1,1,1+NZ1,NZ2)),NZ3)/30,NZ2,NZ3)</f>
        <v>#VALUE!</v>
      </c>
      <c r="OA6" s="969" t="e">
        <f>[1]!bodsava(1,1,(OA1+1),[1]!qsn([1]!ml([1]!taqsha(1,1,1+OA1,OA2)),OA3)/30,OA2,OA3)</f>
        <v>#VALUE!</v>
      </c>
      <c r="OB6" s="969" t="e">
        <f>[1]!bodsava(1,1,(OB1+1),[1]!qsn([1]!ml([1]!taqsha(1,1,1+OB1,OB2)),OB3)/30,OB2,OB3)</f>
        <v>#VALUE!</v>
      </c>
      <c r="OC6" s="969" t="e">
        <f>[1]!bodsava(1,1,(OC1+1),[1]!qsn([1]!ml([1]!taqsha(1,1,1+OC1,OC2)),OC3)/30,OC2,OC3)</f>
        <v>#VALUE!</v>
      </c>
      <c r="OD6" s="969" t="e">
        <f>[1]!bodsava(1,1,(OD1+1),[1]!qsn([1]!ml([1]!taqsha(1,1,1+OD1,OD2)),OD3)/30,OD2,OD3)</f>
        <v>#VALUE!</v>
      </c>
      <c r="OE6" s="969" t="e">
        <f>[1]!bodsava(1,1,(OE1+1),[1]!qsn([1]!ml([1]!taqsha(1,1,1+OE1,OE2)),OE3)/30,OE2,OE3)</f>
        <v>#VALUE!</v>
      </c>
      <c r="OF6" s="969" t="e">
        <f>[1]!bodsava(1,1,(OF1+1),[1]!qsn([1]!ml([1]!taqsha(1,1,1+OF1,OF2)),OF3)/30,OF2,OF3)</f>
        <v>#VALUE!</v>
      </c>
      <c r="OG6" s="969" t="e">
        <f>[1]!bodsava(1,1,(OG1+1),[1]!qsn([1]!ml([1]!taqsha(1,1,1+OG1,OG2)),OG3)/30,OG2,OG3)</f>
        <v>#VALUE!</v>
      </c>
      <c r="OH6" s="969" t="e">
        <f>[1]!bodsava(1,1,(OH1+1),[1]!qsn([1]!ml([1]!taqsha(1,1,1+OH1,OH2)),OH3)/30,OH2,OH3)</f>
        <v>#VALUE!</v>
      </c>
      <c r="OI6" s="969" t="e">
        <f>[1]!bodsava(1,1,(OI1+1),[1]!qsn([1]!ml([1]!taqsha(1,1,1+OI1,OI2)),OI3)/30,OI2,OI3)</f>
        <v>#VALUE!</v>
      </c>
      <c r="OJ6" s="969" t="e">
        <f>[1]!bodsava(1,1,(OJ1+1),[1]!qsn([1]!ml([1]!taqsha(1,1,1+OJ1,OJ2)),OJ3)/30,OJ2,OJ3)</f>
        <v>#VALUE!</v>
      </c>
      <c r="OK6" s="969" t="e">
        <f>[1]!bodsava(1,1,(OK1+1),[1]!qsn([1]!ml([1]!taqsha(1,1,1+OK1,OK2)),OK3)/30,OK2,OK3)</f>
        <v>#VALUE!</v>
      </c>
      <c r="OL6" s="969" t="e">
        <f>[1]!bodsava(1,1,(OL1+1),[1]!qsn([1]!ml([1]!taqsha(1,1,1+OL1,OL2)),OL3)/30,OL2,OL3)</f>
        <v>#VALUE!</v>
      </c>
      <c r="OM6" s="969" t="e">
        <f>[1]!bodsava(1,1,(OM1+1),[1]!qsn([1]!ml([1]!taqsha(1,1,1+OM1,OM2)),OM3)/30,OM2,OM3)</f>
        <v>#VALUE!</v>
      </c>
      <c r="ON6" s="969" t="e">
        <f>[1]!bodsava(1,1,(ON1+1),[1]!qsn([1]!ml([1]!taqsha(1,1,1+ON1,ON2)),ON3)/30,ON2,ON3)</f>
        <v>#VALUE!</v>
      </c>
      <c r="OO6" s="969" t="e">
        <f>[1]!bodsava(1,1,(OO1+1),[1]!qsn([1]!ml([1]!taqsha(1,1,1+OO1,OO2)),OO3)/30,OO2,OO3)</f>
        <v>#VALUE!</v>
      </c>
      <c r="OP6" s="969" t="e">
        <f>[1]!bodsava(1,1,(OP1+1),[1]!qsn([1]!ml([1]!taqsha(1,1,1+OP1,OP2)),OP3)/30,OP2,OP3)</f>
        <v>#VALUE!</v>
      </c>
      <c r="OQ6" s="969" t="e">
        <f>[1]!bodsava(1,1,(OQ1+1),[1]!qsn([1]!ml([1]!taqsha(1,1,1+OQ1,OQ2)),OQ3)/30,OQ2,OQ3)</f>
        <v>#VALUE!</v>
      </c>
      <c r="OR6" s="969" t="e">
        <f>[1]!bodsava(1,1,(OR1+1),[1]!qsn([1]!ml([1]!taqsha(1,1,1+OR1,OR2)),OR3)/30,OR2,OR3)</f>
        <v>#VALUE!</v>
      </c>
      <c r="OS6" s="969" t="e">
        <f>[1]!bodsava(1,1,(OS1+1),[1]!qsn([1]!ml([1]!taqsha(1,1,1+OS1,OS2)),OS3)/30,OS2,OS3)</f>
        <v>#VALUE!</v>
      </c>
      <c r="OT6" s="969" t="e">
        <f>[1]!bodsava(1,1,(OT1+1),[1]!qsn([1]!ml([1]!taqsha(1,1,1+OT1,OT2)),OT3)/30,OT2,OT3)</f>
        <v>#VALUE!</v>
      </c>
      <c r="OU6" s="969" t="e">
        <f>[1]!bodsava(1,1,(OU1+1),[1]!qsn([1]!ml([1]!taqsha(1,1,1+OU1,OU2)),OU3)/30,OU2,OU3)</f>
        <v>#VALUE!</v>
      </c>
      <c r="OV6" s="969" t="e">
        <f>[1]!bodsava(1,1,(OV1+1),[1]!qsn([1]!ml([1]!taqsha(1,1,1+OV1,OV2)),OV3)/30,OV2,OV3)</f>
        <v>#VALUE!</v>
      </c>
      <c r="OW6" s="969" t="e">
        <f>[1]!bodsava(1,1,(OW1+1),[1]!qsn([1]!ml([1]!taqsha(1,1,1+OW1,OW2)),OW3)/30,OW2,OW3)</f>
        <v>#VALUE!</v>
      </c>
      <c r="OX6" s="969" t="e">
        <f>[1]!bodsava(1,1,(OX1+1),[1]!qsn([1]!ml([1]!taqsha(1,1,1+OX1,OX2)),OX3)/30,OX2,OX3)</f>
        <v>#VALUE!</v>
      </c>
      <c r="OY6" s="969" t="e">
        <f>[1]!bodsava(1,1,(OY1+1),[1]!qsn([1]!ml([1]!taqsha(1,1,1+OY1,OY2)),OY3)/30,OY2,OY3)</f>
        <v>#VALUE!</v>
      </c>
      <c r="OZ6" s="969" t="e">
        <f>[1]!bodsava(1,1,(OZ1+1),[1]!qsn([1]!ml([1]!taqsha(1,1,1+OZ1,OZ2)),OZ3)/30,OZ2,OZ3)</f>
        <v>#VALUE!</v>
      </c>
      <c r="PA6" s="969" t="e">
        <f>[1]!bodsava(1,1,(PA1+1),[1]!qsn([1]!ml([1]!taqsha(1,1,1+PA1,PA2)),PA3)/30,PA2,PA3)</f>
        <v>#VALUE!</v>
      </c>
      <c r="PB6" s="969" t="e">
        <f>[1]!bodsava(1,1,(PB1+1),[1]!qsn([1]!ml([1]!taqsha(1,1,1+PB1,PB2)),PB3)/30,PB2,PB3)</f>
        <v>#VALUE!</v>
      </c>
      <c r="PC6" s="969" t="e">
        <f>[1]!bodsava(1,1,(PC1+1),[1]!qsn([1]!ml([1]!taqsha(1,1,1+PC1,PC2)),PC3)/30,PC2,PC3)</f>
        <v>#VALUE!</v>
      </c>
      <c r="PD6" s="969" t="e">
        <f>[1]!bodsava(1,1,(PD1+1),[1]!qsn([1]!ml([1]!taqsha(1,1,1+PD1,PD2)),PD3)/30,PD2,PD3)</f>
        <v>#VALUE!</v>
      </c>
      <c r="PE6" s="969" t="e">
        <f>[1]!bodsava(1,1,(PE1+1),[1]!qsn([1]!ml([1]!taqsha(1,1,1+PE1,PE2)),PE3)/30,PE2,PE3)</f>
        <v>#VALUE!</v>
      </c>
      <c r="PF6" s="969" t="e">
        <f>[1]!bodsava(1,1,(PF1+1),[1]!qsn([1]!ml([1]!taqsha(1,1,1+PF1,PF2)),PF3)/30,PF2,PF3)</f>
        <v>#VALUE!</v>
      </c>
      <c r="PG6" s="969" t="e">
        <f>[1]!bodsava(1,1,(PG1+1),[1]!qsn([1]!ml([1]!taqsha(1,1,1+PG1,PG2)),PG3)/30,PG2,PG3)</f>
        <v>#VALUE!</v>
      </c>
      <c r="PH6" s="969" t="e">
        <f>[1]!bodsava(1,1,(PH1+1),[1]!qsn([1]!ml([1]!taqsha(1,1,1+PH1,PH2)),PH3)/30,PH2,PH3)</f>
        <v>#VALUE!</v>
      </c>
      <c r="PI6" s="969" t="e">
        <f>[1]!bodsava(1,1,(PI1+1),[1]!qsn([1]!ml([1]!taqsha(1,1,1+PI1,PI2)),PI3)/30,PI2,PI3)</f>
        <v>#VALUE!</v>
      </c>
      <c r="PJ6" s="969" t="e">
        <f>[1]!bodsava(1,1,(PJ1+1),[1]!qsn([1]!ml([1]!taqsha(1,1,1+PJ1,PJ2)),PJ3)/30,PJ2,PJ3)</f>
        <v>#VALUE!</v>
      </c>
      <c r="PK6" s="969" t="e">
        <f>[1]!bodsava(1,1,(PK1+1),[1]!qsn([1]!ml([1]!taqsha(1,1,1+PK1,PK2)),PK3)/30,PK2,PK3)</f>
        <v>#VALUE!</v>
      </c>
      <c r="PL6" s="969" t="e">
        <f>[1]!bodsava(1,1,(PL1+1),[1]!qsn([1]!ml([1]!taqsha(1,1,1+PL1,PL2)),PL3)/30,PL2,PL3)</f>
        <v>#VALUE!</v>
      </c>
      <c r="PM6" s="969" t="e">
        <f>[1]!bodsava(1,1,(PM1+1),[1]!qsn([1]!ml([1]!taqsha(1,1,1+PM1,PM2)),PM3)/30,PM2,PM3)</f>
        <v>#VALUE!</v>
      </c>
      <c r="PN6" s="969" t="e">
        <f>[1]!bodsava(1,1,(PN1+1),[1]!qsn([1]!ml([1]!taqsha(1,1,1+PN1,PN2)),PN3)/30,PN2,PN3)</f>
        <v>#VALUE!</v>
      </c>
      <c r="PO6" s="969" t="e">
        <f>[1]!bodsava(1,1,(PO1+1),[1]!qsn([1]!ml([1]!taqsha(1,1,1+PO1,PO2)),PO3)/30,PO2,PO3)</f>
        <v>#VALUE!</v>
      </c>
      <c r="PP6" s="969" t="e">
        <f>[1]!bodsava(1,1,(PP1+1),[1]!qsn([1]!ml([1]!taqsha(1,1,1+PP1,PP2)),PP3)/30,PP2,PP3)</f>
        <v>#VALUE!</v>
      </c>
      <c r="PQ6" s="969" t="e">
        <f>[1]!bodsava(1,1,(PQ1+1),[1]!qsn([1]!ml([1]!taqsha(1,1,1+PQ1,PQ2)),PQ3)/30,PQ2,PQ3)</f>
        <v>#VALUE!</v>
      </c>
      <c r="PR6" s="969" t="e">
        <f>[1]!bodsava(1,1,(PR1+1),[1]!qsn([1]!ml([1]!taqsha(1,1,1+PR1,PR2)),PR3)/30,PR2,PR3)</f>
        <v>#VALUE!</v>
      </c>
      <c r="PS6" s="969" t="e">
        <f>[1]!bodsava(1,1,(PS1+1),[1]!qsn([1]!ml([1]!taqsha(1,1,1+PS1,PS2)),PS3)/30,PS2,PS3)</f>
        <v>#VALUE!</v>
      </c>
      <c r="PT6" s="969" t="e">
        <f>[1]!bodsava(1,1,(PT1+1),[1]!qsn([1]!ml([1]!taqsha(1,1,1+PT1,PT2)),PT3)/30,PT2,PT3)</f>
        <v>#VALUE!</v>
      </c>
      <c r="PU6" s="969" t="e">
        <f>[1]!bodsava(1,1,(PU1+1),[1]!qsn([1]!ml([1]!taqsha(1,1,1+PU1,PU2)),PU3)/30,PU2,PU3)</f>
        <v>#VALUE!</v>
      </c>
      <c r="PV6" s="969" t="e">
        <f>[1]!bodsava(1,1,(PV1+1),[1]!qsn([1]!ml([1]!taqsha(1,1,1+PV1,PV2)),PV3)/30,PV2,PV3)</f>
        <v>#VALUE!</v>
      </c>
      <c r="PW6" s="969" t="e">
        <f>[1]!bodsava(1,1,(PW1+1),[1]!qsn([1]!ml([1]!taqsha(1,1,1+PW1,PW2)),PW3)/30,PW2,PW3)</f>
        <v>#VALUE!</v>
      </c>
      <c r="PX6" s="969" t="e">
        <f>[1]!bodsava(1,1,(PX1+1),[1]!qsn([1]!ml([1]!taqsha(1,1,1+PX1,PX2)),PX3)/30,PX2,PX3)</f>
        <v>#VALUE!</v>
      </c>
      <c r="PY6" s="969" t="e">
        <f>[1]!bodsava(1,1,(PY1+1),[1]!qsn([1]!ml([1]!taqsha(1,1,1+PY1,PY2)),PY3)/30,PY2,PY3)</f>
        <v>#VALUE!</v>
      </c>
      <c r="PZ6" s="969" t="e">
        <f>[1]!bodsava(1,1,(PZ1+1),[1]!qsn([1]!ml([1]!taqsha(1,1,1+PZ1,PZ2)),PZ3)/30,PZ2,PZ3)</f>
        <v>#VALUE!</v>
      </c>
      <c r="QA6" s="969" t="e">
        <f>[1]!bodsava(1,1,(QA1+1),[1]!qsn([1]!ml([1]!taqsha(1,1,1+QA1,QA2)),QA3)/30,QA2,QA3)</f>
        <v>#VALUE!</v>
      </c>
      <c r="QB6" s="969" t="e">
        <f>[1]!bodsava(1,1,(QB1+1),[1]!qsn([1]!ml([1]!taqsha(1,1,1+QB1,QB2)),QB3)/30,QB2,QB3)</f>
        <v>#VALUE!</v>
      </c>
      <c r="QC6" s="969" t="e">
        <f>[1]!bodsava(1,1,(QC1+1),[1]!qsn([1]!ml([1]!taqsha(1,1,1+QC1,QC2)),QC3)/30,QC2,QC3)</f>
        <v>#VALUE!</v>
      </c>
      <c r="QD6" s="969" t="e">
        <f>[1]!bodsava(1,1,(QD1+1),[1]!qsn([1]!ml([1]!taqsha(1,1,1+QD1,QD2)),QD3)/30,QD2,QD3)</f>
        <v>#VALUE!</v>
      </c>
      <c r="QE6" s="969" t="e">
        <f>[1]!bodsava(1,1,(QE1+1),[1]!qsn([1]!ml([1]!taqsha(1,1,1+QE1,QE2)),QE3)/30,QE2,QE3)</f>
        <v>#VALUE!</v>
      </c>
      <c r="QF6" s="969" t="e">
        <f>[1]!bodsava(1,1,(QF1+1),[1]!qsn([1]!ml([1]!taqsha(1,1,1+QF1,QF2)),QF3)/30,QF2,QF3)</f>
        <v>#VALUE!</v>
      </c>
      <c r="QG6" s="969" t="e">
        <f>[1]!bodsava(1,1,(QG1+1),[1]!qsn([1]!ml([1]!taqsha(1,1,1+QG1,QG2)),QG3)/30,QG2,QG3)</f>
        <v>#VALUE!</v>
      </c>
      <c r="QH6" s="969" t="e">
        <f>[1]!bodsava(1,1,(QH1+1),[1]!qsn([1]!ml([1]!taqsha(1,1,1+QH1,QH2)),QH3)/30,QH2,QH3)</f>
        <v>#VALUE!</v>
      </c>
      <c r="QI6" s="969" t="e">
        <f>[1]!bodsava(1,1,(QI1+1),[1]!qsn([1]!ml([1]!taqsha(1,1,1+QI1,QI2)),QI3)/30,QI2,QI3)</f>
        <v>#VALUE!</v>
      </c>
      <c r="QJ6" s="969" t="e">
        <f>[1]!bodsava(1,1,(QJ1+1),[1]!qsn([1]!ml([1]!taqsha(1,1,1+QJ1,QJ2)),QJ3)/30,QJ2,QJ3)</f>
        <v>#VALUE!</v>
      </c>
      <c r="QK6" s="969" t="e">
        <f>[1]!bodsava(1,1,(QK1+1),[1]!qsn([1]!ml([1]!taqsha(1,1,1+QK1,QK2)),QK3)/30,QK2,QK3)</f>
        <v>#VALUE!</v>
      </c>
      <c r="QL6" s="969" t="e">
        <f>[1]!bodsava(1,1,(QL1+1),[1]!qsn([1]!ml([1]!taqsha(1,1,1+QL1,QL2)),QL3)/30,QL2,QL3)</f>
        <v>#VALUE!</v>
      </c>
      <c r="QM6" s="969" t="e">
        <f>[1]!bodsava(1,1,(QM1+1),[1]!qsn([1]!ml([1]!taqsha(1,1,1+QM1,QM2)),QM3)/30,QM2,QM3)</f>
        <v>#VALUE!</v>
      </c>
      <c r="QN6" s="969" t="e">
        <f>[1]!bodsava(1,1,(QN1+1),[1]!qsn([1]!ml([1]!taqsha(1,1,1+QN1,QN2)),QN3)/30,QN2,QN3)</f>
        <v>#VALUE!</v>
      </c>
      <c r="QO6" s="969" t="e">
        <f>[1]!bodsava(1,1,(QO1+1),[1]!qsn([1]!ml([1]!taqsha(1,1,1+QO1,QO2)),QO3)/30,QO2,QO3)</f>
        <v>#VALUE!</v>
      </c>
      <c r="QP6" s="969" t="e">
        <f>[1]!bodsava(1,1,(QP1+1),[1]!qsn([1]!ml([1]!taqsha(1,1,1+QP1,QP2)),QP3)/30,QP2,QP3)</f>
        <v>#VALUE!</v>
      </c>
      <c r="QQ6" s="969" t="e">
        <f>[1]!bodsava(1,1,(QQ1+1),[1]!qsn([1]!ml([1]!taqsha(1,1,1+QQ1,QQ2)),QQ3)/30,QQ2,QQ3)</f>
        <v>#VALUE!</v>
      </c>
      <c r="QR6" s="969" t="e">
        <f>[1]!bodsava(1,1,(QR1+1),[1]!qsn([1]!ml([1]!taqsha(1,1,1+QR1,QR2)),QR3)/30,QR2,QR3)</f>
        <v>#VALUE!</v>
      </c>
      <c r="QS6" s="969" t="e">
        <f>[1]!bodsava(1,1,(QS1+1),[1]!qsn([1]!ml([1]!taqsha(1,1,1+QS1,QS2)),QS3)/30,QS2,QS3)</f>
        <v>#VALUE!</v>
      </c>
      <c r="QT6" s="969" t="e">
        <f>[1]!bodsava(1,1,(QT1+1),[1]!qsn([1]!ml([1]!taqsha(1,1,1+QT1,QT2)),QT3)/30,QT2,QT3)</f>
        <v>#VALUE!</v>
      </c>
      <c r="QU6" s="969" t="e">
        <f>[1]!bodsava(1,1,(QU1+1),[1]!qsn([1]!ml([1]!taqsha(1,1,1+QU1,QU2)),QU3)/30,QU2,QU3)</f>
        <v>#VALUE!</v>
      </c>
      <c r="QV6" s="969" t="e">
        <f>[1]!bodsava(1,1,(QV1+1),[1]!qsn([1]!ml([1]!taqsha(1,1,1+QV1,QV2)),QV3)/30,QV2,QV3)</f>
        <v>#VALUE!</v>
      </c>
      <c r="QW6" s="969" t="e">
        <f>[1]!bodsava(1,1,(QW1+1),[1]!qsn([1]!ml([1]!taqsha(1,1,1+QW1,QW2)),QW3)/30,QW2,QW3)</f>
        <v>#VALUE!</v>
      </c>
      <c r="QX6" s="969" t="e">
        <f>[1]!bodsava(1,1,(QX1+1),[1]!qsn([1]!ml([1]!taqsha(1,1,1+QX1,QX2)),QX3)/30,QX2,QX3)</f>
        <v>#VALUE!</v>
      </c>
      <c r="QY6" s="969" t="e">
        <f>[1]!bodsava(1,1,(QY1+1),[1]!qsn([1]!ml([1]!taqsha(1,1,1+QY1,QY2)),QY3)/30,QY2,QY3)</f>
        <v>#VALUE!</v>
      </c>
      <c r="QZ6" s="969" t="e">
        <f>[1]!bodsava(1,1,(QZ1+1),[1]!qsn([1]!ml([1]!taqsha(1,1,1+QZ1,QZ2)),QZ3)/30,QZ2,QZ3)</f>
        <v>#VALUE!</v>
      </c>
      <c r="RA6" s="968"/>
      <c r="RC6" t="s">
        <v>3</v>
      </c>
    </row>
    <row r="7" spans="1:471" ht="22.5" thickBot="1">
      <c r="A7" s="22">
        <f>A4</f>
        <v>22</v>
      </c>
      <c r="B7" s="22">
        <f>B4</f>
        <v>9</v>
      </c>
      <c r="C7" s="22">
        <f>C4</f>
        <v>1442</v>
      </c>
      <c r="D7" t="str">
        <f>D4</f>
        <v>شمسی</v>
      </c>
      <c r="E7">
        <f>E4</f>
        <v>16</v>
      </c>
      <c r="H7">
        <f>H5+G3</f>
        <v>528932.01057989092</v>
      </c>
      <c r="J7" s="4"/>
      <c r="K7" s="4"/>
      <c r="L7" s="4"/>
      <c r="M7" s="4"/>
      <c r="N7" s="4"/>
      <c r="O7" s="4">
        <f>O6</f>
        <v>30</v>
      </c>
      <c r="P7" s="4">
        <f t="shared" ref="P7:AA7" si="19">P6+O7</f>
        <v>60</v>
      </c>
      <c r="Q7" s="4">
        <f t="shared" si="19"/>
        <v>90</v>
      </c>
      <c r="R7" s="4">
        <f t="shared" si="19"/>
        <v>120</v>
      </c>
      <c r="S7" s="4">
        <f t="shared" si="19"/>
        <v>150</v>
      </c>
      <c r="T7" s="4">
        <f t="shared" si="19"/>
        <v>180</v>
      </c>
      <c r="U7" s="4">
        <f t="shared" si="19"/>
        <v>210</v>
      </c>
      <c r="V7" s="4">
        <f t="shared" si="19"/>
        <v>240</v>
      </c>
      <c r="W7" s="4">
        <f t="shared" si="19"/>
        <v>270</v>
      </c>
      <c r="X7" s="4">
        <f t="shared" si="19"/>
        <v>300</v>
      </c>
      <c r="Y7" s="4">
        <f t="shared" si="19"/>
        <v>330</v>
      </c>
      <c r="Z7" s="4">
        <f t="shared" si="19"/>
        <v>360</v>
      </c>
      <c r="AA7" s="4">
        <f t="shared" si="19"/>
        <v>365</v>
      </c>
      <c r="AE7" s="202"/>
      <c r="AF7" s="201">
        <f>(AF4-1)*(354.367092592592/12)</f>
        <v>206.71413734567864</v>
      </c>
      <c r="AK7" s="759"/>
      <c r="AL7" s="701">
        <f>[1]!mbtool(2,17,0,1)</f>
        <v>9.5138888888888884E-2</v>
      </c>
      <c r="AM7" s="304">
        <f>[1]!mbtool(2,17,0,1)</f>
        <v>9.5138888888888884E-2</v>
      </c>
      <c r="AN7" s="304">
        <f>[1]!mbtool(2,17,0,1)</f>
        <v>9.5138888888888884E-2</v>
      </c>
      <c r="AO7" s="304">
        <f>[1]!mbtool(2,17,0,1)</f>
        <v>9.5138888888888884E-2</v>
      </c>
      <c r="AP7" s="304">
        <f>[1]!mbtool(2,17,0,1)</f>
        <v>9.5138888888888884E-2</v>
      </c>
      <c r="AQ7" s="304">
        <f>[1]!mbtool(2,17,0,1)</f>
        <v>9.5138888888888884E-2</v>
      </c>
      <c r="AR7" s="304">
        <f>[1]!mbtool(2,17,0,1)</f>
        <v>9.5138888888888884E-2</v>
      </c>
      <c r="AS7" s="304">
        <f>[1]!mbtool(2,17,0,1)</f>
        <v>9.5138888888888884E-2</v>
      </c>
      <c r="AT7" s="304">
        <f>[1]!mbtool(2,17,0,1)</f>
        <v>9.5138888888888884E-2</v>
      </c>
      <c r="AU7" s="304">
        <f>[1]!mbtool(2,17,0,1)</f>
        <v>9.5138888888888884E-2</v>
      </c>
      <c r="AV7" s="304">
        <f>[1]!mbtool(2,17,0,1)</f>
        <v>9.5138888888888884E-2</v>
      </c>
      <c r="AW7" s="304">
        <f>[1]!mbtool(2,17,0,1)</f>
        <v>9.5138888888888884E-2</v>
      </c>
      <c r="AX7" s="314"/>
      <c r="AZ7" s="732" t="s">
        <v>326</v>
      </c>
      <c r="BA7" s="731">
        <f>[1]!mbtool(2,17,0,1)</f>
        <v>9.5138888888888884E-2</v>
      </c>
      <c r="BB7" s="113">
        <f>[1]!mbtool(2,17,0,1)</f>
        <v>9.5138888888888884E-2</v>
      </c>
      <c r="BC7" s="113">
        <f>[1]!mbtool(2,17,0,1)</f>
        <v>9.5138888888888884E-2</v>
      </c>
      <c r="BD7" s="113">
        <f>[1]!mbtool(2,17,0,1)</f>
        <v>9.5138888888888884E-2</v>
      </c>
      <c r="BE7" s="113">
        <f>[1]!mbtool(2,17,0,1)</f>
        <v>9.5138888888888884E-2</v>
      </c>
      <c r="BF7" s="113">
        <f>[1]!mbtool(2,17,0,1)</f>
        <v>9.5138888888888884E-2</v>
      </c>
      <c r="BG7" s="113">
        <f>[1]!mbtool(2,17,0,1)</f>
        <v>9.5138888888888884E-2</v>
      </c>
      <c r="BH7" s="113">
        <f>[1]!mbtool(2,17,0,1)</f>
        <v>9.5138888888888884E-2</v>
      </c>
      <c r="BI7" s="113">
        <f>[1]!mbtool(2,17,0,1)</f>
        <v>9.5138888888888884E-2</v>
      </c>
      <c r="BJ7" s="113">
        <f>[1]!mbtool(2,17,0,1)</f>
        <v>9.5138888888888884E-2</v>
      </c>
      <c r="BK7" s="113">
        <f>[1]!mbtool(2,17,0,1)</f>
        <v>9.5138888888888884E-2</v>
      </c>
      <c r="BL7" s="113">
        <f>[1]!mbtool(2,17,0,1)</f>
        <v>9.5138888888888884E-2</v>
      </c>
      <c r="BM7" s="113">
        <f>[1]!mbtool(2,17,0,1)</f>
        <v>9.5138888888888884E-2</v>
      </c>
      <c r="BN7" s="317"/>
      <c r="BP7" s="732">
        <v>0</v>
      </c>
      <c r="BQ7" s="732">
        <v>1</v>
      </c>
      <c r="BR7" s="753">
        <v>2</v>
      </c>
      <c r="BS7" s="755" t="e">
        <f>BA20</f>
        <v>#VALUE!</v>
      </c>
      <c r="BT7" s="238"/>
      <c r="BU7" s="4"/>
      <c r="BV7" s="756" t="s">
        <v>87</v>
      </c>
      <c r="BW7" s="317">
        <v>354</v>
      </c>
      <c r="BX7" s="748" t="s">
        <v>87</v>
      </c>
      <c r="BY7" s="317">
        <v>354</v>
      </c>
      <c r="CA7" s="787" t="s">
        <v>166</v>
      </c>
      <c r="CB7" s="242">
        <v>10</v>
      </c>
      <c r="CC7" s="244">
        <f>INT(ABS(CB7))</f>
        <v>10</v>
      </c>
      <c r="CD7" s="244">
        <f>INT((ABS(CB7)-CC7)*60)</f>
        <v>0</v>
      </c>
      <c r="CE7" s="244">
        <f>INT((((ABS(CB7)-CC7)*60)-CD7)*60)</f>
        <v>0</v>
      </c>
      <c r="CF7" s="789">
        <f>INT((((((ABS(CB7)-CC7)*60)-CD7)*60)-CE7)*60)</f>
        <v>0</v>
      </c>
      <c r="CG7" s="490" t="s">
        <v>166</v>
      </c>
      <c r="CH7" s="309">
        <v>30</v>
      </c>
      <c r="CI7" s="309"/>
      <c r="CJ7" s="309"/>
      <c r="CK7" s="309"/>
      <c r="CL7" s="774"/>
      <c r="CO7" s="759" t="s">
        <v>166</v>
      </c>
      <c r="CP7" s="759">
        <v>25</v>
      </c>
      <c r="CQ7" s="759"/>
      <c r="CR7" s="759"/>
      <c r="CS7" s="759"/>
      <c r="CT7" s="759"/>
      <c r="CU7" s="759"/>
      <c r="CV7" s="787" t="s">
        <v>166</v>
      </c>
      <c r="CW7" s="242">
        <f>CP7+(CP8/60)</f>
        <v>25.033333333333335</v>
      </c>
      <c r="CX7" s="244">
        <f>INT(ABS(CW7))</f>
        <v>25</v>
      </c>
      <c r="CY7" s="244">
        <f>INT((ABS(CW7)-CX7)*60)</f>
        <v>2</v>
      </c>
      <c r="CZ7" s="244">
        <f>INT((((ABS(CW7)-CX7)*60)-CY7)*60)</f>
        <v>0</v>
      </c>
      <c r="DA7" s="789">
        <f>INT((((((ABS(CW7)-CX7)*60)-CY7)*60)-CZ7)*60)</f>
        <v>0</v>
      </c>
      <c r="DC7" s="906">
        <f>DC3</f>
        <v>1</v>
      </c>
      <c r="DD7" s="114">
        <f>(DD4*29)+DD6</f>
        <v>0</v>
      </c>
      <c r="DE7" s="115">
        <f>DE4+DE5+DE6</f>
        <v>-3898</v>
      </c>
      <c r="DG7" s="797" t="s">
        <v>3543</v>
      </c>
      <c r="DI7" s="650">
        <v>0</v>
      </c>
      <c r="DJ7" s="651">
        <v>0</v>
      </c>
      <c r="DK7" s="651" t="e">
        <f>IF(AND(OR(DJ5&lt;10,DJ6&lt;10),AND(DK5&gt;=10,DK6&gt;=10)),1,DJ7+1)</f>
        <v>#VALUE!</v>
      </c>
      <c r="DL7" s="651" t="e">
        <f t="shared" ref="DL7:DZ7" si="20">IF(AND(OR(DK5&lt;10,DK6&lt;10),AND(DL5&gt;=10,DL6&gt;=10)),1,DK7+1)</f>
        <v>#VALUE!</v>
      </c>
      <c r="DM7" s="651" t="e">
        <f t="shared" si="20"/>
        <v>#VALUE!</v>
      </c>
      <c r="DN7" s="651" t="e">
        <f t="shared" si="20"/>
        <v>#VALUE!</v>
      </c>
      <c r="DO7" s="651" t="e">
        <f t="shared" si="20"/>
        <v>#VALUE!</v>
      </c>
      <c r="DP7" s="651" t="e">
        <f t="shared" si="20"/>
        <v>#VALUE!</v>
      </c>
      <c r="DQ7" s="651" t="e">
        <f t="shared" si="20"/>
        <v>#VALUE!</v>
      </c>
      <c r="DR7" s="651" t="e">
        <f t="shared" si="20"/>
        <v>#VALUE!</v>
      </c>
      <c r="DS7" s="651" t="e">
        <f t="shared" si="20"/>
        <v>#VALUE!</v>
      </c>
      <c r="DT7" s="651" t="e">
        <f t="shared" si="20"/>
        <v>#VALUE!</v>
      </c>
      <c r="DU7" s="651" t="e">
        <f t="shared" si="20"/>
        <v>#VALUE!</v>
      </c>
      <c r="DV7" s="651" t="e">
        <f t="shared" si="20"/>
        <v>#VALUE!</v>
      </c>
      <c r="DW7" s="651" t="e">
        <f t="shared" si="20"/>
        <v>#VALUE!</v>
      </c>
      <c r="DX7" s="651" t="e">
        <f t="shared" si="20"/>
        <v>#VALUE!</v>
      </c>
      <c r="DY7" s="651" t="e">
        <f t="shared" si="20"/>
        <v>#VALUE!</v>
      </c>
      <c r="DZ7" s="651" t="e">
        <f t="shared" si="20"/>
        <v>#VALUE!</v>
      </c>
      <c r="EA7" s="651">
        <v>18</v>
      </c>
      <c r="EB7" s="651">
        <v>19</v>
      </c>
      <c r="EC7" s="651">
        <v>20</v>
      </c>
      <c r="ED7" s="651">
        <v>21</v>
      </c>
      <c r="EE7" s="651">
        <v>22</v>
      </c>
      <c r="EF7" s="651">
        <v>23</v>
      </c>
      <c r="EG7" s="651">
        <v>24</v>
      </c>
      <c r="EH7" s="651">
        <v>25</v>
      </c>
      <c r="EI7" s="651">
        <v>26</v>
      </c>
      <c r="EJ7" s="651">
        <v>27</v>
      </c>
      <c r="EK7" s="651" t="e">
        <f t="shared" ref="EK7" si="21">IF(AND(OR(EJ5&lt;10,EJ6&lt;10),AND(EK5&gt;=10,EK6&gt;=10)),1,EJ7+1)</f>
        <v>#VALUE!</v>
      </c>
      <c r="EL7" s="651" t="e">
        <f t="shared" ref="EL7" si="22">IF(AND(OR(EK5&lt;10,EK6&lt;10),AND(EL5&gt;=10,EL6&gt;=10)),1,EK7+1)</f>
        <v>#VALUE!</v>
      </c>
      <c r="EM7" s="651" t="e">
        <f t="shared" ref="EM7" si="23">IF(AND(OR(EL5&lt;10,EL6&lt;10),AND(EM5&gt;=10,EM6&gt;=10)),1,EL7+1)</f>
        <v>#VALUE!</v>
      </c>
      <c r="EN7" s="651" t="e">
        <f t="shared" ref="EN7" si="24">IF(AND(OR(EM5&lt;10,EM6&lt;10),AND(EN5&gt;=10,EN6&gt;=10)),1,EM7+1)</f>
        <v>#VALUE!</v>
      </c>
      <c r="EO7" s="651" t="e">
        <f t="shared" ref="EO7" si="25">IF(AND(OR(EN5&lt;10,EN6&lt;10),AND(EO5&gt;=10,EO6&gt;=10)),1,EN7+1)</f>
        <v>#VALUE!</v>
      </c>
      <c r="EP7" s="651" t="e">
        <f t="shared" ref="EP7" si="26">IF(AND(OR(EO5&lt;10,EO6&lt;10),AND(EP5&gt;=10,EP6&gt;=10)),1,EO7+1)</f>
        <v>#VALUE!</v>
      </c>
      <c r="EQ7" s="651" t="e">
        <f t="shared" ref="EQ7" si="27">IF(AND(OR(EP5&lt;10,EP6&lt;10),AND(EQ5&gt;=10,EQ6&gt;=10)),1,EP7+1)</f>
        <v>#VALUE!</v>
      </c>
      <c r="ER7" s="651" t="e">
        <f t="shared" ref="ER7" si="28">IF(AND(OR(EQ5&lt;10,EQ6&lt;10),AND(ER5&gt;=10,ER6&gt;=10)),1,EQ7+1)</f>
        <v>#VALUE!</v>
      </c>
      <c r="ES7" s="651" t="e">
        <f t="shared" ref="ES7" si="29">IF(AND(OR(ER5&lt;10,ER6&lt;10),AND(ES5&gt;=10,ES6&gt;=10)),1,ER7+1)</f>
        <v>#VALUE!</v>
      </c>
      <c r="ET7" s="651" t="e">
        <f t="shared" ref="ET7" si="30">IF(AND(OR(ES5&lt;10,ES6&lt;10),AND(ET5&gt;=10,ET6&gt;=10)),1,ES7+1)</f>
        <v>#VALUE!</v>
      </c>
      <c r="EU7" s="651" t="e">
        <f t="shared" ref="EU7" si="31">IF(AND(OR(ET5&lt;10,ET6&lt;10),AND(EU5&gt;=10,EU6&gt;=10)),1,ET7+1)</f>
        <v>#VALUE!</v>
      </c>
      <c r="EV7" s="651" t="e">
        <f t="shared" ref="EV7" si="32">IF(AND(OR(EU5&lt;10,EU6&lt;10),AND(EV5&gt;=10,EV6&gt;=10)),1,EU7+1)</f>
        <v>#VALUE!</v>
      </c>
      <c r="EW7" s="651" t="e">
        <f t="shared" ref="EW7" si="33">IF(AND(OR(EV5&lt;10,EV6&lt;10),AND(EW5&gt;=10,EW6&gt;=10)),1,EV7+1)</f>
        <v>#VALUE!</v>
      </c>
      <c r="EX7" s="651" t="e">
        <f t="shared" ref="EX7" si="34">IF(AND(OR(EW5&lt;10,EW6&lt;10),AND(EX5&gt;=10,EX6&gt;=10)),1,EW7+1)</f>
        <v>#VALUE!</v>
      </c>
      <c r="EY7" s="651" t="e">
        <f t="shared" ref="EY7" si="35">IF(AND(OR(EX5&lt;10,EX6&lt;10),AND(EY5&gt;=10,EY6&gt;=10)),1,EX7+1)</f>
        <v>#VALUE!</v>
      </c>
      <c r="EZ7" s="651" t="e">
        <f t="shared" ref="EZ7" si="36">IF(AND(OR(EY5&lt;10,EY6&lt;10),AND(EZ5&gt;=10,EZ6&gt;=10)),1,EY7+1)</f>
        <v>#VALUE!</v>
      </c>
      <c r="FA7" s="651" t="e">
        <f t="shared" ref="FA7" si="37">IF(AND(OR(EZ5&lt;10,EZ6&lt;10),AND(FA5&gt;=10,FA6&gt;=10)),1,EZ7+1)</f>
        <v>#VALUE!</v>
      </c>
      <c r="FB7" s="651" t="e">
        <f t="shared" ref="FB7" si="38">IF(AND(OR(FA5&lt;10,FA6&lt;10),AND(FB5&gt;=10,FB6&gt;=10)),1,FA7+1)</f>
        <v>#VALUE!</v>
      </c>
      <c r="FC7" s="651" t="e">
        <f t="shared" ref="FC7" si="39">IF(AND(FB5&lt;10,FB6&lt;10,FC5&gt;=10,FC6&gt;=10),1,FB7+1)</f>
        <v>#VALUE!</v>
      </c>
      <c r="FD7" s="651">
        <v>18</v>
      </c>
      <c r="FE7" s="651">
        <v>19</v>
      </c>
      <c r="FF7" s="651">
        <v>20</v>
      </c>
      <c r="FG7" s="651">
        <v>21</v>
      </c>
      <c r="FH7" s="651">
        <v>22</v>
      </c>
      <c r="FI7" s="651">
        <v>23</v>
      </c>
      <c r="FJ7" s="651">
        <v>24</v>
      </c>
      <c r="FK7" s="651">
        <v>25</v>
      </c>
      <c r="FL7" s="651">
        <v>26</v>
      </c>
      <c r="FM7" s="651">
        <v>27</v>
      </c>
      <c r="FN7" s="651" t="e">
        <f t="shared" ref="FN7" si="40">IF(AND(OR(FM5&lt;10,FM6&lt;10),AND(FN5&gt;=10,FN6&gt;=10)),1,FM7+1)</f>
        <v>#VALUE!</v>
      </c>
      <c r="FO7" s="651" t="e">
        <f t="shared" ref="FO7" si="41">IF(AND(OR(FN5&lt;10,FN6&lt;10),AND(FO5&gt;=10,FO6&gt;=10)),1,FN7+1)</f>
        <v>#VALUE!</v>
      </c>
      <c r="FP7" s="651" t="e">
        <f t="shared" ref="FP7" si="42">IF(AND(OR(FO5&lt;10,FO6&lt;10),AND(FP5&gt;=10,FP6&gt;=10)),1,FO7+1)</f>
        <v>#VALUE!</v>
      </c>
      <c r="FQ7" s="973" t="e">
        <f t="shared" ref="FQ7" si="43">IF(AND(OR(FP5&lt;10,FP6&lt;10),AND(FQ5&gt;=10,FQ6&gt;=10)),1,FP7+1)</f>
        <v>#VALUE!</v>
      </c>
      <c r="FR7" s="651" t="e">
        <f t="shared" ref="FR7" si="44">IF(AND(OR(FQ5&lt;10,FQ6&lt;10),AND(FR5&gt;=10,FR6&gt;=10)),1,FQ7+1)</f>
        <v>#VALUE!</v>
      </c>
      <c r="FS7" s="651" t="e">
        <f t="shared" ref="FS7" si="45">IF(AND(OR(FR5&lt;10,FR6&lt;10),AND(FS5&gt;=10,FS6&gt;=10)),1,FR7+1)</f>
        <v>#VALUE!</v>
      </c>
      <c r="FT7" s="651" t="e">
        <f t="shared" ref="FT7" si="46">IF(AND(OR(FS5&lt;10,FS6&lt;10),AND(FT5&gt;=10,FT6&gt;=10)),1,FS7+1)</f>
        <v>#VALUE!</v>
      </c>
      <c r="FU7" s="651" t="e">
        <f t="shared" ref="FU7" si="47">IF(AND(OR(FT5&lt;10,FT6&lt;10),AND(FU5&gt;=10,FU6&gt;=10)),1,FT7+1)</f>
        <v>#VALUE!</v>
      </c>
      <c r="FV7" s="651" t="e">
        <f t="shared" ref="FV7" si="48">IF(AND(OR(FU5&lt;10,FU6&lt;10),AND(FV5&gt;=10,FV6&gt;=10)),1,FU7+1)</f>
        <v>#VALUE!</v>
      </c>
      <c r="FW7" s="651" t="e">
        <f t="shared" ref="FW7" si="49">IF(AND(OR(FV5&lt;10,FV6&lt;10),AND(FW5&gt;=10,FW6&gt;=10)),1,FV7+1)</f>
        <v>#VALUE!</v>
      </c>
      <c r="FX7" s="651" t="e">
        <f t="shared" ref="FX7" si="50">IF(AND(OR(FW5&lt;10,FW6&lt;10),AND(FX5&gt;=10,FX6&gt;=10)),1,FW7+1)</f>
        <v>#VALUE!</v>
      </c>
      <c r="FY7" s="651" t="e">
        <f t="shared" ref="FY7" si="51">IF(AND(OR(FX5&lt;10,FX6&lt;10),AND(FY5&gt;=10,FY6&gt;=10)),1,FX7+1)</f>
        <v>#VALUE!</v>
      </c>
      <c r="FZ7" s="651" t="e">
        <f t="shared" ref="FZ7" si="52">IF(AND(OR(FY5&lt;10,FY6&lt;10),AND(FZ5&gt;=10,FZ6&gt;=10)),1,FY7+1)</f>
        <v>#VALUE!</v>
      </c>
      <c r="GA7" s="651" t="e">
        <f t="shared" ref="GA7" si="53">IF(AND(OR(FZ5&lt;10,FZ6&lt;10),AND(GA5&gt;=10,GA6&gt;=10)),1,FZ7+1)</f>
        <v>#VALUE!</v>
      </c>
      <c r="GB7" s="651" t="e">
        <f t="shared" ref="GB7" si="54">IF(AND(OR(GA5&lt;10,GA6&lt;10),AND(GB5&gt;=10,GB6&gt;=10)),1,GA7+1)</f>
        <v>#VALUE!</v>
      </c>
      <c r="GC7" s="651" t="e">
        <f t="shared" ref="GC7" si="55">IF(AND(OR(GB5&lt;10,GB6&lt;10),AND(GC5&gt;=10,GC6&gt;=10)),1,GB7+1)</f>
        <v>#VALUE!</v>
      </c>
      <c r="GD7" s="651" t="e">
        <f t="shared" ref="GD7" si="56">IF(AND(OR(GC5&lt;10,GC6&lt;10),AND(GD5&gt;=10,GD6&gt;=10)),1,GC7+1)</f>
        <v>#VALUE!</v>
      </c>
      <c r="GE7" s="651" t="e">
        <f t="shared" ref="GE7" si="57">IF(AND(OR(GD5&lt;10,GD6&lt;10),AND(GE5&gt;=10,GE6&gt;=10)),1,GD7+1)</f>
        <v>#VALUE!</v>
      </c>
      <c r="GF7" s="651" t="e">
        <f t="shared" ref="GF7:GG7" si="58">IF(AND(OR(GE5&lt;10,GE6&lt;10),AND(GF5&gt;=10,GF6&gt;=10)),1,GE7+1)</f>
        <v>#VALUE!</v>
      </c>
      <c r="GG7" s="651" t="e">
        <f t="shared" si="58"/>
        <v>#VALUE!</v>
      </c>
      <c r="GH7" s="651">
        <v>18</v>
      </c>
      <c r="GI7" s="651">
        <v>19</v>
      </c>
      <c r="GJ7" s="651">
        <v>20</v>
      </c>
      <c r="GK7" s="651">
        <v>21</v>
      </c>
      <c r="GL7" s="651">
        <v>22</v>
      </c>
      <c r="GM7" s="651">
        <v>23</v>
      </c>
      <c r="GN7" s="651">
        <v>24</v>
      </c>
      <c r="GO7" s="651">
        <v>25</v>
      </c>
      <c r="GP7" s="651">
        <v>26</v>
      </c>
      <c r="GQ7" s="651">
        <v>27</v>
      </c>
      <c r="GR7" s="651">
        <v>28</v>
      </c>
      <c r="GS7" s="973">
        <v>29</v>
      </c>
      <c r="GT7" s="651">
        <v>1</v>
      </c>
      <c r="GU7" s="651">
        <v>2</v>
      </c>
      <c r="GV7" s="651">
        <v>3</v>
      </c>
      <c r="GW7" s="651">
        <v>4</v>
      </c>
      <c r="GX7" s="651">
        <v>5</v>
      </c>
      <c r="GY7" s="651">
        <v>6</v>
      </c>
      <c r="GZ7" s="651">
        <v>7</v>
      </c>
      <c r="HA7" s="651">
        <v>8</v>
      </c>
      <c r="HB7" s="651">
        <v>9</v>
      </c>
      <c r="HC7" s="651">
        <v>10</v>
      </c>
      <c r="HD7" s="651">
        <v>11</v>
      </c>
      <c r="HE7" s="651">
        <v>12</v>
      </c>
      <c r="HF7" s="651">
        <v>13</v>
      </c>
      <c r="HG7" s="651">
        <v>14</v>
      </c>
      <c r="HH7" s="651">
        <v>15</v>
      </c>
      <c r="HI7" s="651">
        <v>16</v>
      </c>
      <c r="HJ7" s="651">
        <v>17</v>
      </c>
      <c r="HK7" s="651">
        <v>18</v>
      </c>
      <c r="HL7" s="651">
        <v>19</v>
      </c>
      <c r="HM7" s="651">
        <v>20</v>
      </c>
      <c r="HN7" s="651">
        <v>21</v>
      </c>
      <c r="HO7" s="651">
        <v>22</v>
      </c>
      <c r="HP7" s="651">
        <v>23</v>
      </c>
      <c r="HQ7" s="651">
        <v>24</v>
      </c>
      <c r="HR7" s="651">
        <v>25</v>
      </c>
      <c r="HS7" s="651">
        <v>26</v>
      </c>
      <c r="HT7" s="651">
        <v>27</v>
      </c>
      <c r="HU7" s="651">
        <v>28</v>
      </c>
      <c r="HV7" s="973">
        <v>29</v>
      </c>
      <c r="HW7" s="651">
        <v>1</v>
      </c>
      <c r="HX7" s="651">
        <v>2</v>
      </c>
      <c r="HY7" s="651">
        <v>3</v>
      </c>
      <c r="HZ7" s="651">
        <v>4</v>
      </c>
      <c r="IA7" s="651">
        <v>5</v>
      </c>
      <c r="IB7" s="651">
        <v>6</v>
      </c>
      <c r="IC7" s="651">
        <v>7</v>
      </c>
      <c r="ID7" s="651">
        <v>8</v>
      </c>
      <c r="IE7" s="651">
        <v>9</v>
      </c>
      <c r="IF7" s="651">
        <v>10</v>
      </c>
      <c r="IG7" s="651">
        <v>11</v>
      </c>
      <c r="IH7" s="651">
        <v>12</v>
      </c>
      <c r="II7" s="651">
        <v>13</v>
      </c>
      <c r="IJ7" s="651">
        <v>14</v>
      </c>
      <c r="IK7" s="651">
        <v>15</v>
      </c>
      <c r="IL7" s="651">
        <v>16</v>
      </c>
      <c r="IM7" s="651">
        <v>17</v>
      </c>
      <c r="IN7" s="651">
        <v>18</v>
      </c>
      <c r="IO7" s="651">
        <v>19</v>
      </c>
      <c r="IP7" s="651">
        <v>20</v>
      </c>
      <c r="IQ7" s="651">
        <v>21</v>
      </c>
      <c r="IR7" s="651">
        <v>22</v>
      </c>
      <c r="IS7" s="651">
        <v>23</v>
      </c>
      <c r="IT7" s="651">
        <v>24</v>
      </c>
      <c r="IU7" s="651">
        <v>25</v>
      </c>
      <c r="IV7" s="651">
        <v>26</v>
      </c>
      <c r="IW7" s="651">
        <v>27</v>
      </c>
      <c r="IX7" s="651">
        <v>28</v>
      </c>
      <c r="IY7" s="651">
        <v>29</v>
      </c>
      <c r="IZ7" s="973">
        <v>30</v>
      </c>
      <c r="JA7" s="651">
        <v>1</v>
      </c>
      <c r="JB7" s="651">
        <v>2</v>
      </c>
      <c r="JC7" s="651">
        <v>3</v>
      </c>
      <c r="JD7" s="651">
        <v>4</v>
      </c>
      <c r="JE7" s="651">
        <v>5</v>
      </c>
      <c r="JF7" s="651">
        <v>6</v>
      </c>
      <c r="JG7" s="651">
        <v>7</v>
      </c>
      <c r="JH7" s="651">
        <v>8</v>
      </c>
      <c r="JI7" s="651">
        <v>9</v>
      </c>
      <c r="JJ7" s="651">
        <v>10</v>
      </c>
      <c r="JK7" s="651">
        <v>11</v>
      </c>
      <c r="JL7" s="651">
        <v>12</v>
      </c>
      <c r="JM7" s="651">
        <v>13</v>
      </c>
      <c r="JN7" s="651">
        <v>14</v>
      </c>
      <c r="JO7" s="651">
        <v>15</v>
      </c>
      <c r="JP7" s="651">
        <v>16</v>
      </c>
      <c r="JQ7" s="651">
        <v>17</v>
      </c>
      <c r="JR7" s="651">
        <v>18</v>
      </c>
      <c r="JS7" s="651">
        <v>19</v>
      </c>
      <c r="JT7" s="651">
        <v>20</v>
      </c>
      <c r="JU7" s="651">
        <v>21</v>
      </c>
      <c r="JV7" s="651">
        <v>22</v>
      </c>
      <c r="JW7" s="651">
        <v>23</v>
      </c>
      <c r="JX7" s="651">
        <v>24</v>
      </c>
      <c r="JY7" s="651">
        <v>25</v>
      </c>
      <c r="JZ7" s="651">
        <v>26</v>
      </c>
      <c r="KA7" s="651">
        <v>27</v>
      </c>
      <c r="KB7" s="651">
        <v>28</v>
      </c>
      <c r="KC7" s="651">
        <v>29</v>
      </c>
      <c r="KD7" s="973">
        <v>30</v>
      </c>
      <c r="KE7" s="651">
        <v>1</v>
      </c>
      <c r="KF7" s="651">
        <v>2</v>
      </c>
      <c r="KG7" s="651">
        <v>3</v>
      </c>
      <c r="KH7" s="651">
        <v>4</v>
      </c>
      <c r="KI7" s="651">
        <v>5</v>
      </c>
      <c r="KJ7" s="651">
        <v>6</v>
      </c>
      <c r="KK7" s="651">
        <v>7</v>
      </c>
      <c r="KL7" s="651">
        <v>8</v>
      </c>
      <c r="KM7" s="651">
        <v>9</v>
      </c>
      <c r="KN7" s="651">
        <v>10</v>
      </c>
      <c r="KO7" s="651">
        <v>11</v>
      </c>
      <c r="KP7" s="651">
        <v>12</v>
      </c>
      <c r="KQ7" s="651">
        <v>13</v>
      </c>
      <c r="KR7" s="651">
        <v>14</v>
      </c>
      <c r="KS7" s="651">
        <v>15</v>
      </c>
      <c r="KT7" s="651">
        <v>16</v>
      </c>
      <c r="KU7" s="651">
        <v>17</v>
      </c>
      <c r="KV7" s="651">
        <v>18</v>
      </c>
      <c r="KW7" s="651">
        <v>19</v>
      </c>
      <c r="KX7" s="651">
        <v>20</v>
      </c>
      <c r="KY7" s="651">
        <v>21</v>
      </c>
      <c r="KZ7" s="651">
        <v>22</v>
      </c>
      <c r="LA7" s="651">
        <v>23</v>
      </c>
      <c r="LB7" s="651">
        <v>24</v>
      </c>
      <c r="LC7" s="651">
        <v>25</v>
      </c>
      <c r="LD7" s="651">
        <v>26</v>
      </c>
      <c r="LE7" s="651">
        <v>27</v>
      </c>
      <c r="LF7" s="651">
        <v>28</v>
      </c>
      <c r="LG7" s="973">
        <v>29</v>
      </c>
      <c r="LH7" s="651">
        <v>1</v>
      </c>
      <c r="LI7" s="651">
        <v>2</v>
      </c>
      <c r="LJ7" s="651">
        <v>3</v>
      </c>
      <c r="LK7" s="651">
        <v>4</v>
      </c>
      <c r="LL7" s="651">
        <v>5</v>
      </c>
      <c r="LM7" s="651">
        <v>6</v>
      </c>
      <c r="LN7" s="651">
        <v>7</v>
      </c>
      <c r="LO7" s="651">
        <v>8</v>
      </c>
      <c r="LP7" s="651">
        <v>9</v>
      </c>
      <c r="LQ7" s="651">
        <v>10</v>
      </c>
      <c r="LR7" s="651">
        <v>11</v>
      </c>
      <c r="LS7" s="651">
        <v>12</v>
      </c>
      <c r="LT7" s="651">
        <v>13</v>
      </c>
      <c r="LU7" s="651">
        <v>14</v>
      </c>
      <c r="LV7" s="651">
        <v>15</v>
      </c>
      <c r="LW7" s="651">
        <v>16</v>
      </c>
      <c r="LX7" s="651">
        <v>17</v>
      </c>
      <c r="LY7" s="651">
        <v>18</v>
      </c>
      <c r="LZ7" s="651">
        <v>19</v>
      </c>
      <c r="MA7" s="651">
        <v>20</v>
      </c>
      <c r="MB7" s="651">
        <v>21</v>
      </c>
      <c r="MC7" s="651">
        <v>22</v>
      </c>
      <c r="MD7" s="651">
        <v>23</v>
      </c>
      <c r="ME7" s="651">
        <v>24</v>
      </c>
      <c r="MF7" s="651">
        <v>25</v>
      </c>
      <c r="MG7" s="651">
        <v>26</v>
      </c>
      <c r="MH7" s="651">
        <v>27</v>
      </c>
      <c r="MI7" s="651">
        <v>28</v>
      </c>
      <c r="MJ7" s="651">
        <v>29</v>
      </c>
      <c r="MK7" s="973">
        <v>30</v>
      </c>
      <c r="ML7" s="651">
        <v>1</v>
      </c>
      <c r="MM7" s="651">
        <v>2</v>
      </c>
      <c r="MN7" s="651">
        <v>3</v>
      </c>
      <c r="MO7" s="651">
        <v>4</v>
      </c>
      <c r="MP7" s="651">
        <v>5</v>
      </c>
      <c r="MQ7" s="651">
        <v>6</v>
      </c>
      <c r="MR7" s="651">
        <v>7</v>
      </c>
      <c r="MS7" s="651">
        <v>8</v>
      </c>
      <c r="MT7" s="651">
        <v>9</v>
      </c>
      <c r="MU7" s="651">
        <v>10</v>
      </c>
      <c r="MV7" s="651">
        <v>11</v>
      </c>
      <c r="MW7" s="651">
        <v>12</v>
      </c>
      <c r="MX7" s="651">
        <v>13</v>
      </c>
      <c r="MY7" s="651">
        <v>14</v>
      </c>
      <c r="MZ7" s="651">
        <v>15</v>
      </c>
      <c r="NA7" s="651">
        <v>16</v>
      </c>
      <c r="NB7" s="651">
        <v>17</v>
      </c>
      <c r="NC7" s="651">
        <v>18</v>
      </c>
      <c r="ND7" s="651">
        <v>19</v>
      </c>
      <c r="NE7" s="651">
        <v>20</v>
      </c>
      <c r="NF7" s="651">
        <v>21</v>
      </c>
      <c r="NG7" s="651">
        <v>22</v>
      </c>
      <c r="NH7" s="651">
        <v>23</v>
      </c>
      <c r="NI7" s="651">
        <v>24</v>
      </c>
      <c r="NJ7" s="651">
        <v>25</v>
      </c>
      <c r="NK7" s="651">
        <v>26</v>
      </c>
      <c r="NL7" s="651">
        <v>27</v>
      </c>
      <c r="NM7" s="651">
        <v>28</v>
      </c>
      <c r="NN7" s="651">
        <v>29</v>
      </c>
      <c r="NO7" s="651">
        <v>30</v>
      </c>
      <c r="NP7" s="973">
        <v>1</v>
      </c>
      <c r="NQ7" s="651">
        <v>2</v>
      </c>
      <c r="NR7" s="651">
        <v>3</v>
      </c>
      <c r="NS7" s="651">
        <v>4</v>
      </c>
      <c r="NT7" s="651">
        <v>5</v>
      </c>
      <c r="NU7" s="651">
        <v>6</v>
      </c>
      <c r="NV7" s="651">
        <v>7</v>
      </c>
      <c r="NW7" s="651">
        <v>8</v>
      </c>
      <c r="NX7" s="651">
        <v>9</v>
      </c>
      <c r="NY7" s="651">
        <v>10</v>
      </c>
      <c r="NZ7" s="651">
        <v>11</v>
      </c>
      <c r="OA7" s="651">
        <v>12</v>
      </c>
      <c r="OB7" s="651">
        <v>13</v>
      </c>
      <c r="OC7" s="651">
        <v>14</v>
      </c>
      <c r="OD7" s="651">
        <v>15</v>
      </c>
      <c r="OE7" s="651">
        <v>16</v>
      </c>
      <c r="OF7" s="651">
        <v>17</v>
      </c>
      <c r="OG7" s="651">
        <v>18</v>
      </c>
      <c r="OH7" s="651">
        <v>19</v>
      </c>
      <c r="OI7" s="651">
        <v>20</v>
      </c>
      <c r="OJ7" s="651">
        <v>21</v>
      </c>
      <c r="OK7" s="651">
        <v>22</v>
      </c>
      <c r="OL7" s="651">
        <v>23</v>
      </c>
      <c r="OM7" s="651">
        <v>24</v>
      </c>
      <c r="ON7" s="651">
        <v>25</v>
      </c>
      <c r="OO7" s="651">
        <v>26</v>
      </c>
      <c r="OP7" s="651">
        <v>27</v>
      </c>
      <c r="OQ7" s="651">
        <v>28</v>
      </c>
      <c r="OR7" s="651">
        <v>29</v>
      </c>
      <c r="OS7" s="973">
        <v>1</v>
      </c>
      <c r="OT7" s="651">
        <v>2</v>
      </c>
      <c r="OU7" s="651">
        <v>3</v>
      </c>
      <c r="OV7" s="651">
        <v>4</v>
      </c>
      <c r="OW7" s="651">
        <v>5</v>
      </c>
      <c r="OX7" s="651">
        <v>6</v>
      </c>
      <c r="OY7" s="651">
        <v>7</v>
      </c>
      <c r="OZ7" s="651">
        <v>8</v>
      </c>
      <c r="PA7" s="651">
        <v>9</v>
      </c>
      <c r="PB7" s="651">
        <v>10</v>
      </c>
      <c r="PC7" s="651">
        <v>11</v>
      </c>
      <c r="PD7" s="651">
        <v>12</v>
      </c>
      <c r="PE7" s="651">
        <v>13</v>
      </c>
      <c r="PF7" s="651">
        <v>14</v>
      </c>
      <c r="PG7" s="651">
        <v>15</v>
      </c>
      <c r="PH7" s="651">
        <v>16</v>
      </c>
      <c r="PI7" s="651">
        <v>17</v>
      </c>
      <c r="PJ7" s="651">
        <v>18</v>
      </c>
      <c r="PK7" s="651">
        <v>19</v>
      </c>
      <c r="PL7" s="651">
        <v>20</v>
      </c>
      <c r="PM7" s="651">
        <v>21</v>
      </c>
      <c r="PN7" s="651">
        <v>22</v>
      </c>
      <c r="PO7" s="651">
        <v>23</v>
      </c>
      <c r="PP7" s="651">
        <v>24</v>
      </c>
      <c r="PQ7" s="651">
        <v>25</v>
      </c>
      <c r="PR7" s="651">
        <v>26</v>
      </c>
      <c r="PS7" s="651">
        <v>27</v>
      </c>
      <c r="PT7" s="651">
        <v>28</v>
      </c>
      <c r="PU7" s="651">
        <v>29</v>
      </c>
      <c r="PV7" s="651">
        <v>30</v>
      </c>
      <c r="PW7" s="973">
        <v>1</v>
      </c>
      <c r="PX7" s="651">
        <v>2</v>
      </c>
      <c r="PY7" s="651">
        <v>3</v>
      </c>
      <c r="PZ7" s="651">
        <v>4</v>
      </c>
      <c r="QA7" s="651">
        <v>5</v>
      </c>
      <c r="QB7" s="651">
        <v>6</v>
      </c>
      <c r="QC7" s="651">
        <v>7</v>
      </c>
      <c r="QD7" s="651">
        <v>8</v>
      </c>
      <c r="QE7" s="651">
        <v>9</v>
      </c>
      <c r="QF7" s="651">
        <v>10</v>
      </c>
      <c r="QG7" s="651">
        <v>11</v>
      </c>
      <c r="QH7" s="651">
        <v>12</v>
      </c>
      <c r="QI7" s="651">
        <v>13</v>
      </c>
      <c r="QJ7" s="651">
        <v>14</v>
      </c>
      <c r="QK7" s="651">
        <v>15</v>
      </c>
      <c r="QL7" s="651">
        <v>16</v>
      </c>
      <c r="QM7" s="651">
        <v>17</v>
      </c>
      <c r="QN7" s="651">
        <v>18</v>
      </c>
      <c r="QO7" s="651">
        <v>19</v>
      </c>
      <c r="QP7" s="651">
        <v>20</v>
      </c>
      <c r="QQ7" s="651">
        <v>21</v>
      </c>
      <c r="QR7" s="651">
        <v>22</v>
      </c>
      <c r="QS7" s="651">
        <v>23</v>
      </c>
      <c r="QT7" s="651">
        <v>24</v>
      </c>
      <c r="QU7" s="651">
        <v>25</v>
      </c>
      <c r="QV7" s="651">
        <v>26</v>
      </c>
      <c r="QW7" s="651">
        <v>27</v>
      </c>
      <c r="QX7" s="651">
        <v>28</v>
      </c>
      <c r="QY7" s="651">
        <v>29</v>
      </c>
      <c r="QZ7" s="973">
        <v>1</v>
      </c>
      <c r="RA7" s="972"/>
      <c r="RB7" t="e">
        <f>IF(AND(QZ5&gt;=10,QZ6&gt;=10),354,355)</f>
        <v>#VALUE!</v>
      </c>
      <c r="RC7" s="975">
        <v>1</v>
      </c>
    </row>
    <row r="8" spans="1:471" ht="15.75" thickBot="1">
      <c r="J8" s="21">
        <f>IF(E10=16,(((C10-1)*M8)+IF(B10=1,0,IF(B10=2,O10,IF(B10=3,P10,IF(B10=4,Q10,IF(B10=5,R10,IF(B10=6,S10,IF(B10=7,T10,IF(B10=8,U10,IF(B10=9,V10,IF(B10=10,W10,IF(B10=11,X10,IF(B10=12,Y10,Z10))))))))))))+A10),0)</f>
        <v>526227</v>
      </c>
      <c r="K8" s="7">
        <v>3</v>
      </c>
      <c r="L8" s="7" t="s">
        <v>154</v>
      </c>
      <c r="M8" s="7">
        <v>365</v>
      </c>
      <c r="N8" s="7"/>
      <c r="O8" s="7" t="s">
        <v>47</v>
      </c>
      <c r="P8" s="7" t="s">
        <v>48</v>
      </c>
      <c r="Q8" s="7" t="s">
        <v>49</v>
      </c>
      <c r="R8" s="7" t="s">
        <v>50</v>
      </c>
      <c r="S8" s="7" t="s">
        <v>51</v>
      </c>
      <c r="T8" s="7" t="s">
        <v>52</v>
      </c>
      <c r="U8" s="7" t="s">
        <v>53</v>
      </c>
      <c r="V8" s="7" t="s">
        <v>54</v>
      </c>
      <c r="W8" s="7" t="s">
        <v>55</v>
      </c>
      <c r="X8" s="7" t="s">
        <v>56</v>
      </c>
      <c r="Y8" s="7" t="s">
        <v>57</v>
      </c>
      <c r="Z8" s="7" t="s">
        <v>58</v>
      </c>
      <c r="AA8" s="7" t="s">
        <v>31</v>
      </c>
      <c r="AE8" s="202"/>
      <c r="AF8" s="196">
        <v>119</v>
      </c>
      <c r="AK8" s="759"/>
      <c r="AL8" s="701">
        <v>35</v>
      </c>
      <c r="AM8" s="304">
        <v>35</v>
      </c>
      <c r="AN8" s="304">
        <v>35</v>
      </c>
      <c r="AO8" s="304">
        <v>35</v>
      </c>
      <c r="AP8" s="304">
        <v>35</v>
      </c>
      <c r="AQ8" s="304">
        <v>35</v>
      </c>
      <c r="AR8" s="304">
        <v>35</v>
      </c>
      <c r="AS8" s="304">
        <v>35</v>
      </c>
      <c r="AT8" s="304">
        <v>35</v>
      </c>
      <c r="AU8" s="304">
        <v>35</v>
      </c>
      <c r="AV8" s="304">
        <v>35</v>
      </c>
      <c r="AW8" s="304">
        <v>35</v>
      </c>
      <c r="AX8" s="314"/>
      <c r="AZ8" s="732" t="s">
        <v>177</v>
      </c>
      <c r="BA8" s="731">
        <f>35+(41/60)</f>
        <v>35.68333333333333</v>
      </c>
      <c r="BB8" s="113">
        <v>35</v>
      </c>
      <c r="BC8" s="113">
        <v>35</v>
      </c>
      <c r="BD8" s="113">
        <v>35</v>
      </c>
      <c r="BE8" s="113">
        <v>35</v>
      </c>
      <c r="BF8" s="113">
        <v>35</v>
      </c>
      <c r="BG8" s="113">
        <v>35</v>
      </c>
      <c r="BH8" s="113">
        <v>35</v>
      </c>
      <c r="BI8" s="113">
        <v>35</v>
      </c>
      <c r="BJ8" s="113">
        <v>35</v>
      </c>
      <c r="BK8" s="113">
        <v>35</v>
      </c>
      <c r="BL8" s="113">
        <v>35</v>
      </c>
      <c r="BM8" s="113">
        <v>35</v>
      </c>
      <c r="BN8" s="317"/>
      <c r="BO8" s="113"/>
      <c r="BP8" s="732">
        <f>[1]!mbtool(2,17,0,1)</f>
        <v>9.5138888888888884E-2</v>
      </c>
      <c r="BQ8" s="732">
        <f>[1]!mbtool(2,17,0,1)</f>
        <v>9.5138888888888884E-2</v>
      </c>
      <c r="BR8" s="753">
        <f>BQ8</f>
        <v>9.5138888888888884E-2</v>
      </c>
      <c r="BS8" s="753">
        <f>BR8</f>
        <v>9.5138888888888884E-2</v>
      </c>
      <c r="BT8" s="388" t="s">
        <v>3543</v>
      </c>
      <c r="BU8" s="694" t="e">
        <f>BP6+BS7</f>
        <v>#VALUE!</v>
      </c>
      <c r="BV8" s="112" t="s">
        <v>3550</v>
      </c>
      <c r="BW8" s="317">
        <f>INT(BW3/30)*11</f>
        <v>506</v>
      </c>
      <c r="BX8" s="112" t="s">
        <v>3550</v>
      </c>
      <c r="BY8" s="317">
        <f>INT(BY3/30)*11</f>
        <v>506</v>
      </c>
      <c r="CA8" s="787"/>
      <c r="CB8" s="242" t="e">
        <f>[1]!roz(CB5,CB6,CB7,0)</f>
        <v>#VALUE!</v>
      </c>
      <c r="CC8" s="242"/>
      <c r="CD8" s="242"/>
      <c r="CE8" s="242"/>
      <c r="CF8" s="788"/>
      <c r="CG8" s="490"/>
      <c r="CH8" s="309">
        <f>[1]!roz(CH5,CH6,CH7,0)</f>
        <v>30.104166666666668</v>
      </c>
      <c r="CI8" s="309"/>
      <c r="CJ8" s="309"/>
      <c r="CK8" s="309"/>
      <c r="CL8" s="774"/>
      <c r="CO8" s="759" t="s">
        <v>167</v>
      </c>
      <c r="CP8" s="759">
        <v>2</v>
      </c>
      <c r="CQ8" s="759"/>
      <c r="CR8" s="759"/>
      <c r="CS8" s="759"/>
      <c r="CT8" s="759"/>
      <c r="CU8" s="759"/>
      <c r="CV8" s="787"/>
      <c r="CW8" s="242">
        <f>[1]!roz(CW5,CW6,CW7,0)</f>
        <v>18.267384259259259</v>
      </c>
      <c r="CX8" s="242"/>
      <c r="CY8" s="242"/>
      <c r="CZ8" s="242"/>
      <c r="DA8" s="788"/>
      <c r="DC8" s="742" t="s">
        <v>3806</v>
      </c>
      <c r="DD8" s="743"/>
      <c r="DE8" s="744">
        <f>DE7+DD7+DC7</f>
        <v>-3897</v>
      </c>
      <c r="DG8" t="s">
        <v>4</v>
      </c>
      <c r="DJ8" s="797">
        <f>IF(MOD(IF(DJ7=1,DI8+1,DI8),12)&gt;0,MOD(IF(DJ7=1,DI8+1,DI8),12),12)</f>
        <v>12</v>
      </c>
      <c r="DK8" s="797" t="e">
        <f>IF(MOD(IF(DK7=1,DJ8+1,DJ8),12)&gt;0,MOD(IF(DK7=1,DJ8+1,DJ8),12),12)</f>
        <v>#VALUE!</v>
      </c>
      <c r="DL8" s="797" t="e">
        <f t="shared" ref="DL8:FU8" si="59">IF(MOD(IF(DL7=1,DK8+1,DK8),12)&gt;0,MOD(IF(DL7=1,DK8+1,DK8),12),12)</f>
        <v>#VALUE!</v>
      </c>
      <c r="DM8" s="797" t="e">
        <f t="shared" si="59"/>
        <v>#VALUE!</v>
      </c>
      <c r="DN8" s="797" t="e">
        <f t="shared" si="59"/>
        <v>#VALUE!</v>
      </c>
      <c r="DO8" s="797" t="e">
        <f t="shared" si="59"/>
        <v>#VALUE!</v>
      </c>
      <c r="DP8" s="797" t="e">
        <f t="shared" si="59"/>
        <v>#VALUE!</v>
      </c>
      <c r="DQ8" s="797" t="e">
        <f t="shared" si="59"/>
        <v>#VALUE!</v>
      </c>
      <c r="DR8" s="797" t="e">
        <f t="shared" si="59"/>
        <v>#VALUE!</v>
      </c>
      <c r="DS8" s="797" t="e">
        <f t="shared" si="59"/>
        <v>#VALUE!</v>
      </c>
      <c r="DT8" s="797" t="e">
        <f t="shared" si="59"/>
        <v>#VALUE!</v>
      </c>
      <c r="DU8" s="797" t="e">
        <f t="shared" si="59"/>
        <v>#VALUE!</v>
      </c>
      <c r="DV8" s="797" t="e">
        <f t="shared" si="59"/>
        <v>#VALUE!</v>
      </c>
      <c r="DW8" s="797" t="e">
        <f t="shared" si="59"/>
        <v>#VALUE!</v>
      </c>
      <c r="DX8" s="797" t="e">
        <f t="shared" si="59"/>
        <v>#VALUE!</v>
      </c>
      <c r="DY8" s="797" t="e">
        <f t="shared" si="59"/>
        <v>#VALUE!</v>
      </c>
      <c r="DZ8" s="797" t="e">
        <f t="shared" si="59"/>
        <v>#VALUE!</v>
      </c>
      <c r="EA8" s="797" t="e">
        <f t="shared" si="59"/>
        <v>#VALUE!</v>
      </c>
      <c r="EB8" s="797" t="e">
        <f t="shared" si="59"/>
        <v>#VALUE!</v>
      </c>
      <c r="EC8" s="797" t="e">
        <f t="shared" si="59"/>
        <v>#VALUE!</v>
      </c>
      <c r="ED8" s="797" t="e">
        <f t="shared" si="59"/>
        <v>#VALUE!</v>
      </c>
      <c r="EE8" s="797" t="e">
        <f t="shared" si="59"/>
        <v>#VALUE!</v>
      </c>
      <c r="EF8" s="797" t="e">
        <f t="shared" si="59"/>
        <v>#VALUE!</v>
      </c>
      <c r="EG8" s="797" t="e">
        <f t="shared" si="59"/>
        <v>#VALUE!</v>
      </c>
      <c r="EH8" s="797" t="e">
        <f t="shared" si="59"/>
        <v>#VALUE!</v>
      </c>
      <c r="EI8" s="797" t="e">
        <f t="shared" si="59"/>
        <v>#VALUE!</v>
      </c>
      <c r="EJ8" s="797" t="e">
        <f t="shared" si="59"/>
        <v>#VALUE!</v>
      </c>
      <c r="EK8" s="797" t="e">
        <f t="shared" si="59"/>
        <v>#VALUE!</v>
      </c>
      <c r="EL8" s="797" t="e">
        <f t="shared" si="59"/>
        <v>#VALUE!</v>
      </c>
      <c r="EM8" s="797" t="e">
        <f t="shared" si="59"/>
        <v>#VALUE!</v>
      </c>
      <c r="EN8" s="797" t="e">
        <f t="shared" si="59"/>
        <v>#VALUE!</v>
      </c>
      <c r="EO8" s="797" t="e">
        <f t="shared" si="59"/>
        <v>#VALUE!</v>
      </c>
      <c r="EP8" s="797" t="e">
        <f t="shared" si="59"/>
        <v>#VALUE!</v>
      </c>
      <c r="EQ8" s="797" t="e">
        <f t="shared" si="59"/>
        <v>#VALUE!</v>
      </c>
      <c r="ER8" s="797" t="e">
        <f t="shared" si="59"/>
        <v>#VALUE!</v>
      </c>
      <c r="ES8" s="797" t="e">
        <f t="shared" si="59"/>
        <v>#VALUE!</v>
      </c>
      <c r="ET8" s="797" t="e">
        <f t="shared" si="59"/>
        <v>#VALUE!</v>
      </c>
      <c r="EU8" s="797" t="e">
        <f t="shared" si="59"/>
        <v>#VALUE!</v>
      </c>
      <c r="EV8" s="797" t="e">
        <f t="shared" si="59"/>
        <v>#VALUE!</v>
      </c>
      <c r="EW8" s="797" t="e">
        <f t="shared" si="59"/>
        <v>#VALUE!</v>
      </c>
      <c r="EX8" s="797" t="e">
        <f t="shared" si="59"/>
        <v>#VALUE!</v>
      </c>
      <c r="EY8" s="797" t="e">
        <f t="shared" si="59"/>
        <v>#VALUE!</v>
      </c>
      <c r="EZ8" s="797" t="e">
        <f t="shared" si="59"/>
        <v>#VALUE!</v>
      </c>
      <c r="FA8" s="797" t="e">
        <f t="shared" si="59"/>
        <v>#VALUE!</v>
      </c>
      <c r="FB8" s="797" t="e">
        <f t="shared" si="59"/>
        <v>#VALUE!</v>
      </c>
      <c r="FC8" s="797" t="e">
        <f t="shared" si="59"/>
        <v>#VALUE!</v>
      </c>
      <c r="FD8" s="797" t="e">
        <f t="shared" si="59"/>
        <v>#VALUE!</v>
      </c>
      <c r="FE8" s="797" t="e">
        <f t="shared" si="59"/>
        <v>#VALUE!</v>
      </c>
      <c r="FF8" s="797" t="e">
        <f t="shared" si="59"/>
        <v>#VALUE!</v>
      </c>
      <c r="FG8" s="797" t="e">
        <f t="shared" si="59"/>
        <v>#VALUE!</v>
      </c>
      <c r="FH8" s="797" t="e">
        <f t="shared" si="59"/>
        <v>#VALUE!</v>
      </c>
      <c r="FI8" s="797" t="e">
        <f t="shared" si="59"/>
        <v>#VALUE!</v>
      </c>
      <c r="FJ8" s="797" t="e">
        <f t="shared" si="59"/>
        <v>#VALUE!</v>
      </c>
      <c r="FK8" s="797" t="e">
        <f t="shared" si="59"/>
        <v>#VALUE!</v>
      </c>
      <c r="FL8" s="797" t="e">
        <f t="shared" si="59"/>
        <v>#VALUE!</v>
      </c>
      <c r="FM8" s="797" t="e">
        <f t="shared" si="59"/>
        <v>#VALUE!</v>
      </c>
      <c r="FN8" s="797" t="e">
        <f t="shared" si="59"/>
        <v>#VALUE!</v>
      </c>
      <c r="FO8" s="797" t="e">
        <f t="shared" si="59"/>
        <v>#VALUE!</v>
      </c>
      <c r="FP8" s="797" t="e">
        <f t="shared" si="59"/>
        <v>#VALUE!</v>
      </c>
      <c r="FQ8" s="797" t="e">
        <f t="shared" si="59"/>
        <v>#VALUE!</v>
      </c>
      <c r="FR8" s="797" t="e">
        <f t="shared" si="59"/>
        <v>#VALUE!</v>
      </c>
      <c r="FS8" s="797" t="e">
        <f t="shared" si="59"/>
        <v>#VALUE!</v>
      </c>
      <c r="FT8" s="797" t="e">
        <f t="shared" si="59"/>
        <v>#VALUE!</v>
      </c>
      <c r="FU8" s="797" t="e">
        <f t="shared" si="59"/>
        <v>#VALUE!</v>
      </c>
      <c r="FV8" s="797" t="e">
        <f t="shared" ref="FV8:IG8" si="60">IF(MOD(IF(FV7=1,FU8+1,FU8),12)&gt;0,MOD(IF(FV7=1,FU8+1,FU8),12),12)</f>
        <v>#VALUE!</v>
      </c>
      <c r="FW8" s="797" t="e">
        <f t="shared" si="60"/>
        <v>#VALUE!</v>
      </c>
      <c r="FX8" s="797" t="e">
        <f t="shared" si="60"/>
        <v>#VALUE!</v>
      </c>
      <c r="FY8" s="797" t="e">
        <f t="shared" si="60"/>
        <v>#VALUE!</v>
      </c>
      <c r="FZ8" s="797" t="e">
        <f t="shared" si="60"/>
        <v>#VALUE!</v>
      </c>
      <c r="GA8" s="797" t="e">
        <f t="shared" si="60"/>
        <v>#VALUE!</v>
      </c>
      <c r="GB8" s="797" t="e">
        <f t="shared" si="60"/>
        <v>#VALUE!</v>
      </c>
      <c r="GC8" s="797" t="e">
        <f t="shared" si="60"/>
        <v>#VALUE!</v>
      </c>
      <c r="GD8" s="797" t="e">
        <f t="shared" si="60"/>
        <v>#VALUE!</v>
      </c>
      <c r="GE8" s="797" t="e">
        <f t="shared" si="60"/>
        <v>#VALUE!</v>
      </c>
      <c r="GF8" s="797" t="e">
        <f t="shared" si="60"/>
        <v>#VALUE!</v>
      </c>
      <c r="GG8" s="797" t="e">
        <f t="shared" si="60"/>
        <v>#VALUE!</v>
      </c>
      <c r="GH8" s="797" t="e">
        <f t="shared" si="60"/>
        <v>#VALUE!</v>
      </c>
      <c r="GI8" s="797" t="e">
        <f t="shared" si="60"/>
        <v>#VALUE!</v>
      </c>
      <c r="GJ8" s="797" t="e">
        <f t="shared" si="60"/>
        <v>#VALUE!</v>
      </c>
      <c r="GK8" s="797" t="e">
        <f t="shared" si="60"/>
        <v>#VALUE!</v>
      </c>
      <c r="GL8" s="797" t="e">
        <f t="shared" si="60"/>
        <v>#VALUE!</v>
      </c>
      <c r="GM8" s="797" t="e">
        <f t="shared" si="60"/>
        <v>#VALUE!</v>
      </c>
      <c r="GN8" s="797" t="e">
        <f t="shared" si="60"/>
        <v>#VALUE!</v>
      </c>
      <c r="GO8" s="797" t="e">
        <f t="shared" si="60"/>
        <v>#VALUE!</v>
      </c>
      <c r="GP8" s="797" t="e">
        <f t="shared" si="60"/>
        <v>#VALUE!</v>
      </c>
      <c r="GQ8" s="797" t="e">
        <f t="shared" si="60"/>
        <v>#VALUE!</v>
      </c>
      <c r="GR8" s="797" t="e">
        <f t="shared" si="60"/>
        <v>#VALUE!</v>
      </c>
      <c r="GS8" s="797" t="e">
        <f t="shared" si="60"/>
        <v>#VALUE!</v>
      </c>
      <c r="GT8" s="797" t="e">
        <f t="shared" si="60"/>
        <v>#VALUE!</v>
      </c>
      <c r="GU8" s="797" t="e">
        <f t="shared" si="60"/>
        <v>#VALUE!</v>
      </c>
      <c r="GV8" s="797" t="e">
        <f t="shared" si="60"/>
        <v>#VALUE!</v>
      </c>
      <c r="GW8" s="797" t="e">
        <f t="shared" si="60"/>
        <v>#VALUE!</v>
      </c>
      <c r="GX8" s="797" t="e">
        <f t="shared" si="60"/>
        <v>#VALUE!</v>
      </c>
      <c r="GY8" s="797" t="e">
        <f t="shared" si="60"/>
        <v>#VALUE!</v>
      </c>
      <c r="GZ8" s="797" t="e">
        <f t="shared" si="60"/>
        <v>#VALUE!</v>
      </c>
      <c r="HA8" s="797" t="e">
        <f t="shared" si="60"/>
        <v>#VALUE!</v>
      </c>
      <c r="HB8" s="797" t="e">
        <f t="shared" si="60"/>
        <v>#VALUE!</v>
      </c>
      <c r="HC8" s="797" t="e">
        <f t="shared" si="60"/>
        <v>#VALUE!</v>
      </c>
      <c r="HD8" s="797" t="e">
        <f t="shared" si="60"/>
        <v>#VALUE!</v>
      </c>
      <c r="HE8" s="797" t="e">
        <f t="shared" si="60"/>
        <v>#VALUE!</v>
      </c>
      <c r="HF8" s="797" t="e">
        <f t="shared" si="60"/>
        <v>#VALUE!</v>
      </c>
      <c r="HG8" s="797" t="e">
        <f t="shared" si="60"/>
        <v>#VALUE!</v>
      </c>
      <c r="HH8" s="797" t="e">
        <f t="shared" si="60"/>
        <v>#VALUE!</v>
      </c>
      <c r="HI8" s="797" t="e">
        <f t="shared" si="60"/>
        <v>#VALUE!</v>
      </c>
      <c r="HJ8" s="797" t="e">
        <f t="shared" si="60"/>
        <v>#VALUE!</v>
      </c>
      <c r="HK8" s="797" t="e">
        <f t="shared" si="60"/>
        <v>#VALUE!</v>
      </c>
      <c r="HL8" s="797" t="e">
        <f t="shared" si="60"/>
        <v>#VALUE!</v>
      </c>
      <c r="HM8" s="797" t="e">
        <f t="shared" si="60"/>
        <v>#VALUE!</v>
      </c>
      <c r="HN8" s="797" t="e">
        <f t="shared" si="60"/>
        <v>#VALUE!</v>
      </c>
      <c r="HO8" s="797" t="e">
        <f t="shared" si="60"/>
        <v>#VALUE!</v>
      </c>
      <c r="HP8" s="797" t="e">
        <f t="shared" si="60"/>
        <v>#VALUE!</v>
      </c>
      <c r="HQ8" s="797" t="e">
        <f t="shared" si="60"/>
        <v>#VALUE!</v>
      </c>
      <c r="HR8" s="797" t="e">
        <f t="shared" si="60"/>
        <v>#VALUE!</v>
      </c>
      <c r="HS8" s="797" t="e">
        <f t="shared" si="60"/>
        <v>#VALUE!</v>
      </c>
      <c r="HT8" s="797" t="e">
        <f t="shared" si="60"/>
        <v>#VALUE!</v>
      </c>
      <c r="HU8" s="797" t="e">
        <f t="shared" si="60"/>
        <v>#VALUE!</v>
      </c>
      <c r="HV8" s="797" t="e">
        <f t="shared" si="60"/>
        <v>#VALUE!</v>
      </c>
      <c r="HW8" s="797" t="e">
        <f t="shared" si="60"/>
        <v>#VALUE!</v>
      </c>
      <c r="HX8" s="797" t="e">
        <f t="shared" si="60"/>
        <v>#VALUE!</v>
      </c>
      <c r="HY8" s="797" t="e">
        <f t="shared" si="60"/>
        <v>#VALUE!</v>
      </c>
      <c r="HZ8" s="797" t="e">
        <f t="shared" si="60"/>
        <v>#VALUE!</v>
      </c>
      <c r="IA8" s="797" t="e">
        <f t="shared" si="60"/>
        <v>#VALUE!</v>
      </c>
      <c r="IB8" s="797" t="e">
        <f t="shared" si="60"/>
        <v>#VALUE!</v>
      </c>
      <c r="IC8" s="797" t="e">
        <f t="shared" si="60"/>
        <v>#VALUE!</v>
      </c>
      <c r="ID8" s="797" t="e">
        <f t="shared" si="60"/>
        <v>#VALUE!</v>
      </c>
      <c r="IE8" s="797" t="e">
        <f t="shared" si="60"/>
        <v>#VALUE!</v>
      </c>
      <c r="IF8" s="797" t="e">
        <f t="shared" si="60"/>
        <v>#VALUE!</v>
      </c>
      <c r="IG8" s="797" t="e">
        <f t="shared" si="60"/>
        <v>#VALUE!</v>
      </c>
      <c r="IH8" s="797" t="e">
        <f t="shared" ref="IH8:KS8" si="61">IF(MOD(IF(IH7=1,IG8+1,IG8),12)&gt;0,MOD(IF(IH7=1,IG8+1,IG8),12),12)</f>
        <v>#VALUE!</v>
      </c>
      <c r="II8" s="797" t="e">
        <f t="shared" si="61"/>
        <v>#VALUE!</v>
      </c>
      <c r="IJ8" s="797" t="e">
        <f t="shared" si="61"/>
        <v>#VALUE!</v>
      </c>
      <c r="IK8" s="797" t="e">
        <f t="shared" si="61"/>
        <v>#VALUE!</v>
      </c>
      <c r="IL8" s="797" t="e">
        <f t="shared" si="61"/>
        <v>#VALUE!</v>
      </c>
      <c r="IM8" s="797" t="e">
        <f t="shared" si="61"/>
        <v>#VALUE!</v>
      </c>
      <c r="IN8" s="797" t="e">
        <f t="shared" si="61"/>
        <v>#VALUE!</v>
      </c>
      <c r="IO8" s="797" t="e">
        <f t="shared" si="61"/>
        <v>#VALUE!</v>
      </c>
      <c r="IP8" s="797" t="e">
        <f t="shared" si="61"/>
        <v>#VALUE!</v>
      </c>
      <c r="IQ8" s="797" t="e">
        <f t="shared" si="61"/>
        <v>#VALUE!</v>
      </c>
      <c r="IR8" s="797" t="e">
        <f t="shared" si="61"/>
        <v>#VALUE!</v>
      </c>
      <c r="IS8" s="797" t="e">
        <f t="shared" si="61"/>
        <v>#VALUE!</v>
      </c>
      <c r="IT8" s="797" t="e">
        <f t="shared" si="61"/>
        <v>#VALUE!</v>
      </c>
      <c r="IU8" s="797" t="e">
        <f t="shared" si="61"/>
        <v>#VALUE!</v>
      </c>
      <c r="IV8" s="797" t="e">
        <f t="shared" si="61"/>
        <v>#VALUE!</v>
      </c>
      <c r="IW8" s="797" t="e">
        <f t="shared" si="61"/>
        <v>#VALUE!</v>
      </c>
      <c r="IX8" s="797" t="e">
        <f t="shared" si="61"/>
        <v>#VALUE!</v>
      </c>
      <c r="IY8" s="797" t="e">
        <f t="shared" si="61"/>
        <v>#VALUE!</v>
      </c>
      <c r="IZ8" s="797" t="e">
        <f t="shared" si="61"/>
        <v>#VALUE!</v>
      </c>
      <c r="JA8" s="797" t="e">
        <f t="shared" si="61"/>
        <v>#VALUE!</v>
      </c>
      <c r="JB8" s="797" t="e">
        <f t="shared" si="61"/>
        <v>#VALUE!</v>
      </c>
      <c r="JC8" s="797" t="e">
        <f t="shared" si="61"/>
        <v>#VALUE!</v>
      </c>
      <c r="JD8" s="797" t="e">
        <f t="shared" si="61"/>
        <v>#VALUE!</v>
      </c>
      <c r="JE8" s="797" t="e">
        <f t="shared" si="61"/>
        <v>#VALUE!</v>
      </c>
      <c r="JF8" s="797" t="e">
        <f t="shared" si="61"/>
        <v>#VALUE!</v>
      </c>
      <c r="JG8" s="797" t="e">
        <f t="shared" si="61"/>
        <v>#VALUE!</v>
      </c>
      <c r="JH8" s="797" t="e">
        <f t="shared" si="61"/>
        <v>#VALUE!</v>
      </c>
      <c r="JI8" s="797" t="e">
        <f t="shared" si="61"/>
        <v>#VALUE!</v>
      </c>
      <c r="JJ8" s="797" t="e">
        <f t="shared" si="61"/>
        <v>#VALUE!</v>
      </c>
      <c r="JK8" s="797" t="e">
        <f t="shared" si="61"/>
        <v>#VALUE!</v>
      </c>
      <c r="JL8" s="797" t="e">
        <f t="shared" si="61"/>
        <v>#VALUE!</v>
      </c>
      <c r="JM8" s="797" t="e">
        <f t="shared" si="61"/>
        <v>#VALUE!</v>
      </c>
      <c r="JN8" s="797" t="e">
        <f t="shared" si="61"/>
        <v>#VALUE!</v>
      </c>
      <c r="JO8" s="797" t="e">
        <f t="shared" si="61"/>
        <v>#VALUE!</v>
      </c>
      <c r="JP8" s="797" t="e">
        <f t="shared" si="61"/>
        <v>#VALUE!</v>
      </c>
      <c r="JQ8" s="797" t="e">
        <f t="shared" si="61"/>
        <v>#VALUE!</v>
      </c>
      <c r="JR8" s="797" t="e">
        <f t="shared" si="61"/>
        <v>#VALUE!</v>
      </c>
      <c r="JS8" s="797" t="e">
        <f t="shared" si="61"/>
        <v>#VALUE!</v>
      </c>
      <c r="JT8" s="797" t="e">
        <f t="shared" si="61"/>
        <v>#VALUE!</v>
      </c>
      <c r="JU8" s="797" t="e">
        <f t="shared" si="61"/>
        <v>#VALUE!</v>
      </c>
      <c r="JV8" s="797" t="e">
        <f t="shared" si="61"/>
        <v>#VALUE!</v>
      </c>
      <c r="JW8" s="797" t="e">
        <f t="shared" si="61"/>
        <v>#VALUE!</v>
      </c>
      <c r="JX8" s="797" t="e">
        <f t="shared" si="61"/>
        <v>#VALUE!</v>
      </c>
      <c r="JY8" s="797" t="e">
        <f t="shared" si="61"/>
        <v>#VALUE!</v>
      </c>
      <c r="JZ8" s="797" t="e">
        <f t="shared" si="61"/>
        <v>#VALUE!</v>
      </c>
      <c r="KA8" s="797" t="e">
        <f t="shared" si="61"/>
        <v>#VALUE!</v>
      </c>
      <c r="KB8" s="797" t="e">
        <f t="shared" si="61"/>
        <v>#VALUE!</v>
      </c>
      <c r="KC8" s="797" t="e">
        <f t="shared" si="61"/>
        <v>#VALUE!</v>
      </c>
      <c r="KD8" s="797" t="e">
        <f t="shared" si="61"/>
        <v>#VALUE!</v>
      </c>
      <c r="KE8" s="797" t="e">
        <f t="shared" si="61"/>
        <v>#VALUE!</v>
      </c>
      <c r="KF8" s="797" t="e">
        <f t="shared" si="61"/>
        <v>#VALUE!</v>
      </c>
      <c r="KG8" s="797" t="e">
        <f t="shared" si="61"/>
        <v>#VALUE!</v>
      </c>
      <c r="KH8" s="797" t="e">
        <f t="shared" si="61"/>
        <v>#VALUE!</v>
      </c>
      <c r="KI8" s="797" t="e">
        <f t="shared" si="61"/>
        <v>#VALUE!</v>
      </c>
      <c r="KJ8" s="797" t="e">
        <f t="shared" si="61"/>
        <v>#VALUE!</v>
      </c>
      <c r="KK8" s="797" t="e">
        <f t="shared" si="61"/>
        <v>#VALUE!</v>
      </c>
      <c r="KL8" s="797" t="e">
        <f t="shared" si="61"/>
        <v>#VALUE!</v>
      </c>
      <c r="KM8" s="797" t="e">
        <f t="shared" si="61"/>
        <v>#VALUE!</v>
      </c>
      <c r="KN8" s="797" t="e">
        <f t="shared" si="61"/>
        <v>#VALUE!</v>
      </c>
      <c r="KO8" s="797" t="e">
        <f t="shared" si="61"/>
        <v>#VALUE!</v>
      </c>
      <c r="KP8" s="797" t="e">
        <f t="shared" si="61"/>
        <v>#VALUE!</v>
      </c>
      <c r="KQ8" s="797" t="e">
        <f t="shared" si="61"/>
        <v>#VALUE!</v>
      </c>
      <c r="KR8" s="797" t="e">
        <f t="shared" si="61"/>
        <v>#VALUE!</v>
      </c>
      <c r="KS8" s="797" t="e">
        <f t="shared" si="61"/>
        <v>#VALUE!</v>
      </c>
      <c r="KT8" s="797" t="e">
        <f t="shared" ref="KT8:NE8" si="62">IF(MOD(IF(KT7=1,KS8+1,KS8),12)&gt;0,MOD(IF(KT7=1,KS8+1,KS8),12),12)</f>
        <v>#VALUE!</v>
      </c>
      <c r="KU8" s="797" t="e">
        <f t="shared" si="62"/>
        <v>#VALUE!</v>
      </c>
      <c r="KV8" s="797" t="e">
        <f t="shared" si="62"/>
        <v>#VALUE!</v>
      </c>
      <c r="KW8" s="797" t="e">
        <f t="shared" si="62"/>
        <v>#VALUE!</v>
      </c>
      <c r="KX8" s="797" t="e">
        <f t="shared" si="62"/>
        <v>#VALUE!</v>
      </c>
      <c r="KY8" s="797" t="e">
        <f t="shared" si="62"/>
        <v>#VALUE!</v>
      </c>
      <c r="KZ8" s="797" t="e">
        <f t="shared" si="62"/>
        <v>#VALUE!</v>
      </c>
      <c r="LA8" s="797" t="e">
        <f t="shared" si="62"/>
        <v>#VALUE!</v>
      </c>
      <c r="LB8" s="797" t="e">
        <f t="shared" si="62"/>
        <v>#VALUE!</v>
      </c>
      <c r="LC8" s="797" t="e">
        <f t="shared" si="62"/>
        <v>#VALUE!</v>
      </c>
      <c r="LD8" s="797" t="e">
        <f t="shared" si="62"/>
        <v>#VALUE!</v>
      </c>
      <c r="LE8" s="797" t="e">
        <f t="shared" si="62"/>
        <v>#VALUE!</v>
      </c>
      <c r="LF8" s="797" t="e">
        <f t="shared" si="62"/>
        <v>#VALUE!</v>
      </c>
      <c r="LG8" s="797" t="e">
        <f t="shared" si="62"/>
        <v>#VALUE!</v>
      </c>
      <c r="LH8" s="797" t="e">
        <f t="shared" si="62"/>
        <v>#VALUE!</v>
      </c>
      <c r="LI8" s="797" t="e">
        <f t="shared" si="62"/>
        <v>#VALUE!</v>
      </c>
      <c r="LJ8" s="797" t="e">
        <f t="shared" si="62"/>
        <v>#VALUE!</v>
      </c>
      <c r="LK8" s="797" t="e">
        <f t="shared" si="62"/>
        <v>#VALUE!</v>
      </c>
      <c r="LL8" s="797" t="e">
        <f t="shared" si="62"/>
        <v>#VALUE!</v>
      </c>
      <c r="LM8" s="797" t="e">
        <f t="shared" si="62"/>
        <v>#VALUE!</v>
      </c>
      <c r="LN8" s="797" t="e">
        <f t="shared" si="62"/>
        <v>#VALUE!</v>
      </c>
      <c r="LO8" s="797" t="e">
        <f t="shared" si="62"/>
        <v>#VALUE!</v>
      </c>
      <c r="LP8" s="797" t="e">
        <f t="shared" si="62"/>
        <v>#VALUE!</v>
      </c>
      <c r="LQ8" s="797" t="e">
        <f t="shared" si="62"/>
        <v>#VALUE!</v>
      </c>
      <c r="LR8" s="797" t="e">
        <f t="shared" si="62"/>
        <v>#VALUE!</v>
      </c>
      <c r="LS8" s="797" t="e">
        <f t="shared" si="62"/>
        <v>#VALUE!</v>
      </c>
      <c r="LT8" s="797" t="e">
        <f t="shared" si="62"/>
        <v>#VALUE!</v>
      </c>
      <c r="LU8" s="797" t="e">
        <f t="shared" si="62"/>
        <v>#VALUE!</v>
      </c>
      <c r="LV8" s="797" t="e">
        <f t="shared" si="62"/>
        <v>#VALUE!</v>
      </c>
      <c r="LW8" s="797" t="e">
        <f t="shared" si="62"/>
        <v>#VALUE!</v>
      </c>
      <c r="LX8" s="797" t="e">
        <f t="shared" si="62"/>
        <v>#VALUE!</v>
      </c>
      <c r="LY8" s="797" t="e">
        <f t="shared" si="62"/>
        <v>#VALUE!</v>
      </c>
      <c r="LZ8" s="797" t="e">
        <f t="shared" si="62"/>
        <v>#VALUE!</v>
      </c>
      <c r="MA8" s="797" t="e">
        <f t="shared" si="62"/>
        <v>#VALUE!</v>
      </c>
      <c r="MB8" s="797" t="e">
        <f t="shared" si="62"/>
        <v>#VALUE!</v>
      </c>
      <c r="MC8" s="797" t="e">
        <f t="shared" si="62"/>
        <v>#VALUE!</v>
      </c>
      <c r="MD8" s="797" t="e">
        <f t="shared" si="62"/>
        <v>#VALUE!</v>
      </c>
      <c r="ME8" s="797" t="e">
        <f t="shared" si="62"/>
        <v>#VALUE!</v>
      </c>
      <c r="MF8" s="797" t="e">
        <f t="shared" si="62"/>
        <v>#VALUE!</v>
      </c>
      <c r="MG8" s="797" t="e">
        <f t="shared" si="62"/>
        <v>#VALUE!</v>
      </c>
      <c r="MH8" s="797" t="e">
        <f t="shared" si="62"/>
        <v>#VALUE!</v>
      </c>
      <c r="MI8" s="797" t="e">
        <f t="shared" si="62"/>
        <v>#VALUE!</v>
      </c>
      <c r="MJ8" s="797" t="e">
        <f t="shared" si="62"/>
        <v>#VALUE!</v>
      </c>
      <c r="MK8" s="797" t="e">
        <f t="shared" si="62"/>
        <v>#VALUE!</v>
      </c>
      <c r="ML8" s="797" t="e">
        <f t="shared" si="62"/>
        <v>#VALUE!</v>
      </c>
      <c r="MM8" s="797" t="e">
        <f t="shared" si="62"/>
        <v>#VALUE!</v>
      </c>
      <c r="MN8" s="797" t="e">
        <f t="shared" si="62"/>
        <v>#VALUE!</v>
      </c>
      <c r="MO8" s="797" t="e">
        <f t="shared" si="62"/>
        <v>#VALUE!</v>
      </c>
      <c r="MP8" s="797" t="e">
        <f t="shared" si="62"/>
        <v>#VALUE!</v>
      </c>
      <c r="MQ8" s="797" t="e">
        <f t="shared" si="62"/>
        <v>#VALUE!</v>
      </c>
      <c r="MR8" s="797" t="e">
        <f t="shared" si="62"/>
        <v>#VALUE!</v>
      </c>
      <c r="MS8" s="797" t="e">
        <f t="shared" si="62"/>
        <v>#VALUE!</v>
      </c>
      <c r="MT8" s="797" t="e">
        <f t="shared" si="62"/>
        <v>#VALUE!</v>
      </c>
      <c r="MU8" s="797" t="e">
        <f t="shared" si="62"/>
        <v>#VALUE!</v>
      </c>
      <c r="MV8" s="797" t="e">
        <f t="shared" si="62"/>
        <v>#VALUE!</v>
      </c>
      <c r="MW8" s="797" t="e">
        <f t="shared" si="62"/>
        <v>#VALUE!</v>
      </c>
      <c r="MX8" s="797" t="e">
        <f t="shared" si="62"/>
        <v>#VALUE!</v>
      </c>
      <c r="MY8" s="797" t="e">
        <f t="shared" si="62"/>
        <v>#VALUE!</v>
      </c>
      <c r="MZ8" s="797" t="e">
        <f t="shared" si="62"/>
        <v>#VALUE!</v>
      </c>
      <c r="NA8" s="797" t="e">
        <f t="shared" si="62"/>
        <v>#VALUE!</v>
      </c>
      <c r="NB8" s="797" t="e">
        <f t="shared" si="62"/>
        <v>#VALUE!</v>
      </c>
      <c r="NC8" s="797" t="e">
        <f t="shared" si="62"/>
        <v>#VALUE!</v>
      </c>
      <c r="ND8" s="797" t="e">
        <f t="shared" si="62"/>
        <v>#VALUE!</v>
      </c>
      <c r="NE8" s="797" t="e">
        <f t="shared" si="62"/>
        <v>#VALUE!</v>
      </c>
      <c r="NF8" s="797" t="e">
        <f t="shared" ref="NF8:PQ8" si="63">IF(MOD(IF(NF7=1,NE8+1,NE8),12)&gt;0,MOD(IF(NF7=1,NE8+1,NE8),12),12)</f>
        <v>#VALUE!</v>
      </c>
      <c r="NG8" s="797" t="e">
        <f t="shared" si="63"/>
        <v>#VALUE!</v>
      </c>
      <c r="NH8" s="797" t="e">
        <f t="shared" si="63"/>
        <v>#VALUE!</v>
      </c>
      <c r="NI8" s="797" t="e">
        <f t="shared" si="63"/>
        <v>#VALUE!</v>
      </c>
      <c r="NJ8" s="797" t="e">
        <f t="shared" si="63"/>
        <v>#VALUE!</v>
      </c>
      <c r="NK8" s="797" t="e">
        <f t="shared" si="63"/>
        <v>#VALUE!</v>
      </c>
      <c r="NL8" s="797" t="e">
        <f t="shared" si="63"/>
        <v>#VALUE!</v>
      </c>
      <c r="NM8" s="797" t="e">
        <f t="shared" si="63"/>
        <v>#VALUE!</v>
      </c>
      <c r="NN8" s="797" t="e">
        <f t="shared" si="63"/>
        <v>#VALUE!</v>
      </c>
      <c r="NO8" s="797" t="e">
        <f t="shared" si="63"/>
        <v>#VALUE!</v>
      </c>
      <c r="NP8" s="797" t="e">
        <f t="shared" si="63"/>
        <v>#VALUE!</v>
      </c>
      <c r="NQ8" s="797" t="e">
        <f t="shared" si="63"/>
        <v>#VALUE!</v>
      </c>
      <c r="NR8" s="797" t="e">
        <f t="shared" si="63"/>
        <v>#VALUE!</v>
      </c>
      <c r="NS8" s="797" t="e">
        <f t="shared" si="63"/>
        <v>#VALUE!</v>
      </c>
      <c r="NT8" s="797" t="e">
        <f t="shared" si="63"/>
        <v>#VALUE!</v>
      </c>
      <c r="NU8" s="797" t="e">
        <f t="shared" si="63"/>
        <v>#VALUE!</v>
      </c>
      <c r="NV8" s="797" t="e">
        <f t="shared" si="63"/>
        <v>#VALUE!</v>
      </c>
      <c r="NW8" s="797" t="e">
        <f t="shared" si="63"/>
        <v>#VALUE!</v>
      </c>
      <c r="NX8" s="797" t="e">
        <f t="shared" si="63"/>
        <v>#VALUE!</v>
      </c>
      <c r="NY8" s="797" t="e">
        <f t="shared" si="63"/>
        <v>#VALUE!</v>
      </c>
      <c r="NZ8" s="797" t="e">
        <f t="shared" si="63"/>
        <v>#VALUE!</v>
      </c>
      <c r="OA8" s="797" t="e">
        <f t="shared" si="63"/>
        <v>#VALUE!</v>
      </c>
      <c r="OB8" s="797" t="e">
        <f t="shared" si="63"/>
        <v>#VALUE!</v>
      </c>
      <c r="OC8" s="797" t="e">
        <f t="shared" si="63"/>
        <v>#VALUE!</v>
      </c>
      <c r="OD8" s="797" t="e">
        <f t="shared" si="63"/>
        <v>#VALUE!</v>
      </c>
      <c r="OE8" s="797" t="e">
        <f t="shared" si="63"/>
        <v>#VALUE!</v>
      </c>
      <c r="OF8" s="797" t="e">
        <f t="shared" si="63"/>
        <v>#VALUE!</v>
      </c>
      <c r="OG8" s="797" t="e">
        <f t="shared" si="63"/>
        <v>#VALUE!</v>
      </c>
      <c r="OH8" s="797" t="e">
        <f t="shared" si="63"/>
        <v>#VALUE!</v>
      </c>
      <c r="OI8" s="797" t="e">
        <f t="shared" si="63"/>
        <v>#VALUE!</v>
      </c>
      <c r="OJ8" s="797" t="e">
        <f t="shared" si="63"/>
        <v>#VALUE!</v>
      </c>
      <c r="OK8" s="797" t="e">
        <f t="shared" si="63"/>
        <v>#VALUE!</v>
      </c>
      <c r="OL8" s="797" t="e">
        <f t="shared" si="63"/>
        <v>#VALUE!</v>
      </c>
      <c r="OM8" s="797" t="e">
        <f t="shared" si="63"/>
        <v>#VALUE!</v>
      </c>
      <c r="ON8" s="797" t="e">
        <f t="shared" si="63"/>
        <v>#VALUE!</v>
      </c>
      <c r="OO8" s="797" t="e">
        <f t="shared" si="63"/>
        <v>#VALUE!</v>
      </c>
      <c r="OP8" s="797" t="e">
        <f t="shared" si="63"/>
        <v>#VALUE!</v>
      </c>
      <c r="OQ8" s="797" t="e">
        <f t="shared" si="63"/>
        <v>#VALUE!</v>
      </c>
      <c r="OR8" s="797" t="e">
        <f t="shared" si="63"/>
        <v>#VALUE!</v>
      </c>
      <c r="OS8" s="797" t="e">
        <f t="shared" si="63"/>
        <v>#VALUE!</v>
      </c>
      <c r="OT8" s="797" t="e">
        <f t="shared" si="63"/>
        <v>#VALUE!</v>
      </c>
      <c r="OU8" s="797" t="e">
        <f t="shared" si="63"/>
        <v>#VALUE!</v>
      </c>
      <c r="OV8" s="797" t="e">
        <f t="shared" si="63"/>
        <v>#VALUE!</v>
      </c>
      <c r="OW8" s="797" t="e">
        <f t="shared" si="63"/>
        <v>#VALUE!</v>
      </c>
      <c r="OX8" s="797" t="e">
        <f t="shared" si="63"/>
        <v>#VALUE!</v>
      </c>
      <c r="OY8" s="797" t="e">
        <f t="shared" si="63"/>
        <v>#VALUE!</v>
      </c>
      <c r="OZ8" s="797" t="e">
        <f t="shared" si="63"/>
        <v>#VALUE!</v>
      </c>
      <c r="PA8" s="797" t="e">
        <f t="shared" si="63"/>
        <v>#VALUE!</v>
      </c>
      <c r="PB8" s="797" t="e">
        <f t="shared" si="63"/>
        <v>#VALUE!</v>
      </c>
      <c r="PC8" s="797" t="e">
        <f t="shared" si="63"/>
        <v>#VALUE!</v>
      </c>
      <c r="PD8" s="797" t="e">
        <f t="shared" si="63"/>
        <v>#VALUE!</v>
      </c>
      <c r="PE8" s="797" t="e">
        <f t="shared" si="63"/>
        <v>#VALUE!</v>
      </c>
      <c r="PF8" s="797" t="e">
        <f t="shared" si="63"/>
        <v>#VALUE!</v>
      </c>
      <c r="PG8" s="797" t="e">
        <f t="shared" si="63"/>
        <v>#VALUE!</v>
      </c>
      <c r="PH8" s="797" t="e">
        <f t="shared" si="63"/>
        <v>#VALUE!</v>
      </c>
      <c r="PI8" s="797" t="e">
        <f t="shared" si="63"/>
        <v>#VALUE!</v>
      </c>
      <c r="PJ8" s="797" t="e">
        <f t="shared" si="63"/>
        <v>#VALUE!</v>
      </c>
      <c r="PK8" s="797" t="e">
        <f t="shared" si="63"/>
        <v>#VALUE!</v>
      </c>
      <c r="PL8" s="797" t="e">
        <f t="shared" si="63"/>
        <v>#VALUE!</v>
      </c>
      <c r="PM8" s="797" t="e">
        <f t="shared" si="63"/>
        <v>#VALUE!</v>
      </c>
      <c r="PN8" s="797" t="e">
        <f t="shared" si="63"/>
        <v>#VALUE!</v>
      </c>
      <c r="PO8" s="797" t="e">
        <f t="shared" si="63"/>
        <v>#VALUE!</v>
      </c>
      <c r="PP8" s="797" t="e">
        <f t="shared" si="63"/>
        <v>#VALUE!</v>
      </c>
      <c r="PQ8" s="797" t="e">
        <f t="shared" si="63"/>
        <v>#VALUE!</v>
      </c>
      <c r="PR8" s="797" t="e">
        <f t="shared" ref="PR8:QZ8" si="64">IF(MOD(IF(PR7=1,PQ8+1,PQ8),12)&gt;0,MOD(IF(PR7=1,PQ8+1,PQ8),12),12)</f>
        <v>#VALUE!</v>
      </c>
      <c r="PS8" s="797" t="e">
        <f t="shared" si="64"/>
        <v>#VALUE!</v>
      </c>
      <c r="PT8" s="797" t="e">
        <f t="shared" si="64"/>
        <v>#VALUE!</v>
      </c>
      <c r="PU8" s="797" t="e">
        <f t="shared" si="64"/>
        <v>#VALUE!</v>
      </c>
      <c r="PV8" s="797" t="e">
        <f t="shared" si="64"/>
        <v>#VALUE!</v>
      </c>
      <c r="PW8" s="797" t="e">
        <f t="shared" si="64"/>
        <v>#VALUE!</v>
      </c>
      <c r="PX8" s="797" t="e">
        <f t="shared" si="64"/>
        <v>#VALUE!</v>
      </c>
      <c r="PY8" s="797" t="e">
        <f t="shared" si="64"/>
        <v>#VALUE!</v>
      </c>
      <c r="PZ8" s="797" t="e">
        <f t="shared" si="64"/>
        <v>#VALUE!</v>
      </c>
      <c r="QA8" s="797" t="e">
        <f t="shared" si="64"/>
        <v>#VALUE!</v>
      </c>
      <c r="QB8" s="797" t="e">
        <f t="shared" si="64"/>
        <v>#VALUE!</v>
      </c>
      <c r="QC8" s="797" t="e">
        <f t="shared" si="64"/>
        <v>#VALUE!</v>
      </c>
      <c r="QD8" s="797" t="e">
        <f t="shared" si="64"/>
        <v>#VALUE!</v>
      </c>
      <c r="QE8" s="797" t="e">
        <f t="shared" si="64"/>
        <v>#VALUE!</v>
      </c>
      <c r="QF8" s="797" t="e">
        <f t="shared" si="64"/>
        <v>#VALUE!</v>
      </c>
      <c r="QG8" s="797" t="e">
        <f t="shared" si="64"/>
        <v>#VALUE!</v>
      </c>
      <c r="QH8" s="797" t="e">
        <f t="shared" si="64"/>
        <v>#VALUE!</v>
      </c>
      <c r="QI8" s="797" t="e">
        <f t="shared" si="64"/>
        <v>#VALUE!</v>
      </c>
      <c r="QJ8" s="797" t="e">
        <f t="shared" si="64"/>
        <v>#VALUE!</v>
      </c>
      <c r="QK8" s="797" t="e">
        <f t="shared" si="64"/>
        <v>#VALUE!</v>
      </c>
      <c r="QL8" s="797" t="e">
        <f t="shared" si="64"/>
        <v>#VALUE!</v>
      </c>
      <c r="QM8" s="797" t="e">
        <f t="shared" si="64"/>
        <v>#VALUE!</v>
      </c>
      <c r="QN8" s="797" t="e">
        <f t="shared" si="64"/>
        <v>#VALUE!</v>
      </c>
      <c r="QO8" s="797" t="e">
        <f t="shared" si="64"/>
        <v>#VALUE!</v>
      </c>
      <c r="QP8" s="797" t="e">
        <f t="shared" si="64"/>
        <v>#VALUE!</v>
      </c>
      <c r="QQ8" s="797" t="e">
        <f t="shared" si="64"/>
        <v>#VALUE!</v>
      </c>
      <c r="QR8" s="797" t="e">
        <f t="shared" si="64"/>
        <v>#VALUE!</v>
      </c>
      <c r="QS8" s="797" t="e">
        <f t="shared" si="64"/>
        <v>#VALUE!</v>
      </c>
      <c r="QT8" s="797" t="e">
        <f t="shared" si="64"/>
        <v>#VALUE!</v>
      </c>
      <c r="QU8" s="797" t="e">
        <f t="shared" si="64"/>
        <v>#VALUE!</v>
      </c>
      <c r="QV8" s="797" t="e">
        <f t="shared" si="64"/>
        <v>#VALUE!</v>
      </c>
      <c r="QW8" s="797" t="e">
        <f t="shared" si="64"/>
        <v>#VALUE!</v>
      </c>
      <c r="QX8" s="797" t="e">
        <f t="shared" si="64"/>
        <v>#VALUE!</v>
      </c>
      <c r="QY8" s="797" t="e">
        <f t="shared" si="64"/>
        <v>#VALUE!</v>
      </c>
      <c r="QZ8" s="797" t="e">
        <f t="shared" si="64"/>
        <v>#VALUE!</v>
      </c>
    </row>
    <row r="9" spans="1:471">
      <c r="B9" t="s">
        <v>144</v>
      </c>
      <c r="D9" t="s">
        <v>145</v>
      </c>
      <c r="E9" t="s">
        <v>146</v>
      </c>
      <c r="J9" s="7"/>
      <c r="K9" s="7"/>
      <c r="L9" s="7"/>
      <c r="M9" s="7"/>
      <c r="N9" s="7"/>
      <c r="O9" s="7">
        <v>30</v>
      </c>
      <c r="P9" s="7">
        <v>30</v>
      </c>
      <c r="Q9" s="7">
        <v>30</v>
      </c>
      <c r="R9" s="7">
        <v>30</v>
      </c>
      <c r="S9" s="7">
        <v>30</v>
      </c>
      <c r="T9" s="7">
        <v>30</v>
      </c>
      <c r="U9" s="7">
        <v>30</v>
      </c>
      <c r="V9" s="7">
        <v>30</v>
      </c>
      <c r="W9" s="7">
        <v>30</v>
      </c>
      <c r="X9" s="7">
        <v>30</v>
      </c>
      <c r="Y9" s="7">
        <v>30</v>
      </c>
      <c r="Z9" s="7">
        <v>30</v>
      </c>
      <c r="AA9" s="7">
        <v>5</v>
      </c>
      <c r="AE9" s="202"/>
      <c r="AF9" s="201">
        <f>AF6+AF7+AF5+AF8</f>
        <v>510974.69456327072</v>
      </c>
      <c r="AK9" s="759"/>
      <c r="AL9" s="701">
        <f>[1]!taqsha(AL4,AL5,AL6,AL7)</f>
        <v>136.52117306468264</v>
      </c>
      <c r="AM9" s="304">
        <f>[1]!taqsha(AM4,AM5,AM6,AM7)</f>
        <v>165.4394758804433</v>
      </c>
      <c r="AN9" s="304">
        <f>[1]!taqsha(AN4,AN5,AN6,AN7)</f>
        <v>193.80137596466878</v>
      </c>
      <c r="AO9" s="304">
        <f>[1]!taqsha(AO4,AO5,AO6,AO7)</f>
        <v>223.63440055144213</v>
      </c>
      <c r="AP9" s="304">
        <f>[1]!taqsha(AP4,AP5,AP6,AP7)</f>
        <v>252.89660854319783</v>
      </c>
      <c r="AQ9" s="304">
        <f>[1]!taqsha(AQ4,AQ5,AQ6,AQ7)</f>
        <v>283.44394952789696</v>
      </c>
      <c r="AR9" s="304">
        <f>[1]!taqsha(AR4,AR5,AR6,AR7)</f>
        <v>312.9712428620727</v>
      </c>
      <c r="AS9" s="304">
        <f>[1]!taqsha(AS4,AS5,AS6,AS7)</f>
        <v>343.25889297777587</v>
      </c>
      <c r="AT9" s="304">
        <f>[1]!taqsha(AT4,AT5,AT6,AT7)</f>
        <v>12.110395161179468</v>
      </c>
      <c r="AU9" s="304">
        <f>[1]!taqsha(AU4,AU5,AU6,AU7)</f>
        <v>41.464560389027973</v>
      </c>
      <c r="AV9" s="304">
        <f>[1]!taqsha(AV4,AV5,AV6,AV7)</f>
        <v>69.427854077840351</v>
      </c>
      <c r="AW9" s="304">
        <f>[1]!taqsha(AW4,AW5,AW6,AW7)</f>
        <v>98.095932127009519</v>
      </c>
      <c r="AX9" s="314"/>
      <c r="AZ9" s="732"/>
      <c r="BA9" s="731" t="e">
        <f>[1]!taqsha(BA3,BA4,BA12,BA7)</f>
        <v>#VALUE!</v>
      </c>
      <c r="BB9" s="113">
        <f>[1]!taqsha(BB3,BB4,BB5,BB7)</f>
        <v>58.415421296331125</v>
      </c>
      <c r="BC9" s="113">
        <f>[1]!taqsha(BC3,BC4,BC5,BC7)</f>
        <v>87.155580717809897</v>
      </c>
      <c r="BD9" s="113">
        <f>[1]!taqsha(BD3,BD4,BD5,BD7)</f>
        <v>114.81160236626528</v>
      </c>
      <c r="BE9" s="113">
        <f>[1]!taqsha(BE3,BE4,BE5,BE7)</f>
        <v>143.52458055445595</v>
      </c>
      <c r="BF9" s="113">
        <f>[1]!taqsha(BF3,BF4,BF5,BF7)</f>
        <v>171.57142482158406</v>
      </c>
      <c r="BG9" s="113">
        <f>[1]!taqsha(BG3,BG4,BG5,BG7)</f>
        <v>201.04045286001534</v>
      </c>
      <c r="BH9" s="113">
        <f>[1]!taqsha(BH3,BH4,BH5,BH7)</f>
        <v>230.00026157284526</v>
      </c>
      <c r="BI9" s="113">
        <f>[1]!taqsha(BI3,BI4,BI5,BI7)</f>
        <v>260.37031229847167</v>
      </c>
      <c r="BJ9" s="113">
        <f>[1]!taqsha(BJ3,BJ4,BJ5,BJ7)</f>
        <v>289.92062786261431</v>
      </c>
      <c r="BK9" s="113">
        <f>[1]!taqsha(BK3,BK4,BK5,BK7)</f>
        <v>320.42227790892747</v>
      </c>
      <c r="BL9" s="113">
        <f>[1]!taqsha(BL3,BL4,BL5,BL7)</f>
        <v>349.59924548628032</v>
      </c>
      <c r="BM9" s="113">
        <f>[1]!taqsha(BM3,BM4,BM5,BM7)</f>
        <v>19.317133367335174</v>
      </c>
      <c r="BN9" s="317"/>
      <c r="BP9" s="732">
        <v>35</v>
      </c>
      <c r="BQ9" s="732">
        <v>35</v>
      </c>
      <c r="BR9" s="753">
        <f>BQ9</f>
        <v>35</v>
      </c>
      <c r="BS9" s="753">
        <f>BR9</f>
        <v>35</v>
      </c>
      <c r="BT9" s="238" t="s">
        <v>326</v>
      </c>
      <c r="BU9" s="731">
        <f>BR8</f>
        <v>9.5138888888888884E-2</v>
      </c>
      <c r="BV9" s="112" t="s">
        <v>3551</v>
      </c>
      <c r="BW9" s="317">
        <f>MOD(BW3,30)</f>
        <v>6</v>
      </c>
      <c r="BX9" s="112" t="s">
        <v>3551</v>
      </c>
      <c r="BY9" s="317">
        <f>MOD(BY3,30)</f>
        <v>6</v>
      </c>
      <c r="CA9" s="787" t="s">
        <v>326</v>
      </c>
      <c r="CB9" s="242">
        <f>[1]!mbtool(2,17,0,1)</f>
        <v>9.5138888888888884E-2</v>
      </c>
      <c r="CC9" s="242"/>
      <c r="CD9" s="242"/>
      <c r="CE9" s="242"/>
      <c r="CF9" s="788"/>
      <c r="CG9" s="490" t="s">
        <v>326</v>
      </c>
      <c r="CH9" s="309">
        <f>[1]!mbtool(2,17,0,1)</f>
        <v>9.5138888888888884E-2</v>
      </c>
      <c r="CI9" s="309"/>
      <c r="CJ9" s="309"/>
      <c r="CK9" s="309"/>
      <c r="CL9" s="774"/>
      <c r="CO9" s="759" t="s">
        <v>393</v>
      </c>
      <c r="CP9" s="759">
        <f>[1]!mbtool(CQ9,CR9,CS9,CT9)</f>
        <v>9.5138888888888884E-2</v>
      </c>
      <c r="CQ9" s="759">
        <v>2</v>
      </c>
      <c r="CR9" s="759">
        <v>17</v>
      </c>
      <c r="CS9" s="759">
        <v>0</v>
      </c>
      <c r="CT9" s="759">
        <v>1</v>
      </c>
      <c r="CU9" s="759"/>
      <c r="CV9" s="787" t="s">
        <v>326</v>
      </c>
      <c r="CW9" s="242">
        <f>[1]!mbtool(2,17,0,1)</f>
        <v>9.5138888888888884E-2</v>
      </c>
      <c r="CX9" s="242"/>
      <c r="CY9" s="242"/>
      <c r="CZ9" s="242"/>
      <c r="DA9" s="788"/>
      <c r="DG9" t="s">
        <v>3</v>
      </c>
      <c r="GG9" s="33" t="e">
        <f>[1]!tadqroob(1,1,(GG1+1),[1]!qsn([1]!ml([1]!taqsha(1,1,1+GG1,GG2)),GG3)/30,GG2,GG3)</f>
        <v>#VALUE!</v>
      </c>
      <c r="GH9" s="33" t="e">
        <f>[1]!tadqroob(1,1,(GH1+1),[1]!qsn([1]!ml([1]!taqsha(1,1,1+GH1,GH2)),GH3)/30,GH2,GH3)</f>
        <v>#VALUE!</v>
      </c>
    </row>
    <row r="10" spans="1:471">
      <c r="A10" s="22">
        <f>A4</f>
        <v>22</v>
      </c>
      <c r="B10" s="22">
        <f>B4</f>
        <v>9</v>
      </c>
      <c r="C10" s="22">
        <f>C4</f>
        <v>1442</v>
      </c>
      <c r="D10" t="str">
        <f>D4</f>
        <v>شمسی</v>
      </c>
      <c r="E10">
        <f>E4</f>
        <v>16</v>
      </c>
      <c r="J10" s="7"/>
      <c r="K10" s="7"/>
      <c r="L10" s="7"/>
      <c r="M10" s="7"/>
      <c r="N10" s="7"/>
      <c r="O10" s="7">
        <f>O9</f>
        <v>30</v>
      </c>
      <c r="P10" s="7">
        <f t="shared" ref="P10:AA10" si="65">P9+O10</f>
        <v>60</v>
      </c>
      <c r="Q10" s="7">
        <f t="shared" si="65"/>
        <v>90</v>
      </c>
      <c r="R10" s="7">
        <f t="shared" si="65"/>
        <v>120</v>
      </c>
      <c r="S10" s="7">
        <f t="shared" si="65"/>
        <v>150</v>
      </c>
      <c r="T10" s="7">
        <f t="shared" si="65"/>
        <v>180</v>
      </c>
      <c r="U10" s="7">
        <f t="shared" si="65"/>
        <v>210</v>
      </c>
      <c r="V10" s="7">
        <f t="shared" si="65"/>
        <v>240</v>
      </c>
      <c r="W10" s="7">
        <f t="shared" si="65"/>
        <v>270</v>
      </c>
      <c r="X10" s="7">
        <f t="shared" si="65"/>
        <v>300</v>
      </c>
      <c r="Y10" s="7">
        <f t="shared" si="65"/>
        <v>330</v>
      </c>
      <c r="Z10" s="7">
        <f t="shared" si="65"/>
        <v>360</v>
      </c>
      <c r="AA10" s="7">
        <f t="shared" si="65"/>
        <v>365</v>
      </c>
      <c r="AE10" s="202"/>
      <c r="AF10" s="201">
        <v>365.24220026363002</v>
      </c>
      <c r="AK10" s="759"/>
      <c r="AL10" s="701" t="e">
        <f>[1]!qsn([1]!ml(AL9),AL8)/30</f>
        <v>#VALUE!</v>
      </c>
      <c r="AM10" s="304" t="e">
        <f>[1]!qsn([1]!ml(AM9),AM8)/30</f>
        <v>#VALUE!</v>
      </c>
      <c r="AN10" s="304" t="e">
        <f>[1]!qsn([1]!ml(AN9),AN8)/30</f>
        <v>#VALUE!</v>
      </c>
      <c r="AO10" s="304" t="e">
        <f>[1]!qsn([1]!ml(AO9),AO8)/30</f>
        <v>#VALUE!</v>
      </c>
      <c r="AP10" s="304" t="e">
        <f>[1]!qsn([1]!ml(AP9),AP8)/30</f>
        <v>#VALUE!</v>
      </c>
      <c r="AQ10" s="304" t="e">
        <f>[1]!qsn([1]!ml(AQ9),AQ8)/30</f>
        <v>#VALUE!</v>
      </c>
      <c r="AR10" s="304" t="e">
        <f>[1]!qsn([1]!ml(AR9),AR8)/30</f>
        <v>#VALUE!</v>
      </c>
      <c r="AS10" s="304" t="e">
        <f>[1]!qsn([1]!ml(AS9),AS8)/30</f>
        <v>#VALUE!</v>
      </c>
      <c r="AT10" s="304" t="e">
        <f>[1]!qsn([1]!ml(AT9),AT8)/30</f>
        <v>#VALUE!</v>
      </c>
      <c r="AU10" s="304" t="e">
        <f>[1]!qsn([1]!ml(AU9),AU8)/30</f>
        <v>#VALUE!</v>
      </c>
      <c r="AV10" s="304" t="e">
        <f>[1]!qsn([1]!ml(AV9),AV8)/30</f>
        <v>#VALUE!</v>
      </c>
      <c r="AW10" s="304" t="e">
        <f>[1]!qsn([1]!ml(AW9),AW8)/30</f>
        <v>#VALUE!</v>
      </c>
      <c r="AX10" s="314"/>
      <c r="AZ10" s="732" t="s">
        <v>3499</v>
      </c>
      <c r="BA10" s="731" t="e">
        <f>[1]!qsn([1]!ml(BA9),BA8)/30</f>
        <v>#VALUE!</v>
      </c>
      <c r="BB10" s="113" t="e">
        <f>[1]!qsn([1]!ml(BB9),BB8)/30</f>
        <v>#VALUE!</v>
      </c>
      <c r="BC10" s="113" t="e">
        <f>[1]!qsn([1]!ml(BC9),BC8)/30</f>
        <v>#VALUE!</v>
      </c>
      <c r="BD10" s="113" t="e">
        <f>[1]!qsn([1]!ml(BD9),BD8)/30</f>
        <v>#VALUE!</v>
      </c>
      <c r="BE10" s="113" t="e">
        <f>[1]!qsn([1]!ml(BE9),BE8)/30</f>
        <v>#VALUE!</v>
      </c>
      <c r="BF10" s="113" t="e">
        <f>[1]!qsn([1]!ml(BF9),BF8)/30</f>
        <v>#VALUE!</v>
      </c>
      <c r="BG10" s="113" t="e">
        <f>[1]!qsn([1]!ml(BG9),BG8)/30</f>
        <v>#VALUE!</v>
      </c>
      <c r="BH10" s="113" t="e">
        <f>[1]!qsn([1]!ml(BH9),BH8)/30</f>
        <v>#VALUE!</v>
      </c>
      <c r="BI10" s="113" t="e">
        <f>[1]!qsn([1]!ml(BI9),BI8)/30</f>
        <v>#VALUE!</v>
      </c>
      <c r="BJ10" s="113" t="e">
        <f>[1]!qsn([1]!ml(BJ9),BJ8)/30</f>
        <v>#VALUE!</v>
      </c>
      <c r="BK10" s="113" t="e">
        <f>[1]!qsn([1]!ml(BK9),BK8)/30</f>
        <v>#VALUE!</v>
      </c>
      <c r="BL10" s="113" t="e">
        <f>[1]!qsn([1]!ml(BL9),BL8)/30</f>
        <v>#VALUE!</v>
      </c>
      <c r="BM10" s="113" t="e">
        <f>[1]!qsn([1]!ml(BM9),BM8)/30</f>
        <v>#VALUE!</v>
      </c>
      <c r="BN10" s="317"/>
      <c r="BP10" s="732">
        <f>[1]!taqsha(BP4,BP5,BP7,BP8)</f>
        <v>30.322746304961004</v>
      </c>
      <c r="BQ10" s="732">
        <f>[1]!taqsha(BQ4,BQ5,BQ7,BQ8)</f>
        <v>31.298369178106501</v>
      </c>
      <c r="BR10" s="753">
        <f>[1]!taqsha(BR4,BR5,BR7,BR8)</f>
        <v>32.273614411460485</v>
      </c>
      <c r="BS10" s="753" t="e">
        <f>[1]!taqsha(BS4,BS5,BS7,BS8)</f>
        <v>#VALUE!</v>
      </c>
      <c r="BT10" s="238" t="s">
        <v>177</v>
      </c>
      <c r="BU10" s="731">
        <f>BR9</f>
        <v>35</v>
      </c>
      <c r="BV10" s="112"/>
      <c r="BW10" s="317">
        <f>[1]!kab(BW9)</f>
        <v>3</v>
      </c>
      <c r="BX10" s="112"/>
      <c r="BY10" s="317">
        <f>[1]!kab(BY9)</f>
        <v>3</v>
      </c>
      <c r="CA10" s="787" t="s">
        <v>378</v>
      </c>
      <c r="CB10" s="242" t="e">
        <f>[1]!taqsha(CB3,CB4,CB8,CB9)</f>
        <v>#VALUE!</v>
      </c>
      <c r="CC10" s="242"/>
      <c r="CD10" s="242"/>
      <c r="CE10" s="242"/>
      <c r="CF10" s="788"/>
      <c r="CG10" s="490" t="s">
        <v>378</v>
      </c>
      <c r="CH10" s="309">
        <f>[1]!taqsha(CH3,CH4,CH8,CH9)</f>
        <v>175.50568336183662</v>
      </c>
      <c r="CI10" s="309">
        <f>[1]!taqqa(CH3,CH4,CH8,CH9)</f>
        <v>182.53099268723543</v>
      </c>
      <c r="CJ10" s="309"/>
      <c r="CK10" s="309"/>
      <c r="CL10" s="774"/>
      <c r="CO10" s="759"/>
      <c r="CP10" s="759">
        <f>[1]!taqsh(CP3,CP4,[1]!roz(CP5,CP6,CP7,CP8),CP9)</f>
        <v>1.4879271375918393</v>
      </c>
      <c r="CQ10" s="759"/>
      <c r="CR10" s="759"/>
      <c r="CS10" s="759"/>
      <c r="CT10" s="759"/>
      <c r="CU10" s="759"/>
      <c r="CV10" s="787" t="s">
        <v>378</v>
      </c>
      <c r="CW10" s="242">
        <f>[1]!taqsh(CW3,CW4,CW8,CW9)</f>
        <v>1.4879271375918393</v>
      </c>
      <c r="CX10" s="242"/>
      <c r="CY10" s="242"/>
      <c r="CZ10" s="242"/>
      <c r="DA10" s="788"/>
      <c r="DE10">
        <v>-10</v>
      </c>
      <c r="GH10" s="797"/>
      <c r="GI10" s="797"/>
      <c r="GJ10" s="797"/>
      <c r="GK10" s="797"/>
      <c r="GL10" s="797"/>
      <c r="GM10" s="797"/>
      <c r="GN10" s="797"/>
      <c r="GO10" s="797"/>
      <c r="GP10" s="797"/>
      <c r="GQ10" s="797"/>
      <c r="GR10" s="797"/>
      <c r="GS10" s="797"/>
      <c r="GT10" s="797"/>
      <c r="GU10" s="797"/>
    </row>
    <row r="11" spans="1:471" ht="25.5" thickBot="1">
      <c r="J11" s="21">
        <f>IF(E13=16,(((C13-1)*M11)+IF(B13=1,0,IF(B13=2,O13,IF(B13=3,P13,IF(B13=4,Q13,IF(B13=5,R13,IF(B13=6,S13,IF(B13=7,T13,IF(B13=8,U13,IF(B13=9,V13,IF(B13=10,W13,IF(B13=11,X13,Y13)))))))))))+A13),0)</f>
        <v>526347.25</v>
      </c>
      <c r="K11" s="24">
        <v>4</v>
      </c>
      <c r="L11" s="24" t="s">
        <v>155</v>
      </c>
      <c r="M11" s="24">
        <v>365.25</v>
      </c>
      <c r="N11" s="24"/>
      <c r="O11" s="24" t="s">
        <v>32</v>
      </c>
      <c r="P11" s="24" t="s">
        <v>33</v>
      </c>
      <c r="Q11" s="24" t="s">
        <v>34</v>
      </c>
      <c r="R11" s="24" t="s">
        <v>35</v>
      </c>
      <c r="S11" s="24" t="s">
        <v>36</v>
      </c>
      <c r="T11" s="24" t="s">
        <v>37</v>
      </c>
      <c r="U11" s="24" t="s">
        <v>38</v>
      </c>
      <c r="V11" s="24" t="s">
        <v>43</v>
      </c>
      <c r="W11" s="24" t="s">
        <v>42</v>
      </c>
      <c r="X11" s="24" t="s">
        <v>39</v>
      </c>
      <c r="Y11" s="24" t="s">
        <v>40</v>
      </c>
      <c r="Z11" s="24" t="s">
        <v>41</v>
      </c>
      <c r="AA11" s="24" t="s">
        <v>97</v>
      </c>
      <c r="AE11" s="202"/>
      <c r="AK11" s="759" t="s">
        <v>698</v>
      </c>
      <c r="AL11" s="701" t="e">
        <f>[1]!taqqa(AL4,AL5,[1]!roz(AL6,AL10,0,0),AL7)</f>
        <v>#VALUE!</v>
      </c>
      <c r="AM11" s="304" t="e">
        <f>[1]!taqqa(AM4,AM5,[1]!roz(AM6,AM10,0,0),AM7)</f>
        <v>#VALUE!</v>
      </c>
      <c r="AN11" s="304" t="e">
        <f>[1]!taqqa(AN4,AN5,[1]!roz(AN6,AN10,0,0),AN7)</f>
        <v>#VALUE!</v>
      </c>
      <c r="AO11" s="304" t="e">
        <f>[1]!taqqa(AO4,AO5,[1]!roz(AO6,AO10,0,0),AO7)</f>
        <v>#VALUE!</v>
      </c>
      <c r="AP11" s="304" t="e">
        <f>[1]!taqqa(AP4,AP5,[1]!roz(AP6,AP10,0,0),AP7)</f>
        <v>#VALUE!</v>
      </c>
      <c r="AQ11" s="304" t="e">
        <f>[1]!taqqa(AQ4,AQ5,[1]!roz(AQ6,AQ10,0,0),AQ7)</f>
        <v>#VALUE!</v>
      </c>
      <c r="AR11" s="304" t="e">
        <f>[1]!taqqa(AR4,AR5,[1]!roz(AR6,AR10,0,0),AR7)</f>
        <v>#VALUE!</v>
      </c>
      <c r="AS11" s="304" t="e">
        <f>[1]!taqqa(AS4,AS5,[1]!roz(AS6,AS10,0,0),AS7)</f>
        <v>#VALUE!</v>
      </c>
      <c r="AT11" s="304" t="e">
        <f>[1]!taqqa(AT4,AT5,[1]!roz(AT6,AT10,0,0),AT7)</f>
        <v>#VALUE!</v>
      </c>
      <c r="AU11" s="304" t="e">
        <f>[1]!taqqa(AU4,AU5,[1]!roz(AU6,AU10,0,0),AU7)</f>
        <v>#VALUE!</v>
      </c>
      <c r="AV11" s="304" t="e">
        <f>[1]!taqqa(AV4,AV5,[1]!roz(AV6,AV10,0,0),AV7)</f>
        <v>#VALUE!</v>
      </c>
      <c r="AW11" s="304" t="e">
        <f>[1]!taqqa(AW4,AW5,[1]!roz(AW6,AW10,0,0),AW7)</f>
        <v>#VALUE!</v>
      </c>
      <c r="AX11" s="314"/>
      <c r="AZ11" s="732" t="s">
        <v>3748</v>
      </c>
      <c r="BA11" s="731">
        <f>[1]!tafavot(BA3,BA4,BA7,BA8)</f>
        <v>0</v>
      </c>
      <c r="BB11" s="113">
        <f>[1]!tafavot(BB3,BB4,BB7,BB8)</f>
        <v>1</v>
      </c>
      <c r="BC11" s="113">
        <f>[1]!tafavot(BC3,BC4,BC7,BC8)</f>
        <v>1</v>
      </c>
      <c r="BD11" s="113">
        <f>[1]!tafavot(BD3,BD4,BD7,BD8)</f>
        <v>1</v>
      </c>
      <c r="BE11" s="113">
        <f>[1]!tafavot(BE3,BE4,BE7,BE8)</f>
        <v>0</v>
      </c>
      <c r="BF11" s="113">
        <f>[1]!tafavot(BF3,BF4,BF7,BF8)</f>
        <v>1</v>
      </c>
      <c r="BG11" s="113">
        <f>[1]!tafavot(BG3,BG4,BG7,BG8)</f>
        <v>0</v>
      </c>
      <c r="BH11" s="113">
        <f>[1]!tafavot(BH3,BH4,BH7,BH8)</f>
        <v>0</v>
      </c>
      <c r="BI11" s="113">
        <f>[1]!tafavot(BI3,BI4,BI7,BI8)</f>
        <v>0</v>
      </c>
      <c r="BJ11" s="113">
        <f>[1]!tafavot(BJ3,BJ4,BJ7,BJ8)</f>
        <v>0</v>
      </c>
      <c r="BK11" s="113">
        <f>[1]!tafavot(BK3,BK4,BK7,BK8)</f>
        <v>0</v>
      </c>
      <c r="BL11" s="113">
        <f>[1]!tafavot(BL3,BL4,BL7,BL8)</f>
        <v>1</v>
      </c>
      <c r="BM11" s="113">
        <f>[1]!tafavot(BM3,BM4,BM7,BM8)</f>
        <v>1</v>
      </c>
      <c r="BN11" s="317"/>
      <c r="BP11" s="732" t="e">
        <f>[1]!qsn([1]!ml(BP10),BP9)/30</f>
        <v>#VALUE!</v>
      </c>
      <c r="BQ11" s="732" t="e">
        <f>[1]!qsn([1]!ml(BQ10),BQ9)/30</f>
        <v>#VALUE!</v>
      </c>
      <c r="BR11" s="753" t="e">
        <f>[1]!qsn([1]!ml(BR10),BR9)/30</f>
        <v>#VALUE!</v>
      </c>
      <c r="BS11" s="753" t="e">
        <f>[1]!qsn([1]!ml(BS10),BS9)/30</f>
        <v>#VALUE!</v>
      </c>
      <c r="BT11" s="238"/>
      <c r="BU11" s="731" t="e">
        <f>[1]!taqsha(BU4,BU5,BU8,BU9)</f>
        <v>#VALUE!</v>
      </c>
      <c r="BV11" s="749"/>
      <c r="BW11" s="317">
        <f>((BW3-1)*BW7)+BW10+BW8</f>
        <v>490799</v>
      </c>
      <c r="BX11" s="749"/>
      <c r="BY11" s="317">
        <f>((BY3-1)*BY7)+BY10+BY8</f>
        <v>490799</v>
      </c>
      <c r="CA11" s="787"/>
      <c r="CB11" s="242" t="e">
        <f>[1]!tzaman(INT(CB10))</f>
        <v>#VALUE!</v>
      </c>
      <c r="CC11" s="244" t="e">
        <f>INT(ABS(CB11))</f>
        <v>#VALUE!</v>
      </c>
      <c r="CD11" s="244" t="e">
        <f>INT((ABS(CB11)-CC11)*60)</f>
        <v>#VALUE!</v>
      </c>
      <c r="CE11" s="244" t="e">
        <f>INT((((ABS(CB11)-CC11)*60)-CD11)*60)</f>
        <v>#VALUE!</v>
      </c>
      <c r="CF11" s="789" t="e">
        <f>INT((((((ABS(CB11)-CC11)*60)-CD11)*60)-CE11)*60)</f>
        <v>#VALUE!</v>
      </c>
      <c r="CG11" s="490"/>
      <c r="CH11" s="309">
        <f>[1]!tzaman(INT(CH10))</f>
        <v>1.0575701771936253E-2</v>
      </c>
      <c r="CI11" s="775">
        <f>INT(ABS(CH11))</f>
        <v>0</v>
      </c>
      <c r="CJ11" s="775">
        <f>INT((ABS(CH11)-CI11)*60)</f>
        <v>0</v>
      </c>
      <c r="CK11" s="775">
        <f>INT((((ABS(CH11)-CI11)*60)-CJ11)*60)</f>
        <v>38</v>
      </c>
      <c r="CL11" s="776">
        <f>INT((((((ABS(CH11)-CI11)*60)-CJ11)*60)-CK11)*60)</f>
        <v>4</v>
      </c>
      <c r="CO11" s="759"/>
      <c r="CP11" s="759">
        <f>[1]!tzaman(0)</f>
        <v>-0.19679630000000001</v>
      </c>
      <c r="CQ11" s="472">
        <f t="shared" ref="CQ11" si="66">INT(ABS(CP11))</f>
        <v>0</v>
      </c>
      <c r="CR11" s="472">
        <f t="shared" ref="CR11" si="67">INT((ABS(CP11)-CQ11)*60)</f>
        <v>11</v>
      </c>
      <c r="CS11" s="472">
        <f t="shared" ref="CS11" si="68">INT((((ABS(CP11)-CQ11)*60)-CR11)*60)</f>
        <v>48</v>
      </c>
      <c r="CT11" s="471">
        <f t="shared" ref="CT11" si="69">INT((((((ABS(CP11)-CQ11)*60)-CR11)*60)-CS11)*60)</f>
        <v>28</v>
      </c>
      <c r="CU11" s="759"/>
      <c r="CV11" s="787"/>
      <c r="CW11" s="242">
        <f>[1]!tzaman(INT(CW10))</f>
        <v>-0.19153123950857084</v>
      </c>
      <c r="CX11" s="244">
        <f>INT(ABS(CW11))</f>
        <v>0</v>
      </c>
      <c r="CY11" s="244">
        <f>INT((ABS(CW11)-CX11)*60)</f>
        <v>11</v>
      </c>
      <c r="CZ11" s="244">
        <f>INT((((ABS(CW11)-CX11)*60)-CY11)*60)</f>
        <v>29</v>
      </c>
      <c r="DA11" s="789">
        <f>INT((((((ABS(CW11)-CX11)*60)-CY11)*60)-CZ11)*60)</f>
        <v>30</v>
      </c>
      <c r="DE11">
        <f>[1]!kab(DE10)</f>
        <v>8</v>
      </c>
      <c r="DJ11" t="e">
        <f>DJ12-RB1</f>
        <v>#VALUE!</v>
      </c>
      <c r="DK11" t="e">
        <f>DJ11+1</f>
        <v>#VALUE!</v>
      </c>
      <c r="DL11" s="797" t="e">
        <f t="shared" ref="DL11:FW11" si="70">DK11+1</f>
        <v>#VALUE!</v>
      </c>
      <c r="DM11" s="797" t="e">
        <f t="shared" si="70"/>
        <v>#VALUE!</v>
      </c>
      <c r="DN11" s="797" t="e">
        <f t="shared" si="70"/>
        <v>#VALUE!</v>
      </c>
      <c r="DO11" s="797" t="e">
        <f t="shared" si="70"/>
        <v>#VALUE!</v>
      </c>
      <c r="DP11" s="797" t="e">
        <f t="shared" si="70"/>
        <v>#VALUE!</v>
      </c>
      <c r="DQ11" s="797" t="e">
        <f t="shared" si="70"/>
        <v>#VALUE!</v>
      </c>
      <c r="DR11" s="797" t="e">
        <f t="shared" si="70"/>
        <v>#VALUE!</v>
      </c>
      <c r="DS11" s="797" t="e">
        <f t="shared" si="70"/>
        <v>#VALUE!</v>
      </c>
      <c r="DT11" s="797" t="e">
        <f t="shared" si="70"/>
        <v>#VALUE!</v>
      </c>
      <c r="DU11" s="797" t="e">
        <f t="shared" si="70"/>
        <v>#VALUE!</v>
      </c>
      <c r="DV11" s="797" t="e">
        <f t="shared" si="70"/>
        <v>#VALUE!</v>
      </c>
      <c r="DW11" s="797" t="e">
        <f t="shared" si="70"/>
        <v>#VALUE!</v>
      </c>
      <c r="DX11" s="797" t="e">
        <f t="shared" si="70"/>
        <v>#VALUE!</v>
      </c>
      <c r="DY11" s="797" t="e">
        <f t="shared" si="70"/>
        <v>#VALUE!</v>
      </c>
      <c r="DZ11" s="797" t="e">
        <f t="shared" si="70"/>
        <v>#VALUE!</v>
      </c>
      <c r="EA11" s="797" t="e">
        <f t="shared" si="70"/>
        <v>#VALUE!</v>
      </c>
      <c r="EB11" s="797" t="e">
        <f t="shared" si="70"/>
        <v>#VALUE!</v>
      </c>
      <c r="EC11" s="797" t="e">
        <f t="shared" si="70"/>
        <v>#VALUE!</v>
      </c>
      <c r="ED11" s="797" t="e">
        <f t="shared" si="70"/>
        <v>#VALUE!</v>
      </c>
      <c r="EE11" s="797" t="e">
        <f t="shared" si="70"/>
        <v>#VALUE!</v>
      </c>
      <c r="EF11" s="797" t="e">
        <f t="shared" si="70"/>
        <v>#VALUE!</v>
      </c>
      <c r="EG11" s="797" t="e">
        <f t="shared" si="70"/>
        <v>#VALUE!</v>
      </c>
      <c r="EH11" s="797" t="e">
        <f t="shared" si="70"/>
        <v>#VALUE!</v>
      </c>
      <c r="EI11" s="797" t="e">
        <f t="shared" si="70"/>
        <v>#VALUE!</v>
      </c>
      <c r="EJ11" s="797" t="e">
        <f t="shared" si="70"/>
        <v>#VALUE!</v>
      </c>
      <c r="EK11" s="797" t="e">
        <f t="shared" si="70"/>
        <v>#VALUE!</v>
      </c>
      <c r="EL11" s="797" t="e">
        <f t="shared" si="70"/>
        <v>#VALUE!</v>
      </c>
      <c r="EM11" s="797" t="e">
        <f t="shared" si="70"/>
        <v>#VALUE!</v>
      </c>
      <c r="EN11" s="797" t="e">
        <f t="shared" si="70"/>
        <v>#VALUE!</v>
      </c>
      <c r="EO11" s="797" t="e">
        <f t="shared" si="70"/>
        <v>#VALUE!</v>
      </c>
      <c r="EP11" s="797" t="e">
        <f t="shared" si="70"/>
        <v>#VALUE!</v>
      </c>
      <c r="EQ11" s="797" t="e">
        <f t="shared" si="70"/>
        <v>#VALUE!</v>
      </c>
      <c r="ER11" s="797" t="e">
        <f t="shared" si="70"/>
        <v>#VALUE!</v>
      </c>
      <c r="ES11" s="797" t="e">
        <f t="shared" si="70"/>
        <v>#VALUE!</v>
      </c>
      <c r="ET11" s="797" t="e">
        <f t="shared" si="70"/>
        <v>#VALUE!</v>
      </c>
      <c r="EU11" s="797" t="e">
        <f t="shared" si="70"/>
        <v>#VALUE!</v>
      </c>
      <c r="EV11" s="797" t="e">
        <f t="shared" si="70"/>
        <v>#VALUE!</v>
      </c>
      <c r="EW11" s="797" t="e">
        <f t="shared" si="70"/>
        <v>#VALUE!</v>
      </c>
      <c r="EX11" s="797" t="e">
        <f t="shared" si="70"/>
        <v>#VALUE!</v>
      </c>
      <c r="EY11" s="797" t="e">
        <f t="shared" si="70"/>
        <v>#VALUE!</v>
      </c>
      <c r="EZ11" s="797" t="e">
        <f t="shared" si="70"/>
        <v>#VALUE!</v>
      </c>
      <c r="FA11" s="797" t="e">
        <f t="shared" si="70"/>
        <v>#VALUE!</v>
      </c>
      <c r="FB11" s="797" t="e">
        <f t="shared" si="70"/>
        <v>#VALUE!</v>
      </c>
      <c r="FC11" s="797" t="e">
        <f t="shared" si="70"/>
        <v>#VALUE!</v>
      </c>
      <c r="FD11" s="797" t="e">
        <f t="shared" si="70"/>
        <v>#VALUE!</v>
      </c>
      <c r="FE11" s="797" t="e">
        <f t="shared" si="70"/>
        <v>#VALUE!</v>
      </c>
      <c r="FF11" s="797" t="e">
        <f t="shared" si="70"/>
        <v>#VALUE!</v>
      </c>
      <c r="FG11" s="797" t="e">
        <f t="shared" si="70"/>
        <v>#VALUE!</v>
      </c>
      <c r="FH11" s="797" t="e">
        <f t="shared" si="70"/>
        <v>#VALUE!</v>
      </c>
      <c r="FI11" s="797" t="e">
        <f t="shared" si="70"/>
        <v>#VALUE!</v>
      </c>
      <c r="FJ11" s="797" t="e">
        <f t="shared" si="70"/>
        <v>#VALUE!</v>
      </c>
      <c r="FK11" s="797" t="e">
        <f t="shared" si="70"/>
        <v>#VALUE!</v>
      </c>
      <c r="FL11" s="797" t="e">
        <f t="shared" si="70"/>
        <v>#VALUE!</v>
      </c>
      <c r="FM11" s="797" t="e">
        <f t="shared" si="70"/>
        <v>#VALUE!</v>
      </c>
      <c r="FN11" s="797" t="e">
        <f t="shared" si="70"/>
        <v>#VALUE!</v>
      </c>
      <c r="FO11" s="797" t="e">
        <f t="shared" si="70"/>
        <v>#VALUE!</v>
      </c>
      <c r="FP11" s="797" t="e">
        <f t="shared" si="70"/>
        <v>#VALUE!</v>
      </c>
      <c r="FQ11" s="797" t="e">
        <f t="shared" si="70"/>
        <v>#VALUE!</v>
      </c>
      <c r="FR11" s="797" t="e">
        <f t="shared" si="70"/>
        <v>#VALUE!</v>
      </c>
      <c r="FS11" s="797" t="e">
        <f t="shared" si="70"/>
        <v>#VALUE!</v>
      </c>
      <c r="FT11" s="797" t="e">
        <f t="shared" si="70"/>
        <v>#VALUE!</v>
      </c>
      <c r="FU11" s="797" t="e">
        <f t="shared" si="70"/>
        <v>#VALUE!</v>
      </c>
      <c r="FV11" s="797" t="e">
        <f t="shared" si="70"/>
        <v>#VALUE!</v>
      </c>
      <c r="FW11" s="797" t="e">
        <f t="shared" si="70"/>
        <v>#VALUE!</v>
      </c>
      <c r="FX11" s="797" t="e">
        <f t="shared" ref="FX11:II11" si="71">FW11+1</f>
        <v>#VALUE!</v>
      </c>
      <c r="FY11" s="797" t="e">
        <f t="shared" si="71"/>
        <v>#VALUE!</v>
      </c>
      <c r="FZ11" s="797" t="e">
        <f t="shared" si="71"/>
        <v>#VALUE!</v>
      </c>
      <c r="GA11" s="797" t="e">
        <f t="shared" si="71"/>
        <v>#VALUE!</v>
      </c>
      <c r="GB11" s="797" t="e">
        <f t="shared" si="71"/>
        <v>#VALUE!</v>
      </c>
      <c r="GC11" s="797" t="e">
        <f t="shared" si="71"/>
        <v>#VALUE!</v>
      </c>
      <c r="GD11" s="797" t="e">
        <f t="shared" si="71"/>
        <v>#VALUE!</v>
      </c>
      <c r="GE11" s="797" t="e">
        <f t="shared" si="71"/>
        <v>#VALUE!</v>
      </c>
      <c r="GF11" s="797" t="e">
        <f t="shared" si="71"/>
        <v>#VALUE!</v>
      </c>
      <c r="GG11" s="797" t="e">
        <f t="shared" si="71"/>
        <v>#VALUE!</v>
      </c>
      <c r="GH11" s="797" t="e">
        <f t="shared" si="71"/>
        <v>#VALUE!</v>
      </c>
      <c r="GI11" s="797" t="e">
        <f t="shared" si="71"/>
        <v>#VALUE!</v>
      </c>
      <c r="GJ11" s="797" t="e">
        <f t="shared" si="71"/>
        <v>#VALUE!</v>
      </c>
      <c r="GK11" s="797" t="e">
        <f t="shared" si="71"/>
        <v>#VALUE!</v>
      </c>
      <c r="GL11" s="797" t="e">
        <f t="shared" si="71"/>
        <v>#VALUE!</v>
      </c>
      <c r="GM11" s="797" t="e">
        <f t="shared" si="71"/>
        <v>#VALUE!</v>
      </c>
      <c r="GN11" s="797" t="e">
        <f t="shared" si="71"/>
        <v>#VALUE!</v>
      </c>
      <c r="GO11" s="797" t="e">
        <f t="shared" si="71"/>
        <v>#VALUE!</v>
      </c>
      <c r="GP11" s="797" t="e">
        <f t="shared" si="71"/>
        <v>#VALUE!</v>
      </c>
      <c r="GQ11" s="797" t="e">
        <f t="shared" si="71"/>
        <v>#VALUE!</v>
      </c>
      <c r="GR11" s="797" t="e">
        <f t="shared" si="71"/>
        <v>#VALUE!</v>
      </c>
      <c r="GS11" s="797" t="e">
        <f t="shared" si="71"/>
        <v>#VALUE!</v>
      </c>
      <c r="GT11" s="797" t="e">
        <f t="shared" si="71"/>
        <v>#VALUE!</v>
      </c>
      <c r="GU11" s="797" t="e">
        <f t="shared" si="71"/>
        <v>#VALUE!</v>
      </c>
      <c r="GV11" s="797" t="e">
        <f t="shared" si="71"/>
        <v>#VALUE!</v>
      </c>
      <c r="GW11" s="797" t="e">
        <f t="shared" si="71"/>
        <v>#VALUE!</v>
      </c>
      <c r="GX11" s="797" t="e">
        <f t="shared" si="71"/>
        <v>#VALUE!</v>
      </c>
      <c r="GY11" s="797" t="e">
        <f t="shared" si="71"/>
        <v>#VALUE!</v>
      </c>
      <c r="GZ11" s="797" t="e">
        <f t="shared" si="71"/>
        <v>#VALUE!</v>
      </c>
      <c r="HA11" s="797" t="e">
        <f t="shared" si="71"/>
        <v>#VALUE!</v>
      </c>
      <c r="HB11" s="797" t="e">
        <f t="shared" si="71"/>
        <v>#VALUE!</v>
      </c>
      <c r="HC11" s="797" t="e">
        <f t="shared" si="71"/>
        <v>#VALUE!</v>
      </c>
      <c r="HD11" s="797" t="e">
        <f t="shared" si="71"/>
        <v>#VALUE!</v>
      </c>
      <c r="HE11" s="797" t="e">
        <f t="shared" si="71"/>
        <v>#VALUE!</v>
      </c>
      <c r="HF11" s="797" t="e">
        <f t="shared" si="71"/>
        <v>#VALUE!</v>
      </c>
      <c r="HG11" s="797" t="e">
        <f t="shared" si="71"/>
        <v>#VALUE!</v>
      </c>
      <c r="HH11" s="797" t="e">
        <f t="shared" si="71"/>
        <v>#VALUE!</v>
      </c>
      <c r="HI11" s="797" t="e">
        <f t="shared" si="71"/>
        <v>#VALUE!</v>
      </c>
      <c r="HJ11" s="797" t="e">
        <f t="shared" si="71"/>
        <v>#VALUE!</v>
      </c>
      <c r="HK11" s="797" t="e">
        <f t="shared" si="71"/>
        <v>#VALUE!</v>
      </c>
      <c r="HL11" s="797" t="e">
        <f t="shared" si="71"/>
        <v>#VALUE!</v>
      </c>
      <c r="HM11" s="797" t="e">
        <f t="shared" si="71"/>
        <v>#VALUE!</v>
      </c>
      <c r="HN11" s="797" t="e">
        <f t="shared" si="71"/>
        <v>#VALUE!</v>
      </c>
      <c r="HO11" s="797" t="e">
        <f t="shared" si="71"/>
        <v>#VALUE!</v>
      </c>
      <c r="HP11" s="797" t="e">
        <f t="shared" si="71"/>
        <v>#VALUE!</v>
      </c>
      <c r="HQ11" s="797" t="e">
        <f t="shared" si="71"/>
        <v>#VALUE!</v>
      </c>
      <c r="HR11" s="797" t="e">
        <f t="shared" si="71"/>
        <v>#VALUE!</v>
      </c>
      <c r="HS11" s="797" t="e">
        <f t="shared" si="71"/>
        <v>#VALUE!</v>
      </c>
      <c r="HT11" s="797" t="e">
        <f t="shared" si="71"/>
        <v>#VALUE!</v>
      </c>
      <c r="HU11" s="797" t="e">
        <f t="shared" si="71"/>
        <v>#VALUE!</v>
      </c>
      <c r="HV11" s="797" t="e">
        <f t="shared" si="71"/>
        <v>#VALUE!</v>
      </c>
      <c r="HW11" s="797" t="e">
        <f t="shared" si="71"/>
        <v>#VALUE!</v>
      </c>
      <c r="HX11" s="797" t="e">
        <f t="shared" si="71"/>
        <v>#VALUE!</v>
      </c>
      <c r="HY11" s="797" t="e">
        <f t="shared" si="71"/>
        <v>#VALUE!</v>
      </c>
      <c r="HZ11" s="797" t="e">
        <f t="shared" si="71"/>
        <v>#VALUE!</v>
      </c>
      <c r="IA11" s="797" t="e">
        <f t="shared" si="71"/>
        <v>#VALUE!</v>
      </c>
      <c r="IB11" s="797" t="e">
        <f t="shared" si="71"/>
        <v>#VALUE!</v>
      </c>
      <c r="IC11" s="797" t="e">
        <f t="shared" si="71"/>
        <v>#VALUE!</v>
      </c>
      <c r="ID11" s="797" t="e">
        <f t="shared" si="71"/>
        <v>#VALUE!</v>
      </c>
      <c r="IE11" s="797" t="e">
        <f t="shared" si="71"/>
        <v>#VALUE!</v>
      </c>
      <c r="IF11" s="797" t="e">
        <f t="shared" si="71"/>
        <v>#VALUE!</v>
      </c>
      <c r="IG11" s="797" t="e">
        <f t="shared" si="71"/>
        <v>#VALUE!</v>
      </c>
      <c r="IH11" s="797" t="e">
        <f t="shared" si="71"/>
        <v>#VALUE!</v>
      </c>
      <c r="II11" s="797" t="e">
        <f t="shared" si="71"/>
        <v>#VALUE!</v>
      </c>
      <c r="IJ11" s="797" t="e">
        <f t="shared" ref="IJ11:KU11" si="72">II11+1</f>
        <v>#VALUE!</v>
      </c>
      <c r="IK11" s="797" t="e">
        <f t="shared" si="72"/>
        <v>#VALUE!</v>
      </c>
      <c r="IL11" s="797" t="e">
        <f t="shared" si="72"/>
        <v>#VALUE!</v>
      </c>
      <c r="IM11" s="797" t="e">
        <f t="shared" si="72"/>
        <v>#VALUE!</v>
      </c>
      <c r="IN11" s="797" t="e">
        <f t="shared" si="72"/>
        <v>#VALUE!</v>
      </c>
      <c r="IO11" s="797" t="e">
        <f t="shared" si="72"/>
        <v>#VALUE!</v>
      </c>
      <c r="IP11" s="797" t="e">
        <f t="shared" si="72"/>
        <v>#VALUE!</v>
      </c>
      <c r="IQ11" s="797" t="e">
        <f t="shared" si="72"/>
        <v>#VALUE!</v>
      </c>
      <c r="IR11" s="797" t="e">
        <f t="shared" si="72"/>
        <v>#VALUE!</v>
      </c>
      <c r="IS11" s="797" t="e">
        <f t="shared" si="72"/>
        <v>#VALUE!</v>
      </c>
      <c r="IT11" s="797" t="e">
        <f t="shared" si="72"/>
        <v>#VALUE!</v>
      </c>
      <c r="IU11" s="797" t="e">
        <f t="shared" si="72"/>
        <v>#VALUE!</v>
      </c>
      <c r="IV11" s="797" t="e">
        <f t="shared" si="72"/>
        <v>#VALUE!</v>
      </c>
      <c r="IW11" s="797" t="e">
        <f t="shared" si="72"/>
        <v>#VALUE!</v>
      </c>
      <c r="IX11" s="797" t="e">
        <f t="shared" si="72"/>
        <v>#VALUE!</v>
      </c>
      <c r="IY11" s="797" t="e">
        <f t="shared" si="72"/>
        <v>#VALUE!</v>
      </c>
      <c r="IZ11" s="797" t="e">
        <f t="shared" si="72"/>
        <v>#VALUE!</v>
      </c>
      <c r="JA11" s="797" t="e">
        <f t="shared" si="72"/>
        <v>#VALUE!</v>
      </c>
      <c r="JB11" s="797" t="e">
        <f t="shared" si="72"/>
        <v>#VALUE!</v>
      </c>
      <c r="JC11" s="797" t="e">
        <f t="shared" si="72"/>
        <v>#VALUE!</v>
      </c>
      <c r="JD11" s="797" t="e">
        <f t="shared" si="72"/>
        <v>#VALUE!</v>
      </c>
      <c r="JE11" s="797" t="e">
        <f t="shared" si="72"/>
        <v>#VALUE!</v>
      </c>
      <c r="JF11" s="797" t="e">
        <f t="shared" si="72"/>
        <v>#VALUE!</v>
      </c>
      <c r="JG11" s="797" t="e">
        <f t="shared" si="72"/>
        <v>#VALUE!</v>
      </c>
      <c r="JH11" s="797" t="e">
        <f t="shared" si="72"/>
        <v>#VALUE!</v>
      </c>
      <c r="JI11" s="797" t="e">
        <f t="shared" si="72"/>
        <v>#VALUE!</v>
      </c>
      <c r="JJ11" s="797" t="e">
        <f t="shared" si="72"/>
        <v>#VALUE!</v>
      </c>
      <c r="JK11" s="797" t="e">
        <f t="shared" si="72"/>
        <v>#VALUE!</v>
      </c>
      <c r="JL11" s="797" t="e">
        <f t="shared" si="72"/>
        <v>#VALUE!</v>
      </c>
      <c r="JM11" s="797" t="e">
        <f t="shared" si="72"/>
        <v>#VALUE!</v>
      </c>
      <c r="JN11" s="797" t="e">
        <f t="shared" si="72"/>
        <v>#VALUE!</v>
      </c>
      <c r="JO11" s="797" t="e">
        <f t="shared" si="72"/>
        <v>#VALUE!</v>
      </c>
      <c r="JP11" s="797" t="e">
        <f t="shared" si="72"/>
        <v>#VALUE!</v>
      </c>
      <c r="JQ11" s="797" t="e">
        <f t="shared" si="72"/>
        <v>#VALUE!</v>
      </c>
      <c r="JR11" s="797" t="e">
        <f t="shared" si="72"/>
        <v>#VALUE!</v>
      </c>
      <c r="JS11" s="797" t="e">
        <f t="shared" si="72"/>
        <v>#VALUE!</v>
      </c>
      <c r="JT11" s="797" t="e">
        <f t="shared" si="72"/>
        <v>#VALUE!</v>
      </c>
      <c r="JU11" s="797" t="e">
        <f t="shared" si="72"/>
        <v>#VALUE!</v>
      </c>
      <c r="JV11" s="797" t="e">
        <f t="shared" si="72"/>
        <v>#VALUE!</v>
      </c>
      <c r="JW11" s="797" t="e">
        <f t="shared" si="72"/>
        <v>#VALUE!</v>
      </c>
      <c r="JX11" s="797" t="e">
        <f t="shared" si="72"/>
        <v>#VALUE!</v>
      </c>
      <c r="JY11" s="797" t="e">
        <f t="shared" si="72"/>
        <v>#VALUE!</v>
      </c>
      <c r="JZ11" s="797" t="e">
        <f t="shared" si="72"/>
        <v>#VALUE!</v>
      </c>
      <c r="KA11" s="797" t="e">
        <f t="shared" si="72"/>
        <v>#VALUE!</v>
      </c>
      <c r="KB11" s="797" t="e">
        <f t="shared" si="72"/>
        <v>#VALUE!</v>
      </c>
      <c r="KC11" s="797" t="e">
        <f t="shared" si="72"/>
        <v>#VALUE!</v>
      </c>
      <c r="KD11" s="797" t="e">
        <f t="shared" si="72"/>
        <v>#VALUE!</v>
      </c>
      <c r="KE11" s="797" t="e">
        <f t="shared" si="72"/>
        <v>#VALUE!</v>
      </c>
      <c r="KF11" s="797" t="e">
        <f t="shared" si="72"/>
        <v>#VALUE!</v>
      </c>
      <c r="KG11" s="797" t="e">
        <f t="shared" si="72"/>
        <v>#VALUE!</v>
      </c>
      <c r="KH11" s="797" t="e">
        <f t="shared" si="72"/>
        <v>#VALUE!</v>
      </c>
      <c r="KI11" s="797" t="e">
        <f t="shared" si="72"/>
        <v>#VALUE!</v>
      </c>
      <c r="KJ11" s="797" t="e">
        <f t="shared" si="72"/>
        <v>#VALUE!</v>
      </c>
      <c r="KK11" s="797" t="e">
        <f t="shared" si="72"/>
        <v>#VALUE!</v>
      </c>
      <c r="KL11" s="797" t="e">
        <f t="shared" si="72"/>
        <v>#VALUE!</v>
      </c>
      <c r="KM11" s="797" t="e">
        <f t="shared" si="72"/>
        <v>#VALUE!</v>
      </c>
      <c r="KN11" s="797" t="e">
        <f t="shared" si="72"/>
        <v>#VALUE!</v>
      </c>
      <c r="KO11" s="797" t="e">
        <f t="shared" si="72"/>
        <v>#VALUE!</v>
      </c>
      <c r="KP11" s="797" t="e">
        <f t="shared" si="72"/>
        <v>#VALUE!</v>
      </c>
      <c r="KQ11" s="797" t="e">
        <f t="shared" si="72"/>
        <v>#VALUE!</v>
      </c>
      <c r="KR11" s="797" t="e">
        <f t="shared" si="72"/>
        <v>#VALUE!</v>
      </c>
      <c r="KS11" s="797" t="e">
        <f t="shared" si="72"/>
        <v>#VALUE!</v>
      </c>
      <c r="KT11" s="797" t="e">
        <f t="shared" si="72"/>
        <v>#VALUE!</v>
      </c>
      <c r="KU11" s="797" t="e">
        <f t="shared" si="72"/>
        <v>#VALUE!</v>
      </c>
      <c r="KV11" s="797" t="e">
        <f t="shared" ref="KV11:NG11" si="73">KU11+1</f>
        <v>#VALUE!</v>
      </c>
      <c r="KW11" s="797" t="e">
        <f t="shared" si="73"/>
        <v>#VALUE!</v>
      </c>
      <c r="KX11" s="797" t="e">
        <f t="shared" si="73"/>
        <v>#VALUE!</v>
      </c>
      <c r="KY11" s="797" t="e">
        <f t="shared" si="73"/>
        <v>#VALUE!</v>
      </c>
      <c r="KZ11" s="797" t="e">
        <f t="shared" si="73"/>
        <v>#VALUE!</v>
      </c>
      <c r="LA11" s="797" t="e">
        <f t="shared" si="73"/>
        <v>#VALUE!</v>
      </c>
      <c r="LB11" s="797" t="e">
        <f t="shared" si="73"/>
        <v>#VALUE!</v>
      </c>
      <c r="LC11" s="797" t="e">
        <f t="shared" si="73"/>
        <v>#VALUE!</v>
      </c>
      <c r="LD11" s="797" t="e">
        <f t="shared" si="73"/>
        <v>#VALUE!</v>
      </c>
      <c r="LE11" s="797" t="e">
        <f t="shared" si="73"/>
        <v>#VALUE!</v>
      </c>
      <c r="LF11" s="797" t="e">
        <f t="shared" si="73"/>
        <v>#VALUE!</v>
      </c>
      <c r="LG11" s="797" t="e">
        <f t="shared" si="73"/>
        <v>#VALUE!</v>
      </c>
      <c r="LH11" s="797" t="e">
        <f t="shared" si="73"/>
        <v>#VALUE!</v>
      </c>
      <c r="LI11" s="797" t="e">
        <f t="shared" si="73"/>
        <v>#VALUE!</v>
      </c>
      <c r="LJ11" s="797" t="e">
        <f t="shared" si="73"/>
        <v>#VALUE!</v>
      </c>
      <c r="LK11" s="797" t="e">
        <f t="shared" si="73"/>
        <v>#VALUE!</v>
      </c>
      <c r="LL11" s="797" t="e">
        <f t="shared" si="73"/>
        <v>#VALUE!</v>
      </c>
      <c r="LM11" s="797" t="e">
        <f t="shared" si="73"/>
        <v>#VALUE!</v>
      </c>
      <c r="LN11" s="797" t="e">
        <f t="shared" si="73"/>
        <v>#VALUE!</v>
      </c>
      <c r="LO11" s="797" t="e">
        <f t="shared" si="73"/>
        <v>#VALUE!</v>
      </c>
      <c r="LP11" s="797" t="e">
        <f t="shared" si="73"/>
        <v>#VALUE!</v>
      </c>
      <c r="LQ11" s="797" t="e">
        <f t="shared" si="73"/>
        <v>#VALUE!</v>
      </c>
      <c r="LR11" s="797" t="e">
        <f t="shared" si="73"/>
        <v>#VALUE!</v>
      </c>
      <c r="LS11" s="797" t="e">
        <f t="shared" si="73"/>
        <v>#VALUE!</v>
      </c>
      <c r="LT11" s="797" t="e">
        <f t="shared" si="73"/>
        <v>#VALUE!</v>
      </c>
      <c r="LU11" s="797" t="e">
        <f t="shared" si="73"/>
        <v>#VALUE!</v>
      </c>
      <c r="LV11" s="797" t="e">
        <f t="shared" si="73"/>
        <v>#VALUE!</v>
      </c>
      <c r="LW11" s="797" t="e">
        <f t="shared" si="73"/>
        <v>#VALUE!</v>
      </c>
      <c r="LX11" s="797" t="e">
        <f t="shared" si="73"/>
        <v>#VALUE!</v>
      </c>
      <c r="LY11" s="797" t="e">
        <f t="shared" si="73"/>
        <v>#VALUE!</v>
      </c>
      <c r="LZ11" s="797" t="e">
        <f t="shared" si="73"/>
        <v>#VALUE!</v>
      </c>
      <c r="MA11" s="797" t="e">
        <f t="shared" si="73"/>
        <v>#VALUE!</v>
      </c>
      <c r="MB11" s="797" t="e">
        <f t="shared" si="73"/>
        <v>#VALUE!</v>
      </c>
      <c r="MC11" s="797" t="e">
        <f t="shared" si="73"/>
        <v>#VALUE!</v>
      </c>
      <c r="MD11" s="797" t="e">
        <f t="shared" si="73"/>
        <v>#VALUE!</v>
      </c>
      <c r="ME11" s="797" t="e">
        <f t="shared" si="73"/>
        <v>#VALUE!</v>
      </c>
      <c r="MF11" s="797" t="e">
        <f t="shared" si="73"/>
        <v>#VALUE!</v>
      </c>
      <c r="MG11" s="797" t="e">
        <f t="shared" si="73"/>
        <v>#VALUE!</v>
      </c>
      <c r="MH11" s="797" t="e">
        <f t="shared" si="73"/>
        <v>#VALUE!</v>
      </c>
      <c r="MI11" s="797" t="e">
        <f t="shared" si="73"/>
        <v>#VALUE!</v>
      </c>
      <c r="MJ11" s="797" t="e">
        <f t="shared" si="73"/>
        <v>#VALUE!</v>
      </c>
      <c r="MK11" s="797" t="e">
        <f t="shared" si="73"/>
        <v>#VALUE!</v>
      </c>
      <c r="ML11" s="797" t="e">
        <f t="shared" si="73"/>
        <v>#VALUE!</v>
      </c>
      <c r="MM11" s="797" t="e">
        <f t="shared" si="73"/>
        <v>#VALUE!</v>
      </c>
      <c r="MN11" s="797" t="e">
        <f t="shared" si="73"/>
        <v>#VALUE!</v>
      </c>
      <c r="MO11" s="797" t="e">
        <f t="shared" si="73"/>
        <v>#VALUE!</v>
      </c>
      <c r="MP11" s="797" t="e">
        <f t="shared" si="73"/>
        <v>#VALUE!</v>
      </c>
      <c r="MQ11" s="797" t="e">
        <f t="shared" si="73"/>
        <v>#VALUE!</v>
      </c>
      <c r="MR11" s="797" t="e">
        <f t="shared" si="73"/>
        <v>#VALUE!</v>
      </c>
      <c r="MS11" s="797" t="e">
        <f t="shared" si="73"/>
        <v>#VALUE!</v>
      </c>
      <c r="MT11" s="797" t="e">
        <f t="shared" si="73"/>
        <v>#VALUE!</v>
      </c>
      <c r="MU11" s="797" t="e">
        <f t="shared" si="73"/>
        <v>#VALUE!</v>
      </c>
      <c r="MV11" s="797" t="e">
        <f t="shared" si="73"/>
        <v>#VALUE!</v>
      </c>
      <c r="MW11" s="797" t="e">
        <f t="shared" si="73"/>
        <v>#VALUE!</v>
      </c>
      <c r="MX11" s="797" t="e">
        <f t="shared" si="73"/>
        <v>#VALUE!</v>
      </c>
      <c r="MY11" s="797" t="e">
        <f t="shared" si="73"/>
        <v>#VALUE!</v>
      </c>
      <c r="MZ11" s="797" t="e">
        <f t="shared" si="73"/>
        <v>#VALUE!</v>
      </c>
      <c r="NA11" s="797" t="e">
        <f t="shared" si="73"/>
        <v>#VALUE!</v>
      </c>
      <c r="NB11" s="797" t="e">
        <f t="shared" si="73"/>
        <v>#VALUE!</v>
      </c>
      <c r="NC11" s="797" t="e">
        <f t="shared" si="73"/>
        <v>#VALUE!</v>
      </c>
      <c r="ND11" s="797" t="e">
        <f t="shared" si="73"/>
        <v>#VALUE!</v>
      </c>
      <c r="NE11" s="797" t="e">
        <f t="shared" si="73"/>
        <v>#VALUE!</v>
      </c>
      <c r="NF11" s="797" t="e">
        <f t="shared" si="73"/>
        <v>#VALUE!</v>
      </c>
      <c r="NG11" s="797" t="e">
        <f t="shared" si="73"/>
        <v>#VALUE!</v>
      </c>
      <c r="NH11" s="797" t="e">
        <f t="shared" ref="NH11:PS11" si="74">NG11+1</f>
        <v>#VALUE!</v>
      </c>
      <c r="NI11" s="797" t="e">
        <f t="shared" si="74"/>
        <v>#VALUE!</v>
      </c>
      <c r="NJ11" s="797" t="e">
        <f t="shared" si="74"/>
        <v>#VALUE!</v>
      </c>
      <c r="NK11" s="797" t="e">
        <f t="shared" si="74"/>
        <v>#VALUE!</v>
      </c>
      <c r="NL11" s="797" t="e">
        <f t="shared" si="74"/>
        <v>#VALUE!</v>
      </c>
      <c r="NM11" s="797" t="e">
        <f t="shared" si="74"/>
        <v>#VALUE!</v>
      </c>
      <c r="NN11" s="797" t="e">
        <f t="shared" si="74"/>
        <v>#VALUE!</v>
      </c>
      <c r="NO11" s="797" t="e">
        <f t="shared" si="74"/>
        <v>#VALUE!</v>
      </c>
      <c r="NP11" s="797" t="e">
        <f t="shared" si="74"/>
        <v>#VALUE!</v>
      </c>
      <c r="NQ11" s="797" t="e">
        <f t="shared" si="74"/>
        <v>#VALUE!</v>
      </c>
      <c r="NR11" s="797" t="e">
        <f t="shared" si="74"/>
        <v>#VALUE!</v>
      </c>
      <c r="NS11" s="797" t="e">
        <f t="shared" si="74"/>
        <v>#VALUE!</v>
      </c>
      <c r="NT11" s="797" t="e">
        <f t="shared" si="74"/>
        <v>#VALUE!</v>
      </c>
      <c r="NU11" s="797" t="e">
        <f t="shared" si="74"/>
        <v>#VALUE!</v>
      </c>
      <c r="NV11" s="797" t="e">
        <f t="shared" si="74"/>
        <v>#VALUE!</v>
      </c>
      <c r="NW11" s="797" t="e">
        <f t="shared" si="74"/>
        <v>#VALUE!</v>
      </c>
      <c r="NX11" s="797" t="e">
        <f t="shared" si="74"/>
        <v>#VALUE!</v>
      </c>
      <c r="NY11" s="797" t="e">
        <f t="shared" si="74"/>
        <v>#VALUE!</v>
      </c>
      <c r="NZ11" s="797" t="e">
        <f t="shared" si="74"/>
        <v>#VALUE!</v>
      </c>
      <c r="OA11" s="797" t="e">
        <f t="shared" si="74"/>
        <v>#VALUE!</v>
      </c>
      <c r="OB11" s="797" t="e">
        <f t="shared" si="74"/>
        <v>#VALUE!</v>
      </c>
      <c r="OC11" s="797" t="e">
        <f t="shared" si="74"/>
        <v>#VALUE!</v>
      </c>
      <c r="OD11" s="797" t="e">
        <f t="shared" si="74"/>
        <v>#VALUE!</v>
      </c>
      <c r="OE11" s="797" t="e">
        <f t="shared" si="74"/>
        <v>#VALUE!</v>
      </c>
      <c r="OF11" s="797" t="e">
        <f t="shared" si="74"/>
        <v>#VALUE!</v>
      </c>
      <c r="OG11" s="797" t="e">
        <f t="shared" si="74"/>
        <v>#VALUE!</v>
      </c>
      <c r="OH11" s="797" t="e">
        <f t="shared" si="74"/>
        <v>#VALUE!</v>
      </c>
      <c r="OI11" s="797" t="e">
        <f t="shared" si="74"/>
        <v>#VALUE!</v>
      </c>
      <c r="OJ11" s="797" t="e">
        <f t="shared" si="74"/>
        <v>#VALUE!</v>
      </c>
      <c r="OK11" s="797" t="e">
        <f t="shared" si="74"/>
        <v>#VALUE!</v>
      </c>
      <c r="OL11" s="797" t="e">
        <f t="shared" si="74"/>
        <v>#VALUE!</v>
      </c>
      <c r="OM11" s="797" t="e">
        <f t="shared" si="74"/>
        <v>#VALUE!</v>
      </c>
      <c r="ON11" s="797" t="e">
        <f t="shared" si="74"/>
        <v>#VALUE!</v>
      </c>
      <c r="OO11" s="797" t="e">
        <f t="shared" si="74"/>
        <v>#VALUE!</v>
      </c>
      <c r="OP11" s="797" t="e">
        <f t="shared" si="74"/>
        <v>#VALUE!</v>
      </c>
      <c r="OQ11" s="797" t="e">
        <f t="shared" si="74"/>
        <v>#VALUE!</v>
      </c>
      <c r="OR11" s="797" t="e">
        <f t="shared" si="74"/>
        <v>#VALUE!</v>
      </c>
      <c r="OS11" s="797" t="e">
        <f t="shared" si="74"/>
        <v>#VALUE!</v>
      </c>
      <c r="OT11" s="797" t="e">
        <f t="shared" si="74"/>
        <v>#VALUE!</v>
      </c>
      <c r="OU11" s="797" t="e">
        <f t="shared" si="74"/>
        <v>#VALUE!</v>
      </c>
      <c r="OV11" s="797" t="e">
        <f t="shared" si="74"/>
        <v>#VALUE!</v>
      </c>
      <c r="OW11" s="797" t="e">
        <f t="shared" si="74"/>
        <v>#VALUE!</v>
      </c>
      <c r="OX11" s="797" t="e">
        <f t="shared" si="74"/>
        <v>#VALUE!</v>
      </c>
      <c r="OY11" s="797" t="e">
        <f t="shared" si="74"/>
        <v>#VALUE!</v>
      </c>
      <c r="OZ11" s="797" t="e">
        <f t="shared" si="74"/>
        <v>#VALUE!</v>
      </c>
      <c r="PA11" s="797" t="e">
        <f t="shared" si="74"/>
        <v>#VALUE!</v>
      </c>
      <c r="PB11" s="797" t="e">
        <f t="shared" si="74"/>
        <v>#VALUE!</v>
      </c>
      <c r="PC11" s="797" t="e">
        <f t="shared" si="74"/>
        <v>#VALUE!</v>
      </c>
      <c r="PD11" s="797" t="e">
        <f t="shared" si="74"/>
        <v>#VALUE!</v>
      </c>
      <c r="PE11" s="797" t="e">
        <f t="shared" si="74"/>
        <v>#VALUE!</v>
      </c>
      <c r="PF11" s="797" t="e">
        <f t="shared" si="74"/>
        <v>#VALUE!</v>
      </c>
      <c r="PG11" s="797" t="e">
        <f t="shared" si="74"/>
        <v>#VALUE!</v>
      </c>
      <c r="PH11" s="797" t="e">
        <f t="shared" si="74"/>
        <v>#VALUE!</v>
      </c>
      <c r="PI11" s="797" t="e">
        <f t="shared" si="74"/>
        <v>#VALUE!</v>
      </c>
      <c r="PJ11" s="797" t="e">
        <f t="shared" si="74"/>
        <v>#VALUE!</v>
      </c>
      <c r="PK11" s="797" t="e">
        <f t="shared" si="74"/>
        <v>#VALUE!</v>
      </c>
      <c r="PL11" s="797" t="e">
        <f t="shared" si="74"/>
        <v>#VALUE!</v>
      </c>
      <c r="PM11" s="797" t="e">
        <f t="shared" si="74"/>
        <v>#VALUE!</v>
      </c>
      <c r="PN11" s="797" t="e">
        <f t="shared" si="74"/>
        <v>#VALUE!</v>
      </c>
      <c r="PO11" s="797" t="e">
        <f t="shared" si="74"/>
        <v>#VALUE!</v>
      </c>
      <c r="PP11" s="797" t="e">
        <f t="shared" si="74"/>
        <v>#VALUE!</v>
      </c>
      <c r="PQ11" s="797" t="e">
        <f t="shared" si="74"/>
        <v>#VALUE!</v>
      </c>
      <c r="PR11" s="797" t="e">
        <f t="shared" si="74"/>
        <v>#VALUE!</v>
      </c>
      <c r="PS11" s="797" t="e">
        <f t="shared" si="74"/>
        <v>#VALUE!</v>
      </c>
      <c r="PT11" s="797" t="e">
        <f t="shared" ref="PT11:QZ11" si="75">PS11+1</f>
        <v>#VALUE!</v>
      </c>
      <c r="PU11" s="797" t="e">
        <f t="shared" si="75"/>
        <v>#VALUE!</v>
      </c>
      <c r="PV11" s="797" t="e">
        <f t="shared" si="75"/>
        <v>#VALUE!</v>
      </c>
      <c r="PW11" s="797" t="e">
        <f t="shared" si="75"/>
        <v>#VALUE!</v>
      </c>
      <c r="PX11" s="797" t="e">
        <f t="shared" si="75"/>
        <v>#VALUE!</v>
      </c>
      <c r="PY11" s="797" t="e">
        <f t="shared" si="75"/>
        <v>#VALUE!</v>
      </c>
      <c r="PZ11" s="797" t="e">
        <f t="shared" si="75"/>
        <v>#VALUE!</v>
      </c>
      <c r="QA11" s="797" t="e">
        <f t="shared" si="75"/>
        <v>#VALUE!</v>
      </c>
      <c r="QB11" s="797" t="e">
        <f t="shared" si="75"/>
        <v>#VALUE!</v>
      </c>
      <c r="QC11" s="797" t="e">
        <f t="shared" si="75"/>
        <v>#VALUE!</v>
      </c>
      <c r="QD11" s="797" t="e">
        <f t="shared" si="75"/>
        <v>#VALUE!</v>
      </c>
      <c r="QE11" s="797" t="e">
        <f t="shared" si="75"/>
        <v>#VALUE!</v>
      </c>
      <c r="QF11" s="797" t="e">
        <f t="shared" si="75"/>
        <v>#VALUE!</v>
      </c>
      <c r="QG11" s="797" t="e">
        <f t="shared" si="75"/>
        <v>#VALUE!</v>
      </c>
      <c r="QH11" s="797" t="e">
        <f t="shared" si="75"/>
        <v>#VALUE!</v>
      </c>
      <c r="QI11" s="797" t="e">
        <f t="shared" si="75"/>
        <v>#VALUE!</v>
      </c>
      <c r="QJ11" s="797" t="e">
        <f t="shared" si="75"/>
        <v>#VALUE!</v>
      </c>
      <c r="QK11" s="797" t="e">
        <f t="shared" si="75"/>
        <v>#VALUE!</v>
      </c>
      <c r="QL11" s="797" t="e">
        <f t="shared" si="75"/>
        <v>#VALUE!</v>
      </c>
      <c r="QM11" s="797" t="e">
        <f t="shared" si="75"/>
        <v>#VALUE!</v>
      </c>
      <c r="QN11" s="797" t="e">
        <f t="shared" si="75"/>
        <v>#VALUE!</v>
      </c>
      <c r="QO11" s="797" t="e">
        <f t="shared" si="75"/>
        <v>#VALUE!</v>
      </c>
      <c r="QP11" s="797" t="e">
        <f t="shared" si="75"/>
        <v>#VALUE!</v>
      </c>
      <c r="QQ11" s="797" t="e">
        <f t="shared" si="75"/>
        <v>#VALUE!</v>
      </c>
      <c r="QR11" s="797" t="e">
        <f t="shared" si="75"/>
        <v>#VALUE!</v>
      </c>
      <c r="QS11" s="797" t="e">
        <f t="shared" si="75"/>
        <v>#VALUE!</v>
      </c>
      <c r="QT11" s="797" t="e">
        <f t="shared" si="75"/>
        <v>#VALUE!</v>
      </c>
      <c r="QU11" s="797" t="e">
        <f t="shared" si="75"/>
        <v>#VALUE!</v>
      </c>
      <c r="QV11" s="797" t="e">
        <f t="shared" si="75"/>
        <v>#VALUE!</v>
      </c>
      <c r="QW11" s="797" t="e">
        <f t="shared" si="75"/>
        <v>#VALUE!</v>
      </c>
      <c r="QX11" s="797" t="e">
        <f t="shared" si="75"/>
        <v>#VALUE!</v>
      </c>
      <c r="QY11" s="797" t="e">
        <f t="shared" si="75"/>
        <v>#VALUE!</v>
      </c>
      <c r="QZ11" s="797" t="e">
        <f t="shared" si="75"/>
        <v>#VALUE!</v>
      </c>
    </row>
    <row r="12" spans="1:471" ht="20.25" customHeight="1">
      <c r="B12" t="s">
        <v>144</v>
      </c>
      <c r="D12" t="s">
        <v>145</v>
      </c>
      <c r="E12" t="s">
        <v>146</v>
      </c>
      <c r="J12" s="24"/>
      <c r="K12" s="24"/>
      <c r="L12" s="24"/>
      <c r="M12" s="24"/>
      <c r="N12" s="24"/>
      <c r="O12" s="24"/>
      <c r="P12" s="24"/>
      <c r="Q12" s="24"/>
      <c r="R12" s="24"/>
      <c r="S12" s="24"/>
      <c r="T12" s="24"/>
      <c r="U12" s="24"/>
      <c r="V12" s="24"/>
      <c r="W12" s="24"/>
      <c r="X12" s="24"/>
      <c r="Y12" s="24"/>
      <c r="Z12" s="24"/>
      <c r="AA12" s="24"/>
      <c r="AE12" s="202"/>
      <c r="AF12" s="201">
        <f>INT(AF9/AF10)</f>
        <v>1399</v>
      </c>
      <c r="AK12" s="759" t="s">
        <v>378</v>
      </c>
      <c r="AL12" s="701" t="e">
        <f>[1]!taqsha(AL4,AL5,[1]!roz(AL6,AL10,0,0),AL7)</f>
        <v>#VALUE!</v>
      </c>
      <c r="AM12" s="304" t="e">
        <f>[1]!taqsha(AM4,AM5,[1]!roz(AM6,AM10,0,0),AM7)</f>
        <v>#VALUE!</v>
      </c>
      <c r="AN12" s="304" t="e">
        <f>[1]!taqsha(AN4,AN5,[1]!roz(AN6,AN10,0,0),AN7)</f>
        <v>#VALUE!</v>
      </c>
      <c r="AO12" s="304" t="e">
        <f>[1]!taqsha(AO4,AO5,[1]!roz(AO6,AO10,0,0),AO7)</f>
        <v>#VALUE!</v>
      </c>
      <c r="AP12" s="304" t="e">
        <f>[1]!taqsha(AP4,AP5,[1]!roz(AP6,AP10,0,0),AP7)</f>
        <v>#VALUE!</v>
      </c>
      <c r="AQ12" s="304" t="e">
        <f>[1]!taqsha(AQ4,AQ5,[1]!roz(AQ6,AQ10,0,0),AQ7)</f>
        <v>#VALUE!</v>
      </c>
      <c r="AR12" s="304" t="e">
        <f>[1]!taqsha(AR4,AR5,[1]!roz(AR6,AR10,0,0),AR7)</f>
        <v>#VALUE!</v>
      </c>
      <c r="AS12" s="304" t="e">
        <f>[1]!taqsha(AS4,AS5,[1]!roz(AS6,AS10,0,0),AS7)</f>
        <v>#VALUE!</v>
      </c>
      <c r="AT12" s="304" t="e">
        <f>[1]!taqsha(AT4,AT5,[1]!roz(AT6,AT10,0,0),AT7)</f>
        <v>#VALUE!</v>
      </c>
      <c r="AU12" s="304" t="e">
        <f>[1]!taqsha(AU4,AU5,[1]!roz(AU6,AU10,0,0),AU7)</f>
        <v>#VALUE!</v>
      </c>
      <c r="AV12" s="304" t="e">
        <f>[1]!taqsha(AV4,AV5,[1]!roz(AV6,AV10,0,0),AV7)</f>
        <v>#VALUE!</v>
      </c>
      <c r="AW12" s="304" t="e">
        <f>[1]!taqsha(AW4,AW5,[1]!roz(AW6,AW10,0,0),AW7)</f>
        <v>#VALUE!</v>
      </c>
      <c r="AX12" s="314"/>
      <c r="AZ12" s="732" t="s">
        <v>3543</v>
      </c>
      <c r="BA12" s="731" t="e">
        <f>[1]!rozhaq(BA3,BA4,29,BA11,BA7,BA8)</f>
        <v>#VALUE!</v>
      </c>
      <c r="BB12" s="113" t="e">
        <f>[1]!rozhaq(BB3,BB4,BB5,BB11,BB7,BB8)</f>
        <v>#VALUE!</v>
      </c>
      <c r="BC12" s="113" t="e">
        <f>[1]!rozhaq(BC3,BC4,BC5,BC11,BC7,BC8)</f>
        <v>#VALUE!</v>
      </c>
      <c r="BD12" s="113" t="e">
        <f>[1]!rozhaq(BD3,BD4,BD5,BD11,BD7,BD8)</f>
        <v>#VALUE!</v>
      </c>
      <c r="BE12" s="113" t="e">
        <f>[1]!rozhaq(BE3,BE4,BE5,BE11,BE7,BE8)</f>
        <v>#VALUE!</v>
      </c>
      <c r="BF12" s="113" t="e">
        <f>[1]!rozhaq(BF3,BF4,BF5,BF11,BF7,BF8)</f>
        <v>#VALUE!</v>
      </c>
      <c r="BG12" s="113" t="e">
        <f>[1]!rozhaq(BG3,BG4,BG5,BG11,BG7,BG8)</f>
        <v>#VALUE!</v>
      </c>
      <c r="BH12" s="113" t="e">
        <f>[1]!rozhaq(BH3,BH4,BH5,BH11,BH7,BH8)</f>
        <v>#VALUE!</v>
      </c>
      <c r="BI12" s="113" t="e">
        <f>[1]!rozhaq(BI3,BI4,BI5,BI11,BI7,BI8)</f>
        <v>#VALUE!</v>
      </c>
      <c r="BJ12" s="113" t="e">
        <f>[1]!rozhaq(BJ3,BJ4,BJ5,BJ11,BJ7,BJ8)</f>
        <v>#VALUE!</v>
      </c>
      <c r="BK12" s="113" t="e">
        <f>[1]!rozhaq(BK3,BK4,BK5,BK11,BK7,BK8)</f>
        <v>#VALUE!</v>
      </c>
      <c r="BL12" s="113" t="e">
        <f>[1]!rozhaq(BL3,BL4,BL5,BL11,BL7,BL8)</f>
        <v>#VALUE!</v>
      </c>
      <c r="BM12" s="113" t="e">
        <f>[1]!rozhaq(BM3,BM4,BM5,BM11,BM7,BM8)</f>
        <v>#VALUE!</v>
      </c>
      <c r="BN12" s="317"/>
      <c r="BP12" s="732" t="e">
        <f>[1]!taqqa(BP4,BP5,[1]!roz(BP7,BP11,0,0),BP8)</f>
        <v>#VALUE!</v>
      </c>
      <c r="BQ12" s="732" t="e">
        <f>[1]!taqqa(BQ4,BQ5,[1]!roz(BQ7,BQ11,0,0),BQ8)</f>
        <v>#VALUE!</v>
      </c>
      <c r="BR12" s="753" t="e">
        <f>[1]!taqqa(BR4,BR5,[1]!roz(BR7,BR11,0,0),BR8)</f>
        <v>#VALUE!</v>
      </c>
      <c r="BS12" s="753" t="e">
        <f>[1]!taqqa(BS4,BS5,[1]!roz(BS7,BS11,0,0),BS8)</f>
        <v>#VALUE!</v>
      </c>
      <c r="BT12" s="238" t="s">
        <v>1484</v>
      </c>
      <c r="BU12" s="731" t="e">
        <f>[1]!qsn([1]!ml(BU11),BU10)/30</f>
        <v>#VALUE!</v>
      </c>
      <c r="BV12" s="749"/>
      <c r="BW12" s="317">
        <f>INT(BW4/2)*30+(BW4-1-INT(BW4/2))*29</f>
        <v>0</v>
      </c>
      <c r="BX12" s="749"/>
      <c r="BY12" s="317">
        <f>INT(BY4/2)*30+(BY4-1-INT(BY4/2))*29</f>
        <v>0</v>
      </c>
      <c r="CA12" s="787"/>
      <c r="CB12" s="242" t="e">
        <f>CB11+CB6+(CB7/60)</f>
        <v>#VALUE!</v>
      </c>
      <c r="CC12" s="242"/>
      <c r="CD12" s="242"/>
      <c r="CE12" s="242"/>
      <c r="CF12" s="788"/>
      <c r="CG12" s="490"/>
      <c r="CH12" s="309">
        <f>12-CH11</f>
        <v>11.989424298228064</v>
      </c>
      <c r="CI12" s="775">
        <f>INT(ABS(CH12))</f>
        <v>11</v>
      </c>
      <c r="CJ12" s="775">
        <f>INT((ABS(CH12)-CI12)*60)</f>
        <v>59</v>
      </c>
      <c r="CK12" s="775">
        <f>INT((((ABS(CH12)-CI12)*60)-CJ12)*60)</f>
        <v>21</v>
      </c>
      <c r="CL12" s="776">
        <f>INT((((((ABS(CH12)-CI12)*60)-CJ12)*60)-CK12)*60)</f>
        <v>55</v>
      </c>
      <c r="CO12" s="759"/>
      <c r="CP12" s="759"/>
      <c r="CQ12" s="759"/>
      <c r="CR12" s="759"/>
      <c r="CS12" s="759"/>
      <c r="CT12" s="759"/>
      <c r="CU12" s="759"/>
      <c r="CV12" s="787"/>
      <c r="CW12" s="242">
        <f>CW11+CW6+(CW7/60)</f>
        <v>6.225690982713652</v>
      </c>
      <c r="CX12" s="242"/>
      <c r="CY12" s="242"/>
      <c r="CZ12" s="242"/>
      <c r="DA12" s="788"/>
      <c r="DH12">
        <v>2</v>
      </c>
      <c r="DI12" t="s">
        <v>3803</v>
      </c>
      <c r="DJ12" s="960" t="e">
        <f>RB1+1</f>
        <v>#VALUE!</v>
      </c>
      <c r="DK12" s="921" t="e">
        <f>DJ12+1</f>
        <v>#VALUE!</v>
      </c>
      <c r="DL12" s="921" t="e">
        <f t="shared" ref="DL12:FW12" si="76">DK12+1</f>
        <v>#VALUE!</v>
      </c>
      <c r="DM12" s="921" t="e">
        <f t="shared" si="76"/>
        <v>#VALUE!</v>
      </c>
      <c r="DN12" s="921" t="e">
        <f t="shared" si="76"/>
        <v>#VALUE!</v>
      </c>
      <c r="DO12" s="921" t="e">
        <f t="shared" si="76"/>
        <v>#VALUE!</v>
      </c>
      <c r="DP12" s="921" t="e">
        <f t="shared" si="76"/>
        <v>#VALUE!</v>
      </c>
      <c r="DQ12" s="921" t="e">
        <f t="shared" si="76"/>
        <v>#VALUE!</v>
      </c>
      <c r="DR12" s="921" t="e">
        <f t="shared" si="76"/>
        <v>#VALUE!</v>
      </c>
      <c r="DS12" s="921" t="e">
        <f t="shared" si="76"/>
        <v>#VALUE!</v>
      </c>
      <c r="DT12" s="921" t="e">
        <f t="shared" si="76"/>
        <v>#VALUE!</v>
      </c>
      <c r="DU12" s="921" t="e">
        <f t="shared" si="76"/>
        <v>#VALUE!</v>
      </c>
      <c r="DV12" s="921" t="e">
        <f t="shared" si="76"/>
        <v>#VALUE!</v>
      </c>
      <c r="DW12" s="921" t="e">
        <f t="shared" si="76"/>
        <v>#VALUE!</v>
      </c>
      <c r="DX12" s="921" t="e">
        <f t="shared" si="76"/>
        <v>#VALUE!</v>
      </c>
      <c r="DY12" s="921" t="e">
        <f t="shared" si="76"/>
        <v>#VALUE!</v>
      </c>
      <c r="DZ12" s="921" t="e">
        <f t="shared" si="76"/>
        <v>#VALUE!</v>
      </c>
      <c r="EA12" s="921" t="e">
        <f t="shared" si="76"/>
        <v>#VALUE!</v>
      </c>
      <c r="EB12" s="921" t="e">
        <f t="shared" si="76"/>
        <v>#VALUE!</v>
      </c>
      <c r="EC12" s="921" t="e">
        <f t="shared" si="76"/>
        <v>#VALUE!</v>
      </c>
      <c r="ED12" s="921" t="e">
        <f t="shared" si="76"/>
        <v>#VALUE!</v>
      </c>
      <c r="EE12" s="921" t="e">
        <f t="shared" si="76"/>
        <v>#VALUE!</v>
      </c>
      <c r="EF12" s="921" t="e">
        <f t="shared" si="76"/>
        <v>#VALUE!</v>
      </c>
      <c r="EG12" s="921" t="e">
        <f t="shared" si="76"/>
        <v>#VALUE!</v>
      </c>
      <c r="EH12" s="921" t="e">
        <f t="shared" si="76"/>
        <v>#VALUE!</v>
      </c>
      <c r="EI12" s="921" t="e">
        <f t="shared" si="76"/>
        <v>#VALUE!</v>
      </c>
      <c r="EJ12" s="921" t="e">
        <f t="shared" si="76"/>
        <v>#VALUE!</v>
      </c>
      <c r="EK12" s="921" t="e">
        <f t="shared" si="76"/>
        <v>#VALUE!</v>
      </c>
      <c r="EL12" s="921" t="e">
        <f t="shared" si="76"/>
        <v>#VALUE!</v>
      </c>
      <c r="EM12" s="921" t="e">
        <f t="shared" si="76"/>
        <v>#VALUE!</v>
      </c>
      <c r="EN12" s="921" t="e">
        <f t="shared" si="76"/>
        <v>#VALUE!</v>
      </c>
      <c r="EO12" s="921" t="e">
        <f t="shared" si="76"/>
        <v>#VALUE!</v>
      </c>
      <c r="EP12" s="921" t="e">
        <f t="shared" si="76"/>
        <v>#VALUE!</v>
      </c>
      <c r="EQ12" s="921" t="e">
        <f t="shared" si="76"/>
        <v>#VALUE!</v>
      </c>
      <c r="ER12" s="921" t="e">
        <f t="shared" si="76"/>
        <v>#VALUE!</v>
      </c>
      <c r="ES12" s="921" t="e">
        <f t="shared" si="76"/>
        <v>#VALUE!</v>
      </c>
      <c r="ET12" s="921" t="e">
        <f t="shared" si="76"/>
        <v>#VALUE!</v>
      </c>
      <c r="EU12" s="921" t="e">
        <f t="shared" si="76"/>
        <v>#VALUE!</v>
      </c>
      <c r="EV12" s="921" t="e">
        <f t="shared" si="76"/>
        <v>#VALUE!</v>
      </c>
      <c r="EW12" s="921" t="e">
        <f t="shared" si="76"/>
        <v>#VALUE!</v>
      </c>
      <c r="EX12" s="921" t="e">
        <f t="shared" si="76"/>
        <v>#VALUE!</v>
      </c>
      <c r="EY12" s="921" t="e">
        <f t="shared" si="76"/>
        <v>#VALUE!</v>
      </c>
      <c r="EZ12" s="921" t="e">
        <f t="shared" si="76"/>
        <v>#VALUE!</v>
      </c>
      <c r="FA12" s="921" t="e">
        <f t="shared" si="76"/>
        <v>#VALUE!</v>
      </c>
      <c r="FB12" s="921" t="e">
        <f t="shared" si="76"/>
        <v>#VALUE!</v>
      </c>
      <c r="FC12" s="921" t="e">
        <f t="shared" si="76"/>
        <v>#VALUE!</v>
      </c>
      <c r="FD12" s="921" t="e">
        <f t="shared" si="76"/>
        <v>#VALUE!</v>
      </c>
      <c r="FE12" s="921" t="e">
        <f t="shared" si="76"/>
        <v>#VALUE!</v>
      </c>
      <c r="FF12" s="921" t="e">
        <f t="shared" si="76"/>
        <v>#VALUE!</v>
      </c>
      <c r="FG12" s="921" t="e">
        <f t="shared" si="76"/>
        <v>#VALUE!</v>
      </c>
      <c r="FH12" s="921" t="e">
        <f t="shared" si="76"/>
        <v>#VALUE!</v>
      </c>
      <c r="FI12" s="921" t="e">
        <f t="shared" si="76"/>
        <v>#VALUE!</v>
      </c>
      <c r="FJ12" s="921" t="e">
        <f t="shared" si="76"/>
        <v>#VALUE!</v>
      </c>
      <c r="FK12" s="921" t="e">
        <f t="shared" si="76"/>
        <v>#VALUE!</v>
      </c>
      <c r="FL12" s="921" t="e">
        <f t="shared" si="76"/>
        <v>#VALUE!</v>
      </c>
      <c r="FM12" s="921" t="e">
        <f t="shared" si="76"/>
        <v>#VALUE!</v>
      </c>
      <c r="FN12" s="921" t="e">
        <f t="shared" si="76"/>
        <v>#VALUE!</v>
      </c>
      <c r="FO12" s="921" t="e">
        <f t="shared" si="76"/>
        <v>#VALUE!</v>
      </c>
      <c r="FP12" s="921" t="e">
        <f t="shared" si="76"/>
        <v>#VALUE!</v>
      </c>
      <c r="FQ12" s="921" t="e">
        <f t="shared" si="76"/>
        <v>#VALUE!</v>
      </c>
      <c r="FR12" s="921" t="e">
        <f t="shared" si="76"/>
        <v>#VALUE!</v>
      </c>
      <c r="FS12" s="921" t="e">
        <f t="shared" si="76"/>
        <v>#VALUE!</v>
      </c>
      <c r="FT12" s="921" t="e">
        <f t="shared" si="76"/>
        <v>#VALUE!</v>
      </c>
      <c r="FU12" s="921" t="e">
        <f t="shared" si="76"/>
        <v>#VALUE!</v>
      </c>
      <c r="FV12" s="921" t="e">
        <f t="shared" si="76"/>
        <v>#VALUE!</v>
      </c>
      <c r="FW12" s="921" t="e">
        <f t="shared" si="76"/>
        <v>#VALUE!</v>
      </c>
      <c r="FX12" s="921" t="e">
        <f t="shared" ref="FX12:II12" si="77">FW12+1</f>
        <v>#VALUE!</v>
      </c>
      <c r="FY12" s="921" t="e">
        <f t="shared" si="77"/>
        <v>#VALUE!</v>
      </c>
      <c r="FZ12" s="921" t="e">
        <f t="shared" si="77"/>
        <v>#VALUE!</v>
      </c>
      <c r="GA12" s="921" t="e">
        <f t="shared" si="77"/>
        <v>#VALUE!</v>
      </c>
      <c r="GB12" s="921" t="e">
        <f t="shared" si="77"/>
        <v>#VALUE!</v>
      </c>
      <c r="GC12" s="921" t="e">
        <f t="shared" si="77"/>
        <v>#VALUE!</v>
      </c>
      <c r="GD12" s="921" t="e">
        <f t="shared" si="77"/>
        <v>#VALUE!</v>
      </c>
      <c r="GE12" s="921" t="e">
        <f t="shared" si="77"/>
        <v>#VALUE!</v>
      </c>
      <c r="GF12" s="921" t="e">
        <f t="shared" si="77"/>
        <v>#VALUE!</v>
      </c>
      <c r="GG12" s="921" t="e">
        <f t="shared" si="77"/>
        <v>#VALUE!</v>
      </c>
      <c r="GH12" s="921" t="e">
        <f t="shared" si="77"/>
        <v>#VALUE!</v>
      </c>
      <c r="GI12" s="921" t="e">
        <f t="shared" si="77"/>
        <v>#VALUE!</v>
      </c>
      <c r="GJ12" s="921" t="e">
        <f t="shared" si="77"/>
        <v>#VALUE!</v>
      </c>
      <c r="GK12" s="921" t="e">
        <f t="shared" si="77"/>
        <v>#VALUE!</v>
      </c>
      <c r="GL12" s="921" t="e">
        <f t="shared" si="77"/>
        <v>#VALUE!</v>
      </c>
      <c r="GM12" s="921" t="e">
        <f t="shared" si="77"/>
        <v>#VALUE!</v>
      </c>
      <c r="GN12" s="921" t="e">
        <f t="shared" si="77"/>
        <v>#VALUE!</v>
      </c>
      <c r="GO12" s="921" t="e">
        <f t="shared" si="77"/>
        <v>#VALUE!</v>
      </c>
      <c r="GP12" s="921" t="e">
        <f t="shared" si="77"/>
        <v>#VALUE!</v>
      </c>
      <c r="GQ12" s="921" t="e">
        <f t="shared" si="77"/>
        <v>#VALUE!</v>
      </c>
      <c r="GR12" s="921" t="e">
        <f t="shared" si="77"/>
        <v>#VALUE!</v>
      </c>
      <c r="GS12" s="921" t="e">
        <f t="shared" si="77"/>
        <v>#VALUE!</v>
      </c>
      <c r="GT12" s="921" t="e">
        <f t="shared" si="77"/>
        <v>#VALUE!</v>
      </c>
      <c r="GU12" s="921" t="e">
        <f t="shared" si="77"/>
        <v>#VALUE!</v>
      </c>
      <c r="GV12" s="921" t="e">
        <f t="shared" si="77"/>
        <v>#VALUE!</v>
      </c>
      <c r="GW12" s="921" t="e">
        <f t="shared" si="77"/>
        <v>#VALUE!</v>
      </c>
      <c r="GX12" s="921" t="e">
        <f t="shared" si="77"/>
        <v>#VALUE!</v>
      </c>
      <c r="GY12" s="921" t="e">
        <f t="shared" si="77"/>
        <v>#VALUE!</v>
      </c>
      <c r="GZ12" s="921" t="e">
        <f t="shared" si="77"/>
        <v>#VALUE!</v>
      </c>
      <c r="HA12" s="921" t="e">
        <f t="shared" si="77"/>
        <v>#VALUE!</v>
      </c>
      <c r="HB12" s="921" t="e">
        <f t="shared" si="77"/>
        <v>#VALUE!</v>
      </c>
      <c r="HC12" s="921" t="e">
        <f t="shared" si="77"/>
        <v>#VALUE!</v>
      </c>
      <c r="HD12" s="921" t="e">
        <f t="shared" si="77"/>
        <v>#VALUE!</v>
      </c>
      <c r="HE12" s="921" t="e">
        <f t="shared" si="77"/>
        <v>#VALUE!</v>
      </c>
      <c r="HF12" s="921" t="e">
        <f t="shared" si="77"/>
        <v>#VALUE!</v>
      </c>
      <c r="HG12" s="921" t="e">
        <f t="shared" si="77"/>
        <v>#VALUE!</v>
      </c>
      <c r="HH12" s="921" t="e">
        <f t="shared" si="77"/>
        <v>#VALUE!</v>
      </c>
      <c r="HI12" s="921" t="e">
        <f t="shared" si="77"/>
        <v>#VALUE!</v>
      </c>
      <c r="HJ12" s="921" t="e">
        <f t="shared" si="77"/>
        <v>#VALUE!</v>
      </c>
      <c r="HK12" s="921" t="e">
        <f t="shared" si="77"/>
        <v>#VALUE!</v>
      </c>
      <c r="HL12" s="921" t="e">
        <f t="shared" si="77"/>
        <v>#VALUE!</v>
      </c>
      <c r="HM12" s="921" t="e">
        <f t="shared" si="77"/>
        <v>#VALUE!</v>
      </c>
      <c r="HN12" s="921" t="e">
        <f t="shared" si="77"/>
        <v>#VALUE!</v>
      </c>
      <c r="HO12" s="921" t="e">
        <f t="shared" si="77"/>
        <v>#VALUE!</v>
      </c>
      <c r="HP12" s="921" t="e">
        <f t="shared" si="77"/>
        <v>#VALUE!</v>
      </c>
      <c r="HQ12" s="921" t="e">
        <f t="shared" si="77"/>
        <v>#VALUE!</v>
      </c>
      <c r="HR12" s="921" t="e">
        <f t="shared" si="77"/>
        <v>#VALUE!</v>
      </c>
      <c r="HS12" s="921" t="e">
        <f t="shared" si="77"/>
        <v>#VALUE!</v>
      </c>
      <c r="HT12" s="921" t="e">
        <f t="shared" si="77"/>
        <v>#VALUE!</v>
      </c>
      <c r="HU12" s="921" t="e">
        <f t="shared" si="77"/>
        <v>#VALUE!</v>
      </c>
      <c r="HV12" s="921" t="e">
        <f t="shared" si="77"/>
        <v>#VALUE!</v>
      </c>
      <c r="HW12" s="921" t="e">
        <f t="shared" si="77"/>
        <v>#VALUE!</v>
      </c>
      <c r="HX12" s="921" t="e">
        <f t="shared" si="77"/>
        <v>#VALUE!</v>
      </c>
      <c r="HY12" s="921" t="e">
        <f t="shared" si="77"/>
        <v>#VALUE!</v>
      </c>
      <c r="HZ12" s="921" t="e">
        <f t="shared" si="77"/>
        <v>#VALUE!</v>
      </c>
      <c r="IA12" s="921" t="e">
        <f t="shared" si="77"/>
        <v>#VALUE!</v>
      </c>
      <c r="IB12" s="921" t="e">
        <f t="shared" si="77"/>
        <v>#VALUE!</v>
      </c>
      <c r="IC12" s="921" t="e">
        <f t="shared" si="77"/>
        <v>#VALUE!</v>
      </c>
      <c r="ID12" s="921" t="e">
        <f t="shared" si="77"/>
        <v>#VALUE!</v>
      </c>
      <c r="IE12" s="921" t="e">
        <f t="shared" si="77"/>
        <v>#VALUE!</v>
      </c>
      <c r="IF12" s="921" t="e">
        <f t="shared" si="77"/>
        <v>#VALUE!</v>
      </c>
      <c r="IG12" s="921" t="e">
        <f t="shared" si="77"/>
        <v>#VALUE!</v>
      </c>
      <c r="IH12" s="921" t="e">
        <f t="shared" si="77"/>
        <v>#VALUE!</v>
      </c>
      <c r="II12" s="921" t="e">
        <f t="shared" si="77"/>
        <v>#VALUE!</v>
      </c>
      <c r="IJ12" s="921" t="e">
        <f t="shared" ref="IJ12:KU12" si="78">II12+1</f>
        <v>#VALUE!</v>
      </c>
      <c r="IK12" s="921" t="e">
        <f t="shared" si="78"/>
        <v>#VALUE!</v>
      </c>
      <c r="IL12" s="921" t="e">
        <f t="shared" si="78"/>
        <v>#VALUE!</v>
      </c>
      <c r="IM12" s="921" t="e">
        <f t="shared" si="78"/>
        <v>#VALUE!</v>
      </c>
      <c r="IN12" s="921" t="e">
        <f t="shared" si="78"/>
        <v>#VALUE!</v>
      </c>
      <c r="IO12" s="921" t="e">
        <f t="shared" si="78"/>
        <v>#VALUE!</v>
      </c>
      <c r="IP12" s="921" t="e">
        <f t="shared" si="78"/>
        <v>#VALUE!</v>
      </c>
      <c r="IQ12" s="921" t="e">
        <f t="shared" si="78"/>
        <v>#VALUE!</v>
      </c>
      <c r="IR12" s="921" t="e">
        <f t="shared" si="78"/>
        <v>#VALUE!</v>
      </c>
      <c r="IS12" s="921" t="e">
        <f t="shared" si="78"/>
        <v>#VALUE!</v>
      </c>
      <c r="IT12" s="921" t="e">
        <f t="shared" si="78"/>
        <v>#VALUE!</v>
      </c>
      <c r="IU12" s="921" t="e">
        <f t="shared" si="78"/>
        <v>#VALUE!</v>
      </c>
      <c r="IV12" s="921" t="e">
        <f t="shared" si="78"/>
        <v>#VALUE!</v>
      </c>
      <c r="IW12" s="921" t="e">
        <f t="shared" si="78"/>
        <v>#VALUE!</v>
      </c>
      <c r="IX12" s="921" t="e">
        <f t="shared" si="78"/>
        <v>#VALUE!</v>
      </c>
      <c r="IY12" s="921" t="e">
        <f t="shared" si="78"/>
        <v>#VALUE!</v>
      </c>
      <c r="IZ12" s="921" t="e">
        <f t="shared" si="78"/>
        <v>#VALUE!</v>
      </c>
      <c r="JA12" s="921" t="e">
        <f t="shared" si="78"/>
        <v>#VALUE!</v>
      </c>
      <c r="JB12" s="921" t="e">
        <f t="shared" si="78"/>
        <v>#VALUE!</v>
      </c>
      <c r="JC12" s="921" t="e">
        <f t="shared" si="78"/>
        <v>#VALUE!</v>
      </c>
      <c r="JD12" s="921" t="e">
        <f t="shared" si="78"/>
        <v>#VALUE!</v>
      </c>
      <c r="JE12" s="921" t="e">
        <f t="shared" si="78"/>
        <v>#VALUE!</v>
      </c>
      <c r="JF12" s="921" t="e">
        <f t="shared" si="78"/>
        <v>#VALUE!</v>
      </c>
      <c r="JG12" s="921" t="e">
        <f t="shared" si="78"/>
        <v>#VALUE!</v>
      </c>
      <c r="JH12" s="921" t="e">
        <f t="shared" si="78"/>
        <v>#VALUE!</v>
      </c>
      <c r="JI12" s="921" t="e">
        <f t="shared" si="78"/>
        <v>#VALUE!</v>
      </c>
      <c r="JJ12" s="921" t="e">
        <f t="shared" si="78"/>
        <v>#VALUE!</v>
      </c>
      <c r="JK12" s="921" t="e">
        <f t="shared" si="78"/>
        <v>#VALUE!</v>
      </c>
      <c r="JL12" s="921" t="e">
        <f t="shared" si="78"/>
        <v>#VALUE!</v>
      </c>
      <c r="JM12" s="921" t="e">
        <f t="shared" si="78"/>
        <v>#VALUE!</v>
      </c>
      <c r="JN12" s="921" t="e">
        <f t="shared" si="78"/>
        <v>#VALUE!</v>
      </c>
      <c r="JO12" s="921" t="e">
        <f t="shared" si="78"/>
        <v>#VALUE!</v>
      </c>
      <c r="JP12" s="921" t="e">
        <f t="shared" si="78"/>
        <v>#VALUE!</v>
      </c>
      <c r="JQ12" s="921" t="e">
        <f t="shared" si="78"/>
        <v>#VALUE!</v>
      </c>
      <c r="JR12" s="921" t="e">
        <f t="shared" si="78"/>
        <v>#VALUE!</v>
      </c>
      <c r="JS12" s="921" t="e">
        <f t="shared" si="78"/>
        <v>#VALUE!</v>
      </c>
      <c r="JT12" s="921" t="e">
        <f t="shared" si="78"/>
        <v>#VALUE!</v>
      </c>
      <c r="JU12" s="921" t="e">
        <f t="shared" si="78"/>
        <v>#VALUE!</v>
      </c>
      <c r="JV12" s="921" t="e">
        <f t="shared" si="78"/>
        <v>#VALUE!</v>
      </c>
      <c r="JW12" s="921" t="e">
        <f t="shared" si="78"/>
        <v>#VALUE!</v>
      </c>
      <c r="JX12" s="921" t="e">
        <f t="shared" si="78"/>
        <v>#VALUE!</v>
      </c>
      <c r="JY12" s="921" t="e">
        <f t="shared" si="78"/>
        <v>#VALUE!</v>
      </c>
      <c r="JZ12" s="921" t="e">
        <f t="shared" si="78"/>
        <v>#VALUE!</v>
      </c>
      <c r="KA12" s="921" t="e">
        <f t="shared" si="78"/>
        <v>#VALUE!</v>
      </c>
      <c r="KB12" s="921" t="e">
        <f t="shared" si="78"/>
        <v>#VALUE!</v>
      </c>
      <c r="KC12" s="921" t="e">
        <f t="shared" si="78"/>
        <v>#VALUE!</v>
      </c>
      <c r="KD12" s="921" t="e">
        <f t="shared" si="78"/>
        <v>#VALUE!</v>
      </c>
      <c r="KE12" s="921" t="e">
        <f t="shared" si="78"/>
        <v>#VALUE!</v>
      </c>
      <c r="KF12" s="921" t="e">
        <f t="shared" si="78"/>
        <v>#VALUE!</v>
      </c>
      <c r="KG12" s="921" t="e">
        <f t="shared" si="78"/>
        <v>#VALUE!</v>
      </c>
      <c r="KH12" s="921" t="e">
        <f t="shared" si="78"/>
        <v>#VALUE!</v>
      </c>
      <c r="KI12" s="921" t="e">
        <f t="shared" si="78"/>
        <v>#VALUE!</v>
      </c>
      <c r="KJ12" s="921" t="e">
        <f t="shared" si="78"/>
        <v>#VALUE!</v>
      </c>
      <c r="KK12" s="921" t="e">
        <f t="shared" si="78"/>
        <v>#VALUE!</v>
      </c>
      <c r="KL12" s="921" t="e">
        <f t="shared" si="78"/>
        <v>#VALUE!</v>
      </c>
      <c r="KM12" s="921" t="e">
        <f t="shared" si="78"/>
        <v>#VALUE!</v>
      </c>
      <c r="KN12" s="921" t="e">
        <f t="shared" si="78"/>
        <v>#VALUE!</v>
      </c>
      <c r="KO12" s="921" t="e">
        <f t="shared" si="78"/>
        <v>#VALUE!</v>
      </c>
      <c r="KP12" s="921" t="e">
        <f t="shared" si="78"/>
        <v>#VALUE!</v>
      </c>
      <c r="KQ12" s="921" t="e">
        <f t="shared" si="78"/>
        <v>#VALUE!</v>
      </c>
      <c r="KR12" s="921" t="e">
        <f t="shared" si="78"/>
        <v>#VALUE!</v>
      </c>
      <c r="KS12" s="921" t="e">
        <f t="shared" si="78"/>
        <v>#VALUE!</v>
      </c>
      <c r="KT12" s="921" t="e">
        <f t="shared" si="78"/>
        <v>#VALUE!</v>
      </c>
      <c r="KU12" s="921" t="e">
        <f t="shared" si="78"/>
        <v>#VALUE!</v>
      </c>
      <c r="KV12" s="921" t="e">
        <f t="shared" ref="KV12:NG12" si="79">KU12+1</f>
        <v>#VALUE!</v>
      </c>
      <c r="KW12" s="921" t="e">
        <f t="shared" si="79"/>
        <v>#VALUE!</v>
      </c>
      <c r="KX12" s="921" t="e">
        <f t="shared" si="79"/>
        <v>#VALUE!</v>
      </c>
      <c r="KY12" s="921" t="e">
        <f t="shared" si="79"/>
        <v>#VALUE!</v>
      </c>
      <c r="KZ12" s="921" t="e">
        <f t="shared" si="79"/>
        <v>#VALUE!</v>
      </c>
      <c r="LA12" s="921" t="e">
        <f t="shared" si="79"/>
        <v>#VALUE!</v>
      </c>
      <c r="LB12" s="921" t="e">
        <f t="shared" si="79"/>
        <v>#VALUE!</v>
      </c>
      <c r="LC12" s="921" t="e">
        <f t="shared" si="79"/>
        <v>#VALUE!</v>
      </c>
      <c r="LD12" s="921" t="e">
        <f t="shared" si="79"/>
        <v>#VALUE!</v>
      </c>
      <c r="LE12" s="921" t="e">
        <f t="shared" si="79"/>
        <v>#VALUE!</v>
      </c>
      <c r="LF12" s="921" t="e">
        <f t="shared" si="79"/>
        <v>#VALUE!</v>
      </c>
      <c r="LG12" s="921" t="e">
        <f t="shared" si="79"/>
        <v>#VALUE!</v>
      </c>
      <c r="LH12" s="921" t="e">
        <f t="shared" si="79"/>
        <v>#VALUE!</v>
      </c>
      <c r="LI12" s="921" t="e">
        <f t="shared" si="79"/>
        <v>#VALUE!</v>
      </c>
      <c r="LJ12" s="921" t="e">
        <f t="shared" si="79"/>
        <v>#VALUE!</v>
      </c>
      <c r="LK12" s="921" t="e">
        <f t="shared" si="79"/>
        <v>#VALUE!</v>
      </c>
      <c r="LL12" s="921" t="e">
        <f t="shared" si="79"/>
        <v>#VALUE!</v>
      </c>
      <c r="LM12" s="921" t="e">
        <f t="shared" si="79"/>
        <v>#VALUE!</v>
      </c>
      <c r="LN12" s="921" t="e">
        <f t="shared" si="79"/>
        <v>#VALUE!</v>
      </c>
      <c r="LO12" s="921" t="e">
        <f t="shared" si="79"/>
        <v>#VALUE!</v>
      </c>
      <c r="LP12" s="921" t="e">
        <f t="shared" si="79"/>
        <v>#VALUE!</v>
      </c>
      <c r="LQ12" s="921" t="e">
        <f t="shared" si="79"/>
        <v>#VALUE!</v>
      </c>
      <c r="LR12" s="921" t="e">
        <f t="shared" si="79"/>
        <v>#VALUE!</v>
      </c>
      <c r="LS12" s="921" t="e">
        <f t="shared" si="79"/>
        <v>#VALUE!</v>
      </c>
      <c r="LT12" s="921" t="e">
        <f t="shared" si="79"/>
        <v>#VALUE!</v>
      </c>
      <c r="LU12" s="921" t="e">
        <f t="shared" si="79"/>
        <v>#VALUE!</v>
      </c>
      <c r="LV12" s="921" t="e">
        <f t="shared" si="79"/>
        <v>#VALUE!</v>
      </c>
      <c r="LW12" s="921" t="e">
        <f t="shared" si="79"/>
        <v>#VALUE!</v>
      </c>
      <c r="LX12" s="921" t="e">
        <f t="shared" si="79"/>
        <v>#VALUE!</v>
      </c>
      <c r="LY12" s="921" t="e">
        <f t="shared" si="79"/>
        <v>#VALUE!</v>
      </c>
      <c r="LZ12" s="921" t="e">
        <f t="shared" si="79"/>
        <v>#VALUE!</v>
      </c>
      <c r="MA12" s="921" t="e">
        <f t="shared" si="79"/>
        <v>#VALUE!</v>
      </c>
      <c r="MB12" s="921" t="e">
        <f t="shared" si="79"/>
        <v>#VALUE!</v>
      </c>
      <c r="MC12" s="921" t="e">
        <f t="shared" si="79"/>
        <v>#VALUE!</v>
      </c>
      <c r="MD12" s="921" t="e">
        <f t="shared" si="79"/>
        <v>#VALUE!</v>
      </c>
      <c r="ME12" s="921" t="e">
        <f t="shared" si="79"/>
        <v>#VALUE!</v>
      </c>
      <c r="MF12" s="921" t="e">
        <f t="shared" si="79"/>
        <v>#VALUE!</v>
      </c>
      <c r="MG12" s="921" t="e">
        <f t="shared" si="79"/>
        <v>#VALUE!</v>
      </c>
      <c r="MH12" s="921" t="e">
        <f t="shared" si="79"/>
        <v>#VALUE!</v>
      </c>
      <c r="MI12" s="921" t="e">
        <f t="shared" si="79"/>
        <v>#VALUE!</v>
      </c>
      <c r="MJ12" s="921" t="e">
        <f t="shared" si="79"/>
        <v>#VALUE!</v>
      </c>
      <c r="MK12" s="921" t="e">
        <f t="shared" si="79"/>
        <v>#VALUE!</v>
      </c>
      <c r="ML12" s="921" t="e">
        <f t="shared" si="79"/>
        <v>#VALUE!</v>
      </c>
      <c r="MM12" s="921" t="e">
        <f t="shared" si="79"/>
        <v>#VALUE!</v>
      </c>
      <c r="MN12" s="921" t="e">
        <f t="shared" si="79"/>
        <v>#VALUE!</v>
      </c>
      <c r="MO12" s="921" t="e">
        <f t="shared" si="79"/>
        <v>#VALUE!</v>
      </c>
      <c r="MP12" s="921" t="e">
        <f t="shared" si="79"/>
        <v>#VALUE!</v>
      </c>
      <c r="MQ12" s="921" t="e">
        <f t="shared" si="79"/>
        <v>#VALUE!</v>
      </c>
      <c r="MR12" s="921" t="e">
        <f t="shared" si="79"/>
        <v>#VALUE!</v>
      </c>
      <c r="MS12" s="921" t="e">
        <f t="shared" si="79"/>
        <v>#VALUE!</v>
      </c>
      <c r="MT12" s="921" t="e">
        <f t="shared" si="79"/>
        <v>#VALUE!</v>
      </c>
      <c r="MU12" s="921" t="e">
        <f t="shared" si="79"/>
        <v>#VALUE!</v>
      </c>
      <c r="MV12" s="921" t="e">
        <f t="shared" si="79"/>
        <v>#VALUE!</v>
      </c>
      <c r="MW12" s="921" t="e">
        <f t="shared" si="79"/>
        <v>#VALUE!</v>
      </c>
      <c r="MX12" s="921" t="e">
        <f t="shared" si="79"/>
        <v>#VALUE!</v>
      </c>
      <c r="MY12" s="921" t="e">
        <f t="shared" si="79"/>
        <v>#VALUE!</v>
      </c>
      <c r="MZ12" s="921" t="e">
        <f t="shared" si="79"/>
        <v>#VALUE!</v>
      </c>
      <c r="NA12" s="921" t="e">
        <f t="shared" si="79"/>
        <v>#VALUE!</v>
      </c>
      <c r="NB12" s="921" t="e">
        <f t="shared" si="79"/>
        <v>#VALUE!</v>
      </c>
      <c r="NC12" s="921" t="e">
        <f t="shared" si="79"/>
        <v>#VALUE!</v>
      </c>
      <c r="ND12" s="921" t="e">
        <f t="shared" si="79"/>
        <v>#VALUE!</v>
      </c>
      <c r="NE12" s="921" t="e">
        <f t="shared" si="79"/>
        <v>#VALUE!</v>
      </c>
      <c r="NF12" s="921" t="e">
        <f t="shared" si="79"/>
        <v>#VALUE!</v>
      </c>
      <c r="NG12" s="921" t="e">
        <f t="shared" si="79"/>
        <v>#VALUE!</v>
      </c>
      <c r="NH12" s="921" t="e">
        <f t="shared" ref="NH12:PS12" si="80">NG12+1</f>
        <v>#VALUE!</v>
      </c>
      <c r="NI12" s="921" t="e">
        <f t="shared" si="80"/>
        <v>#VALUE!</v>
      </c>
      <c r="NJ12" s="921" t="e">
        <f t="shared" si="80"/>
        <v>#VALUE!</v>
      </c>
      <c r="NK12" s="921" t="e">
        <f t="shared" si="80"/>
        <v>#VALUE!</v>
      </c>
      <c r="NL12" s="921" t="e">
        <f t="shared" si="80"/>
        <v>#VALUE!</v>
      </c>
      <c r="NM12" s="921" t="e">
        <f t="shared" si="80"/>
        <v>#VALUE!</v>
      </c>
      <c r="NN12" s="921" t="e">
        <f t="shared" si="80"/>
        <v>#VALUE!</v>
      </c>
      <c r="NO12" s="921" t="e">
        <f t="shared" si="80"/>
        <v>#VALUE!</v>
      </c>
      <c r="NP12" s="921" t="e">
        <f t="shared" si="80"/>
        <v>#VALUE!</v>
      </c>
      <c r="NQ12" s="921" t="e">
        <f t="shared" si="80"/>
        <v>#VALUE!</v>
      </c>
      <c r="NR12" s="921" t="e">
        <f t="shared" si="80"/>
        <v>#VALUE!</v>
      </c>
      <c r="NS12" s="921" t="e">
        <f t="shared" si="80"/>
        <v>#VALUE!</v>
      </c>
      <c r="NT12" s="921" t="e">
        <f t="shared" si="80"/>
        <v>#VALUE!</v>
      </c>
      <c r="NU12" s="921" t="e">
        <f t="shared" si="80"/>
        <v>#VALUE!</v>
      </c>
      <c r="NV12" s="921" t="e">
        <f t="shared" si="80"/>
        <v>#VALUE!</v>
      </c>
      <c r="NW12" s="921" t="e">
        <f t="shared" si="80"/>
        <v>#VALUE!</v>
      </c>
      <c r="NX12" s="921" t="e">
        <f t="shared" si="80"/>
        <v>#VALUE!</v>
      </c>
      <c r="NY12" s="921" t="e">
        <f t="shared" si="80"/>
        <v>#VALUE!</v>
      </c>
      <c r="NZ12" s="921" t="e">
        <f t="shared" si="80"/>
        <v>#VALUE!</v>
      </c>
      <c r="OA12" s="921" t="e">
        <f t="shared" si="80"/>
        <v>#VALUE!</v>
      </c>
      <c r="OB12" s="921" t="e">
        <f t="shared" si="80"/>
        <v>#VALUE!</v>
      </c>
      <c r="OC12" s="921" t="e">
        <f t="shared" si="80"/>
        <v>#VALUE!</v>
      </c>
      <c r="OD12" s="921" t="e">
        <f t="shared" si="80"/>
        <v>#VALUE!</v>
      </c>
      <c r="OE12" s="921" t="e">
        <f t="shared" si="80"/>
        <v>#VALUE!</v>
      </c>
      <c r="OF12" s="921" t="e">
        <f t="shared" si="80"/>
        <v>#VALUE!</v>
      </c>
      <c r="OG12" s="921" t="e">
        <f t="shared" si="80"/>
        <v>#VALUE!</v>
      </c>
      <c r="OH12" s="921" t="e">
        <f t="shared" si="80"/>
        <v>#VALUE!</v>
      </c>
      <c r="OI12" s="921" t="e">
        <f t="shared" si="80"/>
        <v>#VALUE!</v>
      </c>
      <c r="OJ12" s="921" t="e">
        <f t="shared" si="80"/>
        <v>#VALUE!</v>
      </c>
      <c r="OK12" s="921" t="e">
        <f t="shared" si="80"/>
        <v>#VALUE!</v>
      </c>
      <c r="OL12" s="921" t="e">
        <f t="shared" si="80"/>
        <v>#VALUE!</v>
      </c>
      <c r="OM12" s="921" t="e">
        <f t="shared" si="80"/>
        <v>#VALUE!</v>
      </c>
      <c r="ON12" s="921" t="e">
        <f t="shared" si="80"/>
        <v>#VALUE!</v>
      </c>
      <c r="OO12" s="921" t="e">
        <f t="shared" si="80"/>
        <v>#VALUE!</v>
      </c>
      <c r="OP12" s="921" t="e">
        <f t="shared" si="80"/>
        <v>#VALUE!</v>
      </c>
      <c r="OQ12" s="921" t="e">
        <f t="shared" si="80"/>
        <v>#VALUE!</v>
      </c>
      <c r="OR12" s="921" t="e">
        <f t="shared" si="80"/>
        <v>#VALUE!</v>
      </c>
      <c r="OS12" s="921" t="e">
        <f t="shared" si="80"/>
        <v>#VALUE!</v>
      </c>
      <c r="OT12" s="921" t="e">
        <f t="shared" si="80"/>
        <v>#VALUE!</v>
      </c>
      <c r="OU12" s="921" t="e">
        <f t="shared" si="80"/>
        <v>#VALUE!</v>
      </c>
      <c r="OV12" s="921" t="e">
        <f t="shared" si="80"/>
        <v>#VALUE!</v>
      </c>
      <c r="OW12" s="921" t="e">
        <f t="shared" si="80"/>
        <v>#VALUE!</v>
      </c>
      <c r="OX12" s="921" t="e">
        <f t="shared" si="80"/>
        <v>#VALUE!</v>
      </c>
      <c r="OY12" s="921" t="e">
        <f t="shared" si="80"/>
        <v>#VALUE!</v>
      </c>
      <c r="OZ12" s="921" t="e">
        <f t="shared" si="80"/>
        <v>#VALUE!</v>
      </c>
      <c r="PA12" s="921" t="e">
        <f t="shared" si="80"/>
        <v>#VALUE!</v>
      </c>
      <c r="PB12" s="921" t="e">
        <f t="shared" si="80"/>
        <v>#VALUE!</v>
      </c>
      <c r="PC12" s="921" t="e">
        <f t="shared" si="80"/>
        <v>#VALUE!</v>
      </c>
      <c r="PD12" s="921" t="e">
        <f t="shared" si="80"/>
        <v>#VALUE!</v>
      </c>
      <c r="PE12" s="921" t="e">
        <f t="shared" si="80"/>
        <v>#VALUE!</v>
      </c>
      <c r="PF12" s="921" t="e">
        <f t="shared" si="80"/>
        <v>#VALUE!</v>
      </c>
      <c r="PG12" s="921" t="e">
        <f t="shared" si="80"/>
        <v>#VALUE!</v>
      </c>
      <c r="PH12" s="921" t="e">
        <f t="shared" si="80"/>
        <v>#VALUE!</v>
      </c>
      <c r="PI12" s="921" t="e">
        <f t="shared" si="80"/>
        <v>#VALUE!</v>
      </c>
      <c r="PJ12" s="921" t="e">
        <f t="shared" si="80"/>
        <v>#VALUE!</v>
      </c>
      <c r="PK12" s="921" t="e">
        <f t="shared" si="80"/>
        <v>#VALUE!</v>
      </c>
      <c r="PL12" s="921" t="e">
        <f t="shared" si="80"/>
        <v>#VALUE!</v>
      </c>
      <c r="PM12" s="921" t="e">
        <f t="shared" si="80"/>
        <v>#VALUE!</v>
      </c>
      <c r="PN12" s="921" t="e">
        <f t="shared" si="80"/>
        <v>#VALUE!</v>
      </c>
      <c r="PO12" s="921" t="e">
        <f t="shared" si="80"/>
        <v>#VALUE!</v>
      </c>
      <c r="PP12" s="921" t="e">
        <f t="shared" si="80"/>
        <v>#VALUE!</v>
      </c>
      <c r="PQ12" s="921" t="e">
        <f t="shared" si="80"/>
        <v>#VALUE!</v>
      </c>
      <c r="PR12" s="921" t="e">
        <f t="shared" si="80"/>
        <v>#VALUE!</v>
      </c>
      <c r="PS12" s="921" t="e">
        <f t="shared" si="80"/>
        <v>#VALUE!</v>
      </c>
      <c r="PT12" s="921" t="e">
        <f t="shared" ref="PT12:RA12" si="81">PS12+1</f>
        <v>#VALUE!</v>
      </c>
      <c r="PU12" s="921" t="e">
        <f t="shared" si="81"/>
        <v>#VALUE!</v>
      </c>
      <c r="PV12" s="921" t="e">
        <f t="shared" si="81"/>
        <v>#VALUE!</v>
      </c>
      <c r="PW12" s="921" t="e">
        <f t="shared" si="81"/>
        <v>#VALUE!</v>
      </c>
      <c r="PX12" s="921" t="e">
        <f t="shared" si="81"/>
        <v>#VALUE!</v>
      </c>
      <c r="PY12" s="921" t="e">
        <f t="shared" si="81"/>
        <v>#VALUE!</v>
      </c>
      <c r="PZ12" s="921" t="e">
        <f t="shared" si="81"/>
        <v>#VALUE!</v>
      </c>
      <c r="QA12" s="921" t="e">
        <f t="shared" si="81"/>
        <v>#VALUE!</v>
      </c>
      <c r="QB12" s="921" t="e">
        <f t="shared" si="81"/>
        <v>#VALUE!</v>
      </c>
      <c r="QC12" s="921" t="e">
        <f t="shared" si="81"/>
        <v>#VALUE!</v>
      </c>
      <c r="QD12" s="921" t="e">
        <f t="shared" si="81"/>
        <v>#VALUE!</v>
      </c>
      <c r="QE12" s="921" t="e">
        <f t="shared" si="81"/>
        <v>#VALUE!</v>
      </c>
      <c r="QF12" s="921" t="e">
        <f t="shared" si="81"/>
        <v>#VALUE!</v>
      </c>
      <c r="QG12" s="921" t="e">
        <f t="shared" si="81"/>
        <v>#VALUE!</v>
      </c>
      <c r="QH12" s="921" t="e">
        <f t="shared" si="81"/>
        <v>#VALUE!</v>
      </c>
      <c r="QI12" s="921" t="e">
        <f t="shared" si="81"/>
        <v>#VALUE!</v>
      </c>
      <c r="QJ12" s="921" t="e">
        <f t="shared" si="81"/>
        <v>#VALUE!</v>
      </c>
      <c r="QK12" s="921" t="e">
        <f t="shared" si="81"/>
        <v>#VALUE!</v>
      </c>
      <c r="QL12" s="921" t="e">
        <f t="shared" si="81"/>
        <v>#VALUE!</v>
      </c>
      <c r="QM12" s="921" t="e">
        <f t="shared" si="81"/>
        <v>#VALUE!</v>
      </c>
      <c r="QN12" s="921" t="e">
        <f t="shared" si="81"/>
        <v>#VALUE!</v>
      </c>
      <c r="QO12" s="921" t="e">
        <f t="shared" si="81"/>
        <v>#VALUE!</v>
      </c>
      <c r="QP12" s="921" t="e">
        <f t="shared" si="81"/>
        <v>#VALUE!</v>
      </c>
      <c r="QQ12" s="921" t="e">
        <f t="shared" si="81"/>
        <v>#VALUE!</v>
      </c>
      <c r="QR12" s="921" t="e">
        <f t="shared" si="81"/>
        <v>#VALUE!</v>
      </c>
      <c r="QS12" s="921" t="e">
        <f t="shared" si="81"/>
        <v>#VALUE!</v>
      </c>
      <c r="QT12" s="921" t="e">
        <f t="shared" si="81"/>
        <v>#VALUE!</v>
      </c>
      <c r="QU12" s="921" t="e">
        <f t="shared" si="81"/>
        <v>#VALUE!</v>
      </c>
      <c r="QV12" s="921" t="e">
        <f t="shared" si="81"/>
        <v>#VALUE!</v>
      </c>
      <c r="QW12" s="921" t="e">
        <f t="shared" si="81"/>
        <v>#VALUE!</v>
      </c>
      <c r="QX12" s="921" t="e">
        <f t="shared" si="81"/>
        <v>#VALUE!</v>
      </c>
      <c r="QY12" s="921" t="e">
        <f t="shared" si="81"/>
        <v>#VALUE!</v>
      </c>
      <c r="QZ12" s="921" t="e">
        <f t="shared" si="81"/>
        <v>#VALUE!</v>
      </c>
      <c r="RA12" s="921" t="e">
        <f t="shared" si="81"/>
        <v>#VALUE!</v>
      </c>
      <c r="RB12" s="797" t="e">
        <f>IF(AND(QZ19&gt;=10,QZ20&gt;=10),QY12,QZ12)</f>
        <v>#VALUE!</v>
      </c>
    </row>
    <row r="13" spans="1:471" ht="6" customHeight="1">
      <c r="A13" s="22">
        <f>A10</f>
        <v>22</v>
      </c>
      <c r="B13" s="22">
        <f>B10</f>
        <v>9</v>
      </c>
      <c r="C13" s="22">
        <f>C10</f>
        <v>1442</v>
      </c>
      <c r="D13" t="str">
        <f>D10</f>
        <v>شمسی</v>
      </c>
      <c r="E13">
        <f>E10</f>
        <v>16</v>
      </c>
      <c r="J13" s="24"/>
      <c r="K13" s="24"/>
      <c r="L13" s="24"/>
      <c r="M13" s="24"/>
      <c r="N13" s="24"/>
      <c r="O13" s="24"/>
      <c r="P13" s="24"/>
      <c r="Q13" s="24"/>
      <c r="R13" s="24"/>
      <c r="S13" s="24"/>
      <c r="T13" s="24"/>
      <c r="U13" s="24"/>
      <c r="V13" s="24"/>
      <c r="W13" s="24"/>
      <c r="X13" s="24"/>
      <c r="Y13" s="24"/>
      <c r="Z13" s="24"/>
      <c r="AA13" s="24"/>
      <c r="AE13" s="202"/>
      <c r="AF13" s="201">
        <f>(((AF9/AF10)-INT(AF9/AF10))*AF10)</f>
        <v>0.85639445235222178</v>
      </c>
      <c r="AK13" s="759"/>
      <c r="AL13" s="701"/>
      <c r="AM13" s="304"/>
      <c r="AN13" s="304"/>
      <c r="AO13" s="304"/>
      <c r="AP13" s="304"/>
      <c r="AQ13" s="304"/>
      <c r="AR13" s="304"/>
      <c r="AS13" s="304"/>
      <c r="AT13" s="304"/>
      <c r="AU13" s="304"/>
      <c r="AV13" s="304"/>
      <c r="AW13" s="304"/>
      <c r="AX13" s="314"/>
      <c r="AZ13" s="732" t="s">
        <v>1080</v>
      </c>
      <c r="BA13" s="731" t="e">
        <f>[1]!bodmoadal(BA3,BA4,BA12,BA10,BA7,BA8)</f>
        <v>#VALUE!</v>
      </c>
      <c r="BB13" s="113" t="e">
        <f>[1]!bodmoadal(BB3,BB4,BB12,BB10,BB7,BB8)</f>
        <v>#VALUE!</v>
      </c>
      <c r="BC13" s="113" t="e">
        <f>[1]!bodmoadal(BC3,BC4,BC12,BC10,BC7,BC8)</f>
        <v>#VALUE!</v>
      </c>
      <c r="BD13" s="113" t="e">
        <f>[1]!bodmoadal(BD3,BD4,BD12,BD10,BD7,BD8)</f>
        <v>#VALUE!</v>
      </c>
      <c r="BE13" s="113" t="e">
        <f>[1]!bodmoadal(BE3,BE4,BE12,BE10,BE7,BE8)</f>
        <v>#VALUE!</v>
      </c>
      <c r="BF13" s="113" t="e">
        <f>[1]!bodmoadal(BF3,BF4,BF12,BF10,BF7,BF8)</f>
        <v>#VALUE!</v>
      </c>
      <c r="BG13" s="113" t="e">
        <f>[1]!bodmoadal(BG3,BG4,BG12,BG10,BG7,BG8)</f>
        <v>#VALUE!</v>
      </c>
      <c r="BH13" s="113" t="e">
        <f>[1]!bodmoadal(BH3,BH4,BH12,BH10,BH7,BH8)</f>
        <v>#VALUE!</v>
      </c>
      <c r="BI13" s="113" t="e">
        <f>[1]!bodmoadal(BI3,BI4,BI12,BI10,BI7,BI8)</f>
        <v>#VALUE!</v>
      </c>
      <c r="BJ13" s="113" t="e">
        <f>[1]!bodmoadal(BJ3,BJ4,BJ12,BJ10,BJ7,BJ8)</f>
        <v>#VALUE!</v>
      </c>
      <c r="BK13" s="113" t="e">
        <f>[1]!bodmoadal(BK3,BK4,BK12,BK10,BK7,BK8)</f>
        <v>#VALUE!</v>
      </c>
      <c r="BL13" s="113" t="e">
        <f>[1]!bodmoadal(BL3,BL4,BL12,BL10,BL7,BL8)</f>
        <v>#VALUE!</v>
      </c>
      <c r="BM13" s="113" t="e">
        <f>[1]!bodmoadal(BM3,BM4,BM12,BM10,BM7,BM8)</f>
        <v>#VALUE!</v>
      </c>
      <c r="BN13" s="317"/>
      <c r="BP13" s="732" t="e">
        <f>[1]!taqsha(BP4,BP5,[1]!roz(BP7,BP11,0,0),BP8)</f>
        <v>#VALUE!</v>
      </c>
      <c r="BQ13" s="732" t="e">
        <f>[1]!taqsha(BQ4,BQ5,[1]!roz(BQ7,BQ11,0,0),BQ8)</f>
        <v>#VALUE!</v>
      </c>
      <c r="BR13" s="753" t="e">
        <f>[1]!taqsha(BR4,BR5,[1]!roz(BR7,BR11,0,0),BR8)</f>
        <v>#VALUE!</v>
      </c>
      <c r="BS13" s="753" t="e">
        <f>[1]!taqsha(BS4,BS5,[1]!roz(BS7,BS11,0,0),BS8)</f>
        <v>#VALUE!</v>
      </c>
      <c r="BT13" s="238" t="s">
        <v>698</v>
      </c>
      <c r="BU13" s="731" t="e">
        <f>[1]!taqqa(BU4,BU5,[1]!roz(BU8,BU12,0,0),BU9)</f>
        <v>#VALUE!</v>
      </c>
      <c r="BV13" s="112"/>
      <c r="BW13" s="317" t="e">
        <f>INT(BW11+BW12+BW6)</f>
        <v>#VALUE!</v>
      </c>
      <c r="BX13" s="112"/>
      <c r="BY13" s="317">
        <f>INT(BY11+BY12+BY5)</f>
        <v>490800</v>
      </c>
      <c r="CA13" s="787"/>
      <c r="CB13" s="388">
        <f>IF(CB4&gt;1,CB3,CB3-1)</f>
        <v>1385</v>
      </c>
      <c r="CC13" s="242"/>
      <c r="CD13" s="242"/>
      <c r="CE13" s="242"/>
      <c r="CF13" s="788"/>
      <c r="CG13" s="490"/>
      <c r="CH13" s="388"/>
      <c r="CI13" s="309"/>
      <c r="CJ13" s="309"/>
      <c r="CK13" s="309"/>
      <c r="CL13" s="774"/>
      <c r="CO13" s="759"/>
      <c r="CP13" s="759"/>
      <c r="CQ13" s="759"/>
      <c r="CR13" s="759"/>
      <c r="CS13" s="759"/>
      <c r="CT13" s="759"/>
      <c r="CU13" s="759"/>
      <c r="CV13" s="787"/>
      <c r="CW13" s="388">
        <f>IF(CW4&gt;1,CW3,CW3-1)</f>
        <v>1443</v>
      </c>
      <c r="CX13" s="242"/>
      <c r="CY13" s="242"/>
      <c r="CZ13" s="242"/>
      <c r="DA13" s="788"/>
      <c r="DJ13" s="961">
        <f>[1]!mbtool(2,17,0,1)</f>
        <v>9.5138888888888884E-2</v>
      </c>
      <c r="DK13" s="962">
        <f>[1]!mbtool(2,17,0,1)</f>
        <v>9.5138888888888884E-2</v>
      </c>
      <c r="DL13" s="962">
        <f>[1]!mbtool(2,17,0,1)</f>
        <v>9.5138888888888884E-2</v>
      </c>
      <c r="DM13" s="962">
        <f>[1]!mbtool(2,17,0,1)</f>
        <v>9.5138888888888884E-2</v>
      </c>
      <c r="DN13" s="962">
        <f>[1]!mbtool(2,17,0,1)</f>
        <v>9.5138888888888884E-2</v>
      </c>
      <c r="DO13" s="962">
        <f>[1]!mbtool(2,17,0,1)</f>
        <v>9.5138888888888884E-2</v>
      </c>
      <c r="DP13" s="962">
        <f>[1]!mbtool(2,17,0,1)</f>
        <v>9.5138888888888884E-2</v>
      </c>
      <c r="DQ13" s="962">
        <f>[1]!mbtool(2,17,0,1)</f>
        <v>9.5138888888888884E-2</v>
      </c>
      <c r="DR13" s="962">
        <f>[1]!mbtool(2,17,0,1)</f>
        <v>9.5138888888888884E-2</v>
      </c>
      <c r="DS13" s="962">
        <f>[1]!mbtool(2,17,0,1)</f>
        <v>9.5138888888888884E-2</v>
      </c>
      <c r="DT13" s="962">
        <f>[1]!mbtool(2,17,0,1)</f>
        <v>9.5138888888888884E-2</v>
      </c>
      <c r="DU13" s="962">
        <f>[1]!mbtool(2,17,0,1)</f>
        <v>9.5138888888888884E-2</v>
      </c>
      <c r="DV13" s="962">
        <f>[1]!mbtool(2,17,0,1)</f>
        <v>9.5138888888888884E-2</v>
      </c>
      <c r="DW13" s="962">
        <f>[1]!mbtool(2,17,0,1)</f>
        <v>9.5138888888888884E-2</v>
      </c>
      <c r="DX13" s="962">
        <f>[1]!mbtool(2,17,0,1)</f>
        <v>9.5138888888888884E-2</v>
      </c>
      <c r="DY13" s="962">
        <f>[1]!mbtool(2,17,0,1)</f>
        <v>9.5138888888888884E-2</v>
      </c>
      <c r="DZ13" s="962">
        <f>[1]!mbtool(2,17,0,1)</f>
        <v>9.5138888888888884E-2</v>
      </c>
      <c r="EA13" s="962">
        <f>[1]!mbtool(2,17,0,1)</f>
        <v>9.5138888888888884E-2</v>
      </c>
      <c r="EB13" s="962">
        <f>[1]!mbtool(2,17,0,1)</f>
        <v>9.5138888888888884E-2</v>
      </c>
      <c r="EC13" s="962">
        <f>[1]!mbtool(2,17,0,1)</f>
        <v>9.5138888888888884E-2</v>
      </c>
      <c r="ED13" s="962">
        <f>[1]!mbtool(2,17,0,1)</f>
        <v>9.5138888888888884E-2</v>
      </c>
      <c r="EE13" s="962">
        <f>[1]!mbtool(2,17,0,1)</f>
        <v>9.5138888888888884E-2</v>
      </c>
      <c r="EF13" s="962">
        <f>[1]!mbtool(2,17,0,1)</f>
        <v>9.5138888888888884E-2</v>
      </c>
      <c r="EG13" s="962">
        <f>[1]!mbtool(2,17,0,1)</f>
        <v>9.5138888888888884E-2</v>
      </c>
      <c r="EH13" s="962">
        <f>[1]!mbtool(2,17,0,1)</f>
        <v>9.5138888888888884E-2</v>
      </c>
      <c r="EI13" s="962">
        <f>[1]!mbtool(2,17,0,1)</f>
        <v>9.5138888888888884E-2</v>
      </c>
      <c r="EJ13" s="962">
        <f>[1]!mbtool(2,17,0,1)</f>
        <v>9.5138888888888884E-2</v>
      </c>
      <c r="EK13" s="962">
        <f>[1]!mbtool(2,17,0,1)</f>
        <v>9.5138888888888884E-2</v>
      </c>
      <c r="EL13" s="962">
        <f>[1]!mbtool(2,17,0,1)</f>
        <v>9.5138888888888884E-2</v>
      </c>
      <c r="EM13" s="962">
        <f>[1]!mbtool(2,17,0,1)</f>
        <v>9.5138888888888884E-2</v>
      </c>
      <c r="EN13" s="962">
        <f>[1]!mbtool(2,17,0,1)</f>
        <v>9.5138888888888884E-2</v>
      </c>
      <c r="EO13" s="962">
        <f>[1]!mbtool(2,17,0,1)</f>
        <v>9.5138888888888884E-2</v>
      </c>
      <c r="EP13" s="962">
        <f>[1]!mbtool(2,17,0,1)</f>
        <v>9.5138888888888884E-2</v>
      </c>
      <c r="EQ13" s="962">
        <f>[1]!mbtool(2,17,0,1)</f>
        <v>9.5138888888888884E-2</v>
      </c>
      <c r="ER13" s="962">
        <f>[1]!mbtool(2,17,0,1)</f>
        <v>9.5138888888888884E-2</v>
      </c>
      <c r="ES13" s="962">
        <f>[1]!mbtool(2,17,0,1)</f>
        <v>9.5138888888888884E-2</v>
      </c>
      <c r="ET13" s="962">
        <f>[1]!mbtool(2,17,0,1)</f>
        <v>9.5138888888888884E-2</v>
      </c>
      <c r="EU13" s="962">
        <f>[1]!mbtool(2,17,0,1)</f>
        <v>9.5138888888888884E-2</v>
      </c>
      <c r="EV13" s="962">
        <f>[1]!mbtool(2,17,0,1)</f>
        <v>9.5138888888888884E-2</v>
      </c>
      <c r="EW13" s="962">
        <f>[1]!mbtool(2,17,0,1)</f>
        <v>9.5138888888888884E-2</v>
      </c>
      <c r="EX13" s="962">
        <f>[1]!mbtool(2,17,0,1)</f>
        <v>9.5138888888888884E-2</v>
      </c>
      <c r="EY13" s="962">
        <f>[1]!mbtool(2,17,0,1)</f>
        <v>9.5138888888888884E-2</v>
      </c>
      <c r="EZ13" s="962">
        <f>[1]!mbtool(2,17,0,1)</f>
        <v>9.5138888888888884E-2</v>
      </c>
      <c r="FA13" s="962">
        <f>[1]!mbtool(2,17,0,1)</f>
        <v>9.5138888888888884E-2</v>
      </c>
      <c r="FB13" s="962">
        <f>[1]!mbtool(2,17,0,1)</f>
        <v>9.5138888888888884E-2</v>
      </c>
      <c r="FC13" s="962">
        <f>[1]!mbtool(2,17,0,1)</f>
        <v>9.5138888888888884E-2</v>
      </c>
      <c r="FD13" s="962">
        <f>[1]!mbtool(2,17,0,1)</f>
        <v>9.5138888888888884E-2</v>
      </c>
      <c r="FE13" s="962">
        <f>[1]!mbtool(2,17,0,1)</f>
        <v>9.5138888888888884E-2</v>
      </c>
      <c r="FF13" s="962">
        <f>[1]!mbtool(2,17,0,1)</f>
        <v>9.5138888888888884E-2</v>
      </c>
      <c r="FG13" s="962">
        <f>[1]!mbtool(2,17,0,1)</f>
        <v>9.5138888888888884E-2</v>
      </c>
      <c r="FH13" s="962">
        <f>[1]!mbtool(2,17,0,1)</f>
        <v>9.5138888888888884E-2</v>
      </c>
      <c r="FI13" s="962">
        <f>[1]!mbtool(2,17,0,1)</f>
        <v>9.5138888888888884E-2</v>
      </c>
      <c r="FJ13" s="962">
        <f>[1]!mbtool(2,17,0,1)</f>
        <v>9.5138888888888884E-2</v>
      </c>
      <c r="FK13" s="962">
        <f>[1]!mbtool(2,17,0,1)</f>
        <v>9.5138888888888884E-2</v>
      </c>
      <c r="FL13" s="962">
        <f>[1]!mbtool(2,17,0,1)</f>
        <v>9.5138888888888884E-2</v>
      </c>
      <c r="FM13" s="962">
        <f>[1]!mbtool(2,17,0,1)</f>
        <v>9.5138888888888884E-2</v>
      </c>
      <c r="FN13" s="962">
        <f>[1]!mbtool(2,17,0,1)</f>
        <v>9.5138888888888884E-2</v>
      </c>
      <c r="FO13" s="962">
        <f>[1]!mbtool(2,17,0,1)</f>
        <v>9.5138888888888884E-2</v>
      </c>
      <c r="FP13" s="962">
        <f>[1]!mbtool(2,17,0,1)</f>
        <v>9.5138888888888884E-2</v>
      </c>
      <c r="FQ13" s="962">
        <f>[1]!mbtool(2,17,0,1)</f>
        <v>9.5138888888888884E-2</v>
      </c>
      <c r="FR13" s="962">
        <f>[1]!mbtool(2,17,0,1)</f>
        <v>9.5138888888888884E-2</v>
      </c>
      <c r="FS13" s="962">
        <f>[1]!mbtool(2,17,0,1)</f>
        <v>9.5138888888888884E-2</v>
      </c>
      <c r="FT13" s="962">
        <f>[1]!mbtool(2,17,0,1)</f>
        <v>9.5138888888888884E-2</v>
      </c>
      <c r="FU13" s="962">
        <f>[1]!mbtool(2,17,0,1)</f>
        <v>9.5138888888888884E-2</v>
      </c>
      <c r="FV13" s="962">
        <f>[1]!mbtool(2,17,0,1)</f>
        <v>9.5138888888888884E-2</v>
      </c>
      <c r="FW13" s="962">
        <f>[1]!mbtool(2,17,0,1)</f>
        <v>9.5138888888888884E-2</v>
      </c>
      <c r="FX13" s="962">
        <f>[1]!mbtool(2,17,0,1)</f>
        <v>9.5138888888888884E-2</v>
      </c>
      <c r="FY13" s="962">
        <f>[1]!mbtool(2,17,0,1)</f>
        <v>9.5138888888888884E-2</v>
      </c>
      <c r="FZ13" s="962">
        <f>[1]!mbtool(2,17,0,1)</f>
        <v>9.5138888888888884E-2</v>
      </c>
      <c r="GA13" s="962">
        <f>[1]!mbtool(2,17,0,1)</f>
        <v>9.5138888888888884E-2</v>
      </c>
      <c r="GB13" s="962">
        <f>[1]!mbtool(2,17,0,1)</f>
        <v>9.5138888888888884E-2</v>
      </c>
      <c r="GC13" s="962">
        <f>[1]!mbtool(2,17,0,1)</f>
        <v>9.5138888888888884E-2</v>
      </c>
      <c r="GD13" s="962">
        <f>[1]!mbtool(2,17,0,1)</f>
        <v>9.5138888888888884E-2</v>
      </c>
      <c r="GE13" s="962">
        <f>[1]!mbtool(2,17,0,1)</f>
        <v>9.5138888888888884E-2</v>
      </c>
      <c r="GF13" s="962">
        <f>[1]!mbtool(2,17,0,1)</f>
        <v>9.5138888888888884E-2</v>
      </c>
      <c r="GG13" s="962">
        <f>[1]!mbtool(2,17,0,1)</f>
        <v>9.5138888888888884E-2</v>
      </c>
      <c r="GH13" s="962">
        <f>[1]!mbtool(2,17,0,1)</f>
        <v>9.5138888888888884E-2</v>
      </c>
      <c r="GI13" s="962">
        <f>[1]!mbtool(2,17,0,1)</f>
        <v>9.5138888888888884E-2</v>
      </c>
      <c r="GJ13" s="962">
        <f>[1]!mbtool(2,17,0,1)</f>
        <v>9.5138888888888884E-2</v>
      </c>
      <c r="GK13" s="962">
        <f>[1]!mbtool(2,17,0,1)</f>
        <v>9.5138888888888884E-2</v>
      </c>
      <c r="GL13" s="962">
        <f>[1]!mbtool(2,17,0,1)</f>
        <v>9.5138888888888884E-2</v>
      </c>
      <c r="GM13" s="962">
        <f>[1]!mbtool(2,17,0,1)</f>
        <v>9.5138888888888884E-2</v>
      </c>
      <c r="GN13" s="962">
        <f>[1]!mbtool(2,17,0,1)</f>
        <v>9.5138888888888884E-2</v>
      </c>
      <c r="GO13" s="962">
        <f>[1]!mbtool(2,17,0,1)</f>
        <v>9.5138888888888884E-2</v>
      </c>
      <c r="GP13" s="962">
        <f>[1]!mbtool(2,17,0,1)</f>
        <v>9.5138888888888884E-2</v>
      </c>
      <c r="GQ13" s="962">
        <f>[1]!mbtool(2,17,0,1)</f>
        <v>9.5138888888888884E-2</v>
      </c>
      <c r="GR13" s="962">
        <f>[1]!mbtool(2,17,0,1)</f>
        <v>9.5138888888888884E-2</v>
      </c>
      <c r="GS13" s="962">
        <f>[1]!mbtool(2,17,0,1)</f>
        <v>9.5138888888888884E-2</v>
      </c>
      <c r="GT13" s="962">
        <f>[1]!mbtool(2,17,0,1)</f>
        <v>9.5138888888888884E-2</v>
      </c>
      <c r="GU13" s="962">
        <f>[1]!mbtool(2,17,0,1)</f>
        <v>9.5138888888888884E-2</v>
      </c>
      <c r="GV13" s="962">
        <f>[1]!mbtool(2,17,0,1)</f>
        <v>9.5138888888888884E-2</v>
      </c>
      <c r="GW13" s="962">
        <f>[1]!mbtool(2,17,0,1)</f>
        <v>9.5138888888888884E-2</v>
      </c>
      <c r="GX13" s="962">
        <f>[1]!mbtool(2,17,0,1)</f>
        <v>9.5138888888888884E-2</v>
      </c>
      <c r="GY13" s="962">
        <f>[1]!mbtool(2,17,0,1)</f>
        <v>9.5138888888888884E-2</v>
      </c>
      <c r="GZ13" s="962">
        <f>[1]!mbtool(2,17,0,1)</f>
        <v>9.5138888888888884E-2</v>
      </c>
      <c r="HA13" s="962">
        <f>[1]!mbtool(2,17,0,1)</f>
        <v>9.5138888888888884E-2</v>
      </c>
      <c r="HB13" s="962">
        <f>[1]!mbtool(2,17,0,1)</f>
        <v>9.5138888888888884E-2</v>
      </c>
      <c r="HC13" s="962">
        <f>[1]!mbtool(2,17,0,1)</f>
        <v>9.5138888888888884E-2</v>
      </c>
      <c r="HD13" s="962">
        <f>[1]!mbtool(2,17,0,1)</f>
        <v>9.5138888888888884E-2</v>
      </c>
      <c r="HE13" s="962">
        <f>[1]!mbtool(2,17,0,1)</f>
        <v>9.5138888888888884E-2</v>
      </c>
      <c r="HF13" s="962">
        <f>[1]!mbtool(2,17,0,1)</f>
        <v>9.5138888888888884E-2</v>
      </c>
      <c r="HG13" s="962">
        <f>[1]!mbtool(2,17,0,1)</f>
        <v>9.5138888888888884E-2</v>
      </c>
      <c r="HH13" s="962">
        <f>[1]!mbtool(2,17,0,1)</f>
        <v>9.5138888888888884E-2</v>
      </c>
      <c r="HI13" s="962">
        <f>[1]!mbtool(2,17,0,1)</f>
        <v>9.5138888888888884E-2</v>
      </c>
      <c r="HJ13" s="962">
        <f>[1]!mbtool(2,17,0,1)</f>
        <v>9.5138888888888884E-2</v>
      </c>
      <c r="HK13" s="962">
        <f>[1]!mbtool(2,17,0,1)</f>
        <v>9.5138888888888884E-2</v>
      </c>
      <c r="HL13" s="962">
        <f>[1]!mbtool(2,17,0,1)</f>
        <v>9.5138888888888884E-2</v>
      </c>
      <c r="HM13" s="962">
        <f>[1]!mbtool(2,17,0,1)</f>
        <v>9.5138888888888884E-2</v>
      </c>
      <c r="HN13" s="962">
        <f>[1]!mbtool(2,17,0,1)</f>
        <v>9.5138888888888884E-2</v>
      </c>
      <c r="HO13" s="962">
        <f>[1]!mbtool(2,17,0,1)</f>
        <v>9.5138888888888884E-2</v>
      </c>
      <c r="HP13" s="962">
        <f>[1]!mbtool(2,17,0,1)</f>
        <v>9.5138888888888884E-2</v>
      </c>
      <c r="HQ13" s="962">
        <f>[1]!mbtool(2,17,0,1)</f>
        <v>9.5138888888888884E-2</v>
      </c>
      <c r="HR13" s="962">
        <f>[1]!mbtool(2,17,0,1)</f>
        <v>9.5138888888888884E-2</v>
      </c>
      <c r="HS13" s="962">
        <f>[1]!mbtool(2,17,0,1)</f>
        <v>9.5138888888888884E-2</v>
      </c>
      <c r="HT13" s="962">
        <f>[1]!mbtool(2,17,0,1)</f>
        <v>9.5138888888888884E-2</v>
      </c>
      <c r="HU13" s="962">
        <f>[1]!mbtool(2,17,0,1)</f>
        <v>9.5138888888888884E-2</v>
      </c>
      <c r="HV13" s="962">
        <f>[1]!mbtool(2,17,0,1)</f>
        <v>9.5138888888888884E-2</v>
      </c>
      <c r="HW13" s="962">
        <f>[1]!mbtool(2,17,0,1)</f>
        <v>9.5138888888888884E-2</v>
      </c>
      <c r="HX13" s="962">
        <f>[1]!mbtool(2,17,0,1)</f>
        <v>9.5138888888888884E-2</v>
      </c>
      <c r="HY13" s="962">
        <f>[1]!mbtool(2,17,0,1)</f>
        <v>9.5138888888888884E-2</v>
      </c>
      <c r="HZ13" s="962">
        <f>[1]!mbtool(2,17,0,1)</f>
        <v>9.5138888888888884E-2</v>
      </c>
      <c r="IA13" s="962">
        <f>[1]!mbtool(2,17,0,1)</f>
        <v>9.5138888888888884E-2</v>
      </c>
      <c r="IB13" s="962">
        <f>[1]!mbtool(2,17,0,1)</f>
        <v>9.5138888888888884E-2</v>
      </c>
      <c r="IC13" s="962">
        <f>[1]!mbtool(2,17,0,1)</f>
        <v>9.5138888888888884E-2</v>
      </c>
      <c r="ID13" s="962">
        <f>[1]!mbtool(2,17,0,1)</f>
        <v>9.5138888888888884E-2</v>
      </c>
      <c r="IE13" s="962">
        <f>[1]!mbtool(2,17,0,1)</f>
        <v>9.5138888888888884E-2</v>
      </c>
      <c r="IF13" s="962">
        <f>[1]!mbtool(2,17,0,1)</f>
        <v>9.5138888888888884E-2</v>
      </c>
      <c r="IG13" s="962">
        <f>[1]!mbtool(2,17,0,1)</f>
        <v>9.5138888888888884E-2</v>
      </c>
      <c r="IH13" s="962">
        <f>[1]!mbtool(2,17,0,1)</f>
        <v>9.5138888888888884E-2</v>
      </c>
      <c r="II13" s="962">
        <f>[1]!mbtool(2,17,0,1)</f>
        <v>9.5138888888888884E-2</v>
      </c>
      <c r="IJ13" s="962">
        <f>[1]!mbtool(2,17,0,1)</f>
        <v>9.5138888888888884E-2</v>
      </c>
      <c r="IK13" s="962">
        <f>[1]!mbtool(2,17,0,1)</f>
        <v>9.5138888888888884E-2</v>
      </c>
      <c r="IL13" s="962">
        <f>[1]!mbtool(2,17,0,1)</f>
        <v>9.5138888888888884E-2</v>
      </c>
      <c r="IM13" s="962">
        <f>[1]!mbtool(2,17,0,1)</f>
        <v>9.5138888888888884E-2</v>
      </c>
      <c r="IN13" s="962">
        <f>[1]!mbtool(2,17,0,1)</f>
        <v>9.5138888888888884E-2</v>
      </c>
      <c r="IO13" s="962">
        <f>[1]!mbtool(2,17,0,1)</f>
        <v>9.5138888888888884E-2</v>
      </c>
      <c r="IP13" s="962">
        <f>[1]!mbtool(2,17,0,1)</f>
        <v>9.5138888888888884E-2</v>
      </c>
      <c r="IQ13" s="962">
        <f>[1]!mbtool(2,17,0,1)</f>
        <v>9.5138888888888884E-2</v>
      </c>
      <c r="IR13" s="962">
        <f>[1]!mbtool(2,17,0,1)</f>
        <v>9.5138888888888884E-2</v>
      </c>
      <c r="IS13" s="962">
        <f>[1]!mbtool(2,17,0,1)</f>
        <v>9.5138888888888884E-2</v>
      </c>
      <c r="IT13" s="962">
        <f>[1]!mbtool(2,17,0,1)</f>
        <v>9.5138888888888884E-2</v>
      </c>
      <c r="IU13" s="962">
        <f>[1]!mbtool(2,17,0,1)</f>
        <v>9.5138888888888884E-2</v>
      </c>
      <c r="IV13" s="962">
        <f>[1]!mbtool(2,17,0,1)</f>
        <v>9.5138888888888884E-2</v>
      </c>
      <c r="IW13" s="962">
        <f>[1]!mbtool(2,17,0,1)</f>
        <v>9.5138888888888884E-2</v>
      </c>
      <c r="IX13" s="962">
        <f>[1]!mbtool(2,17,0,1)</f>
        <v>9.5138888888888884E-2</v>
      </c>
      <c r="IY13" s="962">
        <f>[1]!mbtool(2,17,0,1)</f>
        <v>9.5138888888888884E-2</v>
      </c>
      <c r="IZ13" s="962">
        <f>[1]!mbtool(2,17,0,1)</f>
        <v>9.5138888888888884E-2</v>
      </c>
      <c r="JA13" s="962">
        <f>[1]!mbtool(2,17,0,1)</f>
        <v>9.5138888888888884E-2</v>
      </c>
      <c r="JB13" s="962">
        <f>[1]!mbtool(2,17,0,1)</f>
        <v>9.5138888888888884E-2</v>
      </c>
      <c r="JC13" s="962">
        <f>[1]!mbtool(2,17,0,1)</f>
        <v>9.5138888888888884E-2</v>
      </c>
      <c r="JD13" s="962">
        <f>[1]!mbtool(2,17,0,1)</f>
        <v>9.5138888888888884E-2</v>
      </c>
      <c r="JE13" s="962">
        <f>[1]!mbtool(2,17,0,1)</f>
        <v>9.5138888888888884E-2</v>
      </c>
      <c r="JF13" s="962">
        <f>[1]!mbtool(2,17,0,1)</f>
        <v>9.5138888888888884E-2</v>
      </c>
      <c r="JG13" s="962">
        <f>[1]!mbtool(2,17,0,1)</f>
        <v>9.5138888888888884E-2</v>
      </c>
      <c r="JH13" s="962">
        <f>[1]!mbtool(2,17,0,1)</f>
        <v>9.5138888888888884E-2</v>
      </c>
      <c r="JI13" s="962">
        <f>[1]!mbtool(2,17,0,1)</f>
        <v>9.5138888888888884E-2</v>
      </c>
      <c r="JJ13" s="962">
        <f>[1]!mbtool(2,17,0,1)</f>
        <v>9.5138888888888884E-2</v>
      </c>
      <c r="JK13" s="962">
        <f>[1]!mbtool(2,17,0,1)</f>
        <v>9.5138888888888884E-2</v>
      </c>
      <c r="JL13" s="962">
        <f>[1]!mbtool(2,17,0,1)</f>
        <v>9.5138888888888884E-2</v>
      </c>
      <c r="JM13" s="962">
        <f>[1]!mbtool(2,17,0,1)</f>
        <v>9.5138888888888884E-2</v>
      </c>
      <c r="JN13" s="962">
        <f>[1]!mbtool(2,17,0,1)</f>
        <v>9.5138888888888884E-2</v>
      </c>
      <c r="JO13" s="962">
        <f>[1]!mbtool(2,17,0,1)</f>
        <v>9.5138888888888884E-2</v>
      </c>
      <c r="JP13" s="962">
        <f>[1]!mbtool(2,17,0,1)</f>
        <v>9.5138888888888884E-2</v>
      </c>
      <c r="JQ13" s="962">
        <f>[1]!mbtool(2,17,0,1)</f>
        <v>9.5138888888888884E-2</v>
      </c>
      <c r="JR13" s="962">
        <f>[1]!mbtool(2,17,0,1)</f>
        <v>9.5138888888888884E-2</v>
      </c>
      <c r="JS13" s="962">
        <f>[1]!mbtool(2,17,0,1)</f>
        <v>9.5138888888888884E-2</v>
      </c>
      <c r="JT13" s="962">
        <f>[1]!mbtool(2,17,0,1)</f>
        <v>9.5138888888888884E-2</v>
      </c>
      <c r="JU13" s="962">
        <f>[1]!mbtool(2,17,0,1)</f>
        <v>9.5138888888888884E-2</v>
      </c>
      <c r="JV13" s="962">
        <f>[1]!mbtool(2,17,0,1)</f>
        <v>9.5138888888888884E-2</v>
      </c>
      <c r="JW13" s="962">
        <f>[1]!mbtool(2,17,0,1)</f>
        <v>9.5138888888888884E-2</v>
      </c>
      <c r="JX13" s="962">
        <f>[1]!mbtool(2,17,0,1)</f>
        <v>9.5138888888888884E-2</v>
      </c>
      <c r="JY13" s="962">
        <f>[1]!mbtool(2,17,0,1)</f>
        <v>9.5138888888888884E-2</v>
      </c>
      <c r="JZ13" s="962">
        <f>[1]!mbtool(2,17,0,1)</f>
        <v>9.5138888888888884E-2</v>
      </c>
      <c r="KA13" s="962">
        <f>[1]!mbtool(2,17,0,1)</f>
        <v>9.5138888888888884E-2</v>
      </c>
      <c r="KB13" s="962">
        <f>[1]!mbtool(2,17,0,1)</f>
        <v>9.5138888888888884E-2</v>
      </c>
      <c r="KC13" s="962">
        <f>[1]!mbtool(2,17,0,1)</f>
        <v>9.5138888888888884E-2</v>
      </c>
      <c r="KD13" s="962">
        <f>[1]!mbtool(2,17,0,1)</f>
        <v>9.5138888888888884E-2</v>
      </c>
      <c r="KE13" s="962">
        <f>[1]!mbtool(2,17,0,1)</f>
        <v>9.5138888888888884E-2</v>
      </c>
      <c r="KF13" s="962">
        <f>[1]!mbtool(2,17,0,1)</f>
        <v>9.5138888888888884E-2</v>
      </c>
      <c r="KG13" s="962">
        <f>[1]!mbtool(2,17,0,1)</f>
        <v>9.5138888888888884E-2</v>
      </c>
      <c r="KH13" s="962">
        <f>[1]!mbtool(2,17,0,1)</f>
        <v>9.5138888888888884E-2</v>
      </c>
      <c r="KI13" s="962">
        <f>[1]!mbtool(2,17,0,1)</f>
        <v>9.5138888888888884E-2</v>
      </c>
      <c r="KJ13" s="962">
        <f>[1]!mbtool(2,17,0,1)</f>
        <v>9.5138888888888884E-2</v>
      </c>
      <c r="KK13" s="962">
        <f>[1]!mbtool(2,17,0,1)</f>
        <v>9.5138888888888884E-2</v>
      </c>
      <c r="KL13" s="962">
        <f>[1]!mbtool(2,17,0,1)</f>
        <v>9.5138888888888884E-2</v>
      </c>
      <c r="KM13" s="962">
        <f>[1]!mbtool(2,17,0,1)</f>
        <v>9.5138888888888884E-2</v>
      </c>
      <c r="KN13" s="962">
        <f>[1]!mbtool(2,17,0,1)</f>
        <v>9.5138888888888884E-2</v>
      </c>
      <c r="KO13" s="962">
        <f>[1]!mbtool(2,17,0,1)</f>
        <v>9.5138888888888884E-2</v>
      </c>
      <c r="KP13" s="962">
        <f>[1]!mbtool(2,17,0,1)</f>
        <v>9.5138888888888884E-2</v>
      </c>
      <c r="KQ13" s="962">
        <f>[1]!mbtool(2,17,0,1)</f>
        <v>9.5138888888888884E-2</v>
      </c>
      <c r="KR13" s="962">
        <f>[1]!mbtool(2,17,0,1)</f>
        <v>9.5138888888888884E-2</v>
      </c>
      <c r="KS13" s="962">
        <f>[1]!mbtool(2,17,0,1)</f>
        <v>9.5138888888888884E-2</v>
      </c>
      <c r="KT13" s="962">
        <f>[1]!mbtool(2,17,0,1)</f>
        <v>9.5138888888888884E-2</v>
      </c>
      <c r="KU13" s="962">
        <f>[1]!mbtool(2,17,0,1)</f>
        <v>9.5138888888888884E-2</v>
      </c>
      <c r="KV13" s="962">
        <f>[1]!mbtool(2,17,0,1)</f>
        <v>9.5138888888888884E-2</v>
      </c>
      <c r="KW13" s="962">
        <f>[1]!mbtool(2,17,0,1)</f>
        <v>9.5138888888888884E-2</v>
      </c>
      <c r="KX13" s="962">
        <f>[1]!mbtool(2,17,0,1)</f>
        <v>9.5138888888888884E-2</v>
      </c>
      <c r="KY13" s="962">
        <f>[1]!mbtool(2,17,0,1)</f>
        <v>9.5138888888888884E-2</v>
      </c>
      <c r="KZ13" s="962">
        <f>[1]!mbtool(2,17,0,1)</f>
        <v>9.5138888888888884E-2</v>
      </c>
      <c r="LA13" s="962">
        <f>[1]!mbtool(2,17,0,1)</f>
        <v>9.5138888888888884E-2</v>
      </c>
      <c r="LB13" s="962">
        <f>[1]!mbtool(2,17,0,1)</f>
        <v>9.5138888888888884E-2</v>
      </c>
      <c r="LC13" s="962">
        <f>[1]!mbtool(2,17,0,1)</f>
        <v>9.5138888888888884E-2</v>
      </c>
      <c r="LD13" s="962">
        <f>[1]!mbtool(2,17,0,1)</f>
        <v>9.5138888888888884E-2</v>
      </c>
      <c r="LE13" s="962">
        <f>[1]!mbtool(2,17,0,1)</f>
        <v>9.5138888888888884E-2</v>
      </c>
      <c r="LF13" s="962">
        <f>[1]!mbtool(2,17,0,1)</f>
        <v>9.5138888888888884E-2</v>
      </c>
      <c r="LG13" s="962">
        <f>[1]!mbtool(2,17,0,1)</f>
        <v>9.5138888888888884E-2</v>
      </c>
      <c r="LH13" s="962">
        <f>[1]!mbtool(2,17,0,1)</f>
        <v>9.5138888888888884E-2</v>
      </c>
      <c r="LI13" s="962">
        <f>[1]!mbtool(2,17,0,1)</f>
        <v>9.5138888888888884E-2</v>
      </c>
      <c r="LJ13" s="962">
        <f>[1]!mbtool(2,17,0,1)</f>
        <v>9.5138888888888884E-2</v>
      </c>
      <c r="LK13" s="962">
        <f>[1]!mbtool(2,17,0,1)</f>
        <v>9.5138888888888884E-2</v>
      </c>
      <c r="LL13" s="962">
        <f>[1]!mbtool(2,17,0,1)</f>
        <v>9.5138888888888884E-2</v>
      </c>
      <c r="LM13" s="962">
        <f>[1]!mbtool(2,17,0,1)</f>
        <v>9.5138888888888884E-2</v>
      </c>
      <c r="LN13" s="962">
        <f>[1]!mbtool(2,17,0,1)</f>
        <v>9.5138888888888884E-2</v>
      </c>
      <c r="LO13" s="962">
        <f>[1]!mbtool(2,17,0,1)</f>
        <v>9.5138888888888884E-2</v>
      </c>
      <c r="LP13" s="962">
        <f>[1]!mbtool(2,17,0,1)</f>
        <v>9.5138888888888884E-2</v>
      </c>
      <c r="LQ13" s="962">
        <f>[1]!mbtool(2,17,0,1)</f>
        <v>9.5138888888888884E-2</v>
      </c>
      <c r="LR13" s="962">
        <f>[1]!mbtool(2,17,0,1)</f>
        <v>9.5138888888888884E-2</v>
      </c>
      <c r="LS13" s="962">
        <f>[1]!mbtool(2,17,0,1)</f>
        <v>9.5138888888888884E-2</v>
      </c>
      <c r="LT13" s="962">
        <f>[1]!mbtool(2,17,0,1)</f>
        <v>9.5138888888888884E-2</v>
      </c>
      <c r="LU13" s="962">
        <f>[1]!mbtool(2,17,0,1)</f>
        <v>9.5138888888888884E-2</v>
      </c>
      <c r="LV13" s="962">
        <f>[1]!mbtool(2,17,0,1)</f>
        <v>9.5138888888888884E-2</v>
      </c>
      <c r="LW13" s="962">
        <f>[1]!mbtool(2,17,0,1)</f>
        <v>9.5138888888888884E-2</v>
      </c>
      <c r="LX13" s="962">
        <f>[1]!mbtool(2,17,0,1)</f>
        <v>9.5138888888888884E-2</v>
      </c>
      <c r="LY13" s="962">
        <f>[1]!mbtool(2,17,0,1)</f>
        <v>9.5138888888888884E-2</v>
      </c>
      <c r="LZ13" s="962">
        <f>[1]!mbtool(2,17,0,1)</f>
        <v>9.5138888888888884E-2</v>
      </c>
      <c r="MA13" s="962">
        <f>[1]!mbtool(2,17,0,1)</f>
        <v>9.5138888888888884E-2</v>
      </c>
      <c r="MB13" s="962">
        <f>[1]!mbtool(2,17,0,1)</f>
        <v>9.5138888888888884E-2</v>
      </c>
      <c r="MC13" s="962">
        <f>[1]!mbtool(2,17,0,1)</f>
        <v>9.5138888888888884E-2</v>
      </c>
      <c r="MD13" s="962">
        <f>[1]!mbtool(2,17,0,1)</f>
        <v>9.5138888888888884E-2</v>
      </c>
      <c r="ME13" s="962">
        <f>[1]!mbtool(2,17,0,1)</f>
        <v>9.5138888888888884E-2</v>
      </c>
      <c r="MF13" s="962">
        <f>[1]!mbtool(2,17,0,1)</f>
        <v>9.5138888888888884E-2</v>
      </c>
      <c r="MG13" s="962">
        <f>[1]!mbtool(2,17,0,1)</f>
        <v>9.5138888888888884E-2</v>
      </c>
      <c r="MH13" s="962">
        <f>[1]!mbtool(2,17,0,1)</f>
        <v>9.5138888888888884E-2</v>
      </c>
      <c r="MI13" s="962">
        <f>[1]!mbtool(2,17,0,1)</f>
        <v>9.5138888888888884E-2</v>
      </c>
      <c r="MJ13" s="962">
        <f>[1]!mbtool(2,17,0,1)</f>
        <v>9.5138888888888884E-2</v>
      </c>
      <c r="MK13" s="962">
        <f>[1]!mbtool(2,17,0,1)</f>
        <v>9.5138888888888884E-2</v>
      </c>
      <c r="ML13" s="962">
        <f>[1]!mbtool(2,17,0,1)</f>
        <v>9.5138888888888884E-2</v>
      </c>
      <c r="MM13" s="962">
        <f>[1]!mbtool(2,17,0,1)</f>
        <v>9.5138888888888884E-2</v>
      </c>
      <c r="MN13" s="962">
        <f>[1]!mbtool(2,17,0,1)</f>
        <v>9.5138888888888884E-2</v>
      </c>
      <c r="MO13" s="962">
        <f>[1]!mbtool(2,17,0,1)</f>
        <v>9.5138888888888884E-2</v>
      </c>
      <c r="MP13" s="962">
        <f>[1]!mbtool(2,17,0,1)</f>
        <v>9.5138888888888884E-2</v>
      </c>
      <c r="MQ13" s="962">
        <f>[1]!mbtool(2,17,0,1)</f>
        <v>9.5138888888888884E-2</v>
      </c>
      <c r="MR13" s="962">
        <f>[1]!mbtool(2,17,0,1)</f>
        <v>9.5138888888888884E-2</v>
      </c>
      <c r="MS13" s="962">
        <f>[1]!mbtool(2,17,0,1)</f>
        <v>9.5138888888888884E-2</v>
      </c>
      <c r="MT13" s="962">
        <f>[1]!mbtool(2,17,0,1)</f>
        <v>9.5138888888888884E-2</v>
      </c>
      <c r="MU13" s="962">
        <f>[1]!mbtool(2,17,0,1)</f>
        <v>9.5138888888888884E-2</v>
      </c>
      <c r="MV13" s="962">
        <f>[1]!mbtool(2,17,0,1)</f>
        <v>9.5138888888888884E-2</v>
      </c>
      <c r="MW13" s="962">
        <f>[1]!mbtool(2,17,0,1)</f>
        <v>9.5138888888888884E-2</v>
      </c>
      <c r="MX13" s="962">
        <f>[1]!mbtool(2,17,0,1)</f>
        <v>9.5138888888888884E-2</v>
      </c>
      <c r="MY13" s="962">
        <f>[1]!mbtool(2,17,0,1)</f>
        <v>9.5138888888888884E-2</v>
      </c>
      <c r="MZ13" s="962">
        <f>[1]!mbtool(2,17,0,1)</f>
        <v>9.5138888888888884E-2</v>
      </c>
      <c r="NA13" s="962">
        <f>[1]!mbtool(2,17,0,1)</f>
        <v>9.5138888888888884E-2</v>
      </c>
      <c r="NB13" s="962">
        <f>[1]!mbtool(2,17,0,1)</f>
        <v>9.5138888888888884E-2</v>
      </c>
      <c r="NC13" s="962">
        <f>[1]!mbtool(2,17,0,1)</f>
        <v>9.5138888888888884E-2</v>
      </c>
      <c r="ND13" s="962">
        <f>[1]!mbtool(2,17,0,1)</f>
        <v>9.5138888888888884E-2</v>
      </c>
      <c r="NE13" s="962">
        <f>[1]!mbtool(2,17,0,1)</f>
        <v>9.5138888888888884E-2</v>
      </c>
      <c r="NF13" s="962">
        <f>[1]!mbtool(2,17,0,1)</f>
        <v>9.5138888888888884E-2</v>
      </c>
      <c r="NG13" s="962">
        <f>[1]!mbtool(2,17,0,1)</f>
        <v>9.5138888888888884E-2</v>
      </c>
      <c r="NH13" s="962">
        <f>[1]!mbtool(2,17,0,1)</f>
        <v>9.5138888888888884E-2</v>
      </c>
      <c r="NI13" s="962">
        <f>[1]!mbtool(2,17,0,1)</f>
        <v>9.5138888888888884E-2</v>
      </c>
      <c r="NJ13" s="962">
        <f>[1]!mbtool(2,17,0,1)</f>
        <v>9.5138888888888884E-2</v>
      </c>
      <c r="NK13" s="962">
        <f>[1]!mbtool(2,17,0,1)</f>
        <v>9.5138888888888884E-2</v>
      </c>
      <c r="NL13" s="962">
        <f>[1]!mbtool(2,17,0,1)</f>
        <v>9.5138888888888884E-2</v>
      </c>
      <c r="NM13" s="962">
        <f>[1]!mbtool(2,17,0,1)</f>
        <v>9.5138888888888884E-2</v>
      </c>
      <c r="NN13" s="962">
        <f>[1]!mbtool(2,17,0,1)</f>
        <v>9.5138888888888884E-2</v>
      </c>
      <c r="NO13" s="962">
        <f>[1]!mbtool(2,17,0,1)</f>
        <v>9.5138888888888884E-2</v>
      </c>
      <c r="NP13" s="962">
        <f>[1]!mbtool(2,17,0,1)</f>
        <v>9.5138888888888884E-2</v>
      </c>
      <c r="NQ13" s="962">
        <f>[1]!mbtool(2,17,0,1)</f>
        <v>9.5138888888888884E-2</v>
      </c>
      <c r="NR13" s="962">
        <f>[1]!mbtool(2,17,0,1)</f>
        <v>9.5138888888888884E-2</v>
      </c>
      <c r="NS13" s="962">
        <f>[1]!mbtool(2,17,0,1)</f>
        <v>9.5138888888888884E-2</v>
      </c>
      <c r="NT13" s="962">
        <f>[1]!mbtool(2,17,0,1)</f>
        <v>9.5138888888888884E-2</v>
      </c>
      <c r="NU13" s="962">
        <f>[1]!mbtool(2,17,0,1)</f>
        <v>9.5138888888888884E-2</v>
      </c>
      <c r="NV13" s="962">
        <f>[1]!mbtool(2,17,0,1)</f>
        <v>9.5138888888888884E-2</v>
      </c>
      <c r="NW13" s="962">
        <f>[1]!mbtool(2,17,0,1)</f>
        <v>9.5138888888888884E-2</v>
      </c>
      <c r="NX13" s="962">
        <f>[1]!mbtool(2,17,0,1)</f>
        <v>9.5138888888888884E-2</v>
      </c>
      <c r="NY13" s="962">
        <f>[1]!mbtool(2,17,0,1)</f>
        <v>9.5138888888888884E-2</v>
      </c>
      <c r="NZ13" s="962">
        <f>[1]!mbtool(2,17,0,1)</f>
        <v>9.5138888888888884E-2</v>
      </c>
      <c r="OA13" s="962">
        <f>[1]!mbtool(2,17,0,1)</f>
        <v>9.5138888888888884E-2</v>
      </c>
      <c r="OB13" s="962">
        <f>[1]!mbtool(2,17,0,1)</f>
        <v>9.5138888888888884E-2</v>
      </c>
      <c r="OC13" s="962">
        <f>[1]!mbtool(2,17,0,1)</f>
        <v>9.5138888888888884E-2</v>
      </c>
      <c r="OD13" s="962">
        <f>[1]!mbtool(2,17,0,1)</f>
        <v>9.5138888888888884E-2</v>
      </c>
      <c r="OE13" s="962">
        <f>[1]!mbtool(2,17,0,1)</f>
        <v>9.5138888888888884E-2</v>
      </c>
      <c r="OF13" s="962">
        <f>[1]!mbtool(2,17,0,1)</f>
        <v>9.5138888888888884E-2</v>
      </c>
      <c r="OG13" s="962">
        <f>[1]!mbtool(2,17,0,1)</f>
        <v>9.5138888888888884E-2</v>
      </c>
      <c r="OH13" s="962">
        <f>[1]!mbtool(2,17,0,1)</f>
        <v>9.5138888888888884E-2</v>
      </c>
      <c r="OI13" s="962">
        <f>[1]!mbtool(2,17,0,1)</f>
        <v>9.5138888888888884E-2</v>
      </c>
      <c r="OJ13" s="962">
        <f>[1]!mbtool(2,17,0,1)</f>
        <v>9.5138888888888884E-2</v>
      </c>
      <c r="OK13" s="962">
        <f>[1]!mbtool(2,17,0,1)</f>
        <v>9.5138888888888884E-2</v>
      </c>
      <c r="OL13" s="962">
        <f>[1]!mbtool(2,17,0,1)</f>
        <v>9.5138888888888884E-2</v>
      </c>
      <c r="OM13" s="962">
        <f>[1]!mbtool(2,17,0,1)</f>
        <v>9.5138888888888884E-2</v>
      </c>
      <c r="ON13" s="962">
        <f>[1]!mbtool(2,17,0,1)</f>
        <v>9.5138888888888884E-2</v>
      </c>
      <c r="OO13" s="962">
        <f>[1]!mbtool(2,17,0,1)</f>
        <v>9.5138888888888884E-2</v>
      </c>
      <c r="OP13" s="962">
        <f>[1]!mbtool(2,17,0,1)</f>
        <v>9.5138888888888884E-2</v>
      </c>
      <c r="OQ13" s="962">
        <f>[1]!mbtool(2,17,0,1)</f>
        <v>9.5138888888888884E-2</v>
      </c>
      <c r="OR13" s="962">
        <f>[1]!mbtool(2,17,0,1)</f>
        <v>9.5138888888888884E-2</v>
      </c>
      <c r="OS13" s="962">
        <f>[1]!mbtool(2,17,0,1)</f>
        <v>9.5138888888888884E-2</v>
      </c>
      <c r="OT13" s="962">
        <f>[1]!mbtool(2,17,0,1)</f>
        <v>9.5138888888888884E-2</v>
      </c>
      <c r="OU13" s="962">
        <f>[1]!mbtool(2,17,0,1)</f>
        <v>9.5138888888888884E-2</v>
      </c>
      <c r="OV13" s="962">
        <f>[1]!mbtool(2,17,0,1)</f>
        <v>9.5138888888888884E-2</v>
      </c>
      <c r="OW13" s="962">
        <f>[1]!mbtool(2,17,0,1)</f>
        <v>9.5138888888888884E-2</v>
      </c>
      <c r="OX13" s="962">
        <f>[1]!mbtool(2,17,0,1)</f>
        <v>9.5138888888888884E-2</v>
      </c>
      <c r="OY13" s="962">
        <f>[1]!mbtool(2,17,0,1)</f>
        <v>9.5138888888888884E-2</v>
      </c>
      <c r="OZ13" s="962">
        <f>[1]!mbtool(2,17,0,1)</f>
        <v>9.5138888888888884E-2</v>
      </c>
      <c r="PA13" s="962">
        <f>[1]!mbtool(2,17,0,1)</f>
        <v>9.5138888888888884E-2</v>
      </c>
      <c r="PB13" s="962">
        <f>[1]!mbtool(2,17,0,1)</f>
        <v>9.5138888888888884E-2</v>
      </c>
      <c r="PC13" s="962">
        <f>[1]!mbtool(2,17,0,1)</f>
        <v>9.5138888888888884E-2</v>
      </c>
      <c r="PD13" s="962">
        <f>[1]!mbtool(2,17,0,1)</f>
        <v>9.5138888888888884E-2</v>
      </c>
      <c r="PE13" s="962">
        <f>[1]!mbtool(2,17,0,1)</f>
        <v>9.5138888888888884E-2</v>
      </c>
      <c r="PF13" s="962">
        <f>[1]!mbtool(2,17,0,1)</f>
        <v>9.5138888888888884E-2</v>
      </c>
      <c r="PG13" s="962">
        <f>[1]!mbtool(2,17,0,1)</f>
        <v>9.5138888888888884E-2</v>
      </c>
      <c r="PH13" s="962">
        <f>[1]!mbtool(2,17,0,1)</f>
        <v>9.5138888888888884E-2</v>
      </c>
      <c r="PI13" s="962">
        <f>[1]!mbtool(2,17,0,1)</f>
        <v>9.5138888888888884E-2</v>
      </c>
      <c r="PJ13" s="962">
        <f>[1]!mbtool(2,17,0,1)</f>
        <v>9.5138888888888884E-2</v>
      </c>
      <c r="PK13" s="962">
        <f>[1]!mbtool(2,17,0,1)</f>
        <v>9.5138888888888884E-2</v>
      </c>
      <c r="PL13" s="962">
        <f>[1]!mbtool(2,17,0,1)</f>
        <v>9.5138888888888884E-2</v>
      </c>
      <c r="PM13" s="962">
        <f>[1]!mbtool(2,17,0,1)</f>
        <v>9.5138888888888884E-2</v>
      </c>
      <c r="PN13" s="962">
        <f>[1]!mbtool(2,17,0,1)</f>
        <v>9.5138888888888884E-2</v>
      </c>
      <c r="PO13" s="962">
        <f>[1]!mbtool(2,17,0,1)</f>
        <v>9.5138888888888884E-2</v>
      </c>
      <c r="PP13" s="962">
        <f>[1]!mbtool(2,17,0,1)</f>
        <v>9.5138888888888884E-2</v>
      </c>
      <c r="PQ13" s="962">
        <f>[1]!mbtool(2,17,0,1)</f>
        <v>9.5138888888888884E-2</v>
      </c>
      <c r="PR13" s="962">
        <f>[1]!mbtool(2,17,0,1)</f>
        <v>9.5138888888888884E-2</v>
      </c>
      <c r="PS13" s="962">
        <f>[1]!mbtool(2,17,0,1)</f>
        <v>9.5138888888888884E-2</v>
      </c>
      <c r="PT13" s="962">
        <f>[1]!mbtool(2,17,0,1)</f>
        <v>9.5138888888888884E-2</v>
      </c>
      <c r="PU13" s="962">
        <f>[1]!mbtool(2,17,0,1)</f>
        <v>9.5138888888888884E-2</v>
      </c>
      <c r="PV13" s="962">
        <f>[1]!mbtool(2,17,0,1)</f>
        <v>9.5138888888888884E-2</v>
      </c>
      <c r="PW13" s="962">
        <f>[1]!mbtool(2,17,0,1)</f>
        <v>9.5138888888888884E-2</v>
      </c>
      <c r="PX13" s="962">
        <f>[1]!mbtool(2,17,0,1)</f>
        <v>9.5138888888888884E-2</v>
      </c>
      <c r="PY13" s="962">
        <f>[1]!mbtool(2,17,0,1)</f>
        <v>9.5138888888888884E-2</v>
      </c>
      <c r="PZ13" s="962">
        <f>[1]!mbtool(2,17,0,1)</f>
        <v>9.5138888888888884E-2</v>
      </c>
      <c r="QA13" s="962">
        <f>[1]!mbtool(2,17,0,1)</f>
        <v>9.5138888888888884E-2</v>
      </c>
      <c r="QB13" s="962">
        <f>[1]!mbtool(2,17,0,1)</f>
        <v>9.5138888888888884E-2</v>
      </c>
      <c r="QC13" s="962">
        <f>[1]!mbtool(2,17,0,1)</f>
        <v>9.5138888888888884E-2</v>
      </c>
      <c r="QD13" s="962">
        <f>[1]!mbtool(2,17,0,1)</f>
        <v>9.5138888888888884E-2</v>
      </c>
      <c r="QE13" s="962">
        <f>[1]!mbtool(2,17,0,1)</f>
        <v>9.5138888888888884E-2</v>
      </c>
      <c r="QF13" s="962">
        <f>[1]!mbtool(2,17,0,1)</f>
        <v>9.5138888888888884E-2</v>
      </c>
      <c r="QG13" s="962">
        <f>[1]!mbtool(2,17,0,1)</f>
        <v>9.5138888888888884E-2</v>
      </c>
      <c r="QH13" s="962">
        <f>[1]!mbtool(2,17,0,1)</f>
        <v>9.5138888888888884E-2</v>
      </c>
      <c r="QI13" s="962">
        <f>[1]!mbtool(2,17,0,1)</f>
        <v>9.5138888888888884E-2</v>
      </c>
      <c r="QJ13" s="962">
        <f>[1]!mbtool(2,17,0,1)</f>
        <v>9.5138888888888884E-2</v>
      </c>
      <c r="QK13" s="962">
        <f>[1]!mbtool(2,17,0,1)</f>
        <v>9.5138888888888884E-2</v>
      </c>
      <c r="QL13" s="962">
        <f>[1]!mbtool(2,17,0,1)</f>
        <v>9.5138888888888884E-2</v>
      </c>
      <c r="QM13" s="962">
        <f>[1]!mbtool(2,17,0,1)</f>
        <v>9.5138888888888884E-2</v>
      </c>
      <c r="QN13" s="962">
        <f>[1]!mbtool(2,17,0,1)</f>
        <v>9.5138888888888884E-2</v>
      </c>
      <c r="QO13" s="962">
        <f>[1]!mbtool(2,17,0,1)</f>
        <v>9.5138888888888884E-2</v>
      </c>
      <c r="QP13" s="962">
        <f>[1]!mbtool(2,17,0,1)</f>
        <v>9.5138888888888884E-2</v>
      </c>
      <c r="QQ13" s="962">
        <f>[1]!mbtool(2,17,0,1)</f>
        <v>9.5138888888888884E-2</v>
      </c>
      <c r="QR13" s="962">
        <f>[1]!mbtool(2,17,0,1)</f>
        <v>9.5138888888888884E-2</v>
      </c>
      <c r="QS13" s="962">
        <f>[1]!mbtool(2,17,0,1)</f>
        <v>9.5138888888888884E-2</v>
      </c>
      <c r="QT13" s="962">
        <f>[1]!mbtool(2,17,0,1)</f>
        <v>9.5138888888888884E-2</v>
      </c>
      <c r="QU13" s="962">
        <f>[1]!mbtool(2,17,0,1)</f>
        <v>9.5138888888888884E-2</v>
      </c>
      <c r="QV13" s="962">
        <f>[1]!mbtool(2,17,0,1)</f>
        <v>9.5138888888888884E-2</v>
      </c>
      <c r="QW13" s="962">
        <f>[1]!mbtool(2,17,0,1)</f>
        <v>9.5138888888888884E-2</v>
      </c>
      <c r="QX13" s="962">
        <f>[1]!mbtool(2,17,0,1)</f>
        <v>9.5138888888888884E-2</v>
      </c>
      <c r="QY13" s="962">
        <f>[1]!mbtool(2,17,0,1)</f>
        <v>9.5138888888888884E-2</v>
      </c>
      <c r="QZ13" s="962">
        <f>[1]!mbtool(2,17,0,1)</f>
        <v>9.5138888888888884E-2</v>
      </c>
      <c r="RA13" s="963"/>
    </row>
    <row r="14" spans="1:471" ht="12.75" customHeight="1" thickBot="1">
      <c r="J14" s="21">
        <f>IF(E16=16,(((C16-1)*M14)+IF(B16=1,0,IF(B16=2,O16,IF(B16=3,P16,IF(B16=4,Q16,IF(B16=5,R16,IF(B16=6,S16,IF(B16=7,T16,IF(B16=8,U16,IF(B16=9,V16,IF(B16=10,W16,IF(B16=11,X16,Y16)))))))))))+A16),0)</f>
        <v>526336.01057989092</v>
      </c>
      <c r="K14" s="3">
        <v>5</v>
      </c>
      <c r="L14" s="3" t="s">
        <v>156</v>
      </c>
      <c r="M14" s="3">
        <v>365.24220026363002</v>
      </c>
      <c r="N14" s="3"/>
      <c r="O14" s="3"/>
      <c r="P14" s="3"/>
      <c r="Q14" s="3"/>
      <c r="R14" s="3"/>
      <c r="S14" s="3"/>
      <c r="T14" s="3"/>
      <c r="U14" s="3"/>
      <c r="V14" s="3"/>
      <c r="W14" s="3"/>
      <c r="X14" s="3"/>
      <c r="Y14" s="3"/>
      <c r="Z14" s="3"/>
      <c r="AA14" s="3"/>
      <c r="AE14" s="210" t="s">
        <v>1383</v>
      </c>
      <c r="AF14" s="211">
        <f>AF12+1</f>
        <v>1400</v>
      </c>
      <c r="AK14" s="759" t="s">
        <v>839</v>
      </c>
      <c r="AL14" s="315" t="e">
        <f t="shared" ref="AL14:AV14" si="82">IF(AL11-AL12&gt;0,AL11-AL12,AL11-AL12+360)</f>
        <v>#VALUE!</v>
      </c>
      <c r="AM14" s="315" t="e">
        <f t="shared" si="82"/>
        <v>#VALUE!</v>
      </c>
      <c r="AN14" s="315" t="e">
        <f t="shared" si="82"/>
        <v>#VALUE!</v>
      </c>
      <c r="AO14" s="315" t="e">
        <f t="shared" si="82"/>
        <v>#VALUE!</v>
      </c>
      <c r="AP14" s="315" t="e">
        <f t="shared" si="82"/>
        <v>#VALUE!</v>
      </c>
      <c r="AQ14" s="315" t="e">
        <f t="shared" si="82"/>
        <v>#VALUE!</v>
      </c>
      <c r="AR14" s="315" t="e">
        <f t="shared" si="82"/>
        <v>#VALUE!</v>
      </c>
      <c r="AS14" s="315" t="e">
        <f t="shared" si="82"/>
        <v>#VALUE!</v>
      </c>
      <c r="AT14" s="315" t="e">
        <f t="shared" si="82"/>
        <v>#VALUE!</v>
      </c>
      <c r="AU14" s="315" t="e">
        <f t="shared" si="82"/>
        <v>#VALUE!</v>
      </c>
      <c r="AV14" s="315" t="e">
        <f t="shared" si="82"/>
        <v>#VALUE!</v>
      </c>
      <c r="AW14" s="315" t="e">
        <f>IF(AW11-AW12&gt;0,AW11-AW12,AW11-AW12+360)</f>
        <v>#VALUE!</v>
      </c>
      <c r="AX14" s="703"/>
      <c r="AZ14" s="732" t="s">
        <v>3594</v>
      </c>
      <c r="BA14" s="731" t="e">
        <f>[1]!bodsava(BA3,BA4,BA12,BA10,BA7,BA8)</f>
        <v>#VALUE!</v>
      </c>
      <c r="BB14" s="113" t="e">
        <f>[1]!bodsava(BB3,BB4,BB12,BB10,BB7,BB8)</f>
        <v>#VALUE!</v>
      </c>
      <c r="BC14" s="113" t="e">
        <f>[1]!bodsava(BC3,BC4,BC12,BC10,BC7,BC8)</f>
        <v>#VALUE!</v>
      </c>
      <c r="BD14" s="113" t="e">
        <f>[1]!bodsava(BD3,BD4,BD12,BD10,BD7,BD8)</f>
        <v>#VALUE!</v>
      </c>
      <c r="BE14" s="113" t="e">
        <f>[1]!bodsava(BE3,BE4,BE12,BE10,BE7,BE8)</f>
        <v>#VALUE!</v>
      </c>
      <c r="BF14" s="113" t="e">
        <f>[1]!bodsava(BF3,BF4,BF12,BF10,BF7,BF8)</f>
        <v>#VALUE!</v>
      </c>
      <c r="BG14" s="113" t="e">
        <f>[1]!bodsava(BG3,BG4,BG12,BG10,BG7,BG8)</f>
        <v>#VALUE!</v>
      </c>
      <c r="BH14" s="113" t="e">
        <f>[1]!bodsava(BH3,BH4,BH12,BH10,BH7,BH8)</f>
        <v>#VALUE!</v>
      </c>
      <c r="BI14" s="113" t="e">
        <f>[1]!bodsava(BI3,BI4,BI12,BI10,BI7,BI8)</f>
        <v>#VALUE!</v>
      </c>
      <c r="BJ14" s="113" t="e">
        <f>[1]!bodsava(BJ3,BJ4,BJ12,BJ10,BJ7,BJ8)</f>
        <v>#VALUE!</v>
      </c>
      <c r="BK14" s="113" t="e">
        <f>[1]!bodsava(BK3,BK4,BK12,BK10,BK7,BK8)</f>
        <v>#VALUE!</v>
      </c>
      <c r="BL14" s="113" t="e">
        <f>[1]!bodsava(BL3,BL4,BL12,BL10,BL7,BL8)</f>
        <v>#VALUE!</v>
      </c>
      <c r="BM14" s="113" t="e">
        <f>[1]!bodsava(BM3,BM4,BM12,BM10,BM7,BM8)</f>
        <v>#VALUE!</v>
      </c>
      <c r="BN14" s="317"/>
      <c r="BP14" s="732" t="e">
        <f>IF(BP12-BP13&gt;0,BP12-BP13,BP12-BP13+360)</f>
        <v>#VALUE!</v>
      </c>
      <c r="BQ14" s="732" t="e">
        <f>IF(BQ12-BQ13&gt;0,BQ12-BQ13,BQ12-BQ13+360)</f>
        <v>#VALUE!</v>
      </c>
      <c r="BR14" s="753" t="e">
        <f>IF(BR12-BR13&gt;0,BR12-BR13,BR12-BR13+360)</f>
        <v>#VALUE!</v>
      </c>
      <c r="BS14" s="753" t="e">
        <f>IF(BS12-BS13&gt;0,BS12-BS13,BS12-BS13+360)</f>
        <v>#VALUE!</v>
      </c>
      <c r="BT14" s="238" t="s">
        <v>378</v>
      </c>
      <c r="BU14" s="731" t="e">
        <f>[1]!taqsha(BU4,BU5,[1]!roz(BU8,BU12,0,0),BU9)</f>
        <v>#VALUE!</v>
      </c>
      <c r="BV14" s="112"/>
      <c r="BW14" s="317" t="e">
        <f>MOD(BW13,7)</f>
        <v>#VALUE!</v>
      </c>
      <c r="BX14" s="112"/>
      <c r="BY14" s="317">
        <f>MOD(BY13,7)</f>
        <v>2</v>
      </c>
      <c r="CA14" s="787"/>
      <c r="CB14" s="242" t="e">
        <f>IF(CB5&gt;1,CB4,CB4-1)</f>
        <v>#VALUE!</v>
      </c>
      <c r="CC14" s="242"/>
      <c r="CD14" s="242"/>
      <c r="CE14" s="242"/>
      <c r="CF14" s="788"/>
      <c r="CG14" s="490"/>
      <c r="CH14" s="309">
        <f>IF(CH6&lt;=CH11,CH5,CH5+1)</f>
        <v>31</v>
      </c>
      <c r="CI14" s="309"/>
      <c r="CJ14" s="309"/>
      <c r="CK14" s="309"/>
      <c r="CL14" s="774"/>
      <c r="CO14" s="759"/>
      <c r="CP14" s="759"/>
      <c r="CQ14" s="759"/>
      <c r="CR14" s="759"/>
      <c r="CS14" s="759"/>
      <c r="CT14" s="759"/>
      <c r="CU14" s="759"/>
      <c r="CV14" s="787"/>
      <c r="CW14" s="242">
        <f>IF(CW5&gt;1,CW4,CW4-1)</f>
        <v>8</v>
      </c>
      <c r="CX14" s="242"/>
      <c r="CY14" s="242"/>
      <c r="CZ14" s="242"/>
      <c r="DA14" s="788"/>
      <c r="DJ14" s="961">
        <f t="shared" ref="DJ14:FU14" si="83">35+(41/60)</f>
        <v>35.68333333333333</v>
      </c>
      <c r="DK14" s="962">
        <f t="shared" si="83"/>
        <v>35.68333333333333</v>
      </c>
      <c r="DL14" s="962">
        <f t="shared" si="83"/>
        <v>35.68333333333333</v>
      </c>
      <c r="DM14" s="962">
        <f t="shared" si="83"/>
        <v>35.68333333333333</v>
      </c>
      <c r="DN14" s="962">
        <f t="shared" si="83"/>
        <v>35.68333333333333</v>
      </c>
      <c r="DO14" s="962">
        <f t="shared" si="83"/>
        <v>35.68333333333333</v>
      </c>
      <c r="DP14" s="962">
        <f t="shared" si="83"/>
        <v>35.68333333333333</v>
      </c>
      <c r="DQ14" s="962">
        <f t="shared" si="83"/>
        <v>35.68333333333333</v>
      </c>
      <c r="DR14" s="962">
        <f t="shared" si="83"/>
        <v>35.68333333333333</v>
      </c>
      <c r="DS14" s="962">
        <f t="shared" si="83"/>
        <v>35.68333333333333</v>
      </c>
      <c r="DT14" s="962">
        <f t="shared" si="83"/>
        <v>35.68333333333333</v>
      </c>
      <c r="DU14" s="962">
        <f t="shared" si="83"/>
        <v>35.68333333333333</v>
      </c>
      <c r="DV14" s="962">
        <f t="shared" si="83"/>
        <v>35.68333333333333</v>
      </c>
      <c r="DW14" s="962">
        <f t="shared" si="83"/>
        <v>35.68333333333333</v>
      </c>
      <c r="DX14" s="962">
        <f t="shared" si="83"/>
        <v>35.68333333333333</v>
      </c>
      <c r="DY14" s="962">
        <f t="shared" si="83"/>
        <v>35.68333333333333</v>
      </c>
      <c r="DZ14" s="962">
        <f t="shared" si="83"/>
        <v>35.68333333333333</v>
      </c>
      <c r="EA14" s="962">
        <f t="shared" si="83"/>
        <v>35.68333333333333</v>
      </c>
      <c r="EB14" s="962">
        <f t="shared" si="83"/>
        <v>35.68333333333333</v>
      </c>
      <c r="EC14" s="962">
        <f t="shared" si="83"/>
        <v>35.68333333333333</v>
      </c>
      <c r="ED14" s="962">
        <f t="shared" si="83"/>
        <v>35.68333333333333</v>
      </c>
      <c r="EE14" s="962">
        <f t="shared" si="83"/>
        <v>35.68333333333333</v>
      </c>
      <c r="EF14" s="962">
        <f t="shared" si="83"/>
        <v>35.68333333333333</v>
      </c>
      <c r="EG14" s="962">
        <f t="shared" si="83"/>
        <v>35.68333333333333</v>
      </c>
      <c r="EH14" s="962">
        <f t="shared" si="83"/>
        <v>35.68333333333333</v>
      </c>
      <c r="EI14" s="962">
        <f t="shared" si="83"/>
        <v>35.68333333333333</v>
      </c>
      <c r="EJ14" s="962">
        <f t="shared" si="83"/>
        <v>35.68333333333333</v>
      </c>
      <c r="EK14" s="962">
        <f t="shared" si="83"/>
        <v>35.68333333333333</v>
      </c>
      <c r="EL14" s="962">
        <f t="shared" si="83"/>
        <v>35.68333333333333</v>
      </c>
      <c r="EM14" s="962">
        <f t="shared" si="83"/>
        <v>35.68333333333333</v>
      </c>
      <c r="EN14" s="962">
        <f t="shared" si="83"/>
        <v>35.68333333333333</v>
      </c>
      <c r="EO14" s="962">
        <f t="shared" si="83"/>
        <v>35.68333333333333</v>
      </c>
      <c r="EP14" s="962">
        <f t="shared" si="83"/>
        <v>35.68333333333333</v>
      </c>
      <c r="EQ14" s="962">
        <f t="shared" si="83"/>
        <v>35.68333333333333</v>
      </c>
      <c r="ER14" s="962">
        <f t="shared" si="83"/>
        <v>35.68333333333333</v>
      </c>
      <c r="ES14" s="962">
        <f t="shared" si="83"/>
        <v>35.68333333333333</v>
      </c>
      <c r="ET14" s="962">
        <f t="shared" si="83"/>
        <v>35.68333333333333</v>
      </c>
      <c r="EU14" s="962">
        <f t="shared" si="83"/>
        <v>35.68333333333333</v>
      </c>
      <c r="EV14" s="962">
        <f t="shared" si="83"/>
        <v>35.68333333333333</v>
      </c>
      <c r="EW14" s="962">
        <f t="shared" si="83"/>
        <v>35.68333333333333</v>
      </c>
      <c r="EX14" s="962">
        <f t="shared" si="83"/>
        <v>35.68333333333333</v>
      </c>
      <c r="EY14" s="962">
        <f t="shared" si="83"/>
        <v>35.68333333333333</v>
      </c>
      <c r="EZ14" s="962">
        <f t="shared" si="83"/>
        <v>35.68333333333333</v>
      </c>
      <c r="FA14" s="962">
        <f t="shared" si="83"/>
        <v>35.68333333333333</v>
      </c>
      <c r="FB14" s="962">
        <f t="shared" si="83"/>
        <v>35.68333333333333</v>
      </c>
      <c r="FC14" s="962">
        <f t="shared" si="83"/>
        <v>35.68333333333333</v>
      </c>
      <c r="FD14" s="962">
        <f t="shared" si="83"/>
        <v>35.68333333333333</v>
      </c>
      <c r="FE14" s="962">
        <f t="shared" si="83"/>
        <v>35.68333333333333</v>
      </c>
      <c r="FF14" s="962">
        <f t="shared" si="83"/>
        <v>35.68333333333333</v>
      </c>
      <c r="FG14" s="962">
        <f t="shared" si="83"/>
        <v>35.68333333333333</v>
      </c>
      <c r="FH14" s="962">
        <f t="shared" si="83"/>
        <v>35.68333333333333</v>
      </c>
      <c r="FI14" s="962">
        <f t="shared" si="83"/>
        <v>35.68333333333333</v>
      </c>
      <c r="FJ14" s="962">
        <f t="shared" si="83"/>
        <v>35.68333333333333</v>
      </c>
      <c r="FK14" s="962">
        <f t="shared" si="83"/>
        <v>35.68333333333333</v>
      </c>
      <c r="FL14" s="962">
        <f t="shared" si="83"/>
        <v>35.68333333333333</v>
      </c>
      <c r="FM14" s="962">
        <f t="shared" si="83"/>
        <v>35.68333333333333</v>
      </c>
      <c r="FN14" s="962">
        <f t="shared" si="83"/>
        <v>35.68333333333333</v>
      </c>
      <c r="FO14" s="962">
        <f t="shared" si="83"/>
        <v>35.68333333333333</v>
      </c>
      <c r="FP14" s="962">
        <f t="shared" si="83"/>
        <v>35.68333333333333</v>
      </c>
      <c r="FQ14" s="962">
        <f t="shared" si="83"/>
        <v>35.68333333333333</v>
      </c>
      <c r="FR14" s="962">
        <f t="shared" si="83"/>
        <v>35.68333333333333</v>
      </c>
      <c r="FS14" s="962">
        <f t="shared" si="83"/>
        <v>35.68333333333333</v>
      </c>
      <c r="FT14" s="962">
        <f t="shared" si="83"/>
        <v>35.68333333333333</v>
      </c>
      <c r="FU14" s="962">
        <f t="shared" si="83"/>
        <v>35.68333333333333</v>
      </c>
      <c r="FV14" s="962">
        <f t="shared" ref="FV14:IG14" si="84">35+(41/60)</f>
        <v>35.68333333333333</v>
      </c>
      <c r="FW14" s="962">
        <f t="shared" si="84"/>
        <v>35.68333333333333</v>
      </c>
      <c r="FX14" s="962">
        <f t="shared" si="84"/>
        <v>35.68333333333333</v>
      </c>
      <c r="FY14" s="962">
        <f t="shared" si="84"/>
        <v>35.68333333333333</v>
      </c>
      <c r="FZ14" s="962">
        <f t="shared" si="84"/>
        <v>35.68333333333333</v>
      </c>
      <c r="GA14" s="962">
        <f t="shared" si="84"/>
        <v>35.68333333333333</v>
      </c>
      <c r="GB14" s="962">
        <f t="shared" si="84"/>
        <v>35.68333333333333</v>
      </c>
      <c r="GC14" s="962">
        <f t="shared" si="84"/>
        <v>35.68333333333333</v>
      </c>
      <c r="GD14" s="962">
        <f t="shared" si="84"/>
        <v>35.68333333333333</v>
      </c>
      <c r="GE14" s="962">
        <f t="shared" si="84"/>
        <v>35.68333333333333</v>
      </c>
      <c r="GF14" s="962">
        <f t="shared" si="84"/>
        <v>35.68333333333333</v>
      </c>
      <c r="GG14" s="962">
        <f t="shared" si="84"/>
        <v>35.68333333333333</v>
      </c>
      <c r="GH14" s="962">
        <f t="shared" si="84"/>
        <v>35.68333333333333</v>
      </c>
      <c r="GI14" s="962">
        <f t="shared" si="84"/>
        <v>35.68333333333333</v>
      </c>
      <c r="GJ14" s="962">
        <f t="shared" si="84"/>
        <v>35.68333333333333</v>
      </c>
      <c r="GK14" s="962">
        <f t="shared" si="84"/>
        <v>35.68333333333333</v>
      </c>
      <c r="GL14" s="962">
        <f t="shared" si="84"/>
        <v>35.68333333333333</v>
      </c>
      <c r="GM14" s="962">
        <f t="shared" si="84"/>
        <v>35.68333333333333</v>
      </c>
      <c r="GN14" s="962">
        <f t="shared" si="84"/>
        <v>35.68333333333333</v>
      </c>
      <c r="GO14" s="962">
        <f t="shared" si="84"/>
        <v>35.68333333333333</v>
      </c>
      <c r="GP14" s="962">
        <f t="shared" si="84"/>
        <v>35.68333333333333</v>
      </c>
      <c r="GQ14" s="962">
        <f t="shared" si="84"/>
        <v>35.68333333333333</v>
      </c>
      <c r="GR14" s="962">
        <f t="shared" si="84"/>
        <v>35.68333333333333</v>
      </c>
      <c r="GS14" s="962">
        <f t="shared" si="84"/>
        <v>35.68333333333333</v>
      </c>
      <c r="GT14" s="962">
        <f t="shared" si="84"/>
        <v>35.68333333333333</v>
      </c>
      <c r="GU14" s="962">
        <f t="shared" si="84"/>
        <v>35.68333333333333</v>
      </c>
      <c r="GV14" s="962">
        <f t="shared" si="84"/>
        <v>35.68333333333333</v>
      </c>
      <c r="GW14" s="962">
        <f t="shared" si="84"/>
        <v>35.68333333333333</v>
      </c>
      <c r="GX14" s="962">
        <f t="shared" si="84"/>
        <v>35.68333333333333</v>
      </c>
      <c r="GY14" s="962">
        <f t="shared" si="84"/>
        <v>35.68333333333333</v>
      </c>
      <c r="GZ14" s="962">
        <f t="shared" si="84"/>
        <v>35.68333333333333</v>
      </c>
      <c r="HA14" s="962">
        <f t="shared" si="84"/>
        <v>35.68333333333333</v>
      </c>
      <c r="HB14" s="962">
        <f t="shared" si="84"/>
        <v>35.68333333333333</v>
      </c>
      <c r="HC14" s="962">
        <f t="shared" si="84"/>
        <v>35.68333333333333</v>
      </c>
      <c r="HD14" s="962">
        <f t="shared" si="84"/>
        <v>35.68333333333333</v>
      </c>
      <c r="HE14" s="962">
        <f t="shared" si="84"/>
        <v>35.68333333333333</v>
      </c>
      <c r="HF14" s="962">
        <f t="shared" si="84"/>
        <v>35.68333333333333</v>
      </c>
      <c r="HG14" s="962">
        <f t="shared" si="84"/>
        <v>35.68333333333333</v>
      </c>
      <c r="HH14" s="962">
        <f t="shared" si="84"/>
        <v>35.68333333333333</v>
      </c>
      <c r="HI14" s="962">
        <f t="shared" si="84"/>
        <v>35.68333333333333</v>
      </c>
      <c r="HJ14" s="962">
        <f t="shared" si="84"/>
        <v>35.68333333333333</v>
      </c>
      <c r="HK14" s="962">
        <f t="shared" si="84"/>
        <v>35.68333333333333</v>
      </c>
      <c r="HL14" s="962">
        <f t="shared" si="84"/>
        <v>35.68333333333333</v>
      </c>
      <c r="HM14" s="962">
        <f t="shared" si="84"/>
        <v>35.68333333333333</v>
      </c>
      <c r="HN14" s="962">
        <f t="shared" si="84"/>
        <v>35.68333333333333</v>
      </c>
      <c r="HO14" s="962">
        <f t="shared" si="84"/>
        <v>35.68333333333333</v>
      </c>
      <c r="HP14" s="962">
        <f t="shared" si="84"/>
        <v>35.68333333333333</v>
      </c>
      <c r="HQ14" s="962">
        <f t="shared" si="84"/>
        <v>35.68333333333333</v>
      </c>
      <c r="HR14" s="962">
        <f t="shared" si="84"/>
        <v>35.68333333333333</v>
      </c>
      <c r="HS14" s="962">
        <f t="shared" si="84"/>
        <v>35.68333333333333</v>
      </c>
      <c r="HT14" s="962">
        <f t="shared" si="84"/>
        <v>35.68333333333333</v>
      </c>
      <c r="HU14" s="962">
        <f t="shared" si="84"/>
        <v>35.68333333333333</v>
      </c>
      <c r="HV14" s="962">
        <f t="shared" si="84"/>
        <v>35.68333333333333</v>
      </c>
      <c r="HW14" s="962">
        <f t="shared" si="84"/>
        <v>35.68333333333333</v>
      </c>
      <c r="HX14" s="962">
        <f t="shared" si="84"/>
        <v>35.68333333333333</v>
      </c>
      <c r="HY14" s="962">
        <f t="shared" si="84"/>
        <v>35.68333333333333</v>
      </c>
      <c r="HZ14" s="962">
        <f t="shared" si="84"/>
        <v>35.68333333333333</v>
      </c>
      <c r="IA14" s="962">
        <f t="shared" si="84"/>
        <v>35.68333333333333</v>
      </c>
      <c r="IB14" s="962">
        <f t="shared" si="84"/>
        <v>35.68333333333333</v>
      </c>
      <c r="IC14" s="962">
        <f t="shared" si="84"/>
        <v>35.68333333333333</v>
      </c>
      <c r="ID14" s="962">
        <f t="shared" si="84"/>
        <v>35.68333333333333</v>
      </c>
      <c r="IE14" s="962">
        <f t="shared" si="84"/>
        <v>35.68333333333333</v>
      </c>
      <c r="IF14" s="962">
        <f t="shared" si="84"/>
        <v>35.68333333333333</v>
      </c>
      <c r="IG14" s="962">
        <f t="shared" si="84"/>
        <v>35.68333333333333</v>
      </c>
      <c r="IH14" s="962">
        <f t="shared" ref="IH14:KS14" si="85">35+(41/60)</f>
        <v>35.68333333333333</v>
      </c>
      <c r="II14" s="962">
        <f t="shared" si="85"/>
        <v>35.68333333333333</v>
      </c>
      <c r="IJ14" s="962">
        <f t="shared" si="85"/>
        <v>35.68333333333333</v>
      </c>
      <c r="IK14" s="962">
        <f t="shared" si="85"/>
        <v>35.68333333333333</v>
      </c>
      <c r="IL14" s="962">
        <f t="shared" si="85"/>
        <v>35.68333333333333</v>
      </c>
      <c r="IM14" s="962">
        <f t="shared" si="85"/>
        <v>35.68333333333333</v>
      </c>
      <c r="IN14" s="962">
        <f t="shared" si="85"/>
        <v>35.68333333333333</v>
      </c>
      <c r="IO14" s="962">
        <f t="shared" si="85"/>
        <v>35.68333333333333</v>
      </c>
      <c r="IP14" s="962">
        <f t="shared" si="85"/>
        <v>35.68333333333333</v>
      </c>
      <c r="IQ14" s="962">
        <f t="shared" si="85"/>
        <v>35.68333333333333</v>
      </c>
      <c r="IR14" s="962">
        <f t="shared" si="85"/>
        <v>35.68333333333333</v>
      </c>
      <c r="IS14" s="962">
        <f t="shared" si="85"/>
        <v>35.68333333333333</v>
      </c>
      <c r="IT14" s="962">
        <f t="shared" si="85"/>
        <v>35.68333333333333</v>
      </c>
      <c r="IU14" s="962">
        <f t="shared" si="85"/>
        <v>35.68333333333333</v>
      </c>
      <c r="IV14" s="962">
        <f t="shared" si="85"/>
        <v>35.68333333333333</v>
      </c>
      <c r="IW14" s="962">
        <f t="shared" si="85"/>
        <v>35.68333333333333</v>
      </c>
      <c r="IX14" s="962">
        <f t="shared" si="85"/>
        <v>35.68333333333333</v>
      </c>
      <c r="IY14" s="962">
        <f t="shared" si="85"/>
        <v>35.68333333333333</v>
      </c>
      <c r="IZ14" s="962">
        <f t="shared" si="85"/>
        <v>35.68333333333333</v>
      </c>
      <c r="JA14" s="962">
        <f t="shared" si="85"/>
        <v>35.68333333333333</v>
      </c>
      <c r="JB14" s="962">
        <f t="shared" si="85"/>
        <v>35.68333333333333</v>
      </c>
      <c r="JC14" s="962">
        <f t="shared" si="85"/>
        <v>35.68333333333333</v>
      </c>
      <c r="JD14" s="962">
        <f t="shared" si="85"/>
        <v>35.68333333333333</v>
      </c>
      <c r="JE14" s="962">
        <f t="shared" si="85"/>
        <v>35.68333333333333</v>
      </c>
      <c r="JF14" s="962">
        <f t="shared" si="85"/>
        <v>35.68333333333333</v>
      </c>
      <c r="JG14" s="962">
        <f t="shared" si="85"/>
        <v>35.68333333333333</v>
      </c>
      <c r="JH14" s="962">
        <f t="shared" si="85"/>
        <v>35.68333333333333</v>
      </c>
      <c r="JI14" s="962">
        <f t="shared" si="85"/>
        <v>35.68333333333333</v>
      </c>
      <c r="JJ14" s="962">
        <f t="shared" si="85"/>
        <v>35.68333333333333</v>
      </c>
      <c r="JK14" s="962">
        <f t="shared" si="85"/>
        <v>35.68333333333333</v>
      </c>
      <c r="JL14" s="962">
        <f t="shared" si="85"/>
        <v>35.68333333333333</v>
      </c>
      <c r="JM14" s="962">
        <f t="shared" si="85"/>
        <v>35.68333333333333</v>
      </c>
      <c r="JN14" s="962">
        <f t="shared" si="85"/>
        <v>35.68333333333333</v>
      </c>
      <c r="JO14" s="962">
        <f t="shared" si="85"/>
        <v>35.68333333333333</v>
      </c>
      <c r="JP14" s="962">
        <f t="shared" si="85"/>
        <v>35.68333333333333</v>
      </c>
      <c r="JQ14" s="962">
        <f t="shared" si="85"/>
        <v>35.68333333333333</v>
      </c>
      <c r="JR14" s="962">
        <f t="shared" si="85"/>
        <v>35.68333333333333</v>
      </c>
      <c r="JS14" s="962">
        <f t="shared" si="85"/>
        <v>35.68333333333333</v>
      </c>
      <c r="JT14" s="962">
        <f t="shared" si="85"/>
        <v>35.68333333333333</v>
      </c>
      <c r="JU14" s="962">
        <f t="shared" si="85"/>
        <v>35.68333333333333</v>
      </c>
      <c r="JV14" s="962">
        <f t="shared" si="85"/>
        <v>35.68333333333333</v>
      </c>
      <c r="JW14" s="962">
        <f t="shared" si="85"/>
        <v>35.68333333333333</v>
      </c>
      <c r="JX14" s="962">
        <f t="shared" si="85"/>
        <v>35.68333333333333</v>
      </c>
      <c r="JY14" s="962">
        <f t="shared" si="85"/>
        <v>35.68333333333333</v>
      </c>
      <c r="JZ14" s="962">
        <f t="shared" si="85"/>
        <v>35.68333333333333</v>
      </c>
      <c r="KA14" s="962">
        <f t="shared" si="85"/>
        <v>35.68333333333333</v>
      </c>
      <c r="KB14" s="962">
        <f t="shared" si="85"/>
        <v>35.68333333333333</v>
      </c>
      <c r="KC14" s="962">
        <f t="shared" si="85"/>
        <v>35.68333333333333</v>
      </c>
      <c r="KD14" s="962">
        <f t="shared" si="85"/>
        <v>35.68333333333333</v>
      </c>
      <c r="KE14" s="962">
        <f t="shared" si="85"/>
        <v>35.68333333333333</v>
      </c>
      <c r="KF14" s="962">
        <f t="shared" si="85"/>
        <v>35.68333333333333</v>
      </c>
      <c r="KG14" s="962">
        <f t="shared" si="85"/>
        <v>35.68333333333333</v>
      </c>
      <c r="KH14" s="962">
        <f t="shared" si="85"/>
        <v>35.68333333333333</v>
      </c>
      <c r="KI14" s="962">
        <f t="shared" si="85"/>
        <v>35.68333333333333</v>
      </c>
      <c r="KJ14" s="962">
        <f t="shared" si="85"/>
        <v>35.68333333333333</v>
      </c>
      <c r="KK14" s="962">
        <f t="shared" si="85"/>
        <v>35.68333333333333</v>
      </c>
      <c r="KL14" s="962">
        <f t="shared" si="85"/>
        <v>35.68333333333333</v>
      </c>
      <c r="KM14" s="962">
        <f t="shared" si="85"/>
        <v>35.68333333333333</v>
      </c>
      <c r="KN14" s="962">
        <f t="shared" si="85"/>
        <v>35.68333333333333</v>
      </c>
      <c r="KO14" s="962">
        <f t="shared" si="85"/>
        <v>35.68333333333333</v>
      </c>
      <c r="KP14" s="962">
        <f t="shared" si="85"/>
        <v>35.68333333333333</v>
      </c>
      <c r="KQ14" s="962">
        <f t="shared" si="85"/>
        <v>35.68333333333333</v>
      </c>
      <c r="KR14" s="962">
        <f t="shared" si="85"/>
        <v>35.68333333333333</v>
      </c>
      <c r="KS14" s="962">
        <f t="shared" si="85"/>
        <v>35.68333333333333</v>
      </c>
      <c r="KT14" s="962">
        <f t="shared" ref="KT14:NE14" si="86">35+(41/60)</f>
        <v>35.68333333333333</v>
      </c>
      <c r="KU14" s="962">
        <f t="shared" si="86"/>
        <v>35.68333333333333</v>
      </c>
      <c r="KV14" s="962">
        <f t="shared" si="86"/>
        <v>35.68333333333333</v>
      </c>
      <c r="KW14" s="962">
        <f t="shared" si="86"/>
        <v>35.68333333333333</v>
      </c>
      <c r="KX14" s="962">
        <f t="shared" si="86"/>
        <v>35.68333333333333</v>
      </c>
      <c r="KY14" s="962">
        <f t="shared" si="86"/>
        <v>35.68333333333333</v>
      </c>
      <c r="KZ14" s="962">
        <f t="shared" si="86"/>
        <v>35.68333333333333</v>
      </c>
      <c r="LA14" s="962">
        <f t="shared" si="86"/>
        <v>35.68333333333333</v>
      </c>
      <c r="LB14" s="962">
        <f t="shared" si="86"/>
        <v>35.68333333333333</v>
      </c>
      <c r="LC14" s="962">
        <f t="shared" si="86"/>
        <v>35.68333333333333</v>
      </c>
      <c r="LD14" s="962">
        <f t="shared" si="86"/>
        <v>35.68333333333333</v>
      </c>
      <c r="LE14" s="962">
        <f t="shared" si="86"/>
        <v>35.68333333333333</v>
      </c>
      <c r="LF14" s="962">
        <f t="shared" si="86"/>
        <v>35.68333333333333</v>
      </c>
      <c r="LG14" s="962">
        <f t="shared" si="86"/>
        <v>35.68333333333333</v>
      </c>
      <c r="LH14" s="962">
        <f t="shared" si="86"/>
        <v>35.68333333333333</v>
      </c>
      <c r="LI14" s="962">
        <f t="shared" si="86"/>
        <v>35.68333333333333</v>
      </c>
      <c r="LJ14" s="962">
        <f t="shared" si="86"/>
        <v>35.68333333333333</v>
      </c>
      <c r="LK14" s="962">
        <f t="shared" si="86"/>
        <v>35.68333333333333</v>
      </c>
      <c r="LL14" s="962">
        <f t="shared" si="86"/>
        <v>35.68333333333333</v>
      </c>
      <c r="LM14" s="962">
        <f t="shared" si="86"/>
        <v>35.68333333333333</v>
      </c>
      <c r="LN14" s="962">
        <f t="shared" si="86"/>
        <v>35.68333333333333</v>
      </c>
      <c r="LO14" s="962">
        <f t="shared" si="86"/>
        <v>35.68333333333333</v>
      </c>
      <c r="LP14" s="962">
        <f t="shared" si="86"/>
        <v>35.68333333333333</v>
      </c>
      <c r="LQ14" s="962">
        <f t="shared" si="86"/>
        <v>35.68333333333333</v>
      </c>
      <c r="LR14" s="962">
        <f t="shared" si="86"/>
        <v>35.68333333333333</v>
      </c>
      <c r="LS14" s="962">
        <f t="shared" si="86"/>
        <v>35.68333333333333</v>
      </c>
      <c r="LT14" s="962">
        <f t="shared" si="86"/>
        <v>35.68333333333333</v>
      </c>
      <c r="LU14" s="962">
        <f t="shared" si="86"/>
        <v>35.68333333333333</v>
      </c>
      <c r="LV14" s="962">
        <f t="shared" si="86"/>
        <v>35.68333333333333</v>
      </c>
      <c r="LW14" s="962">
        <f t="shared" si="86"/>
        <v>35.68333333333333</v>
      </c>
      <c r="LX14" s="962">
        <f t="shared" si="86"/>
        <v>35.68333333333333</v>
      </c>
      <c r="LY14" s="962">
        <f t="shared" si="86"/>
        <v>35.68333333333333</v>
      </c>
      <c r="LZ14" s="962">
        <f t="shared" si="86"/>
        <v>35.68333333333333</v>
      </c>
      <c r="MA14" s="962">
        <f t="shared" si="86"/>
        <v>35.68333333333333</v>
      </c>
      <c r="MB14" s="962">
        <f t="shared" si="86"/>
        <v>35.68333333333333</v>
      </c>
      <c r="MC14" s="962">
        <f t="shared" si="86"/>
        <v>35.68333333333333</v>
      </c>
      <c r="MD14" s="962">
        <f t="shared" si="86"/>
        <v>35.68333333333333</v>
      </c>
      <c r="ME14" s="962">
        <f t="shared" si="86"/>
        <v>35.68333333333333</v>
      </c>
      <c r="MF14" s="962">
        <f t="shared" si="86"/>
        <v>35.68333333333333</v>
      </c>
      <c r="MG14" s="962">
        <f t="shared" si="86"/>
        <v>35.68333333333333</v>
      </c>
      <c r="MH14" s="962">
        <f t="shared" si="86"/>
        <v>35.68333333333333</v>
      </c>
      <c r="MI14" s="962">
        <f t="shared" si="86"/>
        <v>35.68333333333333</v>
      </c>
      <c r="MJ14" s="962">
        <f t="shared" si="86"/>
        <v>35.68333333333333</v>
      </c>
      <c r="MK14" s="962">
        <f t="shared" si="86"/>
        <v>35.68333333333333</v>
      </c>
      <c r="ML14" s="962">
        <f t="shared" si="86"/>
        <v>35.68333333333333</v>
      </c>
      <c r="MM14" s="962">
        <f t="shared" si="86"/>
        <v>35.68333333333333</v>
      </c>
      <c r="MN14" s="962">
        <f t="shared" si="86"/>
        <v>35.68333333333333</v>
      </c>
      <c r="MO14" s="962">
        <f t="shared" si="86"/>
        <v>35.68333333333333</v>
      </c>
      <c r="MP14" s="962">
        <f t="shared" si="86"/>
        <v>35.68333333333333</v>
      </c>
      <c r="MQ14" s="962">
        <f t="shared" si="86"/>
        <v>35.68333333333333</v>
      </c>
      <c r="MR14" s="962">
        <f t="shared" si="86"/>
        <v>35.68333333333333</v>
      </c>
      <c r="MS14" s="962">
        <f t="shared" si="86"/>
        <v>35.68333333333333</v>
      </c>
      <c r="MT14" s="962">
        <f t="shared" si="86"/>
        <v>35.68333333333333</v>
      </c>
      <c r="MU14" s="962">
        <f t="shared" si="86"/>
        <v>35.68333333333333</v>
      </c>
      <c r="MV14" s="962">
        <f t="shared" si="86"/>
        <v>35.68333333333333</v>
      </c>
      <c r="MW14" s="962">
        <f t="shared" si="86"/>
        <v>35.68333333333333</v>
      </c>
      <c r="MX14" s="962">
        <f t="shared" si="86"/>
        <v>35.68333333333333</v>
      </c>
      <c r="MY14" s="962">
        <f t="shared" si="86"/>
        <v>35.68333333333333</v>
      </c>
      <c r="MZ14" s="962">
        <f t="shared" si="86"/>
        <v>35.68333333333333</v>
      </c>
      <c r="NA14" s="962">
        <f t="shared" si="86"/>
        <v>35.68333333333333</v>
      </c>
      <c r="NB14" s="962">
        <f t="shared" si="86"/>
        <v>35.68333333333333</v>
      </c>
      <c r="NC14" s="962">
        <f t="shared" si="86"/>
        <v>35.68333333333333</v>
      </c>
      <c r="ND14" s="962">
        <f t="shared" si="86"/>
        <v>35.68333333333333</v>
      </c>
      <c r="NE14" s="962">
        <f t="shared" si="86"/>
        <v>35.68333333333333</v>
      </c>
      <c r="NF14" s="962">
        <f t="shared" ref="NF14:PQ14" si="87">35+(41/60)</f>
        <v>35.68333333333333</v>
      </c>
      <c r="NG14" s="962">
        <f t="shared" si="87"/>
        <v>35.68333333333333</v>
      </c>
      <c r="NH14" s="962">
        <f t="shared" si="87"/>
        <v>35.68333333333333</v>
      </c>
      <c r="NI14" s="962">
        <f t="shared" si="87"/>
        <v>35.68333333333333</v>
      </c>
      <c r="NJ14" s="962">
        <f t="shared" si="87"/>
        <v>35.68333333333333</v>
      </c>
      <c r="NK14" s="962">
        <f t="shared" si="87"/>
        <v>35.68333333333333</v>
      </c>
      <c r="NL14" s="962">
        <f t="shared" si="87"/>
        <v>35.68333333333333</v>
      </c>
      <c r="NM14" s="962">
        <f t="shared" si="87"/>
        <v>35.68333333333333</v>
      </c>
      <c r="NN14" s="962">
        <f t="shared" si="87"/>
        <v>35.68333333333333</v>
      </c>
      <c r="NO14" s="962">
        <f t="shared" si="87"/>
        <v>35.68333333333333</v>
      </c>
      <c r="NP14" s="962">
        <f t="shared" si="87"/>
        <v>35.68333333333333</v>
      </c>
      <c r="NQ14" s="962">
        <f t="shared" si="87"/>
        <v>35.68333333333333</v>
      </c>
      <c r="NR14" s="962">
        <f t="shared" si="87"/>
        <v>35.68333333333333</v>
      </c>
      <c r="NS14" s="962">
        <f t="shared" si="87"/>
        <v>35.68333333333333</v>
      </c>
      <c r="NT14" s="962">
        <f t="shared" si="87"/>
        <v>35.68333333333333</v>
      </c>
      <c r="NU14" s="962">
        <f t="shared" si="87"/>
        <v>35.68333333333333</v>
      </c>
      <c r="NV14" s="962">
        <f t="shared" si="87"/>
        <v>35.68333333333333</v>
      </c>
      <c r="NW14" s="962">
        <f t="shared" si="87"/>
        <v>35.68333333333333</v>
      </c>
      <c r="NX14" s="962">
        <f t="shared" si="87"/>
        <v>35.68333333333333</v>
      </c>
      <c r="NY14" s="962">
        <f t="shared" si="87"/>
        <v>35.68333333333333</v>
      </c>
      <c r="NZ14" s="962">
        <f t="shared" si="87"/>
        <v>35.68333333333333</v>
      </c>
      <c r="OA14" s="962">
        <f t="shared" si="87"/>
        <v>35.68333333333333</v>
      </c>
      <c r="OB14" s="962">
        <f t="shared" si="87"/>
        <v>35.68333333333333</v>
      </c>
      <c r="OC14" s="962">
        <f t="shared" si="87"/>
        <v>35.68333333333333</v>
      </c>
      <c r="OD14" s="962">
        <f t="shared" si="87"/>
        <v>35.68333333333333</v>
      </c>
      <c r="OE14" s="962">
        <f t="shared" si="87"/>
        <v>35.68333333333333</v>
      </c>
      <c r="OF14" s="962">
        <f t="shared" si="87"/>
        <v>35.68333333333333</v>
      </c>
      <c r="OG14" s="962">
        <f t="shared" si="87"/>
        <v>35.68333333333333</v>
      </c>
      <c r="OH14" s="962">
        <f t="shared" si="87"/>
        <v>35.68333333333333</v>
      </c>
      <c r="OI14" s="962">
        <f t="shared" si="87"/>
        <v>35.68333333333333</v>
      </c>
      <c r="OJ14" s="962">
        <f t="shared" si="87"/>
        <v>35.68333333333333</v>
      </c>
      <c r="OK14" s="962">
        <f t="shared" si="87"/>
        <v>35.68333333333333</v>
      </c>
      <c r="OL14" s="962">
        <f t="shared" si="87"/>
        <v>35.68333333333333</v>
      </c>
      <c r="OM14" s="962">
        <f t="shared" si="87"/>
        <v>35.68333333333333</v>
      </c>
      <c r="ON14" s="962">
        <f t="shared" si="87"/>
        <v>35.68333333333333</v>
      </c>
      <c r="OO14" s="962">
        <f t="shared" si="87"/>
        <v>35.68333333333333</v>
      </c>
      <c r="OP14" s="962">
        <f t="shared" si="87"/>
        <v>35.68333333333333</v>
      </c>
      <c r="OQ14" s="962">
        <f t="shared" si="87"/>
        <v>35.68333333333333</v>
      </c>
      <c r="OR14" s="962">
        <f t="shared" si="87"/>
        <v>35.68333333333333</v>
      </c>
      <c r="OS14" s="962">
        <f t="shared" si="87"/>
        <v>35.68333333333333</v>
      </c>
      <c r="OT14" s="962">
        <f t="shared" si="87"/>
        <v>35.68333333333333</v>
      </c>
      <c r="OU14" s="962">
        <f t="shared" si="87"/>
        <v>35.68333333333333</v>
      </c>
      <c r="OV14" s="962">
        <f t="shared" si="87"/>
        <v>35.68333333333333</v>
      </c>
      <c r="OW14" s="962">
        <f t="shared" si="87"/>
        <v>35.68333333333333</v>
      </c>
      <c r="OX14" s="962">
        <f t="shared" si="87"/>
        <v>35.68333333333333</v>
      </c>
      <c r="OY14" s="962">
        <f t="shared" si="87"/>
        <v>35.68333333333333</v>
      </c>
      <c r="OZ14" s="962">
        <f t="shared" si="87"/>
        <v>35.68333333333333</v>
      </c>
      <c r="PA14" s="962">
        <f t="shared" si="87"/>
        <v>35.68333333333333</v>
      </c>
      <c r="PB14" s="962">
        <f t="shared" si="87"/>
        <v>35.68333333333333</v>
      </c>
      <c r="PC14" s="962">
        <f t="shared" si="87"/>
        <v>35.68333333333333</v>
      </c>
      <c r="PD14" s="962">
        <f t="shared" si="87"/>
        <v>35.68333333333333</v>
      </c>
      <c r="PE14" s="962">
        <f t="shared" si="87"/>
        <v>35.68333333333333</v>
      </c>
      <c r="PF14" s="962">
        <f t="shared" si="87"/>
        <v>35.68333333333333</v>
      </c>
      <c r="PG14" s="962">
        <f t="shared" si="87"/>
        <v>35.68333333333333</v>
      </c>
      <c r="PH14" s="962">
        <f t="shared" si="87"/>
        <v>35.68333333333333</v>
      </c>
      <c r="PI14" s="962">
        <f t="shared" si="87"/>
        <v>35.68333333333333</v>
      </c>
      <c r="PJ14" s="962">
        <f t="shared" si="87"/>
        <v>35.68333333333333</v>
      </c>
      <c r="PK14" s="962">
        <f t="shared" si="87"/>
        <v>35.68333333333333</v>
      </c>
      <c r="PL14" s="962">
        <f t="shared" si="87"/>
        <v>35.68333333333333</v>
      </c>
      <c r="PM14" s="962">
        <f t="shared" si="87"/>
        <v>35.68333333333333</v>
      </c>
      <c r="PN14" s="962">
        <f t="shared" si="87"/>
        <v>35.68333333333333</v>
      </c>
      <c r="PO14" s="962">
        <f t="shared" si="87"/>
        <v>35.68333333333333</v>
      </c>
      <c r="PP14" s="962">
        <f t="shared" si="87"/>
        <v>35.68333333333333</v>
      </c>
      <c r="PQ14" s="962">
        <f t="shared" si="87"/>
        <v>35.68333333333333</v>
      </c>
      <c r="PR14" s="962">
        <f t="shared" ref="PR14:QZ14" si="88">35+(41/60)</f>
        <v>35.68333333333333</v>
      </c>
      <c r="PS14" s="962">
        <f t="shared" si="88"/>
        <v>35.68333333333333</v>
      </c>
      <c r="PT14" s="962">
        <f t="shared" si="88"/>
        <v>35.68333333333333</v>
      </c>
      <c r="PU14" s="962">
        <f t="shared" si="88"/>
        <v>35.68333333333333</v>
      </c>
      <c r="PV14" s="962">
        <f t="shared" si="88"/>
        <v>35.68333333333333</v>
      </c>
      <c r="PW14" s="962">
        <f t="shared" si="88"/>
        <v>35.68333333333333</v>
      </c>
      <c r="PX14" s="962">
        <f t="shared" si="88"/>
        <v>35.68333333333333</v>
      </c>
      <c r="PY14" s="962">
        <f t="shared" si="88"/>
        <v>35.68333333333333</v>
      </c>
      <c r="PZ14" s="962">
        <f t="shared" si="88"/>
        <v>35.68333333333333</v>
      </c>
      <c r="QA14" s="962">
        <f t="shared" si="88"/>
        <v>35.68333333333333</v>
      </c>
      <c r="QB14" s="962">
        <f t="shared" si="88"/>
        <v>35.68333333333333</v>
      </c>
      <c r="QC14" s="962">
        <f t="shared" si="88"/>
        <v>35.68333333333333</v>
      </c>
      <c r="QD14" s="962">
        <f t="shared" si="88"/>
        <v>35.68333333333333</v>
      </c>
      <c r="QE14" s="962">
        <f t="shared" si="88"/>
        <v>35.68333333333333</v>
      </c>
      <c r="QF14" s="962">
        <f t="shared" si="88"/>
        <v>35.68333333333333</v>
      </c>
      <c r="QG14" s="962">
        <f t="shared" si="88"/>
        <v>35.68333333333333</v>
      </c>
      <c r="QH14" s="962">
        <f t="shared" si="88"/>
        <v>35.68333333333333</v>
      </c>
      <c r="QI14" s="962">
        <f t="shared" si="88"/>
        <v>35.68333333333333</v>
      </c>
      <c r="QJ14" s="962">
        <f t="shared" si="88"/>
        <v>35.68333333333333</v>
      </c>
      <c r="QK14" s="962">
        <f t="shared" si="88"/>
        <v>35.68333333333333</v>
      </c>
      <c r="QL14" s="962">
        <f t="shared" si="88"/>
        <v>35.68333333333333</v>
      </c>
      <c r="QM14" s="962">
        <f t="shared" si="88"/>
        <v>35.68333333333333</v>
      </c>
      <c r="QN14" s="962">
        <f t="shared" si="88"/>
        <v>35.68333333333333</v>
      </c>
      <c r="QO14" s="962">
        <f t="shared" si="88"/>
        <v>35.68333333333333</v>
      </c>
      <c r="QP14" s="962">
        <f t="shared" si="88"/>
        <v>35.68333333333333</v>
      </c>
      <c r="QQ14" s="962">
        <f t="shared" si="88"/>
        <v>35.68333333333333</v>
      </c>
      <c r="QR14" s="962">
        <f t="shared" si="88"/>
        <v>35.68333333333333</v>
      </c>
      <c r="QS14" s="962">
        <f t="shared" si="88"/>
        <v>35.68333333333333</v>
      </c>
      <c r="QT14" s="962">
        <f t="shared" si="88"/>
        <v>35.68333333333333</v>
      </c>
      <c r="QU14" s="962">
        <f t="shared" si="88"/>
        <v>35.68333333333333</v>
      </c>
      <c r="QV14" s="962">
        <f t="shared" si="88"/>
        <v>35.68333333333333</v>
      </c>
      <c r="QW14" s="962">
        <f t="shared" si="88"/>
        <v>35.68333333333333</v>
      </c>
      <c r="QX14" s="962">
        <f t="shared" si="88"/>
        <v>35.68333333333333</v>
      </c>
      <c r="QY14" s="962">
        <f t="shared" si="88"/>
        <v>35.68333333333333</v>
      </c>
      <c r="QZ14" s="962">
        <f t="shared" si="88"/>
        <v>35.68333333333333</v>
      </c>
      <c r="RA14" s="963"/>
    </row>
    <row r="15" spans="1:471" ht="18" thickBot="1">
      <c r="B15" t="s">
        <v>144</v>
      </c>
      <c r="D15" t="s">
        <v>145</v>
      </c>
      <c r="E15" t="s">
        <v>146</v>
      </c>
      <c r="J15" s="3"/>
      <c r="K15" s="3"/>
      <c r="L15" s="3"/>
      <c r="M15" s="3"/>
      <c r="N15" s="3"/>
      <c r="O15" s="3"/>
      <c r="P15" s="3"/>
      <c r="Q15" s="3"/>
      <c r="R15" s="3"/>
      <c r="S15" s="3"/>
      <c r="T15" s="3"/>
      <c r="U15" s="3"/>
      <c r="V15" s="3"/>
      <c r="W15" s="3"/>
      <c r="X15" s="3"/>
      <c r="Y15" s="3"/>
      <c r="Z15" s="3"/>
      <c r="AA15" s="3"/>
      <c r="AE15" s="208" t="s">
        <v>4</v>
      </c>
      <c r="AF15" s="209">
        <f>IF(AF13&lt;=31,1,IF(AF13&lt;=62,2,IF(AF13&lt;=93,3,IF(AF13&lt;=124,4,IF(AF13&lt;=155,5,IF(AF13&lt;=186,6,IF(AF13&lt;=216,7,IF(AF13&lt;=246,8,IF(AF13&lt;=276,9,IF(AF13&lt;306,10,IF(AF13&lt;=336,11,12)))))))))))</f>
        <v>1</v>
      </c>
      <c r="AK15" s="759"/>
      <c r="AL15" s="701"/>
      <c r="AM15" s="304"/>
      <c r="AN15" s="304"/>
      <c r="AO15" s="304"/>
      <c r="AP15" s="304"/>
      <c r="AQ15" s="304"/>
      <c r="AR15" s="304"/>
      <c r="AS15" s="304"/>
      <c r="AT15" s="304"/>
      <c r="AU15" s="304"/>
      <c r="AV15" s="304"/>
      <c r="AW15" s="304"/>
      <c r="AX15" s="314"/>
      <c r="AZ15" s="732" t="s">
        <v>3754</v>
      </c>
      <c r="BA15" s="731">
        <f>IF(OR(BA4=1,BA4=3,BA4=5,BA4=7,BA4=9,BA4=11),30,IF(BA4=12,BM15,29))</f>
        <v>29</v>
      </c>
      <c r="BB15" s="759">
        <v>30</v>
      </c>
      <c r="BC15" s="759">
        <v>29</v>
      </c>
      <c r="BD15" s="759">
        <v>30</v>
      </c>
      <c r="BE15" s="759">
        <v>29</v>
      </c>
      <c r="BF15" s="759">
        <v>30</v>
      </c>
      <c r="BG15" s="759">
        <v>29</v>
      </c>
      <c r="BH15" s="759">
        <v>30</v>
      </c>
      <c r="BI15" s="759">
        <v>29</v>
      </c>
      <c r="BJ15" s="759">
        <v>30</v>
      </c>
      <c r="BK15" s="759">
        <v>29</v>
      </c>
      <c r="BL15" s="759">
        <v>30</v>
      </c>
      <c r="BM15">
        <f>IF(OR(BO15=2,BO15=5,BO15=7,BO15=10,BO15=13,BO15=16,BO15=18,BO15=21,BO15=24,BO15=26,BO15=29),30,29)</f>
        <v>29</v>
      </c>
      <c r="BN15" s="317">
        <f>SUM(BB15:BM15)</f>
        <v>354</v>
      </c>
      <c r="BO15" s="113">
        <f>[1]!kab(MOD(BA3,30))</f>
        <v>3</v>
      </c>
      <c r="BP15" s="734"/>
      <c r="BQ15" s="734"/>
      <c r="BR15" s="754"/>
      <c r="BS15" s="754"/>
      <c r="BT15" s="735" t="s">
        <v>3489</v>
      </c>
      <c r="BU15" s="736" t="e">
        <f>IF(BU13-BU14&gt;0,BU13-BU14,BU13-BU14+360)</f>
        <v>#VALUE!</v>
      </c>
      <c r="BV15" s="747"/>
      <c r="BW15" s="320"/>
      <c r="BX15" s="747"/>
      <c r="BY15" s="320"/>
      <c r="CA15" s="787"/>
      <c r="CB15" s="388" t="e">
        <f>IF(CB20&lt;12,CB4,CB14)</f>
        <v>#VALUE!</v>
      </c>
      <c r="CC15" s="242"/>
      <c r="CD15" s="242"/>
      <c r="CE15" s="242"/>
      <c r="CF15" s="788"/>
      <c r="CG15" s="490"/>
      <c r="CH15" s="388"/>
      <c r="CI15" s="309"/>
      <c r="CJ15" s="309"/>
      <c r="CK15" s="309"/>
      <c r="CL15" s="774"/>
      <c r="CO15" s="759"/>
      <c r="CP15" s="759"/>
      <c r="CQ15" s="759"/>
      <c r="CR15" s="759"/>
      <c r="CS15" s="759"/>
      <c r="CT15" s="759"/>
      <c r="CU15" s="759"/>
      <c r="CV15" s="787"/>
      <c r="CW15" s="388">
        <f>IF(CW20&lt;12,CW4,CW14)</f>
        <v>8</v>
      </c>
      <c r="CX15" s="242"/>
      <c r="CY15" s="242"/>
      <c r="CZ15" s="242"/>
      <c r="DA15" s="788"/>
      <c r="DC15" s="108" t="s">
        <v>3553</v>
      </c>
      <c r="DD15" s="109" t="s">
        <v>3804</v>
      </c>
      <c r="DE15" s="316" t="s">
        <v>3805</v>
      </c>
      <c r="DI15" t="s">
        <v>3499</v>
      </c>
      <c r="DJ15" s="961" t="e">
        <f>[1]!qsn([1]!ml([1]!taqsha(1,1,[1]!roz(DJ12+1,0,0,0),DJ13)),DJ14)/30</f>
        <v>#VALUE!</v>
      </c>
      <c r="DK15" s="962" t="e">
        <f>[1]!qsn([1]!ml([1]!taqsha(1,1,[1]!roz(DK12+1,0,0,0),DK13)),DK14)/30</f>
        <v>#VALUE!</v>
      </c>
      <c r="DL15" s="962" t="e">
        <f>[1]!qsn([1]!ml([1]!taqsha(1,1,[1]!roz(DL12+1,0,0,0),DL13)),DL14)/30</f>
        <v>#VALUE!</v>
      </c>
      <c r="DM15" s="962" t="e">
        <f>[1]!qsn([1]!ml([1]!taqsha(1,1,[1]!roz(DM12+1,0,0,0),DM13)),DM14)/30</f>
        <v>#VALUE!</v>
      </c>
      <c r="DN15" s="962" t="e">
        <f>[1]!qsn([1]!ml([1]!taqsha(1,1,[1]!roz(DN12+1,0,0,0),DN13)),DN14)/30</f>
        <v>#VALUE!</v>
      </c>
      <c r="DO15" s="962" t="e">
        <f>[1]!qsn([1]!ml([1]!taqsha(1,1,[1]!roz(DO12+1,0,0,0),DO13)),DO14)/30</f>
        <v>#VALUE!</v>
      </c>
      <c r="DP15" s="962" t="e">
        <f>[1]!qsn([1]!ml([1]!taqsha(1,1,[1]!roz(DP12+1,0,0,0),DP13)),DP14)/30</f>
        <v>#VALUE!</v>
      </c>
      <c r="DQ15" s="962" t="e">
        <f>[1]!qsn([1]!ml([1]!taqsha(1,1,[1]!roz(DQ12+1,0,0,0),DQ13)),DQ14)/30</f>
        <v>#VALUE!</v>
      </c>
      <c r="DR15" s="962" t="e">
        <f>[1]!qsn([1]!ml([1]!taqsha(1,1,[1]!roz(DR12+1,0,0,0),DR13)),DR14)/30</f>
        <v>#VALUE!</v>
      </c>
      <c r="DS15" s="962" t="e">
        <f>[1]!qsn([1]!ml([1]!taqsha(1,1,[1]!roz(DS12+1,0,0,0),DS13)),DS14)/30</f>
        <v>#VALUE!</v>
      </c>
      <c r="DT15" s="962" t="e">
        <f>[1]!qsn([1]!ml([1]!taqsha(1,1,[1]!roz(DT12+1,0,0,0),DT13)),DT14)/30</f>
        <v>#VALUE!</v>
      </c>
      <c r="DU15" s="962" t="e">
        <f>[1]!qsn([1]!ml([1]!taqsha(1,1,[1]!roz(DU12+1,0,0,0),DU13)),DU14)/30</f>
        <v>#VALUE!</v>
      </c>
      <c r="DV15" s="962" t="e">
        <f>[1]!qsn([1]!ml([1]!taqsha(1,1,[1]!roz(DV12+1,0,0,0),DV13)),DV14)/30</f>
        <v>#VALUE!</v>
      </c>
      <c r="DW15" s="962" t="e">
        <f>[1]!qsn([1]!ml([1]!taqsha(1,1,[1]!roz(DW12+1,0,0,0),DW13)),DW14)/30</f>
        <v>#VALUE!</v>
      </c>
      <c r="DX15" s="962" t="e">
        <f>[1]!qsn([1]!ml([1]!taqsha(1,1,[1]!roz(DX12+1,0,0,0),DX13)),DX14)/30</f>
        <v>#VALUE!</v>
      </c>
      <c r="DY15" s="962" t="e">
        <f>[1]!qsn([1]!ml([1]!taqsha(1,1,[1]!roz(DY12+1,0,0,0),DY13)),DY14)/30</f>
        <v>#VALUE!</v>
      </c>
      <c r="DZ15" s="962" t="e">
        <f>[1]!qsn([1]!ml([1]!taqsha(1,1,[1]!roz(DZ12+1,0,0,0),DZ13)),DZ14)/30</f>
        <v>#VALUE!</v>
      </c>
      <c r="EA15" s="962" t="e">
        <f>[1]!qsn([1]!ml([1]!taqsha(1,1,[1]!roz(EA12+1,0,0,0),EA13)),EA14)/30</f>
        <v>#VALUE!</v>
      </c>
      <c r="EB15" s="962" t="e">
        <f>[1]!qsn([1]!ml([1]!taqsha(1,1,[1]!roz(EB12+1,0,0,0),EB13)),EB14)/30</f>
        <v>#VALUE!</v>
      </c>
      <c r="EC15" s="962" t="e">
        <f>[1]!qsn([1]!ml([1]!taqsha(1,1,[1]!roz(EC12+1,0,0,0),EC13)),EC14)/30</f>
        <v>#VALUE!</v>
      </c>
      <c r="ED15" s="962" t="e">
        <f>[1]!qsn([1]!ml([1]!taqsha(1,1,[1]!roz(ED12+1,0,0,0),ED13)),ED14)/30</f>
        <v>#VALUE!</v>
      </c>
      <c r="EE15" s="962" t="e">
        <f>[1]!qsn([1]!ml([1]!taqsha(1,1,[1]!roz(EE12+1,0,0,0),EE13)),EE14)/30</f>
        <v>#VALUE!</v>
      </c>
      <c r="EF15" s="962" t="e">
        <f>[1]!qsn([1]!ml([1]!taqsha(1,1,[1]!roz(EF12+1,0,0,0),EF13)),EF14)/30</f>
        <v>#VALUE!</v>
      </c>
      <c r="EG15" s="962" t="e">
        <f>[1]!qsn([1]!ml([1]!taqsha(1,1,[1]!roz(EG12+1,0,0,0),EG13)),EG14)/30</f>
        <v>#VALUE!</v>
      </c>
      <c r="EH15" s="962" t="e">
        <f>[1]!qsn([1]!ml([1]!taqsha(1,1,[1]!roz(EH12+1,0,0,0),EH13)),EH14)/30</f>
        <v>#VALUE!</v>
      </c>
      <c r="EI15" s="962" t="e">
        <f>[1]!qsn([1]!ml([1]!taqsha(1,1,[1]!roz(EI12+1,0,0,0),EI13)),EI14)/30</f>
        <v>#VALUE!</v>
      </c>
      <c r="EJ15" s="962" t="e">
        <f>[1]!qsn([1]!ml([1]!taqsha(1,1,[1]!roz(EJ12+1,0,0,0),EJ13)),EJ14)/30</f>
        <v>#VALUE!</v>
      </c>
      <c r="EK15" s="962" t="e">
        <f>[1]!qsn([1]!ml([1]!taqsha(1,1,[1]!roz(EK12+1,0,0,0),EK13)),EK14)/30</f>
        <v>#VALUE!</v>
      </c>
      <c r="EL15" s="962" t="e">
        <f>[1]!qsn([1]!ml([1]!taqsha(1,1,[1]!roz(EL12+1,0,0,0),EL13)),EL14)/30</f>
        <v>#VALUE!</v>
      </c>
      <c r="EM15" s="962" t="e">
        <f>[1]!qsn([1]!ml([1]!taqsha(1,1,[1]!roz(EM12+1,0,0,0),EM13)),EM14)/30</f>
        <v>#VALUE!</v>
      </c>
      <c r="EN15" s="962" t="e">
        <f>[1]!qsn([1]!ml([1]!taqsha(1,1,[1]!roz(EN12+1,0,0,0),EN13)),EN14)/30</f>
        <v>#VALUE!</v>
      </c>
      <c r="EO15" s="962" t="e">
        <f>[1]!qsn([1]!ml([1]!taqsha(1,1,[1]!roz(EO12+1,0,0,0),EO13)),EO14)/30</f>
        <v>#VALUE!</v>
      </c>
      <c r="EP15" s="962" t="e">
        <f>[1]!qsn([1]!ml([1]!taqsha(1,1,[1]!roz(EP12+1,0,0,0),EP13)),EP14)/30</f>
        <v>#VALUE!</v>
      </c>
      <c r="EQ15" s="962" t="e">
        <f>[1]!qsn([1]!ml([1]!taqsha(1,1,[1]!roz(EQ12+1,0,0,0),EQ13)),EQ14)/30</f>
        <v>#VALUE!</v>
      </c>
      <c r="ER15" s="962" t="e">
        <f>[1]!qsn([1]!ml([1]!taqsha(1,1,[1]!roz(ER12+1,0,0,0),ER13)),ER14)/30</f>
        <v>#VALUE!</v>
      </c>
      <c r="ES15" s="962" t="e">
        <f>[1]!qsn([1]!ml([1]!taqsha(1,1,[1]!roz(ES12+1,0,0,0),ES13)),ES14)/30</f>
        <v>#VALUE!</v>
      </c>
      <c r="ET15" s="962" t="e">
        <f>[1]!qsn([1]!ml([1]!taqsha(1,1,[1]!roz(ET12+1,0,0,0),ET13)),ET14)/30</f>
        <v>#VALUE!</v>
      </c>
      <c r="EU15" s="962" t="e">
        <f>[1]!qsn([1]!ml([1]!taqsha(1,1,[1]!roz(EU12+1,0,0,0),EU13)),EU14)/30</f>
        <v>#VALUE!</v>
      </c>
      <c r="EV15" s="962" t="e">
        <f>[1]!qsn([1]!ml([1]!taqsha(1,1,[1]!roz(EV12+1,0,0,0),EV13)),EV14)/30</f>
        <v>#VALUE!</v>
      </c>
      <c r="EW15" s="962" t="e">
        <f>[1]!qsn([1]!ml([1]!taqsha(1,1,[1]!roz(EW12+1,0,0,0),EW13)),EW14)/30</f>
        <v>#VALUE!</v>
      </c>
      <c r="EX15" s="962" t="e">
        <f>[1]!qsn([1]!ml([1]!taqsha(1,1,[1]!roz(EX12+1,0,0,0),EX13)),EX14)/30</f>
        <v>#VALUE!</v>
      </c>
      <c r="EY15" s="962" t="e">
        <f>[1]!qsn([1]!ml([1]!taqsha(1,1,[1]!roz(EY12+1,0,0,0),EY13)),EY14)/30</f>
        <v>#VALUE!</v>
      </c>
      <c r="EZ15" s="962" t="e">
        <f>[1]!qsn([1]!ml([1]!taqsha(1,1,[1]!roz(EZ12+1,0,0,0),EZ13)),EZ14)/30</f>
        <v>#VALUE!</v>
      </c>
      <c r="FA15" s="962" t="e">
        <f>[1]!qsn([1]!ml([1]!taqsha(1,1,[1]!roz(FA12+1,0,0,0),FA13)),FA14)/30</f>
        <v>#VALUE!</v>
      </c>
      <c r="FB15" s="962" t="e">
        <f>[1]!qsn([1]!ml([1]!taqsha(1,1,[1]!roz(FB12+1,0,0,0),FB13)),FB14)/30</f>
        <v>#VALUE!</v>
      </c>
      <c r="FC15" s="962" t="e">
        <f>[1]!qsn([1]!ml([1]!taqsha(1,1,[1]!roz(FC12+1,0,0,0),FC13)),FC14)/30</f>
        <v>#VALUE!</v>
      </c>
      <c r="FD15" s="962" t="e">
        <f>[1]!qsn([1]!ml([1]!taqsha(1,1,[1]!roz(FD12+1,0,0,0),FD13)),FD14)/30</f>
        <v>#VALUE!</v>
      </c>
      <c r="FE15" s="962" t="e">
        <f>[1]!qsn([1]!ml([1]!taqsha(1,1,[1]!roz(FE12+1,0,0,0),FE13)),FE14)/30</f>
        <v>#VALUE!</v>
      </c>
      <c r="FF15" s="962" t="e">
        <f>[1]!qsn([1]!ml([1]!taqsha(1,1,[1]!roz(FF12+1,0,0,0),FF13)),FF14)/30</f>
        <v>#VALUE!</v>
      </c>
      <c r="FG15" s="962" t="e">
        <f>[1]!qsn([1]!ml([1]!taqsha(1,1,[1]!roz(FG12+1,0,0,0),FG13)),FG14)/30</f>
        <v>#VALUE!</v>
      </c>
      <c r="FH15" s="962" t="e">
        <f>[1]!qsn([1]!ml([1]!taqsha(1,1,[1]!roz(FH12+1,0,0,0),FH13)),FH14)/30</f>
        <v>#VALUE!</v>
      </c>
      <c r="FI15" s="962" t="e">
        <f>[1]!qsn([1]!ml([1]!taqsha(1,1,[1]!roz(FI12+1,0,0,0),FI13)),FI14)/30</f>
        <v>#VALUE!</v>
      </c>
      <c r="FJ15" s="962" t="e">
        <f>[1]!qsn([1]!ml([1]!taqsha(1,1,[1]!roz(FJ12+1,0,0,0),FJ13)),FJ14)/30</f>
        <v>#VALUE!</v>
      </c>
      <c r="FK15" s="962" t="e">
        <f>[1]!qsn([1]!ml([1]!taqsha(1,1,[1]!roz(FK12+1,0,0,0),FK13)),FK14)/30</f>
        <v>#VALUE!</v>
      </c>
      <c r="FL15" s="962" t="e">
        <f>[1]!qsn([1]!ml([1]!taqsha(1,1,[1]!roz(FL12+1,0,0,0),FL13)),FL14)/30</f>
        <v>#VALUE!</v>
      </c>
      <c r="FM15" s="962" t="e">
        <f>[1]!qsn([1]!ml([1]!taqsha(1,1,[1]!roz(FM12+1,0,0,0),FM13)),FM14)/30</f>
        <v>#VALUE!</v>
      </c>
      <c r="FN15" s="962" t="e">
        <f>[1]!qsn([1]!ml([1]!taqsha(1,1,[1]!roz(FN12+1,0,0,0),FN13)),FN14)/30</f>
        <v>#VALUE!</v>
      </c>
      <c r="FO15" s="962" t="e">
        <f>[1]!qsn([1]!ml([1]!taqsha(1,1,[1]!roz(FO12+1,0,0,0),FO13)),FO14)/30</f>
        <v>#VALUE!</v>
      </c>
      <c r="FP15" s="962" t="e">
        <f>[1]!qsn([1]!ml([1]!taqsha(1,1,[1]!roz(FP12+1,0,0,0),FP13)),FP14)/30</f>
        <v>#VALUE!</v>
      </c>
      <c r="FQ15" s="962" t="e">
        <f>[1]!qsn([1]!ml([1]!taqsha(1,1,[1]!roz(FQ12+1,0,0,0),FQ13)),FQ14)/30</f>
        <v>#VALUE!</v>
      </c>
      <c r="FR15" s="962" t="e">
        <f>[1]!qsn([1]!ml([1]!taqsha(1,1,[1]!roz(FR12+1,0,0,0),FR13)),FR14)/30</f>
        <v>#VALUE!</v>
      </c>
      <c r="FS15" s="962" t="e">
        <f>[1]!qsn([1]!ml([1]!taqsha(1,1,[1]!roz(FS12+1,0,0,0),FS13)),FS14)/30</f>
        <v>#VALUE!</v>
      </c>
      <c r="FT15" s="962" t="e">
        <f>[1]!qsn([1]!ml([1]!taqsha(1,1,[1]!roz(FT12+1,0,0,0),FT13)),FT14)/30</f>
        <v>#VALUE!</v>
      </c>
      <c r="FU15" s="962" t="e">
        <f>[1]!qsn([1]!ml([1]!taqsha(1,1,[1]!roz(FU12+1,0,0,0),FU13)),FU14)/30</f>
        <v>#VALUE!</v>
      </c>
      <c r="FV15" s="962" t="e">
        <f>[1]!qsn([1]!ml([1]!taqsha(1,1,[1]!roz(FV12+1,0,0,0),FV13)),FV14)/30</f>
        <v>#VALUE!</v>
      </c>
      <c r="FW15" s="962" t="e">
        <f>[1]!qsn([1]!ml([1]!taqsha(1,1,[1]!roz(FW12+1,0,0,0),FW13)),FW14)/30</f>
        <v>#VALUE!</v>
      </c>
      <c r="FX15" s="962" t="e">
        <f>[1]!qsn([1]!ml([1]!taqsha(1,1,[1]!roz(FX12+1,0,0,0),FX13)),FX14)/30</f>
        <v>#VALUE!</v>
      </c>
      <c r="FY15" s="962" t="e">
        <f>[1]!qsn([1]!ml([1]!taqsha(1,1,[1]!roz(FY12+1,0,0,0),FY13)),FY14)/30</f>
        <v>#VALUE!</v>
      </c>
      <c r="FZ15" s="962" t="e">
        <f>[1]!qsn([1]!ml([1]!taqsha(1,1,[1]!roz(FZ12+1,0,0,0),FZ13)),FZ14)/30</f>
        <v>#VALUE!</v>
      </c>
      <c r="GA15" s="962" t="e">
        <f>[1]!qsn([1]!ml([1]!taqsha(1,1,[1]!roz(GA12+1,0,0,0),GA13)),GA14)/30</f>
        <v>#VALUE!</v>
      </c>
      <c r="GB15" s="962" t="e">
        <f>[1]!qsn([1]!ml([1]!taqsha(1,1,[1]!roz(GB12+1,0,0,0),GB13)),GB14)/30</f>
        <v>#VALUE!</v>
      </c>
      <c r="GC15" s="962" t="e">
        <f>[1]!qsn([1]!ml([1]!taqsha(1,1,[1]!roz(GC12+1,0,0,0),GC13)),GC14)/30</f>
        <v>#VALUE!</v>
      </c>
      <c r="GD15" s="962" t="e">
        <f>[1]!qsn([1]!ml([1]!taqsha(1,1,[1]!roz(GD12+1,0,0,0),GD13)),GD14)/30</f>
        <v>#VALUE!</v>
      </c>
      <c r="GE15" s="962" t="e">
        <f>[1]!qsn([1]!ml([1]!taqsha(1,1,[1]!roz(GE12+1,0,0,0),GE13)),GE14)/30</f>
        <v>#VALUE!</v>
      </c>
      <c r="GF15" s="962" t="e">
        <f>[1]!qsn([1]!ml([1]!taqsha(1,1,[1]!roz(GF12+1,0,0,0),GF13)),GF14)/30</f>
        <v>#VALUE!</v>
      </c>
      <c r="GG15" s="962" t="e">
        <f>[1]!qsn([1]!ml([1]!taqsha(1,1,[1]!roz(GG12+1,0,0,0),GG13)),GG14)/30</f>
        <v>#VALUE!</v>
      </c>
      <c r="GH15" s="962" t="e">
        <f>[1]!qsn([1]!ml([1]!taqsha(1,1,[1]!roz(GH12+1,0,0,0),GH13)),GH14)/30</f>
        <v>#VALUE!</v>
      </c>
      <c r="GI15" s="962" t="e">
        <f>[1]!qsn([1]!ml([1]!taqsha(1,1,[1]!roz(GI12+1,0,0,0),GI13)),GI14)/30</f>
        <v>#VALUE!</v>
      </c>
      <c r="GJ15" s="962" t="e">
        <f>[1]!qsn([1]!ml([1]!taqsha(1,1,[1]!roz(GJ12+1,0,0,0),GJ13)),GJ14)/30</f>
        <v>#VALUE!</v>
      </c>
      <c r="GK15" s="962" t="e">
        <f>[1]!qsn([1]!ml([1]!taqsha(1,1,[1]!roz(GK12+1,0,0,0),GK13)),GK14)/30</f>
        <v>#VALUE!</v>
      </c>
      <c r="GL15" s="962" t="e">
        <f>[1]!qsn([1]!ml([1]!taqsha(1,1,[1]!roz(GL12+1,0,0,0),GL13)),GL14)/30</f>
        <v>#VALUE!</v>
      </c>
      <c r="GM15" s="962" t="e">
        <f>[1]!qsn([1]!ml([1]!taqsha(1,1,[1]!roz(GM12+1,0,0,0),GM13)),GM14)/30</f>
        <v>#VALUE!</v>
      </c>
      <c r="GN15" s="962" t="e">
        <f>[1]!qsn([1]!ml([1]!taqsha(1,1,[1]!roz(GN12+1,0,0,0),GN13)),GN14)/30</f>
        <v>#VALUE!</v>
      </c>
      <c r="GO15" s="962" t="e">
        <f>[1]!qsn([1]!ml([1]!taqsha(1,1,[1]!roz(GO12+1,0,0,0),GO13)),GO14)/30</f>
        <v>#VALUE!</v>
      </c>
      <c r="GP15" s="962" t="e">
        <f>[1]!qsn([1]!ml([1]!taqsha(1,1,[1]!roz(GP12+1,0,0,0),GP13)),GP14)/30</f>
        <v>#VALUE!</v>
      </c>
      <c r="GQ15" s="962" t="e">
        <f>[1]!qsn([1]!ml([1]!taqsha(1,1,[1]!roz(GQ12+1,0,0,0),GQ13)),GQ14)/30</f>
        <v>#VALUE!</v>
      </c>
      <c r="GR15" s="962" t="e">
        <f>[1]!qsn([1]!ml([1]!taqsha(1,1,[1]!roz(GR12+1,0,0,0),GR13)),GR14)/30</f>
        <v>#VALUE!</v>
      </c>
      <c r="GS15" s="962" t="e">
        <f>[1]!qsn([1]!ml([1]!taqsha(1,1,[1]!roz(GS12+1,0,0,0),GS13)),GS14)/30</f>
        <v>#VALUE!</v>
      </c>
      <c r="GT15" s="962" t="e">
        <f>[1]!qsn([1]!ml([1]!taqsha(1,1,[1]!roz(GT12+1,0,0,0),GT13)),GT14)/30</f>
        <v>#VALUE!</v>
      </c>
      <c r="GU15" s="962" t="e">
        <f>[1]!qsn([1]!ml([1]!taqsha(1,1,[1]!roz(GU12+1,0,0,0),GU13)),GU14)/30</f>
        <v>#VALUE!</v>
      </c>
      <c r="GV15" s="962" t="e">
        <f>[1]!qsn([1]!ml([1]!taqsha(1,1,[1]!roz(GV12+1,0,0,0),GV13)),GV14)/30</f>
        <v>#VALUE!</v>
      </c>
      <c r="GW15" s="962" t="e">
        <f>[1]!qsn([1]!ml([1]!taqsha(1,1,[1]!roz(GW12+1,0,0,0),GW13)),GW14)/30</f>
        <v>#VALUE!</v>
      </c>
      <c r="GX15" s="962" t="e">
        <f>[1]!qsn([1]!ml([1]!taqsha(1,1,[1]!roz(GX12+1,0,0,0),GX13)),GX14)/30</f>
        <v>#VALUE!</v>
      </c>
      <c r="GY15" s="962" t="e">
        <f>[1]!qsn([1]!ml([1]!taqsha(1,1,[1]!roz(GY12+1,0,0,0),GY13)),GY14)/30</f>
        <v>#VALUE!</v>
      </c>
      <c r="GZ15" s="962" t="e">
        <f>[1]!qsn([1]!ml([1]!taqsha(1,1,[1]!roz(GZ12+1,0,0,0),GZ13)),GZ14)/30</f>
        <v>#VALUE!</v>
      </c>
      <c r="HA15" s="962" t="e">
        <f>[1]!qsn([1]!ml([1]!taqsha(1,1,[1]!roz(HA12+1,0,0,0),HA13)),HA14)/30</f>
        <v>#VALUE!</v>
      </c>
      <c r="HB15" s="962" t="e">
        <f>[1]!qsn([1]!ml([1]!taqsha(1,1,[1]!roz(HB12+1,0,0,0),HB13)),HB14)/30</f>
        <v>#VALUE!</v>
      </c>
      <c r="HC15" s="962" t="e">
        <f>[1]!qsn([1]!ml([1]!taqsha(1,1,[1]!roz(HC12+1,0,0,0),HC13)),HC14)/30</f>
        <v>#VALUE!</v>
      </c>
      <c r="HD15" s="962" t="e">
        <f>[1]!qsn([1]!ml([1]!taqsha(1,1,[1]!roz(HD12+1,0,0,0),HD13)),HD14)/30</f>
        <v>#VALUE!</v>
      </c>
      <c r="HE15" s="962" t="e">
        <f>[1]!qsn([1]!ml([1]!taqsha(1,1,[1]!roz(HE12+1,0,0,0),HE13)),HE14)/30</f>
        <v>#VALUE!</v>
      </c>
      <c r="HF15" s="962" t="e">
        <f>[1]!qsn([1]!ml([1]!taqsha(1,1,[1]!roz(HF12+1,0,0,0),HF13)),HF14)/30</f>
        <v>#VALUE!</v>
      </c>
      <c r="HG15" s="962" t="e">
        <f>[1]!qsn([1]!ml([1]!taqsha(1,1,[1]!roz(HG12+1,0,0,0),HG13)),HG14)/30</f>
        <v>#VALUE!</v>
      </c>
      <c r="HH15" s="962" t="e">
        <f>[1]!qsn([1]!ml([1]!taqsha(1,1,[1]!roz(HH12+1,0,0,0),HH13)),HH14)/30</f>
        <v>#VALUE!</v>
      </c>
      <c r="HI15" s="962" t="e">
        <f>[1]!qsn([1]!ml([1]!taqsha(1,1,[1]!roz(HI12+1,0,0,0),HI13)),HI14)/30</f>
        <v>#VALUE!</v>
      </c>
      <c r="HJ15" s="962" t="e">
        <f>[1]!qsn([1]!ml([1]!taqsha(1,1,[1]!roz(HJ12+1,0,0,0),HJ13)),HJ14)/30</f>
        <v>#VALUE!</v>
      </c>
      <c r="HK15" s="962" t="e">
        <f>[1]!qsn([1]!ml([1]!taqsha(1,1,[1]!roz(HK12+1,0,0,0),HK13)),HK14)/30</f>
        <v>#VALUE!</v>
      </c>
      <c r="HL15" s="962" t="e">
        <f>[1]!qsn([1]!ml([1]!taqsha(1,1,[1]!roz(HL12+1,0,0,0),HL13)),HL14)/30</f>
        <v>#VALUE!</v>
      </c>
      <c r="HM15" s="962" t="e">
        <f>[1]!qsn([1]!ml([1]!taqsha(1,1,[1]!roz(HM12+1,0,0,0),HM13)),HM14)/30</f>
        <v>#VALUE!</v>
      </c>
      <c r="HN15" s="962" t="e">
        <f>[1]!qsn([1]!ml([1]!taqsha(1,1,[1]!roz(HN12+1,0,0,0),HN13)),HN14)/30</f>
        <v>#VALUE!</v>
      </c>
      <c r="HO15" s="962" t="e">
        <f>[1]!qsn([1]!ml([1]!taqsha(1,1,[1]!roz(HO12+1,0,0,0),HO13)),HO14)/30</f>
        <v>#VALUE!</v>
      </c>
      <c r="HP15" s="962" t="e">
        <f>[1]!qsn([1]!ml([1]!taqsha(1,1,[1]!roz(HP12+1,0,0,0),HP13)),HP14)/30</f>
        <v>#VALUE!</v>
      </c>
      <c r="HQ15" s="962" t="e">
        <f>[1]!qsn([1]!ml([1]!taqsha(1,1,[1]!roz(HQ12+1,0,0,0),HQ13)),HQ14)/30</f>
        <v>#VALUE!</v>
      </c>
      <c r="HR15" s="962" t="e">
        <f>[1]!qsn([1]!ml([1]!taqsha(1,1,[1]!roz(HR12+1,0,0,0),HR13)),HR14)/30</f>
        <v>#VALUE!</v>
      </c>
      <c r="HS15" s="962" t="e">
        <f>[1]!qsn([1]!ml([1]!taqsha(1,1,[1]!roz(HS12+1,0,0,0),HS13)),HS14)/30</f>
        <v>#VALUE!</v>
      </c>
      <c r="HT15" s="962" t="e">
        <f>[1]!qsn([1]!ml([1]!taqsha(1,1,[1]!roz(HT12+1,0,0,0),HT13)),HT14)/30</f>
        <v>#VALUE!</v>
      </c>
      <c r="HU15" s="962" t="e">
        <f>[1]!qsn([1]!ml([1]!taqsha(1,1,[1]!roz(HU12+1,0,0,0),HU13)),HU14)/30</f>
        <v>#VALUE!</v>
      </c>
      <c r="HV15" s="962" t="e">
        <f>[1]!qsn([1]!ml([1]!taqsha(1,1,[1]!roz(HV12+1,0,0,0),HV13)),HV14)/30</f>
        <v>#VALUE!</v>
      </c>
      <c r="HW15" s="962" t="e">
        <f>[1]!qsn([1]!ml([1]!taqsha(1,1,[1]!roz(HW12+1,0,0,0),HW13)),HW14)/30</f>
        <v>#VALUE!</v>
      </c>
      <c r="HX15" s="962" t="e">
        <f>[1]!qsn([1]!ml([1]!taqsha(1,1,[1]!roz(HX12+1,0,0,0),HX13)),HX14)/30</f>
        <v>#VALUE!</v>
      </c>
      <c r="HY15" s="962" t="e">
        <f>[1]!qsn([1]!ml([1]!taqsha(1,1,[1]!roz(HY12+1,0,0,0),HY13)),HY14)/30</f>
        <v>#VALUE!</v>
      </c>
      <c r="HZ15" s="962" t="e">
        <f>[1]!qsn([1]!ml([1]!taqsha(1,1,[1]!roz(HZ12+1,0,0,0),HZ13)),HZ14)/30</f>
        <v>#VALUE!</v>
      </c>
      <c r="IA15" s="962" t="e">
        <f>[1]!qsn([1]!ml([1]!taqsha(1,1,[1]!roz(IA12+1,0,0,0),IA13)),IA14)/30</f>
        <v>#VALUE!</v>
      </c>
      <c r="IB15" s="962" t="e">
        <f>[1]!qsn([1]!ml([1]!taqsha(1,1,[1]!roz(IB12+1,0,0,0),IB13)),IB14)/30</f>
        <v>#VALUE!</v>
      </c>
      <c r="IC15" s="962" t="e">
        <f>[1]!qsn([1]!ml([1]!taqsha(1,1,[1]!roz(IC12+1,0,0,0),IC13)),IC14)/30</f>
        <v>#VALUE!</v>
      </c>
      <c r="ID15" s="962" t="e">
        <f>[1]!qsn([1]!ml([1]!taqsha(1,1,[1]!roz(ID12+1,0,0,0),ID13)),ID14)/30</f>
        <v>#VALUE!</v>
      </c>
      <c r="IE15" s="962" t="e">
        <f>[1]!qsn([1]!ml([1]!taqsha(1,1,[1]!roz(IE12+1,0,0,0),IE13)),IE14)/30</f>
        <v>#VALUE!</v>
      </c>
      <c r="IF15" s="962" t="e">
        <f>[1]!qsn([1]!ml([1]!taqsha(1,1,[1]!roz(IF12+1,0,0,0),IF13)),IF14)/30</f>
        <v>#VALUE!</v>
      </c>
      <c r="IG15" s="962" t="e">
        <f>[1]!qsn([1]!ml([1]!taqsha(1,1,[1]!roz(IG12+1,0,0,0),IG13)),IG14)/30</f>
        <v>#VALUE!</v>
      </c>
      <c r="IH15" s="962" t="e">
        <f>[1]!qsn([1]!ml([1]!taqsha(1,1,[1]!roz(IH12+1,0,0,0),IH13)),IH14)/30</f>
        <v>#VALUE!</v>
      </c>
      <c r="II15" s="962" t="e">
        <f>[1]!qsn([1]!ml([1]!taqsha(1,1,[1]!roz(II12+1,0,0,0),II13)),II14)/30</f>
        <v>#VALUE!</v>
      </c>
      <c r="IJ15" s="962" t="e">
        <f>[1]!qsn([1]!ml([1]!taqsha(1,1,[1]!roz(IJ12+1,0,0,0),IJ13)),IJ14)/30</f>
        <v>#VALUE!</v>
      </c>
      <c r="IK15" s="962" t="e">
        <f>[1]!qsn([1]!ml([1]!taqsha(1,1,[1]!roz(IK12+1,0,0,0),IK13)),IK14)/30</f>
        <v>#VALUE!</v>
      </c>
      <c r="IL15" s="962" t="e">
        <f>[1]!qsn([1]!ml([1]!taqsha(1,1,[1]!roz(IL12+1,0,0,0),IL13)),IL14)/30</f>
        <v>#VALUE!</v>
      </c>
      <c r="IM15" s="962" t="e">
        <f>[1]!qsn([1]!ml([1]!taqsha(1,1,[1]!roz(IM12+1,0,0,0),IM13)),IM14)/30</f>
        <v>#VALUE!</v>
      </c>
      <c r="IN15" s="962" t="e">
        <f>[1]!qsn([1]!ml([1]!taqsha(1,1,[1]!roz(IN12+1,0,0,0),IN13)),IN14)/30</f>
        <v>#VALUE!</v>
      </c>
      <c r="IO15" s="962" t="e">
        <f>[1]!qsn([1]!ml([1]!taqsha(1,1,[1]!roz(IO12+1,0,0,0),IO13)),IO14)/30</f>
        <v>#VALUE!</v>
      </c>
      <c r="IP15" s="962" t="e">
        <f>[1]!qsn([1]!ml([1]!taqsha(1,1,[1]!roz(IP12+1,0,0,0),IP13)),IP14)/30</f>
        <v>#VALUE!</v>
      </c>
      <c r="IQ15" s="962" t="e">
        <f>[1]!qsn([1]!ml([1]!taqsha(1,1,[1]!roz(IQ12+1,0,0,0),IQ13)),IQ14)/30</f>
        <v>#VALUE!</v>
      </c>
      <c r="IR15" s="962" t="e">
        <f>[1]!qsn([1]!ml([1]!taqsha(1,1,[1]!roz(IR12+1,0,0,0),IR13)),IR14)/30</f>
        <v>#VALUE!</v>
      </c>
      <c r="IS15" s="962" t="e">
        <f>[1]!qsn([1]!ml([1]!taqsha(1,1,[1]!roz(IS12+1,0,0,0),IS13)),IS14)/30</f>
        <v>#VALUE!</v>
      </c>
      <c r="IT15" s="962" t="e">
        <f>[1]!qsn([1]!ml([1]!taqsha(1,1,[1]!roz(IT12+1,0,0,0),IT13)),IT14)/30</f>
        <v>#VALUE!</v>
      </c>
      <c r="IU15" s="962" t="e">
        <f>[1]!qsn([1]!ml([1]!taqsha(1,1,[1]!roz(IU12+1,0,0,0),IU13)),IU14)/30</f>
        <v>#VALUE!</v>
      </c>
      <c r="IV15" s="962" t="e">
        <f>[1]!qsn([1]!ml([1]!taqsha(1,1,[1]!roz(IV12+1,0,0,0),IV13)),IV14)/30</f>
        <v>#VALUE!</v>
      </c>
      <c r="IW15" s="962" t="e">
        <f>[1]!qsn([1]!ml([1]!taqsha(1,1,[1]!roz(IW12+1,0,0,0),IW13)),IW14)/30</f>
        <v>#VALUE!</v>
      </c>
      <c r="IX15" s="962" t="e">
        <f>[1]!qsn([1]!ml([1]!taqsha(1,1,[1]!roz(IX12+1,0,0,0),IX13)),IX14)/30</f>
        <v>#VALUE!</v>
      </c>
      <c r="IY15" s="962" t="e">
        <f>[1]!qsn([1]!ml([1]!taqsha(1,1,[1]!roz(IY12+1,0,0,0),IY13)),IY14)/30</f>
        <v>#VALUE!</v>
      </c>
      <c r="IZ15" s="962" t="e">
        <f>[1]!qsn([1]!ml([1]!taqsha(1,1,[1]!roz(IZ12+1,0,0,0),IZ13)),IZ14)/30</f>
        <v>#VALUE!</v>
      </c>
      <c r="JA15" s="962" t="e">
        <f>[1]!qsn([1]!ml([1]!taqsha(1,1,[1]!roz(JA12+1,0,0,0),JA13)),JA14)/30</f>
        <v>#VALUE!</v>
      </c>
      <c r="JB15" s="962" t="e">
        <f>[1]!qsn([1]!ml([1]!taqsha(1,1,[1]!roz(JB12+1,0,0,0),JB13)),JB14)/30</f>
        <v>#VALUE!</v>
      </c>
      <c r="JC15" s="962" t="e">
        <f>[1]!qsn([1]!ml([1]!taqsha(1,1,[1]!roz(JC12+1,0,0,0),JC13)),JC14)/30</f>
        <v>#VALUE!</v>
      </c>
      <c r="JD15" s="962" t="e">
        <f>[1]!qsn([1]!ml([1]!taqsha(1,1,[1]!roz(JD12+1,0,0,0),JD13)),JD14)/30</f>
        <v>#VALUE!</v>
      </c>
      <c r="JE15" s="962" t="e">
        <f>[1]!qsn([1]!ml([1]!taqsha(1,1,[1]!roz(JE12+1,0,0,0),JE13)),JE14)/30</f>
        <v>#VALUE!</v>
      </c>
      <c r="JF15" s="962" t="e">
        <f>[1]!qsn([1]!ml([1]!taqsha(1,1,[1]!roz(JF12+1,0,0,0),JF13)),JF14)/30</f>
        <v>#VALUE!</v>
      </c>
      <c r="JG15" s="962" t="e">
        <f>[1]!qsn([1]!ml([1]!taqsha(1,1,[1]!roz(JG12+1,0,0,0),JG13)),JG14)/30</f>
        <v>#VALUE!</v>
      </c>
      <c r="JH15" s="962" t="e">
        <f>[1]!qsn([1]!ml([1]!taqsha(1,1,[1]!roz(JH12+1,0,0,0),JH13)),JH14)/30</f>
        <v>#VALUE!</v>
      </c>
      <c r="JI15" s="962" t="e">
        <f>[1]!qsn([1]!ml([1]!taqsha(1,1,[1]!roz(JI12+1,0,0,0),JI13)),JI14)/30</f>
        <v>#VALUE!</v>
      </c>
      <c r="JJ15" s="962" t="e">
        <f>[1]!qsn([1]!ml([1]!taqsha(1,1,[1]!roz(JJ12+1,0,0,0),JJ13)),JJ14)/30</f>
        <v>#VALUE!</v>
      </c>
      <c r="JK15" s="962" t="e">
        <f>[1]!qsn([1]!ml([1]!taqsha(1,1,[1]!roz(JK12+1,0,0,0),JK13)),JK14)/30</f>
        <v>#VALUE!</v>
      </c>
      <c r="JL15" s="962" t="e">
        <f>[1]!qsn([1]!ml([1]!taqsha(1,1,[1]!roz(JL12+1,0,0,0),JL13)),JL14)/30</f>
        <v>#VALUE!</v>
      </c>
      <c r="JM15" s="962" t="e">
        <f>[1]!qsn([1]!ml([1]!taqsha(1,1,[1]!roz(JM12+1,0,0,0),JM13)),JM14)/30</f>
        <v>#VALUE!</v>
      </c>
      <c r="JN15" s="962" t="e">
        <f>[1]!qsn([1]!ml([1]!taqsha(1,1,[1]!roz(JN12+1,0,0,0),JN13)),JN14)/30</f>
        <v>#VALUE!</v>
      </c>
      <c r="JO15" s="962" t="e">
        <f>[1]!qsn([1]!ml([1]!taqsha(1,1,[1]!roz(JO12+1,0,0,0),JO13)),JO14)/30</f>
        <v>#VALUE!</v>
      </c>
      <c r="JP15" s="962" t="e">
        <f>[1]!qsn([1]!ml([1]!taqsha(1,1,[1]!roz(JP12+1,0,0,0),JP13)),JP14)/30</f>
        <v>#VALUE!</v>
      </c>
      <c r="JQ15" s="962" t="e">
        <f>[1]!qsn([1]!ml([1]!taqsha(1,1,[1]!roz(JQ12+1,0,0,0),JQ13)),JQ14)/30</f>
        <v>#VALUE!</v>
      </c>
      <c r="JR15" s="962" t="e">
        <f>[1]!qsn([1]!ml([1]!taqsha(1,1,[1]!roz(JR12+1,0,0,0),JR13)),JR14)/30</f>
        <v>#VALUE!</v>
      </c>
      <c r="JS15" s="962" t="e">
        <f>[1]!qsn([1]!ml([1]!taqsha(1,1,[1]!roz(JS12+1,0,0,0),JS13)),JS14)/30</f>
        <v>#VALUE!</v>
      </c>
      <c r="JT15" s="962" t="e">
        <f>[1]!qsn([1]!ml([1]!taqsha(1,1,[1]!roz(JT12+1,0,0,0),JT13)),JT14)/30</f>
        <v>#VALUE!</v>
      </c>
      <c r="JU15" s="962" t="e">
        <f>[1]!qsn([1]!ml([1]!taqsha(1,1,[1]!roz(JU12+1,0,0,0),JU13)),JU14)/30</f>
        <v>#VALUE!</v>
      </c>
      <c r="JV15" s="962" t="e">
        <f>[1]!qsn([1]!ml([1]!taqsha(1,1,[1]!roz(JV12+1,0,0,0),JV13)),JV14)/30</f>
        <v>#VALUE!</v>
      </c>
      <c r="JW15" s="962" t="e">
        <f>[1]!qsn([1]!ml([1]!taqsha(1,1,[1]!roz(JW12+1,0,0,0),JW13)),JW14)/30</f>
        <v>#VALUE!</v>
      </c>
      <c r="JX15" s="962" t="e">
        <f>[1]!qsn([1]!ml([1]!taqsha(1,1,[1]!roz(JX12+1,0,0,0),JX13)),JX14)/30</f>
        <v>#VALUE!</v>
      </c>
      <c r="JY15" s="962" t="e">
        <f>[1]!qsn([1]!ml([1]!taqsha(1,1,[1]!roz(JY12+1,0,0,0),JY13)),JY14)/30</f>
        <v>#VALUE!</v>
      </c>
      <c r="JZ15" s="962" t="e">
        <f>[1]!qsn([1]!ml([1]!taqsha(1,1,[1]!roz(JZ12+1,0,0,0),JZ13)),JZ14)/30</f>
        <v>#VALUE!</v>
      </c>
      <c r="KA15" s="962" t="e">
        <f>[1]!qsn([1]!ml([1]!taqsha(1,1,[1]!roz(KA12+1,0,0,0),KA13)),KA14)/30</f>
        <v>#VALUE!</v>
      </c>
      <c r="KB15" s="962" t="e">
        <f>[1]!qsn([1]!ml([1]!taqsha(1,1,[1]!roz(KB12+1,0,0,0),KB13)),KB14)/30</f>
        <v>#VALUE!</v>
      </c>
      <c r="KC15" s="962" t="e">
        <f>[1]!qsn([1]!ml([1]!taqsha(1,1,[1]!roz(KC12+1,0,0,0),KC13)),KC14)/30</f>
        <v>#VALUE!</v>
      </c>
      <c r="KD15" s="962" t="e">
        <f>[1]!qsn([1]!ml([1]!taqsha(1,1,[1]!roz(KD12+1,0,0,0),KD13)),KD14)/30</f>
        <v>#VALUE!</v>
      </c>
      <c r="KE15" s="962" t="e">
        <f>[1]!qsn([1]!ml([1]!taqsha(1,1,[1]!roz(KE12+1,0,0,0),KE13)),KE14)/30</f>
        <v>#VALUE!</v>
      </c>
      <c r="KF15" s="962" t="e">
        <f>[1]!qsn([1]!ml([1]!taqsha(1,1,[1]!roz(KF12+1,0,0,0),KF13)),KF14)/30</f>
        <v>#VALUE!</v>
      </c>
      <c r="KG15" s="962" t="e">
        <f>[1]!qsn([1]!ml([1]!taqsha(1,1,[1]!roz(KG12+1,0,0,0),KG13)),KG14)/30</f>
        <v>#VALUE!</v>
      </c>
      <c r="KH15" s="962" t="e">
        <f>[1]!qsn([1]!ml([1]!taqsha(1,1,[1]!roz(KH12+1,0,0,0),KH13)),KH14)/30</f>
        <v>#VALUE!</v>
      </c>
      <c r="KI15" s="962" t="e">
        <f>[1]!qsn([1]!ml([1]!taqsha(1,1,[1]!roz(KI12+1,0,0,0),KI13)),KI14)/30</f>
        <v>#VALUE!</v>
      </c>
      <c r="KJ15" s="962" t="e">
        <f>[1]!qsn([1]!ml([1]!taqsha(1,1,[1]!roz(KJ12+1,0,0,0),KJ13)),KJ14)/30</f>
        <v>#VALUE!</v>
      </c>
      <c r="KK15" s="962" t="e">
        <f>[1]!qsn([1]!ml([1]!taqsha(1,1,[1]!roz(KK12+1,0,0,0),KK13)),KK14)/30</f>
        <v>#VALUE!</v>
      </c>
      <c r="KL15" s="962" t="e">
        <f>[1]!qsn([1]!ml([1]!taqsha(1,1,[1]!roz(KL12+1,0,0,0),KL13)),KL14)/30</f>
        <v>#VALUE!</v>
      </c>
      <c r="KM15" s="962" t="e">
        <f>[1]!qsn([1]!ml([1]!taqsha(1,1,[1]!roz(KM12+1,0,0,0),KM13)),KM14)/30</f>
        <v>#VALUE!</v>
      </c>
      <c r="KN15" s="962" t="e">
        <f>[1]!qsn([1]!ml([1]!taqsha(1,1,[1]!roz(KN12+1,0,0,0),KN13)),KN14)/30</f>
        <v>#VALUE!</v>
      </c>
      <c r="KO15" s="962" t="e">
        <f>[1]!qsn([1]!ml([1]!taqsha(1,1,[1]!roz(KO12+1,0,0,0),KO13)),KO14)/30</f>
        <v>#VALUE!</v>
      </c>
      <c r="KP15" s="962" t="e">
        <f>[1]!qsn([1]!ml([1]!taqsha(1,1,[1]!roz(KP12+1,0,0,0),KP13)),KP14)/30</f>
        <v>#VALUE!</v>
      </c>
      <c r="KQ15" s="962" t="e">
        <f>[1]!qsn([1]!ml([1]!taqsha(1,1,[1]!roz(KQ12+1,0,0,0),KQ13)),KQ14)/30</f>
        <v>#VALUE!</v>
      </c>
      <c r="KR15" s="962" t="e">
        <f>[1]!qsn([1]!ml([1]!taqsha(1,1,[1]!roz(KR12+1,0,0,0),KR13)),KR14)/30</f>
        <v>#VALUE!</v>
      </c>
      <c r="KS15" s="962" t="e">
        <f>[1]!qsn([1]!ml([1]!taqsha(1,1,[1]!roz(KS12+1,0,0,0),KS13)),KS14)/30</f>
        <v>#VALUE!</v>
      </c>
      <c r="KT15" s="962" t="e">
        <f>[1]!qsn([1]!ml([1]!taqsha(1,1,[1]!roz(KT12+1,0,0,0),KT13)),KT14)/30</f>
        <v>#VALUE!</v>
      </c>
      <c r="KU15" s="962" t="e">
        <f>[1]!qsn([1]!ml([1]!taqsha(1,1,[1]!roz(KU12+1,0,0,0),KU13)),KU14)/30</f>
        <v>#VALUE!</v>
      </c>
      <c r="KV15" s="962" t="e">
        <f>[1]!qsn([1]!ml([1]!taqsha(1,1,[1]!roz(KV12+1,0,0,0),KV13)),KV14)/30</f>
        <v>#VALUE!</v>
      </c>
      <c r="KW15" s="962" t="e">
        <f>[1]!qsn([1]!ml([1]!taqsha(1,1,[1]!roz(KW12+1,0,0,0),KW13)),KW14)/30</f>
        <v>#VALUE!</v>
      </c>
      <c r="KX15" s="962" t="e">
        <f>[1]!qsn([1]!ml([1]!taqsha(1,1,[1]!roz(KX12+1,0,0,0),KX13)),KX14)/30</f>
        <v>#VALUE!</v>
      </c>
      <c r="KY15" s="962" t="e">
        <f>[1]!qsn([1]!ml([1]!taqsha(1,1,[1]!roz(KY12+1,0,0,0),KY13)),KY14)/30</f>
        <v>#VALUE!</v>
      </c>
      <c r="KZ15" s="962" t="e">
        <f>[1]!qsn([1]!ml([1]!taqsha(1,1,[1]!roz(KZ12+1,0,0,0),KZ13)),KZ14)/30</f>
        <v>#VALUE!</v>
      </c>
      <c r="LA15" s="962" t="e">
        <f>[1]!qsn([1]!ml([1]!taqsha(1,1,[1]!roz(LA12+1,0,0,0),LA13)),LA14)/30</f>
        <v>#VALUE!</v>
      </c>
      <c r="LB15" s="962" t="e">
        <f>[1]!qsn([1]!ml([1]!taqsha(1,1,[1]!roz(LB12+1,0,0,0),LB13)),LB14)/30</f>
        <v>#VALUE!</v>
      </c>
      <c r="LC15" s="962" t="e">
        <f>[1]!qsn([1]!ml([1]!taqsha(1,1,[1]!roz(LC12+1,0,0,0),LC13)),LC14)/30</f>
        <v>#VALUE!</v>
      </c>
      <c r="LD15" s="962" t="e">
        <f>[1]!qsn([1]!ml([1]!taqsha(1,1,[1]!roz(LD12+1,0,0,0),LD13)),LD14)/30</f>
        <v>#VALUE!</v>
      </c>
      <c r="LE15" s="962" t="e">
        <f>[1]!qsn([1]!ml([1]!taqsha(1,1,[1]!roz(LE12+1,0,0,0),LE13)),LE14)/30</f>
        <v>#VALUE!</v>
      </c>
      <c r="LF15" s="962" t="e">
        <f>[1]!qsn([1]!ml([1]!taqsha(1,1,[1]!roz(LF12+1,0,0,0),LF13)),LF14)/30</f>
        <v>#VALUE!</v>
      </c>
      <c r="LG15" s="962" t="e">
        <f>[1]!qsn([1]!ml([1]!taqsha(1,1,[1]!roz(LG12+1,0,0,0),LG13)),LG14)/30</f>
        <v>#VALUE!</v>
      </c>
      <c r="LH15" s="962" t="e">
        <f>[1]!qsn([1]!ml([1]!taqsha(1,1,[1]!roz(LH12+1,0,0,0),LH13)),LH14)/30</f>
        <v>#VALUE!</v>
      </c>
      <c r="LI15" s="962" t="e">
        <f>[1]!qsn([1]!ml([1]!taqsha(1,1,[1]!roz(LI12+1,0,0,0),LI13)),LI14)/30</f>
        <v>#VALUE!</v>
      </c>
      <c r="LJ15" s="962" t="e">
        <f>[1]!qsn([1]!ml([1]!taqsha(1,1,[1]!roz(LJ12+1,0,0,0),LJ13)),LJ14)/30</f>
        <v>#VALUE!</v>
      </c>
      <c r="LK15" s="962" t="e">
        <f>[1]!qsn([1]!ml([1]!taqsha(1,1,[1]!roz(LK12+1,0,0,0),LK13)),LK14)/30</f>
        <v>#VALUE!</v>
      </c>
      <c r="LL15" s="962" t="e">
        <f>[1]!qsn([1]!ml([1]!taqsha(1,1,[1]!roz(LL12+1,0,0,0),LL13)),LL14)/30</f>
        <v>#VALUE!</v>
      </c>
      <c r="LM15" s="962" t="e">
        <f>[1]!qsn([1]!ml([1]!taqsha(1,1,[1]!roz(LM12+1,0,0,0),LM13)),LM14)/30</f>
        <v>#VALUE!</v>
      </c>
      <c r="LN15" s="962" t="e">
        <f>[1]!qsn([1]!ml([1]!taqsha(1,1,[1]!roz(LN12+1,0,0,0),LN13)),LN14)/30</f>
        <v>#VALUE!</v>
      </c>
      <c r="LO15" s="962" t="e">
        <f>[1]!qsn([1]!ml([1]!taqsha(1,1,[1]!roz(LO12+1,0,0,0),LO13)),LO14)/30</f>
        <v>#VALUE!</v>
      </c>
      <c r="LP15" s="962" t="e">
        <f>[1]!qsn([1]!ml([1]!taqsha(1,1,[1]!roz(LP12+1,0,0,0),LP13)),LP14)/30</f>
        <v>#VALUE!</v>
      </c>
      <c r="LQ15" s="962" t="e">
        <f>[1]!qsn([1]!ml([1]!taqsha(1,1,[1]!roz(LQ12+1,0,0,0),LQ13)),LQ14)/30</f>
        <v>#VALUE!</v>
      </c>
      <c r="LR15" s="962" t="e">
        <f>[1]!qsn([1]!ml([1]!taqsha(1,1,[1]!roz(LR12+1,0,0,0),LR13)),LR14)/30</f>
        <v>#VALUE!</v>
      </c>
      <c r="LS15" s="962" t="e">
        <f>[1]!qsn([1]!ml([1]!taqsha(1,1,[1]!roz(LS12+1,0,0,0),LS13)),LS14)/30</f>
        <v>#VALUE!</v>
      </c>
      <c r="LT15" s="962" t="e">
        <f>[1]!qsn([1]!ml([1]!taqsha(1,1,[1]!roz(LT12+1,0,0,0),LT13)),LT14)/30</f>
        <v>#VALUE!</v>
      </c>
      <c r="LU15" s="962" t="e">
        <f>[1]!qsn([1]!ml([1]!taqsha(1,1,[1]!roz(LU12+1,0,0,0),LU13)),LU14)/30</f>
        <v>#VALUE!</v>
      </c>
      <c r="LV15" s="962" t="e">
        <f>[1]!qsn([1]!ml([1]!taqsha(1,1,[1]!roz(LV12+1,0,0,0),LV13)),LV14)/30</f>
        <v>#VALUE!</v>
      </c>
      <c r="LW15" s="962" t="e">
        <f>[1]!qsn([1]!ml([1]!taqsha(1,1,[1]!roz(LW12+1,0,0,0),LW13)),LW14)/30</f>
        <v>#VALUE!</v>
      </c>
      <c r="LX15" s="962" t="e">
        <f>[1]!qsn([1]!ml([1]!taqsha(1,1,[1]!roz(LX12+1,0,0,0),LX13)),LX14)/30</f>
        <v>#VALUE!</v>
      </c>
      <c r="LY15" s="962" t="e">
        <f>[1]!qsn([1]!ml([1]!taqsha(1,1,[1]!roz(LY12+1,0,0,0),LY13)),LY14)/30</f>
        <v>#VALUE!</v>
      </c>
      <c r="LZ15" s="962" t="e">
        <f>[1]!qsn([1]!ml([1]!taqsha(1,1,[1]!roz(LZ12+1,0,0,0),LZ13)),LZ14)/30</f>
        <v>#VALUE!</v>
      </c>
      <c r="MA15" s="962" t="e">
        <f>[1]!qsn([1]!ml([1]!taqsha(1,1,[1]!roz(MA12+1,0,0,0),MA13)),MA14)/30</f>
        <v>#VALUE!</v>
      </c>
      <c r="MB15" s="962" t="e">
        <f>[1]!qsn([1]!ml([1]!taqsha(1,1,[1]!roz(MB12+1,0,0,0),MB13)),MB14)/30</f>
        <v>#VALUE!</v>
      </c>
      <c r="MC15" s="962" t="e">
        <f>[1]!qsn([1]!ml([1]!taqsha(1,1,[1]!roz(MC12+1,0,0,0),MC13)),MC14)/30</f>
        <v>#VALUE!</v>
      </c>
      <c r="MD15" s="962" t="e">
        <f>[1]!qsn([1]!ml([1]!taqsha(1,1,[1]!roz(MD12+1,0,0,0),MD13)),MD14)/30</f>
        <v>#VALUE!</v>
      </c>
      <c r="ME15" s="962" t="e">
        <f>[1]!qsn([1]!ml([1]!taqsha(1,1,[1]!roz(ME12+1,0,0,0),ME13)),ME14)/30</f>
        <v>#VALUE!</v>
      </c>
      <c r="MF15" s="962" t="e">
        <f>[1]!qsn([1]!ml([1]!taqsha(1,1,[1]!roz(MF12+1,0,0,0),MF13)),MF14)/30</f>
        <v>#VALUE!</v>
      </c>
      <c r="MG15" s="962" t="e">
        <f>[1]!qsn([1]!ml([1]!taqsha(1,1,[1]!roz(MG12+1,0,0,0),MG13)),MG14)/30</f>
        <v>#VALUE!</v>
      </c>
      <c r="MH15" s="962" t="e">
        <f>[1]!qsn([1]!ml([1]!taqsha(1,1,[1]!roz(MH12+1,0,0,0),MH13)),MH14)/30</f>
        <v>#VALUE!</v>
      </c>
      <c r="MI15" s="962" t="e">
        <f>[1]!qsn([1]!ml([1]!taqsha(1,1,[1]!roz(MI12+1,0,0,0),MI13)),MI14)/30</f>
        <v>#VALUE!</v>
      </c>
      <c r="MJ15" s="962" t="e">
        <f>[1]!qsn([1]!ml([1]!taqsha(1,1,[1]!roz(MJ12+1,0,0,0),MJ13)),MJ14)/30</f>
        <v>#VALUE!</v>
      </c>
      <c r="MK15" s="962" t="e">
        <f>[1]!qsn([1]!ml([1]!taqsha(1,1,[1]!roz(MK12+1,0,0,0),MK13)),MK14)/30</f>
        <v>#VALUE!</v>
      </c>
      <c r="ML15" s="962" t="e">
        <f>[1]!qsn([1]!ml([1]!taqsha(1,1,[1]!roz(ML12+1,0,0,0),ML13)),ML14)/30</f>
        <v>#VALUE!</v>
      </c>
      <c r="MM15" s="962" t="e">
        <f>[1]!qsn([1]!ml([1]!taqsha(1,1,[1]!roz(MM12+1,0,0,0),MM13)),MM14)/30</f>
        <v>#VALUE!</v>
      </c>
      <c r="MN15" s="962" t="e">
        <f>[1]!qsn([1]!ml([1]!taqsha(1,1,[1]!roz(MN12+1,0,0,0),MN13)),MN14)/30</f>
        <v>#VALUE!</v>
      </c>
      <c r="MO15" s="962" t="e">
        <f>[1]!qsn([1]!ml([1]!taqsha(1,1,[1]!roz(MO12+1,0,0,0),MO13)),MO14)/30</f>
        <v>#VALUE!</v>
      </c>
      <c r="MP15" s="962" t="e">
        <f>[1]!qsn([1]!ml([1]!taqsha(1,1,[1]!roz(MP12+1,0,0,0),MP13)),MP14)/30</f>
        <v>#VALUE!</v>
      </c>
      <c r="MQ15" s="962" t="e">
        <f>[1]!qsn([1]!ml([1]!taqsha(1,1,[1]!roz(MQ12+1,0,0,0),MQ13)),MQ14)/30</f>
        <v>#VALUE!</v>
      </c>
      <c r="MR15" s="962" t="e">
        <f>[1]!qsn([1]!ml([1]!taqsha(1,1,[1]!roz(MR12+1,0,0,0),MR13)),MR14)/30</f>
        <v>#VALUE!</v>
      </c>
      <c r="MS15" s="962" t="e">
        <f>[1]!qsn([1]!ml([1]!taqsha(1,1,[1]!roz(MS12+1,0,0,0),MS13)),MS14)/30</f>
        <v>#VALUE!</v>
      </c>
      <c r="MT15" s="962" t="e">
        <f>[1]!qsn([1]!ml([1]!taqsha(1,1,[1]!roz(MT12+1,0,0,0),MT13)),MT14)/30</f>
        <v>#VALUE!</v>
      </c>
      <c r="MU15" s="962" t="e">
        <f>[1]!qsn([1]!ml([1]!taqsha(1,1,[1]!roz(MU12+1,0,0,0),MU13)),MU14)/30</f>
        <v>#VALUE!</v>
      </c>
      <c r="MV15" s="962" t="e">
        <f>[1]!qsn([1]!ml([1]!taqsha(1,1,[1]!roz(MV12+1,0,0,0),MV13)),MV14)/30</f>
        <v>#VALUE!</v>
      </c>
      <c r="MW15" s="962" t="e">
        <f>[1]!qsn([1]!ml([1]!taqsha(1,1,[1]!roz(MW12+1,0,0,0),MW13)),MW14)/30</f>
        <v>#VALUE!</v>
      </c>
      <c r="MX15" s="962" t="e">
        <f>[1]!qsn([1]!ml([1]!taqsha(1,1,[1]!roz(MX12+1,0,0,0),MX13)),MX14)/30</f>
        <v>#VALUE!</v>
      </c>
      <c r="MY15" s="962" t="e">
        <f>[1]!qsn([1]!ml([1]!taqsha(1,1,[1]!roz(MY12+1,0,0,0),MY13)),MY14)/30</f>
        <v>#VALUE!</v>
      </c>
      <c r="MZ15" s="962" t="e">
        <f>[1]!qsn([1]!ml([1]!taqsha(1,1,[1]!roz(MZ12+1,0,0,0),MZ13)),MZ14)/30</f>
        <v>#VALUE!</v>
      </c>
      <c r="NA15" s="962" t="e">
        <f>[1]!qsn([1]!ml([1]!taqsha(1,1,[1]!roz(NA12+1,0,0,0),NA13)),NA14)/30</f>
        <v>#VALUE!</v>
      </c>
      <c r="NB15" s="962" t="e">
        <f>[1]!qsn([1]!ml([1]!taqsha(1,1,[1]!roz(NB12+1,0,0,0),NB13)),NB14)/30</f>
        <v>#VALUE!</v>
      </c>
      <c r="NC15" s="962" t="e">
        <f>[1]!qsn([1]!ml([1]!taqsha(1,1,[1]!roz(NC12+1,0,0,0),NC13)),NC14)/30</f>
        <v>#VALUE!</v>
      </c>
      <c r="ND15" s="962" t="e">
        <f>[1]!qsn([1]!ml([1]!taqsha(1,1,[1]!roz(ND12+1,0,0,0),ND13)),ND14)/30</f>
        <v>#VALUE!</v>
      </c>
      <c r="NE15" s="962" t="e">
        <f>[1]!qsn([1]!ml([1]!taqsha(1,1,[1]!roz(NE12+1,0,0,0),NE13)),NE14)/30</f>
        <v>#VALUE!</v>
      </c>
      <c r="NF15" s="962" t="e">
        <f>[1]!qsn([1]!ml([1]!taqsha(1,1,[1]!roz(NF12+1,0,0,0),NF13)),NF14)/30</f>
        <v>#VALUE!</v>
      </c>
      <c r="NG15" s="962" t="e">
        <f>[1]!qsn([1]!ml([1]!taqsha(1,1,[1]!roz(NG12+1,0,0,0),NG13)),NG14)/30</f>
        <v>#VALUE!</v>
      </c>
      <c r="NH15" s="962" t="e">
        <f>[1]!qsn([1]!ml([1]!taqsha(1,1,[1]!roz(NH12+1,0,0,0),NH13)),NH14)/30</f>
        <v>#VALUE!</v>
      </c>
      <c r="NI15" s="962" t="e">
        <f>[1]!qsn([1]!ml([1]!taqsha(1,1,[1]!roz(NI12+1,0,0,0),NI13)),NI14)/30</f>
        <v>#VALUE!</v>
      </c>
      <c r="NJ15" s="962" t="e">
        <f>[1]!qsn([1]!ml([1]!taqsha(1,1,[1]!roz(NJ12+1,0,0,0),NJ13)),NJ14)/30</f>
        <v>#VALUE!</v>
      </c>
      <c r="NK15" s="962" t="e">
        <f>[1]!qsn([1]!ml([1]!taqsha(1,1,[1]!roz(NK12+1,0,0,0),NK13)),NK14)/30</f>
        <v>#VALUE!</v>
      </c>
      <c r="NL15" s="962" t="e">
        <f>[1]!qsn([1]!ml([1]!taqsha(1,1,[1]!roz(NL12+1,0,0,0),NL13)),NL14)/30</f>
        <v>#VALUE!</v>
      </c>
      <c r="NM15" s="962" t="e">
        <f>[1]!qsn([1]!ml([1]!taqsha(1,1,[1]!roz(NM12+1,0,0,0),NM13)),NM14)/30</f>
        <v>#VALUE!</v>
      </c>
      <c r="NN15" s="962" t="e">
        <f>[1]!qsn([1]!ml([1]!taqsha(1,1,[1]!roz(NN12+1,0,0,0),NN13)),NN14)/30</f>
        <v>#VALUE!</v>
      </c>
      <c r="NO15" s="962" t="e">
        <f>[1]!qsn([1]!ml([1]!taqsha(1,1,[1]!roz(NO12+1,0,0,0),NO13)),NO14)/30</f>
        <v>#VALUE!</v>
      </c>
      <c r="NP15" s="962" t="e">
        <f>[1]!qsn([1]!ml([1]!taqsha(1,1,[1]!roz(NP12+1,0,0,0),NP13)),NP14)/30</f>
        <v>#VALUE!</v>
      </c>
      <c r="NQ15" s="962" t="e">
        <f>[1]!qsn([1]!ml([1]!taqsha(1,1,[1]!roz(NQ12+1,0,0,0),NQ13)),NQ14)/30</f>
        <v>#VALUE!</v>
      </c>
      <c r="NR15" s="962" t="e">
        <f>[1]!qsn([1]!ml([1]!taqsha(1,1,[1]!roz(NR12+1,0,0,0),NR13)),NR14)/30</f>
        <v>#VALUE!</v>
      </c>
      <c r="NS15" s="962" t="e">
        <f>[1]!qsn([1]!ml([1]!taqsha(1,1,[1]!roz(NS12+1,0,0,0),NS13)),NS14)/30</f>
        <v>#VALUE!</v>
      </c>
      <c r="NT15" s="962" t="e">
        <f>[1]!qsn([1]!ml([1]!taqsha(1,1,[1]!roz(NT12+1,0,0,0),NT13)),NT14)/30</f>
        <v>#VALUE!</v>
      </c>
      <c r="NU15" s="962" t="e">
        <f>[1]!qsn([1]!ml([1]!taqsha(1,1,[1]!roz(NU12+1,0,0,0),NU13)),NU14)/30</f>
        <v>#VALUE!</v>
      </c>
      <c r="NV15" s="962" t="e">
        <f>[1]!qsn([1]!ml([1]!taqsha(1,1,[1]!roz(NV12+1,0,0,0),NV13)),NV14)/30</f>
        <v>#VALUE!</v>
      </c>
      <c r="NW15" s="962" t="e">
        <f>[1]!qsn([1]!ml([1]!taqsha(1,1,[1]!roz(NW12+1,0,0,0),NW13)),NW14)/30</f>
        <v>#VALUE!</v>
      </c>
      <c r="NX15" s="962" t="e">
        <f>[1]!qsn([1]!ml([1]!taqsha(1,1,[1]!roz(NX12+1,0,0,0),NX13)),NX14)/30</f>
        <v>#VALUE!</v>
      </c>
      <c r="NY15" s="962" t="e">
        <f>[1]!qsn([1]!ml([1]!taqsha(1,1,[1]!roz(NY12+1,0,0,0),NY13)),NY14)/30</f>
        <v>#VALUE!</v>
      </c>
      <c r="NZ15" s="962" t="e">
        <f>[1]!qsn([1]!ml([1]!taqsha(1,1,[1]!roz(NZ12+1,0,0,0),NZ13)),NZ14)/30</f>
        <v>#VALUE!</v>
      </c>
      <c r="OA15" s="962" t="e">
        <f>[1]!qsn([1]!ml([1]!taqsha(1,1,[1]!roz(OA12+1,0,0,0),OA13)),OA14)/30</f>
        <v>#VALUE!</v>
      </c>
      <c r="OB15" s="962" t="e">
        <f>[1]!qsn([1]!ml([1]!taqsha(1,1,[1]!roz(OB12+1,0,0,0),OB13)),OB14)/30</f>
        <v>#VALUE!</v>
      </c>
      <c r="OC15" s="962" t="e">
        <f>[1]!qsn([1]!ml([1]!taqsha(1,1,[1]!roz(OC12+1,0,0,0),OC13)),OC14)/30</f>
        <v>#VALUE!</v>
      </c>
      <c r="OD15" s="962" t="e">
        <f>[1]!qsn([1]!ml([1]!taqsha(1,1,[1]!roz(OD12+1,0,0,0),OD13)),OD14)/30</f>
        <v>#VALUE!</v>
      </c>
      <c r="OE15" s="962" t="e">
        <f>[1]!qsn([1]!ml([1]!taqsha(1,1,[1]!roz(OE12+1,0,0,0),OE13)),OE14)/30</f>
        <v>#VALUE!</v>
      </c>
      <c r="OF15" s="962" t="e">
        <f>[1]!qsn([1]!ml([1]!taqsha(1,1,[1]!roz(OF12+1,0,0,0),OF13)),OF14)/30</f>
        <v>#VALUE!</v>
      </c>
      <c r="OG15" s="962" t="e">
        <f>[1]!qsn([1]!ml([1]!taqsha(1,1,[1]!roz(OG12+1,0,0,0),OG13)),OG14)/30</f>
        <v>#VALUE!</v>
      </c>
      <c r="OH15" s="962" t="e">
        <f>[1]!qsn([1]!ml([1]!taqsha(1,1,[1]!roz(OH12+1,0,0,0),OH13)),OH14)/30</f>
        <v>#VALUE!</v>
      </c>
      <c r="OI15" s="962" t="e">
        <f>[1]!qsn([1]!ml([1]!taqsha(1,1,[1]!roz(OI12+1,0,0,0),OI13)),OI14)/30</f>
        <v>#VALUE!</v>
      </c>
      <c r="OJ15" s="962" t="e">
        <f>[1]!qsn([1]!ml([1]!taqsha(1,1,[1]!roz(OJ12+1,0,0,0),OJ13)),OJ14)/30</f>
        <v>#VALUE!</v>
      </c>
      <c r="OK15" s="962" t="e">
        <f>[1]!qsn([1]!ml([1]!taqsha(1,1,[1]!roz(OK12+1,0,0,0),OK13)),OK14)/30</f>
        <v>#VALUE!</v>
      </c>
      <c r="OL15" s="962" t="e">
        <f>[1]!qsn([1]!ml([1]!taqsha(1,1,[1]!roz(OL12+1,0,0,0),OL13)),OL14)/30</f>
        <v>#VALUE!</v>
      </c>
      <c r="OM15" s="962" t="e">
        <f>[1]!qsn([1]!ml([1]!taqsha(1,1,[1]!roz(OM12+1,0,0,0),OM13)),OM14)/30</f>
        <v>#VALUE!</v>
      </c>
      <c r="ON15" s="962" t="e">
        <f>[1]!qsn([1]!ml([1]!taqsha(1,1,[1]!roz(ON12+1,0,0,0),ON13)),ON14)/30</f>
        <v>#VALUE!</v>
      </c>
      <c r="OO15" s="962" t="e">
        <f>[1]!qsn([1]!ml([1]!taqsha(1,1,[1]!roz(OO12+1,0,0,0),OO13)),OO14)/30</f>
        <v>#VALUE!</v>
      </c>
      <c r="OP15" s="962" t="e">
        <f>[1]!qsn([1]!ml([1]!taqsha(1,1,[1]!roz(OP12+1,0,0,0),OP13)),OP14)/30</f>
        <v>#VALUE!</v>
      </c>
      <c r="OQ15" s="962" t="e">
        <f>[1]!qsn([1]!ml([1]!taqsha(1,1,[1]!roz(OQ12+1,0,0,0),OQ13)),OQ14)/30</f>
        <v>#VALUE!</v>
      </c>
      <c r="OR15" s="962" t="e">
        <f>[1]!qsn([1]!ml([1]!taqsha(1,1,[1]!roz(OR12+1,0,0,0),OR13)),OR14)/30</f>
        <v>#VALUE!</v>
      </c>
      <c r="OS15" s="962" t="e">
        <f>[1]!qsn([1]!ml([1]!taqsha(1,1,[1]!roz(OS12+1,0,0,0),OS13)),OS14)/30</f>
        <v>#VALUE!</v>
      </c>
      <c r="OT15" s="962" t="e">
        <f>[1]!qsn([1]!ml([1]!taqsha(1,1,[1]!roz(OT12+1,0,0,0),OT13)),OT14)/30</f>
        <v>#VALUE!</v>
      </c>
      <c r="OU15" s="962" t="e">
        <f>[1]!qsn([1]!ml([1]!taqsha(1,1,[1]!roz(OU12+1,0,0,0),OU13)),OU14)/30</f>
        <v>#VALUE!</v>
      </c>
      <c r="OV15" s="962" t="e">
        <f>[1]!qsn([1]!ml([1]!taqsha(1,1,[1]!roz(OV12+1,0,0,0),OV13)),OV14)/30</f>
        <v>#VALUE!</v>
      </c>
      <c r="OW15" s="962" t="e">
        <f>[1]!qsn([1]!ml([1]!taqsha(1,1,[1]!roz(OW12+1,0,0,0),OW13)),OW14)/30</f>
        <v>#VALUE!</v>
      </c>
      <c r="OX15" s="962" t="e">
        <f>[1]!qsn([1]!ml([1]!taqsha(1,1,[1]!roz(OX12+1,0,0,0),OX13)),OX14)/30</f>
        <v>#VALUE!</v>
      </c>
      <c r="OY15" s="962" t="e">
        <f>[1]!qsn([1]!ml([1]!taqsha(1,1,[1]!roz(OY12+1,0,0,0),OY13)),OY14)/30</f>
        <v>#VALUE!</v>
      </c>
      <c r="OZ15" s="962" t="e">
        <f>[1]!qsn([1]!ml([1]!taqsha(1,1,[1]!roz(OZ12+1,0,0,0),OZ13)),OZ14)/30</f>
        <v>#VALUE!</v>
      </c>
      <c r="PA15" s="962" t="e">
        <f>[1]!qsn([1]!ml([1]!taqsha(1,1,[1]!roz(PA12+1,0,0,0),PA13)),PA14)/30</f>
        <v>#VALUE!</v>
      </c>
      <c r="PB15" s="962" t="e">
        <f>[1]!qsn([1]!ml([1]!taqsha(1,1,[1]!roz(PB12+1,0,0,0),PB13)),PB14)/30</f>
        <v>#VALUE!</v>
      </c>
      <c r="PC15" s="962" t="e">
        <f>[1]!qsn([1]!ml([1]!taqsha(1,1,[1]!roz(PC12+1,0,0,0),PC13)),PC14)/30</f>
        <v>#VALUE!</v>
      </c>
      <c r="PD15" s="962" t="e">
        <f>[1]!qsn([1]!ml([1]!taqsha(1,1,[1]!roz(PD12+1,0,0,0),PD13)),PD14)/30</f>
        <v>#VALUE!</v>
      </c>
      <c r="PE15" s="962" t="e">
        <f>[1]!qsn([1]!ml([1]!taqsha(1,1,[1]!roz(PE12+1,0,0,0),PE13)),PE14)/30</f>
        <v>#VALUE!</v>
      </c>
      <c r="PF15" s="962" t="e">
        <f>[1]!qsn([1]!ml([1]!taqsha(1,1,[1]!roz(PF12+1,0,0,0),PF13)),PF14)/30</f>
        <v>#VALUE!</v>
      </c>
      <c r="PG15" s="962" t="e">
        <f>[1]!qsn([1]!ml([1]!taqsha(1,1,[1]!roz(PG12+1,0,0,0),PG13)),PG14)/30</f>
        <v>#VALUE!</v>
      </c>
      <c r="PH15" s="962" t="e">
        <f>[1]!qsn([1]!ml([1]!taqsha(1,1,[1]!roz(PH12+1,0,0,0),PH13)),PH14)/30</f>
        <v>#VALUE!</v>
      </c>
      <c r="PI15" s="962" t="e">
        <f>[1]!qsn([1]!ml([1]!taqsha(1,1,[1]!roz(PI12+1,0,0,0),PI13)),PI14)/30</f>
        <v>#VALUE!</v>
      </c>
      <c r="PJ15" s="962" t="e">
        <f>[1]!qsn([1]!ml([1]!taqsha(1,1,[1]!roz(PJ12+1,0,0,0),PJ13)),PJ14)/30</f>
        <v>#VALUE!</v>
      </c>
      <c r="PK15" s="962" t="e">
        <f>[1]!qsn([1]!ml([1]!taqsha(1,1,[1]!roz(PK12+1,0,0,0),PK13)),PK14)/30</f>
        <v>#VALUE!</v>
      </c>
      <c r="PL15" s="962" t="e">
        <f>[1]!qsn([1]!ml([1]!taqsha(1,1,[1]!roz(PL12+1,0,0,0),PL13)),PL14)/30</f>
        <v>#VALUE!</v>
      </c>
      <c r="PM15" s="962" t="e">
        <f>[1]!qsn([1]!ml([1]!taqsha(1,1,[1]!roz(PM12+1,0,0,0),PM13)),PM14)/30</f>
        <v>#VALUE!</v>
      </c>
      <c r="PN15" s="962" t="e">
        <f>[1]!qsn([1]!ml([1]!taqsha(1,1,[1]!roz(PN12+1,0,0,0),PN13)),PN14)/30</f>
        <v>#VALUE!</v>
      </c>
      <c r="PO15" s="962" t="e">
        <f>[1]!qsn([1]!ml([1]!taqsha(1,1,[1]!roz(PO12+1,0,0,0),PO13)),PO14)/30</f>
        <v>#VALUE!</v>
      </c>
      <c r="PP15" s="962" t="e">
        <f>[1]!qsn([1]!ml([1]!taqsha(1,1,[1]!roz(PP12+1,0,0,0),PP13)),PP14)/30</f>
        <v>#VALUE!</v>
      </c>
      <c r="PQ15" s="962" t="e">
        <f>[1]!qsn([1]!ml([1]!taqsha(1,1,[1]!roz(PQ12+1,0,0,0),PQ13)),PQ14)/30</f>
        <v>#VALUE!</v>
      </c>
      <c r="PR15" s="962" t="e">
        <f>[1]!qsn([1]!ml([1]!taqsha(1,1,[1]!roz(PR12+1,0,0,0),PR13)),PR14)/30</f>
        <v>#VALUE!</v>
      </c>
      <c r="PS15" s="962" t="e">
        <f>[1]!qsn([1]!ml([1]!taqsha(1,1,[1]!roz(PS12+1,0,0,0),PS13)),PS14)/30</f>
        <v>#VALUE!</v>
      </c>
      <c r="PT15" s="962" t="e">
        <f>[1]!qsn([1]!ml([1]!taqsha(1,1,[1]!roz(PT12+1,0,0,0),PT13)),PT14)/30</f>
        <v>#VALUE!</v>
      </c>
      <c r="PU15" s="962" t="e">
        <f>[1]!qsn([1]!ml([1]!taqsha(1,1,[1]!roz(PU12+1,0,0,0),PU13)),PU14)/30</f>
        <v>#VALUE!</v>
      </c>
      <c r="PV15" s="962" t="e">
        <f>[1]!qsn([1]!ml([1]!taqsha(1,1,[1]!roz(PV12+1,0,0,0),PV13)),PV14)/30</f>
        <v>#VALUE!</v>
      </c>
      <c r="PW15" s="962" t="e">
        <f>[1]!qsn([1]!ml([1]!taqsha(1,1,[1]!roz(PW12+1,0,0,0),PW13)),PW14)/30</f>
        <v>#VALUE!</v>
      </c>
      <c r="PX15" s="962" t="e">
        <f>[1]!qsn([1]!ml([1]!taqsha(1,1,[1]!roz(PX12+1,0,0,0),PX13)),PX14)/30</f>
        <v>#VALUE!</v>
      </c>
      <c r="PY15" s="962" t="e">
        <f>[1]!qsn([1]!ml([1]!taqsha(1,1,[1]!roz(PY12+1,0,0,0),PY13)),PY14)/30</f>
        <v>#VALUE!</v>
      </c>
      <c r="PZ15" s="962" t="e">
        <f>[1]!qsn([1]!ml([1]!taqsha(1,1,[1]!roz(PZ12+1,0,0,0),PZ13)),PZ14)/30</f>
        <v>#VALUE!</v>
      </c>
      <c r="QA15" s="962" t="e">
        <f>[1]!qsn([1]!ml([1]!taqsha(1,1,[1]!roz(QA12+1,0,0,0),QA13)),QA14)/30</f>
        <v>#VALUE!</v>
      </c>
      <c r="QB15" s="962" t="e">
        <f>[1]!qsn([1]!ml([1]!taqsha(1,1,[1]!roz(QB12+1,0,0,0),QB13)),QB14)/30</f>
        <v>#VALUE!</v>
      </c>
      <c r="QC15" s="962" t="e">
        <f>[1]!qsn([1]!ml([1]!taqsha(1,1,[1]!roz(QC12+1,0,0,0),QC13)),QC14)/30</f>
        <v>#VALUE!</v>
      </c>
      <c r="QD15" s="962" t="e">
        <f>[1]!qsn([1]!ml([1]!taqsha(1,1,[1]!roz(QD12+1,0,0,0),QD13)),QD14)/30</f>
        <v>#VALUE!</v>
      </c>
      <c r="QE15" s="962" t="e">
        <f>[1]!qsn([1]!ml([1]!taqsha(1,1,[1]!roz(QE12+1,0,0,0),QE13)),QE14)/30</f>
        <v>#VALUE!</v>
      </c>
      <c r="QF15" s="962" t="e">
        <f>[1]!qsn([1]!ml([1]!taqsha(1,1,[1]!roz(QF12+1,0,0,0),QF13)),QF14)/30</f>
        <v>#VALUE!</v>
      </c>
      <c r="QG15" s="962" t="e">
        <f>[1]!qsn([1]!ml([1]!taqsha(1,1,[1]!roz(QG12+1,0,0,0),QG13)),QG14)/30</f>
        <v>#VALUE!</v>
      </c>
      <c r="QH15" s="962" t="e">
        <f>[1]!qsn([1]!ml([1]!taqsha(1,1,[1]!roz(QH12+1,0,0,0),QH13)),QH14)/30</f>
        <v>#VALUE!</v>
      </c>
      <c r="QI15" s="962" t="e">
        <f>[1]!qsn([1]!ml([1]!taqsha(1,1,[1]!roz(QI12+1,0,0,0),QI13)),QI14)/30</f>
        <v>#VALUE!</v>
      </c>
      <c r="QJ15" s="962" t="e">
        <f>[1]!qsn([1]!ml([1]!taqsha(1,1,[1]!roz(QJ12+1,0,0,0),QJ13)),QJ14)/30</f>
        <v>#VALUE!</v>
      </c>
      <c r="QK15" s="962" t="e">
        <f>[1]!qsn([1]!ml([1]!taqsha(1,1,[1]!roz(QK12+1,0,0,0),QK13)),QK14)/30</f>
        <v>#VALUE!</v>
      </c>
      <c r="QL15" s="962" t="e">
        <f>[1]!qsn([1]!ml([1]!taqsha(1,1,[1]!roz(QL12+1,0,0,0),QL13)),QL14)/30</f>
        <v>#VALUE!</v>
      </c>
      <c r="QM15" s="962" t="e">
        <f>[1]!qsn([1]!ml([1]!taqsha(1,1,[1]!roz(QM12+1,0,0,0),QM13)),QM14)/30</f>
        <v>#VALUE!</v>
      </c>
      <c r="QN15" s="962" t="e">
        <f>[1]!qsn([1]!ml([1]!taqsha(1,1,[1]!roz(QN12+1,0,0,0),QN13)),QN14)/30</f>
        <v>#VALUE!</v>
      </c>
      <c r="QO15" s="962" t="e">
        <f>[1]!qsn([1]!ml([1]!taqsha(1,1,[1]!roz(QO12+1,0,0,0),QO13)),QO14)/30</f>
        <v>#VALUE!</v>
      </c>
      <c r="QP15" s="962" t="e">
        <f>[1]!qsn([1]!ml([1]!taqsha(1,1,[1]!roz(QP12+1,0,0,0),QP13)),QP14)/30</f>
        <v>#VALUE!</v>
      </c>
      <c r="QQ15" s="962" t="e">
        <f>[1]!qsn([1]!ml([1]!taqsha(1,1,[1]!roz(QQ12+1,0,0,0),QQ13)),QQ14)/30</f>
        <v>#VALUE!</v>
      </c>
      <c r="QR15" s="962" t="e">
        <f>[1]!qsn([1]!ml([1]!taqsha(1,1,[1]!roz(QR12+1,0,0,0),QR13)),QR14)/30</f>
        <v>#VALUE!</v>
      </c>
      <c r="QS15" s="962" t="e">
        <f>[1]!qsn([1]!ml([1]!taqsha(1,1,[1]!roz(QS12+1,0,0,0),QS13)),QS14)/30</f>
        <v>#VALUE!</v>
      </c>
      <c r="QT15" s="962" t="e">
        <f>[1]!qsn([1]!ml([1]!taqsha(1,1,[1]!roz(QT12+1,0,0,0),QT13)),QT14)/30</f>
        <v>#VALUE!</v>
      </c>
      <c r="QU15" s="962" t="e">
        <f>[1]!qsn([1]!ml([1]!taqsha(1,1,[1]!roz(QU12+1,0,0,0),QU13)),QU14)/30</f>
        <v>#VALUE!</v>
      </c>
      <c r="QV15" s="962" t="e">
        <f>[1]!qsn([1]!ml([1]!taqsha(1,1,[1]!roz(QV12+1,0,0,0),QV13)),QV14)/30</f>
        <v>#VALUE!</v>
      </c>
      <c r="QW15" s="962" t="e">
        <f>[1]!qsn([1]!ml([1]!taqsha(1,1,[1]!roz(QW12+1,0,0,0),QW13)),QW14)/30</f>
        <v>#VALUE!</v>
      </c>
      <c r="QX15" s="962" t="e">
        <f>[1]!qsn([1]!ml([1]!taqsha(1,1,[1]!roz(QX12+1,0,0,0),QX13)),QX14)/30</f>
        <v>#VALUE!</v>
      </c>
      <c r="QY15" s="962" t="e">
        <f>[1]!qsn([1]!ml([1]!taqsha(1,1,[1]!roz(QY12+1,0,0,0),QY13)),QY14)/30</f>
        <v>#VALUE!</v>
      </c>
      <c r="QZ15" s="962" t="e">
        <f>[1]!qsn([1]!ml([1]!taqsha(1,1,[1]!roz(QZ12+1,0,0,0),QZ13)),QZ14)/30</f>
        <v>#VALUE!</v>
      </c>
      <c r="RA15" s="963"/>
    </row>
    <row r="16" spans="1:471" ht="18" thickBot="1">
      <c r="A16" s="22">
        <f>A13</f>
        <v>22</v>
      </c>
      <c r="B16" s="22">
        <f>B13</f>
        <v>9</v>
      </c>
      <c r="C16" s="22">
        <f>C13</f>
        <v>1442</v>
      </c>
      <c r="D16" t="str">
        <f>D13</f>
        <v>شمسی</v>
      </c>
      <c r="E16">
        <f>E13</f>
        <v>16</v>
      </c>
      <c r="J16" s="3"/>
      <c r="K16" s="3"/>
      <c r="L16" s="3"/>
      <c r="M16" s="3"/>
      <c r="N16" s="3"/>
      <c r="O16" s="3"/>
      <c r="P16" s="3"/>
      <c r="Q16" s="3"/>
      <c r="R16" s="3"/>
      <c r="S16" s="3"/>
      <c r="T16" s="3"/>
      <c r="U16" s="3"/>
      <c r="V16" s="3"/>
      <c r="W16" s="3"/>
      <c r="X16" s="3"/>
      <c r="Y16" s="3"/>
      <c r="Z16" s="3"/>
      <c r="AA16" s="3"/>
      <c r="AE16" s="203" t="s">
        <v>5</v>
      </c>
      <c r="AF16" s="204">
        <f>IF(AF15=1,AF13,IF(AF15=2,AF13-31,IF(AF15=3,AF13-62,IF(AF15=4,AF13-93,IF(AF15=5,AF13-124,IF(AF15=6,AF13-155,IF(AF15=7,AF13-186,IF(AF15=8,AF13-216,IF(AF15=9,AF13-246,IF(AF15=10,AF13-276,IF(AF15=11,AF13-306,AF13-336)))))))))))</f>
        <v>0.85639445235222178</v>
      </c>
      <c r="AK16" s="759"/>
      <c r="AL16" s="702">
        <f>AL4</f>
        <v>1443</v>
      </c>
      <c r="AM16" s="301">
        <f t="shared" ref="AM16:AW16" si="89">AL16</f>
        <v>1443</v>
      </c>
      <c r="AN16" s="301">
        <f t="shared" si="89"/>
        <v>1443</v>
      </c>
      <c r="AO16" s="301">
        <f t="shared" si="89"/>
        <v>1443</v>
      </c>
      <c r="AP16" s="301">
        <f t="shared" si="89"/>
        <v>1443</v>
      </c>
      <c r="AQ16" s="301">
        <f t="shared" si="89"/>
        <v>1443</v>
      </c>
      <c r="AR16" s="301">
        <f t="shared" si="89"/>
        <v>1443</v>
      </c>
      <c r="AS16" s="301">
        <f t="shared" si="89"/>
        <v>1443</v>
      </c>
      <c r="AT16" s="301">
        <f t="shared" si="89"/>
        <v>1443</v>
      </c>
      <c r="AU16" s="301">
        <f t="shared" si="89"/>
        <v>1443</v>
      </c>
      <c r="AV16" s="301">
        <f t="shared" si="89"/>
        <v>1443</v>
      </c>
      <c r="AW16" s="301">
        <f t="shared" si="89"/>
        <v>1443</v>
      </c>
      <c r="AX16" s="321"/>
      <c r="AZ16" s="732" t="s">
        <v>3751</v>
      </c>
      <c r="BA16" s="731">
        <f>IF(BA4=1,BB16,IF(BA4=2,BC16,IF(BA4=3,BD16,IF(BA4=4,BE16,IF(BA4=5,BF16,IF(BA4=6,BG16,IF(BA4=7,BH16,IF(BA4=8,BI16,IF(BA4=9,BJ16,IF(BA4=10,BK16,IF(BA4=11,BL16,BM16)))))))))))</f>
        <v>148</v>
      </c>
      <c r="BB16" s="118">
        <v>0</v>
      </c>
      <c r="BC16" s="118">
        <f>BB15</f>
        <v>30</v>
      </c>
      <c r="BD16" s="118">
        <f>BC15+BB15</f>
        <v>59</v>
      </c>
      <c r="BE16" s="118">
        <f>BD15+BC15+BB15</f>
        <v>89</v>
      </c>
      <c r="BF16" s="118">
        <f>SUM(BB15:BE15)</f>
        <v>118</v>
      </c>
      <c r="BG16" s="118">
        <f>SUM(BB15:BF15)</f>
        <v>148</v>
      </c>
      <c r="BH16" s="118">
        <f>SUM(BB15:BG15)</f>
        <v>177</v>
      </c>
      <c r="BI16" s="118">
        <f>SUM(BB15:BH15)</f>
        <v>207</v>
      </c>
      <c r="BJ16" s="118">
        <f>SUM(BB15:BI15)</f>
        <v>236</v>
      </c>
      <c r="BK16" s="118">
        <f>SUM(BB15:BJ15)</f>
        <v>266</v>
      </c>
      <c r="BL16" s="118">
        <f>SUM(BB15:BK15)</f>
        <v>295</v>
      </c>
      <c r="BM16" s="118">
        <f>SUM(BB15:BL15)</f>
        <v>325</v>
      </c>
      <c r="BN16" s="772"/>
      <c r="BP16" s="734"/>
      <c r="BQ16" s="735"/>
      <c r="BR16" s="735"/>
      <c r="BS16" s="735"/>
      <c r="BT16" s="735" t="s">
        <v>3542</v>
      </c>
      <c r="BU16" s="736" t="e">
        <f t="shared" ref="BU16" si="90">IF(BU15&gt;=10,29,30)</f>
        <v>#VALUE!</v>
      </c>
      <c r="BV16" s="750" t="s">
        <v>3554</v>
      </c>
      <c r="BW16" s="751" t="e">
        <f>IF(BW14=1,"پنج شنبه",IF(BW14=2,"جمعه",IF(BW14=3,"شنبه",IF(BW14=4,"یک شنبه",IF(BW14=5,"دو شنبه",IF(BW14=6,"سه شنبه","چهار شنبه"))))))</f>
        <v>#VALUE!</v>
      </c>
      <c r="BX16" s="750" t="s">
        <v>3549</v>
      </c>
      <c r="BY16" s="751" t="str">
        <f>IF(BY14=1,"پنج شنبه",IF(BY14=2,"جمعه",IF(BY14=3,"شنبه",IF(BY14=4,"یک شنبه",IF(BY14=5,"دو شنبه",IF(BY14=6,"سه شنبه","چهار شنبه"))))))</f>
        <v>جمعه</v>
      </c>
      <c r="CA16" s="790"/>
      <c r="CB16" s="791" t="e">
        <f>IF(CB20&lt;12,CB5,CB5-1)</f>
        <v>#VALUE!</v>
      </c>
      <c r="CC16" s="791"/>
      <c r="CD16" s="791"/>
      <c r="CE16" s="791"/>
      <c r="CF16" s="792"/>
      <c r="CG16" s="492"/>
      <c r="CH16" s="493">
        <f>IF(CH14&lt;=30,CH4,CH4+1)</f>
        <v>2</v>
      </c>
      <c r="CI16" s="493"/>
      <c r="CJ16" s="493"/>
      <c r="CK16" s="493"/>
      <c r="CL16" s="777"/>
      <c r="CO16" s="759"/>
      <c r="CP16" s="759"/>
      <c r="CQ16" s="759"/>
      <c r="CR16" s="759"/>
      <c r="CS16" s="759"/>
      <c r="CT16" s="759"/>
      <c r="CU16" s="759"/>
      <c r="CV16" s="790"/>
      <c r="CW16" s="791">
        <f>IF(CW20&lt;12,CW5,CW5-1)</f>
        <v>18</v>
      </c>
      <c r="CX16" s="791"/>
      <c r="CY16" s="791"/>
      <c r="CZ16" s="791"/>
      <c r="DA16" s="792"/>
      <c r="DC16" s="747">
        <v>1</v>
      </c>
      <c r="DD16" s="218">
        <v>1</v>
      </c>
      <c r="DE16" s="320">
        <v>-10</v>
      </c>
      <c r="DI16" t="s">
        <v>378</v>
      </c>
      <c r="DJ16" s="961" t="e">
        <f>[1]!taqsh(1,1,[1]!roz(DJ12+1,DJ15,0,0),DJ13)</f>
        <v>#VALUE!</v>
      </c>
      <c r="DK16" s="962" t="e">
        <f>[1]!taqsh(1,1,[1]!roz(DK12+1,DK15,0,0),DK13)</f>
        <v>#VALUE!</v>
      </c>
      <c r="DL16" s="962" t="e">
        <f>[1]!taqsh(1,1,[1]!roz(DL12+1,DL15,0,0),DL13)</f>
        <v>#VALUE!</v>
      </c>
      <c r="DM16" s="962" t="e">
        <f>[1]!taqsh(1,1,[1]!roz(DM12+1,DM15,0,0),DM13)</f>
        <v>#VALUE!</v>
      </c>
      <c r="DN16" s="962" t="e">
        <f>[1]!taqsh(1,1,[1]!roz(DN12+1,DN15,0,0),DN13)</f>
        <v>#VALUE!</v>
      </c>
      <c r="DO16" s="962" t="e">
        <f>[1]!taqsh(1,1,[1]!roz(DO12+1,DO15,0,0),DO13)</f>
        <v>#VALUE!</v>
      </c>
      <c r="DP16" s="962" t="e">
        <f>[1]!taqsh(1,1,[1]!roz(DP12+1,DP15,0,0),DP13)</f>
        <v>#VALUE!</v>
      </c>
      <c r="DQ16" s="962" t="e">
        <f>[1]!taqsh(1,1,[1]!roz(DQ12+1,DQ15,0,0),DQ13)</f>
        <v>#VALUE!</v>
      </c>
      <c r="DR16" s="962" t="e">
        <f>[1]!taqsh(1,1,[1]!roz(DR12+1,DR15,0,0),DR13)</f>
        <v>#VALUE!</v>
      </c>
      <c r="DS16" s="962" t="e">
        <f>[1]!taqsh(1,1,[1]!roz(DS12+1,DS15,0,0),DS13)</f>
        <v>#VALUE!</v>
      </c>
      <c r="DT16" s="962" t="e">
        <f>[1]!taqsh(1,1,[1]!roz(DT12+1,DT15,0,0),DT13)</f>
        <v>#VALUE!</v>
      </c>
      <c r="DU16" s="962" t="e">
        <f>[1]!taqsh(1,1,[1]!roz(DU12+1,DU15,0,0),DU13)</f>
        <v>#VALUE!</v>
      </c>
      <c r="DV16" s="962" t="e">
        <f>[1]!taqsh(1,1,[1]!roz(DV12+1,DV15,0,0),DV13)</f>
        <v>#VALUE!</v>
      </c>
      <c r="DW16" s="962" t="e">
        <f>[1]!taqsh(1,1,[1]!roz(DW12+1,DW15,0,0),DW13)</f>
        <v>#VALUE!</v>
      </c>
      <c r="DX16" s="962" t="e">
        <f>[1]!taqsh(1,1,[1]!roz(DX12+1,DX15,0,0),DX13)</f>
        <v>#VALUE!</v>
      </c>
      <c r="DY16" s="962" t="e">
        <f>[1]!taqsh(1,1,[1]!roz(DY12+1,DY15,0,0),DY13)</f>
        <v>#VALUE!</v>
      </c>
      <c r="DZ16" s="962" t="e">
        <f>[1]!taqsh(1,1,[1]!roz(DZ12+1,DZ15,0,0),DZ13)</f>
        <v>#VALUE!</v>
      </c>
      <c r="EA16" s="962" t="e">
        <f>[1]!taqsh(1,1,[1]!roz(EA12+1,EA15,0,0),EA13)</f>
        <v>#VALUE!</v>
      </c>
      <c r="EB16" s="962" t="e">
        <f>[1]!taqsh(1,1,[1]!roz(EB12+1,EB15,0,0),EB13)</f>
        <v>#VALUE!</v>
      </c>
      <c r="EC16" s="962" t="e">
        <f>[1]!taqsh(1,1,[1]!roz(EC12+1,EC15,0,0),EC13)</f>
        <v>#VALUE!</v>
      </c>
      <c r="ED16" s="962" t="e">
        <f>[1]!taqsh(1,1,[1]!roz(ED12+1,ED15,0,0),ED13)</f>
        <v>#VALUE!</v>
      </c>
      <c r="EE16" s="962" t="e">
        <f>[1]!taqsh(1,1,[1]!roz(EE12+1,EE15,0,0),EE13)</f>
        <v>#VALUE!</v>
      </c>
      <c r="EF16" s="962" t="e">
        <f>[1]!taqsh(1,1,[1]!roz(EF12+1,EF15,0,0),EF13)</f>
        <v>#VALUE!</v>
      </c>
      <c r="EG16" s="962" t="e">
        <f>[1]!taqsh(1,1,[1]!roz(EG12+1,EG15,0,0),EG13)</f>
        <v>#VALUE!</v>
      </c>
      <c r="EH16" s="962" t="e">
        <f>[1]!taqsh(1,1,[1]!roz(EH12+1,EH15,0,0),EH13)</f>
        <v>#VALUE!</v>
      </c>
      <c r="EI16" s="962" t="e">
        <f>[1]!taqsh(1,1,[1]!roz(EI12+1,EI15,0,0),EI13)</f>
        <v>#VALUE!</v>
      </c>
      <c r="EJ16" s="962" t="e">
        <f>[1]!taqsh(1,1,[1]!roz(EJ12+1,EJ15,0,0),EJ13)</f>
        <v>#VALUE!</v>
      </c>
      <c r="EK16" s="962" t="e">
        <f>[1]!taqsh(1,1,[1]!roz(EK12+1,EK15,0,0),EK13)</f>
        <v>#VALUE!</v>
      </c>
      <c r="EL16" s="962" t="e">
        <f>[1]!taqsh(1,1,[1]!roz(EL12+1,EL15,0,0),EL13)</f>
        <v>#VALUE!</v>
      </c>
      <c r="EM16" s="962" t="e">
        <f>[1]!taqsh(1,1,[1]!roz(EM12+1,EM15,0,0),EM13)</f>
        <v>#VALUE!</v>
      </c>
      <c r="EN16" s="962" t="e">
        <f>[1]!taqsh(1,1,[1]!roz(EN12+1,EN15,0,0),EN13)</f>
        <v>#VALUE!</v>
      </c>
      <c r="EO16" s="962" t="e">
        <f>[1]!taqsh(1,1,[1]!roz(EO12+1,EO15,0,0),EO13)</f>
        <v>#VALUE!</v>
      </c>
      <c r="EP16" s="962" t="e">
        <f>[1]!taqsh(1,1,[1]!roz(EP12+1,EP15,0,0),EP13)</f>
        <v>#VALUE!</v>
      </c>
      <c r="EQ16" s="962" t="e">
        <f>[1]!taqsh(1,1,[1]!roz(EQ12+1,EQ15,0,0),EQ13)</f>
        <v>#VALUE!</v>
      </c>
      <c r="ER16" s="962" t="e">
        <f>[1]!taqsh(1,1,[1]!roz(ER12+1,ER15,0,0),ER13)</f>
        <v>#VALUE!</v>
      </c>
      <c r="ES16" s="962" t="e">
        <f>[1]!taqsh(1,1,[1]!roz(ES12+1,ES15,0,0),ES13)</f>
        <v>#VALUE!</v>
      </c>
      <c r="ET16" s="962" t="e">
        <f>[1]!taqsh(1,1,[1]!roz(ET12+1,ET15,0,0),ET13)</f>
        <v>#VALUE!</v>
      </c>
      <c r="EU16" s="962" t="e">
        <f>[1]!taqsh(1,1,[1]!roz(EU12+1,EU15,0,0),EU13)</f>
        <v>#VALUE!</v>
      </c>
      <c r="EV16" s="962" t="e">
        <f>[1]!taqsh(1,1,[1]!roz(EV12+1,EV15,0,0),EV13)</f>
        <v>#VALUE!</v>
      </c>
      <c r="EW16" s="962" t="e">
        <f>[1]!taqsh(1,1,[1]!roz(EW12+1,EW15,0,0),EW13)</f>
        <v>#VALUE!</v>
      </c>
      <c r="EX16" s="962" t="e">
        <f>[1]!taqsh(1,1,[1]!roz(EX12+1,EX15,0,0),EX13)</f>
        <v>#VALUE!</v>
      </c>
      <c r="EY16" s="962" t="e">
        <f>[1]!taqsh(1,1,[1]!roz(EY12+1,EY15,0,0),EY13)</f>
        <v>#VALUE!</v>
      </c>
      <c r="EZ16" s="962" t="e">
        <f>[1]!taqsh(1,1,[1]!roz(EZ12+1,EZ15,0,0),EZ13)</f>
        <v>#VALUE!</v>
      </c>
      <c r="FA16" s="962" t="e">
        <f>[1]!taqsh(1,1,[1]!roz(FA12+1,FA15,0,0),FA13)</f>
        <v>#VALUE!</v>
      </c>
      <c r="FB16" s="962" t="e">
        <f>[1]!taqsh(1,1,[1]!roz(FB12+1,FB15,0,0),FB13)</f>
        <v>#VALUE!</v>
      </c>
      <c r="FC16" s="962" t="e">
        <f>[1]!taqsh(1,1,[1]!roz(FC12+1,FC15,0,0),FC13)</f>
        <v>#VALUE!</v>
      </c>
      <c r="FD16" s="962" t="e">
        <f>[1]!taqsh(1,1,[1]!roz(FD12+1,FD15,0,0),FD13)</f>
        <v>#VALUE!</v>
      </c>
      <c r="FE16" s="962" t="e">
        <f>[1]!taqsh(1,1,[1]!roz(FE12+1,FE15,0,0),FE13)</f>
        <v>#VALUE!</v>
      </c>
      <c r="FF16" s="962" t="e">
        <f>[1]!taqsh(1,1,[1]!roz(FF12+1,FF15,0,0),FF13)</f>
        <v>#VALUE!</v>
      </c>
      <c r="FG16" s="962" t="e">
        <f>[1]!taqsh(1,1,[1]!roz(FG12+1,FG15,0,0),FG13)</f>
        <v>#VALUE!</v>
      </c>
      <c r="FH16" s="962" t="e">
        <f>[1]!taqsh(1,1,[1]!roz(FH12+1,FH15,0,0),FH13)</f>
        <v>#VALUE!</v>
      </c>
      <c r="FI16" s="962" t="e">
        <f>[1]!taqsh(1,1,[1]!roz(FI12+1,FI15,0,0),FI13)</f>
        <v>#VALUE!</v>
      </c>
      <c r="FJ16" s="962" t="e">
        <f>[1]!taqsh(1,1,[1]!roz(FJ12+1,FJ15,0,0),FJ13)</f>
        <v>#VALUE!</v>
      </c>
      <c r="FK16" s="962" t="e">
        <f>[1]!taqsh(1,1,[1]!roz(FK12+1,FK15,0,0),FK13)</f>
        <v>#VALUE!</v>
      </c>
      <c r="FL16" s="962" t="e">
        <f>[1]!taqsh(1,1,[1]!roz(FL12+1,FL15,0,0),FL13)</f>
        <v>#VALUE!</v>
      </c>
      <c r="FM16" s="962" t="e">
        <f>[1]!taqsh(1,1,[1]!roz(FM12+1,FM15,0,0),FM13)</f>
        <v>#VALUE!</v>
      </c>
      <c r="FN16" s="962" t="e">
        <f>[1]!taqsh(1,1,[1]!roz(FN12+1,FN15,0,0),FN13)</f>
        <v>#VALUE!</v>
      </c>
      <c r="FO16" s="962" t="e">
        <f>[1]!taqsh(1,1,[1]!roz(FO12+1,FO15,0,0),FO13)</f>
        <v>#VALUE!</v>
      </c>
      <c r="FP16" s="962" t="e">
        <f>[1]!taqsh(1,1,[1]!roz(FP12+1,FP15,0,0),FP13)</f>
        <v>#VALUE!</v>
      </c>
      <c r="FQ16" s="962" t="e">
        <f>[1]!taqsh(1,1,[1]!roz(FQ12+1,FQ15,0,0),FQ13)</f>
        <v>#VALUE!</v>
      </c>
      <c r="FR16" s="962" t="e">
        <f>[1]!taqsh(1,1,[1]!roz(FR12+1,FR15,0,0),FR13)</f>
        <v>#VALUE!</v>
      </c>
      <c r="FS16" s="962" t="e">
        <f>[1]!taqsh(1,1,[1]!roz(FS12+1,FS15,0,0),FS13)</f>
        <v>#VALUE!</v>
      </c>
      <c r="FT16" s="962" t="e">
        <f>[1]!taqsh(1,1,[1]!roz(FT12+1,FT15,0,0),FT13)</f>
        <v>#VALUE!</v>
      </c>
      <c r="FU16" s="962" t="e">
        <f>[1]!taqsh(1,1,[1]!roz(FU12+1,FU15,0,0),FU13)</f>
        <v>#VALUE!</v>
      </c>
      <c r="FV16" s="962" t="e">
        <f>[1]!taqsh(1,1,[1]!roz(FV12+1,FV15,0,0),FV13)</f>
        <v>#VALUE!</v>
      </c>
      <c r="FW16" s="962" t="e">
        <f>[1]!taqsh(1,1,[1]!roz(FW12+1,FW15,0,0),FW13)</f>
        <v>#VALUE!</v>
      </c>
      <c r="FX16" s="962" t="e">
        <f>[1]!taqsh(1,1,[1]!roz(FX12+1,FX15,0,0),FX13)</f>
        <v>#VALUE!</v>
      </c>
      <c r="FY16" s="962" t="e">
        <f>[1]!taqsh(1,1,[1]!roz(FY12+1,FY15,0,0),FY13)</f>
        <v>#VALUE!</v>
      </c>
      <c r="FZ16" s="962" t="e">
        <f>[1]!taqsh(1,1,[1]!roz(FZ12+1,FZ15,0,0),FZ13)</f>
        <v>#VALUE!</v>
      </c>
      <c r="GA16" s="962" t="e">
        <f>[1]!taqsh(1,1,[1]!roz(GA12+1,GA15,0,0),GA13)</f>
        <v>#VALUE!</v>
      </c>
      <c r="GB16" s="962" t="e">
        <f>[1]!taqsh(1,1,[1]!roz(GB12+1,GB15,0,0),GB13)</f>
        <v>#VALUE!</v>
      </c>
      <c r="GC16" s="962" t="e">
        <f>[1]!taqsh(1,1,[1]!roz(GC12+1,GC15,0,0),GC13)</f>
        <v>#VALUE!</v>
      </c>
      <c r="GD16" s="962" t="e">
        <f>[1]!taqsh(1,1,[1]!roz(GD12+1,GD15,0,0),GD13)</f>
        <v>#VALUE!</v>
      </c>
      <c r="GE16" s="962" t="e">
        <f>[1]!taqsh(1,1,[1]!roz(GE12+1,GE15,0,0),GE13)</f>
        <v>#VALUE!</v>
      </c>
      <c r="GF16" s="962" t="e">
        <f>[1]!taqsh(1,1,[1]!roz(GF12+1,GF15,0,0),GF13)</f>
        <v>#VALUE!</v>
      </c>
      <c r="GG16" s="962" t="e">
        <f>[1]!taqsh(1,1,[1]!roz(GG12+1,GG15,0,0),GG13)</f>
        <v>#VALUE!</v>
      </c>
      <c r="GH16" s="962" t="e">
        <f>[1]!taqsh(1,1,[1]!roz(GH12+1,GH15,0,0),GH13)</f>
        <v>#VALUE!</v>
      </c>
      <c r="GI16" s="962" t="e">
        <f>[1]!taqsh(1,1,[1]!roz(GI12+1,GI15,0,0),GI13)</f>
        <v>#VALUE!</v>
      </c>
      <c r="GJ16" s="962" t="e">
        <f>[1]!taqsh(1,1,[1]!roz(GJ12+1,GJ15,0,0),GJ13)</f>
        <v>#VALUE!</v>
      </c>
      <c r="GK16" s="962" t="e">
        <f>[1]!taqsh(1,1,[1]!roz(GK12+1,GK15,0,0),GK13)</f>
        <v>#VALUE!</v>
      </c>
      <c r="GL16" s="962" t="e">
        <f>[1]!taqsh(1,1,[1]!roz(GL12+1,GL15,0,0),GL13)</f>
        <v>#VALUE!</v>
      </c>
      <c r="GM16" s="962" t="e">
        <f>[1]!taqsh(1,1,[1]!roz(GM12+1,GM15,0,0),GM13)</f>
        <v>#VALUE!</v>
      </c>
      <c r="GN16" s="962" t="e">
        <f>[1]!taqsh(1,1,[1]!roz(GN12+1,GN15,0,0),GN13)</f>
        <v>#VALUE!</v>
      </c>
      <c r="GO16" s="962" t="e">
        <f>[1]!taqsh(1,1,[1]!roz(GO12+1,GO15,0,0),GO13)</f>
        <v>#VALUE!</v>
      </c>
      <c r="GP16" s="962" t="e">
        <f>[1]!taqsh(1,1,[1]!roz(GP12+1,GP15,0,0),GP13)</f>
        <v>#VALUE!</v>
      </c>
      <c r="GQ16" s="962" t="e">
        <f>[1]!taqsh(1,1,[1]!roz(GQ12+1,GQ15,0,0),GQ13)</f>
        <v>#VALUE!</v>
      </c>
      <c r="GR16" s="962" t="e">
        <f>[1]!taqsh(1,1,[1]!roz(GR12+1,GR15,0,0),GR13)</f>
        <v>#VALUE!</v>
      </c>
      <c r="GS16" s="962" t="e">
        <f>[1]!taqsh(1,1,[1]!roz(GS12+1,GS15,0,0),GS13)</f>
        <v>#VALUE!</v>
      </c>
      <c r="GT16" s="962" t="e">
        <f>[1]!taqsh(1,1,[1]!roz(GT12+1,GT15,0,0),GT13)</f>
        <v>#VALUE!</v>
      </c>
      <c r="GU16" s="962" t="e">
        <f>[1]!taqsh(1,1,[1]!roz(GU12+1,GU15,0,0),GU13)</f>
        <v>#VALUE!</v>
      </c>
      <c r="GV16" s="962" t="e">
        <f>[1]!taqsh(1,1,[1]!roz(GV12+1,GV15,0,0),GV13)</f>
        <v>#VALUE!</v>
      </c>
      <c r="GW16" s="962" t="e">
        <f>[1]!taqsh(1,1,[1]!roz(GW12+1,GW15,0,0),GW13)</f>
        <v>#VALUE!</v>
      </c>
      <c r="GX16" s="962" t="e">
        <f>[1]!taqsh(1,1,[1]!roz(GX12+1,GX15,0,0),GX13)</f>
        <v>#VALUE!</v>
      </c>
      <c r="GY16" s="962" t="e">
        <f>[1]!taqsh(1,1,[1]!roz(GY12+1,GY15,0,0),GY13)</f>
        <v>#VALUE!</v>
      </c>
      <c r="GZ16" s="962" t="e">
        <f>[1]!taqsh(1,1,[1]!roz(GZ12+1,GZ15,0,0),GZ13)</f>
        <v>#VALUE!</v>
      </c>
      <c r="HA16" s="962" t="e">
        <f>[1]!taqsh(1,1,[1]!roz(HA12+1,HA15,0,0),HA13)</f>
        <v>#VALUE!</v>
      </c>
      <c r="HB16" s="962" t="e">
        <f>[1]!taqsh(1,1,[1]!roz(HB12+1,HB15,0,0),HB13)</f>
        <v>#VALUE!</v>
      </c>
      <c r="HC16" s="962" t="e">
        <f>[1]!taqsh(1,1,[1]!roz(HC12+1,HC15,0,0),HC13)</f>
        <v>#VALUE!</v>
      </c>
      <c r="HD16" s="962" t="e">
        <f>[1]!taqsh(1,1,[1]!roz(HD12+1,HD15,0,0),HD13)</f>
        <v>#VALUE!</v>
      </c>
      <c r="HE16" s="962" t="e">
        <f>[1]!taqsh(1,1,[1]!roz(HE12+1,HE15,0,0),HE13)</f>
        <v>#VALUE!</v>
      </c>
      <c r="HF16" s="962" t="e">
        <f>[1]!taqsh(1,1,[1]!roz(HF12+1,HF15,0,0),HF13)</f>
        <v>#VALUE!</v>
      </c>
      <c r="HG16" s="962" t="e">
        <f>[1]!taqsh(1,1,[1]!roz(HG12+1,HG15,0,0),HG13)</f>
        <v>#VALUE!</v>
      </c>
      <c r="HH16" s="962" t="e">
        <f>[1]!taqsh(1,1,[1]!roz(HH12+1,HH15,0,0),HH13)</f>
        <v>#VALUE!</v>
      </c>
      <c r="HI16" s="962" t="e">
        <f>[1]!taqsh(1,1,[1]!roz(HI12+1,HI15,0,0),HI13)</f>
        <v>#VALUE!</v>
      </c>
      <c r="HJ16" s="962" t="e">
        <f>[1]!taqsh(1,1,[1]!roz(HJ12+1,HJ15,0,0),HJ13)</f>
        <v>#VALUE!</v>
      </c>
      <c r="HK16" s="962" t="e">
        <f>[1]!taqsh(1,1,[1]!roz(HK12+1,HK15,0,0),HK13)</f>
        <v>#VALUE!</v>
      </c>
      <c r="HL16" s="962" t="e">
        <f>[1]!taqsh(1,1,[1]!roz(HL12+1,HL15,0,0),HL13)</f>
        <v>#VALUE!</v>
      </c>
      <c r="HM16" s="962" t="e">
        <f>[1]!taqsh(1,1,[1]!roz(HM12+1,HM15,0,0),HM13)</f>
        <v>#VALUE!</v>
      </c>
      <c r="HN16" s="962" t="e">
        <f>[1]!taqsh(1,1,[1]!roz(HN12+1,HN15,0,0),HN13)</f>
        <v>#VALUE!</v>
      </c>
      <c r="HO16" s="962" t="e">
        <f>[1]!taqsh(1,1,[1]!roz(HO12+1,HO15,0,0),HO13)</f>
        <v>#VALUE!</v>
      </c>
      <c r="HP16" s="962" t="e">
        <f>[1]!taqsh(1,1,[1]!roz(HP12+1,HP15,0,0),HP13)</f>
        <v>#VALUE!</v>
      </c>
      <c r="HQ16" s="962" t="e">
        <f>[1]!taqsh(1,1,[1]!roz(HQ12+1,HQ15,0,0),HQ13)</f>
        <v>#VALUE!</v>
      </c>
      <c r="HR16" s="962" t="e">
        <f>[1]!taqsh(1,1,[1]!roz(HR12+1,HR15,0,0),HR13)</f>
        <v>#VALUE!</v>
      </c>
      <c r="HS16" s="962" t="e">
        <f>[1]!taqsh(1,1,[1]!roz(HS12+1,HS15,0,0),HS13)</f>
        <v>#VALUE!</v>
      </c>
      <c r="HT16" s="962" t="e">
        <f>[1]!taqsh(1,1,[1]!roz(HT12+1,HT15,0,0),HT13)</f>
        <v>#VALUE!</v>
      </c>
      <c r="HU16" s="962" t="e">
        <f>[1]!taqsh(1,1,[1]!roz(HU12+1,HU15,0,0),HU13)</f>
        <v>#VALUE!</v>
      </c>
      <c r="HV16" s="962" t="e">
        <f>[1]!taqsh(1,1,[1]!roz(HV12+1,HV15,0,0),HV13)</f>
        <v>#VALUE!</v>
      </c>
      <c r="HW16" s="962" t="e">
        <f>[1]!taqsh(1,1,[1]!roz(HW12+1,HW15,0,0),HW13)</f>
        <v>#VALUE!</v>
      </c>
      <c r="HX16" s="962" t="e">
        <f>[1]!taqsh(1,1,[1]!roz(HX12+1,HX15,0,0),HX13)</f>
        <v>#VALUE!</v>
      </c>
      <c r="HY16" s="962" t="e">
        <f>[1]!taqsh(1,1,[1]!roz(HY12+1,HY15,0,0),HY13)</f>
        <v>#VALUE!</v>
      </c>
      <c r="HZ16" s="962" t="e">
        <f>[1]!taqsh(1,1,[1]!roz(HZ12+1,HZ15,0,0),HZ13)</f>
        <v>#VALUE!</v>
      </c>
      <c r="IA16" s="962" t="e">
        <f>[1]!taqsh(1,1,[1]!roz(IA12+1,IA15,0,0),IA13)</f>
        <v>#VALUE!</v>
      </c>
      <c r="IB16" s="962" t="e">
        <f>[1]!taqsh(1,1,[1]!roz(IB12+1,IB15,0,0),IB13)</f>
        <v>#VALUE!</v>
      </c>
      <c r="IC16" s="962" t="e">
        <f>[1]!taqsh(1,1,[1]!roz(IC12+1,IC15,0,0),IC13)</f>
        <v>#VALUE!</v>
      </c>
      <c r="ID16" s="962" t="e">
        <f>[1]!taqsh(1,1,[1]!roz(ID12+1,ID15,0,0),ID13)</f>
        <v>#VALUE!</v>
      </c>
      <c r="IE16" s="962" t="e">
        <f>[1]!taqsh(1,1,[1]!roz(IE12+1,IE15,0,0),IE13)</f>
        <v>#VALUE!</v>
      </c>
      <c r="IF16" s="962" t="e">
        <f>[1]!taqsh(1,1,[1]!roz(IF12+1,IF15,0,0),IF13)</f>
        <v>#VALUE!</v>
      </c>
      <c r="IG16" s="962" t="e">
        <f>[1]!taqsh(1,1,[1]!roz(IG12+1,IG15,0,0),IG13)</f>
        <v>#VALUE!</v>
      </c>
      <c r="IH16" s="962" t="e">
        <f>[1]!taqsh(1,1,[1]!roz(IH12+1,IH15,0,0),IH13)</f>
        <v>#VALUE!</v>
      </c>
      <c r="II16" s="962" t="e">
        <f>[1]!taqsh(1,1,[1]!roz(II12+1,II15,0,0),II13)</f>
        <v>#VALUE!</v>
      </c>
      <c r="IJ16" s="962" t="e">
        <f>[1]!taqsh(1,1,[1]!roz(IJ12+1,IJ15,0,0),IJ13)</f>
        <v>#VALUE!</v>
      </c>
      <c r="IK16" s="962" t="e">
        <f>[1]!taqsh(1,1,[1]!roz(IK12+1,IK15,0,0),IK13)</f>
        <v>#VALUE!</v>
      </c>
      <c r="IL16" s="962" t="e">
        <f>[1]!taqsh(1,1,[1]!roz(IL12+1,IL15,0,0),IL13)</f>
        <v>#VALUE!</v>
      </c>
      <c r="IM16" s="962" t="e">
        <f>[1]!taqsh(1,1,[1]!roz(IM12+1,IM15,0,0),IM13)</f>
        <v>#VALUE!</v>
      </c>
      <c r="IN16" s="962" t="e">
        <f>[1]!taqsh(1,1,[1]!roz(IN12+1,IN15,0,0),IN13)</f>
        <v>#VALUE!</v>
      </c>
      <c r="IO16" s="962" t="e">
        <f>[1]!taqsh(1,1,[1]!roz(IO12+1,IO15,0,0),IO13)</f>
        <v>#VALUE!</v>
      </c>
      <c r="IP16" s="962" t="e">
        <f>[1]!taqsh(1,1,[1]!roz(IP12+1,IP15,0,0),IP13)</f>
        <v>#VALUE!</v>
      </c>
      <c r="IQ16" s="962" t="e">
        <f>[1]!taqsh(1,1,[1]!roz(IQ12+1,IQ15,0,0),IQ13)</f>
        <v>#VALUE!</v>
      </c>
      <c r="IR16" s="962" t="e">
        <f>[1]!taqsh(1,1,[1]!roz(IR12+1,IR15,0,0),IR13)</f>
        <v>#VALUE!</v>
      </c>
      <c r="IS16" s="962" t="e">
        <f>[1]!taqsh(1,1,[1]!roz(IS12+1,IS15,0,0),IS13)</f>
        <v>#VALUE!</v>
      </c>
      <c r="IT16" s="962" t="e">
        <f>[1]!taqsh(1,1,[1]!roz(IT12+1,IT15,0,0),IT13)</f>
        <v>#VALUE!</v>
      </c>
      <c r="IU16" s="962" t="e">
        <f>[1]!taqsh(1,1,[1]!roz(IU12+1,IU15,0,0),IU13)</f>
        <v>#VALUE!</v>
      </c>
      <c r="IV16" s="962" t="e">
        <f>[1]!taqsh(1,1,[1]!roz(IV12+1,IV15,0,0),IV13)</f>
        <v>#VALUE!</v>
      </c>
      <c r="IW16" s="962" t="e">
        <f>[1]!taqsh(1,1,[1]!roz(IW12+1,IW15,0,0),IW13)</f>
        <v>#VALUE!</v>
      </c>
      <c r="IX16" s="962" t="e">
        <f>[1]!taqsh(1,1,[1]!roz(IX12+1,IX15,0,0),IX13)</f>
        <v>#VALUE!</v>
      </c>
      <c r="IY16" s="962" t="e">
        <f>[1]!taqsh(1,1,[1]!roz(IY12+1,IY15,0,0),IY13)</f>
        <v>#VALUE!</v>
      </c>
      <c r="IZ16" s="962" t="e">
        <f>[1]!taqsh(1,1,[1]!roz(IZ12+1,IZ15,0,0),IZ13)</f>
        <v>#VALUE!</v>
      </c>
      <c r="JA16" s="962" t="e">
        <f>[1]!taqsh(1,1,[1]!roz(JA12+1,JA15,0,0),JA13)</f>
        <v>#VALUE!</v>
      </c>
      <c r="JB16" s="962" t="e">
        <f>[1]!taqsh(1,1,[1]!roz(JB12+1,JB15,0,0),JB13)</f>
        <v>#VALUE!</v>
      </c>
      <c r="JC16" s="962" t="e">
        <f>[1]!taqsh(1,1,[1]!roz(JC12+1,JC15,0,0),JC13)</f>
        <v>#VALUE!</v>
      </c>
      <c r="JD16" s="962" t="e">
        <f>[1]!taqsh(1,1,[1]!roz(JD12+1,JD15,0,0),JD13)</f>
        <v>#VALUE!</v>
      </c>
      <c r="JE16" s="962" t="e">
        <f>[1]!taqsh(1,1,[1]!roz(JE12+1,JE15,0,0),JE13)</f>
        <v>#VALUE!</v>
      </c>
      <c r="JF16" s="962" t="e">
        <f>[1]!taqsh(1,1,[1]!roz(JF12+1,JF15,0,0),JF13)</f>
        <v>#VALUE!</v>
      </c>
      <c r="JG16" s="962" t="e">
        <f>[1]!taqsh(1,1,[1]!roz(JG12+1,JG15,0,0),JG13)</f>
        <v>#VALUE!</v>
      </c>
      <c r="JH16" s="962" t="e">
        <f>[1]!taqsh(1,1,[1]!roz(JH12+1,JH15,0,0),JH13)</f>
        <v>#VALUE!</v>
      </c>
      <c r="JI16" s="962" t="e">
        <f>[1]!taqsh(1,1,[1]!roz(JI12+1,JI15,0,0),JI13)</f>
        <v>#VALUE!</v>
      </c>
      <c r="JJ16" s="962" t="e">
        <f>[1]!taqsh(1,1,[1]!roz(JJ12+1,JJ15,0,0),JJ13)</f>
        <v>#VALUE!</v>
      </c>
      <c r="JK16" s="962" t="e">
        <f>[1]!taqsh(1,1,[1]!roz(JK12+1,JK15,0,0),JK13)</f>
        <v>#VALUE!</v>
      </c>
      <c r="JL16" s="962" t="e">
        <f>[1]!taqsh(1,1,[1]!roz(JL12+1,JL15,0,0),JL13)</f>
        <v>#VALUE!</v>
      </c>
      <c r="JM16" s="962" t="e">
        <f>[1]!taqsh(1,1,[1]!roz(JM12+1,JM15,0,0),JM13)</f>
        <v>#VALUE!</v>
      </c>
      <c r="JN16" s="962" t="e">
        <f>[1]!taqsh(1,1,[1]!roz(JN12+1,JN15,0,0),JN13)</f>
        <v>#VALUE!</v>
      </c>
      <c r="JO16" s="962" t="e">
        <f>[1]!taqsh(1,1,[1]!roz(JO12+1,JO15,0,0),JO13)</f>
        <v>#VALUE!</v>
      </c>
      <c r="JP16" s="962" t="e">
        <f>[1]!taqsh(1,1,[1]!roz(JP12+1,JP15,0,0),JP13)</f>
        <v>#VALUE!</v>
      </c>
      <c r="JQ16" s="962" t="e">
        <f>[1]!taqsh(1,1,[1]!roz(JQ12+1,JQ15,0,0),JQ13)</f>
        <v>#VALUE!</v>
      </c>
      <c r="JR16" s="962" t="e">
        <f>[1]!taqsh(1,1,[1]!roz(JR12+1,JR15,0,0),JR13)</f>
        <v>#VALUE!</v>
      </c>
      <c r="JS16" s="962" t="e">
        <f>[1]!taqsh(1,1,[1]!roz(JS12+1,JS15,0,0),JS13)</f>
        <v>#VALUE!</v>
      </c>
      <c r="JT16" s="962" t="e">
        <f>[1]!taqsh(1,1,[1]!roz(JT12+1,JT15,0,0),JT13)</f>
        <v>#VALUE!</v>
      </c>
      <c r="JU16" s="962" t="e">
        <f>[1]!taqsh(1,1,[1]!roz(JU12+1,JU15,0,0),JU13)</f>
        <v>#VALUE!</v>
      </c>
      <c r="JV16" s="962" t="e">
        <f>[1]!taqsh(1,1,[1]!roz(JV12+1,JV15,0,0),JV13)</f>
        <v>#VALUE!</v>
      </c>
      <c r="JW16" s="962" t="e">
        <f>[1]!taqsh(1,1,[1]!roz(JW12+1,JW15,0,0),JW13)</f>
        <v>#VALUE!</v>
      </c>
      <c r="JX16" s="962" t="e">
        <f>[1]!taqsh(1,1,[1]!roz(JX12+1,JX15,0,0),JX13)</f>
        <v>#VALUE!</v>
      </c>
      <c r="JY16" s="962" t="e">
        <f>[1]!taqsh(1,1,[1]!roz(JY12+1,JY15,0,0),JY13)</f>
        <v>#VALUE!</v>
      </c>
      <c r="JZ16" s="962" t="e">
        <f>[1]!taqsh(1,1,[1]!roz(JZ12+1,JZ15,0,0),JZ13)</f>
        <v>#VALUE!</v>
      </c>
      <c r="KA16" s="962" t="e">
        <f>[1]!taqsh(1,1,[1]!roz(KA12+1,KA15,0,0),KA13)</f>
        <v>#VALUE!</v>
      </c>
      <c r="KB16" s="962" t="e">
        <f>[1]!taqsh(1,1,[1]!roz(KB12+1,KB15,0,0),KB13)</f>
        <v>#VALUE!</v>
      </c>
      <c r="KC16" s="962" t="e">
        <f>[1]!taqsh(1,1,[1]!roz(KC12+1,KC15,0,0),KC13)</f>
        <v>#VALUE!</v>
      </c>
      <c r="KD16" s="962" t="e">
        <f>[1]!taqsh(1,1,[1]!roz(KD12+1,KD15,0,0),KD13)</f>
        <v>#VALUE!</v>
      </c>
      <c r="KE16" s="962" t="e">
        <f>[1]!taqsh(1,1,[1]!roz(KE12+1,KE15,0,0),KE13)</f>
        <v>#VALUE!</v>
      </c>
      <c r="KF16" s="962" t="e">
        <f>[1]!taqsh(1,1,[1]!roz(KF12+1,KF15,0,0),KF13)</f>
        <v>#VALUE!</v>
      </c>
      <c r="KG16" s="962" t="e">
        <f>[1]!taqsh(1,1,[1]!roz(KG12+1,KG15,0,0),KG13)</f>
        <v>#VALUE!</v>
      </c>
      <c r="KH16" s="962" t="e">
        <f>[1]!taqsh(1,1,[1]!roz(KH12+1,KH15,0,0),KH13)</f>
        <v>#VALUE!</v>
      </c>
      <c r="KI16" s="962" t="e">
        <f>[1]!taqsh(1,1,[1]!roz(KI12+1,KI15,0,0),KI13)</f>
        <v>#VALUE!</v>
      </c>
      <c r="KJ16" s="962" t="e">
        <f>[1]!taqsh(1,1,[1]!roz(KJ12+1,KJ15,0,0),KJ13)</f>
        <v>#VALUE!</v>
      </c>
      <c r="KK16" s="962" t="e">
        <f>[1]!taqsh(1,1,[1]!roz(KK12+1,KK15,0,0),KK13)</f>
        <v>#VALUE!</v>
      </c>
      <c r="KL16" s="962" t="e">
        <f>[1]!taqsh(1,1,[1]!roz(KL12+1,KL15,0,0),KL13)</f>
        <v>#VALUE!</v>
      </c>
      <c r="KM16" s="962" t="e">
        <f>[1]!taqsh(1,1,[1]!roz(KM12+1,KM15,0,0),KM13)</f>
        <v>#VALUE!</v>
      </c>
      <c r="KN16" s="962" t="e">
        <f>[1]!taqsh(1,1,[1]!roz(KN12+1,KN15,0,0),KN13)</f>
        <v>#VALUE!</v>
      </c>
      <c r="KO16" s="962" t="e">
        <f>[1]!taqsh(1,1,[1]!roz(KO12+1,KO15,0,0),KO13)</f>
        <v>#VALUE!</v>
      </c>
      <c r="KP16" s="962" t="e">
        <f>[1]!taqsh(1,1,[1]!roz(KP12+1,KP15,0,0),KP13)</f>
        <v>#VALUE!</v>
      </c>
      <c r="KQ16" s="962" t="e">
        <f>[1]!taqsh(1,1,[1]!roz(KQ12+1,KQ15,0,0),KQ13)</f>
        <v>#VALUE!</v>
      </c>
      <c r="KR16" s="962" t="e">
        <f>[1]!taqsh(1,1,[1]!roz(KR12+1,KR15,0,0),KR13)</f>
        <v>#VALUE!</v>
      </c>
      <c r="KS16" s="962" t="e">
        <f>[1]!taqsh(1,1,[1]!roz(KS12+1,KS15,0,0),KS13)</f>
        <v>#VALUE!</v>
      </c>
      <c r="KT16" s="962" t="e">
        <f>[1]!taqsh(1,1,[1]!roz(KT12+1,KT15,0,0),KT13)</f>
        <v>#VALUE!</v>
      </c>
      <c r="KU16" s="962" t="e">
        <f>[1]!taqsh(1,1,[1]!roz(KU12+1,KU15,0,0),KU13)</f>
        <v>#VALUE!</v>
      </c>
      <c r="KV16" s="962" t="e">
        <f>[1]!taqsh(1,1,[1]!roz(KV12+1,KV15,0,0),KV13)</f>
        <v>#VALUE!</v>
      </c>
      <c r="KW16" s="962" t="e">
        <f>[1]!taqsh(1,1,[1]!roz(KW12+1,KW15,0,0),KW13)</f>
        <v>#VALUE!</v>
      </c>
      <c r="KX16" s="962" t="e">
        <f>[1]!taqsh(1,1,[1]!roz(KX12+1,KX15,0,0),KX13)</f>
        <v>#VALUE!</v>
      </c>
      <c r="KY16" s="962" t="e">
        <f>[1]!taqsh(1,1,[1]!roz(KY12+1,KY15,0,0),KY13)</f>
        <v>#VALUE!</v>
      </c>
      <c r="KZ16" s="962" t="e">
        <f>[1]!taqsh(1,1,[1]!roz(KZ12+1,KZ15,0,0),KZ13)</f>
        <v>#VALUE!</v>
      </c>
      <c r="LA16" s="962" t="e">
        <f>[1]!taqsh(1,1,[1]!roz(LA12+1,LA15,0,0),LA13)</f>
        <v>#VALUE!</v>
      </c>
      <c r="LB16" s="962" t="e">
        <f>[1]!taqsh(1,1,[1]!roz(LB12+1,LB15,0,0),LB13)</f>
        <v>#VALUE!</v>
      </c>
      <c r="LC16" s="962" t="e">
        <f>[1]!taqsh(1,1,[1]!roz(LC12+1,LC15,0,0),LC13)</f>
        <v>#VALUE!</v>
      </c>
      <c r="LD16" s="962" t="e">
        <f>[1]!taqsh(1,1,[1]!roz(LD12+1,LD15,0,0),LD13)</f>
        <v>#VALUE!</v>
      </c>
      <c r="LE16" s="962" t="e">
        <f>[1]!taqsh(1,1,[1]!roz(LE12+1,LE15,0,0),LE13)</f>
        <v>#VALUE!</v>
      </c>
      <c r="LF16" s="962" t="e">
        <f>[1]!taqsh(1,1,[1]!roz(LF12+1,LF15,0,0),LF13)</f>
        <v>#VALUE!</v>
      </c>
      <c r="LG16" s="962" t="e">
        <f>[1]!taqsh(1,1,[1]!roz(LG12+1,LG15,0,0),LG13)</f>
        <v>#VALUE!</v>
      </c>
      <c r="LH16" s="962" t="e">
        <f>[1]!taqsh(1,1,[1]!roz(LH12+1,LH15,0,0),LH13)</f>
        <v>#VALUE!</v>
      </c>
      <c r="LI16" s="962" t="e">
        <f>[1]!taqsh(1,1,[1]!roz(LI12+1,LI15,0,0),LI13)</f>
        <v>#VALUE!</v>
      </c>
      <c r="LJ16" s="962" t="e">
        <f>[1]!taqsh(1,1,[1]!roz(LJ12+1,LJ15,0,0),LJ13)</f>
        <v>#VALUE!</v>
      </c>
      <c r="LK16" s="962" t="e">
        <f>[1]!taqsh(1,1,[1]!roz(LK12+1,LK15,0,0),LK13)</f>
        <v>#VALUE!</v>
      </c>
      <c r="LL16" s="962" t="e">
        <f>[1]!taqsh(1,1,[1]!roz(LL12+1,LL15,0,0),LL13)</f>
        <v>#VALUE!</v>
      </c>
      <c r="LM16" s="962" t="e">
        <f>[1]!taqsh(1,1,[1]!roz(LM12+1,LM15,0,0),LM13)</f>
        <v>#VALUE!</v>
      </c>
      <c r="LN16" s="962" t="e">
        <f>[1]!taqsh(1,1,[1]!roz(LN12+1,LN15,0,0),LN13)</f>
        <v>#VALUE!</v>
      </c>
      <c r="LO16" s="962" t="e">
        <f>[1]!taqsh(1,1,[1]!roz(LO12+1,LO15,0,0),LO13)</f>
        <v>#VALUE!</v>
      </c>
      <c r="LP16" s="962" t="e">
        <f>[1]!taqsh(1,1,[1]!roz(LP12+1,LP15,0,0),LP13)</f>
        <v>#VALUE!</v>
      </c>
      <c r="LQ16" s="962" t="e">
        <f>[1]!taqsh(1,1,[1]!roz(LQ12+1,LQ15,0,0),LQ13)</f>
        <v>#VALUE!</v>
      </c>
      <c r="LR16" s="962" t="e">
        <f>[1]!taqsh(1,1,[1]!roz(LR12+1,LR15,0,0),LR13)</f>
        <v>#VALUE!</v>
      </c>
      <c r="LS16" s="962" t="e">
        <f>[1]!taqsh(1,1,[1]!roz(LS12+1,LS15,0,0),LS13)</f>
        <v>#VALUE!</v>
      </c>
      <c r="LT16" s="962" t="e">
        <f>[1]!taqsh(1,1,[1]!roz(LT12+1,LT15,0,0),LT13)</f>
        <v>#VALUE!</v>
      </c>
      <c r="LU16" s="962" t="e">
        <f>[1]!taqsh(1,1,[1]!roz(LU12+1,LU15,0,0),LU13)</f>
        <v>#VALUE!</v>
      </c>
      <c r="LV16" s="962" t="e">
        <f>[1]!taqsh(1,1,[1]!roz(LV12+1,LV15,0,0),LV13)</f>
        <v>#VALUE!</v>
      </c>
      <c r="LW16" s="962" t="e">
        <f>[1]!taqsh(1,1,[1]!roz(LW12+1,LW15,0,0),LW13)</f>
        <v>#VALUE!</v>
      </c>
      <c r="LX16" s="962" t="e">
        <f>[1]!taqsh(1,1,[1]!roz(LX12+1,LX15,0,0),LX13)</f>
        <v>#VALUE!</v>
      </c>
      <c r="LY16" s="962" t="e">
        <f>[1]!taqsh(1,1,[1]!roz(LY12+1,LY15,0,0),LY13)</f>
        <v>#VALUE!</v>
      </c>
      <c r="LZ16" s="962" t="e">
        <f>[1]!taqsh(1,1,[1]!roz(LZ12+1,LZ15,0,0),LZ13)</f>
        <v>#VALUE!</v>
      </c>
      <c r="MA16" s="962" t="e">
        <f>[1]!taqsh(1,1,[1]!roz(MA12+1,MA15,0,0),MA13)</f>
        <v>#VALUE!</v>
      </c>
      <c r="MB16" s="962" t="e">
        <f>[1]!taqsh(1,1,[1]!roz(MB12+1,MB15,0,0),MB13)</f>
        <v>#VALUE!</v>
      </c>
      <c r="MC16" s="962" t="e">
        <f>[1]!taqsh(1,1,[1]!roz(MC12+1,MC15,0,0),MC13)</f>
        <v>#VALUE!</v>
      </c>
      <c r="MD16" s="962" t="e">
        <f>[1]!taqsh(1,1,[1]!roz(MD12+1,MD15,0,0),MD13)</f>
        <v>#VALUE!</v>
      </c>
      <c r="ME16" s="962" t="e">
        <f>[1]!taqsh(1,1,[1]!roz(ME12+1,ME15,0,0),ME13)</f>
        <v>#VALUE!</v>
      </c>
      <c r="MF16" s="962" t="e">
        <f>[1]!taqsh(1,1,[1]!roz(MF12+1,MF15,0,0),MF13)</f>
        <v>#VALUE!</v>
      </c>
      <c r="MG16" s="962" t="e">
        <f>[1]!taqsh(1,1,[1]!roz(MG12+1,MG15,0,0),MG13)</f>
        <v>#VALUE!</v>
      </c>
      <c r="MH16" s="962" t="e">
        <f>[1]!taqsh(1,1,[1]!roz(MH12+1,MH15,0,0),MH13)</f>
        <v>#VALUE!</v>
      </c>
      <c r="MI16" s="962" t="e">
        <f>[1]!taqsh(1,1,[1]!roz(MI12+1,MI15,0,0),MI13)</f>
        <v>#VALUE!</v>
      </c>
      <c r="MJ16" s="962" t="e">
        <f>[1]!taqsh(1,1,[1]!roz(MJ12+1,MJ15,0,0),MJ13)</f>
        <v>#VALUE!</v>
      </c>
      <c r="MK16" s="962" t="e">
        <f>[1]!taqsh(1,1,[1]!roz(MK12+1,MK15,0,0),MK13)</f>
        <v>#VALUE!</v>
      </c>
      <c r="ML16" s="962" t="e">
        <f>[1]!taqsh(1,1,[1]!roz(ML12+1,ML15,0,0),ML13)</f>
        <v>#VALUE!</v>
      </c>
      <c r="MM16" s="962" t="e">
        <f>[1]!taqsh(1,1,[1]!roz(MM12+1,MM15,0,0),MM13)</f>
        <v>#VALUE!</v>
      </c>
      <c r="MN16" s="962" t="e">
        <f>[1]!taqsh(1,1,[1]!roz(MN12+1,MN15,0,0),MN13)</f>
        <v>#VALUE!</v>
      </c>
      <c r="MO16" s="962" t="e">
        <f>[1]!taqsh(1,1,[1]!roz(MO12+1,MO15,0,0),MO13)</f>
        <v>#VALUE!</v>
      </c>
      <c r="MP16" s="962" t="e">
        <f>[1]!taqsh(1,1,[1]!roz(MP12+1,MP15,0,0),MP13)</f>
        <v>#VALUE!</v>
      </c>
      <c r="MQ16" s="962" t="e">
        <f>[1]!taqsh(1,1,[1]!roz(MQ12+1,MQ15,0,0),MQ13)</f>
        <v>#VALUE!</v>
      </c>
      <c r="MR16" s="962" t="e">
        <f>[1]!taqsh(1,1,[1]!roz(MR12+1,MR15,0,0),MR13)</f>
        <v>#VALUE!</v>
      </c>
      <c r="MS16" s="962" t="e">
        <f>[1]!taqsh(1,1,[1]!roz(MS12+1,MS15,0,0),MS13)</f>
        <v>#VALUE!</v>
      </c>
      <c r="MT16" s="962" t="e">
        <f>[1]!taqsh(1,1,[1]!roz(MT12+1,MT15,0,0),MT13)</f>
        <v>#VALUE!</v>
      </c>
      <c r="MU16" s="962" t="e">
        <f>[1]!taqsh(1,1,[1]!roz(MU12+1,MU15,0,0),MU13)</f>
        <v>#VALUE!</v>
      </c>
      <c r="MV16" s="962" t="e">
        <f>[1]!taqsh(1,1,[1]!roz(MV12+1,MV15,0,0),MV13)</f>
        <v>#VALUE!</v>
      </c>
      <c r="MW16" s="962" t="e">
        <f>[1]!taqsh(1,1,[1]!roz(MW12+1,MW15,0,0),MW13)</f>
        <v>#VALUE!</v>
      </c>
      <c r="MX16" s="962" t="e">
        <f>[1]!taqsh(1,1,[1]!roz(MX12+1,MX15,0,0),MX13)</f>
        <v>#VALUE!</v>
      </c>
      <c r="MY16" s="962" t="e">
        <f>[1]!taqsh(1,1,[1]!roz(MY12+1,MY15,0,0),MY13)</f>
        <v>#VALUE!</v>
      </c>
      <c r="MZ16" s="962" t="e">
        <f>[1]!taqsh(1,1,[1]!roz(MZ12+1,MZ15,0,0),MZ13)</f>
        <v>#VALUE!</v>
      </c>
      <c r="NA16" s="962" t="e">
        <f>[1]!taqsh(1,1,[1]!roz(NA12+1,NA15,0,0),NA13)</f>
        <v>#VALUE!</v>
      </c>
      <c r="NB16" s="962" t="e">
        <f>[1]!taqsh(1,1,[1]!roz(NB12+1,NB15,0,0),NB13)</f>
        <v>#VALUE!</v>
      </c>
      <c r="NC16" s="962" t="e">
        <f>[1]!taqsh(1,1,[1]!roz(NC12+1,NC15,0,0),NC13)</f>
        <v>#VALUE!</v>
      </c>
      <c r="ND16" s="962" t="e">
        <f>[1]!taqsh(1,1,[1]!roz(ND12+1,ND15,0,0),ND13)</f>
        <v>#VALUE!</v>
      </c>
      <c r="NE16" s="962" t="e">
        <f>[1]!taqsh(1,1,[1]!roz(NE12+1,NE15,0,0),NE13)</f>
        <v>#VALUE!</v>
      </c>
      <c r="NF16" s="962" t="e">
        <f>[1]!taqsh(1,1,[1]!roz(NF12+1,NF15,0,0),NF13)</f>
        <v>#VALUE!</v>
      </c>
      <c r="NG16" s="962" t="e">
        <f>[1]!taqsh(1,1,[1]!roz(NG12+1,NG15,0,0),NG13)</f>
        <v>#VALUE!</v>
      </c>
      <c r="NH16" s="962" t="e">
        <f>[1]!taqsh(1,1,[1]!roz(NH12+1,NH15,0,0),NH13)</f>
        <v>#VALUE!</v>
      </c>
      <c r="NI16" s="962" t="e">
        <f>[1]!taqsh(1,1,[1]!roz(NI12+1,NI15,0,0),NI13)</f>
        <v>#VALUE!</v>
      </c>
      <c r="NJ16" s="962" t="e">
        <f>[1]!taqsh(1,1,[1]!roz(NJ12+1,NJ15,0,0),NJ13)</f>
        <v>#VALUE!</v>
      </c>
      <c r="NK16" s="962" t="e">
        <f>[1]!taqsh(1,1,[1]!roz(NK12+1,NK15,0,0),NK13)</f>
        <v>#VALUE!</v>
      </c>
      <c r="NL16" s="962" t="e">
        <f>[1]!taqsh(1,1,[1]!roz(NL12+1,NL15,0,0),NL13)</f>
        <v>#VALUE!</v>
      </c>
      <c r="NM16" s="962" t="e">
        <f>[1]!taqsh(1,1,[1]!roz(NM12+1,NM15,0,0),NM13)</f>
        <v>#VALUE!</v>
      </c>
      <c r="NN16" s="962" t="e">
        <f>[1]!taqsh(1,1,[1]!roz(NN12+1,NN15,0,0),NN13)</f>
        <v>#VALUE!</v>
      </c>
      <c r="NO16" s="962" t="e">
        <f>[1]!taqsh(1,1,[1]!roz(NO12+1,NO15,0,0),NO13)</f>
        <v>#VALUE!</v>
      </c>
      <c r="NP16" s="962" t="e">
        <f>[1]!taqsh(1,1,[1]!roz(NP12+1,NP15,0,0),NP13)</f>
        <v>#VALUE!</v>
      </c>
      <c r="NQ16" s="962" t="e">
        <f>[1]!taqsh(1,1,[1]!roz(NQ12+1,NQ15,0,0),NQ13)</f>
        <v>#VALUE!</v>
      </c>
      <c r="NR16" s="962" t="e">
        <f>[1]!taqsh(1,1,[1]!roz(NR12+1,NR15,0,0),NR13)</f>
        <v>#VALUE!</v>
      </c>
      <c r="NS16" s="962" t="e">
        <f>[1]!taqsh(1,1,[1]!roz(NS12+1,NS15,0,0),NS13)</f>
        <v>#VALUE!</v>
      </c>
      <c r="NT16" s="962" t="e">
        <f>[1]!taqsh(1,1,[1]!roz(NT12+1,NT15,0,0),NT13)</f>
        <v>#VALUE!</v>
      </c>
      <c r="NU16" s="962" t="e">
        <f>[1]!taqsh(1,1,[1]!roz(NU12+1,NU15,0,0),NU13)</f>
        <v>#VALUE!</v>
      </c>
      <c r="NV16" s="962" t="e">
        <f>[1]!taqsh(1,1,[1]!roz(NV12+1,NV15,0,0),NV13)</f>
        <v>#VALUE!</v>
      </c>
      <c r="NW16" s="962" t="e">
        <f>[1]!taqsh(1,1,[1]!roz(NW12+1,NW15,0,0),NW13)</f>
        <v>#VALUE!</v>
      </c>
      <c r="NX16" s="962" t="e">
        <f>[1]!taqsh(1,1,[1]!roz(NX12+1,NX15,0,0),NX13)</f>
        <v>#VALUE!</v>
      </c>
      <c r="NY16" s="962" t="e">
        <f>[1]!taqsh(1,1,[1]!roz(NY12+1,NY15,0,0),NY13)</f>
        <v>#VALUE!</v>
      </c>
      <c r="NZ16" s="962" t="e">
        <f>[1]!taqsh(1,1,[1]!roz(NZ12+1,NZ15,0,0),NZ13)</f>
        <v>#VALUE!</v>
      </c>
      <c r="OA16" s="962" t="e">
        <f>[1]!taqsh(1,1,[1]!roz(OA12+1,OA15,0,0),OA13)</f>
        <v>#VALUE!</v>
      </c>
      <c r="OB16" s="962" t="e">
        <f>[1]!taqsh(1,1,[1]!roz(OB12+1,OB15,0,0),OB13)</f>
        <v>#VALUE!</v>
      </c>
      <c r="OC16" s="962" t="e">
        <f>[1]!taqsh(1,1,[1]!roz(OC12+1,OC15,0,0),OC13)</f>
        <v>#VALUE!</v>
      </c>
      <c r="OD16" s="962" t="e">
        <f>[1]!taqsh(1,1,[1]!roz(OD12+1,OD15,0,0),OD13)</f>
        <v>#VALUE!</v>
      </c>
      <c r="OE16" s="962" t="e">
        <f>[1]!taqsh(1,1,[1]!roz(OE12+1,OE15,0,0),OE13)</f>
        <v>#VALUE!</v>
      </c>
      <c r="OF16" s="962" t="e">
        <f>[1]!taqsh(1,1,[1]!roz(OF12+1,OF15,0,0),OF13)</f>
        <v>#VALUE!</v>
      </c>
      <c r="OG16" s="962" t="e">
        <f>[1]!taqsh(1,1,[1]!roz(OG12+1,OG15,0,0),OG13)</f>
        <v>#VALUE!</v>
      </c>
      <c r="OH16" s="962" t="e">
        <f>[1]!taqsh(1,1,[1]!roz(OH12+1,OH15,0,0),OH13)</f>
        <v>#VALUE!</v>
      </c>
      <c r="OI16" s="962" t="e">
        <f>[1]!taqsh(1,1,[1]!roz(OI12+1,OI15,0,0),OI13)</f>
        <v>#VALUE!</v>
      </c>
      <c r="OJ16" s="962" t="e">
        <f>[1]!taqsh(1,1,[1]!roz(OJ12+1,OJ15,0,0),OJ13)</f>
        <v>#VALUE!</v>
      </c>
      <c r="OK16" s="962" t="e">
        <f>[1]!taqsh(1,1,[1]!roz(OK12+1,OK15,0,0),OK13)</f>
        <v>#VALUE!</v>
      </c>
      <c r="OL16" s="962" t="e">
        <f>[1]!taqsh(1,1,[1]!roz(OL12+1,OL15,0,0),OL13)</f>
        <v>#VALUE!</v>
      </c>
      <c r="OM16" s="962" t="e">
        <f>[1]!taqsh(1,1,[1]!roz(OM12+1,OM15,0,0),OM13)</f>
        <v>#VALUE!</v>
      </c>
      <c r="ON16" s="962" t="e">
        <f>[1]!taqsh(1,1,[1]!roz(ON12+1,ON15,0,0),ON13)</f>
        <v>#VALUE!</v>
      </c>
      <c r="OO16" s="962" t="e">
        <f>[1]!taqsh(1,1,[1]!roz(OO12+1,OO15,0,0),OO13)</f>
        <v>#VALUE!</v>
      </c>
      <c r="OP16" s="962" t="e">
        <f>[1]!taqsh(1,1,[1]!roz(OP12+1,OP15,0,0),OP13)</f>
        <v>#VALUE!</v>
      </c>
      <c r="OQ16" s="962" t="e">
        <f>[1]!taqsh(1,1,[1]!roz(OQ12+1,OQ15,0,0),OQ13)</f>
        <v>#VALUE!</v>
      </c>
      <c r="OR16" s="962" t="e">
        <f>[1]!taqsh(1,1,[1]!roz(OR12+1,OR15,0,0),OR13)</f>
        <v>#VALUE!</v>
      </c>
      <c r="OS16" s="962" t="e">
        <f>[1]!taqsh(1,1,[1]!roz(OS12+1,OS15,0,0),OS13)</f>
        <v>#VALUE!</v>
      </c>
      <c r="OT16" s="962" t="e">
        <f>[1]!taqsh(1,1,[1]!roz(OT12+1,OT15,0,0),OT13)</f>
        <v>#VALUE!</v>
      </c>
      <c r="OU16" s="962" t="e">
        <f>[1]!taqsh(1,1,[1]!roz(OU12+1,OU15,0,0),OU13)</f>
        <v>#VALUE!</v>
      </c>
      <c r="OV16" s="962" t="e">
        <f>[1]!taqsh(1,1,[1]!roz(OV12+1,OV15,0,0),OV13)</f>
        <v>#VALUE!</v>
      </c>
      <c r="OW16" s="962" t="e">
        <f>[1]!taqsh(1,1,[1]!roz(OW12+1,OW15,0,0),OW13)</f>
        <v>#VALUE!</v>
      </c>
      <c r="OX16" s="962" t="e">
        <f>[1]!taqsh(1,1,[1]!roz(OX12+1,OX15,0,0),OX13)</f>
        <v>#VALUE!</v>
      </c>
      <c r="OY16" s="962" t="e">
        <f>[1]!taqsh(1,1,[1]!roz(OY12+1,OY15,0,0),OY13)</f>
        <v>#VALUE!</v>
      </c>
      <c r="OZ16" s="962" t="e">
        <f>[1]!taqsh(1,1,[1]!roz(OZ12+1,OZ15,0,0),OZ13)</f>
        <v>#VALUE!</v>
      </c>
      <c r="PA16" s="962" t="e">
        <f>[1]!taqsh(1,1,[1]!roz(PA12+1,PA15,0,0),PA13)</f>
        <v>#VALUE!</v>
      </c>
      <c r="PB16" s="962" t="e">
        <f>[1]!taqsh(1,1,[1]!roz(PB12+1,PB15,0,0),PB13)</f>
        <v>#VALUE!</v>
      </c>
      <c r="PC16" s="962" t="e">
        <f>[1]!taqsh(1,1,[1]!roz(PC12+1,PC15,0,0),PC13)</f>
        <v>#VALUE!</v>
      </c>
      <c r="PD16" s="962" t="e">
        <f>[1]!taqsh(1,1,[1]!roz(PD12+1,PD15,0,0),PD13)</f>
        <v>#VALUE!</v>
      </c>
      <c r="PE16" s="962" t="e">
        <f>[1]!taqsh(1,1,[1]!roz(PE12+1,PE15,0,0),PE13)</f>
        <v>#VALUE!</v>
      </c>
      <c r="PF16" s="962" t="e">
        <f>[1]!taqsh(1,1,[1]!roz(PF12+1,PF15,0,0),PF13)</f>
        <v>#VALUE!</v>
      </c>
      <c r="PG16" s="962" t="e">
        <f>[1]!taqsh(1,1,[1]!roz(PG12+1,PG15,0,0),PG13)</f>
        <v>#VALUE!</v>
      </c>
      <c r="PH16" s="962" t="e">
        <f>[1]!taqsh(1,1,[1]!roz(PH12+1,PH15,0,0),PH13)</f>
        <v>#VALUE!</v>
      </c>
      <c r="PI16" s="962" t="e">
        <f>[1]!taqsh(1,1,[1]!roz(PI12+1,PI15,0,0),PI13)</f>
        <v>#VALUE!</v>
      </c>
      <c r="PJ16" s="962" t="e">
        <f>[1]!taqsh(1,1,[1]!roz(PJ12+1,PJ15,0,0),PJ13)</f>
        <v>#VALUE!</v>
      </c>
      <c r="PK16" s="962" t="e">
        <f>[1]!taqsh(1,1,[1]!roz(PK12+1,PK15,0,0),PK13)</f>
        <v>#VALUE!</v>
      </c>
      <c r="PL16" s="962" t="e">
        <f>[1]!taqsh(1,1,[1]!roz(PL12+1,PL15,0,0),PL13)</f>
        <v>#VALUE!</v>
      </c>
      <c r="PM16" s="962" t="e">
        <f>[1]!taqsh(1,1,[1]!roz(PM12+1,PM15,0,0),PM13)</f>
        <v>#VALUE!</v>
      </c>
      <c r="PN16" s="962" t="e">
        <f>[1]!taqsh(1,1,[1]!roz(PN12+1,PN15,0,0),PN13)</f>
        <v>#VALUE!</v>
      </c>
      <c r="PO16" s="962" t="e">
        <f>[1]!taqsh(1,1,[1]!roz(PO12+1,PO15,0,0),PO13)</f>
        <v>#VALUE!</v>
      </c>
      <c r="PP16" s="962" t="e">
        <f>[1]!taqsh(1,1,[1]!roz(PP12+1,PP15,0,0),PP13)</f>
        <v>#VALUE!</v>
      </c>
      <c r="PQ16" s="962" t="e">
        <f>[1]!taqsh(1,1,[1]!roz(PQ12+1,PQ15,0,0),PQ13)</f>
        <v>#VALUE!</v>
      </c>
      <c r="PR16" s="962" t="e">
        <f>[1]!taqsh(1,1,[1]!roz(PR12+1,PR15,0,0),PR13)</f>
        <v>#VALUE!</v>
      </c>
      <c r="PS16" s="962" t="e">
        <f>[1]!taqsh(1,1,[1]!roz(PS12+1,PS15,0,0),PS13)</f>
        <v>#VALUE!</v>
      </c>
      <c r="PT16" s="962" t="e">
        <f>[1]!taqsh(1,1,[1]!roz(PT12+1,PT15,0,0),PT13)</f>
        <v>#VALUE!</v>
      </c>
      <c r="PU16" s="962" t="e">
        <f>[1]!taqsh(1,1,[1]!roz(PU12+1,PU15,0,0),PU13)</f>
        <v>#VALUE!</v>
      </c>
      <c r="PV16" s="962" t="e">
        <f>[1]!taqsh(1,1,[1]!roz(PV12+1,PV15,0,0),PV13)</f>
        <v>#VALUE!</v>
      </c>
      <c r="PW16" s="962" t="e">
        <f>[1]!taqsh(1,1,[1]!roz(PW12+1,PW15,0,0),PW13)</f>
        <v>#VALUE!</v>
      </c>
      <c r="PX16" s="962" t="e">
        <f>[1]!taqsh(1,1,[1]!roz(PX12+1,PX15,0,0),PX13)</f>
        <v>#VALUE!</v>
      </c>
      <c r="PY16" s="962" t="e">
        <f>[1]!taqsh(1,1,[1]!roz(PY12+1,PY15,0,0),PY13)</f>
        <v>#VALUE!</v>
      </c>
      <c r="PZ16" s="962" t="e">
        <f>[1]!taqsh(1,1,[1]!roz(PZ12+1,PZ15,0,0),PZ13)</f>
        <v>#VALUE!</v>
      </c>
      <c r="QA16" s="962" t="e">
        <f>[1]!taqsh(1,1,[1]!roz(QA12+1,QA15,0,0),QA13)</f>
        <v>#VALUE!</v>
      </c>
      <c r="QB16" s="962" t="e">
        <f>[1]!taqsh(1,1,[1]!roz(QB12+1,QB15,0,0),QB13)</f>
        <v>#VALUE!</v>
      </c>
      <c r="QC16" s="962" t="e">
        <f>[1]!taqsh(1,1,[1]!roz(QC12+1,QC15,0,0),QC13)</f>
        <v>#VALUE!</v>
      </c>
      <c r="QD16" s="962" t="e">
        <f>[1]!taqsh(1,1,[1]!roz(QD12+1,QD15,0,0),QD13)</f>
        <v>#VALUE!</v>
      </c>
      <c r="QE16" s="962" t="e">
        <f>[1]!taqsh(1,1,[1]!roz(QE12+1,QE15,0,0),QE13)</f>
        <v>#VALUE!</v>
      </c>
      <c r="QF16" s="962" t="e">
        <f>[1]!taqsh(1,1,[1]!roz(QF12+1,QF15,0,0),QF13)</f>
        <v>#VALUE!</v>
      </c>
      <c r="QG16" s="962" t="e">
        <f>[1]!taqsh(1,1,[1]!roz(QG12+1,QG15,0,0),QG13)</f>
        <v>#VALUE!</v>
      </c>
      <c r="QH16" s="962" t="e">
        <f>[1]!taqsh(1,1,[1]!roz(QH12+1,QH15,0,0),QH13)</f>
        <v>#VALUE!</v>
      </c>
      <c r="QI16" s="962" t="e">
        <f>[1]!taqsh(1,1,[1]!roz(QI12+1,QI15,0,0),QI13)</f>
        <v>#VALUE!</v>
      </c>
      <c r="QJ16" s="962" t="e">
        <f>[1]!taqsh(1,1,[1]!roz(QJ12+1,QJ15,0,0),QJ13)</f>
        <v>#VALUE!</v>
      </c>
      <c r="QK16" s="962" t="e">
        <f>[1]!taqsh(1,1,[1]!roz(QK12+1,QK15,0,0),QK13)</f>
        <v>#VALUE!</v>
      </c>
      <c r="QL16" s="962" t="e">
        <f>[1]!taqsh(1,1,[1]!roz(QL12+1,QL15,0,0),QL13)</f>
        <v>#VALUE!</v>
      </c>
      <c r="QM16" s="962" t="e">
        <f>[1]!taqsh(1,1,[1]!roz(QM12+1,QM15,0,0),QM13)</f>
        <v>#VALUE!</v>
      </c>
      <c r="QN16" s="962" t="e">
        <f>[1]!taqsh(1,1,[1]!roz(QN12+1,QN15,0,0),QN13)</f>
        <v>#VALUE!</v>
      </c>
      <c r="QO16" s="962" t="e">
        <f>[1]!taqsh(1,1,[1]!roz(QO12+1,QO15,0,0),QO13)</f>
        <v>#VALUE!</v>
      </c>
      <c r="QP16" s="962" t="e">
        <f>[1]!taqsh(1,1,[1]!roz(QP12+1,QP15,0,0),QP13)</f>
        <v>#VALUE!</v>
      </c>
      <c r="QQ16" s="962" t="e">
        <f>[1]!taqsh(1,1,[1]!roz(QQ12+1,QQ15,0,0),QQ13)</f>
        <v>#VALUE!</v>
      </c>
      <c r="QR16" s="962" t="e">
        <f>[1]!taqsh(1,1,[1]!roz(QR12+1,QR15,0,0),QR13)</f>
        <v>#VALUE!</v>
      </c>
      <c r="QS16" s="962" t="e">
        <f>[1]!taqsh(1,1,[1]!roz(QS12+1,QS15,0,0),QS13)</f>
        <v>#VALUE!</v>
      </c>
      <c r="QT16" s="962" t="e">
        <f>[1]!taqsh(1,1,[1]!roz(QT12+1,QT15,0,0),QT13)</f>
        <v>#VALUE!</v>
      </c>
      <c r="QU16" s="962" t="e">
        <f>[1]!taqsh(1,1,[1]!roz(QU12+1,QU15,0,0),QU13)</f>
        <v>#VALUE!</v>
      </c>
      <c r="QV16" s="962" t="e">
        <f>[1]!taqsh(1,1,[1]!roz(QV12+1,QV15,0,0),QV13)</f>
        <v>#VALUE!</v>
      </c>
      <c r="QW16" s="962" t="e">
        <f>[1]!taqsh(1,1,[1]!roz(QW12+1,QW15,0,0),QW13)</f>
        <v>#VALUE!</v>
      </c>
      <c r="QX16" s="962" t="e">
        <f>[1]!taqsh(1,1,[1]!roz(QX12+1,QX15,0,0),QX13)</f>
        <v>#VALUE!</v>
      </c>
      <c r="QY16" s="962" t="e">
        <f>[1]!taqsh(1,1,[1]!roz(QY12+1,QY15,0,0),QY13)</f>
        <v>#VALUE!</v>
      </c>
      <c r="QZ16" s="962" t="e">
        <f>[1]!taqsh(1,1,[1]!roz(QZ12+1,QZ15,0,0),QZ13)</f>
        <v>#VALUE!</v>
      </c>
      <c r="RA16" s="963"/>
    </row>
    <row r="17" spans="1:471" ht="18" thickBot="1">
      <c r="J17" s="21">
        <f>IF(E19=16,(((C19-1)*M17)+IF(B19=1,0,IF(B19=2,O19,IF(B19=3,P19,IF(B19=4,Q19,IF(B19=5,R19,IF(B19=6,S19,IF(B19=7,T19,IF(B19=8,U19,IF(B19=9,V19,IF(B19=10,W19,IF(B19=11,X19,Y19)))))))))))+A19),0)</f>
        <v>526359.86363117129</v>
      </c>
      <c r="K17" s="12">
        <v>6</v>
      </c>
      <c r="L17" s="12" t="s">
        <v>157</v>
      </c>
      <c r="M17" s="12">
        <v>365.25875338735</v>
      </c>
      <c r="N17" s="12"/>
      <c r="O17" s="12" t="s">
        <v>118</v>
      </c>
      <c r="P17" s="12" t="s">
        <v>120</v>
      </c>
      <c r="Q17" s="12" t="s">
        <v>122</v>
      </c>
      <c r="R17" s="12" t="s">
        <v>124</v>
      </c>
      <c r="S17" s="12" t="s">
        <v>126</v>
      </c>
      <c r="T17" s="12" t="s">
        <v>128</v>
      </c>
      <c r="U17" s="12" t="s">
        <v>130</v>
      </c>
      <c r="V17" s="12" t="s">
        <v>132</v>
      </c>
      <c r="W17" s="12" t="s">
        <v>134</v>
      </c>
      <c r="X17" s="12" t="s">
        <v>136</v>
      </c>
      <c r="Y17" s="12" t="s">
        <v>138</v>
      </c>
      <c r="Z17" s="12" t="s">
        <v>140</v>
      </c>
      <c r="AA17" s="12"/>
      <c r="AE17" s="409"/>
      <c r="AK17" s="759"/>
      <c r="AL17" s="701">
        <v>1</v>
      </c>
      <c r="AM17" s="304">
        <f t="shared" ref="AM17:AW17" si="91">AL17+1</f>
        <v>2</v>
      </c>
      <c r="AN17" s="304">
        <f t="shared" si="91"/>
        <v>3</v>
      </c>
      <c r="AO17" s="304">
        <f t="shared" si="91"/>
        <v>4</v>
      </c>
      <c r="AP17" s="304">
        <f t="shared" si="91"/>
        <v>5</v>
      </c>
      <c r="AQ17" s="304">
        <f t="shared" si="91"/>
        <v>6</v>
      </c>
      <c r="AR17" s="304">
        <f t="shared" si="91"/>
        <v>7</v>
      </c>
      <c r="AS17" s="304">
        <f t="shared" si="91"/>
        <v>8</v>
      </c>
      <c r="AT17" s="304">
        <f t="shared" si="91"/>
        <v>9</v>
      </c>
      <c r="AU17" s="304">
        <f t="shared" si="91"/>
        <v>10</v>
      </c>
      <c r="AV17" s="304">
        <f t="shared" si="91"/>
        <v>11</v>
      </c>
      <c r="AW17" s="304">
        <f t="shared" si="91"/>
        <v>12</v>
      </c>
      <c r="AX17" s="314"/>
      <c r="AZ17" s="732" t="s">
        <v>3753</v>
      </c>
      <c r="BA17" s="731" t="e">
        <f>[1]!tedadrooz(BA3,BA4,BA12,BA10,BA7,BA8)</f>
        <v>#VALUE!</v>
      </c>
      <c r="BB17" s="113" t="e">
        <f>[1]!tedadrooz(BB3,BB4,BB12,BB10,BB7,BB8)</f>
        <v>#VALUE!</v>
      </c>
      <c r="BC17" s="113" t="e">
        <f>[1]!tedadrooz(BC3,BC4,BC12,BC10,BC7,BC8)</f>
        <v>#VALUE!</v>
      </c>
      <c r="BD17" s="113" t="e">
        <f>[1]!tedadrooz(BD3,BD4,BD12,BD10,BD7,BD8)</f>
        <v>#VALUE!</v>
      </c>
      <c r="BE17" s="113" t="e">
        <f>[1]!tedadrooz(BE3,BE4,BE12,BE10,BE7,BE8)</f>
        <v>#VALUE!</v>
      </c>
      <c r="BF17" s="113" t="e">
        <f>[1]!tedadrooz(BF3,BF4,BF12,BF10,BF7,BF8)</f>
        <v>#VALUE!</v>
      </c>
      <c r="BG17" s="113" t="e">
        <f>[1]!tedadrooz(BG3,BG4,BG12,BG10,BG7,BG8)</f>
        <v>#VALUE!</v>
      </c>
      <c r="BH17" s="113" t="e">
        <f>[1]!tedadrooz(BH3,BH4,BH12,BH10,BH7,BH8)</f>
        <v>#VALUE!</v>
      </c>
      <c r="BI17" s="113" t="e">
        <f>[1]!tedadrooz(BI3,BI4,BI12,BI10,BI7,BI8)</f>
        <v>#VALUE!</v>
      </c>
      <c r="BJ17" s="113" t="e">
        <f>[1]!tedadrooz(BJ3,BJ4,BJ12,BJ10,BJ7,BJ8)</f>
        <v>#VALUE!</v>
      </c>
      <c r="BK17" s="113" t="e">
        <f>[1]!tedadrooz(BK3,BK4,BK12,BK10,BK7,BK8)</f>
        <v>#VALUE!</v>
      </c>
      <c r="BL17" s="113" t="e">
        <f>[1]!tedadrooz(BL3,BL4,BL12,BL10,BL7,BL8)</f>
        <v>#VALUE!</v>
      </c>
      <c r="BM17" s="113" t="e">
        <f>[1]!tedadrooz(BM3,BM4,BM12,BM10,BM7,BM8)</f>
        <v>#VALUE!</v>
      </c>
      <c r="BN17" s="317" t="e">
        <f>SUM(BB17:BM17)</f>
        <v>#VALUE!</v>
      </c>
      <c r="CA17" s="486" t="s">
        <v>3</v>
      </c>
      <c r="CB17" s="487" t="e">
        <f>IF(CB20&lt;12,CB3,CB13)</f>
        <v>#VALUE!</v>
      </c>
      <c r="CC17" s="487"/>
      <c r="CD17" s="487"/>
      <c r="CE17" s="487"/>
      <c r="CF17" s="773"/>
      <c r="CG17" s="785" t="s">
        <v>3</v>
      </c>
      <c r="CH17" s="785">
        <f>IF(CH16&lt;=12,CH3,CH3+1)</f>
        <v>1442</v>
      </c>
      <c r="CI17" s="785"/>
      <c r="CJ17" s="785"/>
      <c r="CK17" s="785"/>
      <c r="CL17" s="786"/>
      <c r="CO17" s="759"/>
      <c r="CP17" s="759"/>
      <c r="CQ17" s="759"/>
      <c r="CR17" s="759"/>
      <c r="CS17" s="759"/>
      <c r="CT17" s="759"/>
      <c r="CU17" s="759"/>
      <c r="CV17" s="486" t="s">
        <v>3</v>
      </c>
      <c r="CW17" s="487">
        <f>IF(CW20&lt;12,CW3,CW13)</f>
        <v>1443</v>
      </c>
      <c r="CX17" s="487"/>
      <c r="CY17" s="487"/>
      <c r="CZ17" s="487"/>
      <c r="DA17" s="773"/>
      <c r="DC17" s="906"/>
      <c r="DD17" s="114">
        <f>DD16-1</f>
        <v>0</v>
      </c>
      <c r="DE17" s="115">
        <f>IF(DE16&gt;0,(DE16-1)*354,DE16*354)</f>
        <v>-3540</v>
      </c>
      <c r="DI17" t="s">
        <v>698</v>
      </c>
      <c r="DJ17" s="961" t="e">
        <f>[1]!taqq(1,1,[1]!roz(DJ12+1,DJ15,0,0),DJ13)</f>
        <v>#VALUE!</v>
      </c>
      <c r="DK17" s="962" t="e">
        <f>[1]!taqq(1,1,[1]!roz(DK12+1,DK15,0,0),DK13)</f>
        <v>#VALUE!</v>
      </c>
      <c r="DL17" s="962" t="e">
        <f>[1]!taqq(1,1,[1]!roz(DL12+1,DL15,0,0),DL13)</f>
        <v>#VALUE!</v>
      </c>
      <c r="DM17" s="962" t="e">
        <f>[1]!taqq(1,1,[1]!roz(DM12+1,DM15,0,0),DM13)</f>
        <v>#VALUE!</v>
      </c>
      <c r="DN17" s="962" t="e">
        <f>[1]!taqq(1,1,[1]!roz(DN12+1,DN15,0,0),DN13)</f>
        <v>#VALUE!</v>
      </c>
      <c r="DO17" s="962" t="e">
        <f>[1]!taqq(1,1,[1]!roz(DO12+1,DO15,0,0),DO13)</f>
        <v>#VALUE!</v>
      </c>
      <c r="DP17" s="962" t="e">
        <f>[1]!taqq(1,1,[1]!roz(DP12+1,DP15,0,0),DP13)</f>
        <v>#VALUE!</v>
      </c>
      <c r="DQ17" s="962" t="e">
        <f>[1]!taqq(1,1,[1]!roz(DQ12+1,DQ15,0,0),DQ13)</f>
        <v>#VALUE!</v>
      </c>
      <c r="DR17" s="962" t="e">
        <f>[1]!taqq(1,1,[1]!roz(DR12+1,DR15,0,0),DR13)</f>
        <v>#VALUE!</v>
      </c>
      <c r="DS17" s="962" t="e">
        <f>[1]!taqq(1,1,[1]!roz(DS12+1,DS15,0,0),DS13)</f>
        <v>#VALUE!</v>
      </c>
      <c r="DT17" s="962" t="e">
        <f>[1]!taqq(1,1,[1]!roz(DT12+1,DT15,0,0),DT13)</f>
        <v>#VALUE!</v>
      </c>
      <c r="DU17" s="962" t="e">
        <f>[1]!taqq(1,1,[1]!roz(DU12+1,DU15,0,0),DU13)</f>
        <v>#VALUE!</v>
      </c>
      <c r="DV17" s="962" t="e">
        <f>[1]!taqq(1,1,[1]!roz(DV12+1,DV15,0,0),DV13)</f>
        <v>#VALUE!</v>
      </c>
      <c r="DW17" s="962" t="e">
        <f>[1]!taqq(1,1,[1]!roz(DW12+1,DW15,0,0),DW13)</f>
        <v>#VALUE!</v>
      </c>
      <c r="DX17" s="962" t="e">
        <f>[1]!taqq(1,1,[1]!roz(DX12+1,DX15,0,0),DX13)</f>
        <v>#VALUE!</v>
      </c>
      <c r="DY17" s="962" t="e">
        <f>[1]!taqq(1,1,[1]!roz(DY12+1,DY15,0,0),DY13)</f>
        <v>#VALUE!</v>
      </c>
      <c r="DZ17" s="962" t="e">
        <f>[1]!taqq(1,1,[1]!roz(DZ12+1,DZ15,0,0),DZ13)</f>
        <v>#VALUE!</v>
      </c>
      <c r="EA17" s="962" t="e">
        <f>[1]!taqq(1,1,[1]!roz(EA12+1,EA15,0,0),EA13)</f>
        <v>#VALUE!</v>
      </c>
      <c r="EB17" s="962" t="e">
        <f>[1]!taqq(1,1,[1]!roz(EB12+1,EB15,0,0),EB13)</f>
        <v>#VALUE!</v>
      </c>
      <c r="EC17" s="962" t="e">
        <f>[1]!taqq(1,1,[1]!roz(EC12+1,EC15,0,0),EC13)</f>
        <v>#VALUE!</v>
      </c>
      <c r="ED17" s="962" t="e">
        <f>[1]!taqq(1,1,[1]!roz(ED12+1,ED15,0,0),ED13)</f>
        <v>#VALUE!</v>
      </c>
      <c r="EE17" s="962" t="e">
        <f>[1]!taqq(1,1,[1]!roz(EE12+1,EE15,0,0),EE13)</f>
        <v>#VALUE!</v>
      </c>
      <c r="EF17" s="962" t="e">
        <f>[1]!taqq(1,1,[1]!roz(EF12+1,EF15,0,0),EF13)</f>
        <v>#VALUE!</v>
      </c>
      <c r="EG17" s="962" t="e">
        <f>[1]!taqq(1,1,[1]!roz(EG12+1,EG15,0,0),EG13)</f>
        <v>#VALUE!</v>
      </c>
      <c r="EH17" s="962" t="e">
        <f>[1]!taqq(1,1,[1]!roz(EH12+1,EH15,0,0),EH13)</f>
        <v>#VALUE!</v>
      </c>
      <c r="EI17" s="962" t="e">
        <f>[1]!taqq(1,1,[1]!roz(EI12+1,EI15,0,0),EI13)</f>
        <v>#VALUE!</v>
      </c>
      <c r="EJ17" s="962" t="e">
        <f>[1]!taqq(1,1,[1]!roz(EJ12+1,EJ15,0,0),EJ13)</f>
        <v>#VALUE!</v>
      </c>
      <c r="EK17" s="962" t="e">
        <f>[1]!taqq(1,1,[1]!roz(EK12+1,EK15,0,0),EK13)</f>
        <v>#VALUE!</v>
      </c>
      <c r="EL17" s="962" t="e">
        <f>[1]!taqq(1,1,[1]!roz(EL12+1,EL15,0,0),EL13)</f>
        <v>#VALUE!</v>
      </c>
      <c r="EM17" s="962" t="e">
        <f>[1]!taqq(1,1,[1]!roz(EM12+1,EM15,0,0),EM13)</f>
        <v>#VALUE!</v>
      </c>
      <c r="EN17" s="962" t="e">
        <f>[1]!taqq(1,1,[1]!roz(EN12+1,EN15,0,0),EN13)</f>
        <v>#VALUE!</v>
      </c>
      <c r="EO17" s="962" t="e">
        <f>[1]!taqq(1,1,[1]!roz(EO12+1,EO15,0,0),EO13)</f>
        <v>#VALUE!</v>
      </c>
      <c r="EP17" s="962" t="e">
        <f>[1]!taqq(1,1,[1]!roz(EP12+1,EP15,0,0),EP13)</f>
        <v>#VALUE!</v>
      </c>
      <c r="EQ17" s="962" t="e">
        <f>[1]!taqq(1,1,[1]!roz(EQ12+1,EQ15,0,0),EQ13)</f>
        <v>#VALUE!</v>
      </c>
      <c r="ER17" s="962" t="e">
        <f>[1]!taqq(1,1,[1]!roz(ER12+1,ER15,0,0),ER13)</f>
        <v>#VALUE!</v>
      </c>
      <c r="ES17" s="962" t="e">
        <f>[1]!taqq(1,1,[1]!roz(ES12+1,ES15,0,0),ES13)</f>
        <v>#VALUE!</v>
      </c>
      <c r="ET17" s="962" t="e">
        <f>[1]!taqq(1,1,[1]!roz(ET12+1,ET15,0,0),ET13)</f>
        <v>#VALUE!</v>
      </c>
      <c r="EU17" s="962" t="e">
        <f>[1]!taqq(1,1,[1]!roz(EU12+1,EU15,0,0),EU13)</f>
        <v>#VALUE!</v>
      </c>
      <c r="EV17" s="962" t="e">
        <f>[1]!taqq(1,1,[1]!roz(EV12+1,EV15,0,0),EV13)</f>
        <v>#VALUE!</v>
      </c>
      <c r="EW17" s="962" t="e">
        <f>[1]!taqq(1,1,[1]!roz(EW12+1,EW15,0,0),EW13)</f>
        <v>#VALUE!</v>
      </c>
      <c r="EX17" s="962" t="e">
        <f>[1]!taqq(1,1,[1]!roz(EX12+1,EX15,0,0),EX13)</f>
        <v>#VALUE!</v>
      </c>
      <c r="EY17" s="962" t="e">
        <f>[1]!taqq(1,1,[1]!roz(EY12+1,EY15,0,0),EY13)</f>
        <v>#VALUE!</v>
      </c>
      <c r="EZ17" s="962" t="e">
        <f>[1]!taqq(1,1,[1]!roz(EZ12+1,EZ15,0,0),EZ13)</f>
        <v>#VALUE!</v>
      </c>
      <c r="FA17" s="962" t="e">
        <f>[1]!taqq(1,1,[1]!roz(FA12+1,FA15,0,0),FA13)</f>
        <v>#VALUE!</v>
      </c>
      <c r="FB17" s="962" t="e">
        <f>[1]!taqq(1,1,[1]!roz(FB12+1,FB15,0,0),FB13)</f>
        <v>#VALUE!</v>
      </c>
      <c r="FC17" s="962" t="e">
        <f>[1]!taqq(1,1,[1]!roz(FC12+1,FC15,0,0),FC13)</f>
        <v>#VALUE!</v>
      </c>
      <c r="FD17" s="962" t="e">
        <f>[1]!taqq(1,1,[1]!roz(FD12+1,FD15,0,0),FD13)</f>
        <v>#VALUE!</v>
      </c>
      <c r="FE17" s="962" t="e">
        <f>[1]!taqq(1,1,[1]!roz(FE12+1,FE15,0,0),FE13)</f>
        <v>#VALUE!</v>
      </c>
      <c r="FF17" s="962" t="e">
        <f>[1]!taqq(1,1,[1]!roz(FF12+1,FF15,0,0),FF13)</f>
        <v>#VALUE!</v>
      </c>
      <c r="FG17" s="962" t="e">
        <f>[1]!taqq(1,1,[1]!roz(FG12+1,FG15,0,0),FG13)</f>
        <v>#VALUE!</v>
      </c>
      <c r="FH17" s="962" t="e">
        <f>[1]!taqq(1,1,[1]!roz(FH12+1,FH15,0,0),FH13)</f>
        <v>#VALUE!</v>
      </c>
      <c r="FI17" s="962" t="e">
        <f>[1]!taqq(1,1,[1]!roz(FI12+1,FI15,0,0),FI13)</f>
        <v>#VALUE!</v>
      </c>
      <c r="FJ17" s="962" t="e">
        <f>[1]!taqq(1,1,[1]!roz(FJ12+1,FJ15,0,0),FJ13)</f>
        <v>#VALUE!</v>
      </c>
      <c r="FK17" s="962" t="e">
        <f>[1]!taqq(1,1,[1]!roz(FK12+1,FK15,0,0),FK13)</f>
        <v>#VALUE!</v>
      </c>
      <c r="FL17" s="962" t="e">
        <f>[1]!taqq(1,1,[1]!roz(FL12+1,FL15,0,0),FL13)</f>
        <v>#VALUE!</v>
      </c>
      <c r="FM17" s="962" t="e">
        <f>[1]!taqq(1,1,[1]!roz(FM12+1,FM15,0,0),FM13)</f>
        <v>#VALUE!</v>
      </c>
      <c r="FN17" s="962" t="e">
        <f>[1]!taqq(1,1,[1]!roz(FN12+1,FN15,0,0),FN13)</f>
        <v>#VALUE!</v>
      </c>
      <c r="FO17" s="962" t="e">
        <f>[1]!taqq(1,1,[1]!roz(FO12+1,FO15,0,0),FO13)</f>
        <v>#VALUE!</v>
      </c>
      <c r="FP17" s="962" t="e">
        <f>[1]!taqq(1,1,[1]!roz(FP12+1,FP15,0,0),FP13)</f>
        <v>#VALUE!</v>
      </c>
      <c r="FQ17" s="962" t="e">
        <f>[1]!taqq(1,1,[1]!roz(FQ12+1,FQ15,0,0),FQ13)</f>
        <v>#VALUE!</v>
      </c>
      <c r="FR17" s="962" t="e">
        <f>[1]!taqq(1,1,[1]!roz(FR12+1,FR15,0,0),FR13)</f>
        <v>#VALUE!</v>
      </c>
      <c r="FS17" s="962" t="e">
        <f>[1]!taqq(1,1,[1]!roz(FS12+1,FS15,0,0),FS13)</f>
        <v>#VALUE!</v>
      </c>
      <c r="FT17" s="962" t="e">
        <f>[1]!taqq(1,1,[1]!roz(FT12+1,FT15,0,0),FT13)</f>
        <v>#VALUE!</v>
      </c>
      <c r="FU17" s="962" t="e">
        <f>[1]!taqq(1,1,[1]!roz(FU12+1,FU15,0,0),FU13)</f>
        <v>#VALUE!</v>
      </c>
      <c r="FV17" s="962" t="e">
        <f>[1]!taqq(1,1,[1]!roz(FV12+1,FV15,0,0),FV13)</f>
        <v>#VALUE!</v>
      </c>
      <c r="FW17" s="962" t="e">
        <f>[1]!taqq(1,1,[1]!roz(FW12+1,FW15,0,0),FW13)</f>
        <v>#VALUE!</v>
      </c>
      <c r="FX17" s="962" t="e">
        <f>[1]!taqq(1,1,[1]!roz(FX12+1,FX15,0,0),FX13)</f>
        <v>#VALUE!</v>
      </c>
      <c r="FY17" s="962" t="e">
        <f>[1]!taqq(1,1,[1]!roz(FY12+1,FY15,0,0),FY13)</f>
        <v>#VALUE!</v>
      </c>
      <c r="FZ17" s="962" t="e">
        <f>[1]!taqq(1,1,[1]!roz(FZ12+1,FZ15,0,0),FZ13)</f>
        <v>#VALUE!</v>
      </c>
      <c r="GA17" s="962" t="e">
        <f>[1]!taqq(1,1,[1]!roz(GA12+1,GA15,0,0),GA13)</f>
        <v>#VALUE!</v>
      </c>
      <c r="GB17" s="962" t="e">
        <f>[1]!taqq(1,1,[1]!roz(GB12+1,GB15,0,0),GB13)</f>
        <v>#VALUE!</v>
      </c>
      <c r="GC17" s="962" t="e">
        <f>[1]!taqq(1,1,[1]!roz(GC12+1,GC15,0,0),GC13)</f>
        <v>#VALUE!</v>
      </c>
      <c r="GD17" s="962" t="e">
        <f>[1]!taqq(1,1,[1]!roz(GD12+1,GD15,0,0),GD13)</f>
        <v>#VALUE!</v>
      </c>
      <c r="GE17" s="962" t="e">
        <f>[1]!taqq(1,1,[1]!roz(GE12+1,GE15,0,0),GE13)</f>
        <v>#VALUE!</v>
      </c>
      <c r="GF17" s="962" t="e">
        <f>[1]!taqq(1,1,[1]!roz(GF12+1,GF15,0,0),GF13)</f>
        <v>#VALUE!</v>
      </c>
      <c r="GG17" s="962" t="e">
        <f>[1]!taqq(1,1,[1]!roz(GG12+1,GG15,0,0),GG13)</f>
        <v>#VALUE!</v>
      </c>
      <c r="GH17" s="962" t="e">
        <f>[1]!taqq(1,1,[1]!roz(GH12+1,GH15,0,0),GH13)</f>
        <v>#VALUE!</v>
      </c>
      <c r="GI17" s="962" t="e">
        <f>[1]!taqq(1,1,[1]!roz(GI12+1,GI15,0,0),GI13)</f>
        <v>#VALUE!</v>
      </c>
      <c r="GJ17" s="962" t="e">
        <f>[1]!taqq(1,1,[1]!roz(GJ12+1,GJ15,0,0),GJ13)</f>
        <v>#VALUE!</v>
      </c>
      <c r="GK17" s="962" t="e">
        <f>[1]!taqq(1,1,[1]!roz(GK12+1,GK15,0,0),GK13)</f>
        <v>#VALUE!</v>
      </c>
      <c r="GL17" s="962" t="e">
        <f>[1]!taqq(1,1,[1]!roz(GL12+1,GL15,0,0),GL13)</f>
        <v>#VALUE!</v>
      </c>
      <c r="GM17" s="962" t="e">
        <f>[1]!taqq(1,1,[1]!roz(GM12+1,GM15,0,0),GM13)</f>
        <v>#VALUE!</v>
      </c>
      <c r="GN17" s="962" t="e">
        <f>[1]!taqq(1,1,[1]!roz(GN12+1,GN15,0,0),GN13)</f>
        <v>#VALUE!</v>
      </c>
      <c r="GO17" s="962" t="e">
        <f>[1]!taqq(1,1,[1]!roz(GO12+1,GO15,0,0),GO13)</f>
        <v>#VALUE!</v>
      </c>
      <c r="GP17" s="962" t="e">
        <f>[1]!taqq(1,1,[1]!roz(GP12+1,GP15,0,0),GP13)</f>
        <v>#VALUE!</v>
      </c>
      <c r="GQ17" s="962" t="e">
        <f>[1]!taqq(1,1,[1]!roz(GQ12+1,GQ15,0,0),GQ13)</f>
        <v>#VALUE!</v>
      </c>
      <c r="GR17" s="962" t="e">
        <f>[1]!taqq(1,1,[1]!roz(GR12+1,GR15,0,0),GR13)</f>
        <v>#VALUE!</v>
      </c>
      <c r="GS17" s="962" t="e">
        <f>[1]!taqq(1,1,[1]!roz(GS12+1,GS15,0,0),GS13)</f>
        <v>#VALUE!</v>
      </c>
      <c r="GT17" s="962" t="e">
        <f>[1]!taqq(1,1,[1]!roz(GT12+1,GT15,0,0),GT13)</f>
        <v>#VALUE!</v>
      </c>
      <c r="GU17" s="962" t="e">
        <f>[1]!taqq(1,1,[1]!roz(GU12+1,GU15,0,0),GU13)</f>
        <v>#VALUE!</v>
      </c>
      <c r="GV17" s="962" t="e">
        <f>[1]!taqq(1,1,[1]!roz(GV12+1,GV15,0,0),GV13)</f>
        <v>#VALUE!</v>
      </c>
      <c r="GW17" s="962" t="e">
        <f>[1]!taqq(1,1,[1]!roz(GW12+1,GW15,0,0),GW13)</f>
        <v>#VALUE!</v>
      </c>
      <c r="GX17" s="962" t="e">
        <f>[1]!taqq(1,1,[1]!roz(GX12+1,GX15,0,0),GX13)</f>
        <v>#VALUE!</v>
      </c>
      <c r="GY17" s="962" t="e">
        <f>[1]!taqq(1,1,[1]!roz(GY12+1,GY15,0,0),GY13)</f>
        <v>#VALUE!</v>
      </c>
      <c r="GZ17" s="962" t="e">
        <f>[1]!taqq(1,1,[1]!roz(GZ12+1,GZ15,0,0),GZ13)</f>
        <v>#VALUE!</v>
      </c>
      <c r="HA17" s="962" t="e">
        <f>[1]!taqq(1,1,[1]!roz(HA12+1,HA15,0,0),HA13)</f>
        <v>#VALUE!</v>
      </c>
      <c r="HB17" s="962" t="e">
        <f>[1]!taqq(1,1,[1]!roz(HB12+1,HB15,0,0),HB13)</f>
        <v>#VALUE!</v>
      </c>
      <c r="HC17" s="962" t="e">
        <f>[1]!taqq(1,1,[1]!roz(HC12+1,HC15,0,0),HC13)</f>
        <v>#VALUE!</v>
      </c>
      <c r="HD17" s="962" t="e">
        <f>[1]!taqq(1,1,[1]!roz(HD12+1,HD15,0,0),HD13)</f>
        <v>#VALUE!</v>
      </c>
      <c r="HE17" s="962" t="e">
        <f>[1]!taqq(1,1,[1]!roz(HE12+1,HE15,0,0),HE13)</f>
        <v>#VALUE!</v>
      </c>
      <c r="HF17" s="962" t="e">
        <f>[1]!taqq(1,1,[1]!roz(HF12+1,HF15,0,0),HF13)</f>
        <v>#VALUE!</v>
      </c>
      <c r="HG17" s="962" t="e">
        <f>[1]!taqq(1,1,[1]!roz(HG12+1,HG15,0,0),HG13)</f>
        <v>#VALUE!</v>
      </c>
      <c r="HH17" s="962" t="e">
        <f>[1]!taqq(1,1,[1]!roz(HH12+1,HH15,0,0),HH13)</f>
        <v>#VALUE!</v>
      </c>
      <c r="HI17" s="962" t="e">
        <f>[1]!taqq(1,1,[1]!roz(HI12+1,HI15,0,0),HI13)</f>
        <v>#VALUE!</v>
      </c>
      <c r="HJ17" s="962" t="e">
        <f>[1]!taqq(1,1,[1]!roz(HJ12+1,HJ15,0,0),HJ13)</f>
        <v>#VALUE!</v>
      </c>
      <c r="HK17" s="962" t="e">
        <f>[1]!taqq(1,1,[1]!roz(HK12+1,HK15,0,0),HK13)</f>
        <v>#VALUE!</v>
      </c>
      <c r="HL17" s="962" t="e">
        <f>[1]!taqq(1,1,[1]!roz(HL12+1,HL15,0,0),HL13)</f>
        <v>#VALUE!</v>
      </c>
      <c r="HM17" s="962" t="e">
        <f>[1]!taqq(1,1,[1]!roz(HM12+1,HM15,0,0),HM13)</f>
        <v>#VALUE!</v>
      </c>
      <c r="HN17" s="962" t="e">
        <f>[1]!taqq(1,1,[1]!roz(HN12+1,HN15,0,0),HN13)</f>
        <v>#VALUE!</v>
      </c>
      <c r="HO17" s="962" t="e">
        <f>[1]!taqq(1,1,[1]!roz(HO12+1,HO15,0,0),HO13)</f>
        <v>#VALUE!</v>
      </c>
      <c r="HP17" s="962" t="e">
        <f>[1]!taqq(1,1,[1]!roz(HP12+1,HP15,0,0),HP13)</f>
        <v>#VALUE!</v>
      </c>
      <c r="HQ17" s="962" t="e">
        <f>[1]!taqq(1,1,[1]!roz(HQ12+1,HQ15,0,0),HQ13)</f>
        <v>#VALUE!</v>
      </c>
      <c r="HR17" s="962" t="e">
        <f>[1]!taqq(1,1,[1]!roz(HR12+1,HR15,0,0),HR13)</f>
        <v>#VALUE!</v>
      </c>
      <c r="HS17" s="962" t="e">
        <f>[1]!taqq(1,1,[1]!roz(HS12+1,HS15,0,0),HS13)</f>
        <v>#VALUE!</v>
      </c>
      <c r="HT17" s="962" t="e">
        <f>[1]!taqq(1,1,[1]!roz(HT12+1,HT15,0,0),HT13)</f>
        <v>#VALUE!</v>
      </c>
      <c r="HU17" s="962" t="e">
        <f>[1]!taqq(1,1,[1]!roz(HU12+1,HU15,0,0),HU13)</f>
        <v>#VALUE!</v>
      </c>
      <c r="HV17" s="962" t="e">
        <f>[1]!taqq(1,1,[1]!roz(HV12+1,HV15,0,0),HV13)</f>
        <v>#VALUE!</v>
      </c>
      <c r="HW17" s="962" t="e">
        <f>[1]!taqq(1,1,[1]!roz(HW12+1,HW15,0,0),HW13)</f>
        <v>#VALUE!</v>
      </c>
      <c r="HX17" s="962" t="e">
        <f>[1]!taqq(1,1,[1]!roz(HX12+1,HX15,0,0),HX13)</f>
        <v>#VALUE!</v>
      </c>
      <c r="HY17" s="962" t="e">
        <f>[1]!taqq(1,1,[1]!roz(HY12+1,HY15,0,0),HY13)</f>
        <v>#VALUE!</v>
      </c>
      <c r="HZ17" s="962" t="e">
        <f>[1]!taqq(1,1,[1]!roz(HZ12+1,HZ15,0,0),HZ13)</f>
        <v>#VALUE!</v>
      </c>
      <c r="IA17" s="962" t="e">
        <f>[1]!taqq(1,1,[1]!roz(IA12+1,IA15,0,0),IA13)</f>
        <v>#VALUE!</v>
      </c>
      <c r="IB17" s="962" t="e">
        <f>[1]!taqq(1,1,[1]!roz(IB12+1,IB15,0,0),IB13)</f>
        <v>#VALUE!</v>
      </c>
      <c r="IC17" s="962" t="e">
        <f>[1]!taqq(1,1,[1]!roz(IC12+1,IC15,0,0),IC13)</f>
        <v>#VALUE!</v>
      </c>
      <c r="ID17" s="962" t="e">
        <f>[1]!taqq(1,1,[1]!roz(ID12+1,ID15,0,0),ID13)</f>
        <v>#VALUE!</v>
      </c>
      <c r="IE17" s="962" t="e">
        <f>[1]!taqq(1,1,[1]!roz(IE12+1,IE15,0,0),IE13)</f>
        <v>#VALUE!</v>
      </c>
      <c r="IF17" s="962" t="e">
        <f>[1]!taqq(1,1,[1]!roz(IF12+1,IF15,0,0),IF13)</f>
        <v>#VALUE!</v>
      </c>
      <c r="IG17" s="962" t="e">
        <f>[1]!taqq(1,1,[1]!roz(IG12+1,IG15,0,0),IG13)</f>
        <v>#VALUE!</v>
      </c>
      <c r="IH17" s="962" t="e">
        <f>[1]!taqq(1,1,[1]!roz(IH12+1,IH15,0,0),IH13)</f>
        <v>#VALUE!</v>
      </c>
      <c r="II17" s="962" t="e">
        <f>[1]!taqq(1,1,[1]!roz(II12+1,II15,0,0),II13)</f>
        <v>#VALUE!</v>
      </c>
      <c r="IJ17" s="962" t="e">
        <f>[1]!taqq(1,1,[1]!roz(IJ12+1,IJ15,0,0),IJ13)</f>
        <v>#VALUE!</v>
      </c>
      <c r="IK17" s="962" t="e">
        <f>[1]!taqq(1,1,[1]!roz(IK12+1,IK15,0,0),IK13)</f>
        <v>#VALUE!</v>
      </c>
      <c r="IL17" s="962" t="e">
        <f>[1]!taqq(1,1,[1]!roz(IL12+1,IL15,0,0),IL13)</f>
        <v>#VALUE!</v>
      </c>
      <c r="IM17" s="962" t="e">
        <f>[1]!taqq(1,1,[1]!roz(IM12+1,IM15,0,0),IM13)</f>
        <v>#VALUE!</v>
      </c>
      <c r="IN17" s="962" t="e">
        <f>[1]!taqq(1,1,[1]!roz(IN12+1,IN15,0,0),IN13)</f>
        <v>#VALUE!</v>
      </c>
      <c r="IO17" s="962" t="e">
        <f>[1]!taqq(1,1,[1]!roz(IO12+1,IO15,0,0),IO13)</f>
        <v>#VALUE!</v>
      </c>
      <c r="IP17" s="962" t="e">
        <f>[1]!taqq(1,1,[1]!roz(IP12+1,IP15,0,0),IP13)</f>
        <v>#VALUE!</v>
      </c>
      <c r="IQ17" s="962" t="e">
        <f>[1]!taqq(1,1,[1]!roz(IQ12+1,IQ15,0,0),IQ13)</f>
        <v>#VALUE!</v>
      </c>
      <c r="IR17" s="962" t="e">
        <f>[1]!taqq(1,1,[1]!roz(IR12+1,IR15,0,0),IR13)</f>
        <v>#VALUE!</v>
      </c>
      <c r="IS17" s="962" t="e">
        <f>[1]!taqq(1,1,[1]!roz(IS12+1,IS15,0,0),IS13)</f>
        <v>#VALUE!</v>
      </c>
      <c r="IT17" s="962" t="e">
        <f>[1]!taqq(1,1,[1]!roz(IT12+1,IT15,0,0),IT13)</f>
        <v>#VALUE!</v>
      </c>
      <c r="IU17" s="962" t="e">
        <f>[1]!taqq(1,1,[1]!roz(IU12+1,IU15,0,0),IU13)</f>
        <v>#VALUE!</v>
      </c>
      <c r="IV17" s="962" t="e">
        <f>[1]!taqq(1,1,[1]!roz(IV12+1,IV15,0,0),IV13)</f>
        <v>#VALUE!</v>
      </c>
      <c r="IW17" s="962" t="e">
        <f>[1]!taqq(1,1,[1]!roz(IW12+1,IW15,0,0),IW13)</f>
        <v>#VALUE!</v>
      </c>
      <c r="IX17" s="962" t="e">
        <f>[1]!taqq(1,1,[1]!roz(IX12+1,IX15,0,0),IX13)</f>
        <v>#VALUE!</v>
      </c>
      <c r="IY17" s="962" t="e">
        <f>[1]!taqq(1,1,[1]!roz(IY12+1,IY15,0,0),IY13)</f>
        <v>#VALUE!</v>
      </c>
      <c r="IZ17" s="962" t="e">
        <f>[1]!taqq(1,1,[1]!roz(IZ12+1,IZ15,0,0),IZ13)</f>
        <v>#VALUE!</v>
      </c>
      <c r="JA17" s="962" t="e">
        <f>[1]!taqq(1,1,[1]!roz(JA12+1,JA15,0,0),JA13)</f>
        <v>#VALUE!</v>
      </c>
      <c r="JB17" s="962" t="e">
        <f>[1]!taqq(1,1,[1]!roz(JB12+1,JB15,0,0),JB13)</f>
        <v>#VALUE!</v>
      </c>
      <c r="JC17" s="962" t="e">
        <f>[1]!taqq(1,1,[1]!roz(JC12+1,JC15,0,0),JC13)</f>
        <v>#VALUE!</v>
      </c>
      <c r="JD17" s="962" t="e">
        <f>[1]!taqq(1,1,[1]!roz(JD12+1,JD15,0,0),JD13)</f>
        <v>#VALUE!</v>
      </c>
      <c r="JE17" s="962" t="e">
        <f>[1]!taqq(1,1,[1]!roz(JE12+1,JE15,0,0),JE13)</f>
        <v>#VALUE!</v>
      </c>
      <c r="JF17" s="962" t="e">
        <f>[1]!taqq(1,1,[1]!roz(JF12+1,JF15,0,0),JF13)</f>
        <v>#VALUE!</v>
      </c>
      <c r="JG17" s="962" t="e">
        <f>[1]!taqq(1,1,[1]!roz(JG12+1,JG15,0,0),JG13)</f>
        <v>#VALUE!</v>
      </c>
      <c r="JH17" s="962" t="e">
        <f>[1]!taqq(1,1,[1]!roz(JH12+1,JH15,0,0),JH13)</f>
        <v>#VALUE!</v>
      </c>
      <c r="JI17" s="962" t="e">
        <f>[1]!taqq(1,1,[1]!roz(JI12+1,JI15,0,0),JI13)</f>
        <v>#VALUE!</v>
      </c>
      <c r="JJ17" s="962" t="e">
        <f>[1]!taqq(1,1,[1]!roz(JJ12+1,JJ15,0,0),JJ13)</f>
        <v>#VALUE!</v>
      </c>
      <c r="JK17" s="962" t="e">
        <f>[1]!taqq(1,1,[1]!roz(JK12+1,JK15,0,0),JK13)</f>
        <v>#VALUE!</v>
      </c>
      <c r="JL17" s="962" t="e">
        <f>[1]!taqq(1,1,[1]!roz(JL12+1,JL15,0,0),JL13)</f>
        <v>#VALUE!</v>
      </c>
      <c r="JM17" s="962" t="e">
        <f>[1]!taqq(1,1,[1]!roz(JM12+1,JM15,0,0),JM13)</f>
        <v>#VALUE!</v>
      </c>
      <c r="JN17" s="962" t="e">
        <f>[1]!taqq(1,1,[1]!roz(JN12+1,JN15,0,0),JN13)</f>
        <v>#VALUE!</v>
      </c>
      <c r="JO17" s="962" t="e">
        <f>[1]!taqq(1,1,[1]!roz(JO12+1,JO15,0,0),JO13)</f>
        <v>#VALUE!</v>
      </c>
      <c r="JP17" s="962" t="e">
        <f>[1]!taqq(1,1,[1]!roz(JP12+1,JP15,0,0),JP13)</f>
        <v>#VALUE!</v>
      </c>
      <c r="JQ17" s="962" t="e">
        <f>[1]!taqq(1,1,[1]!roz(JQ12+1,JQ15,0,0),JQ13)</f>
        <v>#VALUE!</v>
      </c>
      <c r="JR17" s="962" t="e">
        <f>[1]!taqq(1,1,[1]!roz(JR12+1,JR15,0,0),JR13)</f>
        <v>#VALUE!</v>
      </c>
      <c r="JS17" s="962" t="e">
        <f>[1]!taqq(1,1,[1]!roz(JS12+1,JS15,0,0),JS13)</f>
        <v>#VALUE!</v>
      </c>
      <c r="JT17" s="962" t="e">
        <f>[1]!taqq(1,1,[1]!roz(JT12+1,JT15,0,0),JT13)</f>
        <v>#VALUE!</v>
      </c>
      <c r="JU17" s="962" t="e">
        <f>[1]!taqq(1,1,[1]!roz(JU12+1,JU15,0,0),JU13)</f>
        <v>#VALUE!</v>
      </c>
      <c r="JV17" s="962" t="e">
        <f>[1]!taqq(1,1,[1]!roz(JV12+1,JV15,0,0),JV13)</f>
        <v>#VALUE!</v>
      </c>
      <c r="JW17" s="962" t="e">
        <f>[1]!taqq(1,1,[1]!roz(JW12+1,JW15,0,0),JW13)</f>
        <v>#VALUE!</v>
      </c>
      <c r="JX17" s="962" t="e">
        <f>[1]!taqq(1,1,[1]!roz(JX12+1,JX15,0,0),JX13)</f>
        <v>#VALUE!</v>
      </c>
      <c r="JY17" s="962" t="e">
        <f>[1]!taqq(1,1,[1]!roz(JY12+1,JY15,0,0),JY13)</f>
        <v>#VALUE!</v>
      </c>
      <c r="JZ17" s="962" t="e">
        <f>[1]!taqq(1,1,[1]!roz(JZ12+1,JZ15,0,0),JZ13)</f>
        <v>#VALUE!</v>
      </c>
      <c r="KA17" s="962" t="e">
        <f>[1]!taqq(1,1,[1]!roz(KA12+1,KA15,0,0),KA13)</f>
        <v>#VALUE!</v>
      </c>
      <c r="KB17" s="962" t="e">
        <f>[1]!taqq(1,1,[1]!roz(KB12+1,KB15,0,0),KB13)</f>
        <v>#VALUE!</v>
      </c>
      <c r="KC17" s="962" t="e">
        <f>[1]!taqq(1,1,[1]!roz(KC12+1,KC15,0,0),KC13)</f>
        <v>#VALUE!</v>
      </c>
      <c r="KD17" s="962" t="e">
        <f>[1]!taqq(1,1,[1]!roz(KD12+1,KD15,0,0),KD13)</f>
        <v>#VALUE!</v>
      </c>
      <c r="KE17" s="962" t="e">
        <f>[1]!taqq(1,1,[1]!roz(KE12+1,KE15,0,0),KE13)</f>
        <v>#VALUE!</v>
      </c>
      <c r="KF17" s="962" t="e">
        <f>[1]!taqq(1,1,[1]!roz(KF12+1,KF15,0,0),KF13)</f>
        <v>#VALUE!</v>
      </c>
      <c r="KG17" s="962" t="e">
        <f>[1]!taqq(1,1,[1]!roz(KG12+1,KG15,0,0),KG13)</f>
        <v>#VALUE!</v>
      </c>
      <c r="KH17" s="962" t="e">
        <f>[1]!taqq(1,1,[1]!roz(KH12+1,KH15,0,0),KH13)</f>
        <v>#VALUE!</v>
      </c>
      <c r="KI17" s="962" t="e">
        <f>[1]!taqq(1,1,[1]!roz(KI12+1,KI15,0,0),KI13)</f>
        <v>#VALUE!</v>
      </c>
      <c r="KJ17" s="962" t="e">
        <f>[1]!taqq(1,1,[1]!roz(KJ12+1,KJ15,0,0),KJ13)</f>
        <v>#VALUE!</v>
      </c>
      <c r="KK17" s="962" t="e">
        <f>[1]!taqq(1,1,[1]!roz(KK12+1,KK15,0,0),KK13)</f>
        <v>#VALUE!</v>
      </c>
      <c r="KL17" s="962" t="e">
        <f>[1]!taqq(1,1,[1]!roz(KL12+1,KL15,0,0),KL13)</f>
        <v>#VALUE!</v>
      </c>
      <c r="KM17" s="962" t="e">
        <f>[1]!taqq(1,1,[1]!roz(KM12+1,KM15,0,0),KM13)</f>
        <v>#VALUE!</v>
      </c>
      <c r="KN17" s="962" t="e">
        <f>[1]!taqq(1,1,[1]!roz(KN12+1,KN15,0,0),KN13)</f>
        <v>#VALUE!</v>
      </c>
      <c r="KO17" s="962" t="e">
        <f>[1]!taqq(1,1,[1]!roz(KO12+1,KO15,0,0),KO13)</f>
        <v>#VALUE!</v>
      </c>
      <c r="KP17" s="962" t="e">
        <f>[1]!taqq(1,1,[1]!roz(KP12+1,KP15,0,0),KP13)</f>
        <v>#VALUE!</v>
      </c>
      <c r="KQ17" s="962" t="e">
        <f>[1]!taqq(1,1,[1]!roz(KQ12+1,KQ15,0,0),KQ13)</f>
        <v>#VALUE!</v>
      </c>
      <c r="KR17" s="962" t="e">
        <f>[1]!taqq(1,1,[1]!roz(KR12+1,KR15,0,0),KR13)</f>
        <v>#VALUE!</v>
      </c>
      <c r="KS17" s="962" t="e">
        <f>[1]!taqq(1,1,[1]!roz(KS12+1,KS15,0,0),KS13)</f>
        <v>#VALUE!</v>
      </c>
      <c r="KT17" s="962" t="e">
        <f>[1]!taqq(1,1,[1]!roz(KT12+1,KT15,0,0),KT13)</f>
        <v>#VALUE!</v>
      </c>
      <c r="KU17" s="962" t="e">
        <f>[1]!taqq(1,1,[1]!roz(KU12+1,KU15,0,0),KU13)</f>
        <v>#VALUE!</v>
      </c>
      <c r="KV17" s="962" t="e">
        <f>[1]!taqq(1,1,[1]!roz(KV12+1,KV15,0,0),KV13)</f>
        <v>#VALUE!</v>
      </c>
      <c r="KW17" s="962" t="e">
        <f>[1]!taqq(1,1,[1]!roz(KW12+1,KW15,0,0),KW13)</f>
        <v>#VALUE!</v>
      </c>
      <c r="KX17" s="962" t="e">
        <f>[1]!taqq(1,1,[1]!roz(KX12+1,KX15,0,0),KX13)</f>
        <v>#VALUE!</v>
      </c>
      <c r="KY17" s="962" t="e">
        <f>[1]!taqq(1,1,[1]!roz(KY12+1,KY15,0,0),KY13)</f>
        <v>#VALUE!</v>
      </c>
      <c r="KZ17" s="962" t="e">
        <f>[1]!taqq(1,1,[1]!roz(KZ12+1,KZ15,0,0),KZ13)</f>
        <v>#VALUE!</v>
      </c>
      <c r="LA17" s="962" t="e">
        <f>[1]!taqq(1,1,[1]!roz(LA12+1,LA15,0,0),LA13)</f>
        <v>#VALUE!</v>
      </c>
      <c r="LB17" s="962" t="e">
        <f>[1]!taqq(1,1,[1]!roz(LB12+1,LB15,0,0),LB13)</f>
        <v>#VALUE!</v>
      </c>
      <c r="LC17" s="962" t="e">
        <f>[1]!taqq(1,1,[1]!roz(LC12+1,LC15,0,0),LC13)</f>
        <v>#VALUE!</v>
      </c>
      <c r="LD17" s="962" t="e">
        <f>[1]!taqq(1,1,[1]!roz(LD12+1,LD15,0,0),LD13)</f>
        <v>#VALUE!</v>
      </c>
      <c r="LE17" s="962" t="e">
        <f>[1]!taqq(1,1,[1]!roz(LE12+1,LE15,0,0),LE13)</f>
        <v>#VALUE!</v>
      </c>
      <c r="LF17" s="962" t="e">
        <f>[1]!taqq(1,1,[1]!roz(LF12+1,LF15,0,0),LF13)</f>
        <v>#VALUE!</v>
      </c>
      <c r="LG17" s="962" t="e">
        <f>[1]!taqq(1,1,[1]!roz(LG12+1,LG15,0,0),LG13)</f>
        <v>#VALUE!</v>
      </c>
      <c r="LH17" s="962" t="e">
        <f>[1]!taqq(1,1,[1]!roz(LH12+1,LH15,0,0),LH13)</f>
        <v>#VALUE!</v>
      </c>
      <c r="LI17" s="962" t="e">
        <f>[1]!taqq(1,1,[1]!roz(LI12+1,LI15,0,0),LI13)</f>
        <v>#VALUE!</v>
      </c>
      <c r="LJ17" s="962" t="e">
        <f>[1]!taqq(1,1,[1]!roz(LJ12+1,LJ15,0,0),LJ13)</f>
        <v>#VALUE!</v>
      </c>
      <c r="LK17" s="962" t="e">
        <f>[1]!taqq(1,1,[1]!roz(LK12+1,LK15,0,0),LK13)</f>
        <v>#VALUE!</v>
      </c>
      <c r="LL17" s="962" t="e">
        <f>[1]!taqq(1,1,[1]!roz(LL12+1,LL15,0,0),LL13)</f>
        <v>#VALUE!</v>
      </c>
      <c r="LM17" s="962" t="e">
        <f>[1]!taqq(1,1,[1]!roz(LM12+1,LM15,0,0),LM13)</f>
        <v>#VALUE!</v>
      </c>
      <c r="LN17" s="962" t="e">
        <f>[1]!taqq(1,1,[1]!roz(LN12+1,LN15,0,0),LN13)</f>
        <v>#VALUE!</v>
      </c>
      <c r="LO17" s="962" t="e">
        <f>[1]!taqq(1,1,[1]!roz(LO12+1,LO15,0,0),LO13)</f>
        <v>#VALUE!</v>
      </c>
      <c r="LP17" s="962" t="e">
        <f>[1]!taqq(1,1,[1]!roz(LP12+1,LP15,0,0),LP13)</f>
        <v>#VALUE!</v>
      </c>
      <c r="LQ17" s="962" t="e">
        <f>[1]!taqq(1,1,[1]!roz(LQ12+1,LQ15,0,0),LQ13)</f>
        <v>#VALUE!</v>
      </c>
      <c r="LR17" s="962" t="e">
        <f>[1]!taqq(1,1,[1]!roz(LR12+1,LR15,0,0),LR13)</f>
        <v>#VALUE!</v>
      </c>
      <c r="LS17" s="962" t="e">
        <f>[1]!taqq(1,1,[1]!roz(LS12+1,LS15,0,0),LS13)</f>
        <v>#VALUE!</v>
      </c>
      <c r="LT17" s="962" t="e">
        <f>[1]!taqq(1,1,[1]!roz(LT12+1,LT15,0,0),LT13)</f>
        <v>#VALUE!</v>
      </c>
      <c r="LU17" s="962" t="e">
        <f>[1]!taqq(1,1,[1]!roz(LU12+1,LU15,0,0),LU13)</f>
        <v>#VALUE!</v>
      </c>
      <c r="LV17" s="962" t="e">
        <f>[1]!taqq(1,1,[1]!roz(LV12+1,LV15,0,0),LV13)</f>
        <v>#VALUE!</v>
      </c>
      <c r="LW17" s="962" t="e">
        <f>[1]!taqq(1,1,[1]!roz(LW12+1,LW15,0,0),LW13)</f>
        <v>#VALUE!</v>
      </c>
      <c r="LX17" s="962" t="e">
        <f>[1]!taqq(1,1,[1]!roz(LX12+1,LX15,0,0),LX13)</f>
        <v>#VALUE!</v>
      </c>
      <c r="LY17" s="962" t="e">
        <f>[1]!taqq(1,1,[1]!roz(LY12+1,LY15,0,0),LY13)</f>
        <v>#VALUE!</v>
      </c>
      <c r="LZ17" s="962" t="e">
        <f>[1]!taqq(1,1,[1]!roz(LZ12+1,LZ15,0,0),LZ13)</f>
        <v>#VALUE!</v>
      </c>
      <c r="MA17" s="962" t="e">
        <f>[1]!taqq(1,1,[1]!roz(MA12+1,MA15,0,0),MA13)</f>
        <v>#VALUE!</v>
      </c>
      <c r="MB17" s="962" t="e">
        <f>[1]!taqq(1,1,[1]!roz(MB12+1,MB15,0,0),MB13)</f>
        <v>#VALUE!</v>
      </c>
      <c r="MC17" s="962" t="e">
        <f>[1]!taqq(1,1,[1]!roz(MC12+1,MC15,0,0),MC13)</f>
        <v>#VALUE!</v>
      </c>
      <c r="MD17" s="962" t="e">
        <f>[1]!taqq(1,1,[1]!roz(MD12+1,MD15,0,0),MD13)</f>
        <v>#VALUE!</v>
      </c>
      <c r="ME17" s="962" t="e">
        <f>[1]!taqq(1,1,[1]!roz(ME12+1,ME15,0,0),ME13)</f>
        <v>#VALUE!</v>
      </c>
      <c r="MF17" s="962" t="e">
        <f>[1]!taqq(1,1,[1]!roz(MF12+1,MF15,0,0),MF13)</f>
        <v>#VALUE!</v>
      </c>
      <c r="MG17" s="962" t="e">
        <f>[1]!taqq(1,1,[1]!roz(MG12+1,MG15,0,0),MG13)</f>
        <v>#VALUE!</v>
      </c>
      <c r="MH17" s="962" t="e">
        <f>[1]!taqq(1,1,[1]!roz(MH12+1,MH15,0,0),MH13)</f>
        <v>#VALUE!</v>
      </c>
      <c r="MI17" s="962" t="e">
        <f>[1]!taqq(1,1,[1]!roz(MI12+1,MI15,0,0),MI13)</f>
        <v>#VALUE!</v>
      </c>
      <c r="MJ17" s="962" t="e">
        <f>[1]!taqq(1,1,[1]!roz(MJ12+1,MJ15,0,0),MJ13)</f>
        <v>#VALUE!</v>
      </c>
      <c r="MK17" s="962" t="e">
        <f>[1]!taqq(1,1,[1]!roz(MK12+1,MK15,0,0),MK13)</f>
        <v>#VALUE!</v>
      </c>
      <c r="ML17" s="962" t="e">
        <f>[1]!taqq(1,1,[1]!roz(ML12+1,ML15,0,0),ML13)</f>
        <v>#VALUE!</v>
      </c>
      <c r="MM17" s="962" t="e">
        <f>[1]!taqq(1,1,[1]!roz(MM12+1,MM15,0,0),MM13)</f>
        <v>#VALUE!</v>
      </c>
      <c r="MN17" s="962" t="e">
        <f>[1]!taqq(1,1,[1]!roz(MN12+1,MN15,0,0),MN13)</f>
        <v>#VALUE!</v>
      </c>
      <c r="MO17" s="962" t="e">
        <f>[1]!taqq(1,1,[1]!roz(MO12+1,MO15,0,0),MO13)</f>
        <v>#VALUE!</v>
      </c>
      <c r="MP17" s="962" t="e">
        <f>[1]!taqq(1,1,[1]!roz(MP12+1,MP15,0,0),MP13)</f>
        <v>#VALUE!</v>
      </c>
      <c r="MQ17" s="962" t="e">
        <f>[1]!taqq(1,1,[1]!roz(MQ12+1,MQ15,0,0),MQ13)</f>
        <v>#VALUE!</v>
      </c>
      <c r="MR17" s="962" t="e">
        <f>[1]!taqq(1,1,[1]!roz(MR12+1,MR15,0,0),MR13)</f>
        <v>#VALUE!</v>
      </c>
      <c r="MS17" s="962" t="e">
        <f>[1]!taqq(1,1,[1]!roz(MS12+1,MS15,0,0),MS13)</f>
        <v>#VALUE!</v>
      </c>
      <c r="MT17" s="962" t="e">
        <f>[1]!taqq(1,1,[1]!roz(MT12+1,MT15,0,0),MT13)</f>
        <v>#VALUE!</v>
      </c>
      <c r="MU17" s="962" t="e">
        <f>[1]!taqq(1,1,[1]!roz(MU12+1,MU15,0,0),MU13)</f>
        <v>#VALUE!</v>
      </c>
      <c r="MV17" s="962" t="e">
        <f>[1]!taqq(1,1,[1]!roz(MV12+1,MV15,0,0),MV13)</f>
        <v>#VALUE!</v>
      </c>
      <c r="MW17" s="962" t="e">
        <f>[1]!taqq(1,1,[1]!roz(MW12+1,MW15,0,0),MW13)</f>
        <v>#VALUE!</v>
      </c>
      <c r="MX17" s="962" t="e">
        <f>[1]!taqq(1,1,[1]!roz(MX12+1,MX15,0,0),MX13)</f>
        <v>#VALUE!</v>
      </c>
      <c r="MY17" s="962" t="e">
        <f>[1]!taqq(1,1,[1]!roz(MY12+1,MY15,0,0),MY13)</f>
        <v>#VALUE!</v>
      </c>
      <c r="MZ17" s="962" t="e">
        <f>[1]!taqq(1,1,[1]!roz(MZ12+1,MZ15,0,0),MZ13)</f>
        <v>#VALUE!</v>
      </c>
      <c r="NA17" s="962" t="e">
        <f>[1]!taqq(1,1,[1]!roz(NA12+1,NA15,0,0),NA13)</f>
        <v>#VALUE!</v>
      </c>
      <c r="NB17" s="962" t="e">
        <f>[1]!taqq(1,1,[1]!roz(NB12+1,NB15,0,0),NB13)</f>
        <v>#VALUE!</v>
      </c>
      <c r="NC17" s="962" t="e">
        <f>[1]!taqq(1,1,[1]!roz(NC12+1,NC15,0,0),NC13)</f>
        <v>#VALUE!</v>
      </c>
      <c r="ND17" s="962" t="e">
        <f>[1]!taqq(1,1,[1]!roz(ND12+1,ND15,0,0),ND13)</f>
        <v>#VALUE!</v>
      </c>
      <c r="NE17" s="962" t="e">
        <f>[1]!taqq(1,1,[1]!roz(NE12+1,NE15,0,0),NE13)</f>
        <v>#VALUE!</v>
      </c>
      <c r="NF17" s="962" t="e">
        <f>[1]!taqq(1,1,[1]!roz(NF12+1,NF15,0,0),NF13)</f>
        <v>#VALUE!</v>
      </c>
      <c r="NG17" s="962" t="e">
        <f>[1]!taqq(1,1,[1]!roz(NG12+1,NG15,0,0),NG13)</f>
        <v>#VALUE!</v>
      </c>
      <c r="NH17" s="962" t="e">
        <f>[1]!taqq(1,1,[1]!roz(NH12+1,NH15,0,0),NH13)</f>
        <v>#VALUE!</v>
      </c>
      <c r="NI17" s="962" t="e">
        <f>[1]!taqq(1,1,[1]!roz(NI12+1,NI15,0,0),NI13)</f>
        <v>#VALUE!</v>
      </c>
      <c r="NJ17" s="962" t="e">
        <f>[1]!taqq(1,1,[1]!roz(NJ12+1,NJ15,0,0),NJ13)</f>
        <v>#VALUE!</v>
      </c>
      <c r="NK17" s="962" t="e">
        <f>[1]!taqq(1,1,[1]!roz(NK12+1,NK15,0,0),NK13)</f>
        <v>#VALUE!</v>
      </c>
      <c r="NL17" s="962" t="e">
        <f>[1]!taqq(1,1,[1]!roz(NL12+1,NL15,0,0),NL13)</f>
        <v>#VALUE!</v>
      </c>
      <c r="NM17" s="962" t="e">
        <f>[1]!taqq(1,1,[1]!roz(NM12+1,NM15,0,0),NM13)</f>
        <v>#VALUE!</v>
      </c>
      <c r="NN17" s="962" t="e">
        <f>[1]!taqq(1,1,[1]!roz(NN12+1,NN15,0,0),NN13)</f>
        <v>#VALUE!</v>
      </c>
      <c r="NO17" s="962" t="e">
        <f>[1]!taqq(1,1,[1]!roz(NO12+1,NO15,0,0),NO13)</f>
        <v>#VALUE!</v>
      </c>
      <c r="NP17" s="962" t="e">
        <f>[1]!taqq(1,1,[1]!roz(NP12+1,NP15,0,0),NP13)</f>
        <v>#VALUE!</v>
      </c>
      <c r="NQ17" s="962" t="e">
        <f>[1]!taqq(1,1,[1]!roz(NQ12+1,NQ15,0,0),NQ13)</f>
        <v>#VALUE!</v>
      </c>
      <c r="NR17" s="962" t="e">
        <f>[1]!taqq(1,1,[1]!roz(NR12+1,NR15,0,0),NR13)</f>
        <v>#VALUE!</v>
      </c>
      <c r="NS17" s="962" t="e">
        <f>[1]!taqq(1,1,[1]!roz(NS12+1,NS15,0,0),NS13)</f>
        <v>#VALUE!</v>
      </c>
      <c r="NT17" s="962" t="e">
        <f>[1]!taqq(1,1,[1]!roz(NT12+1,NT15,0,0),NT13)</f>
        <v>#VALUE!</v>
      </c>
      <c r="NU17" s="962" t="e">
        <f>[1]!taqq(1,1,[1]!roz(NU12+1,NU15,0,0),NU13)</f>
        <v>#VALUE!</v>
      </c>
      <c r="NV17" s="962" t="e">
        <f>[1]!taqq(1,1,[1]!roz(NV12+1,NV15,0,0),NV13)</f>
        <v>#VALUE!</v>
      </c>
      <c r="NW17" s="962" t="e">
        <f>[1]!taqq(1,1,[1]!roz(NW12+1,NW15,0,0),NW13)</f>
        <v>#VALUE!</v>
      </c>
      <c r="NX17" s="962" t="e">
        <f>[1]!taqq(1,1,[1]!roz(NX12+1,NX15,0,0),NX13)</f>
        <v>#VALUE!</v>
      </c>
      <c r="NY17" s="962" t="e">
        <f>[1]!taqq(1,1,[1]!roz(NY12+1,NY15,0,0),NY13)</f>
        <v>#VALUE!</v>
      </c>
      <c r="NZ17" s="962" t="e">
        <f>[1]!taqq(1,1,[1]!roz(NZ12+1,NZ15,0,0),NZ13)</f>
        <v>#VALUE!</v>
      </c>
      <c r="OA17" s="962" t="e">
        <f>[1]!taqq(1,1,[1]!roz(OA12+1,OA15,0,0),OA13)</f>
        <v>#VALUE!</v>
      </c>
      <c r="OB17" s="962" t="e">
        <f>[1]!taqq(1,1,[1]!roz(OB12+1,OB15,0,0),OB13)</f>
        <v>#VALUE!</v>
      </c>
      <c r="OC17" s="962" t="e">
        <f>[1]!taqq(1,1,[1]!roz(OC12+1,OC15,0,0),OC13)</f>
        <v>#VALUE!</v>
      </c>
      <c r="OD17" s="962" t="e">
        <f>[1]!taqq(1,1,[1]!roz(OD12+1,OD15,0,0),OD13)</f>
        <v>#VALUE!</v>
      </c>
      <c r="OE17" s="962" t="e">
        <f>[1]!taqq(1,1,[1]!roz(OE12+1,OE15,0,0),OE13)</f>
        <v>#VALUE!</v>
      </c>
      <c r="OF17" s="962" t="e">
        <f>[1]!taqq(1,1,[1]!roz(OF12+1,OF15,0,0),OF13)</f>
        <v>#VALUE!</v>
      </c>
      <c r="OG17" s="962" t="e">
        <f>[1]!taqq(1,1,[1]!roz(OG12+1,OG15,0,0),OG13)</f>
        <v>#VALUE!</v>
      </c>
      <c r="OH17" s="962" t="e">
        <f>[1]!taqq(1,1,[1]!roz(OH12+1,OH15,0,0),OH13)</f>
        <v>#VALUE!</v>
      </c>
      <c r="OI17" s="962" t="e">
        <f>[1]!taqq(1,1,[1]!roz(OI12+1,OI15,0,0),OI13)</f>
        <v>#VALUE!</v>
      </c>
      <c r="OJ17" s="962" t="e">
        <f>[1]!taqq(1,1,[1]!roz(OJ12+1,OJ15,0,0),OJ13)</f>
        <v>#VALUE!</v>
      </c>
      <c r="OK17" s="962" t="e">
        <f>[1]!taqq(1,1,[1]!roz(OK12+1,OK15,0,0),OK13)</f>
        <v>#VALUE!</v>
      </c>
      <c r="OL17" s="962" t="e">
        <f>[1]!taqq(1,1,[1]!roz(OL12+1,OL15,0,0),OL13)</f>
        <v>#VALUE!</v>
      </c>
      <c r="OM17" s="962" t="e">
        <f>[1]!taqq(1,1,[1]!roz(OM12+1,OM15,0,0),OM13)</f>
        <v>#VALUE!</v>
      </c>
      <c r="ON17" s="962" t="e">
        <f>[1]!taqq(1,1,[1]!roz(ON12+1,ON15,0,0),ON13)</f>
        <v>#VALUE!</v>
      </c>
      <c r="OO17" s="962" t="e">
        <f>[1]!taqq(1,1,[1]!roz(OO12+1,OO15,0,0),OO13)</f>
        <v>#VALUE!</v>
      </c>
      <c r="OP17" s="962" t="e">
        <f>[1]!taqq(1,1,[1]!roz(OP12+1,OP15,0,0),OP13)</f>
        <v>#VALUE!</v>
      </c>
      <c r="OQ17" s="962" t="e">
        <f>[1]!taqq(1,1,[1]!roz(OQ12+1,OQ15,0,0),OQ13)</f>
        <v>#VALUE!</v>
      </c>
      <c r="OR17" s="962" t="e">
        <f>[1]!taqq(1,1,[1]!roz(OR12+1,OR15,0,0),OR13)</f>
        <v>#VALUE!</v>
      </c>
      <c r="OS17" s="962" t="e">
        <f>[1]!taqq(1,1,[1]!roz(OS12+1,OS15,0,0),OS13)</f>
        <v>#VALUE!</v>
      </c>
      <c r="OT17" s="962" t="e">
        <f>[1]!taqq(1,1,[1]!roz(OT12+1,OT15,0,0),OT13)</f>
        <v>#VALUE!</v>
      </c>
      <c r="OU17" s="962" t="e">
        <f>[1]!taqq(1,1,[1]!roz(OU12+1,OU15,0,0),OU13)</f>
        <v>#VALUE!</v>
      </c>
      <c r="OV17" s="962" t="e">
        <f>[1]!taqq(1,1,[1]!roz(OV12+1,OV15,0,0),OV13)</f>
        <v>#VALUE!</v>
      </c>
      <c r="OW17" s="962" t="e">
        <f>[1]!taqq(1,1,[1]!roz(OW12+1,OW15,0,0),OW13)</f>
        <v>#VALUE!</v>
      </c>
      <c r="OX17" s="962" t="e">
        <f>[1]!taqq(1,1,[1]!roz(OX12+1,OX15,0,0),OX13)</f>
        <v>#VALUE!</v>
      </c>
      <c r="OY17" s="962" t="e">
        <f>[1]!taqq(1,1,[1]!roz(OY12+1,OY15,0,0),OY13)</f>
        <v>#VALUE!</v>
      </c>
      <c r="OZ17" s="962" t="e">
        <f>[1]!taqq(1,1,[1]!roz(OZ12+1,OZ15,0,0),OZ13)</f>
        <v>#VALUE!</v>
      </c>
      <c r="PA17" s="962" t="e">
        <f>[1]!taqq(1,1,[1]!roz(PA12+1,PA15,0,0),PA13)</f>
        <v>#VALUE!</v>
      </c>
      <c r="PB17" s="962" t="e">
        <f>[1]!taqq(1,1,[1]!roz(PB12+1,PB15,0,0),PB13)</f>
        <v>#VALUE!</v>
      </c>
      <c r="PC17" s="962" t="e">
        <f>[1]!taqq(1,1,[1]!roz(PC12+1,PC15,0,0),PC13)</f>
        <v>#VALUE!</v>
      </c>
      <c r="PD17" s="962" t="e">
        <f>[1]!taqq(1,1,[1]!roz(PD12+1,PD15,0,0),PD13)</f>
        <v>#VALUE!</v>
      </c>
      <c r="PE17" s="962" t="e">
        <f>[1]!taqq(1,1,[1]!roz(PE12+1,PE15,0,0),PE13)</f>
        <v>#VALUE!</v>
      </c>
      <c r="PF17" s="962" t="e">
        <f>[1]!taqq(1,1,[1]!roz(PF12+1,PF15,0,0),PF13)</f>
        <v>#VALUE!</v>
      </c>
      <c r="PG17" s="962" t="e">
        <f>[1]!taqq(1,1,[1]!roz(PG12+1,PG15,0,0),PG13)</f>
        <v>#VALUE!</v>
      </c>
      <c r="PH17" s="962" t="e">
        <f>[1]!taqq(1,1,[1]!roz(PH12+1,PH15,0,0),PH13)</f>
        <v>#VALUE!</v>
      </c>
      <c r="PI17" s="962" t="e">
        <f>[1]!taqq(1,1,[1]!roz(PI12+1,PI15,0,0),PI13)</f>
        <v>#VALUE!</v>
      </c>
      <c r="PJ17" s="962" t="e">
        <f>[1]!taqq(1,1,[1]!roz(PJ12+1,PJ15,0,0),PJ13)</f>
        <v>#VALUE!</v>
      </c>
      <c r="PK17" s="962" t="e">
        <f>[1]!taqq(1,1,[1]!roz(PK12+1,PK15,0,0),PK13)</f>
        <v>#VALUE!</v>
      </c>
      <c r="PL17" s="962" t="e">
        <f>[1]!taqq(1,1,[1]!roz(PL12+1,PL15,0,0),PL13)</f>
        <v>#VALUE!</v>
      </c>
      <c r="PM17" s="962" t="e">
        <f>[1]!taqq(1,1,[1]!roz(PM12+1,PM15,0,0),PM13)</f>
        <v>#VALUE!</v>
      </c>
      <c r="PN17" s="962" t="e">
        <f>[1]!taqq(1,1,[1]!roz(PN12+1,PN15,0,0),PN13)</f>
        <v>#VALUE!</v>
      </c>
      <c r="PO17" s="962" t="e">
        <f>[1]!taqq(1,1,[1]!roz(PO12+1,PO15,0,0),PO13)</f>
        <v>#VALUE!</v>
      </c>
      <c r="PP17" s="962" t="e">
        <f>[1]!taqq(1,1,[1]!roz(PP12+1,PP15,0,0),PP13)</f>
        <v>#VALUE!</v>
      </c>
      <c r="PQ17" s="962" t="e">
        <f>[1]!taqq(1,1,[1]!roz(PQ12+1,PQ15,0,0),PQ13)</f>
        <v>#VALUE!</v>
      </c>
      <c r="PR17" s="962" t="e">
        <f>[1]!taqq(1,1,[1]!roz(PR12+1,PR15,0,0),PR13)</f>
        <v>#VALUE!</v>
      </c>
      <c r="PS17" s="962" t="e">
        <f>[1]!taqq(1,1,[1]!roz(PS12+1,PS15,0,0),PS13)</f>
        <v>#VALUE!</v>
      </c>
      <c r="PT17" s="962" t="e">
        <f>[1]!taqq(1,1,[1]!roz(PT12+1,PT15,0,0),PT13)</f>
        <v>#VALUE!</v>
      </c>
      <c r="PU17" s="962" t="e">
        <f>[1]!taqq(1,1,[1]!roz(PU12+1,PU15,0,0),PU13)</f>
        <v>#VALUE!</v>
      </c>
      <c r="PV17" s="962" t="e">
        <f>[1]!taqq(1,1,[1]!roz(PV12+1,PV15,0,0),PV13)</f>
        <v>#VALUE!</v>
      </c>
      <c r="PW17" s="962" t="e">
        <f>[1]!taqq(1,1,[1]!roz(PW12+1,PW15,0,0),PW13)</f>
        <v>#VALUE!</v>
      </c>
      <c r="PX17" s="962" t="e">
        <f>[1]!taqq(1,1,[1]!roz(PX12+1,PX15,0,0),PX13)</f>
        <v>#VALUE!</v>
      </c>
      <c r="PY17" s="962" t="e">
        <f>[1]!taqq(1,1,[1]!roz(PY12+1,PY15,0,0),PY13)</f>
        <v>#VALUE!</v>
      </c>
      <c r="PZ17" s="962" t="e">
        <f>[1]!taqq(1,1,[1]!roz(PZ12+1,PZ15,0,0),PZ13)</f>
        <v>#VALUE!</v>
      </c>
      <c r="QA17" s="962" t="e">
        <f>[1]!taqq(1,1,[1]!roz(QA12+1,QA15,0,0),QA13)</f>
        <v>#VALUE!</v>
      </c>
      <c r="QB17" s="962" t="e">
        <f>[1]!taqq(1,1,[1]!roz(QB12+1,QB15,0,0),QB13)</f>
        <v>#VALUE!</v>
      </c>
      <c r="QC17" s="962" t="e">
        <f>[1]!taqq(1,1,[1]!roz(QC12+1,QC15,0,0),QC13)</f>
        <v>#VALUE!</v>
      </c>
      <c r="QD17" s="962" t="e">
        <f>[1]!taqq(1,1,[1]!roz(QD12+1,QD15,0,0),QD13)</f>
        <v>#VALUE!</v>
      </c>
      <c r="QE17" s="962" t="e">
        <f>[1]!taqq(1,1,[1]!roz(QE12+1,QE15,0,0),QE13)</f>
        <v>#VALUE!</v>
      </c>
      <c r="QF17" s="962" t="e">
        <f>[1]!taqq(1,1,[1]!roz(QF12+1,QF15,0,0),QF13)</f>
        <v>#VALUE!</v>
      </c>
      <c r="QG17" s="962" t="e">
        <f>[1]!taqq(1,1,[1]!roz(QG12+1,QG15,0,0),QG13)</f>
        <v>#VALUE!</v>
      </c>
      <c r="QH17" s="962" t="e">
        <f>[1]!taqq(1,1,[1]!roz(QH12+1,QH15,0,0),QH13)</f>
        <v>#VALUE!</v>
      </c>
      <c r="QI17" s="962" t="e">
        <f>[1]!taqq(1,1,[1]!roz(QI12+1,QI15,0,0),QI13)</f>
        <v>#VALUE!</v>
      </c>
      <c r="QJ17" s="962" t="e">
        <f>[1]!taqq(1,1,[1]!roz(QJ12+1,QJ15,0,0),QJ13)</f>
        <v>#VALUE!</v>
      </c>
      <c r="QK17" s="962" t="e">
        <f>[1]!taqq(1,1,[1]!roz(QK12+1,QK15,0,0),QK13)</f>
        <v>#VALUE!</v>
      </c>
      <c r="QL17" s="962" t="e">
        <f>[1]!taqq(1,1,[1]!roz(QL12+1,QL15,0,0),QL13)</f>
        <v>#VALUE!</v>
      </c>
      <c r="QM17" s="962" t="e">
        <f>[1]!taqq(1,1,[1]!roz(QM12+1,QM15,0,0),QM13)</f>
        <v>#VALUE!</v>
      </c>
      <c r="QN17" s="962" t="e">
        <f>[1]!taqq(1,1,[1]!roz(QN12+1,QN15,0,0),QN13)</f>
        <v>#VALUE!</v>
      </c>
      <c r="QO17" s="962" t="e">
        <f>[1]!taqq(1,1,[1]!roz(QO12+1,QO15,0,0),QO13)</f>
        <v>#VALUE!</v>
      </c>
      <c r="QP17" s="962" t="e">
        <f>[1]!taqq(1,1,[1]!roz(QP12+1,QP15,0,0),QP13)</f>
        <v>#VALUE!</v>
      </c>
      <c r="QQ17" s="962" t="e">
        <f>[1]!taqq(1,1,[1]!roz(QQ12+1,QQ15,0,0),QQ13)</f>
        <v>#VALUE!</v>
      </c>
      <c r="QR17" s="962" t="e">
        <f>[1]!taqq(1,1,[1]!roz(QR12+1,QR15,0,0),QR13)</f>
        <v>#VALUE!</v>
      </c>
      <c r="QS17" s="962" t="e">
        <f>[1]!taqq(1,1,[1]!roz(QS12+1,QS15,0,0),QS13)</f>
        <v>#VALUE!</v>
      </c>
      <c r="QT17" s="962" t="e">
        <f>[1]!taqq(1,1,[1]!roz(QT12+1,QT15,0,0),QT13)</f>
        <v>#VALUE!</v>
      </c>
      <c r="QU17" s="962" t="e">
        <f>[1]!taqq(1,1,[1]!roz(QU12+1,QU15,0,0),QU13)</f>
        <v>#VALUE!</v>
      </c>
      <c r="QV17" s="962" t="e">
        <f>[1]!taqq(1,1,[1]!roz(QV12+1,QV15,0,0),QV13)</f>
        <v>#VALUE!</v>
      </c>
      <c r="QW17" s="962" t="e">
        <f>[1]!taqq(1,1,[1]!roz(QW12+1,QW15,0,0),QW13)</f>
        <v>#VALUE!</v>
      </c>
      <c r="QX17" s="962" t="e">
        <f>[1]!taqq(1,1,[1]!roz(QX12+1,QX15,0,0),QX13)</f>
        <v>#VALUE!</v>
      </c>
      <c r="QY17" s="962" t="e">
        <f>[1]!taqq(1,1,[1]!roz(QY12+1,QY15,0,0),QY13)</f>
        <v>#VALUE!</v>
      </c>
      <c r="QZ17" s="962" t="e">
        <f>[1]!taqq(1,1,[1]!roz(QZ12+1,QZ15,0,0),QZ13)</f>
        <v>#VALUE!</v>
      </c>
      <c r="RA17" s="963"/>
    </row>
    <row r="18" spans="1:471" ht="17.25">
      <c r="B18" t="s">
        <v>144</v>
      </c>
      <c r="D18" t="s">
        <v>145</v>
      </c>
      <c r="E18" t="s">
        <v>146</v>
      </c>
      <c r="J18" s="12"/>
      <c r="K18" s="12"/>
      <c r="L18" s="12"/>
      <c r="M18" s="12"/>
      <c r="N18" s="12"/>
      <c r="O18" s="12" t="s">
        <v>119</v>
      </c>
      <c r="P18" s="12" t="s">
        <v>121</v>
      </c>
      <c r="Q18" s="12" t="s">
        <v>123</v>
      </c>
      <c r="R18" s="12" t="s">
        <v>125</v>
      </c>
      <c r="S18" s="12" t="s">
        <v>127</v>
      </c>
      <c r="T18" s="12" t="s">
        <v>129</v>
      </c>
      <c r="U18" s="12" t="s">
        <v>131</v>
      </c>
      <c r="V18" s="12" t="s">
        <v>133</v>
      </c>
      <c r="W18" s="12" t="s">
        <v>135</v>
      </c>
      <c r="X18" s="12" t="s">
        <v>137</v>
      </c>
      <c r="Y18" s="12" t="s">
        <v>139</v>
      </c>
      <c r="Z18" s="12" t="s">
        <v>141</v>
      </c>
      <c r="AA18" s="12"/>
      <c r="AE18">
        <f>0.25-(AF10-365)</f>
        <v>7.7997363699751077E-3</v>
      </c>
      <c r="AK18" s="759"/>
      <c r="AL18" s="701">
        <v>1</v>
      </c>
      <c r="AM18" s="304">
        <v>1</v>
      </c>
      <c r="AN18" s="304">
        <v>1</v>
      </c>
      <c r="AO18" s="304">
        <v>1</v>
      </c>
      <c r="AP18" s="304">
        <v>1</v>
      </c>
      <c r="AQ18" s="304">
        <v>1</v>
      </c>
      <c r="AR18" s="304">
        <v>1</v>
      </c>
      <c r="AS18" s="304">
        <v>1</v>
      </c>
      <c r="AT18" s="304">
        <v>1</v>
      </c>
      <c r="AU18" s="304">
        <v>1</v>
      </c>
      <c r="AV18" s="304">
        <v>1</v>
      </c>
      <c r="AW18" s="304">
        <v>1</v>
      </c>
      <c r="AX18" s="314"/>
      <c r="AZ18" s="732" t="s">
        <v>3752</v>
      </c>
      <c r="BA18" s="731" t="e">
        <f>IF(BA4=1,BB19,IF(BA4=2,BC19,IF(BA4=3,BD19,IF(BA4=4,BE19,IF(BA4=5,BF19,IF(BA4=6,BG19,IF(BA4=7,BH19,IF(BA4=8,BI19,IF(BA4=9,BJ19,IF(BA4=10,BK19,IF(BA4=11,BL19,BM19)))))))))))</f>
        <v>#VALUE!</v>
      </c>
      <c r="BB18" s="345" t="e">
        <f>IF(AND(BN17&gt;355,OR(AND(BB13&gt;6,BB14&gt;10),AND(BB14&gt;9,BB13&gt;10))),29,BB17)</f>
        <v>#VALUE!</v>
      </c>
      <c r="BC18" s="345" t="e">
        <f>IF(AND(BN17&gt;355,OR(AND(BC13&gt;6,BC14&gt;10),AND(BC14&gt;9,BC13&gt;10))),29,BC17)</f>
        <v>#VALUE!</v>
      </c>
      <c r="BD18" s="345" t="e">
        <f>IF(AND(BN17&gt;355,OR(AND(BD13&gt;6,BD14&gt;10),AND(BD14&gt;9,BD13&gt;10))),29,BD17)</f>
        <v>#VALUE!</v>
      </c>
      <c r="BE18" s="345" t="e">
        <f>IF(AND(BN17&gt;355,OR(AND(BE13&gt;6,BE14&gt;10),AND(BE14&gt;9,BE13&gt;10))),29,BE17)</f>
        <v>#VALUE!</v>
      </c>
      <c r="BF18" s="345" t="e">
        <f>IF(AND(BN17&gt;355,OR(AND(BF13&gt;6,BF14&gt;10),AND(BF14&gt;9,BF13&gt;10))),29,BF17)</f>
        <v>#VALUE!</v>
      </c>
      <c r="BG18" s="345" t="e">
        <f>IF(AND(BN17&gt;355,OR(AND(BG13&gt;6,BG14&gt;10),AND(BG14&gt;9,BG13&gt;10))),29,BG17)</f>
        <v>#VALUE!</v>
      </c>
      <c r="BH18" s="345" t="e">
        <f>IF(AND(BN17&gt;355,OR(AND(BH13&gt;6,BH14&gt;10),AND(BH14&gt;9,BH13&gt;10))),29,BH17)</f>
        <v>#VALUE!</v>
      </c>
      <c r="BI18" s="345" t="e">
        <f>IF(AND(BN17&gt;355,OR(AND(BI13&gt;6,BI14&gt;10),AND(BI14&gt;9,BI13&gt;10))),29,BI17)</f>
        <v>#VALUE!</v>
      </c>
      <c r="BJ18" s="345" t="e">
        <f>IF(AND(BN17&gt;355,OR(AND(BJ13&gt;6,BJ14&gt;10),AND(BJ14&gt;9,BJ13&gt;10))),29,BJ17)</f>
        <v>#VALUE!</v>
      </c>
      <c r="BK18" s="345" t="e">
        <f>IF(AND(BN17&gt;355,OR(AND(BK13&gt;6,BK14&gt;10),AND(BK14&gt;9,BK13&gt;10))),29,BK17)</f>
        <v>#VALUE!</v>
      </c>
      <c r="BL18" s="345" t="e">
        <f>IF(AND(BN17&gt;355,OR(AND(BL13&gt;6,BL14&gt;10),AND(BL14&gt;9,BL13&gt;10))),29,BL17)</f>
        <v>#VALUE!</v>
      </c>
      <c r="BM18" s="345" t="e">
        <f>IF(AND(BN17&gt;355,OR(AND(BM13&gt;6,BM14&gt;10),AND(BM14&gt;9,BM13&gt;10))),29,BM17)</f>
        <v>#VALUE!</v>
      </c>
      <c r="BN18" s="397" t="e">
        <f>SUM(BB18:BM18)</f>
        <v>#VALUE!</v>
      </c>
      <c r="BV18" s="108" t="s">
        <v>60</v>
      </c>
      <c r="BW18" s="316">
        <f>BW3</f>
        <v>1386</v>
      </c>
      <c r="CA18" s="490" t="s">
        <v>4</v>
      </c>
      <c r="CB18" s="309" t="e">
        <f>IF(CB15&gt;0,CB15,12)</f>
        <v>#VALUE!</v>
      </c>
      <c r="CC18" s="309"/>
      <c r="CD18" s="309"/>
      <c r="CE18" s="309"/>
      <c r="CF18" s="774"/>
      <c r="CG18" s="242" t="s">
        <v>391</v>
      </c>
      <c r="CH18" s="242">
        <f>IF(CH16&lt;=12,CH16,CH16-12)</f>
        <v>2</v>
      </c>
      <c r="CI18" s="242"/>
      <c r="CJ18" s="242"/>
      <c r="CK18" s="242"/>
      <c r="CL18" s="788"/>
      <c r="CO18" s="759"/>
      <c r="CP18" s="759"/>
      <c r="CQ18" s="759"/>
      <c r="CR18" s="759"/>
      <c r="CS18" s="759"/>
      <c r="CT18" s="759"/>
      <c r="CU18" s="759"/>
      <c r="CV18" s="490" t="s">
        <v>4</v>
      </c>
      <c r="CW18" s="309">
        <f>IF(CW15&gt;0,CW15,12)</f>
        <v>8</v>
      </c>
      <c r="CX18" s="309"/>
      <c r="CY18" s="309"/>
      <c r="CZ18" s="309"/>
      <c r="DA18" s="774"/>
      <c r="DC18" s="906"/>
      <c r="DD18" s="114">
        <f>DD17/2</f>
        <v>0</v>
      </c>
      <c r="DE18" s="115">
        <f>[1]!kab(MOD(DE16-1,30))</f>
        <v>7</v>
      </c>
      <c r="DI18" t="s">
        <v>3489</v>
      </c>
      <c r="DJ18" s="961" t="e">
        <f>IF(DJ17-DJ16&gt;-180,DJ17-DJ16,DJ17-DJ16+360)</f>
        <v>#VALUE!</v>
      </c>
      <c r="DK18" s="962" t="e">
        <f>IF(DK17-DK16&gt;-180,DK17-DK16,DK17-DK16+360)</f>
        <v>#VALUE!</v>
      </c>
      <c r="DL18" s="962" t="e">
        <f>IF(DL17-DL16&gt;-180,DL17-DL16,DL17-DL16+360)</f>
        <v>#VALUE!</v>
      </c>
      <c r="DM18" s="962" t="e">
        <f t="shared" ref="DM18:DS18" si="92">IF(DM17-DM16&gt;-180,DM17-DM16,DM17-DM16+360)</f>
        <v>#VALUE!</v>
      </c>
      <c r="DN18" s="962" t="e">
        <f t="shared" si="92"/>
        <v>#VALUE!</v>
      </c>
      <c r="DO18" s="962" t="e">
        <f t="shared" si="92"/>
        <v>#VALUE!</v>
      </c>
      <c r="DP18" s="962" t="e">
        <f t="shared" si="92"/>
        <v>#VALUE!</v>
      </c>
      <c r="DQ18" s="962" t="e">
        <f t="shared" si="92"/>
        <v>#VALUE!</v>
      </c>
      <c r="DR18" s="962" t="e">
        <f t="shared" si="92"/>
        <v>#VALUE!</v>
      </c>
      <c r="DS18" s="962" t="e">
        <f t="shared" si="92"/>
        <v>#VALUE!</v>
      </c>
      <c r="DT18" s="962" t="e">
        <f t="shared" ref="DT18" si="93">IF(DT17-DT16&gt;-180,DT17-DT16,DT17-DT16+360)</f>
        <v>#VALUE!</v>
      </c>
      <c r="DU18" s="962" t="e">
        <f t="shared" ref="DU18" si="94">IF(DU17-DU16&gt;-180,DU17-DU16,DU17-DU16+360)</f>
        <v>#VALUE!</v>
      </c>
      <c r="DV18" s="962" t="e">
        <f t="shared" ref="DV18" si="95">IF(DV17-DV16&gt;-180,DV17-DV16,DV17-DV16+360)</f>
        <v>#VALUE!</v>
      </c>
      <c r="DW18" s="962" t="e">
        <f t="shared" ref="DW18:DZ18" si="96">IF(DW17-DW16&gt;-180,DW17-DW16,DW17-DW16+360)</f>
        <v>#VALUE!</v>
      </c>
      <c r="DX18" s="962" t="e">
        <f t="shared" si="96"/>
        <v>#VALUE!</v>
      </c>
      <c r="DY18" s="962" t="e">
        <f t="shared" si="96"/>
        <v>#VALUE!</v>
      </c>
      <c r="DZ18" s="962" t="e">
        <f t="shared" si="96"/>
        <v>#VALUE!</v>
      </c>
      <c r="EA18" s="962" t="e">
        <f t="shared" ref="EA18" si="97">IF(EA17-EA16&gt;-180,EA17-EA16,EA17-EA16+360)</f>
        <v>#VALUE!</v>
      </c>
      <c r="EB18" s="962" t="e">
        <f t="shared" ref="EB18" si="98">IF(EB17-EB16&gt;-180,EB17-EB16,EB17-EB16+360)</f>
        <v>#VALUE!</v>
      </c>
      <c r="EC18" s="962" t="e">
        <f t="shared" ref="EC18" si="99">IF(EC17-EC16&gt;-180,EC17-EC16,EC17-EC16+360)</f>
        <v>#VALUE!</v>
      </c>
      <c r="ED18" s="962" t="e">
        <f t="shared" ref="ED18:EG18" si="100">IF(ED17-ED16&gt;-180,ED17-ED16,ED17-ED16+360)</f>
        <v>#VALUE!</v>
      </c>
      <c r="EE18" s="962" t="e">
        <f t="shared" si="100"/>
        <v>#VALUE!</v>
      </c>
      <c r="EF18" s="962" t="e">
        <f t="shared" si="100"/>
        <v>#VALUE!</v>
      </c>
      <c r="EG18" s="962" t="e">
        <f t="shared" si="100"/>
        <v>#VALUE!</v>
      </c>
      <c r="EH18" s="962" t="e">
        <f t="shared" ref="EH18" si="101">IF(EH17-EH16&gt;-180,EH17-EH16,EH17-EH16+360)</f>
        <v>#VALUE!</v>
      </c>
      <c r="EI18" s="962" t="e">
        <f t="shared" ref="EI18" si="102">IF(EI17-EI16&gt;-180,EI17-EI16,EI17-EI16+360)</f>
        <v>#VALUE!</v>
      </c>
      <c r="EJ18" s="962" t="e">
        <f t="shared" ref="EJ18" si="103">IF(EJ17-EJ16&gt;-180,EJ17-EJ16,EJ17-EJ16+360)</f>
        <v>#VALUE!</v>
      </c>
      <c r="EK18" s="962" t="e">
        <f t="shared" ref="EK18:EN18" si="104">IF(EK17-EK16&gt;-180,EK17-EK16,EK17-EK16+360)</f>
        <v>#VALUE!</v>
      </c>
      <c r="EL18" s="962" t="e">
        <f t="shared" si="104"/>
        <v>#VALUE!</v>
      </c>
      <c r="EM18" s="962" t="e">
        <f t="shared" si="104"/>
        <v>#VALUE!</v>
      </c>
      <c r="EN18" s="962" t="e">
        <f t="shared" si="104"/>
        <v>#VALUE!</v>
      </c>
      <c r="EO18" s="962" t="e">
        <f t="shared" ref="EO18" si="105">IF(EO17-EO16&gt;-180,EO17-EO16,EO17-EO16+360)</f>
        <v>#VALUE!</v>
      </c>
      <c r="EP18" s="962" t="e">
        <f t="shared" ref="EP18" si="106">IF(EP17-EP16&gt;-180,EP17-EP16,EP17-EP16+360)</f>
        <v>#VALUE!</v>
      </c>
      <c r="EQ18" s="962" t="e">
        <f t="shared" ref="EQ18" si="107">IF(EQ17-EQ16&gt;-180,EQ17-EQ16,EQ17-EQ16+360)</f>
        <v>#VALUE!</v>
      </c>
      <c r="ER18" s="962" t="e">
        <f t="shared" ref="ER18:EU18" si="108">IF(ER17-ER16&gt;-180,ER17-ER16,ER17-ER16+360)</f>
        <v>#VALUE!</v>
      </c>
      <c r="ES18" s="962" t="e">
        <f t="shared" si="108"/>
        <v>#VALUE!</v>
      </c>
      <c r="ET18" s="962" t="e">
        <f t="shared" si="108"/>
        <v>#VALUE!</v>
      </c>
      <c r="EU18" s="962" t="e">
        <f t="shared" si="108"/>
        <v>#VALUE!</v>
      </c>
      <c r="EV18" s="962" t="e">
        <f t="shared" ref="EV18" si="109">IF(EV17-EV16&gt;-180,EV17-EV16,EV17-EV16+360)</f>
        <v>#VALUE!</v>
      </c>
      <c r="EW18" s="962" t="e">
        <f t="shared" ref="EW18" si="110">IF(EW17-EW16&gt;-180,EW17-EW16,EW17-EW16+360)</f>
        <v>#VALUE!</v>
      </c>
      <c r="EX18" s="962" t="e">
        <f t="shared" ref="EX18" si="111">IF(EX17-EX16&gt;-180,EX17-EX16,EX17-EX16+360)</f>
        <v>#VALUE!</v>
      </c>
      <c r="EY18" s="962" t="e">
        <f t="shared" ref="EY18:FB18" si="112">IF(EY17-EY16&gt;-180,EY17-EY16,EY17-EY16+360)</f>
        <v>#VALUE!</v>
      </c>
      <c r="EZ18" s="962" t="e">
        <f t="shared" si="112"/>
        <v>#VALUE!</v>
      </c>
      <c r="FA18" s="962" t="e">
        <f t="shared" si="112"/>
        <v>#VALUE!</v>
      </c>
      <c r="FB18" s="962" t="e">
        <f t="shared" si="112"/>
        <v>#VALUE!</v>
      </c>
      <c r="FC18" s="962" t="e">
        <f t="shared" ref="FC18" si="113">IF(FC17-FC16&gt;-180,FC17-FC16,FC17-FC16+360)</f>
        <v>#VALUE!</v>
      </c>
      <c r="FD18" s="962" t="e">
        <f t="shared" ref="FD18" si="114">IF(FD17-FD16&gt;-180,FD17-FD16,FD17-FD16+360)</f>
        <v>#VALUE!</v>
      </c>
      <c r="FE18" s="962" t="e">
        <f t="shared" ref="FE18" si="115">IF(FE17-FE16&gt;-180,FE17-FE16,FE17-FE16+360)</f>
        <v>#VALUE!</v>
      </c>
      <c r="FF18" s="962" t="e">
        <f t="shared" ref="FF18:FI18" si="116">IF(FF17-FF16&gt;-180,FF17-FF16,FF17-FF16+360)</f>
        <v>#VALUE!</v>
      </c>
      <c r="FG18" s="962" t="e">
        <f t="shared" si="116"/>
        <v>#VALUE!</v>
      </c>
      <c r="FH18" s="962" t="e">
        <f t="shared" si="116"/>
        <v>#VALUE!</v>
      </c>
      <c r="FI18" s="962" t="e">
        <f t="shared" si="116"/>
        <v>#VALUE!</v>
      </c>
      <c r="FJ18" s="962" t="e">
        <f t="shared" ref="FJ18" si="117">IF(FJ17-FJ16&gt;-180,FJ17-FJ16,FJ17-FJ16+360)</f>
        <v>#VALUE!</v>
      </c>
      <c r="FK18" s="962" t="e">
        <f t="shared" ref="FK18" si="118">IF(FK17-FK16&gt;-180,FK17-FK16,FK17-FK16+360)</f>
        <v>#VALUE!</v>
      </c>
      <c r="FL18" s="962" t="e">
        <f t="shared" ref="FL18" si="119">IF(FL17-FL16&gt;-180,FL17-FL16,FL17-FL16+360)</f>
        <v>#VALUE!</v>
      </c>
      <c r="FM18" s="962" t="e">
        <f t="shared" ref="FM18:FP18" si="120">IF(FM17-FM16&gt;-180,FM17-FM16,FM17-FM16+360)</f>
        <v>#VALUE!</v>
      </c>
      <c r="FN18" s="962" t="e">
        <f t="shared" si="120"/>
        <v>#VALUE!</v>
      </c>
      <c r="FO18" s="962" t="e">
        <f t="shared" si="120"/>
        <v>#VALUE!</v>
      </c>
      <c r="FP18" s="962" t="e">
        <f t="shared" si="120"/>
        <v>#VALUE!</v>
      </c>
      <c r="FQ18" s="962" t="e">
        <f t="shared" ref="FQ18" si="121">IF(FQ17-FQ16&gt;-180,FQ17-FQ16,FQ17-FQ16+360)</f>
        <v>#VALUE!</v>
      </c>
      <c r="FR18" s="962" t="e">
        <f t="shared" ref="FR18" si="122">IF(FR17-FR16&gt;-180,FR17-FR16,FR17-FR16+360)</f>
        <v>#VALUE!</v>
      </c>
      <c r="FS18" s="962" t="e">
        <f t="shared" ref="FS18" si="123">IF(FS17-FS16&gt;-180,FS17-FS16,FS17-FS16+360)</f>
        <v>#VALUE!</v>
      </c>
      <c r="FT18" s="962" t="e">
        <f t="shared" ref="FT18:FW18" si="124">IF(FT17-FT16&gt;-180,FT17-FT16,FT17-FT16+360)</f>
        <v>#VALUE!</v>
      </c>
      <c r="FU18" s="962" t="e">
        <f t="shared" si="124"/>
        <v>#VALUE!</v>
      </c>
      <c r="FV18" s="962" t="e">
        <f t="shared" si="124"/>
        <v>#VALUE!</v>
      </c>
      <c r="FW18" s="962" t="e">
        <f t="shared" si="124"/>
        <v>#VALUE!</v>
      </c>
      <c r="FX18" s="962" t="e">
        <f t="shared" ref="FX18" si="125">IF(FX17-FX16&gt;-180,FX17-FX16,FX17-FX16+360)</f>
        <v>#VALUE!</v>
      </c>
      <c r="FY18" s="962" t="e">
        <f t="shared" ref="FY18" si="126">IF(FY17-FY16&gt;-180,FY17-FY16,FY17-FY16+360)</f>
        <v>#VALUE!</v>
      </c>
      <c r="FZ18" s="962" t="e">
        <f t="shared" ref="FZ18" si="127">IF(FZ17-FZ16&gt;-180,FZ17-FZ16,FZ17-FZ16+360)</f>
        <v>#VALUE!</v>
      </c>
      <c r="GA18" s="962" t="e">
        <f t="shared" ref="GA18:GD18" si="128">IF(GA17-GA16&gt;-180,GA17-GA16,GA17-GA16+360)</f>
        <v>#VALUE!</v>
      </c>
      <c r="GB18" s="962" t="e">
        <f t="shared" si="128"/>
        <v>#VALUE!</v>
      </c>
      <c r="GC18" s="962" t="e">
        <f t="shared" si="128"/>
        <v>#VALUE!</v>
      </c>
      <c r="GD18" s="962" t="e">
        <f t="shared" si="128"/>
        <v>#VALUE!</v>
      </c>
      <c r="GE18" s="962" t="e">
        <f t="shared" ref="GE18" si="129">IF(GE17-GE16&gt;-180,GE17-GE16,GE17-GE16+360)</f>
        <v>#VALUE!</v>
      </c>
      <c r="GF18" s="962" t="e">
        <f t="shared" ref="GF18" si="130">IF(GF17-GF16&gt;-180,GF17-GF16,GF17-GF16+360)</f>
        <v>#VALUE!</v>
      </c>
      <c r="GG18" s="962" t="e">
        <f t="shared" ref="GG18" si="131">IF(GG17-GG16&gt;-180,GG17-GG16,GG17-GG16+360)</f>
        <v>#VALUE!</v>
      </c>
      <c r="GH18" s="962" t="e">
        <f t="shared" ref="GH18:GK18" si="132">IF(GH17-GH16&gt;-180,GH17-GH16,GH17-GH16+360)</f>
        <v>#VALUE!</v>
      </c>
      <c r="GI18" s="962" t="e">
        <f t="shared" si="132"/>
        <v>#VALUE!</v>
      </c>
      <c r="GJ18" s="962" t="e">
        <f t="shared" si="132"/>
        <v>#VALUE!</v>
      </c>
      <c r="GK18" s="962" t="e">
        <f t="shared" si="132"/>
        <v>#VALUE!</v>
      </c>
      <c r="GL18" s="962" t="e">
        <f t="shared" ref="GL18" si="133">IF(GL17-GL16&gt;-180,GL17-GL16,GL17-GL16+360)</f>
        <v>#VALUE!</v>
      </c>
      <c r="GM18" s="962" t="e">
        <f t="shared" ref="GM18" si="134">IF(GM17-GM16&gt;-180,GM17-GM16,GM17-GM16+360)</f>
        <v>#VALUE!</v>
      </c>
      <c r="GN18" s="962" t="e">
        <f t="shared" ref="GN18" si="135">IF(GN17-GN16&gt;-180,GN17-GN16,GN17-GN16+360)</f>
        <v>#VALUE!</v>
      </c>
      <c r="GO18" s="962" t="e">
        <f t="shared" ref="GO18:GR18" si="136">IF(GO17-GO16&gt;-180,GO17-GO16,GO17-GO16+360)</f>
        <v>#VALUE!</v>
      </c>
      <c r="GP18" s="962" t="e">
        <f t="shared" si="136"/>
        <v>#VALUE!</v>
      </c>
      <c r="GQ18" s="962" t="e">
        <f t="shared" si="136"/>
        <v>#VALUE!</v>
      </c>
      <c r="GR18" s="962" t="e">
        <f t="shared" si="136"/>
        <v>#VALUE!</v>
      </c>
      <c r="GS18" s="962" t="e">
        <f t="shared" ref="GS18" si="137">IF(GS17-GS16&gt;-180,GS17-GS16,GS17-GS16+360)</f>
        <v>#VALUE!</v>
      </c>
      <c r="GT18" s="962" t="e">
        <f t="shared" ref="GT18" si="138">IF(GT17-GT16&gt;-180,GT17-GT16,GT17-GT16+360)</f>
        <v>#VALUE!</v>
      </c>
      <c r="GU18" s="962" t="e">
        <f t="shared" ref="GU18" si="139">IF(GU17-GU16&gt;-180,GU17-GU16,GU17-GU16+360)</f>
        <v>#VALUE!</v>
      </c>
      <c r="GV18" s="962" t="e">
        <f t="shared" ref="GV18:GY18" si="140">IF(GV17-GV16&gt;-180,GV17-GV16,GV17-GV16+360)</f>
        <v>#VALUE!</v>
      </c>
      <c r="GW18" s="962" t="e">
        <f t="shared" si="140"/>
        <v>#VALUE!</v>
      </c>
      <c r="GX18" s="962" t="e">
        <f t="shared" si="140"/>
        <v>#VALUE!</v>
      </c>
      <c r="GY18" s="962" t="e">
        <f t="shared" si="140"/>
        <v>#VALUE!</v>
      </c>
      <c r="GZ18" s="962" t="e">
        <f t="shared" ref="GZ18" si="141">IF(GZ17-GZ16&gt;-180,GZ17-GZ16,GZ17-GZ16+360)</f>
        <v>#VALUE!</v>
      </c>
      <c r="HA18" s="962" t="e">
        <f t="shared" ref="HA18" si="142">IF(HA17-HA16&gt;-180,HA17-HA16,HA17-HA16+360)</f>
        <v>#VALUE!</v>
      </c>
      <c r="HB18" s="962" t="e">
        <f t="shared" ref="HB18" si="143">IF(HB17-HB16&gt;-180,HB17-HB16,HB17-HB16+360)</f>
        <v>#VALUE!</v>
      </c>
      <c r="HC18" s="962" t="e">
        <f t="shared" ref="HC18:HF18" si="144">IF(HC17-HC16&gt;-180,HC17-HC16,HC17-HC16+360)</f>
        <v>#VALUE!</v>
      </c>
      <c r="HD18" s="962" t="e">
        <f t="shared" si="144"/>
        <v>#VALUE!</v>
      </c>
      <c r="HE18" s="962" t="e">
        <f t="shared" si="144"/>
        <v>#VALUE!</v>
      </c>
      <c r="HF18" s="962" t="e">
        <f t="shared" si="144"/>
        <v>#VALUE!</v>
      </c>
      <c r="HG18" s="962" t="e">
        <f t="shared" ref="HG18" si="145">IF(HG17-HG16&gt;-180,HG17-HG16,HG17-HG16+360)</f>
        <v>#VALUE!</v>
      </c>
      <c r="HH18" s="962" t="e">
        <f t="shared" ref="HH18" si="146">IF(HH17-HH16&gt;-180,HH17-HH16,HH17-HH16+360)</f>
        <v>#VALUE!</v>
      </c>
      <c r="HI18" s="962" t="e">
        <f t="shared" ref="HI18" si="147">IF(HI17-HI16&gt;-180,HI17-HI16,HI17-HI16+360)</f>
        <v>#VALUE!</v>
      </c>
      <c r="HJ18" s="962" t="e">
        <f t="shared" ref="HJ18:HM18" si="148">IF(HJ17-HJ16&gt;-180,HJ17-HJ16,HJ17-HJ16+360)</f>
        <v>#VALUE!</v>
      </c>
      <c r="HK18" s="962" t="e">
        <f t="shared" si="148"/>
        <v>#VALUE!</v>
      </c>
      <c r="HL18" s="962" t="e">
        <f t="shared" si="148"/>
        <v>#VALUE!</v>
      </c>
      <c r="HM18" s="962" t="e">
        <f t="shared" si="148"/>
        <v>#VALUE!</v>
      </c>
      <c r="HN18" s="962" t="e">
        <f t="shared" ref="HN18" si="149">IF(HN17-HN16&gt;-180,HN17-HN16,HN17-HN16+360)</f>
        <v>#VALUE!</v>
      </c>
      <c r="HO18" s="962" t="e">
        <f t="shared" ref="HO18" si="150">IF(HO17-HO16&gt;-180,HO17-HO16,HO17-HO16+360)</f>
        <v>#VALUE!</v>
      </c>
      <c r="HP18" s="962" t="e">
        <f t="shared" ref="HP18" si="151">IF(HP17-HP16&gt;-180,HP17-HP16,HP17-HP16+360)</f>
        <v>#VALUE!</v>
      </c>
      <c r="HQ18" s="962" t="e">
        <f t="shared" ref="HQ18:HT18" si="152">IF(HQ17-HQ16&gt;-180,HQ17-HQ16,HQ17-HQ16+360)</f>
        <v>#VALUE!</v>
      </c>
      <c r="HR18" s="962" t="e">
        <f t="shared" si="152"/>
        <v>#VALUE!</v>
      </c>
      <c r="HS18" s="962" t="e">
        <f t="shared" si="152"/>
        <v>#VALUE!</v>
      </c>
      <c r="HT18" s="962" t="e">
        <f t="shared" si="152"/>
        <v>#VALUE!</v>
      </c>
      <c r="HU18" s="962" t="e">
        <f t="shared" ref="HU18" si="153">IF(HU17-HU16&gt;-180,HU17-HU16,HU17-HU16+360)</f>
        <v>#VALUE!</v>
      </c>
      <c r="HV18" s="962" t="e">
        <f t="shared" ref="HV18" si="154">IF(HV17-HV16&gt;-180,HV17-HV16,HV17-HV16+360)</f>
        <v>#VALUE!</v>
      </c>
      <c r="HW18" s="962" t="e">
        <f t="shared" ref="HW18" si="155">IF(HW17-HW16&gt;-180,HW17-HW16,HW17-HW16+360)</f>
        <v>#VALUE!</v>
      </c>
      <c r="HX18" s="962" t="e">
        <f t="shared" ref="HX18:IA18" si="156">IF(HX17-HX16&gt;-180,HX17-HX16,HX17-HX16+360)</f>
        <v>#VALUE!</v>
      </c>
      <c r="HY18" s="962" t="e">
        <f t="shared" si="156"/>
        <v>#VALUE!</v>
      </c>
      <c r="HZ18" s="962" t="e">
        <f t="shared" si="156"/>
        <v>#VALUE!</v>
      </c>
      <c r="IA18" s="962" t="e">
        <f t="shared" si="156"/>
        <v>#VALUE!</v>
      </c>
      <c r="IB18" s="962" t="e">
        <f t="shared" ref="IB18" si="157">IF(IB17-IB16&gt;-180,IB17-IB16,IB17-IB16+360)</f>
        <v>#VALUE!</v>
      </c>
      <c r="IC18" s="962" t="e">
        <f t="shared" ref="IC18" si="158">IF(IC17-IC16&gt;-180,IC17-IC16,IC17-IC16+360)</f>
        <v>#VALUE!</v>
      </c>
      <c r="ID18" s="962" t="e">
        <f t="shared" ref="ID18" si="159">IF(ID17-ID16&gt;-180,ID17-ID16,ID17-ID16+360)</f>
        <v>#VALUE!</v>
      </c>
      <c r="IE18" s="962" t="e">
        <f t="shared" ref="IE18:IH18" si="160">IF(IE17-IE16&gt;-180,IE17-IE16,IE17-IE16+360)</f>
        <v>#VALUE!</v>
      </c>
      <c r="IF18" s="962" t="e">
        <f t="shared" si="160"/>
        <v>#VALUE!</v>
      </c>
      <c r="IG18" s="962" t="e">
        <f t="shared" si="160"/>
        <v>#VALUE!</v>
      </c>
      <c r="IH18" s="962" t="e">
        <f t="shared" si="160"/>
        <v>#VALUE!</v>
      </c>
      <c r="II18" s="962" t="e">
        <f t="shared" ref="II18" si="161">IF(II17-II16&gt;-180,II17-II16,II17-II16+360)</f>
        <v>#VALUE!</v>
      </c>
      <c r="IJ18" s="962" t="e">
        <f t="shared" ref="IJ18" si="162">IF(IJ17-IJ16&gt;-180,IJ17-IJ16,IJ17-IJ16+360)</f>
        <v>#VALUE!</v>
      </c>
      <c r="IK18" s="962" t="e">
        <f t="shared" ref="IK18" si="163">IF(IK17-IK16&gt;-180,IK17-IK16,IK17-IK16+360)</f>
        <v>#VALUE!</v>
      </c>
      <c r="IL18" s="962" t="e">
        <f t="shared" ref="IL18:IO18" si="164">IF(IL17-IL16&gt;-180,IL17-IL16,IL17-IL16+360)</f>
        <v>#VALUE!</v>
      </c>
      <c r="IM18" s="962" t="e">
        <f t="shared" si="164"/>
        <v>#VALUE!</v>
      </c>
      <c r="IN18" s="962" t="e">
        <f t="shared" si="164"/>
        <v>#VALUE!</v>
      </c>
      <c r="IO18" s="962" t="e">
        <f t="shared" si="164"/>
        <v>#VALUE!</v>
      </c>
      <c r="IP18" s="962" t="e">
        <f t="shared" ref="IP18" si="165">IF(IP17-IP16&gt;-180,IP17-IP16,IP17-IP16+360)</f>
        <v>#VALUE!</v>
      </c>
      <c r="IQ18" s="962" t="e">
        <f t="shared" ref="IQ18" si="166">IF(IQ17-IQ16&gt;-180,IQ17-IQ16,IQ17-IQ16+360)</f>
        <v>#VALUE!</v>
      </c>
      <c r="IR18" s="962" t="e">
        <f t="shared" ref="IR18" si="167">IF(IR17-IR16&gt;-180,IR17-IR16,IR17-IR16+360)</f>
        <v>#VALUE!</v>
      </c>
      <c r="IS18" s="962" t="e">
        <f t="shared" ref="IS18:IV18" si="168">IF(IS17-IS16&gt;-180,IS17-IS16,IS17-IS16+360)</f>
        <v>#VALUE!</v>
      </c>
      <c r="IT18" s="962" t="e">
        <f t="shared" si="168"/>
        <v>#VALUE!</v>
      </c>
      <c r="IU18" s="962" t="e">
        <f t="shared" si="168"/>
        <v>#VALUE!</v>
      </c>
      <c r="IV18" s="962" t="e">
        <f t="shared" si="168"/>
        <v>#VALUE!</v>
      </c>
      <c r="IW18" s="962" t="e">
        <f t="shared" ref="IW18" si="169">IF(IW17-IW16&gt;-180,IW17-IW16,IW17-IW16+360)</f>
        <v>#VALUE!</v>
      </c>
      <c r="IX18" s="962" t="e">
        <f t="shared" ref="IX18" si="170">IF(IX17-IX16&gt;-180,IX17-IX16,IX17-IX16+360)</f>
        <v>#VALUE!</v>
      </c>
      <c r="IY18" s="962" t="e">
        <f t="shared" ref="IY18" si="171">IF(IY17-IY16&gt;-180,IY17-IY16,IY17-IY16+360)</f>
        <v>#VALUE!</v>
      </c>
      <c r="IZ18" s="962" t="e">
        <f t="shared" ref="IZ18:JC18" si="172">IF(IZ17-IZ16&gt;-180,IZ17-IZ16,IZ17-IZ16+360)</f>
        <v>#VALUE!</v>
      </c>
      <c r="JA18" s="962" t="e">
        <f t="shared" si="172"/>
        <v>#VALUE!</v>
      </c>
      <c r="JB18" s="962" t="e">
        <f t="shared" si="172"/>
        <v>#VALUE!</v>
      </c>
      <c r="JC18" s="962" t="e">
        <f t="shared" si="172"/>
        <v>#VALUE!</v>
      </c>
      <c r="JD18" s="962" t="e">
        <f t="shared" ref="JD18" si="173">IF(JD17-JD16&gt;-180,JD17-JD16,JD17-JD16+360)</f>
        <v>#VALUE!</v>
      </c>
      <c r="JE18" s="962" t="e">
        <f t="shared" ref="JE18" si="174">IF(JE17-JE16&gt;-180,JE17-JE16,JE17-JE16+360)</f>
        <v>#VALUE!</v>
      </c>
      <c r="JF18" s="962" t="e">
        <f t="shared" ref="JF18" si="175">IF(JF17-JF16&gt;-180,JF17-JF16,JF17-JF16+360)</f>
        <v>#VALUE!</v>
      </c>
      <c r="JG18" s="962" t="e">
        <f t="shared" ref="JG18:JJ18" si="176">IF(JG17-JG16&gt;-180,JG17-JG16,JG17-JG16+360)</f>
        <v>#VALUE!</v>
      </c>
      <c r="JH18" s="962" t="e">
        <f t="shared" si="176"/>
        <v>#VALUE!</v>
      </c>
      <c r="JI18" s="962" t="e">
        <f t="shared" si="176"/>
        <v>#VALUE!</v>
      </c>
      <c r="JJ18" s="962" t="e">
        <f t="shared" si="176"/>
        <v>#VALUE!</v>
      </c>
      <c r="JK18" s="962" t="e">
        <f t="shared" ref="JK18" si="177">IF(JK17-JK16&gt;-180,JK17-JK16,JK17-JK16+360)</f>
        <v>#VALUE!</v>
      </c>
      <c r="JL18" s="962" t="e">
        <f t="shared" ref="JL18" si="178">IF(JL17-JL16&gt;-180,JL17-JL16,JL17-JL16+360)</f>
        <v>#VALUE!</v>
      </c>
      <c r="JM18" s="962" t="e">
        <f t="shared" ref="JM18" si="179">IF(JM17-JM16&gt;-180,JM17-JM16,JM17-JM16+360)</f>
        <v>#VALUE!</v>
      </c>
      <c r="JN18" s="962" t="e">
        <f t="shared" ref="JN18:JQ18" si="180">IF(JN17-JN16&gt;-180,JN17-JN16,JN17-JN16+360)</f>
        <v>#VALUE!</v>
      </c>
      <c r="JO18" s="962" t="e">
        <f t="shared" si="180"/>
        <v>#VALUE!</v>
      </c>
      <c r="JP18" s="962" t="e">
        <f t="shared" si="180"/>
        <v>#VALUE!</v>
      </c>
      <c r="JQ18" s="962" t="e">
        <f t="shared" si="180"/>
        <v>#VALUE!</v>
      </c>
      <c r="JR18" s="962" t="e">
        <f t="shared" ref="JR18" si="181">IF(JR17-JR16&gt;-180,JR17-JR16,JR17-JR16+360)</f>
        <v>#VALUE!</v>
      </c>
      <c r="JS18" s="962" t="e">
        <f t="shared" ref="JS18" si="182">IF(JS17-JS16&gt;-180,JS17-JS16,JS17-JS16+360)</f>
        <v>#VALUE!</v>
      </c>
      <c r="JT18" s="962" t="e">
        <f t="shared" ref="JT18" si="183">IF(JT17-JT16&gt;-180,JT17-JT16,JT17-JT16+360)</f>
        <v>#VALUE!</v>
      </c>
      <c r="JU18" s="962" t="e">
        <f t="shared" ref="JU18:JX18" si="184">IF(JU17-JU16&gt;-180,JU17-JU16,JU17-JU16+360)</f>
        <v>#VALUE!</v>
      </c>
      <c r="JV18" s="962" t="e">
        <f t="shared" si="184"/>
        <v>#VALUE!</v>
      </c>
      <c r="JW18" s="962" t="e">
        <f t="shared" si="184"/>
        <v>#VALUE!</v>
      </c>
      <c r="JX18" s="962" t="e">
        <f t="shared" si="184"/>
        <v>#VALUE!</v>
      </c>
      <c r="JY18" s="962" t="e">
        <f t="shared" ref="JY18" si="185">IF(JY17-JY16&gt;-180,JY17-JY16,JY17-JY16+360)</f>
        <v>#VALUE!</v>
      </c>
      <c r="JZ18" s="962" t="e">
        <f t="shared" ref="JZ18" si="186">IF(JZ17-JZ16&gt;-180,JZ17-JZ16,JZ17-JZ16+360)</f>
        <v>#VALUE!</v>
      </c>
      <c r="KA18" s="962" t="e">
        <f t="shared" ref="KA18" si="187">IF(KA17-KA16&gt;-180,KA17-KA16,KA17-KA16+360)</f>
        <v>#VALUE!</v>
      </c>
      <c r="KB18" s="962" t="e">
        <f t="shared" ref="KB18:KE18" si="188">IF(KB17-KB16&gt;-180,KB17-KB16,KB17-KB16+360)</f>
        <v>#VALUE!</v>
      </c>
      <c r="KC18" s="962" t="e">
        <f t="shared" si="188"/>
        <v>#VALUE!</v>
      </c>
      <c r="KD18" s="962" t="e">
        <f t="shared" si="188"/>
        <v>#VALUE!</v>
      </c>
      <c r="KE18" s="962" t="e">
        <f t="shared" si="188"/>
        <v>#VALUE!</v>
      </c>
      <c r="KF18" s="962" t="e">
        <f t="shared" ref="KF18" si="189">IF(KF17-KF16&gt;-180,KF17-KF16,KF17-KF16+360)</f>
        <v>#VALUE!</v>
      </c>
      <c r="KG18" s="962" t="e">
        <f t="shared" ref="KG18" si="190">IF(KG17-KG16&gt;-180,KG17-KG16,KG17-KG16+360)</f>
        <v>#VALUE!</v>
      </c>
      <c r="KH18" s="962" t="e">
        <f t="shared" ref="KH18" si="191">IF(KH17-KH16&gt;-180,KH17-KH16,KH17-KH16+360)</f>
        <v>#VALUE!</v>
      </c>
      <c r="KI18" s="962" t="e">
        <f t="shared" ref="KI18:KL18" si="192">IF(KI17-KI16&gt;-180,KI17-KI16,KI17-KI16+360)</f>
        <v>#VALUE!</v>
      </c>
      <c r="KJ18" s="962" t="e">
        <f t="shared" si="192"/>
        <v>#VALUE!</v>
      </c>
      <c r="KK18" s="962" t="e">
        <f t="shared" si="192"/>
        <v>#VALUE!</v>
      </c>
      <c r="KL18" s="962" t="e">
        <f t="shared" si="192"/>
        <v>#VALUE!</v>
      </c>
      <c r="KM18" s="962" t="e">
        <f t="shared" ref="KM18" si="193">IF(KM17-KM16&gt;-180,KM17-KM16,KM17-KM16+360)</f>
        <v>#VALUE!</v>
      </c>
      <c r="KN18" s="962" t="e">
        <f t="shared" ref="KN18" si="194">IF(KN17-KN16&gt;-180,KN17-KN16,KN17-KN16+360)</f>
        <v>#VALUE!</v>
      </c>
      <c r="KO18" s="962" t="e">
        <f t="shared" ref="KO18" si="195">IF(KO17-KO16&gt;-180,KO17-KO16,KO17-KO16+360)</f>
        <v>#VALUE!</v>
      </c>
      <c r="KP18" s="962" t="e">
        <f t="shared" ref="KP18:KS18" si="196">IF(KP17-KP16&gt;-180,KP17-KP16,KP17-KP16+360)</f>
        <v>#VALUE!</v>
      </c>
      <c r="KQ18" s="962" t="e">
        <f t="shared" si="196"/>
        <v>#VALUE!</v>
      </c>
      <c r="KR18" s="962" t="e">
        <f t="shared" si="196"/>
        <v>#VALUE!</v>
      </c>
      <c r="KS18" s="962" t="e">
        <f t="shared" si="196"/>
        <v>#VALUE!</v>
      </c>
      <c r="KT18" s="962" t="e">
        <f t="shared" ref="KT18" si="197">IF(KT17-KT16&gt;-180,KT17-KT16,KT17-KT16+360)</f>
        <v>#VALUE!</v>
      </c>
      <c r="KU18" s="962" t="e">
        <f t="shared" ref="KU18" si="198">IF(KU17-KU16&gt;-180,KU17-KU16,KU17-KU16+360)</f>
        <v>#VALUE!</v>
      </c>
      <c r="KV18" s="962" t="e">
        <f t="shared" ref="KV18" si="199">IF(KV17-KV16&gt;-180,KV17-KV16,KV17-KV16+360)</f>
        <v>#VALUE!</v>
      </c>
      <c r="KW18" s="962" t="e">
        <f t="shared" ref="KW18:KZ18" si="200">IF(KW17-KW16&gt;-180,KW17-KW16,KW17-KW16+360)</f>
        <v>#VALUE!</v>
      </c>
      <c r="KX18" s="962" t="e">
        <f t="shared" si="200"/>
        <v>#VALUE!</v>
      </c>
      <c r="KY18" s="962" t="e">
        <f t="shared" si="200"/>
        <v>#VALUE!</v>
      </c>
      <c r="KZ18" s="962" t="e">
        <f t="shared" si="200"/>
        <v>#VALUE!</v>
      </c>
      <c r="LA18" s="962" t="e">
        <f t="shared" ref="LA18" si="201">IF(LA17-LA16&gt;-180,LA17-LA16,LA17-LA16+360)</f>
        <v>#VALUE!</v>
      </c>
      <c r="LB18" s="962" t="e">
        <f t="shared" ref="LB18" si="202">IF(LB17-LB16&gt;-180,LB17-LB16,LB17-LB16+360)</f>
        <v>#VALUE!</v>
      </c>
      <c r="LC18" s="962" t="e">
        <f t="shared" ref="LC18" si="203">IF(LC17-LC16&gt;-180,LC17-LC16,LC17-LC16+360)</f>
        <v>#VALUE!</v>
      </c>
      <c r="LD18" s="962" t="e">
        <f t="shared" ref="LD18:LG18" si="204">IF(LD17-LD16&gt;-180,LD17-LD16,LD17-LD16+360)</f>
        <v>#VALUE!</v>
      </c>
      <c r="LE18" s="962" t="e">
        <f t="shared" si="204"/>
        <v>#VALUE!</v>
      </c>
      <c r="LF18" s="962" t="e">
        <f t="shared" si="204"/>
        <v>#VALUE!</v>
      </c>
      <c r="LG18" s="962" t="e">
        <f t="shared" si="204"/>
        <v>#VALUE!</v>
      </c>
      <c r="LH18" s="962" t="e">
        <f t="shared" ref="LH18" si="205">IF(LH17-LH16&gt;-180,LH17-LH16,LH17-LH16+360)</f>
        <v>#VALUE!</v>
      </c>
      <c r="LI18" s="962" t="e">
        <f t="shared" ref="LI18" si="206">IF(LI17-LI16&gt;-180,LI17-LI16,LI17-LI16+360)</f>
        <v>#VALUE!</v>
      </c>
      <c r="LJ18" s="962" t="e">
        <f t="shared" ref="LJ18" si="207">IF(LJ17-LJ16&gt;-180,LJ17-LJ16,LJ17-LJ16+360)</f>
        <v>#VALUE!</v>
      </c>
      <c r="LK18" s="962" t="e">
        <f t="shared" ref="LK18:LN18" si="208">IF(LK17-LK16&gt;-180,LK17-LK16,LK17-LK16+360)</f>
        <v>#VALUE!</v>
      </c>
      <c r="LL18" s="962" t="e">
        <f t="shared" si="208"/>
        <v>#VALUE!</v>
      </c>
      <c r="LM18" s="962" t="e">
        <f t="shared" si="208"/>
        <v>#VALUE!</v>
      </c>
      <c r="LN18" s="962" t="e">
        <f t="shared" si="208"/>
        <v>#VALUE!</v>
      </c>
      <c r="LO18" s="962" t="e">
        <f t="shared" ref="LO18" si="209">IF(LO17-LO16&gt;-180,LO17-LO16,LO17-LO16+360)</f>
        <v>#VALUE!</v>
      </c>
      <c r="LP18" s="962" t="e">
        <f t="shared" ref="LP18" si="210">IF(LP17-LP16&gt;-180,LP17-LP16,LP17-LP16+360)</f>
        <v>#VALUE!</v>
      </c>
      <c r="LQ18" s="962" t="e">
        <f t="shared" ref="LQ18" si="211">IF(LQ17-LQ16&gt;-180,LQ17-LQ16,LQ17-LQ16+360)</f>
        <v>#VALUE!</v>
      </c>
      <c r="LR18" s="962" t="e">
        <f t="shared" ref="LR18:LU18" si="212">IF(LR17-LR16&gt;-180,LR17-LR16,LR17-LR16+360)</f>
        <v>#VALUE!</v>
      </c>
      <c r="LS18" s="962" t="e">
        <f t="shared" si="212"/>
        <v>#VALUE!</v>
      </c>
      <c r="LT18" s="962" t="e">
        <f t="shared" si="212"/>
        <v>#VALUE!</v>
      </c>
      <c r="LU18" s="962" t="e">
        <f t="shared" si="212"/>
        <v>#VALUE!</v>
      </c>
      <c r="LV18" s="962" t="e">
        <f t="shared" ref="LV18" si="213">IF(LV17-LV16&gt;-180,LV17-LV16,LV17-LV16+360)</f>
        <v>#VALUE!</v>
      </c>
      <c r="LW18" s="962" t="e">
        <f t="shared" ref="LW18" si="214">IF(LW17-LW16&gt;-180,LW17-LW16,LW17-LW16+360)</f>
        <v>#VALUE!</v>
      </c>
      <c r="LX18" s="962" t="e">
        <f t="shared" ref="LX18" si="215">IF(LX17-LX16&gt;-180,LX17-LX16,LX17-LX16+360)</f>
        <v>#VALUE!</v>
      </c>
      <c r="LY18" s="962" t="e">
        <f t="shared" ref="LY18:MB18" si="216">IF(LY17-LY16&gt;-180,LY17-LY16,LY17-LY16+360)</f>
        <v>#VALUE!</v>
      </c>
      <c r="LZ18" s="962" t="e">
        <f t="shared" si="216"/>
        <v>#VALUE!</v>
      </c>
      <c r="MA18" s="962" t="e">
        <f t="shared" si="216"/>
        <v>#VALUE!</v>
      </c>
      <c r="MB18" s="962" t="e">
        <f t="shared" si="216"/>
        <v>#VALUE!</v>
      </c>
      <c r="MC18" s="962" t="e">
        <f t="shared" ref="MC18" si="217">IF(MC17-MC16&gt;-180,MC17-MC16,MC17-MC16+360)</f>
        <v>#VALUE!</v>
      </c>
      <c r="MD18" s="962" t="e">
        <f t="shared" ref="MD18" si="218">IF(MD17-MD16&gt;-180,MD17-MD16,MD17-MD16+360)</f>
        <v>#VALUE!</v>
      </c>
      <c r="ME18" s="962" t="e">
        <f t="shared" ref="ME18" si="219">IF(ME17-ME16&gt;-180,ME17-ME16,ME17-ME16+360)</f>
        <v>#VALUE!</v>
      </c>
      <c r="MF18" s="962" t="e">
        <f t="shared" ref="MF18:MI18" si="220">IF(MF17-MF16&gt;-180,MF17-MF16,MF17-MF16+360)</f>
        <v>#VALUE!</v>
      </c>
      <c r="MG18" s="962" t="e">
        <f t="shared" si="220"/>
        <v>#VALUE!</v>
      </c>
      <c r="MH18" s="962" t="e">
        <f t="shared" si="220"/>
        <v>#VALUE!</v>
      </c>
      <c r="MI18" s="962" t="e">
        <f t="shared" si="220"/>
        <v>#VALUE!</v>
      </c>
      <c r="MJ18" s="962" t="e">
        <f t="shared" ref="MJ18" si="221">IF(MJ17-MJ16&gt;-180,MJ17-MJ16,MJ17-MJ16+360)</f>
        <v>#VALUE!</v>
      </c>
      <c r="MK18" s="962" t="e">
        <f t="shared" ref="MK18" si="222">IF(MK17-MK16&gt;-180,MK17-MK16,MK17-MK16+360)</f>
        <v>#VALUE!</v>
      </c>
      <c r="ML18" s="962" t="e">
        <f t="shared" ref="ML18" si="223">IF(ML17-ML16&gt;-180,ML17-ML16,ML17-ML16+360)</f>
        <v>#VALUE!</v>
      </c>
      <c r="MM18" s="962" t="e">
        <f t="shared" ref="MM18:MP18" si="224">IF(MM17-MM16&gt;-180,MM17-MM16,MM17-MM16+360)</f>
        <v>#VALUE!</v>
      </c>
      <c r="MN18" s="962" t="e">
        <f t="shared" si="224"/>
        <v>#VALUE!</v>
      </c>
      <c r="MO18" s="962" t="e">
        <f t="shared" si="224"/>
        <v>#VALUE!</v>
      </c>
      <c r="MP18" s="962" t="e">
        <f t="shared" si="224"/>
        <v>#VALUE!</v>
      </c>
      <c r="MQ18" s="962" t="e">
        <f t="shared" ref="MQ18" si="225">IF(MQ17-MQ16&gt;-180,MQ17-MQ16,MQ17-MQ16+360)</f>
        <v>#VALUE!</v>
      </c>
      <c r="MR18" s="962" t="e">
        <f t="shared" ref="MR18" si="226">IF(MR17-MR16&gt;-180,MR17-MR16,MR17-MR16+360)</f>
        <v>#VALUE!</v>
      </c>
      <c r="MS18" s="962" t="e">
        <f t="shared" ref="MS18" si="227">IF(MS17-MS16&gt;-180,MS17-MS16,MS17-MS16+360)</f>
        <v>#VALUE!</v>
      </c>
      <c r="MT18" s="962" t="e">
        <f t="shared" ref="MT18:MW18" si="228">IF(MT17-MT16&gt;-180,MT17-MT16,MT17-MT16+360)</f>
        <v>#VALUE!</v>
      </c>
      <c r="MU18" s="962" t="e">
        <f t="shared" si="228"/>
        <v>#VALUE!</v>
      </c>
      <c r="MV18" s="962" t="e">
        <f t="shared" si="228"/>
        <v>#VALUE!</v>
      </c>
      <c r="MW18" s="962" t="e">
        <f t="shared" si="228"/>
        <v>#VALUE!</v>
      </c>
      <c r="MX18" s="962" t="e">
        <f t="shared" ref="MX18" si="229">IF(MX17-MX16&gt;-180,MX17-MX16,MX17-MX16+360)</f>
        <v>#VALUE!</v>
      </c>
      <c r="MY18" s="962" t="e">
        <f t="shared" ref="MY18" si="230">IF(MY17-MY16&gt;-180,MY17-MY16,MY17-MY16+360)</f>
        <v>#VALUE!</v>
      </c>
      <c r="MZ18" s="962" t="e">
        <f t="shared" ref="MZ18" si="231">IF(MZ17-MZ16&gt;-180,MZ17-MZ16,MZ17-MZ16+360)</f>
        <v>#VALUE!</v>
      </c>
      <c r="NA18" s="962" t="e">
        <f t="shared" ref="NA18:ND18" si="232">IF(NA17-NA16&gt;-180,NA17-NA16,NA17-NA16+360)</f>
        <v>#VALUE!</v>
      </c>
      <c r="NB18" s="962" t="e">
        <f t="shared" si="232"/>
        <v>#VALUE!</v>
      </c>
      <c r="NC18" s="962" t="e">
        <f t="shared" si="232"/>
        <v>#VALUE!</v>
      </c>
      <c r="ND18" s="962" t="e">
        <f t="shared" si="232"/>
        <v>#VALUE!</v>
      </c>
      <c r="NE18" s="962" t="e">
        <f t="shared" ref="NE18" si="233">IF(NE17-NE16&gt;-180,NE17-NE16,NE17-NE16+360)</f>
        <v>#VALUE!</v>
      </c>
      <c r="NF18" s="962" t="e">
        <f t="shared" ref="NF18" si="234">IF(NF17-NF16&gt;-180,NF17-NF16,NF17-NF16+360)</f>
        <v>#VALUE!</v>
      </c>
      <c r="NG18" s="962" t="e">
        <f t="shared" ref="NG18" si="235">IF(NG17-NG16&gt;-180,NG17-NG16,NG17-NG16+360)</f>
        <v>#VALUE!</v>
      </c>
      <c r="NH18" s="962" t="e">
        <f t="shared" ref="NH18:NK18" si="236">IF(NH17-NH16&gt;-180,NH17-NH16,NH17-NH16+360)</f>
        <v>#VALUE!</v>
      </c>
      <c r="NI18" s="962" t="e">
        <f t="shared" si="236"/>
        <v>#VALUE!</v>
      </c>
      <c r="NJ18" s="962" t="e">
        <f t="shared" si="236"/>
        <v>#VALUE!</v>
      </c>
      <c r="NK18" s="962" t="e">
        <f t="shared" si="236"/>
        <v>#VALUE!</v>
      </c>
      <c r="NL18" s="962" t="e">
        <f t="shared" ref="NL18" si="237">IF(NL17-NL16&gt;-180,NL17-NL16,NL17-NL16+360)</f>
        <v>#VALUE!</v>
      </c>
      <c r="NM18" s="962" t="e">
        <f t="shared" ref="NM18" si="238">IF(NM17-NM16&gt;-180,NM17-NM16,NM17-NM16+360)</f>
        <v>#VALUE!</v>
      </c>
      <c r="NN18" s="962" t="e">
        <f t="shared" ref="NN18" si="239">IF(NN17-NN16&gt;-180,NN17-NN16,NN17-NN16+360)</f>
        <v>#VALUE!</v>
      </c>
      <c r="NO18" s="962" t="e">
        <f t="shared" ref="NO18:NR18" si="240">IF(NO17-NO16&gt;-180,NO17-NO16,NO17-NO16+360)</f>
        <v>#VALUE!</v>
      </c>
      <c r="NP18" s="962" t="e">
        <f t="shared" si="240"/>
        <v>#VALUE!</v>
      </c>
      <c r="NQ18" s="962" t="e">
        <f t="shared" si="240"/>
        <v>#VALUE!</v>
      </c>
      <c r="NR18" s="962" t="e">
        <f t="shared" si="240"/>
        <v>#VALUE!</v>
      </c>
      <c r="NS18" s="962" t="e">
        <f t="shared" ref="NS18" si="241">IF(NS17-NS16&gt;-180,NS17-NS16,NS17-NS16+360)</f>
        <v>#VALUE!</v>
      </c>
      <c r="NT18" s="962" t="e">
        <f t="shared" ref="NT18" si="242">IF(NT17-NT16&gt;-180,NT17-NT16,NT17-NT16+360)</f>
        <v>#VALUE!</v>
      </c>
      <c r="NU18" s="962" t="e">
        <f t="shared" ref="NU18" si="243">IF(NU17-NU16&gt;-180,NU17-NU16,NU17-NU16+360)</f>
        <v>#VALUE!</v>
      </c>
      <c r="NV18" s="962" t="e">
        <f t="shared" ref="NV18:NY18" si="244">IF(NV17-NV16&gt;-180,NV17-NV16,NV17-NV16+360)</f>
        <v>#VALUE!</v>
      </c>
      <c r="NW18" s="962" t="e">
        <f t="shared" si="244"/>
        <v>#VALUE!</v>
      </c>
      <c r="NX18" s="962" t="e">
        <f t="shared" si="244"/>
        <v>#VALUE!</v>
      </c>
      <c r="NY18" s="962" t="e">
        <f t="shared" si="244"/>
        <v>#VALUE!</v>
      </c>
      <c r="NZ18" s="962" t="e">
        <f t="shared" ref="NZ18" si="245">IF(NZ17-NZ16&gt;-180,NZ17-NZ16,NZ17-NZ16+360)</f>
        <v>#VALUE!</v>
      </c>
      <c r="OA18" s="962" t="e">
        <f t="shared" ref="OA18" si="246">IF(OA17-OA16&gt;-180,OA17-OA16,OA17-OA16+360)</f>
        <v>#VALUE!</v>
      </c>
      <c r="OB18" s="962" t="e">
        <f t="shared" ref="OB18" si="247">IF(OB17-OB16&gt;-180,OB17-OB16,OB17-OB16+360)</f>
        <v>#VALUE!</v>
      </c>
      <c r="OC18" s="962" t="e">
        <f t="shared" ref="OC18:OF18" si="248">IF(OC17-OC16&gt;-180,OC17-OC16,OC17-OC16+360)</f>
        <v>#VALUE!</v>
      </c>
      <c r="OD18" s="962" t="e">
        <f t="shared" si="248"/>
        <v>#VALUE!</v>
      </c>
      <c r="OE18" s="962" t="e">
        <f t="shared" si="248"/>
        <v>#VALUE!</v>
      </c>
      <c r="OF18" s="962" t="e">
        <f t="shared" si="248"/>
        <v>#VALUE!</v>
      </c>
      <c r="OG18" s="962" t="e">
        <f t="shared" ref="OG18" si="249">IF(OG17-OG16&gt;-180,OG17-OG16,OG17-OG16+360)</f>
        <v>#VALUE!</v>
      </c>
      <c r="OH18" s="962" t="e">
        <f t="shared" ref="OH18" si="250">IF(OH17-OH16&gt;-180,OH17-OH16,OH17-OH16+360)</f>
        <v>#VALUE!</v>
      </c>
      <c r="OI18" s="962" t="e">
        <f t="shared" ref="OI18" si="251">IF(OI17-OI16&gt;-180,OI17-OI16,OI17-OI16+360)</f>
        <v>#VALUE!</v>
      </c>
      <c r="OJ18" s="962" t="e">
        <f t="shared" ref="OJ18:OM18" si="252">IF(OJ17-OJ16&gt;-180,OJ17-OJ16,OJ17-OJ16+360)</f>
        <v>#VALUE!</v>
      </c>
      <c r="OK18" s="962" t="e">
        <f t="shared" si="252"/>
        <v>#VALUE!</v>
      </c>
      <c r="OL18" s="962" t="e">
        <f t="shared" si="252"/>
        <v>#VALUE!</v>
      </c>
      <c r="OM18" s="962" t="e">
        <f t="shared" si="252"/>
        <v>#VALUE!</v>
      </c>
      <c r="ON18" s="962" t="e">
        <f t="shared" ref="ON18" si="253">IF(ON17-ON16&gt;-180,ON17-ON16,ON17-ON16+360)</f>
        <v>#VALUE!</v>
      </c>
      <c r="OO18" s="962" t="e">
        <f t="shared" ref="OO18" si="254">IF(OO17-OO16&gt;-180,OO17-OO16,OO17-OO16+360)</f>
        <v>#VALUE!</v>
      </c>
      <c r="OP18" s="962" t="e">
        <f t="shared" ref="OP18" si="255">IF(OP17-OP16&gt;-180,OP17-OP16,OP17-OP16+360)</f>
        <v>#VALUE!</v>
      </c>
      <c r="OQ18" s="962" t="e">
        <f t="shared" ref="OQ18:OT18" si="256">IF(OQ17-OQ16&gt;-180,OQ17-OQ16,OQ17-OQ16+360)</f>
        <v>#VALUE!</v>
      </c>
      <c r="OR18" s="962" t="e">
        <f t="shared" si="256"/>
        <v>#VALUE!</v>
      </c>
      <c r="OS18" s="962" t="e">
        <f t="shared" si="256"/>
        <v>#VALUE!</v>
      </c>
      <c r="OT18" s="962" t="e">
        <f t="shared" si="256"/>
        <v>#VALUE!</v>
      </c>
      <c r="OU18" s="962" t="e">
        <f t="shared" ref="OU18" si="257">IF(OU17-OU16&gt;-180,OU17-OU16,OU17-OU16+360)</f>
        <v>#VALUE!</v>
      </c>
      <c r="OV18" s="962" t="e">
        <f t="shared" ref="OV18" si="258">IF(OV17-OV16&gt;-180,OV17-OV16,OV17-OV16+360)</f>
        <v>#VALUE!</v>
      </c>
      <c r="OW18" s="962" t="e">
        <f t="shared" ref="OW18" si="259">IF(OW17-OW16&gt;-180,OW17-OW16,OW17-OW16+360)</f>
        <v>#VALUE!</v>
      </c>
      <c r="OX18" s="962" t="e">
        <f t="shared" ref="OX18:PA18" si="260">IF(OX17-OX16&gt;-180,OX17-OX16,OX17-OX16+360)</f>
        <v>#VALUE!</v>
      </c>
      <c r="OY18" s="962" t="e">
        <f t="shared" si="260"/>
        <v>#VALUE!</v>
      </c>
      <c r="OZ18" s="962" t="e">
        <f t="shared" si="260"/>
        <v>#VALUE!</v>
      </c>
      <c r="PA18" s="962" t="e">
        <f t="shared" si="260"/>
        <v>#VALUE!</v>
      </c>
      <c r="PB18" s="962" t="e">
        <f t="shared" ref="PB18" si="261">IF(PB17-PB16&gt;-180,PB17-PB16,PB17-PB16+360)</f>
        <v>#VALUE!</v>
      </c>
      <c r="PC18" s="962" t="e">
        <f t="shared" ref="PC18" si="262">IF(PC17-PC16&gt;-180,PC17-PC16,PC17-PC16+360)</f>
        <v>#VALUE!</v>
      </c>
      <c r="PD18" s="962" t="e">
        <f t="shared" ref="PD18" si="263">IF(PD17-PD16&gt;-180,PD17-PD16,PD17-PD16+360)</f>
        <v>#VALUE!</v>
      </c>
      <c r="PE18" s="962" t="e">
        <f t="shared" ref="PE18:PH18" si="264">IF(PE17-PE16&gt;-180,PE17-PE16,PE17-PE16+360)</f>
        <v>#VALUE!</v>
      </c>
      <c r="PF18" s="962" t="e">
        <f t="shared" si="264"/>
        <v>#VALUE!</v>
      </c>
      <c r="PG18" s="962" t="e">
        <f t="shared" si="264"/>
        <v>#VALUE!</v>
      </c>
      <c r="PH18" s="962" t="e">
        <f t="shared" si="264"/>
        <v>#VALUE!</v>
      </c>
      <c r="PI18" s="962" t="e">
        <f t="shared" ref="PI18" si="265">IF(PI17-PI16&gt;-180,PI17-PI16,PI17-PI16+360)</f>
        <v>#VALUE!</v>
      </c>
      <c r="PJ18" s="962" t="e">
        <f t="shared" ref="PJ18" si="266">IF(PJ17-PJ16&gt;-180,PJ17-PJ16,PJ17-PJ16+360)</f>
        <v>#VALUE!</v>
      </c>
      <c r="PK18" s="962" t="e">
        <f t="shared" ref="PK18" si="267">IF(PK17-PK16&gt;-180,PK17-PK16,PK17-PK16+360)</f>
        <v>#VALUE!</v>
      </c>
      <c r="PL18" s="962" t="e">
        <f t="shared" ref="PL18:PO18" si="268">IF(PL17-PL16&gt;-180,PL17-PL16,PL17-PL16+360)</f>
        <v>#VALUE!</v>
      </c>
      <c r="PM18" s="962" t="e">
        <f t="shared" si="268"/>
        <v>#VALUE!</v>
      </c>
      <c r="PN18" s="962" t="e">
        <f t="shared" si="268"/>
        <v>#VALUE!</v>
      </c>
      <c r="PO18" s="962" t="e">
        <f t="shared" si="268"/>
        <v>#VALUE!</v>
      </c>
      <c r="PP18" s="962" t="e">
        <f t="shared" ref="PP18" si="269">IF(PP17-PP16&gt;-180,PP17-PP16,PP17-PP16+360)</f>
        <v>#VALUE!</v>
      </c>
      <c r="PQ18" s="962" t="e">
        <f t="shared" ref="PQ18" si="270">IF(PQ17-PQ16&gt;-180,PQ17-PQ16,PQ17-PQ16+360)</f>
        <v>#VALUE!</v>
      </c>
      <c r="PR18" s="962" t="e">
        <f t="shared" ref="PR18" si="271">IF(PR17-PR16&gt;-180,PR17-PR16,PR17-PR16+360)</f>
        <v>#VALUE!</v>
      </c>
      <c r="PS18" s="962" t="e">
        <f t="shared" ref="PS18:PV18" si="272">IF(PS17-PS16&gt;-180,PS17-PS16,PS17-PS16+360)</f>
        <v>#VALUE!</v>
      </c>
      <c r="PT18" s="962" t="e">
        <f t="shared" si="272"/>
        <v>#VALUE!</v>
      </c>
      <c r="PU18" s="962" t="e">
        <f t="shared" si="272"/>
        <v>#VALUE!</v>
      </c>
      <c r="PV18" s="962" t="e">
        <f t="shared" si="272"/>
        <v>#VALUE!</v>
      </c>
      <c r="PW18" s="962" t="e">
        <f t="shared" ref="PW18" si="273">IF(PW17-PW16&gt;-180,PW17-PW16,PW17-PW16+360)</f>
        <v>#VALUE!</v>
      </c>
      <c r="PX18" s="962" t="e">
        <f t="shared" ref="PX18" si="274">IF(PX17-PX16&gt;-180,PX17-PX16,PX17-PX16+360)</f>
        <v>#VALUE!</v>
      </c>
      <c r="PY18" s="962" t="e">
        <f t="shared" ref="PY18" si="275">IF(PY17-PY16&gt;-180,PY17-PY16,PY17-PY16+360)</f>
        <v>#VALUE!</v>
      </c>
      <c r="PZ18" s="962" t="e">
        <f t="shared" ref="PZ18:QC18" si="276">IF(PZ17-PZ16&gt;-180,PZ17-PZ16,PZ17-PZ16+360)</f>
        <v>#VALUE!</v>
      </c>
      <c r="QA18" s="962" t="e">
        <f t="shared" si="276"/>
        <v>#VALUE!</v>
      </c>
      <c r="QB18" s="962" t="e">
        <f t="shared" si="276"/>
        <v>#VALUE!</v>
      </c>
      <c r="QC18" s="962" t="e">
        <f t="shared" si="276"/>
        <v>#VALUE!</v>
      </c>
      <c r="QD18" s="962" t="e">
        <f t="shared" ref="QD18" si="277">IF(QD17-QD16&gt;-180,QD17-QD16,QD17-QD16+360)</f>
        <v>#VALUE!</v>
      </c>
      <c r="QE18" s="962" t="e">
        <f t="shared" ref="QE18" si="278">IF(QE17-QE16&gt;-180,QE17-QE16,QE17-QE16+360)</f>
        <v>#VALUE!</v>
      </c>
      <c r="QF18" s="962" t="e">
        <f t="shared" ref="QF18" si="279">IF(QF17-QF16&gt;-180,QF17-QF16,QF17-QF16+360)</f>
        <v>#VALUE!</v>
      </c>
      <c r="QG18" s="962" t="e">
        <f t="shared" ref="QG18:QJ18" si="280">IF(QG17-QG16&gt;-180,QG17-QG16,QG17-QG16+360)</f>
        <v>#VALUE!</v>
      </c>
      <c r="QH18" s="962" t="e">
        <f t="shared" si="280"/>
        <v>#VALUE!</v>
      </c>
      <c r="QI18" s="962" t="e">
        <f t="shared" si="280"/>
        <v>#VALUE!</v>
      </c>
      <c r="QJ18" s="962" t="e">
        <f t="shared" si="280"/>
        <v>#VALUE!</v>
      </c>
      <c r="QK18" s="962" t="e">
        <f t="shared" ref="QK18" si="281">IF(QK17-QK16&gt;-180,QK17-QK16,QK17-QK16+360)</f>
        <v>#VALUE!</v>
      </c>
      <c r="QL18" s="962" t="e">
        <f t="shared" ref="QL18" si="282">IF(QL17-QL16&gt;-180,QL17-QL16,QL17-QL16+360)</f>
        <v>#VALUE!</v>
      </c>
      <c r="QM18" s="962" t="e">
        <f t="shared" ref="QM18" si="283">IF(QM17-QM16&gt;-180,QM17-QM16,QM17-QM16+360)</f>
        <v>#VALUE!</v>
      </c>
      <c r="QN18" s="962" t="e">
        <f t="shared" ref="QN18:QQ18" si="284">IF(QN17-QN16&gt;-180,QN17-QN16,QN17-QN16+360)</f>
        <v>#VALUE!</v>
      </c>
      <c r="QO18" s="962" t="e">
        <f t="shared" si="284"/>
        <v>#VALUE!</v>
      </c>
      <c r="QP18" s="962" t="e">
        <f t="shared" si="284"/>
        <v>#VALUE!</v>
      </c>
      <c r="QQ18" s="962" t="e">
        <f t="shared" si="284"/>
        <v>#VALUE!</v>
      </c>
      <c r="QR18" s="962" t="e">
        <f t="shared" ref="QR18" si="285">IF(QR17-QR16&gt;-180,QR17-QR16,QR17-QR16+360)</f>
        <v>#VALUE!</v>
      </c>
      <c r="QS18" s="962" t="e">
        <f t="shared" ref="QS18" si="286">IF(QS17-QS16&gt;-180,QS17-QS16,QS17-QS16+360)</f>
        <v>#VALUE!</v>
      </c>
      <c r="QT18" s="962" t="e">
        <f t="shared" ref="QT18" si="287">IF(QT17-QT16&gt;-180,QT17-QT16,QT17-QT16+360)</f>
        <v>#VALUE!</v>
      </c>
      <c r="QU18" s="962" t="e">
        <f t="shared" ref="QU18:QX18" si="288">IF(QU17-QU16&gt;-180,QU17-QU16,QU17-QU16+360)</f>
        <v>#VALUE!</v>
      </c>
      <c r="QV18" s="962" t="e">
        <f t="shared" si="288"/>
        <v>#VALUE!</v>
      </c>
      <c r="QW18" s="962" t="e">
        <f t="shared" si="288"/>
        <v>#VALUE!</v>
      </c>
      <c r="QX18" s="962" t="e">
        <f t="shared" si="288"/>
        <v>#VALUE!</v>
      </c>
      <c r="QY18" s="962" t="e">
        <f t="shared" ref="QY18" si="289">IF(QY17-QY16&gt;-180,QY17-QY16,QY17-QY16+360)</f>
        <v>#VALUE!</v>
      </c>
      <c r="QZ18" s="962" t="e">
        <f t="shared" ref="QZ18" si="290">IF(QZ17-QZ16&gt;-180,QZ17-QZ16,QZ17-QZ16+360)</f>
        <v>#VALUE!</v>
      </c>
      <c r="RA18" s="963"/>
    </row>
    <row r="19" spans="1:471" ht="18" thickBot="1">
      <c r="A19" s="22">
        <f>A16</f>
        <v>22</v>
      </c>
      <c r="B19" s="22">
        <f>B16</f>
        <v>9</v>
      </c>
      <c r="C19" s="22">
        <f>C16</f>
        <v>1442</v>
      </c>
      <c r="D19" t="str">
        <f>D16</f>
        <v>شمسی</v>
      </c>
      <c r="E19">
        <f>E16</f>
        <v>16</v>
      </c>
      <c r="J19" s="12"/>
      <c r="K19" s="12"/>
      <c r="L19" s="12"/>
      <c r="M19" s="12"/>
      <c r="N19" s="12"/>
      <c r="O19" s="12"/>
      <c r="P19" s="12"/>
      <c r="Q19" s="12"/>
      <c r="R19" s="12"/>
      <c r="S19" s="12"/>
      <c r="T19" s="12"/>
      <c r="U19" s="12"/>
      <c r="V19" s="12"/>
      <c r="W19" s="12"/>
      <c r="X19" s="12"/>
      <c r="Y19" s="12"/>
      <c r="Z19" s="12"/>
      <c r="AA19" s="12"/>
      <c r="AE19">
        <f>1/AE18</f>
        <v>128.20946152096568</v>
      </c>
      <c r="AK19" s="759"/>
      <c r="AL19" s="701">
        <f>[1]!mbtool(2,17,0,1)</f>
        <v>9.5138888888888884E-2</v>
      </c>
      <c r="AM19" s="304">
        <f>[1]!mbtool(2,17,0,1)</f>
        <v>9.5138888888888884E-2</v>
      </c>
      <c r="AN19" s="304">
        <f>[1]!mbtool(2,17,0,1)</f>
        <v>9.5138888888888884E-2</v>
      </c>
      <c r="AO19" s="304">
        <f>[1]!mbtool(2,17,0,1)</f>
        <v>9.5138888888888884E-2</v>
      </c>
      <c r="AP19" s="304">
        <f>[1]!mbtool(2,17,0,1)</f>
        <v>9.5138888888888884E-2</v>
      </c>
      <c r="AQ19" s="304">
        <f>[1]!mbtool(2,17,0,1)</f>
        <v>9.5138888888888884E-2</v>
      </c>
      <c r="AR19" s="304">
        <f>[1]!mbtool(2,17,0,1)</f>
        <v>9.5138888888888884E-2</v>
      </c>
      <c r="AS19" s="304">
        <f>[1]!mbtool(2,17,0,1)</f>
        <v>9.5138888888888884E-2</v>
      </c>
      <c r="AT19" s="304">
        <f>[1]!mbtool(2,17,0,1)</f>
        <v>9.5138888888888884E-2</v>
      </c>
      <c r="AU19" s="304">
        <f>[1]!mbtool(2,17,0,1)</f>
        <v>9.5138888888888884E-2</v>
      </c>
      <c r="AV19" s="304">
        <f>[1]!mbtool(2,17,0,1)</f>
        <v>9.5138888888888884E-2</v>
      </c>
      <c r="AW19" s="304">
        <f>[1]!mbtool(2,17,0,1)</f>
        <v>9.5138888888888884E-2</v>
      </c>
      <c r="AX19" s="314"/>
      <c r="AZ19" s="732"/>
      <c r="BA19" s="731">
        <f>(BA3-1)*354.367092592592</f>
        <v>490798.42324073991</v>
      </c>
      <c r="BB19" s="118">
        <v>0</v>
      </c>
      <c r="BC19" s="118" t="e">
        <f>BB17</f>
        <v>#VALUE!</v>
      </c>
      <c r="BD19" s="118" t="e">
        <f>BC17+BB17</f>
        <v>#VALUE!</v>
      </c>
      <c r="BE19" s="118" t="e">
        <f>BD17+BC17+BB17</f>
        <v>#VALUE!</v>
      </c>
      <c r="BF19" s="118" t="e">
        <f>SUM(BB17:BE17)</f>
        <v>#VALUE!</v>
      </c>
      <c r="BG19" s="118" t="e">
        <f>SUM(BB17:BF17)</f>
        <v>#VALUE!</v>
      </c>
      <c r="BH19" s="118" t="e">
        <f>SUM(BB17:BG17)</f>
        <v>#VALUE!</v>
      </c>
      <c r="BI19" s="118" t="e">
        <f>SUM(BB17:BH17)</f>
        <v>#VALUE!</v>
      </c>
      <c r="BJ19" s="118" t="e">
        <f>SUM(BB17:BI17)</f>
        <v>#VALUE!</v>
      </c>
      <c r="BK19" s="118" t="e">
        <f>SUM(BB17:BJ17)</f>
        <v>#VALUE!</v>
      </c>
      <c r="BL19" s="118" t="e">
        <f>SUM(BB17:BK17)</f>
        <v>#VALUE!</v>
      </c>
      <c r="BM19" s="118" t="e">
        <f>SUM(BB17:BL17)</f>
        <v>#VALUE!</v>
      </c>
      <c r="BN19" s="772"/>
      <c r="BV19" s="112" t="s">
        <v>4</v>
      </c>
      <c r="BW19" s="317">
        <f>BW4</f>
        <v>1</v>
      </c>
      <c r="CA19" s="490" t="s">
        <v>3761</v>
      </c>
      <c r="CB19" s="309" t="e">
        <f>IF(CB16&gt;0,CB16,30)</f>
        <v>#VALUE!</v>
      </c>
      <c r="CC19" s="309"/>
      <c r="CD19" s="309"/>
      <c r="CE19" s="309"/>
      <c r="CF19" s="774"/>
      <c r="CG19" s="242" t="s">
        <v>3758</v>
      </c>
      <c r="CH19" s="242">
        <f>IF(CH14&lt;=30,CH14,CH14-30)</f>
        <v>1</v>
      </c>
      <c r="CI19" s="242"/>
      <c r="CJ19" s="242"/>
      <c r="CK19" s="242"/>
      <c r="CL19" s="788"/>
      <c r="CO19" s="759"/>
      <c r="CP19" s="759"/>
      <c r="CQ19" s="759"/>
      <c r="CR19" s="759"/>
      <c r="CS19" s="759"/>
      <c r="CT19" s="759"/>
      <c r="CU19" s="759"/>
      <c r="CV19" s="490" t="s">
        <v>3761</v>
      </c>
      <c r="CW19" s="309">
        <f>IF(CW16&gt;0,CW16,30)</f>
        <v>18</v>
      </c>
      <c r="CX19" s="309"/>
      <c r="CY19" s="309"/>
      <c r="CZ19" s="309"/>
      <c r="DA19" s="774"/>
      <c r="DC19" s="906"/>
      <c r="DD19" s="114">
        <f>ROUNDUP(DD18,0.5)</f>
        <v>0</v>
      </c>
      <c r="DE19" s="115">
        <f>INT(DE16/30)*11</f>
        <v>-11</v>
      </c>
      <c r="DI19" t="s">
        <v>3802</v>
      </c>
      <c r="DJ19" s="959" t="e">
        <f>[1]!bodmoadal(1,1,(DJ12+1),[1]!qsn([1]!ml([1]!taqsha(1,1,1+DJ12,DJ13)),DJ14)/30,DJ13,DJ14)</f>
        <v>#VALUE!</v>
      </c>
      <c r="DK19" s="962" t="e">
        <f>[1]!bodmoadal(1,1,(DK12+1),[1]!qsn([1]!ml([1]!taqsha(1,1,1+DK12,DK13)),DK14)/30,DK13,DK14)</f>
        <v>#VALUE!</v>
      </c>
      <c r="DL19" s="962" t="e">
        <f>[1]!bodmoadal(1,1,(DL12+1),[1]!qsn([1]!ml([1]!taqsha(1,1,1+DL12,DL13)),DL14)/30,DL13,DL14)</f>
        <v>#VALUE!</v>
      </c>
      <c r="DM19" s="962" t="e">
        <f>[1]!bodmoadal(1,1,(DM12+1),[1]!qsn([1]!ml([1]!taqsha(1,1,1+DM12,DM13)),DM14)/30,DM13,DM14)</f>
        <v>#VALUE!</v>
      </c>
      <c r="DN19" s="962" t="e">
        <f>[1]!bodmoadal(1,1,(DN12+1),[1]!qsn([1]!ml([1]!taqsha(1,1,1+DN12,DN13)),DN14)/30,DN13,DN14)</f>
        <v>#VALUE!</v>
      </c>
      <c r="DO19" s="962" t="e">
        <f>[1]!bodmoadal(1,1,(DO12+1),[1]!qsn([1]!ml([1]!taqsha(1,1,1+DO12,DO13)),DO14)/30,DO13,DO14)</f>
        <v>#VALUE!</v>
      </c>
      <c r="DP19" s="962" t="e">
        <f>[1]!bodmoadal(1,1,(DP12+1),[1]!qsn([1]!ml([1]!taqsha(1,1,1+DP12,DP13)),DP14)/30,DP13,DP14)</f>
        <v>#VALUE!</v>
      </c>
      <c r="DQ19" s="962" t="e">
        <f>[1]!bodmoadal(1,1,(DQ12+1),[1]!qsn([1]!ml([1]!taqsha(1,1,1+DQ12,DQ13)),DQ14)/30,DQ13,DQ14)</f>
        <v>#VALUE!</v>
      </c>
      <c r="DR19" s="962" t="e">
        <f>[1]!bodmoadal(1,1,(DR12+1),[1]!qsn([1]!ml([1]!taqsha(1,1,1+DR12,DR13)),DR14)/30,DR13,DR14)</f>
        <v>#VALUE!</v>
      </c>
      <c r="DS19" s="962" t="e">
        <f>[1]!bodmoadal(1,1,(DS12+1),[1]!qsn([1]!ml([1]!taqsha(1,1,1+DS12,DS13)),DS14)/30,DS13,DS14)</f>
        <v>#VALUE!</v>
      </c>
      <c r="DT19" s="962" t="e">
        <f>[1]!bodmoadal(1,1,(DT12+1),[1]!qsn([1]!ml([1]!taqsha(1,1,1+DT12,DT13)),DT14)/30,DT13,DT14)</f>
        <v>#VALUE!</v>
      </c>
      <c r="DU19" s="962" t="e">
        <f>[1]!bodmoadal(1,1,(DU12+1),[1]!qsn([1]!ml([1]!taqsha(1,1,1+DU12,DU13)),DU14)/30,DU13,DU14)</f>
        <v>#VALUE!</v>
      </c>
      <c r="DV19" s="962" t="e">
        <f>[1]!bodmoadal(1,1,(DV12+1),[1]!qsn([1]!ml([1]!taqsha(1,1,1+DV12,DV13)),DV14)/30,DV13,DV14)</f>
        <v>#VALUE!</v>
      </c>
      <c r="DW19" s="962" t="e">
        <f>[1]!bodmoadal(1,1,(DW12+1),[1]!qsn([1]!ml([1]!taqsha(1,1,1+DW12,DW13)),DW14)/30,DW13,DW14)</f>
        <v>#VALUE!</v>
      </c>
      <c r="DX19" s="962" t="e">
        <f>[1]!bodmoadal(1,1,(DX12+1),[1]!qsn([1]!ml([1]!taqsha(1,1,1+DX12,DX13)),DX14)/30,DX13,DX14)</f>
        <v>#VALUE!</v>
      </c>
      <c r="DY19" s="962" t="e">
        <f>[1]!bodmoadal(1,1,(DY12+1),[1]!qsn([1]!ml([1]!taqsha(1,1,1+DY12,DY13)),DY14)/30,DY13,DY14)</f>
        <v>#VALUE!</v>
      </c>
      <c r="DZ19" s="962" t="e">
        <f>[1]!bodmoadal(1,1,(DZ12+1),[1]!qsn([1]!ml([1]!taqsha(1,1,1+DZ12,DZ13)),DZ14)/30,DZ13,DZ14)</f>
        <v>#VALUE!</v>
      </c>
      <c r="EA19" s="962" t="e">
        <f>[1]!bodmoadal(1,1,(EA12+1),[1]!qsn([1]!ml([1]!taqsha(1,1,1+EA12,EA13)),EA14)/30,EA13,EA14)</f>
        <v>#VALUE!</v>
      </c>
      <c r="EB19" s="962" t="e">
        <f>[1]!bodmoadal(1,1,(EB12+1),[1]!qsn([1]!ml([1]!taqsha(1,1,1+EB12,EB13)),EB14)/30,EB13,EB14)</f>
        <v>#VALUE!</v>
      </c>
      <c r="EC19" s="962" t="e">
        <f>[1]!bodmoadal(1,1,(EC12+1),[1]!qsn([1]!ml([1]!taqsha(1,1,1+EC12,EC13)),EC14)/30,EC13,EC14)</f>
        <v>#VALUE!</v>
      </c>
      <c r="ED19" s="962" t="e">
        <f>[1]!bodmoadal(1,1,(ED12+1),[1]!qsn([1]!ml([1]!taqsha(1,1,1+ED12,ED13)),ED14)/30,ED13,ED14)</f>
        <v>#VALUE!</v>
      </c>
      <c r="EE19" s="962" t="e">
        <f>[1]!bodmoadal(1,1,(EE12+1),[1]!qsn([1]!ml([1]!taqsha(1,1,1+EE12,EE13)),EE14)/30,EE13,EE14)</f>
        <v>#VALUE!</v>
      </c>
      <c r="EF19" s="962" t="e">
        <f>[1]!bodmoadal(1,1,(EF12+1),[1]!qsn([1]!ml([1]!taqsha(1,1,1+EF12,EF13)),EF14)/30,EF13,EF14)</f>
        <v>#VALUE!</v>
      </c>
      <c r="EG19" s="962" t="e">
        <f>[1]!bodmoadal(1,1,(EG12+1),[1]!qsn([1]!ml([1]!taqsha(1,1,1+EG12,EG13)),EG14)/30,EG13,EG14)</f>
        <v>#VALUE!</v>
      </c>
      <c r="EH19" s="962" t="e">
        <f>[1]!bodmoadal(1,1,(EH12+1),[1]!qsn([1]!ml([1]!taqsha(1,1,1+EH12,EH13)),EH14)/30,EH13,EH14)</f>
        <v>#VALUE!</v>
      </c>
      <c r="EI19" s="962" t="e">
        <f>[1]!bodmoadal(1,1,(EI12+1),[1]!qsn([1]!ml([1]!taqsha(1,1,1+EI12,EI13)),EI14)/30,EI13,EI14)</f>
        <v>#VALUE!</v>
      </c>
      <c r="EJ19" s="962" t="e">
        <f>[1]!bodmoadal(1,1,(EJ12+1),[1]!qsn([1]!ml([1]!taqsha(1,1,1+EJ12,EJ13)),EJ14)/30,EJ13,EJ14)</f>
        <v>#VALUE!</v>
      </c>
      <c r="EK19" s="962" t="e">
        <f>[1]!bodmoadal(1,1,(EK12+1),[1]!qsn([1]!ml([1]!taqsha(1,1,1+EK12,EK13)),EK14)/30,EK13,EK14)</f>
        <v>#VALUE!</v>
      </c>
      <c r="EL19" s="962" t="e">
        <f>[1]!bodmoadal(1,1,(EL12+1),[1]!qsn([1]!ml([1]!taqsha(1,1,1+EL12,EL13)),EL14)/30,EL13,EL14)</f>
        <v>#VALUE!</v>
      </c>
      <c r="EM19" s="962" t="e">
        <f>[1]!bodmoadal(1,1,(EM12+1),[1]!qsn([1]!ml([1]!taqsha(1,1,1+EM12,EM13)),EM14)/30,EM13,EM14)</f>
        <v>#VALUE!</v>
      </c>
      <c r="EN19" s="962" t="e">
        <f>[1]!bodmoadal(1,1,(EN12+1),[1]!qsn([1]!ml([1]!taqsha(1,1,1+EN12,EN13)),EN14)/30,EN13,EN14)</f>
        <v>#VALUE!</v>
      </c>
      <c r="EO19" s="962" t="e">
        <f>[1]!bodmoadal(1,1,(EO12+1),[1]!qsn([1]!ml([1]!taqsha(1,1,1+EO12,EO13)),EO14)/30,EO13,EO14)</f>
        <v>#VALUE!</v>
      </c>
      <c r="EP19" s="962" t="e">
        <f>[1]!bodmoadal(1,1,(EP12+1),[1]!qsn([1]!ml([1]!taqsha(1,1,1+EP12,EP13)),EP14)/30,EP13,EP14)</f>
        <v>#VALUE!</v>
      </c>
      <c r="EQ19" s="962" t="e">
        <f>[1]!bodmoadal(1,1,(EQ12+1),[1]!qsn([1]!ml([1]!taqsha(1,1,1+EQ12,EQ13)),EQ14)/30,EQ13,EQ14)</f>
        <v>#VALUE!</v>
      </c>
      <c r="ER19" s="962" t="e">
        <f>[1]!bodmoadal(1,1,(ER12+1),[1]!qsn([1]!ml([1]!taqsha(1,1,1+ER12,ER13)),ER14)/30,ER13,ER14)</f>
        <v>#VALUE!</v>
      </c>
      <c r="ES19" s="962" t="e">
        <f>[1]!bodmoadal(1,1,(ES12+1),[1]!qsn([1]!ml([1]!taqsha(1,1,1+ES12,ES13)),ES14)/30,ES13,ES14)</f>
        <v>#VALUE!</v>
      </c>
      <c r="ET19" s="962" t="e">
        <f>[1]!bodmoadal(1,1,(ET12+1),[1]!qsn([1]!ml([1]!taqsha(1,1,1+ET12,ET13)),ET14)/30,ET13,ET14)</f>
        <v>#VALUE!</v>
      </c>
      <c r="EU19" s="962" t="e">
        <f>[1]!bodmoadal(1,1,(EU12+1),[1]!qsn([1]!ml([1]!taqsha(1,1,1+EU12,EU13)),EU14)/30,EU13,EU14)</f>
        <v>#VALUE!</v>
      </c>
      <c r="EV19" s="962" t="e">
        <f>[1]!bodmoadal(1,1,(EV12+1),[1]!qsn([1]!ml([1]!taqsha(1,1,1+EV12,EV13)),EV14)/30,EV13,EV14)</f>
        <v>#VALUE!</v>
      </c>
      <c r="EW19" s="962" t="e">
        <f>[1]!bodmoadal(1,1,(EW12+1),[1]!qsn([1]!ml([1]!taqsha(1,1,1+EW12,EW13)),EW14)/30,EW13,EW14)</f>
        <v>#VALUE!</v>
      </c>
      <c r="EX19" s="962" t="e">
        <f>[1]!bodmoadal(1,1,(EX12+1),[1]!qsn([1]!ml([1]!taqsha(1,1,1+EX12,EX13)),EX14)/30,EX13,EX14)</f>
        <v>#VALUE!</v>
      </c>
      <c r="EY19" s="962" t="e">
        <f>[1]!bodmoadal(1,1,(EY12+1),[1]!qsn([1]!ml([1]!taqsha(1,1,1+EY12,EY13)),EY14)/30,EY13,EY14)</f>
        <v>#VALUE!</v>
      </c>
      <c r="EZ19" s="962" t="e">
        <f>[1]!bodmoadal(1,1,(EZ12+1),[1]!qsn([1]!ml([1]!taqsha(1,1,1+EZ12,EZ13)),EZ14)/30,EZ13,EZ14)</f>
        <v>#VALUE!</v>
      </c>
      <c r="FA19" s="962" t="e">
        <f>[1]!bodmoadal(1,1,(FA12+1),[1]!qsn([1]!ml([1]!taqsha(1,1,1+FA12,FA13)),FA14)/30,FA13,FA14)</f>
        <v>#VALUE!</v>
      </c>
      <c r="FB19" s="962" t="e">
        <f>[1]!bodmoadal(1,1,(FB12+1),[1]!qsn([1]!ml([1]!taqsha(1,1,1+FB12,FB13)),FB14)/30,FB13,FB14)</f>
        <v>#VALUE!</v>
      </c>
      <c r="FC19" s="962" t="e">
        <f>[1]!bodmoadal(1,1,(FC12+1),[1]!qsn([1]!ml([1]!taqsha(1,1,1+FC12,FC13)),FC14)/30,FC13,FC14)</f>
        <v>#VALUE!</v>
      </c>
      <c r="FD19" s="962" t="e">
        <f>[1]!bodmoadal(1,1,(FD12+1),[1]!qsn([1]!ml([1]!taqsha(1,1,1+FD12,FD13)),FD14)/30,FD13,FD14)</f>
        <v>#VALUE!</v>
      </c>
      <c r="FE19" s="962" t="e">
        <f>[1]!bodmoadal(1,1,(FE12+1),[1]!qsn([1]!ml([1]!taqsha(1,1,1+FE12,FE13)),FE14)/30,FE13,FE14)</f>
        <v>#VALUE!</v>
      </c>
      <c r="FF19" s="962" t="e">
        <f>[1]!bodmoadal(1,1,(FF12+1),[1]!qsn([1]!ml([1]!taqsha(1,1,1+FF12,FF13)),FF14)/30,FF13,FF14)</f>
        <v>#VALUE!</v>
      </c>
      <c r="FG19" s="962" t="e">
        <f>[1]!bodmoadal(1,1,(FG12+1),[1]!qsn([1]!ml([1]!taqsha(1,1,1+FG12,FG13)),FG14)/30,FG13,FG14)</f>
        <v>#VALUE!</v>
      </c>
      <c r="FH19" s="962" t="e">
        <f>[1]!bodmoadal(1,1,(FH12+1),[1]!qsn([1]!ml([1]!taqsha(1,1,1+FH12,FH13)),FH14)/30,FH13,FH14)</f>
        <v>#VALUE!</v>
      </c>
      <c r="FI19" s="962" t="e">
        <f>[1]!bodmoadal(1,1,(FI12+1),[1]!qsn([1]!ml([1]!taqsha(1,1,1+FI12,FI13)),FI14)/30,FI13,FI14)</f>
        <v>#VALUE!</v>
      </c>
      <c r="FJ19" s="962" t="e">
        <f>[1]!bodmoadal(1,1,(FJ12+1),[1]!qsn([1]!ml([1]!taqsha(1,1,1+FJ12,FJ13)),FJ14)/30,FJ13,FJ14)</f>
        <v>#VALUE!</v>
      </c>
      <c r="FK19" s="962" t="e">
        <f>[1]!bodmoadal(1,1,(FK12+1),[1]!qsn([1]!ml([1]!taqsha(1,1,1+FK12,FK13)),FK14)/30,FK13,FK14)</f>
        <v>#VALUE!</v>
      </c>
      <c r="FL19" s="962" t="e">
        <f>[1]!bodmoadal(1,1,(FL12+1),[1]!qsn([1]!ml([1]!taqsha(1,1,1+FL12,FL13)),FL14)/30,FL13,FL14)</f>
        <v>#VALUE!</v>
      </c>
      <c r="FM19" s="962" t="e">
        <f>[1]!bodmoadal(1,1,(FM12+1),[1]!qsn([1]!ml([1]!taqsha(1,1,1+FM12,FM13)),FM14)/30,FM13,FM14)</f>
        <v>#VALUE!</v>
      </c>
      <c r="FN19" s="962" t="e">
        <f>[1]!bodmoadal(1,1,(FN12+1),[1]!qsn([1]!ml([1]!taqsha(1,1,1+FN12,FN13)),FN14)/30,FN13,FN14)</f>
        <v>#VALUE!</v>
      </c>
      <c r="FO19" s="962" t="e">
        <f>[1]!bodmoadal(1,1,(FO12+1),[1]!qsn([1]!ml([1]!taqsha(1,1,1+FO12,FO13)),FO14)/30,FO13,FO14)</f>
        <v>#VALUE!</v>
      </c>
      <c r="FP19" s="962" t="e">
        <f>[1]!bodmoadal(1,1,(FP12+1),[1]!qsn([1]!ml([1]!taqsha(1,1,1+FP12,FP13)),FP14)/30,FP13,FP14)</f>
        <v>#VALUE!</v>
      </c>
      <c r="FQ19" s="962" t="e">
        <f>[1]!bodmoadal(1,1,(FQ12+1),[1]!qsn([1]!ml([1]!taqsha(1,1,1+FQ12,FQ13)),FQ14)/30,FQ13,FQ14)</f>
        <v>#VALUE!</v>
      </c>
      <c r="FR19" s="962" t="e">
        <f>[1]!bodmoadal(1,1,(FR12+1),[1]!qsn([1]!ml([1]!taqsha(1,1,1+FR12,FR13)),FR14)/30,FR13,FR14)</f>
        <v>#VALUE!</v>
      </c>
      <c r="FS19" s="962" t="e">
        <f>[1]!bodmoadal(1,1,(FS12+1),[1]!qsn([1]!ml([1]!taqsha(1,1,1+FS12,FS13)),FS14)/30,FS13,FS14)</f>
        <v>#VALUE!</v>
      </c>
      <c r="FT19" s="962" t="e">
        <f>[1]!bodmoadal(1,1,(FT12+1),[1]!qsn([1]!ml([1]!taqsha(1,1,1+FT12,FT13)),FT14)/30,FT13,FT14)</f>
        <v>#VALUE!</v>
      </c>
      <c r="FU19" s="962" t="e">
        <f>[1]!bodmoadal(1,1,(FU12+1),[1]!qsn([1]!ml([1]!taqsha(1,1,1+FU12,FU13)),FU14)/30,FU13,FU14)</f>
        <v>#VALUE!</v>
      </c>
      <c r="FV19" s="962" t="e">
        <f>[1]!bodmoadal(1,1,(FV12+1),[1]!qsn([1]!ml([1]!taqsha(1,1,1+FV12,FV13)),FV14)/30,FV13,FV14)</f>
        <v>#VALUE!</v>
      </c>
      <c r="FW19" s="962" t="e">
        <f>[1]!bodmoadal(1,1,(FW12+1),[1]!qsn([1]!ml([1]!taqsha(1,1,1+FW12,FW13)),FW14)/30,FW13,FW14)</f>
        <v>#VALUE!</v>
      </c>
      <c r="FX19" s="962" t="e">
        <f>[1]!bodmoadal(1,1,(FX12+1),[1]!qsn([1]!ml([1]!taqsha(1,1,1+FX12,FX13)),FX14)/30,FX13,FX14)</f>
        <v>#VALUE!</v>
      </c>
      <c r="FY19" s="962" t="e">
        <f>[1]!bodmoadal(1,1,(FY12+1),[1]!qsn([1]!ml([1]!taqsha(1,1,1+FY12,FY13)),FY14)/30,FY13,FY14)</f>
        <v>#VALUE!</v>
      </c>
      <c r="FZ19" s="962" t="e">
        <f>[1]!bodmoadal(1,1,(FZ12+1),[1]!qsn([1]!ml([1]!taqsha(1,1,1+FZ12,FZ13)),FZ14)/30,FZ13,FZ14)</f>
        <v>#VALUE!</v>
      </c>
      <c r="GA19" s="962" t="e">
        <f>[1]!bodmoadal(1,1,(GA12+1),[1]!qsn([1]!ml([1]!taqsha(1,1,1+GA12,GA13)),GA14)/30,GA13,GA14)</f>
        <v>#VALUE!</v>
      </c>
      <c r="GB19" s="962" t="e">
        <f>[1]!bodmoadal(1,1,(GB12+1),[1]!qsn([1]!ml([1]!taqsha(1,1,1+GB12,GB13)),GB14)/30,GB13,GB14)</f>
        <v>#VALUE!</v>
      </c>
      <c r="GC19" s="962" t="e">
        <f>[1]!bodmoadal(1,1,(GC12+1),[1]!qsn([1]!ml([1]!taqsha(1,1,1+GC12,GC13)),GC14)/30,GC13,GC14)</f>
        <v>#VALUE!</v>
      </c>
      <c r="GD19" s="962" t="e">
        <f>[1]!bodmoadal(1,1,(GD12+1),[1]!qsn([1]!ml([1]!taqsha(1,1,1+GD12,GD13)),GD14)/30,GD13,GD14)</f>
        <v>#VALUE!</v>
      </c>
      <c r="GE19" s="962" t="e">
        <f>[1]!bodmoadal(1,1,(GE12+1),[1]!qsn([1]!ml([1]!taqsha(1,1,1+GE12,GE13)),GE14)/30,GE13,GE14)</f>
        <v>#VALUE!</v>
      </c>
      <c r="GF19" s="962" t="e">
        <f>[1]!bodmoadal(1,1,(GF12+1),[1]!qsn([1]!ml([1]!taqsha(1,1,1+GF12,GF13)),GF14)/30,GF13,GF14)</f>
        <v>#VALUE!</v>
      </c>
      <c r="GG19" s="962" t="e">
        <f>[1]!bodmoadal(1,1,(GG12+1),[1]!qsn([1]!ml([1]!taqsha(1,1,1+GG12,GG13)),GG14)/30,GG13,GG14)</f>
        <v>#VALUE!</v>
      </c>
      <c r="GH19" s="962" t="e">
        <f>[1]!bodmoadal(1,1,(GH12+1),[1]!qsn([1]!ml([1]!taqsha(1,1,1+GH12,GH13)),GH14)/30,GH13,GH14)</f>
        <v>#VALUE!</v>
      </c>
      <c r="GI19" s="962" t="e">
        <f>[1]!bodmoadal(1,1,(GI12+1),[1]!qsn([1]!ml([1]!taqsha(1,1,1+GI12,GI13)),GI14)/30,GI13,GI14)</f>
        <v>#VALUE!</v>
      </c>
      <c r="GJ19" s="962" t="e">
        <f>[1]!bodmoadal(1,1,(GJ12+1),[1]!qsn([1]!ml([1]!taqsha(1,1,1+GJ12,GJ13)),GJ14)/30,GJ13,GJ14)</f>
        <v>#VALUE!</v>
      </c>
      <c r="GK19" s="962" t="e">
        <f>[1]!bodmoadal(1,1,(GK12+1),[1]!qsn([1]!ml([1]!taqsha(1,1,1+GK12,GK13)),GK14)/30,GK13,GK14)</f>
        <v>#VALUE!</v>
      </c>
      <c r="GL19" s="962" t="e">
        <f>[1]!bodmoadal(1,1,(GL12+1),[1]!qsn([1]!ml([1]!taqsha(1,1,1+GL12,GL13)),GL14)/30,GL13,GL14)</f>
        <v>#VALUE!</v>
      </c>
      <c r="GM19" s="962" t="e">
        <f>[1]!bodmoadal(1,1,(GM12+1),[1]!qsn([1]!ml([1]!taqsha(1,1,1+GM12,GM13)),GM14)/30,GM13,GM14)</f>
        <v>#VALUE!</v>
      </c>
      <c r="GN19" s="962" t="e">
        <f>[1]!bodmoadal(1,1,(GN12+1),[1]!qsn([1]!ml([1]!taqsha(1,1,1+GN12,GN13)),GN14)/30,GN13,GN14)</f>
        <v>#VALUE!</v>
      </c>
      <c r="GO19" s="962" t="e">
        <f>[1]!bodmoadal(1,1,(GO12+1),[1]!qsn([1]!ml([1]!taqsha(1,1,1+GO12,GO13)),GO14)/30,GO13,GO14)</f>
        <v>#VALUE!</v>
      </c>
      <c r="GP19" s="962" t="e">
        <f>[1]!bodmoadal(1,1,(GP12+1),[1]!qsn([1]!ml([1]!taqsha(1,1,1+GP12,GP13)),GP14)/30,GP13,GP14)</f>
        <v>#VALUE!</v>
      </c>
      <c r="GQ19" s="962" t="e">
        <f>[1]!bodmoadal(1,1,(GQ12+1),[1]!qsn([1]!ml([1]!taqsha(1,1,1+GQ12,GQ13)),GQ14)/30,GQ13,GQ14)</f>
        <v>#VALUE!</v>
      </c>
      <c r="GR19" s="962" t="e">
        <f>[1]!bodmoadal(1,1,(GR12+1),[1]!qsn([1]!ml([1]!taqsha(1,1,1+GR12,GR13)),GR14)/30,GR13,GR14)</f>
        <v>#VALUE!</v>
      </c>
      <c r="GS19" s="962" t="e">
        <f>[1]!bodmoadal(1,1,(GS12+1),[1]!qsn([1]!ml([1]!taqsha(1,1,1+GS12,GS13)),GS14)/30,GS13,GS14)</f>
        <v>#VALUE!</v>
      </c>
      <c r="GT19" s="962" t="e">
        <f>[1]!bodmoadal(1,1,(GT12+1),[1]!qsn([1]!ml([1]!taqsha(1,1,1+GT12,GT13)),GT14)/30,GT13,GT14)</f>
        <v>#VALUE!</v>
      </c>
      <c r="GU19" s="962" t="e">
        <f>[1]!bodmoadal(1,1,(GU12+1),[1]!qsn([1]!ml([1]!taqsha(1,1,1+GU12,GU13)),GU14)/30,GU13,GU14)</f>
        <v>#VALUE!</v>
      </c>
      <c r="GV19" s="962" t="e">
        <f>[1]!bodmoadal(1,1,(GV12+1),[1]!qsn([1]!ml([1]!taqsha(1,1,1+GV12,GV13)),GV14)/30,GV13,GV14)</f>
        <v>#VALUE!</v>
      </c>
      <c r="GW19" s="962" t="e">
        <f>[1]!bodmoadal(1,1,(GW12+1),[1]!qsn([1]!ml([1]!taqsha(1,1,1+GW12,GW13)),GW14)/30,GW13,GW14)</f>
        <v>#VALUE!</v>
      </c>
      <c r="GX19" s="962" t="e">
        <f>[1]!bodmoadal(1,1,(GX12+1),[1]!qsn([1]!ml([1]!taqsha(1,1,1+GX12,GX13)),GX14)/30,GX13,GX14)</f>
        <v>#VALUE!</v>
      </c>
      <c r="GY19" s="962" t="e">
        <f>[1]!bodmoadal(1,1,(GY12+1),[1]!qsn([1]!ml([1]!taqsha(1,1,1+GY12,GY13)),GY14)/30,GY13,GY14)</f>
        <v>#VALUE!</v>
      </c>
      <c r="GZ19" s="962" t="e">
        <f>[1]!bodmoadal(1,1,(GZ12+1),[1]!qsn([1]!ml([1]!taqsha(1,1,1+GZ12,GZ13)),GZ14)/30,GZ13,GZ14)</f>
        <v>#VALUE!</v>
      </c>
      <c r="HA19" s="962" t="e">
        <f>[1]!bodmoadal(1,1,(HA12+1),[1]!qsn([1]!ml([1]!taqsha(1,1,1+HA12,HA13)),HA14)/30,HA13,HA14)</f>
        <v>#VALUE!</v>
      </c>
      <c r="HB19" s="962" t="e">
        <f>[1]!bodmoadal(1,1,(HB12+1),[1]!qsn([1]!ml([1]!taqsha(1,1,1+HB12,HB13)),HB14)/30,HB13,HB14)</f>
        <v>#VALUE!</v>
      </c>
      <c r="HC19" s="962" t="e">
        <f>[1]!bodmoadal(1,1,(HC12+1),[1]!qsn([1]!ml([1]!taqsha(1,1,1+HC12,HC13)),HC14)/30,HC13,HC14)</f>
        <v>#VALUE!</v>
      </c>
      <c r="HD19" s="962" t="e">
        <f>[1]!bodmoadal(1,1,(HD12+1),[1]!qsn([1]!ml([1]!taqsha(1,1,1+HD12,HD13)),HD14)/30,HD13,HD14)</f>
        <v>#VALUE!</v>
      </c>
      <c r="HE19" s="962" t="e">
        <f>[1]!bodmoadal(1,1,(HE12+1),[1]!qsn([1]!ml([1]!taqsha(1,1,1+HE12,HE13)),HE14)/30,HE13,HE14)</f>
        <v>#VALUE!</v>
      </c>
      <c r="HF19" s="962" t="e">
        <f>[1]!bodmoadal(1,1,(HF12+1),[1]!qsn([1]!ml([1]!taqsha(1,1,1+HF12,HF13)),HF14)/30,HF13,HF14)</f>
        <v>#VALUE!</v>
      </c>
      <c r="HG19" s="962" t="e">
        <f>[1]!bodmoadal(1,1,(HG12+1),[1]!qsn([1]!ml([1]!taqsha(1,1,1+HG12,HG13)),HG14)/30,HG13,HG14)</f>
        <v>#VALUE!</v>
      </c>
      <c r="HH19" s="962" t="e">
        <f>[1]!bodmoadal(1,1,(HH12+1),[1]!qsn([1]!ml([1]!taqsha(1,1,1+HH12,HH13)),HH14)/30,HH13,HH14)</f>
        <v>#VALUE!</v>
      </c>
      <c r="HI19" s="962" t="e">
        <f>[1]!bodmoadal(1,1,(HI12+1),[1]!qsn([1]!ml([1]!taqsha(1,1,1+HI12,HI13)),HI14)/30,HI13,HI14)</f>
        <v>#VALUE!</v>
      </c>
      <c r="HJ19" s="962" t="e">
        <f>[1]!bodmoadal(1,1,(HJ12+1),[1]!qsn([1]!ml([1]!taqsha(1,1,1+HJ12,HJ13)),HJ14)/30,HJ13,HJ14)</f>
        <v>#VALUE!</v>
      </c>
      <c r="HK19" s="962" t="e">
        <f>[1]!bodmoadal(1,1,(HK12+1),[1]!qsn([1]!ml([1]!taqsha(1,1,1+HK12,HK13)),HK14)/30,HK13,HK14)</f>
        <v>#VALUE!</v>
      </c>
      <c r="HL19" s="962" t="e">
        <f>[1]!bodmoadal(1,1,(HL12+1),[1]!qsn([1]!ml([1]!taqsha(1,1,1+HL12,HL13)),HL14)/30,HL13,HL14)</f>
        <v>#VALUE!</v>
      </c>
      <c r="HM19" s="962" t="e">
        <f>[1]!bodmoadal(1,1,(HM12+1),[1]!qsn([1]!ml([1]!taqsha(1,1,1+HM12,HM13)),HM14)/30,HM13,HM14)</f>
        <v>#VALUE!</v>
      </c>
      <c r="HN19" s="962" t="e">
        <f>[1]!bodmoadal(1,1,(HN12+1),[1]!qsn([1]!ml([1]!taqsha(1,1,1+HN12,HN13)),HN14)/30,HN13,HN14)</f>
        <v>#VALUE!</v>
      </c>
      <c r="HO19" s="962" t="e">
        <f>[1]!bodmoadal(1,1,(HO12+1),[1]!qsn([1]!ml([1]!taqsha(1,1,1+HO12,HO13)),HO14)/30,HO13,HO14)</f>
        <v>#VALUE!</v>
      </c>
      <c r="HP19" s="962" t="e">
        <f>[1]!bodmoadal(1,1,(HP12+1),[1]!qsn([1]!ml([1]!taqsha(1,1,1+HP12,HP13)),HP14)/30,HP13,HP14)</f>
        <v>#VALUE!</v>
      </c>
      <c r="HQ19" s="962" t="e">
        <f>[1]!bodmoadal(1,1,(HQ12+1),[1]!qsn([1]!ml([1]!taqsha(1,1,1+HQ12,HQ13)),HQ14)/30,HQ13,HQ14)</f>
        <v>#VALUE!</v>
      </c>
      <c r="HR19" s="962" t="e">
        <f>[1]!bodmoadal(1,1,(HR12+1),[1]!qsn([1]!ml([1]!taqsha(1,1,1+HR12,HR13)),HR14)/30,HR13,HR14)</f>
        <v>#VALUE!</v>
      </c>
      <c r="HS19" s="962" t="e">
        <f>[1]!bodmoadal(1,1,(HS12+1),[1]!qsn([1]!ml([1]!taqsha(1,1,1+HS12,HS13)),HS14)/30,HS13,HS14)</f>
        <v>#VALUE!</v>
      </c>
      <c r="HT19" s="962" t="e">
        <f>[1]!bodmoadal(1,1,(HT12+1),[1]!qsn([1]!ml([1]!taqsha(1,1,1+HT12,HT13)),HT14)/30,HT13,HT14)</f>
        <v>#VALUE!</v>
      </c>
      <c r="HU19" s="962" t="e">
        <f>[1]!bodmoadal(1,1,(HU12+1),[1]!qsn([1]!ml([1]!taqsha(1,1,1+HU12,HU13)),HU14)/30,HU13,HU14)</f>
        <v>#VALUE!</v>
      </c>
      <c r="HV19" s="962" t="e">
        <f>[1]!bodmoadal(1,1,(HV12+1),[1]!qsn([1]!ml([1]!taqsha(1,1,1+HV12,HV13)),HV14)/30,HV13,HV14)</f>
        <v>#VALUE!</v>
      </c>
      <c r="HW19" s="962" t="e">
        <f>[1]!bodmoadal(1,1,(HW12+1),[1]!qsn([1]!ml([1]!taqsha(1,1,1+HW12,HW13)),HW14)/30,HW13,HW14)</f>
        <v>#VALUE!</v>
      </c>
      <c r="HX19" s="962" t="e">
        <f>[1]!bodmoadal(1,1,(HX12+1),[1]!qsn([1]!ml([1]!taqsha(1,1,1+HX12,HX13)),HX14)/30,HX13,HX14)</f>
        <v>#VALUE!</v>
      </c>
      <c r="HY19" s="962" t="e">
        <f>[1]!bodmoadal(1,1,(HY12+1),[1]!qsn([1]!ml([1]!taqsha(1,1,1+HY12,HY13)),HY14)/30,HY13,HY14)</f>
        <v>#VALUE!</v>
      </c>
      <c r="HZ19" s="962" t="e">
        <f>[1]!bodmoadal(1,1,(HZ12+1),[1]!qsn([1]!ml([1]!taqsha(1,1,1+HZ12,HZ13)),HZ14)/30,HZ13,HZ14)</f>
        <v>#VALUE!</v>
      </c>
      <c r="IA19" s="962" t="e">
        <f>[1]!bodmoadal(1,1,(IA12+1),[1]!qsn([1]!ml([1]!taqsha(1,1,1+IA12,IA13)),IA14)/30,IA13,IA14)</f>
        <v>#VALUE!</v>
      </c>
      <c r="IB19" s="962" t="e">
        <f>[1]!bodmoadal(1,1,(IB12+1),[1]!qsn([1]!ml([1]!taqsha(1,1,1+IB12,IB13)),IB14)/30,IB13,IB14)</f>
        <v>#VALUE!</v>
      </c>
      <c r="IC19" s="962" t="e">
        <f>[1]!bodmoadal(1,1,(IC12+1),[1]!qsn([1]!ml([1]!taqsha(1,1,1+IC12,IC13)),IC14)/30,IC13,IC14)</f>
        <v>#VALUE!</v>
      </c>
      <c r="ID19" s="962" t="e">
        <f>[1]!bodmoadal(1,1,(ID12+1),[1]!qsn([1]!ml([1]!taqsha(1,1,1+ID12,ID13)),ID14)/30,ID13,ID14)</f>
        <v>#VALUE!</v>
      </c>
      <c r="IE19" s="962" t="e">
        <f>[1]!bodmoadal(1,1,(IE12+1),[1]!qsn([1]!ml([1]!taqsha(1,1,1+IE12,IE13)),IE14)/30,IE13,IE14)</f>
        <v>#VALUE!</v>
      </c>
      <c r="IF19" s="962" t="e">
        <f>[1]!bodmoadal(1,1,(IF12+1),[1]!qsn([1]!ml([1]!taqsha(1,1,1+IF12,IF13)),IF14)/30,IF13,IF14)</f>
        <v>#VALUE!</v>
      </c>
      <c r="IG19" s="962" t="e">
        <f>[1]!bodmoadal(1,1,(IG12+1),[1]!qsn([1]!ml([1]!taqsha(1,1,1+IG12,IG13)),IG14)/30,IG13,IG14)</f>
        <v>#VALUE!</v>
      </c>
      <c r="IH19" s="962" t="e">
        <f>[1]!bodmoadal(1,1,(IH12+1),[1]!qsn([1]!ml([1]!taqsha(1,1,1+IH12,IH13)),IH14)/30,IH13,IH14)</f>
        <v>#VALUE!</v>
      </c>
      <c r="II19" s="962" t="e">
        <f>[1]!bodmoadal(1,1,(II12+1),[1]!qsn([1]!ml([1]!taqsha(1,1,1+II12,II13)),II14)/30,II13,II14)</f>
        <v>#VALUE!</v>
      </c>
      <c r="IJ19" s="962" t="e">
        <f>[1]!bodmoadal(1,1,(IJ12+1),[1]!qsn([1]!ml([1]!taqsha(1,1,1+IJ12,IJ13)),IJ14)/30,IJ13,IJ14)</f>
        <v>#VALUE!</v>
      </c>
      <c r="IK19" s="962" t="e">
        <f>[1]!bodmoadal(1,1,(IK12+1),[1]!qsn([1]!ml([1]!taqsha(1,1,1+IK12,IK13)),IK14)/30,IK13,IK14)</f>
        <v>#VALUE!</v>
      </c>
      <c r="IL19" s="962" t="e">
        <f>[1]!bodmoadal(1,1,(IL12+1),[1]!qsn([1]!ml([1]!taqsha(1,1,1+IL12,IL13)),IL14)/30,IL13,IL14)</f>
        <v>#VALUE!</v>
      </c>
      <c r="IM19" s="962" t="e">
        <f>[1]!bodmoadal(1,1,(IM12+1),[1]!qsn([1]!ml([1]!taqsha(1,1,1+IM12,IM13)),IM14)/30,IM13,IM14)</f>
        <v>#VALUE!</v>
      </c>
      <c r="IN19" s="962" t="e">
        <f>[1]!bodmoadal(1,1,(IN12+1),[1]!qsn([1]!ml([1]!taqsha(1,1,1+IN12,IN13)),IN14)/30,IN13,IN14)</f>
        <v>#VALUE!</v>
      </c>
      <c r="IO19" s="962" t="e">
        <f>[1]!bodmoadal(1,1,(IO12+1),[1]!qsn([1]!ml([1]!taqsha(1,1,1+IO12,IO13)),IO14)/30,IO13,IO14)</f>
        <v>#VALUE!</v>
      </c>
      <c r="IP19" s="962" t="e">
        <f>[1]!bodmoadal(1,1,(IP12+1),[1]!qsn([1]!ml([1]!taqsha(1,1,1+IP12,IP13)),IP14)/30,IP13,IP14)</f>
        <v>#VALUE!</v>
      </c>
      <c r="IQ19" s="962" t="e">
        <f>[1]!bodmoadal(1,1,(IQ12+1),[1]!qsn([1]!ml([1]!taqsha(1,1,1+IQ12,IQ13)),IQ14)/30,IQ13,IQ14)</f>
        <v>#VALUE!</v>
      </c>
      <c r="IR19" s="962" t="e">
        <f>[1]!bodmoadal(1,1,(IR12+1),[1]!qsn([1]!ml([1]!taqsha(1,1,1+IR12,IR13)),IR14)/30,IR13,IR14)</f>
        <v>#VALUE!</v>
      </c>
      <c r="IS19" s="962" t="e">
        <f>[1]!bodmoadal(1,1,(IS12+1),[1]!qsn([1]!ml([1]!taqsha(1,1,1+IS12,IS13)),IS14)/30,IS13,IS14)</f>
        <v>#VALUE!</v>
      </c>
      <c r="IT19" s="962" t="e">
        <f>[1]!bodmoadal(1,1,(IT12+1),[1]!qsn([1]!ml([1]!taqsha(1,1,1+IT12,IT13)),IT14)/30,IT13,IT14)</f>
        <v>#VALUE!</v>
      </c>
      <c r="IU19" s="962" t="e">
        <f>[1]!bodmoadal(1,1,(IU12+1),[1]!qsn([1]!ml([1]!taqsha(1,1,1+IU12,IU13)),IU14)/30,IU13,IU14)</f>
        <v>#VALUE!</v>
      </c>
      <c r="IV19" s="962" t="e">
        <f>[1]!bodmoadal(1,1,(IV12+1),[1]!qsn([1]!ml([1]!taqsha(1,1,1+IV12,IV13)),IV14)/30,IV13,IV14)</f>
        <v>#VALUE!</v>
      </c>
      <c r="IW19" s="962" t="e">
        <f>[1]!bodmoadal(1,1,(IW12+1),[1]!qsn([1]!ml([1]!taqsha(1,1,1+IW12,IW13)),IW14)/30,IW13,IW14)</f>
        <v>#VALUE!</v>
      </c>
      <c r="IX19" s="962" t="e">
        <f>[1]!bodmoadal(1,1,(IX12+1),[1]!qsn([1]!ml([1]!taqsha(1,1,1+IX12,IX13)),IX14)/30,IX13,IX14)</f>
        <v>#VALUE!</v>
      </c>
      <c r="IY19" s="962" t="e">
        <f>[1]!bodmoadal(1,1,(IY12+1),[1]!qsn([1]!ml([1]!taqsha(1,1,1+IY12,IY13)),IY14)/30,IY13,IY14)</f>
        <v>#VALUE!</v>
      </c>
      <c r="IZ19" s="962" t="e">
        <f>[1]!bodmoadal(1,1,(IZ12+1),[1]!qsn([1]!ml([1]!taqsha(1,1,1+IZ12,IZ13)),IZ14)/30,IZ13,IZ14)</f>
        <v>#VALUE!</v>
      </c>
      <c r="JA19" s="962" t="e">
        <f>[1]!bodmoadal(1,1,(JA12+1),[1]!qsn([1]!ml([1]!taqsha(1,1,1+JA12,JA13)),JA14)/30,JA13,JA14)</f>
        <v>#VALUE!</v>
      </c>
      <c r="JB19" s="962" t="e">
        <f>[1]!bodmoadal(1,1,(JB12+1),[1]!qsn([1]!ml([1]!taqsha(1,1,1+JB12,JB13)),JB14)/30,JB13,JB14)</f>
        <v>#VALUE!</v>
      </c>
      <c r="JC19" s="962" t="e">
        <f>[1]!bodmoadal(1,1,(JC12+1),[1]!qsn([1]!ml([1]!taqsha(1,1,1+JC12,JC13)),JC14)/30,JC13,JC14)</f>
        <v>#VALUE!</v>
      </c>
      <c r="JD19" s="962" t="e">
        <f>[1]!bodmoadal(1,1,(JD12+1),[1]!qsn([1]!ml([1]!taqsha(1,1,1+JD12,JD13)),JD14)/30,JD13,JD14)</f>
        <v>#VALUE!</v>
      </c>
      <c r="JE19" s="962" t="e">
        <f>[1]!bodmoadal(1,1,(JE12+1),[1]!qsn([1]!ml([1]!taqsha(1,1,1+JE12,JE13)),JE14)/30,JE13,JE14)</f>
        <v>#VALUE!</v>
      </c>
      <c r="JF19" s="962" t="e">
        <f>[1]!bodmoadal(1,1,(JF12+1),[1]!qsn([1]!ml([1]!taqsha(1,1,1+JF12,JF13)),JF14)/30,JF13,JF14)</f>
        <v>#VALUE!</v>
      </c>
      <c r="JG19" s="962" t="e">
        <f>[1]!bodmoadal(1,1,(JG12+1),[1]!qsn([1]!ml([1]!taqsha(1,1,1+JG12,JG13)),JG14)/30,JG13,JG14)</f>
        <v>#VALUE!</v>
      </c>
      <c r="JH19" s="962" t="e">
        <f>[1]!bodmoadal(1,1,(JH12+1),[1]!qsn([1]!ml([1]!taqsha(1,1,1+JH12,JH13)),JH14)/30,JH13,JH14)</f>
        <v>#VALUE!</v>
      </c>
      <c r="JI19" s="962" t="e">
        <f>[1]!bodmoadal(1,1,(JI12+1),[1]!qsn([1]!ml([1]!taqsha(1,1,1+JI12,JI13)),JI14)/30,JI13,JI14)</f>
        <v>#VALUE!</v>
      </c>
      <c r="JJ19" s="962" t="e">
        <f>[1]!bodmoadal(1,1,(JJ12+1),[1]!qsn([1]!ml([1]!taqsha(1,1,1+JJ12,JJ13)),JJ14)/30,JJ13,JJ14)</f>
        <v>#VALUE!</v>
      </c>
      <c r="JK19" s="962" t="e">
        <f>[1]!bodmoadal(1,1,(JK12+1),[1]!qsn([1]!ml([1]!taqsha(1,1,1+JK12,JK13)),JK14)/30,JK13,JK14)</f>
        <v>#VALUE!</v>
      </c>
      <c r="JL19" s="962" t="e">
        <f>[1]!bodmoadal(1,1,(JL12+1),[1]!qsn([1]!ml([1]!taqsha(1,1,1+JL12,JL13)),JL14)/30,JL13,JL14)</f>
        <v>#VALUE!</v>
      </c>
      <c r="JM19" s="962" t="e">
        <f>[1]!bodmoadal(1,1,(JM12+1),[1]!qsn([1]!ml([1]!taqsha(1,1,1+JM12,JM13)),JM14)/30,JM13,JM14)</f>
        <v>#VALUE!</v>
      </c>
      <c r="JN19" s="962" t="e">
        <f>[1]!bodmoadal(1,1,(JN12+1),[1]!qsn([1]!ml([1]!taqsha(1,1,1+JN12,JN13)),JN14)/30,JN13,JN14)</f>
        <v>#VALUE!</v>
      </c>
      <c r="JO19" s="962" t="e">
        <f>[1]!bodmoadal(1,1,(JO12+1),[1]!qsn([1]!ml([1]!taqsha(1,1,1+JO12,JO13)),JO14)/30,JO13,JO14)</f>
        <v>#VALUE!</v>
      </c>
      <c r="JP19" s="962" t="e">
        <f>[1]!bodmoadal(1,1,(JP12+1),[1]!qsn([1]!ml([1]!taqsha(1,1,1+JP12,JP13)),JP14)/30,JP13,JP14)</f>
        <v>#VALUE!</v>
      </c>
      <c r="JQ19" s="962" t="e">
        <f>[1]!bodmoadal(1,1,(JQ12+1),[1]!qsn([1]!ml([1]!taqsha(1,1,1+JQ12,JQ13)),JQ14)/30,JQ13,JQ14)</f>
        <v>#VALUE!</v>
      </c>
      <c r="JR19" s="962" t="e">
        <f>[1]!bodmoadal(1,1,(JR12+1),[1]!qsn([1]!ml([1]!taqsha(1,1,1+JR12,JR13)),JR14)/30,JR13,JR14)</f>
        <v>#VALUE!</v>
      </c>
      <c r="JS19" s="962" t="e">
        <f>[1]!bodmoadal(1,1,(JS12+1),[1]!qsn([1]!ml([1]!taqsha(1,1,1+JS12,JS13)),JS14)/30,JS13,JS14)</f>
        <v>#VALUE!</v>
      </c>
      <c r="JT19" s="962" t="e">
        <f>[1]!bodmoadal(1,1,(JT12+1),[1]!qsn([1]!ml([1]!taqsha(1,1,1+JT12,JT13)),JT14)/30,JT13,JT14)</f>
        <v>#VALUE!</v>
      </c>
      <c r="JU19" s="962" t="e">
        <f>[1]!bodmoadal(1,1,(JU12+1),[1]!qsn([1]!ml([1]!taqsha(1,1,1+JU12,JU13)),JU14)/30,JU13,JU14)</f>
        <v>#VALUE!</v>
      </c>
      <c r="JV19" s="962" t="e">
        <f>[1]!bodmoadal(1,1,(JV12+1),[1]!qsn([1]!ml([1]!taqsha(1,1,1+JV12,JV13)),JV14)/30,JV13,JV14)</f>
        <v>#VALUE!</v>
      </c>
      <c r="JW19" s="962" t="e">
        <f>[1]!bodmoadal(1,1,(JW12+1),[1]!qsn([1]!ml([1]!taqsha(1,1,1+JW12,JW13)),JW14)/30,JW13,JW14)</f>
        <v>#VALUE!</v>
      </c>
      <c r="JX19" s="962" t="e">
        <f>[1]!bodmoadal(1,1,(JX12+1),[1]!qsn([1]!ml([1]!taqsha(1,1,1+JX12,JX13)),JX14)/30,JX13,JX14)</f>
        <v>#VALUE!</v>
      </c>
      <c r="JY19" s="962" t="e">
        <f>[1]!bodmoadal(1,1,(JY12+1),[1]!qsn([1]!ml([1]!taqsha(1,1,1+JY12,JY13)),JY14)/30,JY13,JY14)</f>
        <v>#VALUE!</v>
      </c>
      <c r="JZ19" s="962" t="e">
        <f>[1]!bodmoadal(1,1,(JZ12+1),[1]!qsn([1]!ml([1]!taqsha(1,1,1+JZ12,JZ13)),JZ14)/30,JZ13,JZ14)</f>
        <v>#VALUE!</v>
      </c>
      <c r="KA19" s="962" t="e">
        <f>[1]!bodmoadal(1,1,(KA12+1),[1]!qsn([1]!ml([1]!taqsha(1,1,1+KA12,KA13)),KA14)/30,KA13,KA14)</f>
        <v>#VALUE!</v>
      </c>
      <c r="KB19" s="962" t="e">
        <f>[1]!bodmoadal(1,1,(KB12+1),[1]!qsn([1]!ml([1]!taqsha(1,1,1+KB12,KB13)),KB14)/30,KB13,KB14)</f>
        <v>#VALUE!</v>
      </c>
      <c r="KC19" s="962" t="e">
        <f>[1]!bodmoadal(1,1,(KC12+1),[1]!qsn([1]!ml([1]!taqsha(1,1,1+KC12,KC13)),KC14)/30,KC13,KC14)</f>
        <v>#VALUE!</v>
      </c>
      <c r="KD19" s="962" t="e">
        <f>[1]!bodmoadal(1,1,(KD12+1),[1]!qsn([1]!ml([1]!taqsha(1,1,1+KD12,KD13)),KD14)/30,KD13,KD14)</f>
        <v>#VALUE!</v>
      </c>
      <c r="KE19" s="962" t="e">
        <f>[1]!bodmoadal(1,1,(KE12+1),[1]!qsn([1]!ml([1]!taqsha(1,1,1+KE12,KE13)),KE14)/30,KE13,KE14)</f>
        <v>#VALUE!</v>
      </c>
      <c r="KF19" s="962" t="e">
        <f>[1]!bodmoadal(1,1,(KF12+1),[1]!qsn([1]!ml([1]!taqsha(1,1,1+KF12,KF13)),KF14)/30,KF13,KF14)</f>
        <v>#VALUE!</v>
      </c>
      <c r="KG19" s="962" t="e">
        <f>[1]!bodmoadal(1,1,(KG12+1),[1]!qsn([1]!ml([1]!taqsha(1,1,1+KG12,KG13)),KG14)/30,KG13,KG14)</f>
        <v>#VALUE!</v>
      </c>
      <c r="KH19" s="962" t="e">
        <f>[1]!bodmoadal(1,1,(KH12+1),[1]!qsn([1]!ml([1]!taqsha(1,1,1+KH12,KH13)),KH14)/30,KH13,KH14)</f>
        <v>#VALUE!</v>
      </c>
      <c r="KI19" s="962" t="e">
        <f>[1]!bodmoadal(1,1,(KI12+1),[1]!qsn([1]!ml([1]!taqsha(1,1,1+KI12,KI13)),KI14)/30,KI13,KI14)</f>
        <v>#VALUE!</v>
      </c>
      <c r="KJ19" s="962" t="e">
        <f>[1]!bodmoadal(1,1,(KJ12+1),[1]!qsn([1]!ml([1]!taqsha(1,1,1+KJ12,KJ13)),KJ14)/30,KJ13,KJ14)</f>
        <v>#VALUE!</v>
      </c>
      <c r="KK19" s="962" t="e">
        <f>[1]!bodmoadal(1,1,(KK12+1),[1]!qsn([1]!ml([1]!taqsha(1,1,1+KK12,KK13)),KK14)/30,KK13,KK14)</f>
        <v>#VALUE!</v>
      </c>
      <c r="KL19" s="962" t="e">
        <f>[1]!bodmoadal(1,1,(KL12+1),[1]!qsn([1]!ml([1]!taqsha(1,1,1+KL12,KL13)),KL14)/30,KL13,KL14)</f>
        <v>#VALUE!</v>
      </c>
      <c r="KM19" s="962" t="e">
        <f>[1]!bodmoadal(1,1,(KM12+1),[1]!qsn([1]!ml([1]!taqsha(1,1,1+KM12,KM13)),KM14)/30,KM13,KM14)</f>
        <v>#VALUE!</v>
      </c>
      <c r="KN19" s="962" t="e">
        <f>[1]!bodmoadal(1,1,(KN12+1),[1]!qsn([1]!ml([1]!taqsha(1,1,1+KN12,KN13)),KN14)/30,KN13,KN14)</f>
        <v>#VALUE!</v>
      </c>
      <c r="KO19" s="962" t="e">
        <f>[1]!bodmoadal(1,1,(KO12+1),[1]!qsn([1]!ml([1]!taqsha(1,1,1+KO12,KO13)),KO14)/30,KO13,KO14)</f>
        <v>#VALUE!</v>
      </c>
      <c r="KP19" s="962" t="e">
        <f>[1]!bodmoadal(1,1,(KP12+1),[1]!qsn([1]!ml([1]!taqsha(1,1,1+KP12,KP13)),KP14)/30,KP13,KP14)</f>
        <v>#VALUE!</v>
      </c>
      <c r="KQ19" s="962" t="e">
        <f>[1]!bodmoadal(1,1,(KQ12+1),[1]!qsn([1]!ml([1]!taqsha(1,1,1+KQ12,KQ13)),KQ14)/30,KQ13,KQ14)</f>
        <v>#VALUE!</v>
      </c>
      <c r="KR19" s="962" t="e">
        <f>[1]!bodmoadal(1,1,(KR12+1),[1]!qsn([1]!ml([1]!taqsha(1,1,1+KR12,KR13)),KR14)/30,KR13,KR14)</f>
        <v>#VALUE!</v>
      </c>
      <c r="KS19" s="962" t="e">
        <f>[1]!bodmoadal(1,1,(KS12+1),[1]!qsn([1]!ml([1]!taqsha(1,1,1+KS12,KS13)),KS14)/30,KS13,KS14)</f>
        <v>#VALUE!</v>
      </c>
      <c r="KT19" s="962" t="e">
        <f>[1]!bodmoadal(1,1,(KT12+1),[1]!qsn([1]!ml([1]!taqsha(1,1,1+KT12,KT13)),KT14)/30,KT13,KT14)</f>
        <v>#VALUE!</v>
      </c>
      <c r="KU19" s="962" t="e">
        <f>[1]!bodmoadal(1,1,(KU12+1),[1]!qsn([1]!ml([1]!taqsha(1,1,1+KU12,KU13)),KU14)/30,KU13,KU14)</f>
        <v>#VALUE!</v>
      </c>
      <c r="KV19" s="962" t="e">
        <f>[1]!bodmoadal(1,1,(KV12+1),[1]!qsn([1]!ml([1]!taqsha(1,1,1+KV12,KV13)),KV14)/30,KV13,KV14)</f>
        <v>#VALUE!</v>
      </c>
      <c r="KW19" s="962" t="e">
        <f>[1]!bodmoadal(1,1,(KW12+1),[1]!qsn([1]!ml([1]!taqsha(1,1,1+KW12,KW13)),KW14)/30,KW13,KW14)</f>
        <v>#VALUE!</v>
      </c>
      <c r="KX19" s="962" t="e">
        <f>[1]!bodmoadal(1,1,(KX12+1),[1]!qsn([1]!ml([1]!taqsha(1,1,1+KX12,KX13)),KX14)/30,KX13,KX14)</f>
        <v>#VALUE!</v>
      </c>
      <c r="KY19" s="962" t="e">
        <f>[1]!bodmoadal(1,1,(KY12+1),[1]!qsn([1]!ml([1]!taqsha(1,1,1+KY12,KY13)),KY14)/30,KY13,KY14)</f>
        <v>#VALUE!</v>
      </c>
      <c r="KZ19" s="962" t="e">
        <f>[1]!bodmoadal(1,1,(KZ12+1),[1]!qsn([1]!ml([1]!taqsha(1,1,1+KZ12,KZ13)),KZ14)/30,KZ13,KZ14)</f>
        <v>#VALUE!</v>
      </c>
      <c r="LA19" s="962" t="e">
        <f>[1]!bodmoadal(1,1,(LA12+1),[1]!qsn([1]!ml([1]!taqsha(1,1,1+LA12,LA13)),LA14)/30,LA13,LA14)</f>
        <v>#VALUE!</v>
      </c>
      <c r="LB19" s="962" t="e">
        <f>[1]!bodmoadal(1,1,(LB12+1),[1]!qsn([1]!ml([1]!taqsha(1,1,1+LB12,LB13)),LB14)/30,LB13,LB14)</f>
        <v>#VALUE!</v>
      </c>
      <c r="LC19" s="962" t="e">
        <f>[1]!bodmoadal(1,1,(LC12+1),[1]!qsn([1]!ml([1]!taqsha(1,1,1+LC12,LC13)),LC14)/30,LC13,LC14)</f>
        <v>#VALUE!</v>
      </c>
      <c r="LD19" s="962" t="e">
        <f>[1]!bodmoadal(1,1,(LD12+1),[1]!qsn([1]!ml([1]!taqsha(1,1,1+LD12,LD13)),LD14)/30,LD13,LD14)</f>
        <v>#VALUE!</v>
      </c>
      <c r="LE19" s="962" t="e">
        <f>[1]!bodmoadal(1,1,(LE12+1),[1]!qsn([1]!ml([1]!taqsha(1,1,1+LE12,LE13)),LE14)/30,LE13,LE14)</f>
        <v>#VALUE!</v>
      </c>
      <c r="LF19" s="962" t="e">
        <f>[1]!bodmoadal(1,1,(LF12+1),[1]!qsn([1]!ml([1]!taqsha(1,1,1+LF12,LF13)),LF14)/30,LF13,LF14)</f>
        <v>#VALUE!</v>
      </c>
      <c r="LG19" s="962" t="e">
        <f>[1]!bodmoadal(1,1,(LG12+1),[1]!qsn([1]!ml([1]!taqsha(1,1,1+LG12,LG13)),LG14)/30,LG13,LG14)</f>
        <v>#VALUE!</v>
      </c>
      <c r="LH19" s="962" t="e">
        <f>[1]!bodmoadal(1,1,(LH12+1),[1]!qsn([1]!ml([1]!taqsha(1,1,1+LH12,LH13)),LH14)/30,LH13,LH14)</f>
        <v>#VALUE!</v>
      </c>
      <c r="LI19" s="962" t="e">
        <f>[1]!bodmoadal(1,1,(LI12+1),[1]!qsn([1]!ml([1]!taqsha(1,1,1+LI12,LI13)),LI14)/30,LI13,LI14)</f>
        <v>#VALUE!</v>
      </c>
      <c r="LJ19" s="962" t="e">
        <f>[1]!bodmoadal(1,1,(LJ12+1),[1]!qsn([1]!ml([1]!taqsha(1,1,1+LJ12,LJ13)),LJ14)/30,LJ13,LJ14)</f>
        <v>#VALUE!</v>
      </c>
      <c r="LK19" s="962" t="e">
        <f>[1]!bodmoadal(1,1,(LK12+1),[1]!qsn([1]!ml([1]!taqsha(1,1,1+LK12,LK13)),LK14)/30,LK13,LK14)</f>
        <v>#VALUE!</v>
      </c>
      <c r="LL19" s="962" t="e">
        <f>[1]!bodmoadal(1,1,(LL12+1),[1]!qsn([1]!ml([1]!taqsha(1,1,1+LL12,LL13)),LL14)/30,LL13,LL14)</f>
        <v>#VALUE!</v>
      </c>
      <c r="LM19" s="962" t="e">
        <f>[1]!bodmoadal(1,1,(LM12+1),[1]!qsn([1]!ml([1]!taqsha(1,1,1+LM12,LM13)),LM14)/30,LM13,LM14)</f>
        <v>#VALUE!</v>
      </c>
      <c r="LN19" s="962" t="e">
        <f>[1]!bodmoadal(1,1,(LN12+1),[1]!qsn([1]!ml([1]!taqsha(1,1,1+LN12,LN13)),LN14)/30,LN13,LN14)</f>
        <v>#VALUE!</v>
      </c>
      <c r="LO19" s="962" t="e">
        <f>[1]!bodmoadal(1,1,(LO12+1),[1]!qsn([1]!ml([1]!taqsha(1,1,1+LO12,LO13)),LO14)/30,LO13,LO14)</f>
        <v>#VALUE!</v>
      </c>
      <c r="LP19" s="962" t="e">
        <f>[1]!bodmoadal(1,1,(LP12+1),[1]!qsn([1]!ml([1]!taqsha(1,1,1+LP12,LP13)),LP14)/30,LP13,LP14)</f>
        <v>#VALUE!</v>
      </c>
      <c r="LQ19" s="962" t="e">
        <f>[1]!bodmoadal(1,1,(LQ12+1),[1]!qsn([1]!ml([1]!taqsha(1,1,1+LQ12,LQ13)),LQ14)/30,LQ13,LQ14)</f>
        <v>#VALUE!</v>
      </c>
      <c r="LR19" s="962" t="e">
        <f>[1]!bodmoadal(1,1,(LR12+1),[1]!qsn([1]!ml([1]!taqsha(1,1,1+LR12,LR13)),LR14)/30,LR13,LR14)</f>
        <v>#VALUE!</v>
      </c>
      <c r="LS19" s="962" t="e">
        <f>[1]!bodmoadal(1,1,(LS12+1),[1]!qsn([1]!ml([1]!taqsha(1,1,1+LS12,LS13)),LS14)/30,LS13,LS14)</f>
        <v>#VALUE!</v>
      </c>
      <c r="LT19" s="962" t="e">
        <f>[1]!bodmoadal(1,1,(LT12+1),[1]!qsn([1]!ml([1]!taqsha(1,1,1+LT12,LT13)),LT14)/30,LT13,LT14)</f>
        <v>#VALUE!</v>
      </c>
      <c r="LU19" s="962" t="e">
        <f>[1]!bodmoadal(1,1,(LU12+1),[1]!qsn([1]!ml([1]!taqsha(1,1,1+LU12,LU13)),LU14)/30,LU13,LU14)</f>
        <v>#VALUE!</v>
      </c>
      <c r="LV19" s="962" t="e">
        <f>[1]!bodmoadal(1,1,(LV12+1),[1]!qsn([1]!ml([1]!taqsha(1,1,1+LV12,LV13)),LV14)/30,LV13,LV14)</f>
        <v>#VALUE!</v>
      </c>
      <c r="LW19" s="962" t="e">
        <f>[1]!bodmoadal(1,1,(LW12+1),[1]!qsn([1]!ml([1]!taqsha(1,1,1+LW12,LW13)),LW14)/30,LW13,LW14)</f>
        <v>#VALUE!</v>
      </c>
      <c r="LX19" s="962" t="e">
        <f>[1]!bodmoadal(1,1,(LX12+1),[1]!qsn([1]!ml([1]!taqsha(1,1,1+LX12,LX13)),LX14)/30,LX13,LX14)</f>
        <v>#VALUE!</v>
      </c>
      <c r="LY19" s="962" t="e">
        <f>[1]!bodmoadal(1,1,(LY12+1),[1]!qsn([1]!ml([1]!taqsha(1,1,1+LY12,LY13)),LY14)/30,LY13,LY14)</f>
        <v>#VALUE!</v>
      </c>
      <c r="LZ19" s="962" t="e">
        <f>[1]!bodmoadal(1,1,(LZ12+1),[1]!qsn([1]!ml([1]!taqsha(1,1,1+LZ12,LZ13)),LZ14)/30,LZ13,LZ14)</f>
        <v>#VALUE!</v>
      </c>
      <c r="MA19" s="962" t="e">
        <f>[1]!bodmoadal(1,1,(MA12+1),[1]!qsn([1]!ml([1]!taqsha(1,1,1+MA12,MA13)),MA14)/30,MA13,MA14)</f>
        <v>#VALUE!</v>
      </c>
      <c r="MB19" s="962" t="e">
        <f>[1]!bodmoadal(1,1,(MB12+1),[1]!qsn([1]!ml([1]!taqsha(1,1,1+MB12,MB13)),MB14)/30,MB13,MB14)</f>
        <v>#VALUE!</v>
      </c>
      <c r="MC19" s="962" t="e">
        <f>[1]!bodmoadal(1,1,(MC12+1),[1]!qsn([1]!ml([1]!taqsha(1,1,1+MC12,MC13)),MC14)/30,MC13,MC14)</f>
        <v>#VALUE!</v>
      </c>
      <c r="MD19" s="962" t="e">
        <f>[1]!bodmoadal(1,1,(MD12+1),[1]!qsn([1]!ml([1]!taqsha(1,1,1+MD12,MD13)),MD14)/30,MD13,MD14)</f>
        <v>#VALUE!</v>
      </c>
      <c r="ME19" s="962" t="e">
        <f>[1]!bodmoadal(1,1,(ME12+1),[1]!qsn([1]!ml([1]!taqsha(1,1,1+ME12,ME13)),ME14)/30,ME13,ME14)</f>
        <v>#VALUE!</v>
      </c>
      <c r="MF19" s="962" t="e">
        <f>[1]!bodmoadal(1,1,(MF12+1),[1]!qsn([1]!ml([1]!taqsha(1,1,1+MF12,MF13)),MF14)/30,MF13,MF14)</f>
        <v>#VALUE!</v>
      </c>
      <c r="MG19" s="962" t="e">
        <f>[1]!bodmoadal(1,1,(MG12+1),[1]!qsn([1]!ml([1]!taqsha(1,1,1+MG12,MG13)),MG14)/30,MG13,MG14)</f>
        <v>#VALUE!</v>
      </c>
      <c r="MH19" s="962" t="e">
        <f>[1]!bodmoadal(1,1,(MH12+1),[1]!qsn([1]!ml([1]!taqsha(1,1,1+MH12,MH13)),MH14)/30,MH13,MH14)</f>
        <v>#VALUE!</v>
      </c>
      <c r="MI19" s="962" t="e">
        <f>[1]!bodmoadal(1,1,(MI12+1),[1]!qsn([1]!ml([1]!taqsha(1,1,1+MI12,MI13)),MI14)/30,MI13,MI14)</f>
        <v>#VALUE!</v>
      </c>
      <c r="MJ19" s="962" t="e">
        <f>[1]!bodmoadal(1,1,(MJ12+1),[1]!qsn([1]!ml([1]!taqsha(1,1,1+MJ12,MJ13)),MJ14)/30,MJ13,MJ14)</f>
        <v>#VALUE!</v>
      </c>
      <c r="MK19" s="962" t="e">
        <f>[1]!bodmoadal(1,1,(MK12+1),[1]!qsn([1]!ml([1]!taqsha(1,1,1+MK12,MK13)),MK14)/30,MK13,MK14)</f>
        <v>#VALUE!</v>
      </c>
      <c r="ML19" s="962" t="e">
        <f>[1]!bodmoadal(1,1,(ML12+1),[1]!qsn([1]!ml([1]!taqsha(1,1,1+ML12,ML13)),ML14)/30,ML13,ML14)</f>
        <v>#VALUE!</v>
      </c>
      <c r="MM19" s="962" t="e">
        <f>[1]!bodmoadal(1,1,(MM12+1),[1]!qsn([1]!ml([1]!taqsha(1,1,1+MM12,MM13)),MM14)/30,MM13,MM14)</f>
        <v>#VALUE!</v>
      </c>
      <c r="MN19" s="962" t="e">
        <f>[1]!bodmoadal(1,1,(MN12+1),[1]!qsn([1]!ml([1]!taqsha(1,1,1+MN12,MN13)),MN14)/30,MN13,MN14)</f>
        <v>#VALUE!</v>
      </c>
      <c r="MO19" s="962" t="e">
        <f>[1]!bodmoadal(1,1,(MO12+1),[1]!qsn([1]!ml([1]!taqsha(1,1,1+MO12,MO13)),MO14)/30,MO13,MO14)</f>
        <v>#VALUE!</v>
      </c>
      <c r="MP19" s="962" t="e">
        <f>[1]!bodmoadal(1,1,(MP12+1),[1]!qsn([1]!ml([1]!taqsha(1,1,1+MP12,MP13)),MP14)/30,MP13,MP14)</f>
        <v>#VALUE!</v>
      </c>
      <c r="MQ19" s="962" t="e">
        <f>[1]!bodmoadal(1,1,(MQ12+1),[1]!qsn([1]!ml([1]!taqsha(1,1,1+MQ12,MQ13)),MQ14)/30,MQ13,MQ14)</f>
        <v>#VALUE!</v>
      </c>
      <c r="MR19" s="962" t="e">
        <f>[1]!bodmoadal(1,1,(MR12+1),[1]!qsn([1]!ml([1]!taqsha(1,1,1+MR12,MR13)),MR14)/30,MR13,MR14)</f>
        <v>#VALUE!</v>
      </c>
      <c r="MS19" s="962" t="e">
        <f>[1]!bodmoadal(1,1,(MS12+1),[1]!qsn([1]!ml([1]!taqsha(1,1,1+MS12,MS13)),MS14)/30,MS13,MS14)</f>
        <v>#VALUE!</v>
      </c>
      <c r="MT19" s="962" t="e">
        <f>[1]!bodmoadal(1,1,(MT12+1),[1]!qsn([1]!ml([1]!taqsha(1,1,1+MT12,MT13)),MT14)/30,MT13,MT14)</f>
        <v>#VALUE!</v>
      </c>
      <c r="MU19" s="962" t="e">
        <f>[1]!bodmoadal(1,1,(MU12+1),[1]!qsn([1]!ml([1]!taqsha(1,1,1+MU12,MU13)),MU14)/30,MU13,MU14)</f>
        <v>#VALUE!</v>
      </c>
      <c r="MV19" s="962" t="e">
        <f>[1]!bodmoadal(1,1,(MV12+1),[1]!qsn([1]!ml([1]!taqsha(1,1,1+MV12,MV13)),MV14)/30,MV13,MV14)</f>
        <v>#VALUE!</v>
      </c>
      <c r="MW19" s="962" t="e">
        <f>[1]!bodmoadal(1,1,(MW12+1),[1]!qsn([1]!ml([1]!taqsha(1,1,1+MW12,MW13)),MW14)/30,MW13,MW14)</f>
        <v>#VALUE!</v>
      </c>
      <c r="MX19" s="962" t="e">
        <f>[1]!bodmoadal(1,1,(MX12+1),[1]!qsn([1]!ml([1]!taqsha(1,1,1+MX12,MX13)),MX14)/30,MX13,MX14)</f>
        <v>#VALUE!</v>
      </c>
      <c r="MY19" s="962" t="e">
        <f>[1]!bodmoadal(1,1,(MY12+1),[1]!qsn([1]!ml([1]!taqsha(1,1,1+MY12,MY13)),MY14)/30,MY13,MY14)</f>
        <v>#VALUE!</v>
      </c>
      <c r="MZ19" s="962" t="e">
        <f>[1]!bodmoadal(1,1,(MZ12+1),[1]!qsn([1]!ml([1]!taqsha(1,1,1+MZ12,MZ13)),MZ14)/30,MZ13,MZ14)</f>
        <v>#VALUE!</v>
      </c>
      <c r="NA19" s="962" t="e">
        <f>[1]!bodmoadal(1,1,(NA12+1),[1]!qsn([1]!ml([1]!taqsha(1,1,1+NA12,NA13)),NA14)/30,NA13,NA14)</f>
        <v>#VALUE!</v>
      </c>
      <c r="NB19" s="962" t="e">
        <f>[1]!bodmoadal(1,1,(NB12+1),[1]!qsn([1]!ml([1]!taqsha(1,1,1+NB12,NB13)),NB14)/30,NB13,NB14)</f>
        <v>#VALUE!</v>
      </c>
      <c r="NC19" s="962" t="e">
        <f>[1]!bodmoadal(1,1,(NC12+1),[1]!qsn([1]!ml([1]!taqsha(1,1,1+NC12,NC13)),NC14)/30,NC13,NC14)</f>
        <v>#VALUE!</v>
      </c>
      <c r="ND19" s="962" t="e">
        <f>[1]!bodmoadal(1,1,(ND12+1),[1]!qsn([1]!ml([1]!taqsha(1,1,1+ND12,ND13)),ND14)/30,ND13,ND14)</f>
        <v>#VALUE!</v>
      </c>
      <c r="NE19" s="962" t="e">
        <f>[1]!bodmoadal(1,1,(NE12+1),[1]!qsn([1]!ml([1]!taqsha(1,1,1+NE12,NE13)),NE14)/30,NE13,NE14)</f>
        <v>#VALUE!</v>
      </c>
      <c r="NF19" s="962" t="e">
        <f>[1]!bodmoadal(1,1,(NF12+1),[1]!qsn([1]!ml([1]!taqsha(1,1,1+NF12,NF13)),NF14)/30,NF13,NF14)</f>
        <v>#VALUE!</v>
      </c>
      <c r="NG19" s="962" t="e">
        <f>[1]!bodmoadal(1,1,(NG12+1),[1]!qsn([1]!ml([1]!taqsha(1,1,1+NG12,NG13)),NG14)/30,NG13,NG14)</f>
        <v>#VALUE!</v>
      </c>
      <c r="NH19" s="962" t="e">
        <f>[1]!bodmoadal(1,1,(NH12+1),[1]!qsn([1]!ml([1]!taqsha(1,1,1+NH12,NH13)),NH14)/30,NH13,NH14)</f>
        <v>#VALUE!</v>
      </c>
      <c r="NI19" s="962" t="e">
        <f>[1]!bodmoadal(1,1,(NI12+1),[1]!qsn([1]!ml([1]!taqsha(1,1,1+NI12,NI13)),NI14)/30,NI13,NI14)</f>
        <v>#VALUE!</v>
      </c>
      <c r="NJ19" s="962" t="e">
        <f>[1]!bodmoadal(1,1,(NJ12+1),[1]!qsn([1]!ml([1]!taqsha(1,1,1+NJ12,NJ13)),NJ14)/30,NJ13,NJ14)</f>
        <v>#VALUE!</v>
      </c>
      <c r="NK19" s="962" t="e">
        <f>[1]!bodmoadal(1,1,(NK12+1),[1]!qsn([1]!ml([1]!taqsha(1,1,1+NK12,NK13)),NK14)/30,NK13,NK14)</f>
        <v>#VALUE!</v>
      </c>
      <c r="NL19" s="962" t="e">
        <f>[1]!bodmoadal(1,1,(NL12+1),[1]!qsn([1]!ml([1]!taqsha(1,1,1+NL12,NL13)),NL14)/30,NL13,NL14)</f>
        <v>#VALUE!</v>
      </c>
      <c r="NM19" s="962" t="e">
        <f>[1]!bodmoadal(1,1,(NM12+1),[1]!qsn([1]!ml([1]!taqsha(1,1,1+NM12,NM13)),NM14)/30,NM13,NM14)</f>
        <v>#VALUE!</v>
      </c>
      <c r="NN19" s="962" t="e">
        <f>[1]!bodmoadal(1,1,(NN12+1),[1]!qsn([1]!ml([1]!taqsha(1,1,1+NN12,NN13)),NN14)/30,NN13,NN14)</f>
        <v>#VALUE!</v>
      </c>
      <c r="NO19" s="962" t="e">
        <f>[1]!bodmoadal(1,1,(NO12+1),[1]!qsn([1]!ml([1]!taqsha(1,1,1+NO12,NO13)),NO14)/30,NO13,NO14)</f>
        <v>#VALUE!</v>
      </c>
      <c r="NP19" s="962" t="e">
        <f>[1]!bodmoadal(1,1,(NP12+1),[1]!qsn([1]!ml([1]!taqsha(1,1,1+NP12,NP13)),NP14)/30,NP13,NP14)</f>
        <v>#VALUE!</v>
      </c>
      <c r="NQ19" s="962" t="e">
        <f>[1]!bodmoadal(1,1,(NQ12+1),[1]!qsn([1]!ml([1]!taqsha(1,1,1+NQ12,NQ13)),NQ14)/30,NQ13,NQ14)</f>
        <v>#VALUE!</v>
      </c>
      <c r="NR19" s="962" t="e">
        <f>[1]!bodmoadal(1,1,(NR12+1),[1]!qsn([1]!ml([1]!taqsha(1,1,1+NR12,NR13)),NR14)/30,NR13,NR14)</f>
        <v>#VALUE!</v>
      </c>
      <c r="NS19" s="962" t="e">
        <f>[1]!bodmoadal(1,1,(NS12+1),[1]!qsn([1]!ml([1]!taqsha(1,1,1+NS12,NS13)),NS14)/30,NS13,NS14)</f>
        <v>#VALUE!</v>
      </c>
      <c r="NT19" s="962" t="e">
        <f>[1]!bodmoadal(1,1,(NT12+1),[1]!qsn([1]!ml([1]!taqsha(1,1,1+NT12,NT13)),NT14)/30,NT13,NT14)</f>
        <v>#VALUE!</v>
      </c>
      <c r="NU19" s="962" t="e">
        <f>[1]!bodmoadal(1,1,(NU12+1),[1]!qsn([1]!ml([1]!taqsha(1,1,1+NU12,NU13)),NU14)/30,NU13,NU14)</f>
        <v>#VALUE!</v>
      </c>
      <c r="NV19" s="962" t="e">
        <f>[1]!bodmoadal(1,1,(NV12+1),[1]!qsn([1]!ml([1]!taqsha(1,1,1+NV12,NV13)),NV14)/30,NV13,NV14)</f>
        <v>#VALUE!</v>
      </c>
      <c r="NW19" s="962" t="e">
        <f>[1]!bodmoadal(1,1,(NW12+1),[1]!qsn([1]!ml([1]!taqsha(1,1,1+NW12,NW13)),NW14)/30,NW13,NW14)</f>
        <v>#VALUE!</v>
      </c>
      <c r="NX19" s="962" t="e">
        <f>[1]!bodmoadal(1,1,(NX12+1),[1]!qsn([1]!ml([1]!taqsha(1,1,1+NX12,NX13)),NX14)/30,NX13,NX14)</f>
        <v>#VALUE!</v>
      </c>
      <c r="NY19" s="962" t="e">
        <f>[1]!bodmoadal(1,1,(NY12+1),[1]!qsn([1]!ml([1]!taqsha(1,1,1+NY12,NY13)),NY14)/30,NY13,NY14)</f>
        <v>#VALUE!</v>
      </c>
      <c r="NZ19" s="962" t="e">
        <f>[1]!bodmoadal(1,1,(NZ12+1),[1]!qsn([1]!ml([1]!taqsha(1,1,1+NZ12,NZ13)),NZ14)/30,NZ13,NZ14)</f>
        <v>#VALUE!</v>
      </c>
      <c r="OA19" s="962" t="e">
        <f>[1]!bodmoadal(1,1,(OA12+1),[1]!qsn([1]!ml([1]!taqsha(1,1,1+OA12,OA13)),OA14)/30,OA13,OA14)</f>
        <v>#VALUE!</v>
      </c>
      <c r="OB19" s="962" t="e">
        <f>[1]!bodmoadal(1,1,(OB12+1),[1]!qsn([1]!ml([1]!taqsha(1,1,1+OB12,OB13)),OB14)/30,OB13,OB14)</f>
        <v>#VALUE!</v>
      </c>
      <c r="OC19" s="962" t="e">
        <f>[1]!bodmoadal(1,1,(OC12+1),[1]!qsn([1]!ml([1]!taqsha(1,1,1+OC12,OC13)),OC14)/30,OC13,OC14)</f>
        <v>#VALUE!</v>
      </c>
      <c r="OD19" s="962" t="e">
        <f>[1]!bodmoadal(1,1,(OD12+1),[1]!qsn([1]!ml([1]!taqsha(1,1,1+OD12,OD13)),OD14)/30,OD13,OD14)</f>
        <v>#VALUE!</v>
      </c>
      <c r="OE19" s="962" t="e">
        <f>[1]!bodmoadal(1,1,(OE12+1),[1]!qsn([1]!ml([1]!taqsha(1,1,1+OE12,OE13)),OE14)/30,OE13,OE14)</f>
        <v>#VALUE!</v>
      </c>
      <c r="OF19" s="962" t="e">
        <f>[1]!bodmoadal(1,1,(OF12+1),[1]!qsn([1]!ml([1]!taqsha(1,1,1+OF12,OF13)),OF14)/30,OF13,OF14)</f>
        <v>#VALUE!</v>
      </c>
      <c r="OG19" s="962" t="e">
        <f>[1]!bodmoadal(1,1,(OG12+1),[1]!qsn([1]!ml([1]!taqsha(1,1,1+OG12,OG13)),OG14)/30,OG13,OG14)</f>
        <v>#VALUE!</v>
      </c>
      <c r="OH19" s="962" t="e">
        <f>[1]!bodmoadal(1,1,(OH12+1),[1]!qsn([1]!ml([1]!taqsha(1,1,1+OH12,OH13)),OH14)/30,OH13,OH14)</f>
        <v>#VALUE!</v>
      </c>
      <c r="OI19" s="962" t="e">
        <f>[1]!bodmoadal(1,1,(OI12+1),[1]!qsn([1]!ml([1]!taqsha(1,1,1+OI12,OI13)),OI14)/30,OI13,OI14)</f>
        <v>#VALUE!</v>
      </c>
      <c r="OJ19" s="962" t="e">
        <f>[1]!bodmoadal(1,1,(OJ12+1),[1]!qsn([1]!ml([1]!taqsha(1,1,1+OJ12,OJ13)),OJ14)/30,OJ13,OJ14)</f>
        <v>#VALUE!</v>
      </c>
      <c r="OK19" s="962" t="e">
        <f>[1]!bodmoadal(1,1,(OK12+1),[1]!qsn([1]!ml([1]!taqsha(1,1,1+OK12,OK13)),OK14)/30,OK13,OK14)</f>
        <v>#VALUE!</v>
      </c>
      <c r="OL19" s="962" t="e">
        <f>[1]!bodmoadal(1,1,(OL12+1),[1]!qsn([1]!ml([1]!taqsha(1,1,1+OL12,OL13)),OL14)/30,OL13,OL14)</f>
        <v>#VALUE!</v>
      </c>
      <c r="OM19" s="962" t="e">
        <f>[1]!bodmoadal(1,1,(OM12+1),[1]!qsn([1]!ml([1]!taqsha(1,1,1+OM12,OM13)),OM14)/30,OM13,OM14)</f>
        <v>#VALUE!</v>
      </c>
      <c r="ON19" s="962" t="e">
        <f>[1]!bodmoadal(1,1,(ON12+1),[1]!qsn([1]!ml([1]!taqsha(1,1,1+ON12,ON13)),ON14)/30,ON13,ON14)</f>
        <v>#VALUE!</v>
      </c>
      <c r="OO19" s="962" t="e">
        <f>[1]!bodmoadal(1,1,(OO12+1),[1]!qsn([1]!ml([1]!taqsha(1,1,1+OO12,OO13)),OO14)/30,OO13,OO14)</f>
        <v>#VALUE!</v>
      </c>
      <c r="OP19" s="962" t="e">
        <f>[1]!bodmoadal(1,1,(OP12+1),[1]!qsn([1]!ml([1]!taqsha(1,1,1+OP12,OP13)),OP14)/30,OP13,OP14)</f>
        <v>#VALUE!</v>
      </c>
      <c r="OQ19" s="962" t="e">
        <f>[1]!bodmoadal(1,1,(OQ12+1),[1]!qsn([1]!ml([1]!taqsha(1,1,1+OQ12,OQ13)),OQ14)/30,OQ13,OQ14)</f>
        <v>#VALUE!</v>
      </c>
      <c r="OR19" s="962" t="e">
        <f>[1]!bodmoadal(1,1,(OR12+1),[1]!qsn([1]!ml([1]!taqsha(1,1,1+OR12,OR13)),OR14)/30,OR13,OR14)</f>
        <v>#VALUE!</v>
      </c>
      <c r="OS19" s="962" t="e">
        <f>[1]!bodmoadal(1,1,(OS12+1),[1]!qsn([1]!ml([1]!taqsha(1,1,1+OS12,OS13)),OS14)/30,OS13,OS14)</f>
        <v>#VALUE!</v>
      </c>
      <c r="OT19" s="962" t="e">
        <f>[1]!bodmoadal(1,1,(OT12+1),[1]!qsn([1]!ml([1]!taqsha(1,1,1+OT12,OT13)),OT14)/30,OT13,OT14)</f>
        <v>#VALUE!</v>
      </c>
      <c r="OU19" s="962" t="e">
        <f>[1]!bodmoadal(1,1,(OU12+1),[1]!qsn([1]!ml([1]!taqsha(1,1,1+OU12,OU13)),OU14)/30,OU13,OU14)</f>
        <v>#VALUE!</v>
      </c>
      <c r="OV19" s="962" t="e">
        <f>[1]!bodmoadal(1,1,(OV12+1),[1]!qsn([1]!ml([1]!taqsha(1,1,1+OV12,OV13)),OV14)/30,OV13,OV14)</f>
        <v>#VALUE!</v>
      </c>
      <c r="OW19" s="962" t="e">
        <f>[1]!bodmoadal(1,1,(OW12+1),[1]!qsn([1]!ml([1]!taqsha(1,1,1+OW12,OW13)),OW14)/30,OW13,OW14)</f>
        <v>#VALUE!</v>
      </c>
      <c r="OX19" s="962" t="e">
        <f>[1]!bodmoadal(1,1,(OX12+1),[1]!qsn([1]!ml([1]!taqsha(1,1,1+OX12,OX13)),OX14)/30,OX13,OX14)</f>
        <v>#VALUE!</v>
      </c>
      <c r="OY19" s="962" t="e">
        <f>[1]!bodmoadal(1,1,(OY12+1),[1]!qsn([1]!ml([1]!taqsha(1,1,1+OY12,OY13)),OY14)/30,OY13,OY14)</f>
        <v>#VALUE!</v>
      </c>
      <c r="OZ19" s="962" t="e">
        <f>[1]!bodmoadal(1,1,(OZ12+1),[1]!qsn([1]!ml([1]!taqsha(1,1,1+OZ12,OZ13)),OZ14)/30,OZ13,OZ14)</f>
        <v>#VALUE!</v>
      </c>
      <c r="PA19" s="962" t="e">
        <f>[1]!bodmoadal(1,1,(PA12+1),[1]!qsn([1]!ml([1]!taqsha(1,1,1+PA12,PA13)),PA14)/30,PA13,PA14)</f>
        <v>#VALUE!</v>
      </c>
      <c r="PB19" s="962" t="e">
        <f>[1]!bodmoadal(1,1,(PB12+1),[1]!qsn([1]!ml([1]!taqsha(1,1,1+PB12,PB13)),PB14)/30,PB13,PB14)</f>
        <v>#VALUE!</v>
      </c>
      <c r="PC19" s="962" t="e">
        <f>[1]!bodmoadal(1,1,(PC12+1),[1]!qsn([1]!ml([1]!taqsha(1,1,1+PC12,PC13)),PC14)/30,PC13,PC14)</f>
        <v>#VALUE!</v>
      </c>
      <c r="PD19" s="962" t="e">
        <f>[1]!bodmoadal(1,1,(PD12+1),[1]!qsn([1]!ml([1]!taqsha(1,1,1+PD12,PD13)),PD14)/30,PD13,PD14)</f>
        <v>#VALUE!</v>
      </c>
      <c r="PE19" s="962" t="e">
        <f>[1]!bodmoadal(1,1,(PE12+1),[1]!qsn([1]!ml([1]!taqsha(1,1,1+PE12,PE13)),PE14)/30,PE13,PE14)</f>
        <v>#VALUE!</v>
      </c>
      <c r="PF19" s="962" t="e">
        <f>[1]!bodmoadal(1,1,(PF12+1),[1]!qsn([1]!ml([1]!taqsha(1,1,1+PF12,PF13)),PF14)/30,PF13,PF14)</f>
        <v>#VALUE!</v>
      </c>
      <c r="PG19" s="962" t="e">
        <f>[1]!bodmoadal(1,1,(PG12+1),[1]!qsn([1]!ml([1]!taqsha(1,1,1+PG12,PG13)),PG14)/30,PG13,PG14)</f>
        <v>#VALUE!</v>
      </c>
      <c r="PH19" s="962" t="e">
        <f>[1]!bodmoadal(1,1,(PH12+1),[1]!qsn([1]!ml([1]!taqsha(1,1,1+PH12,PH13)),PH14)/30,PH13,PH14)</f>
        <v>#VALUE!</v>
      </c>
      <c r="PI19" s="962" t="e">
        <f>[1]!bodmoadal(1,1,(PI12+1),[1]!qsn([1]!ml([1]!taqsha(1,1,1+PI12,PI13)),PI14)/30,PI13,PI14)</f>
        <v>#VALUE!</v>
      </c>
      <c r="PJ19" s="962" t="e">
        <f>[1]!bodmoadal(1,1,(PJ12+1),[1]!qsn([1]!ml([1]!taqsha(1,1,1+PJ12,PJ13)),PJ14)/30,PJ13,PJ14)</f>
        <v>#VALUE!</v>
      </c>
      <c r="PK19" s="962" t="e">
        <f>[1]!bodmoadal(1,1,(PK12+1),[1]!qsn([1]!ml([1]!taqsha(1,1,1+PK12,PK13)),PK14)/30,PK13,PK14)</f>
        <v>#VALUE!</v>
      </c>
      <c r="PL19" s="962" t="e">
        <f>[1]!bodmoadal(1,1,(PL12+1),[1]!qsn([1]!ml([1]!taqsha(1,1,1+PL12,PL13)),PL14)/30,PL13,PL14)</f>
        <v>#VALUE!</v>
      </c>
      <c r="PM19" s="962" t="e">
        <f>[1]!bodmoadal(1,1,(PM12+1),[1]!qsn([1]!ml([1]!taqsha(1,1,1+PM12,PM13)),PM14)/30,PM13,PM14)</f>
        <v>#VALUE!</v>
      </c>
      <c r="PN19" s="962" t="e">
        <f>[1]!bodmoadal(1,1,(PN12+1),[1]!qsn([1]!ml([1]!taqsha(1,1,1+PN12,PN13)),PN14)/30,PN13,PN14)</f>
        <v>#VALUE!</v>
      </c>
      <c r="PO19" s="962" t="e">
        <f>[1]!bodmoadal(1,1,(PO12+1),[1]!qsn([1]!ml([1]!taqsha(1,1,1+PO12,PO13)),PO14)/30,PO13,PO14)</f>
        <v>#VALUE!</v>
      </c>
      <c r="PP19" s="962" t="e">
        <f>[1]!bodmoadal(1,1,(PP12+1),[1]!qsn([1]!ml([1]!taqsha(1,1,1+PP12,PP13)),PP14)/30,PP13,PP14)</f>
        <v>#VALUE!</v>
      </c>
      <c r="PQ19" s="962" t="e">
        <f>[1]!bodmoadal(1,1,(PQ12+1),[1]!qsn([1]!ml([1]!taqsha(1,1,1+PQ12,PQ13)),PQ14)/30,PQ13,PQ14)</f>
        <v>#VALUE!</v>
      </c>
      <c r="PR19" s="962" t="e">
        <f>[1]!bodmoadal(1,1,(PR12+1),[1]!qsn([1]!ml([1]!taqsha(1,1,1+PR12,PR13)),PR14)/30,PR13,PR14)</f>
        <v>#VALUE!</v>
      </c>
      <c r="PS19" s="962" t="e">
        <f>[1]!bodmoadal(1,1,(PS12+1),[1]!qsn([1]!ml([1]!taqsha(1,1,1+PS12,PS13)),PS14)/30,PS13,PS14)</f>
        <v>#VALUE!</v>
      </c>
      <c r="PT19" s="962" t="e">
        <f>[1]!bodmoadal(1,1,(PT12+1),[1]!qsn([1]!ml([1]!taqsha(1,1,1+PT12,PT13)),PT14)/30,PT13,PT14)</f>
        <v>#VALUE!</v>
      </c>
      <c r="PU19" s="962" t="e">
        <f>[1]!bodmoadal(1,1,(PU12+1),[1]!qsn([1]!ml([1]!taqsha(1,1,1+PU12,PU13)),PU14)/30,PU13,PU14)</f>
        <v>#VALUE!</v>
      </c>
      <c r="PV19" s="962" t="e">
        <f>[1]!bodmoadal(1,1,(PV12+1),[1]!qsn([1]!ml([1]!taqsha(1,1,1+PV12,PV13)),PV14)/30,PV13,PV14)</f>
        <v>#VALUE!</v>
      </c>
      <c r="PW19" s="962" t="e">
        <f>[1]!bodmoadal(1,1,(PW12+1),[1]!qsn([1]!ml([1]!taqsha(1,1,1+PW12,PW13)),PW14)/30,PW13,PW14)</f>
        <v>#VALUE!</v>
      </c>
      <c r="PX19" s="962" t="e">
        <f>[1]!bodmoadal(1,1,(PX12+1),[1]!qsn([1]!ml([1]!taqsha(1,1,1+PX12,PX13)),PX14)/30,PX13,PX14)</f>
        <v>#VALUE!</v>
      </c>
      <c r="PY19" s="962" t="e">
        <f>[1]!bodmoadal(1,1,(PY12+1),[1]!qsn([1]!ml([1]!taqsha(1,1,1+PY12,PY13)),PY14)/30,PY13,PY14)</f>
        <v>#VALUE!</v>
      </c>
      <c r="PZ19" s="962" t="e">
        <f>[1]!bodmoadal(1,1,(PZ12+1),[1]!qsn([1]!ml([1]!taqsha(1,1,1+PZ12,PZ13)),PZ14)/30,PZ13,PZ14)</f>
        <v>#VALUE!</v>
      </c>
      <c r="QA19" s="962" t="e">
        <f>[1]!bodmoadal(1,1,(QA12+1),[1]!qsn([1]!ml([1]!taqsha(1,1,1+QA12,QA13)),QA14)/30,QA13,QA14)</f>
        <v>#VALUE!</v>
      </c>
      <c r="QB19" s="962" t="e">
        <f>[1]!bodmoadal(1,1,(QB12+1),[1]!qsn([1]!ml([1]!taqsha(1,1,1+QB12,QB13)),QB14)/30,QB13,QB14)</f>
        <v>#VALUE!</v>
      </c>
      <c r="QC19" s="962" t="e">
        <f>[1]!bodmoadal(1,1,(QC12+1),[1]!qsn([1]!ml([1]!taqsha(1,1,1+QC12,QC13)),QC14)/30,QC13,QC14)</f>
        <v>#VALUE!</v>
      </c>
      <c r="QD19" s="962" t="e">
        <f>[1]!bodmoadal(1,1,(QD12+1),[1]!qsn([1]!ml([1]!taqsha(1,1,1+QD12,QD13)),QD14)/30,QD13,QD14)</f>
        <v>#VALUE!</v>
      </c>
      <c r="QE19" s="962" t="e">
        <f>[1]!bodmoadal(1,1,(QE12+1),[1]!qsn([1]!ml([1]!taqsha(1,1,1+QE12,QE13)),QE14)/30,QE13,QE14)</f>
        <v>#VALUE!</v>
      </c>
      <c r="QF19" s="962" t="e">
        <f>[1]!bodmoadal(1,1,(QF12+1),[1]!qsn([1]!ml([1]!taqsha(1,1,1+QF12,QF13)),QF14)/30,QF13,QF14)</f>
        <v>#VALUE!</v>
      </c>
      <c r="QG19" s="962" t="e">
        <f>[1]!bodmoadal(1,1,(QG12+1),[1]!qsn([1]!ml([1]!taqsha(1,1,1+QG12,QG13)),QG14)/30,QG13,QG14)</f>
        <v>#VALUE!</v>
      </c>
      <c r="QH19" s="962" t="e">
        <f>[1]!bodmoadal(1,1,(QH12+1),[1]!qsn([1]!ml([1]!taqsha(1,1,1+QH12,QH13)),QH14)/30,QH13,QH14)</f>
        <v>#VALUE!</v>
      </c>
      <c r="QI19" s="962" t="e">
        <f>[1]!bodmoadal(1,1,(QI12+1),[1]!qsn([1]!ml([1]!taqsha(1,1,1+QI12,QI13)),QI14)/30,QI13,QI14)</f>
        <v>#VALUE!</v>
      </c>
      <c r="QJ19" s="962" t="e">
        <f>[1]!bodmoadal(1,1,(QJ12+1),[1]!qsn([1]!ml([1]!taqsha(1,1,1+QJ12,QJ13)),QJ14)/30,QJ13,QJ14)</f>
        <v>#VALUE!</v>
      </c>
      <c r="QK19" s="962" t="e">
        <f>[1]!bodmoadal(1,1,(QK12+1),[1]!qsn([1]!ml([1]!taqsha(1,1,1+QK12,QK13)),QK14)/30,QK13,QK14)</f>
        <v>#VALUE!</v>
      </c>
      <c r="QL19" s="962" t="e">
        <f>[1]!bodmoadal(1,1,(QL12+1),[1]!qsn([1]!ml([1]!taqsha(1,1,1+QL12,QL13)),QL14)/30,QL13,QL14)</f>
        <v>#VALUE!</v>
      </c>
      <c r="QM19" s="962" t="e">
        <f>[1]!bodmoadal(1,1,(QM12+1),[1]!qsn([1]!ml([1]!taqsha(1,1,1+QM12,QM13)),QM14)/30,QM13,QM14)</f>
        <v>#VALUE!</v>
      </c>
      <c r="QN19" s="962" t="e">
        <f>[1]!bodmoadal(1,1,(QN12+1),[1]!qsn([1]!ml([1]!taqsha(1,1,1+QN12,QN13)),QN14)/30,QN13,QN14)</f>
        <v>#VALUE!</v>
      </c>
      <c r="QO19" s="962" t="e">
        <f>[1]!bodmoadal(1,1,(QO12+1),[1]!qsn([1]!ml([1]!taqsha(1,1,1+QO12,QO13)),QO14)/30,QO13,QO14)</f>
        <v>#VALUE!</v>
      </c>
      <c r="QP19" s="962" t="e">
        <f>[1]!bodmoadal(1,1,(QP12+1),[1]!qsn([1]!ml([1]!taqsha(1,1,1+QP12,QP13)),QP14)/30,QP13,QP14)</f>
        <v>#VALUE!</v>
      </c>
      <c r="QQ19" s="962" t="e">
        <f>[1]!bodmoadal(1,1,(QQ12+1),[1]!qsn([1]!ml([1]!taqsha(1,1,1+QQ12,QQ13)),QQ14)/30,QQ13,QQ14)</f>
        <v>#VALUE!</v>
      </c>
      <c r="QR19" s="962" t="e">
        <f>[1]!bodmoadal(1,1,(QR12+1),[1]!qsn([1]!ml([1]!taqsha(1,1,1+QR12,QR13)),QR14)/30,QR13,QR14)</f>
        <v>#VALUE!</v>
      </c>
      <c r="QS19" s="962" t="e">
        <f>[1]!bodmoadal(1,1,(QS12+1),[1]!qsn([1]!ml([1]!taqsha(1,1,1+QS12,QS13)),QS14)/30,QS13,QS14)</f>
        <v>#VALUE!</v>
      </c>
      <c r="QT19" s="962" t="e">
        <f>[1]!bodmoadal(1,1,(QT12+1),[1]!qsn([1]!ml([1]!taqsha(1,1,1+QT12,QT13)),QT14)/30,QT13,QT14)</f>
        <v>#VALUE!</v>
      </c>
      <c r="QU19" s="962" t="e">
        <f>[1]!bodmoadal(1,1,(QU12+1),[1]!qsn([1]!ml([1]!taqsha(1,1,1+QU12,QU13)),QU14)/30,QU13,QU14)</f>
        <v>#VALUE!</v>
      </c>
      <c r="QV19" s="962" t="e">
        <f>[1]!bodmoadal(1,1,(QV12+1),[1]!qsn([1]!ml([1]!taqsha(1,1,1+QV12,QV13)),QV14)/30,QV13,QV14)</f>
        <v>#VALUE!</v>
      </c>
      <c r="QW19" s="962" t="e">
        <f>[1]!bodmoadal(1,1,(QW12+1),[1]!qsn([1]!ml([1]!taqsha(1,1,1+QW12,QW13)),QW14)/30,QW13,QW14)</f>
        <v>#VALUE!</v>
      </c>
      <c r="QX19" s="962" t="e">
        <f>[1]!bodmoadal(1,1,(QX12+1),[1]!qsn([1]!ml([1]!taqsha(1,1,1+QX12,QX13)),QX14)/30,QX13,QX14)</f>
        <v>#VALUE!</v>
      </c>
      <c r="QY19" s="962" t="e">
        <f>[1]!bodmoadal(1,1,(QY12+1),[1]!qsn([1]!ml([1]!taqsha(1,1,1+QY12,QY13)),QY14)/30,QY13,QY14)</f>
        <v>#VALUE!</v>
      </c>
      <c r="QZ19" s="962" t="e">
        <f>[1]!bodmoadal(1,1,(QZ12+1),[1]!qsn([1]!ml([1]!taqsha(1,1,1+QZ12,QZ13)),QZ14)/30,QZ13,QZ14)</f>
        <v>#VALUE!</v>
      </c>
      <c r="RA19" s="963"/>
    </row>
    <row r="20" spans="1:471" ht="22.5" thickBot="1">
      <c r="J20" s="21">
        <f>IF(E22=16,(((C22-1)*M20)+IF(B22=1,0,IF(B22=2,O22,IF(B22=3,P22,IF(B22=4,Q22,IF(B22=5,R22,IF(B22=6,S22,IF(B22=7,T22,IF(B22=8,U22,IF(B22=9,V22,IF(B22=10,W22,IF(B22=11,X22,Y22)))))))))))+A22),0)</f>
        <v>526590.25</v>
      </c>
      <c r="K20" s="2">
        <v>7</v>
      </c>
      <c r="L20" s="2" t="s">
        <v>158</v>
      </c>
      <c r="M20" s="2">
        <v>365.25</v>
      </c>
      <c r="N20" s="2"/>
      <c r="O20" s="2" t="s">
        <v>101</v>
      </c>
      <c r="P20" s="2" t="s">
        <v>102</v>
      </c>
      <c r="Q20" s="2" t="s">
        <v>103</v>
      </c>
      <c r="R20" s="2" t="s">
        <v>104</v>
      </c>
      <c r="S20" s="2" t="s">
        <v>105</v>
      </c>
      <c r="T20" s="2" t="s">
        <v>106</v>
      </c>
      <c r="U20" s="2" t="s">
        <v>107</v>
      </c>
      <c r="V20" s="2" t="s">
        <v>108</v>
      </c>
      <c r="W20" s="2" t="s">
        <v>109</v>
      </c>
      <c r="X20" s="2" t="s">
        <v>110</v>
      </c>
      <c r="Y20" s="2" t="s">
        <v>111</v>
      </c>
      <c r="Z20" s="2" t="s">
        <v>112</v>
      </c>
      <c r="AA20" s="2"/>
      <c r="AK20" s="759"/>
      <c r="AL20" s="701">
        <v>35</v>
      </c>
      <c r="AM20" s="304">
        <v>35</v>
      </c>
      <c r="AN20" s="304">
        <v>35</v>
      </c>
      <c r="AO20" s="304">
        <v>35</v>
      </c>
      <c r="AP20" s="304">
        <v>35</v>
      </c>
      <c r="AQ20" s="304">
        <v>35</v>
      </c>
      <c r="AR20" s="304">
        <v>35</v>
      </c>
      <c r="AS20" s="304">
        <v>35</v>
      </c>
      <c r="AT20" s="304">
        <v>35</v>
      </c>
      <c r="AU20" s="304">
        <v>35</v>
      </c>
      <c r="AV20" s="304">
        <v>35</v>
      </c>
      <c r="AW20" s="304">
        <v>35</v>
      </c>
      <c r="AX20" s="314"/>
      <c r="AZ20" s="778" t="s">
        <v>3748</v>
      </c>
      <c r="BA20" s="692" t="e">
        <f>BA18-BA16</f>
        <v>#VALUE!</v>
      </c>
      <c r="BV20" s="112" t="s">
        <v>3553</v>
      </c>
      <c r="BW20" s="317">
        <f>BW5</f>
        <v>1</v>
      </c>
      <c r="CA20" s="492" t="s">
        <v>3750</v>
      </c>
      <c r="CB20" s="493" t="e">
        <f>IF(CB12&lt;24,CB12,CB12-24)</f>
        <v>#VALUE!</v>
      </c>
      <c r="CC20" s="794" t="e">
        <f>INT(ABS(CB20))</f>
        <v>#VALUE!</v>
      </c>
      <c r="CD20" s="794" t="e">
        <f>INT((ABS(CB20)-CC20)*60)</f>
        <v>#VALUE!</v>
      </c>
      <c r="CE20" s="794" t="e">
        <f>INT((((ABS(CB20)-CC20)*60)-CD20)*60)</f>
        <v>#VALUE!</v>
      </c>
      <c r="CF20" s="795" t="e">
        <f>INT((((((ABS(CB20)-CC20)*60)-CD20)*60)-CE20)*60)</f>
        <v>#VALUE!</v>
      </c>
      <c r="CG20" s="791" t="s">
        <v>3755</v>
      </c>
      <c r="CH20" s="791">
        <f>IF(CH12+CH6-12&gt;0,CH12+CH6-12,24+CH12+CH6-12)</f>
        <v>1.9894242982280641</v>
      </c>
      <c r="CI20" s="793">
        <f>INT(ABS(CH20))</f>
        <v>1</v>
      </c>
      <c r="CJ20" s="793">
        <f>INT((ABS(CH20)-CI20)*60)</f>
        <v>59</v>
      </c>
      <c r="CK20" s="793">
        <f>INT((((ABS(CH20)-CI20)*60)-CJ20)*60)</f>
        <v>21</v>
      </c>
      <c r="CL20" s="796">
        <f>INT((((((ABS(CH20)-CI20)*60)-CJ20)*60)-CK20)*60)</f>
        <v>55</v>
      </c>
      <c r="CO20" s="759"/>
      <c r="CP20" s="759"/>
      <c r="CQ20" s="759"/>
      <c r="CR20" s="759"/>
      <c r="CS20" s="759"/>
      <c r="CT20" s="759"/>
      <c r="CU20" s="759"/>
      <c r="CV20" s="492" t="s">
        <v>3750</v>
      </c>
      <c r="CW20" s="493">
        <f>IF(CW12&lt;24,CW12,CW12-24)</f>
        <v>6.225690982713652</v>
      </c>
      <c r="CX20" s="794">
        <f>INT(ABS(CW20))</f>
        <v>6</v>
      </c>
      <c r="CY20" s="794">
        <f>INT((ABS(CW20)-CX20)*60)</f>
        <v>13</v>
      </c>
      <c r="CZ20" s="794">
        <f>INT((((ABS(CW20)-CX20)*60)-CY20)*60)</f>
        <v>32</v>
      </c>
      <c r="DA20" s="795">
        <f>INT((((((ABS(CW20)-CX20)*60)-CY20)*60)-CZ20)*60)</f>
        <v>29</v>
      </c>
      <c r="DC20" s="906">
        <f>DC16</f>
        <v>1</v>
      </c>
      <c r="DD20" s="114">
        <f>(DD17*29)+DD19</f>
        <v>0</v>
      </c>
      <c r="DE20" s="115">
        <f>DE17+DE18+DE19</f>
        <v>-3544</v>
      </c>
      <c r="DI20" t="s">
        <v>3552</v>
      </c>
      <c r="DJ20" s="959" t="e">
        <f>[1]!bodsava(1,1,(DJ12+1),[1]!qsn([1]!ml([1]!taqsha(1,1,1+DJ12,DJ13)),DJ14)/30,DJ13,DJ14)</f>
        <v>#VALUE!</v>
      </c>
      <c r="DK20" s="962" t="e">
        <f>[1]!bodsava(1,1,(DK12+1),[1]!qsn([1]!ml([1]!taqsha(1,1,1+DK12,DK13)),DK14)/30,DK13,DK14)</f>
        <v>#VALUE!</v>
      </c>
      <c r="DL20" s="962" t="e">
        <f>[1]!bodsava(1,1,(DL12+1),[1]!qsn([1]!ml([1]!taqsha(1,1,1+DL12,DL13)),DL14)/30,DL13,DL14)</f>
        <v>#VALUE!</v>
      </c>
      <c r="DM20" s="962" t="e">
        <f>[1]!bodsava(1,1,(DM12+1),[1]!qsn([1]!ml([1]!taqsha(1,1,1+DM12,DM13)),DM14)/30,DM13,DM14)</f>
        <v>#VALUE!</v>
      </c>
      <c r="DN20" s="962" t="e">
        <f>[1]!bodsava(1,1,(DN12+1),[1]!qsn([1]!ml([1]!taqsha(1,1,1+DN12,DN13)),DN14)/30,DN13,DN14)</f>
        <v>#VALUE!</v>
      </c>
      <c r="DO20" s="962" t="e">
        <f>[1]!bodsava(1,1,(DO12+1),[1]!qsn([1]!ml([1]!taqsha(1,1,1+DO12,DO13)),DO14)/30,DO13,DO14)</f>
        <v>#VALUE!</v>
      </c>
      <c r="DP20" s="962" t="e">
        <f>[1]!bodsava(1,1,(DP12+1),[1]!qsn([1]!ml([1]!taqsha(1,1,1+DP12,DP13)),DP14)/30,DP13,DP14)</f>
        <v>#VALUE!</v>
      </c>
      <c r="DQ20" s="962" t="e">
        <f>[1]!bodsava(1,1,(DQ12+1),[1]!qsn([1]!ml([1]!taqsha(1,1,1+DQ12,DQ13)),DQ14)/30,DQ13,DQ14)</f>
        <v>#VALUE!</v>
      </c>
      <c r="DR20" s="962" t="e">
        <f>[1]!bodsava(1,1,(DR12+1),[1]!qsn([1]!ml([1]!taqsha(1,1,1+DR12,DR13)),DR14)/30,DR13,DR14)</f>
        <v>#VALUE!</v>
      </c>
      <c r="DS20" s="962" t="e">
        <f>[1]!bodsava(1,1,(DS12+1),[1]!qsn([1]!ml([1]!taqsha(1,1,1+DS12,DS13)),DS14)/30,DS13,DS14)</f>
        <v>#VALUE!</v>
      </c>
      <c r="DT20" s="962" t="e">
        <f>[1]!bodsava(1,1,(DT12+1),[1]!qsn([1]!ml([1]!taqsha(1,1,1+DT12,DT13)),DT14)/30,DT13,DT14)</f>
        <v>#VALUE!</v>
      </c>
      <c r="DU20" s="962" t="e">
        <f>[1]!bodsava(1,1,(DU12+1),[1]!qsn([1]!ml([1]!taqsha(1,1,1+DU12,DU13)),DU14)/30,DU13,DU14)</f>
        <v>#VALUE!</v>
      </c>
      <c r="DV20" s="962" t="e">
        <f>[1]!bodsava(1,1,(DV12+1),[1]!qsn([1]!ml([1]!taqsha(1,1,1+DV12,DV13)),DV14)/30,DV13,DV14)</f>
        <v>#VALUE!</v>
      </c>
      <c r="DW20" s="962" t="e">
        <f>[1]!bodsava(1,1,(DW12+1),[1]!qsn([1]!ml([1]!taqsha(1,1,1+DW12,DW13)),DW14)/30,DW13,DW14)</f>
        <v>#VALUE!</v>
      </c>
      <c r="DX20" s="962" t="e">
        <f>[1]!bodsava(1,1,(DX12+1),[1]!qsn([1]!ml([1]!taqsha(1,1,1+DX12,DX13)),DX14)/30,DX13,DX14)</f>
        <v>#VALUE!</v>
      </c>
      <c r="DY20" s="962" t="e">
        <f>[1]!bodsava(1,1,(DY12+1),[1]!qsn([1]!ml([1]!taqsha(1,1,1+DY12,DY13)),DY14)/30,DY13,DY14)</f>
        <v>#VALUE!</v>
      </c>
      <c r="DZ20" s="962" t="e">
        <f>[1]!bodsava(1,1,(DZ12+1),[1]!qsn([1]!ml([1]!taqsha(1,1,1+DZ12,DZ13)),DZ14)/30,DZ13,DZ14)</f>
        <v>#VALUE!</v>
      </c>
      <c r="EA20" s="962" t="e">
        <f>[1]!bodsava(1,1,(EA12+1),[1]!qsn([1]!ml([1]!taqsha(1,1,1+EA12,EA13)),EA14)/30,EA13,EA14)</f>
        <v>#VALUE!</v>
      </c>
      <c r="EB20" s="962" t="e">
        <f>[1]!bodsava(1,1,(EB12+1),[1]!qsn([1]!ml([1]!taqsha(1,1,1+EB12,EB13)),EB14)/30,EB13,EB14)</f>
        <v>#VALUE!</v>
      </c>
      <c r="EC20" s="962" t="e">
        <f>[1]!bodsava(1,1,(EC12+1),[1]!qsn([1]!ml([1]!taqsha(1,1,1+EC12,EC13)),EC14)/30,EC13,EC14)</f>
        <v>#VALUE!</v>
      </c>
      <c r="ED20" s="962" t="e">
        <f>[1]!bodsava(1,1,(ED12+1),[1]!qsn([1]!ml([1]!taqsha(1,1,1+ED12,ED13)),ED14)/30,ED13,ED14)</f>
        <v>#VALUE!</v>
      </c>
      <c r="EE20" s="962" t="e">
        <f>[1]!bodsava(1,1,(EE12+1),[1]!qsn([1]!ml([1]!taqsha(1,1,1+EE12,EE13)),EE14)/30,EE13,EE14)</f>
        <v>#VALUE!</v>
      </c>
      <c r="EF20" s="962" t="e">
        <f>[1]!bodsava(1,1,(EF12+1),[1]!qsn([1]!ml([1]!taqsha(1,1,1+EF12,EF13)),EF14)/30,EF13,EF14)</f>
        <v>#VALUE!</v>
      </c>
      <c r="EG20" s="962" t="e">
        <f>[1]!bodsava(1,1,(EG12+1),[1]!qsn([1]!ml([1]!taqsha(1,1,1+EG12,EG13)),EG14)/30,EG13,EG14)</f>
        <v>#VALUE!</v>
      </c>
      <c r="EH20" s="962" t="e">
        <f>[1]!bodsava(1,1,(EH12+1),[1]!qsn([1]!ml([1]!taqsha(1,1,1+EH12,EH13)),EH14)/30,EH13,EH14)</f>
        <v>#VALUE!</v>
      </c>
      <c r="EI20" s="962" t="e">
        <f>[1]!bodsava(1,1,(EI12+1),[1]!qsn([1]!ml([1]!taqsha(1,1,1+EI12,EI13)),EI14)/30,EI13,EI14)</f>
        <v>#VALUE!</v>
      </c>
      <c r="EJ20" s="962" t="e">
        <f>[1]!bodsava(1,1,(EJ12+1),[1]!qsn([1]!ml([1]!taqsha(1,1,1+EJ12,EJ13)),EJ14)/30,EJ13,EJ14)</f>
        <v>#VALUE!</v>
      </c>
      <c r="EK20" s="962" t="e">
        <f>[1]!bodsava(1,1,(EK12+1),[1]!qsn([1]!ml([1]!taqsha(1,1,1+EK12,EK13)),EK14)/30,EK13,EK14)</f>
        <v>#VALUE!</v>
      </c>
      <c r="EL20" s="962" t="e">
        <f>[1]!bodsava(1,1,(EL12+1),[1]!qsn([1]!ml([1]!taqsha(1,1,1+EL12,EL13)),EL14)/30,EL13,EL14)</f>
        <v>#VALUE!</v>
      </c>
      <c r="EM20" s="962" t="e">
        <f>[1]!bodsava(1,1,(EM12+1),[1]!qsn([1]!ml([1]!taqsha(1,1,1+EM12,EM13)),EM14)/30,EM13,EM14)</f>
        <v>#VALUE!</v>
      </c>
      <c r="EN20" s="962" t="e">
        <f>[1]!bodsava(1,1,(EN12+1),[1]!qsn([1]!ml([1]!taqsha(1,1,1+EN12,EN13)),EN14)/30,EN13,EN14)</f>
        <v>#VALUE!</v>
      </c>
      <c r="EO20" s="962" t="e">
        <f>[1]!bodsava(1,1,(EO12+1),[1]!qsn([1]!ml([1]!taqsha(1,1,1+EO12,EO13)),EO14)/30,EO13,EO14)</f>
        <v>#VALUE!</v>
      </c>
      <c r="EP20" s="962" t="e">
        <f>[1]!bodsava(1,1,(EP12+1),[1]!qsn([1]!ml([1]!taqsha(1,1,1+EP12,EP13)),EP14)/30,EP13,EP14)</f>
        <v>#VALUE!</v>
      </c>
      <c r="EQ20" s="962" t="e">
        <f>[1]!bodsava(1,1,(EQ12+1),[1]!qsn([1]!ml([1]!taqsha(1,1,1+EQ12,EQ13)),EQ14)/30,EQ13,EQ14)</f>
        <v>#VALUE!</v>
      </c>
      <c r="ER20" s="962" t="e">
        <f>[1]!bodsava(1,1,(ER12+1),[1]!qsn([1]!ml([1]!taqsha(1,1,1+ER12,ER13)),ER14)/30,ER13,ER14)</f>
        <v>#VALUE!</v>
      </c>
      <c r="ES20" s="962" t="e">
        <f>[1]!bodsava(1,1,(ES12+1),[1]!qsn([1]!ml([1]!taqsha(1,1,1+ES12,ES13)),ES14)/30,ES13,ES14)</f>
        <v>#VALUE!</v>
      </c>
      <c r="ET20" s="962" t="e">
        <f>[1]!bodsava(1,1,(ET12+1),[1]!qsn([1]!ml([1]!taqsha(1,1,1+ET12,ET13)),ET14)/30,ET13,ET14)</f>
        <v>#VALUE!</v>
      </c>
      <c r="EU20" s="962" t="e">
        <f>[1]!bodsava(1,1,(EU12+1),[1]!qsn([1]!ml([1]!taqsha(1,1,1+EU12,EU13)),EU14)/30,EU13,EU14)</f>
        <v>#VALUE!</v>
      </c>
      <c r="EV20" s="962" t="e">
        <f>[1]!bodsava(1,1,(EV12+1),[1]!qsn([1]!ml([1]!taqsha(1,1,1+EV12,EV13)),EV14)/30,EV13,EV14)</f>
        <v>#VALUE!</v>
      </c>
      <c r="EW20" s="962" t="e">
        <f>[1]!bodsava(1,1,(EW12+1),[1]!qsn([1]!ml([1]!taqsha(1,1,1+EW12,EW13)),EW14)/30,EW13,EW14)</f>
        <v>#VALUE!</v>
      </c>
      <c r="EX20" s="962" t="e">
        <f>[1]!bodsava(1,1,(EX12+1),[1]!qsn([1]!ml([1]!taqsha(1,1,1+EX12,EX13)),EX14)/30,EX13,EX14)</f>
        <v>#VALUE!</v>
      </c>
      <c r="EY20" s="962" t="e">
        <f>[1]!bodsava(1,1,(EY12+1),[1]!qsn([1]!ml([1]!taqsha(1,1,1+EY12,EY13)),EY14)/30,EY13,EY14)</f>
        <v>#VALUE!</v>
      </c>
      <c r="EZ20" s="962" t="e">
        <f>[1]!bodsava(1,1,(EZ12+1),[1]!qsn([1]!ml([1]!taqsha(1,1,1+EZ12,EZ13)),EZ14)/30,EZ13,EZ14)</f>
        <v>#VALUE!</v>
      </c>
      <c r="FA20" s="962" t="e">
        <f>[1]!bodsava(1,1,(FA12+1),[1]!qsn([1]!ml([1]!taqsha(1,1,1+FA12,FA13)),FA14)/30,FA13,FA14)</f>
        <v>#VALUE!</v>
      </c>
      <c r="FB20" s="962" t="e">
        <f>[1]!bodsava(1,1,(FB12+1),[1]!qsn([1]!ml([1]!taqsha(1,1,1+FB12,FB13)),FB14)/30,FB13,FB14)</f>
        <v>#VALUE!</v>
      </c>
      <c r="FC20" s="962" t="e">
        <f>[1]!bodsava(1,1,(FC12+1),[1]!qsn([1]!ml([1]!taqsha(1,1,1+FC12,FC13)),FC14)/30,FC13,FC14)</f>
        <v>#VALUE!</v>
      </c>
      <c r="FD20" s="962" t="e">
        <f>[1]!bodsava(1,1,(FD12+1),[1]!qsn([1]!ml([1]!taqsha(1,1,1+FD12,FD13)),FD14)/30,FD13,FD14)</f>
        <v>#VALUE!</v>
      </c>
      <c r="FE20" s="962" t="e">
        <f>[1]!bodsava(1,1,(FE12+1),[1]!qsn([1]!ml([1]!taqsha(1,1,1+FE12,FE13)),FE14)/30,FE13,FE14)</f>
        <v>#VALUE!</v>
      </c>
      <c r="FF20" s="962" t="e">
        <f>[1]!bodsava(1,1,(FF12+1),[1]!qsn([1]!ml([1]!taqsha(1,1,1+FF12,FF13)),FF14)/30,FF13,FF14)</f>
        <v>#VALUE!</v>
      </c>
      <c r="FG20" s="962" t="e">
        <f>[1]!bodsava(1,1,(FG12+1),[1]!qsn([1]!ml([1]!taqsha(1,1,1+FG12,FG13)),FG14)/30,FG13,FG14)</f>
        <v>#VALUE!</v>
      </c>
      <c r="FH20" s="962" t="e">
        <f>[1]!bodsava(1,1,(FH12+1),[1]!qsn([1]!ml([1]!taqsha(1,1,1+FH12,FH13)),FH14)/30,FH13,FH14)</f>
        <v>#VALUE!</v>
      </c>
      <c r="FI20" s="962" t="e">
        <f>[1]!bodsava(1,1,(FI12+1),[1]!qsn([1]!ml([1]!taqsha(1,1,1+FI12,FI13)),FI14)/30,FI13,FI14)</f>
        <v>#VALUE!</v>
      </c>
      <c r="FJ20" s="962" t="e">
        <f>[1]!bodsava(1,1,(FJ12+1),[1]!qsn([1]!ml([1]!taqsha(1,1,1+FJ12,FJ13)),FJ14)/30,FJ13,FJ14)</f>
        <v>#VALUE!</v>
      </c>
      <c r="FK20" s="962" t="e">
        <f>[1]!bodsava(1,1,(FK12+1),[1]!qsn([1]!ml([1]!taqsha(1,1,1+FK12,FK13)),FK14)/30,FK13,FK14)</f>
        <v>#VALUE!</v>
      </c>
      <c r="FL20" s="962" t="e">
        <f>[1]!bodsava(1,1,(FL12+1),[1]!qsn([1]!ml([1]!taqsha(1,1,1+FL12,FL13)),FL14)/30,FL13,FL14)</f>
        <v>#VALUE!</v>
      </c>
      <c r="FM20" s="962" t="e">
        <f>[1]!bodsava(1,1,(FM12+1),[1]!qsn([1]!ml([1]!taqsha(1,1,1+FM12,FM13)),FM14)/30,FM13,FM14)</f>
        <v>#VALUE!</v>
      </c>
      <c r="FN20" s="962" t="e">
        <f>[1]!bodsava(1,1,(FN12+1),[1]!qsn([1]!ml([1]!taqsha(1,1,1+FN12,FN13)),FN14)/30,FN13,FN14)</f>
        <v>#VALUE!</v>
      </c>
      <c r="FO20" s="962" t="e">
        <f>[1]!bodsava(1,1,(FO12+1),[1]!qsn([1]!ml([1]!taqsha(1,1,1+FO12,FO13)),FO14)/30,FO13,FO14)</f>
        <v>#VALUE!</v>
      </c>
      <c r="FP20" s="962" t="e">
        <f>[1]!bodsava(1,1,(FP12+1),[1]!qsn([1]!ml([1]!taqsha(1,1,1+FP12,FP13)),FP14)/30,FP13,FP14)</f>
        <v>#VALUE!</v>
      </c>
      <c r="FQ20" s="962" t="e">
        <f>[1]!bodsava(1,1,(FQ12+1),[1]!qsn([1]!ml([1]!taqsha(1,1,1+FQ12,FQ13)),FQ14)/30,FQ13,FQ14)</f>
        <v>#VALUE!</v>
      </c>
      <c r="FR20" s="962" t="e">
        <f>[1]!bodsava(1,1,(FR12+1),[1]!qsn([1]!ml([1]!taqsha(1,1,1+FR12,FR13)),FR14)/30,FR13,FR14)</f>
        <v>#VALUE!</v>
      </c>
      <c r="FS20" s="962" t="e">
        <f>[1]!bodsava(1,1,(FS12+1),[1]!qsn([1]!ml([1]!taqsha(1,1,1+FS12,FS13)),FS14)/30,FS13,FS14)</f>
        <v>#VALUE!</v>
      </c>
      <c r="FT20" s="962" t="e">
        <f>[1]!bodsava(1,1,(FT12+1),[1]!qsn([1]!ml([1]!taqsha(1,1,1+FT12,FT13)),FT14)/30,FT13,FT14)</f>
        <v>#VALUE!</v>
      </c>
      <c r="FU20" s="962" t="e">
        <f>[1]!bodsava(1,1,(FU12+1),[1]!qsn([1]!ml([1]!taqsha(1,1,1+FU12,FU13)),FU14)/30,FU13,FU14)</f>
        <v>#VALUE!</v>
      </c>
      <c r="FV20" s="962" t="e">
        <f>[1]!bodsava(1,1,(FV12+1),[1]!qsn([1]!ml([1]!taqsha(1,1,1+FV12,FV13)),FV14)/30,FV13,FV14)</f>
        <v>#VALUE!</v>
      </c>
      <c r="FW20" s="962" t="e">
        <f>[1]!bodsava(1,1,(FW12+1),[1]!qsn([1]!ml([1]!taqsha(1,1,1+FW12,FW13)),FW14)/30,FW13,FW14)</f>
        <v>#VALUE!</v>
      </c>
      <c r="FX20" s="962" t="e">
        <f>[1]!bodsava(1,1,(FX12+1),[1]!qsn([1]!ml([1]!taqsha(1,1,1+FX12,FX13)),FX14)/30,FX13,FX14)</f>
        <v>#VALUE!</v>
      </c>
      <c r="FY20" s="962" t="e">
        <f>[1]!bodsava(1,1,(FY12+1),[1]!qsn([1]!ml([1]!taqsha(1,1,1+FY12,FY13)),FY14)/30,FY13,FY14)</f>
        <v>#VALUE!</v>
      </c>
      <c r="FZ20" s="962" t="e">
        <f>[1]!bodsava(1,1,(FZ12+1),[1]!qsn([1]!ml([1]!taqsha(1,1,1+FZ12,FZ13)),FZ14)/30,FZ13,FZ14)</f>
        <v>#VALUE!</v>
      </c>
      <c r="GA20" s="962" t="e">
        <f>[1]!bodsava(1,1,(GA12+1),[1]!qsn([1]!ml([1]!taqsha(1,1,1+GA12,GA13)),GA14)/30,GA13,GA14)</f>
        <v>#VALUE!</v>
      </c>
      <c r="GB20" s="962" t="e">
        <f>[1]!bodsava(1,1,(GB12+1),[1]!qsn([1]!ml([1]!taqsha(1,1,1+GB12,GB13)),GB14)/30,GB13,GB14)</f>
        <v>#VALUE!</v>
      </c>
      <c r="GC20" s="962" t="e">
        <f>[1]!bodsava(1,1,(GC12+1),[1]!qsn([1]!ml([1]!taqsha(1,1,1+GC12,GC13)),GC14)/30,GC13,GC14)</f>
        <v>#VALUE!</v>
      </c>
      <c r="GD20" s="962" t="e">
        <f>[1]!bodsava(1,1,(GD12+1),[1]!qsn([1]!ml([1]!taqsha(1,1,1+GD12,GD13)),GD14)/30,GD13,GD14)</f>
        <v>#VALUE!</v>
      </c>
      <c r="GE20" s="962" t="e">
        <f>[1]!bodsava(1,1,(GE12+1),[1]!qsn([1]!ml([1]!taqsha(1,1,1+GE12,GE13)),GE14)/30,GE13,GE14)</f>
        <v>#VALUE!</v>
      </c>
      <c r="GF20" s="962" t="e">
        <f>[1]!bodsava(1,1,(GF12+1),[1]!qsn([1]!ml([1]!taqsha(1,1,1+GF12,GF13)),GF14)/30,GF13,GF14)</f>
        <v>#VALUE!</v>
      </c>
      <c r="GG20" s="962" t="e">
        <f>[1]!bodsava(1,1,(GG12+1),[1]!qsn([1]!ml([1]!taqsha(1,1,1+GG12,GG13)),GG14)/30,GG13,GG14)</f>
        <v>#VALUE!</v>
      </c>
      <c r="GH20" s="962" t="e">
        <f>[1]!bodsava(1,1,(GH12+1),[1]!qsn([1]!ml([1]!taqsha(1,1,1+GH12,GH13)),GH14)/30,GH13,GH14)</f>
        <v>#VALUE!</v>
      </c>
      <c r="GI20" s="962" t="e">
        <f>[1]!bodsava(1,1,(GI12+1),[1]!qsn([1]!ml([1]!taqsha(1,1,1+GI12,GI13)),GI14)/30,GI13,GI14)</f>
        <v>#VALUE!</v>
      </c>
      <c r="GJ20" s="962" t="e">
        <f>[1]!bodsava(1,1,(GJ12+1),[1]!qsn([1]!ml([1]!taqsha(1,1,1+GJ12,GJ13)),GJ14)/30,GJ13,GJ14)</f>
        <v>#VALUE!</v>
      </c>
      <c r="GK20" s="962" t="e">
        <f>[1]!bodsava(1,1,(GK12+1),[1]!qsn([1]!ml([1]!taqsha(1,1,1+GK12,GK13)),GK14)/30,GK13,GK14)</f>
        <v>#VALUE!</v>
      </c>
      <c r="GL20" s="962" t="e">
        <f>[1]!bodsava(1,1,(GL12+1),[1]!qsn([1]!ml([1]!taqsha(1,1,1+GL12,GL13)),GL14)/30,GL13,GL14)</f>
        <v>#VALUE!</v>
      </c>
      <c r="GM20" s="962" t="e">
        <f>[1]!bodsava(1,1,(GM12+1),[1]!qsn([1]!ml([1]!taqsha(1,1,1+GM12,GM13)),GM14)/30,GM13,GM14)</f>
        <v>#VALUE!</v>
      </c>
      <c r="GN20" s="962" t="e">
        <f>[1]!bodsava(1,1,(GN12+1),[1]!qsn([1]!ml([1]!taqsha(1,1,1+GN12,GN13)),GN14)/30,GN13,GN14)</f>
        <v>#VALUE!</v>
      </c>
      <c r="GO20" s="962" t="e">
        <f>[1]!bodsava(1,1,(GO12+1),[1]!qsn([1]!ml([1]!taqsha(1,1,1+GO12,GO13)),GO14)/30,GO13,GO14)</f>
        <v>#VALUE!</v>
      </c>
      <c r="GP20" s="962" t="e">
        <f>[1]!bodsava(1,1,(GP12+1),[1]!qsn([1]!ml([1]!taqsha(1,1,1+GP12,GP13)),GP14)/30,GP13,GP14)</f>
        <v>#VALUE!</v>
      </c>
      <c r="GQ20" s="962" t="e">
        <f>[1]!bodsava(1,1,(GQ12+1),[1]!qsn([1]!ml([1]!taqsha(1,1,1+GQ12,GQ13)),GQ14)/30,GQ13,GQ14)</f>
        <v>#VALUE!</v>
      </c>
      <c r="GR20" s="962" t="e">
        <f>[1]!bodsava(1,1,(GR12+1),[1]!qsn([1]!ml([1]!taqsha(1,1,1+GR12,GR13)),GR14)/30,GR13,GR14)</f>
        <v>#VALUE!</v>
      </c>
      <c r="GS20" s="962" t="e">
        <f>[1]!bodsava(1,1,(GS12+1),[1]!qsn([1]!ml([1]!taqsha(1,1,1+GS12,GS13)),GS14)/30,GS13,GS14)</f>
        <v>#VALUE!</v>
      </c>
      <c r="GT20" s="962" t="e">
        <f>[1]!bodsava(1,1,(GT12+1),[1]!qsn([1]!ml([1]!taqsha(1,1,1+GT12,GT13)),GT14)/30,GT13,GT14)</f>
        <v>#VALUE!</v>
      </c>
      <c r="GU20" s="962" t="e">
        <f>[1]!bodsava(1,1,(GU12+1),[1]!qsn([1]!ml([1]!taqsha(1,1,1+GU12,GU13)),GU14)/30,GU13,GU14)</f>
        <v>#VALUE!</v>
      </c>
      <c r="GV20" s="962" t="e">
        <f>[1]!bodsava(1,1,(GV12+1),[1]!qsn([1]!ml([1]!taqsha(1,1,1+GV12,GV13)),GV14)/30,GV13,GV14)</f>
        <v>#VALUE!</v>
      </c>
      <c r="GW20" s="962" t="e">
        <f>[1]!bodsava(1,1,(GW12+1),[1]!qsn([1]!ml([1]!taqsha(1,1,1+GW12,GW13)),GW14)/30,GW13,GW14)</f>
        <v>#VALUE!</v>
      </c>
      <c r="GX20" s="962" t="e">
        <f>[1]!bodsava(1,1,(GX12+1),[1]!qsn([1]!ml([1]!taqsha(1,1,1+GX12,GX13)),GX14)/30,GX13,GX14)</f>
        <v>#VALUE!</v>
      </c>
      <c r="GY20" s="962" t="e">
        <f>[1]!bodsava(1,1,(GY12+1),[1]!qsn([1]!ml([1]!taqsha(1,1,1+GY12,GY13)),GY14)/30,GY13,GY14)</f>
        <v>#VALUE!</v>
      </c>
      <c r="GZ20" s="962" t="e">
        <f>[1]!bodsava(1,1,(GZ12+1),[1]!qsn([1]!ml([1]!taqsha(1,1,1+GZ12,GZ13)),GZ14)/30,GZ13,GZ14)</f>
        <v>#VALUE!</v>
      </c>
      <c r="HA20" s="962" t="e">
        <f>[1]!bodsava(1,1,(HA12+1),[1]!qsn([1]!ml([1]!taqsha(1,1,1+HA12,HA13)),HA14)/30,HA13,HA14)</f>
        <v>#VALUE!</v>
      </c>
      <c r="HB20" s="962" t="e">
        <f>[1]!bodsava(1,1,(HB12+1),[1]!qsn([1]!ml([1]!taqsha(1,1,1+HB12,HB13)),HB14)/30,HB13,HB14)</f>
        <v>#VALUE!</v>
      </c>
      <c r="HC20" s="962" t="e">
        <f>[1]!bodsava(1,1,(HC12+1),[1]!qsn([1]!ml([1]!taqsha(1,1,1+HC12,HC13)),HC14)/30,HC13,HC14)</f>
        <v>#VALUE!</v>
      </c>
      <c r="HD20" s="962" t="e">
        <f>[1]!bodsava(1,1,(HD12+1),[1]!qsn([1]!ml([1]!taqsha(1,1,1+HD12,HD13)),HD14)/30,HD13,HD14)</f>
        <v>#VALUE!</v>
      </c>
      <c r="HE20" s="962" t="e">
        <f>[1]!bodsava(1,1,(HE12+1),[1]!qsn([1]!ml([1]!taqsha(1,1,1+HE12,HE13)),HE14)/30,HE13,HE14)</f>
        <v>#VALUE!</v>
      </c>
      <c r="HF20" s="962" t="e">
        <f>[1]!bodsava(1,1,(HF12+1),[1]!qsn([1]!ml([1]!taqsha(1,1,1+HF12,HF13)),HF14)/30,HF13,HF14)</f>
        <v>#VALUE!</v>
      </c>
      <c r="HG20" s="962" t="e">
        <f>[1]!bodsava(1,1,(HG12+1),[1]!qsn([1]!ml([1]!taqsha(1,1,1+HG12,HG13)),HG14)/30,HG13,HG14)</f>
        <v>#VALUE!</v>
      </c>
      <c r="HH20" s="962" t="e">
        <f>[1]!bodsava(1,1,(HH12+1),[1]!qsn([1]!ml([1]!taqsha(1,1,1+HH12,HH13)),HH14)/30,HH13,HH14)</f>
        <v>#VALUE!</v>
      </c>
      <c r="HI20" s="962" t="e">
        <f>[1]!bodsava(1,1,(HI12+1),[1]!qsn([1]!ml([1]!taqsha(1,1,1+HI12,HI13)),HI14)/30,HI13,HI14)</f>
        <v>#VALUE!</v>
      </c>
      <c r="HJ20" s="962" t="e">
        <f>[1]!bodsava(1,1,(HJ12+1),[1]!qsn([1]!ml([1]!taqsha(1,1,1+HJ12,HJ13)),HJ14)/30,HJ13,HJ14)</f>
        <v>#VALUE!</v>
      </c>
      <c r="HK20" s="962" t="e">
        <f>[1]!bodsava(1,1,(HK12+1),[1]!qsn([1]!ml([1]!taqsha(1,1,1+HK12,HK13)),HK14)/30,HK13,HK14)</f>
        <v>#VALUE!</v>
      </c>
      <c r="HL20" s="962" t="e">
        <f>[1]!bodsava(1,1,(HL12+1),[1]!qsn([1]!ml([1]!taqsha(1,1,1+HL12,HL13)),HL14)/30,HL13,HL14)</f>
        <v>#VALUE!</v>
      </c>
      <c r="HM20" s="962" t="e">
        <f>[1]!bodsava(1,1,(HM12+1),[1]!qsn([1]!ml([1]!taqsha(1,1,1+HM12,HM13)),HM14)/30,HM13,HM14)</f>
        <v>#VALUE!</v>
      </c>
      <c r="HN20" s="962" t="e">
        <f>[1]!bodsava(1,1,(HN12+1),[1]!qsn([1]!ml([1]!taqsha(1,1,1+HN12,HN13)),HN14)/30,HN13,HN14)</f>
        <v>#VALUE!</v>
      </c>
      <c r="HO20" s="962" t="e">
        <f>[1]!bodsava(1,1,(HO12+1),[1]!qsn([1]!ml([1]!taqsha(1,1,1+HO12,HO13)),HO14)/30,HO13,HO14)</f>
        <v>#VALUE!</v>
      </c>
      <c r="HP20" s="962" t="e">
        <f>[1]!bodsava(1,1,(HP12+1),[1]!qsn([1]!ml([1]!taqsha(1,1,1+HP12,HP13)),HP14)/30,HP13,HP14)</f>
        <v>#VALUE!</v>
      </c>
      <c r="HQ20" s="962" t="e">
        <f>[1]!bodsava(1,1,(HQ12+1),[1]!qsn([1]!ml([1]!taqsha(1,1,1+HQ12,HQ13)),HQ14)/30,HQ13,HQ14)</f>
        <v>#VALUE!</v>
      </c>
      <c r="HR20" s="962" t="e">
        <f>[1]!bodsava(1,1,(HR12+1),[1]!qsn([1]!ml([1]!taqsha(1,1,1+HR12,HR13)),HR14)/30,HR13,HR14)</f>
        <v>#VALUE!</v>
      </c>
      <c r="HS20" s="962" t="e">
        <f>[1]!bodsava(1,1,(HS12+1),[1]!qsn([1]!ml([1]!taqsha(1,1,1+HS12,HS13)),HS14)/30,HS13,HS14)</f>
        <v>#VALUE!</v>
      </c>
      <c r="HT20" s="962" t="e">
        <f>[1]!bodsava(1,1,(HT12+1),[1]!qsn([1]!ml([1]!taqsha(1,1,1+HT12,HT13)),HT14)/30,HT13,HT14)</f>
        <v>#VALUE!</v>
      </c>
      <c r="HU20" s="962" t="e">
        <f>[1]!bodsava(1,1,(HU12+1),[1]!qsn([1]!ml([1]!taqsha(1,1,1+HU12,HU13)),HU14)/30,HU13,HU14)</f>
        <v>#VALUE!</v>
      </c>
      <c r="HV20" s="962" t="e">
        <f>[1]!bodsava(1,1,(HV12+1),[1]!qsn([1]!ml([1]!taqsha(1,1,1+HV12,HV13)),HV14)/30,HV13,HV14)</f>
        <v>#VALUE!</v>
      </c>
      <c r="HW20" s="962" t="e">
        <f>[1]!bodsava(1,1,(HW12+1),[1]!qsn([1]!ml([1]!taqsha(1,1,1+HW12,HW13)),HW14)/30,HW13,HW14)</f>
        <v>#VALUE!</v>
      </c>
      <c r="HX20" s="962" t="e">
        <f>[1]!bodsava(1,1,(HX12+1),[1]!qsn([1]!ml([1]!taqsha(1,1,1+HX12,HX13)),HX14)/30,HX13,HX14)</f>
        <v>#VALUE!</v>
      </c>
      <c r="HY20" s="962" t="e">
        <f>[1]!bodsava(1,1,(HY12+1),[1]!qsn([1]!ml([1]!taqsha(1,1,1+HY12,HY13)),HY14)/30,HY13,HY14)</f>
        <v>#VALUE!</v>
      </c>
      <c r="HZ20" s="962" t="e">
        <f>[1]!bodsava(1,1,(HZ12+1),[1]!qsn([1]!ml([1]!taqsha(1,1,1+HZ12,HZ13)),HZ14)/30,HZ13,HZ14)</f>
        <v>#VALUE!</v>
      </c>
      <c r="IA20" s="962" t="e">
        <f>[1]!bodsava(1,1,(IA12+1),[1]!qsn([1]!ml([1]!taqsha(1,1,1+IA12,IA13)),IA14)/30,IA13,IA14)</f>
        <v>#VALUE!</v>
      </c>
      <c r="IB20" s="962" t="e">
        <f>[1]!bodsava(1,1,(IB12+1),[1]!qsn([1]!ml([1]!taqsha(1,1,1+IB12,IB13)),IB14)/30,IB13,IB14)</f>
        <v>#VALUE!</v>
      </c>
      <c r="IC20" s="962" t="e">
        <f>[1]!bodsava(1,1,(IC12+1),[1]!qsn([1]!ml([1]!taqsha(1,1,1+IC12,IC13)),IC14)/30,IC13,IC14)</f>
        <v>#VALUE!</v>
      </c>
      <c r="ID20" s="962" t="e">
        <f>[1]!bodsava(1,1,(ID12+1),[1]!qsn([1]!ml([1]!taqsha(1,1,1+ID12,ID13)),ID14)/30,ID13,ID14)</f>
        <v>#VALUE!</v>
      </c>
      <c r="IE20" s="962" t="e">
        <f>[1]!bodsava(1,1,(IE12+1),[1]!qsn([1]!ml([1]!taqsha(1,1,1+IE12,IE13)),IE14)/30,IE13,IE14)</f>
        <v>#VALUE!</v>
      </c>
      <c r="IF20" s="962" t="e">
        <f>[1]!bodsava(1,1,(IF12+1),[1]!qsn([1]!ml([1]!taqsha(1,1,1+IF12,IF13)),IF14)/30,IF13,IF14)</f>
        <v>#VALUE!</v>
      </c>
      <c r="IG20" s="962" t="e">
        <f>[1]!bodsava(1,1,(IG12+1),[1]!qsn([1]!ml([1]!taqsha(1,1,1+IG12,IG13)),IG14)/30,IG13,IG14)</f>
        <v>#VALUE!</v>
      </c>
      <c r="IH20" s="962" t="e">
        <f>[1]!bodsava(1,1,(IH12+1),[1]!qsn([1]!ml([1]!taqsha(1,1,1+IH12,IH13)),IH14)/30,IH13,IH14)</f>
        <v>#VALUE!</v>
      </c>
      <c r="II20" s="962" t="e">
        <f>[1]!bodsava(1,1,(II12+1),[1]!qsn([1]!ml([1]!taqsha(1,1,1+II12,II13)),II14)/30,II13,II14)</f>
        <v>#VALUE!</v>
      </c>
      <c r="IJ20" s="962" t="e">
        <f>[1]!bodsava(1,1,(IJ12+1),[1]!qsn([1]!ml([1]!taqsha(1,1,1+IJ12,IJ13)),IJ14)/30,IJ13,IJ14)</f>
        <v>#VALUE!</v>
      </c>
      <c r="IK20" s="962" t="e">
        <f>[1]!bodsava(1,1,(IK12+1),[1]!qsn([1]!ml([1]!taqsha(1,1,1+IK12,IK13)),IK14)/30,IK13,IK14)</f>
        <v>#VALUE!</v>
      </c>
      <c r="IL20" s="962" t="e">
        <f>[1]!bodsava(1,1,(IL12+1),[1]!qsn([1]!ml([1]!taqsha(1,1,1+IL12,IL13)),IL14)/30,IL13,IL14)</f>
        <v>#VALUE!</v>
      </c>
      <c r="IM20" s="962" t="e">
        <f>[1]!bodsava(1,1,(IM12+1),[1]!qsn([1]!ml([1]!taqsha(1,1,1+IM12,IM13)),IM14)/30,IM13,IM14)</f>
        <v>#VALUE!</v>
      </c>
      <c r="IN20" s="962" t="e">
        <f>[1]!bodsava(1,1,(IN12+1),[1]!qsn([1]!ml([1]!taqsha(1,1,1+IN12,IN13)),IN14)/30,IN13,IN14)</f>
        <v>#VALUE!</v>
      </c>
      <c r="IO20" s="962" t="e">
        <f>[1]!bodsava(1,1,(IO12+1),[1]!qsn([1]!ml([1]!taqsha(1,1,1+IO12,IO13)),IO14)/30,IO13,IO14)</f>
        <v>#VALUE!</v>
      </c>
      <c r="IP20" s="962" t="e">
        <f>[1]!bodsava(1,1,(IP12+1),[1]!qsn([1]!ml([1]!taqsha(1,1,1+IP12,IP13)),IP14)/30,IP13,IP14)</f>
        <v>#VALUE!</v>
      </c>
      <c r="IQ20" s="962" t="e">
        <f>[1]!bodsava(1,1,(IQ12+1),[1]!qsn([1]!ml([1]!taqsha(1,1,1+IQ12,IQ13)),IQ14)/30,IQ13,IQ14)</f>
        <v>#VALUE!</v>
      </c>
      <c r="IR20" s="962" t="e">
        <f>[1]!bodsava(1,1,(IR12+1),[1]!qsn([1]!ml([1]!taqsha(1,1,1+IR12,IR13)),IR14)/30,IR13,IR14)</f>
        <v>#VALUE!</v>
      </c>
      <c r="IS20" s="962" t="e">
        <f>[1]!bodsava(1,1,(IS12+1),[1]!qsn([1]!ml([1]!taqsha(1,1,1+IS12,IS13)),IS14)/30,IS13,IS14)</f>
        <v>#VALUE!</v>
      </c>
      <c r="IT20" s="962" t="e">
        <f>[1]!bodsava(1,1,(IT12+1),[1]!qsn([1]!ml([1]!taqsha(1,1,1+IT12,IT13)),IT14)/30,IT13,IT14)</f>
        <v>#VALUE!</v>
      </c>
      <c r="IU20" s="962" t="e">
        <f>[1]!bodsava(1,1,(IU12+1),[1]!qsn([1]!ml([1]!taqsha(1,1,1+IU12,IU13)),IU14)/30,IU13,IU14)</f>
        <v>#VALUE!</v>
      </c>
      <c r="IV20" s="962" t="e">
        <f>[1]!bodsava(1,1,(IV12+1),[1]!qsn([1]!ml([1]!taqsha(1,1,1+IV12,IV13)),IV14)/30,IV13,IV14)</f>
        <v>#VALUE!</v>
      </c>
      <c r="IW20" s="962" t="e">
        <f>[1]!bodsava(1,1,(IW12+1),[1]!qsn([1]!ml([1]!taqsha(1,1,1+IW12,IW13)),IW14)/30,IW13,IW14)</f>
        <v>#VALUE!</v>
      </c>
      <c r="IX20" s="962" t="e">
        <f>[1]!bodsava(1,1,(IX12+1),[1]!qsn([1]!ml([1]!taqsha(1,1,1+IX12,IX13)),IX14)/30,IX13,IX14)</f>
        <v>#VALUE!</v>
      </c>
      <c r="IY20" s="962" t="e">
        <f>[1]!bodsava(1,1,(IY12+1),[1]!qsn([1]!ml([1]!taqsha(1,1,1+IY12,IY13)),IY14)/30,IY13,IY14)</f>
        <v>#VALUE!</v>
      </c>
      <c r="IZ20" s="962" t="e">
        <f>[1]!bodsava(1,1,(IZ12+1),[1]!qsn([1]!ml([1]!taqsha(1,1,1+IZ12,IZ13)),IZ14)/30,IZ13,IZ14)</f>
        <v>#VALUE!</v>
      </c>
      <c r="JA20" s="962" t="e">
        <f>[1]!bodsava(1,1,(JA12+1),[1]!qsn([1]!ml([1]!taqsha(1,1,1+JA12,JA13)),JA14)/30,JA13,JA14)</f>
        <v>#VALUE!</v>
      </c>
      <c r="JB20" s="962" t="e">
        <f>[1]!bodsava(1,1,(JB12+1),[1]!qsn([1]!ml([1]!taqsha(1,1,1+JB12,JB13)),JB14)/30,JB13,JB14)</f>
        <v>#VALUE!</v>
      </c>
      <c r="JC20" s="962" t="e">
        <f>[1]!bodsava(1,1,(JC12+1),[1]!qsn([1]!ml([1]!taqsha(1,1,1+JC12,JC13)),JC14)/30,JC13,JC14)</f>
        <v>#VALUE!</v>
      </c>
      <c r="JD20" s="962" t="e">
        <f>[1]!bodsava(1,1,(JD12+1),[1]!qsn([1]!ml([1]!taqsha(1,1,1+JD12,JD13)),JD14)/30,JD13,JD14)</f>
        <v>#VALUE!</v>
      </c>
      <c r="JE20" s="962" t="e">
        <f>[1]!bodsava(1,1,(JE12+1),[1]!qsn([1]!ml([1]!taqsha(1,1,1+JE12,JE13)),JE14)/30,JE13,JE14)</f>
        <v>#VALUE!</v>
      </c>
      <c r="JF20" s="962" t="e">
        <f>[1]!bodsava(1,1,(JF12+1),[1]!qsn([1]!ml([1]!taqsha(1,1,1+JF12,JF13)),JF14)/30,JF13,JF14)</f>
        <v>#VALUE!</v>
      </c>
      <c r="JG20" s="962" t="e">
        <f>[1]!bodsava(1,1,(JG12+1),[1]!qsn([1]!ml([1]!taqsha(1,1,1+JG12,JG13)),JG14)/30,JG13,JG14)</f>
        <v>#VALUE!</v>
      </c>
      <c r="JH20" s="962" t="e">
        <f>[1]!bodsava(1,1,(JH12+1),[1]!qsn([1]!ml([1]!taqsha(1,1,1+JH12,JH13)),JH14)/30,JH13,JH14)</f>
        <v>#VALUE!</v>
      </c>
      <c r="JI20" s="962" t="e">
        <f>[1]!bodsava(1,1,(JI12+1),[1]!qsn([1]!ml([1]!taqsha(1,1,1+JI12,JI13)),JI14)/30,JI13,JI14)</f>
        <v>#VALUE!</v>
      </c>
      <c r="JJ20" s="962" t="e">
        <f>[1]!bodsava(1,1,(JJ12+1),[1]!qsn([1]!ml([1]!taqsha(1,1,1+JJ12,JJ13)),JJ14)/30,JJ13,JJ14)</f>
        <v>#VALUE!</v>
      </c>
      <c r="JK20" s="962" t="e">
        <f>[1]!bodsava(1,1,(JK12+1),[1]!qsn([1]!ml([1]!taqsha(1,1,1+JK12,JK13)),JK14)/30,JK13,JK14)</f>
        <v>#VALUE!</v>
      </c>
      <c r="JL20" s="962" t="e">
        <f>[1]!bodsava(1,1,(JL12+1),[1]!qsn([1]!ml([1]!taqsha(1,1,1+JL12,JL13)),JL14)/30,JL13,JL14)</f>
        <v>#VALUE!</v>
      </c>
      <c r="JM20" s="962" t="e">
        <f>[1]!bodsava(1,1,(JM12+1),[1]!qsn([1]!ml([1]!taqsha(1,1,1+JM12,JM13)),JM14)/30,JM13,JM14)</f>
        <v>#VALUE!</v>
      </c>
      <c r="JN20" s="962" t="e">
        <f>[1]!bodsava(1,1,(JN12+1),[1]!qsn([1]!ml([1]!taqsha(1,1,1+JN12,JN13)),JN14)/30,JN13,JN14)</f>
        <v>#VALUE!</v>
      </c>
      <c r="JO20" s="962" t="e">
        <f>[1]!bodsava(1,1,(JO12+1),[1]!qsn([1]!ml([1]!taqsha(1,1,1+JO12,JO13)),JO14)/30,JO13,JO14)</f>
        <v>#VALUE!</v>
      </c>
      <c r="JP20" s="962" t="e">
        <f>[1]!bodsava(1,1,(JP12+1),[1]!qsn([1]!ml([1]!taqsha(1,1,1+JP12,JP13)),JP14)/30,JP13,JP14)</f>
        <v>#VALUE!</v>
      </c>
      <c r="JQ20" s="962" t="e">
        <f>[1]!bodsava(1,1,(JQ12+1),[1]!qsn([1]!ml([1]!taqsha(1,1,1+JQ12,JQ13)),JQ14)/30,JQ13,JQ14)</f>
        <v>#VALUE!</v>
      </c>
      <c r="JR20" s="962" t="e">
        <f>[1]!bodsava(1,1,(JR12+1),[1]!qsn([1]!ml([1]!taqsha(1,1,1+JR12,JR13)),JR14)/30,JR13,JR14)</f>
        <v>#VALUE!</v>
      </c>
      <c r="JS20" s="962" t="e">
        <f>[1]!bodsava(1,1,(JS12+1),[1]!qsn([1]!ml([1]!taqsha(1,1,1+JS12,JS13)),JS14)/30,JS13,JS14)</f>
        <v>#VALUE!</v>
      </c>
      <c r="JT20" s="962" t="e">
        <f>[1]!bodsava(1,1,(JT12+1),[1]!qsn([1]!ml([1]!taqsha(1,1,1+JT12,JT13)),JT14)/30,JT13,JT14)</f>
        <v>#VALUE!</v>
      </c>
      <c r="JU20" s="962" t="e">
        <f>[1]!bodsava(1,1,(JU12+1),[1]!qsn([1]!ml([1]!taqsha(1,1,1+JU12,JU13)),JU14)/30,JU13,JU14)</f>
        <v>#VALUE!</v>
      </c>
      <c r="JV20" s="962" t="e">
        <f>[1]!bodsava(1,1,(JV12+1),[1]!qsn([1]!ml([1]!taqsha(1,1,1+JV12,JV13)),JV14)/30,JV13,JV14)</f>
        <v>#VALUE!</v>
      </c>
      <c r="JW20" s="962" t="e">
        <f>[1]!bodsava(1,1,(JW12+1),[1]!qsn([1]!ml([1]!taqsha(1,1,1+JW12,JW13)),JW14)/30,JW13,JW14)</f>
        <v>#VALUE!</v>
      </c>
      <c r="JX20" s="962" t="e">
        <f>[1]!bodsava(1,1,(JX12+1),[1]!qsn([1]!ml([1]!taqsha(1,1,1+JX12,JX13)),JX14)/30,JX13,JX14)</f>
        <v>#VALUE!</v>
      </c>
      <c r="JY20" s="962" t="e">
        <f>[1]!bodsava(1,1,(JY12+1),[1]!qsn([1]!ml([1]!taqsha(1,1,1+JY12,JY13)),JY14)/30,JY13,JY14)</f>
        <v>#VALUE!</v>
      </c>
      <c r="JZ20" s="962" t="e">
        <f>[1]!bodsava(1,1,(JZ12+1),[1]!qsn([1]!ml([1]!taqsha(1,1,1+JZ12,JZ13)),JZ14)/30,JZ13,JZ14)</f>
        <v>#VALUE!</v>
      </c>
      <c r="KA20" s="962" t="e">
        <f>[1]!bodsava(1,1,(KA12+1),[1]!qsn([1]!ml([1]!taqsha(1,1,1+KA12,KA13)),KA14)/30,KA13,KA14)</f>
        <v>#VALUE!</v>
      </c>
      <c r="KB20" s="962" t="e">
        <f>[1]!bodsava(1,1,(KB12+1),[1]!qsn([1]!ml([1]!taqsha(1,1,1+KB12,KB13)),KB14)/30,KB13,KB14)</f>
        <v>#VALUE!</v>
      </c>
      <c r="KC20" s="962" t="e">
        <f>[1]!bodsava(1,1,(KC12+1),[1]!qsn([1]!ml([1]!taqsha(1,1,1+KC12,KC13)),KC14)/30,KC13,KC14)</f>
        <v>#VALUE!</v>
      </c>
      <c r="KD20" s="962" t="e">
        <f>[1]!bodsava(1,1,(KD12+1),[1]!qsn([1]!ml([1]!taqsha(1,1,1+KD12,KD13)),KD14)/30,KD13,KD14)</f>
        <v>#VALUE!</v>
      </c>
      <c r="KE20" s="962" t="e">
        <f>[1]!bodsava(1,1,(KE12+1),[1]!qsn([1]!ml([1]!taqsha(1,1,1+KE12,KE13)),KE14)/30,KE13,KE14)</f>
        <v>#VALUE!</v>
      </c>
      <c r="KF20" s="962" t="e">
        <f>[1]!bodsava(1,1,(KF12+1),[1]!qsn([1]!ml([1]!taqsha(1,1,1+KF12,KF13)),KF14)/30,KF13,KF14)</f>
        <v>#VALUE!</v>
      </c>
      <c r="KG20" s="962" t="e">
        <f>[1]!bodsava(1,1,(KG12+1),[1]!qsn([1]!ml([1]!taqsha(1,1,1+KG12,KG13)),KG14)/30,KG13,KG14)</f>
        <v>#VALUE!</v>
      </c>
      <c r="KH20" s="962" t="e">
        <f>[1]!bodsava(1,1,(KH12+1),[1]!qsn([1]!ml([1]!taqsha(1,1,1+KH12,KH13)),KH14)/30,KH13,KH14)</f>
        <v>#VALUE!</v>
      </c>
      <c r="KI20" s="962" t="e">
        <f>[1]!bodsava(1,1,(KI12+1),[1]!qsn([1]!ml([1]!taqsha(1,1,1+KI12,KI13)),KI14)/30,KI13,KI14)</f>
        <v>#VALUE!</v>
      </c>
      <c r="KJ20" s="962" t="e">
        <f>[1]!bodsava(1,1,(KJ12+1),[1]!qsn([1]!ml([1]!taqsha(1,1,1+KJ12,KJ13)),KJ14)/30,KJ13,KJ14)</f>
        <v>#VALUE!</v>
      </c>
      <c r="KK20" s="962" t="e">
        <f>[1]!bodsava(1,1,(KK12+1),[1]!qsn([1]!ml([1]!taqsha(1,1,1+KK12,KK13)),KK14)/30,KK13,KK14)</f>
        <v>#VALUE!</v>
      </c>
      <c r="KL20" s="962" t="e">
        <f>[1]!bodsava(1,1,(KL12+1),[1]!qsn([1]!ml([1]!taqsha(1,1,1+KL12,KL13)),KL14)/30,KL13,KL14)</f>
        <v>#VALUE!</v>
      </c>
      <c r="KM20" s="962" t="e">
        <f>[1]!bodsava(1,1,(KM12+1),[1]!qsn([1]!ml([1]!taqsha(1,1,1+KM12,KM13)),KM14)/30,KM13,KM14)</f>
        <v>#VALUE!</v>
      </c>
      <c r="KN20" s="962" t="e">
        <f>[1]!bodsava(1,1,(KN12+1),[1]!qsn([1]!ml([1]!taqsha(1,1,1+KN12,KN13)),KN14)/30,KN13,KN14)</f>
        <v>#VALUE!</v>
      </c>
      <c r="KO20" s="962" t="e">
        <f>[1]!bodsava(1,1,(KO12+1),[1]!qsn([1]!ml([1]!taqsha(1,1,1+KO12,KO13)),KO14)/30,KO13,KO14)</f>
        <v>#VALUE!</v>
      </c>
      <c r="KP20" s="962" t="e">
        <f>[1]!bodsava(1,1,(KP12+1),[1]!qsn([1]!ml([1]!taqsha(1,1,1+KP12,KP13)),KP14)/30,KP13,KP14)</f>
        <v>#VALUE!</v>
      </c>
      <c r="KQ20" s="962" t="e">
        <f>[1]!bodsava(1,1,(KQ12+1),[1]!qsn([1]!ml([1]!taqsha(1,1,1+KQ12,KQ13)),KQ14)/30,KQ13,KQ14)</f>
        <v>#VALUE!</v>
      </c>
      <c r="KR20" s="962" t="e">
        <f>[1]!bodsava(1,1,(KR12+1),[1]!qsn([1]!ml([1]!taqsha(1,1,1+KR12,KR13)),KR14)/30,KR13,KR14)</f>
        <v>#VALUE!</v>
      </c>
      <c r="KS20" s="962" t="e">
        <f>[1]!bodsava(1,1,(KS12+1),[1]!qsn([1]!ml([1]!taqsha(1,1,1+KS12,KS13)),KS14)/30,KS13,KS14)</f>
        <v>#VALUE!</v>
      </c>
      <c r="KT20" s="962" t="e">
        <f>[1]!bodsava(1,1,(KT12+1),[1]!qsn([1]!ml([1]!taqsha(1,1,1+KT12,KT13)),KT14)/30,KT13,KT14)</f>
        <v>#VALUE!</v>
      </c>
      <c r="KU20" s="962" t="e">
        <f>[1]!bodsava(1,1,(KU12+1),[1]!qsn([1]!ml([1]!taqsha(1,1,1+KU12,KU13)),KU14)/30,KU13,KU14)</f>
        <v>#VALUE!</v>
      </c>
      <c r="KV20" s="962" t="e">
        <f>[1]!bodsava(1,1,(KV12+1),[1]!qsn([1]!ml([1]!taqsha(1,1,1+KV12,KV13)),KV14)/30,KV13,KV14)</f>
        <v>#VALUE!</v>
      </c>
      <c r="KW20" s="962" t="e">
        <f>[1]!bodsava(1,1,(KW12+1),[1]!qsn([1]!ml([1]!taqsha(1,1,1+KW12,KW13)),KW14)/30,KW13,KW14)</f>
        <v>#VALUE!</v>
      </c>
      <c r="KX20" s="962" t="e">
        <f>[1]!bodsava(1,1,(KX12+1),[1]!qsn([1]!ml([1]!taqsha(1,1,1+KX12,KX13)),KX14)/30,KX13,KX14)</f>
        <v>#VALUE!</v>
      </c>
      <c r="KY20" s="962" t="e">
        <f>[1]!bodsava(1,1,(KY12+1),[1]!qsn([1]!ml([1]!taqsha(1,1,1+KY12,KY13)),KY14)/30,KY13,KY14)</f>
        <v>#VALUE!</v>
      </c>
      <c r="KZ20" s="962" t="e">
        <f>[1]!bodsava(1,1,(KZ12+1),[1]!qsn([1]!ml([1]!taqsha(1,1,1+KZ12,KZ13)),KZ14)/30,KZ13,KZ14)</f>
        <v>#VALUE!</v>
      </c>
      <c r="LA20" s="962" t="e">
        <f>[1]!bodsava(1,1,(LA12+1),[1]!qsn([1]!ml([1]!taqsha(1,1,1+LA12,LA13)),LA14)/30,LA13,LA14)</f>
        <v>#VALUE!</v>
      </c>
      <c r="LB20" s="962" t="e">
        <f>[1]!bodsava(1,1,(LB12+1),[1]!qsn([1]!ml([1]!taqsha(1,1,1+LB12,LB13)),LB14)/30,LB13,LB14)</f>
        <v>#VALUE!</v>
      </c>
      <c r="LC20" s="962" t="e">
        <f>[1]!bodsava(1,1,(LC12+1),[1]!qsn([1]!ml([1]!taqsha(1,1,1+LC12,LC13)),LC14)/30,LC13,LC14)</f>
        <v>#VALUE!</v>
      </c>
      <c r="LD20" s="962" t="e">
        <f>[1]!bodsava(1,1,(LD12+1),[1]!qsn([1]!ml([1]!taqsha(1,1,1+LD12,LD13)),LD14)/30,LD13,LD14)</f>
        <v>#VALUE!</v>
      </c>
      <c r="LE20" s="962" t="e">
        <f>[1]!bodsava(1,1,(LE12+1),[1]!qsn([1]!ml([1]!taqsha(1,1,1+LE12,LE13)),LE14)/30,LE13,LE14)</f>
        <v>#VALUE!</v>
      </c>
      <c r="LF20" s="962" t="e">
        <f>[1]!bodsava(1,1,(LF12+1),[1]!qsn([1]!ml([1]!taqsha(1,1,1+LF12,LF13)),LF14)/30,LF13,LF14)</f>
        <v>#VALUE!</v>
      </c>
      <c r="LG20" s="962" t="e">
        <f>[1]!bodsava(1,1,(LG12+1),[1]!qsn([1]!ml([1]!taqsha(1,1,1+LG12,LG13)),LG14)/30,LG13,LG14)</f>
        <v>#VALUE!</v>
      </c>
      <c r="LH20" s="962" t="e">
        <f>[1]!bodsava(1,1,(LH12+1),[1]!qsn([1]!ml([1]!taqsha(1,1,1+LH12,LH13)),LH14)/30,LH13,LH14)</f>
        <v>#VALUE!</v>
      </c>
      <c r="LI20" s="962" t="e">
        <f>[1]!bodsava(1,1,(LI12+1),[1]!qsn([1]!ml([1]!taqsha(1,1,1+LI12,LI13)),LI14)/30,LI13,LI14)</f>
        <v>#VALUE!</v>
      </c>
      <c r="LJ20" s="962" t="e">
        <f>[1]!bodsava(1,1,(LJ12+1),[1]!qsn([1]!ml([1]!taqsha(1,1,1+LJ12,LJ13)),LJ14)/30,LJ13,LJ14)</f>
        <v>#VALUE!</v>
      </c>
      <c r="LK20" s="962" t="e">
        <f>[1]!bodsava(1,1,(LK12+1),[1]!qsn([1]!ml([1]!taqsha(1,1,1+LK12,LK13)),LK14)/30,LK13,LK14)</f>
        <v>#VALUE!</v>
      </c>
      <c r="LL20" s="962" t="e">
        <f>[1]!bodsava(1,1,(LL12+1),[1]!qsn([1]!ml([1]!taqsha(1,1,1+LL12,LL13)),LL14)/30,LL13,LL14)</f>
        <v>#VALUE!</v>
      </c>
      <c r="LM20" s="962" t="e">
        <f>[1]!bodsava(1,1,(LM12+1),[1]!qsn([1]!ml([1]!taqsha(1,1,1+LM12,LM13)),LM14)/30,LM13,LM14)</f>
        <v>#VALUE!</v>
      </c>
      <c r="LN20" s="962" t="e">
        <f>[1]!bodsava(1,1,(LN12+1),[1]!qsn([1]!ml([1]!taqsha(1,1,1+LN12,LN13)),LN14)/30,LN13,LN14)</f>
        <v>#VALUE!</v>
      </c>
      <c r="LO20" s="962" t="e">
        <f>[1]!bodsava(1,1,(LO12+1),[1]!qsn([1]!ml([1]!taqsha(1,1,1+LO12,LO13)),LO14)/30,LO13,LO14)</f>
        <v>#VALUE!</v>
      </c>
      <c r="LP20" s="962" t="e">
        <f>[1]!bodsava(1,1,(LP12+1),[1]!qsn([1]!ml([1]!taqsha(1,1,1+LP12,LP13)),LP14)/30,LP13,LP14)</f>
        <v>#VALUE!</v>
      </c>
      <c r="LQ20" s="962" t="e">
        <f>[1]!bodsava(1,1,(LQ12+1),[1]!qsn([1]!ml([1]!taqsha(1,1,1+LQ12,LQ13)),LQ14)/30,LQ13,LQ14)</f>
        <v>#VALUE!</v>
      </c>
      <c r="LR20" s="962" t="e">
        <f>[1]!bodsava(1,1,(LR12+1),[1]!qsn([1]!ml([1]!taqsha(1,1,1+LR12,LR13)),LR14)/30,LR13,LR14)</f>
        <v>#VALUE!</v>
      </c>
      <c r="LS20" s="962" t="e">
        <f>[1]!bodsava(1,1,(LS12+1),[1]!qsn([1]!ml([1]!taqsha(1,1,1+LS12,LS13)),LS14)/30,LS13,LS14)</f>
        <v>#VALUE!</v>
      </c>
      <c r="LT20" s="962" t="e">
        <f>[1]!bodsava(1,1,(LT12+1),[1]!qsn([1]!ml([1]!taqsha(1,1,1+LT12,LT13)),LT14)/30,LT13,LT14)</f>
        <v>#VALUE!</v>
      </c>
      <c r="LU20" s="962" t="e">
        <f>[1]!bodsava(1,1,(LU12+1),[1]!qsn([1]!ml([1]!taqsha(1,1,1+LU12,LU13)),LU14)/30,LU13,LU14)</f>
        <v>#VALUE!</v>
      </c>
      <c r="LV20" s="962" t="e">
        <f>[1]!bodsava(1,1,(LV12+1),[1]!qsn([1]!ml([1]!taqsha(1,1,1+LV12,LV13)),LV14)/30,LV13,LV14)</f>
        <v>#VALUE!</v>
      </c>
      <c r="LW20" s="962" t="e">
        <f>[1]!bodsava(1,1,(LW12+1),[1]!qsn([1]!ml([1]!taqsha(1,1,1+LW12,LW13)),LW14)/30,LW13,LW14)</f>
        <v>#VALUE!</v>
      </c>
      <c r="LX20" s="962" t="e">
        <f>[1]!bodsava(1,1,(LX12+1),[1]!qsn([1]!ml([1]!taqsha(1,1,1+LX12,LX13)),LX14)/30,LX13,LX14)</f>
        <v>#VALUE!</v>
      </c>
      <c r="LY20" s="962" t="e">
        <f>[1]!bodsava(1,1,(LY12+1),[1]!qsn([1]!ml([1]!taqsha(1,1,1+LY12,LY13)),LY14)/30,LY13,LY14)</f>
        <v>#VALUE!</v>
      </c>
      <c r="LZ20" s="962" t="e">
        <f>[1]!bodsava(1,1,(LZ12+1),[1]!qsn([1]!ml([1]!taqsha(1,1,1+LZ12,LZ13)),LZ14)/30,LZ13,LZ14)</f>
        <v>#VALUE!</v>
      </c>
      <c r="MA20" s="962" t="e">
        <f>[1]!bodsava(1,1,(MA12+1),[1]!qsn([1]!ml([1]!taqsha(1,1,1+MA12,MA13)),MA14)/30,MA13,MA14)</f>
        <v>#VALUE!</v>
      </c>
      <c r="MB20" s="962" t="e">
        <f>[1]!bodsava(1,1,(MB12+1),[1]!qsn([1]!ml([1]!taqsha(1,1,1+MB12,MB13)),MB14)/30,MB13,MB14)</f>
        <v>#VALUE!</v>
      </c>
      <c r="MC20" s="962" t="e">
        <f>[1]!bodsava(1,1,(MC12+1),[1]!qsn([1]!ml([1]!taqsha(1,1,1+MC12,MC13)),MC14)/30,MC13,MC14)</f>
        <v>#VALUE!</v>
      </c>
      <c r="MD20" s="962" t="e">
        <f>[1]!bodsava(1,1,(MD12+1),[1]!qsn([1]!ml([1]!taqsha(1,1,1+MD12,MD13)),MD14)/30,MD13,MD14)</f>
        <v>#VALUE!</v>
      </c>
      <c r="ME20" s="962" t="e">
        <f>[1]!bodsava(1,1,(ME12+1),[1]!qsn([1]!ml([1]!taqsha(1,1,1+ME12,ME13)),ME14)/30,ME13,ME14)</f>
        <v>#VALUE!</v>
      </c>
      <c r="MF20" s="962" t="e">
        <f>[1]!bodsava(1,1,(MF12+1),[1]!qsn([1]!ml([1]!taqsha(1,1,1+MF12,MF13)),MF14)/30,MF13,MF14)</f>
        <v>#VALUE!</v>
      </c>
      <c r="MG20" s="962" t="e">
        <f>[1]!bodsava(1,1,(MG12+1),[1]!qsn([1]!ml([1]!taqsha(1,1,1+MG12,MG13)),MG14)/30,MG13,MG14)</f>
        <v>#VALUE!</v>
      </c>
      <c r="MH20" s="962" t="e">
        <f>[1]!bodsava(1,1,(MH12+1),[1]!qsn([1]!ml([1]!taqsha(1,1,1+MH12,MH13)),MH14)/30,MH13,MH14)</f>
        <v>#VALUE!</v>
      </c>
      <c r="MI20" s="962" t="e">
        <f>[1]!bodsava(1,1,(MI12+1),[1]!qsn([1]!ml([1]!taqsha(1,1,1+MI12,MI13)),MI14)/30,MI13,MI14)</f>
        <v>#VALUE!</v>
      </c>
      <c r="MJ20" s="962" t="e">
        <f>[1]!bodsava(1,1,(MJ12+1),[1]!qsn([1]!ml([1]!taqsha(1,1,1+MJ12,MJ13)),MJ14)/30,MJ13,MJ14)</f>
        <v>#VALUE!</v>
      </c>
      <c r="MK20" s="962" t="e">
        <f>[1]!bodsava(1,1,(MK12+1),[1]!qsn([1]!ml([1]!taqsha(1,1,1+MK12,MK13)),MK14)/30,MK13,MK14)</f>
        <v>#VALUE!</v>
      </c>
      <c r="ML20" s="962" t="e">
        <f>[1]!bodsava(1,1,(ML12+1),[1]!qsn([1]!ml([1]!taqsha(1,1,1+ML12,ML13)),ML14)/30,ML13,ML14)</f>
        <v>#VALUE!</v>
      </c>
      <c r="MM20" s="962" t="e">
        <f>[1]!bodsava(1,1,(MM12+1),[1]!qsn([1]!ml([1]!taqsha(1,1,1+MM12,MM13)),MM14)/30,MM13,MM14)</f>
        <v>#VALUE!</v>
      </c>
      <c r="MN20" s="962" t="e">
        <f>[1]!bodsava(1,1,(MN12+1),[1]!qsn([1]!ml([1]!taqsha(1,1,1+MN12,MN13)),MN14)/30,MN13,MN14)</f>
        <v>#VALUE!</v>
      </c>
      <c r="MO20" s="962" t="e">
        <f>[1]!bodsava(1,1,(MO12+1),[1]!qsn([1]!ml([1]!taqsha(1,1,1+MO12,MO13)),MO14)/30,MO13,MO14)</f>
        <v>#VALUE!</v>
      </c>
      <c r="MP20" s="962" t="e">
        <f>[1]!bodsava(1,1,(MP12+1),[1]!qsn([1]!ml([1]!taqsha(1,1,1+MP12,MP13)),MP14)/30,MP13,MP14)</f>
        <v>#VALUE!</v>
      </c>
      <c r="MQ20" s="962" t="e">
        <f>[1]!bodsava(1,1,(MQ12+1),[1]!qsn([1]!ml([1]!taqsha(1,1,1+MQ12,MQ13)),MQ14)/30,MQ13,MQ14)</f>
        <v>#VALUE!</v>
      </c>
      <c r="MR20" s="962" t="e">
        <f>[1]!bodsava(1,1,(MR12+1),[1]!qsn([1]!ml([1]!taqsha(1,1,1+MR12,MR13)),MR14)/30,MR13,MR14)</f>
        <v>#VALUE!</v>
      </c>
      <c r="MS20" s="962" t="e">
        <f>[1]!bodsava(1,1,(MS12+1),[1]!qsn([1]!ml([1]!taqsha(1,1,1+MS12,MS13)),MS14)/30,MS13,MS14)</f>
        <v>#VALUE!</v>
      </c>
      <c r="MT20" s="962" t="e">
        <f>[1]!bodsava(1,1,(MT12+1),[1]!qsn([1]!ml([1]!taqsha(1,1,1+MT12,MT13)),MT14)/30,MT13,MT14)</f>
        <v>#VALUE!</v>
      </c>
      <c r="MU20" s="962" t="e">
        <f>[1]!bodsava(1,1,(MU12+1),[1]!qsn([1]!ml([1]!taqsha(1,1,1+MU12,MU13)),MU14)/30,MU13,MU14)</f>
        <v>#VALUE!</v>
      </c>
      <c r="MV20" s="962" t="e">
        <f>[1]!bodsava(1,1,(MV12+1),[1]!qsn([1]!ml([1]!taqsha(1,1,1+MV12,MV13)),MV14)/30,MV13,MV14)</f>
        <v>#VALUE!</v>
      </c>
      <c r="MW20" s="962" t="e">
        <f>[1]!bodsava(1,1,(MW12+1),[1]!qsn([1]!ml([1]!taqsha(1,1,1+MW12,MW13)),MW14)/30,MW13,MW14)</f>
        <v>#VALUE!</v>
      </c>
      <c r="MX20" s="962" t="e">
        <f>[1]!bodsava(1,1,(MX12+1),[1]!qsn([1]!ml([1]!taqsha(1,1,1+MX12,MX13)),MX14)/30,MX13,MX14)</f>
        <v>#VALUE!</v>
      </c>
      <c r="MY20" s="962" t="e">
        <f>[1]!bodsava(1,1,(MY12+1),[1]!qsn([1]!ml([1]!taqsha(1,1,1+MY12,MY13)),MY14)/30,MY13,MY14)</f>
        <v>#VALUE!</v>
      </c>
      <c r="MZ20" s="962" t="e">
        <f>[1]!bodsava(1,1,(MZ12+1),[1]!qsn([1]!ml([1]!taqsha(1,1,1+MZ12,MZ13)),MZ14)/30,MZ13,MZ14)</f>
        <v>#VALUE!</v>
      </c>
      <c r="NA20" s="962" t="e">
        <f>[1]!bodsava(1,1,(NA12+1),[1]!qsn([1]!ml([1]!taqsha(1,1,1+NA12,NA13)),NA14)/30,NA13,NA14)</f>
        <v>#VALUE!</v>
      </c>
      <c r="NB20" s="962" t="e">
        <f>[1]!bodsava(1,1,(NB12+1),[1]!qsn([1]!ml([1]!taqsha(1,1,1+NB12,NB13)),NB14)/30,NB13,NB14)</f>
        <v>#VALUE!</v>
      </c>
      <c r="NC20" s="962" t="e">
        <f>[1]!bodsava(1,1,(NC12+1),[1]!qsn([1]!ml([1]!taqsha(1,1,1+NC12,NC13)),NC14)/30,NC13,NC14)</f>
        <v>#VALUE!</v>
      </c>
      <c r="ND20" s="962" t="e">
        <f>[1]!bodsava(1,1,(ND12+1),[1]!qsn([1]!ml([1]!taqsha(1,1,1+ND12,ND13)),ND14)/30,ND13,ND14)</f>
        <v>#VALUE!</v>
      </c>
      <c r="NE20" s="962" t="e">
        <f>[1]!bodsava(1,1,(NE12+1),[1]!qsn([1]!ml([1]!taqsha(1,1,1+NE12,NE13)),NE14)/30,NE13,NE14)</f>
        <v>#VALUE!</v>
      </c>
      <c r="NF20" s="962" t="e">
        <f>[1]!bodsava(1,1,(NF12+1),[1]!qsn([1]!ml([1]!taqsha(1,1,1+NF12,NF13)),NF14)/30,NF13,NF14)</f>
        <v>#VALUE!</v>
      </c>
      <c r="NG20" s="962" t="e">
        <f>[1]!bodsava(1,1,(NG12+1),[1]!qsn([1]!ml([1]!taqsha(1,1,1+NG12,NG13)),NG14)/30,NG13,NG14)</f>
        <v>#VALUE!</v>
      </c>
      <c r="NH20" s="962" t="e">
        <f>[1]!bodsava(1,1,(NH12+1),[1]!qsn([1]!ml([1]!taqsha(1,1,1+NH12,NH13)),NH14)/30,NH13,NH14)</f>
        <v>#VALUE!</v>
      </c>
      <c r="NI20" s="962" t="e">
        <f>[1]!bodsava(1,1,(NI12+1),[1]!qsn([1]!ml([1]!taqsha(1,1,1+NI12,NI13)),NI14)/30,NI13,NI14)</f>
        <v>#VALUE!</v>
      </c>
      <c r="NJ20" s="962" t="e">
        <f>[1]!bodsava(1,1,(NJ12+1),[1]!qsn([1]!ml([1]!taqsha(1,1,1+NJ12,NJ13)),NJ14)/30,NJ13,NJ14)</f>
        <v>#VALUE!</v>
      </c>
      <c r="NK20" s="962" t="e">
        <f>[1]!bodsava(1,1,(NK12+1),[1]!qsn([1]!ml([1]!taqsha(1,1,1+NK12,NK13)),NK14)/30,NK13,NK14)</f>
        <v>#VALUE!</v>
      </c>
      <c r="NL20" s="962" t="e">
        <f>[1]!bodsava(1,1,(NL12+1),[1]!qsn([1]!ml([1]!taqsha(1,1,1+NL12,NL13)),NL14)/30,NL13,NL14)</f>
        <v>#VALUE!</v>
      </c>
      <c r="NM20" s="962" t="e">
        <f>[1]!bodsava(1,1,(NM12+1),[1]!qsn([1]!ml([1]!taqsha(1,1,1+NM12,NM13)),NM14)/30,NM13,NM14)</f>
        <v>#VALUE!</v>
      </c>
      <c r="NN20" s="962" t="e">
        <f>[1]!bodsava(1,1,(NN12+1),[1]!qsn([1]!ml([1]!taqsha(1,1,1+NN12,NN13)),NN14)/30,NN13,NN14)</f>
        <v>#VALUE!</v>
      </c>
      <c r="NO20" s="962" t="e">
        <f>[1]!bodsava(1,1,(NO12+1),[1]!qsn([1]!ml([1]!taqsha(1,1,1+NO12,NO13)),NO14)/30,NO13,NO14)</f>
        <v>#VALUE!</v>
      </c>
      <c r="NP20" s="962" t="e">
        <f>[1]!bodsava(1,1,(NP12+1),[1]!qsn([1]!ml([1]!taqsha(1,1,1+NP12,NP13)),NP14)/30,NP13,NP14)</f>
        <v>#VALUE!</v>
      </c>
      <c r="NQ20" s="962" t="e">
        <f>[1]!bodsava(1,1,(NQ12+1),[1]!qsn([1]!ml([1]!taqsha(1,1,1+NQ12,NQ13)),NQ14)/30,NQ13,NQ14)</f>
        <v>#VALUE!</v>
      </c>
      <c r="NR20" s="962" t="e">
        <f>[1]!bodsava(1,1,(NR12+1),[1]!qsn([1]!ml([1]!taqsha(1,1,1+NR12,NR13)),NR14)/30,NR13,NR14)</f>
        <v>#VALUE!</v>
      </c>
      <c r="NS20" s="962" t="e">
        <f>[1]!bodsava(1,1,(NS12+1),[1]!qsn([1]!ml([1]!taqsha(1,1,1+NS12,NS13)),NS14)/30,NS13,NS14)</f>
        <v>#VALUE!</v>
      </c>
      <c r="NT20" s="962" t="e">
        <f>[1]!bodsava(1,1,(NT12+1),[1]!qsn([1]!ml([1]!taqsha(1,1,1+NT12,NT13)),NT14)/30,NT13,NT14)</f>
        <v>#VALUE!</v>
      </c>
      <c r="NU20" s="962" t="e">
        <f>[1]!bodsava(1,1,(NU12+1),[1]!qsn([1]!ml([1]!taqsha(1,1,1+NU12,NU13)),NU14)/30,NU13,NU14)</f>
        <v>#VALUE!</v>
      </c>
      <c r="NV20" s="962" t="e">
        <f>[1]!bodsava(1,1,(NV12+1),[1]!qsn([1]!ml([1]!taqsha(1,1,1+NV12,NV13)),NV14)/30,NV13,NV14)</f>
        <v>#VALUE!</v>
      </c>
      <c r="NW20" s="962" t="e">
        <f>[1]!bodsava(1,1,(NW12+1),[1]!qsn([1]!ml([1]!taqsha(1,1,1+NW12,NW13)),NW14)/30,NW13,NW14)</f>
        <v>#VALUE!</v>
      </c>
      <c r="NX20" s="962" t="e">
        <f>[1]!bodsava(1,1,(NX12+1),[1]!qsn([1]!ml([1]!taqsha(1,1,1+NX12,NX13)),NX14)/30,NX13,NX14)</f>
        <v>#VALUE!</v>
      </c>
      <c r="NY20" s="962" t="e">
        <f>[1]!bodsava(1,1,(NY12+1),[1]!qsn([1]!ml([1]!taqsha(1,1,1+NY12,NY13)),NY14)/30,NY13,NY14)</f>
        <v>#VALUE!</v>
      </c>
      <c r="NZ20" s="962" t="e">
        <f>[1]!bodsava(1,1,(NZ12+1),[1]!qsn([1]!ml([1]!taqsha(1,1,1+NZ12,NZ13)),NZ14)/30,NZ13,NZ14)</f>
        <v>#VALUE!</v>
      </c>
      <c r="OA20" s="962" t="e">
        <f>[1]!bodsava(1,1,(OA12+1),[1]!qsn([1]!ml([1]!taqsha(1,1,1+OA12,OA13)),OA14)/30,OA13,OA14)</f>
        <v>#VALUE!</v>
      </c>
      <c r="OB20" s="962" t="e">
        <f>[1]!bodsava(1,1,(OB12+1),[1]!qsn([1]!ml([1]!taqsha(1,1,1+OB12,OB13)),OB14)/30,OB13,OB14)</f>
        <v>#VALUE!</v>
      </c>
      <c r="OC20" s="962" t="e">
        <f>[1]!bodsava(1,1,(OC12+1),[1]!qsn([1]!ml([1]!taqsha(1,1,1+OC12,OC13)),OC14)/30,OC13,OC14)</f>
        <v>#VALUE!</v>
      </c>
      <c r="OD20" s="962" t="e">
        <f>[1]!bodsava(1,1,(OD12+1),[1]!qsn([1]!ml([1]!taqsha(1,1,1+OD12,OD13)),OD14)/30,OD13,OD14)</f>
        <v>#VALUE!</v>
      </c>
      <c r="OE20" s="962" t="e">
        <f>[1]!bodsava(1,1,(OE12+1),[1]!qsn([1]!ml([1]!taqsha(1,1,1+OE12,OE13)),OE14)/30,OE13,OE14)</f>
        <v>#VALUE!</v>
      </c>
      <c r="OF20" s="962" t="e">
        <f>[1]!bodsava(1,1,(OF12+1),[1]!qsn([1]!ml([1]!taqsha(1,1,1+OF12,OF13)),OF14)/30,OF13,OF14)</f>
        <v>#VALUE!</v>
      </c>
      <c r="OG20" s="962" t="e">
        <f>[1]!bodsava(1,1,(OG12+1),[1]!qsn([1]!ml([1]!taqsha(1,1,1+OG12,OG13)),OG14)/30,OG13,OG14)</f>
        <v>#VALUE!</v>
      </c>
      <c r="OH20" s="962" t="e">
        <f>[1]!bodsava(1,1,(OH12+1),[1]!qsn([1]!ml([1]!taqsha(1,1,1+OH12,OH13)),OH14)/30,OH13,OH14)</f>
        <v>#VALUE!</v>
      </c>
      <c r="OI20" s="962" t="e">
        <f>[1]!bodsava(1,1,(OI12+1),[1]!qsn([1]!ml([1]!taqsha(1,1,1+OI12,OI13)),OI14)/30,OI13,OI14)</f>
        <v>#VALUE!</v>
      </c>
      <c r="OJ20" s="962" t="e">
        <f>[1]!bodsava(1,1,(OJ12+1),[1]!qsn([1]!ml([1]!taqsha(1,1,1+OJ12,OJ13)),OJ14)/30,OJ13,OJ14)</f>
        <v>#VALUE!</v>
      </c>
      <c r="OK20" s="962" t="e">
        <f>[1]!bodsava(1,1,(OK12+1),[1]!qsn([1]!ml([1]!taqsha(1,1,1+OK12,OK13)),OK14)/30,OK13,OK14)</f>
        <v>#VALUE!</v>
      </c>
      <c r="OL20" s="962" t="e">
        <f>[1]!bodsava(1,1,(OL12+1),[1]!qsn([1]!ml([1]!taqsha(1,1,1+OL12,OL13)),OL14)/30,OL13,OL14)</f>
        <v>#VALUE!</v>
      </c>
      <c r="OM20" s="962" t="e">
        <f>[1]!bodsava(1,1,(OM12+1),[1]!qsn([1]!ml([1]!taqsha(1,1,1+OM12,OM13)),OM14)/30,OM13,OM14)</f>
        <v>#VALUE!</v>
      </c>
      <c r="ON20" s="962" t="e">
        <f>[1]!bodsava(1,1,(ON12+1),[1]!qsn([1]!ml([1]!taqsha(1,1,1+ON12,ON13)),ON14)/30,ON13,ON14)</f>
        <v>#VALUE!</v>
      </c>
      <c r="OO20" s="962" t="e">
        <f>[1]!bodsava(1,1,(OO12+1),[1]!qsn([1]!ml([1]!taqsha(1,1,1+OO12,OO13)),OO14)/30,OO13,OO14)</f>
        <v>#VALUE!</v>
      </c>
      <c r="OP20" s="962" t="e">
        <f>[1]!bodsava(1,1,(OP12+1),[1]!qsn([1]!ml([1]!taqsha(1,1,1+OP12,OP13)),OP14)/30,OP13,OP14)</f>
        <v>#VALUE!</v>
      </c>
      <c r="OQ20" s="962" t="e">
        <f>[1]!bodsava(1,1,(OQ12+1),[1]!qsn([1]!ml([1]!taqsha(1,1,1+OQ12,OQ13)),OQ14)/30,OQ13,OQ14)</f>
        <v>#VALUE!</v>
      </c>
      <c r="OR20" s="962" t="e">
        <f>[1]!bodsava(1,1,(OR12+1),[1]!qsn([1]!ml([1]!taqsha(1,1,1+OR12,OR13)),OR14)/30,OR13,OR14)</f>
        <v>#VALUE!</v>
      </c>
      <c r="OS20" s="962" t="e">
        <f>[1]!bodsava(1,1,(OS12+1),[1]!qsn([1]!ml([1]!taqsha(1,1,1+OS12,OS13)),OS14)/30,OS13,OS14)</f>
        <v>#VALUE!</v>
      </c>
      <c r="OT20" s="962" t="e">
        <f>[1]!bodsava(1,1,(OT12+1),[1]!qsn([1]!ml([1]!taqsha(1,1,1+OT12,OT13)),OT14)/30,OT13,OT14)</f>
        <v>#VALUE!</v>
      </c>
      <c r="OU20" s="962" t="e">
        <f>[1]!bodsava(1,1,(OU12+1),[1]!qsn([1]!ml([1]!taqsha(1,1,1+OU12,OU13)),OU14)/30,OU13,OU14)</f>
        <v>#VALUE!</v>
      </c>
      <c r="OV20" s="962" t="e">
        <f>[1]!bodsava(1,1,(OV12+1),[1]!qsn([1]!ml([1]!taqsha(1,1,1+OV12,OV13)),OV14)/30,OV13,OV14)</f>
        <v>#VALUE!</v>
      </c>
      <c r="OW20" s="962" t="e">
        <f>[1]!bodsava(1,1,(OW12+1),[1]!qsn([1]!ml([1]!taqsha(1,1,1+OW12,OW13)),OW14)/30,OW13,OW14)</f>
        <v>#VALUE!</v>
      </c>
      <c r="OX20" s="962" t="e">
        <f>[1]!bodsava(1,1,(OX12+1),[1]!qsn([1]!ml([1]!taqsha(1,1,1+OX12,OX13)),OX14)/30,OX13,OX14)</f>
        <v>#VALUE!</v>
      </c>
      <c r="OY20" s="962" t="e">
        <f>[1]!bodsava(1,1,(OY12+1),[1]!qsn([1]!ml([1]!taqsha(1,1,1+OY12,OY13)),OY14)/30,OY13,OY14)</f>
        <v>#VALUE!</v>
      </c>
      <c r="OZ20" s="962" t="e">
        <f>[1]!bodsava(1,1,(OZ12+1),[1]!qsn([1]!ml([1]!taqsha(1,1,1+OZ12,OZ13)),OZ14)/30,OZ13,OZ14)</f>
        <v>#VALUE!</v>
      </c>
      <c r="PA20" s="962" t="e">
        <f>[1]!bodsava(1,1,(PA12+1),[1]!qsn([1]!ml([1]!taqsha(1,1,1+PA12,PA13)),PA14)/30,PA13,PA14)</f>
        <v>#VALUE!</v>
      </c>
      <c r="PB20" s="962" t="e">
        <f>[1]!bodsava(1,1,(PB12+1),[1]!qsn([1]!ml([1]!taqsha(1,1,1+PB12,PB13)),PB14)/30,PB13,PB14)</f>
        <v>#VALUE!</v>
      </c>
      <c r="PC20" s="962" t="e">
        <f>[1]!bodsava(1,1,(PC12+1),[1]!qsn([1]!ml([1]!taqsha(1,1,1+PC12,PC13)),PC14)/30,PC13,PC14)</f>
        <v>#VALUE!</v>
      </c>
      <c r="PD20" s="962" t="e">
        <f>[1]!bodsava(1,1,(PD12+1),[1]!qsn([1]!ml([1]!taqsha(1,1,1+PD12,PD13)),PD14)/30,PD13,PD14)</f>
        <v>#VALUE!</v>
      </c>
      <c r="PE20" s="962" t="e">
        <f>[1]!bodsava(1,1,(PE12+1),[1]!qsn([1]!ml([1]!taqsha(1,1,1+PE12,PE13)),PE14)/30,PE13,PE14)</f>
        <v>#VALUE!</v>
      </c>
      <c r="PF20" s="962" t="e">
        <f>[1]!bodsava(1,1,(PF12+1),[1]!qsn([1]!ml([1]!taqsha(1,1,1+PF12,PF13)),PF14)/30,PF13,PF14)</f>
        <v>#VALUE!</v>
      </c>
      <c r="PG20" s="962" t="e">
        <f>[1]!bodsava(1,1,(PG12+1),[1]!qsn([1]!ml([1]!taqsha(1,1,1+PG12,PG13)),PG14)/30,PG13,PG14)</f>
        <v>#VALUE!</v>
      </c>
      <c r="PH20" s="962" t="e">
        <f>[1]!bodsava(1,1,(PH12+1),[1]!qsn([1]!ml([1]!taqsha(1,1,1+PH12,PH13)),PH14)/30,PH13,PH14)</f>
        <v>#VALUE!</v>
      </c>
      <c r="PI20" s="962" t="e">
        <f>[1]!bodsava(1,1,(PI12+1),[1]!qsn([1]!ml([1]!taqsha(1,1,1+PI12,PI13)),PI14)/30,PI13,PI14)</f>
        <v>#VALUE!</v>
      </c>
      <c r="PJ20" s="962" t="e">
        <f>[1]!bodsava(1,1,(PJ12+1),[1]!qsn([1]!ml([1]!taqsha(1,1,1+PJ12,PJ13)),PJ14)/30,PJ13,PJ14)</f>
        <v>#VALUE!</v>
      </c>
      <c r="PK20" s="962" t="e">
        <f>[1]!bodsava(1,1,(PK12+1),[1]!qsn([1]!ml([1]!taqsha(1,1,1+PK12,PK13)),PK14)/30,PK13,PK14)</f>
        <v>#VALUE!</v>
      </c>
      <c r="PL20" s="962" t="e">
        <f>[1]!bodsava(1,1,(PL12+1),[1]!qsn([1]!ml([1]!taqsha(1,1,1+PL12,PL13)),PL14)/30,PL13,PL14)</f>
        <v>#VALUE!</v>
      </c>
      <c r="PM20" s="962" t="e">
        <f>[1]!bodsava(1,1,(PM12+1),[1]!qsn([1]!ml([1]!taqsha(1,1,1+PM12,PM13)),PM14)/30,PM13,PM14)</f>
        <v>#VALUE!</v>
      </c>
      <c r="PN20" s="962" t="e">
        <f>[1]!bodsava(1,1,(PN12+1),[1]!qsn([1]!ml([1]!taqsha(1,1,1+PN12,PN13)),PN14)/30,PN13,PN14)</f>
        <v>#VALUE!</v>
      </c>
      <c r="PO20" s="962" t="e">
        <f>[1]!bodsava(1,1,(PO12+1),[1]!qsn([1]!ml([1]!taqsha(1,1,1+PO12,PO13)),PO14)/30,PO13,PO14)</f>
        <v>#VALUE!</v>
      </c>
      <c r="PP20" s="962" t="e">
        <f>[1]!bodsava(1,1,(PP12+1),[1]!qsn([1]!ml([1]!taqsha(1,1,1+PP12,PP13)),PP14)/30,PP13,PP14)</f>
        <v>#VALUE!</v>
      </c>
      <c r="PQ20" s="962" t="e">
        <f>[1]!bodsava(1,1,(PQ12+1),[1]!qsn([1]!ml([1]!taqsha(1,1,1+PQ12,PQ13)),PQ14)/30,PQ13,PQ14)</f>
        <v>#VALUE!</v>
      </c>
      <c r="PR20" s="962" t="e">
        <f>[1]!bodsava(1,1,(PR12+1),[1]!qsn([1]!ml([1]!taqsha(1,1,1+PR12,PR13)),PR14)/30,PR13,PR14)</f>
        <v>#VALUE!</v>
      </c>
      <c r="PS20" s="962" t="e">
        <f>[1]!bodsava(1,1,(PS12+1),[1]!qsn([1]!ml([1]!taqsha(1,1,1+PS12,PS13)),PS14)/30,PS13,PS14)</f>
        <v>#VALUE!</v>
      </c>
      <c r="PT20" s="962" t="e">
        <f>[1]!bodsava(1,1,(PT12+1),[1]!qsn([1]!ml([1]!taqsha(1,1,1+PT12,PT13)),PT14)/30,PT13,PT14)</f>
        <v>#VALUE!</v>
      </c>
      <c r="PU20" s="962" t="e">
        <f>[1]!bodsava(1,1,(PU12+1),[1]!qsn([1]!ml([1]!taqsha(1,1,1+PU12,PU13)),PU14)/30,PU13,PU14)</f>
        <v>#VALUE!</v>
      </c>
      <c r="PV20" s="962" t="e">
        <f>[1]!bodsava(1,1,(PV12+1),[1]!qsn([1]!ml([1]!taqsha(1,1,1+PV12,PV13)),PV14)/30,PV13,PV14)</f>
        <v>#VALUE!</v>
      </c>
      <c r="PW20" s="962" t="e">
        <f>[1]!bodsava(1,1,(PW12+1),[1]!qsn([1]!ml([1]!taqsha(1,1,1+PW12,PW13)),PW14)/30,PW13,PW14)</f>
        <v>#VALUE!</v>
      </c>
      <c r="PX20" s="962" t="e">
        <f>[1]!bodsava(1,1,(PX12+1),[1]!qsn([1]!ml([1]!taqsha(1,1,1+PX12,PX13)),PX14)/30,PX13,PX14)</f>
        <v>#VALUE!</v>
      </c>
      <c r="PY20" s="962" t="e">
        <f>[1]!bodsava(1,1,(PY12+1),[1]!qsn([1]!ml([1]!taqsha(1,1,1+PY12,PY13)),PY14)/30,PY13,PY14)</f>
        <v>#VALUE!</v>
      </c>
      <c r="PZ20" s="962" t="e">
        <f>[1]!bodsava(1,1,(PZ12+1),[1]!qsn([1]!ml([1]!taqsha(1,1,1+PZ12,PZ13)),PZ14)/30,PZ13,PZ14)</f>
        <v>#VALUE!</v>
      </c>
      <c r="QA20" s="962" t="e">
        <f>[1]!bodsava(1,1,(QA12+1),[1]!qsn([1]!ml([1]!taqsha(1,1,1+QA12,QA13)),QA14)/30,QA13,QA14)</f>
        <v>#VALUE!</v>
      </c>
      <c r="QB20" s="962" t="e">
        <f>[1]!bodsava(1,1,(QB12+1),[1]!qsn([1]!ml([1]!taqsha(1,1,1+QB12,QB13)),QB14)/30,QB13,QB14)</f>
        <v>#VALUE!</v>
      </c>
      <c r="QC20" s="962" t="e">
        <f>[1]!bodsava(1,1,(QC12+1),[1]!qsn([1]!ml([1]!taqsha(1,1,1+QC12,QC13)),QC14)/30,QC13,QC14)</f>
        <v>#VALUE!</v>
      </c>
      <c r="QD20" s="962" t="e">
        <f>[1]!bodsava(1,1,(QD12+1),[1]!qsn([1]!ml([1]!taqsha(1,1,1+QD12,QD13)),QD14)/30,QD13,QD14)</f>
        <v>#VALUE!</v>
      </c>
      <c r="QE20" s="962" t="e">
        <f>[1]!bodsava(1,1,(QE12+1),[1]!qsn([1]!ml([1]!taqsha(1,1,1+QE12,QE13)),QE14)/30,QE13,QE14)</f>
        <v>#VALUE!</v>
      </c>
      <c r="QF20" s="962" t="e">
        <f>[1]!bodsava(1,1,(QF12+1),[1]!qsn([1]!ml([1]!taqsha(1,1,1+QF12,QF13)),QF14)/30,QF13,QF14)</f>
        <v>#VALUE!</v>
      </c>
      <c r="QG20" s="962" t="e">
        <f>[1]!bodsava(1,1,(QG12+1),[1]!qsn([1]!ml([1]!taqsha(1,1,1+QG12,QG13)),QG14)/30,QG13,QG14)</f>
        <v>#VALUE!</v>
      </c>
      <c r="QH20" s="962" t="e">
        <f>[1]!bodsava(1,1,(QH12+1),[1]!qsn([1]!ml([1]!taqsha(1,1,1+QH12,QH13)),QH14)/30,QH13,QH14)</f>
        <v>#VALUE!</v>
      </c>
      <c r="QI20" s="962" t="e">
        <f>[1]!bodsava(1,1,(QI12+1),[1]!qsn([1]!ml([1]!taqsha(1,1,1+QI12,QI13)),QI14)/30,QI13,QI14)</f>
        <v>#VALUE!</v>
      </c>
      <c r="QJ20" s="962" t="e">
        <f>[1]!bodsava(1,1,(QJ12+1),[1]!qsn([1]!ml([1]!taqsha(1,1,1+QJ12,QJ13)),QJ14)/30,QJ13,QJ14)</f>
        <v>#VALUE!</v>
      </c>
      <c r="QK20" s="962" t="e">
        <f>[1]!bodsava(1,1,(QK12+1),[1]!qsn([1]!ml([1]!taqsha(1,1,1+QK12,QK13)),QK14)/30,QK13,QK14)</f>
        <v>#VALUE!</v>
      </c>
      <c r="QL20" s="962" t="e">
        <f>[1]!bodsava(1,1,(QL12+1),[1]!qsn([1]!ml([1]!taqsha(1,1,1+QL12,QL13)),QL14)/30,QL13,QL14)</f>
        <v>#VALUE!</v>
      </c>
      <c r="QM20" s="962" t="e">
        <f>[1]!bodsava(1,1,(QM12+1),[1]!qsn([1]!ml([1]!taqsha(1,1,1+QM12,QM13)),QM14)/30,QM13,QM14)</f>
        <v>#VALUE!</v>
      </c>
      <c r="QN20" s="962" t="e">
        <f>[1]!bodsava(1,1,(QN12+1),[1]!qsn([1]!ml([1]!taqsha(1,1,1+QN12,QN13)),QN14)/30,QN13,QN14)</f>
        <v>#VALUE!</v>
      </c>
      <c r="QO20" s="962" t="e">
        <f>[1]!bodsava(1,1,(QO12+1),[1]!qsn([1]!ml([1]!taqsha(1,1,1+QO12,QO13)),QO14)/30,QO13,QO14)</f>
        <v>#VALUE!</v>
      </c>
      <c r="QP20" s="962" t="e">
        <f>[1]!bodsava(1,1,(QP12+1),[1]!qsn([1]!ml([1]!taqsha(1,1,1+QP12,QP13)),QP14)/30,QP13,QP14)</f>
        <v>#VALUE!</v>
      </c>
      <c r="QQ20" s="962" t="e">
        <f>[1]!bodsava(1,1,(QQ12+1),[1]!qsn([1]!ml([1]!taqsha(1,1,1+QQ12,QQ13)),QQ14)/30,QQ13,QQ14)</f>
        <v>#VALUE!</v>
      </c>
      <c r="QR20" s="962" t="e">
        <f>[1]!bodsava(1,1,(QR12+1),[1]!qsn([1]!ml([1]!taqsha(1,1,1+QR12,QR13)),QR14)/30,QR13,QR14)</f>
        <v>#VALUE!</v>
      </c>
      <c r="QS20" s="962" t="e">
        <f>[1]!bodsava(1,1,(QS12+1),[1]!qsn([1]!ml([1]!taqsha(1,1,1+QS12,QS13)),QS14)/30,QS13,QS14)</f>
        <v>#VALUE!</v>
      </c>
      <c r="QT20" s="962" t="e">
        <f>[1]!bodsava(1,1,(QT12+1),[1]!qsn([1]!ml([1]!taqsha(1,1,1+QT12,QT13)),QT14)/30,QT13,QT14)</f>
        <v>#VALUE!</v>
      </c>
      <c r="QU20" s="962" t="e">
        <f>[1]!bodsava(1,1,(QU12+1),[1]!qsn([1]!ml([1]!taqsha(1,1,1+QU12,QU13)),QU14)/30,QU13,QU14)</f>
        <v>#VALUE!</v>
      </c>
      <c r="QV20" s="962" t="e">
        <f>[1]!bodsava(1,1,(QV12+1),[1]!qsn([1]!ml([1]!taqsha(1,1,1+QV12,QV13)),QV14)/30,QV13,QV14)</f>
        <v>#VALUE!</v>
      </c>
      <c r="QW20" s="962" t="e">
        <f>[1]!bodsava(1,1,(QW12+1),[1]!qsn([1]!ml([1]!taqsha(1,1,1+QW12,QW13)),QW14)/30,QW13,QW14)</f>
        <v>#VALUE!</v>
      </c>
      <c r="QX20" s="962" t="e">
        <f>[1]!bodsava(1,1,(QX12+1),[1]!qsn([1]!ml([1]!taqsha(1,1,1+QX12,QX13)),QX14)/30,QX13,QX14)</f>
        <v>#VALUE!</v>
      </c>
      <c r="QY20" s="962" t="e">
        <f>[1]!bodsava(1,1,(QY12+1),[1]!qsn([1]!ml([1]!taqsha(1,1,1+QY12,QY13)),QY14)/30,QY13,QY14)</f>
        <v>#VALUE!</v>
      </c>
      <c r="QZ20" s="962" t="e">
        <f>[1]!bodsava(1,1,(QZ12+1),[1]!qsn([1]!ml([1]!taqsha(1,1,1+QZ12,QZ13)),QZ14)/30,QZ13,QZ14)</f>
        <v>#VALUE!</v>
      </c>
      <c r="RA20" s="963"/>
      <c r="RC20" t="s">
        <v>3</v>
      </c>
    </row>
    <row r="21" spans="1:471" ht="15.75" thickBot="1">
      <c r="B21" t="s">
        <v>144</v>
      </c>
      <c r="D21" t="s">
        <v>145</v>
      </c>
      <c r="E21" t="s">
        <v>146</v>
      </c>
      <c r="J21" s="2"/>
      <c r="K21" s="2"/>
      <c r="L21" s="2"/>
      <c r="M21" s="2"/>
      <c r="N21" s="2"/>
      <c r="O21" s="2">
        <v>31</v>
      </c>
      <c r="P21" s="2">
        <f>IF(AND((D49="عیسوی"),MOD(C49,4)=0),29,28)</f>
        <v>28</v>
      </c>
      <c r="Q21" s="2">
        <v>31</v>
      </c>
      <c r="R21" s="2">
        <v>30</v>
      </c>
      <c r="S21" s="2">
        <v>31</v>
      </c>
      <c r="T21" s="2">
        <v>30</v>
      </c>
      <c r="U21" s="2">
        <v>31</v>
      </c>
      <c r="V21" s="2">
        <v>31</v>
      </c>
      <c r="W21" s="2">
        <v>30</v>
      </c>
      <c r="X21" s="2">
        <v>31</v>
      </c>
      <c r="Y21" s="2">
        <v>30</v>
      </c>
      <c r="Z21" s="2">
        <v>31</v>
      </c>
      <c r="AA21" s="2"/>
      <c r="AK21" s="759"/>
      <c r="AL21" s="701">
        <f>[1]!taqsha(AL16,AL17,AL18,AL19)</f>
        <v>137.47998760461044</v>
      </c>
      <c r="AM21" s="304">
        <f>[1]!taqsha(AM16,AM17,AM18,AM19)</f>
        <v>166.41008294364929</v>
      </c>
      <c r="AN21" s="304">
        <f>[1]!taqsha(AN16,AN17,AN18,AN19)</f>
        <v>194.78789250864654</v>
      </c>
      <c r="AO21" s="304">
        <f>[1]!taqsha(AO16,AO17,AO18,AO19)</f>
        <v>224.63711909865691</v>
      </c>
      <c r="AP21" s="304">
        <f>[1]!taqsha(AP16,AP17,AP18,AP19)</f>
        <v>253.9177702302336</v>
      </c>
      <c r="AQ21" s="304">
        <f>[1]!taqsha(AQ16,AQ17,AQ18,AQ19)</f>
        <v>284.46318847958327</v>
      </c>
      <c r="AR21" s="304">
        <f>[1]!taqsha(AR16,AR17,AR18,AR19)</f>
        <v>313.99590184332396</v>
      </c>
      <c r="AS21" s="304">
        <f>[1]!taqsha(AS16,AS17,AS18,AS19)</f>
        <v>344.2612376555366</v>
      </c>
      <c r="AT21" s="304">
        <f>[1]!taqsha(AT16,AT17,AT18,AT19)</f>
        <v>13.097098215293416</v>
      </c>
      <c r="AU21" s="304">
        <f>[1]!taqsha(AU16,AU17,AU18,AU19)</f>
        <v>42.435088862671719</v>
      </c>
      <c r="AV21" s="304">
        <f>[1]!taqsha(AV16,AV17,AV18,AV19)</f>
        <v>70.386668479021836</v>
      </c>
      <c r="AW21" s="304">
        <f>[1]!taqsha(AW16,AW17,AW18,AW19)</f>
        <v>99.049269147324878</v>
      </c>
      <c r="AX21" s="314"/>
      <c r="AZ21" s="732"/>
      <c r="BA21" s="731" t="e">
        <f>BA5+BA20</f>
        <v>#VALUE!</v>
      </c>
      <c r="BV21" s="757" t="s">
        <v>3543</v>
      </c>
      <c r="BW21" s="758" t="e">
        <f>BS7</f>
        <v>#VALUE!</v>
      </c>
      <c r="DC21" s="742" t="s">
        <v>3806</v>
      </c>
      <c r="DD21" s="743"/>
      <c r="DE21" s="744">
        <f>DE20+DD20+DC20</f>
        <v>-3543</v>
      </c>
      <c r="DI21" t="s">
        <v>3543</v>
      </c>
      <c r="DJ21" s="964">
        <v>1</v>
      </c>
      <c r="DK21" s="965">
        <v>2</v>
      </c>
      <c r="DL21" s="965">
        <v>3</v>
      </c>
      <c r="DM21" s="965">
        <v>4</v>
      </c>
      <c r="DN21" s="964">
        <v>5</v>
      </c>
      <c r="DO21" s="965">
        <v>6</v>
      </c>
      <c r="DP21" s="965">
        <v>7</v>
      </c>
      <c r="DQ21" s="965">
        <v>8</v>
      </c>
      <c r="DR21" s="964">
        <v>9</v>
      </c>
      <c r="DS21" s="965">
        <v>10</v>
      </c>
      <c r="DT21" s="965">
        <v>11</v>
      </c>
      <c r="DU21" s="965">
        <v>12</v>
      </c>
      <c r="DV21" s="964">
        <v>13</v>
      </c>
      <c r="DW21" s="965">
        <v>14</v>
      </c>
      <c r="DX21" s="965">
        <v>15</v>
      </c>
      <c r="DY21" s="965">
        <v>16</v>
      </c>
      <c r="DZ21" s="964">
        <v>17</v>
      </c>
      <c r="EA21" s="965">
        <v>18</v>
      </c>
      <c r="EB21" s="965">
        <v>19</v>
      </c>
      <c r="EC21" s="965">
        <v>20</v>
      </c>
      <c r="ED21" s="964">
        <v>21</v>
      </c>
      <c r="EE21" s="965">
        <v>22</v>
      </c>
      <c r="EF21" s="965">
        <v>23</v>
      </c>
      <c r="EG21" s="965">
        <v>24</v>
      </c>
      <c r="EH21" s="964">
        <v>25</v>
      </c>
      <c r="EI21" s="965">
        <v>26</v>
      </c>
      <c r="EJ21" s="965">
        <v>27</v>
      </c>
      <c r="EK21" s="965">
        <v>28</v>
      </c>
      <c r="EL21" s="964">
        <v>29</v>
      </c>
      <c r="EM21" s="965">
        <v>30</v>
      </c>
      <c r="EN21" s="967">
        <v>1</v>
      </c>
      <c r="EO21" s="965">
        <v>2</v>
      </c>
      <c r="EP21" s="965">
        <v>3</v>
      </c>
      <c r="EQ21" s="965">
        <v>4</v>
      </c>
      <c r="ER21" s="964">
        <v>5</v>
      </c>
      <c r="ES21" s="965">
        <v>6</v>
      </c>
      <c r="ET21" s="965">
        <v>7</v>
      </c>
      <c r="EU21" s="965">
        <v>8</v>
      </c>
      <c r="EV21" s="964">
        <v>9</v>
      </c>
      <c r="EW21" s="965">
        <v>10</v>
      </c>
      <c r="EX21" s="965">
        <v>11</v>
      </c>
      <c r="EY21" s="965">
        <v>12</v>
      </c>
      <c r="EZ21" s="964">
        <v>13</v>
      </c>
      <c r="FA21" s="965">
        <v>14</v>
      </c>
      <c r="FB21" s="965">
        <v>15</v>
      </c>
      <c r="FC21" s="965">
        <v>16</v>
      </c>
      <c r="FD21" s="964">
        <v>17</v>
      </c>
      <c r="FE21" s="965">
        <v>18</v>
      </c>
      <c r="FF21" s="965">
        <v>19</v>
      </c>
      <c r="FG21" s="965">
        <v>20</v>
      </c>
      <c r="FH21" s="964">
        <v>21</v>
      </c>
      <c r="FI21" s="965">
        <v>22</v>
      </c>
      <c r="FJ21" s="965">
        <v>23</v>
      </c>
      <c r="FK21" s="965">
        <v>24</v>
      </c>
      <c r="FL21" s="964">
        <v>25</v>
      </c>
      <c r="FM21" s="965">
        <v>26</v>
      </c>
      <c r="FN21" s="965">
        <v>27</v>
      </c>
      <c r="FO21" s="965">
        <v>28</v>
      </c>
      <c r="FP21" s="967">
        <v>29</v>
      </c>
      <c r="FQ21" s="964">
        <v>1</v>
      </c>
      <c r="FR21" s="965">
        <v>2</v>
      </c>
      <c r="FS21" s="965">
        <v>3</v>
      </c>
      <c r="FT21" s="965">
        <v>4</v>
      </c>
      <c r="FU21" s="964">
        <v>5</v>
      </c>
      <c r="FV21" s="965">
        <v>6</v>
      </c>
      <c r="FW21" s="965">
        <v>7</v>
      </c>
      <c r="FX21" s="965">
        <v>8</v>
      </c>
      <c r="FY21" s="964">
        <v>9</v>
      </c>
      <c r="FZ21" s="965">
        <v>10</v>
      </c>
      <c r="GA21" s="965">
        <v>11</v>
      </c>
      <c r="GB21" s="965">
        <v>12</v>
      </c>
      <c r="GC21" s="964">
        <v>13</v>
      </c>
      <c r="GD21" s="965">
        <v>14</v>
      </c>
      <c r="GE21" s="965">
        <v>15</v>
      </c>
      <c r="GF21" s="965">
        <v>16</v>
      </c>
      <c r="GG21" s="964">
        <v>17</v>
      </c>
      <c r="GH21" s="965">
        <v>18</v>
      </c>
      <c r="GI21" s="965">
        <v>19</v>
      </c>
      <c r="GJ21" s="965">
        <v>20</v>
      </c>
      <c r="GK21" s="964">
        <v>21</v>
      </c>
      <c r="GL21" s="965">
        <v>22</v>
      </c>
      <c r="GM21" s="965">
        <v>23</v>
      </c>
      <c r="GN21" s="965">
        <v>24</v>
      </c>
      <c r="GO21" s="964">
        <v>25</v>
      </c>
      <c r="GP21" s="965">
        <v>26</v>
      </c>
      <c r="GQ21" s="965">
        <v>27</v>
      </c>
      <c r="GR21" s="965">
        <v>28</v>
      </c>
      <c r="GS21" s="964">
        <v>29</v>
      </c>
      <c r="GT21" s="973">
        <v>30</v>
      </c>
      <c r="GU21" s="964">
        <v>1</v>
      </c>
      <c r="GV21" s="965">
        <v>2</v>
      </c>
      <c r="GW21" s="965">
        <v>3</v>
      </c>
      <c r="GX21" s="965">
        <v>4</v>
      </c>
      <c r="GY21" s="964">
        <v>5</v>
      </c>
      <c r="GZ21" s="965">
        <v>6</v>
      </c>
      <c r="HA21" s="965">
        <v>7</v>
      </c>
      <c r="HB21" s="965">
        <v>8</v>
      </c>
      <c r="HC21" s="964">
        <v>9</v>
      </c>
      <c r="HD21" s="965">
        <v>10</v>
      </c>
      <c r="HE21" s="965">
        <v>11</v>
      </c>
      <c r="HF21" s="965">
        <v>12</v>
      </c>
      <c r="HG21" s="964">
        <v>13</v>
      </c>
      <c r="HH21" s="965">
        <v>14</v>
      </c>
      <c r="HI21" s="965">
        <v>15</v>
      </c>
      <c r="HJ21" s="965">
        <v>16</v>
      </c>
      <c r="HK21" s="964">
        <v>17</v>
      </c>
      <c r="HL21" s="965">
        <v>18</v>
      </c>
      <c r="HM21" s="965">
        <v>19</v>
      </c>
      <c r="HN21" s="965">
        <v>20</v>
      </c>
      <c r="HO21" s="964">
        <v>21</v>
      </c>
      <c r="HP21" s="965">
        <v>22</v>
      </c>
      <c r="HQ21" s="965">
        <v>23</v>
      </c>
      <c r="HR21" s="965">
        <v>24</v>
      </c>
      <c r="HS21" s="964">
        <v>25</v>
      </c>
      <c r="HT21" s="965">
        <v>26</v>
      </c>
      <c r="HU21" s="965">
        <v>27</v>
      </c>
      <c r="HV21" s="965">
        <v>28</v>
      </c>
      <c r="HW21" s="967">
        <v>29</v>
      </c>
      <c r="HX21" s="964">
        <v>1</v>
      </c>
      <c r="HY21" s="965">
        <v>2</v>
      </c>
      <c r="HZ21" s="965">
        <v>3</v>
      </c>
      <c r="IA21" s="965">
        <v>4</v>
      </c>
      <c r="IB21" s="964">
        <v>5</v>
      </c>
      <c r="IC21" s="965">
        <v>6</v>
      </c>
      <c r="ID21" s="965">
        <v>7</v>
      </c>
      <c r="IE21" s="965">
        <v>8</v>
      </c>
      <c r="IF21" s="964">
        <v>9</v>
      </c>
      <c r="IG21" s="965">
        <v>10</v>
      </c>
      <c r="IH21" s="965">
        <v>11</v>
      </c>
      <c r="II21" s="965">
        <v>12</v>
      </c>
      <c r="IJ21" s="964">
        <v>13</v>
      </c>
      <c r="IK21" s="965">
        <v>14</v>
      </c>
      <c r="IL21" s="965">
        <v>15</v>
      </c>
      <c r="IM21" s="965">
        <v>16</v>
      </c>
      <c r="IN21" s="964">
        <v>17</v>
      </c>
      <c r="IO21" s="965">
        <v>18</v>
      </c>
      <c r="IP21" s="965">
        <v>19</v>
      </c>
      <c r="IQ21" s="965">
        <v>20</v>
      </c>
      <c r="IR21" s="964">
        <v>21</v>
      </c>
      <c r="IS21" s="965">
        <v>22</v>
      </c>
      <c r="IT21" s="965">
        <v>23</v>
      </c>
      <c r="IU21" s="965">
        <v>24</v>
      </c>
      <c r="IV21" s="964">
        <v>25</v>
      </c>
      <c r="IW21" s="965">
        <v>26</v>
      </c>
      <c r="IX21" s="965">
        <v>27</v>
      </c>
      <c r="IY21" s="965">
        <v>28</v>
      </c>
      <c r="IZ21" s="964">
        <v>29</v>
      </c>
      <c r="JA21" s="967">
        <v>30</v>
      </c>
      <c r="JB21" s="964">
        <v>1</v>
      </c>
      <c r="JC21" s="965">
        <v>2</v>
      </c>
      <c r="JD21" s="965">
        <v>3</v>
      </c>
      <c r="JE21" s="965">
        <v>4</v>
      </c>
      <c r="JF21" s="964">
        <v>5</v>
      </c>
      <c r="JG21" s="965">
        <v>6</v>
      </c>
      <c r="JH21" s="965">
        <v>7</v>
      </c>
      <c r="JI21" s="965">
        <v>8</v>
      </c>
      <c r="JJ21" s="964">
        <v>9</v>
      </c>
      <c r="JK21" s="965">
        <v>10</v>
      </c>
      <c r="JL21" s="965">
        <v>11</v>
      </c>
      <c r="JM21" s="965">
        <v>12</v>
      </c>
      <c r="JN21" s="964">
        <v>13</v>
      </c>
      <c r="JO21" s="965">
        <v>14</v>
      </c>
      <c r="JP21" s="965">
        <v>15</v>
      </c>
      <c r="JQ21" s="965">
        <v>16</v>
      </c>
      <c r="JR21" s="964">
        <v>17</v>
      </c>
      <c r="JS21" s="965">
        <v>18</v>
      </c>
      <c r="JT21" s="965">
        <v>19</v>
      </c>
      <c r="JU21" s="965">
        <v>20</v>
      </c>
      <c r="JV21" s="964">
        <v>21</v>
      </c>
      <c r="JW21" s="965">
        <v>22</v>
      </c>
      <c r="JX21" s="965">
        <v>23</v>
      </c>
      <c r="JY21" s="965">
        <v>24</v>
      </c>
      <c r="JZ21" s="964">
        <v>25</v>
      </c>
      <c r="KA21" s="965">
        <v>26</v>
      </c>
      <c r="KB21" s="965">
        <v>27</v>
      </c>
      <c r="KC21" s="965">
        <v>28</v>
      </c>
      <c r="KD21" s="967">
        <v>29</v>
      </c>
      <c r="KE21" s="964">
        <v>1</v>
      </c>
      <c r="KF21" s="965">
        <v>2</v>
      </c>
      <c r="KG21" s="965">
        <v>3</v>
      </c>
      <c r="KH21" s="965">
        <v>4</v>
      </c>
      <c r="KI21" s="964">
        <v>5</v>
      </c>
      <c r="KJ21" s="965">
        <v>6</v>
      </c>
      <c r="KK21" s="965">
        <v>7</v>
      </c>
      <c r="KL21" s="965">
        <v>8</v>
      </c>
      <c r="KM21" s="964">
        <v>9</v>
      </c>
      <c r="KN21" s="965">
        <v>10</v>
      </c>
      <c r="KO21" s="965">
        <v>11</v>
      </c>
      <c r="KP21" s="965">
        <v>12</v>
      </c>
      <c r="KQ21" s="964">
        <v>13</v>
      </c>
      <c r="KR21" s="965">
        <v>14</v>
      </c>
      <c r="KS21" s="965">
        <v>15</v>
      </c>
      <c r="KT21" s="965">
        <v>16</v>
      </c>
      <c r="KU21" s="964">
        <v>17</v>
      </c>
      <c r="KV21" s="965">
        <v>18</v>
      </c>
      <c r="KW21" s="965">
        <v>19</v>
      </c>
      <c r="KX21" s="965">
        <v>20</v>
      </c>
      <c r="KY21" s="964">
        <v>21</v>
      </c>
      <c r="KZ21" s="965">
        <v>22</v>
      </c>
      <c r="LA21" s="965">
        <v>23</v>
      </c>
      <c r="LB21" s="965">
        <v>24</v>
      </c>
      <c r="LC21" s="964">
        <v>25</v>
      </c>
      <c r="LD21" s="965">
        <v>26</v>
      </c>
      <c r="LE21" s="965">
        <v>27</v>
      </c>
      <c r="LF21" s="965">
        <v>28</v>
      </c>
      <c r="LG21" s="964">
        <v>29</v>
      </c>
      <c r="LH21" s="973">
        <v>30</v>
      </c>
      <c r="LI21" s="964">
        <v>1</v>
      </c>
      <c r="LJ21" s="965">
        <v>2</v>
      </c>
      <c r="LK21" s="965">
        <v>3</v>
      </c>
      <c r="LL21" s="965">
        <v>4</v>
      </c>
      <c r="LM21" s="964">
        <v>5</v>
      </c>
      <c r="LN21" s="965">
        <v>6</v>
      </c>
      <c r="LO21" s="965">
        <v>7</v>
      </c>
      <c r="LP21" s="965">
        <v>8</v>
      </c>
      <c r="LQ21" s="964">
        <v>9</v>
      </c>
      <c r="LR21" s="965">
        <v>10</v>
      </c>
      <c r="LS21" s="965">
        <v>11</v>
      </c>
      <c r="LT21" s="965">
        <v>12</v>
      </c>
      <c r="LU21" s="964">
        <v>13</v>
      </c>
      <c r="LV21" s="965">
        <v>14</v>
      </c>
      <c r="LW21" s="965">
        <v>15</v>
      </c>
      <c r="LX21" s="965">
        <v>16</v>
      </c>
      <c r="LY21" s="964">
        <v>17</v>
      </c>
      <c r="LZ21" s="965">
        <v>18</v>
      </c>
      <c r="MA21" s="965">
        <v>19</v>
      </c>
      <c r="MB21" s="965">
        <v>20</v>
      </c>
      <c r="MC21" s="964">
        <v>21</v>
      </c>
      <c r="MD21" s="965">
        <v>22</v>
      </c>
      <c r="ME21" s="965">
        <v>23</v>
      </c>
      <c r="MF21" s="965">
        <v>24</v>
      </c>
      <c r="MG21" s="964">
        <v>25</v>
      </c>
      <c r="MH21" s="965">
        <v>26</v>
      </c>
      <c r="MI21" s="965">
        <v>27</v>
      </c>
      <c r="MJ21" s="965">
        <v>28</v>
      </c>
      <c r="MK21" s="967">
        <v>29</v>
      </c>
      <c r="ML21" s="964">
        <v>1</v>
      </c>
      <c r="MM21" s="965">
        <v>2</v>
      </c>
      <c r="MN21" s="965">
        <v>3</v>
      </c>
      <c r="MO21" s="965">
        <v>4</v>
      </c>
      <c r="MP21" s="964">
        <v>5</v>
      </c>
      <c r="MQ21" s="965">
        <v>6</v>
      </c>
      <c r="MR21" s="965">
        <v>7</v>
      </c>
      <c r="MS21" s="965">
        <v>8</v>
      </c>
      <c r="MT21" s="964">
        <v>9</v>
      </c>
      <c r="MU21" s="965">
        <v>10</v>
      </c>
      <c r="MV21" s="965">
        <v>11</v>
      </c>
      <c r="MW21" s="965">
        <v>12</v>
      </c>
      <c r="MX21" s="964">
        <v>13</v>
      </c>
      <c r="MY21" s="965">
        <v>14</v>
      </c>
      <c r="MZ21" s="965">
        <v>15</v>
      </c>
      <c r="NA21" s="965">
        <v>16</v>
      </c>
      <c r="NB21" s="964">
        <v>17</v>
      </c>
      <c r="NC21" s="965">
        <v>18</v>
      </c>
      <c r="ND21" s="965">
        <v>19</v>
      </c>
      <c r="NE21" s="965">
        <v>20</v>
      </c>
      <c r="NF21" s="964">
        <v>21</v>
      </c>
      <c r="NG21" s="965">
        <v>22</v>
      </c>
      <c r="NH21" s="965">
        <v>23</v>
      </c>
      <c r="NI21" s="965">
        <v>24</v>
      </c>
      <c r="NJ21" s="964">
        <v>25</v>
      </c>
      <c r="NK21" s="965">
        <v>26</v>
      </c>
      <c r="NL21" s="965">
        <v>27</v>
      </c>
      <c r="NM21" s="965">
        <v>28</v>
      </c>
      <c r="NN21" s="964">
        <v>29</v>
      </c>
      <c r="NO21" s="965">
        <v>30</v>
      </c>
      <c r="NP21" s="964">
        <v>1</v>
      </c>
      <c r="NQ21" s="965">
        <v>2</v>
      </c>
      <c r="NR21" s="965">
        <v>3</v>
      </c>
      <c r="NS21" s="965">
        <v>4</v>
      </c>
      <c r="NT21" s="964">
        <v>5</v>
      </c>
      <c r="NU21" s="965">
        <v>6</v>
      </c>
      <c r="NV21" s="965">
        <v>7</v>
      </c>
      <c r="NW21" s="965">
        <v>8</v>
      </c>
      <c r="NX21" s="964">
        <v>9</v>
      </c>
      <c r="NY21" s="965">
        <v>10</v>
      </c>
      <c r="NZ21" s="965">
        <v>11</v>
      </c>
      <c r="OA21" s="965">
        <v>12</v>
      </c>
      <c r="OB21" s="964">
        <v>13</v>
      </c>
      <c r="OC21" s="965">
        <v>14</v>
      </c>
      <c r="OD21" s="965">
        <v>15</v>
      </c>
      <c r="OE21" s="965">
        <v>16</v>
      </c>
      <c r="OF21" s="964">
        <v>17</v>
      </c>
      <c r="OG21" s="965">
        <v>18</v>
      </c>
      <c r="OH21" s="965">
        <v>19</v>
      </c>
      <c r="OI21" s="965">
        <v>20</v>
      </c>
      <c r="OJ21" s="964">
        <v>21</v>
      </c>
      <c r="OK21" s="965">
        <v>22</v>
      </c>
      <c r="OL21" s="965">
        <v>23</v>
      </c>
      <c r="OM21" s="965">
        <v>24</v>
      </c>
      <c r="ON21" s="964">
        <v>25</v>
      </c>
      <c r="OO21" s="965">
        <v>26</v>
      </c>
      <c r="OP21" s="965">
        <v>27</v>
      </c>
      <c r="OQ21" s="965">
        <v>28</v>
      </c>
      <c r="OR21" s="964">
        <v>29</v>
      </c>
      <c r="OS21" s="967">
        <v>1</v>
      </c>
      <c r="OT21" s="965">
        <v>2</v>
      </c>
      <c r="OU21" s="965">
        <v>3</v>
      </c>
      <c r="OV21" s="965">
        <v>4</v>
      </c>
      <c r="OW21" s="964">
        <v>5</v>
      </c>
      <c r="OX21" s="965">
        <v>6</v>
      </c>
      <c r="OY21" s="965">
        <v>7</v>
      </c>
      <c r="OZ21" s="965">
        <v>8</v>
      </c>
      <c r="PA21" s="964">
        <v>9</v>
      </c>
      <c r="PB21" s="965">
        <v>10</v>
      </c>
      <c r="PC21" s="965">
        <v>11</v>
      </c>
      <c r="PD21" s="965">
        <v>12</v>
      </c>
      <c r="PE21" s="964">
        <v>13</v>
      </c>
      <c r="PF21" s="965">
        <v>14</v>
      </c>
      <c r="PG21" s="965">
        <v>15</v>
      </c>
      <c r="PH21" s="965">
        <v>16</v>
      </c>
      <c r="PI21" s="964">
        <v>17</v>
      </c>
      <c r="PJ21" s="965">
        <v>18</v>
      </c>
      <c r="PK21" s="965">
        <v>19</v>
      </c>
      <c r="PL21" s="965">
        <v>20</v>
      </c>
      <c r="PM21" s="964">
        <v>21</v>
      </c>
      <c r="PN21" s="965">
        <v>22</v>
      </c>
      <c r="PO21" s="965">
        <v>23</v>
      </c>
      <c r="PP21" s="965">
        <v>24</v>
      </c>
      <c r="PQ21" s="964">
        <v>25</v>
      </c>
      <c r="PR21" s="965">
        <v>26</v>
      </c>
      <c r="PS21" s="965">
        <v>27</v>
      </c>
      <c r="PT21" s="965">
        <v>28</v>
      </c>
      <c r="PU21" s="964">
        <v>29</v>
      </c>
      <c r="PV21" s="965">
        <v>30</v>
      </c>
      <c r="PW21" s="967">
        <v>1</v>
      </c>
      <c r="PX21" s="965">
        <v>2</v>
      </c>
      <c r="PY21" s="965">
        <v>3</v>
      </c>
      <c r="PZ21" s="965">
        <v>4</v>
      </c>
      <c r="QA21" s="964">
        <v>5</v>
      </c>
      <c r="QB21" s="965">
        <v>6</v>
      </c>
      <c r="QC21" s="965">
        <v>7</v>
      </c>
      <c r="QD21" s="965">
        <v>8</v>
      </c>
      <c r="QE21" s="964">
        <v>9</v>
      </c>
      <c r="QF21" s="965">
        <v>10</v>
      </c>
      <c r="QG21" s="965">
        <v>11</v>
      </c>
      <c r="QH21" s="965">
        <v>12</v>
      </c>
      <c r="QI21" s="964">
        <v>13</v>
      </c>
      <c r="QJ21" s="965">
        <v>14</v>
      </c>
      <c r="QK21" s="965">
        <v>15</v>
      </c>
      <c r="QL21" s="965">
        <v>16</v>
      </c>
      <c r="QM21" s="964">
        <v>17</v>
      </c>
      <c r="QN21" s="965">
        <v>18</v>
      </c>
      <c r="QO21" s="965">
        <v>19</v>
      </c>
      <c r="QP21" s="965">
        <v>20</v>
      </c>
      <c r="QQ21" s="964">
        <v>21</v>
      </c>
      <c r="QR21" s="965">
        <v>22</v>
      </c>
      <c r="QS21" s="965">
        <v>23</v>
      </c>
      <c r="QT21" s="965">
        <v>24</v>
      </c>
      <c r="QU21" s="964">
        <v>25</v>
      </c>
      <c r="QV21" s="965">
        <v>26</v>
      </c>
      <c r="QW21" s="965">
        <v>27</v>
      </c>
      <c r="QX21" s="965">
        <v>28</v>
      </c>
      <c r="QY21" s="964">
        <v>29</v>
      </c>
      <c r="QZ21" s="973">
        <v>1</v>
      </c>
      <c r="RA21" s="966"/>
      <c r="RB21" s="797" t="e">
        <f>IF(AND(QZ19&gt;=10,QZ20&gt;=10),354,355)</f>
        <v>#VALUE!</v>
      </c>
      <c r="RC21" s="828" t="e">
        <f>IF(RB21=RB12,1,RC7+1)</f>
        <v>#VALUE!</v>
      </c>
    </row>
    <row r="22" spans="1:471" ht="22.5" thickBot="1">
      <c r="A22" s="22">
        <f>A4</f>
        <v>22</v>
      </c>
      <c r="B22" s="22">
        <f>B4</f>
        <v>9</v>
      </c>
      <c r="C22" s="22">
        <f>C4</f>
        <v>1442</v>
      </c>
      <c r="D22" t="str">
        <f>D4</f>
        <v>شمسی</v>
      </c>
      <c r="E22">
        <f>E4</f>
        <v>16</v>
      </c>
      <c r="J22" s="2"/>
      <c r="K22" s="2"/>
      <c r="L22" s="2"/>
      <c r="M22" s="2"/>
      <c r="N22" s="2"/>
      <c r="O22" s="2">
        <f>O21</f>
        <v>31</v>
      </c>
      <c r="P22" s="2">
        <f t="shared" ref="P22:Z22" si="291">P21+O22</f>
        <v>59</v>
      </c>
      <c r="Q22" s="2">
        <f t="shared" si="291"/>
        <v>90</v>
      </c>
      <c r="R22" s="2">
        <f t="shared" si="291"/>
        <v>120</v>
      </c>
      <c r="S22" s="2">
        <f t="shared" si="291"/>
        <v>151</v>
      </c>
      <c r="T22" s="2">
        <f t="shared" si="291"/>
        <v>181</v>
      </c>
      <c r="U22" s="2">
        <f t="shared" si="291"/>
        <v>212</v>
      </c>
      <c r="V22" s="2">
        <f t="shared" si="291"/>
        <v>243</v>
      </c>
      <c r="W22" s="2">
        <f t="shared" si="291"/>
        <v>273</v>
      </c>
      <c r="X22" s="2">
        <f t="shared" si="291"/>
        <v>304</v>
      </c>
      <c r="Y22" s="2">
        <f t="shared" si="291"/>
        <v>334</v>
      </c>
      <c r="Z22" s="2">
        <f t="shared" si="291"/>
        <v>365</v>
      </c>
      <c r="AA22" s="2"/>
      <c r="AK22" s="759" t="s">
        <v>3556</v>
      </c>
      <c r="AL22" s="701" t="e">
        <f>[1]!qsn([1]!ml(AL21),AL20)/30</f>
        <v>#VALUE!</v>
      </c>
      <c r="AM22" s="304" t="e">
        <f>[1]!qsn([1]!ml(AM21),AM20)/30</f>
        <v>#VALUE!</v>
      </c>
      <c r="AN22" s="304" t="e">
        <f>[1]!qsn([1]!ml(AN21),AN20)/30</f>
        <v>#VALUE!</v>
      </c>
      <c r="AO22" s="304" t="e">
        <f>[1]!qsn([1]!ml(AO21),AO20)/30</f>
        <v>#VALUE!</v>
      </c>
      <c r="AP22" s="304" t="e">
        <f>[1]!qsn([1]!ml(AP21),AP20)/30</f>
        <v>#VALUE!</v>
      </c>
      <c r="AQ22" s="304" t="e">
        <f>[1]!qsn([1]!ml(AQ21),AQ20)/30</f>
        <v>#VALUE!</v>
      </c>
      <c r="AR22" s="304" t="e">
        <f>[1]!qsn([1]!ml(AR21),AR20)/30</f>
        <v>#VALUE!</v>
      </c>
      <c r="AS22" s="304" t="e">
        <f>[1]!qsn([1]!ml(AS21),AS20)/30</f>
        <v>#VALUE!</v>
      </c>
      <c r="AT22" s="304" t="e">
        <f>[1]!qsn([1]!ml(AT21),AT20)/30</f>
        <v>#VALUE!</v>
      </c>
      <c r="AU22" s="304" t="e">
        <f>[1]!qsn([1]!ml(AU21),AU20)/30</f>
        <v>#VALUE!</v>
      </c>
      <c r="AV22" s="304" t="e">
        <f>[1]!qsn([1]!ml(AV21),AV20)/30</f>
        <v>#VALUE!</v>
      </c>
      <c r="AW22" s="304" t="e">
        <f>[1]!qsn([1]!ml(AW21),AW20)/30</f>
        <v>#VALUE!</v>
      </c>
      <c r="AX22" s="314"/>
      <c r="AZ22" s="732" t="s">
        <v>3490</v>
      </c>
      <c r="BA22" s="694">
        <v>119</v>
      </c>
      <c r="BV22" s="756" t="s">
        <v>87</v>
      </c>
      <c r="BW22" s="317">
        <v>354.36709259259197</v>
      </c>
      <c r="CH22" t="s">
        <v>3762</v>
      </c>
      <c r="DJ22" s="797" t="e">
        <f>DJ23-RB12</f>
        <v>#VALUE!</v>
      </c>
      <c r="DK22" s="797" t="e">
        <f>DJ22+1</f>
        <v>#VALUE!</v>
      </c>
      <c r="DL22" s="797" t="e">
        <f t="shared" ref="DL22:FW22" si="292">DK22+1</f>
        <v>#VALUE!</v>
      </c>
      <c r="DM22" s="797" t="e">
        <f t="shared" si="292"/>
        <v>#VALUE!</v>
      </c>
      <c r="DN22" s="797" t="e">
        <f t="shared" si="292"/>
        <v>#VALUE!</v>
      </c>
      <c r="DO22" s="797" t="e">
        <f t="shared" si="292"/>
        <v>#VALUE!</v>
      </c>
      <c r="DP22" s="797" t="e">
        <f t="shared" si="292"/>
        <v>#VALUE!</v>
      </c>
      <c r="DQ22" s="797" t="e">
        <f t="shared" si="292"/>
        <v>#VALUE!</v>
      </c>
      <c r="DR22" s="797" t="e">
        <f t="shared" si="292"/>
        <v>#VALUE!</v>
      </c>
      <c r="DS22" s="797" t="e">
        <f t="shared" si="292"/>
        <v>#VALUE!</v>
      </c>
      <c r="DT22" s="797" t="e">
        <f t="shared" si="292"/>
        <v>#VALUE!</v>
      </c>
      <c r="DU22" s="797" t="e">
        <f t="shared" si="292"/>
        <v>#VALUE!</v>
      </c>
      <c r="DV22" s="797" t="e">
        <f t="shared" si="292"/>
        <v>#VALUE!</v>
      </c>
      <c r="DW22" s="797" t="e">
        <f t="shared" si="292"/>
        <v>#VALUE!</v>
      </c>
      <c r="DX22" s="797" t="e">
        <f t="shared" si="292"/>
        <v>#VALUE!</v>
      </c>
      <c r="DY22" s="797" t="e">
        <f t="shared" si="292"/>
        <v>#VALUE!</v>
      </c>
      <c r="DZ22" s="797" t="e">
        <f t="shared" si="292"/>
        <v>#VALUE!</v>
      </c>
      <c r="EA22" s="797" t="e">
        <f t="shared" si="292"/>
        <v>#VALUE!</v>
      </c>
      <c r="EB22" s="797" t="e">
        <f t="shared" si="292"/>
        <v>#VALUE!</v>
      </c>
      <c r="EC22" s="797" t="e">
        <f t="shared" si="292"/>
        <v>#VALUE!</v>
      </c>
      <c r="ED22" s="797" t="e">
        <f t="shared" si="292"/>
        <v>#VALUE!</v>
      </c>
      <c r="EE22" s="797" t="e">
        <f t="shared" si="292"/>
        <v>#VALUE!</v>
      </c>
      <c r="EF22" s="797" t="e">
        <f t="shared" si="292"/>
        <v>#VALUE!</v>
      </c>
      <c r="EG22" s="797" t="e">
        <f t="shared" si="292"/>
        <v>#VALUE!</v>
      </c>
      <c r="EH22" s="797" t="e">
        <f t="shared" si="292"/>
        <v>#VALUE!</v>
      </c>
      <c r="EI22" s="797" t="e">
        <f t="shared" si="292"/>
        <v>#VALUE!</v>
      </c>
      <c r="EJ22" s="797" t="e">
        <f t="shared" si="292"/>
        <v>#VALUE!</v>
      </c>
      <c r="EK22" s="797" t="e">
        <f t="shared" si="292"/>
        <v>#VALUE!</v>
      </c>
      <c r="EL22" s="797" t="e">
        <f t="shared" si="292"/>
        <v>#VALUE!</v>
      </c>
      <c r="EM22" s="797" t="e">
        <f t="shared" si="292"/>
        <v>#VALUE!</v>
      </c>
      <c r="EN22" s="797" t="e">
        <f t="shared" si="292"/>
        <v>#VALUE!</v>
      </c>
      <c r="EO22" s="797" t="e">
        <f t="shared" si="292"/>
        <v>#VALUE!</v>
      </c>
      <c r="EP22" s="797" t="e">
        <f t="shared" si="292"/>
        <v>#VALUE!</v>
      </c>
      <c r="EQ22" s="797" t="e">
        <f t="shared" si="292"/>
        <v>#VALUE!</v>
      </c>
      <c r="ER22" s="797" t="e">
        <f t="shared" si="292"/>
        <v>#VALUE!</v>
      </c>
      <c r="ES22" s="797" t="e">
        <f t="shared" si="292"/>
        <v>#VALUE!</v>
      </c>
      <c r="ET22" s="797" t="e">
        <f t="shared" si="292"/>
        <v>#VALUE!</v>
      </c>
      <c r="EU22" s="797" t="e">
        <f t="shared" si="292"/>
        <v>#VALUE!</v>
      </c>
      <c r="EV22" s="797" t="e">
        <f t="shared" si="292"/>
        <v>#VALUE!</v>
      </c>
      <c r="EW22" s="797" t="e">
        <f t="shared" si="292"/>
        <v>#VALUE!</v>
      </c>
      <c r="EX22" s="797" t="e">
        <f t="shared" si="292"/>
        <v>#VALUE!</v>
      </c>
      <c r="EY22" s="797" t="e">
        <f t="shared" si="292"/>
        <v>#VALUE!</v>
      </c>
      <c r="EZ22" s="797" t="e">
        <f t="shared" si="292"/>
        <v>#VALUE!</v>
      </c>
      <c r="FA22" s="797" t="e">
        <f t="shared" si="292"/>
        <v>#VALUE!</v>
      </c>
      <c r="FB22" s="797" t="e">
        <f t="shared" si="292"/>
        <v>#VALUE!</v>
      </c>
      <c r="FC22" s="797" t="e">
        <f t="shared" si="292"/>
        <v>#VALUE!</v>
      </c>
      <c r="FD22" s="797" t="e">
        <f t="shared" si="292"/>
        <v>#VALUE!</v>
      </c>
      <c r="FE22" s="797" t="e">
        <f t="shared" si="292"/>
        <v>#VALUE!</v>
      </c>
      <c r="FF22" s="797" t="e">
        <f t="shared" si="292"/>
        <v>#VALUE!</v>
      </c>
      <c r="FG22" s="797" t="e">
        <f t="shared" si="292"/>
        <v>#VALUE!</v>
      </c>
      <c r="FH22" s="797" t="e">
        <f t="shared" si="292"/>
        <v>#VALUE!</v>
      </c>
      <c r="FI22" s="797" t="e">
        <f t="shared" si="292"/>
        <v>#VALUE!</v>
      </c>
      <c r="FJ22" s="797" t="e">
        <f t="shared" si="292"/>
        <v>#VALUE!</v>
      </c>
      <c r="FK22" s="797" t="e">
        <f t="shared" si="292"/>
        <v>#VALUE!</v>
      </c>
      <c r="FL22" s="797" t="e">
        <f t="shared" si="292"/>
        <v>#VALUE!</v>
      </c>
      <c r="FM22" s="797" t="e">
        <f t="shared" si="292"/>
        <v>#VALUE!</v>
      </c>
      <c r="FN22" s="797" t="e">
        <f t="shared" si="292"/>
        <v>#VALUE!</v>
      </c>
      <c r="FO22" s="797" t="e">
        <f t="shared" si="292"/>
        <v>#VALUE!</v>
      </c>
      <c r="FP22" s="797" t="e">
        <f t="shared" si="292"/>
        <v>#VALUE!</v>
      </c>
      <c r="FQ22" s="797" t="e">
        <f t="shared" si="292"/>
        <v>#VALUE!</v>
      </c>
      <c r="FR22" s="797" t="e">
        <f t="shared" si="292"/>
        <v>#VALUE!</v>
      </c>
      <c r="FS22" s="797" t="e">
        <f t="shared" si="292"/>
        <v>#VALUE!</v>
      </c>
      <c r="FT22" s="797" t="e">
        <f t="shared" si="292"/>
        <v>#VALUE!</v>
      </c>
      <c r="FU22" s="797" t="e">
        <f t="shared" si="292"/>
        <v>#VALUE!</v>
      </c>
      <c r="FV22" s="797" t="e">
        <f t="shared" si="292"/>
        <v>#VALUE!</v>
      </c>
      <c r="FW22" s="797" t="e">
        <f t="shared" si="292"/>
        <v>#VALUE!</v>
      </c>
      <c r="FX22" s="797" t="e">
        <f t="shared" ref="FX22:II22" si="293">FW22+1</f>
        <v>#VALUE!</v>
      </c>
      <c r="FY22" s="797" t="e">
        <f t="shared" si="293"/>
        <v>#VALUE!</v>
      </c>
      <c r="FZ22" s="797" t="e">
        <f t="shared" si="293"/>
        <v>#VALUE!</v>
      </c>
      <c r="GA22" s="797" t="e">
        <f t="shared" si="293"/>
        <v>#VALUE!</v>
      </c>
      <c r="GB22" s="797" t="e">
        <f t="shared" si="293"/>
        <v>#VALUE!</v>
      </c>
      <c r="GC22" s="797" t="e">
        <f t="shared" si="293"/>
        <v>#VALUE!</v>
      </c>
      <c r="GD22" s="797" t="e">
        <f t="shared" si="293"/>
        <v>#VALUE!</v>
      </c>
      <c r="GE22" s="797" t="e">
        <f t="shared" si="293"/>
        <v>#VALUE!</v>
      </c>
      <c r="GF22" s="797" t="e">
        <f t="shared" si="293"/>
        <v>#VALUE!</v>
      </c>
      <c r="GG22" s="797" t="e">
        <f t="shared" si="293"/>
        <v>#VALUE!</v>
      </c>
      <c r="GH22" s="797" t="e">
        <f t="shared" si="293"/>
        <v>#VALUE!</v>
      </c>
      <c r="GI22" s="797" t="e">
        <f t="shared" si="293"/>
        <v>#VALUE!</v>
      </c>
      <c r="GJ22" s="797" t="e">
        <f t="shared" si="293"/>
        <v>#VALUE!</v>
      </c>
      <c r="GK22" s="797" t="e">
        <f t="shared" si="293"/>
        <v>#VALUE!</v>
      </c>
      <c r="GL22" s="797" t="e">
        <f t="shared" si="293"/>
        <v>#VALUE!</v>
      </c>
      <c r="GM22" s="797" t="e">
        <f t="shared" si="293"/>
        <v>#VALUE!</v>
      </c>
      <c r="GN22" s="797" t="e">
        <f t="shared" si="293"/>
        <v>#VALUE!</v>
      </c>
      <c r="GO22" s="797" t="e">
        <f t="shared" si="293"/>
        <v>#VALUE!</v>
      </c>
      <c r="GP22" s="797" t="e">
        <f t="shared" si="293"/>
        <v>#VALUE!</v>
      </c>
      <c r="GQ22" s="797" t="e">
        <f t="shared" si="293"/>
        <v>#VALUE!</v>
      </c>
      <c r="GR22" s="797" t="e">
        <f t="shared" si="293"/>
        <v>#VALUE!</v>
      </c>
      <c r="GS22" s="797" t="e">
        <f t="shared" si="293"/>
        <v>#VALUE!</v>
      </c>
      <c r="GT22" s="797" t="e">
        <f t="shared" si="293"/>
        <v>#VALUE!</v>
      </c>
      <c r="GU22" s="797" t="e">
        <f t="shared" si="293"/>
        <v>#VALUE!</v>
      </c>
      <c r="GV22" s="797" t="e">
        <f t="shared" si="293"/>
        <v>#VALUE!</v>
      </c>
      <c r="GW22" s="797" t="e">
        <f t="shared" si="293"/>
        <v>#VALUE!</v>
      </c>
      <c r="GX22" s="797" t="e">
        <f t="shared" si="293"/>
        <v>#VALUE!</v>
      </c>
      <c r="GY22" s="797" t="e">
        <f t="shared" si="293"/>
        <v>#VALUE!</v>
      </c>
      <c r="GZ22" s="797" t="e">
        <f t="shared" si="293"/>
        <v>#VALUE!</v>
      </c>
      <c r="HA22" s="797" t="e">
        <f t="shared" si="293"/>
        <v>#VALUE!</v>
      </c>
      <c r="HB22" s="797" t="e">
        <f t="shared" si="293"/>
        <v>#VALUE!</v>
      </c>
      <c r="HC22" s="797" t="e">
        <f t="shared" si="293"/>
        <v>#VALUE!</v>
      </c>
      <c r="HD22" s="797" t="e">
        <f t="shared" si="293"/>
        <v>#VALUE!</v>
      </c>
      <c r="HE22" s="797" t="e">
        <f t="shared" si="293"/>
        <v>#VALUE!</v>
      </c>
      <c r="HF22" s="797" t="e">
        <f t="shared" si="293"/>
        <v>#VALUE!</v>
      </c>
      <c r="HG22" s="797" t="e">
        <f t="shared" si="293"/>
        <v>#VALUE!</v>
      </c>
      <c r="HH22" s="797" t="e">
        <f t="shared" si="293"/>
        <v>#VALUE!</v>
      </c>
      <c r="HI22" s="797" t="e">
        <f t="shared" si="293"/>
        <v>#VALUE!</v>
      </c>
      <c r="HJ22" s="797" t="e">
        <f t="shared" si="293"/>
        <v>#VALUE!</v>
      </c>
      <c r="HK22" s="797" t="e">
        <f t="shared" si="293"/>
        <v>#VALUE!</v>
      </c>
      <c r="HL22" s="797" t="e">
        <f t="shared" si="293"/>
        <v>#VALUE!</v>
      </c>
      <c r="HM22" s="797" t="e">
        <f t="shared" si="293"/>
        <v>#VALUE!</v>
      </c>
      <c r="HN22" s="797" t="e">
        <f t="shared" si="293"/>
        <v>#VALUE!</v>
      </c>
      <c r="HO22" s="797" t="e">
        <f t="shared" si="293"/>
        <v>#VALUE!</v>
      </c>
      <c r="HP22" s="797" t="e">
        <f t="shared" si="293"/>
        <v>#VALUE!</v>
      </c>
      <c r="HQ22" s="797" t="e">
        <f t="shared" si="293"/>
        <v>#VALUE!</v>
      </c>
      <c r="HR22" s="797" t="e">
        <f t="shared" si="293"/>
        <v>#VALUE!</v>
      </c>
      <c r="HS22" s="797" t="e">
        <f t="shared" si="293"/>
        <v>#VALUE!</v>
      </c>
      <c r="HT22" s="797" t="e">
        <f t="shared" si="293"/>
        <v>#VALUE!</v>
      </c>
      <c r="HU22" s="797" t="e">
        <f t="shared" si="293"/>
        <v>#VALUE!</v>
      </c>
      <c r="HV22" s="797" t="e">
        <f t="shared" si="293"/>
        <v>#VALUE!</v>
      </c>
      <c r="HW22" s="797" t="e">
        <f t="shared" si="293"/>
        <v>#VALUE!</v>
      </c>
      <c r="HX22" s="797" t="e">
        <f t="shared" si="293"/>
        <v>#VALUE!</v>
      </c>
      <c r="HY22" s="797" t="e">
        <f t="shared" si="293"/>
        <v>#VALUE!</v>
      </c>
      <c r="HZ22" s="797" t="e">
        <f t="shared" si="293"/>
        <v>#VALUE!</v>
      </c>
      <c r="IA22" s="797" t="e">
        <f t="shared" si="293"/>
        <v>#VALUE!</v>
      </c>
      <c r="IB22" s="797" t="e">
        <f t="shared" si="293"/>
        <v>#VALUE!</v>
      </c>
      <c r="IC22" s="797" t="e">
        <f t="shared" si="293"/>
        <v>#VALUE!</v>
      </c>
      <c r="ID22" s="797" t="e">
        <f t="shared" si="293"/>
        <v>#VALUE!</v>
      </c>
      <c r="IE22" s="797" t="e">
        <f t="shared" si="293"/>
        <v>#VALUE!</v>
      </c>
      <c r="IF22" s="797" t="e">
        <f t="shared" si="293"/>
        <v>#VALUE!</v>
      </c>
      <c r="IG22" s="797" t="e">
        <f t="shared" si="293"/>
        <v>#VALUE!</v>
      </c>
      <c r="IH22" s="797" t="e">
        <f t="shared" si="293"/>
        <v>#VALUE!</v>
      </c>
      <c r="II22" s="797" t="e">
        <f t="shared" si="293"/>
        <v>#VALUE!</v>
      </c>
      <c r="IJ22" s="797" t="e">
        <f t="shared" ref="IJ22:KU22" si="294">II22+1</f>
        <v>#VALUE!</v>
      </c>
      <c r="IK22" s="797" t="e">
        <f t="shared" si="294"/>
        <v>#VALUE!</v>
      </c>
      <c r="IL22" s="797" t="e">
        <f t="shared" si="294"/>
        <v>#VALUE!</v>
      </c>
      <c r="IM22" s="797" t="e">
        <f t="shared" si="294"/>
        <v>#VALUE!</v>
      </c>
      <c r="IN22" s="797" t="e">
        <f t="shared" si="294"/>
        <v>#VALUE!</v>
      </c>
      <c r="IO22" s="797" t="e">
        <f t="shared" si="294"/>
        <v>#VALUE!</v>
      </c>
      <c r="IP22" s="797" t="e">
        <f t="shared" si="294"/>
        <v>#VALUE!</v>
      </c>
      <c r="IQ22" s="797" t="e">
        <f t="shared" si="294"/>
        <v>#VALUE!</v>
      </c>
      <c r="IR22" s="797" t="e">
        <f t="shared" si="294"/>
        <v>#VALUE!</v>
      </c>
      <c r="IS22" s="797" t="e">
        <f t="shared" si="294"/>
        <v>#VALUE!</v>
      </c>
      <c r="IT22" s="797" t="e">
        <f t="shared" si="294"/>
        <v>#VALUE!</v>
      </c>
      <c r="IU22" s="797" t="e">
        <f t="shared" si="294"/>
        <v>#VALUE!</v>
      </c>
      <c r="IV22" s="797" t="e">
        <f t="shared" si="294"/>
        <v>#VALUE!</v>
      </c>
      <c r="IW22" s="797" t="e">
        <f t="shared" si="294"/>
        <v>#VALUE!</v>
      </c>
      <c r="IX22" s="797" t="e">
        <f t="shared" si="294"/>
        <v>#VALUE!</v>
      </c>
      <c r="IY22" s="797" t="e">
        <f t="shared" si="294"/>
        <v>#VALUE!</v>
      </c>
      <c r="IZ22" s="797" t="e">
        <f t="shared" si="294"/>
        <v>#VALUE!</v>
      </c>
      <c r="JA22" s="797" t="e">
        <f t="shared" si="294"/>
        <v>#VALUE!</v>
      </c>
      <c r="JB22" s="797" t="e">
        <f t="shared" si="294"/>
        <v>#VALUE!</v>
      </c>
      <c r="JC22" s="797" t="e">
        <f t="shared" si="294"/>
        <v>#VALUE!</v>
      </c>
      <c r="JD22" s="797" t="e">
        <f t="shared" si="294"/>
        <v>#VALUE!</v>
      </c>
      <c r="JE22" s="797" t="e">
        <f t="shared" si="294"/>
        <v>#VALUE!</v>
      </c>
      <c r="JF22" s="797" t="e">
        <f t="shared" si="294"/>
        <v>#VALUE!</v>
      </c>
      <c r="JG22" s="797" t="e">
        <f t="shared" si="294"/>
        <v>#VALUE!</v>
      </c>
      <c r="JH22" s="797" t="e">
        <f t="shared" si="294"/>
        <v>#VALUE!</v>
      </c>
      <c r="JI22" s="797" t="e">
        <f t="shared" si="294"/>
        <v>#VALUE!</v>
      </c>
      <c r="JJ22" s="797" t="e">
        <f t="shared" si="294"/>
        <v>#VALUE!</v>
      </c>
      <c r="JK22" s="797" t="e">
        <f t="shared" si="294"/>
        <v>#VALUE!</v>
      </c>
      <c r="JL22" s="797" t="e">
        <f t="shared" si="294"/>
        <v>#VALUE!</v>
      </c>
      <c r="JM22" s="797" t="e">
        <f t="shared" si="294"/>
        <v>#VALUE!</v>
      </c>
      <c r="JN22" s="797" t="e">
        <f t="shared" si="294"/>
        <v>#VALUE!</v>
      </c>
      <c r="JO22" s="797" t="e">
        <f t="shared" si="294"/>
        <v>#VALUE!</v>
      </c>
      <c r="JP22" s="797" t="e">
        <f t="shared" si="294"/>
        <v>#VALUE!</v>
      </c>
      <c r="JQ22" s="797" t="e">
        <f t="shared" si="294"/>
        <v>#VALUE!</v>
      </c>
      <c r="JR22" s="797" t="e">
        <f t="shared" si="294"/>
        <v>#VALUE!</v>
      </c>
      <c r="JS22" s="797" t="e">
        <f t="shared" si="294"/>
        <v>#VALUE!</v>
      </c>
      <c r="JT22" s="797" t="e">
        <f t="shared" si="294"/>
        <v>#VALUE!</v>
      </c>
      <c r="JU22" s="797" t="e">
        <f t="shared" si="294"/>
        <v>#VALUE!</v>
      </c>
      <c r="JV22" s="797" t="e">
        <f t="shared" si="294"/>
        <v>#VALUE!</v>
      </c>
      <c r="JW22" s="797" t="e">
        <f t="shared" si="294"/>
        <v>#VALUE!</v>
      </c>
      <c r="JX22" s="797" t="e">
        <f t="shared" si="294"/>
        <v>#VALUE!</v>
      </c>
      <c r="JY22" s="797" t="e">
        <f t="shared" si="294"/>
        <v>#VALUE!</v>
      </c>
      <c r="JZ22" s="797" t="e">
        <f t="shared" si="294"/>
        <v>#VALUE!</v>
      </c>
      <c r="KA22" s="797" t="e">
        <f t="shared" si="294"/>
        <v>#VALUE!</v>
      </c>
      <c r="KB22" s="797" t="e">
        <f t="shared" si="294"/>
        <v>#VALUE!</v>
      </c>
      <c r="KC22" s="797" t="e">
        <f t="shared" si="294"/>
        <v>#VALUE!</v>
      </c>
      <c r="KD22" s="797" t="e">
        <f t="shared" si="294"/>
        <v>#VALUE!</v>
      </c>
      <c r="KE22" s="797" t="e">
        <f t="shared" si="294"/>
        <v>#VALUE!</v>
      </c>
      <c r="KF22" s="797" t="e">
        <f t="shared" si="294"/>
        <v>#VALUE!</v>
      </c>
      <c r="KG22" s="797" t="e">
        <f t="shared" si="294"/>
        <v>#VALUE!</v>
      </c>
      <c r="KH22" s="797" t="e">
        <f t="shared" si="294"/>
        <v>#VALUE!</v>
      </c>
      <c r="KI22" s="797" t="e">
        <f t="shared" si="294"/>
        <v>#VALUE!</v>
      </c>
      <c r="KJ22" s="797" t="e">
        <f t="shared" si="294"/>
        <v>#VALUE!</v>
      </c>
      <c r="KK22" s="797" t="e">
        <f t="shared" si="294"/>
        <v>#VALUE!</v>
      </c>
      <c r="KL22" s="797" t="e">
        <f t="shared" si="294"/>
        <v>#VALUE!</v>
      </c>
      <c r="KM22" s="797" t="e">
        <f t="shared" si="294"/>
        <v>#VALUE!</v>
      </c>
      <c r="KN22" s="797" t="e">
        <f t="shared" si="294"/>
        <v>#VALUE!</v>
      </c>
      <c r="KO22" s="797" t="e">
        <f t="shared" si="294"/>
        <v>#VALUE!</v>
      </c>
      <c r="KP22" s="797" t="e">
        <f t="shared" si="294"/>
        <v>#VALUE!</v>
      </c>
      <c r="KQ22" s="797" t="e">
        <f t="shared" si="294"/>
        <v>#VALUE!</v>
      </c>
      <c r="KR22" s="797" t="e">
        <f t="shared" si="294"/>
        <v>#VALUE!</v>
      </c>
      <c r="KS22" s="797" t="e">
        <f t="shared" si="294"/>
        <v>#VALUE!</v>
      </c>
      <c r="KT22" s="797" t="e">
        <f t="shared" si="294"/>
        <v>#VALUE!</v>
      </c>
      <c r="KU22" s="797" t="e">
        <f t="shared" si="294"/>
        <v>#VALUE!</v>
      </c>
      <c r="KV22" s="797" t="e">
        <f t="shared" ref="KV22:NG22" si="295">KU22+1</f>
        <v>#VALUE!</v>
      </c>
      <c r="KW22" s="797" t="e">
        <f t="shared" si="295"/>
        <v>#VALUE!</v>
      </c>
      <c r="KX22" s="797" t="e">
        <f t="shared" si="295"/>
        <v>#VALUE!</v>
      </c>
      <c r="KY22" s="797" t="e">
        <f t="shared" si="295"/>
        <v>#VALUE!</v>
      </c>
      <c r="KZ22" s="797" t="e">
        <f t="shared" si="295"/>
        <v>#VALUE!</v>
      </c>
      <c r="LA22" s="797" t="e">
        <f t="shared" si="295"/>
        <v>#VALUE!</v>
      </c>
      <c r="LB22" s="797" t="e">
        <f t="shared" si="295"/>
        <v>#VALUE!</v>
      </c>
      <c r="LC22" s="797" t="e">
        <f t="shared" si="295"/>
        <v>#VALUE!</v>
      </c>
      <c r="LD22" s="797" t="e">
        <f t="shared" si="295"/>
        <v>#VALUE!</v>
      </c>
      <c r="LE22" s="797" t="e">
        <f t="shared" si="295"/>
        <v>#VALUE!</v>
      </c>
      <c r="LF22" s="797" t="e">
        <f t="shared" si="295"/>
        <v>#VALUE!</v>
      </c>
      <c r="LG22" s="797" t="e">
        <f t="shared" si="295"/>
        <v>#VALUE!</v>
      </c>
      <c r="LH22" s="797" t="e">
        <f t="shared" si="295"/>
        <v>#VALUE!</v>
      </c>
      <c r="LI22" s="797" t="e">
        <f t="shared" si="295"/>
        <v>#VALUE!</v>
      </c>
      <c r="LJ22" s="797" t="e">
        <f t="shared" si="295"/>
        <v>#VALUE!</v>
      </c>
      <c r="LK22" s="797" t="e">
        <f t="shared" si="295"/>
        <v>#VALUE!</v>
      </c>
      <c r="LL22" s="797" t="e">
        <f t="shared" si="295"/>
        <v>#VALUE!</v>
      </c>
      <c r="LM22" s="797" t="e">
        <f t="shared" si="295"/>
        <v>#VALUE!</v>
      </c>
      <c r="LN22" s="797" t="e">
        <f t="shared" si="295"/>
        <v>#VALUE!</v>
      </c>
      <c r="LO22" s="797" t="e">
        <f t="shared" si="295"/>
        <v>#VALUE!</v>
      </c>
      <c r="LP22" s="797" t="e">
        <f t="shared" si="295"/>
        <v>#VALUE!</v>
      </c>
      <c r="LQ22" s="797" t="e">
        <f t="shared" si="295"/>
        <v>#VALUE!</v>
      </c>
      <c r="LR22" s="797" t="e">
        <f t="shared" si="295"/>
        <v>#VALUE!</v>
      </c>
      <c r="LS22" s="797" t="e">
        <f t="shared" si="295"/>
        <v>#VALUE!</v>
      </c>
      <c r="LT22" s="797" t="e">
        <f t="shared" si="295"/>
        <v>#VALUE!</v>
      </c>
      <c r="LU22" s="797" t="e">
        <f t="shared" si="295"/>
        <v>#VALUE!</v>
      </c>
      <c r="LV22" s="797" t="e">
        <f t="shared" si="295"/>
        <v>#VALUE!</v>
      </c>
      <c r="LW22" s="797" t="e">
        <f t="shared" si="295"/>
        <v>#VALUE!</v>
      </c>
      <c r="LX22" s="797" t="e">
        <f t="shared" si="295"/>
        <v>#VALUE!</v>
      </c>
      <c r="LY22" s="797" t="e">
        <f t="shared" si="295"/>
        <v>#VALUE!</v>
      </c>
      <c r="LZ22" s="797" t="e">
        <f t="shared" si="295"/>
        <v>#VALUE!</v>
      </c>
      <c r="MA22" s="797" t="e">
        <f t="shared" si="295"/>
        <v>#VALUE!</v>
      </c>
      <c r="MB22" s="797" t="e">
        <f t="shared" si="295"/>
        <v>#VALUE!</v>
      </c>
      <c r="MC22" s="797" t="e">
        <f t="shared" si="295"/>
        <v>#VALUE!</v>
      </c>
      <c r="MD22" s="797" t="e">
        <f t="shared" si="295"/>
        <v>#VALUE!</v>
      </c>
      <c r="ME22" s="797" t="e">
        <f t="shared" si="295"/>
        <v>#VALUE!</v>
      </c>
      <c r="MF22" s="797" t="e">
        <f t="shared" si="295"/>
        <v>#VALUE!</v>
      </c>
      <c r="MG22" s="797" t="e">
        <f t="shared" si="295"/>
        <v>#VALUE!</v>
      </c>
      <c r="MH22" s="797" t="e">
        <f t="shared" si="295"/>
        <v>#VALUE!</v>
      </c>
      <c r="MI22" s="797" t="e">
        <f t="shared" si="295"/>
        <v>#VALUE!</v>
      </c>
      <c r="MJ22" s="797" t="e">
        <f t="shared" si="295"/>
        <v>#VALUE!</v>
      </c>
      <c r="MK22" s="797" t="e">
        <f t="shared" si="295"/>
        <v>#VALUE!</v>
      </c>
      <c r="ML22" s="797" t="e">
        <f t="shared" si="295"/>
        <v>#VALUE!</v>
      </c>
      <c r="MM22" s="797" t="e">
        <f t="shared" si="295"/>
        <v>#VALUE!</v>
      </c>
      <c r="MN22" s="797" t="e">
        <f t="shared" si="295"/>
        <v>#VALUE!</v>
      </c>
      <c r="MO22" s="797" t="e">
        <f t="shared" si="295"/>
        <v>#VALUE!</v>
      </c>
      <c r="MP22" s="797" t="e">
        <f t="shared" si="295"/>
        <v>#VALUE!</v>
      </c>
      <c r="MQ22" s="797" t="e">
        <f t="shared" si="295"/>
        <v>#VALUE!</v>
      </c>
      <c r="MR22" s="797" t="e">
        <f t="shared" si="295"/>
        <v>#VALUE!</v>
      </c>
      <c r="MS22" s="797" t="e">
        <f t="shared" si="295"/>
        <v>#VALUE!</v>
      </c>
      <c r="MT22" s="797" t="e">
        <f t="shared" si="295"/>
        <v>#VALUE!</v>
      </c>
      <c r="MU22" s="797" t="e">
        <f t="shared" si="295"/>
        <v>#VALUE!</v>
      </c>
      <c r="MV22" s="797" t="e">
        <f t="shared" si="295"/>
        <v>#VALUE!</v>
      </c>
      <c r="MW22" s="797" t="e">
        <f t="shared" si="295"/>
        <v>#VALUE!</v>
      </c>
      <c r="MX22" s="797" t="e">
        <f t="shared" si="295"/>
        <v>#VALUE!</v>
      </c>
      <c r="MY22" s="797" t="e">
        <f t="shared" si="295"/>
        <v>#VALUE!</v>
      </c>
      <c r="MZ22" s="797" t="e">
        <f t="shared" si="295"/>
        <v>#VALUE!</v>
      </c>
      <c r="NA22" s="797" t="e">
        <f t="shared" si="295"/>
        <v>#VALUE!</v>
      </c>
      <c r="NB22" s="797" t="e">
        <f t="shared" si="295"/>
        <v>#VALUE!</v>
      </c>
      <c r="NC22" s="797" t="e">
        <f t="shared" si="295"/>
        <v>#VALUE!</v>
      </c>
      <c r="ND22" s="797" t="e">
        <f t="shared" si="295"/>
        <v>#VALUE!</v>
      </c>
      <c r="NE22" s="797" t="e">
        <f t="shared" si="295"/>
        <v>#VALUE!</v>
      </c>
      <c r="NF22" s="797" t="e">
        <f t="shared" si="295"/>
        <v>#VALUE!</v>
      </c>
      <c r="NG22" s="797" t="e">
        <f t="shared" si="295"/>
        <v>#VALUE!</v>
      </c>
      <c r="NH22" s="797" t="e">
        <f t="shared" ref="NH22:PS22" si="296">NG22+1</f>
        <v>#VALUE!</v>
      </c>
      <c r="NI22" s="797" t="e">
        <f t="shared" si="296"/>
        <v>#VALUE!</v>
      </c>
      <c r="NJ22" s="797" t="e">
        <f t="shared" si="296"/>
        <v>#VALUE!</v>
      </c>
      <c r="NK22" s="797" t="e">
        <f t="shared" si="296"/>
        <v>#VALUE!</v>
      </c>
      <c r="NL22" s="797" t="e">
        <f t="shared" si="296"/>
        <v>#VALUE!</v>
      </c>
      <c r="NM22" s="797" t="e">
        <f t="shared" si="296"/>
        <v>#VALUE!</v>
      </c>
      <c r="NN22" s="797" t="e">
        <f t="shared" si="296"/>
        <v>#VALUE!</v>
      </c>
      <c r="NO22" s="797" t="e">
        <f t="shared" si="296"/>
        <v>#VALUE!</v>
      </c>
      <c r="NP22" s="797" t="e">
        <f t="shared" si="296"/>
        <v>#VALUE!</v>
      </c>
      <c r="NQ22" s="797" t="e">
        <f t="shared" si="296"/>
        <v>#VALUE!</v>
      </c>
      <c r="NR22" s="797" t="e">
        <f t="shared" si="296"/>
        <v>#VALUE!</v>
      </c>
      <c r="NS22" s="797" t="e">
        <f t="shared" si="296"/>
        <v>#VALUE!</v>
      </c>
      <c r="NT22" s="797" t="e">
        <f t="shared" si="296"/>
        <v>#VALUE!</v>
      </c>
      <c r="NU22" s="797" t="e">
        <f t="shared" si="296"/>
        <v>#VALUE!</v>
      </c>
      <c r="NV22" s="797" t="e">
        <f t="shared" si="296"/>
        <v>#VALUE!</v>
      </c>
      <c r="NW22" s="797" t="e">
        <f t="shared" si="296"/>
        <v>#VALUE!</v>
      </c>
      <c r="NX22" s="797" t="e">
        <f t="shared" si="296"/>
        <v>#VALUE!</v>
      </c>
      <c r="NY22" s="797" t="e">
        <f t="shared" si="296"/>
        <v>#VALUE!</v>
      </c>
      <c r="NZ22" s="797" t="e">
        <f t="shared" si="296"/>
        <v>#VALUE!</v>
      </c>
      <c r="OA22" s="797" t="e">
        <f t="shared" si="296"/>
        <v>#VALUE!</v>
      </c>
      <c r="OB22" s="797" t="e">
        <f t="shared" si="296"/>
        <v>#VALUE!</v>
      </c>
      <c r="OC22" s="797" t="e">
        <f t="shared" si="296"/>
        <v>#VALUE!</v>
      </c>
      <c r="OD22" s="797" t="e">
        <f t="shared" si="296"/>
        <v>#VALUE!</v>
      </c>
      <c r="OE22" s="797" t="e">
        <f t="shared" si="296"/>
        <v>#VALUE!</v>
      </c>
      <c r="OF22" s="797" t="e">
        <f t="shared" si="296"/>
        <v>#VALUE!</v>
      </c>
      <c r="OG22" s="797" t="e">
        <f t="shared" si="296"/>
        <v>#VALUE!</v>
      </c>
      <c r="OH22" s="797" t="e">
        <f t="shared" si="296"/>
        <v>#VALUE!</v>
      </c>
      <c r="OI22" s="797" t="e">
        <f t="shared" si="296"/>
        <v>#VALUE!</v>
      </c>
      <c r="OJ22" s="797" t="e">
        <f t="shared" si="296"/>
        <v>#VALUE!</v>
      </c>
      <c r="OK22" s="797" t="e">
        <f t="shared" si="296"/>
        <v>#VALUE!</v>
      </c>
      <c r="OL22" s="797" t="e">
        <f t="shared" si="296"/>
        <v>#VALUE!</v>
      </c>
      <c r="OM22" s="797" t="e">
        <f t="shared" si="296"/>
        <v>#VALUE!</v>
      </c>
      <c r="ON22" s="797" t="e">
        <f t="shared" si="296"/>
        <v>#VALUE!</v>
      </c>
      <c r="OO22" s="797" t="e">
        <f t="shared" si="296"/>
        <v>#VALUE!</v>
      </c>
      <c r="OP22" s="797" t="e">
        <f t="shared" si="296"/>
        <v>#VALUE!</v>
      </c>
      <c r="OQ22" s="797" t="e">
        <f t="shared" si="296"/>
        <v>#VALUE!</v>
      </c>
      <c r="OR22" s="797" t="e">
        <f t="shared" si="296"/>
        <v>#VALUE!</v>
      </c>
      <c r="OS22" s="797" t="e">
        <f t="shared" si="296"/>
        <v>#VALUE!</v>
      </c>
      <c r="OT22" s="797" t="e">
        <f t="shared" si="296"/>
        <v>#VALUE!</v>
      </c>
      <c r="OU22" s="797" t="e">
        <f t="shared" si="296"/>
        <v>#VALUE!</v>
      </c>
      <c r="OV22" s="797" t="e">
        <f t="shared" si="296"/>
        <v>#VALUE!</v>
      </c>
      <c r="OW22" s="797" t="e">
        <f t="shared" si="296"/>
        <v>#VALUE!</v>
      </c>
      <c r="OX22" s="797" t="e">
        <f t="shared" si="296"/>
        <v>#VALUE!</v>
      </c>
      <c r="OY22" s="797" t="e">
        <f t="shared" si="296"/>
        <v>#VALUE!</v>
      </c>
      <c r="OZ22" s="797" t="e">
        <f t="shared" si="296"/>
        <v>#VALUE!</v>
      </c>
      <c r="PA22" s="797" t="e">
        <f t="shared" si="296"/>
        <v>#VALUE!</v>
      </c>
      <c r="PB22" s="797" t="e">
        <f t="shared" si="296"/>
        <v>#VALUE!</v>
      </c>
      <c r="PC22" s="797" t="e">
        <f t="shared" si="296"/>
        <v>#VALUE!</v>
      </c>
      <c r="PD22" s="797" t="e">
        <f t="shared" si="296"/>
        <v>#VALUE!</v>
      </c>
      <c r="PE22" s="797" t="e">
        <f t="shared" si="296"/>
        <v>#VALUE!</v>
      </c>
      <c r="PF22" s="797" t="e">
        <f t="shared" si="296"/>
        <v>#VALUE!</v>
      </c>
      <c r="PG22" s="797" t="e">
        <f t="shared" si="296"/>
        <v>#VALUE!</v>
      </c>
      <c r="PH22" s="797" t="e">
        <f t="shared" si="296"/>
        <v>#VALUE!</v>
      </c>
      <c r="PI22" s="797" t="e">
        <f t="shared" si="296"/>
        <v>#VALUE!</v>
      </c>
      <c r="PJ22" s="797" t="e">
        <f t="shared" si="296"/>
        <v>#VALUE!</v>
      </c>
      <c r="PK22" s="797" t="e">
        <f t="shared" si="296"/>
        <v>#VALUE!</v>
      </c>
      <c r="PL22" s="797" t="e">
        <f t="shared" si="296"/>
        <v>#VALUE!</v>
      </c>
      <c r="PM22" s="797" t="e">
        <f t="shared" si="296"/>
        <v>#VALUE!</v>
      </c>
      <c r="PN22" s="797" t="e">
        <f t="shared" si="296"/>
        <v>#VALUE!</v>
      </c>
      <c r="PO22" s="797" t="e">
        <f t="shared" si="296"/>
        <v>#VALUE!</v>
      </c>
      <c r="PP22" s="797" t="e">
        <f t="shared" si="296"/>
        <v>#VALUE!</v>
      </c>
      <c r="PQ22" s="797" t="e">
        <f t="shared" si="296"/>
        <v>#VALUE!</v>
      </c>
      <c r="PR22" s="797" t="e">
        <f t="shared" si="296"/>
        <v>#VALUE!</v>
      </c>
      <c r="PS22" s="797" t="e">
        <f t="shared" si="296"/>
        <v>#VALUE!</v>
      </c>
      <c r="PT22" s="797" t="e">
        <f t="shared" ref="PT22:QZ22" si="297">PS22+1</f>
        <v>#VALUE!</v>
      </c>
      <c r="PU22" s="797" t="e">
        <f t="shared" si="297"/>
        <v>#VALUE!</v>
      </c>
      <c r="PV22" s="797" t="e">
        <f t="shared" si="297"/>
        <v>#VALUE!</v>
      </c>
      <c r="PW22" s="797" t="e">
        <f t="shared" si="297"/>
        <v>#VALUE!</v>
      </c>
      <c r="PX22" s="797" t="e">
        <f t="shared" si="297"/>
        <v>#VALUE!</v>
      </c>
      <c r="PY22" s="797" t="e">
        <f t="shared" si="297"/>
        <v>#VALUE!</v>
      </c>
      <c r="PZ22" s="797" t="e">
        <f t="shared" si="297"/>
        <v>#VALUE!</v>
      </c>
      <c r="QA22" s="797" t="e">
        <f t="shared" si="297"/>
        <v>#VALUE!</v>
      </c>
      <c r="QB22" s="797" t="e">
        <f t="shared" si="297"/>
        <v>#VALUE!</v>
      </c>
      <c r="QC22" s="797" t="e">
        <f t="shared" si="297"/>
        <v>#VALUE!</v>
      </c>
      <c r="QD22" s="797" t="e">
        <f t="shared" si="297"/>
        <v>#VALUE!</v>
      </c>
      <c r="QE22" s="797" t="e">
        <f t="shared" si="297"/>
        <v>#VALUE!</v>
      </c>
      <c r="QF22" s="797" t="e">
        <f t="shared" si="297"/>
        <v>#VALUE!</v>
      </c>
      <c r="QG22" s="797" t="e">
        <f t="shared" si="297"/>
        <v>#VALUE!</v>
      </c>
      <c r="QH22" s="797" t="e">
        <f t="shared" si="297"/>
        <v>#VALUE!</v>
      </c>
      <c r="QI22" s="797" t="e">
        <f t="shared" si="297"/>
        <v>#VALUE!</v>
      </c>
      <c r="QJ22" s="797" t="e">
        <f t="shared" si="297"/>
        <v>#VALUE!</v>
      </c>
      <c r="QK22" s="797" t="e">
        <f t="shared" si="297"/>
        <v>#VALUE!</v>
      </c>
      <c r="QL22" s="797" t="e">
        <f t="shared" si="297"/>
        <v>#VALUE!</v>
      </c>
      <c r="QM22" s="797" t="e">
        <f t="shared" si="297"/>
        <v>#VALUE!</v>
      </c>
      <c r="QN22" s="797" t="e">
        <f t="shared" si="297"/>
        <v>#VALUE!</v>
      </c>
      <c r="QO22" s="797" t="e">
        <f t="shared" si="297"/>
        <v>#VALUE!</v>
      </c>
      <c r="QP22" s="797" t="e">
        <f t="shared" si="297"/>
        <v>#VALUE!</v>
      </c>
      <c r="QQ22" s="797" t="e">
        <f t="shared" si="297"/>
        <v>#VALUE!</v>
      </c>
      <c r="QR22" s="797" t="e">
        <f t="shared" si="297"/>
        <v>#VALUE!</v>
      </c>
      <c r="QS22" s="797" t="e">
        <f t="shared" si="297"/>
        <v>#VALUE!</v>
      </c>
      <c r="QT22" s="797" t="e">
        <f t="shared" si="297"/>
        <v>#VALUE!</v>
      </c>
      <c r="QU22" s="797" t="e">
        <f t="shared" si="297"/>
        <v>#VALUE!</v>
      </c>
      <c r="QV22" s="797" t="e">
        <f t="shared" si="297"/>
        <v>#VALUE!</v>
      </c>
      <c r="QW22" s="797" t="e">
        <f t="shared" si="297"/>
        <v>#VALUE!</v>
      </c>
      <c r="QX22" s="797" t="e">
        <f t="shared" si="297"/>
        <v>#VALUE!</v>
      </c>
      <c r="QY22" s="797" t="e">
        <f t="shared" si="297"/>
        <v>#VALUE!</v>
      </c>
      <c r="QZ22" s="797" t="e">
        <f t="shared" si="297"/>
        <v>#VALUE!</v>
      </c>
    </row>
    <row r="23" spans="1:471" ht="17.25">
      <c r="J23" s="21">
        <f>IF(E25=16,(((C25-1)*M23)+IF(B25=1,0,IF(B25=2,O25,IF(B25=3,P25,IF(B25=4,Q25,IF(B25=5,R25,IF(B25=6,S25,IF(B25=7,T25,IF(B25=8,U25,IF(B25=9,V25,IF(B25=10,W25,IF(B25=11,X25,Y25)))))))))))+A25),0)</f>
        <v>526359.86363117129</v>
      </c>
      <c r="K23" s="30">
        <v>8</v>
      </c>
      <c r="L23" s="30" t="s">
        <v>159</v>
      </c>
      <c r="M23" s="30">
        <v>365.25875338735</v>
      </c>
      <c r="N23" s="30"/>
      <c r="O23" s="30"/>
      <c r="P23" s="30"/>
      <c r="Q23" s="30"/>
      <c r="R23" s="30"/>
      <c r="S23" s="30"/>
      <c r="T23" s="30"/>
      <c r="U23" s="30"/>
      <c r="V23" s="30"/>
      <c r="W23" s="30"/>
      <c r="X23" s="30"/>
      <c r="Y23" s="30"/>
      <c r="Z23" s="30"/>
      <c r="AA23" s="30"/>
      <c r="AK23" s="759" t="s">
        <v>698</v>
      </c>
      <c r="AL23" s="701" t="e">
        <f>[1]!taqqa(AL16,AL17,[1]!roz(AL18,AL22,0,0),AL19)</f>
        <v>#VALUE!</v>
      </c>
      <c r="AM23" s="304" t="e">
        <f>[1]!taqqa(AM16,AM17,[1]!roz(AM18,AM22,0,0),AM19)</f>
        <v>#VALUE!</v>
      </c>
      <c r="AN23" s="304" t="e">
        <f>[1]!taqqa(AN16,AN17,[1]!roz(AN18,AN22,0,0),AN19)</f>
        <v>#VALUE!</v>
      </c>
      <c r="AO23" s="304" t="e">
        <f>[1]!taqqa(AO16,AO17,[1]!roz(AO18,AO22,0,0),AO19)</f>
        <v>#VALUE!</v>
      </c>
      <c r="AP23" s="304" t="e">
        <f>[1]!taqqa(AP16,AP17,[1]!roz(AP18,AP22,0,0),AP19)</f>
        <v>#VALUE!</v>
      </c>
      <c r="AQ23" s="304" t="e">
        <f>[1]!taqqa(AQ16,AQ17,[1]!roz(AQ18,AQ22,0,0),AQ19)</f>
        <v>#VALUE!</v>
      </c>
      <c r="AR23" s="304" t="e">
        <f>[1]!taqqa(AR16,AR17,[1]!roz(AR18,AR22,0,0),AR19)</f>
        <v>#VALUE!</v>
      </c>
      <c r="AS23" s="304" t="e">
        <f>[1]!taqqa(AS16,AS17,[1]!roz(AS18,AS22,0,0),AS19)</f>
        <v>#VALUE!</v>
      </c>
      <c r="AT23" s="304" t="e">
        <f>[1]!taqqa(AT16,AT17,[1]!roz(AT18,AT22,0,0),AT19)</f>
        <v>#VALUE!</v>
      </c>
      <c r="AU23" s="304" t="e">
        <f>[1]!taqqa(AU16,AU17,[1]!roz(AU18,AU22,0,0),AU19)</f>
        <v>#VALUE!</v>
      </c>
      <c r="AV23" s="304" t="e">
        <f>[1]!taqqa(AV16,AV17,[1]!roz(AV18,AV22,0,0),AV19)</f>
        <v>#VALUE!</v>
      </c>
      <c r="AW23" s="304" t="e">
        <f>[1]!taqqa(AW16,AW17,[1]!roz(AW18,AW22,0,0),AW19)</f>
        <v>#VALUE!</v>
      </c>
      <c r="AX23" s="314"/>
      <c r="AZ23" s="732"/>
      <c r="BA23" s="731" t="e">
        <f>BA19+BA18+BA21+BA22</f>
        <v>#VALUE!</v>
      </c>
      <c r="BW23">
        <f>(BW18-1)*BW22</f>
        <v>490798.42324073991</v>
      </c>
      <c r="DH23">
        <v>3</v>
      </c>
      <c r="DI23" s="797" t="s">
        <v>3803</v>
      </c>
      <c r="DJ23" s="960" t="e">
        <f>RB12+1</f>
        <v>#VALUE!</v>
      </c>
      <c r="DK23" s="921" t="e">
        <f>DJ23+1</f>
        <v>#VALUE!</v>
      </c>
      <c r="DL23" s="921" t="e">
        <f t="shared" ref="DL23:FW23" si="298">DK23+1</f>
        <v>#VALUE!</v>
      </c>
      <c r="DM23" s="921" t="e">
        <f t="shared" si="298"/>
        <v>#VALUE!</v>
      </c>
      <c r="DN23" s="921" t="e">
        <f t="shared" si="298"/>
        <v>#VALUE!</v>
      </c>
      <c r="DO23" s="921" t="e">
        <f t="shared" si="298"/>
        <v>#VALUE!</v>
      </c>
      <c r="DP23" s="921" t="e">
        <f t="shared" si="298"/>
        <v>#VALUE!</v>
      </c>
      <c r="DQ23" s="921" t="e">
        <f t="shared" si="298"/>
        <v>#VALUE!</v>
      </c>
      <c r="DR23" s="921" t="e">
        <f t="shared" si="298"/>
        <v>#VALUE!</v>
      </c>
      <c r="DS23" s="921" t="e">
        <f t="shared" si="298"/>
        <v>#VALUE!</v>
      </c>
      <c r="DT23" s="921" t="e">
        <f t="shared" si="298"/>
        <v>#VALUE!</v>
      </c>
      <c r="DU23" s="921" t="e">
        <f t="shared" si="298"/>
        <v>#VALUE!</v>
      </c>
      <c r="DV23" s="921" t="e">
        <f t="shared" si="298"/>
        <v>#VALUE!</v>
      </c>
      <c r="DW23" s="921" t="e">
        <f t="shared" si="298"/>
        <v>#VALUE!</v>
      </c>
      <c r="DX23" s="921" t="e">
        <f t="shared" si="298"/>
        <v>#VALUE!</v>
      </c>
      <c r="DY23" s="921" t="e">
        <f t="shared" si="298"/>
        <v>#VALUE!</v>
      </c>
      <c r="DZ23" s="921" t="e">
        <f t="shared" si="298"/>
        <v>#VALUE!</v>
      </c>
      <c r="EA23" s="921" t="e">
        <f t="shared" si="298"/>
        <v>#VALUE!</v>
      </c>
      <c r="EB23" s="921" t="e">
        <f t="shared" si="298"/>
        <v>#VALUE!</v>
      </c>
      <c r="EC23" s="921" t="e">
        <f t="shared" si="298"/>
        <v>#VALUE!</v>
      </c>
      <c r="ED23" s="921" t="e">
        <f t="shared" si="298"/>
        <v>#VALUE!</v>
      </c>
      <c r="EE23" s="921" t="e">
        <f t="shared" si="298"/>
        <v>#VALUE!</v>
      </c>
      <c r="EF23" s="921" t="e">
        <f t="shared" si="298"/>
        <v>#VALUE!</v>
      </c>
      <c r="EG23" s="921" t="e">
        <f t="shared" si="298"/>
        <v>#VALUE!</v>
      </c>
      <c r="EH23" s="921" t="e">
        <f t="shared" si="298"/>
        <v>#VALUE!</v>
      </c>
      <c r="EI23" s="921" t="e">
        <f t="shared" si="298"/>
        <v>#VALUE!</v>
      </c>
      <c r="EJ23" s="921" t="e">
        <f t="shared" si="298"/>
        <v>#VALUE!</v>
      </c>
      <c r="EK23" s="921" t="e">
        <f t="shared" si="298"/>
        <v>#VALUE!</v>
      </c>
      <c r="EL23" s="921" t="e">
        <f t="shared" si="298"/>
        <v>#VALUE!</v>
      </c>
      <c r="EM23" s="921" t="e">
        <f t="shared" si="298"/>
        <v>#VALUE!</v>
      </c>
      <c r="EN23" s="921" t="e">
        <f t="shared" si="298"/>
        <v>#VALUE!</v>
      </c>
      <c r="EO23" s="921" t="e">
        <f t="shared" si="298"/>
        <v>#VALUE!</v>
      </c>
      <c r="EP23" s="921" t="e">
        <f t="shared" si="298"/>
        <v>#VALUE!</v>
      </c>
      <c r="EQ23" s="921" t="e">
        <f t="shared" si="298"/>
        <v>#VALUE!</v>
      </c>
      <c r="ER23" s="921" t="e">
        <f t="shared" si="298"/>
        <v>#VALUE!</v>
      </c>
      <c r="ES23" s="921" t="e">
        <f t="shared" si="298"/>
        <v>#VALUE!</v>
      </c>
      <c r="ET23" s="921" t="e">
        <f t="shared" si="298"/>
        <v>#VALUE!</v>
      </c>
      <c r="EU23" s="921" t="e">
        <f t="shared" si="298"/>
        <v>#VALUE!</v>
      </c>
      <c r="EV23" s="921" t="e">
        <f t="shared" si="298"/>
        <v>#VALUE!</v>
      </c>
      <c r="EW23" s="921" t="e">
        <f t="shared" si="298"/>
        <v>#VALUE!</v>
      </c>
      <c r="EX23" s="921" t="e">
        <f t="shared" si="298"/>
        <v>#VALUE!</v>
      </c>
      <c r="EY23" s="921" t="e">
        <f t="shared" si="298"/>
        <v>#VALUE!</v>
      </c>
      <c r="EZ23" s="921" t="e">
        <f t="shared" si="298"/>
        <v>#VALUE!</v>
      </c>
      <c r="FA23" s="921" t="e">
        <f t="shared" si="298"/>
        <v>#VALUE!</v>
      </c>
      <c r="FB23" s="921" t="e">
        <f t="shared" si="298"/>
        <v>#VALUE!</v>
      </c>
      <c r="FC23" s="921" t="e">
        <f t="shared" si="298"/>
        <v>#VALUE!</v>
      </c>
      <c r="FD23" s="921" t="e">
        <f t="shared" si="298"/>
        <v>#VALUE!</v>
      </c>
      <c r="FE23" s="921" t="e">
        <f t="shared" si="298"/>
        <v>#VALUE!</v>
      </c>
      <c r="FF23" s="921" t="e">
        <f t="shared" si="298"/>
        <v>#VALUE!</v>
      </c>
      <c r="FG23" s="921" t="e">
        <f t="shared" si="298"/>
        <v>#VALUE!</v>
      </c>
      <c r="FH23" s="921" t="e">
        <f t="shared" si="298"/>
        <v>#VALUE!</v>
      </c>
      <c r="FI23" s="921" t="e">
        <f t="shared" si="298"/>
        <v>#VALUE!</v>
      </c>
      <c r="FJ23" s="921" t="e">
        <f t="shared" si="298"/>
        <v>#VALUE!</v>
      </c>
      <c r="FK23" s="921" t="e">
        <f t="shared" si="298"/>
        <v>#VALUE!</v>
      </c>
      <c r="FL23" s="921" t="e">
        <f t="shared" si="298"/>
        <v>#VALUE!</v>
      </c>
      <c r="FM23" s="921" t="e">
        <f t="shared" si="298"/>
        <v>#VALUE!</v>
      </c>
      <c r="FN23" s="921" t="e">
        <f t="shared" si="298"/>
        <v>#VALUE!</v>
      </c>
      <c r="FO23" s="921" t="e">
        <f t="shared" si="298"/>
        <v>#VALUE!</v>
      </c>
      <c r="FP23" s="921" t="e">
        <f t="shared" si="298"/>
        <v>#VALUE!</v>
      </c>
      <c r="FQ23" s="921" t="e">
        <f t="shared" si="298"/>
        <v>#VALUE!</v>
      </c>
      <c r="FR23" s="921" t="e">
        <f t="shared" si="298"/>
        <v>#VALUE!</v>
      </c>
      <c r="FS23" s="921" t="e">
        <f t="shared" si="298"/>
        <v>#VALUE!</v>
      </c>
      <c r="FT23" s="921" t="e">
        <f t="shared" si="298"/>
        <v>#VALUE!</v>
      </c>
      <c r="FU23" s="921" t="e">
        <f t="shared" si="298"/>
        <v>#VALUE!</v>
      </c>
      <c r="FV23" s="921" t="e">
        <f t="shared" si="298"/>
        <v>#VALUE!</v>
      </c>
      <c r="FW23" s="921" t="e">
        <f t="shared" si="298"/>
        <v>#VALUE!</v>
      </c>
      <c r="FX23" s="921" t="e">
        <f t="shared" ref="FX23:II23" si="299">FW23+1</f>
        <v>#VALUE!</v>
      </c>
      <c r="FY23" s="921" t="e">
        <f t="shared" si="299"/>
        <v>#VALUE!</v>
      </c>
      <c r="FZ23" s="921" t="e">
        <f t="shared" si="299"/>
        <v>#VALUE!</v>
      </c>
      <c r="GA23" s="921" t="e">
        <f t="shared" si="299"/>
        <v>#VALUE!</v>
      </c>
      <c r="GB23" s="921" t="e">
        <f t="shared" si="299"/>
        <v>#VALUE!</v>
      </c>
      <c r="GC23" s="921" t="e">
        <f t="shared" si="299"/>
        <v>#VALUE!</v>
      </c>
      <c r="GD23" s="921" t="e">
        <f t="shared" si="299"/>
        <v>#VALUE!</v>
      </c>
      <c r="GE23" s="921" t="e">
        <f t="shared" si="299"/>
        <v>#VALUE!</v>
      </c>
      <c r="GF23" s="921" t="e">
        <f t="shared" si="299"/>
        <v>#VALUE!</v>
      </c>
      <c r="GG23" s="921" t="e">
        <f t="shared" si="299"/>
        <v>#VALUE!</v>
      </c>
      <c r="GH23" s="921" t="e">
        <f t="shared" si="299"/>
        <v>#VALUE!</v>
      </c>
      <c r="GI23" s="921" t="e">
        <f t="shared" si="299"/>
        <v>#VALUE!</v>
      </c>
      <c r="GJ23" s="921" t="e">
        <f t="shared" si="299"/>
        <v>#VALUE!</v>
      </c>
      <c r="GK23" s="921" t="e">
        <f t="shared" si="299"/>
        <v>#VALUE!</v>
      </c>
      <c r="GL23" s="921" t="e">
        <f t="shared" si="299"/>
        <v>#VALUE!</v>
      </c>
      <c r="GM23" s="921" t="e">
        <f t="shared" si="299"/>
        <v>#VALUE!</v>
      </c>
      <c r="GN23" s="921" t="e">
        <f t="shared" si="299"/>
        <v>#VALUE!</v>
      </c>
      <c r="GO23" s="921" t="e">
        <f t="shared" si="299"/>
        <v>#VALUE!</v>
      </c>
      <c r="GP23" s="921" t="e">
        <f t="shared" si="299"/>
        <v>#VALUE!</v>
      </c>
      <c r="GQ23" s="921" t="e">
        <f t="shared" si="299"/>
        <v>#VALUE!</v>
      </c>
      <c r="GR23" s="921" t="e">
        <f t="shared" si="299"/>
        <v>#VALUE!</v>
      </c>
      <c r="GS23" s="921" t="e">
        <f t="shared" si="299"/>
        <v>#VALUE!</v>
      </c>
      <c r="GT23" s="921" t="e">
        <f t="shared" si="299"/>
        <v>#VALUE!</v>
      </c>
      <c r="GU23" s="921" t="e">
        <f t="shared" si="299"/>
        <v>#VALUE!</v>
      </c>
      <c r="GV23" s="921" t="e">
        <f t="shared" si="299"/>
        <v>#VALUE!</v>
      </c>
      <c r="GW23" s="921" t="e">
        <f t="shared" si="299"/>
        <v>#VALUE!</v>
      </c>
      <c r="GX23" s="921" t="e">
        <f t="shared" si="299"/>
        <v>#VALUE!</v>
      </c>
      <c r="GY23" s="921" t="e">
        <f t="shared" si="299"/>
        <v>#VALUE!</v>
      </c>
      <c r="GZ23" s="921" t="e">
        <f t="shared" si="299"/>
        <v>#VALUE!</v>
      </c>
      <c r="HA23" s="921" t="e">
        <f t="shared" si="299"/>
        <v>#VALUE!</v>
      </c>
      <c r="HB23" s="921" t="e">
        <f t="shared" si="299"/>
        <v>#VALUE!</v>
      </c>
      <c r="HC23" s="921" t="e">
        <f t="shared" si="299"/>
        <v>#VALUE!</v>
      </c>
      <c r="HD23" s="921" t="e">
        <f t="shared" si="299"/>
        <v>#VALUE!</v>
      </c>
      <c r="HE23" s="921" t="e">
        <f t="shared" si="299"/>
        <v>#VALUE!</v>
      </c>
      <c r="HF23" s="921" t="e">
        <f t="shared" si="299"/>
        <v>#VALUE!</v>
      </c>
      <c r="HG23" s="921" t="e">
        <f t="shared" si="299"/>
        <v>#VALUE!</v>
      </c>
      <c r="HH23" s="921" t="e">
        <f t="shared" si="299"/>
        <v>#VALUE!</v>
      </c>
      <c r="HI23" s="921" t="e">
        <f t="shared" si="299"/>
        <v>#VALUE!</v>
      </c>
      <c r="HJ23" s="921" t="e">
        <f t="shared" si="299"/>
        <v>#VALUE!</v>
      </c>
      <c r="HK23" s="921" t="e">
        <f t="shared" si="299"/>
        <v>#VALUE!</v>
      </c>
      <c r="HL23" s="921" t="e">
        <f t="shared" si="299"/>
        <v>#VALUE!</v>
      </c>
      <c r="HM23" s="921" t="e">
        <f t="shared" si="299"/>
        <v>#VALUE!</v>
      </c>
      <c r="HN23" s="921" t="e">
        <f t="shared" si="299"/>
        <v>#VALUE!</v>
      </c>
      <c r="HO23" s="921" t="e">
        <f t="shared" si="299"/>
        <v>#VALUE!</v>
      </c>
      <c r="HP23" s="921" t="e">
        <f t="shared" si="299"/>
        <v>#VALUE!</v>
      </c>
      <c r="HQ23" s="921" t="e">
        <f t="shared" si="299"/>
        <v>#VALUE!</v>
      </c>
      <c r="HR23" s="921" t="e">
        <f t="shared" si="299"/>
        <v>#VALUE!</v>
      </c>
      <c r="HS23" s="921" t="e">
        <f t="shared" si="299"/>
        <v>#VALUE!</v>
      </c>
      <c r="HT23" s="921" t="e">
        <f t="shared" si="299"/>
        <v>#VALUE!</v>
      </c>
      <c r="HU23" s="921" t="e">
        <f t="shared" si="299"/>
        <v>#VALUE!</v>
      </c>
      <c r="HV23" s="921" t="e">
        <f t="shared" si="299"/>
        <v>#VALUE!</v>
      </c>
      <c r="HW23" s="921" t="e">
        <f t="shared" si="299"/>
        <v>#VALUE!</v>
      </c>
      <c r="HX23" s="921" t="e">
        <f t="shared" si="299"/>
        <v>#VALUE!</v>
      </c>
      <c r="HY23" s="921" t="e">
        <f t="shared" si="299"/>
        <v>#VALUE!</v>
      </c>
      <c r="HZ23" s="921" t="e">
        <f t="shared" si="299"/>
        <v>#VALUE!</v>
      </c>
      <c r="IA23" s="921" t="e">
        <f t="shared" si="299"/>
        <v>#VALUE!</v>
      </c>
      <c r="IB23" s="921" t="e">
        <f t="shared" si="299"/>
        <v>#VALUE!</v>
      </c>
      <c r="IC23" s="921" t="e">
        <f t="shared" si="299"/>
        <v>#VALUE!</v>
      </c>
      <c r="ID23" s="921" t="e">
        <f t="shared" si="299"/>
        <v>#VALUE!</v>
      </c>
      <c r="IE23" s="921" t="e">
        <f t="shared" si="299"/>
        <v>#VALUE!</v>
      </c>
      <c r="IF23" s="921" t="e">
        <f t="shared" si="299"/>
        <v>#VALUE!</v>
      </c>
      <c r="IG23" s="921" t="e">
        <f t="shared" si="299"/>
        <v>#VALUE!</v>
      </c>
      <c r="IH23" s="921" t="e">
        <f t="shared" si="299"/>
        <v>#VALUE!</v>
      </c>
      <c r="II23" s="921" t="e">
        <f t="shared" si="299"/>
        <v>#VALUE!</v>
      </c>
      <c r="IJ23" s="921" t="e">
        <f t="shared" ref="IJ23:KU23" si="300">II23+1</f>
        <v>#VALUE!</v>
      </c>
      <c r="IK23" s="921" t="e">
        <f t="shared" si="300"/>
        <v>#VALUE!</v>
      </c>
      <c r="IL23" s="921" t="e">
        <f t="shared" si="300"/>
        <v>#VALUE!</v>
      </c>
      <c r="IM23" s="921" t="e">
        <f t="shared" si="300"/>
        <v>#VALUE!</v>
      </c>
      <c r="IN23" s="921" t="e">
        <f t="shared" si="300"/>
        <v>#VALUE!</v>
      </c>
      <c r="IO23" s="921" t="e">
        <f t="shared" si="300"/>
        <v>#VALUE!</v>
      </c>
      <c r="IP23" s="921" t="e">
        <f t="shared" si="300"/>
        <v>#VALUE!</v>
      </c>
      <c r="IQ23" s="921" t="e">
        <f t="shared" si="300"/>
        <v>#VALUE!</v>
      </c>
      <c r="IR23" s="921" t="e">
        <f t="shared" si="300"/>
        <v>#VALUE!</v>
      </c>
      <c r="IS23" s="921" t="e">
        <f t="shared" si="300"/>
        <v>#VALUE!</v>
      </c>
      <c r="IT23" s="921" t="e">
        <f t="shared" si="300"/>
        <v>#VALUE!</v>
      </c>
      <c r="IU23" s="921" t="e">
        <f t="shared" si="300"/>
        <v>#VALUE!</v>
      </c>
      <c r="IV23" s="921" t="e">
        <f t="shared" si="300"/>
        <v>#VALUE!</v>
      </c>
      <c r="IW23" s="921" t="e">
        <f t="shared" si="300"/>
        <v>#VALUE!</v>
      </c>
      <c r="IX23" s="921" t="e">
        <f t="shared" si="300"/>
        <v>#VALUE!</v>
      </c>
      <c r="IY23" s="921" t="e">
        <f t="shared" si="300"/>
        <v>#VALUE!</v>
      </c>
      <c r="IZ23" s="921" t="e">
        <f t="shared" si="300"/>
        <v>#VALUE!</v>
      </c>
      <c r="JA23" s="921" t="e">
        <f t="shared" si="300"/>
        <v>#VALUE!</v>
      </c>
      <c r="JB23" s="921" t="e">
        <f t="shared" si="300"/>
        <v>#VALUE!</v>
      </c>
      <c r="JC23" s="921" t="e">
        <f t="shared" si="300"/>
        <v>#VALUE!</v>
      </c>
      <c r="JD23" s="921" t="e">
        <f t="shared" si="300"/>
        <v>#VALUE!</v>
      </c>
      <c r="JE23" s="921" t="e">
        <f t="shared" si="300"/>
        <v>#VALUE!</v>
      </c>
      <c r="JF23" s="921" t="e">
        <f t="shared" si="300"/>
        <v>#VALUE!</v>
      </c>
      <c r="JG23" s="921" t="e">
        <f t="shared" si="300"/>
        <v>#VALUE!</v>
      </c>
      <c r="JH23" s="921" t="e">
        <f t="shared" si="300"/>
        <v>#VALUE!</v>
      </c>
      <c r="JI23" s="921" t="e">
        <f t="shared" si="300"/>
        <v>#VALUE!</v>
      </c>
      <c r="JJ23" s="921" t="e">
        <f t="shared" si="300"/>
        <v>#VALUE!</v>
      </c>
      <c r="JK23" s="921" t="e">
        <f t="shared" si="300"/>
        <v>#VALUE!</v>
      </c>
      <c r="JL23" s="921" t="e">
        <f t="shared" si="300"/>
        <v>#VALUE!</v>
      </c>
      <c r="JM23" s="921" t="e">
        <f t="shared" si="300"/>
        <v>#VALUE!</v>
      </c>
      <c r="JN23" s="921" t="e">
        <f t="shared" si="300"/>
        <v>#VALUE!</v>
      </c>
      <c r="JO23" s="921" t="e">
        <f t="shared" si="300"/>
        <v>#VALUE!</v>
      </c>
      <c r="JP23" s="921" t="e">
        <f t="shared" si="300"/>
        <v>#VALUE!</v>
      </c>
      <c r="JQ23" s="921" t="e">
        <f t="shared" si="300"/>
        <v>#VALUE!</v>
      </c>
      <c r="JR23" s="921" t="e">
        <f t="shared" si="300"/>
        <v>#VALUE!</v>
      </c>
      <c r="JS23" s="921" t="e">
        <f t="shared" si="300"/>
        <v>#VALUE!</v>
      </c>
      <c r="JT23" s="921" t="e">
        <f t="shared" si="300"/>
        <v>#VALUE!</v>
      </c>
      <c r="JU23" s="921" t="e">
        <f t="shared" si="300"/>
        <v>#VALUE!</v>
      </c>
      <c r="JV23" s="921" t="e">
        <f t="shared" si="300"/>
        <v>#VALUE!</v>
      </c>
      <c r="JW23" s="921" t="e">
        <f t="shared" si="300"/>
        <v>#VALUE!</v>
      </c>
      <c r="JX23" s="921" t="e">
        <f t="shared" si="300"/>
        <v>#VALUE!</v>
      </c>
      <c r="JY23" s="921" t="e">
        <f t="shared" si="300"/>
        <v>#VALUE!</v>
      </c>
      <c r="JZ23" s="921" t="e">
        <f t="shared" si="300"/>
        <v>#VALUE!</v>
      </c>
      <c r="KA23" s="921" t="e">
        <f t="shared" si="300"/>
        <v>#VALUE!</v>
      </c>
      <c r="KB23" s="921" t="e">
        <f t="shared" si="300"/>
        <v>#VALUE!</v>
      </c>
      <c r="KC23" s="921" t="e">
        <f t="shared" si="300"/>
        <v>#VALUE!</v>
      </c>
      <c r="KD23" s="921" t="e">
        <f t="shared" si="300"/>
        <v>#VALUE!</v>
      </c>
      <c r="KE23" s="921" t="e">
        <f t="shared" si="300"/>
        <v>#VALUE!</v>
      </c>
      <c r="KF23" s="921" t="e">
        <f t="shared" si="300"/>
        <v>#VALUE!</v>
      </c>
      <c r="KG23" s="921" t="e">
        <f t="shared" si="300"/>
        <v>#VALUE!</v>
      </c>
      <c r="KH23" s="921" t="e">
        <f t="shared" si="300"/>
        <v>#VALUE!</v>
      </c>
      <c r="KI23" s="921" t="e">
        <f t="shared" si="300"/>
        <v>#VALUE!</v>
      </c>
      <c r="KJ23" s="921" t="e">
        <f t="shared" si="300"/>
        <v>#VALUE!</v>
      </c>
      <c r="KK23" s="921" t="e">
        <f t="shared" si="300"/>
        <v>#VALUE!</v>
      </c>
      <c r="KL23" s="921" t="e">
        <f t="shared" si="300"/>
        <v>#VALUE!</v>
      </c>
      <c r="KM23" s="921" t="e">
        <f t="shared" si="300"/>
        <v>#VALUE!</v>
      </c>
      <c r="KN23" s="921" t="e">
        <f t="shared" si="300"/>
        <v>#VALUE!</v>
      </c>
      <c r="KO23" s="921" t="e">
        <f t="shared" si="300"/>
        <v>#VALUE!</v>
      </c>
      <c r="KP23" s="921" t="e">
        <f t="shared" si="300"/>
        <v>#VALUE!</v>
      </c>
      <c r="KQ23" s="921" t="e">
        <f t="shared" si="300"/>
        <v>#VALUE!</v>
      </c>
      <c r="KR23" s="921" t="e">
        <f t="shared" si="300"/>
        <v>#VALUE!</v>
      </c>
      <c r="KS23" s="921" t="e">
        <f t="shared" si="300"/>
        <v>#VALUE!</v>
      </c>
      <c r="KT23" s="921" t="e">
        <f t="shared" si="300"/>
        <v>#VALUE!</v>
      </c>
      <c r="KU23" s="921" t="e">
        <f t="shared" si="300"/>
        <v>#VALUE!</v>
      </c>
      <c r="KV23" s="921" t="e">
        <f t="shared" ref="KV23:NG23" si="301">KU23+1</f>
        <v>#VALUE!</v>
      </c>
      <c r="KW23" s="921" t="e">
        <f t="shared" si="301"/>
        <v>#VALUE!</v>
      </c>
      <c r="KX23" s="921" t="e">
        <f t="shared" si="301"/>
        <v>#VALUE!</v>
      </c>
      <c r="KY23" s="921" t="e">
        <f t="shared" si="301"/>
        <v>#VALUE!</v>
      </c>
      <c r="KZ23" s="921" t="e">
        <f t="shared" si="301"/>
        <v>#VALUE!</v>
      </c>
      <c r="LA23" s="921" t="e">
        <f t="shared" si="301"/>
        <v>#VALUE!</v>
      </c>
      <c r="LB23" s="921" t="e">
        <f t="shared" si="301"/>
        <v>#VALUE!</v>
      </c>
      <c r="LC23" s="921" t="e">
        <f t="shared" si="301"/>
        <v>#VALUE!</v>
      </c>
      <c r="LD23" s="921" t="e">
        <f t="shared" si="301"/>
        <v>#VALUE!</v>
      </c>
      <c r="LE23" s="921" t="e">
        <f t="shared" si="301"/>
        <v>#VALUE!</v>
      </c>
      <c r="LF23" s="921" t="e">
        <f t="shared" si="301"/>
        <v>#VALUE!</v>
      </c>
      <c r="LG23" s="921" t="e">
        <f t="shared" si="301"/>
        <v>#VALUE!</v>
      </c>
      <c r="LH23" s="921" t="e">
        <f t="shared" si="301"/>
        <v>#VALUE!</v>
      </c>
      <c r="LI23" s="921" t="e">
        <f t="shared" si="301"/>
        <v>#VALUE!</v>
      </c>
      <c r="LJ23" s="921" t="e">
        <f t="shared" si="301"/>
        <v>#VALUE!</v>
      </c>
      <c r="LK23" s="921" t="e">
        <f t="shared" si="301"/>
        <v>#VALUE!</v>
      </c>
      <c r="LL23" s="921" t="e">
        <f t="shared" si="301"/>
        <v>#VALUE!</v>
      </c>
      <c r="LM23" s="921" t="e">
        <f t="shared" si="301"/>
        <v>#VALUE!</v>
      </c>
      <c r="LN23" s="921" t="e">
        <f t="shared" si="301"/>
        <v>#VALUE!</v>
      </c>
      <c r="LO23" s="921" t="e">
        <f t="shared" si="301"/>
        <v>#VALUE!</v>
      </c>
      <c r="LP23" s="921" t="e">
        <f t="shared" si="301"/>
        <v>#VALUE!</v>
      </c>
      <c r="LQ23" s="921" t="e">
        <f t="shared" si="301"/>
        <v>#VALUE!</v>
      </c>
      <c r="LR23" s="921" t="e">
        <f t="shared" si="301"/>
        <v>#VALUE!</v>
      </c>
      <c r="LS23" s="921" t="e">
        <f t="shared" si="301"/>
        <v>#VALUE!</v>
      </c>
      <c r="LT23" s="921" t="e">
        <f t="shared" si="301"/>
        <v>#VALUE!</v>
      </c>
      <c r="LU23" s="921" t="e">
        <f t="shared" si="301"/>
        <v>#VALUE!</v>
      </c>
      <c r="LV23" s="921" t="e">
        <f t="shared" si="301"/>
        <v>#VALUE!</v>
      </c>
      <c r="LW23" s="921" t="e">
        <f t="shared" si="301"/>
        <v>#VALUE!</v>
      </c>
      <c r="LX23" s="921" t="e">
        <f t="shared" si="301"/>
        <v>#VALUE!</v>
      </c>
      <c r="LY23" s="921" t="e">
        <f t="shared" si="301"/>
        <v>#VALUE!</v>
      </c>
      <c r="LZ23" s="921" t="e">
        <f t="shared" si="301"/>
        <v>#VALUE!</v>
      </c>
      <c r="MA23" s="921" t="e">
        <f t="shared" si="301"/>
        <v>#VALUE!</v>
      </c>
      <c r="MB23" s="921" t="e">
        <f t="shared" si="301"/>
        <v>#VALUE!</v>
      </c>
      <c r="MC23" s="921" t="e">
        <f t="shared" si="301"/>
        <v>#VALUE!</v>
      </c>
      <c r="MD23" s="921" t="e">
        <f t="shared" si="301"/>
        <v>#VALUE!</v>
      </c>
      <c r="ME23" s="921" t="e">
        <f t="shared" si="301"/>
        <v>#VALUE!</v>
      </c>
      <c r="MF23" s="921" t="e">
        <f t="shared" si="301"/>
        <v>#VALUE!</v>
      </c>
      <c r="MG23" s="921" t="e">
        <f t="shared" si="301"/>
        <v>#VALUE!</v>
      </c>
      <c r="MH23" s="921" t="e">
        <f t="shared" si="301"/>
        <v>#VALUE!</v>
      </c>
      <c r="MI23" s="921" t="e">
        <f t="shared" si="301"/>
        <v>#VALUE!</v>
      </c>
      <c r="MJ23" s="921" t="e">
        <f t="shared" si="301"/>
        <v>#VALUE!</v>
      </c>
      <c r="MK23" s="921" t="e">
        <f t="shared" si="301"/>
        <v>#VALUE!</v>
      </c>
      <c r="ML23" s="921" t="e">
        <f t="shared" si="301"/>
        <v>#VALUE!</v>
      </c>
      <c r="MM23" s="921" t="e">
        <f t="shared" si="301"/>
        <v>#VALUE!</v>
      </c>
      <c r="MN23" s="921" t="e">
        <f t="shared" si="301"/>
        <v>#VALUE!</v>
      </c>
      <c r="MO23" s="921" t="e">
        <f t="shared" si="301"/>
        <v>#VALUE!</v>
      </c>
      <c r="MP23" s="921" t="e">
        <f t="shared" si="301"/>
        <v>#VALUE!</v>
      </c>
      <c r="MQ23" s="921" t="e">
        <f t="shared" si="301"/>
        <v>#VALUE!</v>
      </c>
      <c r="MR23" s="921" t="e">
        <f t="shared" si="301"/>
        <v>#VALUE!</v>
      </c>
      <c r="MS23" s="921" t="e">
        <f t="shared" si="301"/>
        <v>#VALUE!</v>
      </c>
      <c r="MT23" s="921" t="e">
        <f t="shared" si="301"/>
        <v>#VALUE!</v>
      </c>
      <c r="MU23" s="921" t="e">
        <f t="shared" si="301"/>
        <v>#VALUE!</v>
      </c>
      <c r="MV23" s="921" t="e">
        <f t="shared" si="301"/>
        <v>#VALUE!</v>
      </c>
      <c r="MW23" s="921" t="e">
        <f t="shared" si="301"/>
        <v>#VALUE!</v>
      </c>
      <c r="MX23" s="921" t="e">
        <f t="shared" si="301"/>
        <v>#VALUE!</v>
      </c>
      <c r="MY23" s="921" t="e">
        <f t="shared" si="301"/>
        <v>#VALUE!</v>
      </c>
      <c r="MZ23" s="921" t="e">
        <f t="shared" si="301"/>
        <v>#VALUE!</v>
      </c>
      <c r="NA23" s="921" t="e">
        <f t="shared" si="301"/>
        <v>#VALUE!</v>
      </c>
      <c r="NB23" s="921" t="e">
        <f t="shared" si="301"/>
        <v>#VALUE!</v>
      </c>
      <c r="NC23" s="921" t="e">
        <f t="shared" si="301"/>
        <v>#VALUE!</v>
      </c>
      <c r="ND23" s="921" t="e">
        <f t="shared" si="301"/>
        <v>#VALUE!</v>
      </c>
      <c r="NE23" s="921" t="e">
        <f t="shared" si="301"/>
        <v>#VALUE!</v>
      </c>
      <c r="NF23" s="921" t="e">
        <f t="shared" si="301"/>
        <v>#VALUE!</v>
      </c>
      <c r="NG23" s="921" t="e">
        <f t="shared" si="301"/>
        <v>#VALUE!</v>
      </c>
      <c r="NH23" s="921" t="e">
        <f t="shared" ref="NH23:PS23" si="302">NG23+1</f>
        <v>#VALUE!</v>
      </c>
      <c r="NI23" s="921" t="e">
        <f t="shared" si="302"/>
        <v>#VALUE!</v>
      </c>
      <c r="NJ23" s="921" t="e">
        <f t="shared" si="302"/>
        <v>#VALUE!</v>
      </c>
      <c r="NK23" s="921" t="e">
        <f t="shared" si="302"/>
        <v>#VALUE!</v>
      </c>
      <c r="NL23" s="921" t="e">
        <f t="shared" si="302"/>
        <v>#VALUE!</v>
      </c>
      <c r="NM23" s="921" t="e">
        <f t="shared" si="302"/>
        <v>#VALUE!</v>
      </c>
      <c r="NN23" s="921" t="e">
        <f t="shared" si="302"/>
        <v>#VALUE!</v>
      </c>
      <c r="NO23" s="921" t="e">
        <f t="shared" si="302"/>
        <v>#VALUE!</v>
      </c>
      <c r="NP23" s="921" t="e">
        <f t="shared" si="302"/>
        <v>#VALUE!</v>
      </c>
      <c r="NQ23" s="921" t="e">
        <f t="shared" si="302"/>
        <v>#VALUE!</v>
      </c>
      <c r="NR23" s="921" t="e">
        <f t="shared" si="302"/>
        <v>#VALUE!</v>
      </c>
      <c r="NS23" s="921" t="e">
        <f t="shared" si="302"/>
        <v>#VALUE!</v>
      </c>
      <c r="NT23" s="921" t="e">
        <f t="shared" si="302"/>
        <v>#VALUE!</v>
      </c>
      <c r="NU23" s="921" t="e">
        <f t="shared" si="302"/>
        <v>#VALUE!</v>
      </c>
      <c r="NV23" s="921" t="e">
        <f t="shared" si="302"/>
        <v>#VALUE!</v>
      </c>
      <c r="NW23" s="921" t="e">
        <f t="shared" si="302"/>
        <v>#VALUE!</v>
      </c>
      <c r="NX23" s="921" t="e">
        <f t="shared" si="302"/>
        <v>#VALUE!</v>
      </c>
      <c r="NY23" s="921" t="e">
        <f t="shared" si="302"/>
        <v>#VALUE!</v>
      </c>
      <c r="NZ23" s="921" t="e">
        <f t="shared" si="302"/>
        <v>#VALUE!</v>
      </c>
      <c r="OA23" s="921" t="e">
        <f t="shared" si="302"/>
        <v>#VALUE!</v>
      </c>
      <c r="OB23" s="921" t="e">
        <f t="shared" si="302"/>
        <v>#VALUE!</v>
      </c>
      <c r="OC23" s="921" t="e">
        <f t="shared" si="302"/>
        <v>#VALUE!</v>
      </c>
      <c r="OD23" s="921" t="e">
        <f t="shared" si="302"/>
        <v>#VALUE!</v>
      </c>
      <c r="OE23" s="921" t="e">
        <f t="shared" si="302"/>
        <v>#VALUE!</v>
      </c>
      <c r="OF23" s="921" t="e">
        <f t="shared" si="302"/>
        <v>#VALUE!</v>
      </c>
      <c r="OG23" s="921" t="e">
        <f t="shared" si="302"/>
        <v>#VALUE!</v>
      </c>
      <c r="OH23" s="921" t="e">
        <f t="shared" si="302"/>
        <v>#VALUE!</v>
      </c>
      <c r="OI23" s="921" t="e">
        <f t="shared" si="302"/>
        <v>#VALUE!</v>
      </c>
      <c r="OJ23" s="921" t="e">
        <f t="shared" si="302"/>
        <v>#VALUE!</v>
      </c>
      <c r="OK23" s="921" t="e">
        <f t="shared" si="302"/>
        <v>#VALUE!</v>
      </c>
      <c r="OL23" s="921" t="e">
        <f t="shared" si="302"/>
        <v>#VALUE!</v>
      </c>
      <c r="OM23" s="921" t="e">
        <f t="shared" si="302"/>
        <v>#VALUE!</v>
      </c>
      <c r="ON23" s="921" t="e">
        <f t="shared" si="302"/>
        <v>#VALUE!</v>
      </c>
      <c r="OO23" s="921" t="e">
        <f t="shared" si="302"/>
        <v>#VALUE!</v>
      </c>
      <c r="OP23" s="921" t="e">
        <f t="shared" si="302"/>
        <v>#VALUE!</v>
      </c>
      <c r="OQ23" s="921" t="e">
        <f t="shared" si="302"/>
        <v>#VALUE!</v>
      </c>
      <c r="OR23" s="921" t="e">
        <f t="shared" si="302"/>
        <v>#VALUE!</v>
      </c>
      <c r="OS23" s="921" t="e">
        <f t="shared" si="302"/>
        <v>#VALUE!</v>
      </c>
      <c r="OT23" s="921" t="e">
        <f t="shared" si="302"/>
        <v>#VALUE!</v>
      </c>
      <c r="OU23" s="921" t="e">
        <f t="shared" si="302"/>
        <v>#VALUE!</v>
      </c>
      <c r="OV23" s="921" t="e">
        <f t="shared" si="302"/>
        <v>#VALUE!</v>
      </c>
      <c r="OW23" s="921" t="e">
        <f t="shared" si="302"/>
        <v>#VALUE!</v>
      </c>
      <c r="OX23" s="921" t="e">
        <f t="shared" si="302"/>
        <v>#VALUE!</v>
      </c>
      <c r="OY23" s="921" t="e">
        <f t="shared" si="302"/>
        <v>#VALUE!</v>
      </c>
      <c r="OZ23" s="921" t="e">
        <f t="shared" si="302"/>
        <v>#VALUE!</v>
      </c>
      <c r="PA23" s="921" t="e">
        <f t="shared" si="302"/>
        <v>#VALUE!</v>
      </c>
      <c r="PB23" s="921" t="e">
        <f t="shared" si="302"/>
        <v>#VALUE!</v>
      </c>
      <c r="PC23" s="921" t="e">
        <f t="shared" si="302"/>
        <v>#VALUE!</v>
      </c>
      <c r="PD23" s="921" t="e">
        <f t="shared" si="302"/>
        <v>#VALUE!</v>
      </c>
      <c r="PE23" s="921" t="e">
        <f t="shared" si="302"/>
        <v>#VALUE!</v>
      </c>
      <c r="PF23" s="921" t="e">
        <f t="shared" si="302"/>
        <v>#VALUE!</v>
      </c>
      <c r="PG23" s="921" t="e">
        <f t="shared" si="302"/>
        <v>#VALUE!</v>
      </c>
      <c r="PH23" s="921" t="e">
        <f t="shared" si="302"/>
        <v>#VALUE!</v>
      </c>
      <c r="PI23" s="921" t="e">
        <f t="shared" si="302"/>
        <v>#VALUE!</v>
      </c>
      <c r="PJ23" s="921" t="e">
        <f t="shared" si="302"/>
        <v>#VALUE!</v>
      </c>
      <c r="PK23" s="921" t="e">
        <f t="shared" si="302"/>
        <v>#VALUE!</v>
      </c>
      <c r="PL23" s="921" t="e">
        <f t="shared" si="302"/>
        <v>#VALUE!</v>
      </c>
      <c r="PM23" s="921" t="e">
        <f t="shared" si="302"/>
        <v>#VALUE!</v>
      </c>
      <c r="PN23" s="921" t="e">
        <f t="shared" si="302"/>
        <v>#VALUE!</v>
      </c>
      <c r="PO23" s="921" t="e">
        <f t="shared" si="302"/>
        <v>#VALUE!</v>
      </c>
      <c r="PP23" s="921" t="e">
        <f t="shared" si="302"/>
        <v>#VALUE!</v>
      </c>
      <c r="PQ23" s="921" t="e">
        <f t="shared" si="302"/>
        <v>#VALUE!</v>
      </c>
      <c r="PR23" s="921" t="e">
        <f t="shared" si="302"/>
        <v>#VALUE!</v>
      </c>
      <c r="PS23" s="921" t="e">
        <f t="shared" si="302"/>
        <v>#VALUE!</v>
      </c>
      <c r="PT23" s="921" t="e">
        <f t="shared" ref="PT23:RA23" si="303">PS23+1</f>
        <v>#VALUE!</v>
      </c>
      <c r="PU23" s="921" t="e">
        <f t="shared" si="303"/>
        <v>#VALUE!</v>
      </c>
      <c r="PV23" s="921" t="e">
        <f t="shared" si="303"/>
        <v>#VALUE!</v>
      </c>
      <c r="PW23" s="921" t="e">
        <f t="shared" si="303"/>
        <v>#VALUE!</v>
      </c>
      <c r="PX23" s="921" t="e">
        <f t="shared" si="303"/>
        <v>#VALUE!</v>
      </c>
      <c r="PY23" s="921" t="e">
        <f t="shared" si="303"/>
        <v>#VALUE!</v>
      </c>
      <c r="PZ23" s="921" t="e">
        <f t="shared" si="303"/>
        <v>#VALUE!</v>
      </c>
      <c r="QA23" s="921" t="e">
        <f t="shared" si="303"/>
        <v>#VALUE!</v>
      </c>
      <c r="QB23" s="921" t="e">
        <f t="shared" si="303"/>
        <v>#VALUE!</v>
      </c>
      <c r="QC23" s="921" t="e">
        <f t="shared" si="303"/>
        <v>#VALUE!</v>
      </c>
      <c r="QD23" s="921" t="e">
        <f t="shared" si="303"/>
        <v>#VALUE!</v>
      </c>
      <c r="QE23" s="921" t="e">
        <f t="shared" si="303"/>
        <v>#VALUE!</v>
      </c>
      <c r="QF23" s="921" t="e">
        <f t="shared" si="303"/>
        <v>#VALUE!</v>
      </c>
      <c r="QG23" s="921" t="e">
        <f t="shared" si="303"/>
        <v>#VALUE!</v>
      </c>
      <c r="QH23" s="921" t="e">
        <f t="shared" si="303"/>
        <v>#VALUE!</v>
      </c>
      <c r="QI23" s="921" t="e">
        <f t="shared" si="303"/>
        <v>#VALUE!</v>
      </c>
      <c r="QJ23" s="921" t="e">
        <f t="shared" si="303"/>
        <v>#VALUE!</v>
      </c>
      <c r="QK23" s="921" t="e">
        <f t="shared" si="303"/>
        <v>#VALUE!</v>
      </c>
      <c r="QL23" s="921" t="e">
        <f t="shared" si="303"/>
        <v>#VALUE!</v>
      </c>
      <c r="QM23" s="921" t="e">
        <f t="shared" si="303"/>
        <v>#VALUE!</v>
      </c>
      <c r="QN23" s="921" t="e">
        <f t="shared" si="303"/>
        <v>#VALUE!</v>
      </c>
      <c r="QO23" s="921" t="e">
        <f t="shared" si="303"/>
        <v>#VALUE!</v>
      </c>
      <c r="QP23" s="921" t="e">
        <f t="shared" si="303"/>
        <v>#VALUE!</v>
      </c>
      <c r="QQ23" s="921" t="e">
        <f t="shared" si="303"/>
        <v>#VALUE!</v>
      </c>
      <c r="QR23" s="921" t="e">
        <f t="shared" si="303"/>
        <v>#VALUE!</v>
      </c>
      <c r="QS23" s="921" t="e">
        <f t="shared" si="303"/>
        <v>#VALUE!</v>
      </c>
      <c r="QT23" s="921" t="e">
        <f t="shared" si="303"/>
        <v>#VALUE!</v>
      </c>
      <c r="QU23" s="921" t="e">
        <f t="shared" si="303"/>
        <v>#VALUE!</v>
      </c>
      <c r="QV23" s="921" t="e">
        <f t="shared" si="303"/>
        <v>#VALUE!</v>
      </c>
      <c r="QW23" s="921" t="e">
        <f t="shared" si="303"/>
        <v>#VALUE!</v>
      </c>
      <c r="QX23" s="921" t="e">
        <f t="shared" si="303"/>
        <v>#VALUE!</v>
      </c>
      <c r="QY23" s="921" t="e">
        <f t="shared" si="303"/>
        <v>#VALUE!</v>
      </c>
      <c r="QZ23" s="921" t="e">
        <f t="shared" si="303"/>
        <v>#VALUE!</v>
      </c>
      <c r="RA23" s="921" t="e">
        <f t="shared" si="303"/>
        <v>#VALUE!</v>
      </c>
      <c r="RB23" s="797" t="e">
        <f>IF(AND(QZ30&gt;=10,QZ31&gt;=10),QY23,QZ23)</f>
        <v>#VALUE!</v>
      </c>
    </row>
    <row r="24" spans="1:471" ht="17.25">
      <c r="B24" t="s">
        <v>144</v>
      </c>
      <c r="D24" t="s">
        <v>145</v>
      </c>
      <c r="E24" t="s">
        <v>146</v>
      </c>
      <c r="J24" s="30"/>
      <c r="K24" s="30"/>
      <c r="L24" s="30"/>
      <c r="M24" s="30"/>
      <c r="N24" s="30"/>
      <c r="O24" s="30"/>
      <c r="P24" s="30"/>
      <c r="Q24" s="30"/>
      <c r="R24" s="30"/>
      <c r="S24" s="30"/>
      <c r="T24" s="30"/>
      <c r="U24" s="30"/>
      <c r="V24" s="30"/>
      <c r="W24" s="30"/>
      <c r="X24" s="30"/>
      <c r="Y24" s="30"/>
      <c r="Z24" s="30"/>
      <c r="AA24" s="30"/>
      <c r="AK24" s="759" t="s">
        <v>378</v>
      </c>
      <c r="AL24" s="701" t="e">
        <f>[1]!taqsha(AL16,AL17,[1]!roz(AL18,AL22,0,0),AL19)</f>
        <v>#VALUE!</v>
      </c>
      <c r="AM24" s="304" t="e">
        <f>[1]!taqsha(AM16,AM17,[1]!roz(AM18,AM22,0,0),AM19)</f>
        <v>#VALUE!</v>
      </c>
      <c r="AN24" s="304" t="e">
        <f>[1]!taqsha(AN16,AN17,[1]!roz(AN18,AN22,0,0),AN19)</f>
        <v>#VALUE!</v>
      </c>
      <c r="AO24" s="304" t="e">
        <f>[1]!taqsha(AO16,AO17,[1]!roz(AO18,AO22,0,0),AO19)</f>
        <v>#VALUE!</v>
      </c>
      <c r="AP24" s="304" t="e">
        <f>[1]!taqsha(AP16,AP17,[1]!roz(AP18,AP22,0,0),AP19)</f>
        <v>#VALUE!</v>
      </c>
      <c r="AQ24" s="304" t="e">
        <f>[1]!taqsha(AQ16,AQ17,[1]!roz(AQ18,AQ22,0,0),AQ19)</f>
        <v>#VALUE!</v>
      </c>
      <c r="AR24" s="304" t="e">
        <f>[1]!taqsha(AR16,AR17,[1]!roz(AR18,AR22,0,0),AR19)</f>
        <v>#VALUE!</v>
      </c>
      <c r="AS24" s="304" t="e">
        <f>[1]!taqsha(AS16,AS17,[1]!roz(AS18,AS22,0,0),AS19)</f>
        <v>#VALUE!</v>
      </c>
      <c r="AT24" s="304" t="e">
        <f>[1]!taqsha(AT16,AT17,[1]!roz(AT18,AT22,0,0),AT19)</f>
        <v>#VALUE!</v>
      </c>
      <c r="AU24" s="304" t="e">
        <f>[1]!taqsha(AU16,AU17,[1]!roz(AU18,AU22,0,0),AU19)</f>
        <v>#VALUE!</v>
      </c>
      <c r="AV24" s="304" t="e">
        <f>[1]!taqsha(AV16,AV17,[1]!roz(AV18,AV22,0,0),AV19)</f>
        <v>#VALUE!</v>
      </c>
      <c r="AW24" s="304" t="e">
        <f>[1]!taqsha(AW16,AW17,[1]!roz(AW18,AW22,0,0),AW19)</f>
        <v>#VALUE!</v>
      </c>
      <c r="AX24" s="314"/>
      <c r="AZ24" s="732"/>
      <c r="BA24" s="731">
        <v>365.24220026363002</v>
      </c>
      <c r="DI24" s="797"/>
      <c r="DJ24" s="961">
        <f>[1]!mbtool(2,17,0,1)</f>
        <v>9.5138888888888884E-2</v>
      </c>
      <c r="DK24" s="962">
        <f>[1]!mbtool(2,17,0,1)</f>
        <v>9.5138888888888884E-2</v>
      </c>
      <c r="DL24" s="962">
        <f>[1]!mbtool(2,17,0,1)</f>
        <v>9.5138888888888884E-2</v>
      </c>
      <c r="DM24" s="962">
        <f>[1]!mbtool(2,17,0,1)</f>
        <v>9.5138888888888884E-2</v>
      </c>
      <c r="DN24" s="962">
        <f>[1]!mbtool(2,17,0,1)</f>
        <v>9.5138888888888884E-2</v>
      </c>
      <c r="DO24" s="962">
        <f>[1]!mbtool(2,17,0,1)</f>
        <v>9.5138888888888884E-2</v>
      </c>
      <c r="DP24" s="962">
        <f>[1]!mbtool(2,17,0,1)</f>
        <v>9.5138888888888884E-2</v>
      </c>
      <c r="DQ24" s="962">
        <f>[1]!mbtool(2,17,0,1)</f>
        <v>9.5138888888888884E-2</v>
      </c>
      <c r="DR24" s="962">
        <f>[1]!mbtool(2,17,0,1)</f>
        <v>9.5138888888888884E-2</v>
      </c>
      <c r="DS24" s="962">
        <f>[1]!mbtool(2,17,0,1)</f>
        <v>9.5138888888888884E-2</v>
      </c>
      <c r="DT24" s="962">
        <f>[1]!mbtool(2,17,0,1)</f>
        <v>9.5138888888888884E-2</v>
      </c>
      <c r="DU24" s="962">
        <f>[1]!mbtool(2,17,0,1)</f>
        <v>9.5138888888888884E-2</v>
      </c>
      <c r="DV24" s="962">
        <f>[1]!mbtool(2,17,0,1)</f>
        <v>9.5138888888888884E-2</v>
      </c>
      <c r="DW24" s="962">
        <f>[1]!mbtool(2,17,0,1)</f>
        <v>9.5138888888888884E-2</v>
      </c>
      <c r="DX24" s="962">
        <f>[1]!mbtool(2,17,0,1)</f>
        <v>9.5138888888888884E-2</v>
      </c>
      <c r="DY24" s="962">
        <f>[1]!mbtool(2,17,0,1)</f>
        <v>9.5138888888888884E-2</v>
      </c>
      <c r="DZ24" s="962">
        <f>[1]!mbtool(2,17,0,1)</f>
        <v>9.5138888888888884E-2</v>
      </c>
      <c r="EA24" s="962">
        <f>[1]!mbtool(2,17,0,1)</f>
        <v>9.5138888888888884E-2</v>
      </c>
      <c r="EB24" s="962">
        <f>[1]!mbtool(2,17,0,1)</f>
        <v>9.5138888888888884E-2</v>
      </c>
      <c r="EC24" s="962">
        <f>[1]!mbtool(2,17,0,1)</f>
        <v>9.5138888888888884E-2</v>
      </c>
      <c r="ED24" s="962">
        <f>[1]!mbtool(2,17,0,1)</f>
        <v>9.5138888888888884E-2</v>
      </c>
      <c r="EE24" s="962">
        <f>[1]!mbtool(2,17,0,1)</f>
        <v>9.5138888888888884E-2</v>
      </c>
      <c r="EF24" s="962">
        <f>[1]!mbtool(2,17,0,1)</f>
        <v>9.5138888888888884E-2</v>
      </c>
      <c r="EG24" s="962">
        <f>[1]!mbtool(2,17,0,1)</f>
        <v>9.5138888888888884E-2</v>
      </c>
      <c r="EH24" s="962">
        <f>[1]!mbtool(2,17,0,1)</f>
        <v>9.5138888888888884E-2</v>
      </c>
      <c r="EI24" s="962">
        <f>[1]!mbtool(2,17,0,1)</f>
        <v>9.5138888888888884E-2</v>
      </c>
      <c r="EJ24" s="962">
        <f>[1]!mbtool(2,17,0,1)</f>
        <v>9.5138888888888884E-2</v>
      </c>
      <c r="EK24" s="962">
        <f>[1]!mbtool(2,17,0,1)</f>
        <v>9.5138888888888884E-2</v>
      </c>
      <c r="EL24" s="962">
        <f>[1]!mbtool(2,17,0,1)</f>
        <v>9.5138888888888884E-2</v>
      </c>
      <c r="EM24" s="962">
        <f>[1]!mbtool(2,17,0,1)</f>
        <v>9.5138888888888884E-2</v>
      </c>
      <c r="EN24" s="962">
        <f>[1]!mbtool(2,17,0,1)</f>
        <v>9.5138888888888884E-2</v>
      </c>
      <c r="EO24" s="962">
        <f>[1]!mbtool(2,17,0,1)</f>
        <v>9.5138888888888884E-2</v>
      </c>
      <c r="EP24" s="962">
        <f>[1]!mbtool(2,17,0,1)</f>
        <v>9.5138888888888884E-2</v>
      </c>
      <c r="EQ24" s="962">
        <f>[1]!mbtool(2,17,0,1)</f>
        <v>9.5138888888888884E-2</v>
      </c>
      <c r="ER24" s="962">
        <f>[1]!mbtool(2,17,0,1)</f>
        <v>9.5138888888888884E-2</v>
      </c>
      <c r="ES24" s="962">
        <f>[1]!mbtool(2,17,0,1)</f>
        <v>9.5138888888888884E-2</v>
      </c>
      <c r="ET24" s="962">
        <f>[1]!mbtool(2,17,0,1)</f>
        <v>9.5138888888888884E-2</v>
      </c>
      <c r="EU24" s="962">
        <f>[1]!mbtool(2,17,0,1)</f>
        <v>9.5138888888888884E-2</v>
      </c>
      <c r="EV24" s="962">
        <f>[1]!mbtool(2,17,0,1)</f>
        <v>9.5138888888888884E-2</v>
      </c>
      <c r="EW24" s="962">
        <f>[1]!mbtool(2,17,0,1)</f>
        <v>9.5138888888888884E-2</v>
      </c>
      <c r="EX24" s="962">
        <f>[1]!mbtool(2,17,0,1)</f>
        <v>9.5138888888888884E-2</v>
      </c>
      <c r="EY24" s="962">
        <f>[1]!mbtool(2,17,0,1)</f>
        <v>9.5138888888888884E-2</v>
      </c>
      <c r="EZ24" s="962">
        <f>[1]!mbtool(2,17,0,1)</f>
        <v>9.5138888888888884E-2</v>
      </c>
      <c r="FA24" s="962">
        <f>[1]!mbtool(2,17,0,1)</f>
        <v>9.5138888888888884E-2</v>
      </c>
      <c r="FB24" s="962">
        <f>[1]!mbtool(2,17,0,1)</f>
        <v>9.5138888888888884E-2</v>
      </c>
      <c r="FC24" s="962">
        <f>[1]!mbtool(2,17,0,1)</f>
        <v>9.5138888888888884E-2</v>
      </c>
      <c r="FD24" s="962">
        <f>[1]!mbtool(2,17,0,1)</f>
        <v>9.5138888888888884E-2</v>
      </c>
      <c r="FE24" s="962">
        <f>[1]!mbtool(2,17,0,1)</f>
        <v>9.5138888888888884E-2</v>
      </c>
      <c r="FF24" s="962">
        <f>[1]!mbtool(2,17,0,1)</f>
        <v>9.5138888888888884E-2</v>
      </c>
      <c r="FG24" s="962">
        <f>[1]!mbtool(2,17,0,1)</f>
        <v>9.5138888888888884E-2</v>
      </c>
      <c r="FH24" s="962">
        <f>[1]!mbtool(2,17,0,1)</f>
        <v>9.5138888888888884E-2</v>
      </c>
      <c r="FI24" s="962">
        <f>[1]!mbtool(2,17,0,1)</f>
        <v>9.5138888888888884E-2</v>
      </c>
      <c r="FJ24" s="962">
        <f>[1]!mbtool(2,17,0,1)</f>
        <v>9.5138888888888884E-2</v>
      </c>
      <c r="FK24" s="962">
        <f>[1]!mbtool(2,17,0,1)</f>
        <v>9.5138888888888884E-2</v>
      </c>
      <c r="FL24" s="962">
        <f>[1]!mbtool(2,17,0,1)</f>
        <v>9.5138888888888884E-2</v>
      </c>
      <c r="FM24" s="962">
        <f>[1]!mbtool(2,17,0,1)</f>
        <v>9.5138888888888884E-2</v>
      </c>
      <c r="FN24" s="962">
        <f>[1]!mbtool(2,17,0,1)</f>
        <v>9.5138888888888884E-2</v>
      </c>
      <c r="FO24" s="962">
        <f>[1]!mbtool(2,17,0,1)</f>
        <v>9.5138888888888884E-2</v>
      </c>
      <c r="FP24" s="962">
        <f>[1]!mbtool(2,17,0,1)</f>
        <v>9.5138888888888884E-2</v>
      </c>
      <c r="FQ24" s="962">
        <f>[1]!mbtool(2,17,0,1)</f>
        <v>9.5138888888888884E-2</v>
      </c>
      <c r="FR24" s="962">
        <f>[1]!mbtool(2,17,0,1)</f>
        <v>9.5138888888888884E-2</v>
      </c>
      <c r="FS24" s="962">
        <f>[1]!mbtool(2,17,0,1)</f>
        <v>9.5138888888888884E-2</v>
      </c>
      <c r="FT24" s="962">
        <f>[1]!mbtool(2,17,0,1)</f>
        <v>9.5138888888888884E-2</v>
      </c>
      <c r="FU24" s="962">
        <f>[1]!mbtool(2,17,0,1)</f>
        <v>9.5138888888888884E-2</v>
      </c>
      <c r="FV24" s="962">
        <f>[1]!mbtool(2,17,0,1)</f>
        <v>9.5138888888888884E-2</v>
      </c>
      <c r="FW24" s="962">
        <f>[1]!mbtool(2,17,0,1)</f>
        <v>9.5138888888888884E-2</v>
      </c>
      <c r="FX24" s="962">
        <f>[1]!mbtool(2,17,0,1)</f>
        <v>9.5138888888888884E-2</v>
      </c>
      <c r="FY24" s="962">
        <f>[1]!mbtool(2,17,0,1)</f>
        <v>9.5138888888888884E-2</v>
      </c>
      <c r="FZ24" s="962">
        <f>[1]!mbtool(2,17,0,1)</f>
        <v>9.5138888888888884E-2</v>
      </c>
      <c r="GA24" s="962">
        <f>[1]!mbtool(2,17,0,1)</f>
        <v>9.5138888888888884E-2</v>
      </c>
      <c r="GB24" s="962">
        <f>[1]!mbtool(2,17,0,1)</f>
        <v>9.5138888888888884E-2</v>
      </c>
      <c r="GC24" s="962">
        <f>[1]!mbtool(2,17,0,1)</f>
        <v>9.5138888888888884E-2</v>
      </c>
      <c r="GD24" s="962">
        <f>[1]!mbtool(2,17,0,1)</f>
        <v>9.5138888888888884E-2</v>
      </c>
      <c r="GE24" s="962">
        <f>[1]!mbtool(2,17,0,1)</f>
        <v>9.5138888888888884E-2</v>
      </c>
      <c r="GF24" s="962">
        <f>[1]!mbtool(2,17,0,1)</f>
        <v>9.5138888888888884E-2</v>
      </c>
      <c r="GG24" s="962">
        <f>[1]!mbtool(2,17,0,1)</f>
        <v>9.5138888888888884E-2</v>
      </c>
      <c r="GH24" s="962">
        <f>[1]!mbtool(2,17,0,1)</f>
        <v>9.5138888888888884E-2</v>
      </c>
      <c r="GI24" s="962">
        <f>[1]!mbtool(2,17,0,1)</f>
        <v>9.5138888888888884E-2</v>
      </c>
      <c r="GJ24" s="962">
        <f>[1]!mbtool(2,17,0,1)</f>
        <v>9.5138888888888884E-2</v>
      </c>
      <c r="GK24" s="962">
        <f>[1]!mbtool(2,17,0,1)</f>
        <v>9.5138888888888884E-2</v>
      </c>
      <c r="GL24" s="962">
        <f>[1]!mbtool(2,17,0,1)</f>
        <v>9.5138888888888884E-2</v>
      </c>
      <c r="GM24" s="962">
        <f>[1]!mbtool(2,17,0,1)</f>
        <v>9.5138888888888884E-2</v>
      </c>
      <c r="GN24" s="962">
        <f>[1]!mbtool(2,17,0,1)</f>
        <v>9.5138888888888884E-2</v>
      </c>
      <c r="GO24" s="962">
        <f>[1]!mbtool(2,17,0,1)</f>
        <v>9.5138888888888884E-2</v>
      </c>
      <c r="GP24" s="962">
        <f>[1]!mbtool(2,17,0,1)</f>
        <v>9.5138888888888884E-2</v>
      </c>
      <c r="GQ24" s="962">
        <f>[1]!mbtool(2,17,0,1)</f>
        <v>9.5138888888888884E-2</v>
      </c>
      <c r="GR24" s="962">
        <f>[1]!mbtool(2,17,0,1)</f>
        <v>9.5138888888888884E-2</v>
      </c>
      <c r="GS24" s="962">
        <f>[1]!mbtool(2,17,0,1)</f>
        <v>9.5138888888888884E-2</v>
      </c>
      <c r="GT24" s="962">
        <f>[1]!mbtool(2,17,0,1)</f>
        <v>9.5138888888888884E-2</v>
      </c>
      <c r="GU24" s="962">
        <f>[1]!mbtool(2,17,0,1)</f>
        <v>9.5138888888888884E-2</v>
      </c>
      <c r="GV24" s="962">
        <f>[1]!mbtool(2,17,0,1)</f>
        <v>9.5138888888888884E-2</v>
      </c>
      <c r="GW24" s="962">
        <f>[1]!mbtool(2,17,0,1)</f>
        <v>9.5138888888888884E-2</v>
      </c>
      <c r="GX24" s="962">
        <f>[1]!mbtool(2,17,0,1)</f>
        <v>9.5138888888888884E-2</v>
      </c>
      <c r="GY24" s="962">
        <f>[1]!mbtool(2,17,0,1)</f>
        <v>9.5138888888888884E-2</v>
      </c>
      <c r="GZ24" s="962">
        <f>[1]!mbtool(2,17,0,1)</f>
        <v>9.5138888888888884E-2</v>
      </c>
      <c r="HA24" s="962">
        <f>[1]!mbtool(2,17,0,1)</f>
        <v>9.5138888888888884E-2</v>
      </c>
      <c r="HB24" s="962">
        <f>[1]!mbtool(2,17,0,1)</f>
        <v>9.5138888888888884E-2</v>
      </c>
      <c r="HC24" s="962">
        <f>[1]!mbtool(2,17,0,1)</f>
        <v>9.5138888888888884E-2</v>
      </c>
      <c r="HD24" s="962">
        <f>[1]!mbtool(2,17,0,1)</f>
        <v>9.5138888888888884E-2</v>
      </c>
      <c r="HE24" s="962">
        <f>[1]!mbtool(2,17,0,1)</f>
        <v>9.5138888888888884E-2</v>
      </c>
      <c r="HF24" s="962">
        <f>[1]!mbtool(2,17,0,1)</f>
        <v>9.5138888888888884E-2</v>
      </c>
      <c r="HG24" s="962">
        <f>[1]!mbtool(2,17,0,1)</f>
        <v>9.5138888888888884E-2</v>
      </c>
      <c r="HH24" s="962">
        <f>[1]!mbtool(2,17,0,1)</f>
        <v>9.5138888888888884E-2</v>
      </c>
      <c r="HI24" s="962">
        <f>[1]!mbtool(2,17,0,1)</f>
        <v>9.5138888888888884E-2</v>
      </c>
      <c r="HJ24" s="962">
        <f>[1]!mbtool(2,17,0,1)</f>
        <v>9.5138888888888884E-2</v>
      </c>
      <c r="HK24" s="962">
        <f>[1]!mbtool(2,17,0,1)</f>
        <v>9.5138888888888884E-2</v>
      </c>
      <c r="HL24" s="962">
        <f>[1]!mbtool(2,17,0,1)</f>
        <v>9.5138888888888884E-2</v>
      </c>
      <c r="HM24" s="962">
        <f>[1]!mbtool(2,17,0,1)</f>
        <v>9.5138888888888884E-2</v>
      </c>
      <c r="HN24" s="962">
        <f>[1]!mbtool(2,17,0,1)</f>
        <v>9.5138888888888884E-2</v>
      </c>
      <c r="HO24" s="962">
        <f>[1]!mbtool(2,17,0,1)</f>
        <v>9.5138888888888884E-2</v>
      </c>
      <c r="HP24" s="962">
        <f>[1]!mbtool(2,17,0,1)</f>
        <v>9.5138888888888884E-2</v>
      </c>
      <c r="HQ24" s="962">
        <f>[1]!mbtool(2,17,0,1)</f>
        <v>9.5138888888888884E-2</v>
      </c>
      <c r="HR24" s="962">
        <f>[1]!mbtool(2,17,0,1)</f>
        <v>9.5138888888888884E-2</v>
      </c>
      <c r="HS24" s="962">
        <f>[1]!mbtool(2,17,0,1)</f>
        <v>9.5138888888888884E-2</v>
      </c>
      <c r="HT24" s="962">
        <f>[1]!mbtool(2,17,0,1)</f>
        <v>9.5138888888888884E-2</v>
      </c>
      <c r="HU24" s="962">
        <f>[1]!mbtool(2,17,0,1)</f>
        <v>9.5138888888888884E-2</v>
      </c>
      <c r="HV24" s="962">
        <f>[1]!mbtool(2,17,0,1)</f>
        <v>9.5138888888888884E-2</v>
      </c>
      <c r="HW24" s="962">
        <f>[1]!mbtool(2,17,0,1)</f>
        <v>9.5138888888888884E-2</v>
      </c>
      <c r="HX24" s="962">
        <f>[1]!mbtool(2,17,0,1)</f>
        <v>9.5138888888888884E-2</v>
      </c>
      <c r="HY24" s="962">
        <f>[1]!mbtool(2,17,0,1)</f>
        <v>9.5138888888888884E-2</v>
      </c>
      <c r="HZ24" s="962">
        <f>[1]!mbtool(2,17,0,1)</f>
        <v>9.5138888888888884E-2</v>
      </c>
      <c r="IA24" s="962">
        <f>[1]!mbtool(2,17,0,1)</f>
        <v>9.5138888888888884E-2</v>
      </c>
      <c r="IB24" s="962">
        <f>[1]!mbtool(2,17,0,1)</f>
        <v>9.5138888888888884E-2</v>
      </c>
      <c r="IC24" s="962">
        <f>[1]!mbtool(2,17,0,1)</f>
        <v>9.5138888888888884E-2</v>
      </c>
      <c r="ID24" s="962">
        <f>[1]!mbtool(2,17,0,1)</f>
        <v>9.5138888888888884E-2</v>
      </c>
      <c r="IE24" s="962">
        <f>[1]!mbtool(2,17,0,1)</f>
        <v>9.5138888888888884E-2</v>
      </c>
      <c r="IF24" s="962">
        <f>[1]!mbtool(2,17,0,1)</f>
        <v>9.5138888888888884E-2</v>
      </c>
      <c r="IG24" s="962">
        <f>[1]!mbtool(2,17,0,1)</f>
        <v>9.5138888888888884E-2</v>
      </c>
      <c r="IH24" s="962">
        <f>[1]!mbtool(2,17,0,1)</f>
        <v>9.5138888888888884E-2</v>
      </c>
      <c r="II24" s="962">
        <f>[1]!mbtool(2,17,0,1)</f>
        <v>9.5138888888888884E-2</v>
      </c>
      <c r="IJ24" s="962">
        <f>[1]!mbtool(2,17,0,1)</f>
        <v>9.5138888888888884E-2</v>
      </c>
      <c r="IK24" s="962">
        <f>[1]!mbtool(2,17,0,1)</f>
        <v>9.5138888888888884E-2</v>
      </c>
      <c r="IL24" s="962">
        <f>[1]!mbtool(2,17,0,1)</f>
        <v>9.5138888888888884E-2</v>
      </c>
      <c r="IM24" s="962">
        <f>[1]!mbtool(2,17,0,1)</f>
        <v>9.5138888888888884E-2</v>
      </c>
      <c r="IN24" s="962">
        <f>[1]!mbtool(2,17,0,1)</f>
        <v>9.5138888888888884E-2</v>
      </c>
      <c r="IO24" s="962">
        <f>[1]!mbtool(2,17,0,1)</f>
        <v>9.5138888888888884E-2</v>
      </c>
      <c r="IP24" s="962">
        <f>[1]!mbtool(2,17,0,1)</f>
        <v>9.5138888888888884E-2</v>
      </c>
      <c r="IQ24" s="962">
        <f>[1]!mbtool(2,17,0,1)</f>
        <v>9.5138888888888884E-2</v>
      </c>
      <c r="IR24" s="962">
        <f>[1]!mbtool(2,17,0,1)</f>
        <v>9.5138888888888884E-2</v>
      </c>
      <c r="IS24" s="962">
        <f>[1]!mbtool(2,17,0,1)</f>
        <v>9.5138888888888884E-2</v>
      </c>
      <c r="IT24" s="962">
        <f>[1]!mbtool(2,17,0,1)</f>
        <v>9.5138888888888884E-2</v>
      </c>
      <c r="IU24" s="962">
        <f>[1]!mbtool(2,17,0,1)</f>
        <v>9.5138888888888884E-2</v>
      </c>
      <c r="IV24" s="962">
        <f>[1]!mbtool(2,17,0,1)</f>
        <v>9.5138888888888884E-2</v>
      </c>
      <c r="IW24" s="962">
        <f>[1]!mbtool(2,17,0,1)</f>
        <v>9.5138888888888884E-2</v>
      </c>
      <c r="IX24" s="962">
        <f>[1]!mbtool(2,17,0,1)</f>
        <v>9.5138888888888884E-2</v>
      </c>
      <c r="IY24" s="962">
        <f>[1]!mbtool(2,17,0,1)</f>
        <v>9.5138888888888884E-2</v>
      </c>
      <c r="IZ24" s="962">
        <f>[1]!mbtool(2,17,0,1)</f>
        <v>9.5138888888888884E-2</v>
      </c>
      <c r="JA24" s="962">
        <f>[1]!mbtool(2,17,0,1)</f>
        <v>9.5138888888888884E-2</v>
      </c>
      <c r="JB24" s="962">
        <f>[1]!mbtool(2,17,0,1)</f>
        <v>9.5138888888888884E-2</v>
      </c>
      <c r="JC24" s="962">
        <f>[1]!mbtool(2,17,0,1)</f>
        <v>9.5138888888888884E-2</v>
      </c>
      <c r="JD24" s="962">
        <f>[1]!mbtool(2,17,0,1)</f>
        <v>9.5138888888888884E-2</v>
      </c>
      <c r="JE24" s="962">
        <f>[1]!mbtool(2,17,0,1)</f>
        <v>9.5138888888888884E-2</v>
      </c>
      <c r="JF24" s="962">
        <f>[1]!mbtool(2,17,0,1)</f>
        <v>9.5138888888888884E-2</v>
      </c>
      <c r="JG24" s="962">
        <f>[1]!mbtool(2,17,0,1)</f>
        <v>9.5138888888888884E-2</v>
      </c>
      <c r="JH24" s="962">
        <f>[1]!mbtool(2,17,0,1)</f>
        <v>9.5138888888888884E-2</v>
      </c>
      <c r="JI24" s="962">
        <f>[1]!mbtool(2,17,0,1)</f>
        <v>9.5138888888888884E-2</v>
      </c>
      <c r="JJ24" s="962">
        <f>[1]!mbtool(2,17,0,1)</f>
        <v>9.5138888888888884E-2</v>
      </c>
      <c r="JK24" s="962">
        <f>[1]!mbtool(2,17,0,1)</f>
        <v>9.5138888888888884E-2</v>
      </c>
      <c r="JL24" s="962">
        <f>[1]!mbtool(2,17,0,1)</f>
        <v>9.5138888888888884E-2</v>
      </c>
      <c r="JM24" s="962">
        <f>[1]!mbtool(2,17,0,1)</f>
        <v>9.5138888888888884E-2</v>
      </c>
      <c r="JN24" s="962">
        <f>[1]!mbtool(2,17,0,1)</f>
        <v>9.5138888888888884E-2</v>
      </c>
      <c r="JO24" s="962">
        <f>[1]!mbtool(2,17,0,1)</f>
        <v>9.5138888888888884E-2</v>
      </c>
      <c r="JP24" s="962">
        <f>[1]!mbtool(2,17,0,1)</f>
        <v>9.5138888888888884E-2</v>
      </c>
      <c r="JQ24" s="962">
        <f>[1]!mbtool(2,17,0,1)</f>
        <v>9.5138888888888884E-2</v>
      </c>
      <c r="JR24" s="962">
        <f>[1]!mbtool(2,17,0,1)</f>
        <v>9.5138888888888884E-2</v>
      </c>
      <c r="JS24" s="962">
        <f>[1]!mbtool(2,17,0,1)</f>
        <v>9.5138888888888884E-2</v>
      </c>
      <c r="JT24" s="962">
        <f>[1]!mbtool(2,17,0,1)</f>
        <v>9.5138888888888884E-2</v>
      </c>
      <c r="JU24" s="962">
        <f>[1]!mbtool(2,17,0,1)</f>
        <v>9.5138888888888884E-2</v>
      </c>
      <c r="JV24" s="962">
        <f>[1]!mbtool(2,17,0,1)</f>
        <v>9.5138888888888884E-2</v>
      </c>
      <c r="JW24" s="962">
        <f>[1]!mbtool(2,17,0,1)</f>
        <v>9.5138888888888884E-2</v>
      </c>
      <c r="JX24" s="962">
        <f>[1]!mbtool(2,17,0,1)</f>
        <v>9.5138888888888884E-2</v>
      </c>
      <c r="JY24" s="962">
        <f>[1]!mbtool(2,17,0,1)</f>
        <v>9.5138888888888884E-2</v>
      </c>
      <c r="JZ24" s="962">
        <f>[1]!mbtool(2,17,0,1)</f>
        <v>9.5138888888888884E-2</v>
      </c>
      <c r="KA24" s="962">
        <f>[1]!mbtool(2,17,0,1)</f>
        <v>9.5138888888888884E-2</v>
      </c>
      <c r="KB24" s="962">
        <f>[1]!mbtool(2,17,0,1)</f>
        <v>9.5138888888888884E-2</v>
      </c>
      <c r="KC24" s="962">
        <f>[1]!mbtool(2,17,0,1)</f>
        <v>9.5138888888888884E-2</v>
      </c>
      <c r="KD24" s="962">
        <f>[1]!mbtool(2,17,0,1)</f>
        <v>9.5138888888888884E-2</v>
      </c>
      <c r="KE24" s="962">
        <f>[1]!mbtool(2,17,0,1)</f>
        <v>9.5138888888888884E-2</v>
      </c>
      <c r="KF24" s="962">
        <f>[1]!mbtool(2,17,0,1)</f>
        <v>9.5138888888888884E-2</v>
      </c>
      <c r="KG24" s="962">
        <f>[1]!mbtool(2,17,0,1)</f>
        <v>9.5138888888888884E-2</v>
      </c>
      <c r="KH24" s="962">
        <f>[1]!mbtool(2,17,0,1)</f>
        <v>9.5138888888888884E-2</v>
      </c>
      <c r="KI24" s="962">
        <f>[1]!mbtool(2,17,0,1)</f>
        <v>9.5138888888888884E-2</v>
      </c>
      <c r="KJ24" s="962">
        <f>[1]!mbtool(2,17,0,1)</f>
        <v>9.5138888888888884E-2</v>
      </c>
      <c r="KK24" s="962">
        <f>[1]!mbtool(2,17,0,1)</f>
        <v>9.5138888888888884E-2</v>
      </c>
      <c r="KL24" s="962">
        <f>[1]!mbtool(2,17,0,1)</f>
        <v>9.5138888888888884E-2</v>
      </c>
      <c r="KM24" s="962">
        <f>[1]!mbtool(2,17,0,1)</f>
        <v>9.5138888888888884E-2</v>
      </c>
      <c r="KN24" s="962">
        <f>[1]!mbtool(2,17,0,1)</f>
        <v>9.5138888888888884E-2</v>
      </c>
      <c r="KO24" s="962">
        <f>[1]!mbtool(2,17,0,1)</f>
        <v>9.5138888888888884E-2</v>
      </c>
      <c r="KP24" s="962">
        <f>[1]!mbtool(2,17,0,1)</f>
        <v>9.5138888888888884E-2</v>
      </c>
      <c r="KQ24" s="962">
        <f>[1]!mbtool(2,17,0,1)</f>
        <v>9.5138888888888884E-2</v>
      </c>
      <c r="KR24" s="962">
        <f>[1]!mbtool(2,17,0,1)</f>
        <v>9.5138888888888884E-2</v>
      </c>
      <c r="KS24" s="962">
        <f>[1]!mbtool(2,17,0,1)</f>
        <v>9.5138888888888884E-2</v>
      </c>
      <c r="KT24" s="962">
        <f>[1]!mbtool(2,17,0,1)</f>
        <v>9.5138888888888884E-2</v>
      </c>
      <c r="KU24" s="962">
        <f>[1]!mbtool(2,17,0,1)</f>
        <v>9.5138888888888884E-2</v>
      </c>
      <c r="KV24" s="962">
        <f>[1]!mbtool(2,17,0,1)</f>
        <v>9.5138888888888884E-2</v>
      </c>
      <c r="KW24" s="962">
        <f>[1]!mbtool(2,17,0,1)</f>
        <v>9.5138888888888884E-2</v>
      </c>
      <c r="KX24" s="962">
        <f>[1]!mbtool(2,17,0,1)</f>
        <v>9.5138888888888884E-2</v>
      </c>
      <c r="KY24" s="962">
        <f>[1]!mbtool(2,17,0,1)</f>
        <v>9.5138888888888884E-2</v>
      </c>
      <c r="KZ24" s="962">
        <f>[1]!mbtool(2,17,0,1)</f>
        <v>9.5138888888888884E-2</v>
      </c>
      <c r="LA24" s="962">
        <f>[1]!mbtool(2,17,0,1)</f>
        <v>9.5138888888888884E-2</v>
      </c>
      <c r="LB24" s="962">
        <f>[1]!mbtool(2,17,0,1)</f>
        <v>9.5138888888888884E-2</v>
      </c>
      <c r="LC24" s="962">
        <f>[1]!mbtool(2,17,0,1)</f>
        <v>9.5138888888888884E-2</v>
      </c>
      <c r="LD24" s="962">
        <f>[1]!mbtool(2,17,0,1)</f>
        <v>9.5138888888888884E-2</v>
      </c>
      <c r="LE24" s="962">
        <f>[1]!mbtool(2,17,0,1)</f>
        <v>9.5138888888888884E-2</v>
      </c>
      <c r="LF24" s="962">
        <f>[1]!mbtool(2,17,0,1)</f>
        <v>9.5138888888888884E-2</v>
      </c>
      <c r="LG24" s="962">
        <f>[1]!mbtool(2,17,0,1)</f>
        <v>9.5138888888888884E-2</v>
      </c>
      <c r="LH24" s="962">
        <f>[1]!mbtool(2,17,0,1)</f>
        <v>9.5138888888888884E-2</v>
      </c>
      <c r="LI24" s="962">
        <f>[1]!mbtool(2,17,0,1)</f>
        <v>9.5138888888888884E-2</v>
      </c>
      <c r="LJ24" s="962">
        <f>[1]!mbtool(2,17,0,1)</f>
        <v>9.5138888888888884E-2</v>
      </c>
      <c r="LK24" s="962">
        <f>[1]!mbtool(2,17,0,1)</f>
        <v>9.5138888888888884E-2</v>
      </c>
      <c r="LL24" s="962">
        <f>[1]!mbtool(2,17,0,1)</f>
        <v>9.5138888888888884E-2</v>
      </c>
      <c r="LM24" s="962">
        <f>[1]!mbtool(2,17,0,1)</f>
        <v>9.5138888888888884E-2</v>
      </c>
      <c r="LN24" s="962">
        <f>[1]!mbtool(2,17,0,1)</f>
        <v>9.5138888888888884E-2</v>
      </c>
      <c r="LO24" s="962">
        <f>[1]!mbtool(2,17,0,1)</f>
        <v>9.5138888888888884E-2</v>
      </c>
      <c r="LP24" s="962">
        <f>[1]!mbtool(2,17,0,1)</f>
        <v>9.5138888888888884E-2</v>
      </c>
      <c r="LQ24" s="962">
        <f>[1]!mbtool(2,17,0,1)</f>
        <v>9.5138888888888884E-2</v>
      </c>
      <c r="LR24" s="962">
        <f>[1]!mbtool(2,17,0,1)</f>
        <v>9.5138888888888884E-2</v>
      </c>
      <c r="LS24" s="962">
        <f>[1]!mbtool(2,17,0,1)</f>
        <v>9.5138888888888884E-2</v>
      </c>
      <c r="LT24" s="962">
        <f>[1]!mbtool(2,17,0,1)</f>
        <v>9.5138888888888884E-2</v>
      </c>
      <c r="LU24" s="962">
        <f>[1]!mbtool(2,17,0,1)</f>
        <v>9.5138888888888884E-2</v>
      </c>
      <c r="LV24" s="962">
        <f>[1]!mbtool(2,17,0,1)</f>
        <v>9.5138888888888884E-2</v>
      </c>
      <c r="LW24" s="962">
        <f>[1]!mbtool(2,17,0,1)</f>
        <v>9.5138888888888884E-2</v>
      </c>
      <c r="LX24" s="962">
        <f>[1]!mbtool(2,17,0,1)</f>
        <v>9.5138888888888884E-2</v>
      </c>
      <c r="LY24" s="962">
        <f>[1]!mbtool(2,17,0,1)</f>
        <v>9.5138888888888884E-2</v>
      </c>
      <c r="LZ24" s="962">
        <f>[1]!mbtool(2,17,0,1)</f>
        <v>9.5138888888888884E-2</v>
      </c>
      <c r="MA24" s="962">
        <f>[1]!mbtool(2,17,0,1)</f>
        <v>9.5138888888888884E-2</v>
      </c>
      <c r="MB24" s="962">
        <f>[1]!mbtool(2,17,0,1)</f>
        <v>9.5138888888888884E-2</v>
      </c>
      <c r="MC24" s="962">
        <f>[1]!mbtool(2,17,0,1)</f>
        <v>9.5138888888888884E-2</v>
      </c>
      <c r="MD24" s="962">
        <f>[1]!mbtool(2,17,0,1)</f>
        <v>9.5138888888888884E-2</v>
      </c>
      <c r="ME24" s="962">
        <f>[1]!mbtool(2,17,0,1)</f>
        <v>9.5138888888888884E-2</v>
      </c>
      <c r="MF24" s="962">
        <f>[1]!mbtool(2,17,0,1)</f>
        <v>9.5138888888888884E-2</v>
      </c>
      <c r="MG24" s="962">
        <f>[1]!mbtool(2,17,0,1)</f>
        <v>9.5138888888888884E-2</v>
      </c>
      <c r="MH24" s="962">
        <f>[1]!mbtool(2,17,0,1)</f>
        <v>9.5138888888888884E-2</v>
      </c>
      <c r="MI24" s="962">
        <f>[1]!mbtool(2,17,0,1)</f>
        <v>9.5138888888888884E-2</v>
      </c>
      <c r="MJ24" s="962">
        <f>[1]!mbtool(2,17,0,1)</f>
        <v>9.5138888888888884E-2</v>
      </c>
      <c r="MK24" s="962">
        <f>[1]!mbtool(2,17,0,1)</f>
        <v>9.5138888888888884E-2</v>
      </c>
      <c r="ML24" s="962">
        <f>[1]!mbtool(2,17,0,1)</f>
        <v>9.5138888888888884E-2</v>
      </c>
      <c r="MM24" s="962">
        <f>[1]!mbtool(2,17,0,1)</f>
        <v>9.5138888888888884E-2</v>
      </c>
      <c r="MN24" s="962">
        <f>[1]!mbtool(2,17,0,1)</f>
        <v>9.5138888888888884E-2</v>
      </c>
      <c r="MO24" s="962">
        <f>[1]!mbtool(2,17,0,1)</f>
        <v>9.5138888888888884E-2</v>
      </c>
      <c r="MP24" s="962">
        <f>[1]!mbtool(2,17,0,1)</f>
        <v>9.5138888888888884E-2</v>
      </c>
      <c r="MQ24" s="962">
        <f>[1]!mbtool(2,17,0,1)</f>
        <v>9.5138888888888884E-2</v>
      </c>
      <c r="MR24" s="962">
        <f>[1]!mbtool(2,17,0,1)</f>
        <v>9.5138888888888884E-2</v>
      </c>
      <c r="MS24" s="962">
        <f>[1]!mbtool(2,17,0,1)</f>
        <v>9.5138888888888884E-2</v>
      </c>
      <c r="MT24" s="962">
        <f>[1]!mbtool(2,17,0,1)</f>
        <v>9.5138888888888884E-2</v>
      </c>
      <c r="MU24" s="962">
        <f>[1]!mbtool(2,17,0,1)</f>
        <v>9.5138888888888884E-2</v>
      </c>
      <c r="MV24" s="962">
        <f>[1]!mbtool(2,17,0,1)</f>
        <v>9.5138888888888884E-2</v>
      </c>
      <c r="MW24" s="962">
        <f>[1]!mbtool(2,17,0,1)</f>
        <v>9.5138888888888884E-2</v>
      </c>
      <c r="MX24" s="962">
        <f>[1]!mbtool(2,17,0,1)</f>
        <v>9.5138888888888884E-2</v>
      </c>
      <c r="MY24" s="962">
        <f>[1]!mbtool(2,17,0,1)</f>
        <v>9.5138888888888884E-2</v>
      </c>
      <c r="MZ24" s="962">
        <f>[1]!mbtool(2,17,0,1)</f>
        <v>9.5138888888888884E-2</v>
      </c>
      <c r="NA24" s="962">
        <f>[1]!mbtool(2,17,0,1)</f>
        <v>9.5138888888888884E-2</v>
      </c>
      <c r="NB24" s="962">
        <f>[1]!mbtool(2,17,0,1)</f>
        <v>9.5138888888888884E-2</v>
      </c>
      <c r="NC24" s="962">
        <f>[1]!mbtool(2,17,0,1)</f>
        <v>9.5138888888888884E-2</v>
      </c>
      <c r="ND24" s="962">
        <f>[1]!mbtool(2,17,0,1)</f>
        <v>9.5138888888888884E-2</v>
      </c>
      <c r="NE24" s="962">
        <f>[1]!mbtool(2,17,0,1)</f>
        <v>9.5138888888888884E-2</v>
      </c>
      <c r="NF24" s="962">
        <f>[1]!mbtool(2,17,0,1)</f>
        <v>9.5138888888888884E-2</v>
      </c>
      <c r="NG24" s="962">
        <f>[1]!mbtool(2,17,0,1)</f>
        <v>9.5138888888888884E-2</v>
      </c>
      <c r="NH24" s="962">
        <f>[1]!mbtool(2,17,0,1)</f>
        <v>9.5138888888888884E-2</v>
      </c>
      <c r="NI24" s="962">
        <f>[1]!mbtool(2,17,0,1)</f>
        <v>9.5138888888888884E-2</v>
      </c>
      <c r="NJ24" s="962">
        <f>[1]!mbtool(2,17,0,1)</f>
        <v>9.5138888888888884E-2</v>
      </c>
      <c r="NK24" s="962">
        <f>[1]!mbtool(2,17,0,1)</f>
        <v>9.5138888888888884E-2</v>
      </c>
      <c r="NL24" s="962">
        <f>[1]!mbtool(2,17,0,1)</f>
        <v>9.5138888888888884E-2</v>
      </c>
      <c r="NM24" s="962">
        <f>[1]!mbtool(2,17,0,1)</f>
        <v>9.5138888888888884E-2</v>
      </c>
      <c r="NN24" s="962">
        <f>[1]!mbtool(2,17,0,1)</f>
        <v>9.5138888888888884E-2</v>
      </c>
      <c r="NO24" s="962">
        <f>[1]!mbtool(2,17,0,1)</f>
        <v>9.5138888888888884E-2</v>
      </c>
      <c r="NP24" s="962">
        <f>[1]!mbtool(2,17,0,1)</f>
        <v>9.5138888888888884E-2</v>
      </c>
      <c r="NQ24" s="962">
        <f>[1]!mbtool(2,17,0,1)</f>
        <v>9.5138888888888884E-2</v>
      </c>
      <c r="NR24" s="962">
        <f>[1]!mbtool(2,17,0,1)</f>
        <v>9.5138888888888884E-2</v>
      </c>
      <c r="NS24" s="962">
        <f>[1]!mbtool(2,17,0,1)</f>
        <v>9.5138888888888884E-2</v>
      </c>
      <c r="NT24" s="962">
        <f>[1]!mbtool(2,17,0,1)</f>
        <v>9.5138888888888884E-2</v>
      </c>
      <c r="NU24" s="962">
        <f>[1]!mbtool(2,17,0,1)</f>
        <v>9.5138888888888884E-2</v>
      </c>
      <c r="NV24" s="962">
        <f>[1]!mbtool(2,17,0,1)</f>
        <v>9.5138888888888884E-2</v>
      </c>
      <c r="NW24" s="962">
        <f>[1]!mbtool(2,17,0,1)</f>
        <v>9.5138888888888884E-2</v>
      </c>
      <c r="NX24" s="962">
        <f>[1]!mbtool(2,17,0,1)</f>
        <v>9.5138888888888884E-2</v>
      </c>
      <c r="NY24" s="962">
        <f>[1]!mbtool(2,17,0,1)</f>
        <v>9.5138888888888884E-2</v>
      </c>
      <c r="NZ24" s="962">
        <f>[1]!mbtool(2,17,0,1)</f>
        <v>9.5138888888888884E-2</v>
      </c>
      <c r="OA24" s="962">
        <f>[1]!mbtool(2,17,0,1)</f>
        <v>9.5138888888888884E-2</v>
      </c>
      <c r="OB24" s="962">
        <f>[1]!mbtool(2,17,0,1)</f>
        <v>9.5138888888888884E-2</v>
      </c>
      <c r="OC24" s="962">
        <f>[1]!mbtool(2,17,0,1)</f>
        <v>9.5138888888888884E-2</v>
      </c>
      <c r="OD24" s="962">
        <f>[1]!mbtool(2,17,0,1)</f>
        <v>9.5138888888888884E-2</v>
      </c>
      <c r="OE24" s="962">
        <f>[1]!mbtool(2,17,0,1)</f>
        <v>9.5138888888888884E-2</v>
      </c>
      <c r="OF24" s="962">
        <f>[1]!mbtool(2,17,0,1)</f>
        <v>9.5138888888888884E-2</v>
      </c>
      <c r="OG24" s="962">
        <f>[1]!mbtool(2,17,0,1)</f>
        <v>9.5138888888888884E-2</v>
      </c>
      <c r="OH24" s="962">
        <f>[1]!mbtool(2,17,0,1)</f>
        <v>9.5138888888888884E-2</v>
      </c>
      <c r="OI24" s="962">
        <f>[1]!mbtool(2,17,0,1)</f>
        <v>9.5138888888888884E-2</v>
      </c>
      <c r="OJ24" s="962">
        <f>[1]!mbtool(2,17,0,1)</f>
        <v>9.5138888888888884E-2</v>
      </c>
      <c r="OK24" s="962">
        <f>[1]!mbtool(2,17,0,1)</f>
        <v>9.5138888888888884E-2</v>
      </c>
      <c r="OL24" s="962">
        <f>[1]!mbtool(2,17,0,1)</f>
        <v>9.5138888888888884E-2</v>
      </c>
      <c r="OM24" s="962">
        <f>[1]!mbtool(2,17,0,1)</f>
        <v>9.5138888888888884E-2</v>
      </c>
      <c r="ON24" s="962">
        <f>[1]!mbtool(2,17,0,1)</f>
        <v>9.5138888888888884E-2</v>
      </c>
      <c r="OO24" s="962">
        <f>[1]!mbtool(2,17,0,1)</f>
        <v>9.5138888888888884E-2</v>
      </c>
      <c r="OP24" s="962">
        <f>[1]!mbtool(2,17,0,1)</f>
        <v>9.5138888888888884E-2</v>
      </c>
      <c r="OQ24" s="962">
        <f>[1]!mbtool(2,17,0,1)</f>
        <v>9.5138888888888884E-2</v>
      </c>
      <c r="OR24" s="962">
        <f>[1]!mbtool(2,17,0,1)</f>
        <v>9.5138888888888884E-2</v>
      </c>
      <c r="OS24" s="962">
        <f>[1]!mbtool(2,17,0,1)</f>
        <v>9.5138888888888884E-2</v>
      </c>
      <c r="OT24" s="962">
        <f>[1]!mbtool(2,17,0,1)</f>
        <v>9.5138888888888884E-2</v>
      </c>
      <c r="OU24" s="962">
        <f>[1]!mbtool(2,17,0,1)</f>
        <v>9.5138888888888884E-2</v>
      </c>
      <c r="OV24" s="962">
        <f>[1]!mbtool(2,17,0,1)</f>
        <v>9.5138888888888884E-2</v>
      </c>
      <c r="OW24" s="962">
        <f>[1]!mbtool(2,17,0,1)</f>
        <v>9.5138888888888884E-2</v>
      </c>
      <c r="OX24" s="962">
        <f>[1]!mbtool(2,17,0,1)</f>
        <v>9.5138888888888884E-2</v>
      </c>
      <c r="OY24" s="962">
        <f>[1]!mbtool(2,17,0,1)</f>
        <v>9.5138888888888884E-2</v>
      </c>
      <c r="OZ24" s="962">
        <f>[1]!mbtool(2,17,0,1)</f>
        <v>9.5138888888888884E-2</v>
      </c>
      <c r="PA24" s="962">
        <f>[1]!mbtool(2,17,0,1)</f>
        <v>9.5138888888888884E-2</v>
      </c>
      <c r="PB24" s="962">
        <f>[1]!mbtool(2,17,0,1)</f>
        <v>9.5138888888888884E-2</v>
      </c>
      <c r="PC24" s="962">
        <f>[1]!mbtool(2,17,0,1)</f>
        <v>9.5138888888888884E-2</v>
      </c>
      <c r="PD24" s="962">
        <f>[1]!mbtool(2,17,0,1)</f>
        <v>9.5138888888888884E-2</v>
      </c>
      <c r="PE24" s="962">
        <f>[1]!mbtool(2,17,0,1)</f>
        <v>9.5138888888888884E-2</v>
      </c>
      <c r="PF24" s="962">
        <f>[1]!mbtool(2,17,0,1)</f>
        <v>9.5138888888888884E-2</v>
      </c>
      <c r="PG24" s="962">
        <f>[1]!mbtool(2,17,0,1)</f>
        <v>9.5138888888888884E-2</v>
      </c>
      <c r="PH24" s="962">
        <f>[1]!mbtool(2,17,0,1)</f>
        <v>9.5138888888888884E-2</v>
      </c>
      <c r="PI24" s="962">
        <f>[1]!mbtool(2,17,0,1)</f>
        <v>9.5138888888888884E-2</v>
      </c>
      <c r="PJ24" s="962">
        <f>[1]!mbtool(2,17,0,1)</f>
        <v>9.5138888888888884E-2</v>
      </c>
      <c r="PK24" s="962">
        <f>[1]!mbtool(2,17,0,1)</f>
        <v>9.5138888888888884E-2</v>
      </c>
      <c r="PL24" s="962">
        <f>[1]!mbtool(2,17,0,1)</f>
        <v>9.5138888888888884E-2</v>
      </c>
      <c r="PM24" s="962">
        <f>[1]!mbtool(2,17,0,1)</f>
        <v>9.5138888888888884E-2</v>
      </c>
      <c r="PN24" s="962">
        <f>[1]!mbtool(2,17,0,1)</f>
        <v>9.5138888888888884E-2</v>
      </c>
      <c r="PO24" s="962">
        <f>[1]!mbtool(2,17,0,1)</f>
        <v>9.5138888888888884E-2</v>
      </c>
      <c r="PP24" s="962">
        <f>[1]!mbtool(2,17,0,1)</f>
        <v>9.5138888888888884E-2</v>
      </c>
      <c r="PQ24" s="962">
        <f>[1]!mbtool(2,17,0,1)</f>
        <v>9.5138888888888884E-2</v>
      </c>
      <c r="PR24" s="962">
        <f>[1]!mbtool(2,17,0,1)</f>
        <v>9.5138888888888884E-2</v>
      </c>
      <c r="PS24" s="962">
        <f>[1]!mbtool(2,17,0,1)</f>
        <v>9.5138888888888884E-2</v>
      </c>
      <c r="PT24" s="962">
        <f>[1]!mbtool(2,17,0,1)</f>
        <v>9.5138888888888884E-2</v>
      </c>
      <c r="PU24" s="962">
        <f>[1]!mbtool(2,17,0,1)</f>
        <v>9.5138888888888884E-2</v>
      </c>
      <c r="PV24" s="962">
        <f>[1]!mbtool(2,17,0,1)</f>
        <v>9.5138888888888884E-2</v>
      </c>
      <c r="PW24" s="962">
        <f>[1]!mbtool(2,17,0,1)</f>
        <v>9.5138888888888884E-2</v>
      </c>
      <c r="PX24" s="962">
        <f>[1]!mbtool(2,17,0,1)</f>
        <v>9.5138888888888884E-2</v>
      </c>
      <c r="PY24" s="962">
        <f>[1]!mbtool(2,17,0,1)</f>
        <v>9.5138888888888884E-2</v>
      </c>
      <c r="PZ24" s="962">
        <f>[1]!mbtool(2,17,0,1)</f>
        <v>9.5138888888888884E-2</v>
      </c>
      <c r="QA24" s="962">
        <f>[1]!mbtool(2,17,0,1)</f>
        <v>9.5138888888888884E-2</v>
      </c>
      <c r="QB24" s="962">
        <f>[1]!mbtool(2,17,0,1)</f>
        <v>9.5138888888888884E-2</v>
      </c>
      <c r="QC24" s="962">
        <f>[1]!mbtool(2,17,0,1)</f>
        <v>9.5138888888888884E-2</v>
      </c>
      <c r="QD24" s="962">
        <f>[1]!mbtool(2,17,0,1)</f>
        <v>9.5138888888888884E-2</v>
      </c>
      <c r="QE24" s="962">
        <f>[1]!mbtool(2,17,0,1)</f>
        <v>9.5138888888888884E-2</v>
      </c>
      <c r="QF24" s="962">
        <f>[1]!mbtool(2,17,0,1)</f>
        <v>9.5138888888888884E-2</v>
      </c>
      <c r="QG24" s="962">
        <f>[1]!mbtool(2,17,0,1)</f>
        <v>9.5138888888888884E-2</v>
      </c>
      <c r="QH24" s="962">
        <f>[1]!mbtool(2,17,0,1)</f>
        <v>9.5138888888888884E-2</v>
      </c>
      <c r="QI24" s="962">
        <f>[1]!mbtool(2,17,0,1)</f>
        <v>9.5138888888888884E-2</v>
      </c>
      <c r="QJ24" s="962">
        <f>[1]!mbtool(2,17,0,1)</f>
        <v>9.5138888888888884E-2</v>
      </c>
      <c r="QK24" s="962">
        <f>[1]!mbtool(2,17,0,1)</f>
        <v>9.5138888888888884E-2</v>
      </c>
      <c r="QL24" s="962">
        <f>[1]!mbtool(2,17,0,1)</f>
        <v>9.5138888888888884E-2</v>
      </c>
      <c r="QM24" s="962">
        <f>[1]!mbtool(2,17,0,1)</f>
        <v>9.5138888888888884E-2</v>
      </c>
      <c r="QN24" s="962">
        <f>[1]!mbtool(2,17,0,1)</f>
        <v>9.5138888888888884E-2</v>
      </c>
      <c r="QO24" s="962">
        <f>[1]!mbtool(2,17,0,1)</f>
        <v>9.5138888888888884E-2</v>
      </c>
      <c r="QP24" s="962">
        <f>[1]!mbtool(2,17,0,1)</f>
        <v>9.5138888888888884E-2</v>
      </c>
      <c r="QQ24" s="962">
        <f>[1]!mbtool(2,17,0,1)</f>
        <v>9.5138888888888884E-2</v>
      </c>
      <c r="QR24" s="962">
        <f>[1]!mbtool(2,17,0,1)</f>
        <v>9.5138888888888884E-2</v>
      </c>
      <c r="QS24" s="962">
        <f>[1]!mbtool(2,17,0,1)</f>
        <v>9.5138888888888884E-2</v>
      </c>
      <c r="QT24" s="962">
        <f>[1]!mbtool(2,17,0,1)</f>
        <v>9.5138888888888884E-2</v>
      </c>
      <c r="QU24" s="962">
        <f>[1]!mbtool(2,17,0,1)</f>
        <v>9.5138888888888884E-2</v>
      </c>
      <c r="QV24" s="962">
        <f>[1]!mbtool(2,17,0,1)</f>
        <v>9.5138888888888884E-2</v>
      </c>
      <c r="QW24" s="962">
        <f>[1]!mbtool(2,17,0,1)</f>
        <v>9.5138888888888884E-2</v>
      </c>
      <c r="QX24" s="962">
        <f>[1]!mbtool(2,17,0,1)</f>
        <v>9.5138888888888884E-2</v>
      </c>
      <c r="QY24" s="962">
        <f>[1]!mbtool(2,17,0,1)</f>
        <v>9.5138888888888884E-2</v>
      </c>
      <c r="QZ24" s="962">
        <f>[1]!mbtool(2,17,0,1)</f>
        <v>9.5138888888888884E-2</v>
      </c>
      <c r="RA24" s="963"/>
    </row>
    <row r="25" spans="1:471" ht="17.25">
      <c r="A25" s="22">
        <f>A22</f>
        <v>22</v>
      </c>
      <c r="B25" s="22">
        <f>B22</f>
        <v>9</v>
      </c>
      <c r="C25" s="22">
        <f>C22</f>
        <v>1442</v>
      </c>
      <c r="D25" t="str">
        <f>D22</f>
        <v>شمسی</v>
      </c>
      <c r="E25">
        <f>E22</f>
        <v>16</v>
      </c>
      <c r="J25" s="30"/>
      <c r="K25" s="30"/>
      <c r="L25" s="30"/>
      <c r="M25" s="30"/>
      <c r="N25" s="30"/>
      <c r="O25" s="30"/>
      <c r="P25" s="30"/>
      <c r="Q25" s="30"/>
      <c r="R25" s="30"/>
      <c r="S25" s="30"/>
      <c r="T25" s="30"/>
      <c r="U25" s="30"/>
      <c r="V25" s="30"/>
      <c r="W25" s="30"/>
      <c r="X25" s="30"/>
      <c r="Y25" s="30"/>
      <c r="Z25" s="30"/>
      <c r="AA25" s="30"/>
      <c r="AK25" s="759"/>
      <c r="AL25" s="701"/>
      <c r="AM25" s="304"/>
      <c r="AN25" s="304"/>
      <c r="AO25" s="304"/>
      <c r="AP25" s="304"/>
      <c r="AQ25" s="304"/>
      <c r="AR25" s="304"/>
      <c r="AS25" s="304"/>
      <c r="AT25" s="304"/>
      <c r="AU25" s="304"/>
      <c r="AV25" s="304"/>
      <c r="AW25" s="304"/>
      <c r="AX25" s="314"/>
      <c r="AZ25" s="732"/>
      <c r="BA25" s="731" t="e">
        <f>(BA23/BA24)+1</f>
        <v>#VALUE!</v>
      </c>
      <c r="DI25" s="797"/>
      <c r="DJ25" s="961">
        <f t="shared" ref="DJ25:FU25" si="304">35+(41/60)</f>
        <v>35.68333333333333</v>
      </c>
      <c r="DK25" s="962">
        <f t="shared" si="304"/>
        <v>35.68333333333333</v>
      </c>
      <c r="DL25" s="962">
        <f t="shared" si="304"/>
        <v>35.68333333333333</v>
      </c>
      <c r="DM25" s="962">
        <f t="shared" si="304"/>
        <v>35.68333333333333</v>
      </c>
      <c r="DN25" s="962">
        <f t="shared" si="304"/>
        <v>35.68333333333333</v>
      </c>
      <c r="DO25" s="962">
        <f t="shared" si="304"/>
        <v>35.68333333333333</v>
      </c>
      <c r="DP25" s="962">
        <f t="shared" si="304"/>
        <v>35.68333333333333</v>
      </c>
      <c r="DQ25" s="962">
        <f t="shared" si="304"/>
        <v>35.68333333333333</v>
      </c>
      <c r="DR25" s="962">
        <f t="shared" si="304"/>
        <v>35.68333333333333</v>
      </c>
      <c r="DS25" s="962">
        <f t="shared" si="304"/>
        <v>35.68333333333333</v>
      </c>
      <c r="DT25" s="962">
        <f t="shared" si="304"/>
        <v>35.68333333333333</v>
      </c>
      <c r="DU25" s="962">
        <f t="shared" si="304"/>
        <v>35.68333333333333</v>
      </c>
      <c r="DV25" s="962">
        <f t="shared" si="304"/>
        <v>35.68333333333333</v>
      </c>
      <c r="DW25" s="962">
        <f t="shared" si="304"/>
        <v>35.68333333333333</v>
      </c>
      <c r="DX25" s="962">
        <f t="shared" si="304"/>
        <v>35.68333333333333</v>
      </c>
      <c r="DY25" s="962">
        <f t="shared" si="304"/>
        <v>35.68333333333333</v>
      </c>
      <c r="DZ25" s="962">
        <f t="shared" si="304"/>
        <v>35.68333333333333</v>
      </c>
      <c r="EA25" s="962">
        <f t="shared" si="304"/>
        <v>35.68333333333333</v>
      </c>
      <c r="EB25" s="962">
        <f t="shared" si="304"/>
        <v>35.68333333333333</v>
      </c>
      <c r="EC25" s="962">
        <f t="shared" si="304"/>
        <v>35.68333333333333</v>
      </c>
      <c r="ED25" s="962">
        <f t="shared" si="304"/>
        <v>35.68333333333333</v>
      </c>
      <c r="EE25" s="962">
        <f t="shared" si="304"/>
        <v>35.68333333333333</v>
      </c>
      <c r="EF25" s="962">
        <f t="shared" si="304"/>
        <v>35.68333333333333</v>
      </c>
      <c r="EG25" s="962">
        <f t="shared" si="304"/>
        <v>35.68333333333333</v>
      </c>
      <c r="EH25" s="962">
        <f t="shared" si="304"/>
        <v>35.68333333333333</v>
      </c>
      <c r="EI25" s="962">
        <f t="shared" si="304"/>
        <v>35.68333333333333</v>
      </c>
      <c r="EJ25" s="962">
        <f t="shared" si="304"/>
        <v>35.68333333333333</v>
      </c>
      <c r="EK25" s="962">
        <f t="shared" si="304"/>
        <v>35.68333333333333</v>
      </c>
      <c r="EL25" s="962">
        <f t="shared" si="304"/>
        <v>35.68333333333333</v>
      </c>
      <c r="EM25" s="962">
        <f t="shared" si="304"/>
        <v>35.68333333333333</v>
      </c>
      <c r="EN25" s="962">
        <f t="shared" si="304"/>
        <v>35.68333333333333</v>
      </c>
      <c r="EO25" s="962">
        <f t="shared" si="304"/>
        <v>35.68333333333333</v>
      </c>
      <c r="EP25" s="962">
        <f t="shared" si="304"/>
        <v>35.68333333333333</v>
      </c>
      <c r="EQ25" s="962">
        <f t="shared" si="304"/>
        <v>35.68333333333333</v>
      </c>
      <c r="ER25" s="962">
        <f t="shared" si="304"/>
        <v>35.68333333333333</v>
      </c>
      <c r="ES25" s="962">
        <f t="shared" si="304"/>
        <v>35.68333333333333</v>
      </c>
      <c r="ET25" s="962">
        <f t="shared" si="304"/>
        <v>35.68333333333333</v>
      </c>
      <c r="EU25" s="962">
        <f t="shared" si="304"/>
        <v>35.68333333333333</v>
      </c>
      <c r="EV25" s="962">
        <f t="shared" si="304"/>
        <v>35.68333333333333</v>
      </c>
      <c r="EW25" s="962">
        <f t="shared" si="304"/>
        <v>35.68333333333333</v>
      </c>
      <c r="EX25" s="962">
        <f t="shared" si="304"/>
        <v>35.68333333333333</v>
      </c>
      <c r="EY25" s="962">
        <f t="shared" si="304"/>
        <v>35.68333333333333</v>
      </c>
      <c r="EZ25" s="962">
        <f t="shared" si="304"/>
        <v>35.68333333333333</v>
      </c>
      <c r="FA25" s="962">
        <f t="shared" si="304"/>
        <v>35.68333333333333</v>
      </c>
      <c r="FB25" s="962">
        <f t="shared" si="304"/>
        <v>35.68333333333333</v>
      </c>
      <c r="FC25" s="962">
        <f t="shared" si="304"/>
        <v>35.68333333333333</v>
      </c>
      <c r="FD25" s="962">
        <f t="shared" si="304"/>
        <v>35.68333333333333</v>
      </c>
      <c r="FE25" s="962">
        <f t="shared" si="304"/>
        <v>35.68333333333333</v>
      </c>
      <c r="FF25" s="962">
        <f t="shared" si="304"/>
        <v>35.68333333333333</v>
      </c>
      <c r="FG25" s="962">
        <f t="shared" si="304"/>
        <v>35.68333333333333</v>
      </c>
      <c r="FH25" s="962">
        <f t="shared" si="304"/>
        <v>35.68333333333333</v>
      </c>
      <c r="FI25" s="962">
        <f t="shared" si="304"/>
        <v>35.68333333333333</v>
      </c>
      <c r="FJ25" s="962">
        <f t="shared" si="304"/>
        <v>35.68333333333333</v>
      </c>
      <c r="FK25" s="962">
        <f t="shared" si="304"/>
        <v>35.68333333333333</v>
      </c>
      <c r="FL25" s="962">
        <f t="shared" si="304"/>
        <v>35.68333333333333</v>
      </c>
      <c r="FM25" s="962">
        <f t="shared" si="304"/>
        <v>35.68333333333333</v>
      </c>
      <c r="FN25" s="962">
        <f t="shared" si="304"/>
        <v>35.68333333333333</v>
      </c>
      <c r="FO25" s="962">
        <f t="shared" si="304"/>
        <v>35.68333333333333</v>
      </c>
      <c r="FP25" s="962">
        <f t="shared" si="304"/>
        <v>35.68333333333333</v>
      </c>
      <c r="FQ25" s="962">
        <f t="shared" si="304"/>
        <v>35.68333333333333</v>
      </c>
      <c r="FR25" s="962">
        <f t="shared" si="304"/>
        <v>35.68333333333333</v>
      </c>
      <c r="FS25" s="962">
        <f t="shared" si="304"/>
        <v>35.68333333333333</v>
      </c>
      <c r="FT25" s="962">
        <f t="shared" si="304"/>
        <v>35.68333333333333</v>
      </c>
      <c r="FU25" s="962">
        <f t="shared" si="304"/>
        <v>35.68333333333333</v>
      </c>
      <c r="FV25" s="962">
        <f t="shared" ref="FV25:IG25" si="305">35+(41/60)</f>
        <v>35.68333333333333</v>
      </c>
      <c r="FW25" s="962">
        <f t="shared" si="305"/>
        <v>35.68333333333333</v>
      </c>
      <c r="FX25" s="962">
        <f t="shared" si="305"/>
        <v>35.68333333333333</v>
      </c>
      <c r="FY25" s="962">
        <f t="shared" si="305"/>
        <v>35.68333333333333</v>
      </c>
      <c r="FZ25" s="962">
        <f t="shared" si="305"/>
        <v>35.68333333333333</v>
      </c>
      <c r="GA25" s="962">
        <f t="shared" si="305"/>
        <v>35.68333333333333</v>
      </c>
      <c r="GB25" s="962">
        <f t="shared" si="305"/>
        <v>35.68333333333333</v>
      </c>
      <c r="GC25" s="962">
        <f t="shared" si="305"/>
        <v>35.68333333333333</v>
      </c>
      <c r="GD25" s="962">
        <f t="shared" si="305"/>
        <v>35.68333333333333</v>
      </c>
      <c r="GE25" s="962">
        <f t="shared" si="305"/>
        <v>35.68333333333333</v>
      </c>
      <c r="GF25" s="962">
        <f t="shared" si="305"/>
        <v>35.68333333333333</v>
      </c>
      <c r="GG25" s="962">
        <f t="shared" si="305"/>
        <v>35.68333333333333</v>
      </c>
      <c r="GH25" s="962">
        <f t="shared" si="305"/>
        <v>35.68333333333333</v>
      </c>
      <c r="GI25" s="962">
        <f t="shared" si="305"/>
        <v>35.68333333333333</v>
      </c>
      <c r="GJ25" s="962">
        <f t="shared" si="305"/>
        <v>35.68333333333333</v>
      </c>
      <c r="GK25" s="962">
        <f t="shared" si="305"/>
        <v>35.68333333333333</v>
      </c>
      <c r="GL25" s="962">
        <f t="shared" si="305"/>
        <v>35.68333333333333</v>
      </c>
      <c r="GM25" s="962">
        <f t="shared" si="305"/>
        <v>35.68333333333333</v>
      </c>
      <c r="GN25" s="962">
        <f t="shared" si="305"/>
        <v>35.68333333333333</v>
      </c>
      <c r="GO25" s="962">
        <f t="shared" si="305"/>
        <v>35.68333333333333</v>
      </c>
      <c r="GP25" s="962">
        <f t="shared" si="305"/>
        <v>35.68333333333333</v>
      </c>
      <c r="GQ25" s="962">
        <f t="shared" si="305"/>
        <v>35.68333333333333</v>
      </c>
      <c r="GR25" s="962">
        <f t="shared" si="305"/>
        <v>35.68333333333333</v>
      </c>
      <c r="GS25" s="962">
        <f t="shared" si="305"/>
        <v>35.68333333333333</v>
      </c>
      <c r="GT25" s="962">
        <f t="shared" si="305"/>
        <v>35.68333333333333</v>
      </c>
      <c r="GU25" s="962">
        <f t="shared" si="305"/>
        <v>35.68333333333333</v>
      </c>
      <c r="GV25" s="962">
        <f t="shared" si="305"/>
        <v>35.68333333333333</v>
      </c>
      <c r="GW25" s="962">
        <f t="shared" si="305"/>
        <v>35.68333333333333</v>
      </c>
      <c r="GX25" s="962">
        <f t="shared" si="305"/>
        <v>35.68333333333333</v>
      </c>
      <c r="GY25" s="962">
        <f t="shared" si="305"/>
        <v>35.68333333333333</v>
      </c>
      <c r="GZ25" s="962">
        <f t="shared" si="305"/>
        <v>35.68333333333333</v>
      </c>
      <c r="HA25" s="962">
        <f t="shared" si="305"/>
        <v>35.68333333333333</v>
      </c>
      <c r="HB25" s="962">
        <f t="shared" si="305"/>
        <v>35.68333333333333</v>
      </c>
      <c r="HC25" s="962">
        <f t="shared" si="305"/>
        <v>35.68333333333333</v>
      </c>
      <c r="HD25" s="962">
        <f t="shared" si="305"/>
        <v>35.68333333333333</v>
      </c>
      <c r="HE25" s="962">
        <f t="shared" si="305"/>
        <v>35.68333333333333</v>
      </c>
      <c r="HF25" s="962">
        <f t="shared" si="305"/>
        <v>35.68333333333333</v>
      </c>
      <c r="HG25" s="962">
        <f t="shared" si="305"/>
        <v>35.68333333333333</v>
      </c>
      <c r="HH25" s="962">
        <f t="shared" si="305"/>
        <v>35.68333333333333</v>
      </c>
      <c r="HI25" s="962">
        <f t="shared" si="305"/>
        <v>35.68333333333333</v>
      </c>
      <c r="HJ25" s="962">
        <f t="shared" si="305"/>
        <v>35.68333333333333</v>
      </c>
      <c r="HK25" s="962">
        <f t="shared" si="305"/>
        <v>35.68333333333333</v>
      </c>
      <c r="HL25" s="962">
        <f t="shared" si="305"/>
        <v>35.68333333333333</v>
      </c>
      <c r="HM25" s="962">
        <f t="shared" si="305"/>
        <v>35.68333333333333</v>
      </c>
      <c r="HN25" s="962">
        <f t="shared" si="305"/>
        <v>35.68333333333333</v>
      </c>
      <c r="HO25" s="962">
        <f t="shared" si="305"/>
        <v>35.68333333333333</v>
      </c>
      <c r="HP25" s="962">
        <f t="shared" si="305"/>
        <v>35.68333333333333</v>
      </c>
      <c r="HQ25" s="962">
        <f t="shared" si="305"/>
        <v>35.68333333333333</v>
      </c>
      <c r="HR25" s="962">
        <f t="shared" si="305"/>
        <v>35.68333333333333</v>
      </c>
      <c r="HS25" s="962">
        <f t="shared" si="305"/>
        <v>35.68333333333333</v>
      </c>
      <c r="HT25" s="962">
        <f t="shared" si="305"/>
        <v>35.68333333333333</v>
      </c>
      <c r="HU25" s="962">
        <f t="shared" si="305"/>
        <v>35.68333333333333</v>
      </c>
      <c r="HV25" s="962">
        <f t="shared" si="305"/>
        <v>35.68333333333333</v>
      </c>
      <c r="HW25" s="962">
        <f t="shared" si="305"/>
        <v>35.68333333333333</v>
      </c>
      <c r="HX25" s="962">
        <f t="shared" si="305"/>
        <v>35.68333333333333</v>
      </c>
      <c r="HY25" s="962">
        <f t="shared" si="305"/>
        <v>35.68333333333333</v>
      </c>
      <c r="HZ25" s="962">
        <f t="shared" si="305"/>
        <v>35.68333333333333</v>
      </c>
      <c r="IA25" s="962">
        <f t="shared" si="305"/>
        <v>35.68333333333333</v>
      </c>
      <c r="IB25" s="962">
        <f t="shared" si="305"/>
        <v>35.68333333333333</v>
      </c>
      <c r="IC25" s="962">
        <f t="shared" si="305"/>
        <v>35.68333333333333</v>
      </c>
      <c r="ID25" s="962">
        <f t="shared" si="305"/>
        <v>35.68333333333333</v>
      </c>
      <c r="IE25" s="962">
        <f t="shared" si="305"/>
        <v>35.68333333333333</v>
      </c>
      <c r="IF25" s="962">
        <f t="shared" si="305"/>
        <v>35.68333333333333</v>
      </c>
      <c r="IG25" s="962">
        <f t="shared" si="305"/>
        <v>35.68333333333333</v>
      </c>
      <c r="IH25" s="962">
        <f t="shared" ref="IH25:KS25" si="306">35+(41/60)</f>
        <v>35.68333333333333</v>
      </c>
      <c r="II25" s="962">
        <f t="shared" si="306"/>
        <v>35.68333333333333</v>
      </c>
      <c r="IJ25" s="962">
        <f t="shared" si="306"/>
        <v>35.68333333333333</v>
      </c>
      <c r="IK25" s="962">
        <f t="shared" si="306"/>
        <v>35.68333333333333</v>
      </c>
      <c r="IL25" s="962">
        <f t="shared" si="306"/>
        <v>35.68333333333333</v>
      </c>
      <c r="IM25" s="962">
        <f t="shared" si="306"/>
        <v>35.68333333333333</v>
      </c>
      <c r="IN25" s="962">
        <f t="shared" si="306"/>
        <v>35.68333333333333</v>
      </c>
      <c r="IO25" s="962">
        <f t="shared" si="306"/>
        <v>35.68333333333333</v>
      </c>
      <c r="IP25" s="962">
        <f t="shared" si="306"/>
        <v>35.68333333333333</v>
      </c>
      <c r="IQ25" s="962">
        <f t="shared" si="306"/>
        <v>35.68333333333333</v>
      </c>
      <c r="IR25" s="962">
        <f t="shared" si="306"/>
        <v>35.68333333333333</v>
      </c>
      <c r="IS25" s="962">
        <f t="shared" si="306"/>
        <v>35.68333333333333</v>
      </c>
      <c r="IT25" s="962">
        <f t="shared" si="306"/>
        <v>35.68333333333333</v>
      </c>
      <c r="IU25" s="962">
        <f t="shared" si="306"/>
        <v>35.68333333333333</v>
      </c>
      <c r="IV25" s="962">
        <f t="shared" si="306"/>
        <v>35.68333333333333</v>
      </c>
      <c r="IW25" s="962">
        <f t="shared" si="306"/>
        <v>35.68333333333333</v>
      </c>
      <c r="IX25" s="962">
        <f t="shared" si="306"/>
        <v>35.68333333333333</v>
      </c>
      <c r="IY25" s="962">
        <f t="shared" si="306"/>
        <v>35.68333333333333</v>
      </c>
      <c r="IZ25" s="962">
        <f t="shared" si="306"/>
        <v>35.68333333333333</v>
      </c>
      <c r="JA25" s="962">
        <f t="shared" si="306"/>
        <v>35.68333333333333</v>
      </c>
      <c r="JB25" s="962">
        <f t="shared" si="306"/>
        <v>35.68333333333333</v>
      </c>
      <c r="JC25" s="962">
        <f t="shared" si="306"/>
        <v>35.68333333333333</v>
      </c>
      <c r="JD25" s="962">
        <f t="shared" si="306"/>
        <v>35.68333333333333</v>
      </c>
      <c r="JE25" s="962">
        <f t="shared" si="306"/>
        <v>35.68333333333333</v>
      </c>
      <c r="JF25" s="962">
        <f t="shared" si="306"/>
        <v>35.68333333333333</v>
      </c>
      <c r="JG25" s="962">
        <f t="shared" si="306"/>
        <v>35.68333333333333</v>
      </c>
      <c r="JH25" s="962">
        <f t="shared" si="306"/>
        <v>35.68333333333333</v>
      </c>
      <c r="JI25" s="962">
        <f t="shared" si="306"/>
        <v>35.68333333333333</v>
      </c>
      <c r="JJ25" s="962">
        <f t="shared" si="306"/>
        <v>35.68333333333333</v>
      </c>
      <c r="JK25" s="962">
        <f t="shared" si="306"/>
        <v>35.68333333333333</v>
      </c>
      <c r="JL25" s="962">
        <f t="shared" si="306"/>
        <v>35.68333333333333</v>
      </c>
      <c r="JM25" s="962">
        <f t="shared" si="306"/>
        <v>35.68333333333333</v>
      </c>
      <c r="JN25" s="962">
        <f t="shared" si="306"/>
        <v>35.68333333333333</v>
      </c>
      <c r="JO25" s="962">
        <f t="shared" si="306"/>
        <v>35.68333333333333</v>
      </c>
      <c r="JP25" s="962">
        <f t="shared" si="306"/>
        <v>35.68333333333333</v>
      </c>
      <c r="JQ25" s="962">
        <f t="shared" si="306"/>
        <v>35.68333333333333</v>
      </c>
      <c r="JR25" s="962">
        <f t="shared" si="306"/>
        <v>35.68333333333333</v>
      </c>
      <c r="JS25" s="962">
        <f t="shared" si="306"/>
        <v>35.68333333333333</v>
      </c>
      <c r="JT25" s="962">
        <f t="shared" si="306"/>
        <v>35.68333333333333</v>
      </c>
      <c r="JU25" s="962">
        <f t="shared" si="306"/>
        <v>35.68333333333333</v>
      </c>
      <c r="JV25" s="962">
        <f t="shared" si="306"/>
        <v>35.68333333333333</v>
      </c>
      <c r="JW25" s="962">
        <f t="shared" si="306"/>
        <v>35.68333333333333</v>
      </c>
      <c r="JX25" s="962">
        <f t="shared" si="306"/>
        <v>35.68333333333333</v>
      </c>
      <c r="JY25" s="962">
        <f t="shared" si="306"/>
        <v>35.68333333333333</v>
      </c>
      <c r="JZ25" s="962">
        <f t="shared" si="306"/>
        <v>35.68333333333333</v>
      </c>
      <c r="KA25" s="962">
        <f t="shared" si="306"/>
        <v>35.68333333333333</v>
      </c>
      <c r="KB25" s="962">
        <f t="shared" si="306"/>
        <v>35.68333333333333</v>
      </c>
      <c r="KC25" s="962">
        <f t="shared" si="306"/>
        <v>35.68333333333333</v>
      </c>
      <c r="KD25" s="962">
        <f t="shared" si="306"/>
        <v>35.68333333333333</v>
      </c>
      <c r="KE25" s="962">
        <f t="shared" si="306"/>
        <v>35.68333333333333</v>
      </c>
      <c r="KF25" s="962">
        <f t="shared" si="306"/>
        <v>35.68333333333333</v>
      </c>
      <c r="KG25" s="962">
        <f t="shared" si="306"/>
        <v>35.68333333333333</v>
      </c>
      <c r="KH25" s="962">
        <f t="shared" si="306"/>
        <v>35.68333333333333</v>
      </c>
      <c r="KI25" s="962">
        <f t="shared" si="306"/>
        <v>35.68333333333333</v>
      </c>
      <c r="KJ25" s="962">
        <f t="shared" si="306"/>
        <v>35.68333333333333</v>
      </c>
      <c r="KK25" s="962">
        <f t="shared" si="306"/>
        <v>35.68333333333333</v>
      </c>
      <c r="KL25" s="962">
        <f t="shared" si="306"/>
        <v>35.68333333333333</v>
      </c>
      <c r="KM25" s="962">
        <f t="shared" si="306"/>
        <v>35.68333333333333</v>
      </c>
      <c r="KN25" s="962">
        <f t="shared" si="306"/>
        <v>35.68333333333333</v>
      </c>
      <c r="KO25" s="962">
        <f t="shared" si="306"/>
        <v>35.68333333333333</v>
      </c>
      <c r="KP25" s="962">
        <f t="shared" si="306"/>
        <v>35.68333333333333</v>
      </c>
      <c r="KQ25" s="962">
        <f t="shared" si="306"/>
        <v>35.68333333333333</v>
      </c>
      <c r="KR25" s="962">
        <f t="shared" si="306"/>
        <v>35.68333333333333</v>
      </c>
      <c r="KS25" s="962">
        <f t="shared" si="306"/>
        <v>35.68333333333333</v>
      </c>
      <c r="KT25" s="962">
        <f t="shared" ref="KT25:NE25" si="307">35+(41/60)</f>
        <v>35.68333333333333</v>
      </c>
      <c r="KU25" s="962">
        <f t="shared" si="307"/>
        <v>35.68333333333333</v>
      </c>
      <c r="KV25" s="962">
        <f t="shared" si="307"/>
        <v>35.68333333333333</v>
      </c>
      <c r="KW25" s="962">
        <f t="shared" si="307"/>
        <v>35.68333333333333</v>
      </c>
      <c r="KX25" s="962">
        <f t="shared" si="307"/>
        <v>35.68333333333333</v>
      </c>
      <c r="KY25" s="962">
        <f t="shared" si="307"/>
        <v>35.68333333333333</v>
      </c>
      <c r="KZ25" s="962">
        <f t="shared" si="307"/>
        <v>35.68333333333333</v>
      </c>
      <c r="LA25" s="962">
        <f t="shared" si="307"/>
        <v>35.68333333333333</v>
      </c>
      <c r="LB25" s="962">
        <f t="shared" si="307"/>
        <v>35.68333333333333</v>
      </c>
      <c r="LC25" s="962">
        <f t="shared" si="307"/>
        <v>35.68333333333333</v>
      </c>
      <c r="LD25" s="962">
        <f t="shared" si="307"/>
        <v>35.68333333333333</v>
      </c>
      <c r="LE25" s="962">
        <f t="shared" si="307"/>
        <v>35.68333333333333</v>
      </c>
      <c r="LF25" s="962">
        <f t="shared" si="307"/>
        <v>35.68333333333333</v>
      </c>
      <c r="LG25" s="962">
        <f t="shared" si="307"/>
        <v>35.68333333333333</v>
      </c>
      <c r="LH25" s="962">
        <f t="shared" si="307"/>
        <v>35.68333333333333</v>
      </c>
      <c r="LI25" s="962">
        <f t="shared" si="307"/>
        <v>35.68333333333333</v>
      </c>
      <c r="LJ25" s="962">
        <f t="shared" si="307"/>
        <v>35.68333333333333</v>
      </c>
      <c r="LK25" s="962">
        <f t="shared" si="307"/>
        <v>35.68333333333333</v>
      </c>
      <c r="LL25" s="962">
        <f t="shared" si="307"/>
        <v>35.68333333333333</v>
      </c>
      <c r="LM25" s="962">
        <f t="shared" si="307"/>
        <v>35.68333333333333</v>
      </c>
      <c r="LN25" s="962">
        <f t="shared" si="307"/>
        <v>35.68333333333333</v>
      </c>
      <c r="LO25" s="962">
        <f t="shared" si="307"/>
        <v>35.68333333333333</v>
      </c>
      <c r="LP25" s="962">
        <f t="shared" si="307"/>
        <v>35.68333333333333</v>
      </c>
      <c r="LQ25" s="962">
        <f t="shared" si="307"/>
        <v>35.68333333333333</v>
      </c>
      <c r="LR25" s="962">
        <f t="shared" si="307"/>
        <v>35.68333333333333</v>
      </c>
      <c r="LS25" s="962">
        <f t="shared" si="307"/>
        <v>35.68333333333333</v>
      </c>
      <c r="LT25" s="962">
        <f t="shared" si="307"/>
        <v>35.68333333333333</v>
      </c>
      <c r="LU25" s="962">
        <f t="shared" si="307"/>
        <v>35.68333333333333</v>
      </c>
      <c r="LV25" s="962">
        <f t="shared" si="307"/>
        <v>35.68333333333333</v>
      </c>
      <c r="LW25" s="962">
        <f t="shared" si="307"/>
        <v>35.68333333333333</v>
      </c>
      <c r="LX25" s="962">
        <f t="shared" si="307"/>
        <v>35.68333333333333</v>
      </c>
      <c r="LY25" s="962">
        <f t="shared" si="307"/>
        <v>35.68333333333333</v>
      </c>
      <c r="LZ25" s="962">
        <f t="shared" si="307"/>
        <v>35.68333333333333</v>
      </c>
      <c r="MA25" s="962">
        <f t="shared" si="307"/>
        <v>35.68333333333333</v>
      </c>
      <c r="MB25" s="962">
        <f t="shared" si="307"/>
        <v>35.68333333333333</v>
      </c>
      <c r="MC25" s="962">
        <f t="shared" si="307"/>
        <v>35.68333333333333</v>
      </c>
      <c r="MD25" s="962">
        <f t="shared" si="307"/>
        <v>35.68333333333333</v>
      </c>
      <c r="ME25" s="962">
        <f t="shared" si="307"/>
        <v>35.68333333333333</v>
      </c>
      <c r="MF25" s="962">
        <f t="shared" si="307"/>
        <v>35.68333333333333</v>
      </c>
      <c r="MG25" s="962">
        <f t="shared" si="307"/>
        <v>35.68333333333333</v>
      </c>
      <c r="MH25" s="962">
        <f t="shared" si="307"/>
        <v>35.68333333333333</v>
      </c>
      <c r="MI25" s="962">
        <f t="shared" si="307"/>
        <v>35.68333333333333</v>
      </c>
      <c r="MJ25" s="962">
        <f t="shared" si="307"/>
        <v>35.68333333333333</v>
      </c>
      <c r="MK25" s="962">
        <f t="shared" si="307"/>
        <v>35.68333333333333</v>
      </c>
      <c r="ML25" s="962">
        <f t="shared" si="307"/>
        <v>35.68333333333333</v>
      </c>
      <c r="MM25" s="962">
        <f t="shared" si="307"/>
        <v>35.68333333333333</v>
      </c>
      <c r="MN25" s="962">
        <f t="shared" si="307"/>
        <v>35.68333333333333</v>
      </c>
      <c r="MO25" s="962">
        <f t="shared" si="307"/>
        <v>35.68333333333333</v>
      </c>
      <c r="MP25" s="962">
        <f t="shared" si="307"/>
        <v>35.68333333333333</v>
      </c>
      <c r="MQ25" s="962">
        <f t="shared" si="307"/>
        <v>35.68333333333333</v>
      </c>
      <c r="MR25" s="962">
        <f t="shared" si="307"/>
        <v>35.68333333333333</v>
      </c>
      <c r="MS25" s="962">
        <f t="shared" si="307"/>
        <v>35.68333333333333</v>
      </c>
      <c r="MT25" s="962">
        <f t="shared" si="307"/>
        <v>35.68333333333333</v>
      </c>
      <c r="MU25" s="962">
        <f t="shared" si="307"/>
        <v>35.68333333333333</v>
      </c>
      <c r="MV25" s="962">
        <f t="shared" si="307"/>
        <v>35.68333333333333</v>
      </c>
      <c r="MW25" s="962">
        <f t="shared" si="307"/>
        <v>35.68333333333333</v>
      </c>
      <c r="MX25" s="962">
        <f t="shared" si="307"/>
        <v>35.68333333333333</v>
      </c>
      <c r="MY25" s="962">
        <f t="shared" si="307"/>
        <v>35.68333333333333</v>
      </c>
      <c r="MZ25" s="962">
        <f t="shared" si="307"/>
        <v>35.68333333333333</v>
      </c>
      <c r="NA25" s="962">
        <f t="shared" si="307"/>
        <v>35.68333333333333</v>
      </c>
      <c r="NB25" s="962">
        <f t="shared" si="307"/>
        <v>35.68333333333333</v>
      </c>
      <c r="NC25" s="962">
        <f t="shared" si="307"/>
        <v>35.68333333333333</v>
      </c>
      <c r="ND25" s="962">
        <f t="shared" si="307"/>
        <v>35.68333333333333</v>
      </c>
      <c r="NE25" s="962">
        <f t="shared" si="307"/>
        <v>35.68333333333333</v>
      </c>
      <c r="NF25" s="962">
        <f t="shared" ref="NF25:PQ25" si="308">35+(41/60)</f>
        <v>35.68333333333333</v>
      </c>
      <c r="NG25" s="962">
        <f t="shared" si="308"/>
        <v>35.68333333333333</v>
      </c>
      <c r="NH25" s="962">
        <f t="shared" si="308"/>
        <v>35.68333333333333</v>
      </c>
      <c r="NI25" s="962">
        <f t="shared" si="308"/>
        <v>35.68333333333333</v>
      </c>
      <c r="NJ25" s="962">
        <f t="shared" si="308"/>
        <v>35.68333333333333</v>
      </c>
      <c r="NK25" s="962">
        <f t="shared" si="308"/>
        <v>35.68333333333333</v>
      </c>
      <c r="NL25" s="962">
        <f t="shared" si="308"/>
        <v>35.68333333333333</v>
      </c>
      <c r="NM25" s="962">
        <f t="shared" si="308"/>
        <v>35.68333333333333</v>
      </c>
      <c r="NN25" s="962">
        <f t="shared" si="308"/>
        <v>35.68333333333333</v>
      </c>
      <c r="NO25" s="962">
        <f t="shared" si="308"/>
        <v>35.68333333333333</v>
      </c>
      <c r="NP25" s="962">
        <f t="shared" si="308"/>
        <v>35.68333333333333</v>
      </c>
      <c r="NQ25" s="962">
        <f t="shared" si="308"/>
        <v>35.68333333333333</v>
      </c>
      <c r="NR25" s="962">
        <f t="shared" si="308"/>
        <v>35.68333333333333</v>
      </c>
      <c r="NS25" s="962">
        <f t="shared" si="308"/>
        <v>35.68333333333333</v>
      </c>
      <c r="NT25" s="962">
        <f t="shared" si="308"/>
        <v>35.68333333333333</v>
      </c>
      <c r="NU25" s="962">
        <f t="shared" si="308"/>
        <v>35.68333333333333</v>
      </c>
      <c r="NV25" s="962">
        <f t="shared" si="308"/>
        <v>35.68333333333333</v>
      </c>
      <c r="NW25" s="962">
        <f t="shared" si="308"/>
        <v>35.68333333333333</v>
      </c>
      <c r="NX25" s="962">
        <f t="shared" si="308"/>
        <v>35.68333333333333</v>
      </c>
      <c r="NY25" s="962">
        <f t="shared" si="308"/>
        <v>35.68333333333333</v>
      </c>
      <c r="NZ25" s="962">
        <f t="shared" si="308"/>
        <v>35.68333333333333</v>
      </c>
      <c r="OA25" s="962">
        <f t="shared" si="308"/>
        <v>35.68333333333333</v>
      </c>
      <c r="OB25" s="962">
        <f t="shared" si="308"/>
        <v>35.68333333333333</v>
      </c>
      <c r="OC25" s="962">
        <f t="shared" si="308"/>
        <v>35.68333333333333</v>
      </c>
      <c r="OD25" s="962">
        <f t="shared" si="308"/>
        <v>35.68333333333333</v>
      </c>
      <c r="OE25" s="962">
        <f t="shared" si="308"/>
        <v>35.68333333333333</v>
      </c>
      <c r="OF25" s="962">
        <f t="shared" si="308"/>
        <v>35.68333333333333</v>
      </c>
      <c r="OG25" s="962">
        <f t="shared" si="308"/>
        <v>35.68333333333333</v>
      </c>
      <c r="OH25" s="962">
        <f t="shared" si="308"/>
        <v>35.68333333333333</v>
      </c>
      <c r="OI25" s="962">
        <f t="shared" si="308"/>
        <v>35.68333333333333</v>
      </c>
      <c r="OJ25" s="962">
        <f t="shared" si="308"/>
        <v>35.68333333333333</v>
      </c>
      <c r="OK25" s="962">
        <f t="shared" si="308"/>
        <v>35.68333333333333</v>
      </c>
      <c r="OL25" s="962">
        <f t="shared" si="308"/>
        <v>35.68333333333333</v>
      </c>
      <c r="OM25" s="962">
        <f t="shared" si="308"/>
        <v>35.68333333333333</v>
      </c>
      <c r="ON25" s="962">
        <f t="shared" si="308"/>
        <v>35.68333333333333</v>
      </c>
      <c r="OO25" s="962">
        <f t="shared" si="308"/>
        <v>35.68333333333333</v>
      </c>
      <c r="OP25" s="962">
        <f t="shared" si="308"/>
        <v>35.68333333333333</v>
      </c>
      <c r="OQ25" s="962">
        <f t="shared" si="308"/>
        <v>35.68333333333333</v>
      </c>
      <c r="OR25" s="962">
        <f t="shared" si="308"/>
        <v>35.68333333333333</v>
      </c>
      <c r="OS25" s="962">
        <f t="shared" si="308"/>
        <v>35.68333333333333</v>
      </c>
      <c r="OT25" s="962">
        <f t="shared" si="308"/>
        <v>35.68333333333333</v>
      </c>
      <c r="OU25" s="962">
        <f t="shared" si="308"/>
        <v>35.68333333333333</v>
      </c>
      <c r="OV25" s="962">
        <f t="shared" si="308"/>
        <v>35.68333333333333</v>
      </c>
      <c r="OW25" s="962">
        <f t="shared" si="308"/>
        <v>35.68333333333333</v>
      </c>
      <c r="OX25" s="962">
        <f t="shared" si="308"/>
        <v>35.68333333333333</v>
      </c>
      <c r="OY25" s="962">
        <f t="shared" si="308"/>
        <v>35.68333333333333</v>
      </c>
      <c r="OZ25" s="962">
        <f t="shared" si="308"/>
        <v>35.68333333333333</v>
      </c>
      <c r="PA25" s="962">
        <f t="shared" si="308"/>
        <v>35.68333333333333</v>
      </c>
      <c r="PB25" s="962">
        <f t="shared" si="308"/>
        <v>35.68333333333333</v>
      </c>
      <c r="PC25" s="962">
        <f t="shared" si="308"/>
        <v>35.68333333333333</v>
      </c>
      <c r="PD25" s="962">
        <f t="shared" si="308"/>
        <v>35.68333333333333</v>
      </c>
      <c r="PE25" s="962">
        <f t="shared" si="308"/>
        <v>35.68333333333333</v>
      </c>
      <c r="PF25" s="962">
        <f t="shared" si="308"/>
        <v>35.68333333333333</v>
      </c>
      <c r="PG25" s="962">
        <f t="shared" si="308"/>
        <v>35.68333333333333</v>
      </c>
      <c r="PH25" s="962">
        <f t="shared" si="308"/>
        <v>35.68333333333333</v>
      </c>
      <c r="PI25" s="962">
        <f t="shared" si="308"/>
        <v>35.68333333333333</v>
      </c>
      <c r="PJ25" s="962">
        <f t="shared" si="308"/>
        <v>35.68333333333333</v>
      </c>
      <c r="PK25" s="962">
        <f t="shared" si="308"/>
        <v>35.68333333333333</v>
      </c>
      <c r="PL25" s="962">
        <f t="shared" si="308"/>
        <v>35.68333333333333</v>
      </c>
      <c r="PM25" s="962">
        <f t="shared" si="308"/>
        <v>35.68333333333333</v>
      </c>
      <c r="PN25" s="962">
        <f t="shared" si="308"/>
        <v>35.68333333333333</v>
      </c>
      <c r="PO25" s="962">
        <f t="shared" si="308"/>
        <v>35.68333333333333</v>
      </c>
      <c r="PP25" s="962">
        <f t="shared" si="308"/>
        <v>35.68333333333333</v>
      </c>
      <c r="PQ25" s="962">
        <f t="shared" si="308"/>
        <v>35.68333333333333</v>
      </c>
      <c r="PR25" s="962">
        <f t="shared" ref="PR25:QZ25" si="309">35+(41/60)</f>
        <v>35.68333333333333</v>
      </c>
      <c r="PS25" s="962">
        <f t="shared" si="309"/>
        <v>35.68333333333333</v>
      </c>
      <c r="PT25" s="962">
        <f t="shared" si="309"/>
        <v>35.68333333333333</v>
      </c>
      <c r="PU25" s="962">
        <f t="shared" si="309"/>
        <v>35.68333333333333</v>
      </c>
      <c r="PV25" s="962">
        <f t="shared" si="309"/>
        <v>35.68333333333333</v>
      </c>
      <c r="PW25" s="962">
        <f t="shared" si="309"/>
        <v>35.68333333333333</v>
      </c>
      <c r="PX25" s="962">
        <f t="shared" si="309"/>
        <v>35.68333333333333</v>
      </c>
      <c r="PY25" s="962">
        <f t="shared" si="309"/>
        <v>35.68333333333333</v>
      </c>
      <c r="PZ25" s="962">
        <f t="shared" si="309"/>
        <v>35.68333333333333</v>
      </c>
      <c r="QA25" s="962">
        <f t="shared" si="309"/>
        <v>35.68333333333333</v>
      </c>
      <c r="QB25" s="962">
        <f t="shared" si="309"/>
        <v>35.68333333333333</v>
      </c>
      <c r="QC25" s="962">
        <f t="shared" si="309"/>
        <v>35.68333333333333</v>
      </c>
      <c r="QD25" s="962">
        <f t="shared" si="309"/>
        <v>35.68333333333333</v>
      </c>
      <c r="QE25" s="962">
        <f t="shared" si="309"/>
        <v>35.68333333333333</v>
      </c>
      <c r="QF25" s="962">
        <f t="shared" si="309"/>
        <v>35.68333333333333</v>
      </c>
      <c r="QG25" s="962">
        <f t="shared" si="309"/>
        <v>35.68333333333333</v>
      </c>
      <c r="QH25" s="962">
        <f t="shared" si="309"/>
        <v>35.68333333333333</v>
      </c>
      <c r="QI25" s="962">
        <f t="shared" si="309"/>
        <v>35.68333333333333</v>
      </c>
      <c r="QJ25" s="962">
        <f t="shared" si="309"/>
        <v>35.68333333333333</v>
      </c>
      <c r="QK25" s="962">
        <f t="shared" si="309"/>
        <v>35.68333333333333</v>
      </c>
      <c r="QL25" s="962">
        <f t="shared" si="309"/>
        <v>35.68333333333333</v>
      </c>
      <c r="QM25" s="962">
        <f t="shared" si="309"/>
        <v>35.68333333333333</v>
      </c>
      <c r="QN25" s="962">
        <f t="shared" si="309"/>
        <v>35.68333333333333</v>
      </c>
      <c r="QO25" s="962">
        <f t="shared" si="309"/>
        <v>35.68333333333333</v>
      </c>
      <c r="QP25" s="962">
        <f t="shared" si="309"/>
        <v>35.68333333333333</v>
      </c>
      <c r="QQ25" s="962">
        <f t="shared" si="309"/>
        <v>35.68333333333333</v>
      </c>
      <c r="QR25" s="962">
        <f t="shared" si="309"/>
        <v>35.68333333333333</v>
      </c>
      <c r="QS25" s="962">
        <f t="shared" si="309"/>
        <v>35.68333333333333</v>
      </c>
      <c r="QT25" s="962">
        <f t="shared" si="309"/>
        <v>35.68333333333333</v>
      </c>
      <c r="QU25" s="962">
        <f t="shared" si="309"/>
        <v>35.68333333333333</v>
      </c>
      <c r="QV25" s="962">
        <f t="shared" si="309"/>
        <v>35.68333333333333</v>
      </c>
      <c r="QW25" s="962">
        <f t="shared" si="309"/>
        <v>35.68333333333333</v>
      </c>
      <c r="QX25" s="962">
        <f t="shared" si="309"/>
        <v>35.68333333333333</v>
      </c>
      <c r="QY25" s="962">
        <f t="shared" si="309"/>
        <v>35.68333333333333</v>
      </c>
      <c r="QZ25" s="962">
        <f t="shared" si="309"/>
        <v>35.68333333333333</v>
      </c>
      <c r="RA25" s="963"/>
    </row>
    <row r="26" spans="1:471" ht="18" thickBot="1">
      <c r="G26" t="s">
        <v>148</v>
      </c>
      <c r="I26">
        <f>INT(G27/M26)+1</f>
        <v>1486</v>
      </c>
      <c r="J26" s="21">
        <f>IF(E28=16,(((C28-1)*M26)+IF(B28=1,0,IF(B28=2,O28,IF(B28=3,P28,IF(B28=4,Q28,IF(B28=5,R28,IF(B28=6,S28,IF(B28=7,T28,IF(B28=8,U28,IF(B28=9,V28,IF(B28=10,W28,IF(B28=11,X28,Y28)))))))))))+A28),0)</f>
        <v>510900.98042592214</v>
      </c>
      <c r="K26" s="7">
        <v>9</v>
      </c>
      <c r="L26" s="7" t="s">
        <v>150</v>
      </c>
      <c r="M26" s="7">
        <v>354.36709259258998</v>
      </c>
      <c r="N26" s="7"/>
      <c r="O26" s="7" t="s">
        <v>65</v>
      </c>
      <c r="P26" s="7" t="s">
        <v>66</v>
      </c>
      <c r="Q26" s="7" t="s">
        <v>67</v>
      </c>
      <c r="R26" s="7" t="s">
        <v>93</v>
      </c>
      <c r="S26" s="7" t="s">
        <v>69</v>
      </c>
      <c r="T26" s="7" t="s">
        <v>92</v>
      </c>
      <c r="U26" s="7" t="s">
        <v>71</v>
      </c>
      <c r="V26" s="7" t="s">
        <v>72</v>
      </c>
      <c r="W26" s="7" t="s">
        <v>73</v>
      </c>
      <c r="X26" s="7" t="s">
        <v>74</v>
      </c>
      <c r="Y26" s="7" t="s">
        <v>94</v>
      </c>
      <c r="Z26" s="7" t="s">
        <v>95</v>
      </c>
      <c r="AA26" s="7" t="s">
        <v>97</v>
      </c>
      <c r="AK26" s="759" t="s">
        <v>839</v>
      </c>
      <c r="AL26" s="315" t="e">
        <f t="shared" ref="AL26:AV26" si="310">IF(AL23-AL24&gt;0,AL23-AL24,AL23-AL24+360)</f>
        <v>#VALUE!</v>
      </c>
      <c r="AM26" s="315" t="e">
        <f t="shared" si="310"/>
        <v>#VALUE!</v>
      </c>
      <c r="AN26" s="315" t="e">
        <f t="shared" si="310"/>
        <v>#VALUE!</v>
      </c>
      <c r="AO26" s="315" t="e">
        <f t="shared" si="310"/>
        <v>#VALUE!</v>
      </c>
      <c r="AP26" s="315" t="e">
        <f t="shared" si="310"/>
        <v>#VALUE!</v>
      </c>
      <c r="AQ26" s="315" t="e">
        <f t="shared" si="310"/>
        <v>#VALUE!</v>
      </c>
      <c r="AR26" s="315" t="e">
        <f t="shared" si="310"/>
        <v>#VALUE!</v>
      </c>
      <c r="AS26" s="315" t="e">
        <f t="shared" si="310"/>
        <v>#VALUE!</v>
      </c>
      <c r="AT26" s="315" t="e">
        <f t="shared" si="310"/>
        <v>#VALUE!</v>
      </c>
      <c r="AU26" s="315" t="e">
        <f t="shared" si="310"/>
        <v>#VALUE!</v>
      </c>
      <c r="AV26" s="315" t="e">
        <f t="shared" si="310"/>
        <v>#VALUE!</v>
      </c>
      <c r="AW26" s="315" t="e">
        <f>IF(AW23-AW24&gt;0,AW23-AW24,AW23-AW24+360)</f>
        <v>#VALUE!</v>
      </c>
      <c r="AX26" s="703"/>
      <c r="AZ26" s="732"/>
      <c r="BA26" s="731" t="e">
        <f>INT((BA25-INT(BA25))*BA24)+1</f>
        <v>#VALUE!</v>
      </c>
      <c r="BC26" s="4"/>
      <c r="DI26" s="797" t="s">
        <v>3499</v>
      </c>
      <c r="DJ26" s="961" t="e">
        <f>[1]!qsn([1]!ml([1]!taqsha(1,1,[1]!roz(DJ23+1,0,0,0),DJ24)),DJ25)/30</f>
        <v>#VALUE!</v>
      </c>
      <c r="DK26" s="962" t="e">
        <f>[1]!qsn([1]!ml([1]!taqsha(1,1,[1]!roz(DK23+1,0,0,0),DK24)),DK25)/30</f>
        <v>#VALUE!</v>
      </c>
      <c r="DL26" s="962" t="e">
        <f>[1]!qsn([1]!ml([1]!taqsha(1,1,[1]!roz(DL23+1,0,0,0),DL24)),DL25)/30</f>
        <v>#VALUE!</v>
      </c>
      <c r="DM26" s="962" t="e">
        <f>[1]!qsn([1]!ml([1]!taqsha(1,1,[1]!roz(DM23+1,0,0,0),DM24)),DM25)/30</f>
        <v>#VALUE!</v>
      </c>
      <c r="DN26" s="962" t="e">
        <f>[1]!qsn([1]!ml([1]!taqsha(1,1,[1]!roz(DN23+1,0,0,0),DN24)),DN25)/30</f>
        <v>#VALUE!</v>
      </c>
      <c r="DO26" s="962" t="e">
        <f>[1]!qsn([1]!ml([1]!taqsha(1,1,[1]!roz(DO23+1,0,0,0),DO24)),DO25)/30</f>
        <v>#VALUE!</v>
      </c>
      <c r="DP26" s="962" t="e">
        <f>[1]!qsn([1]!ml([1]!taqsha(1,1,[1]!roz(DP23+1,0,0,0),DP24)),DP25)/30</f>
        <v>#VALUE!</v>
      </c>
      <c r="DQ26" s="962" t="e">
        <f>[1]!qsn([1]!ml([1]!taqsha(1,1,[1]!roz(DQ23+1,0,0,0),DQ24)),DQ25)/30</f>
        <v>#VALUE!</v>
      </c>
      <c r="DR26" s="962" t="e">
        <f>[1]!qsn([1]!ml([1]!taqsha(1,1,[1]!roz(DR23+1,0,0,0),DR24)),DR25)/30</f>
        <v>#VALUE!</v>
      </c>
      <c r="DS26" s="962" t="e">
        <f>[1]!qsn([1]!ml([1]!taqsha(1,1,[1]!roz(DS23+1,0,0,0),DS24)),DS25)/30</f>
        <v>#VALUE!</v>
      </c>
      <c r="DT26" s="962" t="e">
        <f>[1]!qsn([1]!ml([1]!taqsha(1,1,[1]!roz(DT23+1,0,0,0),DT24)),DT25)/30</f>
        <v>#VALUE!</v>
      </c>
      <c r="DU26" s="962" t="e">
        <f>[1]!qsn([1]!ml([1]!taqsha(1,1,[1]!roz(DU23+1,0,0,0),DU24)),DU25)/30</f>
        <v>#VALUE!</v>
      </c>
      <c r="DV26" s="962" t="e">
        <f>[1]!qsn([1]!ml([1]!taqsha(1,1,[1]!roz(DV23+1,0,0,0),DV24)),DV25)/30</f>
        <v>#VALUE!</v>
      </c>
      <c r="DW26" s="962" t="e">
        <f>[1]!qsn([1]!ml([1]!taqsha(1,1,[1]!roz(DW23+1,0,0,0),DW24)),DW25)/30</f>
        <v>#VALUE!</v>
      </c>
      <c r="DX26" s="962" t="e">
        <f>[1]!qsn([1]!ml([1]!taqsha(1,1,[1]!roz(DX23+1,0,0,0),DX24)),DX25)/30</f>
        <v>#VALUE!</v>
      </c>
      <c r="DY26" s="962" t="e">
        <f>[1]!qsn([1]!ml([1]!taqsha(1,1,[1]!roz(DY23+1,0,0,0),DY24)),DY25)/30</f>
        <v>#VALUE!</v>
      </c>
      <c r="DZ26" s="962" t="e">
        <f>[1]!qsn([1]!ml([1]!taqsha(1,1,[1]!roz(DZ23+1,0,0,0),DZ24)),DZ25)/30</f>
        <v>#VALUE!</v>
      </c>
      <c r="EA26" s="962" t="e">
        <f>[1]!qsn([1]!ml([1]!taqsha(1,1,[1]!roz(EA23+1,0,0,0),EA24)),EA25)/30</f>
        <v>#VALUE!</v>
      </c>
      <c r="EB26" s="962" t="e">
        <f>[1]!qsn([1]!ml([1]!taqsha(1,1,[1]!roz(EB23+1,0,0,0),EB24)),EB25)/30</f>
        <v>#VALUE!</v>
      </c>
      <c r="EC26" s="962" t="e">
        <f>[1]!qsn([1]!ml([1]!taqsha(1,1,[1]!roz(EC23+1,0,0,0),EC24)),EC25)/30</f>
        <v>#VALUE!</v>
      </c>
      <c r="ED26" s="962" t="e">
        <f>[1]!qsn([1]!ml([1]!taqsha(1,1,[1]!roz(ED23+1,0,0,0),ED24)),ED25)/30</f>
        <v>#VALUE!</v>
      </c>
      <c r="EE26" s="962" t="e">
        <f>[1]!qsn([1]!ml([1]!taqsha(1,1,[1]!roz(EE23+1,0,0,0),EE24)),EE25)/30</f>
        <v>#VALUE!</v>
      </c>
      <c r="EF26" s="962" t="e">
        <f>[1]!qsn([1]!ml([1]!taqsha(1,1,[1]!roz(EF23+1,0,0,0),EF24)),EF25)/30</f>
        <v>#VALUE!</v>
      </c>
      <c r="EG26" s="962" t="e">
        <f>[1]!qsn([1]!ml([1]!taqsha(1,1,[1]!roz(EG23+1,0,0,0),EG24)),EG25)/30</f>
        <v>#VALUE!</v>
      </c>
      <c r="EH26" s="962" t="e">
        <f>[1]!qsn([1]!ml([1]!taqsha(1,1,[1]!roz(EH23+1,0,0,0),EH24)),EH25)/30</f>
        <v>#VALUE!</v>
      </c>
      <c r="EI26" s="962" t="e">
        <f>[1]!qsn([1]!ml([1]!taqsha(1,1,[1]!roz(EI23+1,0,0,0),EI24)),EI25)/30</f>
        <v>#VALUE!</v>
      </c>
      <c r="EJ26" s="962" t="e">
        <f>[1]!qsn([1]!ml([1]!taqsha(1,1,[1]!roz(EJ23+1,0,0,0),EJ24)),EJ25)/30</f>
        <v>#VALUE!</v>
      </c>
      <c r="EK26" s="962" t="e">
        <f>[1]!qsn([1]!ml([1]!taqsha(1,1,[1]!roz(EK23+1,0,0,0),EK24)),EK25)/30</f>
        <v>#VALUE!</v>
      </c>
      <c r="EL26" s="962" t="e">
        <f>[1]!qsn([1]!ml([1]!taqsha(1,1,[1]!roz(EL23+1,0,0,0),EL24)),EL25)/30</f>
        <v>#VALUE!</v>
      </c>
      <c r="EM26" s="962" t="e">
        <f>[1]!qsn([1]!ml([1]!taqsha(1,1,[1]!roz(EM23+1,0,0,0),EM24)),EM25)/30</f>
        <v>#VALUE!</v>
      </c>
      <c r="EN26" s="962" t="e">
        <f>[1]!qsn([1]!ml([1]!taqsha(1,1,[1]!roz(EN23+1,0,0,0),EN24)),EN25)/30</f>
        <v>#VALUE!</v>
      </c>
      <c r="EO26" s="962" t="e">
        <f>[1]!qsn([1]!ml([1]!taqsha(1,1,[1]!roz(EO23+1,0,0,0),EO24)),EO25)/30</f>
        <v>#VALUE!</v>
      </c>
      <c r="EP26" s="962" t="e">
        <f>[1]!qsn([1]!ml([1]!taqsha(1,1,[1]!roz(EP23+1,0,0,0),EP24)),EP25)/30</f>
        <v>#VALUE!</v>
      </c>
      <c r="EQ26" s="962" t="e">
        <f>[1]!qsn([1]!ml([1]!taqsha(1,1,[1]!roz(EQ23+1,0,0,0),EQ24)),EQ25)/30</f>
        <v>#VALUE!</v>
      </c>
      <c r="ER26" s="962" t="e">
        <f>[1]!qsn([1]!ml([1]!taqsha(1,1,[1]!roz(ER23+1,0,0,0),ER24)),ER25)/30</f>
        <v>#VALUE!</v>
      </c>
      <c r="ES26" s="962" t="e">
        <f>[1]!qsn([1]!ml([1]!taqsha(1,1,[1]!roz(ES23+1,0,0,0),ES24)),ES25)/30</f>
        <v>#VALUE!</v>
      </c>
      <c r="ET26" s="962" t="e">
        <f>[1]!qsn([1]!ml([1]!taqsha(1,1,[1]!roz(ET23+1,0,0,0),ET24)),ET25)/30</f>
        <v>#VALUE!</v>
      </c>
      <c r="EU26" s="962" t="e">
        <f>[1]!qsn([1]!ml([1]!taqsha(1,1,[1]!roz(EU23+1,0,0,0),EU24)),EU25)/30</f>
        <v>#VALUE!</v>
      </c>
      <c r="EV26" s="962" t="e">
        <f>[1]!qsn([1]!ml([1]!taqsha(1,1,[1]!roz(EV23+1,0,0,0),EV24)),EV25)/30</f>
        <v>#VALUE!</v>
      </c>
      <c r="EW26" s="962" t="e">
        <f>[1]!qsn([1]!ml([1]!taqsha(1,1,[1]!roz(EW23+1,0,0,0),EW24)),EW25)/30</f>
        <v>#VALUE!</v>
      </c>
      <c r="EX26" s="962" t="e">
        <f>[1]!qsn([1]!ml([1]!taqsha(1,1,[1]!roz(EX23+1,0,0,0),EX24)),EX25)/30</f>
        <v>#VALUE!</v>
      </c>
      <c r="EY26" s="962" t="e">
        <f>[1]!qsn([1]!ml([1]!taqsha(1,1,[1]!roz(EY23+1,0,0,0),EY24)),EY25)/30</f>
        <v>#VALUE!</v>
      </c>
      <c r="EZ26" s="962" t="e">
        <f>[1]!qsn([1]!ml([1]!taqsha(1,1,[1]!roz(EZ23+1,0,0,0),EZ24)),EZ25)/30</f>
        <v>#VALUE!</v>
      </c>
      <c r="FA26" s="962" t="e">
        <f>[1]!qsn([1]!ml([1]!taqsha(1,1,[1]!roz(FA23+1,0,0,0),FA24)),FA25)/30</f>
        <v>#VALUE!</v>
      </c>
      <c r="FB26" s="962" t="e">
        <f>[1]!qsn([1]!ml([1]!taqsha(1,1,[1]!roz(FB23+1,0,0,0),FB24)),FB25)/30</f>
        <v>#VALUE!</v>
      </c>
      <c r="FC26" s="962" t="e">
        <f>[1]!qsn([1]!ml([1]!taqsha(1,1,[1]!roz(FC23+1,0,0,0),FC24)),FC25)/30</f>
        <v>#VALUE!</v>
      </c>
      <c r="FD26" s="962" t="e">
        <f>[1]!qsn([1]!ml([1]!taqsha(1,1,[1]!roz(FD23+1,0,0,0),FD24)),FD25)/30</f>
        <v>#VALUE!</v>
      </c>
      <c r="FE26" s="962" t="e">
        <f>[1]!qsn([1]!ml([1]!taqsha(1,1,[1]!roz(FE23+1,0,0,0),FE24)),FE25)/30</f>
        <v>#VALUE!</v>
      </c>
      <c r="FF26" s="962" t="e">
        <f>[1]!qsn([1]!ml([1]!taqsha(1,1,[1]!roz(FF23+1,0,0,0),FF24)),FF25)/30</f>
        <v>#VALUE!</v>
      </c>
      <c r="FG26" s="962" t="e">
        <f>[1]!qsn([1]!ml([1]!taqsha(1,1,[1]!roz(FG23+1,0,0,0),FG24)),FG25)/30</f>
        <v>#VALUE!</v>
      </c>
      <c r="FH26" s="962" t="e">
        <f>[1]!qsn([1]!ml([1]!taqsha(1,1,[1]!roz(FH23+1,0,0,0),FH24)),FH25)/30</f>
        <v>#VALUE!</v>
      </c>
      <c r="FI26" s="962" t="e">
        <f>[1]!qsn([1]!ml([1]!taqsha(1,1,[1]!roz(FI23+1,0,0,0),FI24)),FI25)/30</f>
        <v>#VALUE!</v>
      </c>
      <c r="FJ26" s="962" t="e">
        <f>[1]!qsn([1]!ml([1]!taqsha(1,1,[1]!roz(FJ23+1,0,0,0),FJ24)),FJ25)/30</f>
        <v>#VALUE!</v>
      </c>
      <c r="FK26" s="962" t="e">
        <f>[1]!qsn([1]!ml([1]!taqsha(1,1,[1]!roz(FK23+1,0,0,0),FK24)),FK25)/30</f>
        <v>#VALUE!</v>
      </c>
      <c r="FL26" s="962" t="e">
        <f>[1]!qsn([1]!ml([1]!taqsha(1,1,[1]!roz(FL23+1,0,0,0),FL24)),FL25)/30</f>
        <v>#VALUE!</v>
      </c>
      <c r="FM26" s="962" t="e">
        <f>[1]!qsn([1]!ml([1]!taqsha(1,1,[1]!roz(FM23+1,0,0,0),FM24)),FM25)/30</f>
        <v>#VALUE!</v>
      </c>
      <c r="FN26" s="962" t="e">
        <f>[1]!qsn([1]!ml([1]!taqsha(1,1,[1]!roz(FN23+1,0,0,0),FN24)),FN25)/30</f>
        <v>#VALUE!</v>
      </c>
      <c r="FO26" s="962" t="e">
        <f>[1]!qsn([1]!ml([1]!taqsha(1,1,[1]!roz(FO23+1,0,0,0),FO24)),FO25)/30</f>
        <v>#VALUE!</v>
      </c>
      <c r="FP26" s="962" t="e">
        <f>[1]!qsn([1]!ml([1]!taqsha(1,1,[1]!roz(FP23+1,0,0,0),FP24)),FP25)/30</f>
        <v>#VALUE!</v>
      </c>
      <c r="FQ26" s="962" t="e">
        <f>[1]!qsn([1]!ml([1]!taqsha(1,1,[1]!roz(FQ23+1,0,0,0),FQ24)),FQ25)/30</f>
        <v>#VALUE!</v>
      </c>
      <c r="FR26" s="962" t="e">
        <f>[1]!qsn([1]!ml([1]!taqsha(1,1,[1]!roz(FR23+1,0,0,0),FR24)),FR25)/30</f>
        <v>#VALUE!</v>
      </c>
      <c r="FS26" s="962" t="e">
        <f>[1]!qsn([1]!ml([1]!taqsha(1,1,[1]!roz(FS23+1,0,0,0),FS24)),FS25)/30</f>
        <v>#VALUE!</v>
      </c>
      <c r="FT26" s="962" t="e">
        <f>[1]!qsn([1]!ml([1]!taqsha(1,1,[1]!roz(FT23+1,0,0,0),FT24)),FT25)/30</f>
        <v>#VALUE!</v>
      </c>
      <c r="FU26" s="962" t="e">
        <f>[1]!qsn([1]!ml([1]!taqsha(1,1,[1]!roz(FU23+1,0,0,0),FU24)),FU25)/30</f>
        <v>#VALUE!</v>
      </c>
      <c r="FV26" s="962" t="e">
        <f>[1]!qsn([1]!ml([1]!taqsha(1,1,[1]!roz(FV23+1,0,0,0),FV24)),FV25)/30</f>
        <v>#VALUE!</v>
      </c>
      <c r="FW26" s="962" t="e">
        <f>[1]!qsn([1]!ml([1]!taqsha(1,1,[1]!roz(FW23+1,0,0,0),FW24)),FW25)/30</f>
        <v>#VALUE!</v>
      </c>
      <c r="FX26" s="962" t="e">
        <f>[1]!qsn([1]!ml([1]!taqsha(1,1,[1]!roz(FX23+1,0,0,0),FX24)),FX25)/30</f>
        <v>#VALUE!</v>
      </c>
      <c r="FY26" s="962" t="e">
        <f>[1]!qsn([1]!ml([1]!taqsha(1,1,[1]!roz(FY23+1,0,0,0),FY24)),FY25)/30</f>
        <v>#VALUE!</v>
      </c>
      <c r="FZ26" s="962" t="e">
        <f>[1]!qsn([1]!ml([1]!taqsha(1,1,[1]!roz(FZ23+1,0,0,0),FZ24)),FZ25)/30</f>
        <v>#VALUE!</v>
      </c>
      <c r="GA26" s="962" t="e">
        <f>[1]!qsn([1]!ml([1]!taqsha(1,1,[1]!roz(GA23+1,0,0,0),GA24)),GA25)/30</f>
        <v>#VALUE!</v>
      </c>
      <c r="GB26" s="962" t="e">
        <f>[1]!qsn([1]!ml([1]!taqsha(1,1,[1]!roz(GB23+1,0,0,0),GB24)),GB25)/30</f>
        <v>#VALUE!</v>
      </c>
      <c r="GC26" s="962" t="e">
        <f>[1]!qsn([1]!ml([1]!taqsha(1,1,[1]!roz(GC23+1,0,0,0),GC24)),GC25)/30</f>
        <v>#VALUE!</v>
      </c>
      <c r="GD26" s="962" t="e">
        <f>[1]!qsn([1]!ml([1]!taqsha(1,1,[1]!roz(GD23+1,0,0,0),GD24)),GD25)/30</f>
        <v>#VALUE!</v>
      </c>
      <c r="GE26" s="962" t="e">
        <f>[1]!qsn([1]!ml([1]!taqsha(1,1,[1]!roz(GE23+1,0,0,0),GE24)),GE25)/30</f>
        <v>#VALUE!</v>
      </c>
      <c r="GF26" s="962" t="e">
        <f>[1]!qsn([1]!ml([1]!taqsha(1,1,[1]!roz(GF23+1,0,0,0),GF24)),GF25)/30</f>
        <v>#VALUE!</v>
      </c>
      <c r="GG26" s="962" t="e">
        <f>[1]!qsn([1]!ml([1]!taqsha(1,1,[1]!roz(GG23+1,0,0,0),GG24)),GG25)/30</f>
        <v>#VALUE!</v>
      </c>
      <c r="GH26" s="962" t="e">
        <f>[1]!qsn([1]!ml([1]!taqsha(1,1,[1]!roz(GH23+1,0,0,0),GH24)),GH25)/30</f>
        <v>#VALUE!</v>
      </c>
      <c r="GI26" s="962" t="e">
        <f>[1]!qsn([1]!ml([1]!taqsha(1,1,[1]!roz(GI23+1,0,0,0),GI24)),GI25)/30</f>
        <v>#VALUE!</v>
      </c>
      <c r="GJ26" s="962" t="e">
        <f>[1]!qsn([1]!ml([1]!taqsha(1,1,[1]!roz(GJ23+1,0,0,0),GJ24)),GJ25)/30</f>
        <v>#VALUE!</v>
      </c>
      <c r="GK26" s="962" t="e">
        <f>[1]!qsn([1]!ml([1]!taqsha(1,1,[1]!roz(GK23+1,0,0,0),GK24)),GK25)/30</f>
        <v>#VALUE!</v>
      </c>
      <c r="GL26" s="962" t="e">
        <f>[1]!qsn([1]!ml([1]!taqsha(1,1,[1]!roz(GL23+1,0,0,0),GL24)),GL25)/30</f>
        <v>#VALUE!</v>
      </c>
      <c r="GM26" s="962" t="e">
        <f>[1]!qsn([1]!ml([1]!taqsha(1,1,[1]!roz(GM23+1,0,0,0),GM24)),GM25)/30</f>
        <v>#VALUE!</v>
      </c>
      <c r="GN26" s="962" t="e">
        <f>[1]!qsn([1]!ml([1]!taqsha(1,1,[1]!roz(GN23+1,0,0,0),GN24)),GN25)/30</f>
        <v>#VALUE!</v>
      </c>
      <c r="GO26" s="962" t="e">
        <f>[1]!qsn([1]!ml([1]!taqsha(1,1,[1]!roz(GO23+1,0,0,0),GO24)),GO25)/30</f>
        <v>#VALUE!</v>
      </c>
      <c r="GP26" s="962" t="e">
        <f>[1]!qsn([1]!ml([1]!taqsha(1,1,[1]!roz(GP23+1,0,0,0),GP24)),GP25)/30</f>
        <v>#VALUE!</v>
      </c>
      <c r="GQ26" s="962" t="e">
        <f>[1]!qsn([1]!ml([1]!taqsha(1,1,[1]!roz(GQ23+1,0,0,0),GQ24)),GQ25)/30</f>
        <v>#VALUE!</v>
      </c>
      <c r="GR26" s="962" t="e">
        <f>[1]!qsn([1]!ml([1]!taqsha(1,1,[1]!roz(GR23+1,0,0,0),GR24)),GR25)/30</f>
        <v>#VALUE!</v>
      </c>
      <c r="GS26" s="962" t="e">
        <f>[1]!qsn([1]!ml([1]!taqsha(1,1,[1]!roz(GS23+1,0,0,0),GS24)),GS25)/30</f>
        <v>#VALUE!</v>
      </c>
      <c r="GT26" s="962" t="e">
        <f>[1]!qsn([1]!ml([1]!taqsha(1,1,[1]!roz(GT23+1,0,0,0),GT24)),GT25)/30</f>
        <v>#VALUE!</v>
      </c>
      <c r="GU26" s="962" t="e">
        <f>[1]!qsn([1]!ml([1]!taqsha(1,1,[1]!roz(GU23+1,0,0,0),GU24)),GU25)/30</f>
        <v>#VALUE!</v>
      </c>
      <c r="GV26" s="962" t="e">
        <f>[1]!qsn([1]!ml([1]!taqsha(1,1,[1]!roz(GV23+1,0,0,0),GV24)),GV25)/30</f>
        <v>#VALUE!</v>
      </c>
      <c r="GW26" s="962" t="e">
        <f>[1]!qsn([1]!ml([1]!taqsha(1,1,[1]!roz(GW23+1,0,0,0),GW24)),GW25)/30</f>
        <v>#VALUE!</v>
      </c>
      <c r="GX26" s="962" t="e">
        <f>[1]!qsn([1]!ml([1]!taqsha(1,1,[1]!roz(GX23+1,0,0,0),GX24)),GX25)/30</f>
        <v>#VALUE!</v>
      </c>
      <c r="GY26" s="962" t="e">
        <f>[1]!qsn([1]!ml([1]!taqsha(1,1,[1]!roz(GY23+1,0,0,0),GY24)),GY25)/30</f>
        <v>#VALUE!</v>
      </c>
      <c r="GZ26" s="962" t="e">
        <f>[1]!qsn([1]!ml([1]!taqsha(1,1,[1]!roz(GZ23+1,0,0,0),GZ24)),GZ25)/30</f>
        <v>#VALUE!</v>
      </c>
      <c r="HA26" s="962" t="e">
        <f>[1]!qsn([1]!ml([1]!taqsha(1,1,[1]!roz(HA23+1,0,0,0),HA24)),HA25)/30</f>
        <v>#VALUE!</v>
      </c>
      <c r="HB26" s="962" t="e">
        <f>[1]!qsn([1]!ml([1]!taqsha(1,1,[1]!roz(HB23+1,0,0,0),HB24)),HB25)/30</f>
        <v>#VALUE!</v>
      </c>
      <c r="HC26" s="962" t="e">
        <f>[1]!qsn([1]!ml([1]!taqsha(1,1,[1]!roz(HC23+1,0,0,0),HC24)),HC25)/30</f>
        <v>#VALUE!</v>
      </c>
      <c r="HD26" s="962" t="e">
        <f>[1]!qsn([1]!ml([1]!taqsha(1,1,[1]!roz(HD23+1,0,0,0),HD24)),HD25)/30</f>
        <v>#VALUE!</v>
      </c>
      <c r="HE26" s="962" t="e">
        <f>[1]!qsn([1]!ml([1]!taqsha(1,1,[1]!roz(HE23+1,0,0,0),HE24)),HE25)/30</f>
        <v>#VALUE!</v>
      </c>
      <c r="HF26" s="962" t="e">
        <f>[1]!qsn([1]!ml([1]!taqsha(1,1,[1]!roz(HF23+1,0,0,0),HF24)),HF25)/30</f>
        <v>#VALUE!</v>
      </c>
      <c r="HG26" s="962" t="e">
        <f>[1]!qsn([1]!ml([1]!taqsha(1,1,[1]!roz(HG23+1,0,0,0),HG24)),HG25)/30</f>
        <v>#VALUE!</v>
      </c>
      <c r="HH26" s="962" t="e">
        <f>[1]!qsn([1]!ml([1]!taqsha(1,1,[1]!roz(HH23+1,0,0,0),HH24)),HH25)/30</f>
        <v>#VALUE!</v>
      </c>
      <c r="HI26" s="962" t="e">
        <f>[1]!qsn([1]!ml([1]!taqsha(1,1,[1]!roz(HI23+1,0,0,0),HI24)),HI25)/30</f>
        <v>#VALUE!</v>
      </c>
      <c r="HJ26" s="962" t="e">
        <f>[1]!qsn([1]!ml([1]!taqsha(1,1,[1]!roz(HJ23+1,0,0,0),HJ24)),HJ25)/30</f>
        <v>#VALUE!</v>
      </c>
      <c r="HK26" s="962" t="e">
        <f>[1]!qsn([1]!ml([1]!taqsha(1,1,[1]!roz(HK23+1,0,0,0),HK24)),HK25)/30</f>
        <v>#VALUE!</v>
      </c>
      <c r="HL26" s="962" t="e">
        <f>[1]!qsn([1]!ml([1]!taqsha(1,1,[1]!roz(HL23+1,0,0,0),HL24)),HL25)/30</f>
        <v>#VALUE!</v>
      </c>
      <c r="HM26" s="962" t="e">
        <f>[1]!qsn([1]!ml([1]!taqsha(1,1,[1]!roz(HM23+1,0,0,0),HM24)),HM25)/30</f>
        <v>#VALUE!</v>
      </c>
      <c r="HN26" s="962" t="e">
        <f>[1]!qsn([1]!ml([1]!taqsha(1,1,[1]!roz(HN23+1,0,0,0),HN24)),HN25)/30</f>
        <v>#VALUE!</v>
      </c>
      <c r="HO26" s="962" t="e">
        <f>[1]!qsn([1]!ml([1]!taqsha(1,1,[1]!roz(HO23+1,0,0,0),HO24)),HO25)/30</f>
        <v>#VALUE!</v>
      </c>
      <c r="HP26" s="962" t="e">
        <f>[1]!qsn([1]!ml([1]!taqsha(1,1,[1]!roz(HP23+1,0,0,0),HP24)),HP25)/30</f>
        <v>#VALUE!</v>
      </c>
      <c r="HQ26" s="962" t="e">
        <f>[1]!qsn([1]!ml([1]!taqsha(1,1,[1]!roz(HQ23+1,0,0,0),HQ24)),HQ25)/30</f>
        <v>#VALUE!</v>
      </c>
      <c r="HR26" s="962" t="e">
        <f>[1]!qsn([1]!ml([1]!taqsha(1,1,[1]!roz(HR23+1,0,0,0),HR24)),HR25)/30</f>
        <v>#VALUE!</v>
      </c>
      <c r="HS26" s="962" t="e">
        <f>[1]!qsn([1]!ml([1]!taqsha(1,1,[1]!roz(HS23+1,0,0,0),HS24)),HS25)/30</f>
        <v>#VALUE!</v>
      </c>
      <c r="HT26" s="962" t="e">
        <f>[1]!qsn([1]!ml([1]!taqsha(1,1,[1]!roz(HT23+1,0,0,0),HT24)),HT25)/30</f>
        <v>#VALUE!</v>
      </c>
      <c r="HU26" s="962" t="e">
        <f>[1]!qsn([1]!ml([1]!taqsha(1,1,[1]!roz(HU23+1,0,0,0),HU24)),HU25)/30</f>
        <v>#VALUE!</v>
      </c>
      <c r="HV26" s="962" t="e">
        <f>[1]!qsn([1]!ml([1]!taqsha(1,1,[1]!roz(HV23+1,0,0,0),HV24)),HV25)/30</f>
        <v>#VALUE!</v>
      </c>
      <c r="HW26" s="962" t="e">
        <f>[1]!qsn([1]!ml([1]!taqsha(1,1,[1]!roz(HW23+1,0,0,0),HW24)),HW25)/30</f>
        <v>#VALUE!</v>
      </c>
      <c r="HX26" s="962" t="e">
        <f>[1]!qsn([1]!ml([1]!taqsha(1,1,[1]!roz(HX23+1,0,0,0),HX24)),HX25)/30</f>
        <v>#VALUE!</v>
      </c>
      <c r="HY26" s="962" t="e">
        <f>[1]!qsn([1]!ml([1]!taqsha(1,1,[1]!roz(HY23+1,0,0,0),HY24)),HY25)/30</f>
        <v>#VALUE!</v>
      </c>
      <c r="HZ26" s="962" t="e">
        <f>[1]!qsn([1]!ml([1]!taqsha(1,1,[1]!roz(HZ23+1,0,0,0),HZ24)),HZ25)/30</f>
        <v>#VALUE!</v>
      </c>
      <c r="IA26" s="962" t="e">
        <f>[1]!qsn([1]!ml([1]!taqsha(1,1,[1]!roz(IA23+1,0,0,0),IA24)),IA25)/30</f>
        <v>#VALUE!</v>
      </c>
      <c r="IB26" s="962" t="e">
        <f>[1]!qsn([1]!ml([1]!taqsha(1,1,[1]!roz(IB23+1,0,0,0),IB24)),IB25)/30</f>
        <v>#VALUE!</v>
      </c>
      <c r="IC26" s="962" t="e">
        <f>[1]!qsn([1]!ml([1]!taqsha(1,1,[1]!roz(IC23+1,0,0,0),IC24)),IC25)/30</f>
        <v>#VALUE!</v>
      </c>
      <c r="ID26" s="962" t="e">
        <f>[1]!qsn([1]!ml([1]!taqsha(1,1,[1]!roz(ID23+1,0,0,0),ID24)),ID25)/30</f>
        <v>#VALUE!</v>
      </c>
      <c r="IE26" s="962" t="e">
        <f>[1]!qsn([1]!ml([1]!taqsha(1,1,[1]!roz(IE23+1,0,0,0),IE24)),IE25)/30</f>
        <v>#VALUE!</v>
      </c>
      <c r="IF26" s="962" t="e">
        <f>[1]!qsn([1]!ml([1]!taqsha(1,1,[1]!roz(IF23+1,0,0,0),IF24)),IF25)/30</f>
        <v>#VALUE!</v>
      </c>
      <c r="IG26" s="962" t="e">
        <f>[1]!qsn([1]!ml([1]!taqsha(1,1,[1]!roz(IG23+1,0,0,0),IG24)),IG25)/30</f>
        <v>#VALUE!</v>
      </c>
      <c r="IH26" s="962" t="e">
        <f>[1]!qsn([1]!ml([1]!taqsha(1,1,[1]!roz(IH23+1,0,0,0),IH24)),IH25)/30</f>
        <v>#VALUE!</v>
      </c>
      <c r="II26" s="962" t="e">
        <f>[1]!qsn([1]!ml([1]!taqsha(1,1,[1]!roz(II23+1,0,0,0),II24)),II25)/30</f>
        <v>#VALUE!</v>
      </c>
      <c r="IJ26" s="962" t="e">
        <f>[1]!qsn([1]!ml([1]!taqsha(1,1,[1]!roz(IJ23+1,0,0,0),IJ24)),IJ25)/30</f>
        <v>#VALUE!</v>
      </c>
      <c r="IK26" s="962" t="e">
        <f>[1]!qsn([1]!ml([1]!taqsha(1,1,[1]!roz(IK23+1,0,0,0),IK24)),IK25)/30</f>
        <v>#VALUE!</v>
      </c>
      <c r="IL26" s="962" t="e">
        <f>[1]!qsn([1]!ml([1]!taqsha(1,1,[1]!roz(IL23+1,0,0,0),IL24)),IL25)/30</f>
        <v>#VALUE!</v>
      </c>
      <c r="IM26" s="962" t="e">
        <f>[1]!qsn([1]!ml([1]!taqsha(1,1,[1]!roz(IM23+1,0,0,0),IM24)),IM25)/30</f>
        <v>#VALUE!</v>
      </c>
      <c r="IN26" s="962" t="e">
        <f>[1]!qsn([1]!ml([1]!taqsha(1,1,[1]!roz(IN23+1,0,0,0),IN24)),IN25)/30</f>
        <v>#VALUE!</v>
      </c>
      <c r="IO26" s="962" t="e">
        <f>[1]!qsn([1]!ml([1]!taqsha(1,1,[1]!roz(IO23+1,0,0,0),IO24)),IO25)/30</f>
        <v>#VALUE!</v>
      </c>
      <c r="IP26" s="962" t="e">
        <f>[1]!qsn([1]!ml([1]!taqsha(1,1,[1]!roz(IP23+1,0,0,0),IP24)),IP25)/30</f>
        <v>#VALUE!</v>
      </c>
      <c r="IQ26" s="962" t="e">
        <f>[1]!qsn([1]!ml([1]!taqsha(1,1,[1]!roz(IQ23+1,0,0,0),IQ24)),IQ25)/30</f>
        <v>#VALUE!</v>
      </c>
      <c r="IR26" s="962" t="e">
        <f>[1]!qsn([1]!ml([1]!taqsha(1,1,[1]!roz(IR23+1,0,0,0),IR24)),IR25)/30</f>
        <v>#VALUE!</v>
      </c>
      <c r="IS26" s="962" t="e">
        <f>[1]!qsn([1]!ml([1]!taqsha(1,1,[1]!roz(IS23+1,0,0,0),IS24)),IS25)/30</f>
        <v>#VALUE!</v>
      </c>
      <c r="IT26" s="962" t="e">
        <f>[1]!qsn([1]!ml([1]!taqsha(1,1,[1]!roz(IT23+1,0,0,0),IT24)),IT25)/30</f>
        <v>#VALUE!</v>
      </c>
      <c r="IU26" s="962" t="e">
        <f>[1]!qsn([1]!ml([1]!taqsha(1,1,[1]!roz(IU23+1,0,0,0),IU24)),IU25)/30</f>
        <v>#VALUE!</v>
      </c>
      <c r="IV26" s="962" t="e">
        <f>[1]!qsn([1]!ml([1]!taqsha(1,1,[1]!roz(IV23+1,0,0,0),IV24)),IV25)/30</f>
        <v>#VALUE!</v>
      </c>
      <c r="IW26" s="962" t="e">
        <f>[1]!qsn([1]!ml([1]!taqsha(1,1,[1]!roz(IW23+1,0,0,0),IW24)),IW25)/30</f>
        <v>#VALUE!</v>
      </c>
      <c r="IX26" s="962" t="e">
        <f>[1]!qsn([1]!ml([1]!taqsha(1,1,[1]!roz(IX23+1,0,0,0),IX24)),IX25)/30</f>
        <v>#VALUE!</v>
      </c>
      <c r="IY26" s="962" t="e">
        <f>[1]!qsn([1]!ml([1]!taqsha(1,1,[1]!roz(IY23+1,0,0,0),IY24)),IY25)/30</f>
        <v>#VALUE!</v>
      </c>
      <c r="IZ26" s="962" t="e">
        <f>[1]!qsn([1]!ml([1]!taqsha(1,1,[1]!roz(IZ23+1,0,0,0),IZ24)),IZ25)/30</f>
        <v>#VALUE!</v>
      </c>
      <c r="JA26" s="962" t="e">
        <f>[1]!qsn([1]!ml([1]!taqsha(1,1,[1]!roz(JA23+1,0,0,0),JA24)),JA25)/30</f>
        <v>#VALUE!</v>
      </c>
      <c r="JB26" s="962" t="e">
        <f>[1]!qsn([1]!ml([1]!taqsha(1,1,[1]!roz(JB23+1,0,0,0),JB24)),JB25)/30</f>
        <v>#VALUE!</v>
      </c>
      <c r="JC26" s="962" t="e">
        <f>[1]!qsn([1]!ml([1]!taqsha(1,1,[1]!roz(JC23+1,0,0,0),JC24)),JC25)/30</f>
        <v>#VALUE!</v>
      </c>
      <c r="JD26" s="962" t="e">
        <f>[1]!qsn([1]!ml([1]!taqsha(1,1,[1]!roz(JD23+1,0,0,0),JD24)),JD25)/30</f>
        <v>#VALUE!</v>
      </c>
      <c r="JE26" s="962" t="e">
        <f>[1]!qsn([1]!ml([1]!taqsha(1,1,[1]!roz(JE23+1,0,0,0),JE24)),JE25)/30</f>
        <v>#VALUE!</v>
      </c>
      <c r="JF26" s="962" t="e">
        <f>[1]!qsn([1]!ml([1]!taqsha(1,1,[1]!roz(JF23+1,0,0,0),JF24)),JF25)/30</f>
        <v>#VALUE!</v>
      </c>
      <c r="JG26" s="962" t="e">
        <f>[1]!qsn([1]!ml([1]!taqsha(1,1,[1]!roz(JG23+1,0,0,0),JG24)),JG25)/30</f>
        <v>#VALUE!</v>
      </c>
      <c r="JH26" s="962" t="e">
        <f>[1]!qsn([1]!ml([1]!taqsha(1,1,[1]!roz(JH23+1,0,0,0),JH24)),JH25)/30</f>
        <v>#VALUE!</v>
      </c>
      <c r="JI26" s="962" t="e">
        <f>[1]!qsn([1]!ml([1]!taqsha(1,1,[1]!roz(JI23+1,0,0,0),JI24)),JI25)/30</f>
        <v>#VALUE!</v>
      </c>
      <c r="JJ26" s="962" t="e">
        <f>[1]!qsn([1]!ml([1]!taqsha(1,1,[1]!roz(JJ23+1,0,0,0),JJ24)),JJ25)/30</f>
        <v>#VALUE!</v>
      </c>
      <c r="JK26" s="962" t="e">
        <f>[1]!qsn([1]!ml([1]!taqsha(1,1,[1]!roz(JK23+1,0,0,0),JK24)),JK25)/30</f>
        <v>#VALUE!</v>
      </c>
      <c r="JL26" s="962" t="e">
        <f>[1]!qsn([1]!ml([1]!taqsha(1,1,[1]!roz(JL23+1,0,0,0),JL24)),JL25)/30</f>
        <v>#VALUE!</v>
      </c>
      <c r="JM26" s="962" t="e">
        <f>[1]!qsn([1]!ml([1]!taqsha(1,1,[1]!roz(JM23+1,0,0,0),JM24)),JM25)/30</f>
        <v>#VALUE!</v>
      </c>
      <c r="JN26" s="962" t="e">
        <f>[1]!qsn([1]!ml([1]!taqsha(1,1,[1]!roz(JN23+1,0,0,0),JN24)),JN25)/30</f>
        <v>#VALUE!</v>
      </c>
      <c r="JO26" s="962" t="e">
        <f>[1]!qsn([1]!ml([1]!taqsha(1,1,[1]!roz(JO23+1,0,0,0),JO24)),JO25)/30</f>
        <v>#VALUE!</v>
      </c>
      <c r="JP26" s="962" t="e">
        <f>[1]!qsn([1]!ml([1]!taqsha(1,1,[1]!roz(JP23+1,0,0,0),JP24)),JP25)/30</f>
        <v>#VALUE!</v>
      </c>
      <c r="JQ26" s="962" t="e">
        <f>[1]!qsn([1]!ml([1]!taqsha(1,1,[1]!roz(JQ23+1,0,0,0),JQ24)),JQ25)/30</f>
        <v>#VALUE!</v>
      </c>
      <c r="JR26" s="962" t="e">
        <f>[1]!qsn([1]!ml([1]!taqsha(1,1,[1]!roz(JR23+1,0,0,0),JR24)),JR25)/30</f>
        <v>#VALUE!</v>
      </c>
      <c r="JS26" s="962" t="e">
        <f>[1]!qsn([1]!ml([1]!taqsha(1,1,[1]!roz(JS23+1,0,0,0),JS24)),JS25)/30</f>
        <v>#VALUE!</v>
      </c>
      <c r="JT26" s="962" t="e">
        <f>[1]!qsn([1]!ml([1]!taqsha(1,1,[1]!roz(JT23+1,0,0,0),JT24)),JT25)/30</f>
        <v>#VALUE!</v>
      </c>
      <c r="JU26" s="962" t="e">
        <f>[1]!qsn([1]!ml([1]!taqsha(1,1,[1]!roz(JU23+1,0,0,0),JU24)),JU25)/30</f>
        <v>#VALUE!</v>
      </c>
      <c r="JV26" s="962" t="e">
        <f>[1]!qsn([1]!ml([1]!taqsha(1,1,[1]!roz(JV23+1,0,0,0),JV24)),JV25)/30</f>
        <v>#VALUE!</v>
      </c>
      <c r="JW26" s="962" t="e">
        <f>[1]!qsn([1]!ml([1]!taqsha(1,1,[1]!roz(JW23+1,0,0,0),JW24)),JW25)/30</f>
        <v>#VALUE!</v>
      </c>
      <c r="JX26" s="962" t="e">
        <f>[1]!qsn([1]!ml([1]!taqsha(1,1,[1]!roz(JX23+1,0,0,0),JX24)),JX25)/30</f>
        <v>#VALUE!</v>
      </c>
      <c r="JY26" s="962" t="e">
        <f>[1]!qsn([1]!ml([1]!taqsha(1,1,[1]!roz(JY23+1,0,0,0),JY24)),JY25)/30</f>
        <v>#VALUE!</v>
      </c>
      <c r="JZ26" s="962" t="e">
        <f>[1]!qsn([1]!ml([1]!taqsha(1,1,[1]!roz(JZ23+1,0,0,0),JZ24)),JZ25)/30</f>
        <v>#VALUE!</v>
      </c>
      <c r="KA26" s="962" t="e">
        <f>[1]!qsn([1]!ml([1]!taqsha(1,1,[1]!roz(KA23+1,0,0,0),KA24)),KA25)/30</f>
        <v>#VALUE!</v>
      </c>
      <c r="KB26" s="962" t="e">
        <f>[1]!qsn([1]!ml([1]!taqsha(1,1,[1]!roz(KB23+1,0,0,0),KB24)),KB25)/30</f>
        <v>#VALUE!</v>
      </c>
      <c r="KC26" s="962" t="e">
        <f>[1]!qsn([1]!ml([1]!taqsha(1,1,[1]!roz(KC23+1,0,0,0),KC24)),KC25)/30</f>
        <v>#VALUE!</v>
      </c>
      <c r="KD26" s="962" t="e">
        <f>[1]!qsn([1]!ml([1]!taqsha(1,1,[1]!roz(KD23+1,0,0,0),KD24)),KD25)/30</f>
        <v>#VALUE!</v>
      </c>
      <c r="KE26" s="962" t="e">
        <f>[1]!qsn([1]!ml([1]!taqsha(1,1,[1]!roz(KE23+1,0,0,0),KE24)),KE25)/30</f>
        <v>#VALUE!</v>
      </c>
      <c r="KF26" s="962" t="e">
        <f>[1]!qsn([1]!ml([1]!taqsha(1,1,[1]!roz(KF23+1,0,0,0),KF24)),KF25)/30</f>
        <v>#VALUE!</v>
      </c>
      <c r="KG26" s="962" t="e">
        <f>[1]!qsn([1]!ml([1]!taqsha(1,1,[1]!roz(KG23+1,0,0,0),KG24)),KG25)/30</f>
        <v>#VALUE!</v>
      </c>
      <c r="KH26" s="962" t="e">
        <f>[1]!qsn([1]!ml([1]!taqsha(1,1,[1]!roz(KH23+1,0,0,0),KH24)),KH25)/30</f>
        <v>#VALUE!</v>
      </c>
      <c r="KI26" s="962" t="e">
        <f>[1]!qsn([1]!ml([1]!taqsha(1,1,[1]!roz(KI23+1,0,0,0),KI24)),KI25)/30</f>
        <v>#VALUE!</v>
      </c>
      <c r="KJ26" s="962" t="e">
        <f>[1]!qsn([1]!ml([1]!taqsha(1,1,[1]!roz(KJ23+1,0,0,0),KJ24)),KJ25)/30</f>
        <v>#VALUE!</v>
      </c>
      <c r="KK26" s="962" t="e">
        <f>[1]!qsn([1]!ml([1]!taqsha(1,1,[1]!roz(KK23+1,0,0,0),KK24)),KK25)/30</f>
        <v>#VALUE!</v>
      </c>
      <c r="KL26" s="962" t="e">
        <f>[1]!qsn([1]!ml([1]!taqsha(1,1,[1]!roz(KL23+1,0,0,0),KL24)),KL25)/30</f>
        <v>#VALUE!</v>
      </c>
      <c r="KM26" s="962" t="e">
        <f>[1]!qsn([1]!ml([1]!taqsha(1,1,[1]!roz(KM23+1,0,0,0),KM24)),KM25)/30</f>
        <v>#VALUE!</v>
      </c>
      <c r="KN26" s="962" t="e">
        <f>[1]!qsn([1]!ml([1]!taqsha(1,1,[1]!roz(KN23+1,0,0,0),KN24)),KN25)/30</f>
        <v>#VALUE!</v>
      </c>
      <c r="KO26" s="962" t="e">
        <f>[1]!qsn([1]!ml([1]!taqsha(1,1,[1]!roz(KO23+1,0,0,0),KO24)),KO25)/30</f>
        <v>#VALUE!</v>
      </c>
      <c r="KP26" s="962" t="e">
        <f>[1]!qsn([1]!ml([1]!taqsha(1,1,[1]!roz(KP23+1,0,0,0),KP24)),KP25)/30</f>
        <v>#VALUE!</v>
      </c>
      <c r="KQ26" s="962" t="e">
        <f>[1]!qsn([1]!ml([1]!taqsha(1,1,[1]!roz(KQ23+1,0,0,0),KQ24)),KQ25)/30</f>
        <v>#VALUE!</v>
      </c>
      <c r="KR26" s="962" t="e">
        <f>[1]!qsn([1]!ml([1]!taqsha(1,1,[1]!roz(KR23+1,0,0,0),KR24)),KR25)/30</f>
        <v>#VALUE!</v>
      </c>
      <c r="KS26" s="962" t="e">
        <f>[1]!qsn([1]!ml([1]!taqsha(1,1,[1]!roz(KS23+1,0,0,0),KS24)),KS25)/30</f>
        <v>#VALUE!</v>
      </c>
      <c r="KT26" s="962" t="e">
        <f>[1]!qsn([1]!ml([1]!taqsha(1,1,[1]!roz(KT23+1,0,0,0),KT24)),KT25)/30</f>
        <v>#VALUE!</v>
      </c>
      <c r="KU26" s="962" t="e">
        <f>[1]!qsn([1]!ml([1]!taqsha(1,1,[1]!roz(KU23+1,0,0,0),KU24)),KU25)/30</f>
        <v>#VALUE!</v>
      </c>
      <c r="KV26" s="962" t="e">
        <f>[1]!qsn([1]!ml([1]!taqsha(1,1,[1]!roz(KV23+1,0,0,0),KV24)),KV25)/30</f>
        <v>#VALUE!</v>
      </c>
      <c r="KW26" s="962" t="e">
        <f>[1]!qsn([1]!ml([1]!taqsha(1,1,[1]!roz(KW23+1,0,0,0),KW24)),KW25)/30</f>
        <v>#VALUE!</v>
      </c>
      <c r="KX26" s="962" t="e">
        <f>[1]!qsn([1]!ml([1]!taqsha(1,1,[1]!roz(KX23+1,0,0,0),KX24)),KX25)/30</f>
        <v>#VALUE!</v>
      </c>
      <c r="KY26" s="962" t="e">
        <f>[1]!qsn([1]!ml([1]!taqsha(1,1,[1]!roz(KY23+1,0,0,0),KY24)),KY25)/30</f>
        <v>#VALUE!</v>
      </c>
      <c r="KZ26" s="962" t="e">
        <f>[1]!qsn([1]!ml([1]!taqsha(1,1,[1]!roz(KZ23+1,0,0,0),KZ24)),KZ25)/30</f>
        <v>#VALUE!</v>
      </c>
      <c r="LA26" s="962" t="e">
        <f>[1]!qsn([1]!ml([1]!taqsha(1,1,[1]!roz(LA23+1,0,0,0),LA24)),LA25)/30</f>
        <v>#VALUE!</v>
      </c>
      <c r="LB26" s="962" t="e">
        <f>[1]!qsn([1]!ml([1]!taqsha(1,1,[1]!roz(LB23+1,0,0,0),LB24)),LB25)/30</f>
        <v>#VALUE!</v>
      </c>
      <c r="LC26" s="962" t="e">
        <f>[1]!qsn([1]!ml([1]!taqsha(1,1,[1]!roz(LC23+1,0,0,0),LC24)),LC25)/30</f>
        <v>#VALUE!</v>
      </c>
      <c r="LD26" s="962" t="e">
        <f>[1]!qsn([1]!ml([1]!taqsha(1,1,[1]!roz(LD23+1,0,0,0),LD24)),LD25)/30</f>
        <v>#VALUE!</v>
      </c>
      <c r="LE26" s="962" t="e">
        <f>[1]!qsn([1]!ml([1]!taqsha(1,1,[1]!roz(LE23+1,0,0,0),LE24)),LE25)/30</f>
        <v>#VALUE!</v>
      </c>
      <c r="LF26" s="962" t="e">
        <f>[1]!qsn([1]!ml([1]!taqsha(1,1,[1]!roz(LF23+1,0,0,0),LF24)),LF25)/30</f>
        <v>#VALUE!</v>
      </c>
      <c r="LG26" s="962" t="e">
        <f>[1]!qsn([1]!ml([1]!taqsha(1,1,[1]!roz(LG23+1,0,0,0),LG24)),LG25)/30</f>
        <v>#VALUE!</v>
      </c>
      <c r="LH26" s="962" t="e">
        <f>[1]!qsn([1]!ml([1]!taqsha(1,1,[1]!roz(LH23+1,0,0,0),LH24)),LH25)/30</f>
        <v>#VALUE!</v>
      </c>
      <c r="LI26" s="962" t="e">
        <f>[1]!qsn([1]!ml([1]!taqsha(1,1,[1]!roz(LI23+1,0,0,0),LI24)),LI25)/30</f>
        <v>#VALUE!</v>
      </c>
      <c r="LJ26" s="962" t="e">
        <f>[1]!qsn([1]!ml([1]!taqsha(1,1,[1]!roz(LJ23+1,0,0,0),LJ24)),LJ25)/30</f>
        <v>#VALUE!</v>
      </c>
      <c r="LK26" s="962" t="e">
        <f>[1]!qsn([1]!ml([1]!taqsha(1,1,[1]!roz(LK23+1,0,0,0),LK24)),LK25)/30</f>
        <v>#VALUE!</v>
      </c>
      <c r="LL26" s="962" t="e">
        <f>[1]!qsn([1]!ml([1]!taqsha(1,1,[1]!roz(LL23+1,0,0,0),LL24)),LL25)/30</f>
        <v>#VALUE!</v>
      </c>
      <c r="LM26" s="962" t="e">
        <f>[1]!qsn([1]!ml([1]!taqsha(1,1,[1]!roz(LM23+1,0,0,0),LM24)),LM25)/30</f>
        <v>#VALUE!</v>
      </c>
      <c r="LN26" s="962" t="e">
        <f>[1]!qsn([1]!ml([1]!taqsha(1,1,[1]!roz(LN23+1,0,0,0),LN24)),LN25)/30</f>
        <v>#VALUE!</v>
      </c>
      <c r="LO26" s="962" t="e">
        <f>[1]!qsn([1]!ml([1]!taqsha(1,1,[1]!roz(LO23+1,0,0,0),LO24)),LO25)/30</f>
        <v>#VALUE!</v>
      </c>
      <c r="LP26" s="962" t="e">
        <f>[1]!qsn([1]!ml([1]!taqsha(1,1,[1]!roz(LP23+1,0,0,0),LP24)),LP25)/30</f>
        <v>#VALUE!</v>
      </c>
      <c r="LQ26" s="962" t="e">
        <f>[1]!qsn([1]!ml([1]!taqsha(1,1,[1]!roz(LQ23+1,0,0,0),LQ24)),LQ25)/30</f>
        <v>#VALUE!</v>
      </c>
      <c r="LR26" s="962" t="e">
        <f>[1]!qsn([1]!ml([1]!taqsha(1,1,[1]!roz(LR23+1,0,0,0),LR24)),LR25)/30</f>
        <v>#VALUE!</v>
      </c>
      <c r="LS26" s="962" t="e">
        <f>[1]!qsn([1]!ml([1]!taqsha(1,1,[1]!roz(LS23+1,0,0,0),LS24)),LS25)/30</f>
        <v>#VALUE!</v>
      </c>
      <c r="LT26" s="962" t="e">
        <f>[1]!qsn([1]!ml([1]!taqsha(1,1,[1]!roz(LT23+1,0,0,0),LT24)),LT25)/30</f>
        <v>#VALUE!</v>
      </c>
      <c r="LU26" s="962" t="e">
        <f>[1]!qsn([1]!ml([1]!taqsha(1,1,[1]!roz(LU23+1,0,0,0),LU24)),LU25)/30</f>
        <v>#VALUE!</v>
      </c>
      <c r="LV26" s="962" t="e">
        <f>[1]!qsn([1]!ml([1]!taqsha(1,1,[1]!roz(LV23+1,0,0,0),LV24)),LV25)/30</f>
        <v>#VALUE!</v>
      </c>
      <c r="LW26" s="962" t="e">
        <f>[1]!qsn([1]!ml([1]!taqsha(1,1,[1]!roz(LW23+1,0,0,0),LW24)),LW25)/30</f>
        <v>#VALUE!</v>
      </c>
      <c r="LX26" s="962" t="e">
        <f>[1]!qsn([1]!ml([1]!taqsha(1,1,[1]!roz(LX23+1,0,0,0),LX24)),LX25)/30</f>
        <v>#VALUE!</v>
      </c>
      <c r="LY26" s="962" t="e">
        <f>[1]!qsn([1]!ml([1]!taqsha(1,1,[1]!roz(LY23+1,0,0,0),LY24)),LY25)/30</f>
        <v>#VALUE!</v>
      </c>
      <c r="LZ26" s="962" t="e">
        <f>[1]!qsn([1]!ml([1]!taqsha(1,1,[1]!roz(LZ23+1,0,0,0),LZ24)),LZ25)/30</f>
        <v>#VALUE!</v>
      </c>
      <c r="MA26" s="962" t="e">
        <f>[1]!qsn([1]!ml([1]!taqsha(1,1,[1]!roz(MA23+1,0,0,0),MA24)),MA25)/30</f>
        <v>#VALUE!</v>
      </c>
      <c r="MB26" s="962" t="e">
        <f>[1]!qsn([1]!ml([1]!taqsha(1,1,[1]!roz(MB23+1,0,0,0),MB24)),MB25)/30</f>
        <v>#VALUE!</v>
      </c>
      <c r="MC26" s="962" t="e">
        <f>[1]!qsn([1]!ml([1]!taqsha(1,1,[1]!roz(MC23+1,0,0,0),MC24)),MC25)/30</f>
        <v>#VALUE!</v>
      </c>
      <c r="MD26" s="962" t="e">
        <f>[1]!qsn([1]!ml([1]!taqsha(1,1,[1]!roz(MD23+1,0,0,0),MD24)),MD25)/30</f>
        <v>#VALUE!</v>
      </c>
      <c r="ME26" s="962" t="e">
        <f>[1]!qsn([1]!ml([1]!taqsha(1,1,[1]!roz(ME23+1,0,0,0),ME24)),ME25)/30</f>
        <v>#VALUE!</v>
      </c>
      <c r="MF26" s="962" t="e">
        <f>[1]!qsn([1]!ml([1]!taqsha(1,1,[1]!roz(MF23+1,0,0,0),MF24)),MF25)/30</f>
        <v>#VALUE!</v>
      </c>
      <c r="MG26" s="962" t="e">
        <f>[1]!qsn([1]!ml([1]!taqsha(1,1,[1]!roz(MG23+1,0,0,0),MG24)),MG25)/30</f>
        <v>#VALUE!</v>
      </c>
      <c r="MH26" s="962" t="e">
        <f>[1]!qsn([1]!ml([1]!taqsha(1,1,[1]!roz(MH23+1,0,0,0),MH24)),MH25)/30</f>
        <v>#VALUE!</v>
      </c>
      <c r="MI26" s="962" t="e">
        <f>[1]!qsn([1]!ml([1]!taqsha(1,1,[1]!roz(MI23+1,0,0,0),MI24)),MI25)/30</f>
        <v>#VALUE!</v>
      </c>
      <c r="MJ26" s="962" t="e">
        <f>[1]!qsn([1]!ml([1]!taqsha(1,1,[1]!roz(MJ23+1,0,0,0),MJ24)),MJ25)/30</f>
        <v>#VALUE!</v>
      </c>
      <c r="MK26" s="962" t="e">
        <f>[1]!qsn([1]!ml([1]!taqsha(1,1,[1]!roz(MK23+1,0,0,0),MK24)),MK25)/30</f>
        <v>#VALUE!</v>
      </c>
      <c r="ML26" s="962" t="e">
        <f>[1]!qsn([1]!ml([1]!taqsha(1,1,[1]!roz(ML23+1,0,0,0),ML24)),ML25)/30</f>
        <v>#VALUE!</v>
      </c>
      <c r="MM26" s="962" t="e">
        <f>[1]!qsn([1]!ml([1]!taqsha(1,1,[1]!roz(MM23+1,0,0,0),MM24)),MM25)/30</f>
        <v>#VALUE!</v>
      </c>
      <c r="MN26" s="962" t="e">
        <f>[1]!qsn([1]!ml([1]!taqsha(1,1,[1]!roz(MN23+1,0,0,0),MN24)),MN25)/30</f>
        <v>#VALUE!</v>
      </c>
      <c r="MO26" s="962" t="e">
        <f>[1]!qsn([1]!ml([1]!taqsha(1,1,[1]!roz(MO23+1,0,0,0),MO24)),MO25)/30</f>
        <v>#VALUE!</v>
      </c>
      <c r="MP26" s="962" t="e">
        <f>[1]!qsn([1]!ml([1]!taqsha(1,1,[1]!roz(MP23+1,0,0,0),MP24)),MP25)/30</f>
        <v>#VALUE!</v>
      </c>
      <c r="MQ26" s="962" t="e">
        <f>[1]!qsn([1]!ml([1]!taqsha(1,1,[1]!roz(MQ23+1,0,0,0),MQ24)),MQ25)/30</f>
        <v>#VALUE!</v>
      </c>
      <c r="MR26" s="962" t="e">
        <f>[1]!qsn([1]!ml([1]!taqsha(1,1,[1]!roz(MR23+1,0,0,0),MR24)),MR25)/30</f>
        <v>#VALUE!</v>
      </c>
      <c r="MS26" s="962" t="e">
        <f>[1]!qsn([1]!ml([1]!taqsha(1,1,[1]!roz(MS23+1,0,0,0),MS24)),MS25)/30</f>
        <v>#VALUE!</v>
      </c>
      <c r="MT26" s="962" t="e">
        <f>[1]!qsn([1]!ml([1]!taqsha(1,1,[1]!roz(MT23+1,0,0,0),MT24)),MT25)/30</f>
        <v>#VALUE!</v>
      </c>
      <c r="MU26" s="962" t="e">
        <f>[1]!qsn([1]!ml([1]!taqsha(1,1,[1]!roz(MU23+1,0,0,0),MU24)),MU25)/30</f>
        <v>#VALUE!</v>
      </c>
      <c r="MV26" s="962" t="e">
        <f>[1]!qsn([1]!ml([1]!taqsha(1,1,[1]!roz(MV23+1,0,0,0),MV24)),MV25)/30</f>
        <v>#VALUE!</v>
      </c>
      <c r="MW26" s="962" t="e">
        <f>[1]!qsn([1]!ml([1]!taqsha(1,1,[1]!roz(MW23+1,0,0,0),MW24)),MW25)/30</f>
        <v>#VALUE!</v>
      </c>
      <c r="MX26" s="962" t="e">
        <f>[1]!qsn([1]!ml([1]!taqsha(1,1,[1]!roz(MX23+1,0,0,0),MX24)),MX25)/30</f>
        <v>#VALUE!</v>
      </c>
      <c r="MY26" s="962" t="e">
        <f>[1]!qsn([1]!ml([1]!taqsha(1,1,[1]!roz(MY23+1,0,0,0),MY24)),MY25)/30</f>
        <v>#VALUE!</v>
      </c>
      <c r="MZ26" s="962" t="e">
        <f>[1]!qsn([1]!ml([1]!taqsha(1,1,[1]!roz(MZ23+1,0,0,0),MZ24)),MZ25)/30</f>
        <v>#VALUE!</v>
      </c>
      <c r="NA26" s="962" t="e">
        <f>[1]!qsn([1]!ml([1]!taqsha(1,1,[1]!roz(NA23+1,0,0,0),NA24)),NA25)/30</f>
        <v>#VALUE!</v>
      </c>
      <c r="NB26" s="962" t="e">
        <f>[1]!qsn([1]!ml([1]!taqsha(1,1,[1]!roz(NB23+1,0,0,0),NB24)),NB25)/30</f>
        <v>#VALUE!</v>
      </c>
      <c r="NC26" s="962" t="e">
        <f>[1]!qsn([1]!ml([1]!taqsha(1,1,[1]!roz(NC23+1,0,0,0),NC24)),NC25)/30</f>
        <v>#VALUE!</v>
      </c>
      <c r="ND26" s="962" t="e">
        <f>[1]!qsn([1]!ml([1]!taqsha(1,1,[1]!roz(ND23+1,0,0,0),ND24)),ND25)/30</f>
        <v>#VALUE!</v>
      </c>
      <c r="NE26" s="962" t="e">
        <f>[1]!qsn([1]!ml([1]!taqsha(1,1,[1]!roz(NE23+1,0,0,0),NE24)),NE25)/30</f>
        <v>#VALUE!</v>
      </c>
      <c r="NF26" s="962" t="e">
        <f>[1]!qsn([1]!ml([1]!taqsha(1,1,[1]!roz(NF23+1,0,0,0),NF24)),NF25)/30</f>
        <v>#VALUE!</v>
      </c>
      <c r="NG26" s="962" t="e">
        <f>[1]!qsn([1]!ml([1]!taqsha(1,1,[1]!roz(NG23+1,0,0,0),NG24)),NG25)/30</f>
        <v>#VALUE!</v>
      </c>
      <c r="NH26" s="962" t="e">
        <f>[1]!qsn([1]!ml([1]!taqsha(1,1,[1]!roz(NH23+1,0,0,0),NH24)),NH25)/30</f>
        <v>#VALUE!</v>
      </c>
      <c r="NI26" s="962" t="e">
        <f>[1]!qsn([1]!ml([1]!taqsha(1,1,[1]!roz(NI23+1,0,0,0),NI24)),NI25)/30</f>
        <v>#VALUE!</v>
      </c>
      <c r="NJ26" s="962" t="e">
        <f>[1]!qsn([1]!ml([1]!taqsha(1,1,[1]!roz(NJ23+1,0,0,0),NJ24)),NJ25)/30</f>
        <v>#VALUE!</v>
      </c>
      <c r="NK26" s="962" t="e">
        <f>[1]!qsn([1]!ml([1]!taqsha(1,1,[1]!roz(NK23+1,0,0,0),NK24)),NK25)/30</f>
        <v>#VALUE!</v>
      </c>
      <c r="NL26" s="962" t="e">
        <f>[1]!qsn([1]!ml([1]!taqsha(1,1,[1]!roz(NL23+1,0,0,0),NL24)),NL25)/30</f>
        <v>#VALUE!</v>
      </c>
      <c r="NM26" s="962" t="e">
        <f>[1]!qsn([1]!ml([1]!taqsha(1,1,[1]!roz(NM23+1,0,0,0),NM24)),NM25)/30</f>
        <v>#VALUE!</v>
      </c>
      <c r="NN26" s="962" t="e">
        <f>[1]!qsn([1]!ml([1]!taqsha(1,1,[1]!roz(NN23+1,0,0,0),NN24)),NN25)/30</f>
        <v>#VALUE!</v>
      </c>
      <c r="NO26" s="962" t="e">
        <f>[1]!qsn([1]!ml([1]!taqsha(1,1,[1]!roz(NO23+1,0,0,0),NO24)),NO25)/30</f>
        <v>#VALUE!</v>
      </c>
      <c r="NP26" s="962" t="e">
        <f>[1]!qsn([1]!ml([1]!taqsha(1,1,[1]!roz(NP23+1,0,0,0),NP24)),NP25)/30</f>
        <v>#VALUE!</v>
      </c>
      <c r="NQ26" s="962" t="e">
        <f>[1]!qsn([1]!ml([1]!taqsha(1,1,[1]!roz(NQ23+1,0,0,0),NQ24)),NQ25)/30</f>
        <v>#VALUE!</v>
      </c>
      <c r="NR26" s="962" t="e">
        <f>[1]!qsn([1]!ml([1]!taqsha(1,1,[1]!roz(NR23+1,0,0,0),NR24)),NR25)/30</f>
        <v>#VALUE!</v>
      </c>
      <c r="NS26" s="962" t="e">
        <f>[1]!qsn([1]!ml([1]!taqsha(1,1,[1]!roz(NS23+1,0,0,0),NS24)),NS25)/30</f>
        <v>#VALUE!</v>
      </c>
      <c r="NT26" s="962" t="e">
        <f>[1]!qsn([1]!ml([1]!taqsha(1,1,[1]!roz(NT23+1,0,0,0),NT24)),NT25)/30</f>
        <v>#VALUE!</v>
      </c>
      <c r="NU26" s="962" t="e">
        <f>[1]!qsn([1]!ml([1]!taqsha(1,1,[1]!roz(NU23+1,0,0,0),NU24)),NU25)/30</f>
        <v>#VALUE!</v>
      </c>
      <c r="NV26" s="962" t="e">
        <f>[1]!qsn([1]!ml([1]!taqsha(1,1,[1]!roz(NV23+1,0,0,0),NV24)),NV25)/30</f>
        <v>#VALUE!</v>
      </c>
      <c r="NW26" s="962" t="e">
        <f>[1]!qsn([1]!ml([1]!taqsha(1,1,[1]!roz(NW23+1,0,0,0),NW24)),NW25)/30</f>
        <v>#VALUE!</v>
      </c>
      <c r="NX26" s="962" t="e">
        <f>[1]!qsn([1]!ml([1]!taqsha(1,1,[1]!roz(NX23+1,0,0,0),NX24)),NX25)/30</f>
        <v>#VALUE!</v>
      </c>
      <c r="NY26" s="962" t="e">
        <f>[1]!qsn([1]!ml([1]!taqsha(1,1,[1]!roz(NY23+1,0,0,0),NY24)),NY25)/30</f>
        <v>#VALUE!</v>
      </c>
      <c r="NZ26" s="962" t="e">
        <f>[1]!qsn([1]!ml([1]!taqsha(1,1,[1]!roz(NZ23+1,0,0,0),NZ24)),NZ25)/30</f>
        <v>#VALUE!</v>
      </c>
      <c r="OA26" s="962" t="e">
        <f>[1]!qsn([1]!ml([1]!taqsha(1,1,[1]!roz(OA23+1,0,0,0),OA24)),OA25)/30</f>
        <v>#VALUE!</v>
      </c>
      <c r="OB26" s="962" t="e">
        <f>[1]!qsn([1]!ml([1]!taqsha(1,1,[1]!roz(OB23+1,0,0,0),OB24)),OB25)/30</f>
        <v>#VALUE!</v>
      </c>
      <c r="OC26" s="962" t="e">
        <f>[1]!qsn([1]!ml([1]!taqsha(1,1,[1]!roz(OC23+1,0,0,0),OC24)),OC25)/30</f>
        <v>#VALUE!</v>
      </c>
      <c r="OD26" s="962" t="e">
        <f>[1]!qsn([1]!ml([1]!taqsha(1,1,[1]!roz(OD23+1,0,0,0),OD24)),OD25)/30</f>
        <v>#VALUE!</v>
      </c>
      <c r="OE26" s="962" t="e">
        <f>[1]!qsn([1]!ml([1]!taqsha(1,1,[1]!roz(OE23+1,0,0,0),OE24)),OE25)/30</f>
        <v>#VALUE!</v>
      </c>
      <c r="OF26" s="962" t="e">
        <f>[1]!qsn([1]!ml([1]!taqsha(1,1,[1]!roz(OF23+1,0,0,0),OF24)),OF25)/30</f>
        <v>#VALUE!</v>
      </c>
      <c r="OG26" s="962" t="e">
        <f>[1]!qsn([1]!ml([1]!taqsha(1,1,[1]!roz(OG23+1,0,0,0),OG24)),OG25)/30</f>
        <v>#VALUE!</v>
      </c>
      <c r="OH26" s="962" t="e">
        <f>[1]!qsn([1]!ml([1]!taqsha(1,1,[1]!roz(OH23+1,0,0,0),OH24)),OH25)/30</f>
        <v>#VALUE!</v>
      </c>
      <c r="OI26" s="962" t="e">
        <f>[1]!qsn([1]!ml([1]!taqsha(1,1,[1]!roz(OI23+1,0,0,0),OI24)),OI25)/30</f>
        <v>#VALUE!</v>
      </c>
      <c r="OJ26" s="962" t="e">
        <f>[1]!qsn([1]!ml([1]!taqsha(1,1,[1]!roz(OJ23+1,0,0,0),OJ24)),OJ25)/30</f>
        <v>#VALUE!</v>
      </c>
      <c r="OK26" s="962" t="e">
        <f>[1]!qsn([1]!ml([1]!taqsha(1,1,[1]!roz(OK23+1,0,0,0),OK24)),OK25)/30</f>
        <v>#VALUE!</v>
      </c>
      <c r="OL26" s="962" t="e">
        <f>[1]!qsn([1]!ml([1]!taqsha(1,1,[1]!roz(OL23+1,0,0,0),OL24)),OL25)/30</f>
        <v>#VALUE!</v>
      </c>
      <c r="OM26" s="962" t="e">
        <f>[1]!qsn([1]!ml([1]!taqsha(1,1,[1]!roz(OM23+1,0,0,0),OM24)),OM25)/30</f>
        <v>#VALUE!</v>
      </c>
      <c r="ON26" s="962" t="e">
        <f>[1]!qsn([1]!ml([1]!taqsha(1,1,[1]!roz(ON23+1,0,0,0),ON24)),ON25)/30</f>
        <v>#VALUE!</v>
      </c>
      <c r="OO26" s="962" t="e">
        <f>[1]!qsn([1]!ml([1]!taqsha(1,1,[1]!roz(OO23+1,0,0,0),OO24)),OO25)/30</f>
        <v>#VALUE!</v>
      </c>
      <c r="OP26" s="962" t="e">
        <f>[1]!qsn([1]!ml([1]!taqsha(1,1,[1]!roz(OP23+1,0,0,0),OP24)),OP25)/30</f>
        <v>#VALUE!</v>
      </c>
      <c r="OQ26" s="962" t="e">
        <f>[1]!qsn([1]!ml([1]!taqsha(1,1,[1]!roz(OQ23+1,0,0,0),OQ24)),OQ25)/30</f>
        <v>#VALUE!</v>
      </c>
      <c r="OR26" s="962" t="e">
        <f>[1]!qsn([1]!ml([1]!taqsha(1,1,[1]!roz(OR23+1,0,0,0),OR24)),OR25)/30</f>
        <v>#VALUE!</v>
      </c>
      <c r="OS26" s="962" t="e">
        <f>[1]!qsn([1]!ml([1]!taqsha(1,1,[1]!roz(OS23+1,0,0,0),OS24)),OS25)/30</f>
        <v>#VALUE!</v>
      </c>
      <c r="OT26" s="962" t="e">
        <f>[1]!qsn([1]!ml([1]!taqsha(1,1,[1]!roz(OT23+1,0,0,0),OT24)),OT25)/30</f>
        <v>#VALUE!</v>
      </c>
      <c r="OU26" s="962" t="e">
        <f>[1]!qsn([1]!ml([1]!taqsha(1,1,[1]!roz(OU23+1,0,0,0),OU24)),OU25)/30</f>
        <v>#VALUE!</v>
      </c>
      <c r="OV26" s="962" t="e">
        <f>[1]!qsn([1]!ml([1]!taqsha(1,1,[1]!roz(OV23+1,0,0,0),OV24)),OV25)/30</f>
        <v>#VALUE!</v>
      </c>
      <c r="OW26" s="962" t="e">
        <f>[1]!qsn([1]!ml([1]!taqsha(1,1,[1]!roz(OW23+1,0,0,0),OW24)),OW25)/30</f>
        <v>#VALUE!</v>
      </c>
      <c r="OX26" s="962" t="e">
        <f>[1]!qsn([1]!ml([1]!taqsha(1,1,[1]!roz(OX23+1,0,0,0),OX24)),OX25)/30</f>
        <v>#VALUE!</v>
      </c>
      <c r="OY26" s="962" t="e">
        <f>[1]!qsn([1]!ml([1]!taqsha(1,1,[1]!roz(OY23+1,0,0,0),OY24)),OY25)/30</f>
        <v>#VALUE!</v>
      </c>
      <c r="OZ26" s="962" t="e">
        <f>[1]!qsn([1]!ml([1]!taqsha(1,1,[1]!roz(OZ23+1,0,0,0),OZ24)),OZ25)/30</f>
        <v>#VALUE!</v>
      </c>
      <c r="PA26" s="962" t="e">
        <f>[1]!qsn([1]!ml([1]!taqsha(1,1,[1]!roz(PA23+1,0,0,0),PA24)),PA25)/30</f>
        <v>#VALUE!</v>
      </c>
      <c r="PB26" s="962" t="e">
        <f>[1]!qsn([1]!ml([1]!taqsha(1,1,[1]!roz(PB23+1,0,0,0),PB24)),PB25)/30</f>
        <v>#VALUE!</v>
      </c>
      <c r="PC26" s="962" t="e">
        <f>[1]!qsn([1]!ml([1]!taqsha(1,1,[1]!roz(PC23+1,0,0,0),PC24)),PC25)/30</f>
        <v>#VALUE!</v>
      </c>
      <c r="PD26" s="962" t="e">
        <f>[1]!qsn([1]!ml([1]!taqsha(1,1,[1]!roz(PD23+1,0,0,0),PD24)),PD25)/30</f>
        <v>#VALUE!</v>
      </c>
      <c r="PE26" s="962" t="e">
        <f>[1]!qsn([1]!ml([1]!taqsha(1,1,[1]!roz(PE23+1,0,0,0),PE24)),PE25)/30</f>
        <v>#VALUE!</v>
      </c>
      <c r="PF26" s="962" t="e">
        <f>[1]!qsn([1]!ml([1]!taqsha(1,1,[1]!roz(PF23+1,0,0,0),PF24)),PF25)/30</f>
        <v>#VALUE!</v>
      </c>
      <c r="PG26" s="962" t="e">
        <f>[1]!qsn([1]!ml([1]!taqsha(1,1,[1]!roz(PG23+1,0,0,0),PG24)),PG25)/30</f>
        <v>#VALUE!</v>
      </c>
      <c r="PH26" s="962" t="e">
        <f>[1]!qsn([1]!ml([1]!taqsha(1,1,[1]!roz(PH23+1,0,0,0),PH24)),PH25)/30</f>
        <v>#VALUE!</v>
      </c>
      <c r="PI26" s="962" t="e">
        <f>[1]!qsn([1]!ml([1]!taqsha(1,1,[1]!roz(PI23+1,0,0,0),PI24)),PI25)/30</f>
        <v>#VALUE!</v>
      </c>
      <c r="PJ26" s="962" t="e">
        <f>[1]!qsn([1]!ml([1]!taqsha(1,1,[1]!roz(PJ23+1,0,0,0),PJ24)),PJ25)/30</f>
        <v>#VALUE!</v>
      </c>
      <c r="PK26" s="962" t="e">
        <f>[1]!qsn([1]!ml([1]!taqsha(1,1,[1]!roz(PK23+1,0,0,0),PK24)),PK25)/30</f>
        <v>#VALUE!</v>
      </c>
      <c r="PL26" s="962" t="e">
        <f>[1]!qsn([1]!ml([1]!taqsha(1,1,[1]!roz(PL23+1,0,0,0),PL24)),PL25)/30</f>
        <v>#VALUE!</v>
      </c>
      <c r="PM26" s="962" t="e">
        <f>[1]!qsn([1]!ml([1]!taqsha(1,1,[1]!roz(PM23+1,0,0,0),PM24)),PM25)/30</f>
        <v>#VALUE!</v>
      </c>
      <c r="PN26" s="962" t="e">
        <f>[1]!qsn([1]!ml([1]!taqsha(1,1,[1]!roz(PN23+1,0,0,0),PN24)),PN25)/30</f>
        <v>#VALUE!</v>
      </c>
      <c r="PO26" s="962" t="e">
        <f>[1]!qsn([1]!ml([1]!taqsha(1,1,[1]!roz(PO23+1,0,0,0),PO24)),PO25)/30</f>
        <v>#VALUE!</v>
      </c>
      <c r="PP26" s="962" t="e">
        <f>[1]!qsn([1]!ml([1]!taqsha(1,1,[1]!roz(PP23+1,0,0,0),PP24)),PP25)/30</f>
        <v>#VALUE!</v>
      </c>
      <c r="PQ26" s="962" t="e">
        <f>[1]!qsn([1]!ml([1]!taqsha(1,1,[1]!roz(PQ23+1,0,0,0),PQ24)),PQ25)/30</f>
        <v>#VALUE!</v>
      </c>
      <c r="PR26" s="962" t="e">
        <f>[1]!qsn([1]!ml([1]!taqsha(1,1,[1]!roz(PR23+1,0,0,0),PR24)),PR25)/30</f>
        <v>#VALUE!</v>
      </c>
      <c r="PS26" s="962" t="e">
        <f>[1]!qsn([1]!ml([1]!taqsha(1,1,[1]!roz(PS23+1,0,0,0),PS24)),PS25)/30</f>
        <v>#VALUE!</v>
      </c>
      <c r="PT26" s="962" t="e">
        <f>[1]!qsn([1]!ml([1]!taqsha(1,1,[1]!roz(PT23+1,0,0,0),PT24)),PT25)/30</f>
        <v>#VALUE!</v>
      </c>
      <c r="PU26" s="962" t="e">
        <f>[1]!qsn([1]!ml([1]!taqsha(1,1,[1]!roz(PU23+1,0,0,0),PU24)),PU25)/30</f>
        <v>#VALUE!</v>
      </c>
      <c r="PV26" s="962" t="e">
        <f>[1]!qsn([1]!ml([1]!taqsha(1,1,[1]!roz(PV23+1,0,0,0),PV24)),PV25)/30</f>
        <v>#VALUE!</v>
      </c>
      <c r="PW26" s="962" t="e">
        <f>[1]!qsn([1]!ml([1]!taqsha(1,1,[1]!roz(PW23+1,0,0,0),PW24)),PW25)/30</f>
        <v>#VALUE!</v>
      </c>
      <c r="PX26" s="962" t="e">
        <f>[1]!qsn([1]!ml([1]!taqsha(1,1,[1]!roz(PX23+1,0,0,0),PX24)),PX25)/30</f>
        <v>#VALUE!</v>
      </c>
      <c r="PY26" s="962" t="e">
        <f>[1]!qsn([1]!ml([1]!taqsha(1,1,[1]!roz(PY23+1,0,0,0),PY24)),PY25)/30</f>
        <v>#VALUE!</v>
      </c>
      <c r="PZ26" s="962" t="e">
        <f>[1]!qsn([1]!ml([1]!taqsha(1,1,[1]!roz(PZ23+1,0,0,0),PZ24)),PZ25)/30</f>
        <v>#VALUE!</v>
      </c>
      <c r="QA26" s="962" t="e">
        <f>[1]!qsn([1]!ml([1]!taqsha(1,1,[1]!roz(QA23+1,0,0,0),QA24)),QA25)/30</f>
        <v>#VALUE!</v>
      </c>
      <c r="QB26" s="962" t="e">
        <f>[1]!qsn([1]!ml([1]!taqsha(1,1,[1]!roz(QB23+1,0,0,0),QB24)),QB25)/30</f>
        <v>#VALUE!</v>
      </c>
      <c r="QC26" s="962" t="e">
        <f>[1]!qsn([1]!ml([1]!taqsha(1,1,[1]!roz(QC23+1,0,0,0),QC24)),QC25)/30</f>
        <v>#VALUE!</v>
      </c>
      <c r="QD26" s="962" t="e">
        <f>[1]!qsn([1]!ml([1]!taqsha(1,1,[1]!roz(QD23+1,0,0,0),QD24)),QD25)/30</f>
        <v>#VALUE!</v>
      </c>
      <c r="QE26" s="962" t="e">
        <f>[1]!qsn([1]!ml([1]!taqsha(1,1,[1]!roz(QE23+1,0,0,0),QE24)),QE25)/30</f>
        <v>#VALUE!</v>
      </c>
      <c r="QF26" s="962" t="e">
        <f>[1]!qsn([1]!ml([1]!taqsha(1,1,[1]!roz(QF23+1,0,0,0),QF24)),QF25)/30</f>
        <v>#VALUE!</v>
      </c>
      <c r="QG26" s="962" t="e">
        <f>[1]!qsn([1]!ml([1]!taqsha(1,1,[1]!roz(QG23+1,0,0,0),QG24)),QG25)/30</f>
        <v>#VALUE!</v>
      </c>
      <c r="QH26" s="962" t="e">
        <f>[1]!qsn([1]!ml([1]!taqsha(1,1,[1]!roz(QH23+1,0,0,0),QH24)),QH25)/30</f>
        <v>#VALUE!</v>
      </c>
      <c r="QI26" s="962" t="e">
        <f>[1]!qsn([1]!ml([1]!taqsha(1,1,[1]!roz(QI23+1,0,0,0),QI24)),QI25)/30</f>
        <v>#VALUE!</v>
      </c>
      <c r="QJ26" s="962" t="e">
        <f>[1]!qsn([1]!ml([1]!taqsha(1,1,[1]!roz(QJ23+1,0,0,0),QJ24)),QJ25)/30</f>
        <v>#VALUE!</v>
      </c>
      <c r="QK26" s="962" t="e">
        <f>[1]!qsn([1]!ml([1]!taqsha(1,1,[1]!roz(QK23+1,0,0,0),QK24)),QK25)/30</f>
        <v>#VALUE!</v>
      </c>
      <c r="QL26" s="962" t="e">
        <f>[1]!qsn([1]!ml([1]!taqsha(1,1,[1]!roz(QL23+1,0,0,0),QL24)),QL25)/30</f>
        <v>#VALUE!</v>
      </c>
      <c r="QM26" s="962" t="e">
        <f>[1]!qsn([1]!ml([1]!taqsha(1,1,[1]!roz(QM23+1,0,0,0),QM24)),QM25)/30</f>
        <v>#VALUE!</v>
      </c>
      <c r="QN26" s="962" t="e">
        <f>[1]!qsn([1]!ml([1]!taqsha(1,1,[1]!roz(QN23+1,0,0,0),QN24)),QN25)/30</f>
        <v>#VALUE!</v>
      </c>
      <c r="QO26" s="962" t="e">
        <f>[1]!qsn([1]!ml([1]!taqsha(1,1,[1]!roz(QO23+1,0,0,0),QO24)),QO25)/30</f>
        <v>#VALUE!</v>
      </c>
      <c r="QP26" s="962" t="e">
        <f>[1]!qsn([1]!ml([1]!taqsha(1,1,[1]!roz(QP23+1,0,0,0),QP24)),QP25)/30</f>
        <v>#VALUE!</v>
      </c>
      <c r="QQ26" s="962" t="e">
        <f>[1]!qsn([1]!ml([1]!taqsha(1,1,[1]!roz(QQ23+1,0,0,0),QQ24)),QQ25)/30</f>
        <v>#VALUE!</v>
      </c>
      <c r="QR26" s="962" t="e">
        <f>[1]!qsn([1]!ml([1]!taqsha(1,1,[1]!roz(QR23+1,0,0,0),QR24)),QR25)/30</f>
        <v>#VALUE!</v>
      </c>
      <c r="QS26" s="962" t="e">
        <f>[1]!qsn([1]!ml([1]!taqsha(1,1,[1]!roz(QS23+1,0,0,0),QS24)),QS25)/30</f>
        <v>#VALUE!</v>
      </c>
      <c r="QT26" s="962" t="e">
        <f>[1]!qsn([1]!ml([1]!taqsha(1,1,[1]!roz(QT23+1,0,0,0),QT24)),QT25)/30</f>
        <v>#VALUE!</v>
      </c>
      <c r="QU26" s="962" t="e">
        <f>[1]!qsn([1]!ml([1]!taqsha(1,1,[1]!roz(QU23+1,0,0,0),QU24)),QU25)/30</f>
        <v>#VALUE!</v>
      </c>
      <c r="QV26" s="962" t="e">
        <f>[1]!qsn([1]!ml([1]!taqsha(1,1,[1]!roz(QV23+1,0,0,0),QV24)),QV25)/30</f>
        <v>#VALUE!</v>
      </c>
      <c r="QW26" s="962" t="e">
        <f>[1]!qsn([1]!ml([1]!taqsha(1,1,[1]!roz(QW23+1,0,0,0),QW24)),QW25)/30</f>
        <v>#VALUE!</v>
      </c>
      <c r="QX26" s="962" t="e">
        <f>[1]!qsn([1]!ml([1]!taqsha(1,1,[1]!roz(QX23+1,0,0,0),QX24)),QX25)/30</f>
        <v>#VALUE!</v>
      </c>
      <c r="QY26" s="962" t="e">
        <f>[1]!qsn([1]!ml([1]!taqsha(1,1,[1]!roz(QY23+1,0,0,0),QY24)),QY25)/30</f>
        <v>#VALUE!</v>
      </c>
      <c r="QZ26" s="962" t="e">
        <f>[1]!qsn([1]!ml([1]!taqsha(1,1,[1]!roz(QZ23+1,0,0,0),QZ24)),QZ25)/30</f>
        <v>#VALUE!</v>
      </c>
      <c r="RA26" s="963"/>
    </row>
    <row r="27" spans="1:471" ht="17.25">
      <c r="B27" t="s">
        <v>144</v>
      </c>
      <c r="D27" t="s">
        <v>145</v>
      </c>
      <c r="E27" t="s">
        <v>146</v>
      </c>
      <c r="G27">
        <f>G3-H1</f>
        <v>526464.01057989092</v>
      </c>
      <c r="I27">
        <f>INT(MOD(G27,M26)/(M26/12))</f>
        <v>7</v>
      </c>
      <c r="J27" s="7"/>
      <c r="K27" s="7"/>
      <c r="L27" s="7"/>
      <c r="M27" s="7"/>
      <c r="N27" s="7"/>
      <c r="O27" s="7">
        <v>30</v>
      </c>
      <c r="P27" s="7">
        <v>29</v>
      </c>
      <c r="Q27" s="7">
        <v>30</v>
      </c>
      <c r="R27" s="7">
        <v>29</v>
      </c>
      <c r="S27" s="7">
        <v>30</v>
      </c>
      <c r="T27" s="7">
        <v>29</v>
      </c>
      <c r="U27" s="7">
        <v>30</v>
      </c>
      <c r="V27" s="7">
        <v>29</v>
      </c>
      <c r="W27" s="7">
        <v>30</v>
      </c>
      <c r="X27" s="7">
        <v>29</v>
      </c>
      <c r="Y27" s="7">
        <v>30</v>
      </c>
      <c r="Z27" s="7">
        <v>29</v>
      </c>
      <c r="AA27" s="7"/>
      <c r="AK27" s="759"/>
      <c r="AL27" s="701"/>
      <c r="AM27" s="304"/>
      <c r="AN27" s="304"/>
      <c r="AO27" s="304"/>
      <c r="AP27" s="304"/>
      <c r="AQ27" s="304"/>
      <c r="AR27" s="304"/>
      <c r="AS27" s="304"/>
      <c r="AT27" s="304"/>
      <c r="AU27" s="304"/>
      <c r="AV27" s="304"/>
      <c r="AW27" s="304"/>
      <c r="AX27" s="314"/>
      <c r="AZ27" s="779" t="s">
        <v>60</v>
      </c>
      <c r="BA27" s="644">
        <f>BA3</f>
        <v>1386</v>
      </c>
      <c r="DI27" s="797" t="s">
        <v>378</v>
      </c>
      <c r="DJ27" s="961" t="e">
        <f>[1]!taqsh(1,1,[1]!roz(DJ23+1,DJ26,0,0),DJ24)</f>
        <v>#VALUE!</v>
      </c>
      <c r="DK27" s="962" t="e">
        <f>[1]!taqsh(1,1,[1]!roz(DK23+1,DK26,0,0),DK24)</f>
        <v>#VALUE!</v>
      </c>
      <c r="DL27" s="962" t="e">
        <f>[1]!taqsh(1,1,[1]!roz(DL23+1,DL26,0,0),DL24)</f>
        <v>#VALUE!</v>
      </c>
      <c r="DM27" s="962" t="e">
        <f>[1]!taqsh(1,1,[1]!roz(DM23+1,DM26,0,0),DM24)</f>
        <v>#VALUE!</v>
      </c>
      <c r="DN27" s="962" t="e">
        <f>[1]!taqsh(1,1,[1]!roz(DN23+1,DN26,0,0),DN24)</f>
        <v>#VALUE!</v>
      </c>
      <c r="DO27" s="962" t="e">
        <f>[1]!taqsh(1,1,[1]!roz(DO23+1,DO26,0,0),DO24)</f>
        <v>#VALUE!</v>
      </c>
      <c r="DP27" s="962" t="e">
        <f>[1]!taqsh(1,1,[1]!roz(DP23+1,DP26,0,0),DP24)</f>
        <v>#VALUE!</v>
      </c>
      <c r="DQ27" s="962" t="e">
        <f>[1]!taqsh(1,1,[1]!roz(DQ23+1,DQ26,0,0),DQ24)</f>
        <v>#VALUE!</v>
      </c>
      <c r="DR27" s="962" t="e">
        <f>[1]!taqsh(1,1,[1]!roz(DR23+1,DR26,0,0),DR24)</f>
        <v>#VALUE!</v>
      </c>
      <c r="DS27" s="962" t="e">
        <f>[1]!taqsh(1,1,[1]!roz(DS23+1,DS26,0,0),DS24)</f>
        <v>#VALUE!</v>
      </c>
      <c r="DT27" s="962" t="e">
        <f>[1]!taqsh(1,1,[1]!roz(DT23+1,DT26,0,0),DT24)</f>
        <v>#VALUE!</v>
      </c>
      <c r="DU27" s="962" t="e">
        <f>[1]!taqsh(1,1,[1]!roz(DU23+1,DU26,0,0),DU24)</f>
        <v>#VALUE!</v>
      </c>
      <c r="DV27" s="962" t="e">
        <f>[1]!taqsh(1,1,[1]!roz(DV23+1,DV26,0,0),DV24)</f>
        <v>#VALUE!</v>
      </c>
      <c r="DW27" s="962" t="e">
        <f>[1]!taqsh(1,1,[1]!roz(DW23+1,DW26,0,0),DW24)</f>
        <v>#VALUE!</v>
      </c>
      <c r="DX27" s="962" t="e">
        <f>[1]!taqsh(1,1,[1]!roz(DX23+1,DX26,0,0),DX24)</f>
        <v>#VALUE!</v>
      </c>
      <c r="DY27" s="962" t="e">
        <f>[1]!taqsh(1,1,[1]!roz(DY23+1,DY26,0,0),DY24)</f>
        <v>#VALUE!</v>
      </c>
      <c r="DZ27" s="962" t="e">
        <f>[1]!taqsh(1,1,[1]!roz(DZ23+1,DZ26,0,0),DZ24)</f>
        <v>#VALUE!</v>
      </c>
      <c r="EA27" s="962" t="e">
        <f>[1]!taqsh(1,1,[1]!roz(EA23+1,EA26,0,0),EA24)</f>
        <v>#VALUE!</v>
      </c>
      <c r="EB27" s="962" t="e">
        <f>[1]!taqsh(1,1,[1]!roz(EB23+1,EB26,0,0),EB24)</f>
        <v>#VALUE!</v>
      </c>
      <c r="EC27" s="962" t="e">
        <f>[1]!taqsh(1,1,[1]!roz(EC23+1,EC26,0,0),EC24)</f>
        <v>#VALUE!</v>
      </c>
      <c r="ED27" s="962" t="e">
        <f>[1]!taqsh(1,1,[1]!roz(ED23+1,ED26,0,0),ED24)</f>
        <v>#VALUE!</v>
      </c>
      <c r="EE27" s="962" t="e">
        <f>[1]!taqsh(1,1,[1]!roz(EE23+1,EE26,0,0),EE24)</f>
        <v>#VALUE!</v>
      </c>
      <c r="EF27" s="962" t="e">
        <f>[1]!taqsh(1,1,[1]!roz(EF23+1,EF26,0,0),EF24)</f>
        <v>#VALUE!</v>
      </c>
      <c r="EG27" s="962" t="e">
        <f>[1]!taqsh(1,1,[1]!roz(EG23+1,EG26,0,0),EG24)</f>
        <v>#VALUE!</v>
      </c>
      <c r="EH27" s="962" t="e">
        <f>[1]!taqsh(1,1,[1]!roz(EH23+1,EH26,0,0),EH24)</f>
        <v>#VALUE!</v>
      </c>
      <c r="EI27" s="962" t="e">
        <f>[1]!taqsh(1,1,[1]!roz(EI23+1,EI26,0,0),EI24)</f>
        <v>#VALUE!</v>
      </c>
      <c r="EJ27" s="962" t="e">
        <f>[1]!taqsh(1,1,[1]!roz(EJ23+1,EJ26,0,0),EJ24)</f>
        <v>#VALUE!</v>
      </c>
      <c r="EK27" s="962" t="e">
        <f>[1]!taqsh(1,1,[1]!roz(EK23+1,EK26,0,0),EK24)</f>
        <v>#VALUE!</v>
      </c>
      <c r="EL27" s="962" t="e">
        <f>[1]!taqsh(1,1,[1]!roz(EL23+1,EL26,0,0),EL24)</f>
        <v>#VALUE!</v>
      </c>
      <c r="EM27" s="962" t="e">
        <f>[1]!taqsh(1,1,[1]!roz(EM23+1,EM26,0,0),EM24)</f>
        <v>#VALUE!</v>
      </c>
      <c r="EN27" s="962" t="e">
        <f>[1]!taqsh(1,1,[1]!roz(EN23+1,EN26,0,0),EN24)</f>
        <v>#VALUE!</v>
      </c>
      <c r="EO27" s="962" t="e">
        <f>[1]!taqsh(1,1,[1]!roz(EO23+1,EO26,0,0),EO24)</f>
        <v>#VALUE!</v>
      </c>
      <c r="EP27" s="962" t="e">
        <f>[1]!taqsh(1,1,[1]!roz(EP23+1,EP26,0,0),EP24)</f>
        <v>#VALUE!</v>
      </c>
      <c r="EQ27" s="962" t="e">
        <f>[1]!taqsh(1,1,[1]!roz(EQ23+1,EQ26,0,0),EQ24)</f>
        <v>#VALUE!</v>
      </c>
      <c r="ER27" s="962" t="e">
        <f>[1]!taqsh(1,1,[1]!roz(ER23+1,ER26,0,0),ER24)</f>
        <v>#VALUE!</v>
      </c>
      <c r="ES27" s="962" t="e">
        <f>[1]!taqsh(1,1,[1]!roz(ES23+1,ES26,0,0),ES24)</f>
        <v>#VALUE!</v>
      </c>
      <c r="ET27" s="962" t="e">
        <f>[1]!taqsh(1,1,[1]!roz(ET23+1,ET26,0,0),ET24)</f>
        <v>#VALUE!</v>
      </c>
      <c r="EU27" s="962" t="e">
        <f>[1]!taqsh(1,1,[1]!roz(EU23+1,EU26,0,0),EU24)</f>
        <v>#VALUE!</v>
      </c>
      <c r="EV27" s="962" t="e">
        <f>[1]!taqsh(1,1,[1]!roz(EV23+1,EV26,0,0),EV24)</f>
        <v>#VALUE!</v>
      </c>
      <c r="EW27" s="962" t="e">
        <f>[1]!taqsh(1,1,[1]!roz(EW23+1,EW26,0,0),EW24)</f>
        <v>#VALUE!</v>
      </c>
      <c r="EX27" s="962" t="e">
        <f>[1]!taqsh(1,1,[1]!roz(EX23+1,EX26,0,0),EX24)</f>
        <v>#VALUE!</v>
      </c>
      <c r="EY27" s="962" t="e">
        <f>[1]!taqsh(1,1,[1]!roz(EY23+1,EY26,0,0),EY24)</f>
        <v>#VALUE!</v>
      </c>
      <c r="EZ27" s="962" t="e">
        <f>[1]!taqsh(1,1,[1]!roz(EZ23+1,EZ26,0,0),EZ24)</f>
        <v>#VALUE!</v>
      </c>
      <c r="FA27" s="962" t="e">
        <f>[1]!taqsh(1,1,[1]!roz(FA23+1,FA26,0,0),FA24)</f>
        <v>#VALUE!</v>
      </c>
      <c r="FB27" s="962" t="e">
        <f>[1]!taqsh(1,1,[1]!roz(FB23+1,FB26,0,0),FB24)</f>
        <v>#VALUE!</v>
      </c>
      <c r="FC27" s="962" t="e">
        <f>[1]!taqsh(1,1,[1]!roz(FC23+1,FC26,0,0),FC24)</f>
        <v>#VALUE!</v>
      </c>
      <c r="FD27" s="962" t="e">
        <f>[1]!taqsh(1,1,[1]!roz(FD23+1,FD26,0,0),FD24)</f>
        <v>#VALUE!</v>
      </c>
      <c r="FE27" s="962" t="e">
        <f>[1]!taqsh(1,1,[1]!roz(FE23+1,FE26,0,0),FE24)</f>
        <v>#VALUE!</v>
      </c>
      <c r="FF27" s="962" t="e">
        <f>[1]!taqsh(1,1,[1]!roz(FF23+1,FF26,0,0),FF24)</f>
        <v>#VALUE!</v>
      </c>
      <c r="FG27" s="962" t="e">
        <f>[1]!taqsh(1,1,[1]!roz(FG23+1,FG26,0,0),FG24)</f>
        <v>#VALUE!</v>
      </c>
      <c r="FH27" s="962" t="e">
        <f>[1]!taqsh(1,1,[1]!roz(FH23+1,FH26,0,0),FH24)</f>
        <v>#VALUE!</v>
      </c>
      <c r="FI27" s="962" t="e">
        <f>[1]!taqsh(1,1,[1]!roz(FI23+1,FI26,0,0),FI24)</f>
        <v>#VALUE!</v>
      </c>
      <c r="FJ27" s="962" t="e">
        <f>[1]!taqsh(1,1,[1]!roz(FJ23+1,FJ26,0,0),FJ24)</f>
        <v>#VALUE!</v>
      </c>
      <c r="FK27" s="962" t="e">
        <f>[1]!taqsh(1,1,[1]!roz(FK23+1,FK26,0,0),FK24)</f>
        <v>#VALUE!</v>
      </c>
      <c r="FL27" s="962" t="e">
        <f>[1]!taqsh(1,1,[1]!roz(FL23+1,FL26,0,0),FL24)</f>
        <v>#VALUE!</v>
      </c>
      <c r="FM27" s="962" t="e">
        <f>[1]!taqsh(1,1,[1]!roz(FM23+1,FM26,0,0),FM24)</f>
        <v>#VALUE!</v>
      </c>
      <c r="FN27" s="962" t="e">
        <f>[1]!taqsh(1,1,[1]!roz(FN23+1,FN26,0,0),FN24)</f>
        <v>#VALUE!</v>
      </c>
      <c r="FO27" s="962" t="e">
        <f>[1]!taqsh(1,1,[1]!roz(FO23+1,FO26,0,0),FO24)</f>
        <v>#VALUE!</v>
      </c>
      <c r="FP27" s="962" t="e">
        <f>[1]!taqsh(1,1,[1]!roz(FP23+1,FP26,0,0),FP24)</f>
        <v>#VALUE!</v>
      </c>
      <c r="FQ27" s="962" t="e">
        <f>[1]!taqsh(1,1,[1]!roz(FQ23+1,FQ26,0,0),FQ24)</f>
        <v>#VALUE!</v>
      </c>
      <c r="FR27" s="962" t="e">
        <f>[1]!taqsh(1,1,[1]!roz(FR23+1,FR26,0,0),FR24)</f>
        <v>#VALUE!</v>
      </c>
      <c r="FS27" s="962" t="e">
        <f>[1]!taqsh(1,1,[1]!roz(FS23+1,FS26,0,0),FS24)</f>
        <v>#VALUE!</v>
      </c>
      <c r="FT27" s="962" t="e">
        <f>[1]!taqsh(1,1,[1]!roz(FT23+1,FT26,0,0),FT24)</f>
        <v>#VALUE!</v>
      </c>
      <c r="FU27" s="962" t="e">
        <f>[1]!taqsh(1,1,[1]!roz(FU23+1,FU26,0,0),FU24)</f>
        <v>#VALUE!</v>
      </c>
      <c r="FV27" s="962" t="e">
        <f>[1]!taqsh(1,1,[1]!roz(FV23+1,FV26,0,0),FV24)</f>
        <v>#VALUE!</v>
      </c>
      <c r="FW27" s="962" t="e">
        <f>[1]!taqsh(1,1,[1]!roz(FW23+1,FW26,0,0),FW24)</f>
        <v>#VALUE!</v>
      </c>
      <c r="FX27" s="962" t="e">
        <f>[1]!taqsh(1,1,[1]!roz(FX23+1,FX26,0,0),FX24)</f>
        <v>#VALUE!</v>
      </c>
      <c r="FY27" s="962" t="e">
        <f>[1]!taqsh(1,1,[1]!roz(FY23+1,FY26,0,0),FY24)</f>
        <v>#VALUE!</v>
      </c>
      <c r="FZ27" s="962" t="e">
        <f>[1]!taqsh(1,1,[1]!roz(FZ23+1,FZ26,0,0),FZ24)</f>
        <v>#VALUE!</v>
      </c>
      <c r="GA27" s="962" t="e">
        <f>[1]!taqsh(1,1,[1]!roz(GA23+1,GA26,0,0),GA24)</f>
        <v>#VALUE!</v>
      </c>
      <c r="GB27" s="962" t="e">
        <f>[1]!taqsh(1,1,[1]!roz(GB23+1,GB26,0,0),GB24)</f>
        <v>#VALUE!</v>
      </c>
      <c r="GC27" s="962" t="e">
        <f>[1]!taqsh(1,1,[1]!roz(GC23+1,GC26,0,0),GC24)</f>
        <v>#VALUE!</v>
      </c>
      <c r="GD27" s="962" t="e">
        <f>[1]!taqsh(1,1,[1]!roz(GD23+1,GD26,0,0),GD24)</f>
        <v>#VALUE!</v>
      </c>
      <c r="GE27" s="962" t="e">
        <f>[1]!taqsh(1,1,[1]!roz(GE23+1,GE26,0,0),GE24)</f>
        <v>#VALUE!</v>
      </c>
      <c r="GF27" s="962" t="e">
        <f>[1]!taqsh(1,1,[1]!roz(GF23+1,GF26,0,0),GF24)</f>
        <v>#VALUE!</v>
      </c>
      <c r="GG27" s="962" t="e">
        <f>[1]!taqsh(1,1,[1]!roz(GG23+1,GG26,0,0),GG24)</f>
        <v>#VALUE!</v>
      </c>
      <c r="GH27" s="962" t="e">
        <f>[1]!taqsh(1,1,[1]!roz(GH23+1,GH26,0,0),GH24)</f>
        <v>#VALUE!</v>
      </c>
      <c r="GI27" s="962" t="e">
        <f>[1]!taqsh(1,1,[1]!roz(GI23+1,GI26,0,0),GI24)</f>
        <v>#VALUE!</v>
      </c>
      <c r="GJ27" s="962" t="e">
        <f>[1]!taqsh(1,1,[1]!roz(GJ23+1,GJ26,0,0),GJ24)</f>
        <v>#VALUE!</v>
      </c>
      <c r="GK27" s="962" t="e">
        <f>[1]!taqsh(1,1,[1]!roz(GK23+1,GK26,0,0),GK24)</f>
        <v>#VALUE!</v>
      </c>
      <c r="GL27" s="962" t="e">
        <f>[1]!taqsh(1,1,[1]!roz(GL23+1,GL26,0,0),GL24)</f>
        <v>#VALUE!</v>
      </c>
      <c r="GM27" s="962" t="e">
        <f>[1]!taqsh(1,1,[1]!roz(GM23+1,GM26,0,0),GM24)</f>
        <v>#VALUE!</v>
      </c>
      <c r="GN27" s="962" t="e">
        <f>[1]!taqsh(1,1,[1]!roz(GN23+1,GN26,0,0),GN24)</f>
        <v>#VALUE!</v>
      </c>
      <c r="GO27" s="962" t="e">
        <f>[1]!taqsh(1,1,[1]!roz(GO23+1,GO26,0,0),GO24)</f>
        <v>#VALUE!</v>
      </c>
      <c r="GP27" s="962" t="e">
        <f>[1]!taqsh(1,1,[1]!roz(GP23+1,GP26,0,0),GP24)</f>
        <v>#VALUE!</v>
      </c>
      <c r="GQ27" s="962" t="e">
        <f>[1]!taqsh(1,1,[1]!roz(GQ23+1,GQ26,0,0),GQ24)</f>
        <v>#VALUE!</v>
      </c>
      <c r="GR27" s="962" t="e">
        <f>[1]!taqsh(1,1,[1]!roz(GR23+1,GR26,0,0),GR24)</f>
        <v>#VALUE!</v>
      </c>
      <c r="GS27" s="962" t="e">
        <f>[1]!taqsh(1,1,[1]!roz(GS23+1,GS26,0,0),GS24)</f>
        <v>#VALUE!</v>
      </c>
      <c r="GT27" s="962" t="e">
        <f>[1]!taqsh(1,1,[1]!roz(GT23+1,GT26,0,0),GT24)</f>
        <v>#VALUE!</v>
      </c>
      <c r="GU27" s="962" t="e">
        <f>[1]!taqsh(1,1,[1]!roz(GU23+1,GU26,0,0),GU24)</f>
        <v>#VALUE!</v>
      </c>
      <c r="GV27" s="962" t="e">
        <f>[1]!taqsh(1,1,[1]!roz(GV23+1,GV26,0,0),GV24)</f>
        <v>#VALUE!</v>
      </c>
      <c r="GW27" s="962" t="e">
        <f>[1]!taqsh(1,1,[1]!roz(GW23+1,GW26,0,0),GW24)</f>
        <v>#VALUE!</v>
      </c>
      <c r="GX27" s="962" t="e">
        <f>[1]!taqsh(1,1,[1]!roz(GX23+1,GX26,0,0),GX24)</f>
        <v>#VALUE!</v>
      </c>
      <c r="GY27" s="962" t="e">
        <f>[1]!taqsh(1,1,[1]!roz(GY23+1,GY26,0,0),GY24)</f>
        <v>#VALUE!</v>
      </c>
      <c r="GZ27" s="962" t="e">
        <f>[1]!taqsh(1,1,[1]!roz(GZ23+1,GZ26,0,0),GZ24)</f>
        <v>#VALUE!</v>
      </c>
      <c r="HA27" s="962" t="e">
        <f>[1]!taqsh(1,1,[1]!roz(HA23+1,HA26,0,0),HA24)</f>
        <v>#VALUE!</v>
      </c>
      <c r="HB27" s="962" t="e">
        <f>[1]!taqsh(1,1,[1]!roz(HB23+1,HB26,0,0),HB24)</f>
        <v>#VALUE!</v>
      </c>
      <c r="HC27" s="962" t="e">
        <f>[1]!taqsh(1,1,[1]!roz(HC23+1,HC26,0,0),HC24)</f>
        <v>#VALUE!</v>
      </c>
      <c r="HD27" s="962" t="e">
        <f>[1]!taqsh(1,1,[1]!roz(HD23+1,HD26,0,0),HD24)</f>
        <v>#VALUE!</v>
      </c>
      <c r="HE27" s="962" t="e">
        <f>[1]!taqsh(1,1,[1]!roz(HE23+1,HE26,0,0),HE24)</f>
        <v>#VALUE!</v>
      </c>
      <c r="HF27" s="962" t="e">
        <f>[1]!taqsh(1,1,[1]!roz(HF23+1,HF26,0,0),HF24)</f>
        <v>#VALUE!</v>
      </c>
      <c r="HG27" s="962" t="e">
        <f>[1]!taqsh(1,1,[1]!roz(HG23+1,HG26,0,0),HG24)</f>
        <v>#VALUE!</v>
      </c>
      <c r="HH27" s="962" t="e">
        <f>[1]!taqsh(1,1,[1]!roz(HH23+1,HH26,0,0),HH24)</f>
        <v>#VALUE!</v>
      </c>
      <c r="HI27" s="962" t="e">
        <f>[1]!taqsh(1,1,[1]!roz(HI23+1,HI26,0,0),HI24)</f>
        <v>#VALUE!</v>
      </c>
      <c r="HJ27" s="962" t="e">
        <f>[1]!taqsh(1,1,[1]!roz(HJ23+1,HJ26,0,0),HJ24)</f>
        <v>#VALUE!</v>
      </c>
      <c r="HK27" s="962" t="e">
        <f>[1]!taqsh(1,1,[1]!roz(HK23+1,HK26,0,0),HK24)</f>
        <v>#VALUE!</v>
      </c>
      <c r="HL27" s="962" t="e">
        <f>[1]!taqsh(1,1,[1]!roz(HL23+1,HL26,0,0),HL24)</f>
        <v>#VALUE!</v>
      </c>
      <c r="HM27" s="962" t="e">
        <f>[1]!taqsh(1,1,[1]!roz(HM23+1,HM26,0,0),HM24)</f>
        <v>#VALUE!</v>
      </c>
      <c r="HN27" s="962" t="e">
        <f>[1]!taqsh(1,1,[1]!roz(HN23+1,HN26,0,0),HN24)</f>
        <v>#VALUE!</v>
      </c>
      <c r="HO27" s="962" t="e">
        <f>[1]!taqsh(1,1,[1]!roz(HO23+1,HO26,0,0),HO24)</f>
        <v>#VALUE!</v>
      </c>
      <c r="HP27" s="962" t="e">
        <f>[1]!taqsh(1,1,[1]!roz(HP23+1,HP26,0,0),HP24)</f>
        <v>#VALUE!</v>
      </c>
      <c r="HQ27" s="962" t="e">
        <f>[1]!taqsh(1,1,[1]!roz(HQ23+1,HQ26,0,0),HQ24)</f>
        <v>#VALUE!</v>
      </c>
      <c r="HR27" s="962" t="e">
        <f>[1]!taqsh(1,1,[1]!roz(HR23+1,HR26,0,0),HR24)</f>
        <v>#VALUE!</v>
      </c>
      <c r="HS27" s="962" t="e">
        <f>[1]!taqsh(1,1,[1]!roz(HS23+1,HS26,0,0),HS24)</f>
        <v>#VALUE!</v>
      </c>
      <c r="HT27" s="962" t="e">
        <f>[1]!taqsh(1,1,[1]!roz(HT23+1,HT26,0,0),HT24)</f>
        <v>#VALUE!</v>
      </c>
      <c r="HU27" s="962" t="e">
        <f>[1]!taqsh(1,1,[1]!roz(HU23+1,HU26,0,0),HU24)</f>
        <v>#VALUE!</v>
      </c>
      <c r="HV27" s="962" t="e">
        <f>[1]!taqsh(1,1,[1]!roz(HV23+1,HV26,0,0),HV24)</f>
        <v>#VALUE!</v>
      </c>
      <c r="HW27" s="962" t="e">
        <f>[1]!taqsh(1,1,[1]!roz(HW23+1,HW26,0,0),HW24)</f>
        <v>#VALUE!</v>
      </c>
      <c r="HX27" s="962" t="e">
        <f>[1]!taqsh(1,1,[1]!roz(HX23+1,HX26,0,0),HX24)</f>
        <v>#VALUE!</v>
      </c>
      <c r="HY27" s="962" t="e">
        <f>[1]!taqsh(1,1,[1]!roz(HY23+1,HY26,0,0),HY24)</f>
        <v>#VALUE!</v>
      </c>
      <c r="HZ27" s="962" t="e">
        <f>[1]!taqsh(1,1,[1]!roz(HZ23+1,HZ26,0,0),HZ24)</f>
        <v>#VALUE!</v>
      </c>
      <c r="IA27" s="962" t="e">
        <f>[1]!taqsh(1,1,[1]!roz(IA23+1,IA26,0,0),IA24)</f>
        <v>#VALUE!</v>
      </c>
      <c r="IB27" s="962" t="e">
        <f>[1]!taqsh(1,1,[1]!roz(IB23+1,IB26,0,0),IB24)</f>
        <v>#VALUE!</v>
      </c>
      <c r="IC27" s="962" t="e">
        <f>[1]!taqsh(1,1,[1]!roz(IC23+1,IC26,0,0),IC24)</f>
        <v>#VALUE!</v>
      </c>
      <c r="ID27" s="962" t="e">
        <f>[1]!taqsh(1,1,[1]!roz(ID23+1,ID26,0,0),ID24)</f>
        <v>#VALUE!</v>
      </c>
      <c r="IE27" s="962" t="e">
        <f>[1]!taqsh(1,1,[1]!roz(IE23+1,IE26,0,0),IE24)</f>
        <v>#VALUE!</v>
      </c>
      <c r="IF27" s="962" t="e">
        <f>[1]!taqsh(1,1,[1]!roz(IF23+1,IF26,0,0),IF24)</f>
        <v>#VALUE!</v>
      </c>
      <c r="IG27" s="962" t="e">
        <f>[1]!taqsh(1,1,[1]!roz(IG23+1,IG26,0,0),IG24)</f>
        <v>#VALUE!</v>
      </c>
      <c r="IH27" s="962" t="e">
        <f>[1]!taqsh(1,1,[1]!roz(IH23+1,IH26,0,0),IH24)</f>
        <v>#VALUE!</v>
      </c>
      <c r="II27" s="962" t="e">
        <f>[1]!taqsh(1,1,[1]!roz(II23+1,II26,0,0),II24)</f>
        <v>#VALUE!</v>
      </c>
      <c r="IJ27" s="962" t="e">
        <f>[1]!taqsh(1,1,[1]!roz(IJ23+1,IJ26,0,0),IJ24)</f>
        <v>#VALUE!</v>
      </c>
      <c r="IK27" s="962" t="e">
        <f>[1]!taqsh(1,1,[1]!roz(IK23+1,IK26,0,0),IK24)</f>
        <v>#VALUE!</v>
      </c>
      <c r="IL27" s="962" t="e">
        <f>[1]!taqsh(1,1,[1]!roz(IL23+1,IL26,0,0),IL24)</f>
        <v>#VALUE!</v>
      </c>
      <c r="IM27" s="962" t="e">
        <f>[1]!taqsh(1,1,[1]!roz(IM23+1,IM26,0,0),IM24)</f>
        <v>#VALUE!</v>
      </c>
      <c r="IN27" s="962" t="e">
        <f>[1]!taqsh(1,1,[1]!roz(IN23+1,IN26,0,0),IN24)</f>
        <v>#VALUE!</v>
      </c>
      <c r="IO27" s="962" t="e">
        <f>[1]!taqsh(1,1,[1]!roz(IO23+1,IO26,0,0),IO24)</f>
        <v>#VALUE!</v>
      </c>
      <c r="IP27" s="962" t="e">
        <f>[1]!taqsh(1,1,[1]!roz(IP23+1,IP26,0,0),IP24)</f>
        <v>#VALUE!</v>
      </c>
      <c r="IQ27" s="962" t="e">
        <f>[1]!taqsh(1,1,[1]!roz(IQ23+1,IQ26,0,0),IQ24)</f>
        <v>#VALUE!</v>
      </c>
      <c r="IR27" s="962" t="e">
        <f>[1]!taqsh(1,1,[1]!roz(IR23+1,IR26,0,0),IR24)</f>
        <v>#VALUE!</v>
      </c>
      <c r="IS27" s="962" t="e">
        <f>[1]!taqsh(1,1,[1]!roz(IS23+1,IS26,0,0),IS24)</f>
        <v>#VALUE!</v>
      </c>
      <c r="IT27" s="962" t="e">
        <f>[1]!taqsh(1,1,[1]!roz(IT23+1,IT26,0,0),IT24)</f>
        <v>#VALUE!</v>
      </c>
      <c r="IU27" s="962" t="e">
        <f>[1]!taqsh(1,1,[1]!roz(IU23+1,IU26,0,0),IU24)</f>
        <v>#VALUE!</v>
      </c>
      <c r="IV27" s="962" t="e">
        <f>[1]!taqsh(1,1,[1]!roz(IV23+1,IV26,0,0),IV24)</f>
        <v>#VALUE!</v>
      </c>
      <c r="IW27" s="962" t="e">
        <f>[1]!taqsh(1,1,[1]!roz(IW23+1,IW26,0,0),IW24)</f>
        <v>#VALUE!</v>
      </c>
      <c r="IX27" s="962" t="e">
        <f>[1]!taqsh(1,1,[1]!roz(IX23+1,IX26,0,0),IX24)</f>
        <v>#VALUE!</v>
      </c>
      <c r="IY27" s="962" t="e">
        <f>[1]!taqsh(1,1,[1]!roz(IY23+1,IY26,0,0),IY24)</f>
        <v>#VALUE!</v>
      </c>
      <c r="IZ27" s="962" t="e">
        <f>[1]!taqsh(1,1,[1]!roz(IZ23+1,IZ26,0,0),IZ24)</f>
        <v>#VALUE!</v>
      </c>
      <c r="JA27" s="962" t="e">
        <f>[1]!taqsh(1,1,[1]!roz(JA23+1,JA26,0,0),JA24)</f>
        <v>#VALUE!</v>
      </c>
      <c r="JB27" s="962" t="e">
        <f>[1]!taqsh(1,1,[1]!roz(JB23+1,JB26,0,0),JB24)</f>
        <v>#VALUE!</v>
      </c>
      <c r="JC27" s="962" t="e">
        <f>[1]!taqsh(1,1,[1]!roz(JC23+1,JC26,0,0),JC24)</f>
        <v>#VALUE!</v>
      </c>
      <c r="JD27" s="962" t="e">
        <f>[1]!taqsh(1,1,[1]!roz(JD23+1,JD26,0,0),JD24)</f>
        <v>#VALUE!</v>
      </c>
      <c r="JE27" s="962" t="e">
        <f>[1]!taqsh(1,1,[1]!roz(JE23+1,JE26,0,0),JE24)</f>
        <v>#VALUE!</v>
      </c>
      <c r="JF27" s="962" t="e">
        <f>[1]!taqsh(1,1,[1]!roz(JF23+1,JF26,0,0),JF24)</f>
        <v>#VALUE!</v>
      </c>
      <c r="JG27" s="962" t="e">
        <f>[1]!taqsh(1,1,[1]!roz(JG23+1,JG26,0,0),JG24)</f>
        <v>#VALUE!</v>
      </c>
      <c r="JH27" s="962" t="e">
        <f>[1]!taqsh(1,1,[1]!roz(JH23+1,JH26,0,0),JH24)</f>
        <v>#VALUE!</v>
      </c>
      <c r="JI27" s="962" t="e">
        <f>[1]!taqsh(1,1,[1]!roz(JI23+1,JI26,0,0),JI24)</f>
        <v>#VALUE!</v>
      </c>
      <c r="JJ27" s="962" t="e">
        <f>[1]!taqsh(1,1,[1]!roz(JJ23+1,JJ26,0,0),JJ24)</f>
        <v>#VALUE!</v>
      </c>
      <c r="JK27" s="962" t="e">
        <f>[1]!taqsh(1,1,[1]!roz(JK23+1,JK26,0,0),JK24)</f>
        <v>#VALUE!</v>
      </c>
      <c r="JL27" s="962" t="e">
        <f>[1]!taqsh(1,1,[1]!roz(JL23+1,JL26,0,0),JL24)</f>
        <v>#VALUE!</v>
      </c>
      <c r="JM27" s="962" t="e">
        <f>[1]!taqsh(1,1,[1]!roz(JM23+1,JM26,0,0),JM24)</f>
        <v>#VALUE!</v>
      </c>
      <c r="JN27" s="962" t="e">
        <f>[1]!taqsh(1,1,[1]!roz(JN23+1,JN26,0,0),JN24)</f>
        <v>#VALUE!</v>
      </c>
      <c r="JO27" s="962" t="e">
        <f>[1]!taqsh(1,1,[1]!roz(JO23+1,JO26,0,0),JO24)</f>
        <v>#VALUE!</v>
      </c>
      <c r="JP27" s="962" t="e">
        <f>[1]!taqsh(1,1,[1]!roz(JP23+1,JP26,0,0),JP24)</f>
        <v>#VALUE!</v>
      </c>
      <c r="JQ27" s="962" t="e">
        <f>[1]!taqsh(1,1,[1]!roz(JQ23+1,JQ26,0,0),JQ24)</f>
        <v>#VALUE!</v>
      </c>
      <c r="JR27" s="962" t="e">
        <f>[1]!taqsh(1,1,[1]!roz(JR23+1,JR26,0,0),JR24)</f>
        <v>#VALUE!</v>
      </c>
      <c r="JS27" s="962" t="e">
        <f>[1]!taqsh(1,1,[1]!roz(JS23+1,JS26,0,0),JS24)</f>
        <v>#VALUE!</v>
      </c>
      <c r="JT27" s="962" t="e">
        <f>[1]!taqsh(1,1,[1]!roz(JT23+1,JT26,0,0),JT24)</f>
        <v>#VALUE!</v>
      </c>
      <c r="JU27" s="962" t="e">
        <f>[1]!taqsh(1,1,[1]!roz(JU23+1,JU26,0,0),JU24)</f>
        <v>#VALUE!</v>
      </c>
      <c r="JV27" s="962" t="e">
        <f>[1]!taqsh(1,1,[1]!roz(JV23+1,JV26,0,0),JV24)</f>
        <v>#VALUE!</v>
      </c>
      <c r="JW27" s="962" t="e">
        <f>[1]!taqsh(1,1,[1]!roz(JW23+1,JW26,0,0),JW24)</f>
        <v>#VALUE!</v>
      </c>
      <c r="JX27" s="962" t="e">
        <f>[1]!taqsh(1,1,[1]!roz(JX23+1,JX26,0,0),JX24)</f>
        <v>#VALUE!</v>
      </c>
      <c r="JY27" s="962" t="e">
        <f>[1]!taqsh(1,1,[1]!roz(JY23+1,JY26,0,0),JY24)</f>
        <v>#VALUE!</v>
      </c>
      <c r="JZ27" s="962" t="e">
        <f>[1]!taqsh(1,1,[1]!roz(JZ23+1,JZ26,0,0),JZ24)</f>
        <v>#VALUE!</v>
      </c>
      <c r="KA27" s="962" t="e">
        <f>[1]!taqsh(1,1,[1]!roz(KA23+1,KA26,0,0),KA24)</f>
        <v>#VALUE!</v>
      </c>
      <c r="KB27" s="962" t="e">
        <f>[1]!taqsh(1,1,[1]!roz(KB23+1,KB26,0,0),KB24)</f>
        <v>#VALUE!</v>
      </c>
      <c r="KC27" s="962" t="e">
        <f>[1]!taqsh(1,1,[1]!roz(KC23+1,KC26,0,0),KC24)</f>
        <v>#VALUE!</v>
      </c>
      <c r="KD27" s="962" t="e">
        <f>[1]!taqsh(1,1,[1]!roz(KD23+1,KD26,0,0),KD24)</f>
        <v>#VALUE!</v>
      </c>
      <c r="KE27" s="962" t="e">
        <f>[1]!taqsh(1,1,[1]!roz(KE23+1,KE26,0,0),KE24)</f>
        <v>#VALUE!</v>
      </c>
      <c r="KF27" s="962" t="e">
        <f>[1]!taqsh(1,1,[1]!roz(KF23+1,KF26,0,0),KF24)</f>
        <v>#VALUE!</v>
      </c>
      <c r="KG27" s="962" t="e">
        <f>[1]!taqsh(1,1,[1]!roz(KG23+1,KG26,0,0),KG24)</f>
        <v>#VALUE!</v>
      </c>
      <c r="KH27" s="962" t="e">
        <f>[1]!taqsh(1,1,[1]!roz(KH23+1,KH26,0,0),KH24)</f>
        <v>#VALUE!</v>
      </c>
      <c r="KI27" s="962" t="e">
        <f>[1]!taqsh(1,1,[1]!roz(KI23+1,KI26,0,0),KI24)</f>
        <v>#VALUE!</v>
      </c>
      <c r="KJ27" s="962" t="e">
        <f>[1]!taqsh(1,1,[1]!roz(KJ23+1,KJ26,0,0),KJ24)</f>
        <v>#VALUE!</v>
      </c>
      <c r="KK27" s="962" t="e">
        <f>[1]!taqsh(1,1,[1]!roz(KK23+1,KK26,0,0),KK24)</f>
        <v>#VALUE!</v>
      </c>
      <c r="KL27" s="962" t="e">
        <f>[1]!taqsh(1,1,[1]!roz(KL23+1,KL26,0,0),KL24)</f>
        <v>#VALUE!</v>
      </c>
      <c r="KM27" s="962" t="e">
        <f>[1]!taqsh(1,1,[1]!roz(KM23+1,KM26,0,0),KM24)</f>
        <v>#VALUE!</v>
      </c>
      <c r="KN27" s="962" t="e">
        <f>[1]!taqsh(1,1,[1]!roz(KN23+1,KN26,0,0),KN24)</f>
        <v>#VALUE!</v>
      </c>
      <c r="KO27" s="962" t="e">
        <f>[1]!taqsh(1,1,[1]!roz(KO23+1,KO26,0,0),KO24)</f>
        <v>#VALUE!</v>
      </c>
      <c r="KP27" s="962" t="e">
        <f>[1]!taqsh(1,1,[1]!roz(KP23+1,KP26,0,0),KP24)</f>
        <v>#VALUE!</v>
      </c>
      <c r="KQ27" s="962" t="e">
        <f>[1]!taqsh(1,1,[1]!roz(KQ23+1,KQ26,0,0),KQ24)</f>
        <v>#VALUE!</v>
      </c>
      <c r="KR27" s="962" t="e">
        <f>[1]!taqsh(1,1,[1]!roz(KR23+1,KR26,0,0),KR24)</f>
        <v>#VALUE!</v>
      </c>
      <c r="KS27" s="962" t="e">
        <f>[1]!taqsh(1,1,[1]!roz(KS23+1,KS26,0,0),KS24)</f>
        <v>#VALUE!</v>
      </c>
      <c r="KT27" s="962" t="e">
        <f>[1]!taqsh(1,1,[1]!roz(KT23+1,KT26,0,0),KT24)</f>
        <v>#VALUE!</v>
      </c>
      <c r="KU27" s="962" t="e">
        <f>[1]!taqsh(1,1,[1]!roz(KU23+1,KU26,0,0),KU24)</f>
        <v>#VALUE!</v>
      </c>
      <c r="KV27" s="962" t="e">
        <f>[1]!taqsh(1,1,[1]!roz(KV23+1,KV26,0,0),KV24)</f>
        <v>#VALUE!</v>
      </c>
      <c r="KW27" s="962" t="e">
        <f>[1]!taqsh(1,1,[1]!roz(KW23+1,KW26,0,0),KW24)</f>
        <v>#VALUE!</v>
      </c>
      <c r="KX27" s="962" t="e">
        <f>[1]!taqsh(1,1,[1]!roz(KX23+1,KX26,0,0),KX24)</f>
        <v>#VALUE!</v>
      </c>
      <c r="KY27" s="962" t="e">
        <f>[1]!taqsh(1,1,[1]!roz(KY23+1,KY26,0,0),KY24)</f>
        <v>#VALUE!</v>
      </c>
      <c r="KZ27" s="962" t="e">
        <f>[1]!taqsh(1,1,[1]!roz(KZ23+1,KZ26,0,0),KZ24)</f>
        <v>#VALUE!</v>
      </c>
      <c r="LA27" s="962" t="e">
        <f>[1]!taqsh(1,1,[1]!roz(LA23+1,LA26,0,0),LA24)</f>
        <v>#VALUE!</v>
      </c>
      <c r="LB27" s="962" t="e">
        <f>[1]!taqsh(1,1,[1]!roz(LB23+1,LB26,0,0),LB24)</f>
        <v>#VALUE!</v>
      </c>
      <c r="LC27" s="962" t="e">
        <f>[1]!taqsh(1,1,[1]!roz(LC23+1,LC26,0,0),LC24)</f>
        <v>#VALUE!</v>
      </c>
      <c r="LD27" s="962" t="e">
        <f>[1]!taqsh(1,1,[1]!roz(LD23+1,LD26,0,0),LD24)</f>
        <v>#VALUE!</v>
      </c>
      <c r="LE27" s="962" t="e">
        <f>[1]!taqsh(1,1,[1]!roz(LE23+1,LE26,0,0),LE24)</f>
        <v>#VALUE!</v>
      </c>
      <c r="LF27" s="962" t="e">
        <f>[1]!taqsh(1,1,[1]!roz(LF23+1,LF26,0,0),LF24)</f>
        <v>#VALUE!</v>
      </c>
      <c r="LG27" s="962" t="e">
        <f>[1]!taqsh(1,1,[1]!roz(LG23+1,LG26,0,0),LG24)</f>
        <v>#VALUE!</v>
      </c>
      <c r="LH27" s="962" t="e">
        <f>[1]!taqsh(1,1,[1]!roz(LH23+1,LH26,0,0),LH24)</f>
        <v>#VALUE!</v>
      </c>
      <c r="LI27" s="962" t="e">
        <f>[1]!taqsh(1,1,[1]!roz(LI23+1,LI26,0,0),LI24)</f>
        <v>#VALUE!</v>
      </c>
      <c r="LJ27" s="962" t="e">
        <f>[1]!taqsh(1,1,[1]!roz(LJ23+1,LJ26,0,0),LJ24)</f>
        <v>#VALUE!</v>
      </c>
      <c r="LK27" s="962" t="e">
        <f>[1]!taqsh(1,1,[1]!roz(LK23+1,LK26,0,0),LK24)</f>
        <v>#VALUE!</v>
      </c>
      <c r="LL27" s="962" t="e">
        <f>[1]!taqsh(1,1,[1]!roz(LL23+1,LL26,0,0),LL24)</f>
        <v>#VALUE!</v>
      </c>
      <c r="LM27" s="962" t="e">
        <f>[1]!taqsh(1,1,[1]!roz(LM23+1,LM26,0,0),LM24)</f>
        <v>#VALUE!</v>
      </c>
      <c r="LN27" s="962" t="e">
        <f>[1]!taqsh(1,1,[1]!roz(LN23+1,LN26,0,0),LN24)</f>
        <v>#VALUE!</v>
      </c>
      <c r="LO27" s="962" t="e">
        <f>[1]!taqsh(1,1,[1]!roz(LO23+1,LO26,0,0),LO24)</f>
        <v>#VALUE!</v>
      </c>
      <c r="LP27" s="962" t="e">
        <f>[1]!taqsh(1,1,[1]!roz(LP23+1,LP26,0,0),LP24)</f>
        <v>#VALUE!</v>
      </c>
      <c r="LQ27" s="962" t="e">
        <f>[1]!taqsh(1,1,[1]!roz(LQ23+1,LQ26,0,0),LQ24)</f>
        <v>#VALUE!</v>
      </c>
      <c r="LR27" s="962" t="e">
        <f>[1]!taqsh(1,1,[1]!roz(LR23+1,LR26,0,0),LR24)</f>
        <v>#VALUE!</v>
      </c>
      <c r="LS27" s="962" t="e">
        <f>[1]!taqsh(1,1,[1]!roz(LS23+1,LS26,0,0),LS24)</f>
        <v>#VALUE!</v>
      </c>
      <c r="LT27" s="962" t="e">
        <f>[1]!taqsh(1,1,[1]!roz(LT23+1,LT26,0,0),LT24)</f>
        <v>#VALUE!</v>
      </c>
      <c r="LU27" s="962" t="e">
        <f>[1]!taqsh(1,1,[1]!roz(LU23+1,LU26,0,0),LU24)</f>
        <v>#VALUE!</v>
      </c>
      <c r="LV27" s="962" t="e">
        <f>[1]!taqsh(1,1,[1]!roz(LV23+1,LV26,0,0),LV24)</f>
        <v>#VALUE!</v>
      </c>
      <c r="LW27" s="962" t="e">
        <f>[1]!taqsh(1,1,[1]!roz(LW23+1,LW26,0,0),LW24)</f>
        <v>#VALUE!</v>
      </c>
      <c r="LX27" s="962" t="e">
        <f>[1]!taqsh(1,1,[1]!roz(LX23+1,LX26,0,0),LX24)</f>
        <v>#VALUE!</v>
      </c>
      <c r="LY27" s="962" t="e">
        <f>[1]!taqsh(1,1,[1]!roz(LY23+1,LY26,0,0),LY24)</f>
        <v>#VALUE!</v>
      </c>
      <c r="LZ27" s="962" t="e">
        <f>[1]!taqsh(1,1,[1]!roz(LZ23+1,LZ26,0,0),LZ24)</f>
        <v>#VALUE!</v>
      </c>
      <c r="MA27" s="962" t="e">
        <f>[1]!taqsh(1,1,[1]!roz(MA23+1,MA26,0,0),MA24)</f>
        <v>#VALUE!</v>
      </c>
      <c r="MB27" s="962" t="e">
        <f>[1]!taqsh(1,1,[1]!roz(MB23+1,MB26,0,0),MB24)</f>
        <v>#VALUE!</v>
      </c>
      <c r="MC27" s="962" t="e">
        <f>[1]!taqsh(1,1,[1]!roz(MC23+1,MC26,0,0),MC24)</f>
        <v>#VALUE!</v>
      </c>
      <c r="MD27" s="962" t="e">
        <f>[1]!taqsh(1,1,[1]!roz(MD23+1,MD26,0,0),MD24)</f>
        <v>#VALUE!</v>
      </c>
      <c r="ME27" s="962" t="e">
        <f>[1]!taqsh(1,1,[1]!roz(ME23+1,ME26,0,0),ME24)</f>
        <v>#VALUE!</v>
      </c>
      <c r="MF27" s="962" t="e">
        <f>[1]!taqsh(1,1,[1]!roz(MF23+1,MF26,0,0),MF24)</f>
        <v>#VALUE!</v>
      </c>
      <c r="MG27" s="962" t="e">
        <f>[1]!taqsh(1,1,[1]!roz(MG23+1,MG26,0,0),MG24)</f>
        <v>#VALUE!</v>
      </c>
      <c r="MH27" s="962" t="e">
        <f>[1]!taqsh(1,1,[1]!roz(MH23+1,MH26,0,0),MH24)</f>
        <v>#VALUE!</v>
      </c>
      <c r="MI27" s="962" t="e">
        <f>[1]!taqsh(1,1,[1]!roz(MI23+1,MI26,0,0),MI24)</f>
        <v>#VALUE!</v>
      </c>
      <c r="MJ27" s="962" t="e">
        <f>[1]!taqsh(1,1,[1]!roz(MJ23+1,MJ26,0,0),MJ24)</f>
        <v>#VALUE!</v>
      </c>
      <c r="MK27" s="962" t="e">
        <f>[1]!taqsh(1,1,[1]!roz(MK23+1,MK26,0,0),MK24)</f>
        <v>#VALUE!</v>
      </c>
      <c r="ML27" s="962" t="e">
        <f>[1]!taqsh(1,1,[1]!roz(ML23+1,ML26,0,0),ML24)</f>
        <v>#VALUE!</v>
      </c>
      <c r="MM27" s="962" t="e">
        <f>[1]!taqsh(1,1,[1]!roz(MM23+1,MM26,0,0),MM24)</f>
        <v>#VALUE!</v>
      </c>
      <c r="MN27" s="962" t="e">
        <f>[1]!taqsh(1,1,[1]!roz(MN23+1,MN26,0,0),MN24)</f>
        <v>#VALUE!</v>
      </c>
      <c r="MO27" s="962" t="e">
        <f>[1]!taqsh(1,1,[1]!roz(MO23+1,MO26,0,0),MO24)</f>
        <v>#VALUE!</v>
      </c>
      <c r="MP27" s="962" t="e">
        <f>[1]!taqsh(1,1,[1]!roz(MP23+1,MP26,0,0),MP24)</f>
        <v>#VALUE!</v>
      </c>
      <c r="MQ27" s="962" t="e">
        <f>[1]!taqsh(1,1,[1]!roz(MQ23+1,MQ26,0,0),MQ24)</f>
        <v>#VALUE!</v>
      </c>
      <c r="MR27" s="962" t="e">
        <f>[1]!taqsh(1,1,[1]!roz(MR23+1,MR26,0,0),MR24)</f>
        <v>#VALUE!</v>
      </c>
      <c r="MS27" s="962" t="e">
        <f>[1]!taqsh(1,1,[1]!roz(MS23+1,MS26,0,0),MS24)</f>
        <v>#VALUE!</v>
      </c>
      <c r="MT27" s="962" t="e">
        <f>[1]!taqsh(1,1,[1]!roz(MT23+1,MT26,0,0),MT24)</f>
        <v>#VALUE!</v>
      </c>
      <c r="MU27" s="962" t="e">
        <f>[1]!taqsh(1,1,[1]!roz(MU23+1,MU26,0,0),MU24)</f>
        <v>#VALUE!</v>
      </c>
      <c r="MV27" s="962" t="e">
        <f>[1]!taqsh(1,1,[1]!roz(MV23+1,MV26,0,0),MV24)</f>
        <v>#VALUE!</v>
      </c>
      <c r="MW27" s="962" t="e">
        <f>[1]!taqsh(1,1,[1]!roz(MW23+1,MW26,0,0),MW24)</f>
        <v>#VALUE!</v>
      </c>
      <c r="MX27" s="962" t="e">
        <f>[1]!taqsh(1,1,[1]!roz(MX23+1,MX26,0,0),MX24)</f>
        <v>#VALUE!</v>
      </c>
      <c r="MY27" s="962" t="e">
        <f>[1]!taqsh(1,1,[1]!roz(MY23+1,MY26,0,0),MY24)</f>
        <v>#VALUE!</v>
      </c>
      <c r="MZ27" s="962" t="e">
        <f>[1]!taqsh(1,1,[1]!roz(MZ23+1,MZ26,0,0),MZ24)</f>
        <v>#VALUE!</v>
      </c>
      <c r="NA27" s="962" t="e">
        <f>[1]!taqsh(1,1,[1]!roz(NA23+1,NA26,0,0),NA24)</f>
        <v>#VALUE!</v>
      </c>
      <c r="NB27" s="962" t="e">
        <f>[1]!taqsh(1,1,[1]!roz(NB23+1,NB26,0,0),NB24)</f>
        <v>#VALUE!</v>
      </c>
      <c r="NC27" s="962" t="e">
        <f>[1]!taqsh(1,1,[1]!roz(NC23+1,NC26,0,0),NC24)</f>
        <v>#VALUE!</v>
      </c>
      <c r="ND27" s="962" t="e">
        <f>[1]!taqsh(1,1,[1]!roz(ND23+1,ND26,0,0),ND24)</f>
        <v>#VALUE!</v>
      </c>
      <c r="NE27" s="962" t="e">
        <f>[1]!taqsh(1,1,[1]!roz(NE23+1,NE26,0,0),NE24)</f>
        <v>#VALUE!</v>
      </c>
      <c r="NF27" s="962" t="e">
        <f>[1]!taqsh(1,1,[1]!roz(NF23+1,NF26,0,0),NF24)</f>
        <v>#VALUE!</v>
      </c>
      <c r="NG27" s="962" t="e">
        <f>[1]!taqsh(1,1,[1]!roz(NG23+1,NG26,0,0),NG24)</f>
        <v>#VALUE!</v>
      </c>
      <c r="NH27" s="962" t="e">
        <f>[1]!taqsh(1,1,[1]!roz(NH23+1,NH26,0,0),NH24)</f>
        <v>#VALUE!</v>
      </c>
      <c r="NI27" s="962" t="e">
        <f>[1]!taqsh(1,1,[1]!roz(NI23+1,NI26,0,0),NI24)</f>
        <v>#VALUE!</v>
      </c>
      <c r="NJ27" s="962" t="e">
        <f>[1]!taqsh(1,1,[1]!roz(NJ23+1,NJ26,0,0),NJ24)</f>
        <v>#VALUE!</v>
      </c>
      <c r="NK27" s="962" t="e">
        <f>[1]!taqsh(1,1,[1]!roz(NK23+1,NK26,0,0),NK24)</f>
        <v>#VALUE!</v>
      </c>
      <c r="NL27" s="962" t="e">
        <f>[1]!taqsh(1,1,[1]!roz(NL23+1,NL26,0,0),NL24)</f>
        <v>#VALUE!</v>
      </c>
      <c r="NM27" s="962" t="e">
        <f>[1]!taqsh(1,1,[1]!roz(NM23+1,NM26,0,0),NM24)</f>
        <v>#VALUE!</v>
      </c>
      <c r="NN27" s="962" t="e">
        <f>[1]!taqsh(1,1,[1]!roz(NN23+1,NN26,0,0),NN24)</f>
        <v>#VALUE!</v>
      </c>
      <c r="NO27" s="962" t="e">
        <f>[1]!taqsh(1,1,[1]!roz(NO23+1,NO26,0,0),NO24)</f>
        <v>#VALUE!</v>
      </c>
      <c r="NP27" s="962" t="e">
        <f>[1]!taqsh(1,1,[1]!roz(NP23+1,NP26,0,0),NP24)</f>
        <v>#VALUE!</v>
      </c>
      <c r="NQ27" s="962" t="e">
        <f>[1]!taqsh(1,1,[1]!roz(NQ23+1,NQ26,0,0),NQ24)</f>
        <v>#VALUE!</v>
      </c>
      <c r="NR27" s="962" t="e">
        <f>[1]!taqsh(1,1,[1]!roz(NR23+1,NR26,0,0),NR24)</f>
        <v>#VALUE!</v>
      </c>
      <c r="NS27" s="962" t="e">
        <f>[1]!taqsh(1,1,[1]!roz(NS23+1,NS26,0,0),NS24)</f>
        <v>#VALUE!</v>
      </c>
      <c r="NT27" s="962" t="e">
        <f>[1]!taqsh(1,1,[1]!roz(NT23+1,NT26,0,0),NT24)</f>
        <v>#VALUE!</v>
      </c>
      <c r="NU27" s="962" t="e">
        <f>[1]!taqsh(1,1,[1]!roz(NU23+1,NU26,0,0),NU24)</f>
        <v>#VALUE!</v>
      </c>
      <c r="NV27" s="962" t="e">
        <f>[1]!taqsh(1,1,[1]!roz(NV23+1,NV26,0,0),NV24)</f>
        <v>#VALUE!</v>
      </c>
      <c r="NW27" s="962" t="e">
        <f>[1]!taqsh(1,1,[1]!roz(NW23+1,NW26,0,0),NW24)</f>
        <v>#VALUE!</v>
      </c>
      <c r="NX27" s="962" t="e">
        <f>[1]!taqsh(1,1,[1]!roz(NX23+1,NX26,0,0),NX24)</f>
        <v>#VALUE!</v>
      </c>
      <c r="NY27" s="962" t="e">
        <f>[1]!taqsh(1,1,[1]!roz(NY23+1,NY26,0,0),NY24)</f>
        <v>#VALUE!</v>
      </c>
      <c r="NZ27" s="962" t="e">
        <f>[1]!taqsh(1,1,[1]!roz(NZ23+1,NZ26,0,0),NZ24)</f>
        <v>#VALUE!</v>
      </c>
      <c r="OA27" s="962" t="e">
        <f>[1]!taqsh(1,1,[1]!roz(OA23+1,OA26,0,0),OA24)</f>
        <v>#VALUE!</v>
      </c>
      <c r="OB27" s="962" t="e">
        <f>[1]!taqsh(1,1,[1]!roz(OB23+1,OB26,0,0),OB24)</f>
        <v>#VALUE!</v>
      </c>
      <c r="OC27" s="962" t="e">
        <f>[1]!taqsh(1,1,[1]!roz(OC23+1,OC26,0,0),OC24)</f>
        <v>#VALUE!</v>
      </c>
      <c r="OD27" s="962" t="e">
        <f>[1]!taqsh(1,1,[1]!roz(OD23+1,OD26,0,0),OD24)</f>
        <v>#VALUE!</v>
      </c>
      <c r="OE27" s="962" t="e">
        <f>[1]!taqsh(1,1,[1]!roz(OE23+1,OE26,0,0),OE24)</f>
        <v>#VALUE!</v>
      </c>
      <c r="OF27" s="962" t="e">
        <f>[1]!taqsh(1,1,[1]!roz(OF23+1,OF26,0,0),OF24)</f>
        <v>#VALUE!</v>
      </c>
      <c r="OG27" s="962" t="e">
        <f>[1]!taqsh(1,1,[1]!roz(OG23+1,OG26,0,0),OG24)</f>
        <v>#VALUE!</v>
      </c>
      <c r="OH27" s="962" t="e">
        <f>[1]!taqsh(1,1,[1]!roz(OH23+1,OH26,0,0),OH24)</f>
        <v>#VALUE!</v>
      </c>
      <c r="OI27" s="962" t="e">
        <f>[1]!taqsh(1,1,[1]!roz(OI23+1,OI26,0,0),OI24)</f>
        <v>#VALUE!</v>
      </c>
      <c r="OJ27" s="962" t="e">
        <f>[1]!taqsh(1,1,[1]!roz(OJ23+1,OJ26,0,0),OJ24)</f>
        <v>#VALUE!</v>
      </c>
      <c r="OK27" s="962" t="e">
        <f>[1]!taqsh(1,1,[1]!roz(OK23+1,OK26,0,0),OK24)</f>
        <v>#VALUE!</v>
      </c>
      <c r="OL27" s="962" t="e">
        <f>[1]!taqsh(1,1,[1]!roz(OL23+1,OL26,0,0),OL24)</f>
        <v>#VALUE!</v>
      </c>
      <c r="OM27" s="962" t="e">
        <f>[1]!taqsh(1,1,[1]!roz(OM23+1,OM26,0,0),OM24)</f>
        <v>#VALUE!</v>
      </c>
      <c r="ON27" s="962" t="e">
        <f>[1]!taqsh(1,1,[1]!roz(ON23+1,ON26,0,0),ON24)</f>
        <v>#VALUE!</v>
      </c>
      <c r="OO27" s="962" t="e">
        <f>[1]!taqsh(1,1,[1]!roz(OO23+1,OO26,0,0),OO24)</f>
        <v>#VALUE!</v>
      </c>
      <c r="OP27" s="962" t="e">
        <f>[1]!taqsh(1,1,[1]!roz(OP23+1,OP26,0,0),OP24)</f>
        <v>#VALUE!</v>
      </c>
      <c r="OQ27" s="962" t="e">
        <f>[1]!taqsh(1,1,[1]!roz(OQ23+1,OQ26,0,0),OQ24)</f>
        <v>#VALUE!</v>
      </c>
      <c r="OR27" s="962" t="e">
        <f>[1]!taqsh(1,1,[1]!roz(OR23+1,OR26,0,0),OR24)</f>
        <v>#VALUE!</v>
      </c>
      <c r="OS27" s="962" t="e">
        <f>[1]!taqsh(1,1,[1]!roz(OS23+1,OS26,0,0),OS24)</f>
        <v>#VALUE!</v>
      </c>
      <c r="OT27" s="962" t="e">
        <f>[1]!taqsh(1,1,[1]!roz(OT23+1,OT26,0,0),OT24)</f>
        <v>#VALUE!</v>
      </c>
      <c r="OU27" s="962" t="e">
        <f>[1]!taqsh(1,1,[1]!roz(OU23+1,OU26,0,0),OU24)</f>
        <v>#VALUE!</v>
      </c>
      <c r="OV27" s="962" t="e">
        <f>[1]!taqsh(1,1,[1]!roz(OV23+1,OV26,0,0),OV24)</f>
        <v>#VALUE!</v>
      </c>
      <c r="OW27" s="962" t="e">
        <f>[1]!taqsh(1,1,[1]!roz(OW23+1,OW26,0,0),OW24)</f>
        <v>#VALUE!</v>
      </c>
      <c r="OX27" s="962" t="e">
        <f>[1]!taqsh(1,1,[1]!roz(OX23+1,OX26,0,0),OX24)</f>
        <v>#VALUE!</v>
      </c>
      <c r="OY27" s="962" t="e">
        <f>[1]!taqsh(1,1,[1]!roz(OY23+1,OY26,0,0),OY24)</f>
        <v>#VALUE!</v>
      </c>
      <c r="OZ27" s="962" t="e">
        <f>[1]!taqsh(1,1,[1]!roz(OZ23+1,OZ26,0,0),OZ24)</f>
        <v>#VALUE!</v>
      </c>
      <c r="PA27" s="962" t="e">
        <f>[1]!taqsh(1,1,[1]!roz(PA23+1,PA26,0,0),PA24)</f>
        <v>#VALUE!</v>
      </c>
      <c r="PB27" s="962" t="e">
        <f>[1]!taqsh(1,1,[1]!roz(PB23+1,PB26,0,0),PB24)</f>
        <v>#VALUE!</v>
      </c>
      <c r="PC27" s="962" t="e">
        <f>[1]!taqsh(1,1,[1]!roz(PC23+1,PC26,0,0),PC24)</f>
        <v>#VALUE!</v>
      </c>
      <c r="PD27" s="962" t="e">
        <f>[1]!taqsh(1,1,[1]!roz(PD23+1,PD26,0,0),PD24)</f>
        <v>#VALUE!</v>
      </c>
      <c r="PE27" s="962" t="e">
        <f>[1]!taqsh(1,1,[1]!roz(PE23+1,PE26,0,0),PE24)</f>
        <v>#VALUE!</v>
      </c>
      <c r="PF27" s="962" t="e">
        <f>[1]!taqsh(1,1,[1]!roz(PF23+1,PF26,0,0),PF24)</f>
        <v>#VALUE!</v>
      </c>
      <c r="PG27" s="962" t="e">
        <f>[1]!taqsh(1,1,[1]!roz(PG23+1,PG26,0,0),PG24)</f>
        <v>#VALUE!</v>
      </c>
      <c r="PH27" s="962" t="e">
        <f>[1]!taqsh(1,1,[1]!roz(PH23+1,PH26,0,0),PH24)</f>
        <v>#VALUE!</v>
      </c>
      <c r="PI27" s="962" t="e">
        <f>[1]!taqsh(1,1,[1]!roz(PI23+1,PI26,0,0),PI24)</f>
        <v>#VALUE!</v>
      </c>
      <c r="PJ27" s="962" t="e">
        <f>[1]!taqsh(1,1,[1]!roz(PJ23+1,PJ26,0,0),PJ24)</f>
        <v>#VALUE!</v>
      </c>
      <c r="PK27" s="962" t="e">
        <f>[1]!taqsh(1,1,[1]!roz(PK23+1,PK26,0,0),PK24)</f>
        <v>#VALUE!</v>
      </c>
      <c r="PL27" s="962" t="e">
        <f>[1]!taqsh(1,1,[1]!roz(PL23+1,PL26,0,0),PL24)</f>
        <v>#VALUE!</v>
      </c>
      <c r="PM27" s="962" t="e">
        <f>[1]!taqsh(1,1,[1]!roz(PM23+1,PM26,0,0),PM24)</f>
        <v>#VALUE!</v>
      </c>
      <c r="PN27" s="962" t="e">
        <f>[1]!taqsh(1,1,[1]!roz(PN23+1,PN26,0,0),PN24)</f>
        <v>#VALUE!</v>
      </c>
      <c r="PO27" s="962" t="e">
        <f>[1]!taqsh(1,1,[1]!roz(PO23+1,PO26,0,0),PO24)</f>
        <v>#VALUE!</v>
      </c>
      <c r="PP27" s="962" t="e">
        <f>[1]!taqsh(1,1,[1]!roz(PP23+1,PP26,0,0),PP24)</f>
        <v>#VALUE!</v>
      </c>
      <c r="PQ27" s="962" t="e">
        <f>[1]!taqsh(1,1,[1]!roz(PQ23+1,PQ26,0,0),PQ24)</f>
        <v>#VALUE!</v>
      </c>
      <c r="PR27" s="962" t="e">
        <f>[1]!taqsh(1,1,[1]!roz(PR23+1,PR26,0,0),PR24)</f>
        <v>#VALUE!</v>
      </c>
      <c r="PS27" s="962" t="e">
        <f>[1]!taqsh(1,1,[1]!roz(PS23+1,PS26,0,0),PS24)</f>
        <v>#VALUE!</v>
      </c>
      <c r="PT27" s="962" t="e">
        <f>[1]!taqsh(1,1,[1]!roz(PT23+1,PT26,0,0),PT24)</f>
        <v>#VALUE!</v>
      </c>
      <c r="PU27" s="962" t="e">
        <f>[1]!taqsh(1,1,[1]!roz(PU23+1,PU26,0,0),PU24)</f>
        <v>#VALUE!</v>
      </c>
      <c r="PV27" s="962" t="e">
        <f>[1]!taqsh(1,1,[1]!roz(PV23+1,PV26,0,0),PV24)</f>
        <v>#VALUE!</v>
      </c>
      <c r="PW27" s="962" t="e">
        <f>[1]!taqsh(1,1,[1]!roz(PW23+1,PW26,0,0),PW24)</f>
        <v>#VALUE!</v>
      </c>
      <c r="PX27" s="962" t="e">
        <f>[1]!taqsh(1,1,[1]!roz(PX23+1,PX26,0,0),PX24)</f>
        <v>#VALUE!</v>
      </c>
      <c r="PY27" s="962" t="e">
        <f>[1]!taqsh(1,1,[1]!roz(PY23+1,PY26,0,0),PY24)</f>
        <v>#VALUE!</v>
      </c>
      <c r="PZ27" s="962" t="e">
        <f>[1]!taqsh(1,1,[1]!roz(PZ23+1,PZ26,0,0),PZ24)</f>
        <v>#VALUE!</v>
      </c>
      <c r="QA27" s="962" t="e">
        <f>[1]!taqsh(1,1,[1]!roz(QA23+1,QA26,0,0),QA24)</f>
        <v>#VALUE!</v>
      </c>
      <c r="QB27" s="962" t="e">
        <f>[1]!taqsh(1,1,[1]!roz(QB23+1,QB26,0,0),QB24)</f>
        <v>#VALUE!</v>
      </c>
      <c r="QC27" s="962" t="e">
        <f>[1]!taqsh(1,1,[1]!roz(QC23+1,QC26,0,0),QC24)</f>
        <v>#VALUE!</v>
      </c>
      <c r="QD27" s="962" t="e">
        <f>[1]!taqsh(1,1,[1]!roz(QD23+1,QD26,0,0),QD24)</f>
        <v>#VALUE!</v>
      </c>
      <c r="QE27" s="962" t="e">
        <f>[1]!taqsh(1,1,[1]!roz(QE23+1,QE26,0,0),QE24)</f>
        <v>#VALUE!</v>
      </c>
      <c r="QF27" s="962" t="e">
        <f>[1]!taqsh(1,1,[1]!roz(QF23+1,QF26,0,0),QF24)</f>
        <v>#VALUE!</v>
      </c>
      <c r="QG27" s="962" t="e">
        <f>[1]!taqsh(1,1,[1]!roz(QG23+1,QG26,0,0),QG24)</f>
        <v>#VALUE!</v>
      </c>
      <c r="QH27" s="962" t="e">
        <f>[1]!taqsh(1,1,[1]!roz(QH23+1,QH26,0,0),QH24)</f>
        <v>#VALUE!</v>
      </c>
      <c r="QI27" s="962" t="e">
        <f>[1]!taqsh(1,1,[1]!roz(QI23+1,QI26,0,0),QI24)</f>
        <v>#VALUE!</v>
      </c>
      <c r="QJ27" s="962" t="e">
        <f>[1]!taqsh(1,1,[1]!roz(QJ23+1,QJ26,0,0),QJ24)</f>
        <v>#VALUE!</v>
      </c>
      <c r="QK27" s="962" t="e">
        <f>[1]!taqsh(1,1,[1]!roz(QK23+1,QK26,0,0),QK24)</f>
        <v>#VALUE!</v>
      </c>
      <c r="QL27" s="962" t="e">
        <f>[1]!taqsh(1,1,[1]!roz(QL23+1,QL26,0,0),QL24)</f>
        <v>#VALUE!</v>
      </c>
      <c r="QM27" s="962" t="e">
        <f>[1]!taqsh(1,1,[1]!roz(QM23+1,QM26,0,0),QM24)</f>
        <v>#VALUE!</v>
      </c>
      <c r="QN27" s="962" t="e">
        <f>[1]!taqsh(1,1,[1]!roz(QN23+1,QN26,0,0),QN24)</f>
        <v>#VALUE!</v>
      </c>
      <c r="QO27" s="962" t="e">
        <f>[1]!taqsh(1,1,[1]!roz(QO23+1,QO26,0,0),QO24)</f>
        <v>#VALUE!</v>
      </c>
      <c r="QP27" s="962" t="e">
        <f>[1]!taqsh(1,1,[1]!roz(QP23+1,QP26,0,0),QP24)</f>
        <v>#VALUE!</v>
      </c>
      <c r="QQ27" s="962" t="e">
        <f>[1]!taqsh(1,1,[1]!roz(QQ23+1,QQ26,0,0),QQ24)</f>
        <v>#VALUE!</v>
      </c>
      <c r="QR27" s="962" t="e">
        <f>[1]!taqsh(1,1,[1]!roz(QR23+1,QR26,0,0),QR24)</f>
        <v>#VALUE!</v>
      </c>
      <c r="QS27" s="962" t="e">
        <f>[1]!taqsh(1,1,[1]!roz(QS23+1,QS26,0,0),QS24)</f>
        <v>#VALUE!</v>
      </c>
      <c r="QT27" s="962" t="e">
        <f>[1]!taqsh(1,1,[1]!roz(QT23+1,QT26,0,0),QT24)</f>
        <v>#VALUE!</v>
      </c>
      <c r="QU27" s="962" t="e">
        <f>[1]!taqsh(1,1,[1]!roz(QU23+1,QU26,0,0),QU24)</f>
        <v>#VALUE!</v>
      </c>
      <c r="QV27" s="962" t="e">
        <f>[1]!taqsh(1,1,[1]!roz(QV23+1,QV26,0,0),QV24)</f>
        <v>#VALUE!</v>
      </c>
      <c r="QW27" s="962" t="e">
        <f>[1]!taqsh(1,1,[1]!roz(QW23+1,QW26,0,0),QW24)</f>
        <v>#VALUE!</v>
      </c>
      <c r="QX27" s="962" t="e">
        <f>[1]!taqsh(1,1,[1]!roz(QX23+1,QX26,0,0),QX24)</f>
        <v>#VALUE!</v>
      </c>
      <c r="QY27" s="962" t="e">
        <f>[1]!taqsh(1,1,[1]!roz(QY23+1,QY26,0,0),QY24)</f>
        <v>#VALUE!</v>
      </c>
      <c r="QZ27" s="962" t="e">
        <f>[1]!taqsh(1,1,[1]!roz(QZ23+1,QZ26,0,0),QZ24)</f>
        <v>#VALUE!</v>
      </c>
      <c r="RA27" s="963"/>
    </row>
    <row r="28" spans="1:471" ht="17.25">
      <c r="A28" s="22">
        <f>A25</f>
        <v>22</v>
      </c>
      <c r="B28" s="22">
        <f>B25</f>
        <v>9</v>
      </c>
      <c r="C28" s="22">
        <f>C10</f>
        <v>1442</v>
      </c>
      <c r="D28" t="str">
        <f>D10</f>
        <v>شمسی</v>
      </c>
      <c r="E28">
        <f>E10</f>
        <v>16</v>
      </c>
      <c r="I28">
        <f>(MOD(G27,M26))</f>
        <v>228.87807989479495</v>
      </c>
      <c r="J28" s="7"/>
      <c r="K28" s="7"/>
      <c r="L28" s="7"/>
      <c r="M28" s="7"/>
      <c r="N28" s="7"/>
      <c r="O28" s="7">
        <f>O27</f>
        <v>30</v>
      </c>
      <c r="P28" s="7">
        <f t="shared" ref="P28:Z28" si="311">P27+O28</f>
        <v>59</v>
      </c>
      <c r="Q28" s="7">
        <f t="shared" si="311"/>
        <v>89</v>
      </c>
      <c r="R28" s="7">
        <f t="shared" si="311"/>
        <v>118</v>
      </c>
      <c r="S28" s="7">
        <f t="shared" si="311"/>
        <v>148</v>
      </c>
      <c r="T28" s="7">
        <f t="shared" si="311"/>
        <v>177</v>
      </c>
      <c r="U28" s="7">
        <f t="shared" si="311"/>
        <v>207</v>
      </c>
      <c r="V28" s="7">
        <f t="shared" si="311"/>
        <v>236</v>
      </c>
      <c r="W28" s="7">
        <f t="shared" si="311"/>
        <v>266</v>
      </c>
      <c r="X28" s="7">
        <f t="shared" si="311"/>
        <v>295</v>
      </c>
      <c r="Y28" s="7">
        <f t="shared" si="311"/>
        <v>325</v>
      </c>
      <c r="Z28" s="7">
        <f t="shared" si="311"/>
        <v>354</v>
      </c>
      <c r="AA28" s="7"/>
      <c r="AK28" s="759"/>
      <c r="AL28" s="702">
        <f>AL16</f>
        <v>1443</v>
      </c>
      <c r="AM28" s="301">
        <f t="shared" ref="AM28:AW28" si="312">AL28</f>
        <v>1443</v>
      </c>
      <c r="AN28" s="301">
        <f t="shared" si="312"/>
        <v>1443</v>
      </c>
      <c r="AO28" s="301">
        <f t="shared" si="312"/>
        <v>1443</v>
      </c>
      <c r="AP28" s="301">
        <f t="shared" si="312"/>
        <v>1443</v>
      </c>
      <c r="AQ28" s="301">
        <f t="shared" si="312"/>
        <v>1443</v>
      </c>
      <c r="AR28" s="301">
        <f t="shared" si="312"/>
        <v>1443</v>
      </c>
      <c r="AS28" s="301">
        <f t="shared" si="312"/>
        <v>1443</v>
      </c>
      <c r="AT28" s="301">
        <f t="shared" si="312"/>
        <v>1443</v>
      </c>
      <c r="AU28" s="301">
        <f t="shared" si="312"/>
        <v>1443</v>
      </c>
      <c r="AV28" s="301">
        <f t="shared" si="312"/>
        <v>1443</v>
      </c>
      <c r="AW28" s="301">
        <f t="shared" si="312"/>
        <v>1443</v>
      </c>
      <c r="AX28" s="321"/>
      <c r="AZ28" s="779" t="s">
        <v>3575</v>
      </c>
      <c r="BA28" s="644">
        <f>BA4</f>
        <v>6</v>
      </c>
      <c r="DI28" s="797" t="s">
        <v>698</v>
      </c>
      <c r="DJ28" s="961" t="e">
        <f>[1]!taqq(1,1,[1]!roz(DJ23+1,DJ26,0,0),DJ24)</f>
        <v>#VALUE!</v>
      </c>
      <c r="DK28" s="962" t="e">
        <f>[1]!taqq(1,1,[1]!roz(DK23+1,DK26,0,0),DK24)</f>
        <v>#VALUE!</v>
      </c>
      <c r="DL28" s="962" t="e">
        <f>[1]!taqq(1,1,[1]!roz(DL23+1,DL26,0,0),DL24)</f>
        <v>#VALUE!</v>
      </c>
      <c r="DM28" s="962" t="e">
        <f>[1]!taqq(1,1,[1]!roz(DM23+1,DM26,0,0),DM24)</f>
        <v>#VALUE!</v>
      </c>
      <c r="DN28" s="962" t="e">
        <f>[1]!taqq(1,1,[1]!roz(DN23+1,DN26,0,0),DN24)</f>
        <v>#VALUE!</v>
      </c>
      <c r="DO28" s="962" t="e">
        <f>[1]!taqq(1,1,[1]!roz(DO23+1,DO26,0,0),DO24)</f>
        <v>#VALUE!</v>
      </c>
      <c r="DP28" s="962" t="e">
        <f>[1]!taqq(1,1,[1]!roz(DP23+1,DP26,0,0),DP24)</f>
        <v>#VALUE!</v>
      </c>
      <c r="DQ28" s="962" t="e">
        <f>[1]!taqq(1,1,[1]!roz(DQ23+1,DQ26,0,0),DQ24)</f>
        <v>#VALUE!</v>
      </c>
      <c r="DR28" s="962" t="e">
        <f>[1]!taqq(1,1,[1]!roz(DR23+1,DR26,0,0),DR24)</f>
        <v>#VALUE!</v>
      </c>
      <c r="DS28" s="962" t="e">
        <f>[1]!taqq(1,1,[1]!roz(DS23+1,DS26,0,0),DS24)</f>
        <v>#VALUE!</v>
      </c>
      <c r="DT28" s="962" t="e">
        <f>[1]!taqq(1,1,[1]!roz(DT23+1,DT26,0,0),DT24)</f>
        <v>#VALUE!</v>
      </c>
      <c r="DU28" s="962" t="e">
        <f>[1]!taqq(1,1,[1]!roz(DU23+1,DU26,0,0),DU24)</f>
        <v>#VALUE!</v>
      </c>
      <c r="DV28" s="962" t="e">
        <f>[1]!taqq(1,1,[1]!roz(DV23+1,DV26,0,0),DV24)</f>
        <v>#VALUE!</v>
      </c>
      <c r="DW28" s="962" t="e">
        <f>[1]!taqq(1,1,[1]!roz(DW23+1,DW26,0,0),DW24)</f>
        <v>#VALUE!</v>
      </c>
      <c r="DX28" s="962" t="e">
        <f>[1]!taqq(1,1,[1]!roz(DX23+1,DX26,0,0),DX24)</f>
        <v>#VALUE!</v>
      </c>
      <c r="DY28" s="962" t="e">
        <f>[1]!taqq(1,1,[1]!roz(DY23+1,DY26,0,0),DY24)</f>
        <v>#VALUE!</v>
      </c>
      <c r="DZ28" s="962" t="e">
        <f>[1]!taqq(1,1,[1]!roz(DZ23+1,DZ26,0,0),DZ24)</f>
        <v>#VALUE!</v>
      </c>
      <c r="EA28" s="962" t="e">
        <f>[1]!taqq(1,1,[1]!roz(EA23+1,EA26,0,0),EA24)</f>
        <v>#VALUE!</v>
      </c>
      <c r="EB28" s="962" t="e">
        <f>[1]!taqq(1,1,[1]!roz(EB23+1,EB26,0,0),EB24)</f>
        <v>#VALUE!</v>
      </c>
      <c r="EC28" s="962" t="e">
        <f>[1]!taqq(1,1,[1]!roz(EC23+1,EC26,0,0),EC24)</f>
        <v>#VALUE!</v>
      </c>
      <c r="ED28" s="962" t="e">
        <f>[1]!taqq(1,1,[1]!roz(ED23+1,ED26,0,0),ED24)</f>
        <v>#VALUE!</v>
      </c>
      <c r="EE28" s="962" t="e">
        <f>[1]!taqq(1,1,[1]!roz(EE23+1,EE26,0,0),EE24)</f>
        <v>#VALUE!</v>
      </c>
      <c r="EF28" s="962" t="e">
        <f>[1]!taqq(1,1,[1]!roz(EF23+1,EF26,0,0),EF24)</f>
        <v>#VALUE!</v>
      </c>
      <c r="EG28" s="962" t="e">
        <f>[1]!taqq(1,1,[1]!roz(EG23+1,EG26,0,0),EG24)</f>
        <v>#VALUE!</v>
      </c>
      <c r="EH28" s="962" t="e">
        <f>[1]!taqq(1,1,[1]!roz(EH23+1,EH26,0,0),EH24)</f>
        <v>#VALUE!</v>
      </c>
      <c r="EI28" s="962" t="e">
        <f>[1]!taqq(1,1,[1]!roz(EI23+1,EI26,0,0),EI24)</f>
        <v>#VALUE!</v>
      </c>
      <c r="EJ28" s="962" t="e">
        <f>[1]!taqq(1,1,[1]!roz(EJ23+1,EJ26,0,0),EJ24)</f>
        <v>#VALUE!</v>
      </c>
      <c r="EK28" s="962" t="e">
        <f>[1]!taqq(1,1,[1]!roz(EK23+1,EK26,0,0),EK24)</f>
        <v>#VALUE!</v>
      </c>
      <c r="EL28" s="962" t="e">
        <f>[1]!taqq(1,1,[1]!roz(EL23+1,EL26,0,0),EL24)</f>
        <v>#VALUE!</v>
      </c>
      <c r="EM28" s="962" t="e">
        <f>[1]!taqq(1,1,[1]!roz(EM23+1,EM26,0,0),EM24)</f>
        <v>#VALUE!</v>
      </c>
      <c r="EN28" s="962" t="e">
        <f>[1]!taqq(1,1,[1]!roz(EN23+1,EN26,0,0),EN24)</f>
        <v>#VALUE!</v>
      </c>
      <c r="EO28" s="962" t="e">
        <f>[1]!taqq(1,1,[1]!roz(EO23+1,EO26,0,0),EO24)</f>
        <v>#VALUE!</v>
      </c>
      <c r="EP28" s="962" t="e">
        <f>[1]!taqq(1,1,[1]!roz(EP23+1,EP26,0,0),EP24)</f>
        <v>#VALUE!</v>
      </c>
      <c r="EQ28" s="962" t="e">
        <f>[1]!taqq(1,1,[1]!roz(EQ23+1,EQ26,0,0),EQ24)</f>
        <v>#VALUE!</v>
      </c>
      <c r="ER28" s="962" t="e">
        <f>[1]!taqq(1,1,[1]!roz(ER23+1,ER26,0,0),ER24)</f>
        <v>#VALUE!</v>
      </c>
      <c r="ES28" s="962" t="e">
        <f>[1]!taqq(1,1,[1]!roz(ES23+1,ES26,0,0),ES24)</f>
        <v>#VALUE!</v>
      </c>
      <c r="ET28" s="962" t="e">
        <f>[1]!taqq(1,1,[1]!roz(ET23+1,ET26,0,0),ET24)</f>
        <v>#VALUE!</v>
      </c>
      <c r="EU28" s="962" t="e">
        <f>[1]!taqq(1,1,[1]!roz(EU23+1,EU26,0,0),EU24)</f>
        <v>#VALUE!</v>
      </c>
      <c r="EV28" s="962" t="e">
        <f>[1]!taqq(1,1,[1]!roz(EV23+1,EV26,0,0),EV24)</f>
        <v>#VALUE!</v>
      </c>
      <c r="EW28" s="962" t="e">
        <f>[1]!taqq(1,1,[1]!roz(EW23+1,EW26,0,0),EW24)</f>
        <v>#VALUE!</v>
      </c>
      <c r="EX28" s="962" t="e">
        <f>[1]!taqq(1,1,[1]!roz(EX23+1,EX26,0,0),EX24)</f>
        <v>#VALUE!</v>
      </c>
      <c r="EY28" s="962" t="e">
        <f>[1]!taqq(1,1,[1]!roz(EY23+1,EY26,0,0),EY24)</f>
        <v>#VALUE!</v>
      </c>
      <c r="EZ28" s="962" t="e">
        <f>[1]!taqq(1,1,[1]!roz(EZ23+1,EZ26,0,0),EZ24)</f>
        <v>#VALUE!</v>
      </c>
      <c r="FA28" s="962" t="e">
        <f>[1]!taqq(1,1,[1]!roz(FA23+1,FA26,0,0),FA24)</f>
        <v>#VALUE!</v>
      </c>
      <c r="FB28" s="962" t="e">
        <f>[1]!taqq(1,1,[1]!roz(FB23+1,FB26,0,0),FB24)</f>
        <v>#VALUE!</v>
      </c>
      <c r="FC28" s="962" t="e">
        <f>[1]!taqq(1,1,[1]!roz(FC23+1,FC26,0,0),FC24)</f>
        <v>#VALUE!</v>
      </c>
      <c r="FD28" s="962" t="e">
        <f>[1]!taqq(1,1,[1]!roz(FD23+1,FD26,0,0),FD24)</f>
        <v>#VALUE!</v>
      </c>
      <c r="FE28" s="962" t="e">
        <f>[1]!taqq(1,1,[1]!roz(FE23+1,FE26,0,0),FE24)</f>
        <v>#VALUE!</v>
      </c>
      <c r="FF28" s="962" t="e">
        <f>[1]!taqq(1,1,[1]!roz(FF23+1,FF26,0,0),FF24)</f>
        <v>#VALUE!</v>
      </c>
      <c r="FG28" s="962" t="e">
        <f>[1]!taqq(1,1,[1]!roz(FG23+1,FG26,0,0),FG24)</f>
        <v>#VALUE!</v>
      </c>
      <c r="FH28" s="962" t="e">
        <f>[1]!taqq(1,1,[1]!roz(FH23+1,FH26,0,0),FH24)</f>
        <v>#VALUE!</v>
      </c>
      <c r="FI28" s="962" t="e">
        <f>[1]!taqq(1,1,[1]!roz(FI23+1,FI26,0,0),FI24)</f>
        <v>#VALUE!</v>
      </c>
      <c r="FJ28" s="962" t="e">
        <f>[1]!taqq(1,1,[1]!roz(FJ23+1,FJ26,0,0),FJ24)</f>
        <v>#VALUE!</v>
      </c>
      <c r="FK28" s="962" t="e">
        <f>[1]!taqq(1,1,[1]!roz(FK23+1,FK26,0,0),FK24)</f>
        <v>#VALUE!</v>
      </c>
      <c r="FL28" s="962" t="e">
        <f>[1]!taqq(1,1,[1]!roz(FL23+1,FL26,0,0),FL24)</f>
        <v>#VALUE!</v>
      </c>
      <c r="FM28" s="962" t="e">
        <f>[1]!taqq(1,1,[1]!roz(FM23+1,FM26,0,0),FM24)</f>
        <v>#VALUE!</v>
      </c>
      <c r="FN28" s="962" t="e">
        <f>[1]!taqq(1,1,[1]!roz(FN23+1,FN26,0,0),FN24)</f>
        <v>#VALUE!</v>
      </c>
      <c r="FO28" s="962" t="e">
        <f>[1]!taqq(1,1,[1]!roz(FO23+1,FO26,0,0),FO24)</f>
        <v>#VALUE!</v>
      </c>
      <c r="FP28" s="962" t="e">
        <f>[1]!taqq(1,1,[1]!roz(FP23+1,FP26,0,0),FP24)</f>
        <v>#VALUE!</v>
      </c>
      <c r="FQ28" s="962" t="e">
        <f>[1]!taqq(1,1,[1]!roz(FQ23+1,FQ26,0,0),FQ24)</f>
        <v>#VALUE!</v>
      </c>
      <c r="FR28" s="962" t="e">
        <f>[1]!taqq(1,1,[1]!roz(FR23+1,FR26,0,0),FR24)</f>
        <v>#VALUE!</v>
      </c>
      <c r="FS28" s="962" t="e">
        <f>[1]!taqq(1,1,[1]!roz(FS23+1,FS26,0,0),FS24)</f>
        <v>#VALUE!</v>
      </c>
      <c r="FT28" s="962" t="e">
        <f>[1]!taqq(1,1,[1]!roz(FT23+1,FT26,0,0),FT24)</f>
        <v>#VALUE!</v>
      </c>
      <c r="FU28" s="962" t="e">
        <f>[1]!taqq(1,1,[1]!roz(FU23+1,FU26,0,0),FU24)</f>
        <v>#VALUE!</v>
      </c>
      <c r="FV28" s="962" t="e">
        <f>[1]!taqq(1,1,[1]!roz(FV23+1,FV26,0,0),FV24)</f>
        <v>#VALUE!</v>
      </c>
      <c r="FW28" s="962" t="e">
        <f>[1]!taqq(1,1,[1]!roz(FW23+1,FW26,0,0),FW24)</f>
        <v>#VALUE!</v>
      </c>
      <c r="FX28" s="962" t="e">
        <f>[1]!taqq(1,1,[1]!roz(FX23+1,FX26,0,0),FX24)</f>
        <v>#VALUE!</v>
      </c>
      <c r="FY28" s="962" t="e">
        <f>[1]!taqq(1,1,[1]!roz(FY23+1,FY26,0,0),FY24)</f>
        <v>#VALUE!</v>
      </c>
      <c r="FZ28" s="962" t="e">
        <f>[1]!taqq(1,1,[1]!roz(FZ23+1,FZ26,0,0),FZ24)</f>
        <v>#VALUE!</v>
      </c>
      <c r="GA28" s="962" t="e">
        <f>[1]!taqq(1,1,[1]!roz(GA23+1,GA26,0,0),GA24)</f>
        <v>#VALUE!</v>
      </c>
      <c r="GB28" s="962" t="e">
        <f>[1]!taqq(1,1,[1]!roz(GB23+1,GB26,0,0),GB24)</f>
        <v>#VALUE!</v>
      </c>
      <c r="GC28" s="962" t="e">
        <f>[1]!taqq(1,1,[1]!roz(GC23+1,GC26,0,0),GC24)</f>
        <v>#VALUE!</v>
      </c>
      <c r="GD28" s="962" t="e">
        <f>[1]!taqq(1,1,[1]!roz(GD23+1,GD26,0,0),GD24)</f>
        <v>#VALUE!</v>
      </c>
      <c r="GE28" s="962" t="e">
        <f>[1]!taqq(1,1,[1]!roz(GE23+1,GE26,0,0),GE24)</f>
        <v>#VALUE!</v>
      </c>
      <c r="GF28" s="962" t="e">
        <f>[1]!taqq(1,1,[1]!roz(GF23+1,GF26,0,0),GF24)</f>
        <v>#VALUE!</v>
      </c>
      <c r="GG28" s="962" t="e">
        <f>[1]!taqq(1,1,[1]!roz(GG23+1,GG26,0,0),GG24)</f>
        <v>#VALUE!</v>
      </c>
      <c r="GH28" s="962" t="e">
        <f>[1]!taqq(1,1,[1]!roz(GH23+1,GH26,0,0),GH24)</f>
        <v>#VALUE!</v>
      </c>
      <c r="GI28" s="962" t="e">
        <f>[1]!taqq(1,1,[1]!roz(GI23+1,GI26,0,0),GI24)</f>
        <v>#VALUE!</v>
      </c>
      <c r="GJ28" s="962" t="e">
        <f>[1]!taqq(1,1,[1]!roz(GJ23+1,GJ26,0,0),GJ24)</f>
        <v>#VALUE!</v>
      </c>
      <c r="GK28" s="962" t="e">
        <f>[1]!taqq(1,1,[1]!roz(GK23+1,GK26,0,0),GK24)</f>
        <v>#VALUE!</v>
      </c>
      <c r="GL28" s="962" t="e">
        <f>[1]!taqq(1,1,[1]!roz(GL23+1,GL26,0,0),GL24)</f>
        <v>#VALUE!</v>
      </c>
      <c r="GM28" s="962" t="e">
        <f>[1]!taqq(1,1,[1]!roz(GM23+1,GM26,0,0),GM24)</f>
        <v>#VALUE!</v>
      </c>
      <c r="GN28" s="962" t="e">
        <f>[1]!taqq(1,1,[1]!roz(GN23+1,GN26,0,0),GN24)</f>
        <v>#VALUE!</v>
      </c>
      <c r="GO28" s="962" t="e">
        <f>[1]!taqq(1,1,[1]!roz(GO23+1,GO26,0,0),GO24)</f>
        <v>#VALUE!</v>
      </c>
      <c r="GP28" s="962" t="e">
        <f>[1]!taqq(1,1,[1]!roz(GP23+1,GP26,0,0),GP24)</f>
        <v>#VALUE!</v>
      </c>
      <c r="GQ28" s="962" t="e">
        <f>[1]!taqq(1,1,[1]!roz(GQ23+1,GQ26,0,0),GQ24)</f>
        <v>#VALUE!</v>
      </c>
      <c r="GR28" s="962" t="e">
        <f>[1]!taqq(1,1,[1]!roz(GR23+1,GR26,0,0),GR24)</f>
        <v>#VALUE!</v>
      </c>
      <c r="GS28" s="962" t="e">
        <f>[1]!taqq(1,1,[1]!roz(GS23+1,GS26,0,0),GS24)</f>
        <v>#VALUE!</v>
      </c>
      <c r="GT28" s="962" t="e">
        <f>[1]!taqq(1,1,[1]!roz(GT23+1,GT26,0,0),GT24)</f>
        <v>#VALUE!</v>
      </c>
      <c r="GU28" s="962" t="e">
        <f>[1]!taqq(1,1,[1]!roz(GU23+1,GU26,0,0),GU24)</f>
        <v>#VALUE!</v>
      </c>
      <c r="GV28" s="962" t="e">
        <f>[1]!taqq(1,1,[1]!roz(GV23+1,GV26,0,0),GV24)</f>
        <v>#VALUE!</v>
      </c>
      <c r="GW28" s="962" t="e">
        <f>[1]!taqq(1,1,[1]!roz(GW23+1,GW26,0,0),GW24)</f>
        <v>#VALUE!</v>
      </c>
      <c r="GX28" s="962" t="e">
        <f>[1]!taqq(1,1,[1]!roz(GX23+1,GX26,0,0),GX24)</f>
        <v>#VALUE!</v>
      </c>
      <c r="GY28" s="962" t="e">
        <f>[1]!taqq(1,1,[1]!roz(GY23+1,GY26,0,0),GY24)</f>
        <v>#VALUE!</v>
      </c>
      <c r="GZ28" s="962" t="e">
        <f>[1]!taqq(1,1,[1]!roz(GZ23+1,GZ26,0,0),GZ24)</f>
        <v>#VALUE!</v>
      </c>
      <c r="HA28" s="962" t="e">
        <f>[1]!taqq(1,1,[1]!roz(HA23+1,HA26,0,0),HA24)</f>
        <v>#VALUE!</v>
      </c>
      <c r="HB28" s="962" t="e">
        <f>[1]!taqq(1,1,[1]!roz(HB23+1,HB26,0,0),HB24)</f>
        <v>#VALUE!</v>
      </c>
      <c r="HC28" s="962" t="e">
        <f>[1]!taqq(1,1,[1]!roz(HC23+1,HC26,0,0),HC24)</f>
        <v>#VALUE!</v>
      </c>
      <c r="HD28" s="962" t="e">
        <f>[1]!taqq(1,1,[1]!roz(HD23+1,HD26,0,0),HD24)</f>
        <v>#VALUE!</v>
      </c>
      <c r="HE28" s="962" t="e">
        <f>[1]!taqq(1,1,[1]!roz(HE23+1,HE26,0,0),HE24)</f>
        <v>#VALUE!</v>
      </c>
      <c r="HF28" s="962" t="e">
        <f>[1]!taqq(1,1,[1]!roz(HF23+1,HF26,0,0),HF24)</f>
        <v>#VALUE!</v>
      </c>
      <c r="HG28" s="962" t="e">
        <f>[1]!taqq(1,1,[1]!roz(HG23+1,HG26,0,0),HG24)</f>
        <v>#VALUE!</v>
      </c>
      <c r="HH28" s="962" t="e">
        <f>[1]!taqq(1,1,[1]!roz(HH23+1,HH26,0,0),HH24)</f>
        <v>#VALUE!</v>
      </c>
      <c r="HI28" s="962" t="e">
        <f>[1]!taqq(1,1,[1]!roz(HI23+1,HI26,0,0),HI24)</f>
        <v>#VALUE!</v>
      </c>
      <c r="HJ28" s="962" t="e">
        <f>[1]!taqq(1,1,[1]!roz(HJ23+1,HJ26,0,0),HJ24)</f>
        <v>#VALUE!</v>
      </c>
      <c r="HK28" s="962" t="e">
        <f>[1]!taqq(1,1,[1]!roz(HK23+1,HK26,0,0),HK24)</f>
        <v>#VALUE!</v>
      </c>
      <c r="HL28" s="962" t="e">
        <f>[1]!taqq(1,1,[1]!roz(HL23+1,HL26,0,0),HL24)</f>
        <v>#VALUE!</v>
      </c>
      <c r="HM28" s="962" t="e">
        <f>[1]!taqq(1,1,[1]!roz(HM23+1,HM26,0,0),HM24)</f>
        <v>#VALUE!</v>
      </c>
      <c r="HN28" s="962" t="e">
        <f>[1]!taqq(1,1,[1]!roz(HN23+1,HN26,0,0),HN24)</f>
        <v>#VALUE!</v>
      </c>
      <c r="HO28" s="962" t="e">
        <f>[1]!taqq(1,1,[1]!roz(HO23+1,HO26,0,0),HO24)</f>
        <v>#VALUE!</v>
      </c>
      <c r="HP28" s="962" t="e">
        <f>[1]!taqq(1,1,[1]!roz(HP23+1,HP26,0,0),HP24)</f>
        <v>#VALUE!</v>
      </c>
      <c r="HQ28" s="962" t="e">
        <f>[1]!taqq(1,1,[1]!roz(HQ23+1,HQ26,0,0),HQ24)</f>
        <v>#VALUE!</v>
      </c>
      <c r="HR28" s="962" t="e">
        <f>[1]!taqq(1,1,[1]!roz(HR23+1,HR26,0,0),HR24)</f>
        <v>#VALUE!</v>
      </c>
      <c r="HS28" s="962" t="e">
        <f>[1]!taqq(1,1,[1]!roz(HS23+1,HS26,0,0),HS24)</f>
        <v>#VALUE!</v>
      </c>
      <c r="HT28" s="962" t="e">
        <f>[1]!taqq(1,1,[1]!roz(HT23+1,HT26,0,0),HT24)</f>
        <v>#VALUE!</v>
      </c>
      <c r="HU28" s="962" t="e">
        <f>[1]!taqq(1,1,[1]!roz(HU23+1,HU26,0,0),HU24)</f>
        <v>#VALUE!</v>
      </c>
      <c r="HV28" s="962" t="e">
        <f>[1]!taqq(1,1,[1]!roz(HV23+1,HV26,0,0),HV24)</f>
        <v>#VALUE!</v>
      </c>
      <c r="HW28" s="962" t="e">
        <f>[1]!taqq(1,1,[1]!roz(HW23+1,HW26,0,0),HW24)</f>
        <v>#VALUE!</v>
      </c>
      <c r="HX28" s="962" t="e">
        <f>[1]!taqq(1,1,[1]!roz(HX23+1,HX26,0,0),HX24)</f>
        <v>#VALUE!</v>
      </c>
      <c r="HY28" s="962" t="e">
        <f>[1]!taqq(1,1,[1]!roz(HY23+1,HY26,0,0),HY24)</f>
        <v>#VALUE!</v>
      </c>
      <c r="HZ28" s="962" t="e">
        <f>[1]!taqq(1,1,[1]!roz(HZ23+1,HZ26,0,0),HZ24)</f>
        <v>#VALUE!</v>
      </c>
      <c r="IA28" s="962" t="e">
        <f>[1]!taqq(1,1,[1]!roz(IA23+1,IA26,0,0),IA24)</f>
        <v>#VALUE!</v>
      </c>
      <c r="IB28" s="962" t="e">
        <f>[1]!taqq(1,1,[1]!roz(IB23+1,IB26,0,0),IB24)</f>
        <v>#VALUE!</v>
      </c>
      <c r="IC28" s="962" t="e">
        <f>[1]!taqq(1,1,[1]!roz(IC23+1,IC26,0,0),IC24)</f>
        <v>#VALUE!</v>
      </c>
      <c r="ID28" s="962" t="e">
        <f>[1]!taqq(1,1,[1]!roz(ID23+1,ID26,0,0),ID24)</f>
        <v>#VALUE!</v>
      </c>
      <c r="IE28" s="962" t="e">
        <f>[1]!taqq(1,1,[1]!roz(IE23+1,IE26,0,0),IE24)</f>
        <v>#VALUE!</v>
      </c>
      <c r="IF28" s="962" t="e">
        <f>[1]!taqq(1,1,[1]!roz(IF23+1,IF26,0,0),IF24)</f>
        <v>#VALUE!</v>
      </c>
      <c r="IG28" s="962" t="e">
        <f>[1]!taqq(1,1,[1]!roz(IG23+1,IG26,0,0),IG24)</f>
        <v>#VALUE!</v>
      </c>
      <c r="IH28" s="962" t="e">
        <f>[1]!taqq(1,1,[1]!roz(IH23+1,IH26,0,0),IH24)</f>
        <v>#VALUE!</v>
      </c>
      <c r="II28" s="962" t="e">
        <f>[1]!taqq(1,1,[1]!roz(II23+1,II26,0,0),II24)</f>
        <v>#VALUE!</v>
      </c>
      <c r="IJ28" s="962" t="e">
        <f>[1]!taqq(1,1,[1]!roz(IJ23+1,IJ26,0,0),IJ24)</f>
        <v>#VALUE!</v>
      </c>
      <c r="IK28" s="962" t="e">
        <f>[1]!taqq(1,1,[1]!roz(IK23+1,IK26,0,0),IK24)</f>
        <v>#VALUE!</v>
      </c>
      <c r="IL28" s="962" t="e">
        <f>[1]!taqq(1,1,[1]!roz(IL23+1,IL26,0,0),IL24)</f>
        <v>#VALUE!</v>
      </c>
      <c r="IM28" s="962" t="e">
        <f>[1]!taqq(1,1,[1]!roz(IM23+1,IM26,0,0),IM24)</f>
        <v>#VALUE!</v>
      </c>
      <c r="IN28" s="962" t="e">
        <f>[1]!taqq(1,1,[1]!roz(IN23+1,IN26,0,0),IN24)</f>
        <v>#VALUE!</v>
      </c>
      <c r="IO28" s="962" t="e">
        <f>[1]!taqq(1,1,[1]!roz(IO23+1,IO26,0,0),IO24)</f>
        <v>#VALUE!</v>
      </c>
      <c r="IP28" s="962" t="e">
        <f>[1]!taqq(1,1,[1]!roz(IP23+1,IP26,0,0),IP24)</f>
        <v>#VALUE!</v>
      </c>
      <c r="IQ28" s="962" t="e">
        <f>[1]!taqq(1,1,[1]!roz(IQ23+1,IQ26,0,0),IQ24)</f>
        <v>#VALUE!</v>
      </c>
      <c r="IR28" s="962" t="e">
        <f>[1]!taqq(1,1,[1]!roz(IR23+1,IR26,0,0),IR24)</f>
        <v>#VALUE!</v>
      </c>
      <c r="IS28" s="962" t="e">
        <f>[1]!taqq(1,1,[1]!roz(IS23+1,IS26,0,0),IS24)</f>
        <v>#VALUE!</v>
      </c>
      <c r="IT28" s="962" t="e">
        <f>[1]!taqq(1,1,[1]!roz(IT23+1,IT26,0,0),IT24)</f>
        <v>#VALUE!</v>
      </c>
      <c r="IU28" s="962" t="e">
        <f>[1]!taqq(1,1,[1]!roz(IU23+1,IU26,0,0),IU24)</f>
        <v>#VALUE!</v>
      </c>
      <c r="IV28" s="962" t="e">
        <f>[1]!taqq(1,1,[1]!roz(IV23+1,IV26,0,0),IV24)</f>
        <v>#VALUE!</v>
      </c>
      <c r="IW28" s="962" t="e">
        <f>[1]!taqq(1,1,[1]!roz(IW23+1,IW26,0,0),IW24)</f>
        <v>#VALUE!</v>
      </c>
      <c r="IX28" s="962" t="e">
        <f>[1]!taqq(1,1,[1]!roz(IX23+1,IX26,0,0),IX24)</f>
        <v>#VALUE!</v>
      </c>
      <c r="IY28" s="962" t="e">
        <f>[1]!taqq(1,1,[1]!roz(IY23+1,IY26,0,0),IY24)</f>
        <v>#VALUE!</v>
      </c>
      <c r="IZ28" s="962" t="e">
        <f>[1]!taqq(1,1,[1]!roz(IZ23+1,IZ26,0,0),IZ24)</f>
        <v>#VALUE!</v>
      </c>
      <c r="JA28" s="962" t="e">
        <f>[1]!taqq(1,1,[1]!roz(JA23+1,JA26,0,0),JA24)</f>
        <v>#VALUE!</v>
      </c>
      <c r="JB28" s="962" t="e">
        <f>[1]!taqq(1,1,[1]!roz(JB23+1,JB26,0,0),JB24)</f>
        <v>#VALUE!</v>
      </c>
      <c r="JC28" s="962" t="e">
        <f>[1]!taqq(1,1,[1]!roz(JC23+1,JC26,0,0),JC24)</f>
        <v>#VALUE!</v>
      </c>
      <c r="JD28" s="962" t="e">
        <f>[1]!taqq(1,1,[1]!roz(JD23+1,JD26,0,0),JD24)</f>
        <v>#VALUE!</v>
      </c>
      <c r="JE28" s="962" t="e">
        <f>[1]!taqq(1,1,[1]!roz(JE23+1,JE26,0,0),JE24)</f>
        <v>#VALUE!</v>
      </c>
      <c r="JF28" s="962" t="e">
        <f>[1]!taqq(1,1,[1]!roz(JF23+1,JF26,0,0),JF24)</f>
        <v>#VALUE!</v>
      </c>
      <c r="JG28" s="962" t="e">
        <f>[1]!taqq(1,1,[1]!roz(JG23+1,JG26,0,0),JG24)</f>
        <v>#VALUE!</v>
      </c>
      <c r="JH28" s="962" t="e">
        <f>[1]!taqq(1,1,[1]!roz(JH23+1,JH26,0,0),JH24)</f>
        <v>#VALUE!</v>
      </c>
      <c r="JI28" s="962" t="e">
        <f>[1]!taqq(1,1,[1]!roz(JI23+1,JI26,0,0),JI24)</f>
        <v>#VALUE!</v>
      </c>
      <c r="JJ28" s="962" t="e">
        <f>[1]!taqq(1,1,[1]!roz(JJ23+1,JJ26,0,0),JJ24)</f>
        <v>#VALUE!</v>
      </c>
      <c r="JK28" s="962" t="e">
        <f>[1]!taqq(1,1,[1]!roz(JK23+1,JK26,0,0),JK24)</f>
        <v>#VALUE!</v>
      </c>
      <c r="JL28" s="962" t="e">
        <f>[1]!taqq(1,1,[1]!roz(JL23+1,JL26,0,0),JL24)</f>
        <v>#VALUE!</v>
      </c>
      <c r="JM28" s="962" t="e">
        <f>[1]!taqq(1,1,[1]!roz(JM23+1,JM26,0,0),JM24)</f>
        <v>#VALUE!</v>
      </c>
      <c r="JN28" s="962" t="e">
        <f>[1]!taqq(1,1,[1]!roz(JN23+1,JN26,0,0),JN24)</f>
        <v>#VALUE!</v>
      </c>
      <c r="JO28" s="962" t="e">
        <f>[1]!taqq(1,1,[1]!roz(JO23+1,JO26,0,0),JO24)</f>
        <v>#VALUE!</v>
      </c>
      <c r="JP28" s="962" t="e">
        <f>[1]!taqq(1,1,[1]!roz(JP23+1,JP26,0,0),JP24)</f>
        <v>#VALUE!</v>
      </c>
      <c r="JQ28" s="962" t="e">
        <f>[1]!taqq(1,1,[1]!roz(JQ23+1,JQ26,0,0),JQ24)</f>
        <v>#VALUE!</v>
      </c>
      <c r="JR28" s="962" t="e">
        <f>[1]!taqq(1,1,[1]!roz(JR23+1,JR26,0,0),JR24)</f>
        <v>#VALUE!</v>
      </c>
      <c r="JS28" s="962" t="e">
        <f>[1]!taqq(1,1,[1]!roz(JS23+1,JS26,0,0),JS24)</f>
        <v>#VALUE!</v>
      </c>
      <c r="JT28" s="962" t="e">
        <f>[1]!taqq(1,1,[1]!roz(JT23+1,JT26,0,0),JT24)</f>
        <v>#VALUE!</v>
      </c>
      <c r="JU28" s="962" t="e">
        <f>[1]!taqq(1,1,[1]!roz(JU23+1,JU26,0,0),JU24)</f>
        <v>#VALUE!</v>
      </c>
      <c r="JV28" s="962" t="e">
        <f>[1]!taqq(1,1,[1]!roz(JV23+1,JV26,0,0),JV24)</f>
        <v>#VALUE!</v>
      </c>
      <c r="JW28" s="962" t="e">
        <f>[1]!taqq(1,1,[1]!roz(JW23+1,JW26,0,0),JW24)</f>
        <v>#VALUE!</v>
      </c>
      <c r="JX28" s="962" t="e">
        <f>[1]!taqq(1,1,[1]!roz(JX23+1,JX26,0,0),JX24)</f>
        <v>#VALUE!</v>
      </c>
      <c r="JY28" s="962" t="e">
        <f>[1]!taqq(1,1,[1]!roz(JY23+1,JY26,0,0),JY24)</f>
        <v>#VALUE!</v>
      </c>
      <c r="JZ28" s="962" t="e">
        <f>[1]!taqq(1,1,[1]!roz(JZ23+1,JZ26,0,0),JZ24)</f>
        <v>#VALUE!</v>
      </c>
      <c r="KA28" s="962" t="e">
        <f>[1]!taqq(1,1,[1]!roz(KA23+1,KA26,0,0),KA24)</f>
        <v>#VALUE!</v>
      </c>
      <c r="KB28" s="962" t="e">
        <f>[1]!taqq(1,1,[1]!roz(KB23+1,KB26,0,0),KB24)</f>
        <v>#VALUE!</v>
      </c>
      <c r="KC28" s="962" t="e">
        <f>[1]!taqq(1,1,[1]!roz(KC23+1,KC26,0,0),KC24)</f>
        <v>#VALUE!</v>
      </c>
      <c r="KD28" s="962" t="e">
        <f>[1]!taqq(1,1,[1]!roz(KD23+1,KD26,0,0),KD24)</f>
        <v>#VALUE!</v>
      </c>
      <c r="KE28" s="962" t="e">
        <f>[1]!taqq(1,1,[1]!roz(KE23+1,KE26,0,0),KE24)</f>
        <v>#VALUE!</v>
      </c>
      <c r="KF28" s="962" t="e">
        <f>[1]!taqq(1,1,[1]!roz(KF23+1,KF26,0,0),KF24)</f>
        <v>#VALUE!</v>
      </c>
      <c r="KG28" s="962" t="e">
        <f>[1]!taqq(1,1,[1]!roz(KG23+1,KG26,0,0),KG24)</f>
        <v>#VALUE!</v>
      </c>
      <c r="KH28" s="962" t="e">
        <f>[1]!taqq(1,1,[1]!roz(KH23+1,KH26,0,0),KH24)</f>
        <v>#VALUE!</v>
      </c>
      <c r="KI28" s="962" t="e">
        <f>[1]!taqq(1,1,[1]!roz(KI23+1,KI26,0,0),KI24)</f>
        <v>#VALUE!</v>
      </c>
      <c r="KJ28" s="962" t="e">
        <f>[1]!taqq(1,1,[1]!roz(KJ23+1,KJ26,0,0),KJ24)</f>
        <v>#VALUE!</v>
      </c>
      <c r="KK28" s="962" t="e">
        <f>[1]!taqq(1,1,[1]!roz(KK23+1,KK26,0,0),KK24)</f>
        <v>#VALUE!</v>
      </c>
      <c r="KL28" s="962" t="e">
        <f>[1]!taqq(1,1,[1]!roz(KL23+1,KL26,0,0),KL24)</f>
        <v>#VALUE!</v>
      </c>
      <c r="KM28" s="962" t="e">
        <f>[1]!taqq(1,1,[1]!roz(KM23+1,KM26,0,0),KM24)</f>
        <v>#VALUE!</v>
      </c>
      <c r="KN28" s="962" t="e">
        <f>[1]!taqq(1,1,[1]!roz(KN23+1,KN26,0,0),KN24)</f>
        <v>#VALUE!</v>
      </c>
      <c r="KO28" s="962" t="e">
        <f>[1]!taqq(1,1,[1]!roz(KO23+1,KO26,0,0),KO24)</f>
        <v>#VALUE!</v>
      </c>
      <c r="KP28" s="962" t="e">
        <f>[1]!taqq(1,1,[1]!roz(KP23+1,KP26,0,0),KP24)</f>
        <v>#VALUE!</v>
      </c>
      <c r="KQ28" s="962" t="e">
        <f>[1]!taqq(1,1,[1]!roz(KQ23+1,KQ26,0,0),KQ24)</f>
        <v>#VALUE!</v>
      </c>
      <c r="KR28" s="962" t="e">
        <f>[1]!taqq(1,1,[1]!roz(KR23+1,KR26,0,0),KR24)</f>
        <v>#VALUE!</v>
      </c>
      <c r="KS28" s="962" t="e">
        <f>[1]!taqq(1,1,[1]!roz(KS23+1,KS26,0,0),KS24)</f>
        <v>#VALUE!</v>
      </c>
      <c r="KT28" s="962" t="e">
        <f>[1]!taqq(1,1,[1]!roz(KT23+1,KT26,0,0),KT24)</f>
        <v>#VALUE!</v>
      </c>
      <c r="KU28" s="962" t="e">
        <f>[1]!taqq(1,1,[1]!roz(KU23+1,KU26,0,0),KU24)</f>
        <v>#VALUE!</v>
      </c>
      <c r="KV28" s="962" t="e">
        <f>[1]!taqq(1,1,[1]!roz(KV23+1,KV26,0,0),KV24)</f>
        <v>#VALUE!</v>
      </c>
      <c r="KW28" s="962" t="e">
        <f>[1]!taqq(1,1,[1]!roz(KW23+1,KW26,0,0),KW24)</f>
        <v>#VALUE!</v>
      </c>
      <c r="KX28" s="962" t="e">
        <f>[1]!taqq(1,1,[1]!roz(KX23+1,KX26,0,0),KX24)</f>
        <v>#VALUE!</v>
      </c>
      <c r="KY28" s="962" t="e">
        <f>[1]!taqq(1,1,[1]!roz(KY23+1,KY26,0,0),KY24)</f>
        <v>#VALUE!</v>
      </c>
      <c r="KZ28" s="962" t="e">
        <f>[1]!taqq(1,1,[1]!roz(KZ23+1,KZ26,0,0),KZ24)</f>
        <v>#VALUE!</v>
      </c>
      <c r="LA28" s="962" t="e">
        <f>[1]!taqq(1,1,[1]!roz(LA23+1,LA26,0,0),LA24)</f>
        <v>#VALUE!</v>
      </c>
      <c r="LB28" s="962" t="e">
        <f>[1]!taqq(1,1,[1]!roz(LB23+1,LB26,0,0),LB24)</f>
        <v>#VALUE!</v>
      </c>
      <c r="LC28" s="962" t="e">
        <f>[1]!taqq(1,1,[1]!roz(LC23+1,LC26,0,0),LC24)</f>
        <v>#VALUE!</v>
      </c>
      <c r="LD28" s="962" t="e">
        <f>[1]!taqq(1,1,[1]!roz(LD23+1,LD26,0,0),LD24)</f>
        <v>#VALUE!</v>
      </c>
      <c r="LE28" s="962" t="e">
        <f>[1]!taqq(1,1,[1]!roz(LE23+1,LE26,0,0),LE24)</f>
        <v>#VALUE!</v>
      </c>
      <c r="LF28" s="962" t="e">
        <f>[1]!taqq(1,1,[1]!roz(LF23+1,LF26,0,0),LF24)</f>
        <v>#VALUE!</v>
      </c>
      <c r="LG28" s="962" t="e">
        <f>[1]!taqq(1,1,[1]!roz(LG23+1,LG26,0,0),LG24)</f>
        <v>#VALUE!</v>
      </c>
      <c r="LH28" s="962" t="e">
        <f>[1]!taqq(1,1,[1]!roz(LH23+1,LH26,0,0),LH24)</f>
        <v>#VALUE!</v>
      </c>
      <c r="LI28" s="962" t="e">
        <f>[1]!taqq(1,1,[1]!roz(LI23+1,LI26,0,0),LI24)</f>
        <v>#VALUE!</v>
      </c>
      <c r="LJ28" s="962" t="e">
        <f>[1]!taqq(1,1,[1]!roz(LJ23+1,LJ26,0,0),LJ24)</f>
        <v>#VALUE!</v>
      </c>
      <c r="LK28" s="962" t="e">
        <f>[1]!taqq(1,1,[1]!roz(LK23+1,LK26,0,0),LK24)</f>
        <v>#VALUE!</v>
      </c>
      <c r="LL28" s="962" t="e">
        <f>[1]!taqq(1,1,[1]!roz(LL23+1,LL26,0,0),LL24)</f>
        <v>#VALUE!</v>
      </c>
      <c r="LM28" s="962" t="e">
        <f>[1]!taqq(1,1,[1]!roz(LM23+1,LM26,0,0),LM24)</f>
        <v>#VALUE!</v>
      </c>
      <c r="LN28" s="962" t="e">
        <f>[1]!taqq(1,1,[1]!roz(LN23+1,LN26,0,0),LN24)</f>
        <v>#VALUE!</v>
      </c>
      <c r="LO28" s="962" t="e">
        <f>[1]!taqq(1,1,[1]!roz(LO23+1,LO26,0,0),LO24)</f>
        <v>#VALUE!</v>
      </c>
      <c r="LP28" s="962" t="e">
        <f>[1]!taqq(1,1,[1]!roz(LP23+1,LP26,0,0),LP24)</f>
        <v>#VALUE!</v>
      </c>
      <c r="LQ28" s="962" t="e">
        <f>[1]!taqq(1,1,[1]!roz(LQ23+1,LQ26,0,0),LQ24)</f>
        <v>#VALUE!</v>
      </c>
      <c r="LR28" s="962" t="e">
        <f>[1]!taqq(1,1,[1]!roz(LR23+1,LR26,0,0),LR24)</f>
        <v>#VALUE!</v>
      </c>
      <c r="LS28" s="962" t="e">
        <f>[1]!taqq(1,1,[1]!roz(LS23+1,LS26,0,0),LS24)</f>
        <v>#VALUE!</v>
      </c>
      <c r="LT28" s="962" t="e">
        <f>[1]!taqq(1,1,[1]!roz(LT23+1,LT26,0,0),LT24)</f>
        <v>#VALUE!</v>
      </c>
      <c r="LU28" s="962" t="e">
        <f>[1]!taqq(1,1,[1]!roz(LU23+1,LU26,0,0),LU24)</f>
        <v>#VALUE!</v>
      </c>
      <c r="LV28" s="962" t="e">
        <f>[1]!taqq(1,1,[1]!roz(LV23+1,LV26,0,0),LV24)</f>
        <v>#VALUE!</v>
      </c>
      <c r="LW28" s="962" t="e">
        <f>[1]!taqq(1,1,[1]!roz(LW23+1,LW26,0,0),LW24)</f>
        <v>#VALUE!</v>
      </c>
      <c r="LX28" s="962" t="e">
        <f>[1]!taqq(1,1,[1]!roz(LX23+1,LX26,0,0),LX24)</f>
        <v>#VALUE!</v>
      </c>
      <c r="LY28" s="962" t="e">
        <f>[1]!taqq(1,1,[1]!roz(LY23+1,LY26,0,0),LY24)</f>
        <v>#VALUE!</v>
      </c>
      <c r="LZ28" s="962" t="e">
        <f>[1]!taqq(1,1,[1]!roz(LZ23+1,LZ26,0,0),LZ24)</f>
        <v>#VALUE!</v>
      </c>
      <c r="MA28" s="962" t="e">
        <f>[1]!taqq(1,1,[1]!roz(MA23+1,MA26,0,0),MA24)</f>
        <v>#VALUE!</v>
      </c>
      <c r="MB28" s="962" t="e">
        <f>[1]!taqq(1,1,[1]!roz(MB23+1,MB26,0,0),MB24)</f>
        <v>#VALUE!</v>
      </c>
      <c r="MC28" s="962" t="e">
        <f>[1]!taqq(1,1,[1]!roz(MC23+1,MC26,0,0),MC24)</f>
        <v>#VALUE!</v>
      </c>
      <c r="MD28" s="962" t="e">
        <f>[1]!taqq(1,1,[1]!roz(MD23+1,MD26,0,0),MD24)</f>
        <v>#VALUE!</v>
      </c>
      <c r="ME28" s="962" t="e">
        <f>[1]!taqq(1,1,[1]!roz(ME23+1,ME26,0,0),ME24)</f>
        <v>#VALUE!</v>
      </c>
      <c r="MF28" s="962" t="e">
        <f>[1]!taqq(1,1,[1]!roz(MF23+1,MF26,0,0),MF24)</f>
        <v>#VALUE!</v>
      </c>
      <c r="MG28" s="962" t="e">
        <f>[1]!taqq(1,1,[1]!roz(MG23+1,MG26,0,0),MG24)</f>
        <v>#VALUE!</v>
      </c>
      <c r="MH28" s="962" t="e">
        <f>[1]!taqq(1,1,[1]!roz(MH23+1,MH26,0,0),MH24)</f>
        <v>#VALUE!</v>
      </c>
      <c r="MI28" s="962" t="e">
        <f>[1]!taqq(1,1,[1]!roz(MI23+1,MI26,0,0),MI24)</f>
        <v>#VALUE!</v>
      </c>
      <c r="MJ28" s="962" t="e">
        <f>[1]!taqq(1,1,[1]!roz(MJ23+1,MJ26,0,0),MJ24)</f>
        <v>#VALUE!</v>
      </c>
      <c r="MK28" s="962" t="e">
        <f>[1]!taqq(1,1,[1]!roz(MK23+1,MK26,0,0),MK24)</f>
        <v>#VALUE!</v>
      </c>
      <c r="ML28" s="962" t="e">
        <f>[1]!taqq(1,1,[1]!roz(ML23+1,ML26,0,0),ML24)</f>
        <v>#VALUE!</v>
      </c>
      <c r="MM28" s="962" t="e">
        <f>[1]!taqq(1,1,[1]!roz(MM23+1,MM26,0,0),MM24)</f>
        <v>#VALUE!</v>
      </c>
      <c r="MN28" s="962" t="e">
        <f>[1]!taqq(1,1,[1]!roz(MN23+1,MN26,0,0),MN24)</f>
        <v>#VALUE!</v>
      </c>
      <c r="MO28" s="962" t="e">
        <f>[1]!taqq(1,1,[1]!roz(MO23+1,MO26,0,0),MO24)</f>
        <v>#VALUE!</v>
      </c>
      <c r="MP28" s="962" t="e">
        <f>[1]!taqq(1,1,[1]!roz(MP23+1,MP26,0,0),MP24)</f>
        <v>#VALUE!</v>
      </c>
      <c r="MQ28" s="962" t="e">
        <f>[1]!taqq(1,1,[1]!roz(MQ23+1,MQ26,0,0),MQ24)</f>
        <v>#VALUE!</v>
      </c>
      <c r="MR28" s="962" t="e">
        <f>[1]!taqq(1,1,[1]!roz(MR23+1,MR26,0,0),MR24)</f>
        <v>#VALUE!</v>
      </c>
      <c r="MS28" s="962" t="e">
        <f>[1]!taqq(1,1,[1]!roz(MS23+1,MS26,0,0),MS24)</f>
        <v>#VALUE!</v>
      </c>
      <c r="MT28" s="962" t="e">
        <f>[1]!taqq(1,1,[1]!roz(MT23+1,MT26,0,0),MT24)</f>
        <v>#VALUE!</v>
      </c>
      <c r="MU28" s="962" t="e">
        <f>[1]!taqq(1,1,[1]!roz(MU23+1,MU26,0,0),MU24)</f>
        <v>#VALUE!</v>
      </c>
      <c r="MV28" s="962" t="e">
        <f>[1]!taqq(1,1,[1]!roz(MV23+1,MV26,0,0),MV24)</f>
        <v>#VALUE!</v>
      </c>
      <c r="MW28" s="962" t="e">
        <f>[1]!taqq(1,1,[1]!roz(MW23+1,MW26,0,0),MW24)</f>
        <v>#VALUE!</v>
      </c>
      <c r="MX28" s="962" t="e">
        <f>[1]!taqq(1,1,[1]!roz(MX23+1,MX26,0,0),MX24)</f>
        <v>#VALUE!</v>
      </c>
      <c r="MY28" s="962" t="e">
        <f>[1]!taqq(1,1,[1]!roz(MY23+1,MY26,0,0),MY24)</f>
        <v>#VALUE!</v>
      </c>
      <c r="MZ28" s="962" t="e">
        <f>[1]!taqq(1,1,[1]!roz(MZ23+1,MZ26,0,0),MZ24)</f>
        <v>#VALUE!</v>
      </c>
      <c r="NA28" s="962" t="e">
        <f>[1]!taqq(1,1,[1]!roz(NA23+1,NA26,0,0),NA24)</f>
        <v>#VALUE!</v>
      </c>
      <c r="NB28" s="962" t="e">
        <f>[1]!taqq(1,1,[1]!roz(NB23+1,NB26,0,0),NB24)</f>
        <v>#VALUE!</v>
      </c>
      <c r="NC28" s="962" t="e">
        <f>[1]!taqq(1,1,[1]!roz(NC23+1,NC26,0,0),NC24)</f>
        <v>#VALUE!</v>
      </c>
      <c r="ND28" s="962" t="e">
        <f>[1]!taqq(1,1,[1]!roz(ND23+1,ND26,0,0),ND24)</f>
        <v>#VALUE!</v>
      </c>
      <c r="NE28" s="962" t="e">
        <f>[1]!taqq(1,1,[1]!roz(NE23+1,NE26,0,0),NE24)</f>
        <v>#VALUE!</v>
      </c>
      <c r="NF28" s="962" t="e">
        <f>[1]!taqq(1,1,[1]!roz(NF23+1,NF26,0,0),NF24)</f>
        <v>#VALUE!</v>
      </c>
      <c r="NG28" s="962" t="e">
        <f>[1]!taqq(1,1,[1]!roz(NG23+1,NG26,0,0),NG24)</f>
        <v>#VALUE!</v>
      </c>
      <c r="NH28" s="962" t="e">
        <f>[1]!taqq(1,1,[1]!roz(NH23+1,NH26,0,0),NH24)</f>
        <v>#VALUE!</v>
      </c>
      <c r="NI28" s="962" t="e">
        <f>[1]!taqq(1,1,[1]!roz(NI23+1,NI26,0,0),NI24)</f>
        <v>#VALUE!</v>
      </c>
      <c r="NJ28" s="962" t="e">
        <f>[1]!taqq(1,1,[1]!roz(NJ23+1,NJ26,0,0),NJ24)</f>
        <v>#VALUE!</v>
      </c>
      <c r="NK28" s="962" t="e">
        <f>[1]!taqq(1,1,[1]!roz(NK23+1,NK26,0,0),NK24)</f>
        <v>#VALUE!</v>
      </c>
      <c r="NL28" s="962" t="e">
        <f>[1]!taqq(1,1,[1]!roz(NL23+1,NL26,0,0),NL24)</f>
        <v>#VALUE!</v>
      </c>
      <c r="NM28" s="962" t="e">
        <f>[1]!taqq(1,1,[1]!roz(NM23+1,NM26,0,0),NM24)</f>
        <v>#VALUE!</v>
      </c>
      <c r="NN28" s="962" t="e">
        <f>[1]!taqq(1,1,[1]!roz(NN23+1,NN26,0,0),NN24)</f>
        <v>#VALUE!</v>
      </c>
      <c r="NO28" s="962" t="e">
        <f>[1]!taqq(1,1,[1]!roz(NO23+1,NO26,0,0),NO24)</f>
        <v>#VALUE!</v>
      </c>
      <c r="NP28" s="962" t="e">
        <f>[1]!taqq(1,1,[1]!roz(NP23+1,NP26,0,0),NP24)</f>
        <v>#VALUE!</v>
      </c>
      <c r="NQ28" s="962" t="e">
        <f>[1]!taqq(1,1,[1]!roz(NQ23+1,NQ26,0,0),NQ24)</f>
        <v>#VALUE!</v>
      </c>
      <c r="NR28" s="962" t="e">
        <f>[1]!taqq(1,1,[1]!roz(NR23+1,NR26,0,0),NR24)</f>
        <v>#VALUE!</v>
      </c>
      <c r="NS28" s="962" t="e">
        <f>[1]!taqq(1,1,[1]!roz(NS23+1,NS26,0,0),NS24)</f>
        <v>#VALUE!</v>
      </c>
      <c r="NT28" s="962" t="e">
        <f>[1]!taqq(1,1,[1]!roz(NT23+1,NT26,0,0),NT24)</f>
        <v>#VALUE!</v>
      </c>
      <c r="NU28" s="962" t="e">
        <f>[1]!taqq(1,1,[1]!roz(NU23+1,NU26,0,0),NU24)</f>
        <v>#VALUE!</v>
      </c>
      <c r="NV28" s="962" t="e">
        <f>[1]!taqq(1,1,[1]!roz(NV23+1,NV26,0,0),NV24)</f>
        <v>#VALUE!</v>
      </c>
      <c r="NW28" s="962" t="e">
        <f>[1]!taqq(1,1,[1]!roz(NW23+1,NW26,0,0),NW24)</f>
        <v>#VALUE!</v>
      </c>
      <c r="NX28" s="962" t="e">
        <f>[1]!taqq(1,1,[1]!roz(NX23+1,NX26,0,0),NX24)</f>
        <v>#VALUE!</v>
      </c>
      <c r="NY28" s="962" t="e">
        <f>[1]!taqq(1,1,[1]!roz(NY23+1,NY26,0,0),NY24)</f>
        <v>#VALUE!</v>
      </c>
      <c r="NZ28" s="962" t="e">
        <f>[1]!taqq(1,1,[1]!roz(NZ23+1,NZ26,0,0),NZ24)</f>
        <v>#VALUE!</v>
      </c>
      <c r="OA28" s="962" t="e">
        <f>[1]!taqq(1,1,[1]!roz(OA23+1,OA26,0,0),OA24)</f>
        <v>#VALUE!</v>
      </c>
      <c r="OB28" s="962" t="e">
        <f>[1]!taqq(1,1,[1]!roz(OB23+1,OB26,0,0),OB24)</f>
        <v>#VALUE!</v>
      </c>
      <c r="OC28" s="962" t="e">
        <f>[1]!taqq(1,1,[1]!roz(OC23+1,OC26,0,0),OC24)</f>
        <v>#VALUE!</v>
      </c>
      <c r="OD28" s="962" t="e">
        <f>[1]!taqq(1,1,[1]!roz(OD23+1,OD26,0,0),OD24)</f>
        <v>#VALUE!</v>
      </c>
      <c r="OE28" s="962" t="e">
        <f>[1]!taqq(1,1,[1]!roz(OE23+1,OE26,0,0),OE24)</f>
        <v>#VALUE!</v>
      </c>
      <c r="OF28" s="962" t="e">
        <f>[1]!taqq(1,1,[1]!roz(OF23+1,OF26,0,0),OF24)</f>
        <v>#VALUE!</v>
      </c>
      <c r="OG28" s="962" t="e">
        <f>[1]!taqq(1,1,[1]!roz(OG23+1,OG26,0,0),OG24)</f>
        <v>#VALUE!</v>
      </c>
      <c r="OH28" s="962" t="e">
        <f>[1]!taqq(1,1,[1]!roz(OH23+1,OH26,0,0),OH24)</f>
        <v>#VALUE!</v>
      </c>
      <c r="OI28" s="962" t="e">
        <f>[1]!taqq(1,1,[1]!roz(OI23+1,OI26,0,0),OI24)</f>
        <v>#VALUE!</v>
      </c>
      <c r="OJ28" s="962" t="e">
        <f>[1]!taqq(1,1,[1]!roz(OJ23+1,OJ26,0,0),OJ24)</f>
        <v>#VALUE!</v>
      </c>
      <c r="OK28" s="962" t="e">
        <f>[1]!taqq(1,1,[1]!roz(OK23+1,OK26,0,0),OK24)</f>
        <v>#VALUE!</v>
      </c>
      <c r="OL28" s="962" t="e">
        <f>[1]!taqq(1,1,[1]!roz(OL23+1,OL26,0,0),OL24)</f>
        <v>#VALUE!</v>
      </c>
      <c r="OM28" s="962" t="e">
        <f>[1]!taqq(1,1,[1]!roz(OM23+1,OM26,0,0),OM24)</f>
        <v>#VALUE!</v>
      </c>
      <c r="ON28" s="962" t="e">
        <f>[1]!taqq(1,1,[1]!roz(ON23+1,ON26,0,0),ON24)</f>
        <v>#VALUE!</v>
      </c>
      <c r="OO28" s="962" t="e">
        <f>[1]!taqq(1,1,[1]!roz(OO23+1,OO26,0,0),OO24)</f>
        <v>#VALUE!</v>
      </c>
      <c r="OP28" s="962" t="e">
        <f>[1]!taqq(1,1,[1]!roz(OP23+1,OP26,0,0),OP24)</f>
        <v>#VALUE!</v>
      </c>
      <c r="OQ28" s="962" t="e">
        <f>[1]!taqq(1,1,[1]!roz(OQ23+1,OQ26,0,0),OQ24)</f>
        <v>#VALUE!</v>
      </c>
      <c r="OR28" s="962" t="e">
        <f>[1]!taqq(1,1,[1]!roz(OR23+1,OR26,0,0),OR24)</f>
        <v>#VALUE!</v>
      </c>
      <c r="OS28" s="962" t="e">
        <f>[1]!taqq(1,1,[1]!roz(OS23+1,OS26,0,0),OS24)</f>
        <v>#VALUE!</v>
      </c>
      <c r="OT28" s="962" t="e">
        <f>[1]!taqq(1,1,[1]!roz(OT23+1,OT26,0,0),OT24)</f>
        <v>#VALUE!</v>
      </c>
      <c r="OU28" s="962" t="e">
        <f>[1]!taqq(1,1,[1]!roz(OU23+1,OU26,0,0),OU24)</f>
        <v>#VALUE!</v>
      </c>
      <c r="OV28" s="962" t="e">
        <f>[1]!taqq(1,1,[1]!roz(OV23+1,OV26,0,0),OV24)</f>
        <v>#VALUE!</v>
      </c>
      <c r="OW28" s="962" t="e">
        <f>[1]!taqq(1,1,[1]!roz(OW23+1,OW26,0,0),OW24)</f>
        <v>#VALUE!</v>
      </c>
      <c r="OX28" s="962" t="e">
        <f>[1]!taqq(1,1,[1]!roz(OX23+1,OX26,0,0),OX24)</f>
        <v>#VALUE!</v>
      </c>
      <c r="OY28" s="962" t="e">
        <f>[1]!taqq(1,1,[1]!roz(OY23+1,OY26,0,0),OY24)</f>
        <v>#VALUE!</v>
      </c>
      <c r="OZ28" s="962" t="e">
        <f>[1]!taqq(1,1,[1]!roz(OZ23+1,OZ26,0,0),OZ24)</f>
        <v>#VALUE!</v>
      </c>
      <c r="PA28" s="962" t="e">
        <f>[1]!taqq(1,1,[1]!roz(PA23+1,PA26,0,0),PA24)</f>
        <v>#VALUE!</v>
      </c>
      <c r="PB28" s="962" t="e">
        <f>[1]!taqq(1,1,[1]!roz(PB23+1,PB26,0,0),PB24)</f>
        <v>#VALUE!</v>
      </c>
      <c r="PC28" s="962" t="e">
        <f>[1]!taqq(1,1,[1]!roz(PC23+1,PC26,0,0),PC24)</f>
        <v>#VALUE!</v>
      </c>
      <c r="PD28" s="962" t="e">
        <f>[1]!taqq(1,1,[1]!roz(PD23+1,PD26,0,0),PD24)</f>
        <v>#VALUE!</v>
      </c>
      <c r="PE28" s="962" t="e">
        <f>[1]!taqq(1,1,[1]!roz(PE23+1,PE26,0,0),PE24)</f>
        <v>#VALUE!</v>
      </c>
      <c r="PF28" s="962" t="e">
        <f>[1]!taqq(1,1,[1]!roz(PF23+1,PF26,0,0),PF24)</f>
        <v>#VALUE!</v>
      </c>
      <c r="PG28" s="962" t="e">
        <f>[1]!taqq(1,1,[1]!roz(PG23+1,PG26,0,0),PG24)</f>
        <v>#VALUE!</v>
      </c>
      <c r="PH28" s="962" t="e">
        <f>[1]!taqq(1,1,[1]!roz(PH23+1,PH26,0,0),PH24)</f>
        <v>#VALUE!</v>
      </c>
      <c r="PI28" s="962" t="e">
        <f>[1]!taqq(1,1,[1]!roz(PI23+1,PI26,0,0),PI24)</f>
        <v>#VALUE!</v>
      </c>
      <c r="PJ28" s="962" t="e">
        <f>[1]!taqq(1,1,[1]!roz(PJ23+1,PJ26,0,0),PJ24)</f>
        <v>#VALUE!</v>
      </c>
      <c r="PK28" s="962" t="e">
        <f>[1]!taqq(1,1,[1]!roz(PK23+1,PK26,0,0),PK24)</f>
        <v>#VALUE!</v>
      </c>
      <c r="PL28" s="962" t="e">
        <f>[1]!taqq(1,1,[1]!roz(PL23+1,PL26,0,0),PL24)</f>
        <v>#VALUE!</v>
      </c>
      <c r="PM28" s="962" t="e">
        <f>[1]!taqq(1,1,[1]!roz(PM23+1,PM26,0,0),PM24)</f>
        <v>#VALUE!</v>
      </c>
      <c r="PN28" s="962" t="e">
        <f>[1]!taqq(1,1,[1]!roz(PN23+1,PN26,0,0),PN24)</f>
        <v>#VALUE!</v>
      </c>
      <c r="PO28" s="962" t="e">
        <f>[1]!taqq(1,1,[1]!roz(PO23+1,PO26,0,0),PO24)</f>
        <v>#VALUE!</v>
      </c>
      <c r="PP28" s="962" t="e">
        <f>[1]!taqq(1,1,[1]!roz(PP23+1,PP26,0,0),PP24)</f>
        <v>#VALUE!</v>
      </c>
      <c r="PQ28" s="962" t="e">
        <f>[1]!taqq(1,1,[1]!roz(PQ23+1,PQ26,0,0),PQ24)</f>
        <v>#VALUE!</v>
      </c>
      <c r="PR28" s="962" t="e">
        <f>[1]!taqq(1,1,[1]!roz(PR23+1,PR26,0,0),PR24)</f>
        <v>#VALUE!</v>
      </c>
      <c r="PS28" s="962" t="e">
        <f>[1]!taqq(1,1,[1]!roz(PS23+1,PS26,0,0),PS24)</f>
        <v>#VALUE!</v>
      </c>
      <c r="PT28" s="962" t="e">
        <f>[1]!taqq(1,1,[1]!roz(PT23+1,PT26,0,0),PT24)</f>
        <v>#VALUE!</v>
      </c>
      <c r="PU28" s="962" t="e">
        <f>[1]!taqq(1,1,[1]!roz(PU23+1,PU26,0,0),PU24)</f>
        <v>#VALUE!</v>
      </c>
      <c r="PV28" s="962" t="e">
        <f>[1]!taqq(1,1,[1]!roz(PV23+1,PV26,0,0),PV24)</f>
        <v>#VALUE!</v>
      </c>
      <c r="PW28" s="962" t="e">
        <f>[1]!taqq(1,1,[1]!roz(PW23+1,PW26,0,0),PW24)</f>
        <v>#VALUE!</v>
      </c>
      <c r="PX28" s="962" t="e">
        <f>[1]!taqq(1,1,[1]!roz(PX23+1,PX26,0,0),PX24)</f>
        <v>#VALUE!</v>
      </c>
      <c r="PY28" s="962" t="e">
        <f>[1]!taqq(1,1,[1]!roz(PY23+1,PY26,0,0),PY24)</f>
        <v>#VALUE!</v>
      </c>
      <c r="PZ28" s="962" t="e">
        <f>[1]!taqq(1,1,[1]!roz(PZ23+1,PZ26,0,0),PZ24)</f>
        <v>#VALUE!</v>
      </c>
      <c r="QA28" s="962" t="e">
        <f>[1]!taqq(1,1,[1]!roz(QA23+1,QA26,0,0),QA24)</f>
        <v>#VALUE!</v>
      </c>
      <c r="QB28" s="962" t="e">
        <f>[1]!taqq(1,1,[1]!roz(QB23+1,QB26,0,0),QB24)</f>
        <v>#VALUE!</v>
      </c>
      <c r="QC28" s="962" t="e">
        <f>[1]!taqq(1,1,[1]!roz(QC23+1,QC26,0,0),QC24)</f>
        <v>#VALUE!</v>
      </c>
      <c r="QD28" s="962" t="e">
        <f>[1]!taqq(1,1,[1]!roz(QD23+1,QD26,0,0),QD24)</f>
        <v>#VALUE!</v>
      </c>
      <c r="QE28" s="962" t="e">
        <f>[1]!taqq(1,1,[1]!roz(QE23+1,QE26,0,0),QE24)</f>
        <v>#VALUE!</v>
      </c>
      <c r="QF28" s="962" t="e">
        <f>[1]!taqq(1,1,[1]!roz(QF23+1,QF26,0,0),QF24)</f>
        <v>#VALUE!</v>
      </c>
      <c r="QG28" s="962" t="e">
        <f>[1]!taqq(1,1,[1]!roz(QG23+1,QG26,0,0),QG24)</f>
        <v>#VALUE!</v>
      </c>
      <c r="QH28" s="962" t="e">
        <f>[1]!taqq(1,1,[1]!roz(QH23+1,QH26,0,0),QH24)</f>
        <v>#VALUE!</v>
      </c>
      <c r="QI28" s="962" t="e">
        <f>[1]!taqq(1,1,[1]!roz(QI23+1,QI26,0,0),QI24)</f>
        <v>#VALUE!</v>
      </c>
      <c r="QJ28" s="962" t="e">
        <f>[1]!taqq(1,1,[1]!roz(QJ23+1,QJ26,0,0),QJ24)</f>
        <v>#VALUE!</v>
      </c>
      <c r="QK28" s="962" t="e">
        <f>[1]!taqq(1,1,[1]!roz(QK23+1,QK26,0,0),QK24)</f>
        <v>#VALUE!</v>
      </c>
      <c r="QL28" s="962" t="e">
        <f>[1]!taqq(1,1,[1]!roz(QL23+1,QL26,0,0),QL24)</f>
        <v>#VALUE!</v>
      </c>
      <c r="QM28" s="962" t="e">
        <f>[1]!taqq(1,1,[1]!roz(QM23+1,QM26,0,0),QM24)</f>
        <v>#VALUE!</v>
      </c>
      <c r="QN28" s="962" t="e">
        <f>[1]!taqq(1,1,[1]!roz(QN23+1,QN26,0,0),QN24)</f>
        <v>#VALUE!</v>
      </c>
      <c r="QO28" s="962" t="e">
        <f>[1]!taqq(1,1,[1]!roz(QO23+1,QO26,0,0),QO24)</f>
        <v>#VALUE!</v>
      </c>
      <c r="QP28" s="962" t="e">
        <f>[1]!taqq(1,1,[1]!roz(QP23+1,QP26,0,0),QP24)</f>
        <v>#VALUE!</v>
      </c>
      <c r="QQ28" s="962" t="e">
        <f>[1]!taqq(1,1,[1]!roz(QQ23+1,QQ26,0,0),QQ24)</f>
        <v>#VALUE!</v>
      </c>
      <c r="QR28" s="962" t="e">
        <f>[1]!taqq(1,1,[1]!roz(QR23+1,QR26,0,0),QR24)</f>
        <v>#VALUE!</v>
      </c>
      <c r="QS28" s="962" t="e">
        <f>[1]!taqq(1,1,[1]!roz(QS23+1,QS26,0,0),QS24)</f>
        <v>#VALUE!</v>
      </c>
      <c r="QT28" s="962" t="e">
        <f>[1]!taqq(1,1,[1]!roz(QT23+1,QT26,0,0),QT24)</f>
        <v>#VALUE!</v>
      </c>
      <c r="QU28" s="962" t="e">
        <f>[1]!taqq(1,1,[1]!roz(QU23+1,QU26,0,0),QU24)</f>
        <v>#VALUE!</v>
      </c>
      <c r="QV28" s="962" t="e">
        <f>[1]!taqq(1,1,[1]!roz(QV23+1,QV26,0,0),QV24)</f>
        <v>#VALUE!</v>
      </c>
      <c r="QW28" s="962" t="e">
        <f>[1]!taqq(1,1,[1]!roz(QW23+1,QW26,0,0),QW24)</f>
        <v>#VALUE!</v>
      </c>
      <c r="QX28" s="962" t="e">
        <f>[1]!taqq(1,1,[1]!roz(QX23+1,QX26,0,0),QX24)</f>
        <v>#VALUE!</v>
      </c>
      <c r="QY28" s="962" t="e">
        <f>[1]!taqq(1,1,[1]!roz(QY23+1,QY26,0,0),QY24)</f>
        <v>#VALUE!</v>
      </c>
      <c r="QZ28" s="962" t="e">
        <f>[1]!taqq(1,1,[1]!roz(QZ23+1,QZ26,0,0),QZ24)</f>
        <v>#VALUE!</v>
      </c>
      <c r="RA28" s="963"/>
    </row>
    <row r="29" spans="1:471" ht="17.25">
      <c r="G29" s="7">
        <f>(C28-1)*M26</f>
        <v>510642.98042592214</v>
      </c>
      <c r="J29" s="21">
        <f>IF(E31=16,(((C31-1)*M29)+IF(B31=1,0,IF(B31=2,O31,IF(B31=3,P31,IF(B31=4,Q31,IF(B31=5,R31,IF(B31=6,S31,IF(B31=7,T31,IF(B31=8,U31,IF(B31=9,V31,IF(B31=10,W31,IF(B31=11,X31,IF(B31=12,Y31,Z31))))))))))))+A31),0)</f>
        <v>526227</v>
      </c>
      <c r="K29" s="29">
        <v>10</v>
      </c>
      <c r="L29" s="29" t="s">
        <v>4247</v>
      </c>
      <c r="M29" s="29">
        <v>365</v>
      </c>
      <c r="N29" s="29"/>
      <c r="O29" s="29" t="s">
        <v>19</v>
      </c>
      <c r="P29" s="29" t="s">
        <v>20</v>
      </c>
      <c r="Q29" s="29" t="s">
        <v>88</v>
      </c>
      <c r="R29" s="29" t="s">
        <v>21</v>
      </c>
      <c r="S29" s="29" t="s">
        <v>89</v>
      </c>
      <c r="T29" s="29" t="s">
        <v>24</v>
      </c>
      <c r="U29" s="29" t="s">
        <v>25</v>
      </c>
      <c r="V29" s="29" t="s">
        <v>90</v>
      </c>
      <c r="W29" s="29" t="s">
        <v>31</v>
      </c>
      <c r="X29" s="29" t="s">
        <v>27</v>
      </c>
      <c r="Y29" s="29" t="s">
        <v>28</v>
      </c>
      <c r="Z29" s="29" t="s">
        <v>29</v>
      </c>
      <c r="AA29" s="29" t="s">
        <v>180</v>
      </c>
      <c r="AK29" s="759"/>
      <c r="AL29" s="701">
        <v>1</v>
      </c>
      <c r="AM29" s="304">
        <f t="shared" ref="AM29:AW29" si="313">AL29+1</f>
        <v>2</v>
      </c>
      <c r="AN29" s="304">
        <f t="shared" si="313"/>
        <v>3</v>
      </c>
      <c r="AO29" s="304">
        <f t="shared" si="313"/>
        <v>4</v>
      </c>
      <c r="AP29" s="304">
        <f t="shared" si="313"/>
        <v>5</v>
      </c>
      <c r="AQ29" s="304">
        <f t="shared" si="313"/>
        <v>6</v>
      </c>
      <c r="AR29" s="304">
        <f t="shared" si="313"/>
        <v>7</v>
      </c>
      <c r="AS29" s="304">
        <f t="shared" si="313"/>
        <v>8</v>
      </c>
      <c r="AT29" s="304">
        <f t="shared" si="313"/>
        <v>9</v>
      </c>
      <c r="AU29" s="304">
        <f t="shared" si="313"/>
        <v>10</v>
      </c>
      <c r="AV29" s="304">
        <f t="shared" si="313"/>
        <v>11</v>
      </c>
      <c r="AW29" s="304">
        <f t="shared" si="313"/>
        <v>12</v>
      </c>
      <c r="AX29" s="314"/>
      <c r="AZ29" s="779" t="s">
        <v>3543</v>
      </c>
      <c r="BA29" s="644" t="e">
        <f>BA21</f>
        <v>#VALUE!</v>
      </c>
      <c r="DI29" s="797" t="s">
        <v>3489</v>
      </c>
      <c r="DJ29" s="961" t="e">
        <f>IF(DJ28-DJ27&gt;-180,DJ28-DJ27,DJ28-DJ27+360)</f>
        <v>#VALUE!</v>
      </c>
      <c r="DK29" s="962" t="e">
        <f>IF(DK28-DK27&gt;-180,DK28-DK27,DK28-DK27+360)</f>
        <v>#VALUE!</v>
      </c>
      <c r="DL29" s="962" t="e">
        <f>IF(DL28-DL27&gt;-180,DL28-DL27,DL28-DL27+360)</f>
        <v>#VALUE!</v>
      </c>
      <c r="DM29" s="962" t="e">
        <f t="shared" ref="DM29:FX29" si="314">IF(DM28-DM27&gt;-180,DM28-DM27,DM28-DM27+360)</f>
        <v>#VALUE!</v>
      </c>
      <c r="DN29" s="962" t="e">
        <f t="shared" si="314"/>
        <v>#VALUE!</v>
      </c>
      <c r="DO29" s="962" t="e">
        <f t="shared" si="314"/>
        <v>#VALUE!</v>
      </c>
      <c r="DP29" s="962" t="e">
        <f t="shared" si="314"/>
        <v>#VALUE!</v>
      </c>
      <c r="DQ29" s="962" t="e">
        <f t="shared" si="314"/>
        <v>#VALUE!</v>
      </c>
      <c r="DR29" s="962" t="e">
        <f t="shared" si="314"/>
        <v>#VALUE!</v>
      </c>
      <c r="DS29" s="962" t="e">
        <f t="shared" si="314"/>
        <v>#VALUE!</v>
      </c>
      <c r="DT29" s="962" t="e">
        <f t="shared" si="314"/>
        <v>#VALUE!</v>
      </c>
      <c r="DU29" s="962" t="e">
        <f t="shared" si="314"/>
        <v>#VALUE!</v>
      </c>
      <c r="DV29" s="962" t="e">
        <f t="shared" si="314"/>
        <v>#VALUE!</v>
      </c>
      <c r="DW29" s="962" t="e">
        <f t="shared" si="314"/>
        <v>#VALUE!</v>
      </c>
      <c r="DX29" s="962" t="e">
        <f t="shared" si="314"/>
        <v>#VALUE!</v>
      </c>
      <c r="DY29" s="962" t="e">
        <f t="shared" si="314"/>
        <v>#VALUE!</v>
      </c>
      <c r="DZ29" s="962" t="e">
        <f t="shared" si="314"/>
        <v>#VALUE!</v>
      </c>
      <c r="EA29" s="962" t="e">
        <f t="shared" si="314"/>
        <v>#VALUE!</v>
      </c>
      <c r="EB29" s="962" t="e">
        <f t="shared" si="314"/>
        <v>#VALUE!</v>
      </c>
      <c r="EC29" s="962" t="e">
        <f t="shared" si="314"/>
        <v>#VALUE!</v>
      </c>
      <c r="ED29" s="962" t="e">
        <f t="shared" si="314"/>
        <v>#VALUE!</v>
      </c>
      <c r="EE29" s="962" t="e">
        <f t="shared" si="314"/>
        <v>#VALUE!</v>
      </c>
      <c r="EF29" s="962" t="e">
        <f t="shared" si="314"/>
        <v>#VALUE!</v>
      </c>
      <c r="EG29" s="962" t="e">
        <f t="shared" si="314"/>
        <v>#VALUE!</v>
      </c>
      <c r="EH29" s="962" t="e">
        <f t="shared" si="314"/>
        <v>#VALUE!</v>
      </c>
      <c r="EI29" s="962" t="e">
        <f t="shared" si="314"/>
        <v>#VALUE!</v>
      </c>
      <c r="EJ29" s="962" t="e">
        <f t="shared" si="314"/>
        <v>#VALUE!</v>
      </c>
      <c r="EK29" s="962" t="e">
        <f t="shared" si="314"/>
        <v>#VALUE!</v>
      </c>
      <c r="EL29" s="962" t="e">
        <f t="shared" si="314"/>
        <v>#VALUE!</v>
      </c>
      <c r="EM29" s="962" t="e">
        <f t="shared" si="314"/>
        <v>#VALUE!</v>
      </c>
      <c r="EN29" s="962" t="e">
        <f t="shared" si="314"/>
        <v>#VALUE!</v>
      </c>
      <c r="EO29" s="962" t="e">
        <f t="shared" si="314"/>
        <v>#VALUE!</v>
      </c>
      <c r="EP29" s="962" t="e">
        <f t="shared" si="314"/>
        <v>#VALUE!</v>
      </c>
      <c r="EQ29" s="962" t="e">
        <f t="shared" si="314"/>
        <v>#VALUE!</v>
      </c>
      <c r="ER29" s="962" t="e">
        <f t="shared" si="314"/>
        <v>#VALUE!</v>
      </c>
      <c r="ES29" s="962" t="e">
        <f t="shared" si="314"/>
        <v>#VALUE!</v>
      </c>
      <c r="ET29" s="962" t="e">
        <f t="shared" si="314"/>
        <v>#VALUE!</v>
      </c>
      <c r="EU29" s="962" t="e">
        <f t="shared" si="314"/>
        <v>#VALUE!</v>
      </c>
      <c r="EV29" s="962" t="e">
        <f t="shared" si="314"/>
        <v>#VALUE!</v>
      </c>
      <c r="EW29" s="962" t="e">
        <f t="shared" si="314"/>
        <v>#VALUE!</v>
      </c>
      <c r="EX29" s="962" t="e">
        <f t="shared" si="314"/>
        <v>#VALUE!</v>
      </c>
      <c r="EY29" s="962" t="e">
        <f t="shared" si="314"/>
        <v>#VALUE!</v>
      </c>
      <c r="EZ29" s="962" t="e">
        <f t="shared" si="314"/>
        <v>#VALUE!</v>
      </c>
      <c r="FA29" s="962" t="e">
        <f t="shared" si="314"/>
        <v>#VALUE!</v>
      </c>
      <c r="FB29" s="962" t="e">
        <f t="shared" si="314"/>
        <v>#VALUE!</v>
      </c>
      <c r="FC29" s="962" t="e">
        <f t="shared" si="314"/>
        <v>#VALUE!</v>
      </c>
      <c r="FD29" s="962" t="e">
        <f t="shared" si="314"/>
        <v>#VALUE!</v>
      </c>
      <c r="FE29" s="962" t="e">
        <f t="shared" si="314"/>
        <v>#VALUE!</v>
      </c>
      <c r="FF29" s="962" t="e">
        <f t="shared" si="314"/>
        <v>#VALUE!</v>
      </c>
      <c r="FG29" s="962" t="e">
        <f t="shared" si="314"/>
        <v>#VALUE!</v>
      </c>
      <c r="FH29" s="962" t="e">
        <f t="shared" si="314"/>
        <v>#VALUE!</v>
      </c>
      <c r="FI29" s="962" t="e">
        <f t="shared" si="314"/>
        <v>#VALUE!</v>
      </c>
      <c r="FJ29" s="962" t="e">
        <f t="shared" si="314"/>
        <v>#VALUE!</v>
      </c>
      <c r="FK29" s="962" t="e">
        <f t="shared" si="314"/>
        <v>#VALUE!</v>
      </c>
      <c r="FL29" s="962" t="e">
        <f t="shared" si="314"/>
        <v>#VALUE!</v>
      </c>
      <c r="FM29" s="962" t="e">
        <f t="shared" si="314"/>
        <v>#VALUE!</v>
      </c>
      <c r="FN29" s="962" t="e">
        <f t="shared" si="314"/>
        <v>#VALUE!</v>
      </c>
      <c r="FO29" s="962" t="e">
        <f t="shared" si="314"/>
        <v>#VALUE!</v>
      </c>
      <c r="FP29" s="962" t="e">
        <f t="shared" si="314"/>
        <v>#VALUE!</v>
      </c>
      <c r="FQ29" s="962" t="e">
        <f t="shared" si="314"/>
        <v>#VALUE!</v>
      </c>
      <c r="FR29" s="962" t="e">
        <f t="shared" si="314"/>
        <v>#VALUE!</v>
      </c>
      <c r="FS29" s="962" t="e">
        <f t="shared" si="314"/>
        <v>#VALUE!</v>
      </c>
      <c r="FT29" s="962" t="e">
        <f t="shared" si="314"/>
        <v>#VALUE!</v>
      </c>
      <c r="FU29" s="962" t="e">
        <f t="shared" si="314"/>
        <v>#VALUE!</v>
      </c>
      <c r="FV29" s="962" t="e">
        <f t="shared" si="314"/>
        <v>#VALUE!</v>
      </c>
      <c r="FW29" s="962" t="e">
        <f t="shared" si="314"/>
        <v>#VALUE!</v>
      </c>
      <c r="FX29" s="962" t="e">
        <f t="shared" si="314"/>
        <v>#VALUE!</v>
      </c>
      <c r="FY29" s="962" t="e">
        <f t="shared" ref="FY29:IJ29" si="315">IF(FY28-FY27&gt;-180,FY28-FY27,FY28-FY27+360)</f>
        <v>#VALUE!</v>
      </c>
      <c r="FZ29" s="962" t="e">
        <f t="shared" si="315"/>
        <v>#VALUE!</v>
      </c>
      <c r="GA29" s="962" t="e">
        <f t="shared" si="315"/>
        <v>#VALUE!</v>
      </c>
      <c r="GB29" s="962" t="e">
        <f t="shared" si="315"/>
        <v>#VALUE!</v>
      </c>
      <c r="GC29" s="962" t="e">
        <f t="shared" si="315"/>
        <v>#VALUE!</v>
      </c>
      <c r="GD29" s="962" t="e">
        <f t="shared" si="315"/>
        <v>#VALUE!</v>
      </c>
      <c r="GE29" s="962" t="e">
        <f t="shared" si="315"/>
        <v>#VALUE!</v>
      </c>
      <c r="GF29" s="962" t="e">
        <f t="shared" si="315"/>
        <v>#VALUE!</v>
      </c>
      <c r="GG29" s="962" t="e">
        <f t="shared" si="315"/>
        <v>#VALUE!</v>
      </c>
      <c r="GH29" s="962" t="e">
        <f t="shared" si="315"/>
        <v>#VALUE!</v>
      </c>
      <c r="GI29" s="962" t="e">
        <f t="shared" si="315"/>
        <v>#VALUE!</v>
      </c>
      <c r="GJ29" s="962" t="e">
        <f t="shared" si="315"/>
        <v>#VALUE!</v>
      </c>
      <c r="GK29" s="962" t="e">
        <f t="shared" si="315"/>
        <v>#VALUE!</v>
      </c>
      <c r="GL29" s="962" t="e">
        <f t="shared" si="315"/>
        <v>#VALUE!</v>
      </c>
      <c r="GM29" s="962" t="e">
        <f t="shared" si="315"/>
        <v>#VALUE!</v>
      </c>
      <c r="GN29" s="962" t="e">
        <f t="shared" si="315"/>
        <v>#VALUE!</v>
      </c>
      <c r="GO29" s="962" t="e">
        <f t="shared" si="315"/>
        <v>#VALUE!</v>
      </c>
      <c r="GP29" s="962" t="e">
        <f t="shared" si="315"/>
        <v>#VALUE!</v>
      </c>
      <c r="GQ29" s="962" t="e">
        <f t="shared" si="315"/>
        <v>#VALUE!</v>
      </c>
      <c r="GR29" s="962" t="e">
        <f t="shared" si="315"/>
        <v>#VALUE!</v>
      </c>
      <c r="GS29" s="962" t="e">
        <f t="shared" si="315"/>
        <v>#VALUE!</v>
      </c>
      <c r="GT29" s="962" t="e">
        <f t="shared" si="315"/>
        <v>#VALUE!</v>
      </c>
      <c r="GU29" s="962" t="e">
        <f t="shared" si="315"/>
        <v>#VALUE!</v>
      </c>
      <c r="GV29" s="962" t="e">
        <f t="shared" si="315"/>
        <v>#VALUE!</v>
      </c>
      <c r="GW29" s="962" t="e">
        <f t="shared" si="315"/>
        <v>#VALUE!</v>
      </c>
      <c r="GX29" s="962" t="e">
        <f t="shared" si="315"/>
        <v>#VALUE!</v>
      </c>
      <c r="GY29" s="962" t="e">
        <f t="shared" si="315"/>
        <v>#VALUE!</v>
      </c>
      <c r="GZ29" s="962" t="e">
        <f t="shared" si="315"/>
        <v>#VALUE!</v>
      </c>
      <c r="HA29" s="962" t="e">
        <f t="shared" si="315"/>
        <v>#VALUE!</v>
      </c>
      <c r="HB29" s="962" t="e">
        <f t="shared" si="315"/>
        <v>#VALUE!</v>
      </c>
      <c r="HC29" s="962" t="e">
        <f t="shared" si="315"/>
        <v>#VALUE!</v>
      </c>
      <c r="HD29" s="962" t="e">
        <f t="shared" si="315"/>
        <v>#VALUE!</v>
      </c>
      <c r="HE29" s="962" t="e">
        <f t="shared" si="315"/>
        <v>#VALUE!</v>
      </c>
      <c r="HF29" s="962" t="e">
        <f t="shared" si="315"/>
        <v>#VALUE!</v>
      </c>
      <c r="HG29" s="962" t="e">
        <f t="shared" si="315"/>
        <v>#VALUE!</v>
      </c>
      <c r="HH29" s="962" t="e">
        <f t="shared" si="315"/>
        <v>#VALUE!</v>
      </c>
      <c r="HI29" s="962" t="e">
        <f t="shared" si="315"/>
        <v>#VALUE!</v>
      </c>
      <c r="HJ29" s="962" t="e">
        <f t="shared" si="315"/>
        <v>#VALUE!</v>
      </c>
      <c r="HK29" s="962" t="e">
        <f t="shared" si="315"/>
        <v>#VALUE!</v>
      </c>
      <c r="HL29" s="962" t="e">
        <f t="shared" si="315"/>
        <v>#VALUE!</v>
      </c>
      <c r="HM29" s="962" t="e">
        <f t="shared" si="315"/>
        <v>#VALUE!</v>
      </c>
      <c r="HN29" s="962" t="e">
        <f t="shared" si="315"/>
        <v>#VALUE!</v>
      </c>
      <c r="HO29" s="962" t="e">
        <f t="shared" si="315"/>
        <v>#VALUE!</v>
      </c>
      <c r="HP29" s="962" t="e">
        <f t="shared" si="315"/>
        <v>#VALUE!</v>
      </c>
      <c r="HQ29" s="962" t="e">
        <f t="shared" si="315"/>
        <v>#VALUE!</v>
      </c>
      <c r="HR29" s="962" t="e">
        <f t="shared" si="315"/>
        <v>#VALUE!</v>
      </c>
      <c r="HS29" s="962" t="e">
        <f t="shared" si="315"/>
        <v>#VALUE!</v>
      </c>
      <c r="HT29" s="962" t="e">
        <f t="shared" si="315"/>
        <v>#VALUE!</v>
      </c>
      <c r="HU29" s="962" t="e">
        <f t="shared" si="315"/>
        <v>#VALUE!</v>
      </c>
      <c r="HV29" s="962" t="e">
        <f t="shared" si="315"/>
        <v>#VALUE!</v>
      </c>
      <c r="HW29" s="962" t="e">
        <f t="shared" si="315"/>
        <v>#VALUE!</v>
      </c>
      <c r="HX29" s="962" t="e">
        <f t="shared" si="315"/>
        <v>#VALUE!</v>
      </c>
      <c r="HY29" s="962" t="e">
        <f t="shared" si="315"/>
        <v>#VALUE!</v>
      </c>
      <c r="HZ29" s="962" t="e">
        <f t="shared" si="315"/>
        <v>#VALUE!</v>
      </c>
      <c r="IA29" s="962" t="e">
        <f t="shared" si="315"/>
        <v>#VALUE!</v>
      </c>
      <c r="IB29" s="962" t="e">
        <f t="shared" si="315"/>
        <v>#VALUE!</v>
      </c>
      <c r="IC29" s="962" t="e">
        <f t="shared" si="315"/>
        <v>#VALUE!</v>
      </c>
      <c r="ID29" s="962" t="e">
        <f t="shared" si="315"/>
        <v>#VALUE!</v>
      </c>
      <c r="IE29" s="962" t="e">
        <f t="shared" si="315"/>
        <v>#VALUE!</v>
      </c>
      <c r="IF29" s="962" t="e">
        <f t="shared" si="315"/>
        <v>#VALUE!</v>
      </c>
      <c r="IG29" s="962" t="e">
        <f t="shared" si="315"/>
        <v>#VALUE!</v>
      </c>
      <c r="IH29" s="962" t="e">
        <f t="shared" si="315"/>
        <v>#VALUE!</v>
      </c>
      <c r="II29" s="962" t="e">
        <f t="shared" si="315"/>
        <v>#VALUE!</v>
      </c>
      <c r="IJ29" s="962" t="e">
        <f t="shared" si="315"/>
        <v>#VALUE!</v>
      </c>
      <c r="IK29" s="962" t="e">
        <f t="shared" ref="IK29:KV29" si="316">IF(IK28-IK27&gt;-180,IK28-IK27,IK28-IK27+360)</f>
        <v>#VALUE!</v>
      </c>
      <c r="IL29" s="962" t="e">
        <f t="shared" si="316"/>
        <v>#VALUE!</v>
      </c>
      <c r="IM29" s="962" t="e">
        <f t="shared" si="316"/>
        <v>#VALUE!</v>
      </c>
      <c r="IN29" s="962" t="e">
        <f t="shared" si="316"/>
        <v>#VALUE!</v>
      </c>
      <c r="IO29" s="962" t="e">
        <f t="shared" si="316"/>
        <v>#VALUE!</v>
      </c>
      <c r="IP29" s="962" t="e">
        <f t="shared" si="316"/>
        <v>#VALUE!</v>
      </c>
      <c r="IQ29" s="962" t="e">
        <f t="shared" si="316"/>
        <v>#VALUE!</v>
      </c>
      <c r="IR29" s="962" t="e">
        <f t="shared" si="316"/>
        <v>#VALUE!</v>
      </c>
      <c r="IS29" s="962" t="e">
        <f t="shared" si="316"/>
        <v>#VALUE!</v>
      </c>
      <c r="IT29" s="962" t="e">
        <f t="shared" si="316"/>
        <v>#VALUE!</v>
      </c>
      <c r="IU29" s="962" t="e">
        <f t="shared" si="316"/>
        <v>#VALUE!</v>
      </c>
      <c r="IV29" s="962" t="e">
        <f t="shared" si="316"/>
        <v>#VALUE!</v>
      </c>
      <c r="IW29" s="962" t="e">
        <f t="shared" si="316"/>
        <v>#VALUE!</v>
      </c>
      <c r="IX29" s="962" t="e">
        <f t="shared" si="316"/>
        <v>#VALUE!</v>
      </c>
      <c r="IY29" s="962" t="e">
        <f t="shared" si="316"/>
        <v>#VALUE!</v>
      </c>
      <c r="IZ29" s="962" t="e">
        <f t="shared" si="316"/>
        <v>#VALUE!</v>
      </c>
      <c r="JA29" s="962" t="e">
        <f t="shared" si="316"/>
        <v>#VALUE!</v>
      </c>
      <c r="JB29" s="962" t="e">
        <f t="shared" si="316"/>
        <v>#VALUE!</v>
      </c>
      <c r="JC29" s="962" t="e">
        <f t="shared" si="316"/>
        <v>#VALUE!</v>
      </c>
      <c r="JD29" s="962" t="e">
        <f t="shared" si="316"/>
        <v>#VALUE!</v>
      </c>
      <c r="JE29" s="962" t="e">
        <f t="shared" si="316"/>
        <v>#VALUE!</v>
      </c>
      <c r="JF29" s="962" t="e">
        <f t="shared" si="316"/>
        <v>#VALUE!</v>
      </c>
      <c r="JG29" s="962" t="e">
        <f t="shared" si="316"/>
        <v>#VALUE!</v>
      </c>
      <c r="JH29" s="962" t="e">
        <f t="shared" si="316"/>
        <v>#VALUE!</v>
      </c>
      <c r="JI29" s="962" t="e">
        <f t="shared" si="316"/>
        <v>#VALUE!</v>
      </c>
      <c r="JJ29" s="962" t="e">
        <f t="shared" si="316"/>
        <v>#VALUE!</v>
      </c>
      <c r="JK29" s="962" t="e">
        <f t="shared" si="316"/>
        <v>#VALUE!</v>
      </c>
      <c r="JL29" s="962" t="e">
        <f t="shared" si="316"/>
        <v>#VALUE!</v>
      </c>
      <c r="JM29" s="962" t="e">
        <f t="shared" si="316"/>
        <v>#VALUE!</v>
      </c>
      <c r="JN29" s="962" t="e">
        <f t="shared" si="316"/>
        <v>#VALUE!</v>
      </c>
      <c r="JO29" s="962" t="e">
        <f t="shared" si="316"/>
        <v>#VALUE!</v>
      </c>
      <c r="JP29" s="962" t="e">
        <f t="shared" si="316"/>
        <v>#VALUE!</v>
      </c>
      <c r="JQ29" s="962" t="e">
        <f t="shared" si="316"/>
        <v>#VALUE!</v>
      </c>
      <c r="JR29" s="962" t="e">
        <f t="shared" si="316"/>
        <v>#VALUE!</v>
      </c>
      <c r="JS29" s="962" t="e">
        <f t="shared" si="316"/>
        <v>#VALUE!</v>
      </c>
      <c r="JT29" s="962" t="e">
        <f t="shared" si="316"/>
        <v>#VALUE!</v>
      </c>
      <c r="JU29" s="962" t="e">
        <f t="shared" si="316"/>
        <v>#VALUE!</v>
      </c>
      <c r="JV29" s="962" t="e">
        <f t="shared" si="316"/>
        <v>#VALUE!</v>
      </c>
      <c r="JW29" s="962" t="e">
        <f t="shared" si="316"/>
        <v>#VALUE!</v>
      </c>
      <c r="JX29" s="962" t="e">
        <f t="shared" si="316"/>
        <v>#VALUE!</v>
      </c>
      <c r="JY29" s="962" t="e">
        <f t="shared" si="316"/>
        <v>#VALUE!</v>
      </c>
      <c r="JZ29" s="962" t="e">
        <f t="shared" si="316"/>
        <v>#VALUE!</v>
      </c>
      <c r="KA29" s="962" t="e">
        <f t="shared" si="316"/>
        <v>#VALUE!</v>
      </c>
      <c r="KB29" s="962" t="e">
        <f t="shared" si="316"/>
        <v>#VALUE!</v>
      </c>
      <c r="KC29" s="962" t="e">
        <f t="shared" si="316"/>
        <v>#VALUE!</v>
      </c>
      <c r="KD29" s="962" t="e">
        <f t="shared" si="316"/>
        <v>#VALUE!</v>
      </c>
      <c r="KE29" s="962" t="e">
        <f t="shared" si="316"/>
        <v>#VALUE!</v>
      </c>
      <c r="KF29" s="962" t="e">
        <f t="shared" si="316"/>
        <v>#VALUE!</v>
      </c>
      <c r="KG29" s="962" t="e">
        <f t="shared" si="316"/>
        <v>#VALUE!</v>
      </c>
      <c r="KH29" s="962" t="e">
        <f t="shared" si="316"/>
        <v>#VALUE!</v>
      </c>
      <c r="KI29" s="962" t="e">
        <f t="shared" si="316"/>
        <v>#VALUE!</v>
      </c>
      <c r="KJ29" s="962" t="e">
        <f t="shared" si="316"/>
        <v>#VALUE!</v>
      </c>
      <c r="KK29" s="962" t="e">
        <f t="shared" si="316"/>
        <v>#VALUE!</v>
      </c>
      <c r="KL29" s="962" t="e">
        <f t="shared" si="316"/>
        <v>#VALUE!</v>
      </c>
      <c r="KM29" s="962" t="e">
        <f t="shared" si="316"/>
        <v>#VALUE!</v>
      </c>
      <c r="KN29" s="962" t="e">
        <f t="shared" si="316"/>
        <v>#VALUE!</v>
      </c>
      <c r="KO29" s="962" t="e">
        <f t="shared" si="316"/>
        <v>#VALUE!</v>
      </c>
      <c r="KP29" s="962" t="e">
        <f t="shared" si="316"/>
        <v>#VALUE!</v>
      </c>
      <c r="KQ29" s="962" t="e">
        <f t="shared" si="316"/>
        <v>#VALUE!</v>
      </c>
      <c r="KR29" s="962" t="e">
        <f t="shared" si="316"/>
        <v>#VALUE!</v>
      </c>
      <c r="KS29" s="962" t="e">
        <f t="shared" si="316"/>
        <v>#VALUE!</v>
      </c>
      <c r="KT29" s="962" t="e">
        <f t="shared" si="316"/>
        <v>#VALUE!</v>
      </c>
      <c r="KU29" s="962" t="e">
        <f t="shared" si="316"/>
        <v>#VALUE!</v>
      </c>
      <c r="KV29" s="962" t="e">
        <f t="shared" si="316"/>
        <v>#VALUE!</v>
      </c>
      <c r="KW29" s="962" t="e">
        <f t="shared" ref="KW29:NH29" si="317">IF(KW28-KW27&gt;-180,KW28-KW27,KW28-KW27+360)</f>
        <v>#VALUE!</v>
      </c>
      <c r="KX29" s="962" t="e">
        <f t="shared" si="317"/>
        <v>#VALUE!</v>
      </c>
      <c r="KY29" s="962" t="e">
        <f t="shared" si="317"/>
        <v>#VALUE!</v>
      </c>
      <c r="KZ29" s="962" t="e">
        <f t="shared" si="317"/>
        <v>#VALUE!</v>
      </c>
      <c r="LA29" s="962" t="e">
        <f t="shared" si="317"/>
        <v>#VALUE!</v>
      </c>
      <c r="LB29" s="962" t="e">
        <f t="shared" si="317"/>
        <v>#VALUE!</v>
      </c>
      <c r="LC29" s="962" t="e">
        <f t="shared" si="317"/>
        <v>#VALUE!</v>
      </c>
      <c r="LD29" s="962" t="e">
        <f t="shared" si="317"/>
        <v>#VALUE!</v>
      </c>
      <c r="LE29" s="962" t="e">
        <f t="shared" si="317"/>
        <v>#VALUE!</v>
      </c>
      <c r="LF29" s="962" t="e">
        <f t="shared" si="317"/>
        <v>#VALUE!</v>
      </c>
      <c r="LG29" s="962" t="e">
        <f t="shared" si="317"/>
        <v>#VALUE!</v>
      </c>
      <c r="LH29" s="962" t="e">
        <f t="shared" si="317"/>
        <v>#VALUE!</v>
      </c>
      <c r="LI29" s="962" t="e">
        <f t="shared" si="317"/>
        <v>#VALUE!</v>
      </c>
      <c r="LJ29" s="962" t="e">
        <f t="shared" si="317"/>
        <v>#VALUE!</v>
      </c>
      <c r="LK29" s="962" t="e">
        <f t="shared" si="317"/>
        <v>#VALUE!</v>
      </c>
      <c r="LL29" s="962" t="e">
        <f t="shared" si="317"/>
        <v>#VALUE!</v>
      </c>
      <c r="LM29" s="962" t="e">
        <f t="shared" si="317"/>
        <v>#VALUE!</v>
      </c>
      <c r="LN29" s="962" t="e">
        <f t="shared" si="317"/>
        <v>#VALUE!</v>
      </c>
      <c r="LO29" s="962" t="e">
        <f t="shared" si="317"/>
        <v>#VALUE!</v>
      </c>
      <c r="LP29" s="962" t="e">
        <f t="shared" si="317"/>
        <v>#VALUE!</v>
      </c>
      <c r="LQ29" s="962" t="e">
        <f t="shared" si="317"/>
        <v>#VALUE!</v>
      </c>
      <c r="LR29" s="962" t="e">
        <f t="shared" si="317"/>
        <v>#VALUE!</v>
      </c>
      <c r="LS29" s="962" t="e">
        <f t="shared" si="317"/>
        <v>#VALUE!</v>
      </c>
      <c r="LT29" s="962" t="e">
        <f t="shared" si="317"/>
        <v>#VALUE!</v>
      </c>
      <c r="LU29" s="962" t="e">
        <f t="shared" si="317"/>
        <v>#VALUE!</v>
      </c>
      <c r="LV29" s="962" t="e">
        <f t="shared" si="317"/>
        <v>#VALUE!</v>
      </c>
      <c r="LW29" s="962" t="e">
        <f t="shared" si="317"/>
        <v>#VALUE!</v>
      </c>
      <c r="LX29" s="962" t="e">
        <f t="shared" si="317"/>
        <v>#VALUE!</v>
      </c>
      <c r="LY29" s="962" t="e">
        <f t="shared" si="317"/>
        <v>#VALUE!</v>
      </c>
      <c r="LZ29" s="962" t="e">
        <f t="shared" si="317"/>
        <v>#VALUE!</v>
      </c>
      <c r="MA29" s="962" t="e">
        <f t="shared" si="317"/>
        <v>#VALUE!</v>
      </c>
      <c r="MB29" s="962" t="e">
        <f t="shared" si="317"/>
        <v>#VALUE!</v>
      </c>
      <c r="MC29" s="962" t="e">
        <f t="shared" si="317"/>
        <v>#VALUE!</v>
      </c>
      <c r="MD29" s="962" t="e">
        <f t="shared" si="317"/>
        <v>#VALUE!</v>
      </c>
      <c r="ME29" s="962" t="e">
        <f t="shared" si="317"/>
        <v>#VALUE!</v>
      </c>
      <c r="MF29" s="962" t="e">
        <f t="shared" si="317"/>
        <v>#VALUE!</v>
      </c>
      <c r="MG29" s="962" t="e">
        <f t="shared" si="317"/>
        <v>#VALUE!</v>
      </c>
      <c r="MH29" s="962" t="e">
        <f t="shared" si="317"/>
        <v>#VALUE!</v>
      </c>
      <c r="MI29" s="962" t="e">
        <f t="shared" si="317"/>
        <v>#VALUE!</v>
      </c>
      <c r="MJ29" s="962" t="e">
        <f t="shared" si="317"/>
        <v>#VALUE!</v>
      </c>
      <c r="MK29" s="962" t="e">
        <f t="shared" si="317"/>
        <v>#VALUE!</v>
      </c>
      <c r="ML29" s="962" t="e">
        <f t="shared" si="317"/>
        <v>#VALUE!</v>
      </c>
      <c r="MM29" s="962" t="e">
        <f t="shared" si="317"/>
        <v>#VALUE!</v>
      </c>
      <c r="MN29" s="962" t="e">
        <f t="shared" si="317"/>
        <v>#VALUE!</v>
      </c>
      <c r="MO29" s="962" t="e">
        <f t="shared" si="317"/>
        <v>#VALUE!</v>
      </c>
      <c r="MP29" s="962" t="e">
        <f t="shared" si="317"/>
        <v>#VALUE!</v>
      </c>
      <c r="MQ29" s="962" t="e">
        <f t="shared" si="317"/>
        <v>#VALUE!</v>
      </c>
      <c r="MR29" s="962" t="e">
        <f t="shared" si="317"/>
        <v>#VALUE!</v>
      </c>
      <c r="MS29" s="962" t="e">
        <f t="shared" si="317"/>
        <v>#VALUE!</v>
      </c>
      <c r="MT29" s="962" t="e">
        <f t="shared" si="317"/>
        <v>#VALUE!</v>
      </c>
      <c r="MU29" s="962" t="e">
        <f t="shared" si="317"/>
        <v>#VALUE!</v>
      </c>
      <c r="MV29" s="962" t="e">
        <f t="shared" si="317"/>
        <v>#VALUE!</v>
      </c>
      <c r="MW29" s="962" t="e">
        <f t="shared" si="317"/>
        <v>#VALUE!</v>
      </c>
      <c r="MX29" s="962" t="e">
        <f t="shared" si="317"/>
        <v>#VALUE!</v>
      </c>
      <c r="MY29" s="962" t="e">
        <f t="shared" si="317"/>
        <v>#VALUE!</v>
      </c>
      <c r="MZ29" s="962" t="e">
        <f t="shared" si="317"/>
        <v>#VALUE!</v>
      </c>
      <c r="NA29" s="962" t="e">
        <f t="shared" si="317"/>
        <v>#VALUE!</v>
      </c>
      <c r="NB29" s="962" t="e">
        <f t="shared" si="317"/>
        <v>#VALUE!</v>
      </c>
      <c r="NC29" s="962" t="e">
        <f t="shared" si="317"/>
        <v>#VALUE!</v>
      </c>
      <c r="ND29" s="962" t="e">
        <f t="shared" si="317"/>
        <v>#VALUE!</v>
      </c>
      <c r="NE29" s="962" t="e">
        <f t="shared" si="317"/>
        <v>#VALUE!</v>
      </c>
      <c r="NF29" s="962" t="e">
        <f t="shared" si="317"/>
        <v>#VALUE!</v>
      </c>
      <c r="NG29" s="962" t="e">
        <f t="shared" si="317"/>
        <v>#VALUE!</v>
      </c>
      <c r="NH29" s="962" t="e">
        <f t="shared" si="317"/>
        <v>#VALUE!</v>
      </c>
      <c r="NI29" s="962" t="e">
        <f t="shared" ref="NI29:PT29" si="318">IF(NI28-NI27&gt;-180,NI28-NI27,NI28-NI27+360)</f>
        <v>#VALUE!</v>
      </c>
      <c r="NJ29" s="962" t="e">
        <f t="shared" si="318"/>
        <v>#VALUE!</v>
      </c>
      <c r="NK29" s="962" t="e">
        <f t="shared" si="318"/>
        <v>#VALUE!</v>
      </c>
      <c r="NL29" s="962" t="e">
        <f t="shared" si="318"/>
        <v>#VALUE!</v>
      </c>
      <c r="NM29" s="962" t="e">
        <f t="shared" si="318"/>
        <v>#VALUE!</v>
      </c>
      <c r="NN29" s="962" t="e">
        <f t="shared" si="318"/>
        <v>#VALUE!</v>
      </c>
      <c r="NO29" s="962" t="e">
        <f t="shared" si="318"/>
        <v>#VALUE!</v>
      </c>
      <c r="NP29" s="962" t="e">
        <f t="shared" si="318"/>
        <v>#VALUE!</v>
      </c>
      <c r="NQ29" s="962" t="e">
        <f t="shared" si="318"/>
        <v>#VALUE!</v>
      </c>
      <c r="NR29" s="962" t="e">
        <f t="shared" si="318"/>
        <v>#VALUE!</v>
      </c>
      <c r="NS29" s="962" t="e">
        <f t="shared" si="318"/>
        <v>#VALUE!</v>
      </c>
      <c r="NT29" s="962" t="e">
        <f t="shared" si="318"/>
        <v>#VALUE!</v>
      </c>
      <c r="NU29" s="962" t="e">
        <f t="shared" si="318"/>
        <v>#VALUE!</v>
      </c>
      <c r="NV29" s="962" t="e">
        <f t="shared" si="318"/>
        <v>#VALUE!</v>
      </c>
      <c r="NW29" s="962" t="e">
        <f t="shared" si="318"/>
        <v>#VALUE!</v>
      </c>
      <c r="NX29" s="962" t="e">
        <f t="shared" si="318"/>
        <v>#VALUE!</v>
      </c>
      <c r="NY29" s="962" t="e">
        <f t="shared" si="318"/>
        <v>#VALUE!</v>
      </c>
      <c r="NZ29" s="962" t="e">
        <f t="shared" si="318"/>
        <v>#VALUE!</v>
      </c>
      <c r="OA29" s="962" t="e">
        <f t="shared" si="318"/>
        <v>#VALUE!</v>
      </c>
      <c r="OB29" s="962" t="e">
        <f t="shared" si="318"/>
        <v>#VALUE!</v>
      </c>
      <c r="OC29" s="962" t="e">
        <f t="shared" si="318"/>
        <v>#VALUE!</v>
      </c>
      <c r="OD29" s="962" t="e">
        <f t="shared" si="318"/>
        <v>#VALUE!</v>
      </c>
      <c r="OE29" s="962" t="e">
        <f t="shared" si="318"/>
        <v>#VALUE!</v>
      </c>
      <c r="OF29" s="962" t="e">
        <f t="shared" si="318"/>
        <v>#VALUE!</v>
      </c>
      <c r="OG29" s="962" t="e">
        <f t="shared" si="318"/>
        <v>#VALUE!</v>
      </c>
      <c r="OH29" s="962" t="e">
        <f t="shared" si="318"/>
        <v>#VALUE!</v>
      </c>
      <c r="OI29" s="962" t="e">
        <f t="shared" si="318"/>
        <v>#VALUE!</v>
      </c>
      <c r="OJ29" s="962" t="e">
        <f t="shared" si="318"/>
        <v>#VALUE!</v>
      </c>
      <c r="OK29" s="962" t="e">
        <f t="shared" si="318"/>
        <v>#VALUE!</v>
      </c>
      <c r="OL29" s="962" t="e">
        <f t="shared" si="318"/>
        <v>#VALUE!</v>
      </c>
      <c r="OM29" s="962" t="e">
        <f t="shared" si="318"/>
        <v>#VALUE!</v>
      </c>
      <c r="ON29" s="962" t="e">
        <f t="shared" si="318"/>
        <v>#VALUE!</v>
      </c>
      <c r="OO29" s="962" t="e">
        <f t="shared" si="318"/>
        <v>#VALUE!</v>
      </c>
      <c r="OP29" s="962" t="e">
        <f t="shared" si="318"/>
        <v>#VALUE!</v>
      </c>
      <c r="OQ29" s="962" t="e">
        <f t="shared" si="318"/>
        <v>#VALUE!</v>
      </c>
      <c r="OR29" s="962" t="e">
        <f t="shared" si="318"/>
        <v>#VALUE!</v>
      </c>
      <c r="OS29" s="962" t="e">
        <f t="shared" si="318"/>
        <v>#VALUE!</v>
      </c>
      <c r="OT29" s="962" t="e">
        <f t="shared" si="318"/>
        <v>#VALUE!</v>
      </c>
      <c r="OU29" s="962" t="e">
        <f t="shared" si="318"/>
        <v>#VALUE!</v>
      </c>
      <c r="OV29" s="962" t="e">
        <f t="shared" si="318"/>
        <v>#VALUE!</v>
      </c>
      <c r="OW29" s="962" t="e">
        <f t="shared" si="318"/>
        <v>#VALUE!</v>
      </c>
      <c r="OX29" s="962" t="e">
        <f t="shared" si="318"/>
        <v>#VALUE!</v>
      </c>
      <c r="OY29" s="962" t="e">
        <f t="shared" si="318"/>
        <v>#VALUE!</v>
      </c>
      <c r="OZ29" s="962" t="e">
        <f t="shared" si="318"/>
        <v>#VALUE!</v>
      </c>
      <c r="PA29" s="962" t="e">
        <f t="shared" si="318"/>
        <v>#VALUE!</v>
      </c>
      <c r="PB29" s="962" t="e">
        <f t="shared" si="318"/>
        <v>#VALUE!</v>
      </c>
      <c r="PC29" s="962" t="e">
        <f t="shared" si="318"/>
        <v>#VALUE!</v>
      </c>
      <c r="PD29" s="962" t="e">
        <f t="shared" si="318"/>
        <v>#VALUE!</v>
      </c>
      <c r="PE29" s="962" t="e">
        <f t="shared" si="318"/>
        <v>#VALUE!</v>
      </c>
      <c r="PF29" s="962" t="e">
        <f t="shared" si="318"/>
        <v>#VALUE!</v>
      </c>
      <c r="PG29" s="962" t="e">
        <f t="shared" si="318"/>
        <v>#VALUE!</v>
      </c>
      <c r="PH29" s="962" t="e">
        <f t="shared" si="318"/>
        <v>#VALUE!</v>
      </c>
      <c r="PI29" s="962" t="e">
        <f t="shared" si="318"/>
        <v>#VALUE!</v>
      </c>
      <c r="PJ29" s="962" t="e">
        <f t="shared" si="318"/>
        <v>#VALUE!</v>
      </c>
      <c r="PK29" s="962" t="e">
        <f t="shared" si="318"/>
        <v>#VALUE!</v>
      </c>
      <c r="PL29" s="962" t="e">
        <f t="shared" si="318"/>
        <v>#VALUE!</v>
      </c>
      <c r="PM29" s="962" t="e">
        <f t="shared" si="318"/>
        <v>#VALUE!</v>
      </c>
      <c r="PN29" s="962" t="e">
        <f t="shared" si="318"/>
        <v>#VALUE!</v>
      </c>
      <c r="PO29" s="962" t="e">
        <f t="shared" si="318"/>
        <v>#VALUE!</v>
      </c>
      <c r="PP29" s="962" t="e">
        <f t="shared" si="318"/>
        <v>#VALUE!</v>
      </c>
      <c r="PQ29" s="962" t="e">
        <f t="shared" si="318"/>
        <v>#VALUE!</v>
      </c>
      <c r="PR29" s="962" t="e">
        <f t="shared" si="318"/>
        <v>#VALUE!</v>
      </c>
      <c r="PS29" s="962" t="e">
        <f t="shared" si="318"/>
        <v>#VALUE!</v>
      </c>
      <c r="PT29" s="962" t="e">
        <f t="shared" si="318"/>
        <v>#VALUE!</v>
      </c>
      <c r="PU29" s="962" t="e">
        <f t="shared" ref="PU29:QZ29" si="319">IF(PU28-PU27&gt;-180,PU28-PU27,PU28-PU27+360)</f>
        <v>#VALUE!</v>
      </c>
      <c r="PV29" s="962" t="e">
        <f t="shared" si="319"/>
        <v>#VALUE!</v>
      </c>
      <c r="PW29" s="962" t="e">
        <f t="shared" si="319"/>
        <v>#VALUE!</v>
      </c>
      <c r="PX29" s="962" t="e">
        <f t="shared" si="319"/>
        <v>#VALUE!</v>
      </c>
      <c r="PY29" s="962" t="e">
        <f t="shared" si="319"/>
        <v>#VALUE!</v>
      </c>
      <c r="PZ29" s="962" t="e">
        <f t="shared" si="319"/>
        <v>#VALUE!</v>
      </c>
      <c r="QA29" s="962" t="e">
        <f t="shared" si="319"/>
        <v>#VALUE!</v>
      </c>
      <c r="QB29" s="962" t="e">
        <f t="shared" si="319"/>
        <v>#VALUE!</v>
      </c>
      <c r="QC29" s="962" t="e">
        <f t="shared" si="319"/>
        <v>#VALUE!</v>
      </c>
      <c r="QD29" s="962" t="e">
        <f t="shared" si="319"/>
        <v>#VALUE!</v>
      </c>
      <c r="QE29" s="962" t="e">
        <f t="shared" si="319"/>
        <v>#VALUE!</v>
      </c>
      <c r="QF29" s="962" t="e">
        <f t="shared" si="319"/>
        <v>#VALUE!</v>
      </c>
      <c r="QG29" s="962" t="e">
        <f t="shared" si="319"/>
        <v>#VALUE!</v>
      </c>
      <c r="QH29" s="962" t="e">
        <f t="shared" si="319"/>
        <v>#VALUE!</v>
      </c>
      <c r="QI29" s="962" t="e">
        <f t="shared" si="319"/>
        <v>#VALUE!</v>
      </c>
      <c r="QJ29" s="962" t="e">
        <f t="shared" si="319"/>
        <v>#VALUE!</v>
      </c>
      <c r="QK29" s="962" t="e">
        <f t="shared" si="319"/>
        <v>#VALUE!</v>
      </c>
      <c r="QL29" s="962" t="e">
        <f t="shared" si="319"/>
        <v>#VALUE!</v>
      </c>
      <c r="QM29" s="962" t="e">
        <f t="shared" si="319"/>
        <v>#VALUE!</v>
      </c>
      <c r="QN29" s="962" t="e">
        <f t="shared" si="319"/>
        <v>#VALUE!</v>
      </c>
      <c r="QO29" s="962" t="e">
        <f t="shared" si="319"/>
        <v>#VALUE!</v>
      </c>
      <c r="QP29" s="962" t="e">
        <f t="shared" si="319"/>
        <v>#VALUE!</v>
      </c>
      <c r="QQ29" s="962" t="e">
        <f t="shared" si="319"/>
        <v>#VALUE!</v>
      </c>
      <c r="QR29" s="962" t="e">
        <f t="shared" si="319"/>
        <v>#VALUE!</v>
      </c>
      <c r="QS29" s="962" t="e">
        <f t="shared" si="319"/>
        <v>#VALUE!</v>
      </c>
      <c r="QT29" s="962" t="e">
        <f t="shared" si="319"/>
        <v>#VALUE!</v>
      </c>
      <c r="QU29" s="962" t="e">
        <f t="shared" si="319"/>
        <v>#VALUE!</v>
      </c>
      <c r="QV29" s="962" t="e">
        <f t="shared" si="319"/>
        <v>#VALUE!</v>
      </c>
      <c r="QW29" s="962" t="e">
        <f t="shared" si="319"/>
        <v>#VALUE!</v>
      </c>
      <c r="QX29" s="962" t="e">
        <f t="shared" si="319"/>
        <v>#VALUE!</v>
      </c>
      <c r="QY29" s="962" t="e">
        <f t="shared" si="319"/>
        <v>#VALUE!</v>
      </c>
      <c r="QZ29" s="962" t="e">
        <f t="shared" si="319"/>
        <v>#VALUE!</v>
      </c>
      <c r="RA29" s="963"/>
    </row>
    <row r="30" spans="1:471" ht="17.25">
      <c r="B30" t="s">
        <v>144</v>
      </c>
      <c r="D30" t="s">
        <v>145</v>
      </c>
      <c r="E30" t="s">
        <v>146</v>
      </c>
      <c r="G30" s="7">
        <f>INT(B28/2)*30+(B28-1-INT(B28/2))*29</f>
        <v>236</v>
      </c>
      <c r="J30" s="29"/>
      <c r="K30" s="29"/>
      <c r="L30" s="29"/>
      <c r="M30" s="29"/>
      <c r="N30" s="29"/>
      <c r="O30" s="29">
        <v>30</v>
      </c>
      <c r="P30" s="29">
        <v>30</v>
      </c>
      <c r="Q30" s="29">
        <v>30</v>
      </c>
      <c r="R30" s="29">
        <v>30</v>
      </c>
      <c r="S30" s="29">
        <v>30</v>
      </c>
      <c r="T30" s="29">
        <v>30</v>
      </c>
      <c r="U30" s="29">
        <v>30</v>
      </c>
      <c r="V30" s="29">
        <v>30</v>
      </c>
      <c r="W30" s="29">
        <v>5</v>
      </c>
      <c r="X30" s="29">
        <v>30</v>
      </c>
      <c r="Y30" s="29">
        <v>30</v>
      </c>
      <c r="Z30" s="29">
        <v>30</v>
      </c>
      <c r="AA30" s="29">
        <v>30</v>
      </c>
      <c r="AK30" s="759"/>
      <c r="AL30" s="701">
        <v>2</v>
      </c>
      <c r="AM30" s="304">
        <v>2</v>
      </c>
      <c r="AN30" s="304">
        <v>2</v>
      </c>
      <c r="AO30" s="701">
        <v>2</v>
      </c>
      <c r="AP30" s="304">
        <v>2</v>
      </c>
      <c r="AQ30" s="304">
        <v>2</v>
      </c>
      <c r="AR30" s="701">
        <v>2</v>
      </c>
      <c r="AS30" s="304">
        <v>2</v>
      </c>
      <c r="AT30" s="304">
        <v>2</v>
      </c>
      <c r="AU30" s="701">
        <v>2</v>
      </c>
      <c r="AV30" s="701">
        <v>2</v>
      </c>
      <c r="AW30" s="304">
        <v>2</v>
      </c>
      <c r="AX30" s="314"/>
      <c r="AZ30" s="780" t="s">
        <v>1383</v>
      </c>
      <c r="BA30" s="781" t="e">
        <f>INT(BA25)</f>
        <v>#VALUE!</v>
      </c>
      <c r="DI30" s="797" t="s">
        <v>3802</v>
      </c>
      <c r="DJ30" s="959" t="e">
        <f>[1]!bodmoadal(1,1,(DJ23+1),[1]!qsn([1]!ml([1]!taqsha(1,1,1+DJ23,DJ24)),DJ25)/30,DJ24,DJ25)</f>
        <v>#VALUE!</v>
      </c>
      <c r="DK30" s="962" t="e">
        <f>[1]!bodmoadal(1,1,(DK23+1),[1]!qsn([1]!ml([1]!taqsha(1,1,1+DK23,DK24)),DK25)/30,DK24,DK25)</f>
        <v>#VALUE!</v>
      </c>
      <c r="DL30" s="962" t="e">
        <f>[1]!bodmoadal(1,1,(DL23+1),[1]!qsn([1]!ml([1]!taqsha(1,1,1+DL23,DL24)),DL25)/30,DL24,DL25)</f>
        <v>#VALUE!</v>
      </c>
      <c r="DM30" s="962" t="e">
        <f>[1]!bodmoadal(1,1,(DM23+1),[1]!qsn([1]!ml([1]!taqsha(1,1,1+DM23,DM24)),DM25)/30,DM24,DM25)</f>
        <v>#VALUE!</v>
      </c>
      <c r="DN30" s="962" t="e">
        <f>[1]!bodmoadal(1,1,(DN23+1),[1]!qsn([1]!ml([1]!taqsha(1,1,1+DN23,DN24)),DN25)/30,DN24,DN25)</f>
        <v>#VALUE!</v>
      </c>
      <c r="DO30" s="962" t="e">
        <f>[1]!bodmoadal(1,1,(DO23+1),[1]!qsn([1]!ml([1]!taqsha(1,1,1+DO23,DO24)),DO25)/30,DO24,DO25)</f>
        <v>#VALUE!</v>
      </c>
      <c r="DP30" s="962" t="e">
        <f>[1]!bodmoadal(1,1,(DP23+1),[1]!qsn([1]!ml([1]!taqsha(1,1,1+DP23,DP24)),DP25)/30,DP24,DP25)</f>
        <v>#VALUE!</v>
      </c>
      <c r="DQ30" s="962" t="e">
        <f>[1]!bodmoadal(1,1,(DQ23+1),[1]!qsn([1]!ml([1]!taqsha(1,1,1+DQ23,DQ24)),DQ25)/30,DQ24,DQ25)</f>
        <v>#VALUE!</v>
      </c>
      <c r="DR30" s="962" t="e">
        <f>[1]!bodmoadal(1,1,(DR23+1),[1]!qsn([1]!ml([1]!taqsha(1,1,1+DR23,DR24)),DR25)/30,DR24,DR25)</f>
        <v>#VALUE!</v>
      </c>
      <c r="DS30" s="962" t="e">
        <f>[1]!bodmoadal(1,1,(DS23+1),[1]!qsn([1]!ml([1]!taqsha(1,1,1+DS23,DS24)),DS25)/30,DS24,DS25)</f>
        <v>#VALUE!</v>
      </c>
      <c r="DT30" s="962" t="e">
        <f>[1]!bodmoadal(1,1,(DT23+1),[1]!qsn([1]!ml([1]!taqsha(1,1,1+DT23,DT24)),DT25)/30,DT24,DT25)</f>
        <v>#VALUE!</v>
      </c>
      <c r="DU30" s="962" t="e">
        <f>[1]!bodmoadal(1,1,(DU23+1),[1]!qsn([1]!ml([1]!taqsha(1,1,1+DU23,DU24)),DU25)/30,DU24,DU25)</f>
        <v>#VALUE!</v>
      </c>
      <c r="DV30" s="962" t="e">
        <f>[1]!bodmoadal(1,1,(DV23+1),[1]!qsn([1]!ml([1]!taqsha(1,1,1+DV23,DV24)),DV25)/30,DV24,DV25)</f>
        <v>#VALUE!</v>
      </c>
      <c r="DW30" s="962" t="e">
        <f>[1]!bodmoadal(1,1,(DW23+1),[1]!qsn([1]!ml([1]!taqsha(1,1,1+DW23,DW24)),DW25)/30,DW24,DW25)</f>
        <v>#VALUE!</v>
      </c>
      <c r="DX30" s="962" t="e">
        <f>[1]!bodmoadal(1,1,(DX23+1),[1]!qsn([1]!ml([1]!taqsha(1,1,1+DX23,DX24)),DX25)/30,DX24,DX25)</f>
        <v>#VALUE!</v>
      </c>
      <c r="DY30" s="962" t="e">
        <f>[1]!bodmoadal(1,1,(DY23+1),[1]!qsn([1]!ml([1]!taqsha(1,1,1+DY23,DY24)),DY25)/30,DY24,DY25)</f>
        <v>#VALUE!</v>
      </c>
      <c r="DZ30" s="962" t="e">
        <f>[1]!bodmoadal(1,1,(DZ23+1),[1]!qsn([1]!ml([1]!taqsha(1,1,1+DZ23,DZ24)),DZ25)/30,DZ24,DZ25)</f>
        <v>#VALUE!</v>
      </c>
      <c r="EA30" s="962" t="e">
        <f>[1]!bodmoadal(1,1,(EA23+1),[1]!qsn([1]!ml([1]!taqsha(1,1,1+EA23,EA24)),EA25)/30,EA24,EA25)</f>
        <v>#VALUE!</v>
      </c>
      <c r="EB30" s="962" t="e">
        <f>[1]!bodmoadal(1,1,(EB23+1),[1]!qsn([1]!ml([1]!taqsha(1,1,1+EB23,EB24)),EB25)/30,EB24,EB25)</f>
        <v>#VALUE!</v>
      </c>
      <c r="EC30" s="962" t="e">
        <f>[1]!bodmoadal(1,1,(EC23+1),[1]!qsn([1]!ml([1]!taqsha(1,1,1+EC23,EC24)),EC25)/30,EC24,EC25)</f>
        <v>#VALUE!</v>
      </c>
      <c r="ED30" s="962" t="e">
        <f>[1]!bodmoadal(1,1,(ED23+1),[1]!qsn([1]!ml([1]!taqsha(1,1,1+ED23,ED24)),ED25)/30,ED24,ED25)</f>
        <v>#VALUE!</v>
      </c>
      <c r="EE30" s="962" t="e">
        <f>[1]!bodmoadal(1,1,(EE23+1),[1]!qsn([1]!ml([1]!taqsha(1,1,1+EE23,EE24)),EE25)/30,EE24,EE25)</f>
        <v>#VALUE!</v>
      </c>
      <c r="EF30" s="962" t="e">
        <f>[1]!bodmoadal(1,1,(EF23+1),[1]!qsn([1]!ml([1]!taqsha(1,1,1+EF23,EF24)),EF25)/30,EF24,EF25)</f>
        <v>#VALUE!</v>
      </c>
      <c r="EG30" s="962" t="e">
        <f>[1]!bodmoadal(1,1,(EG23+1),[1]!qsn([1]!ml([1]!taqsha(1,1,1+EG23,EG24)),EG25)/30,EG24,EG25)</f>
        <v>#VALUE!</v>
      </c>
      <c r="EH30" s="962" t="e">
        <f>[1]!bodmoadal(1,1,(EH23+1),[1]!qsn([1]!ml([1]!taqsha(1,1,1+EH23,EH24)),EH25)/30,EH24,EH25)</f>
        <v>#VALUE!</v>
      </c>
      <c r="EI30" s="962" t="e">
        <f>[1]!bodmoadal(1,1,(EI23+1),[1]!qsn([1]!ml([1]!taqsha(1,1,1+EI23,EI24)),EI25)/30,EI24,EI25)</f>
        <v>#VALUE!</v>
      </c>
      <c r="EJ30" s="962" t="e">
        <f>[1]!bodmoadal(1,1,(EJ23+1),[1]!qsn([1]!ml([1]!taqsha(1,1,1+EJ23,EJ24)),EJ25)/30,EJ24,EJ25)</f>
        <v>#VALUE!</v>
      </c>
      <c r="EK30" s="962" t="e">
        <f>[1]!bodmoadal(1,1,(EK23+1),[1]!qsn([1]!ml([1]!taqsha(1,1,1+EK23,EK24)),EK25)/30,EK24,EK25)</f>
        <v>#VALUE!</v>
      </c>
      <c r="EL30" s="962" t="e">
        <f>[1]!bodmoadal(1,1,(EL23+1),[1]!qsn([1]!ml([1]!taqsha(1,1,1+EL23,EL24)),EL25)/30,EL24,EL25)</f>
        <v>#VALUE!</v>
      </c>
      <c r="EM30" s="962" t="e">
        <f>[1]!bodmoadal(1,1,(EM23+1),[1]!qsn([1]!ml([1]!taqsha(1,1,1+EM23,EM24)),EM25)/30,EM24,EM25)</f>
        <v>#VALUE!</v>
      </c>
      <c r="EN30" s="962" t="e">
        <f>[1]!bodmoadal(1,1,(EN23+1),[1]!qsn([1]!ml([1]!taqsha(1,1,1+EN23,EN24)),EN25)/30,EN24,EN25)</f>
        <v>#VALUE!</v>
      </c>
      <c r="EO30" s="962" t="e">
        <f>[1]!bodmoadal(1,1,(EO23+1),[1]!qsn([1]!ml([1]!taqsha(1,1,1+EO23,EO24)),EO25)/30,EO24,EO25)</f>
        <v>#VALUE!</v>
      </c>
      <c r="EP30" s="962" t="e">
        <f>[1]!bodmoadal(1,1,(EP23+1),[1]!qsn([1]!ml([1]!taqsha(1,1,1+EP23,EP24)),EP25)/30,EP24,EP25)</f>
        <v>#VALUE!</v>
      </c>
      <c r="EQ30" s="962" t="e">
        <f>[1]!bodmoadal(1,1,(EQ23+1),[1]!qsn([1]!ml([1]!taqsha(1,1,1+EQ23,EQ24)),EQ25)/30,EQ24,EQ25)</f>
        <v>#VALUE!</v>
      </c>
      <c r="ER30" s="962" t="e">
        <f>[1]!bodmoadal(1,1,(ER23+1),[1]!qsn([1]!ml([1]!taqsha(1,1,1+ER23,ER24)),ER25)/30,ER24,ER25)</f>
        <v>#VALUE!</v>
      </c>
      <c r="ES30" s="962" t="e">
        <f>[1]!bodmoadal(1,1,(ES23+1),[1]!qsn([1]!ml([1]!taqsha(1,1,1+ES23,ES24)),ES25)/30,ES24,ES25)</f>
        <v>#VALUE!</v>
      </c>
      <c r="ET30" s="962" t="e">
        <f>[1]!bodmoadal(1,1,(ET23+1),[1]!qsn([1]!ml([1]!taqsha(1,1,1+ET23,ET24)),ET25)/30,ET24,ET25)</f>
        <v>#VALUE!</v>
      </c>
      <c r="EU30" s="962" t="e">
        <f>[1]!bodmoadal(1,1,(EU23+1),[1]!qsn([1]!ml([1]!taqsha(1,1,1+EU23,EU24)),EU25)/30,EU24,EU25)</f>
        <v>#VALUE!</v>
      </c>
      <c r="EV30" s="962" t="e">
        <f>[1]!bodmoadal(1,1,(EV23+1),[1]!qsn([1]!ml([1]!taqsha(1,1,1+EV23,EV24)),EV25)/30,EV24,EV25)</f>
        <v>#VALUE!</v>
      </c>
      <c r="EW30" s="962" t="e">
        <f>[1]!bodmoadal(1,1,(EW23+1),[1]!qsn([1]!ml([1]!taqsha(1,1,1+EW23,EW24)),EW25)/30,EW24,EW25)</f>
        <v>#VALUE!</v>
      </c>
      <c r="EX30" s="962" t="e">
        <f>[1]!bodmoadal(1,1,(EX23+1),[1]!qsn([1]!ml([1]!taqsha(1,1,1+EX23,EX24)),EX25)/30,EX24,EX25)</f>
        <v>#VALUE!</v>
      </c>
      <c r="EY30" s="962" t="e">
        <f>[1]!bodmoadal(1,1,(EY23+1),[1]!qsn([1]!ml([1]!taqsha(1,1,1+EY23,EY24)),EY25)/30,EY24,EY25)</f>
        <v>#VALUE!</v>
      </c>
      <c r="EZ30" s="962" t="e">
        <f>[1]!bodmoadal(1,1,(EZ23+1),[1]!qsn([1]!ml([1]!taqsha(1,1,1+EZ23,EZ24)),EZ25)/30,EZ24,EZ25)</f>
        <v>#VALUE!</v>
      </c>
      <c r="FA30" s="962" t="e">
        <f>[1]!bodmoadal(1,1,(FA23+1),[1]!qsn([1]!ml([1]!taqsha(1,1,1+FA23,FA24)),FA25)/30,FA24,FA25)</f>
        <v>#VALUE!</v>
      </c>
      <c r="FB30" s="962" t="e">
        <f>[1]!bodmoadal(1,1,(FB23+1),[1]!qsn([1]!ml([1]!taqsha(1,1,1+FB23,FB24)),FB25)/30,FB24,FB25)</f>
        <v>#VALUE!</v>
      </c>
      <c r="FC30" s="962" t="e">
        <f>[1]!bodmoadal(1,1,(FC23+1),[1]!qsn([1]!ml([1]!taqsha(1,1,1+FC23,FC24)),FC25)/30,FC24,FC25)</f>
        <v>#VALUE!</v>
      </c>
      <c r="FD30" s="962" t="e">
        <f>[1]!bodmoadal(1,1,(FD23+1),[1]!qsn([1]!ml([1]!taqsha(1,1,1+FD23,FD24)),FD25)/30,FD24,FD25)</f>
        <v>#VALUE!</v>
      </c>
      <c r="FE30" s="962" t="e">
        <f>[1]!bodmoadal(1,1,(FE23+1),[1]!qsn([1]!ml([1]!taqsha(1,1,1+FE23,FE24)),FE25)/30,FE24,FE25)</f>
        <v>#VALUE!</v>
      </c>
      <c r="FF30" s="962" t="e">
        <f>[1]!bodmoadal(1,1,(FF23+1),[1]!qsn([1]!ml([1]!taqsha(1,1,1+FF23,FF24)),FF25)/30,FF24,FF25)</f>
        <v>#VALUE!</v>
      </c>
      <c r="FG30" s="962" t="e">
        <f>[1]!bodmoadal(1,1,(FG23+1),[1]!qsn([1]!ml([1]!taqsha(1,1,1+FG23,FG24)),FG25)/30,FG24,FG25)</f>
        <v>#VALUE!</v>
      </c>
      <c r="FH30" s="962" t="e">
        <f>[1]!bodmoadal(1,1,(FH23+1),[1]!qsn([1]!ml([1]!taqsha(1,1,1+FH23,FH24)),FH25)/30,FH24,FH25)</f>
        <v>#VALUE!</v>
      </c>
      <c r="FI30" s="962" t="e">
        <f>[1]!bodmoadal(1,1,(FI23+1),[1]!qsn([1]!ml([1]!taqsha(1,1,1+FI23,FI24)),FI25)/30,FI24,FI25)</f>
        <v>#VALUE!</v>
      </c>
      <c r="FJ30" s="962" t="e">
        <f>[1]!bodmoadal(1,1,(FJ23+1),[1]!qsn([1]!ml([1]!taqsha(1,1,1+FJ23,FJ24)),FJ25)/30,FJ24,FJ25)</f>
        <v>#VALUE!</v>
      </c>
      <c r="FK30" s="962" t="e">
        <f>[1]!bodmoadal(1,1,(FK23+1),[1]!qsn([1]!ml([1]!taqsha(1,1,1+FK23,FK24)),FK25)/30,FK24,FK25)</f>
        <v>#VALUE!</v>
      </c>
      <c r="FL30" s="962" t="e">
        <f>[1]!bodmoadal(1,1,(FL23+1),[1]!qsn([1]!ml([1]!taqsha(1,1,1+FL23,FL24)),FL25)/30,FL24,FL25)</f>
        <v>#VALUE!</v>
      </c>
      <c r="FM30" s="962" t="e">
        <f>[1]!bodmoadal(1,1,(FM23+1),[1]!qsn([1]!ml([1]!taqsha(1,1,1+FM23,FM24)),FM25)/30,FM24,FM25)</f>
        <v>#VALUE!</v>
      </c>
      <c r="FN30" s="962" t="e">
        <f>[1]!bodmoadal(1,1,(FN23+1),[1]!qsn([1]!ml([1]!taqsha(1,1,1+FN23,FN24)),FN25)/30,FN24,FN25)</f>
        <v>#VALUE!</v>
      </c>
      <c r="FO30" s="962" t="e">
        <f>[1]!bodmoadal(1,1,(FO23+1),[1]!qsn([1]!ml([1]!taqsha(1,1,1+FO23,FO24)),FO25)/30,FO24,FO25)</f>
        <v>#VALUE!</v>
      </c>
      <c r="FP30" s="962" t="e">
        <f>[1]!bodmoadal(1,1,(FP23+1),[1]!qsn([1]!ml([1]!taqsha(1,1,1+FP23,FP24)),FP25)/30,FP24,FP25)</f>
        <v>#VALUE!</v>
      </c>
      <c r="FQ30" s="962" t="e">
        <f>[1]!bodmoadal(1,1,(FQ23+1),[1]!qsn([1]!ml([1]!taqsha(1,1,1+FQ23,FQ24)),FQ25)/30,FQ24,FQ25)</f>
        <v>#VALUE!</v>
      </c>
      <c r="FR30" s="962" t="e">
        <f>[1]!bodmoadal(1,1,(FR23+1),[1]!qsn([1]!ml([1]!taqsha(1,1,1+FR23,FR24)),FR25)/30,FR24,FR25)</f>
        <v>#VALUE!</v>
      </c>
      <c r="FS30" s="962" t="e">
        <f>[1]!bodmoadal(1,1,(FS23+1),[1]!qsn([1]!ml([1]!taqsha(1,1,1+FS23,FS24)),FS25)/30,FS24,FS25)</f>
        <v>#VALUE!</v>
      </c>
      <c r="FT30" s="962" t="e">
        <f>[1]!bodmoadal(1,1,(FT23+1),[1]!qsn([1]!ml([1]!taqsha(1,1,1+FT23,FT24)),FT25)/30,FT24,FT25)</f>
        <v>#VALUE!</v>
      </c>
      <c r="FU30" s="962" t="e">
        <f>[1]!bodmoadal(1,1,(FU23+1),[1]!qsn([1]!ml([1]!taqsha(1,1,1+FU23,FU24)),FU25)/30,FU24,FU25)</f>
        <v>#VALUE!</v>
      </c>
      <c r="FV30" s="962" t="e">
        <f>[1]!bodmoadal(1,1,(FV23+1),[1]!qsn([1]!ml([1]!taqsha(1,1,1+FV23,FV24)),FV25)/30,FV24,FV25)</f>
        <v>#VALUE!</v>
      </c>
      <c r="FW30" s="962" t="e">
        <f>[1]!bodmoadal(1,1,(FW23+1),[1]!qsn([1]!ml([1]!taqsha(1,1,1+FW23,FW24)),FW25)/30,FW24,FW25)</f>
        <v>#VALUE!</v>
      </c>
      <c r="FX30" s="962" t="e">
        <f>[1]!bodmoadal(1,1,(FX23+1),[1]!qsn([1]!ml([1]!taqsha(1,1,1+FX23,FX24)),FX25)/30,FX24,FX25)</f>
        <v>#VALUE!</v>
      </c>
      <c r="FY30" s="962" t="e">
        <f>[1]!bodmoadal(1,1,(FY23+1),[1]!qsn([1]!ml([1]!taqsha(1,1,1+FY23,FY24)),FY25)/30,FY24,FY25)</f>
        <v>#VALUE!</v>
      </c>
      <c r="FZ30" s="962" t="e">
        <f>[1]!bodmoadal(1,1,(FZ23+1),[1]!qsn([1]!ml([1]!taqsha(1,1,1+FZ23,FZ24)),FZ25)/30,FZ24,FZ25)</f>
        <v>#VALUE!</v>
      </c>
      <c r="GA30" s="962" t="e">
        <f>[1]!bodmoadal(1,1,(GA23+1),[1]!qsn([1]!ml([1]!taqsha(1,1,1+GA23,GA24)),GA25)/30,GA24,GA25)</f>
        <v>#VALUE!</v>
      </c>
      <c r="GB30" s="962" t="e">
        <f>[1]!bodmoadal(1,1,(GB23+1),[1]!qsn([1]!ml([1]!taqsha(1,1,1+GB23,GB24)),GB25)/30,GB24,GB25)</f>
        <v>#VALUE!</v>
      </c>
      <c r="GC30" s="962" t="e">
        <f>[1]!bodmoadal(1,1,(GC23+1),[1]!qsn([1]!ml([1]!taqsha(1,1,1+GC23,GC24)),GC25)/30,GC24,GC25)</f>
        <v>#VALUE!</v>
      </c>
      <c r="GD30" s="962" t="e">
        <f>[1]!bodmoadal(1,1,(GD23+1),[1]!qsn([1]!ml([1]!taqsha(1,1,1+GD23,GD24)),GD25)/30,GD24,GD25)</f>
        <v>#VALUE!</v>
      </c>
      <c r="GE30" s="962" t="e">
        <f>[1]!bodmoadal(1,1,(GE23+1),[1]!qsn([1]!ml([1]!taqsha(1,1,1+GE23,GE24)),GE25)/30,GE24,GE25)</f>
        <v>#VALUE!</v>
      </c>
      <c r="GF30" s="962" t="e">
        <f>[1]!bodmoadal(1,1,(GF23+1),[1]!qsn([1]!ml([1]!taqsha(1,1,1+GF23,GF24)),GF25)/30,GF24,GF25)</f>
        <v>#VALUE!</v>
      </c>
      <c r="GG30" s="962" t="e">
        <f>[1]!bodmoadal(1,1,(GG23+1),[1]!qsn([1]!ml([1]!taqsha(1,1,1+GG23,GG24)),GG25)/30,GG24,GG25)</f>
        <v>#VALUE!</v>
      </c>
      <c r="GH30" s="962" t="e">
        <f>[1]!bodmoadal(1,1,(GH23+1),[1]!qsn([1]!ml([1]!taqsha(1,1,1+GH23,GH24)),GH25)/30,GH24,GH25)</f>
        <v>#VALUE!</v>
      </c>
      <c r="GI30" s="962" t="e">
        <f>[1]!bodmoadal(1,1,(GI23+1),[1]!qsn([1]!ml([1]!taqsha(1,1,1+GI23,GI24)),GI25)/30,GI24,GI25)</f>
        <v>#VALUE!</v>
      </c>
      <c r="GJ30" s="962" t="e">
        <f>[1]!bodmoadal(1,1,(GJ23+1),[1]!qsn([1]!ml([1]!taqsha(1,1,1+GJ23,GJ24)),GJ25)/30,GJ24,GJ25)</f>
        <v>#VALUE!</v>
      </c>
      <c r="GK30" s="962" t="e">
        <f>[1]!bodmoadal(1,1,(GK23+1),[1]!qsn([1]!ml([1]!taqsha(1,1,1+GK23,GK24)),GK25)/30,GK24,GK25)</f>
        <v>#VALUE!</v>
      </c>
      <c r="GL30" s="962" t="e">
        <f>[1]!bodmoadal(1,1,(GL23+1),[1]!qsn([1]!ml([1]!taqsha(1,1,1+GL23,GL24)),GL25)/30,GL24,GL25)</f>
        <v>#VALUE!</v>
      </c>
      <c r="GM30" s="962" t="e">
        <f>[1]!bodmoadal(1,1,(GM23+1),[1]!qsn([1]!ml([1]!taqsha(1,1,1+GM23,GM24)),GM25)/30,GM24,GM25)</f>
        <v>#VALUE!</v>
      </c>
      <c r="GN30" s="962" t="e">
        <f>[1]!bodmoadal(1,1,(GN23+1),[1]!qsn([1]!ml([1]!taqsha(1,1,1+GN23,GN24)),GN25)/30,GN24,GN25)</f>
        <v>#VALUE!</v>
      </c>
      <c r="GO30" s="962" t="e">
        <f>[1]!bodmoadal(1,1,(GO23+1),[1]!qsn([1]!ml([1]!taqsha(1,1,1+GO23,GO24)),GO25)/30,GO24,GO25)</f>
        <v>#VALUE!</v>
      </c>
      <c r="GP30" s="962" t="e">
        <f>[1]!bodmoadal(1,1,(GP23+1),[1]!qsn([1]!ml([1]!taqsha(1,1,1+GP23,GP24)),GP25)/30,GP24,GP25)</f>
        <v>#VALUE!</v>
      </c>
      <c r="GQ30" s="962" t="e">
        <f>[1]!bodmoadal(1,1,(GQ23+1),[1]!qsn([1]!ml([1]!taqsha(1,1,1+GQ23,GQ24)),GQ25)/30,GQ24,GQ25)</f>
        <v>#VALUE!</v>
      </c>
      <c r="GR30" s="962" t="e">
        <f>[1]!bodmoadal(1,1,(GR23+1),[1]!qsn([1]!ml([1]!taqsha(1,1,1+GR23,GR24)),GR25)/30,GR24,GR25)</f>
        <v>#VALUE!</v>
      </c>
      <c r="GS30" s="962" t="e">
        <f>[1]!bodmoadal(1,1,(GS23+1),[1]!qsn([1]!ml([1]!taqsha(1,1,1+GS23,GS24)),GS25)/30,GS24,GS25)</f>
        <v>#VALUE!</v>
      </c>
      <c r="GT30" s="962" t="e">
        <f>[1]!bodmoadal(1,1,(GT23+1),[1]!qsn([1]!ml([1]!taqsha(1,1,1+GT23,GT24)),GT25)/30,GT24,GT25)</f>
        <v>#VALUE!</v>
      </c>
      <c r="GU30" s="962" t="e">
        <f>[1]!bodmoadal(1,1,(GU23+1),[1]!qsn([1]!ml([1]!taqsha(1,1,1+GU23,GU24)),GU25)/30,GU24,GU25)</f>
        <v>#VALUE!</v>
      </c>
      <c r="GV30" s="962" t="e">
        <f>[1]!bodmoadal(1,1,(GV23+1),[1]!qsn([1]!ml([1]!taqsha(1,1,1+GV23,GV24)),GV25)/30,GV24,GV25)</f>
        <v>#VALUE!</v>
      </c>
      <c r="GW30" s="962" t="e">
        <f>[1]!bodmoadal(1,1,(GW23+1),[1]!qsn([1]!ml([1]!taqsha(1,1,1+GW23,GW24)),GW25)/30,GW24,GW25)</f>
        <v>#VALUE!</v>
      </c>
      <c r="GX30" s="962" t="e">
        <f>[1]!bodmoadal(1,1,(GX23+1),[1]!qsn([1]!ml([1]!taqsha(1,1,1+GX23,GX24)),GX25)/30,GX24,GX25)</f>
        <v>#VALUE!</v>
      </c>
      <c r="GY30" s="962" t="e">
        <f>[1]!bodmoadal(1,1,(GY23+1),[1]!qsn([1]!ml([1]!taqsha(1,1,1+GY23,GY24)),GY25)/30,GY24,GY25)</f>
        <v>#VALUE!</v>
      </c>
      <c r="GZ30" s="962" t="e">
        <f>[1]!bodmoadal(1,1,(GZ23+1),[1]!qsn([1]!ml([1]!taqsha(1,1,1+GZ23,GZ24)),GZ25)/30,GZ24,GZ25)</f>
        <v>#VALUE!</v>
      </c>
      <c r="HA30" s="962" t="e">
        <f>[1]!bodmoadal(1,1,(HA23+1),[1]!qsn([1]!ml([1]!taqsha(1,1,1+HA23,HA24)),HA25)/30,HA24,HA25)</f>
        <v>#VALUE!</v>
      </c>
      <c r="HB30" s="962" t="e">
        <f>[1]!bodmoadal(1,1,(HB23+1),[1]!qsn([1]!ml([1]!taqsha(1,1,1+HB23,HB24)),HB25)/30,HB24,HB25)</f>
        <v>#VALUE!</v>
      </c>
      <c r="HC30" s="962" t="e">
        <f>[1]!bodmoadal(1,1,(HC23+1),[1]!qsn([1]!ml([1]!taqsha(1,1,1+HC23,HC24)),HC25)/30,HC24,HC25)</f>
        <v>#VALUE!</v>
      </c>
      <c r="HD30" s="962" t="e">
        <f>[1]!bodmoadal(1,1,(HD23+1),[1]!qsn([1]!ml([1]!taqsha(1,1,1+HD23,HD24)),HD25)/30,HD24,HD25)</f>
        <v>#VALUE!</v>
      </c>
      <c r="HE30" s="962" t="e">
        <f>[1]!bodmoadal(1,1,(HE23+1),[1]!qsn([1]!ml([1]!taqsha(1,1,1+HE23,HE24)),HE25)/30,HE24,HE25)</f>
        <v>#VALUE!</v>
      </c>
      <c r="HF30" s="962" t="e">
        <f>[1]!bodmoadal(1,1,(HF23+1),[1]!qsn([1]!ml([1]!taqsha(1,1,1+HF23,HF24)),HF25)/30,HF24,HF25)</f>
        <v>#VALUE!</v>
      </c>
      <c r="HG30" s="962" t="e">
        <f>[1]!bodmoadal(1,1,(HG23+1),[1]!qsn([1]!ml([1]!taqsha(1,1,1+HG23,HG24)),HG25)/30,HG24,HG25)</f>
        <v>#VALUE!</v>
      </c>
      <c r="HH30" s="962" t="e">
        <f>[1]!bodmoadal(1,1,(HH23+1),[1]!qsn([1]!ml([1]!taqsha(1,1,1+HH23,HH24)),HH25)/30,HH24,HH25)</f>
        <v>#VALUE!</v>
      </c>
      <c r="HI30" s="962" t="e">
        <f>[1]!bodmoadal(1,1,(HI23+1),[1]!qsn([1]!ml([1]!taqsha(1,1,1+HI23,HI24)),HI25)/30,HI24,HI25)</f>
        <v>#VALUE!</v>
      </c>
      <c r="HJ30" s="962" t="e">
        <f>[1]!bodmoadal(1,1,(HJ23+1),[1]!qsn([1]!ml([1]!taqsha(1,1,1+HJ23,HJ24)),HJ25)/30,HJ24,HJ25)</f>
        <v>#VALUE!</v>
      </c>
      <c r="HK30" s="962" t="e">
        <f>[1]!bodmoadal(1,1,(HK23+1),[1]!qsn([1]!ml([1]!taqsha(1,1,1+HK23,HK24)),HK25)/30,HK24,HK25)</f>
        <v>#VALUE!</v>
      </c>
      <c r="HL30" s="962" t="e">
        <f>[1]!bodmoadal(1,1,(HL23+1),[1]!qsn([1]!ml([1]!taqsha(1,1,1+HL23,HL24)),HL25)/30,HL24,HL25)</f>
        <v>#VALUE!</v>
      </c>
      <c r="HM30" s="962" t="e">
        <f>[1]!bodmoadal(1,1,(HM23+1),[1]!qsn([1]!ml([1]!taqsha(1,1,1+HM23,HM24)),HM25)/30,HM24,HM25)</f>
        <v>#VALUE!</v>
      </c>
      <c r="HN30" s="962" t="e">
        <f>[1]!bodmoadal(1,1,(HN23+1),[1]!qsn([1]!ml([1]!taqsha(1,1,1+HN23,HN24)),HN25)/30,HN24,HN25)</f>
        <v>#VALUE!</v>
      </c>
      <c r="HO30" s="962" t="e">
        <f>[1]!bodmoadal(1,1,(HO23+1),[1]!qsn([1]!ml([1]!taqsha(1,1,1+HO23,HO24)),HO25)/30,HO24,HO25)</f>
        <v>#VALUE!</v>
      </c>
      <c r="HP30" s="962" t="e">
        <f>[1]!bodmoadal(1,1,(HP23+1),[1]!qsn([1]!ml([1]!taqsha(1,1,1+HP23,HP24)),HP25)/30,HP24,HP25)</f>
        <v>#VALUE!</v>
      </c>
      <c r="HQ30" s="962" t="e">
        <f>[1]!bodmoadal(1,1,(HQ23+1),[1]!qsn([1]!ml([1]!taqsha(1,1,1+HQ23,HQ24)),HQ25)/30,HQ24,HQ25)</f>
        <v>#VALUE!</v>
      </c>
      <c r="HR30" s="962" t="e">
        <f>[1]!bodmoadal(1,1,(HR23+1),[1]!qsn([1]!ml([1]!taqsha(1,1,1+HR23,HR24)),HR25)/30,HR24,HR25)</f>
        <v>#VALUE!</v>
      </c>
      <c r="HS30" s="962" t="e">
        <f>[1]!bodmoadal(1,1,(HS23+1),[1]!qsn([1]!ml([1]!taqsha(1,1,1+HS23,HS24)),HS25)/30,HS24,HS25)</f>
        <v>#VALUE!</v>
      </c>
      <c r="HT30" s="962" t="e">
        <f>[1]!bodmoadal(1,1,(HT23+1),[1]!qsn([1]!ml([1]!taqsha(1,1,1+HT23,HT24)),HT25)/30,HT24,HT25)</f>
        <v>#VALUE!</v>
      </c>
      <c r="HU30" s="962" t="e">
        <f>[1]!bodmoadal(1,1,(HU23+1),[1]!qsn([1]!ml([1]!taqsha(1,1,1+HU23,HU24)),HU25)/30,HU24,HU25)</f>
        <v>#VALUE!</v>
      </c>
      <c r="HV30" s="962" t="e">
        <f>[1]!bodmoadal(1,1,(HV23+1),[1]!qsn([1]!ml([1]!taqsha(1,1,1+HV23,HV24)),HV25)/30,HV24,HV25)</f>
        <v>#VALUE!</v>
      </c>
      <c r="HW30" s="962" t="e">
        <f>[1]!bodmoadal(1,1,(HW23+1),[1]!qsn([1]!ml([1]!taqsha(1,1,1+HW23,HW24)),HW25)/30,HW24,HW25)</f>
        <v>#VALUE!</v>
      </c>
      <c r="HX30" s="962" t="e">
        <f>[1]!bodmoadal(1,1,(HX23+1),[1]!qsn([1]!ml([1]!taqsha(1,1,1+HX23,HX24)),HX25)/30,HX24,HX25)</f>
        <v>#VALUE!</v>
      </c>
      <c r="HY30" s="962" t="e">
        <f>[1]!bodmoadal(1,1,(HY23+1),[1]!qsn([1]!ml([1]!taqsha(1,1,1+HY23,HY24)),HY25)/30,HY24,HY25)</f>
        <v>#VALUE!</v>
      </c>
      <c r="HZ30" s="962" t="e">
        <f>[1]!bodmoadal(1,1,(HZ23+1),[1]!qsn([1]!ml([1]!taqsha(1,1,1+HZ23,HZ24)),HZ25)/30,HZ24,HZ25)</f>
        <v>#VALUE!</v>
      </c>
      <c r="IA30" s="962" t="e">
        <f>[1]!bodmoadal(1,1,(IA23+1),[1]!qsn([1]!ml([1]!taqsha(1,1,1+IA23,IA24)),IA25)/30,IA24,IA25)</f>
        <v>#VALUE!</v>
      </c>
      <c r="IB30" s="962" t="e">
        <f>[1]!bodmoadal(1,1,(IB23+1),[1]!qsn([1]!ml([1]!taqsha(1,1,1+IB23,IB24)),IB25)/30,IB24,IB25)</f>
        <v>#VALUE!</v>
      </c>
      <c r="IC30" s="962" t="e">
        <f>[1]!bodmoadal(1,1,(IC23+1),[1]!qsn([1]!ml([1]!taqsha(1,1,1+IC23,IC24)),IC25)/30,IC24,IC25)</f>
        <v>#VALUE!</v>
      </c>
      <c r="ID30" s="962" t="e">
        <f>[1]!bodmoadal(1,1,(ID23+1),[1]!qsn([1]!ml([1]!taqsha(1,1,1+ID23,ID24)),ID25)/30,ID24,ID25)</f>
        <v>#VALUE!</v>
      </c>
      <c r="IE30" s="962" t="e">
        <f>[1]!bodmoadal(1,1,(IE23+1),[1]!qsn([1]!ml([1]!taqsha(1,1,1+IE23,IE24)),IE25)/30,IE24,IE25)</f>
        <v>#VALUE!</v>
      </c>
      <c r="IF30" s="962" t="e">
        <f>[1]!bodmoadal(1,1,(IF23+1),[1]!qsn([1]!ml([1]!taqsha(1,1,1+IF23,IF24)),IF25)/30,IF24,IF25)</f>
        <v>#VALUE!</v>
      </c>
      <c r="IG30" s="962" t="e">
        <f>[1]!bodmoadal(1,1,(IG23+1),[1]!qsn([1]!ml([1]!taqsha(1,1,1+IG23,IG24)),IG25)/30,IG24,IG25)</f>
        <v>#VALUE!</v>
      </c>
      <c r="IH30" s="962" t="e">
        <f>[1]!bodmoadal(1,1,(IH23+1),[1]!qsn([1]!ml([1]!taqsha(1,1,1+IH23,IH24)),IH25)/30,IH24,IH25)</f>
        <v>#VALUE!</v>
      </c>
      <c r="II30" s="962" t="e">
        <f>[1]!bodmoadal(1,1,(II23+1),[1]!qsn([1]!ml([1]!taqsha(1,1,1+II23,II24)),II25)/30,II24,II25)</f>
        <v>#VALUE!</v>
      </c>
      <c r="IJ30" s="962" t="e">
        <f>[1]!bodmoadal(1,1,(IJ23+1),[1]!qsn([1]!ml([1]!taqsha(1,1,1+IJ23,IJ24)),IJ25)/30,IJ24,IJ25)</f>
        <v>#VALUE!</v>
      </c>
      <c r="IK30" s="962" t="e">
        <f>[1]!bodmoadal(1,1,(IK23+1),[1]!qsn([1]!ml([1]!taqsha(1,1,1+IK23,IK24)),IK25)/30,IK24,IK25)</f>
        <v>#VALUE!</v>
      </c>
      <c r="IL30" s="962" t="e">
        <f>[1]!bodmoadal(1,1,(IL23+1),[1]!qsn([1]!ml([1]!taqsha(1,1,1+IL23,IL24)),IL25)/30,IL24,IL25)</f>
        <v>#VALUE!</v>
      </c>
      <c r="IM30" s="962" t="e">
        <f>[1]!bodmoadal(1,1,(IM23+1),[1]!qsn([1]!ml([1]!taqsha(1,1,1+IM23,IM24)),IM25)/30,IM24,IM25)</f>
        <v>#VALUE!</v>
      </c>
      <c r="IN30" s="962" t="e">
        <f>[1]!bodmoadal(1,1,(IN23+1),[1]!qsn([1]!ml([1]!taqsha(1,1,1+IN23,IN24)),IN25)/30,IN24,IN25)</f>
        <v>#VALUE!</v>
      </c>
      <c r="IO30" s="962" t="e">
        <f>[1]!bodmoadal(1,1,(IO23+1),[1]!qsn([1]!ml([1]!taqsha(1,1,1+IO23,IO24)),IO25)/30,IO24,IO25)</f>
        <v>#VALUE!</v>
      </c>
      <c r="IP30" s="962" t="e">
        <f>[1]!bodmoadal(1,1,(IP23+1),[1]!qsn([1]!ml([1]!taqsha(1,1,1+IP23,IP24)),IP25)/30,IP24,IP25)</f>
        <v>#VALUE!</v>
      </c>
      <c r="IQ30" s="962" t="e">
        <f>[1]!bodmoadal(1,1,(IQ23+1),[1]!qsn([1]!ml([1]!taqsha(1,1,1+IQ23,IQ24)),IQ25)/30,IQ24,IQ25)</f>
        <v>#VALUE!</v>
      </c>
      <c r="IR30" s="962" t="e">
        <f>[1]!bodmoadal(1,1,(IR23+1),[1]!qsn([1]!ml([1]!taqsha(1,1,1+IR23,IR24)),IR25)/30,IR24,IR25)</f>
        <v>#VALUE!</v>
      </c>
      <c r="IS30" s="962" t="e">
        <f>[1]!bodmoadal(1,1,(IS23+1),[1]!qsn([1]!ml([1]!taqsha(1,1,1+IS23,IS24)),IS25)/30,IS24,IS25)</f>
        <v>#VALUE!</v>
      </c>
      <c r="IT30" s="962" t="e">
        <f>[1]!bodmoadal(1,1,(IT23+1),[1]!qsn([1]!ml([1]!taqsha(1,1,1+IT23,IT24)),IT25)/30,IT24,IT25)</f>
        <v>#VALUE!</v>
      </c>
      <c r="IU30" s="962" t="e">
        <f>[1]!bodmoadal(1,1,(IU23+1),[1]!qsn([1]!ml([1]!taqsha(1,1,1+IU23,IU24)),IU25)/30,IU24,IU25)</f>
        <v>#VALUE!</v>
      </c>
      <c r="IV30" s="962" t="e">
        <f>[1]!bodmoadal(1,1,(IV23+1),[1]!qsn([1]!ml([1]!taqsha(1,1,1+IV23,IV24)),IV25)/30,IV24,IV25)</f>
        <v>#VALUE!</v>
      </c>
      <c r="IW30" s="962" t="e">
        <f>[1]!bodmoadal(1,1,(IW23+1),[1]!qsn([1]!ml([1]!taqsha(1,1,1+IW23,IW24)),IW25)/30,IW24,IW25)</f>
        <v>#VALUE!</v>
      </c>
      <c r="IX30" s="962" t="e">
        <f>[1]!bodmoadal(1,1,(IX23+1),[1]!qsn([1]!ml([1]!taqsha(1,1,1+IX23,IX24)),IX25)/30,IX24,IX25)</f>
        <v>#VALUE!</v>
      </c>
      <c r="IY30" s="962" t="e">
        <f>[1]!bodmoadal(1,1,(IY23+1),[1]!qsn([1]!ml([1]!taqsha(1,1,1+IY23,IY24)),IY25)/30,IY24,IY25)</f>
        <v>#VALUE!</v>
      </c>
      <c r="IZ30" s="962" t="e">
        <f>[1]!bodmoadal(1,1,(IZ23+1),[1]!qsn([1]!ml([1]!taqsha(1,1,1+IZ23,IZ24)),IZ25)/30,IZ24,IZ25)</f>
        <v>#VALUE!</v>
      </c>
      <c r="JA30" s="962" t="e">
        <f>[1]!bodmoadal(1,1,(JA23+1),[1]!qsn([1]!ml([1]!taqsha(1,1,1+JA23,JA24)),JA25)/30,JA24,JA25)</f>
        <v>#VALUE!</v>
      </c>
      <c r="JB30" s="962" t="e">
        <f>[1]!bodmoadal(1,1,(JB23+1),[1]!qsn([1]!ml([1]!taqsha(1,1,1+JB23,JB24)),JB25)/30,JB24,JB25)</f>
        <v>#VALUE!</v>
      </c>
      <c r="JC30" s="962" t="e">
        <f>[1]!bodmoadal(1,1,(JC23+1),[1]!qsn([1]!ml([1]!taqsha(1,1,1+JC23,JC24)),JC25)/30,JC24,JC25)</f>
        <v>#VALUE!</v>
      </c>
      <c r="JD30" s="962" t="e">
        <f>[1]!bodmoadal(1,1,(JD23+1),[1]!qsn([1]!ml([1]!taqsha(1,1,1+JD23,JD24)),JD25)/30,JD24,JD25)</f>
        <v>#VALUE!</v>
      </c>
      <c r="JE30" s="962" t="e">
        <f>[1]!bodmoadal(1,1,(JE23+1),[1]!qsn([1]!ml([1]!taqsha(1,1,1+JE23,JE24)),JE25)/30,JE24,JE25)</f>
        <v>#VALUE!</v>
      </c>
      <c r="JF30" s="962" t="e">
        <f>[1]!bodmoadal(1,1,(JF23+1),[1]!qsn([1]!ml([1]!taqsha(1,1,1+JF23,JF24)),JF25)/30,JF24,JF25)</f>
        <v>#VALUE!</v>
      </c>
      <c r="JG30" s="962" t="e">
        <f>[1]!bodmoadal(1,1,(JG23+1),[1]!qsn([1]!ml([1]!taqsha(1,1,1+JG23,JG24)),JG25)/30,JG24,JG25)</f>
        <v>#VALUE!</v>
      </c>
      <c r="JH30" s="962" t="e">
        <f>[1]!bodmoadal(1,1,(JH23+1),[1]!qsn([1]!ml([1]!taqsha(1,1,1+JH23,JH24)),JH25)/30,JH24,JH25)</f>
        <v>#VALUE!</v>
      </c>
      <c r="JI30" s="962" t="e">
        <f>[1]!bodmoadal(1,1,(JI23+1),[1]!qsn([1]!ml([1]!taqsha(1,1,1+JI23,JI24)),JI25)/30,JI24,JI25)</f>
        <v>#VALUE!</v>
      </c>
      <c r="JJ30" s="962" t="e">
        <f>[1]!bodmoadal(1,1,(JJ23+1),[1]!qsn([1]!ml([1]!taqsha(1,1,1+JJ23,JJ24)),JJ25)/30,JJ24,JJ25)</f>
        <v>#VALUE!</v>
      </c>
      <c r="JK30" s="962" t="e">
        <f>[1]!bodmoadal(1,1,(JK23+1),[1]!qsn([1]!ml([1]!taqsha(1,1,1+JK23,JK24)),JK25)/30,JK24,JK25)</f>
        <v>#VALUE!</v>
      </c>
      <c r="JL30" s="962" t="e">
        <f>[1]!bodmoadal(1,1,(JL23+1),[1]!qsn([1]!ml([1]!taqsha(1,1,1+JL23,JL24)),JL25)/30,JL24,JL25)</f>
        <v>#VALUE!</v>
      </c>
      <c r="JM30" s="962" t="e">
        <f>[1]!bodmoadal(1,1,(JM23+1),[1]!qsn([1]!ml([1]!taqsha(1,1,1+JM23,JM24)),JM25)/30,JM24,JM25)</f>
        <v>#VALUE!</v>
      </c>
      <c r="JN30" s="962" t="e">
        <f>[1]!bodmoadal(1,1,(JN23+1),[1]!qsn([1]!ml([1]!taqsha(1,1,1+JN23,JN24)),JN25)/30,JN24,JN25)</f>
        <v>#VALUE!</v>
      </c>
      <c r="JO30" s="962" t="e">
        <f>[1]!bodmoadal(1,1,(JO23+1),[1]!qsn([1]!ml([1]!taqsha(1,1,1+JO23,JO24)),JO25)/30,JO24,JO25)</f>
        <v>#VALUE!</v>
      </c>
      <c r="JP30" s="962" t="e">
        <f>[1]!bodmoadal(1,1,(JP23+1),[1]!qsn([1]!ml([1]!taqsha(1,1,1+JP23,JP24)),JP25)/30,JP24,JP25)</f>
        <v>#VALUE!</v>
      </c>
      <c r="JQ30" s="962" t="e">
        <f>[1]!bodmoadal(1,1,(JQ23+1),[1]!qsn([1]!ml([1]!taqsha(1,1,1+JQ23,JQ24)),JQ25)/30,JQ24,JQ25)</f>
        <v>#VALUE!</v>
      </c>
      <c r="JR30" s="962" t="e">
        <f>[1]!bodmoadal(1,1,(JR23+1),[1]!qsn([1]!ml([1]!taqsha(1,1,1+JR23,JR24)),JR25)/30,JR24,JR25)</f>
        <v>#VALUE!</v>
      </c>
      <c r="JS30" s="962" t="e">
        <f>[1]!bodmoadal(1,1,(JS23+1),[1]!qsn([1]!ml([1]!taqsha(1,1,1+JS23,JS24)),JS25)/30,JS24,JS25)</f>
        <v>#VALUE!</v>
      </c>
      <c r="JT30" s="962" t="e">
        <f>[1]!bodmoadal(1,1,(JT23+1),[1]!qsn([1]!ml([1]!taqsha(1,1,1+JT23,JT24)),JT25)/30,JT24,JT25)</f>
        <v>#VALUE!</v>
      </c>
      <c r="JU30" s="962" t="e">
        <f>[1]!bodmoadal(1,1,(JU23+1),[1]!qsn([1]!ml([1]!taqsha(1,1,1+JU23,JU24)),JU25)/30,JU24,JU25)</f>
        <v>#VALUE!</v>
      </c>
      <c r="JV30" s="962" t="e">
        <f>[1]!bodmoadal(1,1,(JV23+1),[1]!qsn([1]!ml([1]!taqsha(1,1,1+JV23,JV24)),JV25)/30,JV24,JV25)</f>
        <v>#VALUE!</v>
      </c>
      <c r="JW30" s="962" t="e">
        <f>[1]!bodmoadal(1,1,(JW23+1),[1]!qsn([1]!ml([1]!taqsha(1,1,1+JW23,JW24)),JW25)/30,JW24,JW25)</f>
        <v>#VALUE!</v>
      </c>
      <c r="JX30" s="962" t="e">
        <f>[1]!bodmoadal(1,1,(JX23+1),[1]!qsn([1]!ml([1]!taqsha(1,1,1+JX23,JX24)),JX25)/30,JX24,JX25)</f>
        <v>#VALUE!</v>
      </c>
      <c r="JY30" s="962" t="e">
        <f>[1]!bodmoadal(1,1,(JY23+1),[1]!qsn([1]!ml([1]!taqsha(1,1,1+JY23,JY24)),JY25)/30,JY24,JY25)</f>
        <v>#VALUE!</v>
      </c>
      <c r="JZ30" s="962" t="e">
        <f>[1]!bodmoadal(1,1,(JZ23+1),[1]!qsn([1]!ml([1]!taqsha(1,1,1+JZ23,JZ24)),JZ25)/30,JZ24,JZ25)</f>
        <v>#VALUE!</v>
      </c>
      <c r="KA30" s="962" t="e">
        <f>[1]!bodmoadal(1,1,(KA23+1),[1]!qsn([1]!ml([1]!taqsha(1,1,1+KA23,KA24)),KA25)/30,KA24,KA25)</f>
        <v>#VALUE!</v>
      </c>
      <c r="KB30" s="962" t="e">
        <f>[1]!bodmoadal(1,1,(KB23+1),[1]!qsn([1]!ml([1]!taqsha(1,1,1+KB23,KB24)),KB25)/30,KB24,KB25)</f>
        <v>#VALUE!</v>
      </c>
      <c r="KC30" s="962" t="e">
        <f>[1]!bodmoadal(1,1,(KC23+1),[1]!qsn([1]!ml([1]!taqsha(1,1,1+KC23,KC24)),KC25)/30,KC24,KC25)</f>
        <v>#VALUE!</v>
      </c>
      <c r="KD30" s="962" t="e">
        <f>[1]!bodmoadal(1,1,(KD23+1),[1]!qsn([1]!ml([1]!taqsha(1,1,1+KD23,KD24)),KD25)/30,KD24,KD25)</f>
        <v>#VALUE!</v>
      </c>
      <c r="KE30" s="962" t="e">
        <f>[1]!bodmoadal(1,1,(KE23+1),[1]!qsn([1]!ml([1]!taqsha(1,1,1+KE23,KE24)),KE25)/30,KE24,KE25)</f>
        <v>#VALUE!</v>
      </c>
      <c r="KF30" s="962" t="e">
        <f>[1]!bodmoadal(1,1,(KF23+1),[1]!qsn([1]!ml([1]!taqsha(1,1,1+KF23,KF24)),KF25)/30,KF24,KF25)</f>
        <v>#VALUE!</v>
      </c>
      <c r="KG30" s="962" t="e">
        <f>[1]!bodmoadal(1,1,(KG23+1),[1]!qsn([1]!ml([1]!taqsha(1,1,1+KG23,KG24)),KG25)/30,KG24,KG25)</f>
        <v>#VALUE!</v>
      </c>
      <c r="KH30" s="962" t="e">
        <f>[1]!bodmoadal(1,1,(KH23+1),[1]!qsn([1]!ml([1]!taqsha(1,1,1+KH23,KH24)),KH25)/30,KH24,KH25)</f>
        <v>#VALUE!</v>
      </c>
      <c r="KI30" s="962" t="e">
        <f>[1]!bodmoadal(1,1,(KI23+1),[1]!qsn([1]!ml([1]!taqsha(1,1,1+KI23,KI24)),KI25)/30,KI24,KI25)</f>
        <v>#VALUE!</v>
      </c>
      <c r="KJ30" s="962" t="e">
        <f>[1]!bodmoadal(1,1,(KJ23+1),[1]!qsn([1]!ml([1]!taqsha(1,1,1+KJ23,KJ24)),KJ25)/30,KJ24,KJ25)</f>
        <v>#VALUE!</v>
      </c>
      <c r="KK30" s="962" t="e">
        <f>[1]!bodmoadal(1,1,(KK23+1),[1]!qsn([1]!ml([1]!taqsha(1,1,1+KK23,KK24)),KK25)/30,KK24,KK25)</f>
        <v>#VALUE!</v>
      </c>
      <c r="KL30" s="962" t="e">
        <f>[1]!bodmoadal(1,1,(KL23+1),[1]!qsn([1]!ml([1]!taqsha(1,1,1+KL23,KL24)),KL25)/30,KL24,KL25)</f>
        <v>#VALUE!</v>
      </c>
      <c r="KM30" s="962" t="e">
        <f>[1]!bodmoadal(1,1,(KM23+1),[1]!qsn([1]!ml([1]!taqsha(1,1,1+KM23,KM24)),KM25)/30,KM24,KM25)</f>
        <v>#VALUE!</v>
      </c>
      <c r="KN30" s="962" t="e">
        <f>[1]!bodmoadal(1,1,(KN23+1),[1]!qsn([1]!ml([1]!taqsha(1,1,1+KN23,KN24)),KN25)/30,KN24,KN25)</f>
        <v>#VALUE!</v>
      </c>
      <c r="KO30" s="962" t="e">
        <f>[1]!bodmoadal(1,1,(KO23+1),[1]!qsn([1]!ml([1]!taqsha(1,1,1+KO23,KO24)),KO25)/30,KO24,KO25)</f>
        <v>#VALUE!</v>
      </c>
      <c r="KP30" s="962" t="e">
        <f>[1]!bodmoadal(1,1,(KP23+1),[1]!qsn([1]!ml([1]!taqsha(1,1,1+KP23,KP24)),KP25)/30,KP24,KP25)</f>
        <v>#VALUE!</v>
      </c>
      <c r="KQ30" s="962" t="e">
        <f>[1]!bodmoadal(1,1,(KQ23+1),[1]!qsn([1]!ml([1]!taqsha(1,1,1+KQ23,KQ24)),KQ25)/30,KQ24,KQ25)</f>
        <v>#VALUE!</v>
      </c>
      <c r="KR30" s="962" t="e">
        <f>[1]!bodmoadal(1,1,(KR23+1),[1]!qsn([1]!ml([1]!taqsha(1,1,1+KR23,KR24)),KR25)/30,KR24,KR25)</f>
        <v>#VALUE!</v>
      </c>
      <c r="KS30" s="962" t="e">
        <f>[1]!bodmoadal(1,1,(KS23+1),[1]!qsn([1]!ml([1]!taqsha(1,1,1+KS23,KS24)),KS25)/30,KS24,KS25)</f>
        <v>#VALUE!</v>
      </c>
      <c r="KT30" s="962" t="e">
        <f>[1]!bodmoadal(1,1,(KT23+1),[1]!qsn([1]!ml([1]!taqsha(1,1,1+KT23,KT24)),KT25)/30,KT24,KT25)</f>
        <v>#VALUE!</v>
      </c>
      <c r="KU30" s="962" t="e">
        <f>[1]!bodmoadal(1,1,(KU23+1),[1]!qsn([1]!ml([1]!taqsha(1,1,1+KU23,KU24)),KU25)/30,KU24,KU25)</f>
        <v>#VALUE!</v>
      </c>
      <c r="KV30" s="962" t="e">
        <f>[1]!bodmoadal(1,1,(KV23+1),[1]!qsn([1]!ml([1]!taqsha(1,1,1+KV23,KV24)),KV25)/30,KV24,KV25)</f>
        <v>#VALUE!</v>
      </c>
      <c r="KW30" s="962" t="e">
        <f>[1]!bodmoadal(1,1,(KW23+1),[1]!qsn([1]!ml([1]!taqsha(1,1,1+KW23,KW24)),KW25)/30,KW24,KW25)</f>
        <v>#VALUE!</v>
      </c>
      <c r="KX30" s="962" t="e">
        <f>[1]!bodmoadal(1,1,(KX23+1),[1]!qsn([1]!ml([1]!taqsha(1,1,1+KX23,KX24)),KX25)/30,KX24,KX25)</f>
        <v>#VALUE!</v>
      </c>
      <c r="KY30" s="962" t="e">
        <f>[1]!bodmoadal(1,1,(KY23+1),[1]!qsn([1]!ml([1]!taqsha(1,1,1+KY23,KY24)),KY25)/30,KY24,KY25)</f>
        <v>#VALUE!</v>
      </c>
      <c r="KZ30" s="962" t="e">
        <f>[1]!bodmoadal(1,1,(KZ23+1),[1]!qsn([1]!ml([1]!taqsha(1,1,1+KZ23,KZ24)),KZ25)/30,KZ24,KZ25)</f>
        <v>#VALUE!</v>
      </c>
      <c r="LA30" s="962" t="e">
        <f>[1]!bodmoadal(1,1,(LA23+1),[1]!qsn([1]!ml([1]!taqsha(1,1,1+LA23,LA24)),LA25)/30,LA24,LA25)</f>
        <v>#VALUE!</v>
      </c>
      <c r="LB30" s="962" t="e">
        <f>[1]!bodmoadal(1,1,(LB23+1),[1]!qsn([1]!ml([1]!taqsha(1,1,1+LB23,LB24)),LB25)/30,LB24,LB25)</f>
        <v>#VALUE!</v>
      </c>
      <c r="LC30" s="962" t="e">
        <f>[1]!bodmoadal(1,1,(LC23+1),[1]!qsn([1]!ml([1]!taqsha(1,1,1+LC23,LC24)),LC25)/30,LC24,LC25)</f>
        <v>#VALUE!</v>
      </c>
      <c r="LD30" s="962" t="e">
        <f>[1]!bodmoadal(1,1,(LD23+1),[1]!qsn([1]!ml([1]!taqsha(1,1,1+LD23,LD24)),LD25)/30,LD24,LD25)</f>
        <v>#VALUE!</v>
      </c>
      <c r="LE30" s="962" t="e">
        <f>[1]!bodmoadal(1,1,(LE23+1),[1]!qsn([1]!ml([1]!taqsha(1,1,1+LE23,LE24)),LE25)/30,LE24,LE25)</f>
        <v>#VALUE!</v>
      </c>
      <c r="LF30" s="962" t="e">
        <f>[1]!bodmoadal(1,1,(LF23+1),[1]!qsn([1]!ml([1]!taqsha(1,1,1+LF23,LF24)),LF25)/30,LF24,LF25)</f>
        <v>#VALUE!</v>
      </c>
      <c r="LG30" s="962" t="e">
        <f>[1]!bodmoadal(1,1,(LG23+1),[1]!qsn([1]!ml([1]!taqsha(1,1,1+LG23,LG24)),LG25)/30,LG24,LG25)</f>
        <v>#VALUE!</v>
      </c>
      <c r="LH30" s="962" t="e">
        <f>[1]!bodmoadal(1,1,(LH23+1),[1]!qsn([1]!ml([1]!taqsha(1,1,1+LH23,LH24)),LH25)/30,LH24,LH25)</f>
        <v>#VALUE!</v>
      </c>
      <c r="LI30" s="962" t="e">
        <f>[1]!bodmoadal(1,1,(LI23+1),[1]!qsn([1]!ml([1]!taqsha(1,1,1+LI23,LI24)),LI25)/30,LI24,LI25)</f>
        <v>#VALUE!</v>
      </c>
      <c r="LJ30" s="962" t="e">
        <f>[1]!bodmoadal(1,1,(LJ23+1),[1]!qsn([1]!ml([1]!taqsha(1,1,1+LJ23,LJ24)),LJ25)/30,LJ24,LJ25)</f>
        <v>#VALUE!</v>
      </c>
      <c r="LK30" s="962" t="e">
        <f>[1]!bodmoadal(1,1,(LK23+1),[1]!qsn([1]!ml([1]!taqsha(1,1,1+LK23,LK24)),LK25)/30,LK24,LK25)</f>
        <v>#VALUE!</v>
      </c>
      <c r="LL30" s="962" t="e">
        <f>[1]!bodmoadal(1,1,(LL23+1),[1]!qsn([1]!ml([1]!taqsha(1,1,1+LL23,LL24)),LL25)/30,LL24,LL25)</f>
        <v>#VALUE!</v>
      </c>
      <c r="LM30" s="962" t="e">
        <f>[1]!bodmoadal(1,1,(LM23+1),[1]!qsn([1]!ml([1]!taqsha(1,1,1+LM23,LM24)),LM25)/30,LM24,LM25)</f>
        <v>#VALUE!</v>
      </c>
      <c r="LN30" s="962" t="e">
        <f>[1]!bodmoadal(1,1,(LN23+1),[1]!qsn([1]!ml([1]!taqsha(1,1,1+LN23,LN24)),LN25)/30,LN24,LN25)</f>
        <v>#VALUE!</v>
      </c>
      <c r="LO30" s="962" t="e">
        <f>[1]!bodmoadal(1,1,(LO23+1),[1]!qsn([1]!ml([1]!taqsha(1,1,1+LO23,LO24)),LO25)/30,LO24,LO25)</f>
        <v>#VALUE!</v>
      </c>
      <c r="LP30" s="962" t="e">
        <f>[1]!bodmoadal(1,1,(LP23+1),[1]!qsn([1]!ml([1]!taqsha(1,1,1+LP23,LP24)),LP25)/30,LP24,LP25)</f>
        <v>#VALUE!</v>
      </c>
      <c r="LQ30" s="962" t="e">
        <f>[1]!bodmoadal(1,1,(LQ23+1),[1]!qsn([1]!ml([1]!taqsha(1,1,1+LQ23,LQ24)),LQ25)/30,LQ24,LQ25)</f>
        <v>#VALUE!</v>
      </c>
      <c r="LR30" s="962" t="e">
        <f>[1]!bodmoadal(1,1,(LR23+1),[1]!qsn([1]!ml([1]!taqsha(1,1,1+LR23,LR24)),LR25)/30,LR24,LR25)</f>
        <v>#VALUE!</v>
      </c>
      <c r="LS30" s="962" t="e">
        <f>[1]!bodmoadal(1,1,(LS23+1),[1]!qsn([1]!ml([1]!taqsha(1,1,1+LS23,LS24)),LS25)/30,LS24,LS25)</f>
        <v>#VALUE!</v>
      </c>
      <c r="LT30" s="962" t="e">
        <f>[1]!bodmoadal(1,1,(LT23+1),[1]!qsn([1]!ml([1]!taqsha(1,1,1+LT23,LT24)),LT25)/30,LT24,LT25)</f>
        <v>#VALUE!</v>
      </c>
      <c r="LU30" s="962" t="e">
        <f>[1]!bodmoadal(1,1,(LU23+1),[1]!qsn([1]!ml([1]!taqsha(1,1,1+LU23,LU24)),LU25)/30,LU24,LU25)</f>
        <v>#VALUE!</v>
      </c>
      <c r="LV30" s="962" t="e">
        <f>[1]!bodmoadal(1,1,(LV23+1),[1]!qsn([1]!ml([1]!taqsha(1,1,1+LV23,LV24)),LV25)/30,LV24,LV25)</f>
        <v>#VALUE!</v>
      </c>
      <c r="LW30" s="962" t="e">
        <f>[1]!bodmoadal(1,1,(LW23+1),[1]!qsn([1]!ml([1]!taqsha(1,1,1+LW23,LW24)),LW25)/30,LW24,LW25)</f>
        <v>#VALUE!</v>
      </c>
      <c r="LX30" s="962" t="e">
        <f>[1]!bodmoadal(1,1,(LX23+1),[1]!qsn([1]!ml([1]!taqsha(1,1,1+LX23,LX24)),LX25)/30,LX24,LX25)</f>
        <v>#VALUE!</v>
      </c>
      <c r="LY30" s="962" t="e">
        <f>[1]!bodmoadal(1,1,(LY23+1),[1]!qsn([1]!ml([1]!taqsha(1,1,1+LY23,LY24)),LY25)/30,LY24,LY25)</f>
        <v>#VALUE!</v>
      </c>
      <c r="LZ30" s="962" t="e">
        <f>[1]!bodmoadal(1,1,(LZ23+1),[1]!qsn([1]!ml([1]!taqsha(1,1,1+LZ23,LZ24)),LZ25)/30,LZ24,LZ25)</f>
        <v>#VALUE!</v>
      </c>
      <c r="MA30" s="962" t="e">
        <f>[1]!bodmoadal(1,1,(MA23+1),[1]!qsn([1]!ml([1]!taqsha(1,1,1+MA23,MA24)),MA25)/30,MA24,MA25)</f>
        <v>#VALUE!</v>
      </c>
      <c r="MB30" s="962" t="e">
        <f>[1]!bodmoadal(1,1,(MB23+1),[1]!qsn([1]!ml([1]!taqsha(1,1,1+MB23,MB24)),MB25)/30,MB24,MB25)</f>
        <v>#VALUE!</v>
      </c>
      <c r="MC30" s="962" t="e">
        <f>[1]!bodmoadal(1,1,(MC23+1),[1]!qsn([1]!ml([1]!taqsha(1,1,1+MC23,MC24)),MC25)/30,MC24,MC25)</f>
        <v>#VALUE!</v>
      </c>
      <c r="MD30" s="962" t="e">
        <f>[1]!bodmoadal(1,1,(MD23+1),[1]!qsn([1]!ml([1]!taqsha(1,1,1+MD23,MD24)),MD25)/30,MD24,MD25)</f>
        <v>#VALUE!</v>
      </c>
      <c r="ME30" s="962" t="e">
        <f>[1]!bodmoadal(1,1,(ME23+1),[1]!qsn([1]!ml([1]!taqsha(1,1,1+ME23,ME24)),ME25)/30,ME24,ME25)</f>
        <v>#VALUE!</v>
      </c>
      <c r="MF30" s="962" t="e">
        <f>[1]!bodmoadal(1,1,(MF23+1),[1]!qsn([1]!ml([1]!taqsha(1,1,1+MF23,MF24)),MF25)/30,MF24,MF25)</f>
        <v>#VALUE!</v>
      </c>
      <c r="MG30" s="962" t="e">
        <f>[1]!bodmoadal(1,1,(MG23+1),[1]!qsn([1]!ml([1]!taqsha(1,1,1+MG23,MG24)),MG25)/30,MG24,MG25)</f>
        <v>#VALUE!</v>
      </c>
      <c r="MH30" s="962" t="e">
        <f>[1]!bodmoadal(1,1,(MH23+1),[1]!qsn([1]!ml([1]!taqsha(1,1,1+MH23,MH24)),MH25)/30,MH24,MH25)</f>
        <v>#VALUE!</v>
      </c>
      <c r="MI30" s="962" t="e">
        <f>[1]!bodmoadal(1,1,(MI23+1),[1]!qsn([1]!ml([1]!taqsha(1,1,1+MI23,MI24)),MI25)/30,MI24,MI25)</f>
        <v>#VALUE!</v>
      </c>
      <c r="MJ30" s="962" t="e">
        <f>[1]!bodmoadal(1,1,(MJ23+1),[1]!qsn([1]!ml([1]!taqsha(1,1,1+MJ23,MJ24)),MJ25)/30,MJ24,MJ25)</f>
        <v>#VALUE!</v>
      </c>
      <c r="MK30" s="962" t="e">
        <f>[1]!bodmoadal(1,1,(MK23+1),[1]!qsn([1]!ml([1]!taqsha(1,1,1+MK23,MK24)),MK25)/30,MK24,MK25)</f>
        <v>#VALUE!</v>
      </c>
      <c r="ML30" s="962" t="e">
        <f>[1]!bodmoadal(1,1,(ML23+1),[1]!qsn([1]!ml([1]!taqsha(1,1,1+ML23,ML24)),ML25)/30,ML24,ML25)</f>
        <v>#VALUE!</v>
      </c>
      <c r="MM30" s="962" t="e">
        <f>[1]!bodmoadal(1,1,(MM23+1),[1]!qsn([1]!ml([1]!taqsha(1,1,1+MM23,MM24)),MM25)/30,MM24,MM25)</f>
        <v>#VALUE!</v>
      </c>
      <c r="MN30" s="962" t="e">
        <f>[1]!bodmoadal(1,1,(MN23+1),[1]!qsn([1]!ml([1]!taqsha(1,1,1+MN23,MN24)),MN25)/30,MN24,MN25)</f>
        <v>#VALUE!</v>
      </c>
      <c r="MO30" s="962" t="e">
        <f>[1]!bodmoadal(1,1,(MO23+1),[1]!qsn([1]!ml([1]!taqsha(1,1,1+MO23,MO24)),MO25)/30,MO24,MO25)</f>
        <v>#VALUE!</v>
      </c>
      <c r="MP30" s="962" t="e">
        <f>[1]!bodmoadal(1,1,(MP23+1),[1]!qsn([1]!ml([1]!taqsha(1,1,1+MP23,MP24)),MP25)/30,MP24,MP25)</f>
        <v>#VALUE!</v>
      </c>
      <c r="MQ30" s="962" t="e">
        <f>[1]!bodmoadal(1,1,(MQ23+1),[1]!qsn([1]!ml([1]!taqsha(1,1,1+MQ23,MQ24)),MQ25)/30,MQ24,MQ25)</f>
        <v>#VALUE!</v>
      </c>
      <c r="MR30" s="962" t="e">
        <f>[1]!bodmoadal(1,1,(MR23+1),[1]!qsn([1]!ml([1]!taqsha(1,1,1+MR23,MR24)),MR25)/30,MR24,MR25)</f>
        <v>#VALUE!</v>
      </c>
      <c r="MS30" s="962" t="e">
        <f>[1]!bodmoadal(1,1,(MS23+1),[1]!qsn([1]!ml([1]!taqsha(1,1,1+MS23,MS24)),MS25)/30,MS24,MS25)</f>
        <v>#VALUE!</v>
      </c>
      <c r="MT30" s="962" t="e">
        <f>[1]!bodmoadal(1,1,(MT23+1),[1]!qsn([1]!ml([1]!taqsha(1,1,1+MT23,MT24)),MT25)/30,MT24,MT25)</f>
        <v>#VALUE!</v>
      </c>
      <c r="MU30" s="962" t="e">
        <f>[1]!bodmoadal(1,1,(MU23+1),[1]!qsn([1]!ml([1]!taqsha(1,1,1+MU23,MU24)),MU25)/30,MU24,MU25)</f>
        <v>#VALUE!</v>
      </c>
      <c r="MV30" s="962" t="e">
        <f>[1]!bodmoadal(1,1,(MV23+1),[1]!qsn([1]!ml([1]!taqsha(1,1,1+MV23,MV24)),MV25)/30,MV24,MV25)</f>
        <v>#VALUE!</v>
      </c>
      <c r="MW30" s="962" t="e">
        <f>[1]!bodmoadal(1,1,(MW23+1),[1]!qsn([1]!ml([1]!taqsha(1,1,1+MW23,MW24)),MW25)/30,MW24,MW25)</f>
        <v>#VALUE!</v>
      </c>
      <c r="MX30" s="962" t="e">
        <f>[1]!bodmoadal(1,1,(MX23+1),[1]!qsn([1]!ml([1]!taqsha(1,1,1+MX23,MX24)),MX25)/30,MX24,MX25)</f>
        <v>#VALUE!</v>
      </c>
      <c r="MY30" s="962" t="e">
        <f>[1]!bodmoadal(1,1,(MY23+1),[1]!qsn([1]!ml([1]!taqsha(1,1,1+MY23,MY24)),MY25)/30,MY24,MY25)</f>
        <v>#VALUE!</v>
      </c>
      <c r="MZ30" s="962" t="e">
        <f>[1]!bodmoadal(1,1,(MZ23+1),[1]!qsn([1]!ml([1]!taqsha(1,1,1+MZ23,MZ24)),MZ25)/30,MZ24,MZ25)</f>
        <v>#VALUE!</v>
      </c>
      <c r="NA30" s="962" t="e">
        <f>[1]!bodmoadal(1,1,(NA23+1),[1]!qsn([1]!ml([1]!taqsha(1,1,1+NA23,NA24)),NA25)/30,NA24,NA25)</f>
        <v>#VALUE!</v>
      </c>
      <c r="NB30" s="962" t="e">
        <f>[1]!bodmoadal(1,1,(NB23+1),[1]!qsn([1]!ml([1]!taqsha(1,1,1+NB23,NB24)),NB25)/30,NB24,NB25)</f>
        <v>#VALUE!</v>
      </c>
      <c r="NC30" s="962" t="e">
        <f>[1]!bodmoadal(1,1,(NC23+1),[1]!qsn([1]!ml([1]!taqsha(1,1,1+NC23,NC24)),NC25)/30,NC24,NC25)</f>
        <v>#VALUE!</v>
      </c>
      <c r="ND30" s="962" t="e">
        <f>[1]!bodmoadal(1,1,(ND23+1),[1]!qsn([1]!ml([1]!taqsha(1,1,1+ND23,ND24)),ND25)/30,ND24,ND25)</f>
        <v>#VALUE!</v>
      </c>
      <c r="NE30" s="962" t="e">
        <f>[1]!bodmoadal(1,1,(NE23+1),[1]!qsn([1]!ml([1]!taqsha(1,1,1+NE23,NE24)),NE25)/30,NE24,NE25)</f>
        <v>#VALUE!</v>
      </c>
      <c r="NF30" s="962" t="e">
        <f>[1]!bodmoadal(1,1,(NF23+1),[1]!qsn([1]!ml([1]!taqsha(1,1,1+NF23,NF24)),NF25)/30,NF24,NF25)</f>
        <v>#VALUE!</v>
      </c>
      <c r="NG30" s="962" t="e">
        <f>[1]!bodmoadal(1,1,(NG23+1),[1]!qsn([1]!ml([1]!taqsha(1,1,1+NG23,NG24)),NG25)/30,NG24,NG25)</f>
        <v>#VALUE!</v>
      </c>
      <c r="NH30" s="962" t="e">
        <f>[1]!bodmoadal(1,1,(NH23+1),[1]!qsn([1]!ml([1]!taqsha(1,1,1+NH23,NH24)),NH25)/30,NH24,NH25)</f>
        <v>#VALUE!</v>
      </c>
      <c r="NI30" s="962" t="e">
        <f>[1]!bodmoadal(1,1,(NI23+1),[1]!qsn([1]!ml([1]!taqsha(1,1,1+NI23,NI24)),NI25)/30,NI24,NI25)</f>
        <v>#VALUE!</v>
      </c>
      <c r="NJ30" s="962" t="e">
        <f>[1]!bodmoadal(1,1,(NJ23+1),[1]!qsn([1]!ml([1]!taqsha(1,1,1+NJ23,NJ24)),NJ25)/30,NJ24,NJ25)</f>
        <v>#VALUE!</v>
      </c>
      <c r="NK30" s="962" t="e">
        <f>[1]!bodmoadal(1,1,(NK23+1),[1]!qsn([1]!ml([1]!taqsha(1,1,1+NK23,NK24)),NK25)/30,NK24,NK25)</f>
        <v>#VALUE!</v>
      </c>
      <c r="NL30" s="962" t="e">
        <f>[1]!bodmoadal(1,1,(NL23+1),[1]!qsn([1]!ml([1]!taqsha(1,1,1+NL23,NL24)),NL25)/30,NL24,NL25)</f>
        <v>#VALUE!</v>
      </c>
      <c r="NM30" s="962" t="e">
        <f>[1]!bodmoadal(1,1,(NM23+1),[1]!qsn([1]!ml([1]!taqsha(1,1,1+NM23,NM24)),NM25)/30,NM24,NM25)</f>
        <v>#VALUE!</v>
      </c>
      <c r="NN30" s="962" t="e">
        <f>[1]!bodmoadal(1,1,(NN23+1),[1]!qsn([1]!ml([1]!taqsha(1,1,1+NN23,NN24)),NN25)/30,NN24,NN25)</f>
        <v>#VALUE!</v>
      </c>
      <c r="NO30" s="962" t="e">
        <f>[1]!bodmoadal(1,1,(NO23+1),[1]!qsn([1]!ml([1]!taqsha(1,1,1+NO23,NO24)),NO25)/30,NO24,NO25)</f>
        <v>#VALUE!</v>
      </c>
      <c r="NP30" s="962" t="e">
        <f>[1]!bodmoadal(1,1,(NP23+1),[1]!qsn([1]!ml([1]!taqsha(1,1,1+NP23,NP24)),NP25)/30,NP24,NP25)</f>
        <v>#VALUE!</v>
      </c>
      <c r="NQ30" s="962" t="e">
        <f>[1]!bodmoadal(1,1,(NQ23+1),[1]!qsn([1]!ml([1]!taqsha(1,1,1+NQ23,NQ24)),NQ25)/30,NQ24,NQ25)</f>
        <v>#VALUE!</v>
      </c>
      <c r="NR30" s="962" t="e">
        <f>[1]!bodmoadal(1,1,(NR23+1),[1]!qsn([1]!ml([1]!taqsha(1,1,1+NR23,NR24)),NR25)/30,NR24,NR25)</f>
        <v>#VALUE!</v>
      </c>
      <c r="NS30" s="962" t="e">
        <f>[1]!bodmoadal(1,1,(NS23+1),[1]!qsn([1]!ml([1]!taqsha(1,1,1+NS23,NS24)),NS25)/30,NS24,NS25)</f>
        <v>#VALUE!</v>
      </c>
      <c r="NT30" s="962" t="e">
        <f>[1]!bodmoadal(1,1,(NT23+1),[1]!qsn([1]!ml([1]!taqsha(1,1,1+NT23,NT24)),NT25)/30,NT24,NT25)</f>
        <v>#VALUE!</v>
      </c>
      <c r="NU30" s="962" t="e">
        <f>[1]!bodmoadal(1,1,(NU23+1),[1]!qsn([1]!ml([1]!taqsha(1,1,1+NU23,NU24)),NU25)/30,NU24,NU25)</f>
        <v>#VALUE!</v>
      </c>
      <c r="NV30" s="962" t="e">
        <f>[1]!bodmoadal(1,1,(NV23+1),[1]!qsn([1]!ml([1]!taqsha(1,1,1+NV23,NV24)),NV25)/30,NV24,NV25)</f>
        <v>#VALUE!</v>
      </c>
      <c r="NW30" s="962" t="e">
        <f>[1]!bodmoadal(1,1,(NW23+1),[1]!qsn([1]!ml([1]!taqsha(1,1,1+NW23,NW24)),NW25)/30,NW24,NW25)</f>
        <v>#VALUE!</v>
      </c>
      <c r="NX30" s="962" t="e">
        <f>[1]!bodmoadal(1,1,(NX23+1),[1]!qsn([1]!ml([1]!taqsha(1,1,1+NX23,NX24)),NX25)/30,NX24,NX25)</f>
        <v>#VALUE!</v>
      </c>
      <c r="NY30" s="962" t="e">
        <f>[1]!bodmoadal(1,1,(NY23+1),[1]!qsn([1]!ml([1]!taqsha(1,1,1+NY23,NY24)),NY25)/30,NY24,NY25)</f>
        <v>#VALUE!</v>
      </c>
      <c r="NZ30" s="962" t="e">
        <f>[1]!bodmoadal(1,1,(NZ23+1),[1]!qsn([1]!ml([1]!taqsha(1,1,1+NZ23,NZ24)),NZ25)/30,NZ24,NZ25)</f>
        <v>#VALUE!</v>
      </c>
      <c r="OA30" s="962" t="e">
        <f>[1]!bodmoadal(1,1,(OA23+1),[1]!qsn([1]!ml([1]!taqsha(1,1,1+OA23,OA24)),OA25)/30,OA24,OA25)</f>
        <v>#VALUE!</v>
      </c>
      <c r="OB30" s="962" t="e">
        <f>[1]!bodmoadal(1,1,(OB23+1),[1]!qsn([1]!ml([1]!taqsha(1,1,1+OB23,OB24)),OB25)/30,OB24,OB25)</f>
        <v>#VALUE!</v>
      </c>
      <c r="OC30" s="962" t="e">
        <f>[1]!bodmoadal(1,1,(OC23+1),[1]!qsn([1]!ml([1]!taqsha(1,1,1+OC23,OC24)),OC25)/30,OC24,OC25)</f>
        <v>#VALUE!</v>
      </c>
      <c r="OD30" s="962" t="e">
        <f>[1]!bodmoadal(1,1,(OD23+1),[1]!qsn([1]!ml([1]!taqsha(1,1,1+OD23,OD24)),OD25)/30,OD24,OD25)</f>
        <v>#VALUE!</v>
      </c>
      <c r="OE30" s="962" t="e">
        <f>[1]!bodmoadal(1,1,(OE23+1),[1]!qsn([1]!ml([1]!taqsha(1,1,1+OE23,OE24)),OE25)/30,OE24,OE25)</f>
        <v>#VALUE!</v>
      </c>
      <c r="OF30" s="962" t="e">
        <f>[1]!bodmoadal(1,1,(OF23+1),[1]!qsn([1]!ml([1]!taqsha(1,1,1+OF23,OF24)),OF25)/30,OF24,OF25)</f>
        <v>#VALUE!</v>
      </c>
      <c r="OG30" s="962" t="e">
        <f>[1]!bodmoadal(1,1,(OG23+1),[1]!qsn([1]!ml([1]!taqsha(1,1,1+OG23,OG24)),OG25)/30,OG24,OG25)</f>
        <v>#VALUE!</v>
      </c>
      <c r="OH30" s="962" t="e">
        <f>[1]!bodmoadal(1,1,(OH23+1),[1]!qsn([1]!ml([1]!taqsha(1,1,1+OH23,OH24)),OH25)/30,OH24,OH25)</f>
        <v>#VALUE!</v>
      </c>
      <c r="OI30" s="962" t="e">
        <f>[1]!bodmoadal(1,1,(OI23+1),[1]!qsn([1]!ml([1]!taqsha(1,1,1+OI23,OI24)),OI25)/30,OI24,OI25)</f>
        <v>#VALUE!</v>
      </c>
      <c r="OJ30" s="962" t="e">
        <f>[1]!bodmoadal(1,1,(OJ23+1),[1]!qsn([1]!ml([1]!taqsha(1,1,1+OJ23,OJ24)),OJ25)/30,OJ24,OJ25)</f>
        <v>#VALUE!</v>
      </c>
      <c r="OK30" s="962" t="e">
        <f>[1]!bodmoadal(1,1,(OK23+1),[1]!qsn([1]!ml([1]!taqsha(1,1,1+OK23,OK24)),OK25)/30,OK24,OK25)</f>
        <v>#VALUE!</v>
      </c>
      <c r="OL30" s="962" t="e">
        <f>[1]!bodmoadal(1,1,(OL23+1),[1]!qsn([1]!ml([1]!taqsha(1,1,1+OL23,OL24)),OL25)/30,OL24,OL25)</f>
        <v>#VALUE!</v>
      </c>
      <c r="OM30" s="962" t="e">
        <f>[1]!bodmoadal(1,1,(OM23+1),[1]!qsn([1]!ml([1]!taqsha(1,1,1+OM23,OM24)),OM25)/30,OM24,OM25)</f>
        <v>#VALUE!</v>
      </c>
      <c r="ON30" s="962" t="e">
        <f>[1]!bodmoadal(1,1,(ON23+1),[1]!qsn([1]!ml([1]!taqsha(1,1,1+ON23,ON24)),ON25)/30,ON24,ON25)</f>
        <v>#VALUE!</v>
      </c>
      <c r="OO30" s="962" t="e">
        <f>[1]!bodmoadal(1,1,(OO23+1),[1]!qsn([1]!ml([1]!taqsha(1,1,1+OO23,OO24)),OO25)/30,OO24,OO25)</f>
        <v>#VALUE!</v>
      </c>
      <c r="OP30" s="962" t="e">
        <f>[1]!bodmoadal(1,1,(OP23+1),[1]!qsn([1]!ml([1]!taqsha(1,1,1+OP23,OP24)),OP25)/30,OP24,OP25)</f>
        <v>#VALUE!</v>
      </c>
      <c r="OQ30" s="962" t="e">
        <f>[1]!bodmoadal(1,1,(OQ23+1),[1]!qsn([1]!ml([1]!taqsha(1,1,1+OQ23,OQ24)),OQ25)/30,OQ24,OQ25)</f>
        <v>#VALUE!</v>
      </c>
      <c r="OR30" s="962" t="e">
        <f>[1]!bodmoadal(1,1,(OR23+1),[1]!qsn([1]!ml([1]!taqsha(1,1,1+OR23,OR24)),OR25)/30,OR24,OR25)</f>
        <v>#VALUE!</v>
      </c>
      <c r="OS30" s="962" t="e">
        <f>[1]!bodmoadal(1,1,(OS23+1),[1]!qsn([1]!ml([1]!taqsha(1,1,1+OS23,OS24)),OS25)/30,OS24,OS25)</f>
        <v>#VALUE!</v>
      </c>
      <c r="OT30" s="962" t="e">
        <f>[1]!bodmoadal(1,1,(OT23+1),[1]!qsn([1]!ml([1]!taqsha(1,1,1+OT23,OT24)),OT25)/30,OT24,OT25)</f>
        <v>#VALUE!</v>
      </c>
      <c r="OU30" s="962" t="e">
        <f>[1]!bodmoadal(1,1,(OU23+1),[1]!qsn([1]!ml([1]!taqsha(1,1,1+OU23,OU24)),OU25)/30,OU24,OU25)</f>
        <v>#VALUE!</v>
      </c>
      <c r="OV30" s="962" t="e">
        <f>[1]!bodmoadal(1,1,(OV23+1),[1]!qsn([1]!ml([1]!taqsha(1,1,1+OV23,OV24)),OV25)/30,OV24,OV25)</f>
        <v>#VALUE!</v>
      </c>
      <c r="OW30" s="962" t="e">
        <f>[1]!bodmoadal(1,1,(OW23+1),[1]!qsn([1]!ml([1]!taqsha(1,1,1+OW23,OW24)),OW25)/30,OW24,OW25)</f>
        <v>#VALUE!</v>
      </c>
      <c r="OX30" s="962" t="e">
        <f>[1]!bodmoadal(1,1,(OX23+1),[1]!qsn([1]!ml([1]!taqsha(1,1,1+OX23,OX24)),OX25)/30,OX24,OX25)</f>
        <v>#VALUE!</v>
      </c>
      <c r="OY30" s="962" t="e">
        <f>[1]!bodmoadal(1,1,(OY23+1),[1]!qsn([1]!ml([1]!taqsha(1,1,1+OY23,OY24)),OY25)/30,OY24,OY25)</f>
        <v>#VALUE!</v>
      </c>
      <c r="OZ30" s="962" t="e">
        <f>[1]!bodmoadal(1,1,(OZ23+1),[1]!qsn([1]!ml([1]!taqsha(1,1,1+OZ23,OZ24)),OZ25)/30,OZ24,OZ25)</f>
        <v>#VALUE!</v>
      </c>
      <c r="PA30" s="962" t="e">
        <f>[1]!bodmoadal(1,1,(PA23+1),[1]!qsn([1]!ml([1]!taqsha(1,1,1+PA23,PA24)),PA25)/30,PA24,PA25)</f>
        <v>#VALUE!</v>
      </c>
      <c r="PB30" s="962" t="e">
        <f>[1]!bodmoadal(1,1,(PB23+1),[1]!qsn([1]!ml([1]!taqsha(1,1,1+PB23,PB24)),PB25)/30,PB24,PB25)</f>
        <v>#VALUE!</v>
      </c>
      <c r="PC30" s="962" t="e">
        <f>[1]!bodmoadal(1,1,(PC23+1),[1]!qsn([1]!ml([1]!taqsha(1,1,1+PC23,PC24)),PC25)/30,PC24,PC25)</f>
        <v>#VALUE!</v>
      </c>
      <c r="PD30" s="962" t="e">
        <f>[1]!bodmoadal(1,1,(PD23+1),[1]!qsn([1]!ml([1]!taqsha(1,1,1+PD23,PD24)),PD25)/30,PD24,PD25)</f>
        <v>#VALUE!</v>
      </c>
      <c r="PE30" s="962" t="e">
        <f>[1]!bodmoadal(1,1,(PE23+1),[1]!qsn([1]!ml([1]!taqsha(1,1,1+PE23,PE24)),PE25)/30,PE24,PE25)</f>
        <v>#VALUE!</v>
      </c>
      <c r="PF30" s="962" t="e">
        <f>[1]!bodmoadal(1,1,(PF23+1),[1]!qsn([1]!ml([1]!taqsha(1,1,1+PF23,PF24)),PF25)/30,PF24,PF25)</f>
        <v>#VALUE!</v>
      </c>
      <c r="PG30" s="962" t="e">
        <f>[1]!bodmoadal(1,1,(PG23+1),[1]!qsn([1]!ml([1]!taqsha(1,1,1+PG23,PG24)),PG25)/30,PG24,PG25)</f>
        <v>#VALUE!</v>
      </c>
      <c r="PH30" s="962" t="e">
        <f>[1]!bodmoadal(1,1,(PH23+1),[1]!qsn([1]!ml([1]!taqsha(1,1,1+PH23,PH24)),PH25)/30,PH24,PH25)</f>
        <v>#VALUE!</v>
      </c>
      <c r="PI30" s="962" t="e">
        <f>[1]!bodmoadal(1,1,(PI23+1),[1]!qsn([1]!ml([1]!taqsha(1,1,1+PI23,PI24)),PI25)/30,PI24,PI25)</f>
        <v>#VALUE!</v>
      </c>
      <c r="PJ30" s="962" t="e">
        <f>[1]!bodmoadal(1,1,(PJ23+1),[1]!qsn([1]!ml([1]!taqsha(1,1,1+PJ23,PJ24)),PJ25)/30,PJ24,PJ25)</f>
        <v>#VALUE!</v>
      </c>
      <c r="PK30" s="962" t="e">
        <f>[1]!bodmoadal(1,1,(PK23+1),[1]!qsn([1]!ml([1]!taqsha(1,1,1+PK23,PK24)),PK25)/30,PK24,PK25)</f>
        <v>#VALUE!</v>
      </c>
      <c r="PL30" s="962" t="e">
        <f>[1]!bodmoadal(1,1,(PL23+1),[1]!qsn([1]!ml([1]!taqsha(1,1,1+PL23,PL24)),PL25)/30,PL24,PL25)</f>
        <v>#VALUE!</v>
      </c>
      <c r="PM30" s="962" t="e">
        <f>[1]!bodmoadal(1,1,(PM23+1),[1]!qsn([1]!ml([1]!taqsha(1,1,1+PM23,PM24)),PM25)/30,PM24,PM25)</f>
        <v>#VALUE!</v>
      </c>
      <c r="PN30" s="962" t="e">
        <f>[1]!bodmoadal(1,1,(PN23+1),[1]!qsn([1]!ml([1]!taqsha(1,1,1+PN23,PN24)),PN25)/30,PN24,PN25)</f>
        <v>#VALUE!</v>
      </c>
      <c r="PO30" s="962" t="e">
        <f>[1]!bodmoadal(1,1,(PO23+1),[1]!qsn([1]!ml([1]!taqsha(1,1,1+PO23,PO24)),PO25)/30,PO24,PO25)</f>
        <v>#VALUE!</v>
      </c>
      <c r="PP30" s="962" t="e">
        <f>[1]!bodmoadal(1,1,(PP23+1),[1]!qsn([1]!ml([1]!taqsha(1,1,1+PP23,PP24)),PP25)/30,PP24,PP25)</f>
        <v>#VALUE!</v>
      </c>
      <c r="PQ30" s="962" t="e">
        <f>[1]!bodmoadal(1,1,(PQ23+1),[1]!qsn([1]!ml([1]!taqsha(1,1,1+PQ23,PQ24)),PQ25)/30,PQ24,PQ25)</f>
        <v>#VALUE!</v>
      </c>
      <c r="PR30" s="962" t="e">
        <f>[1]!bodmoadal(1,1,(PR23+1),[1]!qsn([1]!ml([1]!taqsha(1,1,1+PR23,PR24)),PR25)/30,PR24,PR25)</f>
        <v>#VALUE!</v>
      </c>
      <c r="PS30" s="962" t="e">
        <f>[1]!bodmoadal(1,1,(PS23+1),[1]!qsn([1]!ml([1]!taqsha(1,1,1+PS23,PS24)),PS25)/30,PS24,PS25)</f>
        <v>#VALUE!</v>
      </c>
      <c r="PT30" s="962" t="e">
        <f>[1]!bodmoadal(1,1,(PT23+1),[1]!qsn([1]!ml([1]!taqsha(1,1,1+PT23,PT24)),PT25)/30,PT24,PT25)</f>
        <v>#VALUE!</v>
      </c>
      <c r="PU30" s="962" t="e">
        <f>[1]!bodmoadal(1,1,(PU23+1),[1]!qsn([1]!ml([1]!taqsha(1,1,1+PU23,PU24)),PU25)/30,PU24,PU25)</f>
        <v>#VALUE!</v>
      </c>
      <c r="PV30" s="962" t="e">
        <f>[1]!bodmoadal(1,1,(PV23+1),[1]!qsn([1]!ml([1]!taqsha(1,1,1+PV23,PV24)),PV25)/30,PV24,PV25)</f>
        <v>#VALUE!</v>
      </c>
      <c r="PW30" s="962" t="e">
        <f>[1]!bodmoadal(1,1,(PW23+1),[1]!qsn([1]!ml([1]!taqsha(1,1,1+PW23,PW24)),PW25)/30,PW24,PW25)</f>
        <v>#VALUE!</v>
      </c>
      <c r="PX30" s="962" t="e">
        <f>[1]!bodmoadal(1,1,(PX23+1),[1]!qsn([1]!ml([1]!taqsha(1,1,1+PX23,PX24)),PX25)/30,PX24,PX25)</f>
        <v>#VALUE!</v>
      </c>
      <c r="PY30" s="962" t="e">
        <f>[1]!bodmoadal(1,1,(PY23+1),[1]!qsn([1]!ml([1]!taqsha(1,1,1+PY23,PY24)),PY25)/30,PY24,PY25)</f>
        <v>#VALUE!</v>
      </c>
      <c r="PZ30" s="962" t="e">
        <f>[1]!bodmoadal(1,1,(PZ23+1),[1]!qsn([1]!ml([1]!taqsha(1,1,1+PZ23,PZ24)),PZ25)/30,PZ24,PZ25)</f>
        <v>#VALUE!</v>
      </c>
      <c r="QA30" s="962" t="e">
        <f>[1]!bodmoadal(1,1,(QA23+1),[1]!qsn([1]!ml([1]!taqsha(1,1,1+QA23,QA24)),QA25)/30,QA24,QA25)</f>
        <v>#VALUE!</v>
      </c>
      <c r="QB30" s="962" t="e">
        <f>[1]!bodmoadal(1,1,(QB23+1),[1]!qsn([1]!ml([1]!taqsha(1,1,1+QB23,QB24)),QB25)/30,QB24,QB25)</f>
        <v>#VALUE!</v>
      </c>
      <c r="QC30" s="962" t="e">
        <f>[1]!bodmoadal(1,1,(QC23+1),[1]!qsn([1]!ml([1]!taqsha(1,1,1+QC23,QC24)),QC25)/30,QC24,QC25)</f>
        <v>#VALUE!</v>
      </c>
      <c r="QD30" s="962" t="e">
        <f>[1]!bodmoadal(1,1,(QD23+1),[1]!qsn([1]!ml([1]!taqsha(1,1,1+QD23,QD24)),QD25)/30,QD24,QD25)</f>
        <v>#VALUE!</v>
      </c>
      <c r="QE30" s="962" t="e">
        <f>[1]!bodmoadal(1,1,(QE23+1),[1]!qsn([1]!ml([1]!taqsha(1,1,1+QE23,QE24)),QE25)/30,QE24,QE25)</f>
        <v>#VALUE!</v>
      </c>
      <c r="QF30" s="962" t="e">
        <f>[1]!bodmoadal(1,1,(QF23+1),[1]!qsn([1]!ml([1]!taqsha(1,1,1+QF23,QF24)),QF25)/30,QF24,QF25)</f>
        <v>#VALUE!</v>
      </c>
      <c r="QG30" s="962" t="e">
        <f>[1]!bodmoadal(1,1,(QG23+1),[1]!qsn([1]!ml([1]!taqsha(1,1,1+QG23,QG24)),QG25)/30,QG24,QG25)</f>
        <v>#VALUE!</v>
      </c>
      <c r="QH30" s="962" t="e">
        <f>[1]!bodmoadal(1,1,(QH23+1),[1]!qsn([1]!ml([1]!taqsha(1,1,1+QH23,QH24)),QH25)/30,QH24,QH25)</f>
        <v>#VALUE!</v>
      </c>
      <c r="QI30" s="962" t="e">
        <f>[1]!bodmoadal(1,1,(QI23+1),[1]!qsn([1]!ml([1]!taqsha(1,1,1+QI23,QI24)),QI25)/30,QI24,QI25)</f>
        <v>#VALUE!</v>
      </c>
      <c r="QJ30" s="962" t="e">
        <f>[1]!bodmoadal(1,1,(QJ23+1),[1]!qsn([1]!ml([1]!taqsha(1,1,1+QJ23,QJ24)),QJ25)/30,QJ24,QJ25)</f>
        <v>#VALUE!</v>
      </c>
      <c r="QK30" s="962" t="e">
        <f>[1]!bodmoadal(1,1,(QK23+1),[1]!qsn([1]!ml([1]!taqsha(1,1,1+QK23,QK24)),QK25)/30,QK24,QK25)</f>
        <v>#VALUE!</v>
      </c>
      <c r="QL30" s="962" t="e">
        <f>[1]!bodmoadal(1,1,(QL23+1),[1]!qsn([1]!ml([1]!taqsha(1,1,1+QL23,QL24)),QL25)/30,QL24,QL25)</f>
        <v>#VALUE!</v>
      </c>
      <c r="QM30" s="962" t="e">
        <f>[1]!bodmoadal(1,1,(QM23+1),[1]!qsn([1]!ml([1]!taqsha(1,1,1+QM23,QM24)),QM25)/30,QM24,QM25)</f>
        <v>#VALUE!</v>
      </c>
      <c r="QN30" s="962" t="e">
        <f>[1]!bodmoadal(1,1,(QN23+1),[1]!qsn([1]!ml([1]!taqsha(1,1,1+QN23,QN24)),QN25)/30,QN24,QN25)</f>
        <v>#VALUE!</v>
      </c>
      <c r="QO30" s="962" t="e">
        <f>[1]!bodmoadal(1,1,(QO23+1),[1]!qsn([1]!ml([1]!taqsha(1,1,1+QO23,QO24)),QO25)/30,QO24,QO25)</f>
        <v>#VALUE!</v>
      </c>
      <c r="QP30" s="962" t="e">
        <f>[1]!bodmoadal(1,1,(QP23+1),[1]!qsn([1]!ml([1]!taqsha(1,1,1+QP23,QP24)),QP25)/30,QP24,QP25)</f>
        <v>#VALUE!</v>
      </c>
      <c r="QQ30" s="962" t="e">
        <f>[1]!bodmoadal(1,1,(QQ23+1),[1]!qsn([1]!ml([1]!taqsha(1,1,1+QQ23,QQ24)),QQ25)/30,QQ24,QQ25)</f>
        <v>#VALUE!</v>
      </c>
      <c r="QR30" s="962" t="e">
        <f>[1]!bodmoadal(1,1,(QR23+1),[1]!qsn([1]!ml([1]!taqsha(1,1,1+QR23,QR24)),QR25)/30,QR24,QR25)</f>
        <v>#VALUE!</v>
      </c>
      <c r="QS30" s="962" t="e">
        <f>[1]!bodmoadal(1,1,(QS23+1),[1]!qsn([1]!ml([1]!taqsha(1,1,1+QS23,QS24)),QS25)/30,QS24,QS25)</f>
        <v>#VALUE!</v>
      </c>
      <c r="QT30" s="962" t="e">
        <f>[1]!bodmoadal(1,1,(QT23+1),[1]!qsn([1]!ml([1]!taqsha(1,1,1+QT23,QT24)),QT25)/30,QT24,QT25)</f>
        <v>#VALUE!</v>
      </c>
      <c r="QU30" s="962" t="e">
        <f>[1]!bodmoadal(1,1,(QU23+1),[1]!qsn([1]!ml([1]!taqsha(1,1,1+QU23,QU24)),QU25)/30,QU24,QU25)</f>
        <v>#VALUE!</v>
      </c>
      <c r="QV30" s="962" t="e">
        <f>[1]!bodmoadal(1,1,(QV23+1),[1]!qsn([1]!ml([1]!taqsha(1,1,1+QV23,QV24)),QV25)/30,QV24,QV25)</f>
        <v>#VALUE!</v>
      </c>
      <c r="QW30" s="962" t="e">
        <f>[1]!bodmoadal(1,1,(QW23+1),[1]!qsn([1]!ml([1]!taqsha(1,1,1+QW23,QW24)),QW25)/30,QW24,QW25)</f>
        <v>#VALUE!</v>
      </c>
      <c r="QX30" s="962" t="e">
        <f>[1]!bodmoadal(1,1,(QX23+1),[1]!qsn([1]!ml([1]!taqsha(1,1,1+QX23,QX24)),QX25)/30,QX24,QX25)</f>
        <v>#VALUE!</v>
      </c>
      <c r="QY30" s="962" t="e">
        <f>[1]!bodmoadal(1,1,(QY23+1),[1]!qsn([1]!ml([1]!taqsha(1,1,1+QY23,QY24)),QY25)/30,QY24,QY25)</f>
        <v>#VALUE!</v>
      </c>
      <c r="QZ30" s="962" t="e">
        <f>[1]!bodmoadal(1,1,(QZ23+1),[1]!qsn([1]!ml([1]!taqsha(1,1,1+QZ23,QZ24)),QZ25)/30,QZ24,QZ25)</f>
        <v>#VALUE!</v>
      </c>
      <c r="RA30" s="963"/>
    </row>
    <row r="31" spans="1:471" ht="17.25">
      <c r="A31" s="22">
        <f>A22</f>
        <v>22</v>
      </c>
      <c r="B31" s="22">
        <f>B22</f>
        <v>9</v>
      </c>
      <c r="C31" s="22">
        <f>C22</f>
        <v>1442</v>
      </c>
      <c r="D31" t="str">
        <f>D22</f>
        <v>شمسی</v>
      </c>
      <c r="E31">
        <f>E22</f>
        <v>16</v>
      </c>
      <c r="G31" s="7">
        <f>INT(G29+G30+A28)</f>
        <v>510900</v>
      </c>
      <c r="J31" s="29"/>
      <c r="K31" s="29"/>
      <c r="L31" s="29"/>
      <c r="M31" s="29"/>
      <c r="N31" s="29"/>
      <c r="O31" s="29">
        <f>O30</f>
        <v>30</v>
      </c>
      <c r="P31" s="29">
        <f t="shared" ref="P31:AA31" si="320">P30+O31</f>
        <v>60</v>
      </c>
      <c r="Q31" s="29">
        <f t="shared" si="320"/>
        <v>90</v>
      </c>
      <c r="R31" s="29">
        <f t="shared" si="320"/>
        <v>120</v>
      </c>
      <c r="S31" s="29">
        <f t="shared" si="320"/>
        <v>150</v>
      </c>
      <c r="T31" s="29">
        <f t="shared" si="320"/>
        <v>180</v>
      </c>
      <c r="U31" s="29">
        <f t="shared" si="320"/>
        <v>210</v>
      </c>
      <c r="V31" s="29">
        <f t="shared" si="320"/>
        <v>240</v>
      </c>
      <c r="W31" s="29">
        <f t="shared" si="320"/>
        <v>245</v>
      </c>
      <c r="X31" s="29">
        <f t="shared" si="320"/>
        <v>275</v>
      </c>
      <c r="Y31" s="29">
        <f t="shared" si="320"/>
        <v>305</v>
      </c>
      <c r="Z31" s="29">
        <f t="shared" si="320"/>
        <v>335</v>
      </c>
      <c r="AA31" s="29">
        <f t="shared" si="320"/>
        <v>365</v>
      </c>
      <c r="AK31" s="759"/>
      <c r="AL31" s="701">
        <f>[1]!mbtool(2,17,0,1)</f>
        <v>9.5138888888888884E-2</v>
      </c>
      <c r="AM31" s="304">
        <f>[1]!mbtool(2,17,0,1)</f>
        <v>9.5138888888888884E-2</v>
      </c>
      <c r="AN31" s="304">
        <f>[1]!mbtool(2,17,0,1)</f>
        <v>9.5138888888888884E-2</v>
      </c>
      <c r="AO31" s="304">
        <f>[1]!mbtool(2,17,0,1)</f>
        <v>9.5138888888888884E-2</v>
      </c>
      <c r="AP31" s="304">
        <f>[1]!mbtool(2,17,0,1)</f>
        <v>9.5138888888888884E-2</v>
      </c>
      <c r="AQ31" s="304">
        <f>[1]!mbtool(2,17,0,1)</f>
        <v>9.5138888888888884E-2</v>
      </c>
      <c r="AR31" s="304">
        <f>[1]!mbtool(2,17,0,1)</f>
        <v>9.5138888888888884E-2</v>
      </c>
      <c r="AS31" s="304">
        <f>[1]!mbtool(2,17,0,1)</f>
        <v>9.5138888888888884E-2</v>
      </c>
      <c r="AT31" s="304">
        <f>[1]!mbtool(2,17,0,1)</f>
        <v>9.5138888888888884E-2</v>
      </c>
      <c r="AU31" s="304">
        <f>[1]!mbtool(2,17,0,1)</f>
        <v>9.5138888888888884E-2</v>
      </c>
      <c r="AV31" s="304">
        <f>[1]!mbtool(2,17,0,1)</f>
        <v>9.5138888888888884E-2</v>
      </c>
      <c r="AW31" s="304">
        <f>[1]!mbtool(2,17,0,1)</f>
        <v>9.5138888888888884E-2</v>
      </c>
      <c r="AX31" s="314"/>
      <c r="AZ31" s="780" t="s">
        <v>3576</v>
      </c>
      <c r="BA31" s="781" t="e">
        <f>IF(BA26&lt;=31,1,IF(BA26&lt;=62,2,IF(BA26&lt;=93,3,IF(BA26&lt;=124,4,IF(BA26&lt;=155,5,IF(BA26&lt;=186,6,IF(BA26&lt;=216,7,IF(BA26&lt;=246,8,IF(BA26&lt;=276,9,IF(BA26&lt;=306,10,IF(BA26&lt;=336,11,12)))))))))))</f>
        <v>#VALUE!</v>
      </c>
      <c r="DI31" s="797" t="s">
        <v>3552</v>
      </c>
      <c r="DJ31" s="959" t="e">
        <f>[1]!bodsava(1,1,(DJ23+1),[1]!qsn([1]!ml([1]!taqsha(1,1,1+DJ23,DJ24)),DJ25)/30,DJ24,DJ25)</f>
        <v>#VALUE!</v>
      </c>
      <c r="DK31" s="962" t="e">
        <f>[1]!bodsava(1,1,(DK23+1),[1]!qsn([1]!ml([1]!taqsha(1,1,1+DK23,DK24)),DK25)/30,DK24,DK25)</f>
        <v>#VALUE!</v>
      </c>
      <c r="DL31" s="962" t="e">
        <f>[1]!bodsava(1,1,(DL23+1),[1]!qsn([1]!ml([1]!taqsha(1,1,1+DL23,DL24)),DL25)/30,DL24,DL25)</f>
        <v>#VALUE!</v>
      </c>
      <c r="DM31" s="962" t="e">
        <f>[1]!bodsava(1,1,(DM23+1),[1]!qsn([1]!ml([1]!taqsha(1,1,1+DM23,DM24)),DM25)/30,DM24,DM25)</f>
        <v>#VALUE!</v>
      </c>
      <c r="DN31" s="962" t="e">
        <f>[1]!bodsava(1,1,(DN23+1),[1]!qsn([1]!ml([1]!taqsha(1,1,1+DN23,DN24)),DN25)/30,DN24,DN25)</f>
        <v>#VALUE!</v>
      </c>
      <c r="DO31" s="962" t="e">
        <f>[1]!bodsava(1,1,(DO23+1),[1]!qsn([1]!ml([1]!taqsha(1,1,1+DO23,DO24)),DO25)/30,DO24,DO25)</f>
        <v>#VALUE!</v>
      </c>
      <c r="DP31" s="962" t="e">
        <f>[1]!bodsava(1,1,(DP23+1),[1]!qsn([1]!ml([1]!taqsha(1,1,1+DP23,DP24)),DP25)/30,DP24,DP25)</f>
        <v>#VALUE!</v>
      </c>
      <c r="DQ31" s="962" t="e">
        <f>[1]!bodsava(1,1,(DQ23+1),[1]!qsn([1]!ml([1]!taqsha(1,1,1+DQ23,DQ24)),DQ25)/30,DQ24,DQ25)</f>
        <v>#VALUE!</v>
      </c>
      <c r="DR31" s="962" t="e">
        <f>[1]!bodsava(1,1,(DR23+1),[1]!qsn([1]!ml([1]!taqsha(1,1,1+DR23,DR24)),DR25)/30,DR24,DR25)</f>
        <v>#VALUE!</v>
      </c>
      <c r="DS31" s="962" t="e">
        <f>[1]!bodsava(1,1,(DS23+1),[1]!qsn([1]!ml([1]!taqsha(1,1,1+DS23,DS24)),DS25)/30,DS24,DS25)</f>
        <v>#VALUE!</v>
      </c>
      <c r="DT31" s="962" t="e">
        <f>[1]!bodsava(1,1,(DT23+1),[1]!qsn([1]!ml([1]!taqsha(1,1,1+DT23,DT24)),DT25)/30,DT24,DT25)</f>
        <v>#VALUE!</v>
      </c>
      <c r="DU31" s="962" t="e">
        <f>[1]!bodsava(1,1,(DU23+1),[1]!qsn([1]!ml([1]!taqsha(1,1,1+DU23,DU24)),DU25)/30,DU24,DU25)</f>
        <v>#VALUE!</v>
      </c>
      <c r="DV31" s="962" t="e">
        <f>[1]!bodsava(1,1,(DV23+1),[1]!qsn([1]!ml([1]!taqsha(1,1,1+DV23,DV24)),DV25)/30,DV24,DV25)</f>
        <v>#VALUE!</v>
      </c>
      <c r="DW31" s="962" t="e">
        <f>[1]!bodsava(1,1,(DW23+1),[1]!qsn([1]!ml([1]!taqsha(1,1,1+DW23,DW24)),DW25)/30,DW24,DW25)</f>
        <v>#VALUE!</v>
      </c>
      <c r="DX31" s="962" t="e">
        <f>[1]!bodsava(1,1,(DX23+1),[1]!qsn([1]!ml([1]!taqsha(1,1,1+DX23,DX24)),DX25)/30,DX24,DX25)</f>
        <v>#VALUE!</v>
      </c>
      <c r="DY31" s="962" t="e">
        <f>[1]!bodsava(1,1,(DY23+1),[1]!qsn([1]!ml([1]!taqsha(1,1,1+DY23,DY24)),DY25)/30,DY24,DY25)</f>
        <v>#VALUE!</v>
      </c>
      <c r="DZ31" s="962" t="e">
        <f>[1]!bodsava(1,1,(DZ23+1),[1]!qsn([1]!ml([1]!taqsha(1,1,1+DZ23,DZ24)),DZ25)/30,DZ24,DZ25)</f>
        <v>#VALUE!</v>
      </c>
      <c r="EA31" s="962" t="e">
        <f>[1]!bodsava(1,1,(EA23+1),[1]!qsn([1]!ml([1]!taqsha(1,1,1+EA23,EA24)),EA25)/30,EA24,EA25)</f>
        <v>#VALUE!</v>
      </c>
      <c r="EB31" s="962" t="e">
        <f>[1]!bodsava(1,1,(EB23+1),[1]!qsn([1]!ml([1]!taqsha(1,1,1+EB23,EB24)),EB25)/30,EB24,EB25)</f>
        <v>#VALUE!</v>
      </c>
      <c r="EC31" s="962" t="e">
        <f>[1]!bodsava(1,1,(EC23+1),[1]!qsn([1]!ml([1]!taqsha(1,1,1+EC23,EC24)),EC25)/30,EC24,EC25)</f>
        <v>#VALUE!</v>
      </c>
      <c r="ED31" s="962" t="e">
        <f>[1]!bodsava(1,1,(ED23+1),[1]!qsn([1]!ml([1]!taqsha(1,1,1+ED23,ED24)),ED25)/30,ED24,ED25)</f>
        <v>#VALUE!</v>
      </c>
      <c r="EE31" s="962" t="e">
        <f>[1]!bodsava(1,1,(EE23+1),[1]!qsn([1]!ml([1]!taqsha(1,1,1+EE23,EE24)),EE25)/30,EE24,EE25)</f>
        <v>#VALUE!</v>
      </c>
      <c r="EF31" s="962" t="e">
        <f>[1]!bodsava(1,1,(EF23+1),[1]!qsn([1]!ml([1]!taqsha(1,1,1+EF23,EF24)),EF25)/30,EF24,EF25)</f>
        <v>#VALUE!</v>
      </c>
      <c r="EG31" s="962" t="e">
        <f>[1]!bodsava(1,1,(EG23+1),[1]!qsn([1]!ml([1]!taqsha(1,1,1+EG23,EG24)),EG25)/30,EG24,EG25)</f>
        <v>#VALUE!</v>
      </c>
      <c r="EH31" s="962" t="e">
        <f>[1]!bodsava(1,1,(EH23+1),[1]!qsn([1]!ml([1]!taqsha(1,1,1+EH23,EH24)),EH25)/30,EH24,EH25)</f>
        <v>#VALUE!</v>
      </c>
      <c r="EI31" s="962" t="e">
        <f>[1]!bodsava(1,1,(EI23+1),[1]!qsn([1]!ml([1]!taqsha(1,1,1+EI23,EI24)),EI25)/30,EI24,EI25)</f>
        <v>#VALUE!</v>
      </c>
      <c r="EJ31" s="962" t="e">
        <f>[1]!bodsava(1,1,(EJ23+1),[1]!qsn([1]!ml([1]!taqsha(1,1,1+EJ23,EJ24)),EJ25)/30,EJ24,EJ25)</f>
        <v>#VALUE!</v>
      </c>
      <c r="EK31" s="962" t="e">
        <f>[1]!bodsava(1,1,(EK23+1),[1]!qsn([1]!ml([1]!taqsha(1,1,1+EK23,EK24)),EK25)/30,EK24,EK25)</f>
        <v>#VALUE!</v>
      </c>
      <c r="EL31" s="962" t="e">
        <f>[1]!bodsava(1,1,(EL23+1),[1]!qsn([1]!ml([1]!taqsha(1,1,1+EL23,EL24)),EL25)/30,EL24,EL25)</f>
        <v>#VALUE!</v>
      </c>
      <c r="EM31" s="962" t="e">
        <f>[1]!bodsava(1,1,(EM23+1),[1]!qsn([1]!ml([1]!taqsha(1,1,1+EM23,EM24)),EM25)/30,EM24,EM25)</f>
        <v>#VALUE!</v>
      </c>
      <c r="EN31" s="962" t="e">
        <f>[1]!bodsava(1,1,(EN23+1),[1]!qsn([1]!ml([1]!taqsha(1,1,1+EN23,EN24)),EN25)/30,EN24,EN25)</f>
        <v>#VALUE!</v>
      </c>
      <c r="EO31" s="962" t="e">
        <f>[1]!bodsava(1,1,(EO23+1),[1]!qsn([1]!ml([1]!taqsha(1,1,1+EO23,EO24)),EO25)/30,EO24,EO25)</f>
        <v>#VALUE!</v>
      </c>
      <c r="EP31" s="962" t="e">
        <f>[1]!bodsava(1,1,(EP23+1),[1]!qsn([1]!ml([1]!taqsha(1,1,1+EP23,EP24)),EP25)/30,EP24,EP25)</f>
        <v>#VALUE!</v>
      </c>
      <c r="EQ31" s="962" t="e">
        <f>[1]!bodsava(1,1,(EQ23+1),[1]!qsn([1]!ml([1]!taqsha(1,1,1+EQ23,EQ24)),EQ25)/30,EQ24,EQ25)</f>
        <v>#VALUE!</v>
      </c>
      <c r="ER31" s="962" t="e">
        <f>[1]!bodsava(1,1,(ER23+1),[1]!qsn([1]!ml([1]!taqsha(1,1,1+ER23,ER24)),ER25)/30,ER24,ER25)</f>
        <v>#VALUE!</v>
      </c>
      <c r="ES31" s="962" t="e">
        <f>[1]!bodsava(1,1,(ES23+1),[1]!qsn([1]!ml([1]!taqsha(1,1,1+ES23,ES24)),ES25)/30,ES24,ES25)</f>
        <v>#VALUE!</v>
      </c>
      <c r="ET31" s="962" t="e">
        <f>[1]!bodsava(1,1,(ET23+1),[1]!qsn([1]!ml([1]!taqsha(1,1,1+ET23,ET24)),ET25)/30,ET24,ET25)</f>
        <v>#VALUE!</v>
      </c>
      <c r="EU31" s="962" t="e">
        <f>[1]!bodsava(1,1,(EU23+1),[1]!qsn([1]!ml([1]!taqsha(1,1,1+EU23,EU24)),EU25)/30,EU24,EU25)</f>
        <v>#VALUE!</v>
      </c>
      <c r="EV31" s="962" t="e">
        <f>[1]!bodsava(1,1,(EV23+1),[1]!qsn([1]!ml([1]!taqsha(1,1,1+EV23,EV24)),EV25)/30,EV24,EV25)</f>
        <v>#VALUE!</v>
      </c>
      <c r="EW31" s="962" t="e">
        <f>[1]!bodsava(1,1,(EW23+1),[1]!qsn([1]!ml([1]!taqsha(1,1,1+EW23,EW24)),EW25)/30,EW24,EW25)</f>
        <v>#VALUE!</v>
      </c>
      <c r="EX31" s="962" t="e">
        <f>[1]!bodsava(1,1,(EX23+1),[1]!qsn([1]!ml([1]!taqsha(1,1,1+EX23,EX24)),EX25)/30,EX24,EX25)</f>
        <v>#VALUE!</v>
      </c>
      <c r="EY31" s="962" t="e">
        <f>[1]!bodsava(1,1,(EY23+1),[1]!qsn([1]!ml([1]!taqsha(1,1,1+EY23,EY24)),EY25)/30,EY24,EY25)</f>
        <v>#VALUE!</v>
      </c>
      <c r="EZ31" s="962" t="e">
        <f>[1]!bodsava(1,1,(EZ23+1),[1]!qsn([1]!ml([1]!taqsha(1,1,1+EZ23,EZ24)),EZ25)/30,EZ24,EZ25)</f>
        <v>#VALUE!</v>
      </c>
      <c r="FA31" s="962" t="e">
        <f>[1]!bodsava(1,1,(FA23+1),[1]!qsn([1]!ml([1]!taqsha(1,1,1+FA23,FA24)),FA25)/30,FA24,FA25)</f>
        <v>#VALUE!</v>
      </c>
      <c r="FB31" s="962" t="e">
        <f>[1]!bodsava(1,1,(FB23+1),[1]!qsn([1]!ml([1]!taqsha(1,1,1+FB23,FB24)),FB25)/30,FB24,FB25)</f>
        <v>#VALUE!</v>
      </c>
      <c r="FC31" s="962" t="e">
        <f>[1]!bodsava(1,1,(FC23+1),[1]!qsn([1]!ml([1]!taqsha(1,1,1+FC23,FC24)),FC25)/30,FC24,FC25)</f>
        <v>#VALUE!</v>
      </c>
      <c r="FD31" s="962" t="e">
        <f>[1]!bodsava(1,1,(FD23+1),[1]!qsn([1]!ml([1]!taqsha(1,1,1+FD23,FD24)),FD25)/30,FD24,FD25)</f>
        <v>#VALUE!</v>
      </c>
      <c r="FE31" s="962" t="e">
        <f>[1]!bodsava(1,1,(FE23+1),[1]!qsn([1]!ml([1]!taqsha(1,1,1+FE23,FE24)),FE25)/30,FE24,FE25)</f>
        <v>#VALUE!</v>
      </c>
      <c r="FF31" s="962" t="e">
        <f>[1]!bodsava(1,1,(FF23+1),[1]!qsn([1]!ml([1]!taqsha(1,1,1+FF23,FF24)),FF25)/30,FF24,FF25)</f>
        <v>#VALUE!</v>
      </c>
      <c r="FG31" s="962" t="e">
        <f>[1]!bodsava(1,1,(FG23+1),[1]!qsn([1]!ml([1]!taqsha(1,1,1+FG23,FG24)),FG25)/30,FG24,FG25)</f>
        <v>#VALUE!</v>
      </c>
      <c r="FH31" s="962" t="e">
        <f>[1]!bodsava(1,1,(FH23+1),[1]!qsn([1]!ml([1]!taqsha(1,1,1+FH23,FH24)),FH25)/30,FH24,FH25)</f>
        <v>#VALUE!</v>
      </c>
      <c r="FI31" s="962" t="e">
        <f>[1]!bodsava(1,1,(FI23+1),[1]!qsn([1]!ml([1]!taqsha(1,1,1+FI23,FI24)),FI25)/30,FI24,FI25)</f>
        <v>#VALUE!</v>
      </c>
      <c r="FJ31" s="962" t="e">
        <f>[1]!bodsava(1,1,(FJ23+1),[1]!qsn([1]!ml([1]!taqsha(1,1,1+FJ23,FJ24)),FJ25)/30,FJ24,FJ25)</f>
        <v>#VALUE!</v>
      </c>
      <c r="FK31" s="962" t="e">
        <f>[1]!bodsava(1,1,(FK23+1),[1]!qsn([1]!ml([1]!taqsha(1,1,1+FK23,FK24)),FK25)/30,FK24,FK25)</f>
        <v>#VALUE!</v>
      </c>
      <c r="FL31" s="962" t="e">
        <f>[1]!bodsava(1,1,(FL23+1),[1]!qsn([1]!ml([1]!taqsha(1,1,1+FL23,FL24)),FL25)/30,FL24,FL25)</f>
        <v>#VALUE!</v>
      </c>
      <c r="FM31" s="962" t="e">
        <f>[1]!bodsava(1,1,(FM23+1),[1]!qsn([1]!ml([1]!taqsha(1,1,1+FM23,FM24)),FM25)/30,FM24,FM25)</f>
        <v>#VALUE!</v>
      </c>
      <c r="FN31" s="962" t="e">
        <f>[1]!bodsava(1,1,(FN23+1),[1]!qsn([1]!ml([1]!taqsha(1,1,1+FN23,FN24)),FN25)/30,FN24,FN25)</f>
        <v>#VALUE!</v>
      </c>
      <c r="FO31" s="962" t="e">
        <f>[1]!bodsava(1,1,(FO23+1),[1]!qsn([1]!ml([1]!taqsha(1,1,1+FO23,FO24)),FO25)/30,FO24,FO25)</f>
        <v>#VALUE!</v>
      </c>
      <c r="FP31" s="962" t="e">
        <f>[1]!bodsava(1,1,(FP23+1),[1]!qsn([1]!ml([1]!taqsha(1,1,1+FP23,FP24)),FP25)/30,FP24,FP25)</f>
        <v>#VALUE!</v>
      </c>
      <c r="FQ31" s="962" t="e">
        <f>[1]!bodsava(1,1,(FQ23+1),[1]!qsn([1]!ml([1]!taqsha(1,1,1+FQ23,FQ24)),FQ25)/30,FQ24,FQ25)</f>
        <v>#VALUE!</v>
      </c>
      <c r="FR31" s="962" t="e">
        <f>[1]!bodsava(1,1,(FR23+1),[1]!qsn([1]!ml([1]!taqsha(1,1,1+FR23,FR24)),FR25)/30,FR24,FR25)</f>
        <v>#VALUE!</v>
      </c>
      <c r="FS31" s="962" t="e">
        <f>[1]!bodsava(1,1,(FS23+1),[1]!qsn([1]!ml([1]!taqsha(1,1,1+FS23,FS24)),FS25)/30,FS24,FS25)</f>
        <v>#VALUE!</v>
      </c>
      <c r="FT31" s="962" t="e">
        <f>[1]!bodsava(1,1,(FT23+1),[1]!qsn([1]!ml([1]!taqsha(1,1,1+FT23,FT24)),FT25)/30,FT24,FT25)</f>
        <v>#VALUE!</v>
      </c>
      <c r="FU31" s="962" t="e">
        <f>[1]!bodsava(1,1,(FU23+1),[1]!qsn([1]!ml([1]!taqsha(1,1,1+FU23,FU24)),FU25)/30,FU24,FU25)</f>
        <v>#VALUE!</v>
      </c>
      <c r="FV31" s="962" t="e">
        <f>[1]!bodsava(1,1,(FV23+1),[1]!qsn([1]!ml([1]!taqsha(1,1,1+FV23,FV24)),FV25)/30,FV24,FV25)</f>
        <v>#VALUE!</v>
      </c>
      <c r="FW31" s="962" t="e">
        <f>[1]!bodsava(1,1,(FW23+1),[1]!qsn([1]!ml([1]!taqsha(1,1,1+FW23,FW24)),FW25)/30,FW24,FW25)</f>
        <v>#VALUE!</v>
      </c>
      <c r="FX31" s="962" t="e">
        <f>[1]!bodsava(1,1,(FX23+1),[1]!qsn([1]!ml([1]!taqsha(1,1,1+FX23,FX24)),FX25)/30,FX24,FX25)</f>
        <v>#VALUE!</v>
      </c>
      <c r="FY31" s="962" t="e">
        <f>[1]!bodsava(1,1,(FY23+1),[1]!qsn([1]!ml([1]!taqsha(1,1,1+FY23,FY24)),FY25)/30,FY24,FY25)</f>
        <v>#VALUE!</v>
      </c>
      <c r="FZ31" s="962" t="e">
        <f>[1]!bodsava(1,1,(FZ23+1),[1]!qsn([1]!ml([1]!taqsha(1,1,1+FZ23,FZ24)),FZ25)/30,FZ24,FZ25)</f>
        <v>#VALUE!</v>
      </c>
      <c r="GA31" s="962" t="e">
        <f>[1]!bodsava(1,1,(GA23+1),[1]!qsn([1]!ml([1]!taqsha(1,1,1+GA23,GA24)),GA25)/30,GA24,GA25)</f>
        <v>#VALUE!</v>
      </c>
      <c r="GB31" s="962" t="e">
        <f>[1]!bodsava(1,1,(GB23+1),[1]!qsn([1]!ml([1]!taqsha(1,1,1+GB23,GB24)),GB25)/30,GB24,GB25)</f>
        <v>#VALUE!</v>
      </c>
      <c r="GC31" s="962" t="e">
        <f>[1]!bodsava(1,1,(GC23+1),[1]!qsn([1]!ml([1]!taqsha(1,1,1+GC23,GC24)),GC25)/30,GC24,GC25)</f>
        <v>#VALUE!</v>
      </c>
      <c r="GD31" s="962" t="e">
        <f>[1]!bodsava(1,1,(GD23+1),[1]!qsn([1]!ml([1]!taqsha(1,1,1+GD23,GD24)),GD25)/30,GD24,GD25)</f>
        <v>#VALUE!</v>
      </c>
      <c r="GE31" s="962" t="e">
        <f>[1]!bodsava(1,1,(GE23+1),[1]!qsn([1]!ml([1]!taqsha(1,1,1+GE23,GE24)),GE25)/30,GE24,GE25)</f>
        <v>#VALUE!</v>
      </c>
      <c r="GF31" s="962" t="e">
        <f>[1]!bodsava(1,1,(GF23+1),[1]!qsn([1]!ml([1]!taqsha(1,1,1+GF23,GF24)),GF25)/30,GF24,GF25)</f>
        <v>#VALUE!</v>
      </c>
      <c r="GG31" s="962" t="e">
        <f>[1]!bodsava(1,1,(GG23+1),[1]!qsn([1]!ml([1]!taqsha(1,1,1+GG23,GG24)),GG25)/30,GG24,GG25)</f>
        <v>#VALUE!</v>
      </c>
      <c r="GH31" s="962" t="e">
        <f>[1]!bodsava(1,1,(GH23+1),[1]!qsn([1]!ml([1]!taqsha(1,1,1+GH23,GH24)),GH25)/30,GH24,GH25)</f>
        <v>#VALUE!</v>
      </c>
      <c r="GI31" s="962" t="e">
        <f>[1]!bodsava(1,1,(GI23+1),[1]!qsn([1]!ml([1]!taqsha(1,1,1+GI23,GI24)),GI25)/30,GI24,GI25)</f>
        <v>#VALUE!</v>
      </c>
      <c r="GJ31" s="962" t="e">
        <f>[1]!bodsava(1,1,(GJ23+1),[1]!qsn([1]!ml([1]!taqsha(1,1,1+GJ23,GJ24)),GJ25)/30,GJ24,GJ25)</f>
        <v>#VALUE!</v>
      </c>
      <c r="GK31" s="962" t="e">
        <f>[1]!bodsava(1,1,(GK23+1),[1]!qsn([1]!ml([1]!taqsha(1,1,1+GK23,GK24)),GK25)/30,GK24,GK25)</f>
        <v>#VALUE!</v>
      </c>
      <c r="GL31" s="962" t="e">
        <f>[1]!bodsava(1,1,(GL23+1),[1]!qsn([1]!ml([1]!taqsha(1,1,1+GL23,GL24)),GL25)/30,GL24,GL25)</f>
        <v>#VALUE!</v>
      </c>
      <c r="GM31" s="962" t="e">
        <f>[1]!bodsava(1,1,(GM23+1),[1]!qsn([1]!ml([1]!taqsha(1,1,1+GM23,GM24)),GM25)/30,GM24,GM25)</f>
        <v>#VALUE!</v>
      </c>
      <c r="GN31" s="962" t="e">
        <f>[1]!bodsava(1,1,(GN23+1),[1]!qsn([1]!ml([1]!taqsha(1,1,1+GN23,GN24)),GN25)/30,GN24,GN25)</f>
        <v>#VALUE!</v>
      </c>
      <c r="GO31" s="962" t="e">
        <f>[1]!bodsava(1,1,(GO23+1),[1]!qsn([1]!ml([1]!taqsha(1,1,1+GO23,GO24)),GO25)/30,GO24,GO25)</f>
        <v>#VALUE!</v>
      </c>
      <c r="GP31" s="962" t="e">
        <f>[1]!bodsava(1,1,(GP23+1),[1]!qsn([1]!ml([1]!taqsha(1,1,1+GP23,GP24)),GP25)/30,GP24,GP25)</f>
        <v>#VALUE!</v>
      </c>
      <c r="GQ31" s="962" t="e">
        <f>[1]!bodsava(1,1,(GQ23+1),[1]!qsn([1]!ml([1]!taqsha(1,1,1+GQ23,GQ24)),GQ25)/30,GQ24,GQ25)</f>
        <v>#VALUE!</v>
      </c>
      <c r="GR31" s="962" t="e">
        <f>[1]!bodsava(1,1,(GR23+1),[1]!qsn([1]!ml([1]!taqsha(1,1,1+GR23,GR24)),GR25)/30,GR24,GR25)</f>
        <v>#VALUE!</v>
      </c>
      <c r="GS31" s="962" t="e">
        <f>[1]!bodsava(1,1,(GS23+1),[1]!qsn([1]!ml([1]!taqsha(1,1,1+GS23,GS24)),GS25)/30,GS24,GS25)</f>
        <v>#VALUE!</v>
      </c>
      <c r="GT31" s="962" t="e">
        <f>[1]!bodsava(1,1,(GT23+1),[1]!qsn([1]!ml([1]!taqsha(1,1,1+GT23,GT24)),GT25)/30,GT24,GT25)</f>
        <v>#VALUE!</v>
      </c>
      <c r="GU31" s="962" t="e">
        <f>[1]!bodsava(1,1,(GU23+1),[1]!qsn([1]!ml([1]!taqsha(1,1,1+GU23,GU24)),GU25)/30,GU24,GU25)</f>
        <v>#VALUE!</v>
      </c>
      <c r="GV31" s="962" t="e">
        <f>[1]!bodsava(1,1,(GV23+1),[1]!qsn([1]!ml([1]!taqsha(1,1,1+GV23,GV24)),GV25)/30,GV24,GV25)</f>
        <v>#VALUE!</v>
      </c>
      <c r="GW31" s="962" t="e">
        <f>[1]!bodsava(1,1,(GW23+1),[1]!qsn([1]!ml([1]!taqsha(1,1,1+GW23,GW24)),GW25)/30,GW24,GW25)</f>
        <v>#VALUE!</v>
      </c>
      <c r="GX31" s="962" t="e">
        <f>[1]!bodsava(1,1,(GX23+1),[1]!qsn([1]!ml([1]!taqsha(1,1,1+GX23,GX24)),GX25)/30,GX24,GX25)</f>
        <v>#VALUE!</v>
      </c>
      <c r="GY31" s="962" t="e">
        <f>[1]!bodsava(1,1,(GY23+1),[1]!qsn([1]!ml([1]!taqsha(1,1,1+GY23,GY24)),GY25)/30,GY24,GY25)</f>
        <v>#VALUE!</v>
      </c>
      <c r="GZ31" s="962" t="e">
        <f>[1]!bodsava(1,1,(GZ23+1),[1]!qsn([1]!ml([1]!taqsha(1,1,1+GZ23,GZ24)),GZ25)/30,GZ24,GZ25)</f>
        <v>#VALUE!</v>
      </c>
      <c r="HA31" s="962" t="e">
        <f>[1]!bodsava(1,1,(HA23+1),[1]!qsn([1]!ml([1]!taqsha(1,1,1+HA23,HA24)),HA25)/30,HA24,HA25)</f>
        <v>#VALUE!</v>
      </c>
      <c r="HB31" s="962" t="e">
        <f>[1]!bodsava(1,1,(HB23+1),[1]!qsn([1]!ml([1]!taqsha(1,1,1+HB23,HB24)),HB25)/30,HB24,HB25)</f>
        <v>#VALUE!</v>
      </c>
      <c r="HC31" s="962" t="e">
        <f>[1]!bodsava(1,1,(HC23+1),[1]!qsn([1]!ml([1]!taqsha(1,1,1+HC23,HC24)),HC25)/30,HC24,HC25)</f>
        <v>#VALUE!</v>
      </c>
      <c r="HD31" s="962" t="e">
        <f>[1]!bodsava(1,1,(HD23+1),[1]!qsn([1]!ml([1]!taqsha(1,1,1+HD23,HD24)),HD25)/30,HD24,HD25)</f>
        <v>#VALUE!</v>
      </c>
      <c r="HE31" s="962" t="e">
        <f>[1]!bodsava(1,1,(HE23+1),[1]!qsn([1]!ml([1]!taqsha(1,1,1+HE23,HE24)),HE25)/30,HE24,HE25)</f>
        <v>#VALUE!</v>
      </c>
      <c r="HF31" s="962" t="e">
        <f>[1]!bodsava(1,1,(HF23+1),[1]!qsn([1]!ml([1]!taqsha(1,1,1+HF23,HF24)),HF25)/30,HF24,HF25)</f>
        <v>#VALUE!</v>
      </c>
      <c r="HG31" s="962" t="e">
        <f>[1]!bodsava(1,1,(HG23+1),[1]!qsn([1]!ml([1]!taqsha(1,1,1+HG23,HG24)),HG25)/30,HG24,HG25)</f>
        <v>#VALUE!</v>
      </c>
      <c r="HH31" s="962" t="e">
        <f>[1]!bodsava(1,1,(HH23+1),[1]!qsn([1]!ml([1]!taqsha(1,1,1+HH23,HH24)),HH25)/30,HH24,HH25)</f>
        <v>#VALUE!</v>
      </c>
      <c r="HI31" s="962" t="e">
        <f>[1]!bodsava(1,1,(HI23+1),[1]!qsn([1]!ml([1]!taqsha(1,1,1+HI23,HI24)),HI25)/30,HI24,HI25)</f>
        <v>#VALUE!</v>
      </c>
      <c r="HJ31" s="962" t="e">
        <f>[1]!bodsava(1,1,(HJ23+1),[1]!qsn([1]!ml([1]!taqsha(1,1,1+HJ23,HJ24)),HJ25)/30,HJ24,HJ25)</f>
        <v>#VALUE!</v>
      </c>
      <c r="HK31" s="962" t="e">
        <f>[1]!bodsava(1,1,(HK23+1),[1]!qsn([1]!ml([1]!taqsha(1,1,1+HK23,HK24)),HK25)/30,HK24,HK25)</f>
        <v>#VALUE!</v>
      </c>
      <c r="HL31" s="962" t="e">
        <f>[1]!bodsava(1,1,(HL23+1),[1]!qsn([1]!ml([1]!taqsha(1,1,1+HL23,HL24)),HL25)/30,HL24,HL25)</f>
        <v>#VALUE!</v>
      </c>
      <c r="HM31" s="962" t="e">
        <f>[1]!bodsava(1,1,(HM23+1),[1]!qsn([1]!ml([1]!taqsha(1,1,1+HM23,HM24)),HM25)/30,HM24,HM25)</f>
        <v>#VALUE!</v>
      </c>
      <c r="HN31" s="962" t="e">
        <f>[1]!bodsava(1,1,(HN23+1),[1]!qsn([1]!ml([1]!taqsha(1,1,1+HN23,HN24)),HN25)/30,HN24,HN25)</f>
        <v>#VALUE!</v>
      </c>
      <c r="HO31" s="962" t="e">
        <f>[1]!bodsava(1,1,(HO23+1),[1]!qsn([1]!ml([1]!taqsha(1,1,1+HO23,HO24)),HO25)/30,HO24,HO25)</f>
        <v>#VALUE!</v>
      </c>
      <c r="HP31" s="962" t="e">
        <f>[1]!bodsava(1,1,(HP23+1),[1]!qsn([1]!ml([1]!taqsha(1,1,1+HP23,HP24)),HP25)/30,HP24,HP25)</f>
        <v>#VALUE!</v>
      </c>
      <c r="HQ31" s="962" t="e">
        <f>[1]!bodsava(1,1,(HQ23+1),[1]!qsn([1]!ml([1]!taqsha(1,1,1+HQ23,HQ24)),HQ25)/30,HQ24,HQ25)</f>
        <v>#VALUE!</v>
      </c>
      <c r="HR31" s="962" t="e">
        <f>[1]!bodsava(1,1,(HR23+1),[1]!qsn([1]!ml([1]!taqsha(1,1,1+HR23,HR24)),HR25)/30,HR24,HR25)</f>
        <v>#VALUE!</v>
      </c>
      <c r="HS31" s="962" t="e">
        <f>[1]!bodsava(1,1,(HS23+1),[1]!qsn([1]!ml([1]!taqsha(1,1,1+HS23,HS24)),HS25)/30,HS24,HS25)</f>
        <v>#VALUE!</v>
      </c>
      <c r="HT31" s="962" t="e">
        <f>[1]!bodsava(1,1,(HT23+1),[1]!qsn([1]!ml([1]!taqsha(1,1,1+HT23,HT24)),HT25)/30,HT24,HT25)</f>
        <v>#VALUE!</v>
      </c>
      <c r="HU31" s="962" t="e">
        <f>[1]!bodsava(1,1,(HU23+1),[1]!qsn([1]!ml([1]!taqsha(1,1,1+HU23,HU24)),HU25)/30,HU24,HU25)</f>
        <v>#VALUE!</v>
      </c>
      <c r="HV31" s="962" t="e">
        <f>[1]!bodsava(1,1,(HV23+1),[1]!qsn([1]!ml([1]!taqsha(1,1,1+HV23,HV24)),HV25)/30,HV24,HV25)</f>
        <v>#VALUE!</v>
      </c>
      <c r="HW31" s="962" t="e">
        <f>[1]!bodsava(1,1,(HW23+1),[1]!qsn([1]!ml([1]!taqsha(1,1,1+HW23,HW24)),HW25)/30,HW24,HW25)</f>
        <v>#VALUE!</v>
      </c>
      <c r="HX31" s="962" t="e">
        <f>[1]!bodsava(1,1,(HX23+1),[1]!qsn([1]!ml([1]!taqsha(1,1,1+HX23,HX24)),HX25)/30,HX24,HX25)</f>
        <v>#VALUE!</v>
      </c>
      <c r="HY31" s="962" t="e">
        <f>[1]!bodsava(1,1,(HY23+1),[1]!qsn([1]!ml([1]!taqsha(1,1,1+HY23,HY24)),HY25)/30,HY24,HY25)</f>
        <v>#VALUE!</v>
      </c>
      <c r="HZ31" s="962" t="e">
        <f>[1]!bodsava(1,1,(HZ23+1),[1]!qsn([1]!ml([1]!taqsha(1,1,1+HZ23,HZ24)),HZ25)/30,HZ24,HZ25)</f>
        <v>#VALUE!</v>
      </c>
      <c r="IA31" s="962" t="e">
        <f>[1]!bodsava(1,1,(IA23+1),[1]!qsn([1]!ml([1]!taqsha(1,1,1+IA23,IA24)),IA25)/30,IA24,IA25)</f>
        <v>#VALUE!</v>
      </c>
      <c r="IB31" s="962" t="e">
        <f>[1]!bodsava(1,1,(IB23+1),[1]!qsn([1]!ml([1]!taqsha(1,1,1+IB23,IB24)),IB25)/30,IB24,IB25)</f>
        <v>#VALUE!</v>
      </c>
      <c r="IC31" s="962" t="e">
        <f>[1]!bodsava(1,1,(IC23+1),[1]!qsn([1]!ml([1]!taqsha(1,1,1+IC23,IC24)),IC25)/30,IC24,IC25)</f>
        <v>#VALUE!</v>
      </c>
      <c r="ID31" s="962" t="e">
        <f>[1]!bodsava(1,1,(ID23+1),[1]!qsn([1]!ml([1]!taqsha(1,1,1+ID23,ID24)),ID25)/30,ID24,ID25)</f>
        <v>#VALUE!</v>
      </c>
      <c r="IE31" s="962" t="e">
        <f>[1]!bodsava(1,1,(IE23+1),[1]!qsn([1]!ml([1]!taqsha(1,1,1+IE23,IE24)),IE25)/30,IE24,IE25)</f>
        <v>#VALUE!</v>
      </c>
      <c r="IF31" s="962" t="e">
        <f>[1]!bodsava(1,1,(IF23+1),[1]!qsn([1]!ml([1]!taqsha(1,1,1+IF23,IF24)),IF25)/30,IF24,IF25)</f>
        <v>#VALUE!</v>
      </c>
      <c r="IG31" s="962" t="e">
        <f>[1]!bodsava(1,1,(IG23+1),[1]!qsn([1]!ml([1]!taqsha(1,1,1+IG23,IG24)),IG25)/30,IG24,IG25)</f>
        <v>#VALUE!</v>
      </c>
      <c r="IH31" s="962" t="e">
        <f>[1]!bodsava(1,1,(IH23+1),[1]!qsn([1]!ml([1]!taqsha(1,1,1+IH23,IH24)),IH25)/30,IH24,IH25)</f>
        <v>#VALUE!</v>
      </c>
      <c r="II31" s="962" t="e">
        <f>[1]!bodsava(1,1,(II23+1),[1]!qsn([1]!ml([1]!taqsha(1,1,1+II23,II24)),II25)/30,II24,II25)</f>
        <v>#VALUE!</v>
      </c>
      <c r="IJ31" s="962" t="e">
        <f>[1]!bodsava(1,1,(IJ23+1),[1]!qsn([1]!ml([1]!taqsha(1,1,1+IJ23,IJ24)),IJ25)/30,IJ24,IJ25)</f>
        <v>#VALUE!</v>
      </c>
      <c r="IK31" s="962" t="e">
        <f>[1]!bodsava(1,1,(IK23+1),[1]!qsn([1]!ml([1]!taqsha(1,1,1+IK23,IK24)),IK25)/30,IK24,IK25)</f>
        <v>#VALUE!</v>
      </c>
      <c r="IL31" s="962" t="e">
        <f>[1]!bodsava(1,1,(IL23+1),[1]!qsn([1]!ml([1]!taqsha(1,1,1+IL23,IL24)),IL25)/30,IL24,IL25)</f>
        <v>#VALUE!</v>
      </c>
      <c r="IM31" s="962" t="e">
        <f>[1]!bodsava(1,1,(IM23+1),[1]!qsn([1]!ml([1]!taqsha(1,1,1+IM23,IM24)),IM25)/30,IM24,IM25)</f>
        <v>#VALUE!</v>
      </c>
      <c r="IN31" s="962" t="e">
        <f>[1]!bodsava(1,1,(IN23+1),[1]!qsn([1]!ml([1]!taqsha(1,1,1+IN23,IN24)),IN25)/30,IN24,IN25)</f>
        <v>#VALUE!</v>
      </c>
      <c r="IO31" s="962" t="e">
        <f>[1]!bodsava(1,1,(IO23+1),[1]!qsn([1]!ml([1]!taqsha(1,1,1+IO23,IO24)),IO25)/30,IO24,IO25)</f>
        <v>#VALUE!</v>
      </c>
      <c r="IP31" s="962" t="e">
        <f>[1]!bodsava(1,1,(IP23+1),[1]!qsn([1]!ml([1]!taqsha(1,1,1+IP23,IP24)),IP25)/30,IP24,IP25)</f>
        <v>#VALUE!</v>
      </c>
      <c r="IQ31" s="962" t="e">
        <f>[1]!bodsava(1,1,(IQ23+1),[1]!qsn([1]!ml([1]!taqsha(1,1,1+IQ23,IQ24)),IQ25)/30,IQ24,IQ25)</f>
        <v>#VALUE!</v>
      </c>
      <c r="IR31" s="962" t="e">
        <f>[1]!bodsava(1,1,(IR23+1),[1]!qsn([1]!ml([1]!taqsha(1,1,1+IR23,IR24)),IR25)/30,IR24,IR25)</f>
        <v>#VALUE!</v>
      </c>
      <c r="IS31" s="962" t="e">
        <f>[1]!bodsava(1,1,(IS23+1),[1]!qsn([1]!ml([1]!taqsha(1,1,1+IS23,IS24)),IS25)/30,IS24,IS25)</f>
        <v>#VALUE!</v>
      </c>
      <c r="IT31" s="962" t="e">
        <f>[1]!bodsava(1,1,(IT23+1),[1]!qsn([1]!ml([1]!taqsha(1,1,1+IT23,IT24)),IT25)/30,IT24,IT25)</f>
        <v>#VALUE!</v>
      </c>
      <c r="IU31" s="962" t="e">
        <f>[1]!bodsava(1,1,(IU23+1),[1]!qsn([1]!ml([1]!taqsha(1,1,1+IU23,IU24)),IU25)/30,IU24,IU25)</f>
        <v>#VALUE!</v>
      </c>
      <c r="IV31" s="962" t="e">
        <f>[1]!bodsava(1,1,(IV23+1),[1]!qsn([1]!ml([1]!taqsha(1,1,1+IV23,IV24)),IV25)/30,IV24,IV25)</f>
        <v>#VALUE!</v>
      </c>
      <c r="IW31" s="962" t="e">
        <f>[1]!bodsava(1,1,(IW23+1),[1]!qsn([1]!ml([1]!taqsha(1,1,1+IW23,IW24)),IW25)/30,IW24,IW25)</f>
        <v>#VALUE!</v>
      </c>
      <c r="IX31" s="962" t="e">
        <f>[1]!bodsava(1,1,(IX23+1),[1]!qsn([1]!ml([1]!taqsha(1,1,1+IX23,IX24)),IX25)/30,IX24,IX25)</f>
        <v>#VALUE!</v>
      </c>
      <c r="IY31" s="962" t="e">
        <f>[1]!bodsava(1,1,(IY23+1),[1]!qsn([1]!ml([1]!taqsha(1,1,1+IY23,IY24)),IY25)/30,IY24,IY25)</f>
        <v>#VALUE!</v>
      </c>
      <c r="IZ31" s="962" t="e">
        <f>[1]!bodsava(1,1,(IZ23+1),[1]!qsn([1]!ml([1]!taqsha(1,1,1+IZ23,IZ24)),IZ25)/30,IZ24,IZ25)</f>
        <v>#VALUE!</v>
      </c>
      <c r="JA31" s="962" t="e">
        <f>[1]!bodsava(1,1,(JA23+1),[1]!qsn([1]!ml([1]!taqsha(1,1,1+JA23,JA24)),JA25)/30,JA24,JA25)</f>
        <v>#VALUE!</v>
      </c>
      <c r="JB31" s="962" t="e">
        <f>[1]!bodsava(1,1,(JB23+1),[1]!qsn([1]!ml([1]!taqsha(1,1,1+JB23,JB24)),JB25)/30,JB24,JB25)</f>
        <v>#VALUE!</v>
      </c>
      <c r="JC31" s="962" t="e">
        <f>[1]!bodsava(1,1,(JC23+1),[1]!qsn([1]!ml([1]!taqsha(1,1,1+JC23,JC24)),JC25)/30,JC24,JC25)</f>
        <v>#VALUE!</v>
      </c>
      <c r="JD31" s="962" t="e">
        <f>[1]!bodsava(1,1,(JD23+1),[1]!qsn([1]!ml([1]!taqsha(1,1,1+JD23,JD24)),JD25)/30,JD24,JD25)</f>
        <v>#VALUE!</v>
      </c>
      <c r="JE31" s="962" t="e">
        <f>[1]!bodsava(1,1,(JE23+1),[1]!qsn([1]!ml([1]!taqsha(1,1,1+JE23,JE24)),JE25)/30,JE24,JE25)</f>
        <v>#VALUE!</v>
      </c>
      <c r="JF31" s="962" t="e">
        <f>[1]!bodsava(1,1,(JF23+1),[1]!qsn([1]!ml([1]!taqsha(1,1,1+JF23,JF24)),JF25)/30,JF24,JF25)</f>
        <v>#VALUE!</v>
      </c>
      <c r="JG31" s="962" t="e">
        <f>[1]!bodsava(1,1,(JG23+1),[1]!qsn([1]!ml([1]!taqsha(1,1,1+JG23,JG24)),JG25)/30,JG24,JG25)</f>
        <v>#VALUE!</v>
      </c>
      <c r="JH31" s="962" t="e">
        <f>[1]!bodsava(1,1,(JH23+1),[1]!qsn([1]!ml([1]!taqsha(1,1,1+JH23,JH24)),JH25)/30,JH24,JH25)</f>
        <v>#VALUE!</v>
      </c>
      <c r="JI31" s="962" t="e">
        <f>[1]!bodsava(1,1,(JI23+1),[1]!qsn([1]!ml([1]!taqsha(1,1,1+JI23,JI24)),JI25)/30,JI24,JI25)</f>
        <v>#VALUE!</v>
      </c>
      <c r="JJ31" s="962" t="e">
        <f>[1]!bodsava(1,1,(JJ23+1),[1]!qsn([1]!ml([1]!taqsha(1,1,1+JJ23,JJ24)),JJ25)/30,JJ24,JJ25)</f>
        <v>#VALUE!</v>
      </c>
      <c r="JK31" s="962" t="e">
        <f>[1]!bodsava(1,1,(JK23+1),[1]!qsn([1]!ml([1]!taqsha(1,1,1+JK23,JK24)),JK25)/30,JK24,JK25)</f>
        <v>#VALUE!</v>
      </c>
      <c r="JL31" s="962" t="e">
        <f>[1]!bodsava(1,1,(JL23+1),[1]!qsn([1]!ml([1]!taqsha(1,1,1+JL23,JL24)),JL25)/30,JL24,JL25)</f>
        <v>#VALUE!</v>
      </c>
      <c r="JM31" s="962" t="e">
        <f>[1]!bodsava(1,1,(JM23+1),[1]!qsn([1]!ml([1]!taqsha(1,1,1+JM23,JM24)),JM25)/30,JM24,JM25)</f>
        <v>#VALUE!</v>
      </c>
      <c r="JN31" s="962" t="e">
        <f>[1]!bodsava(1,1,(JN23+1),[1]!qsn([1]!ml([1]!taqsha(1,1,1+JN23,JN24)),JN25)/30,JN24,JN25)</f>
        <v>#VALUE!</v>
      </c>
      <c r="JO31" s="962" t="e">
        <f>[1]!bodsava(1,1,(JO23+1),[1]!qsn([1]!ml([1]!taqsha(1,1,1+JO23,JO24)),JO25)/30,JO24,JO25)</f>
        <v>#VALUE!</v>
      </c>
      <c r="JP31" s="962" t="e">
        <f>[1]!bodsava(1,1,(JP23+1),[1]!qsn([1]!ml([1]!taqsha(1,1,1+JP23,JP24)),JP25)/30,JP24,JP25)</f>
        <v>#VALUE!</v>
      </c>
      <c r="JQ31" s="962" t="e">
        <f>[1]!bodsava(1,1,(JQ23+1),[1]!qsn([1]!ml([1]!taqsha(1,1,1+JQ23,JQ24)),JQ25)/30,JQ24,JQ25)</f>
        <v>#VALUE!</v>
      </c>
      <c r="JR31" s="962" t="e">
        <f>[1]!bodsava(1,1,(JR23+1),[1]!qsn([1]!ml([1]!taqsha(1,1,1+JR23,JR24)),JR25)/30,JR24,JR25)</f>
        <v>#VALUE!</v>
      </c>
      <c r="JS31" s="962" t="e">
        <f>[1]!bodsava(1,1,(JS23+1),[1]!qsn([1]!ml([1]!taqsha(1,1,1+JS23,JS24)),JS25)/30,JS24,JS25)</f>
        <v>#VALUE!</v>
      </c>
      <c r="JT31" s="962" t="e">
        <f>[1]!bodsava(1,1,(JT23+1),[1]!qsn([1]!ml([1]!taqsha(1,1,1+JT23,JT24)),JT25)/30,JT24,JT25)</f>
        <v>#VALUE!</v>
      </c>
      <c r="JU31" s="962" t="e">
        <f>[1]!bodsava(1,1,(JU23+1),[1]!qsn([1]!ml([1]!taqsha(1,1,1+JU23,JU24)),JU25)/30,JU24,JU25)</f>
        <v>#VALUE!</v>
      </c>
      <c r="JV31" s="962" t="e">
        <f>[1]!bodsava(1,1,(JV23+1),[1]!qsn([1]!ml([1]!taqsha(1,1,1+JV23,JV24)),JV25)/30,JV24,JV25)</f>
        <v>#VALUE!</v>
      </c>
      <c r="JW31" s="962" t="e">
        <f>[1]!bodsava(1,1,(JW23+1),[1]!qsn([1]!ml([1]!taqsha(1,1,1+JW23,JW24)),JW25)/30,JW24,JW25)</f>
        <v>#VALUE!</v>
      </c>
      <c r="JX31" s="962" t="e">
        <f>[1]!bodsava(1,1,(JX23+1),[1]!qsn([1]!ml([1]!taqsha(1,1,1+JX23,JX24)),JX25)/30,JX24,JX25)</f>
        <v>#VALUE!</v>
      </c>
      <c r="JY31" s="962" t="e">
        <f>[1]!bodsava(1,1,(JY23+1),[1]!qsn([1]!ml([1]!taqsha(1,1,1+JY23,JY24)),JY25)/30,JY24,JY25)</f>
        <v>#VALUE!</v>
      </c>
      <c r="JZ31" s="962" t="e">
        <f>[1]!bodsava(1,1,(JZ23+1),[1]!qsn([1]!ml([1]!taqsha(1,1,1+JZ23,JZ24)),JZ25)/30,JZ24,JZ25)</f>
        <v>#VALUE!</v>
      </c>
      <c r="KA31" s="962" t="e">
        <f>[1]!bodsava(1,1,(KA23+1),[1]!qsn([1]!ml([1]!taqsha(1,1,1+KA23,KA24)),KA25)/30,KA24,KA25)</f>
        <v>#VALUE!</v>
      </c>
      <c r="KB31" s="962" t="e">
        <f>[1]!bodsava(1,1,(KB23+1),[1]!qsn([1]!ml([1]!taqsha(1,1,1+KB23,KB24)),KB25)/30,KB24,KB25)</f>
        <v>#VALUE!</v>
      </c>
      <c r="KC31" s="962" t="e">
        <f>[1]!bodsava(1,1,(KC23+1),[1]!qsn([1]!ml([1]!taqsha(1,1,1+KC23,KC24)),KC25)/30,KC24,KC25)</f>
        <v>#VALUE!</v>
      </c>
      <c r="KD31" s="962" t="e">
        <f>[1]!bodsava(1,1,(KD23+1),[1]!qsn([1]!ml([1]!taqsha(1,1,1+KD23,KD24)),KD25)/30,KD24,KD25)</f>
        <v>#VALUE!</v>
      </c>
      <c r="KE31" s="962" t="e">
        <f>[1]!bodsava(1,1,(KE23+1),[1]!qsn([1]!ml([1]!taqsha(1,1,1+KE23,KE24)),KE25)/30,KE24,KE25)</f>
        <v>#VALUE!</v>
      </c>
      <c r="KF31" s="962" t="e">
        <f>[1]!bodsava(1,1,(KF23+1),[1]!qsn([1]!ml([1]!taqsha(1,1,1+KF23,KF24)),KF25)/30,KF24,KF25)</f>
        <v>#VALUE!</v>
      </c>
      <c r="KG31" s="962" t="e">
        <f>[1]!bodsava(1,1,(KG23+1),[1]!qsn([1]!ml([1]!taqsha(1,1,1+KG23,KG24)),KG25)/30,KG24,KG25)</f>
        <v>#VALUE!</v>
      </c>
      <c r="KH31" s="962" t="e">
        <f>[1]!bodsava(1,1,(KH23+1),[1]!qsn([1]!ml([1]!taqsha(1,1,1+KH23,KH24)),KH25)/30,KH24,KH25)</f>
        <v>#VALUE!</v>
      </c>
      <c r="KI31" s="962" t="e">
        <f>[1]!bodsava(1,1,(KI23+1),[1]!qsn([1]!ml([1]!taqsha(1,1,1+KI23,KI24)),KI25)/30,KI24,KI25)</f>
        <v>#VALUE!</v>
      </c>
      <c r="KJ31" s="962" t="e">
        <f>[1]!bodsava(1,1,(KJ23+1),[1]!qsn([1]!ml([1]!taqsha(1,1,1+KJ23,KJ24)),KJ25)/30,KJ24,KJ25)</f>
        <v>#VALUE!</v>
      </c>
      <c r="KK31" s="962" t="e">
        <f>[1]!bodsava(1,1,(KK23+1),[1]!qsn([1]!ml([1]!taqsha(1,1,1+KK23,KK24)),KK25)/30,KK24,KK25)</f>
        <v>#VALUE!</v>
      </c>
      <c r="KL31" s="962" t="e">
        <f>[1]!bodsava(1,1,(KL23+1),[1]!qsn([1]!ml([1]!taqsha(1,1,1+KL23,KL24)),KL25)/30,KL24,KL25)</f>
        <v>#VALUE!</v>
      </c>
      <c r="KM31" s="962" t="e">
        <f>[1]!bodsava(1,1,(KM23+1),[1]!qsn([1]!ml([1]!taqsha(1,1,1+KM23,KM24)),KM25)/30,KM24,KM25)</f>
        <v>#VALUE!</v>
      </c>
      <c r="KN31" s="962" t="e">
        <f>[1]!bodsava(1,1,(KN23+1),[1]!qsn([1]!ml([1]!taqsha(1,1,1+KN23,KN24)),KN25)/30,KN24,KN25)</f>
        <v>#VALUE!</v>
      </c>
      <c r="KO31" s="962" t="e">
        <f>[1]!bodsava(1,1,(KO23+1),[1]!qsn([1]!ml([1]!taqsha(1,1,1+KO23,KO24)),KO25)/30,KO24,KO25)</f>
        <v>#VALUE!</v>
      </c>
      <c r="KP31" s="962" t="e">
        <f>[1]!bodsava(1,1,(KP23+1),[1]!qsn([1]!ml([1]!taqsha(1,1,1+KP23,KP24)),KP25)/30,KP24,KP25)</f>
        <v>#VALUE!</v>
      </c>
      <c r="KQ31" s="962" t="e">
        <f>[1]!bodsava(1,1,(KQ23+1),[1]!qsn([1]!ml([1]!taqsha(1,1,1+KQ23,KQ24)),KQ25)/30,KQ24,KQ25)</f>
        <v>#VALUE!</v>
      </c>
      <c r="KR31" s="962" t="e">
        <f>[1]!bodsava(1,1,(KR23+1),[1]!qsn([1]!ml([1]!taqsha(1,1,1+KR23,KR24)),KR25)/30,KR24,KR25)</f>
        <v>#VALUE!</v>
      </c>
      <c r="KS31" s="962" t="e">
        <f>[1]!bodsava(1,1,(KS23+1),[1]!qsn([1]!ml([1]!taqsha(1,1,1+KS23,KS24)),KS25)/30,KS24,KS25)</f>
        <v>#VALUE!</v>
      </c>
      <c r="KT31" s="962" t="e">
        <f>[1]!bodsava(1,1,(KT23+1),[1]!qsn([1]!ml([1]!taqsha(1,1,1+KT23,KT24)),KT25)/30,KT24,KT25)</f>
        <v>#VALUE!</v>
      </c>
      <c r="KU31" s="962" t="e">
        <f>[1]!bodsava(1,1,(KU23+1),[1]!qsn([1]!ml([1]!taqsha(1,1,1+KU23,KU24)),KU25)/30,KU24,KU25)</f>
        <v>#VALUE!</v>
      </c>
      <c r="KV31" s="962" t="e">
        <f>[1]!bodsava(1,1,(KV23+1),[1]!qsn([1]!ml([1]!taqsha(1,1,1+KV23,KV24)),KV25)/30,KV24,KV25)</f>
        <v>#VALUE!</v>
      </c>
      <c r="KW31" s="962" t="e">
        <f>[1]!bodsava(1,1,(KW23+1),[1]!qsn([1]!ml([1]!taqsha(1,1,1+KW23,KW24)),KW25)/30,KW24,KW25)</f>
        <v>#VALUE!</v>
      </c>
      <c r="KX31" s="962" t="e">
        <f>[1]!bodsava(1,1,(KX23+1),[1]!qsn([1]!ml([1]!taqsha(1,1,1+KX23,KX24)),KX25)/30,KX24,KX25)</f>
        <v>#VALUE!</v>
      </c>
      <c r="KY31" s="962" t="e">
        <f>[1]!bodsava(1,1,(KY23+1),[1]!qsn([1]!ml([1]!taqsha(1,1,1+KY23,KY24)),KY25)/30,KY24,KY25)</f>
        <v>#VALUE!</v>
      </c>
      <c r="KZ31" s="962" t="e">
        <f>[1]!bodsava(1,1,(KZ23+1),[1]!qsn([1]!ml([1]!taqsha(1,1,1+KZ23,KZ24)),KZ25)/30,KZ24,KZ25)</f>
        <v>#VALUE!</v>
      </c>
      <c r="LA31" s="962" t="e">
        <f>[1]!bodsava(1,1,(LA23+1),[1]!qsn([1]!ml([1]!taqsha(1,1,1+LA23,LA24)),LA25)/30,LA24,LA25)</f>
        <v>#VALUE!</v>
      </c>
      <c r="LB31" s="962" t="e">
        <f>[1]!bodsava(1,1,(LB23+1),[1]!qsn([1]!ml([1]!taqsha(1,1,1+LB23,LB24)),LB25)/30,LB24,LB25)</f>
        <v>#VALUE!</v>
      </c>
      <c r="LC31" s="962" t="e">
        <f>[1]!bodsava(1,1,(LC23+1),[1]!qsn([1]!ml([1]!taqsha(1,1,1+LC23,LC24)),LC25)/30,LC24,LC25)</f>
        <v>#VALUE!</v>
      </c>
      <c r="LD31" s="962" t="e">
        <f>[1]!bodsava(1,1,(LD23+1),[1]!qsn([1]!ml([1]!taqsha(1,1,1+LD23,LD24)),LD25)/30,LD24,LD25)</f>
        <v>#VALUE!</v>
      </c>
      <c r="LE31" s="962" t="e">
        <f>[1]!bodsava(1,1,(LE23+1),[1]!qsn([1]!ml([1]!taqsha(1,1,1+LE23,LE24)),LE25)/30,LE24,LE25)</f>
        <v>#VALUE!</v>
      </c>
      <c r="LF31" s="962" t="e">
        <f>[1]!bodsava(1,1,(LF23+1),[1]!qsn([1]!ml([1]!taqsha(1,1,1+LF23,LF24)),LF25)/30,LF24,LF25)</f>
        <v>#VALUE!</v>
      </c>
      <c r="LG31" s="962" t="e">
        <f>[1]!bodsava(1,1,(LG23+1),[1]!qsn([1]!ml([1]!taqsha(1,1,1+LG23,LG24)),LG25)/30,LG24,LG25)</f>
        <v>#VALUE!</v>
      </c>
      <c r="LH31" s="962" t="e">
        <f>[1]!bodsava(1,1,(LH23+1),[1]!qsn([1]!ml([1]!taqsha(1,1,1+LH23,LH24)),LH25)/30,LH24,LH25)</f>
        <v>#VALUE!</v>
      </c>
      <c r="LI31" s="962" t="e">
        <f>[1]!bodsava(1,1,(LI23+1),[1]!qsn([1]!ml([1]!taqsha(1,1,1+LI23,LI24)),LI25)/30,LI24,LI25)</f>
        <v>#VALUE!</v>
      </c>
      <c r="LJ31" s="962" t="e">
        <f>[1]!bodsava(1,1,(LJ23+1),[1]!qsn([1]!ml([1]!taqsha(1,1,1+LJ23,LJ24)),LJ25)/30,LJ24,LJ25)</f>
        <v>#VALUE!</v>
      </c>
      <c r="LK31" s="962" t="e">
        <f>[1]!bodsava(1,1,(LK23+1),[1]!qsn([1]!ml([1]!taqsha(1,1,1+LK23,LK24)),LK25)/30,LK24,LK25)</f>
        <v>#VALUE!</v>
      </c>
      <c r="LL31" s="962" t="e">
        <f>[1]!bodsava(1,1,(LL23+1),[1]!qsn([1]!ml([1]!taqsha(1,1,1+LL23,LL24)),LL25)/30,LL24,LL25)</f>
        <v>#VALUE!</v>
      </c>
      <c r="LM31" s="962" t="e">
        <f>[1]!bodsava(1,1,(LM23+1),[1]!qsn([1]!ml([1]!taqsha(1,1,1+LM23,LM24)),LM25)/30,LM24,LM25)</f>
        <v>#VALUE!</v>
      </c>
      <c r="LN31" s="962" t="e">
        <f>[1]!bodsava(1,1,(LN23+1),[1]!qsn([1]!ml([1]!taqsha(1,1,1+LN23,LN24)),LN25)/30,LN24,LN25)</f>
        <v>#VALUE!</v>
      </c>
      <c r="LO31" s="962" t="e">
        <f>[1]!bodsava(1,1,(LO23+1),[1]!qsn([1]!ml([1]!taqsha(1,1,1+LO23,LO24)),LO25)/30,LO24,LO25)</f>
        <v>#VALUE!</v>
      </c>
      <c r="LP31" s="962" t="e">
        <f>[1]!bodsava(1,1,(LP23+1),[1]!qsn([1]!ml([1]!taqsha(1,1,1+LP23,LP24)),LP25)/30,LP24,LP25)</f>
        <v>#VALUE!</v>
      </c>
      <c r="LQ31" s="962" t="e">
        <f>[1]!bodsava(1,1,(LQ23+1),[1]!qsn([1]!ml([1]!taqsha(1,1,1+LQ23,LQ24)),LQ25)/30,LQ24,LQ25)</f>
        <v>#VALUE!</v>
      </c>
      <c r="LR31" s="962" t="e">
        <f>[1]!bodsava(1,1,(LR23+1),[1]!qsn([1]!ml([1]!taqsha(1,1,1+LR23,LR24)),LR25)/30,LR24,LR25)</f>
        <v>#VALUE!</v>
      </c>
      <c r="LS31" s="962" t="e">
        <f>[1]!bodsava(1,1,(LS23+1),[1]!qsn([1]!ml([1]!taqsha(1,1,1+LS23,LS24)),LS25)/30,LS24,LS25)</f>
        <v>#VALUE!</v>
      </c>
      <c r="LT31" s="962" t="e">
        <f>[1]!bodsava(1,1,(LT23+1),[1]!qsn([1]!ml([1]!taqsha(1,1,1+LT23,LT24)),LT25)/30,LT24,LT25)</f>
        <v>#VALUE!</v>
      </c>
      <c r="LU31" s="962" t="e">
        <f>[1]!bodsava(1,1,(LU23+1),[1]!qsn([1]!ml([1]!taqsha(1,1,1+LU23,LU24)),LU25)/30,LU24,LU25)</f>
        <v>#VALUE!</v>
      </c>
      <c r="LV31" s="962" t="e">
        <f>[1]!bodsava(1,1,(LV23+1),[1]!qsn([1]!ml([1]!taqsha(1,1,1+LV23,LV24)),LV25)/30,LV24,LV25)</f>
        <v>#VALUE!</v>
      </c>
      <c r="LW31" s="962" t="e">
        <f>[1]!bodsava(1,1,(LW23+1),[1]!qsn([1]!ml([1]!taqsha(1,1,1+LW23,LW24)),LW25)/30,LW24,LW25)</f>
        <v>#VALUE!</v>
      </c>
      <c r="LX31" s="962" t="e">
        <f>[1]!bodsava(1,1,(LX23+1),[1]!qsn([1]!ml([1]!taqsha(1,1,1+LX23,LX24)),LX25)/30,LX24,LX25)</f>
        <v>#VALUE!</v>
      </c>
      <c r="LY31" s="962" t="e">
        <f>[1]!bodsava(1,1,(LY23+1),[1]!qsn([1]!ml([1]!taqsha(1,1,1+LY23,LY24)),LY25)/30,LY24,LY25)</f>
        <v>#VALUE!</v>
      </c>
      <c r="LZ31" s="962" t="e">
        <f>[1]!bodsava(1,1,(LZ23+1),[1]!qsn([1]!ml([1]!taqsha(1,1,1+LZ23,LZ24)),LZ25)/30,LZ24,LZ25)</f>
        <v>#VALUE!</v>
      </c>
      <c r="MA31" s="962" t="e">
        <f>[1]!bodsava(1,1,(MA23+1),[1]!qsn([1]!ml([1]!taqsha(1,1,1+MA23,MA24)),MA25)/30,MA24,MA25)</f>
        <v>#VALUE!</v>
      </c>
      <c r="MB31" s="962" t="e">
        <f>[1]!bodsava(1,1,(MB23+1),[1]!qsn([1]!ml([1]!taqsha(1,1,1+MB23,MB24)),MB25)/30,MB24,MB25)</f>
        <v>#VALUE!</v>
      </c>
      <c r="MC31" s="962" t="e">
        <f>[1]!bodsava(1,1,(MC23+1),[1]!qsn([1]!ml([1]!taqsha(1,1,1+MC23,MC24)),MC25)/30,MC24,MC25)</f>
        <v>#VALUE!</v>
      </c>
      <c r="MD31" s="962" t="e">
        <f>[1]!bodsava(1,1,(MD23+1),[1]!qsn([1]!ml([1]!taqsha(1,1,1+MD23,MD24)),MD25)/30,MD24,MD25)</f>
        <v>#VALUE!</v>
      </c>
      <c r="ME31" s="962" t="e">
        <f>[1]!bodsava(1,1,(ME23+1),[1]!qsn([1]!ml([1]!taqsha(1,1,1+ME23,ME24)),ME25)/30,ME24,ME25)</f>
        <v>#VALUE!</v>
      </c>
      <c r="MF31" s="962" t="e">
        <f>[1]!bodsava(1,1,(MF23+1),[1]!qsn([1]!ml([1]!taqsha(1,1,1+MF23,MF24)),MF25)/30,MF24,MF25)</f>
        <v>#VALUE!</v>
      </c>
      <c r="MG31" s="962" t="e">
        <f>[1]!bodsava(1,1,(MG23+1),[1]!qsn([1]!ml([1]!taqsha(1,1,1+MG23,MG24)),MG25)/30,MG24,MG25)</f>
        <v>#VALUE!</v>
      </c>
      <c r="MH31" s="962" t="e">
        <f>[1]!bodsava(1,1,(MH23+1),[1]!qsn([1]!ml([1]!taqsha(1,1,1+MH23,MH24)),MH25)/30,MH24,MH25)</f>
        <v>#VALUE!</v>
      </c>
      <c r="MI31" s="962" t="e">
        <f>[1]!bodsava(1,1,(MI23+1),[1]!qsn([1]!ml([1]!taqsha(1,1,1+MI23,MI24)),MI25)/30,MI24,MI25)</f>
        <v>#VALUE!</v>
      </c>
      <c r="MJ31" s="962" t="e">
        <f>[1]!bodsava(1,1,(MJ23+1),[1]!qsn([1]!ml([1]!taqsha(1,1,1+MJ23,MJ24)),MJ25)/30,MJ24,MJ25)</f>
        <v>#VALUE!</v>
      </c>
      <c r="MK31" s="962" t="e">
        <f>[1]!bodsava(1,1,(MK23+1),[1]!qsn([1]!ml([1]!taqsha(1,1,1+MK23,MK24)),MK25)/30,MK24,MK25)</f>
        <v>#VALUE!</v>
      </c>
      <c r="ML31" s="962" t="e">
        <f>[1]!bodsava(1,1,(ML23+1),[1]!qsn([1]!ml([1]!taqsha(1,1,1+ML23,ML24)),ML25)/30,ML24,ML25)</f>
        <v>#VALUE!</v>
      </c>
      <c r="MM31" s="962" t="e">
        <f>[1]!bodsava(1,1,(MM23+1),[1]!qsn([1]!ml([1]!taqsha(1,1,1+MM23,MM24)),MM25)/30,MM24,MM25)</f>
        <v>#VALUE!</v>
      </c>
      <c r="MN31" s="962" t="e">
        <f>[1]!bodsava(1,1,(MN23+1),[1]!qsn([1]!ml([1]!taqsha(1,1,1+MN23,MN24)),MN25)/30,MN24,MN25)</f>
        <v>#VALUE!</v>
      </c>
      <c r="MO31" s="962" t="e">
        <f>[1]!bodsava(1,1,(MO23+1),[1]!qsn([1]!ml([1]!taqsha(1,1,1+MO23,MO24)),MO25)/30,MO24,MO25)</f>
        <v>#VALUE!</v>
      </c>
      <c r="MP31" s="962" t="e">
        <f>[1]!bodsava(1,1,(MP23+1),[1]!qsn([1]!ml([1]!taqsha(1,1,1+MP23,MP24)),MP25)/30,MP24,MP25)</f>
        <v>#VALUE!</v>
      </c>
      <c r="MQ31" s="962" t="e">
        <f>[1]!bodsava(1,1,(MQ23+1),[1]!qsn([1]!ml([1]!taqsha(1,1,1+MQ23,MQ24)),MQ25)/30,MQ24,MQ25)</f>
        <v>#VALUE!</v>
      </c>
      <c r="MR31" s="962" t="e">
        <f>[1]!bodsava(1,1,(MR23+1),[1]!qsn([1]!ml([1]!taqsha(1,1,1+MR23,MR24)),MR25)/30,MR24,MR25)</f>
        <v>#VALUE!</v>
      </c>
      <c r="MS31" s="962" t="e">
        <f>[1]!bodsava(1,1,(MS23+1),[1]!qsn([1]!ml([1]!taqsha(1,1,1+MS23,MS24)),MS25)/30,MS24,MS25)</f>
        <v>#VALUE!</v>
      </c>
      <c r="MT31" s="962" t="e">
        <f>[1]!bodsava(1,1,(MT23+1),[1]!qsn([1]!ml([1]!taqsha(1,1,1+MT23,MT24)),MT25)/30,MT24,MT25)</f>
        <v>#VALUE!</v>
      </c>
      <c r="MU31" s="962" t="e">
        <f>[1]!bodsava(1,1,(MU23+1),[1]!qsn([1]!ml([1]!taqsha(1,1,1+MU23,MU24)),MU25)/30,MU24,MU25)</f>
        <v>#VALUE!</v>
      </c>
      <c r="MV31" s="962" t="e">
        <f>[1]!bodsava(1,1,(MV23+1),[1]!qsn([1]!ml([1]!taqsha(1,1,1+MV23,MV24)),MV25)/30,MV24,MV25)</f>
        <v>#VALUE!</v>
      </c>
      <c r="MW31" s="962" t="e">
        <f>[1]!bodsava(1,1,(MW23+1),[1]!qsn([1]!ml([1]!taqsha(1,1,1+MW23,MW24)),MW25)/30,MW24,MW25)</f>
        <v>#VALUE!</v>
      </c>
      <c r="MX31" s="962" t="e">
        <f>[1]!bodsava(1,1,(MX23+1),[1]!qsn([1]!ml([1]!taqsha(1,1,1+MX23,MX24)),MX25)/30,MX24,MX25)</f>
        <v>#VALUE!</v>
      </c>
      <c r="MY31" s="962" t="e">
        <f>[1]!bodsava(1,1,(MY23+1),[1]!qsn([1]!ml([1]!taqsha(1,1,1+MY23,MY24)),MY25)/30,MY24,MY25)</f>
        <v>#VALUE!</v>
      </c>
      <c r="MZ31" s="962" t="e">
        <f>[1]!bodsava(1,1,(MZ23+1),[1]!qsn([1]!ml([1]!taqsha(1,1,1+MZ23,MZ24)),MZ25)/30,MZ24,MZ25)</f>
        <v>#VALUE!</v>
      </c>
      <c r="NA31" s="962" t="e">
        <f>[1]!bodsava(1,1,(NA23+1),[1]!qsn([1]!ml([1]!taqsha(1,1,1+NA23,NA24)),NA25)/30,NA24,NA25)</f>
        <v>#VALUE!</v>
      </c>
      <c r="NB31" s="962" t="e">
        <f>[1]!bodsava(1,1,(NB23+1),[1]!qsn([1]!ml([1]!taqsha(1,1,1+NB23,NB24)),NB25)/30,NB24,NB25)</f>
        <v>#VALUE!</v>
      </c>
      <c r="NC31" s="962" t="e">
        <f>[1]!bodsava(1,1,(NC23+1),[1]!qsn([1]!ml([1]!taqsha(1,1,1+NC23,NC24)),NC25)/30,NC24,NC25)</f>
        <v>#VALUE!</v>
      </c>
      <c r="ND31" s="962" t="e">
        <f>[1]!bodsava(1,1,(ND23+1),[1]!qsn([1]!ml([1]!taqsha(1,1,1+ND23,ND24)),ND25)/30,ND24,ND25)</f>
        <v>#VALUE!</v>
      </c>
      <c r="NE31" s="962" t="e">
        <f>[1]!bodsava(1,1,(NE23+1),[1]!qsn([1]!ml([1]!taqsha(1,1,1+NE23,NE24)),NE25)/30,NE24,NE25)</f>
        <v>#VALUE!</v>
      </c>
      <c r="NF31" s="962" t="e">
        <f>[1]!bodsava(1,1,(NF23+1),[1]!qsn([1]!ml([1]!taqsha(1,1,1+NF23,NF24)),NF25)/30,NF24,NF25)</f>
        <v>#VALUE!</v>
      </c>
      <c r="NG31" s="962" t="e">
        <f>[1]!bodsava(1,1,(NG23+1),[1]!qsn([1]!ml([1]!taqsha(1,1,1+NG23,NG24)),NG25)/30,NG24,NG25)</f>
        <v>#VALUE!</v>
      </c>
      <c r="NH31" s="962" t="e">
        <f>[1]!bodsava(1,1,(NH23+1),[1]!qsn([1]!ml([1]!taqsha(1,1,1+NH23,NH24)),NH25)/30,NH24,NH25)</f>
        <v>#VALUE!</v>
      </c>
      <c r="NI31" s="962" t="e">
        <f>[1]!bodsava(1,1,(NI23+1),[1]!qsn([1]!ml([1]!taqsha(1,1,1+NI23,NI24)),NI25)/30,NI24,NI25)</f>
        <v>#VALUE!</v>
      </c>
      <c r="NJ31" s="962" t="e">
        <f>[1]!bodsava(1,1,(NJ23+1),[1]!qsn([1]!ml([1]!taqsha(1,1,1+NJ23,NJ24)),NJ25)/30,NJ24,NJ25)</f>
        <v>#VALUE!</v>
      </c>
      <c r="NK31" s="962" t="e">
        <f>[1]!bodsava(1,1,(NK23+1),[1]!qsn([1]!ml([1]!taqsha(1,1,1+NK23,NK24)),NK25)/30,NK24,NK25)</f>
        <v>#VALUE!</v>
      </c>
      <c r="NL31" s="962" t="e">
        <f>[1]!bodsava(1,1,(NL23+1),[1]!qsn([1]!ml([1]!taqsha(1,1,1+NL23,NL24)),NL25)/30,NL24,NL25)</f>
        <v>#VALUE!</v>
      </c>
      <c r="NM31" s="962" t="e">
        <f>[1]!bodsava(1,1,(NM23+1),[1]!qsn([1]!ml([1]!taqsha(1,1,1+NM23,NM24)),NM25)/30,NM24,NM25)</f>
        <v>#VALUE!</v>
      </c>
      <c r="NN31" s="962" t="e">
        <f>[1]!bodsava(1,1,(NN23+1),[1]!qsn([1]!ml([1]!taqsha(1,1,1+NN23,NN24)),NN25)/30,NN24,NN25)</f>
        <v>#VALUE!</v>
      </c>
      <c r="NO31" s="962" t="e">
        <f>[1]!bodsava(1,1,(NO23+1),[1]!qsn([1]!ml([1]!taqsha(1,1,1+NO23,NO24)),NO25)/30,NO24,NO25)</f>
        <v>#VALUE!</v>
      </c>
      <c r="NP31" s="962" t="e">
        <f>[1]!bodsava(1,1,(NP23+1),[1]!qsn([1]!ml([1]!taqsha(1,1,1+NP23,NP24)),NP25)/30,NP24,NP25)</f>
        <v>#VALUE!</v>
      </c>
      <c r="NQ31" s="962" t="e">
        <f>[1]!bodsava(1,1,(NQ23+1),[1]!qsn([1]!ml([1]!taqsha(1,1,1+NQ23,NQ24)),NQ25)/30,NQ24,NQ25)</f>
        <v>#VALUE!</v>
      </c>
      <c r="NR31" s="962" t="e">
        <f>[1]!bodsava(1,1,(NR23+1),[1]!qsn([1]!ml([1]!taqsha(1,1,1+NR23,NR24)),NR25)/30,NR24,NR25)</f>
        <v>#VALUE!</v>
      </c>
      <c r="NS31" s="962" t="e">
        <f>[1]!bodsava(1,1,(NS23+1),[1]!qsn([1]!ml([1]!taqsha(1,1,1+NS23,NS24)),NS25)/30,NS24,NS25)</f>
        <v>#VALUE!</v>
      </c>
      <c r="NT31" s="962" t="e">
        <f>[1]!bodsava(1,1,(NT23+1),[1]!qsn([1]!ml([1]!taqsha(1,1,1+NT23,NT24)),NT25)/30,NT24,NT25)</f>
        <v>#VALUE!</v>
      </c>
      <c r="NU31" s="962" t="e">
        <f>[1]!bodsava(1,1,(NU23+1),[1]!qsn([1]!ml([1]!taqsha(1,1,1+NU23,NU24)),NU25)/30,NU24,NU25)</f>
        <v>#VALUE!</v>
      </c>
      <c r="NV31" s="962" t="e">
        <f>[1]!bodsava(1,1,(NV23+1),[1]!qsn([1]!ml([1]!taqsha(1,1,1+NV23,NV24)),NV25)/30,NV24,NV25)</f>
        <v>#VALUE!</v>
      </c>
      <c r="NW31" s="962" t="e">
        <f>[1]!bodsava(1,1,(NW23+1),[1]!qsn([1]!ml([1]!taqsha(1,1,1+NW23,NW24)),NW25)/30,NW24,NW25)</f>
        <v>#VALUE!</v>
      </c>
      <c r="NX31" s="962" t="e">
        <f>[1]!bodsava(1,1,(NX23+1),[1]!qsn([1]!ml([1]!taqsha(1,1,1+NX23,NX24)),NX25)/30,NX24,NX25)</f>
        <v>#VALUE!</v>
      </c>
      <c r="NY31" s="962" t="e">
        <f>[1]!bodsava(1,1,(NY23+1),[1]!qsn([1]!ml([1]!taqsha(1,1,1+NY23,NY24)),NY25)/30,NY24,NY25)</f>
        <v>#VALUE!</v>
      </c>
      <c r="NZ31" s="962" t="e">
        <f>[1]!bodsava(1,1,(NZ23+1),[1]!qsn([1]!ml([1]!taqsha(1,1,1+NZ23,NZ24)),NZ25)/30,NZ24,NZ25)</f>
        <v>#VALUE!</v>
      </c>
      <c r="OA31" s="962" t="e">
        <f>[1]!bodsava(1,1,(OA23+1),[1]!qsn([1]!ml([1]!taqsha(1,1,1+OA23,OA24)),OA25)/30,OA24,OA25)</f>
        <v>#VALUE!</v>
      </c>
      <c r="OB31" s="962" t="e">
        <f>[1]!bodsava(1,1,(OB23+1),[1]!qsn([1]!ml([1]!taqsha(1,1,1+OB23,OB24)),OB25)/30,OB24,OB25)</f>
        <v>#VALUE!</v>
      </c>
      <c r="OC31" s="962" t="e">
        <f>[1]!bodsava(1,1,(OC23+1),[1]!qsn([1]!ml([1]!taqsha(1,1,1+OC23,OC24)),OC25)/30,OC24,OC25)</f>
        <v>#VALUE!</v>
      </c>
      <c r="OD31" s="962" t="e">
        <f>[1]!bodsava(1,1,(OD23+1),[1]!qsn([1]!ml([1]!taqsha(1,1,1+OD23,OD24)),OD25)/30,OD24,OD25)</f>
        <v>#VALUE!</v>
      </c>
      <c r="OE31" s="962" t="e">
        <f>[1]!bodsava(1,1,(OE23+1),[1]!qsn([1]!ml([1]!taqsha(1,1,1+OE23,OE24)),OE25)/30,OE24,OE25)</f>
        <v>#VALUE!</v>
      </c>
      <c r="OF31" s="962" t="e">
        <f>[1]!bodsava(1,1,(OF23+1),[1]!qsn([1]!ml([1]!taqsha(1,1,1+OF23,OF24)),OF25)/30,OF24,OF25)</f>
        <v>#VALUE!</v>
      </c>
      <c r="OG31" s="962" t="e">
        <f>[1]!bodsava(1,1,(OG23+1),[1]!qsn([1]!ml([1]!taqsha(1,1,1+OG23,OG24)),OG25)/30,OG24,OG25)</f>
        <v>#VALUE!</v>
      </c>
      <c r="OH31" s="962" t="e">
        <f>[1]!bodsava(1,1,(OH23+1),[1]!qsn([1]!ml([1]!taqsha(1,1,1+OH23,OH24)),OH25)/30,OH24,OH25)</f>
        <v>#VALUE!</v>
      </c>
      <c r="OI31" s="962" t="e">
        <f>[1]!bodsava(1,1,(OI23+1),[1]!qsn([1]!ml([1]!taqsha(1,1,1+OI23,OI24)),OI25)/30,OI24,OI25)</f>
        <v>#VALUE!</v>
      </c>
      <c r="OJ31" s="962" t="e">
        <f>[1]!bodsava(1,1,(OJ23+1),[1]!qsn([1]!ml([1]!taqsha(1,1,1+OJ23,OJ24)),OJ25)/30,OJ24,OJ25)</f>
        <v>#VALUE!</v>
      </c>
      <c r="OK31" s="962" t="e">
        <f>[1]!bodsava(1,1,(OK23+1),[1]!qsn([1]!ml([1]!taqsha(1,1,1+OK23,OK24)),OK25)/30,OK24,OK25)</f>
        <v>#VALUE!</v>
      </c>
      <c r="OL31" s="962" t="e">
        <f>[1]!bodsava(1,1,(OL23+1),[1]!qsn([1]!ml([1]!taqsha(1,1,1+OL23,OL24)),OL25)/30,OL24,OL25)</f>
        <v>#VALUE!</v>
      </c>
      <c r="OM31" s="962" t="e">
        <f>[1]!bodsava(1,1,(OM23+1),[1]!qsn([1]!ml([1]!taqsha(1,1,1+OM23,OM24)),OM25)/30,OM24,OM25)</f>
        <v>#VALUE!</v>
      </c>
      <c r="ON31" s="962" t="e">
        <f>[1]!bodsava(1,1,(ON23+1),[1]!qsn([1]!ml([1]!taqsha(1,1,1+ON23,ON24)),ON25)/30,ON24,ON25)</f>
        <v>#VALUE!</v>
      </c>
      <c r="OO31" s="962" t="e">
        <f>[1]!bodsava(1,1,(OO23+1),[1]!qsn([1]!ml([1]!taqsha(1,1,1+OO23,OO24)),OO25)/30,OO24,OO25)</f>
        <v>#VALUE!</v>
      </c>
      <c r="OP31" s="962" t="e">
        <f>[1]!bodsava(1,1,(OP23+1),[1]!qsn([1]!ml([1]!taqsha(1,1,1+OP23,OP24)),OP25)/30,OP24,OP25)</f>
        <v>#VALUE!</v>
      </c>
      <c r="OQ31" s="962" t="e">
        <f>[1]!bodsava(1,1,(OQ23+1),[1]!qsn([1]!ml([1]!taqsha(1,1,1+OQ23,OQ24)),OQ25)/30,OQ24,OQ25)</f>
        <v>#VALUE!</v>
      </c>
      <c r="OR31" s="962" t="e">
        <f>[1]!bodsava(1,1,(OR23+1),[1]!qsn([1]!ml([1]!taqsha(1,1,1+OR23,OR24)),OR25)/30,OR24,OR25)</f>
        <v>#VALUE!</v>
      </c>
      <c r="OS31" s="962" t="e">
        <f>[1]!bodsava(1,1,(OS23+1),[1]!qsn([1]!ml([1]!taqsha(1,1,1+OS23,OS24)),OS25)/30,OS24,OS25)</f>
        <v>#VALUE!</v>
      </c>
      <c r="OT31" s="962" t="e">
        <f>[1]!bodsava(1,1,(OT23+1),[1]!qsn([1]!ml([1]!taqsha(1,1,1+OT23,OT24)),OT25)/30,OT24,OT25)</f>
        <v>#VALUE!</v>
      </c>
      <c r="OU31" s="962" t="e">
        <f>[1]!bodsava(1,1,(OU23+1),[1]!qsn([1]!ml([1]!taqsha(1,1,1+OU23,OU24)),OU25)/30,OU24,OU25)</f>
        <v>#VALUE!</v>
      </c>
      <c r="OV31" s="962" t="e">
        <f>[1]!bodsava(1,1,(OV23+1),[1]!qsn([1]!ml([1]!taqsha(1,1,1+OV23,OV24)),OV25)/30,OV24,OV25)</f>
        <v>#VALUE!</v>
      </c>
      <c r="OW31" s="962" t="e">
        <f>[1]!bodsava(1,1,(OW23+1),[1]!qsn([1]!ml([1]!taqsha(1,1,1+OW23,OW24)),OW25)/30,OW24,OW25)</f>
        <v>#VALUE!</v>
      </c>
      <c r="OX31" s="962" t="e">
        <f>[1]!bodsava(1,1,(OX23+1),[1]!qsn([1]!ml([1]!taqsha(1,1,1+OX23,OX24)),OX25)/30,OX24,OX25)</f>
        <v>#VALUE!</v>
      </c>
      <c r="OY31" s="962" t="e">
        <f>[1]!bodsava(1,1,(OY23+1),[1]!qsn([1]!ml([1]!taqsha(1,1,1+OY23,OY24)),OY25)/30,OY24,OY25)</f>
        <v>#VALUE!</v>
      </c>
      <c r="OZ31" s="962" t="e">
        <f>[1]!bodsava(1,1,(OZ23+1),[1]!qsn([1]!ml([1]!taqsha(1,1,1+OZ23,OZ24)),OZ25)/30,OZ24,OZ25)</f>
        <v>#VALUE!</v>
      </c>
      <c r="PA31" s="962" t="e">
        <f>[1]!bodsava(1,1,(PA23+1),[1]!qsn([1]!ml([1]!taqsha(1,1,1+PA23,PA24)),PA25)/30,PA24,PA25)</f>
        <v>#VALUE!</v>
      </c>
      <c r="PB31" s="962" t="e">
        <f>[1]!bodsava(1,1,(PB23+1),[1]!qsn([1]!ml([1]!taqsha(1,1,1+PB23,PB24)),PB25)/30,PB24,PB25)</f>
        <v>#VALUE!</v>
      </c>
      <c r="PC31" s="962" t="e">
        <f>[1]!bodsava(1,1,(PC23+1),[1]!qsn([1]!ml([1]!taqsha(1,1,1+PC23,PC24)),PC25)/30,PC24,PC25)</f>
        <v>#VALUE!</v>
      </c>
      <c r="PD31" s="962" t="e">
        <f>[1]!bodsava(1,1,(PD23+1),[1]!qsn([1]!ml([1]!taqsha(1,1,1+PD23,PD24)),PD25)/30,PD24,PD25)</f>
        <v>#VALUE!</v>
      </c>
      <c r="PE31" s="962" t="e">
        <f>[1]!bodsava(1,1,(PE23+1),[1]!qsn([1]!ml([1]!taqsha(1,1,1+PE23,PE24)),PE25)/30,PE24,PE25)</f>
        <v>#VALUE!</v>
      </c>
      <c r="PF31" s="962" t="e">
        <f>[1]!bodsava(1,1,(PF23+1),[1]!qsn([1]!ml([1]!taqsha(1,1,1+PF23,PF24)),PF25)/30,PF24,PF25)</f>
        <v>#VALUE!</v>
      </c>
      <c r="PG31" s="962" t="e">
        <f>[1]!bodsava(1,1,(PG23+1),[1]!qsn([1]!ml([1]!taqsha(1,1,1+PG23,PG24)),PG25)/30,PG24,PG25)</f>
        <v>#VALUE!</v>
      </c>
      <c r="PH31" s="962" t="e">
        <f>[1]!bodsava(1,1,(PH23+1),[1]!qsn([1]!ml([1]!taqsha(1,1,1+PH23,PH24)),PH25)/30,PH24,PH25)</f>
        <v>#VALUE!</v>
      </c>
      <c r="PI31" s="962" t="e">
        <f>[1]!bodsava(1,1,(PI23+1),[1]!qsn([1]!ml([1]!taqsha(1,1,1+PI23,PI24)),PI25)/30,PI24,PI25)</f>
        <v>#VALUE!</v>
      </c>
      <c r="PJ31" s="962" t="e">
        <f>[1]!bodsava(1,1,(PJ23+1),[1]!qsn([1]!ml([1]!taqsha(1,1,1+PJ23,PJ24)),PJ25)/30,PJ24,PJ25)</f>
        <v>#VALUE!</v>
      </c>
      <c r="PK31" s="962" t="e">
        <f>[1]!bodsava(1,1,(PK23+1),[1]!qsn([1]!ml([1]!taqsha(1,1,1+PK23,PK24)),PK25)/30,PK24,PK25)</f>
        <v>#VALUE!</v>
      </c>
      <c r="PL31" s="962" t="e">
        <f>[1]!bodsava(1,1,(PL23+1),[1]!qsn([1]!ml([1]!taqsha(1,1,1+PL23,PL24)),PL25)/30,PL24,PL25)</f>
        <v>#VALUE!</v>
      </c>
      <c r="PM31" s="962" t="e">
        <f>[1]!bodsava(1,1,(PM23+1),[1]!qsn([1]!ml([1]!taqsha(1,1,1+PM23,PM24)),PM25)/30,PM24,PM25)</f>
        <v>#VALUE!</v>
      </c>
      <c r="PN31" s="962" t="e">
        <f>[1]!bodsava(1,1,(PN23+1),[1]!qsn([1]!ml([1]!taqsha(1,1,1+PN23,PN24)),PN25)/30,PN24,PN25)</f>
        <v>#VALUE!</v>
      </c>
      <c r="PO31" s="962" t="e">
        <f>[1]!bodsava(1,1,(PO23+1),[1]!qsn([1]!ml([1]!taqsha(1,1,1+PO23,PO24)),PO25)/30,PO24,PO25)</f>
        <v>#VALUE!</v>
      </c>
      <c r="PP31" s="962" t="e">
        <f>[1]!bodsava(1,1,(PP23+1),[1]!qsn([1]!ml([1]!taqsha(1,1,1+PP23,PP24)),PP25)/30,PP24,PP25)</f>
        <v>#VALUE!</v>
      </c>
      <c r="PQ31" s="962" t="e">
        <f>[1]!bodsava(1,1,(PQ23+1),[1]!qsn([1]!ml([1]!taqsha(1,1,1+PQ23,PQ24)),PQ25)/30,PQ24,PQ25)</f>
        <v>#VALUE!</v>
      </c>
      <c r="PR31" s="962" t="e">
        <f>[1]!bodsava(1,1,(PR23+1),[1]!qsn([1]!ml([1]!taqsha(1,1,1+PR23,PR24)),PR25)/30,PR24,PR25)</f>
        <v>#VALUE!</v>
      </c>
      <c r="PS31" s="962" t="e">
        <f>[1]!bodsava(1,1,(PS23+1),[1]!qsn([1]!ml([1]!taqsha(1,1,1+PS23,PS24)),PS25)/30,PS24,PS25)</f>
        <v>#VALUE!</v>
      </c>
      <c r="PT31" s="962" t="e">
        <f>[1]!bodsava(1,1,(PT23+1),[1]!qsn([1]!ml([1]!taqsha(1,1,1+PT23,PT24)),PT25)/30,PT24,PT25)</f>
        <v>#VALUE!</v>
      </c>
      <c r="PU31" s="962" t="e">
        <f>[1]!bodsava(1,1,(PU23+1),[1]!qsn([1]!ml([1]!taqsha(1,1,1+PU23,PU24)),PU25)/30,PU24,PU25)</f>
        <v>#VALUE!</v>
      </c>
      <c r="PV31" s="962" t="e">
        <f>[1]!bodsava(1,1,(PV23+1),[1]!qsn([1]!ml([1]!taqsha(1,1,1+PV23,PV24)),PV25)/30,PV24,PV25)</f>
        <v>#VALUE!</v>
      </c>
      <c r="PW31" s="962" t="e">
        <f>[1]!bodsava(1,1,(PW23+1),[1]!qsn([1]!ml([1]!taqsha(1,1,1+PW23,PW24)),PW25)/30,PW24,PW25)</f>
        <v>#VALUE!</v>
      </c>
      <c r="PX31" s="962" t="e">
        <f>[1]!bodsava(1,1,(PX23+1),[1]!qsn([1]!ml([1]!taqsha(1,1,1+PX23,PX24)),PX25)/30,PX24,PX25)</f>
        <v>#VALUE!</v>
      </c>
      <c r="PY31" s="962" t="e">
        <f>[1]!bodsava(1,1,(PY23+1),[1]!qsn([1]!ml([1]!taqsha(1,1,1+PY23,PY24)),PY25)/30,PY24,PY25)</f>
        <v>#VALUE!</v>
      </c>
      <c r="PZ31" s="962" t="e">
        <f>[1]!bodsava(1,1,(PZ23+1),[1]!qsn([1]!ml([1]!taqsha(1,1,1+PZ23,PZ24)),PZ25)/30,PZ24,PZ25)</f>
        <v>#VALUE!</v>
      </c>
      <c r="QA31" s="962" t="e">
        <f>[1]!bodsava(1,1,(QA23+1),[1]!qsn([1]!ml([1]!taqsha(1,1,1+QA23,QA24)),QA25)/30,QA24,QA25)</f>
        <v>#VALUE!</v>
      </c>
      <c r="QB31" s="962" t="e">
        <f>[1]!bodsava(1,1,(QB23+1),[1]!qsn([1]!ml([1]!taqsha(1,1,1+QB23,QB24)),QB25)/30,QB24,QB25)</f>
        <v>#VALUE!</v>
      </c>
      <c r="QC31" s="962" t="e">
        <f>[1]!bodsava(1,1,(QC23+1),[1]!qsn([1]!ml([1]!taqsha(1,1,1+QC23,QC24)),QC25)/30,QC24,QC25)</f>
        <v>#VALUE!</v>
      </c>
      <c r="QD31" s="962" t="e">
        <f>[1]!bodsava(1,1,(QD23+1),[1]!qsn([1]!ml([1]!taqsha(1,1,1+QD23,QD24)),QD25)/30,QD24,QD25)</f>
        <v>#VALUE!</v>
      </c>
      <c r="QE31" s="962" t="e">
        <f>[1]!bodsava(1,1,(QE23+1),[1]!qsn([1]!ml([1]!taqsha(1,1,1+QE23,QE24)),QE25)/30,QE24,QE25)</f>
        <v>#VALUE!</v>
      </c>
      <c r="QF31" s="962" t="e">
        <f>[1]!bodsava(1,1,(QF23+1),[1]!qsn([1]!ml([1]!taqsha(1,1,1+QF23,QF24)),QF25)/30,QF24,QF25)</f>
        <v>#VALUE!</v>
      </c>
      <c r="QG31" s="962" t="e">
        <f>[1]!bodsava(1,1,(QG23+1),[1]!qsn([1]!ml([1]!taqsha(1,1,1+QG23,QG24)),QG25)/30,QG24,QG25)</f>
        <v>#VALUE!</v>
      </c>
      <c r="QH31" s="962" t="e">
        <f>[1]!bodsava(1,1,(QH23+1),[1]!qsn([1]!ml([1]!taqsha(1,1,1+QH23,QH24)),QH25)/30,QH24,QH25)</f>
        <v>#VALUE!</v>
      </c>
      <c r="QI31" s="962" t="e">
        <f>[1]!bodsava(1,1,(QI23+1),[1]!qsn([1]!ml([1]!taqsha(1,1,1+QI23,QI24)),QI25)/30,QI24,QI25)</f>
        <v>#VALUE!</v>
      </c>
      <c r="QJ31" s="962" t="e">
        <f>[1]!bodsava(1,1,(QJ23+1),[1]!qsn([1]!ml([1]!taqsha(1,1,1+QJ23,QJ24)),QJ25)/30,QJ24,QJ25)</f>
        <v>#VALUE!</v>
      </c>
      <c r="QK31" s="962" t="e">
        <f>[1]!bodsava(1,1,(QK23+1),[1]!qsn([1]!ml([1]!taqsha(1,1,1+QK23,QK24)),QK25)/30,QK24,QK25)</f>
        <v>#VALUE!</v>
      </c>
      <c r="QL31" s="962" t="e">
        <f>[1]!bodsava(1,1,(QL23+1),[1]!qsn([1]!ml([1]!taqsha(1,1,1+QL23,QL24)),QL25)/30,QL24,QL25)</f>
        <v>#VALUE!</v>
      </c>
      <c r="QM31" s="962" t="e">
        <f>[1]!bodsava(1,1,(QM23+1),[1]!qsn([1]!ml([1]!taqsha(1,1,1+QM23,QM24)),QM25)/30,QM24,QM25)</f>
        <v>#VALUE!</v>
      </c>
      <c r="QN31" s="962" t="e">
        <f>[1]!bodsava(1,1,(QN23+1),[1]!qsn([1]!ml([1]!taqsha(1,1,1+QN23,QN24)),QN25)/30,QN24,QN25)</f>
        <v>#VALUE!</v>
      </c>
      <c r="QO31" s="962" t="e">
        <f>[1]!bodsava(1,1,(QO23+1),[1]!qsn([1]!ml([1]!taqsha(1,1,1+QO23,QO24)),QO25)/30,QO24,QO25)</f>
        <v>#VALUE!</v>
      </c>
      <c r="QP31" s="962" t="e">
        <f>[1]!bodsava(1,1,(QP23+1),[1]!qsn([1]!ml([1]!taqsha(1,1,1+QP23,QP24)),QP25)/30,QP24,QP25)</f>
        <v>#VALUE!</v>
      </c>
      <c r="QQ31" s="962" t="e">
        <f>[1]!bodsava(1,1,(QQ23+1),[1]!qsn([1]!ml([1]!taqsha(1,1,1+QQ23,QQ24)),QQ25)/30,QQ24,QQ25)</f>
        <v>#VALUE!</v>
      </c>
      <c r="QR31" s="962" t="e">
        <f>[1]!bodsava(1,1,(QR23+1),[1]!qsn([1]!ml([1]!taqsha(1,1,1+QR23,QR24)),QR25)/30,QR24,QR25)</f>
        <v>#VALUE!</v>
      </c>
      <c r="QS31" s="962" t="e">
        <f>[1]!bodsava(1,1,(QS23+1),[1]!qsn([1]!ml([1]!taqsha(1,1,1+QS23,QS24)),QS25)/30,QS24,QS25)</f>
        <v>#VALUE!</v>
      </c>
      <c r="QT31" s="962" t="e">
        <f>[1]!bodsava(1,1,(QT23+1),[1]!qsn([1]!ml([1]!taqsha(1,1,1+QT23,QT24)),QT25)/30,QT24,QT25)</f>
        <v>#VALUE!</v>
      </c>
      <c r="QU31" s="962" t="e">
        <f>[1]!bodsava(1,1,(QU23+1),[1]!qsn([1]!ml([1]!taqsha(1,1,1+QU23,QU24)),QU25)/30,QU24,QU25)</f>
        <v>#VALUE!</v>
      </c>
      <c r="QV31" s="962" t="e">
        <f>[1]!bodsava(1,1,(QV23+1),[1]!qsn([1]!ml([1]!taqsha(1,1,1+QV23,QV24)),QV25)/30,QV24,QV25)</f>
        <v>#VALUE!</v>
      </c>
      <c r="QW31" s="962" t="e">
        <f>[1]!bodsava(1,1,(QW23+1),[1]!qsn([1]!ml([1]!taqsha(1,1,1+QW23,QW24)),QW25)/30,QW24,QW25)</f>
        <v>#VALUE!</v>
      </c>
      <c r="QX31" s="962" t="e">
        <f>[1]!bodsava(1,1,(QX23+1),[1]!qsn([1]!ml([1]!taqsha(1,1,1+QX23,QX24)),QX25)/30,QX24,QX25)</f>
        <v>#VALUE!</v>
      </c>
      <c r="QY31" s="962" t="e">
        <f>[1]!bodsava(1,1,(QY23+1),[1]!qsn([1]!ml([1]!taqsha(1,1,1+QY23,QY24)),QY25)/30,QY24,QY25)</f>
        <v>#VALUE!</v>
      </c>
      <c r="QZ31" s="962" t="e">
        <f>[1]!bodsava(1,1,(QZ23+1),[1]!qsn([1]!ml([1]!taqsha(1,1,1+QZ23,QZ24)),QZ25)/30,QZ24,QZ25)</f>
        <v>#VALUE!</v>
      </c>
      <c r="RA31" s="963"/>
      <c r="RC31" t="s">
        <v>3</v>
      </c>
    </row>
    <row r="32" spans="1:471" ht="15.75" thickBot="1">
      <c r="G32" s="7">
        <f>MOD(G31,7)</f>
        <v>5</v>
      </c>
      <c r="J32" s="21">
        <f>IF(E34=16,(((C34-1)*M32)+IF(B34=1,0,IF(B34=2,O34,IF(B34=3,P34,IF(B34=4,Q34,IF(B34=5,R34,IF(B34=6,S34,IF(B34=7,T34,IF(B34=8,U34,IF(B34=9,V34,IF(B34=10,W34,IF(B34=11,X34,IF(B34=12,Y34,Z34))))))))))))+A34),0)</f>
        <v>526576.01057989092</v>
      </c>
      <c r="K32" s="22">
        <v>11</v>
      </c>
      <c r="L32" s="22" t="s">
        <v>160</v>
      </c>
      <c r="M32" s="22">
        <v>365.24220026363002</v>
      </c>
      <c r="N32" s="22"/>
      <c r="O32" s="22" t="s">
        <v>19</v>
      </c>
      <c r="P32" s="22" t="s">
        <v>20</v>
      </c>
      <c r="Q32" s="22" t="s">
        <v>88</v>
      </c>
      <c r="R32" s="22" t="s">
        <v>21</v>
      </c>
      <c r="S32" s="22" t="s">
        <v>89</v>
      </c>
      <c r="T32" s="22" t="s">
        <v>24</v>
      </c>
      <c r="U32" s="22" t="s">
        <v>25</v>
      </c>
      <c r="V32" s="22" t="s">
        <v>90</v>
      </c>
      <c r="W32" s="22" t="s">
        <v>27</v>
      </c>
      <c r="X32" s="22" t="s">
        <v>28</v>
      </c>
      <c r="Y32" s="22" t="s">
        <v>29</v>
      </c>
      <c r="Z32" s="22" t="s">
        <v>91</v>
      </c>
      <c r="AA32" s="22" t="s">
        <v>31</v>
      </c>
      <c r="AK32" s="759"/>
      <c r="AL32" s="701">
        <v>35</v>
      </c>
      <c r="AM32" s="304">
        <v>35</v>
      </c>
      <c r="AN32" s="304">
        <v>35</v>
      </c>
      <c r="AO32" s="304">
        <v>35</v>
      </c>
      <c r="AP32" s="304">
        <v>35</v>
      </c>
      <c r="AQ32" s="304">
        <v>35</v>
      </c>
      <c r="AR32" s="304">
        <v>35</v>
      </c>
      <c r="AS32" s="304">
        <v>35</v>
      </c>
      <c r="AT32" s="304">
        <v>35</v>
      </c>
      <c r="AU32" s="304">
        <v>35</v>
      </c>
      <c r="AV32" s="304">
        <v>35</v>
      </c>
      <c r="AW32" s="304">
        <v>35</v>
      </c>
      <c r="AX32" s="314"/>
      <c r="AZ32" s="782" t="s">
        <v>5</v>
      </c>
      <c r="BA32" s="783" t="e">
        <f>IF(BA26&lt;=31,BA26,IF(BA26&lt;=62,BA26-31,IF(BA26&lt;=93,BA26-62,IF(BA26&lt;=124,BA26-93,IF(BA26&lt;=155,BA26-124,IF(BA26&lt;=186,BA26-155,IF(BA26&lt;=216,BA26-186,IF(BA26&lt;=246,BA26-216,IF(BA26&lt;=276,BA26-246,IF(BA26&lt;=306,BA26-276,IF(BA26&lt;=336,BA26-306,BA26-336)))))))))))</f>
        <v>#VALUE!</v>
      </c>
      <c r="DI32" s="797" t="s">
        <v>3543</v>
      </c>
      <c r="DJ32" s="964">
        <v>1</v>
      </c>
      <c r="DK32" s="965">
        <v>2</v>
      </c>
      <c r="DL32" s="965">
        <v>3</v>
      </c>
      <c r="DM32" s="965">
        <v>4</v>
      </c>
      <c r="DN32" s="964">
        <v>5</v>
      </c>
      <c r="DO32" s="965">
        <v>6</v>
      </c>
      <c r="DP32" s="965">
        <v>7</v>
      </c>
      <c r="DQ32" s="965">
        <v>8</v>
      </c>
      <c r="DR32" s="964">
        <v>9</v>
      </c>
      <c r="DS32" s="965">
        <v>10</v>
      </c>
      <c r="DT32" s="965">
        <v>11</v>
      </c>
      <c r="DU32" s="965">
        <v>12</v>
      </c>
      <c r="DV32" s="964">
        <v>13</v>
      </c>
      <c r="DW32" s="965">
        <v>14</v>
      </c>
      <c r="DX32" s="965">
        <v>15</v>
      </c>
      <c r="DY32" s="965">
        <v>16</v>
      </c>
      <c r="DZ32" s="964">
        <v>17</v>
      </c>
      <c r="EA32" s="965">
        <v>18</v>
      </c>
      <c r="EB32" s="965">
        <v>19</v>
      </c>
      <c r="EC32" s="965">
        <v>20</v>
      </c>
      <c r="ED32" s="964">
        <v>21</v>
      </c>
      <c r="EE32" s="965">
        <v>22</v>
      </c>
      <c r="EF32" s="965">
        <v>23</v>
      </c>
      <c r="EG32" s="965">
        <v>24</v>
      </c>
      <c r="EH32" s="964">
        <v>25</v>
      </c>
      <c r="EI32" s="965">
        <v>26</v>
      </c>
      <c r="EJ32" s="965">
        <v>27</v>
      </c>
      <c r="EK32" s="965">
        <v>28</v>
      </c>
      <c r="EL32" s="964">
        <v>29</v>
      </c>
      <c r="EM32" s="965">
        <v>30</v>
      </c>
      <c r="EN32" s="967">
        <v>1</v>
      </c>
      <c r="EO32" s="965">
        <v>2</v>
      </c>
      <c r="EP32" s="965">
        <v>3</v>
      </c>
      <c r="EQ32" s="965">
        <v>4</v>
      </c>
      <c r="ER32" s="964">
        <v>5</v>
      </c>
      <c r="ES32" s="965">
        <v>6</v>
      </c>
      <c r="ET32" s="965">
        <v>7</v>
      </c>
      <c r="EU32" s="965">
        <v>8</v>
      </c>
      <c r="EV32" s="964">
        <v>9</v>
      </c>
      <c r="EW32" s="965">
        <v>10</v>
      </c>
      <c r="EX32" s="965">
        <v>11</v>
      </c>
      <c r="EY32" s="965">
        <v>12</v>
      </c>
      <c r="EZ32" s="964">
        <v>13</v>
      </c>
      <c r="FA32" s="965">
        <v>14</v>
      </c>
      <c r="FB32" s="965">
        <v>15</v>
      </c>
      <c r="FC32" s="965">
        <v>16</v>
      </c>
      <c r="FD32" s="964">
        <v>17</v>
      </c>
      <c r="FE32" s="965">
        <v>18</v>
      </c>
      <c r="FF32" s="965">
        <v>19</v>
      </c>
      <c r="FG32" s="965">
        <v>20</v>
      </c>
      <c r="FH32" s="964">
        <v>21</v>
      </c>
      <c r="FI32" s="965">
        <v>22</v>
      </c>
      <c r="FJ32" s="965">
        <v>23</v>
      </c>
      <c r="FK32" s="965">
        <v>24</v>
      </c>
      <c r="FL32" s="964">
        <v>25</v>
      </c>
      <c r="FM32" s="965">
        <v>26</v>
      </c>
      <c r="FN32" s="965">
        <v>27</v>
      </c>
      <c r="FO32" s="965">
        <v>28</v>
      </c>
      <c r="FP32" s="964">
        <v>29</v>
      </c>
      <c r="FQ32" s="964">
        <v>30</v>
      </c>
      <c r="FR32" s="967">
        <v>1</v>
      </c>
      <c r="FS32" s="965">
        <v>2</v>
      </c>
      <c r="FT32" s="965">
        <v>3</v>
      </c>
      <c r="FU32" s="965">
        <v>4</v>
      </c>
      <c r="FV32" s="964">
        <v>5</v>
      </c>
      <c r="FW32" s="965">
        <v>6</v>
      </c>
      <c r="FX32" s="965">
        <v>7</v>
      </c>
      <c r="FY32" s="965">
        <v>8</v>
      </c>
      <c r="FZ32" s="964">
        <v>9</v>
      </c>
      <c r="GA32" s="965">
        <v>10</v>
      </c>
      <c r="GB32" s="965">
        <v>11</v>
      </c>
      <c r="GC32" s="965">
        <v>12</v>
      </c>
      <c r="GD32" s="964">
        <v>13</v>
      </c>
      <c r="GE32" s="965">
        <v>14</v>
      </c>
      <c r="GF32" s="965">
        <v>15</v>
      </c>
      <c r="GG32" s="965">
        <v>16</v>
      </c>
      <c r="GH32" s="964">
        <v>17</v>
      </c>
      <c r="GI32" s="965">
        <v>18</v>
      </c>
      <c r="GJ32" s="965">
        <v>19</v>
      </c>
      <c r="GK32" s="965">
        <v>20</v>
      </c>
      <c r="GL32" s="964">
        <v>21</v>
      </c>
      <c r="GM32" s="965">
        <v>22</v>
      </c>
      <c r="GN32" s="965">
        <v>23</v>
      </c>
      <c r="GO32" s="965">
        <v>24</v>
      </c>
      <c r="GP32" s="964">
        <v>25</v>
      </c>
      <c r="GQ32" s="965">
        <v>26</v>
      </c>
      <c r="GR32" s="965">
        <v>27</v>
      </c>
      <c r="GS32" s="965">
        <v>28</v>
      </c>
      <c r="GT32" s="964">
        <v>29</v>
      </c>
      <c r="GU32" s="967">
        <v>1</v>
      </c>
      <c r="GV32" s="965">
        <v>2</v>
      </c>
      <c r="GW32" s="965">
        <v>3</v>
      </c>
      <c r="GX32" s="965">
        <v>4</v>
      </c>
      <c r="GY32" s="964">
        <v>5</v>
      </c>
      <c r="GZ32" s="965">
        <v>6</v>
      </c>
      <c r="HA32" s="965">
        <v>7</v>
      </c>
      <c r="HB32" s="965">
        <v>8</v>
      </c>
      <c r="HC32" s="964">
        <v>9</v>
      </c>
      <c r="HD32" s="965">
        <v>10</v>
      </c>
      <c r="HE32" s="965">
        <v>11</v>
      </c>
      <c r="HF32" s="965">
        <v>12</v>
      </c>
      <c r="HG32" s="964">
        <v>13</v>
      </c>
      <c r="HH32" s="965">
        <v>14</v>
      </c>
      <c r="HI32" s="965">
        <v>15</v>
      </c>
      <c r="HJ32" s="965">
        <v>16</v>
      </c>
      <c r="HK32" s="964">
        <v>17</v>
      </c>
      <c r="HL32" s="965">
        <v>18</v>
      </c>
      <c r="HM32" s="965">
        <v>19</v>
      </c>
      <c r="HN32" s="965">
        <v>20</v>
      </c>
      <c r="HO32" s="964">
        <v>21</v>
      </c>
      <c r="HP32" s="965">
        <v>22</v>
      </c>
      <c r="HQ32" s="965">
        <v>23</v>
      </c>
      <c r="HR32" s="965">
        <v>24</v>
      </c>
      <c r="HS32" s="964">
        <v>25</v>
      </c>
      <c r="HT32" s="965">
        <v>26</v>
      </c>
      <c r="HU32" s="965">
        <v>27</v>
      </c>
      <c r="HV32" s="965">
        <v>28</v>
      </c>
      <c r="HW32" s="964">
        <v>29</v>
      </c>
      <c r="HX32" s="964">
        <v>30</v>
      </c>
      <c r="HY32" s="967">
        <v>1</v>
      </c>
      <c r="HZ32" s="965">
        <v>2</v>
      </c>
      <c r="IA32" s="965">
        <v>3</v>
      </c>
      <c r="IB32" s="965">
        <v>4</v>
      </c>
      <c r="IC32" s="964">
        <v>5</v>
      </c>
      <c r="ID32" s="965">
        <v>6</v>
      </c>
      <c r="IE32" s="965">
        <v>7</v>
      </c>
      <c r="IF32" s="965">
        <v>8</v>
      </c>
      <c r="IG32" s="964">
        <v>9</v>
      </c>
      <c r="IH32" s="965">
        <v>10</v>
      </c>
      <c r="II32" s="965">
        <v>11</v>
      </c>
      <c r="IJ32" s="965">
        <v>12</v>
      </c>
      <c r="IK32" s="964">
        <v>13</v>
      </c>
      <c r="IL32" s="965">
        <v>14</v>
      </c>
      <c r="IM32" s="965">
        <v>15</v>
      </c>
      <c r="IN32" s="965">
        <v>16</v>
      </c>
      <c r="IO32" s="964">
        <v>17</v>
      </c>
      <c r="IP32" s="965">
        <v>18</v>
      </c>
      <c r="IQ32" s="965">
        <v>19</v>
      </c>
      <c r="IR32" s="965">
        <v>20</v>
      </c>
      <c r="IS32" s="964">
        <v>21</v>
      </c>
      <c r="IT32" s="965">
        <v>22</v>
      </c>
      <c r="IU32" s="965">
        <v>23</v>
      </c>
      <c r="IV32" s="965">
        <v>24</v>
      </c>
      <c r="IW32" s="964">
        <v>25</v>
      </c>
      <c r="IX32" s="965">
        <v>26</v>
      </c>
      <c r="IY32" s="965">
        <v>27</v>
      </c>
      <c r="IZ32" s="965">
        <v>28</v>
      </c>
      <c r="JA32" s="964">
        <v>29</v>
      </c>
      <c r="JB32" s="967">
        <v>1</v>
      </c>
      <c r="JC32" s="965">
        <v>2</v>
      </c>
      <c r="JD32" s="965">
        <v>3</v>
      </c>
      <c r="JE32" s="965">
        <v>4</v>
      </c>
      <c r="JF32" s="964">
        <v>5</v>
      </c>
      <c r="JG32" s="965">
        <v>6</v>
      </c>
      <c r="JH32" s="965">
        <v>7</v>
      </c>
      <c r="JI32" s="965">
        <v>8</v>
      </c>
      <c r="JJ32" s="964">
        <v>9</v>
      </c>
      <c r="JK32" s="965">
        <v>10</v>
      </c>
      <c r="JL32" s="965">
        <v>11</v>
      </c>
      <c r="JM32" s="965">
        <v>12</v>
      </c>
      <c r="JN32" s="964">
        <v>13</v>
      </c>
      <c r="JO32" s="965">
        <v>14</v>
      </c>
      <c r="JP32" s="965">
        <v>15</v>
      </c>
      <c r="JQ32" s="965">
        <v>16</v>
      </c>
      <c r="JR32" s="964">
        <v>17</v>
      </c>
      <c r="JS32" s="965">
        <v>18</v>
      </c>
      <c r="JT32" s="965">
        <v>19</v>
      </c>
      <c r="JU32" s="965">
        <v>20</v>
      </c>
      <c r="JV32" s="964">
        <v>21</v>
      </c>
      <c r="JW32" s="965">
        <v>22</v>
      </c>
      <c r="JX32" s="965">
        <v>23</v>
      </c>
      <c r="JY32" s="965">
        <v>24</v>
      </c>
      <c r="JZ32" s="964">
        <v>25</v>
      </c>
      <c r="KA32" s="965">
        <v>26</v>
      </c>
      <c r="KB32" s="965">
        <v>27</v>
      </c>
      <c r="KC32" s="965">
        <v>28</v>
      </c>
      <c r="KD32" s="964">
        <v>29</v>
      </c>
      <c r="KE32" s="964">
        <v>30</v>
      </c>
      <c r="KF32" s="967">
        <v>1</v>
      </c>
      <c r="KG32" s="965">
        <v>2</v>
      </c>
      <c r="KH32" s="965">
        <v>3</v>
      </c>
      <c r="KI32" s="965">
        <v>4</v>
      </c>
      <c r="KJ32" s="964">
        <v>5</v>
      </c>
      <c r="KK32" s="965">
        <v>6</v>
      </c>
      <c r="KL32" s="965">
        <v>7</v>
      </c>
      <c r="KM32" s="965">
        <v>8</v>
      </c>
      <c r="KN32" s="964">
        <v>9</v>
      </c>
      <c r="KO32" s="965">
        <v>10</v>
      </c>
      <c r="KP32" s="965">
        <v>11</v>
      </c>
      <c r="KQ32" s="965">
        <v>12</v>
      </c>
      <c r="KR32" s="964">
        <v>13</v>
      </c>
      <c r="KS32" s="965">
        <v>14</v>
      </c>
      <c r="KT32" s="965">
        <v>15</v>
      </c>
      <c r="KU32" s="965">
        <v>16</v>
      </c>
      <c r="KV32" s="964">
        <v>17</v>
      </c>
      <c r="KW32" s="965">
        <v>18</v>
      </c>
      <c r="KX32" s="965">
        <v>19</v>
      </c>
      <c r="KY32" s="965">
        <v>20</v>
      </c>
      <c r="KZ32" s="964">
        <v>21</v>
      </c>
      <c r="LA32" s="965">
        <v>22</v>
      </c>
      <c r="LB32" s="965">
        <v>23</v>
      </c>
      <c r="LC32" s="965">
        <v>24</v>
      </c>
      <c r="LD32" s="964">
        <v>25</v>
      </c>
      <c r="LE32" s="965">
        <v>26</v>
      </c>
      <c r="LF32" s="965">
        <v>27</v>
      </c>
      <c r="LG32" s="965">
        <v>28</v>
      </c>
      <c r="LH32" s="964">
        <v>29</v>
      </c>
      <c r="LI32" s="967">
        <v>1</v>
      </c>
      <c r="LJ32" s="965">
        <v>2</v>
      </c>
      <c r="LK32" s="965">
        <v>3</v>
      </c>
      <c r="LL32" s="965">
        <v>4</v>
      </c>
      <c r="LM32" s="964">
        <v>5</v>
      </c>
      <c r="LN32" s="965">
        <v>6</v>
      </c>
      <c r="LO32" s="965">
        <v>7</v>
      </c>
      <c r="LP32" s="965">
        <v>8</v>
      </c>
      <c r="LQ32" s="964">
        <v>9</v>
      </c>
      <c r="LR32" s="965">
        <v>10</v>
      </c>
      <c r="LS32" s="965">
        <v>11</v>
      </c>
      <c r="LT32" s="965">
        <v>12</v>
      </c>
      <c r="LU32" s="964">
        <v>13</v>
      </c>
      <c r="LV32" s="965">
        <v>14</v>
      </c>
      <c r="LW32" s="965">
        <v>15</v>
      </c>
      <c r="LX32" s="965">
        <v>16</v>
      </c>
      <c r="LY32" s="964">
        <v>17</v>
      </c>
      <c r="LZ32" s="965">
        <v>18</v>
      </c>
      <c r="MA32" s="965">
        <v>19</v>
      </c>
      <c r="MB32" s="965">
        <v>20</v>
      </c>
      <c r="MC32" s="964">
        <v>21</v>
      </c>
      <c r="MD32" s="965">
        <v>22</v>
      </c>
      <c r="ME32" s="965">
        <v>23</v>
      </c>
      <c r="MF32" s="965">
        <v>24</v>
      </c>
      <c r="MG32" s="964">
        <v>25</v>
      </c>
      <c r="MH32" s="965">
        <v>26</v>
      </c>
      <c r="MI32" s="965">
        <v>27</v>
      </c>
      <c r="MJ32" s="965">
        <v>28</v>
      </c>
      <c r="MK32" s="964">
        <v>29</v>
      </c>
      <c r="ML32" s="964">
        <v>30</v>
      </c>
      <c r="MM32" s="967">
        <v>1</v>
      </c>
      <c r="MN32" s="965">
        <v>2</v>
      </c>
      <c r="MO32" s="965">
        <v>3</v>
      </c>
      <c r="MP32" s="965">
        <v>4</v>
      </c>
      <c r="MQ32" s="964">
        <v>5</v>
      </c>
      <c r="MR32" s="965">
        <v>6</v>
      </c>
      <c r="MS32" s="965">
        <v>7</v>
      </c>
      <c r="MT32" s="965">
        <v>8</v>
      </c>
      <c r="MU32" s="964">
        <v>9</v>
      </c>
      <c r="MV32" s="965">
        <v>10</v>
      </c>
      <c r="MW32" s="965">
        <v>11</v>
      </c>
      <c r="MX32" s="965">
        <v>12</v>
      </c>
      <c r="MY32" s="964">
        <v>13</v>
      </c>
      <c r="MZ32" s="965">
        <v>14</v>
      </c>
      <c r="NA32" s="965">
        <v>15</v>
      </c>
      <c r="NB32" s="965">
        <v>16</v>
      </c>
      <c r="NC32" s="964">
        <v>17</v>
      </c>
      <c r="ND32" s="965">
        <v>18</v>
      </c>
      <c r="NE32" s="965">
        <v>19</v>
      </c>
      <c r="NF32" s="965">
        <v>20</v>
      </c>
      <c r="NG32" s="964">
        <v>21</v>
      </c>
      <c r="NH32" s="965">
        <v>22</v>
      </c>
      <c r="NI32" s="965">
        <v>23</v>
      </c>
      <c r="NJ32" s="965">
        <v>24</v>
      </c>
      <c r="NK32" s="964">
        <v>25</v>
      </c>
      <c r="NL32" s="965">
        <v>26</v>
      </c>
      <c r="NM32" s="965">
        <v>27</v>
      </c>
      <c r="NN32" s="965">
        <v>28</v>
      </c>
      <c r="NO32" s="964">
        <v>29</v>
      </c>
      <c r="NP32" s="967">
        <v>1</v>
      </c>
      <c r="NQ32" s="965">
        <v>2</v>
      </c>
      <c r="NR32" s="965">
        <v>3</v>
      </c>
      <c r="NS32" s="965">
        <v>4</v>
      </c>
      <c r="NT32" s="964">
        <v>5</v>
      </c>
      <c r="NU32" s="965">
        <v>6</v>
      </c>
      <c r="NV32" s="965">
        <v>7</v>
      </c>
      <c r="NW32" s="965">
        <v>8</v>
      </c>
      <c r="NX32" s="964">
        <v>9</v>
      </c>
      <c r="NY32" s="965">
        <v>10</v>
      </c>
      <c r="NZ32" s="965">
        <v>11</v>
      </c>
      <c r="OA32" s="965">
        <v>12</v>
      </c>
      <c r="OB32" s="964">
        <v>13</v>
      </c>
      <c r="OC32" s="965">
        <v>14</v>
      </c>
      <c r="OD32" s="965">
        <v>15</v>
      </c>
      <c r="OE32" s="965">
        <v>16</v>
      </c>
      <c r="OF32" s="964">
        <v>17</v>
      </c>
      <c r="OG32" s="965">
        <v>18</v>
      </c>
      <c r="OH32" s="965">
        <v>19</v>
      </c>
      <c r="OI32" s="965">
        <v>20</v>
      </c>
      <c r="OJ32" s="964">
        <v>21</v>
      </c>
      <c r="OK32" s="965">
        <v>22</v>
      </c>
      <c r="OL32" s="965">
        <v>23</v>
      </c>
      <c r="OM32" s="965">
        <v>24</v>
      </c>
      <c r="ON32" s="964">
        <v>25</v>
      </c>
      <c r="OO32" s="965">
        <v>26</v>
      </c>
      <c r="OP32" s="965">
        <v>27</v>
      </c>
      <c r="OQ32" s="965">
        <v>28</v>
      </c>
      <c r="OR32" s="964">
        <v>29</v>
      </c>
      <c r="OS32" s="967">
        <v>1</v>
      </c>
      <c r="OT32" s="965">
        <v>2</v>
      </c>
      <c r="OU32" s="965">
        <v>3</v>
      </c>
      <c r="OV32" s="965">
        <v>4</v>
      </c>
      <c r="OW32" s="964">
        <v>5</v>
      </c>
      <c r="OX32" s="965">
        <v>6</v>
      </c>
      <c r="OY32" s="965">
        <v>7</v>
      </c>
      <c r="OZ32" s="965">
        <v>8</v>
      </c>
      <c r="PA32" s="964">
        <v>9</v>
      </c>
      <c r="PB32" s="965">
        <v>10</v>
      </c>
      <c r="PC32" s="965">
        <v>11</v>
      </c>
      <c r="PD32" s="965">
        <v>12</v>
      </c>
      <c r="PE32" s="964">
        <v>13</v>
      </c>
      <c r="PF32" s="965">
        <v>14</v>
      </c>
      <c r="PG32" s="965">
        <v>15</v>
      </c>
      <c r="PH32" s="965">
        <v>16</v>
      </c>
      <c r="PI32" s="964">
        <v>17</v>
      </c>
      <c r="PJ32" s="965">
        <v>18</v>
      </c>
      <c r="PK32" s="965">
        <v>19</v>
      </c>
      <c r="PL32" s="965">
        <v>20</v>
      </c>
      <c r="PM32" s="964">
        <v>21</v>
      </c>
      <c r="PN32" s="965">
        <v>22</v>
      </c>
      <c r="PO32" s="965">
        <v>23</v>
      </c>
      <c r="PP32" s="965">
        <v>24</v>
      </c>
      <c r="PQ32" s="964">
        <v>25</v>
      </c>
      <c r="PR32" s="965">
        <v>26</v>
      </c>
      <c r="PS32" s="965">
        <v>27</v>
      </c>
      <c r="PT32" s="965">
        <v>28</v>
      </c>
      <c r="PU32" s="964">
        <v>29</v>
      </c>
      <c r="PV32" s="964">
        <v>30</v>
      </c>
      <c r="PW32" s="967">
        <v>1</v>
      </c>
      <c r="PX32" s="965">
        <v>2</v>
      </c>
      <c r="PY32" s="965">
        <v>3</v>
      </c>
      <c r="PZ32" s="965">
        <v>4</v>
      </c>
      <c r="QA32" s="964">
        <v>5</v>
      </c>
      <c r="QB32" s="965">
        <v>6</v>
      </c>
      <c r="QC32" s="965">
        <v>7</v>
      </c>
      <c r="QD32" s="965">
        <v>8</v>
      </c>
      <c r="QE32" s="964">
        <v>9</v>
      </c>
      <c r="QF32" s="965">
        <v>10</v>
      </c>
      <c r="QG32" s="965">
        <v>11</v>
      </c>
      <c r="QH32" s="965">
        <v>12</v>
      </c>
      <c r="QI32" s="964">
        <v>13</v>
      </c>
      <c r="QJ32" s="965">
        <v>14</v>
      </c>
      <c r="QK32" s="965">
        <v>15</v>
      </c>
      <c r="QL32" s="965">
        <v>16</v>
      </c>
      <c r="QM32" s="964">
        <v>17</v>
      </c>
      <c r="QN32" s="965">
        <v>18</v>
      </c>
      <c r="QO32" s="965">
        <v>19</v>
      </c>
      <c r="QP32" s="965">
        <v>20</v>
      </c>
      <c r="QQ32" s="964">
        <v>21</v>
      </c>
      <c r="QR32" s="965">
        <v>22</v>
      </c>
      <c r="QS32" s="965">
        <v>23</v>
      </c>
      <c r="QT32" s="965">
        <v>24</v>
      </c>
      <c r="QU32" s="964">
        <v>25</v>
      </c>
      <c r="QV32" s="965">
        <v>26</v>
      </c>
      <c r="QW32" s="965">
        <v>27</v>
      </c>
      <c r="QX32" s="965">
        <v>28</v>
      </c>
      <c r="QY32" s="964">
        <v>29</v>
      </c>
      <c r="QZ32" s="967">
        <v>1</v>
      </c>
      <c r="RA32" s="966"/>
      <c r="RB32" s="797" t="e">
        <f>IF(AND(QZ30&gt;=10,QZ31&gt;=10),354,355)</f>
        <v>#VALUE!</v>
      </c>
      <c r="RC32" s="828" t="e">
        <f>IF(RB32=RB23,1,RC21+1)</f>
        <v>#VALUE!</v>
      </c>
    </row>
    <row r="33" spans="1:471" ht="15.75" thickBot="1">
      <c r="B33" t="s">
        <v>144</v>
      </c>
      <c r="D33" t="s">
        <v>145</v>
      </c>
      <c r="E33" t="s">
        <v>146</v>
      </c>
      <c r="G33" s="7" t="str">
        <f>IF(G32=1,"جمعه",IF(G32=2,"شنبه",IF(G32=3,"یک شنبه",IF(G32=4,"دو شنبه",IF(G32=5,"سه شنبه",IF(G32=6,"چهار شنبه","پنج شنبه"))))))</f>
        <v>سه شنبه</v>
      </c>
      <c r="J33" s="22"/>
      <c r="K33" s="22"/>
      <c r="L33" s="22"/>
      <c r="M33" s="22"/>
      <c r="N33" s="22"/>
      <c r="O33" s="22">
        <v>30</v>
      </c>
      <c r="P33" s="22">
        <v>30</v>
      </c>
      <c r="Q33" s="22">
        <v>30</v>
      </c>
      <c r="R33" s="22">
        <v>30</v>
      </c>
      <c r="S33" s="22">
        <v>30</v>
      </c>
      <c r="T33" s="22">
        <v>30</v>
      </c>
      <c r="U33" s="22">
        <v>30</v>
      </c>
      <c r="V33" s="22">
        <v>30</v>
      </c>
      <c r="W33" s="22">
        <v>30</v>
      </c>
      <c r="X33" s="22">
        <v>30</v>
      </c>
      <c r="Y33" s="22">
        <v>30</v>
      </c>
      <c r="Z33" s="22">
        <v>30</v>
      </c>
      <c r="AA33" s="22">
        <v>5</v>
      </c>
      <c r="AK33" s="759"/>
      <c r="AL33" s="701">
        <f>[1]!taqsha(AL28,AL29,AL30,AL31)</f>
        <v>138.439045697437</v>
      </c>
      <c r="AM33" s="304">
        <f>[1]!taqsha(AM28,AM29,AM30,AM31)</f>
        <v>167.38122931971765</v>
      </c>
      <c r="AN33" s="304">
        <f>[1]!taqsha(AN28,AN29,AN30,AN31)</f>
        <v>195.77494840197923</v>
      </c>
      <c r="AO33" s="304">
        <f>[1]!taqsha(AO28,AO29,AO30,AO31)</f>
        <v>225.64037736531213</v>
      </c>
      <c r="AP33" s="304">
        <f>[1]!taqsha(AP28,AP29,AP30,AP31)</f>
        <v>254.93340121521234</v>
      </c>
      <c r="AQ33" s="304">
        <f>[1]!taqsha(AQ28,AQ29,AQ30,AQ31)</f>
        <v>285.48279418311023</v>
      </c>
      <c r="AR33" s="304">
        <f>[1]!taqsha(AR28,AR29,AR30,AR31)</f>
        <v>315.00171863603924</v>
      </c>
      <c r="AS33" s="304">
        <f>[1]!taqsha(AS28,AS29,AS30,AS31)</f>
        <v>345.26306257763792</v>
      </c>
      <c r="AT33" s="304">
        <f>[1]!taqsha(AT28,AT29,AT30,AT31)</f>
        <v>14.083239000110559</v>
      </c>
      <c r="AU33" s="304">
        <f>[1]!taqsha(AU28,AU29,AU30,AU31)</f>
        <v>43.404800004715753</v>
      </c>
      <c r="AV33" s="304">
        <f>[1]!taqsha(AV28,AV29,AV30,AV31)</f>
        <v>71.345378413304232</v>
      </c>
      <c r="AW33" s="304">
        <f>[1]!taqsha(AW28,AW29,AW30,AW31)</f>
        <v>100.0026054955985</v>
      </c>
      <c r="AX33" s="314"/>
      <c r="DJ33" s="797" t="e">
        <f>DJ34-RB23</f>
        <v>#VALUE!</v>
      </c>
      <c r="DK33" s="797" t="e">
        <f>DJ33+1</f>
        <v>#VALUE!</v>
      </c>
      <c r="DL33" s="797" t="e">
        <f t="shared" ref="DL33:FW33" si="321">DK33+1</f>
        <v>#VALUE!</v>
      </c>
      <c r="DM33" s="797" t="e">
        <f t="shared" si="321"/>
        <v>#VALUE!</v>
      </c>
      <c r="DN33" s="797" t="e">
        <f t="shared" si="321"/>
        <v>#VALUE!</v>
      </c>
      <c r="DO33" s="797" t="e">
        <f t="shared" si="321"/>
        <v>#VALUE!</v>
      </c>
      <c r="DP33" s="797" t="e">
        <f t="shared" si="321"/>
        <v>#VALUE!</v>
      </c>
      <c r="DQ33" s="797" t="e">
        <f t="shared" si="321"/>
        <v>#VALUE!</v>
      </c>
      <c r="DR33" s="797" t="e">
        <f t="shared" si="321"/>
        <v>#VALUE!</v>
      </c>
      <c r="DS33" s="797" t="e">
        <f t="shared" si="321"/>
        <v>#VALUE!</v>
      </c>
      <c r="DT33" s="797" t="e">
        <f t="shared" si="321"/>
        <v>#VALUE!</v>
      </c>
      <c r="DU33" s="797" t="e">
        <f t="shared" si="321"/>
        <v>#VALUE!</v>
      </c>
      <c r="DV33" s="797" t="e">
        <f t="shared" si="321"/>
        <v>#VALUE!</v>
      </c>
      <c r="DW33" s="797" t="e">
        <f t="shared" si="321"/>
        <v>#VALUE!</v>
      </c>
      <c r="DX33" s="797" t="e">
        <f t="shared" si="321"/>
        <v>#VALUE!</v>
      </c>
      <c r="DY33" s="797" t="e">
        <f t="shared" si="321"/>
        <v>#VALUE!</v>
      </c>
      <c r="DZ33" s="797" t="e">
        <f t="shared" si="321"/>
        <v>#VALUE!</v>
      </c>
      <c r="EA33" s="797" t="e">
        <f t="shared" si="321"/>
        <v>#VALUE!</v>
      </c>
      <c r="EB33" s="797" t="e">
        <f t="shared" si="321"/>
        <v>#VALUE!</v>
      </c>
      <c r="EC33" s="797" t="e">
        <f t="shared" si="321"/>
        <v>#VALUE!</v>
      </c>
      <c r="ED33" s="797" t="e">
        <f t="shared" si="321"/>
        <v>#VALUE!</v>
      </c>
      <c r="EE33" s="797" t="e">
        <f t="shared" si="321"/>
        <v>#VALUE!</v>
      </c>
      <c r="EF33" s="797" t="e">
        <f t="shared" si="321"/>
        <v>#VALUE!</v>
      </c>
      <c r="EG33" s="797" t="e">
        <f t="shared" si="321"/>
        <v>#VALUE!</v>
      </c>
      <c r="EH33" s="797" t="e">
        <f t="shared" si="321"/>
        <v>#VALUE!</v>
      </c>
      <c r="EI33" s="797" t="e">
        <f t="shared" si="321"/>
        <v>#VALUE!</v>
      </c>
      <c r="EJ33" s="797" t="e">
        <f t="shared" si="321"/>
        <v>#VALUE!</v>
      </c>
      <c r="EK33" s="797" t="e">
        <f t="shared" si="321"/>
        <v>#VALUE!</v>
      </c>
      <c r="EL33" s="797" t="e">
        <f t="shared" si="321"/>
        <v>#VALUE!</v>
      </c>
      <c r="EM33" s="797" t="e">
        <f t="shared" si="321"/>
        <v>#VALUE!</v>
      </c>
      <c r="EN33" s="797" t="e">
        <f t="shared" si="321"/>
        <v>#VALUE!</v>
      </c>
      <c r="EO33" s="797" t="e">
        <f t="shared" si="321"/>
        <v>#VALUE!</v>
      </c>
      <c r="EP33" s="797" t="e">
        <f t="shared" si="321"/>
        <v>#VALUE!</v>
      </c>
      <c r="EQ33" s="797" t="e">
        <f t="shared" si="321"/>
        <v>#VALUE!</v>
      </c>
      <c r="ER33" s="797" t="e">
        <f t="shared" si="321"/>
        <v>#VALUE!</v>
      </c>
      <c r="ES33" s="797" t="e">
        <f t="shared" si="321"/>
        <v>#VALUE!</v>
      </c>
      <c r="ET33" s="797" t="e">
        <f t="shared" si="321"/>
        <v>#VALUE!</v>
      </c>
      <c r="EU33" s="797" t="e">
        <f t="shared" si="321"/>
        <v>#VALUE!</v>
      </c>
      <c r="EV33" s="797" t="e">
        <f t="shared" si="321"/>
        <v>#VALUE!</v>
      </c>
      <c r="EW33" s="797" t="e">
        <f t="shared" si="321"/>
        <v>#VALUE!</v>
      </c>
      <c r="EX33" s="797" t="e">
        <f t="shared" si="321"/>
        <v>#VALUE!</v>
      </c>
      <c r="EY33" s="797" t="e">
        <f t="shared" si="321"/>
        <v>#VALUE!</v>
      </c>
      <c r="EZ33" s="797" t="e">
        <f t="shared" si="321"/>
        <v>#VALUE!</v>
      </c>
      <c r="FA33" s="797" t="e">
        <f t="shared" si="321"/>
        <v>#VALUE!</v>
      </c>
      <c r="FB33" s="797" t="e">
        <f t="shared" si="321"/>
        <v>#VALUE!</v>
      </c>
      <c r="FC33" s="797" t="e">
        <f t="shared" si="321"/>
        <v>#VALUE!</v>
      </c>
      <c r="FD33" s="797" t="e">
        <f t="shared" si="321"/>
        <v>#VALUE!</v>
      </c>
      <c r="FE33" s="797" t="e">
        <f t="shared" si="321"/>
        <v>#VALUE!</v>
      </c>
      <c r="FF33" s="797" t="e">
        <f t="shared" si="321"/>
        <v>#VALUE!</v>
      </c>
      <c r="FG33" s="797" t="e">
        <f t="shared" si="321"/>
        <v>#VALUE!</v>
      </c>
      <c r="FH33" s="797" t="e">
        <f t="shared" si="321"/>
        <v>#VALUE!</v>
      </c>
      <c r="FI33" s="797" t="e">
        <f t="shared" si="321"/>
        <v>#VALUE!</v>
      </c>
      <c r="FJ33" s="797" t="e">
        <f t="shared" si="321"/>
        <v>#VALUE!</v>
      </c>
      <c r="FK33" s="797" t="e">
        <f t="shared" si="321"/>
        <v>#VALUE!</v>
      </c>
      <c r="FL33" s="797" t="e">
        <f t="shared" si="321"/>
        <v>#VALUE!</v>
      </c>
      <c r="FM33" s="797" t="e">
        <f t="shared" si="321"/>
        <v>#VALUE!</v>
      </c>
      <c r="FN33" s="797" t="e">
        <f t="shared" si="321"/>
        <v>#VALUE!</v>
      </c>
      <c r="FO33" s="797" t="e">
        <f t="shared" si="321"/>
        <v>#VALUE!</v>
      </c>
      <c r="FP33" s="797" t="e">
        <f t="shared" si="321"/>
        <v>#VALUE!</v>
      </c>
      <c r="FQ33" s="797" t="e">
        <f t="shared" si="321"/>
        <v>#VALUE!</v>
      </c>
      <c r="FR33" s="797" t="e">
        <f t="shared" si="321"/>
        <v>#VALUE!</v>
      </c>
      <c r="FS33" s="797" t="e">
        <f t="shared" si="321"/>
        <v>#VALUE!</v>
      </c>
      <c r="FT33" s="797" t="e">
        <f t="shared" si="321"/>
        <v>#VALUE!</v>
      </c>
      <c r="FU33" s="797" t="e">
        <f t="shared" si="321"/>
        <v>#VALUE!</v>
      </c>
      <c r="FV33" s="797" t="e">
        <f t="shared" si="321"/>
        <v>#VALUE!</v>
      </c>
      <c r="FW33" s="797" t="e">
        <f t="shared" si="321"/>
        <v>#VALUE!</v>
      </c>
      <c r="FX33" s="797" t="e">
        <f t="shared" ref="FX33:II33" si="322">FW33+1</f>
        <v>#VALUE!</v>
      </c>
      <c r="FY33" s="797" t="e">
        <f t="shared" si="322"/>
        <v>#VALUE!</v>
      </c>
      <c r="FZ33" s="797" t="e">
        <f t="shared" si="322"/>
        <v>#VALUE!</v>
      </c>
      <c r="GA33" s="797" t="e">
        <f t="shared" si="322"/>
        <v>#VALUE!</v>
      </c>
      <c r="GB33" s="797" t="e">
        <f t="shared" si="322"/>
        <v>#VALUE!</v>
      </c>
      <c r="GC33" s="797" t="e">
        <f t="shared" si="322"/>
        <v>#VALUE!</v>
      </c>
      <c r="GD33" s="797" t="e">
        <f t="shared" si="322"/>
        <v>#VALUE!</v>
      </c>
      <c r="GE33" s="797" t="e">
        <f t="shared" si="322"/>
        <v>#VALUE!</v>
      </c>
      <c r="GF33" s="797" t="e">
        <f t="shared" si="322"/>
        <v>#VALUE!</v>
      </c>
      <c r="GG33" s="797" t="e">
        <f t="shared" si="322"/>
        <v>#VALUE!</v>
      </c>
      <c r="GH33" s="797" t="e">
        <f t="shared" si="322"/>
        <v>#VALUE!</v>
      </c>
      <c r="GI33" s="797" t="e">
        <f t="shared" si="322"/>
        <v>#VALUE!</v>
      </c>
      <c r="GJ33" s="797" t="e">
        <f t="shared" si="322"/>
        <v>#VALUE!</v>
      </c>
      <c r="GK33" s="797" t="e">
        <f t="shared" si="322"/>
        <v>#VALUE!</v>
      </c>
      <c r="GL33" s="797" t="e">
        <f t="shared" si="322"/>
        <v>#VALUE!</v>
      </c>
      <c r="GM33" s="797" t="e">
        <f t="shared" si="322"/>
        <v>#VALUE!</v>
      </c>
      <c r="GN33" s="797" t="e">
        <f t="shared" si="322"/>
        <v>#VALUE!</v>
      </c>
      <c r="GO33" s="797" t="e">
        <f t="shared" si="322"/>
        <v>#VALUE!</v>
      </c>
      <c r="GP33" s="797" t="e">
        <f t="shared" si="322"/>
        <v>#VALUE!</v>
      </c>
      <c r="GQ33" s="797" t="e">
        <f t="shared" si="322"/>
        <v>#VALUE!</v>
      </c>
      <c r="GR33" s="797" t="e">
        <f t="shared" si="322"/>
        <v>#VALUE!</v>
      </c>
      <c r="GS33" s="797" t="e">
        <f t="shared" si="322"/>
        <v>#VALUE!</v>
      </c>
      <c r="GT33" s="797" t="e">
        <f t="shared" si="322"/>
        <v>#VALUE!</v>
      </c>
      <c r="GU33" s="797" t="e">
        <f t="shared" si="322"/>
        <v>#VALUE!</v>
      </c>
      <c r="GV33" s="797" t="e">
        <f t="shared" si="322"/>
        <v>#VALUE!</v>
      </c>
      <c r="GW33" s="797" t="e">
        <f t="shared" si="322"/>
        <v>#VALUE!</v>
      </c>
      <c r="GX33" s="797" t="e">
        <f t="shared" si="322"/>
        <v>#VALUE!</v>
      </c>
      <c r="GY33" s="797" t="e">
        <f t="shared" si="322"/>
        <v>#VALUE!</v>
      </c>
      <c r="GZ33" s="797" t="e">
        <f t="shared" si="322"/>
        <v>#VALUE!</v>
      </c>
      <c r="HA33" s="797" t="e">
        <f t="shared" si="322"/>
        <v>#VALUE!</v>
      </c>
      <c r="HB33" s="797" t="e">
        <f t="shared" si="322"/>
        <v>#VALUE!</v>
      </c>
      <c r="HC33" s="797" t="e">
        <f t="shared" si="322"/>
        <v>#VALUE!</v>
      </c>
      <c r="HD33" s="797" t="e">
        <f t="shared" si="322"/>
        <v>#VALUE!</v>
      </c>
      <c r="HE33" s="797" t="e">
        <f t="shared" si="322"/>
        <v>#VALUE!</v>
      </c>
      <c r="HF33" s="797" t="e">
        <f t="shared" si="322"/>
        <v>#VALUE!</v>
      </c>
      <c r="HG33" s="797" t="e">
        <f t="shared" si="322"/>
        <v>#VALUE!</v>
      </c>
      <c r="HH33" s="797" t="e">
        <f t="shared" si="322"/>
        <v>#VALUE!</v>
      </c>
      <c r="HI33" s="797" t="e">
        <f t="shared" si="322"/>
        <v>#VALUE!</v>
      </c>
      <c r="HJ33" s="797" t="e">
        <f t="shared" si="322"/>
        <v>#VALUE!</v>
      </c>
      <c r="HK33" s="797" t="e">
        <f t="shared" si="322"/>
        <v>#VALUE!</v>
      </c>
      <c r="HL33" s="797" t="e">
        <f t="shared" si="322"/>
        <v>#VALUE!</v>
      </c>
      <c r="HM33" s="797" t="e">
        <f t="shared" si="322"/>
        <v>#VALUE!</v>
      </c>
      <c r="HN33" s="797" t="e">
        <f t="shared" si="322"/>
        <v>#VALUE!</v>
      </c>
      <c r="HO33" s="797" t="e">
        <f t="shared" si="322"/>
        <v>#VALUE!</v>
      </c>
      <c r="HP33" s="797" t="e">
        <f t="shared" si="322"/>
        <v>#VALUE!</v>
      </c>
      <c r="HQ33" s="797" t="e">
        <f t="shared" si="322"/>
        <v>#VALUE!</v>
      </c>
      <c r="HR33" s="797" t="e">
        <f t="shared" si="322"/>
        <v>#VALUE!</v>
      </c>
      <c r="HS33" s="797" t="e">
        <f t="shared" si="322"/>
        <v>#VALUE!</v>
      </c>
      <c r="HT33" s="797" t="e">
        <f t="shared" si="322"/>
        <v>#VALUE!</v>
      </c>
      <c r="HU33" s="797" t="e">
        <f t="shared" si="322"/>
        <v>#VALUE!</v>
      </c>
      <c r="HV33" s="797" t="e">
        <f t="shared" si="322"/>
        <v>#VALUE!</v>
      </c>
      <c r="HW33" s="797" t="e">
        <f t="shared" si="322"/>
        <v>#VALUE!</v>
      </c>
      <c r="HX33" s="797" t="e">
        <f t="shared" si="322"/>
        <v>#VALUE!</v>
      </c>
      <c r="HY33" s="797" t="e">
        <f t="shared" si="322"/>
        <v>#VALUE!</v>
      </c>
      <c r="HZ33" s="797" t="e">
        <f t="shared" si="322"/>
        <v>#VALUE!</v>
      </c>
      <c r="IA33" s="797" t="e">
        <f t="shared" si="322"/>
        <v>#VALUE!</v>
      </c>
      <c r="IB33" s="797" t="e">
        <f t="shared" si="322"/>
        <v>#VALUE!</v>
      </c>
      <c r="IC33" s="797" t="e">
        <f t="shared" si="322"/>
        <v>#VALUE!</v>
      </c>
      <c r="ID33" s="797" t="e">
        <f t="shared" si="322"/>
        <v>#VALUE!</v>
      </c>
      <c r="IE33" s="797" t="e">
        <f t="shared" si="322"/>
        <v>#VALUE!</v>
      </c>
      <c r="IF33" s="797" t="e">
        <f t="shared" si="322"/>
        <v>#VALUE!</v>
      </c>
      <c r="IG33" s="797" t="e">
        <f t="shared" si="322"/>
        <v>#VALUE!</v>
      </c>
      <c r="IH33" s="797" t="e">
        <f t="shared" si="322"/>
        <v>#VALUE!</v>
      </c>
      <c r="II33" s="797" t="e">
        <f t="shared" si="322"/>
        <v>#VALUE!</v>
      </c>
      <c r="IJ33" s="797" t="e">
        <f t="shared" ref="IJ33:KU33" si="323">II33+1</f>
        <v>#VALUE!</v>
      </c>
      <c r="IK33" s="797" t="e">
        <f t="shared" si="323"/>
        <v>#VALUE!</v>
      </c>
      <c r="IL33" s="797" t="e">
        <f t="shared" si="323"/>
        <v>#VALUE!</v>
      </c>
      <c r="IM33" s="797" t="e">
        <f t="shared" si="323"/>
        <v>#VALUE!</v>
      </c>
      <c r="IN33" s="797" t="e">
        <f t="shared" si="323"/>
        <v>#VALUE!</v>
      </c>
      <c r="IO33" s="797" t="e">
        <f t="shared" si="323"/>
        <v>#VALUE!</v>
      </c>
      <c r="IP33" s="797" t="e">
        <f t="shared" si="323"/>
        <v>#VALUE!</v>
      </c>
      <c r="IQ33" s="797" t="e">
        <f t="shared" si="323"/>
        <v>#VALUE!</v>
      </c>
      <c r="IR33" s="797" t="e">
        <f t="shared" si="323"/>
        <v>#VALUE!</v>
      </c>
      <c r="IS33" s="797" t="e">
        <f t="shared" si="323"/>
        <v>#VALUE!</v>
      </c>
      <c r="IT33" s="797" t="e">
        <f t="shared" si="323"/>
        <v>#VALUE!</v>
      </c>
      <c r="IU33" s="797" t="e">
        <f t="shared" si="323"/>
        <v>#VALUE!</v>
      </c>
      <c r="IV33" s="797" t="e">
        <f t="shared" si="323"/>
        <v>#VALUE!</v>
      </c>
      <c r="IW33" s="797" t="e">
        <f t="shared" si="323"/>
        <v>#VALUE!</v>
      </c>
      <c r="IX33" s="797" t="e">
        <f t="shared" si="323"/>
        <v>#VALUE!</v>
      </c>
      <c r="IY33" s="797" t="e">
        <f t="shared" si="323"/>
        <v>#VALUE!</v>
      </c>
      <c r="IZ33" s="797" t="e">
        <f t="shared" si="323"/>
        <v>#VALUE!</v>
      </c>
      <c r="JA33" s="797" t="e">
        <f t="shared" si="323"/>
        <v>#VALUE!</v>
      </c>
      <c r="JB33" s="797" t="e">
        <f t="shared" si="323"/>
        <v>#VALUE!</v>
      </c>
      <c r="JC33" s="797" t="e">
        <f t="shared" si="323"/>
        <v>#VALUE!</v>
      </c>
      <c r="JD33" s="797" t="e">
        <f t="shared" si="323"/>
        <v>#VALUE!</v>
      </c>
      <c r="JE33" s="797" t="e">
        <f t="shared" si="323"/>
        <v>#VALUE!</v>
      </c>
      <c r="JF33" s="797" t="e">
        <f t="shared" si="323"/>
        <v>#VALUE!</v>
      </c>
      <c r="JG33" s="797" t="e">
        <f t="shared" si="323"/>
        <v>#VALUE!</v>
      </c>
      <c r="JH33" s="797" t="e">
        <f t="shared" si="323"/>
        <v>#VALUE!</v>
      </c>
      <c r="JI33" s="797" t="e">
        <f t="shared" si="323"/>
        <v>#VALUE!</v>
      </c>
      <c r="JJ33" s="797" t="e">
        <f t="shared" si="323"/>
        <v>#VALUE!</v>
      </c>
      <c r="JK33" s="797" t="e">
        <f t="shared" si="323"/>
        <v>#VALUE!</v>
      </c>
      <c r="JL33" s="797" t="e">
        <f t="shared" si="323"/>
        <v>#VALUE!</v>
      </c>
      <c r="JM33" s="797" t="e">
        <f t="shared" si="323"/>
        <v>#VALUE!</v>
      </c>
      <c r="JN33" s="797" t="e">
        <f t="shared" si="323"/>
        <v>#VALUE!</v>
      </c>
      <c r="JO33" s="797" t="e">
        <f t="shared" si="323"/>
        <v>#VALUE!</v>
      </c>
      <c r="JP33" s="797" t="e">
        <f t="shared" si="323"/>
        <v>#VALUE!</v>
      </c>
      <c r="JQ33" s="797" t="e">
        <f t="shared" si="323"/>
        <v>#VALUE!</v>
      </c>
      <c r="JR33" s="797" t="e">
        <f t="shared" si="323"/>
        <v>#VALUE!</v>
      </c>
      <c r="JS33" s="797" t="e">
        <f t="shared" si="323"/>
        <v>#VALUE!</v>
      </c>
      <c r="JT33" s="797" t="e">
        <f t="shared" si="323"/>
        <v>#VALUE!</v>
      </c>
      <c r="JU33" s="797" t="e">
        <f t="shared" si="323"/>
        <v>#VALUE!</v>
      </c>
      <c r="JV33" s="797" t="e">
        <f t="shared" si="323"/>
        <v>#VALUE!</v>
      </c>
      <c r="JW33" s="797" t="e">
        <f t="shared" si="323"/>
        <v>#VALUE!</v>
      </c>
      <c r="JX33" s="797" t="e">
        <f t="shared" si="323"/>
        <v>#VALUE!</v>
      </c>
      <c r="JY33" s="797" t="e">
        <f t="shared" si="323"/>
        <v>#VALUE!</v>
      </c>
      <c r="JZ33" s="797" t="e">
        <f t="shared" si="323"/>
        <v>#VALUE!</v>
      </c>
      <c r="KA33" s="797" t="e">
        <f t="shared" si="323"/>
        <v>#VALUE!</v>
      </c>
      <c r="KB33" s="797" t="e">
        <f t="shared" si="323"/>
        <v>#VALUE!</v>
      </c>
      <c r="KC33" s="797" t="e">
        <f t="shared" si="323"/>
        <v>#VALUE!</v>
      </c>
      <c r="KD33" s="797" t="e">
        <f t="shared" si="323"/>
        <v>#VALUE!</v>
      </c>
      <c r="KE33" s="797" t="e">
        <f t="shared" si="323"/>
        <v>#VALUE!</v>
      </c>
      <c r="KF33" s="797" t="e">
        <f t="shared" si="323"/>
        <v>#VALUE!</v>
      </c>
      <c r="KG33" s="797" t="e">
        <f t="shared" si="323"/>
        <v>#VALUE!</v>
      </c>
      <c r="KH33" s="797" t="e">
        <f t="shared" si="323"/>
        <v>#VALUE!</v>
      </c>
      <c r="KI33" s="797" t="e">
        <f t="shared" si="323"/>
        <v>#VALUE!</v>
      </c>
      <c r="KJ33" s="797" t="e">
        <f t="shared" si="323"/>
        <v>#VALUE!</v>
      </c>
      <c r="KK33" s="797" t="e">
        <f t="shared" si="323"/>
        <v>#VALUE!</v>
      </c>
      <c r="KL33" s="797" t="e">
        <f t="shared" si="323"/>
        <v>#VALUE!</v>
      </c>
      <c r="KM33" s="797" t="e">
        <f t="shared" si="323"/>
        <v>#VALUE!</v>
      </c>
      <c r="KN33" s="797" t="e">
        <f t="shared" si="323"/>
        <v>#VALUE!</v>
      </c>
      <c r="KO33" s="797" t="e">
        <f t="shared" si="323"/>
        <v>#VALUE!</v>
      </c>
      <c r="KP33" s="797" t="e">
        <f t="shared" si="323"/>
        <v>#VALUE!</v>
      </c>
      <c r="KQ33" s="797" t="e">
        <f t="shared" si="323"/>
        <v>#VALUE!</v>
      </c>
      <c r="KR33" s="797" t="e">
        <f t="shared" si="323"/>
        <v>#VALUE!</v>
      </c>
      <c r="KS33" s="797" t="e">
        <f t="shared" si="323"/>
        <v>#VALUE!</v>
      </c>
      <c r="KT33" s="797" t="e">
        <f t="shared" si="323"/>
        <v>#VALUE!</v>
      </c>
      <c r="KU33" s="797" t="e">
        <f t="shared" si="323"/>
        <v>#VALUE!</v>
      </c>
      <c r="KV33" s="797" t="e">
        <f t="shared" ref="KV33:NG33" si="324">KU33+1</f>
        <v>#VALUE!</v>
      </c>
      <c r="KW33" s="797" t="e">
        <f t="shared" si="324"/>
        <v>#VALUE!</v>
      </c>
      <c r="KX33" s="797" t="e">
        <f t="shared" si="324"/>
        <v>#VALUE!</v>
      </c>
      <c r="KY33" s="797" t="e">
        <f t="shared" si="324"/>
        <v>#VALUE!</v>
      </c>
      <c r="KZ33" s="797" t="e">
        <f t="shared" si="324"/>
        <v>#VALUE!</v>
      </c>
      <c r="LA33" s="797" t="e">
        <f t="shared" si="324"/>
        <v>#VALUE!</v>
      </c>
      <c r="LB33" s="797" t="e">
        <f t="shared" si="324"/>
        <v>#VALUE!</v>
      </c>
      <c r="LC33" s="797" t="e">
        <f t="shared" si="324"/>
        <v>#VALUE!</v>
      </c>
      <c r="LD33" s="797" t="e">
        <f t="shared" si="324"/>
        <v>#VALUE!</v>
      </c>
      <c r="LE33" s="797" t="e">
        <f t="shared" si="324"/>
        <v>#VALUE!</v>
      </c>
      <c r="LF33" s="797" t="e">
        <f t="shared" si="324"/>
        <v>#VALUE!</v>
      </c>
      <c r="LG33" s="797" t="e">
        <f t="shared" si="324"/>
        <v>#VALUE!</v>
      </c>
      <c r="LH33" s="797" t="e">
        <f t="shared" si="324"/>
        <v>#VALUE!</v>
      </c>
      <c r="LI33" s="797" t="e">
        <f t="shared" si="324"/>
        <v>#VALUE!</v>
      </c>
      <c r="LJ33" s="797" t="e">
        <f t="shared" si="324"/>
        <v>#VALUE!</v>
      </c>
      <c r="LK33" s="797" t="e">
        <f t="shared" si="324"/>
        <v>#VALUE!</v>
      </c>
      <c r="LL33" s="797" t="e">
        <f t="shared" si="324"/>
        <v>#VALUE!</v>
      </c>
      <c r="LM33" s="797" t="e">
        <f t="shared" si="324"/>
        <v>#VALUE!</v>
      </c>
      <c r="LN33" s="797" t="e">
        <f t="shared" si="324"/>
        <v>#VALUE!</v>
      </c>
      <c r="LO33" s="797" t="e">
        <f t="shared" si="324"/>
        <v>#VALUE!</v>
      </c>
      <c r="LP33" s="797" t="e">
        <f t="shared" si="324"/>
        <v>#VALUE!</v>
      </c>
      <c r="LQ33" s="797" t="e">
        <f t="shared" si="324"/>
        <v>#VALUE!</v>
      </c>
      <c r="LR33" s="797" t="e">
        <f t="shared" si="324"/>
        <v>#VALUE!</v>
      </c>
      <c r="LS33" s="797" t="e">
        <f t="shared" si="324"/>
        <v>#VALUE!</v>
      </c>
      <c r="LT33" s="797" t="e">
        <f t="shared" si="324"/>
        <v>#VALUE!</v>
      </c>
      <c r="LU33" s="797" t="e">
        <f t="shared" si="324"/>
        <v>#VALUE!</v>
      </c>
      <c r="LV33" s="797" t="e">
        <f t="shared" si="324"/>
        <v>#VALUE!</v>
      </c>
      <c r="LW33" s="797" t="e">
        <f t="shared" si="324"/>
        <v>#VALUE!</v>
      </c>
      <c r="LX33" s="797" t="e">
        <f t="shared" si="324"/>
        <v>#VALUE!</v>
      </c>
      <c r="LY33" s="797" t="e">
        <f t="shared" si="324"/>
        <v>#VALUE!</v>
      </c>
      <c r="LZ33" s="797" t="e">
        <f t="shared" si="324"/>
        <v>#VALUE!</v>
      </c>
      <c r="MA33" s="797" t="e">
        <f t="shared" si="324"/>
        <v>#VALUE!</v>
      </c>
      <c r="MB33" s="797" t="e">
        <f t="shared" si="324"/>
        <v>#VALUE!</v>
      </c>
      <c r="MC33" s="797" t="e">
        <f t="shared" si="324"/>
        <v>#VALUE!</v>
      </c>
      <c r="MD33" s="797" t="e">
        <f t="shared" si="324"/>
        <v>#VALUE!</v>
      </c>
      <c r="ME33" s="797" t="e">
        <f t="shared" si="324"/>
        <v>#VALUE!</v>
      </c>
      <c r="MF33" s="797" t="e">
        <f t="shared" si="324"/>
        <v>#VALUE!</v>
      </c>
      <c r="MG33" s="797" t="e">
        <f t="shared" si="324"/>
        <v>#VALUE!</v>
      </c>
      <c r="MH33" s="797" t="e">
        <f t="shared" si="324"/>
        <v>#VALUE!</v>
      </c>
      <c r="MI33" s="797" t="e">
        <f t="shared" si="324"/>
        <v>#VALUE!</v>
      </c>
      <c r="MJ33" s="797" t="e">
        <f t="shared" si="324"/>
        <v>#VALUE!</v>
      </c>
      <c r="MK33" s="797" t="e">
        <f t="shared" si="324"/>
        <v>#VALUE!</v>
      </c>
      <c r="ML33" s="797" t="e">
        <f t="shared" si="324"/>
        <v>#VALUE!</v>
      </c>
      <c r="MM33" s="797" t="e">
        <f t="shared" si="324"/>
        <v>#VALUE!</v>
      </c>
      <c r="MN33" s="797" t="e">
        <f t="shared" si="324"/>
        <v>#VALUE!</v>
      </c>
      <c r="MO33" s="797" t="e">
        <f t="shared" si="324"/>
        <v>#VALUE!</v>
      </c>
      <c r="MP33" s="797" t="e">
        <f t="shared" si="324"/>
        <v>#VALUE!</v>
      </c>
      <c r="MQ33" s="797" t="e">
        <f t="shared" si="324"/>
        <v>#VALUE!</v>
      </c>
      <c r="MR33" s="797" t="e">
        <f t="shared" si="324"/>
        <v>#VALUE!</v>
      </c>
      <c r="MS33" s="797" t="e">
        <f t="shared" si="324"/>
        <v>#VALUE!</v>
      </c>
      <c r="MT33" s="797" t="e">
        <f t="shared" si="324"/>
        <v>#VALUE!</v>
      </c>
      <c r="MU33" s="797" t="e">
        <f t="shared" si="324"/>
        <v>#VALUE!</v>
      </c>
      <c r="MV33" s="797" t="e">
        <f t="shared" si="324"/>
        <v>#VALUE!</v>
      </c>
      <c r="MW33" s="797" t="e">
        <f t="shared" si="324"/>
        <v>#VALUE!</v>
      </c>
      <c r="MX33" s="797" t="e">
        <f t="shared" si="324"/>
        <v>#VALUE!</v>
      </c>
      <c r="MY33" s="797" t="e">
        <f t="shared" si="324"/>
        <v>#VALUE!</v>
      </c>
      <c r="MZ33" s="797" t="e">
        <f t="shared" si="324"/>
        <v>#VALUE!</v>
      </c>
      <c r="NA33" s="797" t="e">
        <f t="shared" si="324"/>
        <v>#VALUE!</v>
      </c>
      <c r="NB33" s="797" t="e">
        <f t="shared" si="324"/>
        <v>#VALUE!</v>
      </c>
      <c r="NC33" s="797" t="e">
        <f t="shared" si="324"/>
        <v>#VALUE!</v>
      </c>
      <c r="ND33" s="797" t="e">
        <f t="shared" si="324"/>
        <v>#VALUE!</v>
      </c>
      <c r="NE33" s="797" t="e">
        <f t="shared" si="324"/>
        <v>#VALUE!</v>
      </c>
      <c r="NF33" s="797" t="e">
        <f t="shared" si="324"/>
        <v>#VALUE!</v>
      </c>
      <c r="NG33" s="797" t="e">
        <f t="shared" si="324"/>
        <v>#VALUE!</v>
      </c>
      <c r="NH33" s="797" t="e">
        <f t="shared" ref="NH33:PS33" si="325">NG33+1</f>
        <v>#VALUE!</v>
      </c>
      <c r="NI33" s="797" t="e">
        <f t="shared" si="325"/>
        <v>#VALUE!</v>
      </c>
      <c r="NJ33" s="797" t="e">
        <f t="shared" si="325"/>
        <v>#VALUE!</v>
      </c>
      <c r="NK33" s="797" t="e">
        <f t="shared" si="325"/>
        <v>#VALUE!</v>
      </c>
      <c r="NL33" s="797" t="e">
        <f t="shared" si="325"/>
        <v>#VALUE!</v>
      </c>
      <c r="NM33" s="797" t="e">
        <f t="shared" si="325"/>
        <v>#VALUE!</v>
      </c>
      <c r="NN33" s="797" t="e">
        <f t="shared" si="325"/>
        <v>#VALUE!</v>
      </c>
      <c r="NO33" s="797" t="e">
        <f t="shared" si="325"/>
        <v>#VALUE!</v>
      </c>
      <c r="NP33" s="797" t="e">
        <f t="shared" si="325"/>
        <v>#VALUE!</v>
      </c>
      <c r="NQ33" s="797" t="e">
        <f t="shared" si="325"/>
        <v>#VALUE!</v>
      </c>
      <c r="NR33" s="797" t="e">
        <f t="shared" si="325"/>
        <v>#VALUE!</v>
      </c>
      <c r="NS33" s="797" t="e">
        <f t="shared" si="325"/>
        <v>#VALUE!</v>
      </c>
      <c r="NT33" s="797" t="e">
        <f t="shared" si="325"/>
        <v>#VALUE!</v>
      </c>
      <c r="NU33" s="797" t="e">
        <f t="shared" si="325"/>
        <v>#VALUE!</v>
      </c>
      <c r="NV33" s="797" t="e">
        <f t="shared" si="325"/>
        <v>#VALUE!</v>
      </c>
      <c r="NW33" s="797" t="e">
        <f t="shared" si="325"/>
        <v>#VALUE!</v>
      </c>
      <c r="NX33" s="797" t="e">
        <f t="shared" si="325"/>
        <v>#VALUE!</v>
      </c>
      <c r="NY33" s="797" t="e">
        <f t="shared" si="325"/>
        <v>#VALUE!</v>
      </c>
      <c r="NZ33" s="797" t="e">
        <f t="shared" si="325"/>
        <v>#VALUE!</v>
      </c>
      <c r="OA33" s="797" t="e">
        <f t="shared" si="325"/>
        <v>#VALUE!</v>
      </c>
      <c r="OB33" s="797" t="e">
        <f t="shared" si="325"/>
        <v>#VALUE!</v>
      </c>
      <c r="OC33" s="797" t="e">
        <f t="shared" si="325"/>
        <v>#VALUE!</v>
      </c>
      <c r="OD33" s="797" t="e">
        <f t="shared" si="325"/>
        <v>#VALUE!</v>
      </c>
      <c r="OE33" s="797" t="e">
        <f t="shared" si="325"/>
        <v>#VALUE!</v>
      </c>
      <c r="OF33" s="797" t="e">
        <f t="shared" si="325"/>
        <v>#VALUE!</v>
      </c>
      <c r="OG33" s="797" t="e">
        <f t="shared" si="325"/>
        <v>#VALUE!</v>
      </c>
      <c r="OH33" s="797" t="e">
        <f t="shared" si="325"/>
        <v>#VALUE!</v>
      </c>
      <c r="OI33" s="797" t="e">
        <f t="shared" si="325"/>
        <v>#VALUE!</v>
      </c>
      <c r="OJ33" s="797" t="e">
        <f t="shared" si="325"/>
        <v>#VALUE!</v>
      </c>
      <c r="OK33" s="797" t="e">
        <f t="shared" si="325"/>
        <v>#VALUE!</v>
      </c>
      <c r="OL33" s="797" t="e">
        <f t="shared" si="325"/>
        <v>#VALUE!</v>
      </c>
      <c r="OM33" s="797" t="e">
        <f t="shared" si="325"/>
        <v>#VALUE!</v>
      </c>
      <c r="ON33" s="797" t="e">
        <f t="shared" si="325"/>
        <v>#VALUE!</v>
      </c>
      <c r="OO33" s="797" t="e">
        <f t="shared" si="325"/>
        <v>#VALUE!</v>
      </c>
      <c r="OP33" s="797" t="e">
        <f t="shared" si="325"/>
        <v>#VALUE!</v>
      </c>
      <c r="OQ33" s="797" t="e">
        <f t="shared" si="325"/>
        <v>#VALUE!</v>
      </c>
      <c r="OR33" s="797" t="e">
        <f t="shared" si="325"/>
        <v>#VALUE!</v>
      </c>
      <c r="OS33" s="797" t="e">
        <f t="shared" si="325"/>
        <v>#VALUE!</v>
      </c>
      <c r="OT33" s="797" t="e">
        <f t="shared" si="325"/>
        <v>#VALUE!</v>
      </c>
      <c r="OU33" s="797" t="e">
        <f t="shared" si="325"/>
        <v>#VALUE!</v>
      </c>
      <c r="OV33" s="797" t="e">
        <f t="shared" si="325"/>
        <v>#VALUE!</v>
      </c>
      <c r="OW33" s="797" t="e">
        <f t="shared" si="325"/>
        <v>#VALUE!</v>
      </c>
      <c r="OX33" s="797" t="e">
        <f t="shared" si="325"/>
        <v>#VALUE!</v>
      </c>
      <c r="OY33" s="797" t="e">
        <f t="shared" si="325"/>
        <v>#VALUE!</v>
      </c>
      <c r="OZ33" s="797" t="e">
        <f t="shared" si="325"/>
        <v>#VALUE!</v>
      </c>
      <c r="PA33" s="797" t="e">
        <f t="shared" si="325"/>
        <v>#VALUE!</v>
      </c>
      <c r="PB33" s="797" t="e">
        <f t="shared" si="325"/>
        <v>#VALUE!</v>
      </c>
      <c r="PC33" s="797" t="e">
        <f t="shared" si="325"/>
        <v>#VALUE!</v>
      </c>
      <c r="PD33" s="797" t="e">
        <f t="shared" si="325"/>
        <v>#VALUE!</v>
      </c>
      <c r="PE33" s="797" t="e">
        <f t="shared" si="325"/>
        <v>#VALUE!</v>
      </c>
      <c r="PF33" s="797" t="e">
        <f t="shared" si="325"/>
        <v>#VALUE!</v>
      </c>
      <c r="PG33" s="797" t="e">
        <f t="shared" si="325"/>
        <v>#VALUE!</v>
      </c>
      <c r="PH33" s="797" t="e">
        <f t="shared" si="325"/>
        <v>#VALUE!</v>
      </c>
      <c r="PI33" s="797" t="e">
        <f t="shared" si="325"/>
        <v>#VALUE!</v>
      </c>
      <c r="PJ33" s="797" t="e">
        <f t="shared" si="325"/>
        <v>#VALUE!</v>
      </c>
      <c r="PK33" s="797" t="e">
        <f t="shared" si="325"/>
        <v>#VALUE!</v>
      </c>
      <c r="PL33" s="797" t="e">
        <f t="shared" si="325"/>
        <v>#VALUE!</v>
      </c>
      <c r="PM33" s="797" t="e">
        <f t="shared" si="325"/>
        <v>#VALUE!</v>
      </c>
      <c r="PN33" s="797" t="e">
        <f t="shared" si="325"/>
        <v>#VALUE!</v>
      </c>
      <c r="PO33" s="797" t="e">
        <f t="shared" si="325"/>
        <v>#VALUE!</v>
      </c>
      <c r="PP33" s="797" t="e">
        <f t="shared" si="325"/>
        <v>#VALUE!</v>
      </c>
      <c r="PQ33" s="797" t="e">
        <f t="shared" si="325"/>
        <v>#VALUE!</v>
      </c>
      <c r="PR33" s="797" t="e">
        <f t="shared" si="325"/>
        <v>#VALUE!</v>
      </c>
      <c r="PS33" s="797" t="e">
        <f t="shared" si="325"/>
        <v>#VALUE!</v>
      </c>
      <c r="PT33" s="797" t="e">
        <f t="shared" ref="PT33:QZ33" si="326">PS33+1</f>
        <v>#VALUE!</v>
      </c>
      <c r="PU33" s="797" t="e">
        <f t="shared" si="326"/>
        <v>#VALUE!</v>
      </c>
      <c r="PV33" s="797" t="e">
        <f t="shared" si="326"/>
        <v>#VALUE!</v>
      </c>
      <c r="PW33" s="797" t="e">
        <f t="shared" si="326"/>
        <v>#VALUE!</v>
      </c>
      <c r="PX33" s="797" t="e">
        <f t="shared" si="326"/>
        <v>#VALUE!</v>
      </c>
      <c r="PY33" s="797" t="e">
        <f t="shared" si="326"/>
        <v>#VALUE!</v>
      </c>
      <c r="PZ33" s="797" t="e">
        <f t="shared" si="326"/>
        <v>#VALUE!</v>
      </c>
      <c r="QA33" s="797" t="e">
        <f t="shared" si="326"/>
        <v>#VALUE!</v>
      </c>
      <c r="QB33" s="797" t="e">
        <f t="shared" si="326"/>
        <v>#VALUE!</v>
      </c>
      <c r="QC33" s="797" t="e">
        <f t="shared" si="326"/>
        <v>#VALUE!</v>
      </c>
      <c r="QD33" s="797" t="e">
        <f t="shared" si="326"/>
        <v>#VALUE!</v>
      </c>
      <c r="QE33" s="797" t="e">
        <f t="shared" si="326"/>
        <v>#VALUE!</v>
      </c>
      <c r="QF33" s="797" t="e">
        <f t="shared" si="326"/>
        <v>#VALUE!</v>
      </c>
      <c r="QG33" s="797" t="e">
        <f t="shared" si="326"/>
        <v>#VALUE!</v>
      </c>
      <c r="QH33" s="797" t="e">
        <f t="shared" si="326"/>
        <v>#VALUE!</v>
      </c>
      <c r="QI33" s="797" t="e">
        <f t="shared" si="326"/>
        <v>#VALUE!</v>
      </c>
      <c r="QJ33" s="797" t="e">
        <f t="shared" si="326"/>
        <v>#VALUE!</v>
      </c>
      <c r="QK33" s="797" t="e">
        <f t="shared" si="326"/>
        <v>#VALUE!</v>
      </c>
      <c r="QL33" s="797" t="e">
        <f t="shared" si="326"/>
        <v>#VALUE!</v>
      </c>
      <c r="QM33" s="797" t="e">
        <f t="shared" si="326"/>
        <v>#VALUE!</v>
      </c>
      <c r="QN33" s="797" t="e">
        <f t="shared" si="326"/>
        <v>#VALUE!</v>
      </c>
      <c r="QO33" s="797" t="e">
        <f t="shared" si="326"/>
        <v>#VALUE!</v>
      </c>
      <c r="QP33" s="797" t="e">
        <f t="shared" si="326"/>
        <v>#VALUE!</v>
      </c>
      <c r="QQ33" s="797" t="e">
        <f t="shared" si="326"/>
        <v>#VALUE!</v>
      </c>
      <c r="QR33" s="797" t="e">
        <f t="shared" si="326"/>
        <v>#VALUE!</v>
      </c>
      <c r="QS33" s="797" t="e">
        <f t="shared" si="326"/>
        <v>#VALUE!</v>
      </c>
      <c r="QT33" s="797" t="e">
        <f t="shared" si="326"/>
        <v>#VALUE!</v>
      </c>
      <c r="QU33" s="797" t="e">
        <f t="shared" si="326"/>
        <v>#VALUE!</v>
      </c>
      <c r="QV33" s="797" t="e">
        <f t="shared" si="326"/>
        <v>#VALUE!</v>
      </c>
      <c r="QW33" s="797" t="e">
        <f t="shared" si="326"/>
        <v>#VALUE!</v>
      </c>
      <c r="QX33" s="797" t="e">
        <f t="shared" si="326"/>
        <v>#VALUE!</v>
      </c>
      <c r="QY33" s="797" t="e">
        <f t="shared" si="326"/>
        <v>#VALUE!</v>
      </c>
      <c r="QZ33" s="797" t="e">
        <f t="shared" si="326"/>
        <v>#VALUE!</v>
      </c>
    </row>
    <row r="34" spans="1:471" ht="17.25">
      <c r="A34" s="22">
        <f>A31</f>
        <v>22</v>
      </c>
      <c r="B34" s="22">
        <f>B31</f>
        <v>9</v>
      </c>
      <c r="C34" s="22">
        <f>C31</f>
        <v>1442</v>
      </c>
      <c r="D34" t="str">
        <f>D31</f>
        <v>شمسی</v>
      </c>
      <c r="E34">
        <f>E31</f>
        <v>16</v>
      </c>
      <c r="G34" t="e">
        <f ca="1">[2]!yawm(C28,B28,A28)</f>
        <v>#NAME?</v>
      </c>
      <c r="J34" s="21"/>
      <c r="K34" s="22"/>
      <c r="L34" s="22"/>
      <c r="M34" s="22"/>
      <c r="N34" s="22"/>
      <c r="O34" s="22">
        <f>O33</f>
        <v>30</v>
      </c>
      <c r="P34" s="22">
        <f t="shared" ref="P34:AA34" si="327">P33+O34</f>
        <v>60</v>
      </c>
      <c r="Q34" s="22">
        <f t="shared" si="327"/>
        <v>90</v>
      </c>
      <c r="R34" s="22">
        <f t="shared" si="327"/>
        <v>120</v>
      </c>
      <c r="S34" s="22">
        <f t="shared" si="327"/>
        <v>150</v>
      </c>
      <c r="T34" s="22">
        <f t="shared" si="327"/>
        <v>180</v>
      </c>
      <c r="U34" s="22">
        <f t="shared" si="327"/>
        <v>210</v>
      </c>
      <c r="V34" s="22">
        <f t="shared" si="327"/>
        <v>240</v>
      </c>
      <c r="W34" s="22">
        <f t="shared" si="327"/>
        <v>270</v>
      </c>
      <c r="X34" s="22">
        <f t="shared" si="327"/>
        <v>300</v>
      </c>
      <c r="Y34" s="22">
        <f t="shared" si="327"/>
        <v>330</v>
      </c>
      <c r="Z34" s="22">
        <f t="shared" si="327"/>
        <v>360</v>
      </c>
      <c r="AA34" s="22">
        <f t="shared" si="327"/>
        <v>365</v>
      </c>
      <c r="AK34" s="759" t="s">
        <v>3556</v>
      </c>
      <c r="AL34" s="701" t="e">
        <f>[1]!qsn([1]!ml(AL33),AL32)/30</f>
        <v>#VALUE!</v>
      </c>
      <c r="AM34" s="304" t="e">
        <f>[1]!qsn([1]!ml(AM33),AM32)/30</f>
        <v>#VALUE!</v>
      </c>
      <c r="AN34" s="304" t="e">
        <f>[1]!qsn([1]!ml(AN33),AN32)/30</f>
        <v>#VALUE!</v>
      </c>
      <c r="AO34" s="304" t="e">
        <f>[1]!qsn([1]!ml(AO33),AO32)/30</f>
        <v>#VALUE!</v>
      </c>
      <c r="AP34" s="304" t="e">
        <f>[1]!qsn([1]!ml(AP33),AP32)/30</f>
        <v>#VALUE!</v>
      </c>
      <c r="AQ34" s="304" t="e">
        <f>[1]!qsn([1]!ml(AQ33),AQ32)/30</f>
        <v>#VALUE!</v>
      </c>
      <c r="AR34" s="304" t="e">
        <f>[1]!qsn([1]!ml(AR33),AR32)/30</f>
        <v>#VALUE!</v>
      </c>
      <c r="AS34" s="304" t="e">
        <f>[1]!qsn([1]!ml(AS33),AS32)/30</f>
        <v>#VALUE!</v>
      </c>
      <c r="AT34" s="304" t="e">
        <f>[1]!qsn([1]!ml(AT33),AT32)/30</f>
        <v>#VALUE!</v>
      </c>
      <c r="AU34" s="304" t="e">
        <f>[1]!qsn([1]!ml(AU33),AU32)/30</f>
        <v>#VALUE!</v>
      </c>
      <c r="AV34" s="304" t="e">
        <f>[1]!qsn([1]!ml(AV33),AV32)/30</f>
        <v>#VALUE!</v>
      </c>
      <c r="AW34" s="304" t="e">
        <f>[1]!qsn([1]!ml(AW33),AW32)/30</f>
        <v>#VALUE!</v>
      </c>
      <c r="AX34" s="314"/>
      <c r="DH34" s="797">
        <v>4</v>
      </c>
      <c r="DI34" s="797" t="s">
        <v>3803</v>
      </c>
      <c r="DJ34" s="960" t="e">
        <f>RB23+1</f>
        <v>#VALUE!</v>
      </c>
      <c r="DK34" s="921" t="e">
        <f>DJ34+1</f>
        <v>#VALUE!</v>
      </c>
      <c r="DL34" s="921" t="e">
        <f t="shared" ref="DL34:FW34" si="328">DK34+1</f>
        <v>#VALUE!</v>
      </c>
      <c r="DM34" s="921" t="e">
        <f t="shared" si="328"/>
        <v>#VALUE!</v>
      </c>
      <c r="DN34" s="921" t="e">
        <f t="shared" si="328"/>
        <v>#VALUE!</v>
      </c>
      <c r="DO34" s="921" t="e">
        <f t="shared" si="328"/>
        <v>#VALUE!</v>
      </c>
      <c r="DP34" s="921" t="e">
        <f t="shared" si="328"/>
        <v>#VALUE!</v>
      </c>
      <c r="DQ34" s="921" t="e">
        <f t="shared" si="328"/>
        <v>#VALUE!</v>
      </c>
      <c r="DR34" s="921" t="e">
        <f t="shared" si="328"/>
        <v>#VALUE!</v>
      </c>
      <c r="DS34" s="921" t="e">
        <f t="shared" si="328"/>
        <v>#VALUE!</v>
      </c>
      <c r="DT34" s="921" t="e">
        <f t="shared" si="328"/>
        <v>#VALUE!</v>
      </c>
      <c r="DU34" s="921" t="e">
        <f t="shared" si="328"/>
        <v>#VALUE!</v>
      </c>
      <c r="DV34" s="921" t="e">
        <f t="shared" si="328"/>
        <v>#VALUE!</v>
      </c>
      <c r="DW34" s="921" t="e">
        <f t="shared" si="328"/>
        <v>#VALUE!</v>
      </c>
      <c r="DX34" s="921" t="e">
        <f t="shared" si="328"/>
        <v>#VALUE!</v>
      </c>
      <c r="DY34" s="921" t="e">
        <f t="shared" si="328"/>
        <v>#VALUE!</v>
      </c>
      <c r="DZ34" s="921" t="e">
        <f t="shared" si="328"/>
        <v>#VALUE!</v>
      </c>
      <c r="EA34" s="921" t="e">
        <f t="shared" si="328"/>
        <v>#VALUE!</v>
      </c>
      <c r="EB34" s="921" t="e">
        <f t="shared" si="328"/>
        <v>#VALUE!</v>
      </c>
      <c r="EC34" s="921" t="e">
        <f t="shared" si="328"/>
        <v>#VALUE!</v>
      </c>
      <c r="ED34" s="921" t="e">
        <f t="shared" si="328"/>
        <v>#VALUE!</v>
      </c>
      <c r="EE34" s="921" t="e">
        <f t="shared" si="328"/>
        <v>#VALUE!</v>
      </c>
      <c r="EF34" s="921" t="e">
        <f t="shared" si="328"/>
        <v>#VALUE!</v>
      </c>
      <c r="EG34" s="921" t="e">
        <f t="shared" si="328"/>
        <v>#VALUE!</v>
      </c>
      <c r="EH34" s="921" t="e">
        <f t="shared" si="328"/>
        <v>#VALUE!</v>
      </c>
      <c r="EI34" s="921" t="e">
        <f t="shared" si="328"/>
        <v>#VALUE!</v>
      </c>
      <c r="EJ34" s="921" t="e">
        <f t="shared" si="328"/>
        <v>#VALUE!</v>
      </c>
      <c r="EK34" s="921" t="e">
        <f t="shared" si="328"/>
        <v>#VALUE!</v>
      </c>
      <c r="EL34" s="921" t="e">
        <f t="shared" si="328"/>
        <v>#VALUE!</v>
      </c>
      <c r="EM34" s="921" t="e">
        <f t="shared" si="328"/>
        <v>#VALUE!</v>
      </c>
      <c r="EN34" s="921" t="e">
        <f t="shared" si="328"/>
        <v>#VALUE!</v>
      </c>
      <c r="EO34" s="921" t="e">
        <f t="shared" si="328"/>
        <v>#VALUE!</v>
      </c>
      <c r="EP34" s="921" t="e">
        <f t="shared" si="328"/>
        <v>#VALUE!</v>
      </c>
      <c r="EQ34" s="921" t="e">
        <f t="shared" si="328"/>
        <v>#VALUE!</v>
      </c>
      <c r="ER34" s="921" t="e">
        <f t="shared" si="328"/>
        <v>#VALUE!</v>
      </c>
      <c r="ES34" s="921" t="e">
        <f t="shared" si="328"/>
        <v>#VALUE!</v>
      </c>
      <c r="ET34" s="921" t="e">
        <f t="shared" si="328"/>
        <v>#VALUE!</v>
      </c>
      <c r="EU34" s="921" t="e">
        <f t="shared" si="328"/>
        <v>#VALUE!</v>
      </c>
      <c r="EV34" s="921" t="e">
        <f t="shared" si="328"/>
        <v>#VALUE!</v>
      </c>
      <c r="EW34" s="921" t="e">
        <f t="shared" si="328"/>
        <v>#VALUE!</v>
      </c>
      <c r="EX34" s="921" t="e">
        <f t="shared" si="328"/>
        <v>#VALUE!</v>
      </c>
      <c r="EY34" s="921" t="e">
        <f t="shared" si="328"/>
        <v>#VALUE!</v>
      </c>
      <c r="EZ34" s="921" t="e">
        <f t="shared" si="328"/>
        <v>#VALUE!</v>
      </c>
      <c r="FA34" s="921" t="e">
        <f t="shared" si="328"/>
        <v>#VALUE!</v>
      </c>
      <c r="FB34" s="921" t="e">
        <f t="shared" si="328"/>
        <v>#VALUE!</v>
      </c>
      <c r="FC34" s="921" t="e">
        <f t="shared" si="328"/>
        <v>#VALUE!</v>
      </c>
      <c r="FD34" s="921" t="e">
        <f t="shared" si="328"/>
        <v>#VALUE!</v>
      </c>
      <c r="FE34" s="921" t="e">
        <f t="shared" si="328"/>
        <v>#VALUE!</v>
      </c>
      <c r="FF34" s="921" t="e">
        <f t="shared" si="328"/>
        <v>#VALUE!</v>
      </c>
      <c r="FG34" s="921" t="e">
        <f t="shared" si="328"/>
        <v>#VALUE!</v>
      </c>
      <c r="FH34" s="921" t="e">
        <f t="shared" si="328"/>
        <v>#VALUE!</v>
      </c>
      <c r="FI34" s="921" t="e">
        <f t="shared" si="328"/>
        <v>#VALUE!</v>
      </c>
      <c r="FJ34" s="921" t="e">
        <f t="shared" si="328"/>
        <v>#VALUE!</v>
      </c>
      <c r="FK34" s="921" t="e">
        <f t="shared" si="328"/>
        <v>#VALUE!</v>
      </c>
      <c r="FL34" s="921" t="e">
        <f t="shared" si="328"/>
        <v>#VALUE!</v>
      </c>
      <c r="FM34" s="921" t="e">
        <f t="shared" si="328"/>
        <v>#VALUE!</v>
      </c>
      <c r="FN34" s="921" t="e">
        <f t="shared" si="328"/>
        <v>#VALUE!</v>
      </c>
      <c r="FO34" s="921" t="e">
        <f t="shared" si="328"/>
        <v>#VALUE!</v>
      </c>
      <c r="FP34" s="921" t="e">
        <f t="shared" si="328"/>
        <v>#VALUE!</v>
      </c>
      <c r="FQ34" s="921" t="e">
        <f t="shared" si="328"/>
        <v>#VALUE!</v>
      </c>
      <c r="FR34" s="921" t="e">
        <f t="shared" si="328"/>
        <v>#VALUE!</v>
      </c>
      <c r="FS34" s="921" t="e">
        <f t="shared" si="328"/>
        <v>#VALUE!</v>
      </c>
      <c r="FT34" s="921" t="e">
        <f t="shared" si="328"/>
        <v>#VALUE!</v>
      </c>
      <c r="FU34" s="921" t="e">
        <f t="shared" si="328"/>
        <v>#VALUE!</v>
      </c>
      <c r="FV34" s="921" t="e">
        <f t="shared" si="328"/>
        <v>#VALUE!</v>
      </c>
      <c r="FW34" s="921" t="e">
        <f t="shared" si="328"/>
        <v>#VALUE!</v>
      </c>
      <c r="FX34" s="921" t="e">
        <f t="shared" ref="FX34:II34" si="329">FW34+1</f>
        <v>#VALUE!</v>
      </c>
      <c r="FY34" s="921" t="e">
        <f t="shared" si="329"/>
        <v>#VALUE!</v>
      </c>
      <c r="FZ34" s="921" t="e">
        <f t="shared" si="329"/>
        <v>#VALUE!</v>
      </c>
      <c r="GA34" s="921" t="e">
        <f t="shared" si="329"/>
        <v>#VALUE!</v>
      </c>
      <c r="GB34" s="921" t="e">
        <f t="shared" si="329"/>
        <v>#VALUE!</v>
      </c>
      <c r="GC34" s="921" t="e">
        <f t="shared" si="329"/>
        <v>#VALUE!</v>
      </c>
      <c r="GD34" s="921" t="e">
        <f t="shared" si="329"/>
        <v>#VALUE!</v>
      </c>
      <c r="GE34" s="921" t="e">
        <f t="shared" si="329"/>
        <v>#VALUE!</v>
      </c>
      <c r="GF34" s="921" t="e">
        <f t="shared" si="329"/>
        <v>#VALUE!</v>
      </c>
      <c r="GG34" s="921" t="e">
        <f t="shared" si="329"/>
        <v>#VALUE!</v>
      </c>
      <c r="GH34" s="921" t="e">
        <f t="shared" si="329"/>
        <v>#VALUE!</v>
      </c>
      <c r="GI34" s="921" t="e">
        <f t="shared" si="329"/>
        <v>#VALUE!</v>
      </c>
      <c r="GJ34" s="921" t="e">
        <f t="shared" si="329"/>
        <v>#VALUE!</v>
      </c>
      <c r="GK34" s="921" t="e">
        <f t="shared" si="329"/>
        <v>#VALUE!</v>
      </c>
      <c r="GL34" s="921" t="e">
        <f t="shared" si="329"/>
        <v>#VALUE!</v>
      </c>
      <c r="GM34" s="921" t="e">
        <f t="shared" si="329"/>
        <v>#VALUE!</v>
      </c>
      <c r="GN34" s="921" t="e">
        <f t="shared" si="329"/>
        <v>#VALUE!</v>
      </c>
      <c r="GO34" s="921" t="e">
        <f t="shared" si="329"/>
        <v>#VALUE!</v>
      </c>
      <c r="GP34" s="921" t="e">
        <f t="shared" si="329"/>
        <v>#VALUE!</v>
      </c>
      <c r="GQ34" s="921" t="e">
        <f t="shared" si="329"/>
        <v>#VALUE!</v>
      </c>
      <c r="GR34" s="921" t="e">
        <f t="shared" si="329"/>
        <v>#VALUE!</v>
      </c>
      <c r="GS34" s="921" t="e">
        <f t="shared" si="329"/>
        <v>#VALUE!</v>
      </c>
      <c r="GT34" s="921" t="e">
        <f t="shared" si="329"/>
        <v>#VALUE!</v>
      </c>
      <c r="GU34" s="921" t="e">
        <f t="shared" si="329"/>
        <v>#VALUE!</v>
      </c>
      <c r="GV34" s="921" t="e">
        <f t="shared" si="329"/>
        <v>#VALUE!</v>
      </c>
      <c r="GW34" s="921" t="e">
        <f t="shared" si="329"/>
        <v>#VALUE!</v>
      </c>
      <c r="GX34" s="921" t="e">
        <f t="shared" si="329"/>
        <v>#VALUE!</v>
      </c>
      <c r="GY34" s="921" t="e">
        <f t="shared" si="329"/>
        <v>#VALUE!</v>
      </c>
      <c r="GZ34" s="921" t="e">
        <f t="shared" si="329"/>
        <v>#VALUE!</v>
      </c>
      <c r="HA34" s="921" t="e">
        <f t="shared" si="329"/>
        <v>#VALUE!</v>
      </c>
      <c r="HB34" s="921" t="e">
        <f t="shared" si="329"/>
        <v>#VALUE!</v>
      </c>
      <c r="HC34" s="921" t="e">
        <f t="shared" si="329"/>
        <v>#VALUE!</v>
      </c>
      <c r="HD34" s="921" t="e">
        <f t="shared" si="329"/>
        <v>#VALUE!</v>
      </c>
      <c r="HE34" s="921" t="e">
        <f t="shared" si="329"/>
        <v>#VALUE!</v>
      </c>
      <c r="HF34" s="921" t="e">
        <f t="shared" si="329"/>
        <v>#VALUE!</v>
      </c>
      <c r="HG34" s="921" t="e">
        <f t="shared" si="329"/>
        <v>#VALUE!</v>
      </c>
      <c r="HH34" s="921" t="e">
        <f t="shared" si="329"/>
        <v>#VALUE!</v>
      </c>
      <c r="HI34" s="921" t="e">
        <f t="shared" si="329"/>
        <v>#VALUE!</v>
      </c>
      <c r="HJ34" s="921" t="e">
        <f t="shared" si="329"/>
        <v>#VALUE!</v>
      </c>
      <c r="HK34" s="921" t="e">
        <f t="shared" si="329"/>
        <v>#VALUE!</v>
      </c>
      <c r="HL34" s="921" t="e">
        <f t="shared" si="329"/>
        <v>#VALUE!</v>
      </c>
      <c r="HM34" s="921" t="e">
        <f t="shared" si="329"/>
        <v>#VALUE!</v>
      </c>
      <c r="HN34" s="921" t="e">
        <f t="shared" si="329"/>
        <v>#VALUE!</v>
      </c>
      <c r="HO34" s="921" t="e">
        <f t="shared" si="329"/>
        <v>#VALUE!</v>
      </c>
      <c r="HP34" s="921" t="e">
        <f t="shared" si="329"/>
        <v>#VALUE!</v>
      </c>
      <c r="HQ34" s="921" t="e">
        <f t="shared" si="329"/>
        <v>#VALUE!</v>
      </c>
      <c r="HR34" s="921" t="e">
        <f t="shared" si="329"/>
        <v>#VALUE!</v>
      </c>
      <c r="HS34" s="921" t="e">
        <f t="shared" si="329"/>
        <v>#VALUE!</v>
      </c>
      <c r="HT34" s="921" t="e">
        <f t="shared" si="329"/>
        <v>#VALUE!</v>
      </c>
      <c r="HU34" s="921" t="e">
        <f t="shared" si="329"/>
        <v>#VALUE!</v>
      </c>
      <c r="HV34" s="921" t="e">
        <f t="shared" si="329"/>
        <v>#VALUE!</v>
      </c>
      <c r="HW34" s="921" t="e">
        <f t="shared" si="329"/>
        <v>#VALUE!</v>
      </c>
      <c r="HX34" s="921" t="e">
        <f t="shared" si="329"/>
        <v>#VALUE!</v>
      </c>
      <c r="HY34" s="921" t="e">
        <f t="shared" si="329"/>
        <v>#VALUE!</v>
      </c>
      <c r="HZ34" s="921" t="e">
        <f t="shared" si="329"/>
        <v>#VALUE!</v>
      </c>
      <c r="IA34" s="921" t="e">
        <f t="shared" si="329"/>
        <v>#VALUE!</v>
      </c>
      <c r="IB34" s="921" t="e">
        <f t="shared" si="329"/>
        <v>#VALUE!</v>
      </c>
      <c r="IC34" s="921" t="e">
        <f t="shared" si="329"/>
        <v>#VALUE!</v>
      </c>
      <c r="ID34" s="921" t="e">
        <f t="shared" si="329"/>
        <v>#VALUE!</v>
      </c>
      <c r="IE34" s="921" t="e">
        <f t="shared" si="329"/>
        <v>#VALUE!</v>
      </c>
      <c r="IF34" s="921" t="e">
        <f t="shared" si="329"/>
        <v>#VALUE!</v>
      </c>
      <c r="IG34" s="921" t="e">
        <f t="shared" si="329"/>
        <v>#VALUE!</v>
      </c>
      <c r="IH34" s="921" t="e">
        <f t="shared" si="329"/>
        <v>#VALUE!</v>
      </c>
      <c r="II34" s="921" t="e">
        <f t="shared" si="329"/>
        <v>#VALUE!</v>
      </c>
      <c r="IJ34" s="921" t="e">
        <f t="shared" ref="IJ34:KU34" si="330">II34+1</f>
        <v>#VALUE!</v>
      </c>
      <c r="IK34" s="921" t="e">
        <f t="shared" si="330"/>
        <v>#VALUE!</v>
      </c>
      <c r="IL34" s="921" t="e">
        <f t="shared" si="330"/>
        <v>#VALUE!</v>
      </c>
      <c r="IM34" s="921" t="e">
        <f t="shared" si="330"/>
        <v>#VALUE!</v>
      </c>
      <c r="IN34" s="921" t="e">
        <f t="shared" si="330"/>
        <v>#VALUE!</v>
      </c>
      <c r="IO34" s="921" t="e">
        <f t="shared" si="330"/>
        <v>#VALUE!</v>
      </c>
      <c r="IP34" s="921" t="e">
        <f t="shared" si="330"/>
        <v>#VALUE!</v>
      </c>
      <c r="IQ34" s="921" t="e">
        <f t="shared" si="330"/>
        <v>#VALUE!</v>
      </c>
      <c r="IR34" s="921" t="e">
        <f t="shared" si="330"/>
        <v>#VALUE!</v>
      </c>
      <c r="IS34" s="921" t="e">
        <f t="shared" si="330"/>
        <v>#VALUE!</v>
      </c>
      <c r="IT34" s="921" t="e">
        <f t="shared" si="330"/>
        <v>#VALUE!</v>
      </c>
      <c r="IU34" s="921" t="e">
        <f t="shared" si="330"/>
        <v>#VALUE!</v>
      </c>
      <c r="IV34" s="921" t="e">
        <f t="shared" si="330"/>
        <v>#VALUE!</v>
      </c>
      <c r="IW34" s="921" t="e">
        <f t="shared" si="330"/>
        <v>#VALUE!</v>
      </c>
      <c r="IX34" s="921" t="e">
        <f t="shared" si="330"/>
        <v>#VALUE!</v>
      </c>
      <c r="IY34" s="921" t="e">
        <f t="shared" si="330"/>
        <v>#VALUE!</v>
      </c>
      <c r="IZ34" s="921" t="e">
        <f t="shared" si="330"/>
        <v>#VALUE!</v>
      </c>
      <c r="JA34" s="921" t="e">
        <f t="shared" si="330"/>
        <v>#VALUE!</v>
      </c>
      <c r="JB34" s="921" t="e">
        <f t="shared" si="330"/>
        <v>#VALUE!</v>
      </c>
      <c r="JC34" s="921" t="e">
        <f t="shared" si="330"/>
        <v>#VALUE!</v>
      </c>
      <c r="JD34" s="921" t="e">
        <f t="shared" si="330"/>
        <v>#VALUE!</v>
      </c>
      <c r="JE34" s="921" t="e">
        <f t="shared" si="330"/>
        <v>#VALUE!</v>
      </c>
      <c r="JF34" s="921" t="e">
        <f t="shared" si="330"/>
        <v>#VALUE!</v>
      </c>
      <c r="JG34" s="921" t="e">
        <f t="shared" si="330"/>
        <v>#VALUE!</v>
      </c>
      <c r="JH34" s="921" t="e">
        <f t="shared" si="330"/>
        <v>#VALUE!</v>
      </c>
      <c r="JI34" s="921" t="e">
        <f t="shared" si="330"/>
        <v>#VALUE!</v>
      </c>
      <c r="JJ34" s="921" t="e">
        <f t="shared" si="330"/>
        <v>#VALUE!</v>
      </c>
      <c r="JK34" s="921" t="e">
        <f t="shared" si="330"/>
        <v>#VALUE!</v>
      </c>
      <c r="JL34" s="921" t="e">
        <f t="shared" si="330"/>
        <v>#VALUE!</v>
      </c>
      <c r="JM34" s="921" t="e">
        <f t="shared" si="330"/>
        <v>#VALUE!</v>
      </c>
      <c r="JN34" s="921" t="e">
        <f t="shared" si="330"/>
        <v>#VALUE!</v>
      </c>
      <c r="JO34" s="921" t="e">
        <f t="shared" si="330"/>
        <v>#VALUE!</v>
      </c>
      <c r="JP34" s="921" t="e">
        <f t="shared" si="330"/>
        <v>#VALUE!</v>
      </c>
      <c r="JQ34" s="921" t="e">
        <f t="shared" si="330"/>
        <v>#VALUE!</v>
      </c>
      <c r="JR34" s="921" t="e">
        <f t="shared" si="330"/>
        <v>#VALUE!</v>
      </c>
      <c r="JS34" s="921" t="e">
        <f t="shared" si="330"/>
        <v>#VALUE!</v>
      </c>
      <c r="JT34" s="921" t="e">
        <f t="shared" si="330"/>
        <v>#VALUE!</v>
      </c>
      <c r="JU34" s="921" t="e">
        <f t="shared" si="330"/>
        <v>#VALUE!</v>
      </c>
      <c r="JV34" s="921" t="e">
        <f t="shared" si="330"/>
        <v>#VALUE!</v>
      </c>
      <c r="JW34" s="921" t="e">
        <f t="shared" si="330"/>
        <v>#VALUE!</v>
      </c>
      <c r="JX34" s="921" t="e">
        <f t="shared" si="330"/>
        <v>#VALUE!</v>
      </c>
      <c r="JY34" s="921" t="e">
        <f t="shared" si="330"/>
        <v>#VALUE!</v>
      </c>
      <c r="JZ34" s="921" t="e">
        <f t="shared" si="330"/>
        <v>#VALUE!</v>
      </c>
      <c r="KA34" s="921" t="e">
        <f t="shared" si="330"/>
        <v>#VALUE!</v>
      </c>
      <c r="KB34" s="921" t="e">
        <f t="shared" si="330"/>
        <v>#VALUE!</v>
      </c>
      <c r="KC34" s="921" t="e">
        <f t="shared" si="330"/>
        <v>#VALUE!</v>
      </c>
      <c r="KD34" s="921" t="e">
        <f t="shared" si="330"/>
        <v>#VALUE!</v>
      </c>
      <c r="KE34" s="921" t="e">
        <f t="shared" si="330"/>
        <v>#VALUE!</v>
      </c>
      <c r="KF34" s="921" t="e">
        <f t="shared" si="330"/>
        <v>#VALUE!</v>
      </c>
      <c r="KG34" s="921" t="e">
        <f t="shared" si="330"/>
        <v>#VALUE!</v>
      </c>
      <c r="KH34" s="921" t="e">
        <f t="shared" si="330"/>
        <v>#VALUE!</v>
      </c>
      <c r="KI34" s="921" t="e">
        <f t="shared" si="330"/>
        <v>#VALUE!</v>
      </c>
      <c r="KJ34" s="921" t="e">
        <f t="shared" si="330"/>
        <v>#VALUE!</v>
      </c>
      <c r="KK34" s="921" t="e">
        <f t="shared" si="330"/>
        <v>#VALUE!</v>
      </c>
      <c r="KL34" s="921" t="e">
        <f t="shared" si="330"/>
        <v>#VALUE!</v>
      </c>
      <c r="KM34" s="921" t="e">
        <f t="shared" si="330"/>
        <v>#VALUE!</v>
      </c>
      <c r="KN34" s="921" t="e">
        <f t="shared" si="330"/>
        <v>#VALUE!</v>
      </c>
      <c r="KO34" s="921" t="e">
        <f t="shared" si="330"/>
        <v>#VALUE!</v>
      </c>
      <c r="KP34" s="921" t="e">
        <f t="shared" si="330"/>
        <v>#VALUE!</v>
      </c>
      <c r="KQ34" s="921" t="e">
        <f t="shared" si="330"/>
        <v>#VALUE!</v>
      </c>
      <c r="KR34" s="921" t="e">
        <f t="shared" si="330"/>
        <v>#VALUE!</v>
      </c>
      <c r="KS34" s="921" t="e">
        <f t="shared" si="330"/>
        <v>#VALUE!</v>
      </c>
      <c r="KT34" s="921" t="e">
        <f t="shared" si="330"/>
        <v>#VALUE!</v>
      </c>
      <c r="KU34" s="921" t="e">
        <f t="shared" si="330"/>
        <v>#VALUE!</v>
      </c>
      <c r="KV34" s="921" t="e">
        <f t="shared" ref="KV34:NG34" si="331">KU34+1</f>
        <v>#VALUE!</v>
      </c>
      <c r="KW34" s="921" t="e">
        <f t="shared" si="331"/>
        <v>#VALUE!</v>
      </c>
      <c r="KX34" s="921" t="e">
        <f t="shared" si="331"/>
        <v>#VALUE!</v>
      </c>
      <c r="KY34" s="921" t="e">
        <f t="shared" si="331"/>
        <v>#VALUE!</v>
      </c>
      <c r="KZ34" s="921" t="e">
        <f t="shared" si="331"/>
        <v>#VALUE!</v>
      </c>
      <c r="LA34" s="921" t="e">
        <f t="shared" si="331"/>
        <v>#VALUE!</v>
      </c>
      <c r="LB34" s="921" t="e">
        <f t="shared" si="331"/>
        <v>#VALUE!</v>
      </c>
      <c r="LC34" s="921" t="e">
        <f t="shared" si="331"/>
        <v>#VALUE!</v>
      </c>
      <c r="LD34" s="921" t="e">
        <f t="shared" si="331"/>
        <v>#VALUE!</v>
      </c>
      <c r="LE34" s="921" t="e">
        <f t="shared" si="331"/>
        <v>#VALUE!</v>
      </c>
      <c r="LF34" s="921" t="e">
        <f t="shared" si="331"/>
        <v>#VALUE!</v>
      </c>
      <c r="LG34" s="921" t="e">
        <f t="shared" si="331"/>
        <v>#VALUE!</v>
      </c>
      <c r="LH34" s="921" t="e">
        <f t="shared" si="331"/>
        <v>#VALUE!</v>
      </c>
      <c r="LI34" s="921" t="e">
        <f t="shared" si="331"/>
        <v>#VALUE!</v>
      </c>
      <c r="LJ34" s="921" t="e">
        <f t="shared" si="331"/>
        <v>#VALUE!</v>
      </c>
      <c r="LK34" s="921" t="e">
        <f t="shared" si="331"/>
        <v>#VALUE!</v>
      </c>
      <c r="LL34" s="921" t="e">
        <f t="shared" si="331"/>
        <v>#VALUE!</v>
      </c>
      <c r="LM34" s="921" t="e">
        <f t="shared" si="331"/>
        <v>#VALUE!</v>
      </c>
      <c r="LN34" s="921" t="e">
        <f t="shared" si="331"/>
        <v>#VALUE!</v>
      </c>
      <c r="LO34" s="921" t="e">
        <f t="shared" si="331"/>
        <v>#VALUE!</v>
      </c>
      <c r="LP34" s="921" t="e">
        <f t="shared" si="331"/>
        <v>#VALUE!</v>
      </c>
      <c r="LQ34" s="921" t="e">
        <f t="shared" si="331"/>
        <v>#VALUE!</v>
      </c>
      <c r="LR34" s="921" t="e">
        <f t="shared" si="331"/>
        <v>#VALUE!</v>
      </c>
      <c r="LS34" s="921" t="e">
        <f t="shared" si="331"/>
        <v>#VALUE!</v>
      </c>
      <c r="LT34" s="921" t="e">
        <f t="shared" si="331"/>
        <v>#VALUE!</v>
      </c>
      <c r="LU34" s="921" t="e">
        <f t="shared" si="331"/>
        <v>#VALUE!</v>
      </c>
      <c r="LV34" s="921" t="e">
        <f t="shared" si="331"/>
        <v>#VALUE!</v>
      </c>
      <c r="LW34" s="921" t="e">
        <f t="shared" si="331"/>
        <v>#VALUE!</v>
      </c>
      <c r="LX34" s="921" t="e">
        <f t="shared" si="331"/>
        <v>#VALUE!</v>
      </c>
      <c r="LY34" s="921" t="e">
        <f t="shared" si="331"/>
        <v>#VALUE!</v>
      </c>
      <c r="LZ34" s="921" t="e">
        <f t="shared" si="331"/>
        <v>#VALUE!</v>
      </c>
      <c r="MA34" s="921" t="e">
        <f t="shared" si="331"/>
        <v>#VALUE!</v>
      </c>
      <c r="MB34" s="921" t="e">
        <f t="shared" si="331"/>
        <v>#VALUE!</v>
      </c>
      <c r="MC34" s="921" t="e">
        <f t="shared" si="331"/>
        <v>#VALUE!</v>
      </c>
      <c r="MD34" s="921" t="e">
        <f t="shared" si="331"/>
        <v>#VALUE!</v>
      </c>
      <c r="ME34" s="921" t="e">
        <f t="shared" si="331"/>
        <v>#VALUE!</v>
      </c>
      <c r="MF34" s="921" t="e">
        <f t="shared" si="331"/>
        <v>#VALUE!</v>
      </c>
      <c r="MG34" s="921" t="e">
        <f t="shared" si="331"/>
        <v>#VALUE!</v>
      </c>
      <c r="MH34" s="921" t="e">
        <f t="shared" si="331"/>
        <v>#VALUE!</v>
      </c>
      <c r="MI34" s="921" t="e">
        <f t="shared" si="331"/>
        <v>#VALUE!</v>
      </c>
      <c r="MJ34" s="921" t="e">
        <f t="shared" si="331"/>
        <v>#VALUE!</v>
      </c>
      <c r="MK34" s="921" t="e">
        <f t="shared" si="331"/>
        <v>#VALUE!</v>
      </c>
      <c r="ML34" s="921" t="e">
        <f t="shared" si="331"/>
        <v>#VALUE!</v>
      </c>
      <c r="MM34" s="921" t="e">
        <f t="shared" si="331"/>
        <v>#VALUE!</v>
      </c>
      <c r="MN34" s="921" t="e">
        <f t="shared" si="331"/>
        <v>#VALUE!</v>
      </c>
      <c r="MO34" s="921" t="e">
        <f t="shared" si="331"/>
        <v>#VALUE!</v>
      </c>
      <c r="MP34" s="921" t="e">
        <f t="shared" si="331"/>
        <v>#VALUE!</v>
      </c>
      <c r="MQ34" s="921" t="e">
        <f t="shared" si="331"/>
        <v>#VALUE!</v>
      </c>
      <c r="MR34" s="921" t="e">
        <f t="shared" si="331"/>
        <v>#VALUE!</v>
      </c>
      <c r="MS34" s="921" t="e">
        <f t="shared" si="331"/>
        <v>#VALUE!</v>
      </c>
      <c r="MT34" s="921" t="e">
        <f t="shared" si="331"/>
        <v>#VALUE!</v>
      </c>
      <c r="MU34" s="921" t="e">
        <f t="shared" si="331"/>
        <v>#VALUE!</v>
      </c>
      <c r="MV34" s="921" t="e">
        <f t="shared" si="331"/>
        <v>#VALUE!</v>
      </c>
      <c r="MW34" s="921" t="e">
        <f t="shared" si="331"/>
        <v>#VALUE!</v>
      </c>
      <c r="MX34" s="921" t="e">
        <f t="shared" si="331"/>
        <v>#VALUE!</v>
      </c>
      <c r="MY34" s="921" t="e">
        <f t="shared" si="331"/>
        <v>#VALUE!</v>
      </c>
      <c r="MZ34" s="921" t="e">
        <f t="shared" si="331"/>
        <v>#VALUE!</v>
      </c>
      <c r="NA34" s="921" t="e">
        <f t="shared" si="331"/>
        <v>#VALUE!</v>
      </c>
      <c r="NB34" s="921" t="e">
        <f t="shared" si="331"/>
        <v>#VALUE!</v>
      </c>
      <c r="NC34" s="921" t="e">
        <f t="shared" si="331"/>
        <v>#VALUE!</v>
      </c>
      <c r="ND34" s="921" t="e">
        <f t="shared" si="331"/>
        <v>#VALUE!</v>
      </c>
      <c r="NE34" s="921" t="e">
        <f t="shared" si="331"/>
        <v>#VALUE!</v>
      </c>
      <c r="NF34" s="921" t="e">
        <f t="shared" si="331"/>
        <v>#VALUE!</v>
      </c>
      <c r="NG34" s="921" t="e">
        <f t="shared" si="331"/>
        <v>#VALUE!</v>
      </c>
      <c r="NH34" s="921" t="e">
        <f t="shared" ref="NH34:PS34" si="332">NG34+1</f>
        <v>#VALUE!</v>
      </c>
      <c r="NI34" s="921" t="e">
        <f t="shared" si="332"/>
        <v>#VALUE!</v>
      </c>
      <c r="NJ34" s="921" t="e">
        <f t="shared" si="332"/>
        <v>#VALUE!</v>
      </c>
      <c r="NK34" s="921" t="e">
        <f t="shared" si="332"/>
        <v>#VALUE!</v>
      </c>
      <c r="NL34" s="921" t="e">
        <f t="shared" si="332"/>
        <v>#VALUE!</v>
      </c>
      <c r="NM34" s="921" t="e">
        <f t="shared" si="332"/>
        <v>#VALUE!</v>
      </c>
      <c r="NN34" s="921" t="e">
        <f t="shared" si="332"/>
        <v>#VALUE!</v>
      </c>
      <c r="NO34" s="921" t="e">
        <f t="shared" si="332"/>
        <v>#VALUE!</v>
      </c>
      <c r="NP34" s="921" t="e">
        <f t="shared" si="332"/>
        <v>#VALUE!</v>
      </c>
      <c r="NQ34" s="921" t="e">
        <f t="shared" si="332"/>
        <v>#VALUE!</v>
      </c>
      <c r="NR34" s="921" t="e">
        <f t="shared" si="332"/>
        <v>#VALUE!</v>
      </c>
      <c r="NS34" s="921" t="e">
        <f t="shared" si="332"/>
        <v>#VALUE!</v>
      </c>
      <c r="NT34" s="921" t="e">
        <f t="shared" si="332"/>
        <v>#VALUE!</v>
      </c>
      <c r="NU34" s="921" t="e">
        <f t="shared" si="332"/>
        <v>#VALUE!</v>
      </c>
      <c r="NV34" s="921" t="e">
        <f t="shared" si="332"/>
        <v>#VALUE!</v>
      </c>
      <c r="NW34" s="921" t="e">
        <f t="shared" si="332"/>
        <v>#VALUE!</v>
      </c>
      <c r="NX34" s="921" t="e">
        <f t="shared" si="332"/>
        <v>#VALUE!</v>
      </c>
      <c r="NY34" s="921" t="e">
        <f t="shared" si="332"/>
        <v>#VALUE!</v>
      </c>
      <c r="NZ34" s="921" t="e">
        <f t="shared" si="332"/>
        <v>#VALUE!</v>
      </c>
      <c r="OA34" s="921" t="e">
        <f t="shared" si="332"/>
        <v>#VALUE!</v>
      </c>
      <c r="OB34" s="921" t="e">
        <f t="shared" si="332"/>
        <v>#VALUE!</v>
      </c>
      <c r="OC34" s="921" t="e">
        <f t="shared" si="332"/>
        <v>#VALUE!</v>
      </c>
      <c r="OD34" s="921" t="e">
        <f t="shared" si="332"/>
        <v>#VALUE!</v>
      </c>
      <c r="OE34" s="921" t="e">
        <f t="shared" si="332"/>
        <v>#VALUE!</v>
      </c>
      <c r="OF34" s="921" t="e">
        <f t="shared" si="332"/>
        <v>#VALUE!</v>
      </c>
      <c r="OG34" s="921" t="e">
        <f t="shared" si="332"/>
        <v>#VALUE!</v>
      </c>
      <c r="OH34" s="921" t="e">
        <f t="shared" si="332"/>
        <v>#VALUE!</v>
      </c>
      <c r="OI34" s="921" t="e">
        <f t="shared" si="332"/>
        <v>#VALUE!</v>
      </c>
      <c r="OJ34" s="921" t="e">
        <f t="shared" si="332"/>
        <v>#VALUE!</v>
      </c>
      <c r="OK34" s="921" t="e">
        <f t="shared" si="332"/>
        <v>#VALUE!</v>
      </c>
      <c r="OL34" s="921" t="e">
        <f t="shared" si="332"/>
        <v>#VALUE!</v>
      </c>
      <c r="OM34" s="921" t="e">
        <f t="shared" si="332"/>
        <v>#VALUE!</v>
      </c>
      <c r="ON34" s="921" t="e">
        <f t="shared" si="332"/>
        <v>#VALUE!</v>
      </c>
      <c r="OO34" s="921" t="e">
        <f t="shared" si="332"/>
        <v>#VALUE!</v>
      </c>
      <c r="OP34" s="921" t="e">
        <f t="shared" si="332"/>
        <v>#VALUE!</v>
      </c>
      <c r="OQ34" s="921" t="e">
        <f t="shared" si="332"/>
        <v>#VALUE!</v>
      </c>
      <c r="OR34" s="921" t="e">
        <f t="shared" si="332"/>
        <v>#VALUE!</v>
      </c>
      <c r="OS34" s="921" t="e">
        <f t="shared" si="332"/>
        <v>#VALUE!</v>
      </c>
      <c r="OT34" s="921" t="e">
        <f t="shared" si="332"/>
        <v>#VALUE!</v>
      </c>
      <c r="OU34" s="921" t="e">
        <f t="shared" si="332"/>
        <v>#VALUE!</v>
      </c>
      <c r="OV34" s="921" t="e">
        <f t="shared" si="332"/>
        <v>#VALUE!</v>
      </c>
      <c r="OW34" s="921" t="e">
        <f t="shared" si="332"/>
        <v>#VALUE!</v>
      </c>
      <c r="OX34" s="921" t="e">
        <f t="shared" si="332"/>
        <v>#VALUE!</v>
      </c>
      <c r="OY34" s="921" t="e">
        <f t="shared" si="332"/>
        <v>#VALUE!</v>
      </c>
      <c r="OZ34" s="921" t="e">
        <f t="shared" si="332"/>
        <v>#VALUE!</v>
      </c>
      <c r="PA34" s="921" t="e">
        <f t="shared" si="332"/>
        <v>#VALUE!</v>
      </c>
      <c r="PB34" s="921" t="e">
        <f t="shared" si="332"/>
        <v>#VALUE!</v>
      </c>
      <c r="PC34" s="921" t="e">
        <f t="shared" si="332"/>
        <v>#VALUE!</v>
      </c>
      <c r="PD34" s="921" t="e">
        <f t="shared" si="332"/>
        <v>#VALUE!</v>
      </c>
      <c r="PE34" s="921" t="e">
        <f t="shared" si="332"/>
        <v>#VALUE!</v>
      </c>
      <c r="PF34" s="921" t="e">
        <f t="shared" si="332"/>
        <v>#VALUE!</v>
      </c>
      <c r="PG34" s="921" t="e">
        <f t="shared" si="332"/>
        <v>#VALUE!</v>
      </c>
      <c r="PH34" s="921" t="e">
        <f t="shared" si="332"/>
        <v>#VALUE!</v>
      </c>
      <c r="PI34" s="921" t="e">
        <f t="shared" si="332"/>
        <v>#VALUE!</v>
      </c>
      <c r="PJ34" s="921" t="e">
        <f t="shared" si="332"/>
        <v>#VALUE!</v>
      </c>
      <c r="PK34" s="921" t="e">
        <f t="shared" si="332"/>
        <v>#VALUE!</v>
      </c>
      <c r="PL34" s="921" t="e">
        <f t="shared" si="332"/>
        <v>#VALUE!</v>
      </c>
      <c r="PM34" s="921" t="e">
        <f t="shared" si="332"/>
        <v>#VALUE!</v>
      </c>
      <c r="PN34" s="921" t="e">
        <f t="shared" si="332"/>
        <v>#VALUE!</v>
      </c>
      <c r="PO34" s="921" t="e">
        <f t="shared" si="332"/>
        <v>#VALUE!</v>
      </c>
      <c r="PP34" s="921" t="e">
        <f t="shared" si="332"/>
        <v>#VALUE!</v>
      </c>
      <c r="PQ34" s="921" t="e">
        <f t="shared" si="332"/>
        <v>#VALUE!</v>
      </c>
      <c r="PR34" s="921" t="e">
        <f t="shared" si="332"/>
        <v>#VALUE!</v>
      </c>
      <c r="PS34" s="921" t="e">
        <f t="shared" si="332"/>
        <v>#VALUE!</v>
      </c>
      <c r="PT34" s="921" t="e">
        <f t="shared" ref="PT34:RA34" si="333">PS34+1</f>
        <v>#VALUE!</v>
      </c>
      <c r="PU34" s="921" t="e">
        <f t="shared" si="333"/>
        <v>#VALUE!</v>
      </c>
      <c r="PV34" s="921" t="e">
        <f t="shared" si="333"/>
        <v>#VALUE!</v>
      </c>
      <c r="PW34" s="921" t="e">
        <f t="shared" si="333"/>
        <v>#VALUE!</v>
      </c>
      <c r="PX34" s="921" t="e">
        <f t="shared" si="333"/>
        <v>#VALUE!</v>
      </c>
      <c r="PY34" s="921" t="e">
        <f t="shared" si="333"/>
        <v>#VALUE!</v>
      </c>
      <c r="PZ34" s="921" t="e">
        <f t="shared" si="333"/>
        <v>#VALUE!</v>
      </c>
      <c r="QA34" s="921" t="e">
        <f t="shared" si="333"/>
        <v>#VALUE!</v>
      </c>
      <c r="QB34" s="921" t="e">
        <f t="shared" si="333"/>
        <v>#VALUE!</v>
      </c>
      <c r="QC34" s="921" t="e">
        <f t="shared" si="333"/>
        <v>#VALUE!</v>
      </c>
      <c r="QD34" s="921" t="e">
        <f t="shared" si="333"/>
        <v>#VALUE!</v>
      </c>
      <c r="QE34" s="921" t="e">
        <f t="shared" si="333"/>
        <v>#VALUE!</v>
      </c>
      <c r="QF34" s="921" t="e">
        <f t="shared" si="333"/>
        <v>#VALUE!</v>
      </c>
      <c r="QG34" s="921" t="e">
        <f t="shared" si="333"/>
        <v>#VALUE!</v>
      </c>
      <c r="QH34" s="921" t="e">
        <f t="shared" si="333"/>
        <v>#VALUE!</v>
      </c>
      <c r="QI34" s="921" t="e">
        <f t="shared" si="333"/>
        <v>#VALUE!</v>
      </c>
      <c r="QJ34" s="921" t="e">
        <f t="shared" si="333"/>
        <v>#VALUE!</v>
      </c>
      <c r="QK34" s="921" t="e">
        <f t="shared" si="333"/>
        <v>#VALUE!</v>
      </c>
      <c r="QL34" s="921" t="e">
        <f t="shared" si="333"/>
        <v>#VALUE!</v>
      </c>
      <c r="QM34" s="921" t="e">
        <f t="shared" si="333"/>
        <v>#VALUE!</v>
      </c>
      <c r="QN34" s="921" t="e">
        <f t="shared" si="333"/>
        <v>#VALUE!</v>
      </c>
      <c r="QO34" s="921" t="e">
        <f t="shared" si="333"/>
        <v>#VALUE!</v>
      </c>
      <c r="QP34" s="921" t="e">
        <f t="shared" si="333"/>
        <v>#VALUE!</v>
      </c>
      <c r="QQ34" s="921" t="e">
        <f t="shared" si="333"/>
        <v>#VALUE!</v>
      </c>
      <c r="QR34" s="921" t="e">
        <f t="shared" si="333"/>
        <v>#VALUE!</v>
      </c>
      <c r="QS34" s="921" t="e">
        <f t="shared" si="333"/>
        <v>#VALUE!</v>
      </c>
      <c r="QT34" s="921" t="e">
        <f t="shared" si="333"/>
        <v>#VALUE!</v>
      </c>
      <c r="QU34" s="921" t="e">
        <f t="shared" si="333"/>
        <v>#VALUE!</v>
      </c>
      <c r="QV34" s="921" t="e">
        <f t="shared" si="333"/>
        <v>#VALUE!</v>
      </c>
      <c r="QW34" s="921" t="e">
        <f t="shared" si="333"/>
        <v>#VALUE!</v>
      </c>
      <c r="QX34" s="921" t="e">
        <f t="shared" si="333"/>
        <v>#VALUE!</v>
      </c>
      <c r="QY34" s="921" t="e">
        <f t="shared" si="333"/>
        <v>#VALUE!</v>
      </c>
      <c r="QZ34" s="921" t="e">
        <f t="shared" si="333"/>
        <v>#VALUE!</v>
      </c>
      <c r="RA34" s="921" t="e">
        <f t="shared" si="333"/>
        <v>#VALUE!</v>
      </c>
      <c r="RB34" s="797" t="e">
        <f>IF(AND(QZ41&gt;=10,QZ42&gt;=10),QY34,QZ34)</f>
        <v>#VALUE!</v>
      </c>
    </row>
    <row r="35" spans="1:471" ht="17.25">
      <c r="J35" s="21">
        <f>IF(E37=16,(((C37-1)*M35)+IF(B37=1,0,IF(B37=2,O37,IF(B37=3,P37,IF(B37=4,Q37,IF(B37=5,R37,IF(B37=6,S37,IF(B37=7,T37,IF(B37=8,U37,IF(B37=9,V37,IF(B37=10,W37,IF(B37=11,X37,Y37)))))))))))+A37),0)</f>
        <v>526336.01057989092</v>
      </c>
      <c r="K35" s="9">
        <v>12</v>
      </c>
      <c r="L35" s="9" t="s">
        <v>161</v>
      </c>
      <c r="M35" s="9">
        <v>365.24220026363002</v>
      </c>
      <c r="N35" s="9"/>
      <c r="O35" s="9"/>
      <c r="P35" s="9"/>
      <c r="Q35" s="9"/>
      <c r="R35" s="9"/>
      <c r="S35" s="9"/>
      <c r="T35" s="9"/>
      <c r="U35" s="9"/>
      <c r="V35" s="9"/>
      <c r="W35" s="9"/>
      <c r="X35" s="9"/>
      <c r="Y35" s="9"/>
      <c r="Z35" s="9"/>
      <c r="AA35" s="9"/>
      <c r="AK35" s="759" t="s">
        <v>698</v>
      </c>
      <c r="AL35" s="701" t="e">
        <f>[1]!taqqa(AL28,AL29,[1]!roz(AL30,AL34,0,0),AL31)</f>
        <v>#VALUE!</v>
      </c>
      <c r="AM35" s="304" t="e">
        <f>[1]!taqqa(AM28,AM29,[1]!roz(AM30,AM34,0,0),AM31)</f>
        <v>#VALUE!</v>
      </c>
      <c r="AN35" s="304" t="e">
        <f>[1]!taqqa(AN28,AN29,[1]!roz(AN30,AN34,0,0),AN31)</f>
        <v>#VALUE!</v>
      </c>
      <c r="AO35" s="304" t="e">
        <f>[1]!taqqa(AO28,AO29,[1]!roz(AO30,AO34,0,0),AO31)</f>
        <v>#VALUE!</v>
      </c>
      <c r="AP35" s="304" t="e">
        <f>[1]!taqqa(AP28,AP29,[1]!roz(AP30,AP34,0,0),AP31)</f>
        <v>#VALUE!</v>
      </c>
      <c r="AQ35" s="304" t="e">
        <f>[1]!taqqa(AQ28,AQ29,[1]!roz(AQ30,AQ34,0,0),AQ31)</f>
        <v>#VALUE!</v>
      </c>
      <c r="AR35" s="304" t="e">
        <f>[1]!taqqa(AR28,AR29,[1]!roz(AR30,AR34,0,0),AR31)</f>
        <v>#VALUE!</v>
      </c>
      <c r="AS35" s="304" t="e">
        <f>[1]!taqqa(AS28,AS29,[1]!roz(AS30,AS34,0,0),AS31)</f>
        <v>#VALUE!</v>
      </c>
      <c r="AT35" s="304" t="e">
        <f>[1]!taqqa(AT28,AT29,[1]!roz(AT30,AT34,0,0),AT31)</f>
        <v>#VALUE!</v>
      </c>
      <c r="AU35" s="304" t="e">
        <f>[1]!taqqa(AU28,AU29,[1]!roz(AU30,AU34,0,0),AU31)</f>
        <v>#VALUE!</v>
      </c>
      <c r="AV35" s="304" t="e">
        <f>[1]!taqqa(AV28,AV29,[1]!roz(AV30,AV34,0,0),AV31)</f>
        <v>#VALUE!</v>
      </c>
      <c r="AW35" s="304" t="e">
        <f>[1]!taqqa(AW28,AW29,[1]!roz(AW30,AW34,0,0),AW31)</f>
        <v>#VALUE!</v>
      </c>
      <c r="AX35" s="314"/>
      <c r="DH35" s="797"/>
      <c r="DI35" s="797"/>
      <c r="DJ35" s="961">
        <f>[1]!mbtool(2,17,0,1)</f>
        <v>9.5138888888888884E-2</v>
      </c>
      <c r="DK35" s="962">
        <f>[1]!mbtool(2,17,0,1)</f>
        <v>9.5138888888888884E-2</v>
      </c>
      <c r="DL35" s="962">
        <f>[1]!mbtool(2,17,0,1)</f>
        <v>9.5138888888888884E-2</v>
      </c>
      <c r="DM35" s="962">
        <f>[1]!mbtool(2,17,0,1)</f>
        <v>9.5138888888888884E-2</v>
      </c>
      <c r="DN35" s="962">
        <f>[1]!mbtool(2,17,0,1)</f>
        <v>9.5138888888888884E-2</v>
      </c>
      <c r="DO35" s="962">
        <f>[1]!mbtool(2,17,0,1)</f>
        <v>9.5138888888888884E-2</v>
      </c>
      <c r="DP35" s="962">
        <f>[1]!mbtool(2,17,0,1)</f>
        <v>9.5138888888888884E-2</v>
      </c>
      <c r="DQ35" s="962">
        <f>[1]!mbtool(2,17,0,1)</f>
        <v>9.5138888888888884E-2</v>
      </c>
      <c r="DR35" s="962">
        <f>[1]!mbtool(2,17,0,1)</f>
        <v>9.5138888888888884E-2</v>
      </c>
      <c r="DS35" s="962">
        <f>[1]!mbtool(2,17,0,1)</f>
        <v>9.5138888888888884E-2</v>
      </c>
      <c r="DT35" s="962">
        <f>[1]!mbtool(2,17,0,1)</f>
        <v>9.5138888888888884E-2</v>
      </c>
      <c r="DU35" s="962">
        <f>[1]!mbtool(2,17,0,1)</f>
        <v>9.5138888888888884E-2</v>
      </c>
      <c r="DV35" s="962">
        <f>[1]!mbtool(2,17,0,1)</f>
        <v>9.5138888888888884E-2</v>
      </c>
      <c r="DW35" s="962">
        <f>[1]!mbtool(2,17,0,1)</f>
        <v>9.5138888888888884E-2</v>
      </c>
      <c r="DX35" s="962">
        <f>[1]!mbtool(2,17,0,1)</f>
        <v>9.5138888888888884E-2</v>
      </c>
      <c r="DY35" s="962">
        <f>[1]!mbtool(2,17,0,1)</f>
        <v>9.5138888888888884E-2</v>
      </c>
      <c r="DZ35" s="962">
        <f>[1]!mbtool(2,17,0,1)</f>
        <v>9.5138888888888884E-2</v>
      </c>
      <c r="EA35" s="962">
        <f>[1]!mbtool(2,17,0,1)</f>
        <v>9.5138888888888884E-2</v>
      </c>
      <c r="EB35" s="962">
        <f>[1]!mbtool(2,17,0,1)</f>
        <v>9.5138888888888884E-2</v>
      </c>
      <c r="EC35" s="962">
        <f>[1]!mbtool(2,17,0,1)</f>
        <v>9.5138888888888884E-2</v>
      </c>
      <c r="ED35" s="962">
        <f>[1]!mbtool(2,17,0,1)</f>
        <v>9.5138888888888884E-2</v>
      </c>
      <c r="EE35" s="962">
        <f>[1]!mbtool(2,17,0,1)</f>
        <v>9.5138888888888884E-2</v>
      </c>
      <c r="EF35" s="962">
        <f>[1]!mbtool(2,17,0,1)</f>
        <v>9.5138888888888884E-2</v>
      </c>
      <c r="EG35" s="962">
        <f>[1]!mbtool(2,17,0,1)</f>
        <v>9.5138888888888884E-2</v>
      </c>
      <c r="EH35" s="962">
        <f>[1]!mbtool(2,17,0,1)</f>
        <v>9.5138888888888884E-2</v>
      </c>
      <c r="EI35" s="962">
        <f>[1]!mbtool(2,17,0,1)</f>
        <v>9.5138888888888884E-2</v>
      </c>
      <c r="EJ35" s="962">
        <f>[1]!mbtool(2,17,0,1)</f>
        <v>9.5138888888888884E-2</v>
      </c>
      <c r="EK35" s="962">
        <f>[1]!mbtool(2,17,0,1)</f>
        <v>9.5138888888888884E-2</v>
      </c>
      <c r="EL35" s="962">
        <f>[1]!mbtool(2,17,0,1)</f>
        <v>9.5138888888888884E-2</v>
      </c>
      <c r="EM35" s="962">
        <f>[1]!mbtool(2,17,0,1)</f>
        <v>9.5138888888888884E-2</v>
      </c>
      <c r="EN35" s="962">
        <f>[1]!mbtool(2,17,0,1)</f>
        <v>9.5138888888888884E-2</v>
      </c>
      <c r="EO35" s="962">
        <f>[1]!mbtool(2,17,0,1)</f>
        <v>9.5138888888888884E-2</v>
      </c>
      <c r="EP35" s="962">
        <f>[1]!mbtool(2,17,0,1)</f>
        <v>9.5138888888888884E-2</v>
      </c>
      <c r="EQ35" s="962">
        <f>[1]!mbtool(2,17,0,1)</f>
        <v>9.5138888888888884E-2</v>
      </c>
      <c r="ER35" s="962">
        <f>[1]!mbtool(2,17,0,1)</f>
        <v>9.5138888888888884E-2</v>
      </c>
      <c r="ES35" s="962">
        <f>[1]!mbtool(2,17,0,1)</f>
        <v>9.5138888888888884E-2</v>
      </c>
      <c r="ET35" s="962">
        <f>[1]!mbtool(2,17,0,1)</f>
        <v>9.5138888888888884E-2</v>
      </c>
      <c r="EU35" s="962">
        <f>[1]!mbtool(2,17,0,1)</f>
        <v>9.5138888888888884E-2</v>
      </c>
      <c r="EV35" s="962">
        <f>[1]!mbtool(2,17,0,1)</f>
        <v>9.5138888888888884E-2</v>
      </c>
      <c r="EW35" s="962">
        <f>[1]!mbtool(2,17,0,1)</f>
        <v>9.5138888888888884E-2</v>
      </c>
      <c r="EX35" s="962">
        <f>[1]!mbtool(2,17,0,1)</f>
        <v>9.5138888888888884E-2</v>
      </c>
      <c r="EY35" s="962">
        <f>[1]!mbtool(2,17,0,1)</f>
        <v>9.5138888888888884E-2</v>
      </c>
      <c r="EZ35" s="962">
        <f>[1]!mbtool(2,17,0,1)</f>
        <v>9.5138888888888884E-2</v>
      </c>
      <c r="FA35" s="962">
        <f>[1]!mbtool(2,17,0,1)</f>
        <v>9.5138888888888884E-2</v>
      </c>
      <c r="FB35" s="962">
        <f>[1]!mbtool(2,17,0,1)</f>
        <v>9.5138888888888884E-2</v>
      </c>
      <c r="FC35" s="962">
        <f>[1]!mbtool(2,17,0,1)</f>
        <v>9.5138888888888884E-2</v>
      </c>
      <c r="FD35" s="962">
        <f>[1]!mbtool(2,17,0,1)</f>
        <v>9.5138888888888884E-2</v>
      </c>
      <c r="FE35" s="962">
        <f>[1]!mbtool(2,17,0,1)</f>
        <v>9.5138888888888884E-2</v>
      </c>
      <c r="FF35" s="962">
        <f>[1]!mbtool(2,17,0,1)</f>
        <v>9.5138888888888884E-2</v>
      </c>
      <c r="FG35" s="962">
        <f>[1]!mbtool(2,17,0,1)</f>
        <v>9.5138888888888884E-2</v>
      </c>
      <c r="FH35" s="962">
        <f>[1]!mbtool(2,17,0,1)</f>
        <v>9.5138888888888884E-2</v>
      </c>
      <c r="FI35" s="962">
        <f>[1]!mbtool(2,17,0,1)</f>
        <v>9.5138888888888884E-2</v>
      </c>
      <c r="FJ35" s="962">
        <f>[1]!mbtool(2,17,0,1)</f>
        <v>9.5138888888888884E-2</v>
      </c>
      <c r="FK35" s="962">
        <f>[1]!mbtool(2,17,0,1)</f>
        <v>9.5138888888888884E-2</v>
      </c>
      <c r="FL35" s="962">
        <f>[1]!mbtool(2,17,0,1)</f>
        <v>9.5138888888888884E-2</v>
      </c>
      <c r="FM35" s="962">
        <f>[1]!mbtool(2,17,0,1)</f>
        <v>9.5138888888888884E-2</v>
      </c>
      <c r="FN35" s="962">
        <f>[1]!mbtool(2,17,0,1)</f>
        <v>9.5138888888888884E-2</v>
      </c>
      <c r="FO35" s="962">
        <f>[1]!mbtool(2,17,0,1)</f>
        <v>9.5138888888888884E-2</v>
      </c>
      <c r="FP35" s="962">
        <f>[1]!mbtool(2,17,0,1)</f>
        <v>9.5138888888888884E-2</v>
      </c>
      <c r="FQ35" s="962">
        <f>[1]!mbtool(2,17,0,1)</f>
        <v>9.5138888888888884E-2</v>
      </c>
      <c r="FR35" s="962">
        <f>[1]!mbtool(2,17,0,1)</f>
        <v>9.5138888888888884E-2</v>
      </c>
      <c r="FS35" s="962">
        <f>[1]!mbtool(2,17,0,1)</f>
        <v>9.5138888888888884E-2</v>
      </c>
      <c r="FT35" s="962">
        <f>[1]!mbtool(2,17,0,1)</f>
        <v>9.5138888888888884E-2</v>
      </c>
      <c r="FU35" s="962">
        <f>[1]!mbtool(2,17,0,1)</f>
        <v>9.5138888888888884E-2</v>
      </c>
      <c r="FV35" s="962">
        <f>[1]!mbtool(2,17,0,1)</f>
        <v>9.5138888888888884E-2</v>
      </c>
      <c r="FW35" s="962">
        <f>[1]!mbtool(2,17,0,1)</f>
        <v>9.5138888888888884E-2</v>
      </c>
      <c r="FX35" s="962">
        <f>[1]!mbtool(2,17,0,1)</f>
        <v>9.5138888888888884E-2</v>
      </c>
      <c r="FY35" s="962">
        <f>[1]!mbtool(2,17,0,1)</f>
        <v>9.5138888888888884E-2</v>
      </c>
      <c r="FZ35" s="962">
        <f>[1]!mbtool(2,17,0,1)</f>
        <v>9.5138888888888884E-2</v>
      </c>
      <c r="GA35" s="962">
        <f>[1]!mbtool(2,17,0,1)</f>
        <v>9.5138888888888884E-2</v>
      </c>
      <c r="GB35" s="962">
        <f>[1]!mbtool(2,17,0,1)</f>
        <v>9.5138888888888884E-2</v>
      </c>
      <c r="GC35" s="962">
        <f>[1]!mbtool(2,17,0,1)</f>
        <v>9.5138888888888884E-2</v>
      </c>
      <c r="GD35" s="962">
        <f>[1]!mbtool(2,17,0,1)</f>
        <v>9.5138888888888884E-2</v>
      </c>
      <c r="GE35" s="962">
        <f>[1]!mbtool(2,17,0,1)</f>
        <v>9.5138888888888884E-2</v>
      </c>
      <c r="GF35" s="962">
        <f>[1]!mbtool(2,17,0,1)</f>
        <v>9.5138888888888884E-2</v>
      </c>
      <c r="GG35" s="962">
        <f>[1]!mbtool(2,17,0,1)</f>
        <v>9.5138888888888884E-2</v>
      </c>
      <c r="GH35" s="962">
        <f>[1]!mbtool(2,17,0,1)</f>
        <v>9.5138888888888884E-2</v>
      </c>
      <c r="GI35" s="962">
        <f>[1]!mbtool(2,17,0,1)</f>
        <v>9.5138888888888884E-2</v>
      </c>
      <c r="GJ35" s="962">
        <f>[1]!mbtool(2,17,0,1)</f>
        <v>9.5138888888888884E-2</v>
      </c>
      <c r="GK35" s="962">
        <f>[1]!mbtool(2,17,0,1)</f>
        <v>9.5138888888888884E-2</v>
      </c>
      <c r="GL35" s="962">
        <f>[1]!mbtool(2,17,0,1)</f>
        <v>9.5138888888888884E-2</v>
      </c>
      <c r="GM35" s="962">
        <f>[1]!mbtool(2,17,0,1)</f>
        <v>9.5138888888888884E-2</v>
      </c>
      <c r="GN35" s="962">
        <f>[1]!mbtool(2,17,0,1)</f>
        <v>9.5138888888888884E-2</v>
      </c>
      <c r="GO35" s="962">
        <f>[1]!mbtool(2,17,0,1)</f>
        <v>9.5138888888888884E-2</v>
      </c>
      <c r="GP35" s="962">
        <f>[1]!mbtool(2,17,0,1)</f>
        <v>9.5138888888888884E-2</v>
      </c>
      <c r="GQ35" s="962">
        <f>[1]!mbtool(2,17,0,1)</f>
        <v>9.5138888888888884E-2</v>
      </c>
      <c r="GR35" s="962">
        <f>[1]!mbtool(2,17,0,1)</f>
        <v>9.5138888888888884E-2</v>
      </c>
      <c r="GS35" s="962">
        <f>[1]!mbtool(2,17,0,1)</f>
        <v>9.5138888888888884E-2</v>
      </c>
      <c r="GT35" s="962">
        <f>[1]!mbtool(2,17,0,1)</f>
        <v>9.5138888888888884E-2</v>
      </c>
      <c r="GU35" s="962">
        <f>[1]!mbtool(2,17,0,1)</f>
        <v>9.5138888888888884E-2</v>
      </c>
      <c r="GV35" s="962">
        <f>[1]!mbtool(2,17,0,1)</f>
        <v>9.5138888888888884E-2</v>
      </c>
      <c r="GW35" s="962">
        <f>[1]!mbtool(2,17,0,1)</f>
        <v>9.5138888888888884E-2</v>
      </c>
      <c r="GX35" s="962">
        <f>[1]!mbtool(2,17,0,1)</f>
        <v>9.5138888888888884E-2</v>
      </c>
      <c r="GY35" s="962">
        <f>[1]!mbtool(2,17,0,1)</f>
        <v>9.5138888888888884E-2</v>
      </c>
      <c r="GZ35" s="962">
        <f>[1]!mbtool(2,17,0,1)</f>
        <v>9.5138888888888884E-2</v>
      </c>
      <c r="HA35" s="962">
        <f>[1]!mbtool(2,17,0,1)</f>
        <v>9.5138888888888884E-2</v>
      </c>
      <c r="HB35" s="962">
        <f>[1]!mbtool(2,17,0,1)</f>
        <v>9.5138888888888884E-2</v>
      </c>
      <c r="HC35" s="962">
        <f>[1]!mbtool(2,17,0,1)</f>
        <v>9.5138888888888884E-2</v>
      </c>
      <c r="HD35" s="962">
        <f>[1]!mbtool(2,17,0,1)</f>
        <v>9.5138888888888884E-2</v>
      </c>
      <c r="HE35" s="962">
        <f>[1]!mbtool(2,17,0,1)</f>
        <v>9.5138888888888884E-2</v>
      </c>
      <c r="HF35" s="962">
        <f>[1]!mbtool(2,17,0,1)</f>
        <v>9.5138888888888884E-2</v>
      </c>
      <c r="HG35" s="962">
        <f>[1]!mbtool(2,17,0,1)</f>
        <v>9.5138888888888884E-2</v>
      </c>
      <c r="HH35" s="962">
        <f>[1]!mbtool(2,17,0,1)</f>
        <v>9.5138888888888884E-2</v>
      </c>
      <c r="HI35" s="962">
        <f>[1]!mbtool(2,17,0,1)</f>
        <v>9.5138888888888884E-2</v>
      </c>
      <c r="HJ35" s="962">
        <f>[1]!mbtool(2,17,0,1)</f>
        <v>9.5138888888888884E-2</v>
      </c>
      <c r="HK35" s="962">
        <f>[1]!mbtool(2,17,0,1)</f>
        <v>9.5138888888888884E-2</v>
      </c>
      <c r="HL35" s="962">
        <f>[1]!mbtool(2,17,0,1)</f>
        <v>9.5138888888888884E-2</v>
      </c>
      <c r="HM35" s="962">
        <f>[1]!mbtool(2,17,0,1)</f>
        <v>9.5138888888888884E-2</v>
      </c>
      <c r="HN35" s="962">
        <f>[1]!mbtool(2,17,0,1)</f>
        <v>9.5138888888888884E-2</v>
      </c>
      <c r="HO35" s="962">
        <f>[1]!mbtool(2,17,0,1)</f>
        <v>9.5138888888888884E-2</v>
      </c>
      <c r="HP35" s="962">
        <f>[1]!mbtool(2,17,0,1)</f>
        <v>9.5138888888888884E-2</v>
      </c>
      <c r="HQ35" s="962">
        <f>[1]!mbtool(2,17,0,1)</f>
        <v>9.5138888888888884E-2</v>
      </c>
      <c r="HR35" s="962">
        <f>[1]!mbtool(2,17,0,1)</f>
        <v>9.5138888888888884E-2</v>
      </c>
      <c r="HS35" s="962">
        <f>[1]!mbtool(2,17,0,1)</f>
        <v>9.5138888888888884E-2</v>
      </c>
      <c r="HT35" s="962">
        <f>[1]!mbtool(2,17,0,1)</f>
        <v>9.5138888888888884E-2</v>
      </c>
      <c r="HU35" s="962">
        <f>[1]!mbtool(2,17,0,1)</f>
        <v>9.5138888888888884E-2</v>
      </c>
      <c r="HV35" s="962">
        <f>[1]!mbtool(2,17,0,1)</f>
        <v>9.5138888888888884E-2</v>
      </c>
      <c r="HW35" s="962">
        <f>[1]!mbtool(2,17,0,1)</f>
        <v>9.5138888888888884E-2</v>
      </c>
      <c r="HX35" s="962">
        <f>[1]!mbtool(2,17,0,1)</f>
        <v>9.5138888888888884E-2</v>
      </c>
      <c r="HY35" s="962">
        <f>[1]!mbtool(2,17,0,1)</f>
        <v>9.5138888888888884E-2</v>
      </c>
      <c r="HZ35" s="962">
        <f>[1]!mbtool(2,17,0,1)</f>
        <v>9.5138888888888884E-2</v>
      </c>
      <c r="IA35" s="962">
        <f>[1]!mbtool(2,17,0,1)</f>
        <v>9.5138888888888884E-2</v>
      </c>
      <c r="IB35" s="962">
        <f>[1]!mbtool(2,17,0,1)</f>
        <v>9.5138888888888884E-2</v>
      </c>
      <c r="IC35" s="962">
        <f>[1]!mbtool(2,17,0,1)</f>
        <v>9.5138888888888884E-2</v>
      </c>
      <c r="ID35" s="962">
        <f>[1]!mbtool(2,17,0,1)</f>
        <v>9.5138888888888884E-2</v>
      </c>
      <c r="IE35" s="962">
        <f>[1]!mbtool(2,17,0,1)</f>
        <v>9.5138888888888884E-2</v>
      </c>
      <c r="IF35" s="962">
        <f>[1]!mbtool(2,17,0,1)</f>
        <v>9.5138888888888884E-2</v>
      </c>
      <c r="IG35" s="962">
        <f>[1]!mbtool(2,17,0,1)</f>
        <v>9.5138888888888884E-2</v>
      </c>
      <c r="IH35" s="962">
        <f>[1]!mbtool(2,17,0,1)</f>
        <v>9.5138888888888884E-2</v>
      </c>
      <c r="II35" s="962">
        <f>[1]!mbtool(2,17,0,1)</f>
        <v>9.5138888888888884E-2</v>
      </c>
      <c r="IJ35" s="962">
        <f>[1]!mbtool(2,17,0,1)</f>
        <v>9.5138888888888884E-2</v>
      </c>
      <c r="IK35" s="962">
        <f>[1]!mbtool(2,17,0,1)</f>
        <v>9.5138888888888884E-2</v>
      </c>
      <c r="IL35" s="962">
        <f>[1]!mbtool(2,17,0,1)</f>
        <v>9.5138888888888884E-2</v>
      </c>
      <c r="IM35" s="962">
        <f>[1]!mbtool(2,17,0,1)</f>
        <v>9.5138888888888884E-2</v>
      </c>
      <c r="IN35" s="962">
        <f>[1]!mbtool(2,17,0,1)</f>
        <v>9.5138888888888884E-2</v>
      </c>
      <c r="IO35" s="962">
        <f>[1]!mbtool(2,17,0,1)</f>
        <v>9.5138888888888884E-2</v>
      </c>
      <c r="IP35" s="962">
        <f>[1]!mbtool(2,17,0,1)</f>
        <v>9.5138888888888884E-2</v>
      </c>
      <c r="IQ35" s="962">
        <f>[1]!mbtool(2,17,0,1)</f>
        <v>9.5138888888888884E-2</v>
      </c>
      <c r="IR35" s="962">
        <f>[1]!mbtool(2,17,0,1)</f>
        <v>9.5138888888888884E-2</v>
      </c>
      <c r="IS35" s="962">
        <f>[1]!mbtool(2,17,0,1)</f>
        <v>9.5138888888888884E-2</v>
      </c>
      <c r="IT35" s="962">
        <f>[1]!mbtool(2,17,0,1)</f>
        <v>9.5138888888888884E-2</v>
      </c>
      <c r="IU35" s="962">
        <f>[1]!mbtool(2,17,0,1)</f>
        <v>9.5138888888888884E-2</v>
      </c>
      <c r="IV35" s="962">
        <f>[1]!mbtool(2,17,0,1)</f>
        <v>9.5138888888888884E-2</v>
      </c>
      <c r="IW35" s="962">
        <f>[1]!mbtool(2,17,0,1)</f>
        <v>9.5138888888888884E-2</v>
      </c>
      <c r="IX35" s="962">
        <f>[1]!mbtool(2,17,0,1)</f>
        <v>9.5138888888888884E-2</v>
      </c>
      <c r="IY35" s="962">
        <f>[1]!mbtool(2,17,0,1)</f>
        <v>9.5138888888888884E-2</v>
      </c>
      <c r="IZ35" s="962">
        <f>[1]!mbtool(2,17,0,1)</f>
        <v>9.5138888888888884E-2</v>
      </c>
      <c r="JA35" s="962">
        <f>[1]!mbtool(2,17,0,1)</f>
        <v>9.5138888888888884E-2</v>
      </c>
      <c r="JB35" s="962">
        <f>[1]!mbtool(2,17,0,1)</f>
        <v>9.5138888888888884E-2</v>
      </c>
      <c r="JC35" s="962">
        <f>[1]!mbtool(2,17,0,1)</f>
        <v>9.5138888888888884E-2</v>
      </c>
      <c r="JD35" s="962">
        <f>[1]!mbtool(2,17,0,1)</f>
        <v>9.5138888888888884E-2</v>
      </c>
      <c r="JE35" s="962">
        <f>[1]!mbtool(2,17,0,1)</f>
        <v>9.5138888888888884E-2</v>
      </c>
      <c r="JF35" s="962">
        <f>[1]!mbtool(2,17,0,1)</f>
        <v>9.5138888888888884E-2</v>
      </c>
      <c r="JG35" s="962">
        <f>[1]!mbtool(2,17,0,1)</f>
        <v>9.5138888888888884E-2</v>
      </c>
      <c r="JH35" s="962">
        <f>[1]!mbtool(2,17,0,1)</f>
        <v>9.5138888888888884E-2</v>
      </c>
      <c r="JI35" s="962">
        <f>[1]!mbtool(2,17,0,1)</f>
        <v>9.5138888888888884E-2</v>
      </c>
      <c r="JJ35" s="962">
        <f>[1]!mbtool(2,17,0,1)</f>
        <v>9.5138888888888884E-2</v>
      </c>
      <c r="JK35" s="962">
        <f>[1]!mbtool(2,17,0,1)</f>
        <v>9.5138888888888884E-2</v>
      </c>
      <c r="JL35" s="962">
        <f>[1]!mbtool(2,17,0,1)</f>
        <v>9.5138888888888884E-2</v>
      </c>
      <c r="JM35" s="962">
        <f>[1]!mbtool(2,17,0,1)</f>
        <v>9.5138888888888884E-2</v>
      </c>
      <c r="JN35" s="962">
        <f>[1]!mbtool(2,17,0,1)</f>
        <v>9.5138888888888884E-2</v>
      </c>
      <c r="JO35" s="962">
        <f>[1]!mbtool(2,17,0,1)</f>
        <v>9.5138888888888884E-2</v>
      </c>
      <c r="JP35" s="962">
        <f>[1]!mbtool(2,17,0,1)</f>
        <v>9.5138888888888884E-2</v>
      </c>
      <c r="JQ35" s="962">
        <f>[1]!mbtool(2,17,0,1)</f>
        <v>9.5138888888888884E-2</v>
      </c>
      <c r="JR35" s="962">
        <f>[1]!mbtool(2,17,0,1)</f>
        <v>9.5138888888888884E-2</v>
      </c>
      <c r="JS35" s="962">
        <f>[1]!mbtool(2,17,0,1)</f>
        <v>9.5138888888888884E-2</v>
      </c>
      <c r="JT35" s="962">
        <f>[1]!mbtool(2,17,0,1)</f>
        <v>9.5138888888888884E-2</v>
      </c>
      <c r="JU35" s="962">
        <f>[1]!mbtool(2,17,0,1)</f>
        <v>9.5138888888888884E-2</v>
      </c>
      <c r="JV35" s="962">
        <f>[1]!mbtool(2,17,0,1)</f>
        <v>9.5138888888888884E-2</v>
      </c>
      <c r="JW35" s="962">
        <f>[1]!mbtool(2,17,0,1)</f>
        <v>9.5138888888888884E-2</v>
      </c>
      <c r="JX35" s="962">
        <f>[1]!mbtool(2,17,0,1)</f>
        <v>9.5138888888888884E-2</v>
      </c>
      <c r="JY35" s="962">
        <f>[1]!mbtool(2,17,0,1)</f>
        <v>9.5138888888888884E-2</v>
      </c>
      <c r="JZ35" s="962">
        <f>[1]!mbtool(2,17,0,1)</f>
        <v>9.5138888888888884E-2</v>
      </c>
      <c r="KA35" s="962">
        <f>[1]!mbtool(2,17,0,1)</f>
        <v>9.5138888888888884E-2</v>
      </c>
      <c r="KB35" s="962">
        <f>[1]!mbtool(2,17,0,1)</f>
        <v>9.5138888888888884E-2</v>
      </c>
      <c r="KC35" s="962">
        <f>[1]!mbtool(2,17,0,1)</f>
        <v>9.5138888888888884E-2</v>
      </c>
      <c r="KD35" s="962">
        <f>[1]!mbtool(2,17,0,1)</f>
        <v>9.5138888888888884E-2</v>
      </c>
      <c r="KE35" s="962">
        <f>[1]!mbtool(2,17,0,1)</f>
        <v>9.5138888888888884E-2</v>
      </c>
      <c r="KF35" s="962">
        <f>[1]!mbtool(2,17,0,1)</f>
        <v>9.5138888888888884E-2</v>
      </c>
      <c r="KG35" s="962">
        <f>[1]!mbtool(2,17,0,1)</f>
        <v>9.5138888888888884E-2</v>
      </c>
      <c r="KH35" s="962">
        <f>[1]!mbtool(2,17,0,1)</f>
        <v>9.5138888888888884E-2</v>
      </c>
      <c r="KI35" s="962">
        <f>[1]!mbtool(2,17,0,1)</f>
        <v>9.5138888888888884E-2</v>
      </c>
      <c r="KJ35" s="962">
        <f>[1]!mbtool(2,17,0,1)</f>
        <v>9.5138888888888884E-2</v>
      </c>
      <c r="KK35" s="962">
        <f>[1]!mbtool(2,17,0,1)</f>
        <v>9.5138888888888884E-2</v>
      </c>
      <c r="KL35" s="962">
        <f>[1]!mbtool(2,17,0,1)</f>
        <v>9.5138888888888884E-2</v>
      </c>
      <c r="KM35" s="962">
        <f>[1]!mbtool(2,17,0,1)</f>
        <v>9.5138888888888884E-2</v>
      </c>
      <c r="KN35" s="962">
        <f>[1]!mbtool(2,17,0,1)</f>
        <v>9.5138888888888884E-2</v>
      </c>
      <c r="KO35" s="962">
        <f>[1]!mbtool(2,17,0,1)</f>
        <v>9.5138888888888884E-2</v>
      </c>
      <c r="KP35" s="962">
        <f>[1]!mbtool(2,17,0,1)</f>
        <v>9.5138888888888884E-2</v>
      </c>
      <c r="KQ35" s="962">
        <f>[1]!mbtool(2,17,0,1)</f>
        <v>9.5138888888888884E-2</v>
      </c>
      <c r="KR35" s="962">
        <f>[1]!mbtool(2,17,0,1)</f>
        <v>9.5138888888888884E-2</v>
      </c>
      <c r="KS35" s="962">
        <f>[1]!mbtool(2,17,0,1)</f>
        <v>9.5138888888888884E-2</v>
      </c>
      <c r="KT35" s="962">
        <f>[1]!mbtool(2,17,0,1)</f>
        <v>9.5138888888888884E-2</v>
      </c>
      <c r="KU35" s="962">
        <f>[1]!mbtool(2,17,0,1)</f>
        <v>9.5138888888888884E-2</v>
      </c>
      <c r="KV35" s="962">
        <f>[1]!mbtool(2,17,0,1)</f>
        <v>9.5138888888888884E-2</v>
      </c>
      <c r="KW35" s="962">
        <f>[1]!mbtool(2,17,0,1)</f>
        <v>9.5138888888888884E-2</v>
      </c>
      <c r="KX35" s="962">
        <f>[1]!mbtool(2,17,0,1)</f>
        <v>9.5138888888888884E-2</v>
      </c>
      <c r="KY35" s="962">
        <f>[1]!mbtool(2,17,0,1)</f>
        <v>9.5138888888888884E-2</v>
      </c>
      <c r="KZ35" s="962">
        <f>[1]!mbtool(2,17,0,1)</f>
        <v>9.5138888888888884E-2</v>
      </c>
      <c r="LA35" s="962">
        <f>[1]!mbtool(2,17,0,1)</f>
        <v>9.5138888888888884E-2</v>
      </c>
      <c r="LB35" s="962">
        <f>[1]!mbtool(2,17,0,1)</f>
        <v>9.5138888888888884E-2</v>
      </c>
      <c r="LC35" s="962">
        <f>[1]!mbtool(2,17,0,1)</f>
        <v>9.5138888888888884E-2</v>
      </c>
      <c r="LD35" s="962">
        <f>[1]!mbtool(2,17,0,1)</f>
        <v>9.5138888888888884E-2</v>
      </c>
      <c r="LE35" s="962">
        <f>[1]!mbtool(2,17,0,1)</f>
        <v>9.5138888888888884E-2</v>
      </c>
      <c r="LF35" s="962">
        <f>[1]!mbtool(2,17,0,1)</f>
        <v>9.5138888888888884E-2</v>
      </c>
      <c r="LG35" s="962">
        <f>[1]!mbtool(2,17,0,1)</f>
        <v>9.5138888888888884E-2</v>
      </c>
      <c r="LH35" s="962">
        <f>[1]!mbtool(2,17,0,1)</f>
        <v>9.5138888888888884E-2</v>
      </c>
      <c r="LI35" s="962">
        <f>[1]!mbtool(2,17,0,1)</f>
        <v>9.5138888888888884E-2</v>
      </c>
      <c r="LJ35" s="962">
        <f>[1]!mbtool(2,17,0,1)</f>
        <v>9.5138888888888884E-2</v>
      </c>
      <c r="LK35" s="962">
        <f>[1]!mbtool(2,17,0,1)</f>
        <v>9.5138888888888884E-2</v>
      </c>
      <c r="LL35" s="962">
        <f>[1]!mbtool(2,17,0,1)</f>
        <v>9.5138888888888884E-2</v>
      </c>
      <c r="LM35" s="962">
        <f>[1]!mbtool(2,17,0,1)</f>
        <v>9.5138888888888884E-2</v>
      </c>
      <c r="LN35" s="962">
        <f>[1]!mbtool(2,17,0,1)</f>
        <v>9.5138888888888884E-2</v>
      </c>
      <c r="LO35" s="962">
        <f>[1]!mbtool(2,17,0,1)</f>
        <v>9.5138888888888884E-2</v>
      </c>
      <c r="LP35" s="962">
        <f>[1]!mbtool(2,17,0,1)</f>
        <v>9.5138888888888884E-2</v>
      </c>
      <c r="LQ35" s="962">
        <f>[1]!mbtool(2,17,0,1)</f>
        <v>9.5138888888888884E-2</v>
      </c>
      <c r="LR35" s="962">
        <f>[1]!mbtool(2,17,0,1)</f>
        <v>9.5138888888888884E-2</v>
      </c>
      <c r="LS35" s="962">
        <f>[1]!mbtool(2,17,0,1)</f>
        <v>9.5138888888888884E-2</v>
      </c>
      <c r="LT35" s="962">
        <f>[1]!mbtool(2,17,0,1)</f>
        <v>9.5138888888888884E-2</v>
      </c>
      <c r="LU35" s="962">
        <f>[1]!mbtool(2,17,0,1)</f>
        <v>9.5138888888888884E-2</v>
      </c>
      <c r="LV35" s="962">
        <f>[1]!mbtool(2,17,0,1)</f>
        <v>9.5138888888888884E-2</v>
      </c>
      <c r="LW35" s="962">
        <f>[1]!mbtool(2,17,0,1)</f>
        <v>9.5138888888888884E-2</v>
      </c>
      <c r="LX35" s="962">
        <f>[1]!mbtool(2,17,0,1)</f>
        <v>9.5138888888888884E-2</v>
      </c>
      <c r="LY35" s="962">
        <f>[1]!mbtool(2,17,0,1)</f>
        <v>9.5138888888888884E-2</v>
      </c>
      <c r="LZ35" s="962">
        <f>[1]!mbtool(2,17,0,1)</f>
        <v>9.5138888888888884E-2</v>
      </c>
      <c r="MA35" s="962">
        <f>[1]!mbtool(2,17,0,1)</f>
        <v>9.5138888888888884E-2</v>
      </c>
      <c r="MB35" s="962">
        <f>[1]!mbtool(2,17,0,1)</f>
        <v>9.5138888888888884E-2</v>
      </c>
      <c r="MC35" s="962">
        <f>[1]!mbtool(2,17,0,1)</f>
        <v>9.5138888888888884E-2</v>
      </c>
      <c r="MD35" s="962">
        <f>[1]!mbtool(2,17,0,1)</f>
        <v>9.5138888888888884E-2</v>
      </c>
      <c r="ME35" s="962">
        <f>[1]!mbtool(2,17,0,1)</f>
        <v>9.5138888888888884E-2</v>
      </c>
      <c r="MF35" s="962">
        <f>[1]!mbtool(2,17,0,1)</f>
        <v>9.5138888888888884E-2</v>
      </c>
      <c r="MG35" s="962">
        <f>[1]!mbtool(2,17,0,1)</f>
        <v>9.5138888888888884E-2</v>
      </c>
      <c r="MH35" s="962">
        <f>[1]!mbtool(2,17,0,1)</f>
        <v>9.5138888888888884E-2</v>
      </c>
      <c r="MI35" s="962">
        <f>[1]!mbtool(2,17,0,1)</f>
        <v>9.5138888888888884E-2</v>
      </c>
      <c r="MJ35" s="962">
        <f>[1]!mbtool(2,17,0,1)</f>
        <v>9.5138888888888884E-2</v>
      </c>
      <c r="MK35" s="962">
        <f>[1]!mbtool(2,17,0,1)</f>
        <v>9.5138888888888884E-2</v>
      </c>
      <c r="ML35" s="962">
        <f>[1]!mbtool(2,17,0,1)</f>
        <v>9.5138888888888884E-2</v>
      </c>
      <c r="MM35" s="962">
        <f>[1]!mbtool(2,17,0,1)</f>
        <v>9.5138888888888884E-2</v>
      </c>
      <c r="MN35" s="962">
        <f>[1]!mbtool(2,17,0,1)</f>
        <v>9.5138888888888884E-2</v>
      </c>
      <c r="MO35" s="962">
        <f>[1]!mbtool(2,17,0,1)</f>
        <v>9.5138888888888884E-2</v>
      </c>
      <c r="MP35" s="962">
        <f>[1]!mbtool(2,17,0,1)</f>
        <v>9.5138888888888884E-2</v>
      </c>
      <c r="MQ35" s="962">
        <f>[1]!mbtool(2,17,0,1)</f>
        <v>9.5138888888888884E-2</v>
      </c>
      <c r="MR35" s="962">
        <f>[1]!mbtool(2,17,0,1)</f>
        <v>9.5138888888888884E-2</v>
      </c>
      <c r="MS35" s="962">
        <f>[1]!mbtool(2,17,0,1)</f>
        <v>9.5138888888888884E-2</v>
      </c>
      <c r="MT35" s="962">
        <f>[1]!mbtool(2,17,0,1)</f>
        <v>9.5138888888888884E-2</v>
      </c>
      <c r="MU35" s="962">
        <f>[1]!mbtool(2,17,0,1)</f>
        <v>9.5138888888888884E-2</v>
      </c>
      <c r="MV35" s="962">
        <f>[1]!mbtool(2,17,0,1)</f>
        <v>9.5138888888888884E-2</v>
      </c>
      <c r="MW35" s="962">
        <f>[1]!mbtool(2,17,0,1)</f>
        <v>9.5138888888888884E-2</v>
      </c>
      <c r="MX35" s="962">
        <f>[1]!mbtool(2,17,0,1)</f>
        <v>9.5138888888888884E-2</v>
      </c>
      <c r="MY35" s="962">
        <f>[1]!mbtool(2,17,0,1)</f>
        <v>9.5138888888888884E-2</v>
      </c>
      <c r="MZ35" s="962">
        <f>[1]!mbtool(2,17,0,1)</f>
        <v>9.5138888888888884E-2</v>
      </c>
      <c r="NA35" s="962">
        <f>[1]!mbtool(2,17,0,1)</f>
        <v>9.5138888888888884E-2</v>
      </c>
      <c r="NB35" s="962">
        <f>[1]!mbtool(2,17,0,1)</f>
        <v>9.5138888888888884E-2</v>
      </c>
      <c r="NC35" s="962">
        <f>[1]!mbtool(2,17,0,1)</f>
        <v>9.5138888888888884E-2</v>
      </c>
      <c r="ND35" s="962">
        <f>[1]!mbtool(2,17,0,1)</f>
        <v>9.5138888888888884E-2</v>
      </c>
      <c r="NE35" s="962">
        <f>[1]!mbtool(2,17,0,1)</f>
        <v>9.5138888888888884E-2</v>
      </c>
      <c r="NF35" s="962">
        <f>[1]!mbtool(2,17,0,1)</f>
        <v>9.5138888888888884E-2</v>
      </c>
      <c r="NG35" s="962">
        <f>[1]!mbtool(2,17,0,1)</f>
        <v>9.5138888888888884E-2</v>
      </c>
      <c r="NH35" s="962">
        <f>[1]!mbtool(2,17,0,1)</f>
        <v>9.5138888888888884E-2</v>
      </c>
      <c r="NI35" s="962">
        <f>[1]!mbtool(2,17,0,1)</f>
        <v>9.5138888888888884E-2</v>
      </c>
      <c r="NJ35" s="962">
        <f>[1]!mbtool(2,17,0,1)</f>
        <v>9.5138888888888884E-2</v>
      </c>
      <c r="NK35" s="962">
        <f>[1]!mbtool(2,17,0,1)</f>
        <v>9.5138888888888884E-2</v>
      </c>
      <c r="NL35" s="962">
        <f>[1]!mbtool(2,17,0,1)</f>
        <v>9.5138888888888884E-2</v>
      </c>
      <c r="NM35" s="962">
        <f>[1]!mbtool(2,17,0,1)</f>
        <v>9.5138888888888884E-2</v>
      </c>
      <c r="NN35" s="962">
        <f>[1]!mbtool(2,17,0,1)</f>
        <v>9.5138888888888884E-2</v>
      </c>
      <c r="NO35" s="962">
        <f>[1]!mbtool(2,17,0,1)</f>
        <v>9.5138888888888884E-2</v>
      </c>
      <c r="NP35" s="962">
        <f>[1]!mbtool(2,17,0,1)</f>
        <v>9.5138888888888884E-2</v>
      </c>
      <c r="NQ35" s="962">
        <f>[1]!mbtool(2,17,0,1)</f>
        <v>9.5138888888888884E-2</v>
      </c>
      <c r="NR35" s="962">
        <f>[1]!mbtool(2,17,0,1)</f>
        <v>9.5138888888888884E-2</v>
      </c>
      <c r="NS35" s="962">
        <f>[1]!mbtool(2,17,0,1)</f>
        <v>9.5138888888888884E-2</v>
      </c>
      <c r="NT35" s="962">
        <f>[1]!mbtool(2,17,0,1)</f>
        <v>9.5138888888888884E-2</v>
      </c>
      <c r="NU35" s="962">
        <f>[1]!mbtool(2,17,0,1)</f>
        <v>9.5138888888888884E-2</v>
      </c>
      <c r="NV35" s="962">
        <f>[1]!mbtool(2,17,0,1)</f>
        <v>9.5138888888888884E-2</v>
      </c>
      <c r="NW35" s="962">
        <f>[1]!mbtool(2,17,0,1)</f>
        <v>9.5138888888888884E-2</v>
      </c>
      <c r="NX35" s="962">
        <f>[1]!mbtool(2,17,0,1)</f>
        <v>9.5138888888888884E-2</v>
      </c>
      <c r="NY35" s="962">
        <f>[1]!mbtool(2,17,0,1)</f>
        <v>9.5138888888888884E-2</v>
      </c>
      <c r="NZ35" s="962">
        <f>[1]!mbtool(2,17,0,1)</f>
        <v>9.5138888888888884E-2</v>
      </c>
      <c r="OA35" s="962">
        <f>[1]!mbtool(2,17,0,1)</f>
        <v>9.5138888888888884E-2</v>
      </c>
      <c r="OB35" s="962">
        <f>[1]!mbtool(2,17,0,1)</f>
        <v>9.5138888888888884E-2</v>
      </c>
      <c r="OC35" s="962">
        <f>[1]!mbtool(2,17,0,1)</f>
        <v>9.5138888888888884E-2</v>
      </c>
      <c r="OD35" s="962">
        <f>[1]!mbtool(2,17,0,1)</f>
        <v>9.5138888888888884E-2</v>
      </c>
      <c r="OE35" s="962">
        <f>[1]!mbtool(2,17,0,1)</f>
        <v>9.5138888888888884E-2</v>
      </c>
      <c r="OF35" s="962">
        <f>[1]!mbtool(2,17,0,1)</f>
        <v>9.5138888888888884E-2</v>
      </c>
      <c r="OG35" s="962">
        <f>[1]!mbtool(2,17,0,1)</f>
        <v>9.5138888888888884E-2</v>
      </c>
      <c r="OH35" s="962">
        <f>[1]!mbtool(2,17,0,1)</f>
        <v>9.5138888888888884E-2</v>
      </c>
      <c r="OI35" s="962">
        <f>[1]!mbtool(2,17,0,1)</f>
        <v>9.5138888888888884E-2</v>
      </c>
      <c r="OJ35" s="962">
        <f>[1]!mbtool(2,17,0,1)</f>
        <v>9.5138888888888884E-2</v>
      </c>
      <c r="OK35" s="962">
        <f>[1]!mbtool(2,17,0,1)</f>
        <v>9.5138888888888884E-2</v>
      </c>
      <c r="OL35" s="962">
        <f>[1]!mbtool(2,17,0,1)</f>
        <v>9.5138888888888884E-2</v>
      </c>
      <c r="OM35" s="962">
        <f>[1]!mbtool(2,17,0,1)</f>
        <v>9.5138888888888884E-2</v>
      </c>
      <c r="ON35" s="962">
        <f>[1]!mbtool(2,17,0,1)</f>
        <v>9.5138888888888884E-2</v>
      </c>
      <c r="OO35" s="962">
        <f>[1]!mbtool(2,17,0,1)</f>
        <v>9.5138888888888884E-2</v>
      </c>
      <c r="OP35" s="962">
        <f>[1]!mbtool(2,17,0,1)</f>
        <v>9.5138888888888884E-2</v>
      </c>
      <c r="OQ35" s="962">
        <f>[1]!mbtool(2,17,0,1)</f>
        <v>9.5138888888888884E-2</v>
      </c>
      <c r="OR35" s="962">
        <f>[1]!mbtool(2,17,0,1)</f>
        <v>9.5138888888888884E-2</v>
      </c>
      <c r="OS35" s="962">
        <f>[1]!mbtool(2,17,0,1)</f>
        <v>9.5138888888888884E-2</v>
      </c>
      <c r="OT35" s="962">
        <f>[1]!mbtool(2,17,0,1)</f>
        <v>9.5138888888888884E-2</v>
      </c>
      <c r="OU35" s="962">
        <f>[1]!mbtool(2,17,0,1)</f>
        <v>9.5138888888888884E-2</v>
      </c>
      <c r="OV35" s="962">
        <f>[1]!mbtool(2,17,0,1)</f>
        <v>9.5138888888888884E-2</v>
      </c>
      <c r="OW35" s="962">
        <f>[1]!mbtool(2,17,0,1)</f>
        <v>9.5138888888888884E-2</v>
      </c>
      <c r="OX35" s="962">
        <f>[1]!mbtool(2,17,0,1)</f>
        <v>9.5138888888888884E-2</v>
      </c>
      <c r="OY35" s="962">
        <f>[1]!mbtool(2,17,0,1)</f>
        <v>9.5138888888888884E-2</v>
      </c>
      <c r="OZ35" s="962">
        <f>[1]!mbtool(2,17,0,1)</f>
        <v>9.5138888888888884E-2</v>
      </c>
      <c r="PA35" s="962">
        <f>[1]!mbtool(2,17,0,1)</f>
        <v>9.5138888888888884E-2</v>
      </c>
      <c r="PB35" s="962">
        <f>[1]!mbtool(2,17,0,1)</f>
        <v>9.5138888888888884E-2</v>
      </c>
      <c r="PC35" s="962">
        <f>[1]!mbtool(2,17,0,1)</f>
        <v>9.5138888888888884E-2</v>
      </c>
      <c r="PD35" s="962">
        <f>[1]!mbtool(2,17,0,1)</f>
        <v>9.5138888888888884E-2</v>
      </c>
      <c r="PE35" s="962">
        <f>[1]!mbtool(2,17,0,1)</f>
        <v>9.5138888888888884E-2</v>
      </c>
      <c r="PF35" s="962">
        <f>[1]!mbtool(2,17,0,1)</f>
        <v>9.5138888888888884E-2</v>
      </c>
      <c r="PG35" s="962">
        <f>[1]!mbtool(2,17,0,1)</f>
        <v>9.5138888888888884E-2</v>
      </c>
      <c r="PH35" s="962">
        <f>[1]!mbtool(2,17,0,1)</f>
        <v>9.5138888888888884E-2</v>
      </c>
      <c r="PI35" s="962">
        <f>[1]!mbtool(2,17,0,1)</f>
        <v>9.5138888888888884E-2</v>
      </c>
      <c r="PJ35" s="962">
        <f>[1]!mbtool(2,17,0,1)</f>
        <v>9.5138888888888884E-2</v>
      </c>
      <c r="PK35" s="962">
        <f>[1]!mbtool(2,17,0,1)</f>
        <v>9.5138888888888884E-2</v>
      </c>
      <c r="PL35" s="962">
        <f>[1]!mbtool(2,17,0,1)</f>
        <v>9.5138888888888884E-2</v>
      </c>
      <c r="PM35" s="962">
        <f>[1]!mbtool(2,17,0,1)</f>
        <v>9.5138888888888884E-2</v>
      </c>
      <c r="PN35" s="962">
        <f>[1]!mbtool(2,17,0,1)</f>
        <v>9.5138888888888884E-2</v>
      </c>
      <c r="PO35" s="962">
        <f>[1]!mbtool(2,17,0,1)</f>
        <v>9.5138888888888884E-2</v>
      </c>
      <c r="PP35" s="962">
        <f>[1]!mbtool(2,17,0,1)</f>
        <v>9.5138888888888884E-2</v>
      </c>
      <c r="PQ35" s="962">
        <f>[1]!mbtool(2,17,0,1)</f>
        <v>9.5138888888888884E-2</v>
      </c>
      <c r="PR35" s="962">
        <f>[1]!mbtool(2,17,0,1)</f>
        <v>9.5138888888888884E-2</v>
      </c>
      <c r="PS35" s="962">
        <f>[1]!mbtool(2,17,0,1)</f>
        <v>9.5138888888888884E-2</v>
      </c>
      <c r="PT35" s="962">
        <f>[1]!mbtool(2,17,0,1)</f>
        <v>9.5138888888888884E-2</v>
      </c>
      <c r="PU35" s="962">
        <f>[1]!mbtool(2,17,0,1)</f>
        <v>9.5138888888888884E-2</v>
      </c>
      <c r="PV35" s="962">
        <f>[1]!mbtool(2,17,0,1)</f>
        <v>9.5138888888888884E-2</v>
      </c>
      <c r="PW35" s="962">
        <f>[1]!mbtool(2,17,0,1)</f>
        <v>9.5138888888888884E-2</v>
      </c>
      <c r="PX35" s="962">
        <f>[1]!mbtool(2,17,0,1)</f>
        <v>9.5138888888888884E-2</v>
      </c>
      <c r="PY35" s="962">
        <f>[1]!mbtool(2,17,0,1)</f>
        <v>9.5138888888888884E-2</v>
      </c>
      <c r="PZ35" s="962">
        <f>[1]!mbtool(2,17,0,1)</f>
        <v>9.5138888888888884E-2</v>
      </c>
      <c r="QA35" s="962">
        <f>[1]!mbtool(2,17,0,1)</f>
        <v>9.5138888888888884E-2</v>
      </c>
      <c r="QB35" s="962">
        <f>[1]!mbtool(2,17,0,1)</f>
        <v>9.5138888888888884E-2</v>
      </c>
      <c r="QC35" s="962">
        <f>[1]!mbtool(2,17,0,1)</f>
        <v>9.5138888888888884E-2</v>
      </c>
      <c r="QD35" s="962">
        <f>[1]!mbtool(2,17,0,1)</f>
        <v>9.5138888888888884E-2</v>
      </c>
      <c r="QE35" s="962">
        <f>[1]!mbtool(2,17,0,1)</f>
        <v>9.5138888888888884E-2</v>
      </c>
      <c r="QF35" s="962">
        <f>[1]!mbtool(2,17,0,1)</f>
        <v>9.5138888888888884E-2</v>
      </c>
      <c r="QG35" s="962">
        <f>[1]!mbtool(2,17,0,1)</f>
        <v>9.5138888888888884E-2</v>
      </c>
      <c r="QH35" s="962">
        <f>[1]!mbtool(2,17,0,1)</f>
        <v>9.5138888888888884E-2</v>
      </c>
      <c r="QI35" s="962">
        <f>[1]!mbtool(2,17,0,1)</f>
        <v>9.5138888888888884E-2</v>
      </c>
      <c r="QJ35" s="962">
        <f>[1]!mbtool(2,17,0,1)</f>
        <v>9.5138888888888884E-2</v>
      </c>
      <c r="QK35" s="962">
        <f>[1]!mbtool(2,17,0,1)</f>
        <v>9.5138888888888884E-2</v>
      </c>
      <c r="QL35" s="962">
        <f>[1]!mbtool(2,17,0,1)</f>
        <v>9.5138888888888884E-2</v>
      </c>
      <c r="QM35" s="962">
        <f>[1]!mbtool(2,17,0,1)</f>
        <v>9.5138888888888884E-2</v>
      </c>
      <c r="QN35" s="962">
        <f>[1]!mbtool(2,17,0,1)</f>
        <v>9.5138888888888884E-2</v>
      </c>
      <c r="QO35" s="962">
        <f>[1]!mbtool(2,17,0,1)</f>
        <v>9.5138888888888884E-2</v>
      </c>
      <c r="QP35" s="962">
        <f>[1]!mbtool(2,17,0,1)</f>
        <v>9.5138888888888884E-2</v>
      </c>
      <c r="QQ35" s="962">
        <f>[1]!mbtool(2,17,0,1)</f>
        <v>9.5138888888888884E-2</v>
      </c>
      <c r="QR35" s="962">
        <f>[1]!mbtool(2,17,0,1)</f>
        <v>9.5138888888888884E-2</v>
      </c>
      <c r="QS35" s="962">
        <f>[1]!mbtool(2,17,0,1)</f>
        <v>9.5138888888888884E-2</v>
      </c>
      <c r="QT35" s="962">
        <f>[1]!mbtool(2,17,0,1)</f>
        <v>9.5138888888888884E-2</v>
      </c>
      <c r="QU35" s="962">
        <f>[1]!mbtool(2,17,0,1)</f>
        <v>9.5138888888888884E-2</v>
      </c>
      <c r="QV35" s="962">
        <f>[1]!mbtool(2,17,0,1)</f>
        <v>9.5138888888888884E-2</v>
      </c>
      <c r="QW35" s="962">
        <f>[1]!mbtool(2,17,0,1)</f>
        <v>9.5138888888888884E-2</v>
      </c>
      <c r="QX35" s="962">
        <f>[1]!mbtool(2,17,0,1)</f>
        <v>9.5138888888888884E-2</v>
      </c>
      <c r="QY35" s="962">
        <f>[1]!mbtool(2,17,0,1)</f>
        <v>9.5138888888888884E-2</v>
      </c>
      <c r="QZ35" s="962">
        <f>[1]!mbtool(2,17,0,1)</f>
        <v>9.5138888888888884E-2</v>
      </c>
      <c r="RA35" s="963">
        <f>[1]!mbtool(2,17,0,1)</f>
        <v>9.5138888888888884E-2</v>
      </c>
    </row>
    <row r="36" spans="1:471" ht="17.25">
      <c r="B36" t="s">
        <v>144</v>
      </c>
      <c r="D36" t="s">
        <v>145</v>
      </c>
      <c r="E36" t="s">
        <v>146</v>
      </c>
      <c r="J36" s="9"/>
      <c r="K36" s="9"/>
      <c r="L36" s="9"/>
      <c r="M36" s="9"/>
      <c r="N36" s="9"/>
      <c r="O36" s="9"/>
      <c r="P36" s="9"/>
      <c r="Q36" s="9"/>
      <c r="R36" s="9"/>
      <c r="S36" s="9"/>
      <c r="T36" s="9"/>
      <c r="U36" s="9"/>
      <c r="V36" s="9"/>
      <c r="W36" s="9"/>
      <c r="X36" s="9"/>
      <c r="Y36" s="9"/>
      <c r="Z36" s="9"/>
      <c r="AA36" s="9"/>
      <c r="AK36" s="759" t="s">
        <v>378</v>
      </c>
      <c r="AL36" s="701" t="e">
        <f>[1]!taqsha(AL28,AL29,[1]!roz(AL30,AL34,0,0),AL31)</f>
        <v>#VALUE!</v>
      </c>
      <c r="AM36" s="304" t="e">
        <f>[1]!taqsha(AM28,AM29,[1]!roz(AM30,AM34,0,0),AM31)</f>
        <v>#VALUE!</v>
      </c>
      <c r="AN36" s="304" t="e">
        <f>[1]!taqsha(AN28,AN29,[1]!roz(AN30,AN34,0,0),AN31)</f>
        <v>#VALUE!</v>
      </c>
      <c r="AO36" s="304" t="e">
        <f>[1]!taqsha(AO28,AO29,[1]!roz(AO30,AO34,0,0),AO31)</f>
        <v>#VALUE!</v>
      </c>
      <c r="AP36" s="304" t="e">
        <f>[1]!taqsha(AP28,AP29,[1]!roz(AP30,AP34,0,0),AP31)</f>
        <v>#VALUE!</v>
      </c>
      <c r="AQ36" s="304" t="e">
        <f>[1]!taqsha(AQ28,AQ29,[1]!roz(AQ30,AQ34,0,0),AQ31)</f>
        <v>#VALUE!</v>
      </c>
      <c r="AR36" s="304" t="e">
        <f>[1]!taqsha(AR28,AR29,[1]!roz(AR30,AR34,0,0),AR31)</f>
        <v>#VALUE!</v>
      </c>
      <c r="AS36" s="304" t="e">
        <f>[1]!taqsha(AS28,AS29,[1]!roz(AS30,AS34,0,0),AS31)</f>
        <v>#VALUE!</v>
      </c>
      <c r="AT36" s="304" t="e">
        <f>[1]!taqsha(AT28,AT29,[1]!roz(AT30,AT34,0,0),AT31)</f>
        <v>#VALUE!</v>
      </c>
      <c r="AU36" s="304" t="e">
        <f>[1]!taqsha(AU28,AU29,[1]!roz(AU30,AU34,0,0),AU31)</f>
        <v>#VALUE!</v>
      </c>
      <c r="AV36" s="304" t="e">
        <f>[1]!taqsha(AV28,AV29,[1]!roz(AV30,AV34,0,0),AV31)</f>
        <v>#VALUE!</v>
      </c>
      <c r="AW36" s="304" t="e">
        <f>[1]!taqsha(AW28,AW29,[1]!roz(AW30,AW34,0,0),AW31)</f>
        <v>#VALUE!</v>
      </c>
      <c r="AX36" s="314"/>
      <c r="DH36" s="797"/>
      <c r="DI36" s="797"/>
      <c r="DJ36" s="961">
        <f t="shared" ref="DJ36:FU36" si="334">35+(41/60)</f>
        <v>35.68333333333333</v>
      </c>
      <c r="DK36" s="962">
        <f t="shared" si="334"/>
        <v>35.68333333333333</v>
      </c>
      <c r="DL36" s="962">
        <f t="shared" si="334"/>
        <v>35.68333333333333</v>
      </c>
      <c r="DM36" s="962">
        <f t="shared" si="334"/>
        <v>35.68333333333333</v>
      </c>
      <c r="DN36" s="962">
        <f t="shared" si="334"/>
        <v>35.68333333333333</v>
      </c>
      <c r="DO36" s="962">
        <f t="shared" si="334"/>
        <v>35.68333333333333</v>
      </c>
      <c r="DP36" s="962">
        <f t="shared" si="334"/>
        <v>35.68333333333333</v>
      </c>
      <c r="DQ36" s="962">
        <f t="shared" si="334"/>
        <v>35.68333333333333</v>
      </c>
      <c r="DR36" s="962">
        <f t="shared" si="334"/>
        <v>35.68333333333333</v>
      </c>
      <c r="DS36" s="962">
        <f t="shared" si="334"/>
        <v>35.68333333333333</v>
      </c>
      <c r="DT36" s="962">
        <f t="shared" si="334"/>
        <v>35.68333333333333</v>
      </c>
      <c r="DU36" s="962">
        <f t="shared" si="334"/>
        <v>35.68333333333333</v>
      </c>
      <c r="DV36" s="962">
        <f t="shared" si="334"/>
        <v>35.68333333333333</v>
      </c>
      <c r="DW36" s="962">
        <f t="shared" si="334"/>
        <v>35.68333333333333</v>
      </c>
      <c r="DX36" s="962">
        <f t="shared" si="334"/>
        <v>35.68333333333333</v>
      </c>
      <c r="DY36" s="962">
        <f t="shared" si="334"/>
        <v>35.68333333333333</v>
      </c>
      <c r="DZ36" s="962">
        <f t="shared" si="334"/>
        <v>35.68333333333333</v>
      </c>
      <c r="EA36" s="962">
        <f t="shared" si="334"/>
        <v>35.68333333333333</v>
      </c>
      <c r="EB36" s="962">
        <f t="shared" si="334"/>
        <v>35.68333333333333</v>
      </c>
      <c r="EC36" s="962">
        <f t="shared" si="334"/>
        <v>35.68333333333333</v>
      </c>
      <c r="ED36" s="962">
        <f t="shared" si="334"/>
        <v>35.68333333333333</v>
      </c>
      <c r="EE36" s="962">
        <f t="shared" si="334"/>
        <v>35.68333333333333</v>
      </c>
      <c r="EF36" s="962">
        <f t="shared" si="334"/>
        <v>35.68333333333333</v>
      </c>
      <c r="EG36" s="962">
        <f t="shared" si="334"/>
        <v>35.68333333333333</v>
      </c>
      <c r="EH36" s="962">
        <f t="shared" si="334"/>
        <v>35.68333333333333</v>
      </c>
      <c r="EI36" s="962">
        <f t="shared" si="334"/>
        <v>35.68333333333333</v>
      </c>
      <c r="EJ36" s="962">
        <f t="shared" si="334"/>
        <v>35.68333333333333</v>
      </c>
      <c r="EK36" s="962">
        <f t="shared" si="334"/>
        <v>35.68333333333333</v>
      </c>
      <c r="EL36" s="962">
        <f t="shared" si="334"/>
        <v>35.68333333333333</v>
      </c>
      <c r="EM36" s="962">
        <f t="shared" si="334"/>
        <v>35.68333333333333</v>
      </c>
      <c r="EN36" s="962">
        <f t="shared" si="334"/>
        <v>35.68333333333333</v>
      </c>
      <c r="EO36" s="962">
        <f t="shared" si="334"/>
        <v>35.68333333333333</v>
      </c>
      <c r="EP36" s="962">
        <f t="shared" si="334"/>
        <v>35.68333333333333</v>
      </c>
      <c r="EQ36" s="962">
        <f t="shared" si="334"/>
        <v>35.68333333333333</v>
      </c>
      <c r="ER36" s="962">
        <f t="shared" si="334"/>
        <v>35.68333333333333</v>
      </c>
      <c r="ES36" s="962">
        <f t="shared" si="334"/>
        <v>35.68333333333333</v>
      </c>
      <c r="ET36" s="962">
        <f t="shared" si="334"/>
        <v>35.68333333333333</v>
      </c>
      <c r="EU36" s="962">
        <f t="shared" si="334"/>
        <v>35.68333333333333</v>
      </c>
      <c r="EV36" s="962">
        <f t="shared" si="334"/>
        <v>35.68333333333333</v>
      </c>
      <c r="EW36" s="962">
        <f t="shared" si="334"/>
        <v>35.68333333333333</v>
      </c>
      <c r="EX36" s="962">
        <f t="shared" si="334"/>
        <v>35.68333333333333</v>
      </c>
      <c r="EY36" s="962">
        <f t="shared" si="334"/>
        <v>35.68333333333333</v>
      </c>
      <c r="EZ36" s="962">
        <f t="shared" si="334"/>
        <v>35.68333333333333</v>
      </c>
      <c r="FA36" s="962">
        <f t="shared" si="334"/>
        <v>35.68333333333333</v>
      </c>
      <c r="FB36" s="962">
        <f t="shared" si="334"/>
        <v>35.68333333333333</v>
      </c>
      <c r="FC36" s="962">
        <f t="shared" si="334"/>
        <v>35.68333333333333</v>
      </c>
      <c r="FD36" s="962">
        <f t="shared" si="334"/>
        <v>35.68333333333333</v>
      </c>
      <c r="FE36" s="962">
        <f t="shared" si="334"/>
        <v>35.68333333333333</v>
      </c>
      <c r="FF36" s="962">
        <f t="shared" si="334"/>
        <v>35.68333333333333</v>
      </c>
      <c r="FG36" s="962">
        <f t="shared" si="334"/>
        <v>35.68333333333333</v>
      </c>
      <c r="FH36" s="962">
        <f t="shared" si="334"/>
        <v>35.68333333333333</v>
      </c>
      <c r="FI36" s="962">
        <f t="shared" si="334"/>
        <v>35.68333333333333</v>
      </c>
      <c r="FJ36" s="962">
        <f t="shared" si="334"/>
        <v>35.68333333333333</v>
      </c>
      <c r="FK36" s="962">
        <f t="shared" si="334"/>
        <v>35.68333333333333</v>
      </c>
      <c r="FL36" s="962">
        <f t="shared" si="334"/>
        <v>35.68333333333333</v>
      </c>
      <c r="FM36" s="962">
        <f t="shared" si="334"/>
        <v>35.68333333333333</v>
      </c>
      <c r="FN36" s="962">
        <f t="shared" si="334"/>
        <v>35.68333333333333</v>
      </c>
      <c r="FO36" s="962">
        <f t="shared" si="334"/>
        <v>35.68333333333333</v>
      </c>
      <c r="FP36" s="962">
        <f t="shared" si="334"/>
        <v>35.68333333333333</v>
      </c>
      <c r="FQ36" s="962">
        <f t="shared" si="334"/>
        <v>35.68333333333333</v>
      </c>
      <c r="FR36" s="962">
        <f t="shared" si="334"/>
        <v>35.68333333333333</v>
      </c>
      <c r="FS36" s="962">
        <f t="shared" si="334"/>
        <v>35.68333333333333</v>
      </c>
      <c r="FT36" s="962">
        <f t="shared" si="334"/>
        <v>35.68333333333333</v>
      </c>
      <c r="FU36" s="962">
        <f t="shared" si="334"/>
        <v>35.68333333333333</v>
      </c>
      <c r="FV36" s="962">
        <f t="shared" ref="FV36:IG36" si="335">35+(41/60)</f>
        <v>35.68333333333333</v>
      </c>
      <c r="FW36" s="962">
        <f t="shared" si="335"/>
        <v>35.68333333333333</v>
      </c>
      <c r="FX36" s="962">
        <f t="shared" si="335"/>
        <v>35.68333333333333</v>
      </c>
      <c r="FY36" s="962">
        <f t="shared" si="335"/>
        <v>35.68333333333333</v>
      </c>
      <c r="FZ36" s="962">
        <f t="shared" si="335"/>
        <v>35.68333333333333</v>
      </c>
      <c r="GA36" s="962">
        <f t="shared" si="335"/>
        <v>35.68333333333333</v>
      </c>
      <c r="GB36" s="962">
        <f t="shared" si="335"/>
        <v>35.68333333333333</v>
      </c>
      <c r="GC36" s="962">
        <f t="shared" si="335"/>
        <v>35.68333333333333</v>
      </c>
      <c r="GD36" s="962">
        <f t="shared" si="335"/>
        <v>35.68333333333333</v>
      </c>
      <c r="GE36" s="962">
        <f t="shared" si="335"/>
        <v>35.68333333333333</v>
      </c>
      <c r="GF36" s="962">
        <f t="shared" si="335"/>
        <v>35.68333333333333</v>
      </c>
      <c r="GG36" s="962">
        <f t="shared" si="335"/>
        <v>35.68333333333333</v>
      </c>
      <c r="GH36" s="962">
        <f t="shared" si="335"/>
        <v>35.68333333333333</v>
      </c>
      <c r="GI36" s="962">
        <f t="shared" si="335"/>
        <v>35.68333333333333</v>
      </c>
      <c r="GJ36" s="962">
        <f t="shared" si="335"/>
        <v>35.68333333333333</v>
      </c>
      <c r="GK36" s="962">
        <f t="shared" si="335"/>
        <v>35.68333333333333</v>
      </c>
      <c r="GL36" s="962">
        <f t="shared" si="335"/>
        <v>35.68333333333333</v>
      </c>
      <c r="GM36" s="962">
        <f t="shared" si="335"/>
        <v>35.68333333333333</v>
      </c>
      <c r="GN36" s="962">
        <f t="shared" si="335"/>
        <v>35.68333333333333</v>
      </c>
      <c r="GO36" s="962">
        <f t="shared" si="335"/>
        <v>35.68333333333333</v>
      </c>
      <c r="GP36" s="962">
        <f t="shared" si="335"/>
        <v>35.68333333333333</v>
      </c>
      <c r="GQ36" s="962">
        <f t="shared" si="335"/>
        <v>35.68333333333333</v>
      </c>
      <c r="GR36" s="962">
        <f t="shared" si="335"/>
        <v>35.68333333333333</v>
      </c>
      <c r="GS36" s="962">
        <f t="shared" si="335"/>
        <v>35.68333333333333</v>
      </c>
      <c r="GT36" s="962">
        <f t="shared" si="335"/>
        <v>35.68333333333333</v>
      </c>
      <c r="GU36" s="962">
        <f t="shared" si="335"/>
        <v>35.68333333333333</v>
      </c>
      <c r="GV36" s="962">
        <f t="shared" si="335"/>
        <v>35.68333333333333</v>
      </c>
      <c r="GW36" s="962">
        <f t="shared" si="335"/>
        <v>35.68333333333333</v>
      </c>
      <c r="GX36" s="962">
        <f t="shared" si="335"/>
        <v>35.68333333333333</v>
      </c>
      <c r="GY36" s="962">
        <f t="shared" si="335"/>
        <v>35.68333333333333</v>
      </c>
      <c r="GZ36" s="962">
        <f t="shared" si="335"/>
        <v>35.68333333333333</v>
      </c>
      <c r="HA36" s="962">
        <f t="shared" si="335"/>
        <v>35.68333333333333</v>
      </c>
      <c r="HB36" s="962">
        <f t="shared" si="335"/>
        <v>35.68333333333333</v>
      </c>
      <c r="HC36" s="962">
        <f t="shared" si="335"/>
        <v>35.68333333333333</v>
      </c>
      <c r="HD36" s="962">
        <f t="shared" si="335"/>
        <v>35.68333333333333</v>
      </c>
      <c r="HE36" s="962">
        <f t="shared" si="335"/>
        <v>35.68333333333333</v>
      </c>
      <c r="HF36" s="962">
        <f t="shared" si="335"/>
        <v>35.68333333333333</v>
      </c>
      <c r="HG36" s="962">
        <f t="shared" si="335"/>
        <v>35.68333333333333</v>
      </c>
      <c r="HH36" s="962">
        <f t="shared" si="335"/>
        <v>35.68333333333333</v>
      </c>
      <c r="HI36" s="962">
        <f t="shared" si="335"/>
        <v>35.68333333333333</v>
      </c>
      <c r="HJ36" s="962">
        <f t="shared" si="335"/>
        <v>35.68333333333333</v>
      </c>
      <c r="HK36" s="962">
        <f t="shared" si="335"/>
        <v>35.68333333333333</v>
      </c>
      <c r="HL36" s="962">
        <f t="shared" si="335"/>
        <v>35.68333333333333</v>
      </c>
      <c r="HM36" s="962">
        <f t="shared" si="335"/>
        <v>35.68333333333333</v>
      </c>
      <c r="HN36" s="962">
        <f t="shared" si="335"/>
        <v>35.68333333333333</v>
      </c>
      <c r="HO36" s="962">
        <f t="shared" si="335"/>
        <v>35.68333333333333</v>
      </c>
      <c r="HP36" s="962">
        <f t="shared" si="335"/>
        <v>35.68333333333333</v>
      </c>
      <c r="HQ36" s="962">
        <f t="shared" si="335"/>
        <v>35.68333333333333</v>
      </c>
      <c r="HR36" s="962">
        <f t="shared" si="335"/>
        <v>35.68333333333333</v>
      </c>
      <c r="HS36" s="962">
        <f t="shared" si="335"/>
        <v>35.68333333333333</v>
      </c>
      <c r="HT36" s="962">
        <f t="shared" si="335"/>
        <v>35.68333333333333</v>
      </c>
      <c r="HU36" s="962">
        <f t="shared" si="335"/>
        <v>35.68333333333333</v>
      </c>
      <c r="HV36" s="962">
        <f t="shared" si="335"/>
        <v>35.68333333333333</v>
      </c>
      <c r="HW36" s="962">
        <f t="shared" si="335"/>
        <v>35.68333333333333</v>
      </c>
      <c r="HX36" s="962">
        <f t="shared" si="335"/>
        <v>35.68333333333333</v>
      </c>
      <c r="HY36" s="962">
        <f t="shared" si="335"/>
        <v>35.68333333333333</v>
      </c>
      <c r="HZ36" s="962">
        <f t="shared" si="335"/>
        <v>35.68333333333333</v>
      </c>
      <c r="IA36" s="962">
        <f t="shared" si="335"/>
        <v>35.68333333333333</v>
      </c>
      <c r="IB36" s="962">
        <f t="shared" si="335"/>
        <v>35.68333333333333</v>
      </c>
      <c r="IC36" s="962">
        <f t="shared" si="335"/>
        <v>35.68333333333333</v>
      </c>
      <c r="ID36" s="962">
        <f t="shared" si="335"/>
        <v>35.68333333333333</v>
      </c>
      <c r="IE36" s="962">
        <f t="shared" si="335"/>
        <v>35.68333333333333</v>
      </c>
      <c r="IF36" s="962">
        <f t="shared" si="335"/>
        <v>35.68333333333333</v>
      </c>
      <c r="IG36" s="962">
        <f t="shared" si="335"/>
        <v>35.68333333333333</v>
      </c>
      <c r="IH36" s="962">
        <f t="shared" ref="IH36:KS36" si="336">35+(41/60)</f>
        <v>35.68333333333333</v>
      </c>
      <c r="II36" s="962">
        <f t="shared" si="336"/>
        <v>35.68333333333333</v>
      </c>
      <c r="IJ36" s="962">
        <f t="shared" si="336"/>
        <v>35.68333333333333</v>
      </c>
      <c r="IK36" s="962">
        <f t="shared" si="336"/>
        <v>35.68333333333333</v>
      </c>
      <c r="IL36" s="962">
        <f t="shared" si="336"/>
        <v>35.68333333333333</v>
      </c>
      <c r="IM36" s="962">
        <f t="shared" si="336"/>
        <v>35.68333333333333</v>
      </c>
      <c r="IN36" s="962">
        <f t="shared" si="336"/>
        <v>35.68333333333333</v>
      </c>
      <c r="IO36" s="962">
        <f t="shared" si="336"/>
        <v>35.68333333333333</v>
      </c>
      <c r="IP36" s="962">
        <f t="shared" si="336"/>
        <v>35.68333333333333</v>
      </c>
      <c r="IQ36" s="962">
        <f t="shared" si="336"/>
        <v>35.68333333333333</v>
      </c>
      <c r="IR36" s="962">
        <f t="shared" si="336"/>
        <v>35.68333333333333</v>
      </c>
      <c r="IS36" s="962">
        <f t="shared" si="336"/>
        <v>35.68333333333333</v>
      </c>
      <c r="IT36" s="962">
        <f t="shared" si="336"/>
        <v>35.68333333333333</v>
      </c>
      <c r="IU36" s="962">
        <f t="shared" si="336"/>
        <v>35.68333333333333</v>
      </c>
      <c r="IV36" s="962">
        <f t="shared" si="336"/>
        <v>35.68333333333333</v>
      </c>
      <c r="IW36" s="962">
        <f t="shared" si="336"/>
        <v>35.68333333333333</v>
      </c>
      <c r="IX36" s="962">
        <f t="shared" si="336"/>
        <v>35.68333333333333</v>
      </c>
      <c r="IY36" s="962">
        <f t="shared" si="336"/>
        <v>35.68333333333333</v>
      </c>
      <c r="IZ36" s="962">
        <f t="shared" si="336"/>
        <v>35.68333333333333</v>
      </c>
      <c r="JA36" s="962">
        <f t="shared" si="336"/>
        <v>35.68333333333333</v>
      </c>
      <c r="JB36" s="962">
        <f t="shared" si="336"/>
        <v>35.68333333333333</v>
      </c>
      <c r="JC36" s="962">
        <f t="shared" si="336"/>
        <v>35.68333333333333</v>
      </c>
      <c r="JD36" s="962">
        <f t="shared" si="336"/>
        <v>35.68333333333333</v>
      </c>
      <c r="JE36" s="962">
        <f t="shared" si="336"/>
        <v>35.68333333333333</v>
      </c>
      <c r="JF36" s="962">
        <f t="shared" si="336"/>
        <v>35.68333333333333</v>
      </c>
      <c r="JG36" s="962">
        <f t="shared" si="336"/>
        <v>35.68333333333333</v>
      </c>
      <c r="JH36" s="962">
        <f t="shared" si="336"/>
        <v>35.68333333333333</v>
      </c>
      <c r="JI36" s="962">
        <f t="shared" si="336"/>
        <v>35.68333333333333</v>
      </c>
      <c r="JJ36" s="962">
        <f t="shared" si="336"/>
        <v>35.68333333333333</v>
      </c>
      <c r="JK36" s="962">
        <f t="shared" si="336"/>
        <v>35.68333333333333</v>
      </c>
      <c r="JL36" s="962">
        <f t="shared" si="336"/>
        <v>35.68333333333333</v>
      </c>
      <c r="JM36" s="962">
        <f t="shared" si="336"/>
        <v>35.68333333333333</v>
      </c>
      <c r="JN36" s="962">
        <f t="shared" si="336"/>
        <v>35.68333333333333</v>
      </c>
      <c r="JO36" s="962">
        <f t="shared" si="336"/>
        <v>35.68333333333333</v>
      </c>
      <c r="JP36" s="962">
        <f t="shared" si="336"/>
        <v>35.68333333333333</v>
      </c>
      <c r="JQ36" s="962">
        <f t="shared" si="336"/>
        <v>35.68333333333333</v>
      </c>
      <c r="JR36" s="962">
        <f t="shared" si="336"/>
        <v>35.68333333333333</v>
      </c>
      <c r="JS36" s="962">
        <f t="shared" si="336"/>
        <v>35.68333333333333</v>
      </c>
      <c r="JT36" s="962">
        <f t="shared" si="336"/>
        <v>35.68333333333333</v>
      </c>
      <c r="JU36" s="962">
        <f t="shared" si="336"/>
        <v>35.68333333333333</v>
      </c>
      <c r="JV36" s="962">
        <f t="shared" si="336"/>
        <v>35.68333333333333</v>
      </c>
      <c r="JW36" s="962">
        <f t="shared" si="336"/>
        <v>35.68333333333333</v>
      </c>
      <c r="JX36" s="962">
        <f t="shared" si="336"/>
        <v>35.68333333333333</v>
      </c>
      <c r="JY36" s="962">
        <f t="shared" si="336"/>
        <v>35.68333333333333</v>
      </c>
      <c r="JZ36" s="962">
        <f t="shared" si="336"/>
        <v>35.68333333333333</v>
      </c>
      <c r="KA36" s="962">
        <f t="shared" si="336"/>
        <v>35.68333333333333</v>
      </c>
      <c r="KB36" s="962">
        <f t="shared" si="336"/>
        <v>35.68333333333333</v>
      </c>
      <c r="KC36" s="962">
        <f t="shared" si="336"/>
        <v>35.68333333333333</v>
      </c>
      <c r="KD36" s="962">
        <f t="shared" si="336"/>
        <v>35.68333333333333</v>
      </c>
      <c r="KE36" s="962">
        <f t="shared" si="336"/>
        <v>35.68333333333333</v>
      </c>
      <c r="KF36" s="962">
        <f t="shared" si="336"/>
        <v>35.68333333333333</v>
      </c>
      <c r="KG36" s="962">
        <f t="shared" si="336"/>
        <v>35.68333333333333</v>
      </c>
      <c r="KH36" s="962">
        <f t="shared" si="336"/>
        <v>35.68333333333333</v>
      </c>
      <c r="KI36" s="962">
        <f t="shared" si="336"/>
        <v>35.68333333333333</v>
      </c>
      <c r="KJ36" s="962">
        <f t="shared" si="336"/>
        <v>35.68333333333333</v>
      </c>
      <c r="KK36" s="962">
        <f t="shared" si="336"/>
        <v>35.68333333333333</v>
      </c>
      <c r="KL36" s="962">
        <f t="shared" si="336"/>
        <v>35.68333333333333</v>
      </c>
      <c r="KM36" s="962">
        <f t="shared" si="336"/>
        <v>35.68333333333333</v>
      </c>
      <c r="KN36" s="962">
        <f t="shared" si="336"/>
        <v>35.68333333333333</v>
      </c>
      <c r="KO36" s="962">
        <f t="shared" si="336"/>
        <v>35.68333333333333</v>
      </c>
      <c r="KP36" s="962">
        <f t="shared" si="336"/>
        <v>35.68333333333333</v>
      </c>
      <c r="KQ36" s="962">
        <f t="shared" si="336"/>
        <v>35.68333333333333</v>
      </c>
      <c r="KR36" s="962">
        <f t="shared" si="336"/>
        <v>35.68333333333333</v>
      </c>
      <c r="KS36" s="962">
        <f t="shared" si="336"/>
        <v>35.68333333333333</v>
      </c>
      <c r="KT36" s="962">
        <f t="shared" ref="KT36:NE36" si="337">35+(41/60)</f>
        <v>35.68333333333333</v>
      </c>
      <c r="KU36" s="962">
        <f t="shared" si="337"/>
        <v>35.68333333333333</v>
      </c>
      <c r="KV36" s="962">
        <f t="shared" si="337"/>
        <v>35.68333333333333</v>
      </c>
      <c r="KW36" s="962">
        <f t="shared" si="337"/>
        <v>35.68333333333333</v>
      </c>
      <c r="KX36" s="962">
        <f t="shared" si="337"/>
        <v>35.68333333333333</v>
      </c>
      <c r="KY36" s="962">
        <f t="shared" si="337"/>
        <v>35.68333333333333</v>
      </c>
      <c r="KZ36" s="962">
        <f t="shared" si="337"/>
        <v>35.68333333333333</v>
      </c>
      <c r="LA36" s="962">
        <f t="shared" si="337"/>
        <v>35.68333333333333</v>
      </c>
      <c r="LB36" s="962">
        <f t="shared" si="337"/>
        <v>35.68333333333333</v>
      </c>
      <c r="LC36" s="962">
        <f t="shared" si="337"/>
        <v>35.68333333333333</v>
      </c>
      <c r="LD36" s="962">
        <f t="shared" si="337"/>
        <v>35.68333333333333</v>
      </c>
      <c r="LE36" s="962">
        <f t="shared" si="337"/>
        <v>35.68333333333333</v>
      </c>
      <c r="LF36" s="962">
        <f t="shared" si="337"/>
        <v>35.68333333333333</v>
      </c>
      <c r="LG36" s="962">
        <f t="shared" si="337"/>
        <v>35.68333333333333</v>
      </c>
      <c r="LH36" s="962">
        <f t="shared" si="337"/>
        <v>35.68333333333333</v>
      </c>
      <c r="LI36" s="962">
        <f t="shared" si="337"/>
        <v>35.68333333333333</v>
      </c>
      <c r="LJ36" s="962">
        <f t="shared" si="337"/>
        <v>35.68333333333333</v>
      </c>
      <c r="LK36" s="962">
        <f t="shared" si="337"/>
        <v>35.68333333333333</v>
      </c>
      <c r="LL36" s="962">
        <f t="shared" si="337"/>
        <v>35.68333333333333</v>
      </c>
      <c r="LM36" s="962">
        <f t="shared" si="337"/>
        <v>35.68333333333333</v>
      </c>
      <c r="LN36" s="962">
        <f t="shared" si="337"/>
        <v>35.68333333333333</v>
      </c>
      <c r="LO36" s="962">
        <f t="shared" si="337"/>
        <v>35.68333333333333</v>
      </c>
      <c r="LP36" s="962">
        <f t="shared" si="337"/>
        <v>35.68333333333333</v>
      </c>
      <c r="LQ36" s="962">
        <f t="shared" si="337"/>
        <v>35.68333333333333</v>
      </c>
      <c r="LR36" s="962">
        <f t="shared" si="337"/>
        <v>35.68333333333333</v>
      </c>
      <c r="LS36" s="962">
        <f t="shared" si="337"/>
        <v>35.68333333333333</v>
      </c>
      <c r="LT36" s="962">
        <f t="shared" si="337"/>
        <v>35.68333333333333</v>
      </c>
      <c r="LU36" s="962">
        <f t="shared" si="337"/>
        <v>35.68333333333333</v>
      </c>
      <c r="LV36" s="962">
        <f t="shared" si="337"/>
        <v>35.68333333333333</v>
      </c>
      <c r="LW36" s="962">
        <f t="shared" si="337"/>
        <v>35.68333333333333</v>
      </c>
      <c r="LX36" s="962">
        <f t="shared" si="337"/>
        <v>35.68333333333333</v>
      </c>
      <c r="LY36" s="962">
        <f t="shared" si="337"/>
        <v>35.68333333333333</v>
      </c>
      <c r="LZ36" s="962">
        <f t="shared" si="337"/>
        <v>35.68333333333333</v>
      </c>
      <c r="MA36" s="962">
        <f t="shared" si="337"/>
        <v>35.68333333333333</v>
      </c>
      <c r="MB36" s="962">
        <f t="shared" si="337"/>
        <v>35.68333333333333</v>
      </c>
      <c r="MC36" s="962">
        <f t="shared" si="337"/>
        <v>35.68333333333333</v>
      </c>
      <c r="MD36" s="962">
        <f t="shared" si="337"/>
        <v>35.68333333333333</v>
      </c>
      <c r="ME36" s="962">
        <f t="shared" si="337"/>
        <v>35.68333333333333</v>
      </c>
      <c r="MF36" s="962">
        <f t="shared" si="337"/>
        <v>35.68333333333333</v>
      </c>
      <c r="MG36" s="962">
        <f t="shared" si="337"/>
        <v>35.68333333333333</v>
      </c>
      <c r="MH36" s="962">
        <f t="shared" si="337"/>
        <v>35.68333333333333</v>
      </c>
      <c r="MI36" s="962">
        <f t="shared" si="337"/>
        <v>35.68333333333333</v>
      </c>
      <c r="MJ36" s="962">
        <f t="shared" si="337"/>
        <v>35.68333333333333</v>
      </c>
      <c r="MK36" s="962">
        <f t="shared" si="337"/>
        <v>35.68333333333333</v>
      </c>
      <c r="ML36" s="962">
        <f t="shared" si="337"/>
        <v>35.68333333333333</v>
      </c>
      <c r="MM36" s="962">
        <f t="shared" si="337"/>
        <v>35.68333333333333</v>
      </c>
      <c r="MN36" s="962">
        <f t="shared" si="337"/>
        <v>35.68333333333333</v>
      </c>
      <c r="MO36" s="962">
        <f t="shared" si="337"/>
        <v>35.68333333333333</v>
      </c>
      <c r="MP36" s="962">
        <f t="shared" si="337"/>
        <v>35.68333333333333</v>
      </c>
      <c r="MQ36" s="962">
        <f t="shared" si="337"/>
        <v>35.68333333333333</v>
      </c>
      <c r="MR36" s="962">
        <f t="shared" si="337"/>
        <v>35.68333333333333</v>
      </c>
      <c r="MS36" s="962">
        <f t="shared" si="337"/>
        <v>35.68333333333333</v>
      </c>
      <c r="MT36" s="962">
        <f t="shared" si="337"/>
        <v>35.68333333333333</v>
      </c>
      <c r="MU36" s="962">
        <f t="shared" si="337"/>
        <v>35.68333333333333</v>
      </c>
      <c r="MV36" s="962">
        <f t="shared" si="337"/>
        <v>35.68333333333333</v>
      </c>
      <c r="MW36" s="962">
        <f t="shared" si="337"/>
        <v>35.68333333333333</v>
      </c>
      <c r="MX36" s="962">
        <f t="shared" si="337"/>
        <v>35.68333333333333</v>
      </c>
      <c r="MY36" s="962">
        <f t="shared" si="337"/>
        <v>35.68333333333333</v>
      </c>
      <c r="MZ36" s="962">
        <f t="shared" si="337"/>
        <v>35.68333333333333</v>
      </c>
      <c r="NA36" s="962">
        <f t="shared" si="337"/>
        <v>35.68333333333333</v>
      </c>
      <c r="NB36" s="962">
        <f t="shared" si="337"/>
        <v>35.68333333333333</v>
      </c>
      <c r="NC36" s="962">
        <f t="shared" si="337"/>
        <v>35.68333333333333</v>
      </c>
      <c r="ND36" s="962">
        <f t="shared" si="337"/>
        <v>35.68333333333333</v>
      </c>
      <c r="NE36" s="962">
        <f t="shared" si="337"/>
        <v>35.68333333333333</v>
      </c>
      <c r="NF36" s="962">
        <f t="shared" ref="NF36:PQ36" si="338">35+(41/60)</f>
        <v>35.68333333333333</v>
      </c>
      <c r="NG36" s="962">
        <f t="shared" si="338"/>
        <v>35.68333333333333</v>
      </c>
      <c r="NH36" s="962">
        <f t="shared" si="338"/>
        <v>35.68333333333333</v>
      </c>
      <c r="NI36" s="962">
        <f t="shared" si="338"/>
        <v>35.68333333333333</v>
      </c>
      <c r="NJ36" s="962">
        <f t="shared" si="338"/>
        <v>35.68333333333333</v>
      </c>
      <c r="NK36" s="962">
        <f t="shared" si="338"/>
        <v>35.68333333333333</v>
      </c>
      <c r="NL36" s="962">
        <f t="shared" si="338"/>
        <v>35.68333333333333</v>
      </c>
      <c r="NM36" s="962">
        <f t="shared" si="338"/>
        <v>35.68333333333333</v>
      </c>
      <c r="NN36" s="962">
        <f t="shared" si="338"/>
        <v>35.68333333333333</v>
      </c>
      <c r="NO36" s="962">
        <f t="shared" si="338"/>
        <v>35.68333333333333</v>
      </c>
      <c r="NP36" s="962">
        <f t="shared" si="338"/>
        <v>35.68333333333333</v>
      </c>
      <c r="NQ36" s="962">
        <f t="shared" si="338"/>
        <v>35.68333333333333</v>
      </c>
      <c r="NR36" s="962">
        <f t="shared" si="338"/>
        <v>35.68333333333333</v>
      </c>
      <c r="NS36" s="962">
        <f t="shared" si="338"/>
        <v>35.68333333333333</v>
      </c>
      <c r="NT36" s="962">
        <f t="shared" si="338"/>
        <v>35.68333333333333</v>
      </c>
      <c r="NU36" s="962">
        <f t="shared" si="338"/>
        <v>35.68333333333333</v>
      </c>
      <c r="NV36" s="962">
        <f t="shared" si="338"/>
        <v>35.68333333333333</v>
      </c>
      <c r="NW36" s="962">
        <f t="shared" si="338"/>
        <v>35.68333333333333</v>
      </c>
      <c r="NX36" s="962">
        <f t="shared" si="338"/>
        <v>35.68333333333333</v>
      </c>
      <c r="NY36" s="962">
        <f t="shared" si="338"/>
        <v>35.68333333333333</v>
      </c>
      <c r="NZ36" s="962">
        <f t="shared" si="338"/>
        <v>35.68333333333333</v>
      </c>
      <c r="OA36" s="962">
        <f t="shared" si="338"/>
        <v>35.68333333333333</v>
      </c>
      <c r="OB36" s="962">
        <f t="shared" si="338"/>
        <v>35.68333333333333</v>
      </c>
      <c r="OC36" s="962">
        <f t="shared" si="338"/>
        <v>35.68333333333333</v>
      </c>
      <c r="OD36" s="962">
        <f t="shared" si="338"/>
        <v>35.68333333333333</v>
      </c>
      <c r="OE36" s="962">
        <f t="shared" si="338"/>
        <v>35.68333333333333</v>
      </c>
      <c r="OF36" s="962">
        <f t="shared" si="338"/>
        <v>35.68333333333333</v>
      </c>
      <c r="OG36" s="962">
        <f t="shared" si="338"/>
        <v>35.68333333333333</v>
      </c>
      <c r="OH36" s="962">
        <f t="shared" si="338"/>
        <v>35.68333333333333</v>
      </c>
      <c r="OI36" s="962">
        <f t="shared" si="338"/>
        <v>35.68333333333333</v>
      </c>
      <c r="OJ36" s="962">
        <f t="shared" si="338"/>
        <v>35.68333333333333</v>
      </c>
      <c r="OK36" s="962">
        <f t="shared" si="338"/>
        <v>35.68333333333333</v>
      </c>
      <c r="OL36" s="962">
        <f t="shared" si="338"/>
        <v>35.68333333333333</v>
      </c>
      <c r="OM36" s="962">
        <f t="shared" si="338"/>
        <v>35.68333333333333</v>
      </c>
      <c r="ON36" s="962">
        <f t="shared" si="338"/>
        <v>35.68333333333333</v>
      </c>
      <c r="OO36" s="962">
        <f t="shared" si="338"/>
        <v>35.68333333333333</v>
      </c>
      <c r="OP36" s="962">
        <f t="shared" si="338"/>
        <v>35.68333333333333</v>
      </c>
      <c r="OQ36" s="962">
        <f t="shared" si="338"/>
        <v>35.68333333333333</v>
      </c>
      <c r="OR36" s="962">
        <f t="shared" si="338"/>
        <v>35.68333333333333</v>
      </c>
      <c r="OS36" s="962">
        <f t="shared" si="338"/>
        <v>35.68333333333333</v>
      </c>
      <c r="OT36" s="962">
        <f t="shared" si="338"/>
        <v>35.68333333333333</v>
      </c>
      <c r="OU36" s="962">
        <f t="shared" si="338"/>
        <v>35.68333333333333</v>
      </c>
      <c r="OV36" s="962">
        <f t="shared" si="338"/>
        <v>35.68333333333333</v>
      </c>
      <c r="OW36" s="962">
        <f t="shared" si="338"/>
        <v>35.68333333333333</v>
      </c>
      <c r="OX36" s="962">
        <f t="shared" si="338"/>
        <v>35.68333333333333</v>
      </c>
      <c r="OY36" s="962">
        <f t="shared" si="338"/>
        <v>35.68333333333333</v>
      </c>
      <c r="OZ36" s="962">
        <f t="shared" si="338"/>
        <v>35.68333333333333</v>
      </c>
      <c r="PA36" s="962">
        <f t="shared" si="338"/>
        <v>35.68333333333333</v>
      </c>
      <c r="PB36" s="962">
        <f t="shared" si="338"/>
        <v>35.68333333333333</v>
      </c>
      <c r="PC36" s="962">
        <f t="shared" si="338"/>
        <v>35.68333333333333</v>
      </c>
      <c r="PD36" s="962">
        <f t="shared" si="338"/>
        <v>35.68333333333333</v>
      </c>
      <c r="PE36" s="962">
        <f t="shared" si="338"/>
        <v>35.68333333333333</v>
      </c>
      <c r="PF36" s="962">
        <f t="shared" si="338"/>
        <v>35.68333333333333</v>
      </c>
      <c r="PG36" s="962">
        <f t="shared" si="338"/>
        <v>35.68333333333333</v>
      </c>
      <c r="PH36" s="962">
        <f t="shared" si="338"/>
        <v>35.68333333333333</v>
      </c>
      <c r="PI36" s="962">
        <f t="shared" si="338"/>
        <v>35.68333333333333</v>
      </c>
      <c r="PJ36" s="962">
        <f t="shared" si="338"/>
        <v>35.68333333333333</v>
      </c>
      <c r="PK36" s="962">
        <f t="shared" si="338"/>
        <v>35.68333333333333</v>
      </c>
      <c r="PL36" s="962">
        <f t="shared" si="338"/>
        <v>35.68333333333333</v>
      </c>
      <c r="PM36" s="962">
        <f t="shared" si="338"/>
        <v>35.68333333333333</v>
      </c>
      <c r="PN36" s="962">
        <f t="shared" si="338"/>
        <v>35.68333333333333</v>
      </c>
      <c r="PO36" s="962">
        <f t="shared" si="338"/>
        <v>35.68333333333333</v>
      </c>
      <c r="PP36" s="962">
        <f t="shared" si="338"/>
        <v>35.68333333333333</v>
      </c>
      <c r="PQ36" s="962">
        <f t="shared" si="338"/>
        <v>35.68333333333333</v>
      </c>
      <c r="PR36" s="962">
        <f t="shared" ref="PR36:RA36" si="339">35+(41/60)</f>
        <v>35.68333333333333</v>
      </c>
      <c r="PS36" s="962">
        <f t="shared" si="339"/>
        <v>35.68333333333333</v>
      </c>
      <c r="PT36" s="962">
        <f t="shared" si="339"/>
        <v>35.68333333333333</v>
      </c>
      <c r="PU36" s="962">
        <f t="shared" si="339"/>
        <v>35.68333333333333</v>
      </c>
      <c r="PV36" s="962">
        <f t="shared" si="339"/>
        <v>35.68333333333333</v>
      </c>
      <c r="PW36" s="962">
        <f t="shared" si="339"/>
        <v>35.68333333333333</v>
      </c>
      <c r="PX36" s="962">
        <f t="shared" si="339"/>
        <v>35.68333333333333</v>
      </c>
      <c r="PY36" s="962">
        <f t="shared" si="339"/>
        <v>35.68333333333333</v>
      </c>
      <c r="PZ36" s="962">
        <f t="shared" si="339"/>
        <v>35.68333333333333</v>
      </c>
      <c r="QA36" s="962">
        <f t="shared" si="339"/>
        <v>35.68333333333333</v>
      </c>
      <c r="QB36" s="962">
        <f t="shared" si="339"/>
        <v>35.68333333333333</v>
      </c>
      <c r="QC36" s="962">
        <f t="shared" si="339"/>
        <v>35.68333333333333</v>
      </c>
      <c r="QD36" s="962">
        <f t="shared" si="339"/>
        <v>35.68333333333333</v>
      </c>
      <c r="QE36" s="962">
        <f t="shared" si="339"/>
        <v>35.68333333333333</v>
      </c>
      <c r="QF36" s="962">
        <f t="shared" si="339"/>
        <v>35.68333333333333</v>
      </c>
      <c r="QG36" s="962">
        <f t="shared" si="339"/>
        <v>35.68333333333333</v>
      </c>
      <c r="QH36" s="962">
        <f t="shared" si="339"/>
        <v>35.68333333333333</v>
      </c>
      <c r="QI36" s="962">
        <f t="shared" si="339"/>
        <v>35.68333333333333</v>
      </c>
      <c r="QJ36" s="962">
        <f t="shared" si="339"/>
        <v>35.68333333333333</v>
      </c>
      <c r="QK36" s="962">
        <f t="shared" si="339"/>
        <v>35.68333333333333</v>
      </c>
      <c r="QL36" s="962">
        <f t="shared" si="339"/>
        <v>35.68333333333333</v>
      </c>
      <c r="QM36" s="962">
        <f t="shared" si="339"/>
        <v>35.68333333333333</v>
      </c>
      <c r="QN36" s="962">
        <f t="shared" si="339"/>
        <v>35.68333333333333</v>
      </c>
      <c r="QO36" s="962">
        <f t="shared" si="339"/>
        <v>35.68333333333333</v>
      </c>
      <c r="QP36" s="962">
        <f t="shared" si="339"/>
        <v>35.68333333333333</v>
      </c>
      <c r="QQ36" s="962">
        <f t="shared" si="339"/>
        <v>35.68333333333333</v>
      </c>
      <c r="QR36" s="962">
        <f t="shared" si="339"/>
        <v>35.68333333333333</v>
      </c>
      <c r="QS36" s="962">
        <f t="shared" si="339"/>
        <v>35.68333333333333</v>
      </c>
      <c r="QT36" s="962">
        <f t="shared" si="339"/>
        <v>35.68333333333333</v>
      </c>
      <c r="QU36" s="962">
        <f t="shared" si="339"/>
        <v>35.68333333333333</v>
      </c>
      <c r="QV36" s="962">
        <f t="shared" si="339"/>
        <v>35.68333333333333</v>
      </c>
      <c r="QW36" s="962">
        <f t="shared" si="339"/>
        <v>35.68333333333333</v>
      </c>
      <c r="QX36" s="962">
        <f t="shared" si="339"/>
        <v>35.68333333333333</v>
      </c>
      <c r="QY36" s="962">
        <f t="shared" si="339"/>
        <v>35.68333333333333</v>
      </c>
      <c r="QZ36" s="962">
        <f t="shared" si="339"/>
        <v>35.68333333333333</v>
      </c>
      <c r="RA36" s="963">
        <f t="shared" si="339"/>
        <v>35.68333333333333</v>
      </c>
    </row>
    <row r="37" spans="1:471" ht="17.25">
      <c r="A37" s="22">
        <f>A34</f>
        <v>22</v>
      </c>
      <c r="B37" s="22">
        <f>B34</f>
        <v>9</v>
      </c>
      <c r="C37" s="22">
        <f>C34</f>
        <v>1442</v>
      </c>
      <c r="D37" t="str">
        <f>D34</f>
        <v>شمسی</v>
      </c>
      <c r="E37">
        <f>E34</f>
        <v>16</v>
      </c>
      <c r="J37" s="9"/>
      <c r="K37" s="9"/>
      <c r="L37" s="9"/>
      <c r="M37" s="9"/>
      <c r="N37" s="9"/>
      <c r="O37" s="9"/>
      <c r="P37" s="9"/>
      <c r="Q37" s="9"/>
      <c r="R37" s="9"/>
      <c r="S37" s="9"/>
      <c r="T37" s="9"/>
      <c r="U37" s="9"/>
      <c r="V37" s="9"/>
      <c r="W37" s="9"/>
      <c r="X37" s="9"/>
      <c r="Y37" s="9"/>
      <c r="Z37" s="9"/>
      <c r="AA37" s="9"/>
      <c r="AK37" s="759"/>
      <c r="AL37" s="701"/>
      <c r="AM37" s="304"/>
      <c r="AN37" s="304"/>
      <c r="AO37" s="304"/>
      <c r="AP37" s="304"/>
      <c r="AQ37" s="304"/>
      <c r="AR37" s="304"/>
      <c r="AS37" s="304"/>
      <c r="AT37" s="304"/>
      <c r="AU37" s="304"/>
      <c r="AV37" s="304"/>
      <c r="AW37" s="304"/>
      <c r="AX37" s="314"/>
      <c r="DH37" s="797">
        <v>5</v>
      </c>
      <c r="DI37" s="797" t="s">
        <v>3499</v>
      </c>
      <c r="DJ37" s="961" t="e">
        <f>[1]!qsn([1]!ml([1]!taqsha(1,1,[1]!roz(DJ34+1,0,0,0),DJ35)),DJ36)/30</f>
        <v>#VALUE!</v>
      </c>
      <c r="DK37" s="962" t="e">
        <f>[1]!qsn([1]!ml([1]!taqsha(1,1,[1]!roz(DK34+1,0,0,0),DK35)),DK36)/30</f>
        <v>#VALUE!</v>
      </c>
      <c r="DL37" s="962" t="e">
        <f>[1]!qsn([1]!ml([1]!taqsha(1,1,[1]!roz(DL34+1,0,0,0),DL35)),DL36)/30</f>
        <v>#VALUE!</v>
      </c>
      <c r="DM37" s="962" t="e">
        <f>[1]!qsn([1]!ml([1]!taqsha(1,1,[1]!roz(DM34+1,0,0,0),DM35)),DM36)/30</f>
        <v>#VALUE!</v>
      </c>
      <c r="DN37" s="962" t="e">
        <f>[1]!qsn([1]!ml([1]!taqsha(1,1,[1]!roz(DN34+1,0,0,0),DN35)),DN36)/30</f>
        <v>#VALUE!</v>
      </c>
      <c r="DO37" s="962" t="e">
        <f>[1]!qsn([1]!ml([1]!taqsha(1,1,[1]!roz(DO34+1,0,0,0),DO35)),DO36)/30</f>
        <v>#VALUE!</v>
      </c>
      <c r="DP37" s="962" t="e">
        <f>[1]!qsn([1]!ml([1]!taqsha(1,1,[1]!roz(DP34+1,0,0,0),DP35)),DP36)/30</f>
        <v>#VALUE!</v>
      </c>
      <c r="DQ37" s="962" t="e">
        <f>[1]!qsn([1]!ml([1]!taqsha(1,1,[1]!roz(DQ34+1,0,0,0),DQ35)),DQ36)/30</f>
        <v>#VALUE!</v>
      </c>
      <c r="DR37" s="962" t="e">
        <f>[1]!qsn([1]!ml([1]!taqsha(1,1,[1]!roz(DR34+1,0,0,0),DR35)),DR36)/30</f>
        <v>#VALUE!</v>
      </c>
      <c r="DS37" s="962" t="e">
        <f>[1]!qsn([1]!ml([1]!taqsha(1,1,[1]!roz(DS34+1,0,0,0),DS35)),DS36)/30</f>
        <v>#VALUE!</v>
      </c>
      <c r="DT37" s="962" t="e">
        <f>[1]!qsn([1]!ml([1]!taqsha(1,1,[1]!roz(DT34+1,0,0,0),DT35)),DT36)/30</f>
        <v>#VALUE!</v>
      </c>
      <c r="DU37" s="962" t="e">
        <f>[1]!qsn([1]!ml([1]!taqsha(1,1,[1]!roz(DU34+1,0,0,0),DU35)),DU36)/30</f>
        <v>#VALUE!</v>
      </c>
      <c r="DV37" s="962" t="e">
        <f>[1]!qsn([1]!ml([1]!taqsha(1,1,[1]!roz(DV34+1,0,0,0),DV35)),DV36)/30</f>
        <v>#VALUE!</v>
      </c>
      <c r="DW37" s="962" t="e">
        <f>[1]!qsn([1]!ml([1]!taqsha(1,1,[1]!roz(DW34+1,0,0,0),DW35)),DW36)/30</f>
        <v>#VALUE!</v>
      </c>
      <c r="DX37" s="962" t="e">
        <f>[1]!qsn([1]!ml([1]!taqsha(1,1,[1]!roz(DX34+1,0,0,0),DX35)),DX36)/30</f>
        <v>#VALUE!</v>
      </c>
      <c r="DY37" s="962" t="e">
        <f>[1]!qsn([1]!ml([1]!taqsha(1,1,[1]!roz(DY34+1,0,0,0),DY35)),DY36)/30</f>
        <v>#VALUE!</v>
      </c>
      <c r="DZ37" s="962" t="e">
        <f>[1]!qsn([1]!ml([1]!taqsha(1,1,[1]!roz(DZ34+1,0,0,0),DZ35)),DZ36)/30</f>
        <v>#VALUE!</v>
      </c>
      <c r="EA37" s="962" t="e">
        <f>[1]!qsn([1]!ml([1]!taqsha(1,1,[1]!roz(EA34+1,0,0,0),EA35)),EA36)/30</f>
        <v>#VALUE!</v>
      </c>
      <c r="EB37" s="962" t="e">
        <f>[1]!qsn([1]!ml([1]!taqsha(1,1,[1]!roz(EB34+1,0,0,0),EB35)),EB36)/30</f>
        <v>#VALUE!</v>
      </c>
      <c r="EC37" s="962" t="e">
        <f>[1]!qsn([1]!ml([1]!taqsha(1,1,[1]!roz(EC34+1,0,0,0),EC35)),EC36)/30</f>
        <v>#VALUE!</v>
      </c>
      <c r="ED37" s="962" t="e">
        <f>[1]!qsn([1]!ml([1]!taqsha(1,1,[1]!roz(ED34+1,0,0,0),ED35)),ED36)/30</f>
        <v>#VALUE!</v>
      </c>
      <c r="EE37" s="962" t="e">
        <f>[1]!qsn([1]!ml([1]!taqsha(1,1,[1]!roz(EE34+1,0,0,0),EE35)),EE36)/30</f>
        <v>#VALUE!</v>
      </c>
      <c r="EF37" s="962" t="e">
        <f>[1]!qsn([1]!ml([1]!taqsha(1,1,[1]!roz(EF34+1,0,0,0),EF35)),EF36)/30</f>
        <v>#VALUE!</v>
      </c>
      <c r="EG37" s="962" t="e">
        <f>[1]!qsn([1]!ml([1]!taqsha(1,1,[1]!roz(EG34+1,0,0,0),EG35)),EG36)/30</f>
        <v>#VALUE!</v>
      </c>
      <c r="EH37" s="962" t="e">
        <f>[1]!qsn([1]!ml([1]!taqsha(1,1,[1]!roz(EH34+1,0,0,0),EH35)),EH36)/30</f>
        <v>#VALUE!</v>
      </c>
      <c r="EI37" s="962" t="e">
        <f>[1]!qsn([1]!ml([1]!taqsha(1,1,[1]!roz(EI34+1,0,0,0),EI35)),EI36)/30</f>
        <v>#VALUE!</v>
      </c>
      <c r="EJ37" s="962" t="e">
        <f>[1]!qsn([1]!ml([1]!taqsha(1,1,[1]!roz(EJ34+1,0,0,0),EJ35)),EJ36)/30</f>
        <v>#VALUE!</v>
      </c>
      <c r="EK37" s="962" t="e">
        <f>[1]!qsn([1]!ml([1]!taqsha(1,1,[1]!roz(EK34+1,0,0,0),EK35)),EK36)/30</f>
        <v>#VALUE!</v>
      </c>
      <c r="EL37" s="962" t="e">
        <f>[1]!qsn([1]!ml([1]!taqsha(1,1,[1]!roz(EL34+1,0,0,0),EL35)),EL36)/30</f>
        <v>#VALUE!</v>
      </c>
      <c r="EM37" s="962" t="e">
        <f>[1]!qsn([1]!ml([1]!taqsha(1,1,[1]!roz(EM34+1,0,0,0),EM35)),EM36)/30</f>
        <v>#VALUE!</v>
      </c>
      <c r="EN37" s="962" t="e">
        <f>[1]!qsn([1]!ml([1]!taqsha(1,1,[1]!roz(EN34+1,0,0,0),EN35)),EN36)/30</f>
        <v>#VALUE!</v>
      </c>
      <c r="EO37" s="962" t="e">
        <f>[1]!qsn([1]!ml([1]!taqsha(1,1,[1]!roz(EO34+1,0,0,0),EO35)),EO36)/30</f>
        <v>#VALUE!</v>
      </c>
      <c r="EP37" s="962" t="e">
        <f>[1]!qsn([1]!ml([1]!taqsha(1,1,[1]!roz(EP34+1,0,0,0),EP35)),EP36)/30</f>
        <v>#VALUE!</v>
      </c>
      <c r="EQ37" s="962" t="e">
        <f>[1]!qsn([1]!ml([1]!taqsha(1,1,[1]!roz(EQ34+1,0,0,0),EQ35)),EQ36)/30</f>
        <v>#VALUE!</v>
      </c>
      <c r="ER37" s="962" t="e">
        <f>[1]!qsn([1]!ml([1]!taqsha(1,1,[1]!roz(ER34+1,0,0,0),ER35)),ER36)/30</f>
        <v>#VALUE!</v>
      </c>
      <c r="ES37" s="962" t="e">
        <f>[1]!qsn([1]!ml([1]!taqsha(1,1,[1]!roz(ES34+1,0,0,0),ES35)),ES36)/30</f>
        <v>#VALUE!</v>
      </c>
      <c r="ET37" s="962" t="e">
        <f>[1]!qsn([1]!ml([1]!taqsha(1,1,[1]!roz(ET34+1,0,0,0),ET35)),ET36)/30</f>
        <v>#VALUE!</v>
      </c>
      <c r="EU37" s="962" t="e">
        <f>[1]!qsn([1]!ml([1]!taqsha(1,1,[1]!roz(EU34+1,0,0,0),EU35)),EU36)/30</f>
        <v>#VALUE!</v>
      </c>
      <c r="EV37" s="962" t="e">
        <f>[1]!qsn([1]!ml([1]!taqsha(1,1,[1]!roz(EV34+1,0,0,0),EV35)),EV36)/30</f>
        <v>#VALUE!</v>
      </c>
      <c r="EW37" s="962" t="e">
        <f>[1]!qsn([1]!ml([1]!taqsha(1,1,[1]!roz(EW34+1,0,0,0),EW35)),EW36)/30</f>
        <v>#VALUE!</v>
      </c>
      <c r="EX37" s="962" t="e">
        <f>[1]!qsn([1]!ml([1]!taqsha(1,1,[1]!roz(EX34+1,0,0,0),EX35)),EX36)/30</f>
        <v>#VALUE!</v>
      </c>
      <c r="EY37" s="962" t="e">
        <f>[1]!qsn([1]!ml([1]!taqsha(1,1,[1]!roz(EY34+1,0,0,0),EY35)),EY36)/30</f>
        <v>#VALUE!</v>
      </c>
      <c r="EZ37" s="962" t="e">
        <f>[1]!qsn([1]!ml([1]!taqsha(1,1,[1]!roz(EZ34+1,0,0,0),EZ35)),EZ36)/30</f>
        <v>#VALUE!</v>
      </c>
      <c r="FA37" s="962" t="e">
        <f>[1]!qsn([1]!ml([1]!taqsha(1,1,[1]!roz(FA34+1,0,0,0),FA35)),FA36)/30</f>
        <v>#VALUE!</v>
      </c>
      <c r="FB37" s="962" t="e">
        <f>[1]!qsn([1]!ml([1]!taqsha(1,1,[1]!roz(FB34+1,0,0,0),FB35)),FB36)/30</f>
        <v>#VALUE!</v>
      </c>
      <c r="FC37" s="962" t="e">
        <f>[1]!qsn([1]!ml([1]!taqsha(1,1,[1]!roz(FC34+1,0,0,0),FC35)),FC36)/30</f>
        <v>#VALUE!</v>
      </c>
      <c r="FD37" s="962" t="e">
        <f>[1]!qsn([1]!ml([1]!taqsha(1,1,[1]!roz(FD34+1,0,0,0),FD35)),FD36)/30</f>
        <v>#VALUE!</v>
      </c>
      <c r="FE37" s="962" t="e">
        <f>[1]!qsn([1]!ml([1]!taqsha(1,1,[1]!roz(FE34+1,0,0,0),FE35)),FE36)/30</f>
        <v>#VALUE!</v>
      </c>
      <c r="FF37" s="962" t="e">
        <f>[1]!qsn([1]!ml([1]!taqsha(1,1,[1]!roz(FF34+1,0,0,0),FF35)),FF36)/30</f>
        <v>#VALUE!</v>
      </c>
      <c r="FG37" s="962" t="e">
        <f>[1]!qsn([1]!ml([1]!taqsha(1,1,[1]!roz(FG34+1,0,0,0),FG35)),FG36)/30</f>
        <v>#VALUE!</v>
      </c>
      <c r="FH37" s="962" t="e">
        <f>[1]!qsn([1]!ml([1]!taqsha(1,1,[1]!roz(FH34+1,0,0,0),FH35)),FH36)/30</f>
        <v>#VALUE!</v>
      </c>
      <c r="FI37" s="962" t="e">
        <f>[1]!qsn([1]!ml([1]!taqsha(1,1,[1]!roz(FI34+1,0,0,0),FI35)),FI36)/30</f>
        <v>#VALUE!</v>
      </c>
      <c r="FJ37" s="962" t="e">
        <f>[1]!qsn([1]!ml([1]!taqsha(1,1,[1]!roz(FJ34+1,0,0,0),FJ35)),FJ36)/30</f>
        <v>#VALUE!</v>
      </c>
      <c r="FK37" s="962" t="e">
        <f>[1]!qsn([1]!ml([1]!taqsha(1,1,[1]!roz(FK34+1,0,0,0),FK35)),FK36)/30</f>
        <v>#VALUE!</v>
      </c>
      <c r="FL37" s="962" t="e">
        <f>[1]!qsn([1]!ml([1]!taqsha(1,1,[1]!roz(FL34+1,0,0,0),FL35)),FL36)/30</f>
        <v>#VALUE!</v>
      </c>
      <c r="FM37" s="962" t="e">
        <f>[1]!qsn([1]!ml([1]!taqsha(1,1,[1]!roz(FM34+1,0,0,0),FM35)),FM36)/30</f>
        <v>#VALUE!</v>
      </c>
      <c r="FN37" s="962" t="e">
        <f>[1]!qsn([1]!ml([1]!taqsha(1,1,[1]!roz(FN34+1,0,0,0),FN35)),FN36)/30</f>
        <v>#VALUE!</v>
      </c>
      <c r="FO37" s="962" t="e">
        <f>[1]!qsn([1]!ml([1]!taqsha(1,1,[1]!roz(FO34+1,0,0,0),FO35)),FO36)/30</f>
        <v>#VALUE!</v>
      </c>
      <c r="FP37" s="962" t="e">
        <f>[1]!qsn([1]!ml([1]!taqsha(1,1,[1]!roz(FP34+1,0,0,0),FP35)),FP36)/30</f>
        <v>#VALUE!</v>
      </c>
      <c r="FQ37" s="962" t="e">
        <f>[1]!qsn([1]!ml([1]!taqsha(1,1,[1]!roz(FQ34+1,0,0,0),FQ35)),FQ36)/30</f>
        <v>#VALUE!</v>
      </c>
      <c r="FR37" s="962" t="e">
        <f>[1]!qsn([1]!ml([1]!taqsha(1,1,[1]!roz(FR34+1,0,0,0),FR35)),FR36)/30</f>
        <v>#VALUE!</v>
      </c>
      <c r="FS37" s="962" t="e">
        <f>[1]!qsn([1]!ml([1]!taqsha(1,1,[1]!roz(FS34+1,0,0,0),FS35)),FS36)/30</f>
        <v>#VALUE!</v>
      </c>
      <c r="FT37" s="962" t="e">
        <f>[1]!qsn([1]!ml([1]!taqsha(1,1,[1]!roz(FT34+1,0,0,0),FT35)),FT36)/30</f>
        <v>#VALUE!</v>
      </c>
      <c r="FU37" s="962" t="e">
        <f>[1]!qsn([1]!ml([1]!taqsha(1,1,[1]!roz(FU34+1,0,0,0),FU35)),FU36)/30</f>
        <v>#VALUE!</v>
      </c>
      <c r="FV37" s="962" t="e">
        <f>[1]!qsn([1]!ml([1]!taqsha(1,1,[1]!roz(FV34+1,0,0,0),FV35)),FV36)/30</f>
        <v>#VALUE!</v>
      </c>
      <c r="FW37" s="962" t="e">
        <f>[1]!qsn([1]!ml([1]!taqsha(1,1,[1]!roz(FW34+1,0,0,0),FW35)),FW36)/30</f>
        <v>#VALUE!</v>
      </c>
      <c r="FX37" s="962" t="e">
        <f>[1]!qsn([1]!ml([1]!taqsha(1,1,[1]!roz(FX34+1,0,0,0),FX35)),FX36)/30</f>
        <v>#VALUE!</v>
      </c>
      <c r="FY37" s="962" t="e">
        <f>[1]!qsn([1]!ml([1]!taqsha(1,1,[1]!roz(FY34+1,0,0,0),FY35)),FY36)/30</f>
        <v>#VALUE!</v>
      </c>
      <c r="FZ37" s="962" t="e">
        <f>[1]!qsn([1]!ml([1]!taqsha(1,1,[1]!roz(FZ34+1,0,0,0),FZ35)),FZ36)/30</f>
        <v>#VALUE!</v>
      </c>
      <c r="GA37" s="962" t="e">
        <f>[1]!qsn([1]!ml([1]!taqsha(1,1,[1]!roz(GA34+1,0,0,0),GA35)),GA36)/30</f>
        <v>#VALUE!</v>
      </c>
      <c r="GB37" s="962" t="e">
        <f>[1]!qsn([1]!ml([1]!taqsha(1,1,[1]!roz(GB34+1,0,0,0),GB35)),GB36)/30</f>
        <v>#VALUE!</v>
      </c>
      <c r="GC37" s="962" t="e">
        <f>[1]!qsn([1]!ml([1]!taqsha(1,1,[1]!roz(GC34+1,0,0,0),GC35)),GC36)/30</f>
        <v>#VALUE!</v>
      </c>
      <c r="GD37" s="962" t="e">
        <f>[1]!qsn([1]!ml([1]!taqsha(1,1,[1]!roz(GD34+1,0,0,0),GD35)),GD36)/30</f>
        <v>#VALUE!</v>
      </c>
      <c r="GE37" s="962" t="e">
        <f>[1]!qsn([1]!ml([1]!taqsha(1,1,[1]!roz(GE34+1,0,0,0),GE35)),GE36)/30</f>
        <v>#VALUE!</v>
      </c>
      <c r="GF37" s="962" t="e">
        <f>[1]!qsn([1]!ml([1]!taqsha(1,1,[1]!roz(GF34+1,0,0,0),GF35)),GF36)/30</f>
        <v>#VALUE!</v>
      </c>
      <c r="GG37" s="962" t="e">
        <f>[1]!qsn([1]!ml([1]!taqsha(1,1,[1]!roz(GG34+1,0,0,0),GG35)),GG36)/30</f>
        <v>#VALUE!</v>
      </c>
      <c r="GH37" s="962" t="e">
        <f>[1]!qsn([1]!ml([1]!taqsha(1,1,[1]!roz(GH34+1,0,0,0),GH35)),GH36)/30</f>
        <v>#VALUE!</v>
      </c>
      <c r="GI37" s="962" t="e">
        <f>[1]!qsn([1]!ml([1]!taqsha(1,1,[1]!roz(GI34+1,0,0,0),GI35)),GI36)/30</f>
        <v>#VALUE!</v>
      </c>
      <c r="GJ37" s="962" t="e">
        <f>[1]!qsn([1]!ml([1]!taqsha(1,1,[1]!roz(GJ34+1,0,0,0),GJ35)),GJ36)/30</f>
        <v>#VALUE!</v>
      </c>
      <c r="GK37" s="962" t="e">
        <f>[1]!qsn([1]!ml([1]!taqsha(1,1,[1]!roz(GK34+1,0,0,0),GK35)),GK36)/30</f>
        <v>#VALUE!</v>
      </c>
      <c r="GL37" s="962" t="e">
        <f>[1]!qsn([1]!ml([1]!taqsha(1,1,[1]!roz(GL34+1,0,0,0),GL35)),GL36)/30</f>
        <v>#VALUE!</v>
      </c>
      <c r="GM37" s="962" t="e">
        <f>[1]!qsn([1]!ml([1]!taqsha(1,1,[1]!roz(GM34+1,0,0,0),GM35)),GM36)/30</f>
        <v>#VALUE!</v>
      </c>
      <c r="GN37" s="962" t="e">
        <f>[1]!qsn([1]!ml([1]!taqsha(1,1,[1]!roz(GN34+1,0,0,0),GN35)),GN36)/30</f>
        <v>#VALUE!</v>
      </c>
      <c r="GO37" s="962" t="e">
        <f>[1]!qsn([1]!ml([1]!taqsha(1,1,[1]!roz(GO34+1,0,0,0),GO35)),GO36)/30</f>
        <v>#VALUE!</v>
      </c>
      <c r="GP37" s="962" t="e">
        <f>[1]!qsn([1]!ml([1]!taqsha(1,1,[1]!roz(GP34+1,0,0,0),GP35)),GP36)/30</f>
        <v>#VALUE!</v>
      </c>
      <c r="GQ37" s="962" t="e">
        <f>[1]!qsn([1]!ml([1]!taqsha(1,1,[1]!roz(GQ34+1,0,0,0),GQ35)),GQ36)/30</f>
        <v>#VALUE!</v>
      </c>
      <c r="GR37" s="962" t="e">
        <f>[1]!qsn([1]!ml([1]!taqsha(1,1,[1]!roz(GR34+1,0,0,0),GR35)),GR36)/30</f>
        <v>#VALUE!</v>
      </c>
      <c r="GS37" s="962" t="e">
        <f>[1]!qsn([1]!ml([1]!taqsha(1,1,[1]!roz(GS34+1,0,0,0),GS35)),GS36)/30</f>
        <v>#VALUE!</v>
      </c>
      <c r="GT37" s="962" t="e">
        <f>[1]!qsn([1]!ml([1]!taqsha(1,1,[1]!roz(GT34+1,0,0,0),GT35)),GT36)/30</f>
        <v>#VALUE!</v>
      </c>
      <c r="GU37" s="962" t="e">
        <f>[1]!qsn([1]!ml([1]!taqsha(1,1,[1]!roz(GU34+1,0,0,0),GU35)),GU36)/30</f>
        <v>#VALUE!</v>
      </c>
      <c r="GV37" s="962" t="e">
        <f>[1]!qsn([1]!ml([1]!taqsha(1,1,[1]!roz(GV34+1,0,0,0),GV35)),GV36)/30</f>
        <v>#VALUE!</v>
      </c>
      <c r="GW37" s="962" t="e">
        <f>[1]!qsn([1]!ml([1]!taqsha(1,1,[1]!roz(GW34+1,0,0,0),GW35)),GW36)/30</f>
        <v>#VALUE!</v>
      </c>
      <c r="GX37" s="962" t="e">
        <f>[1]!qsn([1]!ml([1]!taqsha(1,1,[1]!roz(GX34+1,0,0,0),GX35)),GX36)/30</f>
        <v>#VALUE!</v>
      </c>
      <c r="GY37" s="962" t="e">
        <f>[1]!qsn([1]!ml([1]!taqsha(1,1,[1]!roz(GY34+1,0,0,0),GY35)),GY36)/30</f>
        <v>#VALUE!</v>
      </c>
      <c r="GZ37" s="962" t="e">
        <f>[1]!qsn([1]!ml([1]!taqsha(1,1,[1]!roz(GZ34+1,0,0,0),GZ35)),GZ36)/30</f>
        <v>#VALUE!</v>
      </c>
      <c r="HA37" s="962" t="e">
        <f>[1]!qsn([1]!ml([1]!taqsha(1,1,[1]!roz(HA34+1,0,0,0),HA35)),HA36)/30</f>
        <v>#VALUE!</v>
      </c>
      <c r="HB37" s="962" t="e">
        <f>[1]!qsn([1]!ml([1]!taqsha(1,1,[1]!roz(HB34+1,0,0,0),HB35)),HB36)/30</f>
        <v>#VALUE!</v>
      </c>
      <c r="HC37" s="962" t="e">
        <f>[1]!qsn([1]!ml([1]!taqsha(1,1,[1]!roz(HC34+1,0,0,0),HC35)),HC36)/30</f>
        <v>#VALUE!</v>
      </c>
      <c r="HD37" s="962" t="e">
        <f>[1]!qsn([1]!ml([1]!taqsha(1,1,[1]!roz(HD34+1,0,0,0),HD35)),HD36)/30</f>
        <v>#VALUE!</v>
      </c>
      <c r="HE37" s="962" t="e">
        <f>[1]!qsn([1]!ml([1]!taqsha(1,1,[1]!roz(HE34+1,0,0,0),HE35)),HE36)/30</f>
        <v>#VALUE!</v>
      </c>
      <c r="HF37" s="962" t="e">
        <f>[1]!qsn([1]!ml([1]!taqsha(1,1,[1]!roz(HF34+1,0,0,0),HF35)),HF36)/30</f>
        <v>#VALUE!</v>
      </c>
      <c r="HG37" s="962" t="e">
        <f>[1]!qsn([1]!ml([1]!taqsha(1,1,[1]!roz(HG34+1,0,0,0),HG35)),HG36)/30</f>
        <v>#VALUE!</v>
      </c>
      <c r="HH37" s="962" t="e">
        <f>[1]!qsn([1]!ml([1]!taqsha(1,1,[1]!roz(HH34+1,0,0,0),HH35)),HH36)/30</f>
        <v>#VALUE!</v>
      </c>
      <c r="HI37" s="962" t="e">
        <f>[1]!qsn([1]!ml([1]!taqsha(1,1,[1]!roz(HI34+1,0,0,0),HI35)),HI36)/30</f>
        <v>#VALUE!</v>
      </c>
      <c r="HJ37" s="962" t="e">
        <f>[1]!qsn([1]!ml([1]!taqsha(1,1,[1]!roz(HJ34+1,0,0,0),HJ35)),HJ36)/30</f>
        <v>#VALUE!</v>
      </c>
      <c r="HK37" s="962" t="e">
        <f>[1]!qsn([1]!ml([1]!taqsha(1,1,[1]!roz(HK34+1,0,0,0),HK35)),HK36)/30</f>
        <v>#VALUE!</v>
      </c>
      <c r="HL37" s="962" t="e">
        <f>[1]!qsn([1]!ml([1]!taqsha(1,1,[1]!roz(HL34+1,0,0,0),HL35)),HL36)/30</f>
        <v>#VALUE!</v>
      </c>
      <c r="HM37" s="962" t="e">
        <f>[1]!qsn([1]!ml([1]!taqsha(1,1,[1]!roz(HM34+1,0,0,0),HM35)),HM36)/30</f>
        <v>#VALUE!</v>
      </c>
      <c r="HN37" s="962" t="e">
        <f>[1]!qsn([1]!ml([1]!taqsha(1,1,[1]!roz(HN34+1,0,0,0),HN35)),HN36)/30</f>
        <v>#VALUE!</v>
      </c>
      <c r="HO37" s="962" t="e">
        <f>[1]!qsn([1]!ml([1]!taqsha(1,1,[1]!roz(HO34+1,0,0,0),HO35)),HO36)/30</f>
        <v>#VALUE!</v>
      </c>
      <c r="HP37" s="962" t="e">
        <f>[1]!qsn([1]!ml([1]!taqsha(1,1,[1]!roz(HP34+1,0,0,0),HP35)),HP36)/30</f>
        <v>#VALUE!</v>
      </c>
      <c r="HQ37" s="962" t="e">
        <f>[1]!qsn([1]!ml([1]!taqsha(1,1,[1]!roz(HQ34+1,0,0,0),HQ35)),HQ36)/30</f>
        <v>#VALUE!</v>
      </c>
      <c r="HR37" s="962" t="e">
        <f>[1]!qsn([1]!ml([1]!taqsha(1,1,[1]!roz(HR34+1,0,0,0),HR35)),HR36)/30</f>
        <v>#VALUE!</v>
      </c>
      <c r="HS37" s="962" t="e">
        <f>[1]!qsn([1]!ml([1]!taqsha(1,1,[1]!roz(HS34+1,0,0,0),HS35)),HS36)/30</f>
        <v>#VALUE!</v>
      </c>
      <c r="HT37" s="962" t="e">
        <f>[1]!qsn([1]!ml([1]!taqsha(1,1,[1]!roz(HT34+1,0,0,0),HT35)),HT36)/30</f>
        <v>#VALUE!</v>
      </c>
      <c r="HU37" s="962" t="e">
        <f>[1]!qsn([1]!ml([1]!taqsha(1,1,[1]!roz(HU34+1,0,0,0),HU35)),HU36)/30</f>
        <v>#VALUE!</v>
      </c>
      <c r="HV37" s="962" t="e">
        <f>[1]!qsn([1]!ml([1]!taqsha(1,1,[1]!roz(HV34+1,0,0,0),HV35)),HV36)/30</f>
        <v>#VALUE!</v>
      </c>
      <c r="HW37" s="962" t="e">
        <f>[1]!qsn([1]!ml([1]!taqsha(1,1,[1]!roz(HW34+1,0,0,0),HW35)),HW36)/30</f>
        <v>#VALUE!</v>
      </c>
      <c r="HX37" s="962" t="e">
        <f>[1]!qsn([1]!ml([1]!taqsha(1,1,[1]!roz(HX34+1,0,0,0),HX35)),HX36)/30</f>
        <v>#VALUE!</v>
      </c>
      <c r="HY37" s="962" t="e">
        <f>[1]!qsn([1]!ml([1]!taqsha(1,1,[1]!roz(HY34+1,0,0,0),HY35)),HY36)/30</f>
        <v>#VALUE!</v>
      </c>
      <c r="HZ37" s="962" t="e">
        <f>[1]!qsn([1]!ml([1]!taqsha(1,1,[1]!roz(HZ34+1,0,0,0),HZ35)),HZ36)/30</f>
        <v>#VALUE!</v>
      </c>
      <c r="IA37" s="962" t="e">
        <f>[1]!qsn([1]!ml([1]!taqsha(1,1,[1]!roz(IA34+1,0,0,0),IA35)),IA36)/30</f>
        <v>#VALUE!</v>
      </c>
      <c r="IB37" s="962" t="e">
        <f>[1]!qsn([1]!ml([1]!taqsha(1,1,[1]!roz(IB34+1,0,0,0),IB35)),IB36)/30</f>
        <v>#VALUE!</v>
      </c>
      <c r="IC37" s="962" t="e">
        <f>[1]!qsn([1]!ml([1]!taqsha(1,1,[1]!roz(IC34+1,0,0,0),IC35)),IC36)/30</f>
        <v>#VALUE!</v>
      </c>
      <c r="ID37" s="962" t="e">
        <f>[1]!qsn([1]!ml([1]!taqsha(1,1,[1]!roz(ID34+1,0,0,0),ID35)),ID36)/30</f>
        <v>#VALUE!</v>
      </c>
      <c r="IE37" s="962" t="e">
        <f>[1]!qsn([1]!ml([1]!taqsha(1,1,[1]!roz(IE34+1,0,0,0),IE35)),IE36)/30</f>
        <v>#VALUE!</v>
      </c>
      <c r="IF37" s="962" t="e">
        <f>[1]!qsn([1]!ml([1]!taqsha(1,1,[1]!roz(IF34+1,0,0,0),IF35)),IF36)/30</f>
        <v>#VALUE!</v>
      </c>
      <c r="IG37" s="962" t="e">
        <f>[1]!qsn([1]!ml([1]!taqsha(1,1,[1]!roz(IG34+1,0,0,0),IG35)),IG36)/30</f>
        <v>#VALUE!</v>
      </c>
      <c r="IH37" s="962" t="e">
        <f>[1]!qsn([1]!ml([1]!taqsha(1,1,[1]!roz(IH34+1,0,0,0),IH35)),IH36)/30</f>
        <v>#VALUE!</v>
      </c>
      <c r="II37" s="962" t="e">
        <f>[1]!qsn([1]!ml([1]!taqsha(1,1,[1]!roz(II34+1,0,0,0),II35)),II36)/30</f>
        <v>#VALUE!</v>
      </c>
      <c r="IJ37" s="962" t="e">
        <f>[1]!qsn([1]!ml([1]!taqsha(1,1,[1]!roz(IJ34+1,0,0,0),IJ35)),IJ36)/30</f>
        <v>#VALUE!</v>
      </c>
      <c r="IK37" s="962" t="e">
        <f>[1]!qsn([1]!ml([1]!taqsha(1,1,[1]!roz(IK34+1,0,0,0),IK35)),IK36)/30</f>
        <v>#VALUE!</v>
      </c>
      <c r="IL37" s="962" t="e">
        <f>[1]!qsn([1]!ml([1]!taqsha(1,1,[1]!roz(IL34+1,0,0,0),IL35)),IL36)/30</f>
        <v>#VALUE!</v>
      </c>
      <c r="IM37" s="962" t="e">
        <f>[1]!qsn([1]!ml([1]!taqsha(1,1,[1]!roz(IM34+1,0,0,0),IM35)),IM36)/30</f>
        <v>#VALUE!</v>
      </c>
      <c r="IN37" s="962" t="e">
        <f>[1]!qsn([1]!ml([1]!taqsha(1,1,[1]!roz(IN34+1,0,0,0),IN35)),IN36)/30</f>
        <v>#VALUE!</v>
      </c>
      <c r="IO37" s="962" t="e">
        <f>[1]!qsn([1]!ml([1]!taqsha(1,1,[1]!roz(IO34+1,0,0,0),IO35)),IO36)/30</f>
        <v>#VALUE!</v>
      </c>
      <c r="IP37" s="962" t="e">
        <f>[1]!qsn([1]!ml([1]!taqsha(1,1,[1]!roz(IP34+1,0,0,0),IP35)),IP36)/30</f>
        <v>#VALUE!</v>
      </c>
      <c r="IQ37" s="962" t="e">
        <f>[1]!qsn([1]!ml([1]!taqsha(1,1,[1]!roz(IQ34+1,0,0,0),IQ35)),IQ36)/30</f>
        <v>#VALUE!</v>
      </c>
      <c r="IR37" s="962" t="e">
        <f>[1]!qsn([1]!ml([1]!taqsha(1,1,[1]!roz(IR34+1,0,0,0),IR35)),IR36)/30</f>
        <v>#VALUE!</v>
      </c>
      <c r="IS37" s="962" t="e">
        <f>[1]!qsn([1]!ml([1]!taqsha(1,1,[1]!roz(IS34+1,0,0,0),IS35)),IS36)/30</f>
        <v>#VALUE!</v>
      </c>
      <c r="IT37" s="962" t="e">
        <f>[1]!qsn([1]!ml([1]!taqsha(1,1,[1]!roz(IT34+1,0,0,0),IT35)),IT36)/30</f>
        <v>#VALUE!</v>
      </c>
      <c r="IU37" s="962" t="e">
        <f>[1]!qsn([1]!ml([1]!taqsha(1,1,[1]!roz(IU34+1,0,0,0),IU35)),IU36)/30</f>
        <v>#VALUE!</v>
      </c>
      <c r="IV37" s="962" t="e">
        <f>[1]!qsn([1]!ml([1]!taqsha(1,1,[1]!roz(IV34+1,0,0,0),IV35)),IV36)/30</f>
        <v>#VALUE!</v>
      </c>
      <c r="IW37" s="962" t="e">
        <f>[1]!qsn([1]!ml([1]!taqsha(1,1,[1]!roz(IW34+1,0,0,0),IW35)),IW36)/30</f>
        <v>#VALUE!</v>
      </c>
      <c r="IX37" s="962" t="e">
        <f>[1]!qsn([1]!ml([1]!taqsha(1,1,[1]!roz(IX34+1,0,0,0),IX35)),IX36)/30</f>
        <v>#VALUE!</v>
      </c>
      <c r="IY37" s="962" t="e">
        <f>[1]!qsn([1]!ml([1]!taqsha(1,1,[1]!roz(IY34+1,0,0,0),IY35)),IY36)/30</f>
        <v>#VALUE!</v>
      </c>
      <c r="IZ37" s="962" t="e">
        <f>[1]!qsn([1]!ml([1]!taqsha(1,1,[1]!roz(IZ34+1,0,0,0),IZ35)),IZ36)/30</f>
        <v>#VALUE!</v>
      </c>
      <c r="JA37" s="962" t="e">
        <f>[1]!qsn([1]!ml([1]!taqsha(1,1,[1]!roz(JA34+1,0,0,0),JA35)),JA36)/30</f>
        <v>#VALUE!</v>
      </c>
      <c r="JB37" s="962" t="e">
        <f>[1]!qsn([1]!ml([1]!taqsha(1,1,[1]!roz(JB34+1,0,0,0),JB35)),JB36)/30</f>
        <v>#VALUE!</v>
      </c>
      <c r="JC37" s="962" t="e">
        <f>[1]!qsn([1]!ml([1]!taqsha(1,1,[1]!roz(JC34+1,0,0,0),JC35)),JC36)/30</f>
        <v>#VALUE!</v>
      </c>
      <c r="JD37" s="962" t="e">
        <f>[1]!qsn([1]!ml([1]!taqsha(1,1,[1]!roz(JD34+1,0,0,0),JD35)),JD36)/30</f>
        <v>#VALUE!</v>
      </c>
      <c r="JE37" s="962" t="e">
        <f>[1]!qsn([1]!ml([1]!taqsha(1,1,[1]!roz(JE34+1,0,0,0),JE35)),JE36)/30</f>
        <v>#VALUE!</v>
      </c>
      <c r="JF37" s="962" t="e">
        <f>[1]!qsn([1]!ml([1]!taqsha(1,1,[1]!roz(JF34+1,0,0,0),JF35)),JF36)/30</f>
        <v>#VALUE!</v>
      </c>
      <c r="JG37" s="962" t="e">
        <f>[1]!qsn([1]!ml([1]!taqsha(1,1,[1]!roz(JG34+1,0,0,0),JG35)),JG36)/30</f>
        <v>#VALUE!</v>
      </c>
      <c r="JH37" s="962" t="e">
        <f>[1]!qsn([1]!ml([1]!taqsha(1,1,[1]!roz(JH34+1,0,0,0),JH35)),JH36)/30</f>
        <v>#VALUE!</v>
      </c>
      <c r="JI37" s="962" t="e">
        <f>[1]!qsn([1]!ml([1]!taqsha(1,1,[1]!roz(JI34+1,0,0,0),JI35)),JI36)/30</f>
        <v>#VALUE!</v>
      </c>
      <c r="JJ37" s="962" t="e">
        <f>[1]!qsn([1]!ml([1]!taqsha(1,1,[1]!roz(JJ34+1,0,0,0),JJ35)),JJ36)/30</f>
        <v>#VALUE!</v>
      </c>
      <c r="JK37" s="962" t="e">
        <f>[1]!qsn([1]!ml([1]!taqsha(1,1,[1]!roz(JK34+1,0,0,0),JK35)),JK36)/30</f>
        <v>#VALUE!</v>
      </c>
      <c r="JL37" s="962" t="e">
        <f>[1]!qsn([1]!ml([1]!taqsha(1,1,[1]!roz(JL34+1,0,0,0),JL35)),JL36)/30</f>
        <v>#VALUE!</v>
      </c>
      <c r="JM37" s="962" t="e">
        <f>[1]!qsn([1]!ml([1]!taqsha(1,1,[1]!roz(JM34+1,0,0,0),JM35)),JM36)/30</f>
        <v>#VALUE!</v>
      </c>
      <c r="JN37" s="962" t="e">
        <f>[1]!qsn([1]!ml([1]!taqsha(1,1,[1]!roz(JN34+1,0,0,0),JN35)),JN36)/30</f>
        <v>#VALUE!</v>
      </c>
      <c r="JO37" s="962" t="e">
        <f>[1]!qsn([1]!ml([1]!taqsha(1,1,[1]!roz(JO34+1,0,0,0),JO35)),JO36)/30</f>
        <v>#VALUE!</v>
      </c>
      <c r="JP37" s="962" t="e">
        <f>[1]!qsn([1]!ml([1]!taqsha(1,1,[1]!roz(JP34+1,0,0,0),JP35)),JP36)/30</f>
        <v>#VALUE!</v>
      </c>
      <c r="JQ37" s="962" t="e">
        <f>[1]!qsn([1]!ml([1]!taqsha(1,1,[1]!roz(JQ34+1,0,0,0),JQ35)),JQ36)/30</f>
        <v>#VALUE!</v>
      </c>
      <c r="JR37" s="962" t="e">
        <f>[1]!qsn([1]!ml([1]!taqsha(1,1,[1]!roz(JR34+1,0,0,0),JR35)),JR36)/30</f>
        <v>#VALUE!</v>
      </c>
      <c r="JS37" s="962" t="e">
        <f>[1]!qsn([1]!ml([1]!taqsha(1,1,[1]!roz(JS34+1,0,0,0),JS35)),JS36)/30</f>
        <v>#VALUE!</v>
      </c>
      <c r="JT37" s="962" t="e">
        <f>[1]!qsn([1]!ml([1]!taqsha(1,1,[1]!roz(JT34+1,0,0,0),JT35)),JT36)/30</f>
        <v>#VALUE!</v>
      </c>
      <c r="JU37" s="962" t="e">
        <f>[1]!qsn([1]!ml([1]!taqsha(1,1,[1]!roz(JU34+1,0,0,0),JU35)),JU36)/30</f>
        <v>#VALUE!</v>
      </c>
      <c r="JV37" s="962" t="e">
        <f>[1]!qsn([1]!ml([1]!taqsha(1,1,[1]!roz(JV34+1,0,0,0),JV35)),JV36)/30</f>
        <v>#VALUE!</v>
      </c>
      <c r="JW37" s="962" t="e">
        <f>[1]!qsn([1]!ml([1]!taqsha(1,1,[1]!roz(JW34+1,0,0,0),JW35)),JW36)/30</f>
        <v>#VALUE!</v>
      </c>
      <c r="JX37" s="962" t="e">
        <f>[1]!qsn([1]!ml([1]!taqsha(1,1,[1]!roz(JX34+1,0,0,0),JX35)),JX36)/30</f>
        <v>#VALUE!</v>
      </c>
      <c r="JY37" s="962" t="e">
        <f>[1]!qsn([1]!ml([1]!taqsha(1,1,[1]!roz(JY34+1,0,0,0),JY35)),JY36)/30</f>
        <v>#VALUE!</v>
      </c>
      <c r="JZ37" s="962" t="e">
        <f>[1]!qsn([1]!ml([1]!taqsha(1,1,[1]!roz(JZ34+1,0,0,0),JZ35)),JZ36)/30</f>
        <v>#VALUE!</v>
      </c>
      <c r="KA37" s="962" t="e">
        <f>[1]!qsn([1]!ml([1]!taqsha(1,1,[1]!roz(KA34+1,0,0,0),KA35)),KA36)/30</f>
        <v>#VALUE!</v>
      </c>
      <c r="KB37" s="962" t="e">
        <f>[1]!qsn([1]!ml([1]!taqsha(1,1,[1]!roz(KB34+1,0,0,0),KB35)),KB36)/30</f>
        <v>#VALUE!</v>
      </c>
      <c r="KC37" s="962" t="e">
        <f>[1]!qsn([1]!ml([1]!taqsha(1,1,[1]!roz(KC34+1,0,0,0),KC35)),KC36)/30</f>
        <v>#VALUE!</v>
      </c>
      <c r="KD37" s="962" t="e">
        <f>[1]!qsn([1]!ml([1]!taqsha(1,1,[1]!roz(KD34+1,0,0,0),KD35)),KD36)/30</f>
        <v>#VALUE!</v>
      </c>
      <c r="KE37" s="962" t="e">
        <f>[1]!qsn([1]!ml([1]!taqsha(1,1,[1]!roz(KE34+1,0,0,0),KE35)),KE36)/30</f>
        <v>#VALUE!</v>
      </c>
      <c r="KF37" s="962" t="e">
        <f>[1]!qsn([1]!ml([1]!taqsha(1,1,[1]!roz(KF34+1,0,0,0),KF35)),KF36)/30</f>
        <v>#VALUE!</v>
      </c>
      <c r="KG37" s="962" t="e">
        <f>[1]!qsn([1]!ml([1]!taqsha(1,1,[1]!roz(KG34+1,0,0,0),KG35)),KG36)/30</f>
        <v>#VALUE!</v>
      </c>
      <c r="KH37" s="962" t="e">
        <f>[1]!qsn([1]!ml([1]!taqsha(1,1,[1]!roz(KH34+1,0,0,0),KH35)),KH36)/30</f>
        <v>#VALUE!</v>
      </c>
      <c r="KI37" s="962" t="e">
        <f>[1]!qsn([1]!ml([1]!taqsha(1,1,[1]!roz(KI34+1,0,0,0),KI35)),KI36)/30</f>
        <v>#VALUE!</v>
      </c>
      <c r="KJ37" s="962" t="e">
        <f>[1]!qsn([1]!ml([1]!taqsha(1,1,[1]!roz(KJ34+1,0,0,0),KJ35)),KJ36)/30</f>
        <v>#VALUE!</v>
      </c>
      <c r="KK37" s="962" t="e">
        <f>[1]!qsn([1]!ml([1]!taqsha(1,1,[1]!roz(KK34+1,0,0,0),KK35)),KK36)/30</f>
        <v>#VALUE!</v>
      </c>
      <c r="KL37" s="962" t="e">
        <f>[1]!qsn([1]!ml([1]!taqsha(1,1,[1]!roz(KL34+1,0,0,0),KL35)),KL36)/30</f>
        <v>#VALUE!</v>
      </c>
      <c r="KM37" s="962" t="e">
        <f>[1]!qsn([1]!ml([1]!taqsha(1,1,[1]!roz(KM34+1,0,0,0),KM35)),KM36)/30</f>
        <v>#VALUE!</v>
      </c>
      <c r="KN37" s="962" t="e">
        <f>[1]!qsn([1]!ml([1]!taqsha(1,1,[1]!roz(KN34+1,0,0,0),KN35)),KN36)/30</f>
        <v>#VALUE!</v>
      </c>
      <c r="KO37" s="962" t="e">
        <f>[1]!qsn([1]!ml([1]!taqsha(1,1,[1]!roz(KO34+1,0,0,0),KO35)),KO36)/30</f>
        <v>#VALUE!</v>
      </c>
      <c r="KP37" s="962" t="e">
        <f>[1]!qsn([1]!ml([1]!taqsha(1,1,[1]!roz(KP34+1,0,0,0),KP35)),KP36)/30</f>
        <v>#VALUE!</v>
      </c>
      <c r="KQ37" s="962" t="e">
        <f>[1]!qsn([1]!ml([1]!taqsha(1,1,[1]!roz(KQ34+1,0,0,0),KQ35)),KQ36)/30</f>
        <v>#VALUE!</v>
      </c>
      <c r="KR37" s="962" t="e">
        <f>[1]!qsn([1]!ml([1]!taqsha(1,1,[1]!roz(KR34+1,0,0,0),KR35)),KR36)/30</f>
        <v>#VALUE!</v>
      </c>
      <c r="KS37" s="962" t="e">
        <f>[1]!qsn([1]!ml([1]!taqsha(1,1,[1]!roz(KS34+1,0,0,0),KS35)),KS36)/30</f>
        <v>#VALUE!</v>
      </c>
      <c r="KT37" s="962" t="e">
        <f>[1]!qsn([1]!ml([1]!taqsha(1,1,[1]!roz(KT34+1,0,0,0),KT35)),KT36)/30</f>
        <v>#VALUE!</v>
      </c>
      <c r="KU37" s="962" t="e">
        <f>[1]!qsn([1]!ml([1]!taqsha(1,1,[1]!roz(KU34+1,0,0,0),KU35)),KU36)/30</f>
        <v>#VALUE!</v>
      </c>
      <c r="KV37" s="962" t="e">
        <f>[1]!qsn([1]!ml([1]!taqsha(1,1,[1]!roz(KV34+1,0,0,0),KV35)),KV36)/30</f>
        <v>#VALUE!</v>
      </c>
      <c r="KW37" s="962" t="e">
        <f>[1]!qsn([1]!ml([1]!taqsha(1,1,[1]!roz(KW34+1,0,0,0),KW35)),KW36)/30</f>
        <v>#VALUE!</v>
      </c>
      <c r="KX37" s="962" t="e">
        <f>[1]!qsn([1]!ml([1]!taqsha(1,1,[1]!roz(KX34+1,0,0,0),KX35)),KX36)/30</f>
        <v>#VALUE!</v>
      </c>
      <c r="KY37" s="962" t="e">
        <f>[1]!qsn([1]!ml([1]!taqsha(1,1,[1]!roz(KY34+1,0,0,0),KY35)),KY36)/30</f>
        <v>#VALUE!</v>
      </c>
      <c r="KZ37" s="962" t="e">
        <f>[1]!qsn([1]!ml([1]!taqsha(1,1,[1]!roz(KZ34+1,0,0,0),KZ35)),KZ36)/30</f>
        <v>#VALUE!</v>
      </c>
      <c r="LA37" s="962" t="e">
        <f>[1]!qsn([1]!ml([1]!taqsha(1,1,[1]!roz(LA34+1,0,0,0),LA35)),LA36)/30</f>
        <v>#VALUE!</v>
      </c>
      <c r="LB37" s="962" t="e">
        <f>[1]!qsn([1]!ml([1]!taqsha(1,1,[1]!roz(LB34+1,0,0,0),LB35)),LB36)/30</f>
        <v>#VALUE!</v>
      </c>
      <c r="LC37" s="962" t="e">
        <f>[1]!qsn([1]!ml([1]!taqsha(1,1,[1]!roz(LC34+1,0,0,0),LC35)),LC36)/30</f>
        <v>#VALUE!</v>
      </c>
      <c r="LD37" s="962" t="e">
        <f>[1]!qsn([1]!ml([1]!taqsha(1,1,[1]!roz(LD34+1,0,0,0),LD35)),LD36)/30</f>
        <v>#VALUE!</v>
      </c>
      <c r="LE37" s="962" t="e">
        <f>[1]!qsn([1]!ml([1]!taqsha(1,1,[1]!roz(LE34+1,0,0,0),LE35)),LE36)/30</f>
        <v>#VALUE!</v>
      </c>
      <c r="LF37" s="962" t="e">
        <f>[1]!qsn([1]!ml([1]!taqsha(1,1,[1]!roz(LF34+1,0,0,0),LF35)),LF36)/30</f>
        <v>#VALUE!</v>
      </c>
      <c r="LG37" s="962" t="e">
        <f>[1]!qsn([1]!ml([1]!taqsha(1,1,[1]!roz(LG34+1,0,0,0),LG35)),LG36)/30</f>
        <v>#VALUE!</v>
      </c>
      <c r="LH37" s="962" t="e">
        <f>[1]!qsn([1]!ml([1]!taqsha(1,1,[1]!roz(LH34+1,0,0,0),LH35)),LH36)/30</f>
        <v>#VALUE!</v>
      </c>
      <c r="LI37" s="962" t="e">
        <f>[1]!qsn([1]!ml([1]!taqsha(1,1,[1]!roz(LI34+1,0,0,0),LI35)),LI36)/30</f>
        <v>#VALUE!</v>
      </c>
      <c r="LJ37" s="962" t="e">
        <f>[1]!qsn([1]!ml([1]!taqsha(1,1,[1]!roz(LJ34+1,0,0,0),LJ35)),LJ36)/30</f>
        <v>#VALUE!</v>
      </c>
      <c r="LK37" s="962" t="e">
        <f>[1]!qsn([1]!ml([1]!taqsha(1,1,[1]!roz(LK34+1,0,0,0),LK35)),LK36)/30</f>
        <v>#VALUE!</v>
      </c>
      <c r="LL37" s="962" t="e">
        <f>[1]!qsn([1]!ml([1]!taqsha(1,1,[1]!roz(LL34+1,0,0,0),LL35)),LL36)/30</f>
        <v>#VALUE!</v>
      </c>
      <c r="LM37" s="962" t="e">
        <f>[1]!qsn([1]!ml([1]!taqsha(1,1,[1]!roz(LM34+1,0,0,0),LM35)),LM36)/30</f>
        <v>#VALUE!</v>
      </c>
      <c r="LN37" s="962" t="e">
        <f>[1]!qsn([1]!ml([1]!taqsha(1,1,[1]!roz(LN34+1,0,0,0),LN35)),LN36)/30</f>
        <v>#VALUE!</v>
      </c>
      <c r="LO37" s="962" t="e">
        <f>[1]!qsn([1]!ml([1]!taqsha(1,1,[1]!roz(LO34+1,0,0,0),LO35)),LO36)/30</f>
        <v>#VALUE!</v>
      </c>
      <c r="LP37" s="962" t="e">
        <f>[1]!qsn([1]!ml([1]!taqsha(1,1,[1]!roz(LP34+1,0,0,0),LP35)),LP36)/30</f>
        <v>#VALUE!</v>
      </c>
      <c r="LQ37" s="962" t="e">
        <f>[1]!qsn([1]!ml([1]!taqsha(1,1,[1]!roz(LQ34+1,0,0,0),LQ35)),LQ36)/30</f>
        <v>#VALUE!</v>
      </c>
      <c r="LR37" s="962" t="e">
        <f>[1]!qsn([1]!ml([1]!taqsha(1,1,[1]!roz(LR34+1,0,0,0),LR35)),LR36)/30</f>
        <v>#VALUE!</v>
      </c>
      <c r="LS37" s="962" t="e">
        <f>[1]!qsn([1]!ml([1]!taqsha(1,1,[1]!roz(LS34+1,0,0,0),LS35)),LS36)/30</f>
        <v>#VALUE!</v>
      </c>
      <c r="LT37" s="962" t="e">
        <f>[1]!qsn([1]!ml([1]!taqsha(1,1,[1]!roz(LT34+1,0,0,0),LT35)),LT36)/30</f>
        <v>#VALUE!</v>
      </c>
      <c r="LU37" s="962" t="e">
        <f>[1]!qsn([1]!ml([1]!taqsha(1,1,[1]!roz(LU34+1,0,0,0),LU35)),LU36)/30</f>
        <v>#VALUE!</v>
      </c>
      <c r="LV37" s="962" t="e">
        <f>[1]!qsn([1]!ml([1]!taqsha(1,1,[1]!roz(LV34+1,0,0,0),LV35)),LV36)/30</f>
        <v>#VALUE!</v>
      </c>
      <c r="LW37" s="962" t="e">
        <f>[1]!qsn([1]!ml([1]!taqsha(1,1,[1]!roz(LW34+1,0,0,0),LW35)),LW36)/30</f>
        <v>#VALUE!</v>
      </c>
      <c r="LX37" s="962" t="e">
        <f>[1]!qsn([1]!ml([1]!taqsha(1,1,[1]!roz(LX34+1,0,0,0),LX35)),LX36)/30</f>
        <v>#VALUE!</v>
      </c>
      <c r="LY37" s="962" t="e">
        <f>[1]!qsn([1]!ml([1]!taqsha(1,1,[1]!roz(LY34+1,0,0,0),LY35)),LY36)/30</f>
        <v>#VALUE!</v>
      </c>
      <c r="LZ37" s="962" t="e">
        <f>[1]!qsn([1]!ml([1]!taqsha(1,1,[1]!roz(LZ34+1,0,0,0),LZ35)),LZ36)/30</f>
        <v>#VALUE!</v>
      </c>
      <c r="MA37" s="962" t="e">
        <f>[1]!qsn([1]!ml([1]!taqsha(1,1,[1]!roz(MA34+1,0,0,0),MA35)),MA36)/30</f>
        <v>#VALUE!</v>
      </c>
      <c r="MB37" s="962" t="e">
        <f>[1]!qsn([1]!ml([1]!taqsha(1,1,[1]!roz(MB34+1,0,0,0),MB35)),MB36)/30</f>
        <v>#VALUE!</v>
      </c>
      <c r="MC37" s="962" t="e">
        <f>[1]!qsn([1]!ml([1]!taqsha(1,1,[1]!roz(MC34+1,0,0,0),MC35)),MC36)/30</f>
        <v>#VALUE!</v>
      </c>
      <c r="MD37" s="962" t="e">
        <f>[1]!qsn([1]!ml([1]!taqsha(1,1,[1]!roz(MD34+1,0,0,0),MD35)),MD36)/30</f>
        <v>#VALUE!</v>
      </c>
      <c r="ME37" s="962" t="e">
        <f>[1]!qsn([1]!ml([1]!taqsha(1,1,[1]!roz(ME34+1,0,0,0),ME35)),ME36)/30</f>
        <v>#VALUE!</v>
      </c>
      <c r="MF37" s="962" t="e">
        <f>[1]!qsn([1]!ml([1]!taqsha(1,1,[1]!roz(MF34+1,0,0,0),MF35)),MF36)/30</f>
        <v>#VALUE!</v>
      </c>
      <c r="MG37" s="962" t="e">
        <f>[1]!qsn([1]!ml([1]!taqsha(1,1,[1]!roz(MG34+1,0,0,0),MG35)),MG36)/30</f>
        <v>#VALUE!</v>
      </c>
      <c r="MH37" s="962" t="e">
        <f>[1]!qsn([1]!ml([1]!taqsha(1,1,[1]!roz(MH34+1,0,0,0),MH35)),MH36)/30</f>
        <v>#VALUE!</v>
      </c>
      <c r="MI37" s="962" t="e">
        <f>[1]!qsn([1]!ml([1]!taqsha(1,1,[1]!roz(MI34+1,0,0,0),MI35)),MI36)/30</f>
        <v>#VALUE!</v>
      </c>
      <c r="MJ37" s="962" t="e">
        <f>[1]!qsn([1]!ml([1]!taqsha(1,1,[1]!roz(MJ34+1,0,0,0),MJ35)),MJ36)/30</f>
        <v>#VALUE!</v>
      </c>
      <c r="MK37" s="962" t="e">
        <f>[1]!qsn([1]!ml([1]!taqsha(1,1,[1]!roz(MK34+1,0,0,0),MK35)),MK36)/30</f>
        <v>#VALUE!</v>
      </c>
      <c r="ML37" s="962" t="e">
        <f>[1]!qsn([1]!ml([1]!taqsha(1,1,[1]!roz(ML34+1,0,0,0),ML35)),ML36)/30</f>
        <v>#VALUE!</v>
      </c>
      <c r="MM37" s="962" t="e">
        <f>[1]!qsn([1]!ml([1]!taqsha(1,1,[1]!roz(MM34+1,0,0,0),MM35)),MM36)/30</f>
        <v>#VALUE!</v>
      </c>
      <c r="MN37" s="962" t="e">
        <f>[1]!qsn([1]!ml([1]!taqsha(1,1,[1]!roz(MN34+1,0,0,0),MN35)),MN36)/30</f>
        <v>#VALUE!</v>
      </c>
      <c r="MO37" s="962" t="e">
        <f>[1]!qsn([1]!ml([1]!taqsha(1,1,[1]!roz(MO34+1,0,0,0),MO35)),MO36)/30</f>
        <v>#VALUE!</v>
      </c>
      <c r="MP37" s="962" t="e">
        <f>[1]!qsn([1]!ml([1]!taqsha(1,1,[1]!roz(MP34+1,0,0,0),MP35)),MP36)/30</f>
        <v>#VALUE!</v>
      </c>
      <c r="MQ37" s="962" t="e">
        <f>[1]!qsn([1]!ml([1]!taqsha(1,1,[1]!roz(MQ34+1,0,0,0),MQ35)),MQ36)/30</f>
        <v>#VALUE!</v>
      </c>
      <c r="MR37" s="962" t="e">
        <f>[1]!qsn([1]!ml([1]!taqsha(1,1,[1]!roz(MR34+1,0,0,0),MR35)),MR36)/30</f>
        <v>#VALUE!</v>
      </c>
      <c r="MS37" s="962" t="e">
        <f>[1]!qsn([1]!ml([1]!taqsha(1,1,[1]!roz(MS34+1,0,0,0),MS35)),MS36)/30</f>
        <v>#VALUE!</v>
      </c>
      <c r="MT37" s="962" t="e">
        <f>[1]!qsn([1]!ml([1]!taqsha(1,1,[1]!roz(MT34+1,0,0,0),MT35)),MT36)/30</f>
        <v>#VALUE!</v>
      </c>
      <c r="MU37" s="962" t="e">
        <f>[1]!qsn([1]!ml([1]!taqsha(1,1,[1]!roz(MU34+1,0,0,0),MU35)),MU36)/30</f>
        <v>#VALUE!</v>
      </c>
      <c r="MV37" s="962" t="e">
        <f>[1]!qsn([1]!ml([1]!taqsha(1,1,[1]!roz(MV34+1,0,0,0),MV35)),MV36)/30</f>
        <v>#VALUE!</v>
      </c>
      <c r="MW37" s="962" t="e">
        <f>[1]!qsn([1]!ml([1]!taqsha(1,1,[1]!roz(MW34+1,0,0,0),MW35)),MW36)/30</f>
        <v>#VALUE!</v>
      </c>
      <c r="MX37" s="962" t="e">
        <f>[1]!qsn([1]!ml([1]!taqsha(1,1,[1]!roz(MX34+1,0,0,0),MX35)),MX36)/30</f>
        <v>#VALUE!</v>
      </c>
      <c r="MY37" s="962" t="e">
        <f>[1]!qsn([1]!ml([1]!taqsha(1,1,[1]!roz(MY34+1,0,0,0),MY35)),MY36)/30</f>
        <v>#VALUE!</v>
      </c>
      <c r="MZ37" s="962" t="e">
        <f>[1]!qsn([1]!ml([1]!taqsha(1,1,[1]!roz(MZ34+1,0,0,0),MZ35)),MZ36)/30</f>
        <v>#VALUE!</v>
      </c>
      <c r="NA37" s="962" t="e">
        <f>[1]!qsn([1]!ml([1]!taqsha(1,1,[1]!roz(NA34+1,0,0,0),NA35)),NA36)/30</f>
        <v>#VALUE!</v>
      </c>
      <c r="NB37" s="962" t="e">
        <f>[1]!qsn([1]!ml([1]!taqsha(1,1,[1]!roz(NB34+1,0,0,0),NB35)),NB36)/30</f>
        <v>#VALUE!</v>
      </c>
      <c r="NC37" s="962" t="e">
        <f>[1]!qsn([1]!ml([1]!taqsha(1,1,[1]!roz(NC34+1,0,0,0),NC35)),NC36)/30</f>
        <v>#VALUE!</v>
      </c>
      <c r="ND37" s="962" t="e">
        <f>[1]!qsn([1]!ml([1]!taqsha(1,1,[1]!roz(ND34+1,0,0,0),ND35)),ND36)/30</f>
        <v>#VALUE!</v>
      </c>
      <c r="NE37" s="962" t="e">
        <f>[1]!qsn([1]!ml([1]!taqsha(1,1,[1]!roz(NE34+1,0,0,0),NE35)),NE36)/30</f>
        <v>#VALUE!</v>
      </c>
      <c r="NF37" s="962" t="e">
        <f>[1]!qsn([1]!ml([1]!taqsha(1,1,[1]!roz(NF34+1,0,0,0),NF35)),NF36)/30</f>
        <v>#VALUE!</v>
      </c>
      <c r="NG37" s="962" t="e">
        <f>[1]!qsn([1]!ml([1]!taqsha(1,1,[1]!roz(NG34+1,0,0,0),NG35)),NG36)/30</f>
        <v>#VALUE!</v>
      </c>
      <c r="NH37" s="962" t="e">
        <f>[1]!qsn([1]!ml([1]!taqsha(1,1,[1]!roz(NH34+1,0,0,0),NH35)),NH36)/30</f>
        <v>#VALUE!</v>
      </c>
      <c r="NI37" s="962" t="e">
        <f>[1]!qsn([1]!ml([1]!taqsha(1,1,[1]!roz(NI34+1,0,0,0),NI35)),NI36)/30</f>
        <v>#VALUE!</v>
      </c>
      <c r="NJ37" s="962" t="e">
        <f>[1]!qsn([1]!ml([1]!taqsha(1,1,[1]!roz(NJ34+1,0,0,0),NJ35)),NJ36)/30</f>
        <v>#VALUE!</v>
      </c>
      <c r="NK37" s="962" t="e">
        <f>[1]!qsn([1]!ml([1]!taqsha(1,1,[1]!roz(NK34+1,0,0,0),NK35)),NK36)/30</f>
        <v>#VALUE!</v>
      </c>
      <c r="NL37" s="962" t="e">
        <f>[1]!qsn([1]!ml([1]!taqsha(1,1,[1]!roz(NL34+1,0,0,0),NL35)),NL36)/30</f>
        <v>#VALUE!</v>
      </c>
      <c r="NM37" s="962" t="e">
        <f>[1]!qsn([1]!ml([1]!taqsha(1,1,[1]!roz(NM34+1,0,0,0),NM35)),NM36)/30</f>
        <v>#VALUE!</v>
      </c>
      <c r="NN37" s="962" t="e">
        <f>[1]!qsn([1]!ml([1]!taqsha(1,1,[1]!roz(NN34+1,0,0,0),NN35)),NN36)/30</f>
        <v>#VALUE!</v>
      </c>
      <c r="NO37" s="962" t="e">
        <f>[1]!qsn([1]!ml([1]!taqsha(1,1,[1]!roz(NO34+1,0,0,0),NO35)),NO36)/30</f>
        <v>#VALUE!</v>
      </c>
      <c r="NP37" s="962" t="e">
        <f>[1]!qsn([1]!ml([1]!taqsha(1,1,[1]!roz(NP34+1,0,0,0),NP35)),NP36)/30</f>
        <v>#VALUE!</v>
      </c>
      <c r="NQ37" s="962" t="e">
        <f>[1]!qsn([1]!ml([1]!taqsha(1,1,[1]!roz(NQ34+1,0,0,0),NQ35)),NQ36)/30</f>
        <v>#VALUE!</v>
      </c>
      <c r="NR37" s="962" t="e">
        <f>[1]!qsn([1]!ml([1]!taqsha(1,1,[1]!roz(NR34+1,0,0,0),NR35)),NR36)/30</f>
        <v>#VALUE!</v>
      </c>
      <c r="NS37" s="962" t="e">
        <f>[1]!qsn([1]!ml([1]!taqsha(1,1,[1]!roz(NS34+1,0,0,0),NS35)),NS36)/30</f>
        <v>#VALUE!</v>
      </c>
      <c r="NT37" s="962" t="e">
        <f>[1]!qsn([1]!ml([1]!taqsha(1,1,[1]!roz(NT34+1,0,0,0),NT35)),NT36)/30</f>
        <v>#VALUE!</v>
      </c>
      <c r="NU37" s="962" t="e">
        <f>[1]!qsn([1]!ml([1]!taqsha(1,1,[1]!roz(NU34+1,0,0,0),NU35)),NU36)/30</f>
        <v>#VALUE!</v>
      </c>
      <c r="NV37" s="962" t="e">
        <f>[1]!qsn([1]!ml([1]!taqsha(1,1,[1]!roz(NV34+1,0,0,0),NV35)),NV36)/30</f>
        <v>#VALUE!</v>
      </c>
      <c r="NW37" s="962" t="e">
        <f>[1]!qsn([1]!ml([1]!taqsha(1,1,[1]!roz(NW34+1,0,0,0),NW35)),NW36)/30</f>
        <v>#VALUE!</v>
      </c>
      <c r="NX37" s="962" t="e">
        <f>[1]!qsn([1]!ml([1]!taqsha(1,1,[1]!roz(NX34+1,0,0,0),NX35)),NX36)/30</f>
        <v>#VALUE!</v>
      </c>
      <c r="NY37" s="962" t="e">
        <f>[1]!qsn([1]!ml([1]!taqsha(1,1,[1]!roz(NY34+1,0,0,0),NY35)),NY36)/30</f>
        <v>#VALUE!</v>
      </c>
      <c r="NZ37" s="962" t="e">
        <f>[1]!qsn([1]!ml([1]!taqsha(1,1,[1]!roz(NZ34+1,0,0,0),NZ35)),NZ36)/30</f>
        <v>#VALUE!</v>
      </c>
      <c r="OA37" s="962" t="e">
        <f>[1]!qsn([1]!ml([1]!taqsha(1,1,[1]!roz(OA34+1,0,0,0),OA35)),OA36)/30</f>
        <v>#VALUE!</v>
      </c>
      <c r="OB37" s="962" t="e">
        <f>[1]!qsn([1]!ml([1]!taqsha(1,1,[1]!roz(OB34+1,0,0,0),OB35)),OB36)/30</f>
        <v>#VALUE!</v>
      </c>
      <c r="OC37" s="962" t="e">
        <f>[1]!qsn([1]!ml([1]!taqsha(1,1,[1]!roz(OC34+1,0,0,0),OC35)),OC36)/30</f>
        <v>#VALUE!</v>
      </c>
      <c r="OD37" s="962" t="e">
        <f>[1]!qsn([1]!ml([1]!taqsha(1,1,[1]!roz(OD34+1,0,0,0),OD35)),OD36)/30</f>
        <v>#VALUE!</v>
      </c>
      <c r="OE37" s="962" t="e">
        <f>[1]!qsn([1]!ml([1]!taqsha(1,1,[1]!roz(OE34+1,0,0,0),OE35)),OE36)/30</f>
        <v>#VALUE!</v>
      </c>
      <c r="OF37" s="962" t="e">
        <f>[1]!qsn([1]!ml([1]!taqsha(1,1,[1]!roz(OF34+1,0,0,0),OF35)),OF36)/30</f>
        <v>#VALUE!</v>
      </c>
      <c r="OG37" s="962" t="e">
        <f>[1]!qsn([1]!ml([1]!taqsha(1,1,[1]!roz(OG34+1,0,0,0),OG35)),OG36)/30</f>
        <v>#VALUE!</v>
      </c>
      <c r="OH37" s="962" t="e">
        <f>[1]!qsn([1]!ml([1]!taqsha(1,1,[1]!roz(OH34+1,0,0,0),OH35)),OH36)/30</f>
        <v>#VALUE!</v>
      </c>
      <c r="OI37" s="962" t="e">
        <f>[1]!qsn([1]!ml([1]!taqsha(1,1,[1]!roz(OI34+1,0,0,0),OI35)),OI36)/30</f>
        <v>#VALUE!</v>
      </c>
      <c r="OJ37" s="962" t="e">
        <f>[1]!qsn([1]!ml([1]!taqsha(1,1,[1]!roz(OJ34+1,0,0,0),OJ35)),OJ36)/30</f>
        <v>#VALUE!</v>
      </c>
      <c r="OK37" s="962" t="e">
        <f>[1]!qsn([1]!ml([1]!taqsha(1,1,[1]!roz(OK34+1,0,0,0),OK35)),OK36)/30</f>
        <v>#VALUE!</v>
      </c>
      <c r="OL37" s="962" t="e">
        <f>[1]!qsn([1]!ml([1]!taqsha(1,1,[1]!roz(OL34+1,0,0,0),OL35)),OL36)/30</f>
        <v>#VALUE!</v>
      </c>
      <c r="OM37" s="962" t="e">
        <f>[1]!qsn([1]!ml([1]!taqsha(1,1,[1]!roz(OM34+1,0,0,0),OM35)),OM36)/30</f>
        <v>#VALUE!</v>
      </c>
      <c r="ON37" s="962" t="e">
        <f>[1]!qsn([1]!ml([1]!taqsha(1,1,[1]!roz(ON34+1,0,0,0),ON35)),ON36)/30</f>
        <v>#VALUE!</v>
      </c>
      <c r="OO37" s="962" t="e">
        <f>[1]!qsn([1]!ml([1]!taqsha(1,1,[1]!roz(OO34+1,0,0,0),OO35)),OO36)/30</f>
        <v>#VALUE!</v>
      </c>
      <c r="OP37" s="962" t="e">
        <f>[1]!qsn([1]!ml([1]!taqsha(1,1,[1]!roz(OP34+1,0,0,0),OP35)),OP36)/30</f>
        <v>#VALUE!</v>
      </c>
      <c r="OQ37" s="962" t="e">
        <f>[1]!qsn([1]!ml([1]!taqsha(1,1,[1]!roz(OQ34+1,0,0,0),OQ35)),OQ36)/30</f>
        <v>#VALUE!</v>
      </c>
      <c r="OR37" s="962" t="e">
        <f>[1]!qsn([1]!ml([1]!taqsha(1,1,[1]!roz(OR34+1,0,0,0),OR35)),OR36)/30</f>
        <v>#VALUE!</v>
      </c>
      <c r="OS37" s="962" t="e">
        <f>[1]!qsn([1]!ml([1]!taqsha(1,1,[1]!roz(OS34+1,0,0,0),OS35)),OS36)/30</f>
        <v>#VALUE!</v>
      </c>
      <c r="OT37" s="962" t="e">
        <f>[1]!qsn([1]!ml([1]!taqsha(1,1,[1]!roz(OT34+1,0,0,0),OT35)),OT36)/30</f>
        <v>#VALUE!</v>
      </c>
      <c r="OU37" s="962" t="e">
        <f>[1]!qsn([1]!ml([1]!taqsha(1,1,[1]!roz(OU34+1,0,0,0),OU35)),OU36)/30</f>
        <v>#VALUE!</v>
      </c>
      <c r="OV37" s="962" t="e">
        <f>[1]!qsn([1]!ml([1]!taqsha(1,1,[1]!roz(OV34+1,0,0,0),OV35)),OV36)/30</f>
        <v>#VALUE!</v>
      </c>
      <c r="OW37" s="962" t="e">
        <f>[1]!qsn([1]!ml([1]!taqsha(1,1,[1]!roz(OW34+1,0,0,0),OW35)),OW36)/30</f>
        <v>#VALUE!</v>
      </c>
      <c r="OX37" s="962" t="e">
        <f>[1]!qsn([1]!ml([1]!taqsha(1,1,[1]!roz(OX34+1,0,0,0),OX35)),OX36)/30</f>
        <v>#VALUE!</v>
      </c>
      <c r="OY37" s="962" t="e">
        <f>[1]!qsn([1]!ml([1]!taqsha(1,1,[1]!roz(OY34+1,0,0,0),OY35)),OY36)/30</f>
        <v>#VALUE!</v>
      </c>
      <c r="OZ37" s="962" t="e">
        <f>[1]!qsn([1]!ml([1]!taqsha(1,1,[1]!roz(OZ34+1,0,0,0),OZ35)),OZ36)/30</f>
        <v>#VALUE!</v>
      </c>
      <c r="PA37" s="962" t="e">
        <f>[1]!qsn([1]!ml([1]!taqsha(1,1,[1]!roz(PA34+1,0,0,0),PA35)),PA36)/30</f>
        <v>#VALUE!</v>
      </c>
      <c r="PB37" s="962" t="e">
        <f>[1]!qsn([1]!ml([1]!taqsha(1,1,[1]!roz(PB34+1,0,0,0),PB35)),PB36)/30</f>
        <v>#VALUE!</v>
      </c>
      <c r="PC37" s="962" t="e">
        <f>[1]!qsn([1]!ml([1]!taqsha(1,1,[1]!roz(PC34+1,0,0,0),PC35)),PC36)/30</f>
        <v>#VALUE!</v>
      </c>
      <c r="PD37" s="962" t="e">
        <f>[1]!qsn([1]!ml([1]!taqsha(1,1,[1]!roz(PD34+1,0,0,0),PD35)),PD36)/30</f>
        <v>#VALUE!</v>
      </c>
      <c r="PE37" s="962" t="e">
        <f>[1]!qsn([1]!ml([1]!taqsha(1,1,[1]!roz(PE34+1,0,0,0),PE35)),PE36)/30</f>
        <v>#VALUE!</v>
      </c>
      <c r="PF37" s="962" t="e">
        <f>[1]!qsn([1]!ml([1]!taqsha(1,1,[1]!roz(PF34+1,0,0,0),PF35)),PF36)/30</f>
        <v>#VALUE!</v>
      </c>
      <c r="PG37" s="962" t="e">
        <f>[1]!qsn([1]!ml([1]!taqsha(1,1,[1]!roz(PG34+1,0,0,0),PG35)),PG36)/30</f>
        <v>#VALUE!</v>
      </c>
      <c r="PH37" s="962" t="e">
        <f>[1]!qsn([1]!ml([1]!taqsha(1,1,[1]!roz(PH34+1,0,0,0),PH35)),PH36)/30</f>
        <v>#VALUE!</v>
      </c>
      <c r="PI37" s="962" t="e">
        <f>[1]!qsn([1]!ml([1]!taqsha(1,1,[1]!roz(PI34+1,0,0,0),PI35)),PI36)/30</f>
        <v>#VALUE!</v>
      </c>
      <c r="PJ37" s="962" t="e">
        <f>[1]!qsn([1]!ml([1]!taqsha(1,1,[1]!roz(PJ34+1,0,0,0),PJ35)),PJ36)/30</f>
        <v>#VALUE!</v>
      </c>
      <c r="PK37" s="962" t="e">
        <f>[1]!qsn([1]!ml([1]!taqsha(1,1,[1]!roz(PK34+1,0,0,0),PK35)),PK36)/30</f>
        <v>#VALUE!</v>
      </c>
      <c r="PL37" s="962" t="e">
        <f>[1]!qsn([1]!ml([1]!taqsha(1,1,[1]!roz(PL34+1,0,0,0),PL35)),PL36)/30</f>
        <v>#VALUE!</v>
      </c>
      <c r="PM37" s="962" t="e">
        <f>[1]!qsn([1]!ml([1]!taqsha(1,1,[1]!roz(PM34+1,0,0,0),PM35)),PM36)/30</f>
        <v>#VALUE!</v>
      </c>
      <c r="PN37" s="962" t="e">
        <f>[1]!qsn([1]!ml([1]!taqsha(1,1,[1]!roz(PN34+1,0,0,0),PN35)),PN36)/30</f>
        <v>#VALUE!</v>
      </c>
      <c r="PO37" s="962" t="e">
        <f>[1]!qsn([1]!ml([1]!taqsha(1,1,[1]!roz(PO34+1,0,0,0),PO35)),PO36)/30</f>
        <v>#VALUE!</v>
      </c>
      <c r="PP37" s="962" t="e">
        <f>[1]!qsn([1]!ml([1]!taqsha(1,1,[1]!roz(PP34+1,0,0,0),PP35)),PP36)/30</f>
        <v>#VALUE!</v>
      </c>
      <c r="PQ37" s="962" t="e">
        <f>[1]!qsn([1]!ml([1]!taqsha(1,1,[1]!roz(PQ34+1,0,0,0),PQ35)),PQ36)/30</f>
        <v>#VALUE!</v>
      </c>
      <c r="PR37" s="962" t="e">
        <f>[1]!qsn([1]!ml([1]!taqsha(1,1,[1]!roz(PR34+1,0,0,0),PR35)),PR36)/30</f>
        <v>#VALUE!</v>
      </c>
      <c r="PS37" s="962" t="e">
        <f>[1]!qsn([1]!ml([1]!taqsha(1,1,[1]!roz(PS34+1,0,0,0),PS35)),PS36)/30</f>
        <v>#VALUE!</v>
      </c>
      <c r="PT37" s="962" t="e">
        <f>[1]!qsn([1]!ml([1]!taqsha(1,1,[1]!roz(PT34+1,0,0,0),PT35)),PT36)/30</f>
        <v>#VALUE!</v>
      </c>
      <c r="PU37" s="962" t="e">
        <f>[1]!qsn([1]!ml([1]!taqsha(1,1,[1]!roz(PU34+1,0,0,0),PU35)),PU36)/30</f>
        <v>#VALUE!</v>
      </c>
      <c r="PV37" s="962" t="e">
        <f>[1]!qsn([1]!ml([1]!taqsha(1,1,[1]!roz(PV34+1,0,0,0),PV35)),PV36)/30</f>
        <v>#VALUE!</v>
      </c>
      <c r="PW37" s="962" t="e">
        <f>[1]!qsn([1]!ml([1]!taqsha(1,1,[1]!roz(PW34+1,0,0,0),PW35)),PW36)/30</f>
        <v>#VALUE!</v>
      </c>
      <c r="PX37" s="962" t="e">
        <f>[1]!qsn([1]!ml([1]!taqsha(1,1,[1]!roz(PX34+1,0,0,0),PX35)),PX36)/30</f>
        <v>#VALUE!</v>
      </c>
      <c r="PY37" s="962" t="e">
        <f>[1]!qsn([1]!ml([1]!taqsha(1,1,[1]!roz(PY34+1,0,0,0),PY35)),PY36)/30</f>
        <v>#VALUE!</v>
      </c>
      <c r="PZ37" s="962" t="e">
        <f>[1]!qsn([1]!ml([1]!taqsha(1,1,[1]!roz(PZ34+1,0,0,0),PZ35)),PZ36)/30</f>
        <v>#VALUE!</v>
      </c>
      <c r="QA37" s="962" t="e">
        <f>[1]!qsn([1]!ml([1]!taqsha(1,1,[1]!roz(QA34+1,0,0,0),QA35)),QA36)/30</f>
        <v>#VALUE!</v>
      </c>
      <c r="QB37" s="962" t="e">
        <f>[1]!qsn([1]!ml([1]!taqsha(1,1,[1]!roz(QB34+1,0,0,0),QB35)),QB36)/30</f>
        <v>#VALUE!</v>
      </c>
      <c r="QC37" s="962" t="e">
        <f>[1]!qsn([1]!ml([1]!taqsha(1,1,[1]!roz(QC34+1,0,0,0),QC35)),QC36)/30</f>
        <v>#VALUE!</v>
      </c>
      <c r="QD37" s="962" t="e">
        <f>[1]!qsn([1]!ml([1]!taqsha(1,1,[1]!roz(QD34+1,0,0,0),QD35)),QD36)/30</f>
        <v>#VALUE!</v>
      </c>
      <c r="QE37" s="962" t="e">
        <f>[1]!qsn([1]!ml([1]!taqsha(1,1,[1]!roz(QE34+1,0,0,0),QE35)),QE36)/30</f>
        <v>#VALUE!</v>
      </c>
      <c r="QF37" s="962" t="e">
        <f>[1]!qsn([1]!ml([1]!taqsha(1,1,[1]!roz(QF34+1,0,0,0),QF35)),QF36)/30</f>
        <v>#VALUE!</v>
      </c>
      <c r="QG37" s="962" t="e">
        <f>[1]!qsn([1]!ml([1]!taqsha(1,1,[1]!roz(QG34+1,0,0,0),QG35)),QG36)/30</f>
        <v>#VALUE!</v>
      </c>
      <c r="QH37" s="962" t="e">
        <f>[1]!qsn([1]!ml([1]!taqsha(1,1,[1]!roz(QH34+1,0,0,0),QH35)),QH36)/30</f>
        <v>#VALUE!</v>
      </c>
      <c r="QI37" s="962" t="e">
        <f>[1]!qsn([1]!ml([1]!taqsha(1,1,[1]!roz(QI34+1,0,0,0),QI35)),QI36)/30</f>
        <v>#VALUE!</v>
      </c>
      <c r="QJ37" s="962" t="e">
        <f>[1]!qsn([1]!ml([1]!taqsha(1,1,[1]!roz(QJ34+1,0,0,0),QJ35)),QJ36)/30</f>
        <v>#VALUE!</v>
      </c>
      <c r="QK37" s="962" t="e">
        <f>[1]!qsn([1]!ml([1]!taqsha(1,1,[1]!roz(QK34+1,0,0,0),QK35)),QK36)/30</f>
        <v>#VALUE!</v>
      </c>
      <c r="QL37" s="962" t="e">
        <f>[1]!qsn([1]!ml([1]!taqsha(1,1,[1]!roz(QL34+1,0,0,0),QL35)),QL36)/30</f>
        <v>#VALUE!</v>
      </c>
      <c r="QM37" s="962" t="e">
        <f>[1]!qsn([1]!ml([1]!taqsha(1,1,[1]!roz(QM34+1,0,0,0),QM35)),QM36)/30</f>
        <v>#VALUE!</v>
      </c>
      <c r="QN37" s="962" t="e">
        <f>[1]!qsn([1]!ml([1]!taqsha(1,1,[1]!roz(QN34+1,0,0,0),QN35)),QN36)/30</f>
        <v>#VALUE!</v>
      </c>
      <c r="QO37" s="962" t="e">
        <f>[1]!qsn([1]!ml([1]!taqsha(1,1,[1]!roz(QO34+1,0,0,0),QO35)),QO36)/30</f>
        <v>#VALUE!</v>
      </c>
      <c r="QP37" s="962" t="e">
        <f>[1]!qsn([1]!ml([1]!taqsha(1,1,[1]!roz(QP34+1,0,0,0),QP35)),QP36)/30</f>
        <v>#VALUE!</v>
      </c>
      <c r="QQ37" s="962" t="e">
        <f>[1]!qsn([1]!ml([1]!taqsha(1,1,[1]!roz(QQ34+1,0,0,0),QQ35)),QQ36)/30</f>
        <v>#VALUE!</v>
      </c>
      <c r="QR37" s="962" t="e">
        <f>[1]!qsn([1]!ml([1]!taqsha(1,1,[1]!roz(QR34+1,0,0,0),QR35)),QR36)/30</f>
        <v>#VALUE!</v>
      </c>
      <c r="QS37" s="962" t="e">
        <f>[1]!qsn([1]!ml([1]!taqsha(1,1,[1]!roz(QS34+1,0,0,0),QS35)),QS36)/30</f>
        <v>#VALUE!</v>
      </c>
      <c r="QT37" s="962" t="e">
        <f>[1]!qsn([1]!ml([1]!taqsha(1,1,[1]!roz(QT34+1,0,0,0),QT35)),QT36)/30</f>
        <v>#VALUE!</v>
      </c>
      <c r="QU37" s="962" t="e">
        <f>[1]!qsn([1]!ml([1]!taqsha(1,1,[1]!roz(QU34+1,0,0,0),QU35)),QU36)/30</f>
        <v>#VALUE!</v>
      </c>
      <c r="QV37" s="962" t="e">
        <f>[1]!qsn([1]!ml([1]!taqsha(1,1,[1]!roz(QV34+1,0,0,0),QV35)),QV36)/30</f>
        <v>#VALUE!</v>
      </c>
      <c r="QW37" s="962" t="e">
        <f>[1]!qsn([1]!ml([1]!taqsha(1,1,[1]!roz(QW34+1,0,0,0),QW35)),QW36)/30</f>
        <v>#VALUE!</v>
      </c>
      <c r="QX37" s="962" t="e">
        <f>[1]!qsn([1]!ml([1]!taqsha(1,1,[1]!roz(QX34+1,0,0,0),QX35)),QX36)/30</f>
        <v>#VALUE!</v>
      </c>
      <c r="QY37" s="962" t="e">
        <f>[1]!qsn([1]!ml([1]!taqsha(1,1,[1]!roz(QY34+1,0,0,0),QY35)),QY36)/30</f>
        <v>#VALUE!</v>
      </c>
      <c r="QZ37" s="962" t="e">
        <f>[1]!qsn([1]!ml([1]!taqsha(1,1,[1]!roz(QZ34+1,0,0,0),QZ35)),QZ36)/30</f>
        <v>#VALUE!</v>
      </c>
      <c r="RA37" s="963" t="e">
        <f>[1]!qsn([1]!ml([1]!taqsha(1,1,[1]!roz(RA34+1,0,0,0),RA35)),RA36)/30</f>
        <v>#VALUE!</v>
      </c>
    </row>
    <row r="38" spans="1:471" ht="18" thickBot="1">
      <c r="J38" s="21">
        <f>IF(E40=16,(((C40-1)*M38)+IF(B40=1,0,IF(B40=2,O40,IF(B40=3,P40,IF(B40=4,Q40,IF(B40=5,R40,IF(B40=6,S40,IF(B40=7,T40,IF(B40=8,U40,IF(B40=9,V40,IF(B40=10,W40,IF(B40=11,X40,Y40)))))))))))+A40),0)</f>
        <v>526359.86363117129</v>
      </c>
      <c r="K38" s="25">
        <v>13</v>
      </c>
      <c r="L38" s="25" t="s">
        <v>162</v>
      </c>
      <c r="M38" s="25">
        <v>365.25875338735</v>
      </c>
      <c r="N38" s="25"/>
      <c r="O38" s="25"/>
      <c r="P38" s="25"/>
      <c r="Q38" s="25"/>
      <c r="R38" s="25"/>
      <c r="S38" s="25"/>
      <c r="T38" s="25"/>
      <c r="U38" s="25"/>
      <c r="V38" s="25"/>
      <c r="W38" s="25"/>
      <c r="X38" s="25"/>
      <c r="Y38" s="25"/>
      <c r="Z38" s="25"/>
      <c r="AA38" s="25"/>
      <c r="AK38" s="759" t="s">
        <v>839</v>
      </c>
      <c r="AL38" s="315" t="e">
        <f t="shared" ref="AL38:AV38" si="340">IF(AL35-AL36&gt;0,AL35-AL36,AL35-AL36+360)</f>
        <v>#VALUE!</v>
      </c>
      <c r="AM38" s="315" t="e">
        <f t="shared" si="340"/>
        <v>#VALUE!</v>
      </c>
      <c r="AN38" s="315" t="e">
        <f t="shared" si="340"/>
        <v>#VALUE!</v>
      </c>
      <c r="AO38" s="315" t="e">
        <f t="shared" si="340"/>
        <v>#VALUE!</v>
      </c>
      <c r="AP38" s="315" t="e">
        <f t="shared" si="340"/>
        <v>#VALUE!</v>
      </c>
      <c r="AQ38" s="315" t="e">
        <f t="shared" si="340"/>
        <v>#VALUE!</v>
      </c>
      <c r="AR38" s="315" t="e">
        <f t="shared" si="340"/>
        <v>#VALUE!</v>
      </c>
      <c r="AS38" s="315" t="e">
        <f t="shared" si="340"/>
        <v>#VALUE!</v>
      </c>
      <c r="AT38" s="315" t="e">
        <f t="shared" si="340"/>
        <v>#VALUE!</v>
      </c>
      <c r="AU38" s="315" t="e">
        <f t="shared" si="340"/>
        <v>#VALUE!</v>
      </c>
      <c r="AV38" s="315" t="e">
        <f t="shared" si="340"/>
        <v>#VALUE!</v>
      </c>
      <c r="AW38" s="315" t="e">
        <f>IF(AW35-AW36&gt;0,AW35-AW36,AW35-AW36+360)</f>
        <v>#VALUE!</v>
      </c>
      <c r="AX38" s="703"/>
      <c r="DH38" s="797"/>
      <c r="DI38" s="797" t="s">
        <v>378</v>
      </c>
      <c r="DJ38" s="961" t="e">
        <f>[1]!taqsh(1,1,[1]!roz(DJ34+1,DJ37,0,0),DJ35)</f>
        <v>#VALUE!</v>
      </c>
      <c r="DK38" s="962" t="e">
        <f>[1]!taqsh(1,1,[1]!roz(DK34+1,DK37,0,0),DK35)</f>
        <v>#VALUE!</v>
      </c>
      <c r="DL38" s="962" t="e">
        <f>[1]!taqsh(1,1,[1]!roz(DL34+1,DL37,0,0),DL35)</f>
        <v>#VALUE!</v>
      </c>
      <c r="DM38" s="962" t="e">
        <f>[1]!taqsh(1,1,[1]!roz(DM34+1,DM37,0,0),DM35)</f>
        <v>#VALUE!</v>
      </c>
      <c r="DN38" s="962" t="e">
        <f>[1]!taqsh(1,1,[1]!roz(DN34+1,DN37,0,0),DN35)</f>
        <v>#VALUE!</v>
      </c>
      <c r="DO38" s="962" t="e">
        <f>[1]!taqsh(1,1,[1]!roz(DO34+1,DO37,0,0),DO35)</f>
        <v>#VALUE!</v>
      </c>
      <c r="DP38" s="962" t="e">
        <f>[1]!taqsh(1,1,[1]!roz(DP34+1,DP37,0,0),DP35)</f>
        <v>#VALUE!</v>
      </c>
      <c r="DQ38" s="962" t="e">
        <f>[1]!taqsh(1,1,[1]!roz(DQ34+1,DQ37,0,0),DQ35)</f>
        <v>#VALUE!</v>
      </c>
      <c r="DR38" s="962" t="e">
        <f>[1]!taqsh(1,1,[1]!roz(DR34+1,DR37,0,0),DR35)</f>
        <v>#VALUE!</v>
      </c>
      <c r="DS38" s="962" t="e">
        <f>[1]!taqsh(1,1,[1]!roz(DS34+1,DS37,0,0),DS35)</f>
        <v>#VALUE!</v>
      </c>
      <c r="DT38" s="962" t="e">
        <f>[1]!taqsh(1,1,[1]!roz(DT34+1,DT37,0,0),DT35)</f>
        <v>#VALUE!</v>
      </c>
      <c r="DU38" s="962" t="e">
        <f>[1]!taqsh(1,1,[1]!roz(DU34+1,DU37,0,0),DU35)</f>
        <v>#VALUE!</v>
      </c>
      <c r="DV38" s="962" t="e">
        <f>[1]!taqsh(1,1,[1]!roz(DV34+1,DV37,0,0),DV35)</f>
        <v>#VALUE!</v>
      </c>
      <c r="DW38" s="962" t="e">
        <f>[1]!taqsh(1,1,[1]!roz(DW34+1,DW37,0,0),DW35)</f>
        <v>#VALUE!</v>
      </c>
      <c r="DX38" s="962" t="e">
        <f>[1]!taqsh(1,1,[1]!roz(DX34+1,DX37,0,0),DX35)</f>
        <v>#VALUE!</v>
      </c>
      <c r="DY38" s="962" t="e">
        <f>[1]!taqsh(1,1,[1]!roz(DY34+1,DY37,0,0),DY35)</f>
        <v>#VALUE!</v>
      </c>
      <c r="DZ38" s="962" t="e">
        <f>[1]!taqsh(1,1,[1]!roz(DZ34+1,DZ37,0,0),DZ35)</f>
        <v>#VALUE!</v>
      </c>
      <c r="EA38" s="962" t="e">
        <f>[1]!taqsh(1,1,[1]!roz(EA34+1,EA37,0,0),EA35)</f>
        <v>#VALUE!</v>
      </c>
      <c r="EB38" s="962" t="e">
        <f>[1]!taqsh(1,1,[1]!roz(EB34+1,EB37,0,0),EB35)</f>
        <v>#VALUE!</v>
      </c>
      <c r="EC38" s="962" t="e">
        <f>[1]!taqsh(1,1,[1]!roz(EC34+1,EC37,0,0),EC35)</f>
        <v>#VALUE!</v>
      </c>
      <c r="ED38" s="962" t="e">
        <f>[1]!taqsh(1,1,[1]!roz(ED34+1,ED37,0,0),ED35)</f>
        <v>#VALUE!</v>
      </c>
      <c r="EE38" s="962" t="e">
        <f>[1]!taqsh(1,1,[1]!roz(EE34+1,EE37,0,0),EE35)</f>
        <v>#VALUE!</v>
      </c>
      <c r="EF38" s="962" t="e">
        <f>[1]!taqsh(1,1,[1]!roz(EF34+1,EF37,0,0),EF35)</f>
        <v>#VALUE!</v>
      </c>
      <c r="EG38" s="962" t="e">
        <f>[1]!taqsh(1,1,[1]!roz(EG34+1,EG37,0,0),EG35)</f>
        <v>#VALUE!</v>
      </c>
      <c r="EH38" s="962" t="e">
        <f>[1]!taqsh(1,1,[1]!roz(EH34+1,EH37,0,0),EH35)</f>
        <v>#VALUE!</v>
      </c>
      <c r="EI38" s="962" t="e">
        <f>[1]!taqsh(1,1,[1]!roz(EI34+1,EI37,0,0),EI35)</f>
        <v>#VALUE!</v>
      </c>
      <c r="EJ38" s="962" t="e">
        <f>[1]!taqsh(1,1,[1]!roz(EJ34+1,EJ37,0,0),EJ35)</f>
        <v>#VALUE!</v>
      </c>
      <c r="EK38" s="962" t="e">
        <f>[1]!taqsh(1,1,[1]!roz(EK34+1,EK37,0,0),EK35)</f>
        <v>#VALUE!</v>
      </c>
      <c r="EL38" s="962" t="e">
        <f>[1]!taqsh(1,1,[1]!roz(EL34+1,EL37,0,0),EL35)</f>
        <v>#VALUE!</v>
      </c>
      <c r="EM38" s="962" t="e">
        <f>[1]!taqsh(1,1,[1]!roz(EM34+1,EM37,0,0),EM35)</f>
        <v>#VALUE!</v>
      </c>
      <c r="EN38" s="962" t="e">
        <f>[1]!taqsh(1,1,[1]!roz(EN34+1,EN37,0,0),EN35)</f>
        <v>#VALUE!</v>
      </c>
      <c r="EO38" s="962" t="e">
        <f>[1]!taqsh(1,1,[1]!roz(EO34+1,EO37,0,0),EO35)</f>
        <v>#VALUE!</v>
      </c>
      <c r="EP38" s="962" t="e">
        <f>[1]!taqsh(1,1,[1]!roz(EP34+1,EP37,0,0),EP35)</f>
        <v>#VALUE!</v>
      </c>
      <c r="EQ38" s="962" t="e">
        <f>[1]!taqsh(1,1,[1]!roz(EQ34+1,EQ37,0,0),EQ35)</f>
        <v>#VALUE!</v>
      </c>
      <c r="ER38" s="962" t="e">
        <f>[1]!taqsh(1,1,[1]!roz(ER34+1,ER37,0,0),ER35)</f>
        <v>#VALUE!</v>
      </c>
      <c r="ES38" s="962" t="e">
        <f>[1]!taqsh(1,1,[1]!roz(ES34+1,ES37,0,0),ES35)</f>
        <v>#VALUE!</v>
      </c>
      <c r="ET38" s="962" t="e">
        <f>[1]!taqsh(1,1,[1]!roz(ET34+1,ET37,0,0),ET35)</f>
        <v>#VALUE!</v>
      </c>
      <c r="EU38" s="962" t="e">
        <f>[1]!taqsh(1,1,[1]!roz(EU34+1,EU37,0,0),EU35)</f>
        <v>#VALUE!</v>
      </c>
      <c r="EV38" s="962" t="e">
        <f>[1]!taqsh(1,1,[1]!roz(EV34+1,EV37,0,0),EV35)</f>
        <v>#VALUE!</v>
      </c>
      <c r="EW38" s="962" t="e">
        <f>[1]!taqsh(1,1,[1]!roz(EW34+1,EW37,0,0),EW35)</f>
        <v>#VALUE!</v>
      </c>
      <c r="EX38" s="962" t="e">
        <f>[1]!taqsh(1,1,[1]!roz(EX34+1,EX37,0,0),EX35)</f>
        <v>#VALUE!</v>
      </c>
      <c r="EY38" s="962" t="e">
        <f>[1]!taqsh(1,1,[1]!roz(EY34+1,EY37,0,0),EY35)</f>
        <v>#VALUE!</v>
      </c>
      <c r="EZ38" s="962" t="e">
        <f>[1]!taqsh(1,1,[1]!roz(EZ34+1,EZ37,0,0),EZ35)</f>
        <v>#VALUE!</v>
      </c>
      <c r="FA38" s="962" t="e">
        <f>[1]!taqsh(1,1,[1]!roz(FA34+1,FA37,0,0),FA35)</f>
        <v>#VALUE!</v>
      </c>
      <c r="FB38" s="962" t="e">
        <f>[1]!taqsh(1,1,[1]!roz(FB34+1,FB37,0,0),FB35)</f>
        <v>#VALUE!</v>
      </c>
      <c r="FC38" s="962" t="e">
        <f>[1]!taqsh(1,1,[1]!roz(FC34+1,FC37,0,0),FC35)</f>
        <v>#VALUE!</v>
      </c>
      <c r="FD38" s="962" t="e">
        <f>[1]!taqsh(1,1,[1]!roz(FD34+1,FD37,0,0),FD35)</f>
        <v>#VALUE!</v>
      </c>
      <c r="FE38" s="962" t="e">
        <f>[1]!taqsh(1,1,[1]!roz(FE34+1,FE37,0,0),FE35)</f>
        <v>#VALUE!</v>
      </c>
      <c r="FF38" s="962" t="e">
        <f>[1]!taqsh(1,1,[1]!roz(FF34+1,FF37,0,0),FF35)</f>
        <v>#VALUE!</v>
      </c>
      <c r="FG38" s="962" t="e">
        <f>[1]!taqsh(1,1,[1]!roz(FG34+1,FG37,0,0),FG35)</f>
        <v>#VALUE!</v>
      </c>
      <c r="FH38" s="962" t="e">
        <f>[1]!taqsh(1,1,[1]!roz(FH34+1,FH37,0,0),FH35)</f>
        <v>#VALUE!</v>
      </c>
      <c r="FI38" s="962" t="e">
        <f>[1]!taqsh(1,1,[1]!roz(FI34+1,FI37,0,0),FI35)</f>
        <v>#VALUE!</v>
      </c>
      <c r="FJ38" s="962" t="e">
        <f>[1]!taqsh(1,1,[1]!roz(FJ34+1,FJ37,0,0),FJ35)</f>
        <v>#VALUE!</v>
      </c>
      <c r="FK38" s="962" t="e">
        <f>[1]!taqsh(1,1,[1]!roz(FK34+1,FK37,0,0),FK35)</f>
        <v>#VALUE!</v>
      </c>
      <c r="FL38" s="962" t="e">
        <f>[1]!taqsh(1,1,[1]!roz(FL34+1,FL37,0,0),FL35)</f>
        <v>#VALUE!</v>
      </c>
      <c r="FM38" s="962" t="e">
        <f>[1]!taqsh(1,1,[1]!roz(FM34+1,FM37,0,0),FM35)</f>
        <v>#VALUE!</v>
      </c>
      <c r="FN38" s="962" t="e">
        <f>[1]!taqsh(1,1,[1]!roz(FN34+1,FN37,0,0),FN35)</f>
        <v>#VALUE!</v>
      </c>
      <c r="FO38" s="962" t="e">
        <f>[1]!taqsh(1,1,[1]!roz(FO34+1,FO37,0,0),FO35)</f>
        <v>#VALUE!</v>
      </c>
      <c r="FP38" s="962" t="e">
        <f>[1]!taqsh(1,1,[1]!roz(FP34+1,FP37,0,0),FP35)</f>
        <v>#VALUE!</v>
      </c>
      <c r="FQ38" s="962" t="e">
        <f>[1]!taqsh(1,1,[1]!roz(FQ34+1,FQ37,0,0),FQ35)</f>
        <v>#VALUE!</v>
      </c>
      <c r="FR38" s="962" t="e">
        <f>[1]!taqsh(1,1,[1]!roz(FR34+1,FR37,0,0),FR35)</f>
        <v>#VALUE!</v>
      </c>
      <c r="FS38" s="962" t="e">
        <f>[1]!taqsh(1,1,[1]!roz(FS34+1,FS37,0,0),FS35)</f>
        <v>#VALUE!</v>
      </c>
      <c r="FT38" s="962" t="e">
        <f>[1]!taqsh(1,1,[1]!roz(FT34+1,FT37,0,0),FT35)</f>
        <v>#VALUE!</v>
      </c>
      <c r="FU38" s="962" t="e">
        <f>[1]!taqsh(1,1,[1]!roz(FU34+1,FU37,0,0),FU35)</f>
        <v>#VALUE!</v>
      </c>
      <c r="FV38" s="962" t="e">
        <f>[1]!taqsh(1,1,[1]!roz(FV34+1,FV37,0,0),FV35)</f>
        <v>#VALUE!</v>
      </c>
      <c r="FW38" s="962" t="e">
        <f>[1]!taqsh(1,1,[1]!roz(FW34+1,FW37,0,0),FW35)</f>
        <v>#VALUE!</v>
      </c>
      <c r="FX38" s="962" t="e">
        <f>[1]!taqsh(1,1,[1]!roz(FX34+1,FX37,0,0),FX35)</f>
        <v>#VALUE!</v>
      </c>
      <c r="FY38" s="962" t="e">
        <f>[1]!taqsh(1,1,[1]!roz(FY34+1,FY37,0,0),FY35)</f>
        <v>#VALUE!</v>
      </c>
      <c r="FZ38" s="962" t="e">
        <f>[1]!taqsh(1,1,[1]!roz(FZ34+1,FZ37,0,0),FZ35)</f>
        <v>#VALUE!</v>
      </c>
      <c r="GA38" s="962" t="e">
        <f>[1]!taqsh(1,1,[1]!roz(GA34+1,GA37,0,0),GA35)</f>
        <v>#VALUE!</v>
      </c>
      <c r="GB38" s="962" t="e">
        <f>[1]!taqsh(1,1,[1]!roz(GB34+1,GB37,0,0),GB35)</f>
        <v>#VALUE!</v>
      </c>
      <c r="GC38" s="962" t="e">
        <f>[1]!taqsh(1,1,[1]!roz(GC34+1,GC37,0,0),GC35)</f>
        <v>#VALUE!</v>
      </c>
      <c r="GD38" s="962" t="e">
        <f>[1]!taqsh(1,1,[1]!roz(GD34+1,GD37,0,0),GD35)</f>
        <v>#VALUE!</v>
      </c>
      <c r="GE38" s="962" t="e">
        <f>[1]!taqsh(1,1,[1]!roz(GE34+1,GE37,0,0),GE35)</f>
        <v>#VALUE!</v>
      </c>
      <c r="GF38" s="962" t="e">
        <f>[1]!taqsh(1,1,[1]!roz(GF34+1,GF37,0,0),GF35)</f>
        <v>#VALUE!</v>
      </c>
      <c r="GG38" s="962" t="e">
        <f>[1]!taqsh(1,1,[1]!roz(GG34+1,GG37,0,0),GG35)</f>
        <v>#VALUE!</v>
      </c>
      <c r="GH38" s="962" t="e">
        <f>[1]!taqsh(1,1,[1]!roz(GH34+1,GH37,0,0),GH35)</f>
        <v>#VALUE!</v>
      </c>
      <c r="GI38" s="962" t="e">
        <f>[1]!taqsh(1,1,[1]!roz(GI34+1,GI37,0,0),GI35)</f>
        <v>#VALUE!</v>
      </c>
      <c r="GJ38" s="962" t="e">
        <f>[1]!taqsh(1,1,[1]!roz(GJ34+1,GJ37,0,0),GJ35)</f>
        <v>#VALUE!</v>
      </c>
      <c r="GK38" s="962" t="e">
        <f>[1]!taqsh(1,1,[1]!roz(GK34+1,GK37,0,0),GK35)</f>
        <v>#VALUE!</v>
      </c>
      <c r="GL38" s="962" t="e">
        <f>[1]!taqsh(1,1,[1]!roz(GL34+1,GL37,0,0),GL35)</f>
        <v>#VALUE!</v>
      </c>
      <c r="GM38" s="962" t="e">
        <f>[1]!taqsh(1,1,[1]!roz(GM34+1,GM37,0,0),GM35)</f>
        <v>#VALUE!</v>
      </c>
      <c r="GN38" s="962" t="e">
        <f>[1]!taqsh(1,1,[1]!roz(GN34+1,GN37,0,0),GN35)</f>
        <v>#VALUE!</v>
      </c>
      <c r="GO38" s="962" t="e">
        <f>[1]!taqsh(1,1,[1]!roz(GO34+1,GO37,0,0),GO35)</f>
        <v>#VALUE!</v>
      </c>
      <c r="GP38" s="962" t="e">
        <f>[1]!taqsh(1,1,[1]!roz(GP34+1,GP37,0,0),GP35)</f>
        <v>#VALUE!</v>
      </c>
      <c r="GQ38" s="962" t="e">
        <f>[1]!taqsh(1,1,[1]!roz(GQ34+1,GQ37,0,0),GQ35)</f>
        <v>#VALUE!</v>
      </c>
      <c r="GR38" s="962" t="e">
        <f>[1]!taqsh(1,1,[1]!roz(GR34+1,GR37,0,0),GR35)</f>
        <v>#VALUE!</v>
      </c>
      <c r="GS38" s="962" t="e">
        <f>[1]!taqsh(1,1,[1]!roz(GS34+1,GS37,0,0),GS35)</f>
        <v>#VALUE!</v>
      </c>
      <c r="GT38" s="962" t="e">
        <f>[1]!taqsh(1,1,[1]!roz(GT34+1,GT37,0,0),GT35)</f>
        <v>#VALUE!</v>
      </c>
      <c r="GU38" s="962" t="e">
        <f>[1]!taqsh(1,1,[1]!roz(GU34+1,GU37,0,0),GU35)</f>
        <v>#VALUE!</v>
      </c>
      <c r="GV38" s="962" t="e">
        <f>[1]!taqsh(1,1,[1]!roz(GV34+1,GV37,0,0),GV35)</f>
        <v>#VALUE!</v>
      </c>
      <c r="GW38" s="962" t="e">
        <f>[1]!taqsh(1,1,[1]!roz(GW34+1,GW37,0,0),GW35)</f>
        <v>#VALUE!</v>
      </c>
      <c r="GX38" s="962" t="e">
        <f>[1]!taqsh(1,1,[1]!roz(GX34+1,GX37,0,0),GX35)</f>
        <v>#VALUE!</v>
      </c>
      <c r="GY38" s="962" t="e">
        <f>[1]!taqsh(1,1,[1]!roz(GY34+1,GY37,0,0),GY35)</f>
        <v>#VALUE!</v>
      </c>
      <c r="GZ38" s="962" t="e">
        <f>[1]!taqsh(1,1,[1]!roz(GZ34+1,GZ37,0,0),GZ35)</f>
        <v>#VALUE!</v>
      </c>
      <c r="HA38" s="962" t="e">
        <f>[1]!taqsh(1,1,[1]!roz(HA34+1,HA37,0,0),HA35)</f>
        <v>#VALUE!</v>
      </c>
      <c r="HB38" s="962" t="e">
        <f>[1]!taqsh(1,1,[1]!roz(HB34+1,HB37,0,0),HB35)</f>
        <v>#VALUE!</v>
      </c>
      <c r="HC38" s="962" t="e">
        <f>[1]!taqsh(1,1,[1]!roz(HC34+1,HC37,0,0),HC35)</f>
        <v>#VALUE!</v>
      </c>
      <c r="HD38" s="962" t="e">
        <f>[1]!taqsh(1,1,[1]!roz(HD34+1,HD37,0,0),HD35)</f>
        <v>#VALUE!</v>
      </c>
      <c r="HE38" s="962" t="e">
        <f>[1]!taqsh(1,1,[1]!roz(HE34+1,HE37,0,0),HE35)</f>
        <v>#VALUE!</v>
      </c>
      <c r="HF38" s="962" t="e">
        <f>[1]!taqsh(1,1,[1]!roz(HF34+1,HF37,0,0),HF35)</f>
        <v>#VALUE!</v>
      </c>
      <c r="HG38" s="962" t="e">
        <f>[1]!taqsh(1,1,[1]!roz(HG34+1,HG37,0,0),HG35)</f>
        <v>#VALUE!</v>
      </c>
      <c r="HH38" s="962" t="e">
        <f>[1]!taqsh(1,1,[1]!roz(HH34+1,HH37,0,0),HH35)</f>
        <v>#VALUE!</v>
      </c>
      <c r="HI38" s="962" t="e">
        <f>[1]!taqsh(1,1,[1]!roz(HI34+1,HI37,0,0),HI35)</f>
        <v>#VALUE!</v>
      </c>
      <c r="HJ38" s="962" t="e">
        <f>[1]!taqsh(1,1,[1]!roz(HJ34+1,HJ37,0,0),HJ35)</f>
        <v>#VALUE!</v>
      </c>
      <c r="HK38" s="962" t="e">
        <f>[1]!taqsh(1,1,[1]!roz(HK34+1,HK37,0,0),HK35)</f>
        <v>#VALUE!</v>
      </c>
      <c r="HL38" s="962" t="e">
        <f>[1]!taqsh(1,1,[1]!roz(HL34+1,HL37,0,0),HL35)</f>
        <v>#VALUE!</v>
      </c>
      <c r="HM38" s="962" t="e">
        <f>[1]!taqsh(1,1,[1]!roz(HM34+1,HM37,0,0),HM35)</f>
        <v>#VALUE!</v>
      </c>
      <c r="HN38" s="962" t="e">
        <f>[1]!taqsh(1,1,[1]!roz(HN34+1,HN37,0,0),HN35)</f>
        <v>#VALUE!</v>
      </c>
      <c r="HO38" s="962" t="e">
        <f>[1]!taqsh(1,1,[1]!roz(HO34+1,HO37,0,0),HO35)</f>
        <v>#VALUE!</v>
      </c>
      <c r="HP38" s="962" t="e">
        <f>[1]!taqsh(1,1,[1]!roz(HP34+1,HP37,0,0),HP35)</f>
        <v>#VALUE!</v>
      </c>
      <c r="HQ38" s="962" t="e">
        <f>[1]!taqsh(1,1,[1]!roz(HQ34+1,HQ37,0,0),HQ35)</f>
        <v>#VALUE!</v>
      </c>
      <c r="HR38" s="962" t="e">
        <f>[1]!taqsh(1,1,[1]!roz(HR34+1,HR37,0,0),HR35)</f>
        <v>#VALUE!</v>
      </c>
      <c r="HS38" s="962" t="e">
        <f>[1]!taqsh(1,1,[1]!roz(HS34+1,HS37,0,0),HS35)</f>
        <v>#VALUE!</v>
      </c>
      <c r="HT38" s="962" t="e">
        <f>[1]!taqsh(1,1,[1]!roz(HT34+1,HT37,0,0),HT35)</f>
        <v>#VALUE!</v>
      </c>
      <c r="HU38" s="962" t="e">
        <f>[1]!taqsh(1,1,[1]!roz(HU34+1,HU37,0,0),HU35)</f>
        <v>#VALUE!</v>
      </c>
      <c r="HV38" s="962" t="e">
        <f>[1]!taqsh(1,1,[1]!roz(HV34+1,HV37,0,0),HV35)</f>
        <v>#VALUE!</v>
      </c>
      <c r="HW38" s="962" t="e">
        <f>[1]!taqsh(1,1,[1]!roz(HW34+1,HW37,0,0),HW35)</f>
        <v>#VALUE!</v>
      </c>
      <c r="HX38" s="962" t="e">
        <f>[1]!taqsh(1,1,[1]!roz(HX34+1,HX37,0,0),HX35)</f>
        <v>#VALUE!</v>
      </c>
      <c r="HY38" s="962" t="e">
        <f>[1]!taqsh(1,1,[1]!roz(HY34+1,HY37,0,0),HY35)</f>
        <v>#VALUE!</v>
      </c>
      <c r="HZ38" s="962" t="e">
        <f>[1]!taqsh(1,1,[1]!roz(HZ34+1,HZ37,0,0),HZ35)</f>
        <v>#VALUE!</v>
      </c>
      <c r="IA38" s="962" t="e">
        <f>[1]!taqsh(1,1,[1]!roz(IA34+1,IA37,0,0),IA35)</f>
        <v>#VALUE!</v>
      </c>
      <c r="IB38" s="962" t="e">
        <f>[1]!taqsh(1,1,[1]!roz(IB34+1,IB37,0,0),IB35)</f>
        <v>#VALUE!</v>
      </c>
      <c r="IC38" s="962" t="e">
        <f>[1]!taqsh(1,1,[1]!roz(IC34+1,IC37,0,0),IC35)</f>
        <v>#VALUE!</v>
      </c>
      <c r="ID38" s="962" t="e">
        <f>[1]!taqsh(1,1,[1]!roz(ID34+1,ID37,0,0),ID35)</f>
        <v>#VALUE!</v>
      </c>
      <c r="IE38" s="962" t="e">
        <f>[1]!taqsh(1,1,[1]!roz(IE34+1,IE37,0,0),IE35)</f>
        <v>#VALUE!</v>
      </c>
      <c r="IF38" s="962" t="e">
        <f>[1]!taqsh(1,1,[1]!roz(IF34+1,IF37,0,0),IF35)</f>
        <v>#VALUE!</v>
      </c>
      <c r="IG38" s="962" t="e">
        <f>[1]!taqsh(1,1,[1]!roz(IG34+1,IG37,0,0),IG35)</f>
        <v>#VALUE!</v>
      </c>
      <c r="IH38" s="962" t="e">
        <f>[1]!taqsh(1,1,[1]!roz(IH34+1,IH37,0,0),IH35)</f>
        <v>#VALUE!</v>
      </c>
      <c r="II38" s="962" t="e">
        <f>[1]!taqsh(1,1,[1]!roz(II34+1,II37,0,0),II35)</f>
        <v>#VALUE!</v>
      </c>
      <c r="IJ38" s="962" t="e">
        <f>[1]!taqsh(1,1,[1]!roz(IJ34+1,IJ37,0,0),IJ35)</f>
        <v>#VALUE!</v>
      </c>
      <c r="IK38" s="962" t="e">
        <f>[1]!taqsh(1,1,[1]!roz(IK34+1,IK37,0,0),IK35)</f>
        <v>#VALUE!</v>
      </c>
      <c r="IL38" s="962" t="e">
        <f>[1]!taqsh(1,1,[1]!roz(IL34+1,IL37,0,0),IL35)</f>
        <v>#VALUE!</v>
      </c>
      <c r="IM38" s="962" t="e">
        <f>[1]!taqsh(1,1,[1]!roz(IM34+1,IM37,0,0),IM35)</f>
        <v>#VALUE!</v>
      </c>
      <c r="IN38" s="962" t="e">
        <f>[1]!taqsh(1,1,[1]!roz(IN34+1,IN37,0,0),IN35)</f>
        <v>#VALUE!</v>
      </c>
      <c r="IO38" s="962" t="e">
        <f>[1]!taqsh(1,1,[1]!roz(IO34+1,IO37,0,0),IO35)</f>
        <v>#VALUE!</v>
      </c>
      <c r="IP38" s="962" t="e">
        <f>[1]!taqsh(1,1,[1]!roz(IP34+1,IP37,0,0),IP35)</f>
        <v>#VALUE!</v>
      </c>
      <c r="IQ38" s="962" t="e">
        <f>[1]!taqsh(1,1,[1]!roz(IQ34+1,IQ37,0,0),IQ35)</f>
        <v>#VALUE!</v>
      </c>
      <c r="IR38" s="962" t="e">
        <f>[1]!taqsh(1,1,[1]!roz(IR34+1,IR37,0,0),IR35)</f>
        <v>#VALUE!</v>
      </c>
      <c r="IS38" s="962" t="e">
        <f>[1]!taqsh(1,1,[1]!roz(IS34+1,IS37,0,0),IS35)</f>
        <v>#VALUE!</v>
      </c>
      <c r="IT38" s="962" t="e">
        <f>[1]!taqsh(1,1,[1]!roz(IT34+1,IT37,0,0),IT35)</f>
        <v>#VALUE!</v>
      </c>
      <c r="IU38" s="962" t="e">
        <f>[1]!taqsh(1,1,[1]!roz(IU34+1,IU37,0,0),IU35)</f>
        <v>#VALUE!</v>
      </c>
      <c r="IV38" s="962" t="e">
        <f>[1]!taqsh(1,1,[1]!roz(IV34+1,IV37,0,0),IV35)</f>
        <v>#VALUE!</v>
      </c>
      <c r="IW38" s="962" t="e">
        <f>[1]!taqsh(1,1,[1]!roz(IW34+1,IW37,0,0),IW35)</f>
        <v>#VALUE!</v>
      </c>
      <c r="IX38" s="962" t="e">
        <f>[1]!taqsh(1,1,[1]!roz(IX34+1,IX37,0,0),IX35)</f>
        <v>#VALUE!</v>
      </c>
      <c r="IY38" s="962" t="e">
        <f>[1]!taqsh(1,1,[1]!roz(IY34+1,IY37,0,0),IY35)</f>
        <v>#VALUE!</v>
      </c>
      <c r="IZ38" s="962" t="e">
        <f>[1]!taqsh(1,1,[1]!roz(IZ34+1,IZ37,0,0),IZ35)</f>
        <v>#VALUE!</v>
      </c>
      <c r="JA38" s="962" t="e">
        <f>[1]!taqsh(1,1,[1]!roz(JA34+1,JA37,0,0),JA35)</f>
        <v>#VALUE!</v>
      </c>
      <c r="JB38" s="962" t="e">
        <f>[1]!taqsh(1,1,[1]!roz(JB34+1,JB37,0,0),JB35)</f>
        <v>#VALUE!</v>
      </c>
      <c r="JC38" s="962" t="e">
        <f>[1]!taqsh(1,1,[1]!roz(JC34+1,JC37,0,0),JC35)</f>
        <v>#VALUE!</v>
      </c>
      <c r="JD38" s="962" t="e">
        <f>[1]!taqsh(1,1,[1]!roz(JD34+1,JD37,0,0),JD35)</f>
        <v>#VALUE!</v>
      </c>
      <c r="JE38" s="962" t="e">
        <f>[1]!taqsh(1,1,[1]!roz(JE34+1,JE37,0,0),JE35)</f>
        <v>#VALUE!</v>
      </c>
      <c r="JF38" s="962" t="e">
        <f>[1]!taqsh(1,1,[1]!roz(JF34+1,JF37,0,0),JF35)</f>
        <v>#VALUE!</v>
      </c>
      <c r="JG38" s="962" t="e">
        <f>[1]!taqsh(1,1,[1]!roz(JG34+1,JG37,0,0),JG35)</f>
        <v>#VALUE!</v>
      </c>
      <c r="JH38" s="962" t="e">
        <f>[1]!taqsh(1,1,[1]!roz(JH34+1,JH37,0,0),JH35)</f>
        <v>#VALUE!</v>
      </c>
      <c r="JI38" s="962" t="e">
        <f>[1]!taqsh(1,1,[1]!roz(JI34+1,JI37,0,0),JI35)</f>
        <v>#VALUE!</v>
      </c>
      <c r="JJ38" s="962" t="e">
        <f>[1]!taqsh(1,1,[1]!roz(JJ34+1,JJ37,0,0),JJ35)</f>
        <v>#VALUE!</v>
      </c>
      <c r="JK38" s="962" t="e">
        <f>[1]!taqsh(1,1,[1]!roz(JK34+1,JK37,0,0),JK35)</f>
        <v>#VALUE!</v>
      </c>
      <c r="JL38" s="962" t="e">
        <f>[1]!taqsh(1,1,[1]!roz(JL34+1,JL37,0,0),JL35)</f>
        <v>#VALUE!</v>
      </c>
      <c r="JM38" s="962" t="e">
        <f>[1]!taqsh(1,1,[1]!roz(JM34+1,JM37,0,0),JM35)</f>
        <v>#VALUE!</v>
      </c>
      <c r="JN38" s="962" t="e">
        <f>[1]!taqsh(1,1,[1]!roz(JN34+1,JN37,0,0),JN35)</f>
        <v>#VALUE!</v>
      </c>
      <c r="JO38" s="962" t="e">
        <f>[1]!taqsh(1,1,[1]!roz(JO34+1,JO37,0,0),JO35)</f>
        <v>#VALUE!</v>
      </c>
      <c r="JP38" s="962" t="e">
        <f>[1]!taqsh(1,1,[1]!roz(JP34+1,JP37,0,0),JP35)</f>
        <v>#VALUE!</v>
      </c>
      <c r="JQ38" s="962" t="e">
        <f>[1]!taqsh(1,1,[1]!roz(JQ34+1,JQ37,0,0),JQ35)</f>
        <v>#VALUE!</v>
      </c>
      <c r="JR38" s="962" t="e">
        <f>[1]!taqsh(1,1,[1]!roz(JR34+1,JR37,0,0),JR35)</f>
        <v>#VALUE!</v>
      </c>
      <c r="JS38" s="962" t="e">
        <f>[1]!taqsh(1,1,[1]!roz(JS34+1,JS37,0,0),JS35)</f>
        <v>#VALUE!</v>
      </c>
      <c r="JT38" s="962" t="e">
        <f>[1]!taqsh(1,1,[1]!roz(JT34+1,JT37,0,0),JT35)</f>
        <v>#VALUE!</v>
      </c>
      <c r="JU38" s="962" t="e">
        <f>[1]!taqsh(1,1,[1]!roz(JU34+1,JU37,0,0),JU35)</f>
        <v>#VALUE!</v>
      </c>
      <c r="JV38" s="962" t="e">
        <f>[1]!taqsh(1,1,[1]!roz(JV34+1,JV37,0,0),JV35)</f>
        <v>#VALUE!</v>
      </c>
      <c r="JW38" s="962" t="e">
        <f>[1]!taqsh(1,1,[1]!roz(JW34+1,JW37,0,0),JW35)</f>
        <v>#VALUE!</v>
      </c>
      <c r="JX38" s="962" t="e">
        <f>[1]!taqsh(1,1,[1]!roz(JX34+1,JX37,0,0),JX35)</f>
        <v>#VALUE!</v>
      </c>
      <c r="JY38" s="962" t="e">
        <f>[1]!taqsh(1,1,[1]!roz(JY34+1,JY37,0,0),JY35)</f>
        <v>#VALUE!</v>
      </c>
      <c r="JZ38" s="962" t="e">
        <f>[1]!taqsh(1,1,[1]!roz(JZ34+1,JZ37,0,0),JZ35)</f>
        <v>#VALUE!</v>
      </c>
      <c r="KA38" s="962" t="e">
        <f>[1]!taqsh(1,1,[1]!roz(KA34+1,KA37,0,0),KA35)</f>
        <v>#VALUE!</v>
      </c>
      <c r="KB38" s="962" t="e">
        <f>[1]!taqsh(1,1,[1]!roz(KB34+1,KB37,0,0),KB35)</f>
        <v>#VALUE!</v>
      </c>
      <c r="KC38" s="962" t="e">
        <f>[1]!taqsh(1,1,[1]!roz(KC34+1,KC37,0,0),KC35)</f>
        <v>#VALUE!</v>
      </c>
      <c r="KD38" s="962" t="e">
        <f>[1]!taqsh(1,1,[1]!roz(KD34+1,KD37,0,0),KD35)</f>
        <v>#VALUE!</v>
      </c>
      <c r="KE38" s="962" t="e">
        <f>[1]!taqsh(1,1,[1]!roz(KE34+1,KE37,0,0),KE35)</f>
        <v>#VALUE!</v>
      </c>
      <c r="KF38" s="962" t="e">
        <f>[1]!taqsh(1,1,[1]!roz(KF34+1,KF37,0,0),KF35)</f>
        <v>#VALUE!</v>
      </c>
      <c r="KG38" s="962" t="e">
        <f>[1]!taqsh(1,1,[1]!roz(KG34+1,KG37,0,0),KG35)</f>
        <v>#VALUE!</v>
      </c>
      <c r="KH38" s="962" t="e">
        <f>[1]!taqsh(1,1,[1]!roz(KH34+1,KH37,0,0),KH35)</f>
        <v>#VALUE!</v>
      </c>
      <c r="KI38" s="962" t="e">
        <f>[1]!taqsh(1,1,[1]!roz(KI34+1,KI37,0,0),KI35)</f>
        <v>#VALUE!</v>
      </c>
      <c r="KJ38" s="962" t="e">
        <f>[1]!taqsh(1,1,[1]!roz(KJ34+1,KJ37,0,0),KJ35)</f>
        <v>#VALUE!</v>
      </c>
      <c r="KK38" s="962" t="e">
        <f>[1]!taqsh(1,1,[1]!roz(KK34+1,KK37,0,0),KK35)</f>
        <v>#VALUE!</v>
      </c>
      <c r="KL38" s="962" t="e">
        <f>[1]!taqsh(1,1,[1]!roz(KL34+1,KL37,0,0),KL35)</f>
        <v>#VALUE!</v>
      </c>
      <c r="KM38" s="962" t="e">
        <f>[1]!taqsh(1,1,[1]!roz(KM34+1,KM37,0,0),KM35)</f>
        <v>#VALUE!</v>
      </c>
      <c r="KN38" s="962" t="e">
        <f>[1]!taqsh(1,1,[1]!roz(KN34+1,KN37,0,0),KN35)</f>
        <v>#VALUE!</v>
      </c>
      <c r="KO38" s="962" t="e">
        <f>[1]!taqsh(1,1,[1]!roz(KO34+1,KO37,0,0),KO35)</f>
        <v>#VALUE!</v>
      </c>
      <c r="KP38" s="962" t="e">
        <f>[1]!taqsh(1,1,[1]!roz(KP34+1,KP37,0,0),KP35)</f>
        <v>#VALUE!</v>
      </c>
      <c r="KQ38" s="962" t="e">
        <f>[1]!taqsh(1,1,[1]!roz(KQ34+1,KQ37,0,0),KQ35)</f>
        <v>#VALUE!</v>
      </c>
      <c r="KR38" s="962" t="e">
        <f>[1]!taqsh(1,1,[1]!roz(KR34+1,KR37,0,0),KR35)</f>
        <v>#VALUE!</v>
      </c>
      <c r="KS38" s="962" t="e">
        <f>[1]!taqsh(1,1,[1]!roz(KS34+1,KS37,0,0),KS35)</f>
        <v>#VALUE!</v>
      </c>
      <c r="KT38" s="962" t="e">
        <f>[1]!taqsh(1,1,[1]!roz(KT34+1,KT37,0,0),KT35)</f>
        <v>#VALUE!</v>
      </c>
      <c r="KU38" s="962" t="e">
        <f>[1]!taqsh(1,1,[1]!roz(KU34+1,KU37,0,0),KU35)</f>
        <v>#VALUE!</v>
      </c>
      <c r="KV38" s="962" t="e">
        <f>[1]!taqsh(1,1,[1]!roz(KV34+1,KV37,0,0),KV35)</f>
        <v>#VALUE!</v>
      </c>
      <c r="KW38" s="962" t="e">
        <f>[1]!taqsh(1,1,[1]!roz(KW34+1,KW37,0,0),KW35)</f>
        <v>#VALUE!</v>
      </c>
      <c r="KX38" s="962" t="e">
        <f>[1]!taqsh(1,1,[1]!roz(KX34+1,KX37,0,0),KX35)</f>
        <v>#VALUE!</v>
      </c>
      <c r="KY38" s="962" t="e">
        <f>[1]!taqsh(1,1,[1]!roz(KY34+1,KY37,0,0),KY35)</f>
        <v>#VALUE!</v>
      </c>
      <c r="KZ38" s="962" t="e">
        <f>[1]!taqsh(1,1,[1]!roz(KZ34+1,KZ37,0,0),KZ35)</f>
        <v>#VALUE!</v>
      </c>
      <c r="LA38" s="962" t="e">
        <f>[1]!taqsh(1,1,[1]!roz(LA34+1,LA37,0,0),LA35)</f>
        <v>#VALUE!</v>
      </c>
      <c r="LB38" s="962" t="e">
        <f>[1]!taqsh(1,1,[1]!roz(LB34+1,LB37,0,0),LB35)</f>
        <v>#VALUE!</v>
      </c>
      <c r="LC38" s="962" t="e">
        <f>[1]!taqsh(1,1,[1]!roz(LC34+1,LC37,0,0),LC35)</f>
        <v>#VALUE!</v>
      </c>
      <c r="LD38" s="962" t="e">
        <f>[1]!taqsh(1,1,[1]!roz(LD34+1,LD37,0,0),LD35)</f>
        <v>#VALUE!</v>
      </c>
      <c r="LE38" s="962" t="e">
        <f>[1]!taqsh(1,1,[1]!roz(LE34+1,LE37,0,0),LE35)</f>
        <v>#VALUE!</v>
      </c>
      <c r="LF38" s="962" t="e">
        <f>[1]!taqsh(1,1,[1]!roz(LF34+1,LF37,0,0),LF35)</f>
        <v>#VALUE!</v>
      </c>
      <c r="LG38" s="962" t="e">
        <f>[1]!taqsh(1,1,[1]!roz(LG34+1,LG37,0,0),LG35)</f>
        <v>#VALUE!</v>
      </c>
      <c r="LH38" s="962" t="e">
        <f>[1]!taqsh(1,1,[1]!roz(LH34+1,LH37,0,0),LH35)</f>
        <v>#VALUE!</v>
      </c>
      <c r="LI38" s="962" t="e">
        <f>[1]!taqsh(1,1,[1]!roz(LI34+1,LI37,0,0),LI35)</f>
        <v>#VALUE!</v>
      </c>
      <c r="LJ38" s="962" t="e">
        <f>[1]!taqsh(1,1,[1]!roz(LJ34+1,LJ37,0,0),LJ35)</f>
        <v>#VALUE!</v>
      </c>
      <c r="LK38" s="962" t="e">
        <f>[1]!taqsh(1,1,[1]!roz(LK34+1,LK37,0,0),LK35)</f>
        <v>#VALUE!</v>
      </c>
      <c r="LL38" s="962" t="e">
        <f>[1]!taqsh(1,1,[1]!roz(LL34+1,LL37,0,0),LL35)</f>
        <v>#VALUE!</v>
      </c>
      <c r="LM38" s="962" t="e">
        <f>[1]!taqsh(1,1,[1]!roz(LM34+1,LM37,0,0),LM35)</f>
        <v>#VALUE!</v>
      </c>
      <c r="LN38" s="962" t="e">
        <f>[1]!taqsh(1,1,[1]!roz(LN34+1,LN37,0,0),LN35)</f>
        <v>#VALUE!</v>
      </c>
      <c r="LO38" s="962" t="e">
        <f>[1]!taqsh(1,1,[1]!roz(LO34+1,LO37,0,0),LO35)</f>
        <v>#VALUE!</v>
      </c>
      <c r="LP38" s="962" t="e">
        <f>[1]!taqsh(1,1,[1]!roz(LP34+1,LP37,0,0),LP35)</f>
        <v>#VALUE!</v>
      </c>
      <c r="LQ38" s="962" t="e">
        <f>[1]!taqsh(1,1,[1]!roz(LQ34+1,LQ37,0,0),LQ35)</f>
        <v>#VALUE!</v>
      </c>
      <c r="LR38" s="962" t="e">
        <f>[1]!taqsh(1,1,[1]!roz(LR34+1,LR37,0,0),LR35)</f>
        <v>#VALUE!</v>
      </c>
      <c r="LS38" s="962" t="e">
        <f>[1]!taqsh(1,1,[1]!roz(LS34+1,LS37,0,0),LS35)</f>
        <v>#VALUE!</v>
      </c>
      <c r="LT38" s="962" t="e">
        <f>[1]!taqsh(1,1,[1]!roz(LT34+1,LT37,0,0),LT35)</f>
        <v>#VALUE!</v>
      </c>
      <c r="LU38" s="962" t="e">
        <f>[1]!taqsh(1,1,[1]!roz(LU34+1,LU37,0,0),LU35)</f>
        <v>#VALUE!</v>
      </c>
      <c r="LV38" s="962" t="e">
        <f>[1]!taqsh(1,1,[1]!roz(LV34+1,LV37,0,0),LV35)</f>
        <v>#VALUE!</v>
      </c>
      <c r="LW38" s="962" t="e">
        <f>[1]!taqsh(1,1,[1]!roz(LW34+1,LW37,0,0),LW35)</f>
        <v>#VALUE!</v>
      </c>
      <c r="LX38" s="962" t="e">
        <f>[1]!taqsh(1,1,[1]!roz(LX34+1,LX37,0,0),LX35)</f>
        <v>#VALUE!</v>
      </c>
      <c r="LY38" s="962" t="e">
        <f>[1]!taqsh(1,1,[1]!roz(LY34+1,LY37,0,0),LY35)</f>
        <v>#VALUE!</v>
      </c>
      <c r="LZ38" s="962" t="e">
        <f>[1]!taqsh(1,1,[1]!roz(LZ34+1,LZ37,0,0),LZ35)</f>
        <v>#VALUE!</v>
      </c>
      <c r="MA38" s="962" t="e">
        <f>[1]!taqsh(1,1,[1]!roz(MA34+1,MA37,0,0),MA35)</f>
        <v>#VALUE!</v>
      </c>
      <c r="MB38" s="962" t="e">
        <f>[1]!taqsh(1,1,[1]!roz(MB34+1,MB37,0,0),MB35)</f>
        <v>#VALUE!</v>
      </c>
      <c r="MC38" s="962" t="e">
        <f>[1]!taqsh(1,1,[1]!roz(MC34+1,MC37,0,0),MC35)</f>
        <v>#VALUE!</v>
      </c>
      <c r="MD38" s="962" t="e">
        <f>[1]!taqsh(1,1,[1]!roz(MD34+1,MD37,0,0),MD35)</f>
        <v>#VALUE!</v>
      </c>
      <c r="ME38" s="962" t="e">
        <f>[1]!taqsh(1,1,[1]!roz(ME34+1,ME37,0,0),ME35)</f>
        <v>#VALUE!</v>
      </c>
      <c r="MF38" s="962" t="e">
        <f>[1]!taqsh(1,1,[1]!roz(MF34+1,MF37,0,0),MF35)</f>
        <v>#VALUE!</v>
      </c>
      <c r="MG38" s="962" t="e">
        <f>[1]!taqsh(1,1,[1]!roz(MG34+1,MG37,0,0),MG35)</f>
        <v>#VALUE!</v>
      </c>
      <c r="MH38" s="962" t="e">
        <f>[1]!taqsh(1,1,[1]!roz(MH34+1,MH37,0,0),MH35)</f>
        <v>#VALUE!</v>
      </c>
      <c r="MI38" s="962" t="e">
        <f>[1]!taqsh(1,1,[1]!roz(MI34+1,MI37,0,0),MI35)</f>
        <v>#VALUE!</v>
      </c>
      <c r="MJ38" s="962" t="e">
        <f>[1]!taqsh(1,1,[1]!roz(MJ34+1,MJ37,0,0),MJ35)</f>
        <v>#VALUE!</v>
      </c>
      <c r="MK38" s="962" t="e">
        <f>[1]!taqsh(1,1,[1]!roz(MK34+1,MK37,0,0),MK35)</f>
        <v>#VALUE!</v>
      </c>
      <c r="ML38" s="962" t="e">
        <f>[1]!taqsh(1,1,[1]!roz(ML34+1,ML37,0,0),ML35)</f>
        <v>#VALUE!</v>
      </c>
      <c r="MM38" s="962" t="e">
        <f>[1]!taqsh(1,1,[1]!roz(MM34+1,MM37,0,0),MM35)</f>
        <v>#VALUE!</v>
      </c>
      <c r="MN38" s="962" t="e">
        <f>[1]!taqsh(1,1,[1]!roz(MN34+1,MN37,0,0),MN35)</f>
        <v>#VALUE!</v>
      </c>
      <c r="MO38" s="962" t="e">
        <f>[1]!taqsh(1,1,[1]!roz(MO34+1,MO37,0,0),MO35)</f>
        <v>#VALUE!</v>
      </c>
      <c r="MP38" s="962" t="e">
        <f>[1]!taqsh(1,1,[1]!roz(MP34+1,MP37,0,0),MP35)</f>
        <v>#VALUE!</v>
      </c>
      <c r="MQ38" s="962" t="e">
        <f>[1]!taqsh(1,1,[1]!roz(MQ34+1,MQ37,0,0),MQ35)</f>
        <v>#VALUE!</v>
      </c>
      <c r="MR38" s="962" t="e">
        <f>[1]!taqsh(1,1,[1]!roz(MR34+1,MR37,0,0),MR35)</f>
        <v>#VALUE!</v>
      </c>
      <c r="MS38" s="962" t="e">
        <f>[1]!taqsh(1,1,[1]!roz(MS34+1,MS37,0,0),MS35)</f>
        <v>#VALUE!</v>
      </c>
      <c r="MT38" s="962" t="e">
        <f>[1]!taqsh(1,1,[1]!roz(MT34+1,MT37,0,0),MT35)</f>
        <v>#VALUE!</v>
      </c>
      <c r="MU38" s="962" t="e">
        <f>[1]!taqsh(1,1,[1]!roz(MU34+1,MU37,0,0),MU35)</f>
        <v>#VALUE!</v>
      </c>
      <c r="MV38" s="962" t="e">
        <f>[1]!taqsh(1,1,[1]!roz(MV34+1,MV37,0,0),MV35)</f>
        <v>#VALUE!</v>
      </c>
      <c r="MW38" s="962" t="e">
        <f>[1]!taqsh(1,1,[1]!roz(MW34+1,MW37,0,0),MW35)</f>
        <v>#VALUE!</v>
      </c>
      <c r="MX38" s="962" t="e">
        <f>[1]!taqsh(1,1,[1]!roz(MX34+1,MX37,0,0),MX35)</f>
        <v>#VALUE!</v>
      </c>
      <c r="MY38" s="962" t="e">
        <f>[1]!taqsh(1,1,[1]!roz(MY34+1,MY37,0,0),MY35)</f>
        <v>#VALUE!</v>
      </c>
      <c r="MZ38" s="962" t="e">
        <f>[1]!taqsh(1,1,[1]!roz(MZ34+1,MZ37,0,0),MZ35)</f>
        <v>#VALUE!</v>
      </c>
      <c r="NA38" s="962" t="e">
        <f>[1]!taqsh(1,1,[1]!roz(NA34+1,NA37,0,0),NA35)</f>
        <v>#VALUE!</v>
      </c>
      <c r="NB38" s="962" t="e">
        <f>[1]!taqsh(1,1,[1]!roz(NB34+1,NB37,0,0),NB35)</f>
        <v>#VALUE!</v>
      </c>
      <c r="NC38" s="962" t="e">
        <f>[1]!taqsh(1,1,[1]!roz(NC34+1,NC37,0,0),NC35)</f>
        <v>#VALUE!</v>
      </c>
      <c r="ND38" s="962" t="e">
        <f>[1]!taqsh(1,1,[1]!roz(ND34+1,ND37,0,0),ND35)</f>
        <v>#VALUE!</v>
      </c>
      <c r="NE38" s="962" t="e">
        <f>[1]!taqsh(1,1,[1]!roz(NE34+1,NE37,0,0),NE35)</f>
        <v>#VALUE!</v>
      </c>
      <c r="NF38" s="962" t="e">
        <f>[1]!taqsh(1,1,[1]!roz(NF34+1,NF37,0,0),NF35)</f>
        <v>#VALUE!</v>
      </c>
      <c r="NG38" s="962" t="e">
        <f>[1]!taqsh(1,1,[1]!roz(NG34+1,NG37,0,0),NG35)</f>
        <v>#VALUE!</v>
      </c>
      <c r="NH38" s="962" t="e">
        <f>[1]!taqsh(1,1,[1]!roz(NH34+1,NH37,0,0),NH35)</f>
        <v>#VALUE!</v>
      </c>
      <c r="NI38" s="962" t="e">
        <f>[1]!taqsh(1,1,[1]!roz(NI34+1,NI37,0,0),NI35)</f>
        <v>#VALUE!</v>
      </c>
      <c r="NJ38" s="962" t="e">
        <f>[1]!taqsh(1,1,[1]!roz(NJ34+1,NJ37,0,0),NJ35)</f>
        <v>#VALUE!</v>
      </c>
      <c r="NK38" s="962" t="e">
        <f>[1]!taqsh(1,1,[1]!roz(NK34+1,NK37,0,0),NK35)</f>
        <v>#VALUE!</v>
      </c>
      <c r="NL38" s="962" t="e">
        <f>[1]!taqsh(1,1,[1]!roz(NL34+1,NL37,0,0),NL35)</f>
        <v>#VALUE!</v>
      </c>
      <c r="NM38" s="962" t="e">
        <f>[1]!taqsh(1,1,[1]!roz(NM34+1,NM37,0,0),NM35)</f>
        <v>#VALUE!</v>
      </c>
      <c r="NN38" s="962" t="e">
        <f>[1]!taqsh(1,1,[1]!roz(NN34+1,NN37,0,0),NN35)</f>
        <v>#VALUE!</v>
      </c>
      <c r="NO38" s="962" t="e">
        <f>[1]!taqsh(1,1,[1]!roz(NO34+1,NO37,0,0),NO35)</f>
        <v>#VALUE!</v>
      </c>
      <c r="NP38" s="962" t="e">
        <f>[1]!taqsh(1,1,[1]!roz(NP34+1,NP37,0,0),NP35)</f>
        <v>#VALUE!</v>
      </c>
      <c r="NQ38" s="962" t="e">
        <f>[1]!taqsh(1,1,[1]!roz(NQ34+1,NQ37,0,0),NQ35)</f>
        <v>#VALUE!</v>
      </c>
      <c r="NR38" s="962" t="e">
        <f>[1]!taqsh(1,1,[1]!roz(NR34+1,NR37,0,0),NR35)</f>
        <v>#VALUE!</v>
      </c>
      <c r="NS38" s="962" t="e">
        <f>[1]!taqsh(1,1,[1]!roz(NS34+1,NS37,0,0),NS35)</f>
        <v>#VALUE!</v>
      </c>
      <c r="NT38" s="962" t="e">
        <f>[1]!taqsh(1,1,[1]!roz(NT34+1,NT37,0,0),NT35)</f>
        <v>#VALUE!</v>
      </c>
      <c r="NU38" s="962" t="e">
        <f>[1]!taqsh(1,1,[1]!roz(NU34+1,NU37,0,0),NU35)</f>
        <v>#VALUE!</v>
      </c>
      <c r="NV38" s="962" t="e">
        <f>[1]!taqsh(1,1,[1]!roz(NV34+1,NV37,0,0),NV35)</f>
        <v>#VALUE!</v>
      </c>
      <c r="NW38" s="962" t="e">
        <f>[1]!taqsh(1,1,[1]!roz(NW34+1,NW37,0,0),NW35)</f>
        <v>#VALUE!</v>
      </c>
      <c r="NX38" s="962" t="e">
        <f>[1]!taqsh(1,1,[1]!roz(NX34+1,NX37,0,0),NX35)</f>
        <v>#VALUE!</v>
      </c>
      <c r="NY38" s="962" t="e">
        <f>[1]!taqsh(1,1,[1]!roz(NY34+1,NY37,0,0),NY35)</f>
        <v>#VALUE!</v>
      </c>
      <c r="NZ38" s="962" t="e">
        <f>[1]!taqsh(1,1,[1]!roz(NZ34+1,NZ37,0,0),NZ35)</f>
        <v>#VALUE!</v>
      </c>
      <c r="OA38" s="962" t="e">
        <f>[1]!taqsh(1,1,[1]!roz(OA34+1,OA37,0,0),OA35)</f>
        <v>#VALUE!</v>
      </c>
      <c r="OB38" s="962" t="e">
        <f>[1]!taqsh(1,1,[1]!roz(OB34+1,OB37,0,0),OB35)</f>
        <v>#VALUE!</v>
      </c>
      <c r="OC38" s="962" t="e">
        <f>[1]!taqsh(1,1,[1]!roz(OC34+1,OC37,0,0),OC35)</f>
        <v>#VALUE!</v>
      </c>
      <c r="OD38" s="962" t="e">
        <f>[1]!taqsh(1,1,[1]!roz(OD34+1,OD37,0,0),OD35)</f>
        <v>#VALUE!</v>
      </c>
      <c r="OE38" s="962" t="e">
        <f>[1]!taqsh(1,1,[1]!roz(OE34+1,OE37,0,0),OE35)</f>
        <v>#VALUE!</v>
      </c>
      <c r="OF38" s="962" t="e">
        <f>[1]!taqsh(1,1,[1]!roz(OF34+1,OF37,0,0),OF35)</f>
        <v>#VALUE!</v>
      </c>
      <c r="OG38" s="962" t="e">
        <f>[1]!taqsh(1,1,[1]!roz(OG34+1,OG37,0,0),OG35)</f>
        <v>#VALUE!</v>
      </c>
      <c r="OH38" s="962" t="e">
        <f>[1]!taqsh(1,1,[1]!roz(OH34+1,OH37,0,0),OH35)</f>
        <v>#VALUE!</v>
      </c>
      <c r="OI38" s="962" t="e">
        <f>[1]!taqsh(1,1,[1]!roz(OI34+1,OI37,0,0),OI35)</f>
        <v>#VALUE!</v>
      </c>
      <c r="OJ38" s="962" t="e">
        <f>[1]!taqsh(1,1,[1]!roz(OJ34+1,OJ37,0,0),OJ35)</f>
        <v>#VALUE!</v>
      </c>
      <c r="OK38" s="962" t="e">
        <f>[1]!taqsh(1,1,[1]!roz(OK34+1,OK37,0,0),OK35)</f>
        <v>#VALUE!</v>
      </c>
      <c r="OL38" s="962" t="e">
        <f>[1]!taqsh(1,1,[1]!roz(OL34+1,OL37,0,0),OL35)</f>
        <v>#VALUE!</v>
      </c>
      <c r="OM38" s="962" t="e">
        <f>[1]!taqsh(1,1,[1]!roz(OM34+1,OM37,0,0),OM35)</f>
        <v>#VALUE!</v>
      </c>
      <c r="ON38" s="962" t="e">
        <f>[1]!taqsh(1,1,[1]!roz(ON34+1,ON37,0,0),ON35)</f>
        <v>#VALUE!</v>
      </c>
      <c r="OO38" s="962" t="e">
        <f>[1]!taqsh(1,1,[1]!roz(OO34+1,OO37,0,0),OO35)</f>
        <v>#VALUE!</v>
      </c>
      <c r="OP38" s="962" t="e">
        <f>[1]!taqsh(1,1,[1]!roz(OP34+1,OP37,0,0),OP35)</f>
        <v>#VALUE!</v>
      </c>
      <c r="OQ38" s="962" t="e">
        <f>[1]!taqsh(1,1,[1]!roz(OQ34+1,OQ37,0,0),OQ35)</f>
        <v>#VALUE!</v>
      </c>
      <c r="OR38" s="962" t="e">
        <f>[1]!taqsh(1,1,[1]!roz(OR34+1,OR37,0,0),OR35)</f>
        <v>#VALUE!</v>
      </c>
      <c r="OS38" s="962" t="e">
        <f>[1]!taqsh(1,1,[1]!roz(OS34+1,OS37,0,0),OS35)</f>
        <v>#VALUE!</v>
      </c>
      <c r="OT38" s="962" t="e">
        <f>[1]!taqsh(1,1,[1]!roz(OT34+1,OT37,0,0),OT35)</f>
        <v>#VALUE!</v>
      </c>
      <c r="OU38" s="962" t="e">
        <f>[1]!taqsh(1,1,[1]!roz(OU34+1,OU37,0,0),OU35)</f>
        <v>#VALUE!</v>
      </c>
      <c r="OV38" s="962" t="e">
        <f>[1]!taqsh(1,1,[1]!roz(OV34+1,OV37,0,0),OV35)</f>
        <v>#VALUE!</v>
      </c>
      <c r="OW38" s="962" t="e">
        <f>[1]!taqsh(1,1,[1]!roz(OW34+1,OW37,0,0),OW35)</f>
        <v>#VALUE!</v>
      </c>
      <c r="OX38" s="962" t="e">
        <f>[1]!taqsh(1,1,[1]!roz(OX34+1,OX37,0,0),OX35)</f>
        <v>#VALUE!</v>
      </c>
      <c r="OY38" s="962" t="e">
        <f>[1]!taqsh(1,1,[1]!roz(OY34+1,OY37,0,0),OY35)</f>
        <v>#VALUE!</v>
      </c>
      <c r="OZ38" s="962" t="e">
        <f>[1]!taqsh(1,1,[1]!roz(OZ34+1,OZ37,0,0),OZ35)</f>
        <v>#VALUE!</v>
      </c>
      <c r="PA38" s="962" t="e">
        <f>[1]!taqsh(1,1,[1]!roz(PA34+1,PA37,0,0),PA35)</f>
        <v>#VALUE!</v>
      </c>
      <c r="PB38" s="962" t="e">
        <f>[1]!taqsh(1,1,[1]!roz(PB34+1,PB37,0,0),PB35)</f>
        <v>#VALUE!</v>
      </c>
      <c r="PC38" s="962" t="e">
        <f>[1]!taqsh(1,1,[1]!roz(PC34+1,PC37,0,0),PC35)</f>
        <v>#VALUE!</v>
      </c>
      <c r="PD38" s="962" t="e">
        <f>[1]!taqsh(1,1,[1]!roz(PD34+1,PD37,0,0),PD35)</f>
        <v>#VALUE!</v>
      </c>
      <c r="PE38" s="962" t="e">
        <f>[1]!taqsh(1,1,[1]!roz(PE34+1,PE37,0,0),PE35)</f>
        <v>#VALUE!</v>
      </c>
      <c r="PF38" s="962" t="e">
        <f>[1]!taqsh(1,1,[1]!roz(PF34+1,PF37,0,0),PF35)</f>
        <v>#VALUE!</v>
      </c>
      <c r="PG38" s="962" t="e">
        <f>[1]!taqsh(1,1,[1]!roz(PG34+1,PG37,0,0),PG35)</f>
        <v>#VALUE!</v>
      </c>
      <c r="PH38" s="962" t="e">
        <f>[1]!taqsh(1,1,[1]!roz(PH34+1,PH37,0,0),PH35)</f>
        <v>#VALUE!</v>
      </c>
      <c r="PI38" s="962" t="e">
        <f>[1]!taqsh(1,1,[1]!roz(PI34+1,PI37,0,0),PI35)</f>
        <v>#VALUE!</v>
      </c>
      <c r="PJ38" s="962" t="e">
        <f>[1]!taqsh(1,1,[1]!roz(PJ34+1,PJ37,0,0),PJ35)</f>
        <v>#VALUE!</v>
      </c>
      <c r="PK38" s="962" t="e">
        <f>[1]!taqsh(1,1,[1]!roz(PK34+1,PK37,0,0),PK35)</f>
        <v>#VALUE!</v>
      </c>
      <c r="PL38" s="962" t="e">
        <f>[1]!taqsh(1,1,[1]!roz(PL34+1,PL37,0,0),PL35)</f>
        <v>#VALUE!</v>
      </c>
      <c r="PM38" s="962" t="e">
        <f>[1]!taqsh(1,1,[1]!roz(PM34+1,PM37,0,0),PM35)</f>
        <v>#VALUE!</v>
      </c>
      <c r="PN38" s="962" t="e">
        <f>[1]!taqsh(1,1,[1]!roz(PN34+1,PN37,0,0),PN35)</f>
        <v>#VALUE!</v>
      </c>
      <c r="PO38" s="962" t="e">
        <f>[1]!taqsh(1,1,[1]!roz(PO34+1,PO37,0,0),PO35)</f>
        <v>#VALUE!</v>
      </c>
      <c r="PP38" s="962" t="e">
        <f>[1]!taqsh(1,1,[1]!roz(PP34+1,PP37,0,0),PP35)</f>
        <v>#VALUE!</v>
      </c>
      <c r="PQ38" s="962" t="e">
        <f>[1]!taqsh(1,1,[1]!roz(PQ34+1,PQ37,0,0),PQ35)</f>
        <v>#VALUE!</v>
      </c>
      <c r="PR38" s="962" t="e">
        <f>[1]!taqsh(1,1,[1]!roz(PR34+1,PR37,0,0),PR35)</f>
        <v>#VALUE!</v>
      </c>
      <c r="PS38" s="962" t="e">
        <f>[1]!taqsh(1,1,[1]!roz(PS34+1,PS37,0,0),PS35)</f>
        <v>#VALUE!</v>
      </c>
      <c r="PT38" s="962" t="e">
        <f>[1]!taqsh(1,1,[1]!roz(PT34+1,PT37,0,0),PT35)</f>
        <v>#VALUE!</v>
      </c>
      <c r="PU38" s="962" t="e">
        <f>[1]!taqsh(1,1,[1]!roz(PU34+1,PU37,0,0),PU35)</f>
        <v>#VALUE!</v>
      </c>
      <c r="PV38" s="962" t="e">
        <f>[1]!taqsh(1,1,[1]!roz(PV34+1,PV37,0,0),PV35)</f>
        <v>#VALUE!</v>
      </c>
      <c r="PW38" s="962" t="e">
        <f>[1]!taqsh(1,1,[1]!roz(PW34+1,PW37,0,0),PW35)</f>
        <v>#VALUE!</v>
      </c>
      <c r="PX38" s="962" t="e">
        <f>[1]!taqsh(1,1,[1]!roz(PX34+1,PX37,0,0),PX35)</f>
        <v>#VALUE!</v>
      </c>
      <c r="PY38" s="962" t="e">
        <f>[1]!taqsh(1,1,[1]!roz(PY34+1,PY37,0,0),PY35)</f>
        <v>#VALUE!</v>
      </c>
      <c r="PZ38" s="962" t="e">
        <f>[1]!taqsh(1,1,[1]!roz(PZ34+1,PZ37,0,0),PZ35)</f>
        <v>#VALUE!</v>
      </c>
      <c r="QA38" s="962" t="e">
        <f>[1]!taqsh(1,1,[1]!roz(QA34+1,QA37,0,0),QA35)</f>
        <v>#VALUE!</v>
      </c>
      <c r="QB38" s="962" t="e">
        <f>[1]!taqsh(1,1,[1]!roz(QB34+1,QB37,0,0),QB35)</f>
        <v>#VALUE!</v>
      </c>
      <c r="QC38" s="962" t="e">
        <f>[1]!taqsh(1,1,[1]!roz(QC34+1,QC37,0,0),QC35)</f>
        <v>#VALUE!</v>
      </c>
      <c r="QD38" s="962" t="e">
        <f>[1]!taqsh(1,1,[1]!roz(QD34+1,QD37,0,0),QD35)</f>
        <v>#VALUE!</v>
      </c>
      <c r="QE38" s="962" t="e">
        <f>[1]!taqsh(1,1,[1]!roz(QE34+1,QE37,0,0),QE35)</f>
        <v>#VALUE!</v>
      </c>
      <c r="QF38" s="962" t="e">
        <f>[1]!taqsh(1,1,[1]!roz(QF34+1,QF37,0,0),QF35)</f>
        <v>#VALUE!</v>
      </c>
      <c r="QG38" s="962" t="e">
        <f>[1]!taqsh(1,1,[1]!roz(QG34+1,QG37,0,0),QG35)</f>
        <v>#VALUE!</v>
      </c>
      <c r="QH38" s="962" t="e">
        <f>[1]!taqsh(1,1,[1]!roz(QH34+1,QH37,0,0),QH35)</f>
        <v>#VALUE!</v>
      </c>
      <c r="QI38" s="962" t="e">
        <f>[1]!taqsh(1,1,[1]!roz(QI34+1,QI37,0,0),QI35)</f>
        <v>#VALUE!</v>
      </c>
      <c r="QJ38" s="962" t="e">
        <f>[1]!taqsh(1,1,[1]!roz(QJ34+1,QJ37,0,0),QJ35)</f>
        <v>#VALUE!</v>
      </c>
      <c r="QK38" s="962" t="e">
        <f>[1]!taqsh(1,1,[1]!roz(QK34+1,QK37,0,0),QK35)</f>
        <v>#VALUE!</v>
      </c>
      <c r="QL38" s="962" t="e">
        <f>[1]!taqsh(1,1,[1]!roz(QL34+1,QL37,0,0),QL35)</f>
        <v>#VALUE!</v>
      </c>
      <c r="QM38" s="962" t="e">
        <f>[1]!taqsh(1,1,[1]!roz(QM34+1,QM37,0,0),QM35)</f>
        <v>#VALUE!</v>
      </c>
      <c r="QN38" s="962" t="e">
        <f>[1]!taqsh(1,1,[1]!roz(QN34+1,QN37,0,0),QN35)</f>
        <v>#VALUE!</v>
      </c>
      <c r="QO38" s="962" t="e">
        <f>[1]!taqsh(1,1,[1]!roz(QO34+1,QO37,0,0),QO35)</f>
        <v>#VALUE!</v>
      </c>
      <c r="QP38" s="962" t="e">
        <f>[1]!taqsh(1,1,[1]!roz(QP34+1,QP37,0,0),QP35)</f>
        <v>#VALUE!</v>
      </c>
      <c r="QQ38" s="962" t="e">
        <f>[1]!taqsh(1,1,[1]!roz(QQ34+1,QQ37,0,0),QQ35)</f>
        <v>#VALUE!</v>
      </c>
      <c r="QR38" s="962" t="e">
        <f>[1]!taqsh(1,1,[1]!roz(QR34+1,QR37,0,0),QR35)</f>
        <v>#VALUE!</v>
      </c>
      <c r="QS38" s="962" t="e">
        <f>[1]!taqsh(1,1,[1]!roz(QS34+1,QS37,0,0),QS35)</f>
        <v>#VALUE!</v>
      </c>
      <c r="QT38" s="962" t="e">
        <f>[1]!taqsh(1,1,[1]!roz(QT34+1,QT37,0,0),QT35)</f>
        <v>#VALUE!</v>
      </c>
      <c r="QU38" s="962" t="e">
        <f>[1]!taqsh(1,1,[1]!roz(QU34+1,QU37,0,0),QU35)</f>
        <v>#VALUE!</v>
      </c>
      <c r="QV38" s="962" t="e">
        <f>[1]!taqsh(1,1,[1]!roz(QV34+1,QV37,0,0),QV35)</f>
        <v>#VALUE!</v>
      </c>
      <c r="QW38" s="962" t="e">
        <f>[1]!taqsh(1,1,[1]!roz(QW34+1,QW37,0,0),QW35)</f>
        <v>#VALUE!</v>
      </c>
      <c r="QX38" s="962" t="e">
        <f>[1]!taqsh(1,1,[1]!roz(QX34+1,QX37,0,0),QX35)</f>
        <v>#VALUE!</v>
      </c>
      <c r="QY38" s="962" t="e">
        <f>[1]!taqsh(1,1,[1]!roz(QY34+1,QY37,0,0),QY35)</f>
        <v>#VALUE!</v>
      </c>
      <c r="QZ38" s="962" t="e">
        <f>[1]!taqsh(1,1,[1]!roz(QZ34+1,QZ37,0,0),QZ35)</f>
        <v>#VALUE!</v>
      </c>
      <c r="RA38" s="963" t="e">
        <f>[1]!taqsh(1,1,[1]!roz(RA34+1,RA37,0,0),RA35)</f>
        <v>#VALUE!</v>
      </c>
    </row>
    <row r="39" spans="1:471" ht="18" thickBot="1">
      <c r="B39" t="s">
        <v>144</v>
      </c>
      <c r="D39" t="s">
        <v>145</v>
      </c>
      <c r="E39" t="s">
        <v>146</v>
      </c>
      <c r="J39" s="25"/>
      <c r="K39" s="25"/>
      <c r="L39" s="25"/>
      <c r="M39" s="25"/>
      <c r="N39" s="25"/>
      <c r="O39" s="25"/>
      <c r="P39" s="25"/>
      <c r="Q39" s="25"/>
      <c r="R39" s="25"/>
      <c r="S39" s="25"/>
      <c r="T39" s="25"/>
      <c r="U39" s="25"/>
      <c r="V39" s="25"/>
      <c r="W39" s="25"/>
      <c r="X39" s="25"/>
      <c r="Y39" s="25"/>
      <c r="Z39" s="25"/>
      <c r="AA39" s="25"/>
      <c r="AK39" s="759"/>
      <c r="AL39" s="701"/>
      <c r="AM39" s="304"/>
      <c r="AN39" s="304"/>
      <c r="AO39" s="304"/>
      <c r="AP39" s="304"/>
      <c r="AQ39" s="304"/>
      <c r="AR39" s="304"/>
      <c r="AS39" s="304"/>
      <c r="AT39" s="304"/>
      <c r="AU39" s="304"/>
      <c r="AV39" s="304"/>
      <c r="AW39" s="304"/>
      <c r="AX39" s="314"/>
      <c r="DH39" s="797"/>
      <c r="DI39" s="797" t="s">
        <v>698</v>
      </c>
      <c r="DJ39" s="961" t="e">
        <f>[1]!taqq(1,1,[1]!roz(DJ34+1,DJ37,0,0),DJ35)</f>
        <v>#VALUE!</v>
      </c>
      <c r="DK39" s="962" t="e">
        <f>[1]!taqq(1,1,[1]!roz(DK34+1,DK37,0,0),DK35)</f>
        <v>#VALUE!</v>
      </c>
      <c r="DL39" s="962" t="e">
        <f>[1]!taqq(1,1,[1]!roz(DL34+1,DL37,0,0),DL35)</f>
        <v>#VALUE!</v>
      </c>
      <c r="DM39" s="962" t="e">
        <f>[1]!taqq(1,1,[1]!roz(DM34+1,DM37,0,0),DM35)</f>
        <v>#VALUE!</v>
      </c>
      <c r="DN39" s="962" t="e">
        <f>[1]!taqq(1,1,[1]!roz(DN34+1,DN37,0,0),DN35)</f>
        <v>#VALUE!</v>
      </c>
      <c r="DO39" s="962" t="e">
        <f>[1]!taqq(1,1,[1]!roz(DO34+1,DO37,0,0),DO35)</f>
        <v>#VALUE!</v>
      </c>
      <c r="DP39" s="962" t="e">
        <f>[1]!taqq(1,1,[1]!roz(DP34+1,DP37,0,0),DP35)</f>
        <v>#VALUE!</v>
      </c>
      <c r="DQ39" s="962" t="e">
        <f>[1]!taqq(1,1,[1]!roz(DQ34+1,DQ37,0,0),DQ35)</f>
        <v>#VALUE!</v>
      </c>
      <c r="DR39" s="962" t="e">
        <f>[1]!taqq(1,1,[1]!roz(DR34+1,DR37,0,0),DR35)</f>
        <v>#VALUE!</v>
      </c>
      <c r="DS39" s="962" t="e">
        <f>[1]!taqq(1,1,[1]!roz(DS34+1,DS37,0,0),DS35)</f>
        <v>#VALUE!</v>
      </c>
      <c r="DT39" s="962" t="e">
        <f>[1]!taqq(1,1,[1]!roz(DT34+1,DT37,0,0),DT35)</f>
        <v>#VALUE!</v>
      </c>
      <c r="DU39" s="962" t="e">
        <f>[1]!taqq(1,1,[1]!roz(DU34+1,DU37,0,0),DU35)</f>
        <v>#VALUE!</v>
      </c>
      <c r="DV39" s="962" t="e">
        <f>[1]!taqq(1,1,[1]!roz(DV34+1,DV37,0,0),DV35)</f>
        <v>#VALUE!</v>
      </c>
      <c r="DW39" s="962" t="e">
        <f>[1]!taqq(1,1,[1]!roz(DW34+1,DW37,0,0),DW35)</f>
        <v>#VALUE!</v>
      </c>
      <c r="DX39" s="962" t="e">
        <f>[1]!taqq(1,1,[1]!roz(DX34+1,DX37,0,0),DX35)</f>
        <v>#VALUE!</v>
      </c>
      <c r="DY39" s="962" t="e">
        <f>[1]!taqq(1,1,[1]!roz(DY34+1,DY37,0,0),DY35)</f>
        <v>#VALUE!</v>
      </c>
      <c r="DZ39" s="962" t="e">
        <f>[1]!taqq(1,1,[1]!roz(DZ34+1,DZ37,0,0),DZ35)</f>
        <v>#VALUE!</v>
      </c>
      <c r="EA39" s="962" t="e">
        <f>[1]!taqq(1,1,[1]!roz(EA34+1,EA37,0,0),EA35)</f>
        <v>#VALUE!</v>
      </c>
      <c r="EB39" s="962" t="e">
        <f>[1]!taqq(1,1,[1]!roz(EB34+1,EB37,0,0),EB35)</f>
        <v>#VALUE!</v>
      </c>
      <c r="EC39" s="962" t="e">
        <f>[1]!taqq(1,1,[1]!roz(EC34+1,EC37,0,0),EC35)</f>
        <v>#VALUE!</v>
      </c>
      <c r="ED39" s="962" t="e">
        <f>[1]!taqq(1,1,[1]!roz(ED34+1,ED37,0,0),ED35)</f>
        <v>#VALUE!</v>
      </c>
      <c r="EE39" s="962" t="e">
        <f>[1]!taqq(1,1,[1]!roz(EE34+1,EE37,0,0),EE35)</f>
        <v>#VALUE!</v>
      </c>
      <c r="EF39" s="962" t="e">
        <f>[1]!taqq(1,1,[1]!roz(EF34+1,EF37,0,0),EF35)</f>
        <v>#VALUE!</v>
      </c>
      <c r="EG39" s="962" t="e">
        <f>[1]!taqq(1,1,[1]!roz(EG34+1,EG37,0,0),EG35)</f>
        <v>#VALUE!</v>
      </c>
      <c r="EH39" s="962" t="e">
        <f>[1]!taqq(1,1,[1]!roz(EH34+1,EH37,0,0),EH35)</f>
        <v>#VALUE!</v>
      </c>
      <c r="EI39" s="962" t="e">
        <f>[1]!taqq(1,1,[1]!roz(EI34+1,EI37,0,0),EI35)</f>
        <v>#VALUE!</v>
      </c>
      <c r="EJ39" s="962" t="e">
        <f>[1]!taqq(1,1,[1]!roz(EJ34+1,EJ37,0,0),EJ35)</f>
        <v>#VALUE!</v>
      </c>
      <c r="EK39" s="962" t="e">
        <f>[1]!taqq(1,1,[1]!roz(EK34+1,EK37,0,0),EK35)</f>
        <v>#VALUE!</v>
      </c>
      <c r="EL39" s="962" t="e">
        <f>[1]!taqq(1,1,[1]!roz(EL34+1,EL37,0,0),EL35)</f>
        <v>#VALUE!</v>
      </c>
      <c r="EM39" s="962" t="e">
        <f>[1]!taqq(1,1,[1]!roz(EM34+1,EM37,0,0),EM35)</f>
        <v>#VALUE!</v>
      </c>
      <c r="EN39" s="962" t="e">
        <f>[1]!taqq(1,1,[1]!roz(EN34+1,EN37,0,0),EN35)</f>
        <v>#VALUE!</v>
      </c>
      <c r="EO39" s="962" t="e">
        <f>[1]!taqq(1,1,[1]!roz(EO34+1,EO37,0,0),EO35)</f>
        <v>#VALUE!</v>
      </c>
      <c r="EP39" s="962" t="e">
        <f>[1]!taqq(1,1,[1]!roz(EP34+1,EP37,0,0),EP35)</f>
        <v>#VALUE!</v>
      </c>
      <c r="EQ39" s="962" t="e">
        <f>[1]!taqq(1,1,[1]!roz(EQ34+1,EQ37,0,0),EQ35)</f>
        <v>#VALUE!</v>
      </c>
      <c r="ER39" s="962" t="e">
        <f>[1]!taqq(1,1,[1]!roz(ER34+1,ER37,0,0),ER35)</f>
        <v>#VALUE!</v>
      </c>
      <c r="ES39" s="962" t="e">
        <f>[1]!taqq(1,1,[1]!roz(ES34+1,ES37,0,0),ES35)</f>
        <v>#VALUE!</v>
      </c>
      <c r="ET39" s="962" t="e">
        <f>[1]!taqq(1,1,[1]!roz(ET34+1,ET37,0,0),ET35)</f>
        <v>#VALUE!</v>
      </c>
      <c r="EU39" s="962" t="e">
        <f>[1]!taqq(1,1,[1]!roz(EU34+1,EU37,0,0),EU35)</f>
        <v>#VALUE!</v>
      </c>
      <c r="EV39" s="962" t="e">
        <f>[1]!taqq(1,1,[1]!roz(EV34+1,EV37,0,0),EV35)</f>
        <v>#VALUE!</v>
      </c>
      <c r="EW39" s="962" t="e">
        <f>[1]!taqq(1,1,[1]!roz(EW34+1,EW37,0,0),EW35)</f>
        <v>#VALUE!</v>
      </c>
      <c r="EX39" s="962" t="e">
        <f>[1]!taqq(1,1,[1]!roz(EX34+1,EX37,0,0),EX35)</f>
        <v>#VALUE!</v>
      </c>
      <c r="EY39" s="962" t="e">
        <f>[1]!taqq(1,1,[1]!roz(EY34+1,EY37,0,0),EY35)</f>
        <v>#VALUE!</v>
      </c>
      <c r="EZ39" s="962" t="e">
        <f>[1]!taqq(1,1,[1]!roz(EZ34+1,EZ37,0,0),EZ35)</f>
        <v>#VALUE!</v>
      </c>
      <c r="FA39" s="962" t="e">
        <f>[1]!taqq(1,1,[1]!roz(FA34+1,FA37,0,0),FA35)</f>
        <v>#VALUE!</v>
      </c>
      <c r="FB39" s="962" t="e">
        <f>[1]!taqq(1,1,[1]!roz(FB34+1,FB37,0,0),FB35)</f>
        <v>#VALUE!</v>
      </c>
      <c r="FC39" s="962" t="e">
        <f>[1]!taqq(1,1,[1]!roz(FC34+1,FC37,0,0),FC35)</f>
        <v>#VALUE!</v>
      </c>
      <c r="FD39" s="962" t="e">
        <f>[1]!taqq(1,1,[1]!roz(FD34+1,FD37,0,0),FD35)</f>
        <v>#VALUE!</v>
      </c>
      <c r="FE39" s="962" t="e">
        <f>[1]!taqq(1,1,[1]!roz(FE34+1,FE37,0,0),FE35)</f>
        <v>#VALUE!</v>
      </c>
      <c r="FF39" s="962" t="e">
        <f>[1]!taqq(1,1,[1]!roz(FF34+1,FF37,0,0),FF35)</f>
        <v>#VALUE!</v>
      </c>
      <c r="FG39" s="962" t="e">
        <f>[1]!taqq(1,1,[1]!roz(FG34+1,FG37,0,0),FG35)</f>
        <v>#VALUE!</v>
      </c>
      <c r="FH39" s="962" t="e">
        <f>[1]!taqq(1,1,[1]!roz(FH34+1,FH37,0,0),FH35)</f>
        <v>#VALUE!</v>
      </c>
      <c r="FI39" s="962" t="e">
        <f>[1]!taqq(1,1,[1]!roz(FI34+1,FI37,0,0),FI35)</f>
        <v>#VALUE!</v>
      </c>
      <c r="FJ39" s="962" t="e">
        <f>[1]!taqq(1,1,[1]!roz(FJ34+1,FJ37,0,0),FJ35)</f>
        <v>#VALUE!</v>
      </c>
      <c r="FK39" s="962" t="e">
        <f>[1]!taqq(1,1,[1]!roz(FK34+1,FK37,0,0),FK35)</f>
        <v>#VALUE!</v>
      </c>
      <c r="FL39" s="962" t="e">
        <f>[1]!taqq(1,1,[1]!roz(FL34+1,FL37,0,0),FL35)</f>
        <v>#VALUE!</v>
      </c>
      <c r="FM39" s="962" t="e">
        <f>[1]!taqq(1,1,[1]!roz(FM34+1,FM37,0,0),FM35)</f>
        <v>#VALUE!</v>
      </c>
      <c r="FN39" s="962" t="e">
        <f>[1]!taqq(1,1,[1]!roz(FN34+1,FN37,0,0),FN35)</f>
        <v>#VALUE!</v>
      </c>
      <c r="FO39" s="962" t="e">
        <f>[1]!taqq(1,1,[1]!roz(FO34+1,FO37,0,0),FO35)</f>
        <v>#VALUE!</v>
      </c>
      <c r="FP39" s="962" t="e">
        <f>[1]!taqq(1,1,[1]!roz(FP34+1,FP37,0,0),FP35)</f>
        <v>#VALUE!</v>
      </c>
      <c r="FQ39" s="962" t="e">
        <f>[1]!taqq(1,1,[1]!roz(FQ34+1,FQ37,0,0),FQ35)</f>
        <v>#VALUE!</v>
      </c>
      <c r="FR39" s="962" t="e">
        <f>[1]!taqq(1,1,[1]!roz(FR34+1,FR37,0,0),FR35)</f>
        <v>#VALUE!</v>
      </c>
      <c r="FS39" s="962" t="e">
        <f>[1]!taqq(1,1,[1]!roz(FS34+1,FS37,0,0),FS35)</f>
        <v>#VALUE!</v>
      </c>
      <c r="FT39" s="962" t="e">
        <f>[1]!taqq(1,1,[1]!roz(FT34+1,FT37,0,0),FT35)</f>
        <v>#VALUE!</v>
      </c>
      <c r="FU39" s="962" t="e">
        <f>[1]!taqq(1,1,[1]!roz(FU34+1,FU37,0,0),FU35)</f>
        <v>#VALUE!</v>
      </c>
      <c r="FV39" s="962" t="e">
        <f>[1]!taqq(1,1,[1]!roz(FV34+1,FV37,0,0),FV35)</f>
        <v>#VALUE!</v>
      </c>
      <c r="FW39" s="962" t="e">
        <f>[1]!taqq(1,1,[1]!roz(FW34+1,FW37,0,0),FW35)</f>
        <v>#VALUE!</v>
      </c>
      <c r="FX39" s="962" t="e">
        <f>[1]!taqq(1,1,[1]!roz(FX34+1,FX37,0,0),FX35)</f>
        <v>#VALUE!</v>
      </c>
      <c r="FY39" s="962" t="e">
        <f>[1]!taqq(1,1,[1]!roz(FY34+1,FY37,0,0),FY35)</f>
        <v>#VALUE!</v>
      </c>
      <c r="FZ39" s="962" t="e">
        <f>[1]!taqq(1,1,[1]!roz(FZ34+1,FZ37,0,0),FZ35)</f>
        <v>#VALUE!</v>
      </c>
      <c r="GA39" s="962" t="e">
        <f>[1]!taqq(1,1,[1]!roz(GA34+1,GA37,0,0),GA35)</f>
        <v>#VALUE!</v>
      </c>
      <c r="GB39" s="962" t="e">
        <f>[1]!taqq(1,1,[1]!roz(GB34+1,GB37,0,0),GB35)</f>
        <v>#VALUE!</v>
      </c>
      <c r="GC39" s="962" t="e">
        <f>[1]!taqq(1,1,[1]!roz(GC34+1,GC37,0,0),GC35)</f>
        <v>#VALUE!</v>
      </c>
      <c r="GD39" s="962" t="e">
        <f>[1]!taqq(1,1,[1]!roz(GD34+1,GD37,0,0),GD35)</f>
        <v>#VALUE!</v>
      </c>
      <c r="GE39" s="962" t="e">
        <f>[1]!taqq(1,1,[1]!roz(GE34+1,GE37,0,0),GE35)</f>
        <v>#VALUE!</v>
      </c>
      <c r="GF39" s="962" t="e">
        <f>[1]!taqq(1,1,[1]!roz(GF34+1,GF37,0,0),GF35)</f>
        <v>#VALUE!</v>
      </c>
      <c r="GG39" s="962" t="e">
        <f>[1]!taqq(1,1,[1]!roz(GG34+1,GG37,0,0),GG35)</f>
        <v>#VALUE!</v>
      </c>
      <c r="GH39" s="962" t="e">
        <f>[1]!taqq(1,1,[1]!roz(GH34+1,GH37,0,0),GH35)</f>
        <v>#VALUE!</v>
      </c>
      <c r="GI39" s="962" t="e">
        <f>[1]!taqq(1,1,[1]!roz(GI34+1,GI37,0,0),GI35)</f>
        <v>#VALUE!</v>
      </c>
      <c r="GJ39" s="962" t="e">
        <f>[1]!taqq(1,1,[1]!roz(GJ34+1,GJ37,0,0),GJ35)</f>
        <v>#VALUE!</v>
      </c>
      <c r="GK39" s="962" t="e">
        <f>[1]!taqq(1,1,[1]!roz(GK34+1,GK37,0,0),GK35)</f>
        <v>#VALUE!</v>
      </c>
      <c r="GL39" s="962" t="e">
        <f>[1]!taqq(1,1,[1]!roz(GL34+1,GL37,0,0),GL35)</f>
        <v>#VALUE!</v>
      </c>
      <c r="GM39" s="962" t="e">
        <f>[1]!taqq(1,1,[1]!roz(GM34+1,GM37,0,0),GM35)</f>
        <v>#VALUE!</v>
      </c>
      <c r="GN39" s="962" t="e">
        <f>[1]!taqq(1,1,[1]!roz(GN34+1,GN37,0,0),GN35)</f>
        <v>#VALUE!</v>
      </c>
      <c r="GO39" s="962" t="e">
        <f>[1]!taqq(1,1,[1]!roz(GO34+1,GO37,0,0),GO35)</f>
        <v>#VALUE!</v>
      </c>
      <c r="GP39" s="962" t="e">
        <f>[1]!taqq(1,1,[1]!roz(GP34+1,GP37,0,0),GP35)</f>
        <v>#VALUE!</v>
      </c>
      <c r="GQ39" s="962" t="e">
        <f>[1]!taqq(1,1,[1]!roz(GQ34+1,GQ37,0,0),GQ35)</f>
        <v>#VALUE!</v>
      </c>
      <c r="GR39" s="962" t="e">
        <f>[1]!taqq(1,1,[1]!roz(GR34+1,GR37,0,0),GR35)</f>
        <v>#VALUE!</v>
      </c>
      <c r="GS39" s="962" t="e">
        <f>[1]!taqq(1,1,[1]!roz(GS34+1,GS37,0,0),GS35)</f>
        <v>#VALUE!</v>
      </c>
      <c r="GT39" s="962" t="e">
        <f>[1]!taqq(1,1,[1]!roz(GT34+1,GT37,0,0),GT35)</f>
        <v>#VALUE!</v>
      </c>
      <c r="GU39" s="962" t="e">
        <f>[1]!taqq(1,1,[1]!roz(GU34+1,GU37,0,0),GU35)</f>
        <v>#VALUE!</v>
      </c>
      <c r="GV39" s="962" t="e">
        <f>[1]!taqq(1,1,[1]!roz(GV34+1,GV37,0,0),GV35)</f>
        <v>#VALUE!</v>
      </c>
      <c r="GW39" s="962" t="e">
        <f>[1]!taqq(1,1,[1]!roz(GW34+1,GW37,0,0),GW35)</f>
        <v>#VALUE!</v>
      </c>
      <c r="GX39" s="962" t="e">
        <f>[1]!taqq(1,1,[1]!roz(GX34+1,GX37,0,0),GX35)</f>
        <v>#VALUE!</v>
      </c>
      <c r="GY39" s="962" t="e">
        <f>[1]!taqq(1,1,[1]!roz(GY34+1,GY37,0,0),GY35)</f>
        <v>#VALUE!</v>
      </c>
      <c r="GZ39" s="962" t="e">
        <f>[1]!taqq(1,1,[1]!roz(GZ34+1,GZ37,0,0),GZ35)</f>
        <v>#VALUE!</v>
      </c>
      <c r="HA39" s="962" t="e">
        <f>[1]!taqq(1,1,[1]!roz(HA34+1,HA37,0,0),HA35)</f>
        <v>#VALUE!</v>
      </c>
      <c r="HB39" s="962" t="e">
        <f>[1]!taqq(1,1,[1]!roz(HB34+1,HB37,0,0),HB35)</f>
        <v>#VALUE!</v>
      </c>
      <c r="HC39" s="962" t="e">
        <f>[1]!taqq(1,1,[1]!roz(HC34+1,HC37,0,0),HC35)</f>
        <v>#VALUE!</v>
      </c>
      <c r="HD39" s="962" t="e">
        <f>[1]!taqq(1,1,[1]!roz(HD34+1,HD37,0,0),HD35)</f>
        <v>#VALUE!</v>
      </c>
      <c r="HE39" s="962" t="e">
        <f>[1]!taqq(1,1,[1]!roz(HE34+1,HE37,0,0),HE35)</f>
        <v>#VALUE!</v>
      </c>
      <c r="HF39" s="962" t="e">
        <f>[1]!taqq(1,1,[1]!roz(HF34+1,HF37,0,0),HF35)</f>
        <v>#VALUE!</v>
      </c>
      <c r="HG39" s="962" t="e">
        <f>[1]!taqq(1,1,[1]!roz(HG34+1,HG37,0,0),HG35)</f>
        <v>#VALUE!</v>
      </c>
      <c r="HH39" s="962" t="e">
        <f>[1]!taqq(1,1,[1]!roz(HH34+1,HH37,0,0),HH35)</f>
        <v>#VALUE!</v>
      </c>
      <c r="HI39" s="962" t="e">
        <f>[1]!taqq(1,1,[1]!roz(HI34+1,HI37,0,0),HI35)</f>
        <v>#VALUE!</v>
      </c>
      <c r="HJ39" s="962" t="e">
        <f>[1]!taqq(1,1,[1]!roz(HJ34+1,HJ37,0,0),HJ35)</f>
        <v>#VALUE!</v>
      </c>
      <c r="HK39" s="962" t="e">
        <f>[1]!taqq(1,1,[1]!roz(HK34+1,HK37,0,0),HK35)</f>
        <v>#VALUE!</v>
      </c>
      <c r="HL39" s="962" t="e">
        <f>[1]!taqq(1,1,[1]!roz(HL34+1,HL37,0,0),HL35)</f>
        <v>#VALUE!</v>
      </c>
      <c r="HM39" s="962" t="e">
        <f>[1]!taqq(1,1,[1]!roz(HM34+1,HM37,0,0),HM35)</f>
        <v>#VALUE!</v>
      </c>
      <c r="HN39" s="962" t="e">
        <f>[1]!taqq(1,1,[1]!roz(HN34+1,HN37,0,0),HN35)</f>
        <v>#VALUE!</v>
      </c>
      <c r="HO39" s="962" t="e">
        <f>[1]!taqq(1,1,[1]!roz(HO34+1,HO37,0,0),HO35)</f>
        <v>#VALUE!</v>
      </c>
      <c r="HP39" s="962" t="e">
        <f>[1]!taqq(1,1,[1]!roz(HP34+1,HP37,0,0),HP35)</f>
        <v>#VALUE!</v>
      </c>
      <c r="HQ39" s="962" t="e">
        <f>[1]!taqq(1,1,[1]!roz(HQ34+1,HQ37,0,0),HQ35)</f>
        <v>#VALUE!</v>
      </c>
      <c r="HR39" s="962" t="e">
        <f>[1]!taqq(1,1,[1]!roz(HR34+1,HR37,0,0),HR35)</f>
        <v>#VALUE!</v>
      </c>
      <c r="HS39" s="962" t="e">
        <f>[1]!taqq(1,1,[1]!roz(HS34+1,HS37,0,0),HS35)</f>
        <v>#VALUE!</v>
      </c>
      <c r="HT39" s="962" t="e">
        <f>[1]!taqq(1,1,[1]!roz(HT34+1,HT37,0,0),HT35)</f>
        <v>#VALUE!</v>
      </c>
      <c r="HU39" s="962" t="e">
        <f>[1]!taqq(1,1,[1]!roz(HU34+1,HU37,0,0),HU35)</f>
        <v>#VALUE!</v>
      </c>
      <c r="HV39" s="962" t="e">
        <f>[1]!taqq(1,1,[1]!roz(HV34+1,HV37,0,0),HV35)</f>
        <v>#VALUE!</v>
      </c>
      <c r="HW39" s="962" t="e">
        <f>[1]!taqq(1,1,[1]!roz(HW34+1,HW37,0,0),HW35)</f>
        <v>#VALUE!</v>
      </c>
      <c r="HX39" s="962" t="e">
        <f>[1]!taqq(1,1,[1]!roz(HX34+1,HX37,0,0),HX35)</f>
        <v>#VALUE!</v>
      </c>
      <c r="HY39" s="962" t="e">
        <f>[1]!taqq(1,1,[1]!roz(HY34+1,HY37,0,0),HY35)</f>
        <v>#VALUE!</v>
      </c>
      <c r="HZ39" s="962" t="e">
        <f>[1]!taqq(1,1,[1]!roz(HZ34+1,HZ37,0,0),HZ35)</f>
        <v>#VALUE!</v>
      </c>
      <c r="IA39" s="962" t="e">
        <f>[1]!taqq(1,1,[1]!roz(IA34+1,IA37,0,0),IA35)</f>
        <v>#VALUE!</v>
      </c>
      <c r="IB39" s="962" t="e">
        <f>[1]!taqq(1,1,[1]!roz(IB34+1,IB37,0,0),IB35)</f>
        <v>#VALUE!</v>
      </c>
      <c r="IC39" s="962" t="e">
        <f>[1]!taqq(1,1,[1]!roz(IC34+1,IC37,0,0),IC35)</f>
        <v>#VALUE!</v>
      </c>
      <c r="ID39" s="962" t="e">
        <f>[1]!taqq(1,1,[1]!roz(ID34+1,ID37,0,0),ID35)</f>
        <v>#VALUE!</v>
      </c>
      <c r="IE39" s="962" t="e">
        <f>[1]!taqq(1,1,[1]!roz(IE34+1,IE37,0,0),IE35)</f>
        <v>#VALUE!</v>
      </c>
      <c r="IF39" s="962" t="e">
        <f>[1]!taqq(1,1,[1]!roz(IF34+1,IF37,0,0),IF35)</f>
        <v>#VALUE!</v>
      </c>
      <c r="IG39" s="962" t="e">
        <f>[1]!taqq(1,1,[1]!roz(IG34+1,IG37,0,0),IG35)</f>
        <v>#VALUE!</v>
      </c>
      <c r="IH39" s="962" t="e">
        <f>[1]!taqq(1,1,[1]!roz(IH34+1,IH37,0,0),IH35)</f>
        <v>#VALUE!</v>
      </c>
      <c r="II39" s="962" t="e">
        <f>[1]!taqq(1,1,[1]!roz(II34+1,II37,0,0),II35)</f>
        <v>#VALUE!</v>
      </c>
      <c r="IJ39" s="962" t="e">
        <f>[1]!taqq(1,1,[1]!roz(IJ34+1,IJ37,0,0),IJ35)</f>
        <v>#VALUE!</v>
      </c>
      <c r="IK39" s="962" t="e">
        <f>[1]!taqq(1,1,[1]!roz(IK34+1,IK37,0,0),IK35)</f>
        <v>#VALUE!</v>
      </c>
      <c r="IL39" s="962" t="e">
        <f>[1]!taqq(1,1,[1]!roz(IL34+1,IL37,0,0),IL35)</f>
        <v>#VALUE!</v>
      </c>
      <c r="IM39" s="962" t="e">
        <f>[1]!taqq(1,1,[1]!roz(IM34+1,IM37,0,0),IM35)</f>
        <v>#VALUE!</v>
      </c>
      <c r="IN39" s="962" t="e">
        <f>[1]!taqq(1,1,[1]!roz(IN34+1,IN37,0,0),IN35)</f>
        <v>#VALUE!</v>
      </c>
      <c r="IO39" s="962" t="e">
        <f>[1]!taqq(1,1,[1]!roz(IO34+1,IO37,0,0),IO35)</f>
        <v>#VALUE!</v>
      </c>
      <c r="IP39" s="962" t="e">
        <f>[1]!taqq(1,1,[1]!roz(IP34+1,IP37,0,0),IP35)</f>
        <v>#VALUE!</v>
      </c>
      <c r="IQ39" s="962" t="e">
        <f>[1]!taqq(1,1,[1]!roz(IQ34+1,IQ37,0,0),IQ35)</f>
        <v>#VALUE!</v>
      </c>
      <c r="IR39" s="962" t="e">
        <f>[1]!taqq(1,1,[1]!roz(IR34+1,IR37,0,0),IR35)</f>
        <v>#VALUE!</v>
      </c>
      <c r="IS39" s="962" t="e">
        <f>[1]!taqq(1,1,[1]!roz(IS34+1,IS37,0,0),IS35)</f>
        <v>#VALUE!</v>
      </c>
      <c r="IT39" s="962" t="e">
        <f>[1]!taqq(1,1,[1]!roz(IT34+1,IT37,0,0),IT35)</f>
        <v>#VALUE!</v>
      </c>
      <c r="IU39" s="962" t="e">
        <f>[1]!taqq(1,1,[1]!roz(IU34+1,IU37,0,0),IU35)</f>
        <v>#VALUE!</v>
      </c>
      <c r="IV39" s="962" t="e">
        <f>[1]!taqq(1,1,[1]!roz(IV34+1,IV37,0,0),IV35)</f>
        <v>#VALUE!</v>
      </c>
      <c r="IW39" s="962" t="e">
        <f>[1]!taqq(1,1,[1]!roz(IW34+1,IW37,0,0),IW35)</f>
        <v>#VALUE!</v>
      </c>
      <c r="IX39" s="962" t="e">
        <f>[1]!taqq(1,1,[1]!roz(IX34+1,IX37,0,0),IX35)</f>
        <v>#VALUE!</v>
      </c>
      <c r="IY39" s="962" t="e">
        <f>[1]!taqq(1,1,[1]!roz(IY34+1,IY37,0,0),IY35)</f>
        <v>#VALUE!</v>
      </c>
      <c r="IZ39" s="962" t="e">
        <f>[1]!taqq(1,1,[1]!roz(IZ34+1,IZ37,0,0),IZ35)</f>
        <v>#VALUE!</v>
      </c>
      <c r="JA39" s="962" t="e">
        <f>[1]!taqq(1,1,[1]!roz(JA34+1,JA37,0,0),JA35)</f>
        <v>#VALUE!</v>
      </c>
      <c r="JB39" s="962" t="e">
        <f>[1]!taqq(1,1,[1]!roz(JB34+1,JB37,0,0),JB35)</f>
        <v>#VALUE!</v>
      </c>
      <c r="JC39" s="962" t="e">
        <f>[1]!taqq(1,1,[1]!roz(JC34+1,JC37,0,0),JC35)</f>
        <v>#VALUE!</v>
      </c>
      <c r="JD39" s="962" t="e">
        <f>[1]!taqq(1,1,[1]!roz(JD34+1,JD37,0,0),JD35)</f>
        <v>#VALUE!</v>
      </c>
      <c r="JE39" s="962" t="e">
        <f>[1]!taqq(1,1,[1]!roz(JE34+1,JE37,0,0),JE35)</f>
        <v>#VALUE!</v>
      </c>
      <c r="JF39" s="962" t="e">
        <f>[1]!taqq(1,1,[1]!roz(JF34+1,JF37,0,0),JF35)</f>
        <v>#VALUE!</v>
      </c>
      <c r="JG39" s="962" t="e">
        <f>[1]!taqq(1,1,[1]!roz(JG34+1,JG37,0,0),JG35)</f>
        <v>#VALUE!</v>
      </c>
      <c r="JH39" s="962" t="e">
        <f>[1]!taqq(1,1,[1]!roz(JH34+1,JH37,0,0),JH35)</f>
        <v>#VALUE!</v>
      </c>
      <c r="JI39" s="962" t="e">
        <f>[1]!taqq(1,1,[1]!roz(JI34+1,JI37,0,0),JI35)</f>
        <v>#VALUE!</v>
      </c>
      <c r="JJ39" s="962" t="e">
        <f>[1]!taqq(1,1,[1]!roz(JJ34+1,JJ37,0,0),JJ35)</f>
        <v>#VALUE!</v>
      </c>
      <c r="JK39" s="962" t="e">
        <f>[1]!taqq(1,1,[1]!roz(JK34+1,JK37,0,0),JK35)</f>
        <v>#VALUE!</v>
      </c>
      <c r="JL39" s="962" t="e">
        <f>[1]!taqq(1,1,[1]!roz(JL34+1,JL37,0,0),JL35)</f>
        <v>#VALUE!</v>
      </c>
      <c r="JM39" s="962" t="e">
        <f>[1]!taqq(1,1,[1]!roz(JM34+1,JM37,0,0),JM35)</f>
        <v>#VALUE!</v>
      </c>
      <c r="JN39" s="962" t="e">
        <f>[1]!taqq(1,1,[1]!roz(JN34+1,JN37,0,0),JN35)</f>
        <v>#VALUE!</v>
      </c>
      <c r="JO39" s="962" t="e">
        <f>[1]!taqq(1,1,[1]!roz(JO34+1,JO37,0,0),JO35)</f>
        <v>#VALUE!</v>
      </c>
      <c r="JP39" s="962" t="e">
        <f>[1]!taqq(1,1,[1]!roz(JP34+1,JP37,0,0),JP35)</f>
        <v>#VALUE!</v>
      </c>
      <c r="JQ39" s="962" t="e">
        <f>[1]!taqq(1,1,[1]!roz(JQ34+1,JQ37,0,0),JQ35)</f>
        <v>#VALUE!</v>
      </c>
      <c r="JR39" s="962" t="e">
        <f>[1]!taqq(1,1,[1]!roz(JR34+1,JR37,0,0),JR35)</f>
        <v>#VALUE!</v>
      </c>
      <c r="JS39" s="962" t="e">
        <f>[1]!taqq(1,1,[1]!roz(JS34+1,JS37,0,0),JS35)</f>
        <v>#VALUE!</v>
      </c>
      <c r="JT39" s="962" t="e">
        <f>[1]!taqq(1,1,[1]!roz(JT34+1,JT37,0,0),JT35)</f>
        <v>#VALUE!</v>
      </c>
      <c r="JU39" s="962" t="e">
        <f>[1]!taqq(1,1,[1]!roz(JU34+1,JU37,0,0),JU35)</f>
        <v>#VALUE!</v>
      </c>
      <c r="JV39" s="962" t="e">
        <f>[1]!taqq(1,1,[1]!roz(JV34+1,JV37,0,0),JV35)</f>
        <v>#VALUE!</v>
      </c>
      <c r="JW39" s="962" t="e">
        <f>[1]!taqq(1,1,[1]!roz(JW34+1,JW37,0,0),JW35)</f>
        <v>#VALUE!</v>
      </c>
      <c r="JX39" s="962" t="e">
        <f>[1]!taqq(1,1,[1]!roz(JX34+1,JX37,0,0),JX35)</f>
        <v>#VALUE!</v>
      </c>
      <c r="JY39" s="962" t="e">
        <f>[1]!taqq(1,1,[1]!roz(JY34+1,JY37,0,0),JY35)</f>
        <v>#VALUE!</v>
      </c>
      <c r="JZ39" s="962" t="e">
        <f>[1]!taqq(1,1,[1]!roz(JZ34+1,JZ37,0,0),JZ35)</f>
        <v>#VALUE!</v>
      </c>
      <c r="KA39" s="962" t="e">
        <f>[1]!taqq(1,1,[1]!roz(KA34+1,KA37,0,0),KA35)</f>
        <v>#VALUE!</v>
      </c>
      <c r="KB39" s="962" t="e">
        <f>[1]!taqq(1,1,[1]!roz(KB34+1,KB37,0,0),KB35)</f>
        <v>#VALUE!</v>
      </c>
      <c r="KC39" s="962" t="e">
        <f>[1]!taqq(1,1,[1]!roz(KC34+1,KC37,0,0),KC35)</f>
        <v>#VALUE!</v>
      </c>
      <c r="KD39" s="962" t="e">
        <f>[1]!taqq(1,1,[1]!roz(KD34+1,KD37,0,0),KD35)</f>
        <v>#VALUE!</v>
      </c>
      <c r="KE39" s="962" t="e">
        <f>[1]!taqq(1,1,[1]!roz(KE34+1,KE37,0,0),KE35)</f>
        <v>#VALUE!</v>
      </c>
      <c r="KF39" s="962" t="e">
        <f>[1]!taqq(1,1,[1]!roz(KF34+1,KF37,0,0),KF35)</f>
        <v>#VALUE!</v>
      </c>
      <c r="KG39" s="962" t="e">
        <f>[1]!taqq(1,1,[1]!roz(KG34+1,KG37,0,0),KG35)</f>
        <v>#VALUE!</v>
      </c>
      <c r="KH39" s="962" t="e">
        <f>[1]!taqq(1,1,[1]!roz(KH34+1,KH37,0,0),KH35)</f>
        <v>#VALUE!</v>
      </c>
      <c r="KI39" s="962" t="e">
        <f>[1]!taqq(1,1,[1]!roz(KI34+1,KI37,0,0),KI35)</f>
        <v>#VALUE!</v>
      </c>
      <c r="KJ39" s="962" t="e">
        <f>[1]!taqq(1,1,[1]!roz(KJ34+1,KJ37,0,0),KJ35)</f>
        <v>#VALUE!</v>
      </c>
      <c r="KK39" s="962" t="e">
        <f>[1]!taqq(1,1,[1]!roz(KK34+1,KK37,0,0),KK35)</f>
        <v>#VALUE!</v>
      </c>
      <c r="KL39" s="962" t="e">
        <f>[1]!taqq(1,1,[1]!roz(KL34+1,KL37,0,0),KL35)</f>
        <v>#VALUE!</v>
      </c>
      <c r="KM39" s="962" t="e">
        <f>[1]!taqq(1,1,[1]!roz(KM34+1,KM37,0,0),KM35)</f>
        <v>#VALUE!</v>
      </c>
      <c r="KN39" s="962" t="e">
        <f>[1]!taqq(1,1,[1]!roz(KN34+1,KN37,0,0),KN35)</f>
        <v>#VALUE!</v>
      </c>
      <c r="KO39" s="962" t="e">
        <f>[1]!taqq(1,1,[1]!roz(KO34+1,KO37,0,0),KO35)</f>
        <v>#VALUE!</v>
      </c>
      <c r="KP39" s="962" t="e">
        <f>[1]!taqq(1,1,[1]!roz(KP34+1,KP37,0,0),KP35)</f>
        <v>#VALUE!</v>
      </c>
      <c r="KQ39" s="962" t="e">
        <f>[1]!taqq(1,1,[1]!roz(KQ34+1,KQ37,0,0),KQ35)</f>
        <v>#VALUE!</v>
      </c>
      <c r="KR39" s="962" t="e">
        <f>[1]!taqq(1,1,[1]!roz(KR34+1,KR37,0,0),KR35)</f>
        <v>#VALUE!</v>
      </c>
      <c r="KS39" s="962" t="e">
        <f>[1]!taqq(1,1,[1]!roz(KS34+1,KS37,0,0),KS35)</f>
        <v>#VALUE!</v>
      </c>
      <c r="KT39" s="962" t="e">
        <f>[1]!taqq(1,1,[1]!roz(KT34+1,KT37,0,0),KT35)</f>
        <v>#VALUE!</v>
      </c>
      <c r="KU39" s="962" t="e">
        <f>[1]!taqq(1,1,[1]!roz(KU34+1,KU37,0,0),KU35)</f>
        <v>#VALUE!</v>
      </c>
      <c r="KV39" s="962" t="e">
        <f>[1]!taqq(1,1,[1]!roz(KV34+1,KV37,0,0),KV35)</f>
        <v>#VALUE!</v>
      </c>
      <c r="KW39" s="962" t="e">
        <f>[1]!taqq(1,1,[1]!roz(KW34+1,KW37,0,0),KW35)</f>
        <v>#VALUE!</v>
      </c>
      <c r="KX39" s="962" t="e">
        <f>[1]!taqq(1,1,[1]!roz(KX34+1,KX37,0,0),KX35)</f>
        <v>#VALUE!</v>
      </c>
      <c r="KY39" s="962" t="e">
        <f>[1]!taqq(1,1,[1]!roz(KY34+1,KY37,0,0),KY35)</f>
        <v>#VALUE!</v>
      </c>
      <c r="KZ39" s="962" t="e">
        <f>[1]!taqq(1,1,[1]!roz(KZ34+1,KZ37,0,0),KZ35)</f>
        <v>#VALUE!</v>
      </c>
      <c r="LA39" s="962" t="e">
        <f>[1]!taqq(1,1,[1]!roz(LA34+1,LA37,0,0),LA35)</f>
        <v>#VALUE!</v>
      </c>
      <c r="LB39" s="962" t="e">
        <f>[1]!taqq(1,1,[1]!roz(LB34+1,LB37,0,0),LB35)</f>
        <v>#VALUE!</v>
      </c>
      <c r="LC39" s="962" t="e">
        <f>[1]!taqq(1,1,[1]!roz(LC34+1,LC37,0,0),LC35)</f>
        <v>#VALUE!</v>
      </c>
      <c r="LD39" s="962" t="e">
        <f>[1]!taqq(1,1,[1]!roz(LD34+1,LD37,0,0),LD35)</f>
        <v>#VALUE!</v>
      </c>
      <c r="LE39" s="962" t="e">
        <f>[1]!taqq(1,1,[1]!roz(LE34+1,LE37,0,0),LE35)</f>
        <v>#VALUE!</v>
      </c>
      <c r="LF39" s="962" t="e">
        <f>[1]!taqq(1,1,[1]!roz(LF34+1,LF37,0,0),LF35)</f>
        <v>#VALUE!</v>
      </c>
      <c r="LG39" s="962" t="e">
        <f>[1]!taqq(1,1,[1]!roz(LG34+1,LG37,0,0),LG35)</f>
        <v>#VALUE!</v>
      </c>
      <c r="LH39" s="962" t="e">
        <f>[1]!taqq(1,1,[1]!roz(LH34+1,LH37,0,0),LH35)</f>
        <v>#VALUE!</v>
      </c>
      <c r="LI39" s="962" t="e">
        <f>[1]!taqq(1,1,[1]!roz(LI34+1,LI37,0,0),LI35)</f>
        <v>#VALUE!</v>
      </c>
      <c r="LJ39" s="962" t="e">
        <f>[1]!taqq(1,1,[1]!roz(LJ34+1,LJ37,0,0),LJ35)</f>
        <v>#VALUE!</v>
      </c>
      <c r="LK39" s="962" t="e">
        <f>[1]!taqq(1,1,[1]!roz(LK34+1,LK37,0,0),LK35)</f>
        <v>#VALUE!</v>
      </c>
      <c r="LL39" s="962" t="e">
        <f>[1]!taqq(1,1,[1]!roz(LL34+1,LL37,0,0),LL35)</f>
        <v>#VALUE!</v>
      </c>
      <c r="LM39" s="962" t="e">
        <f>[1]!taqq(1,1,[1]!roz(LM34+1,LM37,0,0),LM35)</f>
        <v>#VALUE!</v>
      </c>
      <c r="LN39" s="962" t="e">
        <f>[1]!taqq(1,1,[1]!roz(LN34+1,LN37,0,0),LN35)</f>
        <v>#VALUE!</v>
      </c>
      <c r="LO39" s="962" t="e">
        <f>[1]!taqq(1,1,[1]!roz(LO34+1,LO37,0,0),LO35)</f>
        <v>#VALUE!</v>
      </c>
      <c r="LP39" s="962" t="e">
        <f>[1]!taqq(1,1,[1]!roz(LP34+1,LP37,0,0),LP35)</f>
        <v>#VALUE!</v>
      </c>
      <c r="LQ39" s="962" t="e">
        <f>[1]!taqq(1,1,[1]!roz(LQ34+1,LQ37,0,0),LQ35)</f>
        <v>#VALUE!</v>
      </c>
      <c r="LR39" s="962" t="e">
        <f>[1]!taqq(1,1,[1]!roz(LR34+1,LR37,0,0),LR35)</f>
        <v>#VALUE!</v>
      </c>
      <c r="LS39" s="962" t="e">
        <f>[1]!taqq(1,1,[1]!roz(LS34+1,LS37,0,0),LS35)</f>
        <v>#VALUE!</v>
      </c>
      <c r="LT39" s="962" t="e">
        <f>[1]!taqq(1,1,[1]!roz(LT34+1,LT37,0,0),LT35)</f>
        <v>#VALUE!</v>
      </c>
      <c r="LU39" s="962" t="e">
        <f>[1]!taqq(1,1,[1]!roz(LU34+1,LU37,0,0),LU35)</f>
        <v>#VALUE!</v>
      </c>
      <c r="LV39" s="962" t="e">
        <f>[1]!taqq(1,1,[1]!roz(LV34+1,LV37,0,0),LV35)</f>
        <v>#VALUE!</v>
      </c>
      <c r="LW39" s="962" t="e">
        <f>[1]!taqq(1,1,[1]!roz(LW34+1,LW37,0,0),LW35)</f>
        <v>#VALUE!</v>
      </c>
      <c r="LX39" s="962" t="e">
        <f>[1]!taqq(1,1,[1]!roz(LX34+1,LX37,0,0),LX35)</f>
        <v>#VALUE!</v>
      </c>
      <c r="LY39" s="962" t="e">
        <f>[1]!taqq(1,1,[1]!roz(LY34+1,LY37,0,0),LY35)</f>
        <v>#VALUE!</v>
      </c>
      <c r="LZ39" s="962" t="e">
        <f>[1]!taqq(1,1,[1]!roz(LZ34+1,LZ37,0,0),LZ35)</f>
        <v>#VALUE!</v>
      </c>
      <c r="MA39" s="962" t="e">
        <f>[1]!taqq(1,1,[1]!roz(MA34+1,MA37,0,0),MA35)</f>
        <v>#VALUE!</v>
      </c>
      <c r="MB39" s="962" t="e">
        <f>[1]!taqq(1,1,[1]!roz(MB34+1,MB37,0,0),MB35)</f>
        <v>#VALUE!</v>
      </c>
      <c r="MC39" s="962" t="e">
        <f>[1]!taqq(1,1,[1]!roz(MC34+1,MC37,0,0),MC35)</f>
        <v>#VALUE!</v>
      </c>
      <c r="MD39" s="962" t="e">
        <f>[1]!taqq(1,1,[1]!roz(MD34+1,MD37,0,0),MD35)</f>
        <v>#VALUE!</v>
      </c>
      <c r="ME39" s="962" t="e">
        <f>[1]!taqq(1,1,[1]!roz(ME34+1,ME37,0,0),ME35)</f>
        <v>#VALUE!</v>
      </c>
      <c r="MF39" s="962" t="e">
        <f>[1]!taqq(1,1,[1]!roz(MF34+1,MF37,0,0),MF35)</f>
        <v>#VALUE!</v>
      </c>
      <c r="MG39" s="962" t="e">
        <f>[1]!taqq(1,1,[1]!roz(MG34+1,MG37,0,0),MG35)</f>
        <v>#VALUE!</v>
      </c>
      <c r="MH39" s="962" t="e">
        <f>[1]!taqq(1,1,[1]!roz(MH34+1,MH37,0,0),MH35)</f>
        <v>#VALUE!</v>
      </c>
      <c r="MI39" s="962" t="e">
        <f>[1]!taqq(1,1,[1]!roz(MI34+1,MI37,0,0),MI35)</f>
        <v>#VALUE!</v>
      </c>
      <c r="MJ39" s="962" t="e">
        <f>[1]!taqq(1,1,[1]!roz(MJ34+1,MJ37,0,0),MJ35)</f>
        <v>#VALUE!</v>
      </c>
      <c r="MK39" s="962" t="e">
        <f>[1]!taqq(1,1,[1]!roz(MK34+1,MK37,0,0),MK35)</f>
        <v>#VALUE!</v>
      </c>
      <c r="ML39" s="962" t="e">
        <f>[1]!taqq(1,1,[1]!roz(ML34+1,ML37,0,0),ML35)</f>
        <v>#VALUE!</v>
      </c>
      <c r="MM39" s="962" t="e">
        <f>[1]!taqq(1,1,[1]!roz(MM34+1,MM37,0,0),MM35)</f>
        <v>#VALUE!</v>
      </c>
      <c r="MN39" s="962" t="e">
        <f>[1]!taqq(1,1,[1]!roz(MN34+1,MN37,0,0),MN35)</f>
        <v>#VALUE!</v>
      </c>
      <c r="MO39" s="962" t="e">
        <f>[1]!taqq(1,1,[1]!roz(MO34+1,MO37,0,0),MO35)</f>
        <v>#VALUE!</v>
      </c>
      <c r="MP39" s="962" t="e">
        <f>[1]!taqq(1,1,[1]!roz(MP34+1,MP37,0,0),MP35)</f>
        <v>#VALUE!</v>
      </c>
      <c r="MQ39" s="962" t="e">
        <f>[1]!taqq(1,1,[1]!roz(MQ34+1,MQ37,0,0),MQ35)</f>
        <v>#VALUE!</v>
      </c>
      <c r="MR39" s="962" t="e">
        <f>[1]!taqq(1,1,[1]!roz(MR34+1,MR37,0,0),MR35)</f>
        <v>#VALUE!</v>
      </c>
      <c r="MS39" s="962" t="e">
        <f>[1]!taqq(1,1,[1]!roz(MS34+1,MS37,0,0),MS35)</f>
        <v>#VALUE!</v>
      </c>
      <c r="MT39" s="962" t="e">
        <f>[1]!taqq(1,1,[1]!roz(MT34+1,MT37,0,0),MT35)</f>
        <v>#VALUE!</v>
      </c>
      <c r="MU39" s="962" t="e">
        <f>[1]!taqq(1,1,[1]!roz(MU34+1,MU37,0,0),MU35)</f>
        <v>#VALUE!</v>
      </c>
      <c r="MV39" s="962" t="e">
        <f>[1]!taqq(1,1,[1]!roz(MV34+1,MV37,0,0),MV35)</f>
        <v>#VALUE!</v>
      </c>
      <c r="MW39" s="962" t="e">
        <f>[1]!taqq(1,1,[1]!roz(MW34+1,MW37,0,0),MW35)</f>
        <v>#VALUE!</v>
      </c>
      <c r="MX39" s="962" t="e">
        <f>[1]!taqq(1,1,[1]!roz(MX34+1,MX37,0,0),MX35)</f>
        <v>#VALUE!</v>
      </c>
      <c r="MY39" s="962" t="e">
        <f>[1]!taqq(1,1,[1]!roz(MY34+1,MY37,0,0),MY35)</f>
        <v>#VALUE!</v>
      </c>
      <c r="MZ39" s="962" t="e">
        <f>[1]!taqq(1,1,[1]!roz(MZ34+1,MZ37,0,0),MZ35)</f>
        <v>#VALUE!</v>
      </c>
      <c r="NA39" s="962" t="e">
        <f>[1]!taqq(1,1,[1]!roz(NA34+1,NA37,0,0),NA35)</f>
        <v>#VALUE!</v>
      </c>
      <c r="NB39" s="962" t="e">
        <f>[1]!taqq(1,1,[1]!roz(NB34+1,NB37,0,0),NB35)</f>
        <v>#VALUE!</v>
      </c>
      <c r="NC39" s="962" t="e">
        <f>[1]!taqq(1,1,[1]!roz(NC34+1,NC37,0,0),NC35)</f>
        <v>#VALUE!</v>
      </c>
      <c r="ND39" s="962" t="e">
        <f>[1]!taqq(1,1,[1]!roz(ND34+1,ND37,0,0),ND35)</f>
        <v>#VALUE!</v>
      </c>
      <c r="NE39" s="962" t="e">
        <f>[1]!taqq(1,1,[1]!roz(NE34+1,NE37,0,0),NE35)</f>
        <v>#VALUE!</v>
      </c>
      <c r="NF39" s="962" t="e">
        <f>[1]!taqq(1,1,[1]!roz(NF34+1,NF37,0,0),NF35)</f>
        <v>#VALUE!</v>
      </c>
      <c r="NG39" s="962" t="e">
        <f>[1]!taqq(1,1,[1]!roz(NG34+1,NG37,0,0),NG35)</f>
        <v>#VALUE!</v>
      </c>
      <c r="NH39" s="962" t="e">
        <f>[1]!taqq(1,1,[1]!roz(NH34+1,NH37,0,0),NH35)</f>
        <v>#VALUE!</v>
      </c>
      <c r="NI39" s="962" t="e">
        <f>[1]!taqq(1,1,[1]!roz(NI34+1,NI37,0,0),NI35)</f>
        <v>#VALUE!</v>
      </c>
      <c r="NJ39" s="962" t="e">
        <f>[1]!taqq(1,1,[1]!roz(NJ34+1,NJ37,0,0),NJ35)</f>
        <v>#VALUE!</v>
      </c>
      <c r="NK39" s="962" t="e">
        <f>[1]!taqq(1,1,[1]!roz(NK34+1,NK37,0,0),NK35)</f>
        <v>#VALUE!</v>
      </c>
      <c r="NL39" s="962" t="e">
        <f>[1]!taqq(1,1,[1]!roz(NL34+1,NL37,0,0),NL35)</f>
        <v>#VALUE!</v>
      </c>
      <c r="NM39" s="962" t="e">
        <f>[1]!taqq(1,1,[1]!roz(NM34+1,NM37,0,0),NM35)</f>
        <v>#VALUE!</v>
      </c>
      <c r="NN39" s="962" t="e">
        <f>[1]!taqq(1,1,[1]!roz(NN34+1,NN37,0,0),NN35)</f>
        <v>#VALUE!</v>
      </c>
      <c r="NO39" s="962" t="e">
        <f>[1]!taqq(1,1,[1]!roz(NO34+1,NO37,0,0),NO35)</f>
        <v>#VALUE!</v>
      </c>
      <c r="NP39" s="962" t="e">
        <f>[1]!taqq(1,1,[1]!roz(NP34+1,NP37,0,0),NP35)</f>
        <v>#VALUE!</v>
      </c>
      <c r="NQ39" s="962" t="e">
        <f>[1]!taqq(1,1,[1]!roz(NQ34+1,NQ37,0,0),NQ35)</f>
        <v>#VALUE!</v>
      </c>
      <c r="NR39" s="962" t="e">
        <f>[1]!taqq(1,1,[1]!roz(NR34+1,NR37,0,0),NR35)</f>
        <v>#VALUE!</v>
      </c>
      <c r="NS39" s="962" t="e">
        <f>[1]!taqq(1,1,[1]!roz(NS34+1,NS37,0,0),NS35)</f>
        <v>#VALUE!</v>
      </c>
      <c r="NT39" s="962" t="e">
        <f>[1]!taqq(1,1,[1]!roz(NT34+1,NT37,0,0),NT35)</f>
        <v>#VALUE!</v>
      </c>
      <c r="NU39" s="962" t="e">
        <f>[1]!taqq(1,1,[1]!roz(NU34+1,NU37,0,0),NU35)</f>
        <v>#VALUE!</v>
      </c>
      <c r="NV39" s="962" t="e">
        <f>[1]!taqq(1,1,[1]!roz(NV34+1,NV37,0,0),NV35)</f>
        <v>#VALUE!</v>
      </c>
      <c r="NW39" s="962" t="e">
        <f>[1]!taqq(1,1,[1]!roz(NW34+1,NW37,0,0),NW35)</f>
        <v>#VALUE!</v>
      </c>
      <c r="NX39" s="962" t="e">
        <f>[1]!taqq(1,1,[1]!roz(NX34+1,NX37,0,0),NX35)</f>
        <v>#VALUE!</v>
      </c>
      <c r="NY39" s="962" t="e">
        <f>[1]!taqq(1,1,[1]!roz(NY34+1,NY37,0,0),NY35)</f>
        <v>#VALUE!</v>
      </c>
      <c r="NZ39" s="962" t="e">
        <f>[1]!taqq(1,1,[1]!roz(NZ34+1,NZ37,0,0),NZ35)</f>
        <v>#VALUE!</v>
      </c>
      <c r="OA39" s="962" t="e">
        <f>[1]!taqq(1,1,[1]!roz(OA34+1,OA37,0,0),OA35)</f>
        <v>#VALUE!</v>
      </c>
      <c r="OB39" s="962" t="e">
        <f>[1]!taqq(1,1,[1]!roz(OB34+1,OB37,0,0),OB35)</f>
        <v>#VALUE!</v>
      </c>
      <c r="OC39" s="962" t="e">
        <f>[1]!taqq(1,1,[1]!roz(OC34+1,OC37,0,0),OC35)</f>
        <v>#VALUE!</v>
      </c>
      <c r="OD39" s="962" t="e">
        <f>[1]!taqq(1,1,[1]!roz(OD34+1,OD37,0,0),OD35)</f>
        <v>#VALUE!</v>
      </c>
      <c r="OE39" s="962" t="e">
        <f>[1]!taqq(1,1,[1]!roz(OE34+1,OE37,0,0),OE35)</f>
        <v>#VALUE!</v>
      </c>
      <c r="OF39" s="962" t="e">
        <f>[1]!taqq(1,1,[1]!roz(OF34+1,OF37,0,0),OF35)</f>
        <v>#VALUE!</v>
      </c>
      <c r="OG39" s="962" t="e">
        <f>[1]!taqq(1,1,[1]!roz(OG34+1,OG37,0,0),OG35)</f>
        <v>#VALUE!</v>
      </c>
      <c r="OH39" s="962" t="e">
        <f>[1]!taqq(1,1,[1]!roz(OH34+1,OH37,0,0),OH35)</f>
        <v>#VALUE!</v>
      </c>
      <c r="OI39" s="962" t="e">
        <f>[1]!taqq(1,1,[1]!roz(OI34+1,OI37,0,0),OI35)</f>
        <v>#VALUE!</v>
      </c>
      <c r="OJ39" s="962" t="e">
        <f>[1]!taqq(1,1,[1]!roz(OJ34+1,OJ37,0,0),OJ35)</f>
        <v>#VALUE!</v>
      </c>
      <c r="OK39" s="962" t="e">
        <f>[1]!taqq(1,1,[1]!roz(OK34+1,OK37,0,0),OK35)</f>
        <v>#VALUE!</v>
      </c>
      <c r="OL39" s="962" t="e">
        <f>[1]!taqq(1,1,[1]!roz(OL34+1,OL37,0,0),OL35)</f>
        <v>#VALUE!</v>
      </c>
      <c r="OM39" s="962" t="e">
        <f>[1]!taqq(1,1,[1]!roz(OM34+1,OM37,0,0),OM35)</f>
        <v>#VALUE!</v>
      </c>
      <c r="ON39" s="962" t="e">
        <f>[1]!taqq(1,1,[1]!roz(ON34+1,ON37,0,0),ON35)</f>
        <v>#VALUE!</v>
      </c>
      <c r="OO39" s="962" t="e">
        <f>[1]!taqq(1,1,[1]!roz(OO34+1,OO37,0,0),OO35)</f>
        <v>#VALUE!</v>
      </c>
      <c r="OP39" s="962" t="e">
        <f>[1]!taqq(1,1,[1]!roz(OP34+1,OP37,0,0),OP35)</f>
        <v>#VALUE!</v>
      </c>
      <c r="OQ39" s="962" t="e">
        <f>[1]!taqq(1,1,[1]!roz(OQ34+1,OQ37,0,0),OQ35)</f>
        <v>#VALUE!</v>
      </c>
      <c r="OR39" s="962" t="e">
        <f>[1]!taqq(1,1,[1]!roz(OR34+1,OR37,0,0),OR35)</f>
        <v>#VALUE!</v>
      </c>
      <c r="OS39" s="962" t="e">
        <f>[1]!taqq(1,1,[1]!roz(OS34+1,OS37,0,0),OS35)</f>
        <v>#VALUE!</v>
      </c>
      <c r="OT39" s="962" t="e">
        <f>[1]!taqq(1,1,[1]!roz(OT34+1,OT37,0,0),OT35)</f>
        <v>#VALUE!</v>
      </c>
      <c r="OU39" s="962" t="e">
        <f>[1]!taqq(1,1,[1]!roz(OU34+1,OU37,0,0),OU35)</f>
        <v>#VALUE!</v>
      </c>
      <c r="OV39" s="962" t="e">
        <f>[1]!taqq(1,1,[1]!roz(OV34+1,OV37,0,0),OV35)</f>
        <v>#VALUE!</v>
      </c>
      <c r="OW39" s="962" t="e">
        <f>[1]!taqq(1,1,[1]!roz(OW34+1,OW37,0,0),OW35)</f>
        <v>#VALUE!</v>
      </c>
      <c r="OX39" s="962" t="e">
        <f>[1]!taqq(1,1,[1]!roz(OX34+1,OX37,0,0),OX35)</f>
        <v>#VALUE!</v>
      </c>
      <c r="OY39" s="962" t="e">
        <f>[1]!taqq(1,1,[1]!roz(OY34+1,OY37,0,0),OY35)</f>
        <v>#VALUE!</v>
      </c>
      <c r="OZ39" s="962" t="e">
        <f>[1]!taqq(1,1,[1]!roz(OZ34+1,OZ37,0,0),OZ35)</f>
        <v>#VALUE!</v>
      </c>
      <c r="PA39" s="962" t="e">
        <f>[1]!taqq(1,1,[1]!roz(PA34+1,PA37,0,0),PA35)</f>
        <v>#VALUE!</v>
      </c>
      <c r="PB39" s="962" t="e">
        <f>[1]!taqq(1,1,[1]!roz(PB34+1,PB37,0,0),PB35)</f>
        <v>#VALUE!</v>
      </c>
      <c r="PC39" s="962" t="e">
        <f>[1]!taqq(1,1,[1]!roz(PC34+1,PC37,0,0),PC35)</f>
        <v>#VALUE!</v>
      </c>
      <c r="PD39" s="962" t="e">
        <f>[1]!taqq(1,1,[1]!roz(PD34+1,PD37,0,0),PD35)</f>
        <v>#VALUE!</v>
      </c>
      <c r="PE39" s="962" t="e">
        <f>[1]!taqq(1,1,[1]!roz(PE34+1,PE37,0,0),PE35)</f>
        <v>#VALUE!</v>
      </c>
      <c r="PF39" s="962" t="e">
        <f>[1]!taqq(1,1,[1]!roz(PF34+1,PF37,0,0),PF35)</f>
        <v>#VALUE!</v>
      </c>
      <c r="PG39" s="962" t="e">
        <f>[1]!taqq(1,1,[1]!roz(PG34+1,PG37,0,0),PG35)</f>
        <v>#VALUE!</v>
      </c>
      <c r="PH39" s="962" t="e">
        <f>[1]!taqq(1,1,[1]!roz(PH34+1,PH37,0,0),PH35)</f>
        <v>#VALUE!</v>
      </c>
      <c r="PI39" s="962" t="e">
        <f>[1]!taqq(1,1,[1]!roz(PI34+1,PI37,0,0),PI35)</f>
        <v>#VALUE!</v>
      </c>
      <c r="PJ39" s="962" t="e">
        <f>[1]!taqq(1,1,[1]!roz(PJ34+1,PJ37,0,0),PJ35)</f>
        <v>#VALUE!</v>
      </c>
      <c r="PK39" s="962" t="e">
        <f>[1]!taqq(1,1,[1]!roz(PK34+1,PK37,0,0),PK35)</f>
        <v>#VALUE!</v>
      </c>
      <c r="PL39" s="962" t="e">
        <f>[1]!taqq(1,1,[1]!roz(PL34+1,PL37,0,0),PL35)</f>
        <v>#VALUE!</v>
      </c>
      <c r="PM39" s="962" t="e">
        <f>[1]!taqq(1,1,[1]!roz(PM34+1,PM37,0,0),PM35)</f>
        <v>#VALUE!</v>
      </c>
      <c r="PN39" s="962" t="e">
        <f>[1]!taqq(1,1,[1]!roz(PN34+1,PN37,0,0),PN35)</f>
        <v>#VALUE!</v>
      </c>
      <c r="PO39" s="962" t="e">
        <f>[1]!taqq(1,1,[1]!roz(PO34+1,PO37,0,0),PO35)</f>
        <v>#VALUE!</v>
      </c>
      <c r="PP39" s="962" t="e">
        <f>[1]!taqq(1,1,[1]!roz(PP34+1,PP37,0,0),PP35)</f>
        <v>#VALUE!</v>
      </c>
      <c r="PQ39" s="962" t="e">
        <f>[1]!taqq(1,1,[1]!roz(PQ34+1,PQ37,0,0),PQ35)</f>
        <v>#VALUE!</v>
      </c>
      <c r="PR39" s="962" t="e">
        <f>[1]!taqq(1,1,[1]!roz(PR34+1,PR37,0,0),PR35)</f>
        <v>#VALUE!</v>
      </c>
      <c r="PS39" s="962" t="e">
        <f>[1]!taqq(1,1,[1]!roz(PS34+1,PS37,0,0),PS35)</f>
        <v>#VALUE!</v>
      </c>
      <c r="PT39" s="962" t="e">
        <f>[1]!taqq(1,1,[1]!roz(PT34+1,PT37,0,0),PT35)</f>
        <v>#VALUE!</v>
      </c>
      <c r="PU39" s="962" t="e">
        <f>[1]!taqq(1,1,[1]!roz(PU34+1,PU37,0,0),PU35)</f>
        <v>#VALUE!</v>
      </c>
      <c r="PV39" s="962" t="e">
        <f>[1]!taqq(1,1,[1]!roz(PV34+1,PV37,0,0),PV35)</f>
        <v>#VALUE!</v>
      </c>
      <c r="PW39" s="962" t="e">
        <f>[1]!taqq(1,1,[1]!roz(PW34+1,PW37,0,0),PW35)</f>
        <v>#VALUE!</v>
      </c>
      <c r="PX39" s="962" t="e">
        <f>[1]!taqq(1,1,[1]!roz(PX34+1,PX37,0,0),PX35)</f>
        <v>#VALUE!</v>
      </c>
      <c r="PY39" s="962" t="e">
        <f>[1]!taqq(1,1,[1]!roz(PY34+1,PY37,0,0),PY35)</f>
        <v>#VALUE!</v>
      </c>
      <c r="PZ39" s="962" t="e">
        <f>[1]!taqq(1,1,[1]!roz(PZ34+1,PZ37,0,0),PZ35)</f>
        <v>#VALUE!</v>
      </c>
      <c r="QA39" s="962" t="e">
        <f>[1]!taqq(1,1,[1]!roz(QA34+1,QA37,0,0),QA35)</f>
        <v>#VALUE!</v>
      </c>
      <c r="QB39" s="962" t="e">
        <f>[1]!taqq(1,1,[1]!roz(QB34+1,QB37,0,0),QB35)</f>
        <v>#VALUE!</v>
      </c>
      <c r="QC39" s="962" t="e">
        <f>[1]!taqq(1,1,[1]!roz(QC34+1,QC37,0,0),QC35)</f>
        <v>#VALUE!</v>
      </c>
      <c r="QD39" s="962" t="e">
        <f>[1]!taqq(1,1,[1]!roz(QD34+1,QD37,0,0),QD35)</f>
        <v>#VALUE!</v>
      </c>
      <c r="QE39" s="962" t="e">
        <f>[1]!taqq(1,1,[1]!roz(QE34+1,QE37,0,0),QE35)</f>
        <v>#VALUE!</v>
      </c>
      <c r="QF39" s="962" t="e">
        <f>[1]!taqq(1,1,[1]!roz(QF34+1,QF37,0,0),QF35)</f>
        <v>#VALUE!</v>
      </c>
      <c r="QG39" s="962" t="e">
        <f>[1]!taqq(1,1,[1]!roz(QG34+1,QG37,0,0),QG35)</f>
        <v>#VALUE!</v>
      </c>
      <c r="QH39" s="962" t="e">
        <f>[1]!taqq(1,1,[1]!roz(QH34+1,QH37,0,0),QH35)</f>
        <v>#VALUE!</v>
      </c>
      <c r="QI39" s="962" t="e">
        <f>[1]!taqq(1,1,[1]!roz(QI34+1,QI37,0,0),QI35)</f>
        <v>#VALUE!</v>
      </c>
      <c r="QJ39" s="962" t="e">
        <f>[1]!taqq(1,1,[1]!roz(QJ34+1,QJ37,0,0),QJ35)</f>
        <v>#VALUE!</v>
      </c>
      <c r="QK39" s="962" t="e">
        <f>[1]!taqq(1,1,[1]!roz(QK34+1,QK37,0,0),QK35)</f>
        <v>#VALUE!</v>
      </c>
      <c r="QL39" s="962" t="e">
        <f>[1]!taqq(1,1,[1]!roz(QL34+1,QL37,0,0),QL35)</f>
        <v>#VALUE!</v>
      </c>
      <c r="QM39" s="962" t="e">
        <f>[1]!taqq(1,1,[1]!roz(QM34+1,QM37,0,0),QM35)</f>
        <v>#VALUE!</v>
      </c>
      <c r="QN39" s="962" t="e">
        <f>[1]!taqq(1,1,[1]!roz(QN34+1,QN37,0,0),QN35)</f>
        <v>#VALUE!</v>
      </c>
      <c r="QO39" s="962" t="e">
        <f>[1]!taqq(1,1,[1]!roz(QO34+1,QO37,0,0),QO35)</f>
        <v>#VALUE!</v>
      </c>
      <c r="QP39" s="962" t="e">
        <f>[1]!taqq(1,1,[1]!roz(QP34+1,QP37,0,0),QP35)</f>
        <v>#VALUE!</v>
      </c>
      <c r="QQ39" s="962" t="e">
        <f>[1]!taqq(1,1,[1]!roz(QQ34+1,QQ37,0,0),QQ35)</f>
        <v>#VALUE!</v>
      </c>
      <c r="QR39" s="962" t="e">
        <f>[1]!taqq(1,1,[1]!roz(QR34+1,QR37,0,0),QR35)</f>
        <v>#VALUE!</v>
      </c>
      <c r="QS39" s="962" t="e">
        <f>[1]!taqq(1,1,[1]!roz(QS34+1,QS37,0,0),QS35)</f>
        <v>#VALUE!</v>
      </c>
      <c r="QT39" s="962" t="e">
        <f>[1]!taqq(1,1,[1]!roz(QT34+1,QT37,0,0),QT35)</f>
        <v>#VALUE!</v>
      </c>
      <c r="QU39" s="962" t="e">
        <f>[1]!taqq(1,1,[1]!roz(QU34+1,QU37,0,0),QU35)</f>
        <v>#VALUE!</v>
      </c>
      <c r="QV39" s="962" t="e">
        <f>[1]!taqq(1,1,[1]!roz(QV34+1,QV37,0,0),QV35)</f>
        <v>#VALUE!</v>
      </c>
      <c r="QW39" s="962" t="e">
        <f>[1]!taqq(1,1,[1]!roz(QW34+1,QW37,0,0),QW35)</f>
        <v>#VALUE!</v>
      </c>
      <c r="QX39" s="962" t="e">
        <f>[1]!taqq(1,1,[1]!roz(QX34+1,QX37,0,0),QX35)</f>
        <v>#VALUE!</v>
      </c>
      <c r="QY39" s="962" t="e">
        <f>[1]!taqq(1,1,[1]!roz(QY34+1,QY37,0,0),QY35)</f>
        <v>#VALUE!</v>
      </c>
      <c r="QZ39" s="962" t="e">
        <f>[1]!taqq(1,1,[1]!roz(QZ34+1,QZ37,0,0),QZ35)</f>
        <v>#VALUE!</v>
      </c>
      <c r="RA39" s="963" t="e">
        <f>[1]!taqq(1,1,[1]!roz(RA34+1,RA37,0,0),RA35)</f>
        <v>#VALUE!</v>
      </c>
    </row>
    <row r="40" spans="1:471" ht="17.25">
      <c r="A40" s="22">
        <f>A37</f>
        <v>22</v>
      </c>
      <c r="B40" s="22">
        <f>B37</f>
        <v>9</v>
      </c>
      <c r="C40" s="22">
        <f>C37</f>
        <v>1442</v>
      </c>
      <c r="D40" t="str">
        <f>D37</f>
        <v>شمسی</v>
      </c>
      <c r="E40">
        <f>E37</f>
        <v>16</v>
      </c>
      <c r="J40" s="25"/>
      <c r="K40" s="25"/>
      <c r="L40" s="25"/>
      <c r="M40" s="25"/>
      <c r="N40" s="25"/>
      <c r="O40" s="25"/>
      <c r="P40" s="25"/>
      <c r="Q40" s="25"/>
      <c r="R40" s="25"/>
      <c r="S40" s="25"/>
      <c r="T40" s="25"/>
      <c r="U40" s="25"/>
      <c r="V40" s="25"/>
      <c r="W40" s="25"/>
      <c r="X40" s="25"/>
      <c r="Y40" s="25"/>
      <c r="Z40" s="25"/>
      <c r="AA40" s="25"/>
      <c r="AK40" s="759"/>
      <c r="AL40" s="696">
        <f t="shared" ref="AL40:AW41" si="341">AL16</f>
        <v>1443</v>
      </c>
      <c r="AM40" s="697">
        <f t="shared" si="341"/>
        <v>1443</v>
      </c>
      <c r="AN40" s="697">
        <f t="shared" si="341"/>
        <v>1443</v>
      </c>
      <c r="AO40" s="697">
        <f t="shared" si="341"/>
        <v>1443</v>
      </c>
      <c r="AP40" s="697">
        <f t="shared" si="341"/>
        <v>1443</v>
      </c>
      <c r="AQ40" s="697">
        <f t="shared" si="341"/>
        <v>1443</v>
      </c>
      <c r="AR40" s="697">
        <f t="shared" si="341"/>
        <v>1443</v>
      </c>
      <c r="AS40" s="697">
        <f t="shared" si="341"/>
        <v>1443</v>
      </c>
      <c r="AT40" s="697">
        <f t="shared" si="341"/>
        <v>1443</v>
      </c>
      <c r="AU40" s="697">
        <f t="shared" si="341"/>
        <v>1443</v>
      </c>
      <c r="AV40" s="697">
        <f t="shared" si="341"/>
        <v>1443</v>
      </c>
      <c r="AW40" s="698">
        <f t="shared" si="341"/>
        <v>1443</v>
      </c>
      <c r="AX40" s="314"/>
      <c r="DH40" s="797"/>
      <c r="DI40" s="797" t="s">
        <v>3489</v>
      </c>
      <c r="DJ40" s="961" t="e">
        <f>IF(DJ39-DJ38&gt;-180,DJ39-DJ38,DJ39-DJ38+360)</f>
        <v>#VALUE!</v>
      </c>
      <c r="DK40" s="962" t="e">
        <f>IF(DK39-DK38&gt;-180,DK39-DK38,DK39-DK38+360)</f>
        <v>#VALUE!</v>
      </c>
      <c r="DL40" s="962" t="e">
        <f>IF(DL39-DL38&gt;-180,DL39-DL38,DL39-DL38+360)</f>
        <v>#VALUE!</v>
      </c>
      <c r="DM40" s="962" t="e">
        <f t="shared" ref="DM40:FX40" si="342">IF(DM39-DM38&gt;-180,DM39-DM38,DM39-DM38+360)</f>
        <v>#VALUE!</v>
      </c>
      <c r="DN40" s="962" t="e">
        <f t="shared" si="342"/>
        <v>#VALUE!</v>
      </c>
      <c r="DO40" s="962" t="e">
        <f t="shared" si="342"/>
        <v>#VALUE!</v>
      </c>
      <c r="DP40" s="962" t="e">
        <f t="shared" si="342"/>
        <v>#VALUE!</v>
      </c>
      <c r="DQ40" s="962" t="e">
        <f t="shared" si="342"/>
        <v>#VALUE!</v>
      </c>
      <c r="DR40" s="962" t="e">
        <f t="shared" si="342"/>
        <v>#VALUE!</v>
      </c>
      <c r="DS40" s="962" t="e">
        <f t="shared" si="342"/>
        <v>#VALUE!</v>
      </c>
      <c r="DT40" s="962" t="e">
        <f t="shared" si="342"/>
        <v>#VALUE!</v>
      </c>
      <c r="DU40" s="962" t="e">
        <f t="shared" si="342"/>
        <v>#VALUE!</v>
      </c>
      <c r="DV40" s="962" t="e">
        <f t="shared" si="342"/>
        <v>#VALUE!</v>
      </c>
      <c r="DW40" s="962" t="e">
        <f t="shared" si="342"/>
        <v>#VALUE!</v>
      </c>
      <c r="DX40" s="962" t="e">
        <f t="shared" si="342"/>
        <v>#VALUE!</v>
      </c>
      <c r="DY40" s="962" t="e">
        <f t="shared" si="342"/>
        <v>#VALUE!</v>
      </c>
      <c r="DZ40" s="962" t="e">
        <f t="shared" si="342"/>
        <v>#VALUE!</v>
      </c>
      <c r="EA40" s="962" t="e">
        <f t="shared" si="342"/>
        <v>#VALUE!</v>
      </c>
      <c r="EB40" s="962" t="e">
        <f t="shared" si="342"/>
        <v>#VALUE!</v>
      </c>
      <c r="EC40" s="962" t="e">
        <f t="shared" si="342"/>
        <v>#VALUE!</v>
      </c>
      <c r="ED40" s="962" t="e">
        <f t="shared" si="342"/>
        <v>#VALUE!</v>
      </c>
      <c r="EE40" s="962" t="e">
        <f t="shared" si="342"/>
        <v>#VALUE!</v>
      </c>
      <c r="EF40" s="962" t="e">
        <f t="shared" si="342"/>
        <v>#VALUE!</v>
      </c>
      <c r="EG40" s="962" t="e">
        <f t="shared" si="342"/>
        <v>#VALUE!</v>
      </c>
      <c r="EH40" s="962" t="e">
        <f t="shared" si="342"/>
        <v>#VALUE!</v>
      </c>
      <c r="EI40" s="962" t="e">
        <f t="shared" si="342"/>
        <v>#VALUE!</v>
      </c>
      <c r="EJ40" s="962" t="e">
        <f t="shared" si="342"/>
        <v>#VALUE!</v>
      </c>
      <c r="EK40" s="962" t="e">
        <f t="shared" si="342"/>
        <v>#VALUE!</v>
      </c>
      <c r="EL40" s="962" t="e">
        <f t="shared" si="342"/>
        <v>#VALUE!</v>
      </c>
      <c r="EM40" s="962" t="e">
        <f t="shared" si="342"/>
        <v>#VALUE!</v>
      </c>
      <c r="EN40" s="962" t="e">
        <f t="shared" si="342"/>
        <v>#VALUE!</v>
      </c>
      <c r="EO40" s="962" t="e">
        <f t="shared" si="342"/>
        <v>#VALUE!</v>
      </c>
      <c r="EP40" s="962" t="e">
        <f t="shared" si="342"/>
        <v>#VALUE!</v>
      </c>
      <c r="EQ40" s="962" t="e">
        <f t="shared" si="342"/>
        <v>#VALUE!</v>
      </c>
      <c r="ER40" s="962" t="e">
        <f t="shared" si="342"/>
        <v>#VALUE!</v>
      </c>
      <c r="ES40" s="962" t="e">
        <f t="shared" si="342"/>
        <v>#VALUE!</v>
      </c>
      <c r="ET40" s="962" t="e">
        <f t="shared" si="342"/>
        <v>#VALUE!</v>
      </c>
      <c r="EU40" s="962" t="e">
        <f t="shared" si="342"/>
        <v>#VALUE!</v>
      </c>
      <c r="EV40" s="962" t="e">
        <f t="shared" si="342"/>
        <v>#VALUE!</v>
      </c>
      <c r="EW40" s="962" t="e">
        <f t="shared" si="342"/>
        <v>#VALUE!</v>
      </c>
      <c r="EX40" s="962" t="e">
        <f t="shared" si="342"/>
        <v>#VALUE!</v>
      </c>
      <c r="EY40" s="962" t="e">
        <f t="shared" si="342"/>
        <v>#VALUE!</v>
      </c>
      <c r="EZ40" s="962" t="e">
        <f t="shared" si="342"/>
        <v>#VALUE!</v>
      </c>
      <c r="FA40" s="962" t="e">
        <f t="shared" si="342"/>
        <v>#VALUE!</v>
      </c>
      <c r="FB40" s="962" t="e">
        <f t="shared" si="342"/>
        <v>#VALUE!</v>
      </c>
      <c r="FC40" s="962" t="e">
        <f t="shared" si="342"/>
        <v>#VALUE!</v>
      </c>
      <c r="FD40" s="962" t="e">
        <f t="shared" si="342"/>
        <v>#VALUE!</v>
      </c>
      <c r="FE40" s="962" t="e">
        <f t="shared" si="342"/>
        <v>#VALUE!</v>
      </c>
      <c r="FF40" s="962" t="e">
        <f t="shared" si="342"/>
        <v>#VALUE!</v>
      </c>
      <c r="FG40" s="962" t="e">
        <f t="shared" si="342"/>
        <v>#VALUE!</v>
      </c>
      <c r="FH40" s="962" t="e">
        <f t="shared" si="342"/>
        <v>#VALUE!</v>
      </c>
      <c r="FI40" s="962" t="e">
        <f t="shared" si="342"/>
        <v>#VALUE!</v>
      </c>
      <c r="FJ40" s="962" t="e">
        <f t="shared" si="342"/>
        <v>#VALUE!</v>
      </c>
      <c r="FK40" s="962" t="e">
        <f t="shared" si="342"/>
        <v>#VALUE!</v>
      </c>
      <c r="FL40" s="962" t="e">
        <f t="shared" si="342"/>
        <v>#VALUE!</v>
      </c>
      <c r="FM40" s="962" t="e">
        <f t="shared" si="342"/>
        <v>#VALUE!</v>
      </c>
      <c r="FN40" s="962" t="e">
        <f t="shared" si="342"/>
        <v>#VALUE!</v>
      </c>
      <c r="FO40" s="962" t="e">
        <f t="shared" si="342"/>
        <v>#VALUE!</v>
      </c>
      <c r="FP40" s="962" t="e">
        <f t="shared" si="342"/>
        <v>#VALUE!</v>
      </c>
      <c r="FQ40" s="962" t="e">
        <f t="shared" si="342"/>
        <v>#VALUE!</v>
      </c>
      <c r="FR40" s="962" t="e">
        <f t="shared" si="342"/>
        <v>#VALUE!</v>
      </c>
      <c r="FS40" s="962" t="e">
        <f t="shared" si="342"/>
        <v>#VALUE!</v>
      </c>
      <c r="FT40" s="962" t="e">
        <f t="shared" si="342"/>
        <v>#VALUE!</v>
      </c>
      <c r="FU40" s="962" t="e">
        <f t="shared" si="342"/>
        <v>#VALUE!</v>
      </c>
      <c r="FV40" s="962" t="e">
        <f t="shared" si="342"/>
        <v>#VALUE!</v>
      </c>
      <c r="FW40" s="962" t="e">
        <f t="shared" si="342"/>
        <v>#VALUE!</v>
      </c>
      <c r="FX40" s="962" t="e">
        <f t="shared" si="342"/>
        <v>#VALUE!</v>
      </c>
      <c r="FY40" s="962" t="e">
        <f t="shared" ref="FY40:IJ40" si="343">IF(FY39-FY38&gt;-180,FY39-FY38,FY39-FY38+360)</f>
        <v>#VALUE!</v>
      </c>
      <c r="FZ40" s="962" t="e">
        <f t="shared" si="343"/>
        <v>#VALUE!</v>
      </c>
      <c r="GA40" s="962" t="e">
        <f t="shared" si="343"/>
        <v>#VALUE!</v>
      </c>
      <c r="GB40" s="962" t="e">
        <f t="shared" si="343"/>
        <v>#VALUE!</v>
      </c>
      <c r="GC40" s="962" t="e">
        <f t="shared" si="343"/>
        <v>#VALUE!</v>
      </c>
      <c r="GD40" s="962" t="e">
        <f t="shared" si="343"/>
        <v>#VALUE!</v>
      </c>
      <c r="GE40" s="962" t="e">
        <f t="shared" si="343"/>
        <v>#VALUE!</v>
      </c>
      <c r="GF40" s="962" t="e">
        <f t="shared" si="343"/>
        <v>#VALUE!</v>
      </c>
      <c r="GG40" s="962" t="e">
        <f t="shared" si="343"/>
        <v>#VALUE!</v>
      </c>
      <c r="GH40" s="962" t="e">
        <f t="shared" si="343"/>
        <v>#VALUE!</v>
      </c>
      <c r="GI40" s="962" t="e">
        <f t="shared" si="343"/>
        <v>#VALUE!</v>
      </c>
      <c r="GJ40" s="962" t="e">
        <f t="shared" si="343"/>
        <v>#VALUE!</v>
      </c>
      <c r="GK40" s="962" t="e">
        <f t="shared" si="343"/>
        <v>#VALUE!</v>
      </c>
      <c r="GL40" s="962" t="e">
        <f t="shared" si="343"/>
        <v>#VALUE!</v>
      </c>
      <c r="GM40" s="962" t="e">
        <f t="shared" si="343"/>
        <v>#VALUE!</v>
      </c>
      <c r="GN40" s="962" t="e">
        <f t="shared" si="343"/>
        <v>#VALUE!</v>
      </c>
      <c r="GO40" s="962" t="e">
        <f t="shared" si="343"/>
        <v>#VALUE!</v>
      </c>
      <c r="GP40" s="962" t="e">
        <f t="shared" si="343"/>
        <v>#VALUE!</v>
      </c>
      <c r="GQ40" s="962" t="e">
        <f t="shared" si="343"/>
        <v>#VALUE!</v>
      </c>
      <c r="GR40" s="962" t="e">
        <f t="shared" si="343"/>
        <v>#VALUE!</v>
      </c>
      <c r="GS40" s="962" t="e">
        <f t="shared" si="343"/>
        <v>#VALUE!</v>
      </c>
      <c r="GT40" s="962" t="e">
        <f t="shared" si="343"/>
        <v>#VALUE!</v>
      </c>
      <c r="GU40" s="962" t="e">
        <f t="shared" si="343"/>
        <v>#VALUE!</v>
      </c>
      <c r="GV40" s="962" t="e">
        <f t="shared" si="343"/>
        <v>#VALUE!</v>
      </c>
      <c r="GW40" s="962" t="e">
        <f t="shared" si="343"/>
        <v>#VALUE!</v>
      </c>
      <c r="GX40" s="962" t="e">
        <f t="shared" si="343"/>
        <v>#VALUE!</v>
      </c>
      <c r="GY40" s="962" t="e">
        <f t="shared" si="343"/>
        <v>#VALUE!</v>
      </c>
      <c r="GZ40" s="962" t="e">
        <f t="shared" si="343"/>
        <v>#VALUE!</v>
      </c>
      <c r="HA40" s="962" t="e">
        <f t="shared" si="343"/>
        <v>#VALUE!</v>
      </c>
      <c r="HB40" s="962" t="e">
        <f t="shared" si="343"/>
        <v>#VALUE!</v>
      </c>
      <c r="HC40" s="962" t="e">
        <f t="shared" si="343"/>
        <v>#VALUE!</v>
      </c>
      <c r="HD40" s="962" t="e">
        <f t="shared" si="343"/>
        <v>#VALUE!</v>
      </c>
      <c r="HE40" s="962" t="e">
        <f t="shared" si="343"/>
        <v>#VALUE!</v>
      </c>
      <c r="HF40" s="962" t="e">
        <f t="shared" si="343"/>
        <v>#VALUE!</v>
      </c>
      <c r="HG40" s="962" t="e">
        <f t="shared" si="343"/>
        <v>#VALUE!</v>
      </c>
      <c r="HH40" s="962" t="e">
        <f t="shared" si="343"/>
        <v>#VALUE!</v>
      </c>
      <c r="HI40" s="962" t="e">
        <f t="shared" si="343"/>
        <v>#VALUE!</v>
      </c>
      <c r="HJ40" s="962" t="e">
        <f t="shared" si="343"/>
        <v>#VALUE!</v>
      </c>
      <c r="HK40" s="962" t="e">
        <f t="shared" si="343"/>
        <v>#VALUE!</v>
      </c>
      <c r="HL40" s="962" t="e">
        <f t="shared" si="343"/>
        <v>#VALUE!</v>
      </c>
      <c r="HM40" s="962" t="e">
        <f t="shared" si="343"/>
        <v>#VALUE!</v>
      </c>
      <c r="HN40" s="962" t="e">
        <f t="shared" si="343"/>
        <v>#VALUE!</v>
      </c>
      <c r="HO40" s="962" t="e">
        <f t="shared" si="343"/>
        <v>#VALUE!</v>
      </c>
      <c r="HP40" s="962" t="e">
        <f t="shared" si="343"/>
        <v>#VALUE!</v>
      </c>
      <c r="HQ40" s="962" t="e">
        <f t="shared" si="343"/>
        <v>#VALUE!</v>
      </c>
      <c r="HR40" s="962" t="e">
        <f t="shared" si="343"/>
        <v>#VALUE!</v>
      </c>
      <c r="HS40" s="962" t="e">
        <f t="shared" si="343"/>
        <v>#VALUE!</v>
      </c>
      <c r="HT40" s="962" t="e">
        <f t="shared" si="343"/>
        <v>#VALUE!</v>
      </c>
      <c r="HU40" s="962" t="e">
        <f t="shared" si="343"/>
        <v>#VALUE!</v>
      </c>
      <c r="HV40" s="962" t="e">
        <f t="shared" si="343"/>
        <v>#VALUE!</v>
      </c>
      <c r="HW40" s="962" t="e">
        <f t="shared" si="343"/>
        <v>#VALUE!</v>
      </c>
      <c r="HX40" s="962" t="e">
        <f t="shared" si="343"/>
        <v>#VALUE!</v>
      </c>
      <c r="HY40" s="962" t="e">
        <f t="shared" si="343"/>
        <v>#VALUE!</v>
      </c>
      <c r="HZ40" s="962" t="e">
        <f t="shared" si="343"/>
        <v>#VALUE!</v>
      </c>
      <c r="IA40" s="962" t="e">
        <f t="shared" si="343"/>
        <v>#VALUE!</v>
      </c>
      <c r="IB40" s="962" t="e">
        <f t="shared" si="343"/>
        <v>#VALUE!</v>
      </c>
      <c r="IC40" s="962" t="e">
        <f t="shared" si="343"/>
        <v>#VALUE!</v>
      </c>
      <c r="ID40" s="962" t="e">
        <f t="shared" si="343"/>
        <v>#VALUE!</v>
      </c>
      <c r="IE40" s="962" t="e">
        <f t="shared" si="343"/>
        <v>#VALUE!</v>
      </c>
      <c r="IF40" s="962" t="e">
        <f t="shared" si="343"/>
        <v>#VALUE!</v>
      </c>
      <c r="IG40" s="962" t="e">
        <f t="shared" si="343"/>
        <v>#VALUE!</v>
      </c>
      <c r="IH40" s="962" t="e">
        <f t="shared" si="343"/>
        <v>#VALUE!</v>
      </c>
      <c r="II40" s="962" t="e">
        <f t="shared" si="343"/>
        <v>#VALUE!</v>
      </c>
      <c r="IJ40" s="962" t="e">
        <f t="shared" si="343"/>
        <v>#VALUE!</v>
      </c>
      <c r="IK40" s="962" t="e">
        <f t="shared" ref="IK40:KV40" si="344">IF(IK39-IK38&gt;-180,IK39-IK38,IK39-IK38+360)</f>
        <v>#VALUE!</v>
      </c>
      <c r="IL40" s="962" t="e">
        <f t="shared" si="344"/>
        <v>#VALUE!</v>
      </c>
      <c r="IM40" s="962" t="e">
        <f t="shared" si="344"/>
        <v>#VALUE!</v>
      </c>
      <c r="IN40" s="962" t="e">
        <f t="shared" si="344"/>
        <v>#VALUE!</v>
      </c>
      <c r="IO40" s="962" t="e">
        <f t="shared" si="344"/>
        <v>#VALUE!</v>
      </c>
      <c r="IP40" s="962" t="e">
        <f t="shared" si="344"/>
        <v>#VALUE!</v>
      </c>
      <c r="IQ40" s="962" t="e">
        <f t="shared" si="344"/>
        <v>#VALUE!</v>
      </c>
      <c r="IR40" s="962" t="e">
        <f t="shared" si="344"/>
        <v>#VALUE!</v>
      </c>
      <c r="IS40" s="962" t="e">
        <f t="shared" si="344"/>
        <v>#VALUE!</v>
      </c>
      <c r="IT40" s="962" t="e">
        <f t="shared" si="344"/>
        <v>#VALUE!</v>
      </c>
      <c r="IU40" s="962" t="e">
        <f t="shared" si="344"/>
        <v>#VALUE!</v>
      </c>
      <c r="IV40" s="962" t="e">
        <f t="shared" si="344"/>
        <v>#VALUE!</v>
      </c>
      <c r="IW40" s="962" t="e">
        <f t="shared" si="344"/>
        <v>#VALUE!</v>
      </c>
      <c r="IX40" s="962" t="e">
        <f t="shared" si="344"/>
        <v>#VALUE!</v>
      </c>
      <c r="IY40" s="962" t="e">
        <f t="shared" si="344"/>
        <v>#VALUE!</v>
      </c>
      <c r="IZ40" s="962" t="e">
        <f t="shared" si="344"/>
        <v>#VALUE!</v>
      </c>
      <c r="JA40" s="962" t="e">
        <f t="shared" si="344"/>
        <v>#VALUE!</v>
      </c>
      <c r="JB40" s="962" t="e">
        <f t="shared" si="344"/>
        <v>#VALUE!</v>
      </c>
      <c r="JC40" s="962" t="e">
        <f t="shared" si="344"/>
        <v>#VALUE!</v>
      </c>
      <c r="JD40" s="962" t="e">
        <f t="shared" si="344"/>
        <v>#VALUE!</v>
      </c>
      <c r="JE40" s="962" t="e">
        <f t="shared" si="344"/>
        <v>#VALUE!</v>
      </c>
      <c r="JF40" s="962" t="e">
        <f t="shared" si="344"/>
        <v>#VALUE!</v>
      </c>
      <c r="JG40" s="962" t="e">
        <f t="shared" si="344"/>
        <v>#VALUE!</v>
      </c>
      <c r="JH40" s="962" t="e">
        <f t="shared" si="344"/>
        <v>#VALUE!</v>
      </c>
      <c r="JI40" s="962" t="e">
        <f t="shared" si="344"/>
        <v>#VALUE!</v>
      </c>
      <c r="JJ40" s="962" t="e">
        <f t="shared" si="344"/>
        <v>#VALUE!</v>
      </c>
      <c r="JK40" s="962" t="e">
        <f t="shared" si="344"/>
        <v>#VALUE!</v>
      </c>
      <c r="JL40" s="962" t="e">
        <f t="shared" si="344"/>
        <v>#VALUE!</v>
      </c>
      <c r="JM40" s="962" t="e">
        <f t="shared" si="344"/>
        <v>#VALUE!</v>
      </c>
      <c r="JN40" s="962" t="e">
        <f t="shared" si="344"/>
        <v>#VALUE!</v>
      </c>
      <c r="JO40" s="962" t="e">
        <f t="shared" si="344"/>
        <v>#VALUE!</v>
      </c>
      <c r="JP40" s="962" t="e">
        <f t="shared" si="344"/>
        <v>#VALUE!</v>
      </c>
      <c r="JQ40" s="962" t="e">
        <f t="shared" si="344"/>
        <v>#VALUE!</v>
      </c>
      <c r="JR40" s="962" t="e">
        <f t="shared" si="344"/>
        <v>#VALUE!</v>
      </c>
      <c r="JS40" s="962" t="e">
        <f t="shared" si="344"/>
        <v>#VALUE!</v>
      </c>
      <c r="JT40" s="962" t="e">
        <f t="shared" si="344"/>
        <v>#VALUE!</v>
      </c>
      <c r="JU40" s="962" t="e">
        <f t="shared" si="344"/>
        <v>#VALUE!</v>
      </c>
      <c r="JV40" s="962" t="e">
        <f t="shared" si="344"/>
        <v>#VALUE!</v>
      </c>
      <c r="JW40" s="962" t="e">
        <f t="shared" si="344"/>
        <v>#VALUE!</v>
      </c>
      <c r="JX40" s="962" t="e">
        <f t="shared" si="344"/>
        <v>#VALUE!</v>
      </c>
      <c r="JY40" s="962" t="e">
        <f t="shared" si="344"/>
        <v>#VALUE!</v>
      </c>
      <c r="JZ40" s="962" t="e">
        <f t="shared" si="344"/>
        <v>#VALUE!</v>
      </c>
      <c r="KA40" s="962" t="e">
        <f t="shared" si="344"/>
        <v>#VALUE!</v>
      </c>
      <c r="KB40" s="962" t="e">
        <f t="shared" si="344"/>
        <v>#VALUE!</v>
      </c>
      <c r="KC40" s="962" t="e">
        <f t="shared" si="344"/>
        <v>#VALUE!</v>
      </c>
      <c r="KD40" s="962" t="e">
        <f t="shared" si="344"/>
        <v>#VALUE!</v>
      </c>
      <c r="KE40" s="962" t="e">
        <f t="shared" si="344"/>
        <v>#VALUE!</v>
      </c>
      <c r="KF40" s="962" t="e">
        <f t="shared" si="344"/>
        <v>#VALUE!</v>
      </c>
      <c r="KG40" s="962" t="e">
        <f t="shared" si="344"/>
        <v>#VALUE!</v>
      </c>
      <c r="KH40" s="962" t="e">
        <f t="shared" si="344"/>
        <v>#VALUE!</v>
      </c>
      <c r="KI40" s="962" t="e">
        <f t="shared" si="344"/>
        <v>#VALUE!</v>
      </c>
      <c r="KJ40" s="962" t="e">
        <f t="shared" si="344"/>
        <v>#VALUE!</v>
      </c>
      <c r="KK40" s="962" t="e">
        <f t="shared" si="344"/>
        <v>#VALUE!</v>
      </c>
      <c r="KL40" s="962" t="e">
        <f t="shared" si="344"/>
        <v>#VALUE!</v>
      </c>
      <c r="KM40" s="962" t="e">
        <f t="shared" si="344"/>
        <v>#VALUE!</v>
      </c>
      <c r="KN40" s="962" t="e">
        <f t="shared" si="344"/>
        <v>#VALUE!</v>
      </c>
      <c r="KO40" s="962" t="e">
        <f t="shared" si="344"/>
        <v>#VALUE!</v>
      </c>
      <c r="KP40" s="962" t="e">
        <f t="shared" si="344"/>
        <v>#VALUE!</v>
      </c>
      <c r="KQ40" s="962" t="e">
        <f t="shared" si="344"/>
        <v>#VALUE!</v>
      </c>
      <c r="KR40" s="962" t="e">
        <f t="shared" si="344"/>
        <v>#VALUE!</v>
      </c>
      <c r="KS40" s="962" t="e">
        <f t="shared" si="344"/>
        <v>#VALUE!</v>
      </c>
      <c r="KT40" s="962" t="e">
        <f t="shared" si="344"/>
        <v>#VALUE!</v>
      </c>
      <c r="KU40" s="962" t="e">
        <f t="shared" si="344"/>
        <v>#VALUE!</v>
      </c>
      <c r="KV40" s="962" t="e">
        <f t="shared" si="344"/>
        <v>#VALUE!</v>
      </c>
      <c r="KW40" s="962" t="e">
        <f t="shared" ref="KW40:NH40" si="345">IF(KW39-KW38&gt;-180,KW39-KW38,KW39-KW38+360)</f>
        <v>#VALUE!</v>
      </c>
      <c r="KX40" s="962" t="e">
        <f t="shared" si="345"/>
        <v>#VALUE!</v>
      </c>
      <c r="KY40" s="962" t="e">
        <f t="shared" si="345"/>
        <v>#VALUE!</v>
      </c>
      <c r="KZ40" s="962" t="e">
        <f t="shared" si="345"/>
        <v>#VALUE!</v>
      </c>
      <c r="LA40" s="962" t="e">
        <f t="shared" si="345"/>
        <v>#VALUE!</v>
      </c>
      <c r="LB40" s="962" t="e">
        <f t="shared" si="345"/>
        <v>#VALUE!</v>
      </c>
      <c r="LC40" s="962" t="e">
        <f t="shared" si="345"/>
        <v>#VALUE!</v>
      </c>
      <c r="LD40" s="962" t="e">
        <f t="shared" si="345"/>
        <v>#VALUE!</v>
      </c>
      <c r="LE40" s="962" t="e">
        <f t="shared" si="345"/>
        <v>#VALUE!</v>
      </c>
      <c r="LF40" s="962" t="e">
        <f t="shared" si="345"/>
        <v>#VALUE!</v>
      </c>
      <c r="LG40" s="962" t="e">
        <f t="shared" si="345"/>
        <v>#VALUE!</v>
      </c>
      <c r="LH40" s="962" t="e">
        <f t="shared" si="345"/>
        <v>#VALUE!</v>
      </c>
      <c r="LI40" s="962" t="e">
        <f t="shared" si="345"/>
        <v>#VALUE!</v>
      </c>
      <c r="LJ40" s="962" t="e">
        <f t="shared" si="345"/>
        <v>#VALUE!</v>
      </c>
      <c r="LK40" s="962" t="e">
        <f t="shared" si="345"/>
        <v>#VALUE!</v>
      </c>
      <c r="LL40" s="962" t="e">
        <f t="shared" si="345"/>
        <v>#VALUE!</v>
      </c>
      <c r="LM40" s="962" t="e">
        <f t="shared" si="345"/>
        <v>#VALUE!</v>
      </c>
      <c r="LN40" s="962" t="e">
        <f t="shared" si="345"/>
        <v>#VALUE!</v>
      </c>
      <c r="LO40" s="962" t="e">
        <f t="shared" si="345"/>
        <v>#VALUE!</v>
      </c>
      <c r="LP40" s="962" t="e">
        <f t="shared" si="345"/>
        <v>#VALUE!</v>
      </c>
      <c r="LQ40" s="962" t="e">
        <f t="shared" si="345"/>
        <v>#VALUE!</v>
      </c>
      <c r="LR40" s="962" t="e">
        <f t="shared" si="345"/>
        <v>#VALUE!</v>
      </c>
      <c r="LS40" s="962" t="e">
        <f t="shared" si="345"/>
        <v>#VALUE!</v>
      </c>
      <c r="LT40" s="962" t="e">
        <f t="shared" si="345"/>
        <v>#VALUE!</v>
      </c>
      <c r="LU40" s="962" t="e">
        <f t="shared" si="345"/>
        <v>#VALUE!</v>
      </c>
      <c r="LV40" s="962" t="e">
        <f t="shared" si="345"/>
        <v>#VALUE!</v>
      </c>
      <c r="LW40" s="962" t="e">
        <f t="shared" si="345"/>
        <v>#VALUE!</v>
      </c>
      <c r="LX40" s="962" t="e">
        <f t="shared" si="345"/>
        <v>#VALUE!</v>
      </c>
      <c r="LY40" s="962" t="e">
        <f t="shared" si="345"/>
        <v>#VALUE!</v>
      </c>
      <c r="LZ40" s="962" t="e">
        <f t="shared" si="345"/>
        <v>#VALUE!</v>
      </c>
      <c r="MA40" s="962" t="e">
        <f t="shared" si="345"/>
        <v>#VALUE!</v>
      </c>
      <c r="MB40" s="962" t="e">
        <f t="shared" si="345"/>
        <v>#VALUE!</v>
      </c>
      <c r="MC40" s="962" t="e">
        <f t="shared" si="345"/>
        <v>#VALUE!</v>
      </c>
      <c r="MD40" s="962" t="e">
        <f t="shared" si="345"/>
        <v>#VALUE!</v>
      </c>
      <c r="ME40" s="962" t="e">
        <f t="shared" si="345"/>
        <v>#VALUE!</v>
      </c>
      <c r="MF40" s="962" t="e">
        <f t="shared" si="345"/>
        <v>#VALUE!</v>
      </c>
      <c r="MG40" s="962" t="e">
        <f t="shared" si="345"/>
        <v>#VALUE!</v>
      </c>
      <c r="MH40" s="962" t="e">
        <f t="shared" si="345"/>
        <v>#VALUE!</v>
      </c>
      <c r="MI40" s="962" t="e">
        <f t="shared" si="345"/>
        <v>#VALUE!</v>
      </c>
      <c r="MJ40" s="962" t="e">
        <f t="shared" si="345"/>
        <v>#VALUE!</v>
      </c>
      <c r="MK40" s="962" t="e">
        <f t="shared" si="345"/>
        <v>#VALUE!</v>
      </c>
      <c r="ML40" s="962" t="e">
        <f t="shared" si="345"/>
        <v>#VALUE!</v>
      </c>
      <c r="MM40" s="962" t="e">
        <f t="shared" si="345"/>
        <v>#VALUE!</v>
      </c>
      <c r="MN40" s="962" t="e">
        <f t="shared" si="345"/>
        <v>#VALUE!</v>
      </c>
      <c r="MO40" s="962" t="e">
        <f t="shared" si="345"/>
        <v>#VALUE!</v>
      </c>
      <c r="MP40" s="962" t="e">
        <f t="shared" si="345"/>
        <v>#VALUE!</v>
      </c>
      <c r="MQ40" s="962" t="e">
        <f t="shared" si="345"/>
        <v>#VALUE!</v>
      </c>
      <c r="MR40" s="962" t="e">
        <f t="shared" si="345"/>
        <v>#VALUE!</v>
      </c>
      <c r="MS40" s="962" t="e">
        <f t="shared" si="345"/>
        <v>#VALUE!</v>
      </c>
      <c r="MT40" s="962" t="e">
        <f t="shared" si="345"/>
        <v>#VALUE!</v>
      </c>
      <c r="MU40" s="962" t="e">
        <f t="shared" si="345"/>
        <v>#VALUE!</v>
      </c>
      <c r="MV40" s="962" t="e">
        <f t="shared" si="345"/>
        <v>#VALUE!</v>
      </c>
      <c r="MW40" s="962" t="e">
        <f t="shared" si="345"/>
        <v>#VALUE!</v>
      </c>
      <c r="MX40" s="962" t="e">
        <f t="shared" si="345"/>
        <v>#VALUE!</v>
      </c>
      <c r="MY40" s="962" t="e">
        <f t="shared" si="345"/>
        <v>#VALUE!</v>
      </c>
      <c r="MZ40" s="962" t="e">
        <f t="shared" si="345"/>
        <v>#VALUE!</v>
      </c>
      <c r="NA40" s="962" t="e">
        <f t="shared" si="345"/>
        <v>#VALUE!</v>
      </c>
      <c r="NB40" s="962" t="e">
        <f t="shared" si="345"/>
        <v>#VALUE!</v>
      </c>
      <c r="NC40" s="962" t="e">
        <f t="shared" si="345"/>
        <v>#VALUE!</v>
      </c>
      <c r="ND40" s="962" t="e">
        <f t="shared" si="345"/>
        <v>#VALUE!</v>
      </c>
      <c r="NE40" s="962" t="e">
        <f t="shared" si="345"/>
        <v>#VALUE!</v>
      </c>
      <c r="NF40" s="962" t="e">
        <f t="shared" si="345"/>
        <v>#VALUE!</v>
      </c>
      <c r="NG40" s="962" t="e">
        <f t="shared" si="345"/>
        <v>#VALUE!</v>
      </c>
      <c r="NH40" s="962" t="e">
        <f t="shared" si="345"/>
        <v>#VALUE!</v>
      </c>
      <c r="NI40" s="962" t="e">
        <f t="shared" ref="NI40:PT40" si="346">IF(NI39-NI38&gt;-180,NI39-NI38,NI39-NI38+360)</f>
        <v>#VALUE!</v>
      </c>
      <c r="NJ40" s="962" t="e">
        <f t="shared" si="346"/>
        <v>#VALUE!</v>
      </c>
      <c r="NK40" s="962" t="e">
        <f t="shared" si="346"/>
        <v>#VALUE!</v>
      </c>
      <c r="NL40" s="962" t="e">
        <f t="shared" si="346"/>
        <v>#VALUE!</v>
      </c>
      <c r="NM40" s="962" t="e">
        <f t="shared" si="346"/>
        <v>#VALUE!</v>
      </c>
      <c r="NN40" s="962" t="e">
        <f t="shared" si="346"/>
        <v>#VALUE!</v>
      </c>
      <c r="NO40" s="962" t="e">
        <f t="shared" si="346"/>
        <v>#VALUE!</v>
      </c>
      <c r="NP40" s="962" t="e">
        <f t="shared" si="346"/>
        <v>#VALUE!</v>
      </c>
      <c r="NQ40" s="962" t="e">
        <f t="shared" si="346"/>
        <v>#VALUE!</v>
      </c>
      <c r="NR40" s="962" t="e">
        <f t="shared" si="346"/>
        <v>#VALUE!</v>
      </c>
      <c r="NS40" s="962" t="e">
        <f t="shared" si="346"/>
        <v>#VALUE!</v>
      </c>
      <c r="NT40" s="962" t="e">
        <f t="shared" si="346"/>
        <v>#VALUE!</v>
      </c>
      <c r="NU40" s="962" t="e">
        <f t="shared" si="346"/>
        <v>#VALUE!</v>
      </c>
      <c r="NV40" s="962" t="e">
        <f t="shared" si="346"/>
        <v>#VALUE!</v>
      </c>
      <c r="NW40" s="962" t="e">
        <f t="shared" si="346"/>
        <v>#VALUE!</v>
      </c>
      <c r="NX40" s="962" t="e">
        <f t="shared" si="346"/>
        <v>#VALUE!</v>
      </c>
      <c r="NY40" s="962" t="e">
        <f t="shared" si="346"/>
        <v>#VALUE!</v>
      </c>
      <c r="NZ40" s="962" t="e">
        <f t="shared" si="346"/>
        <v>#VALUE!</v>
      </c>
      <c r="OA40" s="962" t="e">
        <f t="shared" si="346"/>
        <v>#VALUE!</v>
      </c>
      <c r="OB40" s="962" t="e">
        <f t="shared" si="346"/>
        <v>#VALUE!</v>
      </c>
      <c r="OC40" s="962" t="e">
        <f t="shared" si="346"/>
        <v>#VALUE!</v>
      </c>
      <c r="OD40" s="962" t="e">
        <f t="shared" si="346"/>
        <v>#VALUE!</v>
      </c>
      <c r="OE40" s="962" t="e">
        <f t="shared" si="346"/>
        <v>#VALUE!</v>
      </c>
      <c r="OF40" s="962" t="e">
        <f t="shared" si="346"/>
        <v>#VALUE!</v>
      </c>
      <c r="OG40" s="962" t="e">
        <f t="shared" si="346"/>
        <v>#VALUE!</v>
      </c>
      <c r="OH40" s="962" t="e">
        <f t="shared" si="346"/>
        <v>#VALUE!</v>
      </c>
      <c r="OI40" s="962" t="e">
        <f t="shared" si="346"/>
        <v>#VALUE!</v>
      </c>
      <c r="OJ40" s="962" t="e">
        <f t="shared" si="346"/>
        <v>#VALUE!</v>
      </c>
      <c r="OK40" s="962" t="e">
        <f t="shared" si="346"/>
        <v>#VALUE!</v>
      </c>
      <c r="OL40" s="962" t="e">
        <f t="shared" si="346"/>
        <v>#VALUE!</v>
      </c>
      <c r="OM40" s="962" t="e">
        <f t="shared" si="346"/>
        <v>#VALUE!</v>
      </c>
      <c r="ON40" s="962" t="e">
        <f t="shared" si="346"/>
        <v>#VALUE!</v>
      </c>
      <c r="OO40" s="962" t="e">
        <f t="shared" si="346"/>
        <v>#VALUE!</v>
      </c>
      <c r="OP40" s="962" t="e">
        <f t="shared" si="346"/>
        <v>#VALUE!</v>
      </c>
      <c r="OQ40" s="962" t="e">
        <f t="shared" si="346"/>
        <v>#VALUE!</v>
      </c>
      <c r="OR40" s="962" t="e">
        <f t="shared" si="346"/>
        <v>#VALUE!</v>
      </c>
      <c r="OS40" s="962" t="e">
        <f t="shared" si="346"/>
        <v>#VALUE!</v>
      </c>
      <c r="OT40" s="962" t="e">
        <f t="shared" si="346"/>
        <v>#VALUE!</v>
      </c>
      <c r="OU40" s="962" t="e">
        <f t="shared" si="346"/>
        <v>#VALUE!</v>
      </c>
      <c r="OV40" s="962" t="e">
        <f t="shared" si="346"/>
        <v>#VALUE!</v>
      </c>
      <c r="OW40" s="962" t="e">
        <f t="shared" si="346"/>
        <v>#VALUE!</v>
      </c>
      <c r="OX40" s="962" t="e">
        <f t="shared" si="346"/>
        <v>#VALUE!</v>
      </c>
      <c r="OY40" s="962" t="e">
        <f t="shared" si="346"/>
        <v>#VALUE!</v>
      </c>
      <c r="OZ40" s="962" t="e">
        <f t="shared" si="346"/>
        <v>#VALUE!</v>
      </c>
      <c r="PA40" s="962" t="e">
        <f t="shared" si="346"/>
        <v>#VALUE!</v>
      </c>
      <c r="PB40" s="962" t="e">
        <f t="shared" si="346"/>
        <v>#VALUE!</v>
      </c>
      <c r="PC40" s="962" t="e">
        <f t="shared" si="346"/>
        <v>#VALUE!</v>
      </c>
      <c r="PD40" s="962" t="e">
        <f t="shared" si="346"/>
        <v>#VALUE!</v>
      </c>
      <c r="PE40" s="962" t="e">
        <f t="shared" si="346"/>
        <v>#VALUE!</v>
      </c>
      <c r="PF40" s="962" t="e">
        <f t="shared" si="346"/>
        <v>#VALUE!</v>
      </c>
      <c r="PG40" s="962" t="e">
        <f t="shared" si="346"/>
        <v>#VALUE!</v>
      </c>
      <c r="PH40" s="962" t="e">
        <f t="shared" si="346"/>
        <v>#VALUE!</v>
      </c>
      <c r="PI40" s="962" t="e">
        <f t="shared" si="346"/>
        <v>#VALUE!</v>
      </c>
      <c r="PJ40" s="962" t="e">
        <f t="shared" si="346"/>
        <v>#VALUE!</v>
      </c>
      <c r="PK40" s="962" t="e">
        <f t="shared" si="346"/>
        <v>#VALUE!</v>
      </c>
      <c r="PL40" s="962" t="e">
        <f t="shared" si="346"/>
        <v>#VALUE!</v>
      </c>
      <c r="PM40" s="962" t="e">
        <f t="shared" si="346"/>
        <v>#VALUE!</v>
      </c>
      <c r="PN40" s="962" t="e">
        <f t="shared" si="346"/>
        <v>#VALUE!</v>
      </c>
      <c r="PO40" s="962" t="e">
        <f t="shared" si="346"/>
        <v>#VALUE!</v>
      </c>
      <c r="PP40" s="962" t="e">
        <f t="shared" si="346"/>
        <v>#VALUE!</v>
      </c>
      <c r="PQ40" s="962" t="e">
        <f t="shared" si="346"/>
        <v>#VALUE!</v>
      </c>
      <c r="PR40" s="962" t="e">
        <f t="shared" si="346"/>
        <v>#VALUE!</v>
      </c>
      <c r="PS40" s="962" t="e">
        <f t="shared" si="346"/>
        <v>#VALUE!</v>
      </c>
      <c r="PT40" s="962" t="e">
        <f t="shared" si="346"/>
        <v>#VALUE!</v>
      </c>
      <c r="PU40" s="962" t="e">
        <f t="shared" ref="PU40:RA40" si="347">IF(PU39-PU38&gt;-180,PU39-PU38,PU39-PU38+360)</f>
        <v>#VALUE!</v>
      </c>
      <c r="PV40" s="962" t="e">
        <f t="shared" si="347"/>
        <v>#VALUE!</v>
      </c>
      <c r="PW40" s="962" t="e">
        <f t="shared" si="347"/>
        <v>#VALUE!</v>
      </c>
      <c r="PX40" s="962" t="e">
        <f t="shared" si="347"/>
        <v>#VALUE!</v>
      </c>
      <c r="PY40" s="962" t="e">
        <f t="shared" si="347"/>
        <v>#VALUE!</v>
      </c>
      <c r="PZ40" s="962" t="e">
        <f t="shared" si="347"/>
        <v>#VALUE!</v>
      </c>
      <c r="QA40" s="962" t="e">
        <f t="shared" si="347"/>
        <v>#VALUE!</v>
      </c>
      <c r="QB40" s="962" t="e">
        <f t="shared" si="347"/>
        <v>#VALUE!</v>
      </c>
      <c r="QC40" s="962" t="e">
        <f t="shared" si="347"/>
        <v>#VALUE!</v>
      </c>
      <c r="QD40" s="962" t="e">
        <f t="shared" si="347"/>
        <v>#VALUE!</v>
      </c>
      <c r="QE40" s="962" t="e">
        <f t="shared" si="347"/>
        <v>#VALUE!</v>
      </c>
      <c r="QF40" s="962" t="e">
        <f t="shared" si="347"/>
        <v>#VALUE!</v>
      </c>
      <c r="QG40" s="962" t="e">
        <f t="shared" si="347"/>
        <v>#VALUE!</v>
      </c>
      <c r="QH40" s="962" t="e">
        <f t="shared" si="347"/>
        <v>#VALUE!</v>
      </c>
      <c r="QI40" s="962" t="e">
        <f t="shared" si="347"/>
        <v>#VALUE!</v>
      </c>
      <c r="QJ40" s="962" t="e">
        <f t="shared" si="347"/>
        <v>#VALUE!</v>
      </c>
      <c r="QK40" s="962" t="e">
        <f t="shared" si="347"/>
        <v>#VALUE!</v>
      </c>
      <c r="QL40" s="962" t="e">
        <f t="shared" si="347"/>
        <v>#VALUE!</v>
      </c>
      <c r="QM40" s="962" t="e">
        <f t="shared" si="347"/>
        <v>#VALUE!</v>
      </c>
      <c r="QN40" s="962" t="e">
        <f t="shared" si="347"/>
        <v>#VALUE!</v>
      </c>
      <c r="QO40" s="962" t="e">
        <f t="shared" si="347"/>
        <v>#VALUE!</v>
      </c>
      <c r="QP40" s="962" t="e">
        <f t="shared" si="347"/>
        <v>#VALUE!</v>
      </c>
      <c r="QQ40" s="962" t="e">
        <f t="shared" si="347"/>
        <v>#VALUE!</v>
      </c>
      <c r="QR40" s="962" t="e">
        <f t="shared" si="347"/>
        <v>#VALUE!</v>
      </c>
      <c r="QS40" s="962" t="e">
        <f t="shared" si="347"/>
        <v>#VALUE!</v>
      </c>
      <c r="QT40" s="962" t="e">
        <f t="shared" si="347"/>
        <v>#VALUE!</v>
      </c>
      <c r="QU40" s="962" t="e">
        <f t="shared" si="347"/>
        <v>#VALUE!</v>
      </c>
      <c r="QV40" s="962" t="e">
        <f t="shared" si="347"/>
        <v>#VALUE!</v>
      </c>
      <c r="QW40" s="962" t="e">
        <f t="shared" si="347"/>
        <v>#VALUE!</v>
      </c>
      <c r="QX40" s="962" t="e">
        <f t="shared" si="347"/>
        <v>#VALUE!</v>
      </c>
      <c r="QY40" s="962" t="e">
        <f t="shared" si="347"/>
        <v>#VALUE!</v>
      </c>
      <c r="QZ40" s="962" t="e">
        <f t="shared" si="347"/>
        <v>#VALUE!</v>
      </c>
      <c r="RA40" s="963" t="e">
        <f t="shared" si="347"/>
        <v>#VALUE!</v>
      </c>
    </row>
    <row r="41" spans="1:471" ht="17.25">
      <c r="J41" s="21">
        <f>IF(E43=16,(((C43-1)*M41)+IF(B43=1,0,IF(B43=2,O43,IF(B43=3,P43,IF(B43=4,Q43,IF(B43=5,R43,IF(B43=6,S43,IF(B43=7,T43,IF(B43=8,U43,IF(B43=9,V43,IF(B43=10,W43,IF(B43=11,X43,Y43)))))))))))+A43),0)</f>
        <v>510664.98042592214</v>
      </c>
      <c r="K41" s="1">
        <v>14</v>
      </c>
      <c r="L41" s="1" t="s">
        <v>164</v>
      </c>
      <c r="M41" s="1">
        <v>354.36709259258998</v>
      </c>
      <c r="N41" s="1"/>
      <c r="O41" s="1" t="s">
        <v>93</v>
      </c>
      <c r="P41" s="1" t="s">
        <v>69</v>
      </c>
      <c r="Q41" s="1" t="s">
        <v>92</v>
      </c>
      <c r="R41" s="1" t="s">
        <v>71</v>
      </c>
      <c r="S41" s="1" t="s">
        <v>72</v>
      </c>
      <c r="T41" s="1" t="s">
        <v>73</v>
      </c>
      <c r="U41" s="1" t="s">
        <v>74</v>
      </c>
      <c r="V41" s="1" t="s">
        <v>94</v>
      </c>
      <c r="W41" s="1" t="s">
        <v>95</v>
      </c>
      <c r="X41" s="1" t="s">
        <v>65</v>
      </c>
      <c r="Y41" s="1" t="s">
        <v>66</v>
      </c>
      <c r="Z41" s="1" t="s">
        <v>67</v>
      </c>
      <c r="AA41" s="1"/>
      <c r="AK41" s="759"/>
      <c r="AL41" s="701">
        <f t="shared" si="341"/>
        <v>1</v>
      </c>
      <c r="AM41" s="304">
        <f t="shared" si="341"/>
        <v>2</v>
      </c>
      <c r="AN41" s="304">
        <f t="shared" si="341"/>
        <v>3</v>
      </c>
      <c r="AO41" s="304">
        <f t="shared" si="341"/>
        <v>4</v>
      </c>
      <c r="AP41" s="304">
        <f t="shared" si="341"/>
        <v>5</v>
      </c>
      <c r="AQ41" s="304">
        <f t="shared" si="341"/>
        <v>6</v>
      </c>
      <c r="AR41" s="304">
        <f t="shared" si="341"/>
        <v>7</v>
      </c>
      <c r="AS41" s="304">
        <f t="shared" si="341"/>
        <v>8</v>
      </c>
      <c r="AT41" s="304">
        <f t="shared" si="341"/>
        <v>9</v>
      </c>
      <c r="AU41" s="304">
        <f t="shared" si="341"/>
        <v>10</v>
      </c>
      <c r="AV41" s="304">
        <f t="shared" si="341"/>
        <v>11</v>
      </c>
      <c r="AW41" s="314">
        <f t="shared" si="341"/>
        <v>12</v>
      </c>
      <c r="AX41" s="314"/>
      <c r="DH41" s="797"/>
      <c r="DI41" s="797" t="s">
        <v>3802</v>
      </c>
      <c r="DJ41" s="959" t="e">
        <f>[1]!bodmoadal(1,1,(DJ34+1),[1]!qsn([1]!ml([1]!taqsha(1,1,1+DJ34,DJ35)),DJ36)/30,DJ35,DJ36)</f>
        <v>#VALUE!</v>
      </c>
      <c r="DK41" s="962" t="e">
        <f>[1]!bodmoadal(1,1,(DK34+1),[1]!qsn([1]!ml([1]!taqsha(1,1,1+DK34,DK35)),DK36)/30,DK35,DK36)</f>
        <v>#VALUE!</v>
      </c>
      <c r="DL41" s="962" t="e">
        <f>[1]!bodmoadal(1,1,(DL34+1),[1]!qsn([1]!ml([1]!taqsha(1,1,1+DL34,DL35)),DL36)/30,DL35,DL36)</f>
        <v>#VALUE!</v>
      </c>
      <c r="DM41" s="962" t="e">
        <f>[1]!bodmoadal(1,1,(DM34+1),[1]!qsn([1]!ml([1]!taqsha(1,1,1+DM34,DM35)),DM36)/30,DM35,DM36)</f>
        <v>#VALUE!</v>
      </c>
      <c r="DN41" s="962" t="e">
        <f>[1]!bodmoadal(1,1,(DN34+1),[1]!qsn([1]!ml([1]!taqsha(1,1,1+DN34,DN35)),DN36)/30,DN35,DN36)</f>
        <v>#VALUE!</v>
      </c>
      <c r="DO41" s="962" t="e">
        <f>[1]!bodmoadal(1,1,(DO34+1),[1]!qsn([1]!ml([1]!taqsha(1,1,1+DO34,DO35)),DO36)/30,DO35,DO36)</f>
        <v>#VALUE!</v>
      </c>
      <c r="DP41" s="962" t="e">
        <f>[1]!bodmoadal(1,1,(DP34+1),[1]!qsn([1]!ml([1]!taqsha(1,1,1+DP34,DP35)),DP36)/30,DP35,DP36)</f>
        <v>#VALUE!</v>
      </c>
      <c r="DQ41" s="962" t="e">
        <f>[1]!bodmoadal(1,1,(DQ34+1),[1]!qsn([1]!ml([1]!taqsha(1,1,1+DQ34,DQ35)),DQ36)/30,DQ35,DQ36)</f>
        <v>#VALUE!</v>
      </c>
      <c r="DR41" s="962" t="e">
        <f>[1]!bodmoadal(1,1,(DR34+1),[1]!qsn([1]!ml([1]!taqsha(1,1,1+DR34,DR35)),DR36)/30,DR35,DR36)</f>
        <v>#VALUE!</v>
      </c>
      <c r="DS41" s="962" t="e">
        <f>[1]!bodmoadal(1,1,(DS34+1),[1]!qsn([1]!ml([1]!taqsha(1,1,1+DS34,DS35)),DS36)/30,DS35,DS36)</f>
        <v>#VALUE!</v>
      </c>
      <c r="DT41" s="962" t="e">
        <f>[1]!bodmoadal(1,1,(DT34+1),[1]!qsn([1]!ml([1]!taqsha(1,1,1+DT34,DT35)),DT36)/30,DT35,DT36)</f>
        <v>#VALUE!</v>
      </c>
      <c r="DU41" s="962" t="e">
        <f>[1]!bodmoadal(1,1,(DU34+1),[1]!qsn([1]!ml([1]!taqsha(1,1,1+DU34,DU35)),DU36)/30,DU35,DU36)</f>
        <v>#VALUE!</v>
      </c>
      <c r="DV41" s="962" t="e">
        <f>[1]!bodmoadal(1,1,(DV34+1),[1]!qsn([1]!ml([1]!taqsha(1,1,1+DV34,DV35)),DV36)/30,DV35,DV36)</f>
        <v>#VALUE!</v>
      </c>
      <c r="DW41" s="962" t="e">
        <f>[1]!bodmoadal(1,1,(DW34+1),[1]!qsn([1]!ml([1]!taqsha(1,1,1+DW34,DW35)),DW36)/30,DW35,DW36)</f>
        <v>#VALUE!</v>
      </c>
      <c r="DX41" s="962" t="e">
        <f>[1]!bodmoadal(1,1,(DX34+1),[1]!qsn([1]!ml([1]!taqsha(1,1,1+DX34,DX35)),DX36)/30,DX35,DX36)</f>
        <v>#VALUE!</v>
      </c>
      <c r="DY41" s="962" t="e">
        <f>[1]!bodmoadal(1,1,(DY34+1),[1]!qsn([1]!ml([1]!taqsha(1,1,1+DY34,DY35)),DY36)/30,DY35,DY36)</f>
        <v>#VALUE!</v>
      </c>
      <c r="DZ41" s="962" t="e">
        <f>[1]!bodmoadal(1,1,(DZ34+1),[1]!qsn([1]!ml([1]!taqsha(1,1,1+DZ34,DZ35)),DZ36)/30,DZ35,DZ36)</f>
        <v>#VALUE!</v>
      </c>
      <c r="EA41" s="962" t="e">
        <f>[1]!bodmoadal(1,1,(EA34+1),[1]!qsn([1]!ml([1]!taqsha(1,1,1+EA34,EA35)),EA36)/30,EA35,EA36)</f>
        <v>#VALUE!</v>
      </c>
      <c r="EB41" s="962" t="e">
        <f>[1]!bodmoadal(1,1,(EB34+1),[1]!qsn([1]!ml([1]!taqsha(1,1,1+EB34,EB35)),EB36)/30,EB35,EB36)</f>
        <v>#VALUE!</v>
      </c>
      <c r="EC41" s="962" t="e">
        <f>[1]!bodmoadal(1,1,(EC34+1),[1]!qsn([1]!ml([1]!taqsha(1,1,1+EC34,EC35)),EC36)/30,EC35,EC36)</f>
        <v>#VALUE!</v>
      </c>
      <c r="ED41" s="962" t="e">
        <f>[1]!bodmoadal(1,1,(ED34+1),[1]!qsn([1]!ml([1]!taqsha(1,1,1+ED34,ED35)),ED36)/30,ED35,ED36)</f>
        <v>#VALUE!</v>
      </c>
      <c r="EE41" s="962" t="e">
        <f>[1]!bodmoadal(1,1,(EE34+1),[1]!qsn([1]!ml([1]!taqsha(1,1,1+EE34,EE35)),EE36)/30,EE35,EE36)</f>
        <v>#VALUE!</v>
      </c>
      <c r="EF41" s="962" t="e">
        <f>[1]!bodmoadal(1,1,(EF34+1),[1]!qsn([1]!ml([1]!taqsha(1,1,1+EF34,EF35)),EF36)/30,EF35,EF36)</f>
        <v>#VALUE!</v>
      </c>
      <c r="EG41" s="962" t="e">
        <f>[1]!bodmoadal(1,1,(EG34+1),[1]!qsn([1]!ml([1]!taqsha(1,1,1+EG34,EG35)),EG36)/30,EG35,EG36)</f>
        <v>#VALUE!</v>
      </c>
      <c r="EH41" s="962" t="e">
        <f>[1]!bodmoadal(1,1,(EH34+1),[1]!qsn([1]!ml([1]!taqsha(1,1,1+EH34,EH35)),EH36)/30,EH35,EH36)</f>
        <v>#VALUE!</v>
      </c>
      <c r="EI41" s="962" t="e">
        <f>[1]!bodmoadal(1,1,(EI34+1),[1]!qsn([1]!ml([1]!taqsha(1,1,1+EI34,EI35)),EI36)/30,EI35,EI36)</f>
        <v>#VALUE!</v>
      </c>
      <c r="EJ41" s="962" t="e">
        <f>[1]!bodmoadal(1,1,(EJ34+1),[1]!qsn([1]!ml([1]!taqsha(1,1,1+EJ34,EJ35)),EJ36)/30,EJ35,EJ36)</f>
        <v>#VALUE!</v>
      </c>
      <c r="EK41" s="962" t="e">
        <f>[1]!bodmoadal(1,1,(EK34+1),[1]!qsn([1]!ml([1]!taqsha(1,1,1+EK34,EK35)),EK36)/30,EK35,EK36)</f>
        <v>#VALUE!</v>
      </c>
      <c r="EL41" s="962" t="e">
        <f>[1]!bodmoadal(1,1,(EL34+1),[1]!qsn([1]!ml([1]!taqsha(1,1,1+EL34,EL35)),EL36)/30,EL35,EL36)</f>
        <v>#VALUE!</v>
      </c>
      <c r="EM41" s="962" t="e">
        <f>[1]!bodmoadal(1,1,(EM34+1),[1]!qsn([1]!ml([1]!taqsha(1,1,1+EM34,EM35)),EM36)/30,EM35,EM36)</f>
        <v>#VALUE!</v>
      </c>
      <c r="EN41" s="962" t="e">
        <f>[1]!bodmoadal(1,1,(EN34+1),[1]!qsn([1]!ml([1]!taqsha(1,1,1+EN34,EN35)),EN36)/30,EN35,EN36)</f>
        <v>#VALUE!</v>
      </c>
      <c r="EO41" s="962" t="e">
        <f>[1]!bodmoadal(1,1,(EO34+1),[1]!qsn([1]!ml([1]!taqsha(1,1,1+EO34,EO35)),EO36)/30,EO35,EO36)</f>
        <v>#VALUE!</v>
      </c>
      <c r="EP41" s="962" t="e">
        <f>[1]!bodmoadal(1,1,(EP34+1),[1]!qsn([1]!ml([1]!taqsha(1,1,1+EP34,EP35)),EP36)/30,EP35,EP36)</f>
        <v>#VALUE!</v>
      </c>
      <c r="EQ41" s="962" t="e">
        <f>[1]!bodmoadal(1,1,(EQ34+1),[1]!qsn([1]!ml([1]!taqsha(1,1,1+EQ34,EQ35)),EQ36)/30,EQ35,EQ36)</f>
        <v>#VALUE!</v>
      </c>
      <c r="ER41" s="962" t="e">
        <f>[1]!bodmoadal(1,1,(ER34+1),[1]!qsn([1]!ml([1]!taqsha(1,1,1+ER34,ER35)),ER36)/30,ER35,ER36)</f>
        <v>#VALUE!</v>
      </c>
      <c r="ES41" s="962" t="e">
        <f>[1]!bodmoadal(1,1,(ES34+1),[1]!qsn([1]!ml([1]!taqsha(1,1,1+ES34,ES35)),ES36)/30,ES35,ES36)</f>
        <v>#VALUE!</v>
      </c>
      <c r="ET41" s="962" t="e">
        <f>[1]!bodmoadal(1,1,(ET34+1),[1]!qsn([1]!ml([1]!taqsha(1,1,1+ET34,ET35)),ET36)/30,ET35,ET36)</f>
        <v>#VALUE!</v>
      </c>
      <c r="EU41" s="962" t="e">
        <f>[1]!bodmoadal(1,1,(EU34+1),[1]!qsn([1]!ml([1]!taqsha(1,1,1+EU34,EU35)),EU36)/30,EU35,EU36)</f>
        <v>#VALUE!</v>
      </c>
      <c r="EV41" s="962" t="e">
        <f>[1]!bodmoadal(1,1,(EV34+1),[1]!qsn([1]!ml([1]!taqsha(1,1,1+EV34,EV35)),EV36)/30,EV35,EV36)</f>
        <v>#VALUE!</v>
      </c>
      <c r="EW41" s="962" t="e">
        <f>[1]!bodmoadal(1,1,(EW34+1),[1]!qsn([1]!ml([1]!taqsha(1,1,1+EW34,EW35)),EW36)/30,EW35,EW36)</f>
        <v>#VALUE!</v>
      </c>
      <c r="EX41" s="962" t="e">
        <f>[1]!bodmoadal(1,1,(EX34+1),[1]!qsn([1]!ml([1]!taqsha(1,1,1+EX34,EX35)),EX36)/30,EX35,EX36)</f>
        <v>#VALUE!</v>
      </c>
      <c r="EY41" s="962" t="e">
        <f>[1]!bodmoadal(1,1,(EY34+1),[1]!qsn([1]!ml([1]!taqsha(1,1,1+EY34,EY35)),EY36)/30,EY35,EY36)</f>
        <v>#VALUE!</v>
      </c>
      <c r="EZ41" s="962" t="e">
        <f>[1]!bodmoadal(1,1,(EZ34+1),[1]!qsn([1]!ml([1]!taqsha(1,1,1+EZ34,EZ35)),EZ36)/30,EZ35,EZ36)</f>
        <v>#VALUE!</v>
      </c>
      <c r="FA41" s="962" t="e">
        <f>[1]!bodmoadal(1,1,(FA34+1),[1]!qsn([1]!ml([1]!taqsha(1,1,1+FA34,FA35)),FA36)/30,FA35,FA36)</f>
        <v>#VALUE!</v>
      </c>
      <c r="FB41" s="962" t="e">
        <f>[1]!bodmoadal(1,1,(FB34+1),[1]!qsn([1]!ml([1]!taqsha(1,1,1+FB34,FB35)),FB36)/30,FB35,FB36)</f>
        <v>#VALUE!</v>
      </c>
      <c r="FC41" s="962" t="e">
        <f>[1]!bodmoadal(1,1,(FC34+1),[1]!qsn([1]!ml([1]!taqsha(1,1,1+FC34,FC35)),FC36)/30,FC35,FC36)</f>
        <v>#VALUE!</v>
      </c>
      <c r="FD41" s="962" t="e">
        <f>[1]!bodmoadal(1,1,(FD34+1),[1]!qsn([1]!ml([1]!taqsha(1,1,1+FD34,FD35)),FD36)/30,FD35,FD36)</f>
        <v>#VALUE!</v>
      </c>
      <c r="FE41" s="962" t="e">
        <f>[1]!bodmoadal(1,1,(FE34+1),[1]!qsn([1]!ml([1]!taqsha(1,1,1+FE34,FE35)),FE36)/30,FE35,FE36)</f>
        <v>#VALUE!</v>
      </c>
      <c r="FF41" s="962" t="e">
        <f>[1]!bodmoadal(1,1,(FF34+1),[1]!qsn([1]!ml([1]!taqsha(1,1,1+FF34,FF35)),FF36)/30,FF35,FF36)</f>
        <v>#VALUE!</v>
      </c>
      <c r="FG41" s="962" t="e">
        <f>[1]!bodmoadal(1,1,(FG34+1),[1]!qsn([1]!ml([1]!taqsha(1,1,1+FG34,FG35)),FG36)/30,FG35,FG36)</f>
        <v>#VALUE!</v>
      </c>
      <c r="FH41" s="962" t="e">
        <f>[1]!bodmoadal(1,1,(FH34+1),[1]!qsn([1]!ml([1]!taqsha(1,1,1+FH34,FH35)),FH36)/30,FH35,FH36)</f>
        <v>#VALUE!</v>
      </c>
      <c r="FI41" s="962" t="e">
        <f>[1]!bodmoadal(1,1,(FI34+1),[1]!qsn([1]!ml([1]!taqsha(1,1,1+FI34,FI35)),FI36)/30,FI35,FI36)</f>
        <v>#VALUE!</v>
      </c>
      <c r="FJ41" s="962" t="e">
        <f>[1]!bodmoadal(1,1,(FJ34+1),[1]!qsn([1]!ml([1]!taqsha(1,1,1+FJ34,FJ35)),FJ36)/30,FJ35,FJ36)</f>
        <v>#VALUE!</v>
      </c>
      <c r="FK41" s="962" t="e">
        <f>[1]!bodmoadal(1,1,(FK34+1),[1]!qsn([1]!ml([1]!taqsha(1,1,1+FK34,FK35)),FK36)/30,FK35,FK36)</f>
        <v>#VALUE!</v>
      </c>
      <c r="FL41" s="962" t="e">
        <f>[1]!bodmoadal(1,1,(FL34+1),[1]!qsn([1]!ml([1]!taqsha(1,1,1+FL34,FL35)),FL36)/30,FL35,FL36)</f>
        <v>#VALUE!</v>
      </c>
      <c r="FM41" s="962" t="e">
        <f>[1]!bodmoadal(1,1,(FM34+1),[1]!qsn([1]!ml([1]!taqsha(1,1,1+FM34,FM35)),FM36)/30,FM35,FM36)</f>
        <v>#VALUE!</v>
      </c>
      <c r="FN41" s="962" t="e">
        <f>[1]!bodmoadal(1,1,(FN34+1),[1]!qsn([1]!ml([1]!taqsha(1,1,1+FN34,FN35)),FN36)/30,FN35,FN36)</f>
        <v>#VALUE!</v>
      </c>
      <c r="FO41" s="962" t="e">
        <f>[1]!bodmoadal(1,1,(FO34+1),[1]!qsn([1]!ml([1]!taqsha(1,1,1+FO34,FO35)),FO36)/30,FO35,FO36)</f>
        <v>#VALUE!</v>
      </c>
      <c r="FP41" s="962" t="e">
        <f>[1]!bodmoadal(1,1,(FP34+1),[1]!qsn([1]!ml([1]!taqsha(1,1,1+FP34,FP35)),FP36)/30,FP35,FP36)</f>
        <v>#VALUE!</v>
      </c>
      <c r="FQ41" s="962" t="e">
        <f>[1]!bodmoadal(1,1,(FQ34+1),[1]!qsn([1]!ml([1]!taqsha(1,1,1+FQ34,FQ35)),FQ36)/30,FQ35,FQ36)</f>
        <v>#VALUE!</v>
      </c>
      <c r="FR41" s="962" t="e">
        <f>[1]!bodmoadal(1,1,(FR34+1),[1]!qsn([1]!ml([1]!taqsha(1,1,1+FR34,FR35)),FR36)/30,FR35,FR36)</f>
        <v>#VALUE!</v>
      </c>
      <c r="FS41" s="962" t="e">
        <f>[1]!bodmoadal(1,1,(FS34+1),[1]!qsn([1]!ml([1]!taqsha(1,1,1+FS34,FS35)),FS36)/30,FS35,FS36)</f>
        <v>#VALUE!</v>
      </c>
      <c r="FT41" s="962" t="e">
        <f>[1]!bodmoadal(1,1,(FT34+1),[1]!qsn([1]!ml([1]!taqsha(1,1,1+FT34,FT35)),FT36)/30,FT35,FT36)</f>
        <v>#VALUE!</v>
      </c>
      <c r="FU41" s="962" t="e">
        <f>[1]!bodmoadal(1,1,(FU34+1),[1]!qsn([1]!ml([1]!taqsha(1,1,1+FU34,FU35)),FU36)/30,FU35,FU36)</f>
        <v>#VALUE!</v>
      </c>
      <c r="FV41" s="962" t="e">
        <f>[1]!bodmoadal(1,1,(FV34+1),[1]!qsn([1]!ml([1]!taqsha(1,1,1+FV34,FV35)),FV36)/30,FV35,FV36)</f>
        <v>#VALUE!</v>
      </c>
      <c r="FW41" s="962" t="e">
        <f>[1]!bodmoadal(1,1,(FW34+1),[1]!qsn([1]!ml([1]!taqsha(1,1,1+FW34,FW35)),FW36)/30,FW35,FW36)</f>
        <v>#VALUE!</v>
      </c>
      <c r="FX41" s="962" t="e">
        <f>[1]!bodmoadal(1,1,(FX34+1),[1]!qsn([1]!ml([1]!taqsha(1,1,1+FX34,FX35)),FX36)/30,FX35,FX36)</f>
        <v>#VALUE!</v>
      </c>
      <c r="FY41" s="962" t="e">
        <f>[1]!bodmoadal(1,1,(FY34+1),[1]!qsn([1]!ml([1]!taqsha(1,1,1+FY34,FY35)),FY36)/30,FY35,FY36)</f>
        <v>#VALUE!</v>
      </c>
      <c r="FZ41" s="962" t="e">
        <f>[1]!bodmoadal(1,1,(FZ34+1),[1]!qsn([1]!ml([1]!taqsha(1,1,1+FZ34,FZ35)),FZ36)/30,FZ35,FZ36)</f>
        <v>#VALUE!</v>
      </c>
      <c r="GA41" s="962" t="e">
        <f>[1]!bodmoadal(1,1,(GA34+1),[1]!qsn([1]!ml([1]!taqsha(1,1,1+GA34,GA35)),GA36)/30,GA35,GA36)</f>
        <v>#VALUE!</v>
      </c>
      <c r="GB41" s="962" t="e">
        <f>[1]!bodmoadal(1,1,(GB34+1),[1]!qsn([1]!ml([1]!taqsha(1,1,1+GB34,GB35)),GB36)/30,GB35,GB36)</f>
        <v>#VALUE!</v>
      </c>
      <c r="GC41" s="962" t="e">
        <f>[1]!bodmoadal(1,1,(GC34+1),[1]!qsn([1]!ml([1]!taqsha(1,1,1+GC34,GC35)),GC36)/30,GC35,GC36)</f>
        <v>#VALUE!</v>
      </c>
      <c r="GD41" s="962" t="e">
        <f>[1]!bodmoadal(1,1,(GD34+1),[1]!qsn([1]!ml([1]!taqsha(1,1,1+GD34,GD35)),GD36)/30,GD35,GD36)</f>
        <v>#VALUE!</v>
      </c>
      <c r="GE41" s="962" t="e">
        <f>[1]!bodmoadal(1,1,(GE34+1),[1]!qsn([1]!ml([1]!taqsha(1,1,1+GE34,GE35)),GE36)/30,GE35,GE36)</f>
        <v>#VALUE!</v>
      </c>
      <c r="GF41" s="962" t="e">
        <f>[1]!bodmoadal(1,1,(GF34+1),[1]!qsn([1]!ml([1]!taqsha(1,1,1+GF34,GF35)),GF36)/30,GF35,GF36)</f>
        <v>#VALUE!</v>
      </c>
      <c r="GG41" s="962" t="e">
        <f>[1]!bodmoadal(1,1,(GG34+1),[1]!qsn([1]!ml([1]!taqsha(1,1,1+GG34,GG35)),GG36)/30,GG35,GG36)</f>
        <v>#VALUE!</v>
      </c>
      <c r="GH41" s="962" t="e">
        <f>[1]!bodmoadal(1,1,(GH34+1),[1]!qsn([1]!ml([1]!taqsha(1,1,1+GH34,GH35)),GH36)/30,GH35,GH36)</f>
        <v>#VALUE!</v>
      </c>
      <c r="GI41" s="962" t="e">
        <f>[1]!bodmoadal(1,1,(GI34+1),[1]!qsn([1]!ml([1]!taqsha(1,1,1+GI34,GI35)),GI36)/30,GI35,GI36)</f>
        <v>#VALUE!</v>
      </c>
      <c r="GJ41" s="962" t="e">
        <f>[1]!bodmoadal(1,1,(GJ34+1),[1]!qsn([1]!ml([1]!taqsha(1,1,1+GJ34,GJ35)),GJ36)/30,GJ35,GJ36)</f>
        <v>#VALUE!</v>
      </c>
      <c r="GK41" s="962" t="e">
        <f>[1]!bodmoadal(1,1,(GK34+1),[1]!qsn([1]!ml([1]!taqsha(1,1,1+GK34,GK35)),GK36)/30,GK35,GK36)</f>
        <v>#VALUE!</v>
      </c>
      <c r="GL41" s="962" t="e">
        <f>[1]!bodmoadal(1,1,(GL34+1),[1]!qsn([1]!ml([1]!taqsha(1,1,1+GL34,GL35)),GL36)/30,GL35,GL36)</f>
        <v>#VALUE!</v>
      </c>
      <c r="GM41" s="962" t="e">
        <f>[1]!bodmoadal(1,1,(GM34+1),[1]!qsn([1]!ml([1]!taqsha(1,1,1+GM34,GM35)),GM36)/30,GM35,GM36)</f>
        <v>#VALUE!</v>
      </c>
      <c r="GN41" s="962" t="e">
        <f>[1]!bodmoadal(1,1,(GN34+1),[1]!qsn([1]!ml([1]!taqsha(1,1,1+GN34,GN35)),GN36)/30,GN35,GN36)</f>
        <v>#VALUE!</v>
      </c>
      <c r="GO41" s="962" t="e">
        <f>[1]!bodmoadal(1,1,(GO34+1),[1]!qsn([1]!ml([1]!taqsha(1,1,1+GO34,GO35)),GO36)/30,GO35,GO36)</f>
        <v>#VALUE!</v>
      </c>
      <c r="GP41" s="962" t="e">
        <f>[1]!bodmoadal(1,1,(GP34+1),[1]!qsn([1]!ml([1]!taqsha(1,1,1+GP34,GP35)),GP36)/30,GP35,GP36)</f>
        <v>#VALUE!</v>
      </c>
      <c r="GQ41" s="962" t="e">
        <f>[1]!bodmoadal(1,1,(GQ34+1),[1]!qsn([1]!ml([1]!taqsha(1,1,1+GQ34,GQ35)),GQ36)/30,GQ35,GQ36)</f>
        <v>#VALUE!</v>
      </c>
      <c r="GR41" s="962" t="e">
        <f>[1]!bodmoadal(1,1,(GR34+1),[1]!qsn([1]!ml([1]!taqsha(1,1,1+GR34,GR35)),GR36)/30,GR35,GR36)</f>
        <v>#VALUE!</v>
      </c>
      <c r="GS41" s="962" t="e">
        <f>[1]!bodmoadal(1,1,(GS34+1),[1]!qsn([1]!ml([1]!taqsha(1,1,1+GS34,GS35)),GS36)/30,GS35,GS36)</f>
        <v>#VALUE!</v>
      </c>
      <c r="GT41" s="962" t="e">
        <f>[1]!bodmoadal(1,1,(GT34+1),[1]!qsn([1]!ml([1]!taqsha(1,1,1+GT34,GT35)),GT36)/30,GT35,GT36)</f>
        <v>#VALUE!</v>
      </c>
      <c r="GU41" s="962" t="e">
        <f>[1]!bodmoadal(1,1,(GU34+1),[1]!qsn([1]!ml([1]!taqsha(1,1,1+GU34,GU35)),GU36)/30,GU35,GU36)</f>
        <v>#VALUE!</v>
      </c>
      <c r="GV41" s="962" t="e">
        <f>[1]!bodmoadal(1,1,(GV34+1),[1]!qsn([1]!ml([1]!taqsha(1,1,1+GV34,GV35)),GV36)/30,GV35,GV36)</f>
        <v>#VALUE!</v>
      </c>
      <c r="GW41" s="962" t="e">
        <f>[1]!bodmoadal(1,1,(GW34+1),[1]!qsn([1]!ml([1]!taqsha(1,1,1+GW34,GW35)),GW36)/30,GW35,GW36)</f>
        <v>#VALUE!</v>
      </c>
      <c r="GX41" s="962" t="e">
        <f>[1]!bodmoadal(1,1,(GX34+1),[1]!qsn([1]!ml([1]!taqsha(1,1,1+GX34,GX35)),GX36)/30,GX35,GX36)</f>
        <v>#VALUE!</v>
      </c>
      <c r="GY41" s="962" t="e">
        <f>[1]!bodmoadal(1,1,(GY34+1),[1]!qsn([1]!ml([1]!taqsha(1,1,1+GY34,GY35)),GY36)/30,GY35,GY36)</f>
        <v>#VALUE!</v>
      </c>
      <c r="GZ41" s="962" t="e">
        <f>[1]!bodmoadal(1,1,(GZ34+1),[1]!qsn([1]!ml([1]!taqsha(1,1,1+GZ34,GZ35)),GZ36)/30,GZ35,GZ36)</f>
        <v>#VALUE!</v>
      </c>
      <c r="HA41" s="962" t="e">
        <f>[1]!bodmoadal(1,1,(HA34+1),[1]!qsn([1]!ml([1]!taqsha(1,1,1+HA34,HA35)),HA36)/30,HA35,HA36)</f>
        <v>#VALUE!</v>
      </c>
      <c r="HB41" s="962" t="e">
        <f>[1]!bodmoadal(1,1,(HB34+1),[1]!qsn([1]!ml([1]!taqsha(1,1,1+HB34,HB35)),HB36)/30,HB35,HB36)</f>
        <v>#VALUE!</v>
      </c>
      <c r="HC41" s="962" t="e">
        <f>[1]!bodmoadal(1,1,(HC34+1),[1]!qsn([1]!ml([1]!taqsha(1,1,1+HC34,HC35)),HC36)/30,HC35,HC36)</f>
        <v>#VALUE!</v>
      </c>
      <c r="HD41" s="962" t="e">
        <f>[1]!bodmoadal(1,1,(HD34+1),[1]!qsn([1]!ml([1]!taqsha(1,1,1+HD34,HD35)),HD36)/30,HD35,HD36)</f>
        <v>#VALUE!</v>
      </c>
      <c r="HE41" s="962" t="e">
        <f>[1]!bodmoadal(1,1,(HE34+1),[1]!qsn([1]!ml([1]!taqsha(1,1,1+HE34,HE35)),HE36)/30,HE35,HE36)</f>
        <v>#VALUE!</v>
      </c>
      <c r="HF41" s="962" t="e">
        <f>[1]!bodmoadal(1,1,(HF34+1),[1]!qsn([1]!ml([1]!taqsha(1,1,1+HF34,HF35)),HF36)/30,HF35,HF36)</f>
        <v>#VALUE!</v>
      </c>
      <c r="HG41" s="962" t="e">
        <f>[1]!bodmoadal(1,1,(HG34+1),[1]!qsn([1]!ml([1]!taqsha(1,1,1+HG34,HG35)),HG36)/30,HG35,HG36)</f>
        <v>#VALUE!</v>
      </c>
      <c r="HH41" s="962" t="e">
        <f>[1]!bodmoadal(1,1,(HH34+1),[1]!qsn([1]!ml([1]!taqsha(1,1,1+HH34,HH35)),HH36)/30,HH35,HH36)</f>
        <v>#VALUE!</v>
      </c>
      <c r="HI41" s="962" t="e">
        <f>[1]!bodmoadal(1,1,(HI34+1),[1]!qsn([1]!ml([1]!taqsha(1,1,1+HI34,HI35)),HI36)/30,HI35,HI36)</f>
        <v>#VALUE!</v>
      </c>
      <c r="HJ41" s="962" t="e">
        <f>[1]!bodmoadal(1,1,(HJ34+1),[1]!qsn([1]!ml([1]!taqsha(1,1,1+HJ34,HJ35)),HJ36)/30,HJ35,HJ36)</f>
        <v>#VALUE!</v>
      </c>
      <c r="HK41" s="962" t="e">
        <f>[1]!bodmoadal(1,1,(HK34+1),[1]!qsn([1]!ml([1]!taqsha(1,1,1+HK34,HK35)),HK36)/30,HK35,HK36)</f>
        <v>#VALUE!</v>
      </c>
      <c r="HL41" s="962" t="e">
        <f>[1]!bodmoadal(1,1,(HL34+1),[1]!qsn([1]!ml([1]!taqsha(1,1,1+HL34,HL35)),HL36)/30,HL35,HL36)</f>
        <v>#VALUE!</v>
      </c>
      <c r="HM41" s="962" t="e">
        <f>[1]!bodmoadal(1,1,(HM34+1),[1]!qsn([1]!ml([1]!taqsha(1,1,1+HM34,HM35)),HM36)/30,HM35,HM36)</f>
        <v>#VALUE!</v>
      </c>
      <c r="HN41" s="962" t="e">
        <f>[1]!bodmoadal(1,1,(HN34+1),[1]!qsn([1]!ml([1]!taqsha(1,1,1+HN34,HN35)),HN36)/30,HN35,HN36)</f>
        <v>#VALUE!</v>
      </c>
      <c r="HO41" s="962" t="e">
        <f>[1]!bodmoadal(1,1,(HO34+1),[1]!qsn([1]!ml([1]!taqsha(1,1,1+HO34,HO35)),HO36)/30,HO35,HO36)</f>
        <v>#VALUE!</v>
      </c>
      <c r="HP41" s="962" t="e">
        <f>[1]!bodmoadal(1,1,(HP34+1),[1]!qsn([1]!ml([1]!taqsha(1,1,1+HP34,HP35)),HP36)/30,HP35,HP36)</f>
        <v>#VALUE!</v>
      </c>
      <c r="HQ41" s="962" t="e">
        <f>[1]!bodmoadal(1,1,(HQ34+1),[1]!qsn([1]!ml([1]!taqsha(1,1,1+HQ34,HQ35)),HQ36)/30,HQ35,HQ36)</f>
        <v>#VALUE!</v>
      </c>
      <c r="HR41" s="962" t="e">
        <f>[1]!bodmoadal(1,1,(HR34+1),[1]!qsn([1]!ml([1]!taqsha(1,1,1+HR34,HR35)),HR36)/30,HR35,HR36)</f>
        <v>#VALUE!</v>
      </c>
      <c r="HS41" s="962" t="e">
        <f>[1]!bodmoadal(1,1,(HS34+1),[1]!qsn([1]!ml([1]!taqsha(1,1,1+HS34,HS35)),HS36)/30,HS35,HS36)</f>
        <v>#VALUE!</v>
      </c>
      <c r="HT41" s="962" t="e">
        <f>[1]!bodmoadal(1,1,(HT34+1),[1]!qsn([1]!ml([1]!taqsha(1,1,1+HT34,HT35)),HT36)/30,HT35,HT36)</f>
        <v>#VALUE!</v>
      </c>
      <c r="HU41" s="962" t="e">
        <f>[1]!bodmoadal(1,1,(HU34+1),[1]!qsn([1]!ml([1]!taqsha(1,1,1+HU34,HU35)),HU36)/30,HU35,HU36)</f>
        <v>#VALUE!</v>
      </c>
      <c r="HV41" s="962" t="e">
        <f>[1]!bodmoadal(1,1,(HV34+1),[1]!qsn([1]!ml([1]!taqsha(1,1,1+HV34,HV35)),HV36)/30,HV35,HV36)</f>
        <v>#VALUE!</v>
      </c>
      <c r="HW41" s="962" t="e">
        <f>[1]!bodmoadal(1,1,(HW34+1),[1]!qsn([1]!ml([1]!taqsha(1,1,1+HW34,HW35)),HW36)/30,HW35,HW36)</f>
        <v>#VALUE!</v>
      </c>
      <c r="HX41" s="962" t="e">
        <f>[1]!bodmoadal(1,1,(HX34+1),[1]!qsn([1]!ml([1]!taqsha(1,1,1+HX34,HX35)),HX36)/30,HX35,HX36)</f>
        <v>#VALUE!</v>
      </c>
      <c r="HY41" s="962" t="e">
        <f>[1]!bodmoadal(1,1,(HY34+1),[1]!qsn([1]!ml([1]!taqsha(1,1,1+HY34,HY35)),HY36)/30,HY35,HY36)</f>
        <v>#VALUE!</v>
      </c>
      <c r="HZ41" s="962" t="e">
        <f>[1]!bodmoadal(1,1,(HZ34+1),[1]!qsn([1]!ml([1]!taqsha(1,1,1+HZ34,HZ35)),HZ36)/30,HZ35,HZ36)</f>
        <v>#VALUE!</v>
      </c>
      <c r="IA41" s="962" t="e">
        <f>[1]!bodmoadal(1,1,(IA34+1),[1]!qsn([1]!ml([1]!taqsha(1,1,1+IA34,IA35)),IA36)/30,IA35,IA36)</f>
        <v>#VALUE!</v>
      </c>
      <c r="IB41" s="962" t="e">
        <f>[1]!bodmoadal(1,1,(IB34+1),[1]!qsn([1]!ml([1]!taqsha(1,1,1+IB34,IB35)),IB36)/30,IB35,IB36)</f>
        <v>#VALUE!</v>
      </c>
      <c r="IC41" s="962" t="e">
        <f>[1]!bodmoadal(1,1,(IC34+1),[1]!qsn([1]!ml([1]!taqsha(1,1,1+IC34,IC35)),IC36)/30,IC35,IC36)</f>
        <v>#VALUE!</v>
      </c>
      <c r="ID41" s="962" t="e">
        <f>[1]!bodmoadal(1,1,(ID34+1),[1]!qsn([1]!ml([1]!taqsha(1,1,1+ID34,ID35)),ID36)/30,ID35,ID36)</f>
        <v>#VALUE!</v>
      </c>
      <c r="IE41" s="962" t="e">
        <f>[1]!bodmoadal(1,1,(IE34+1),[1]!qsn([1]!ml([1]!taqsha(1,1,1+IE34,IE35)),IE36)/30,IE35,IE36)</f>
        <v>#VALUE!</v>
      </c>
      <c r="IF41" s="962" t="e">
        <f>[1]!bodmoadal(1,1,(IF34+1),[1]!qsn([1]!ml([1]!taqsha(1,1,1+IF34,IF35)),IF36)/30,IF35,IF36)</f>
        <v>#VALUE!</v>
      </c>
      <c r="IG41" s="962" t="e">
        <f>[1]!bodmoadal(1,1,(IG34+1),[1]!qsn([1]!ml([1]!taqsha(1,1,1+IG34,IG35)),IG36)/30,IG35,IG36)</f>
        <v>#VALUE!</v>
      </c>
      <c r="IH41" s="962" t="e">
        <f>[1]!bodmoadal(1,1,(IH34+1),[1]!qsn([1]!ml([1]!taqsha(1,1,1+IH34,IH35)),IH36)/30,IH35,IH36)</f>
        <v>#VALUE!</v>
      </c>
      <c r="II41" s="962" t="e">
        <f>[1]!bodmoadal(1,1,(II34+1),[1]!qsn([1]!ml([1]!taqsha(1,1,1+II34,II35)),II36)/30,II35,II36)</f>
        <v>#VALUE!</v>
      </c>
      <c r="IJ41" s="962" t="e">
        <f>[1]!bodmoadal(1,1,(IJ34+1),[1]!qsn([1]!ml([1]!taqsha(1,1,1+IJ34,IJ35)),IJ36)/30,IJ35,IJ36)</f>
        <v>#VALUE!</v>
      </c>
      <c r="IK41" s="962" t="e">
        <f>[1]!bodmoadal(1,1,(IK34+1),[1]!qsn([1]!ml([1]!taqsha(1,1,1+IK34,IK35)),IK36)/30,IK35,IK36)</f>
        <v>#VALUE!</v>
      </c>
      <c r="IL41" s="962" t="e">
        <f>[1]!bodmoadal(1,1,(IL34+1),[1]!qsn([1]!ml([1]!taqsha(1,1,1+IL34,IL35)),IL36)/30,IL35,IL36)</f>
        <v>#VALUE!</v>
      </c>
      <c r="IM41" s="962" t="e">
        <f>[1]!bodmoadal(1,1,(IM34+1),[1]!qsn([1]!ml([1]!taqsha(1,1,1+IM34,IM35)),IM36)/30,IM35,IM36)</f>
        <v>#VALUE!</v>
      </c>
      <c r="IN41" s="962" t="e">
        <f>[1]!bodmoadal(1,1,(IN34+1),[1]!qsn([1]!ml([1]!taqsha(1,1,1+IN34,IN35)),IN36)/30,IN35,IN36)</f>
        <v>#VALUE!</v>
      </c>
      <c r="IO41" s="962" t="e">
        <f>[1]!bodmoadal(1,1,(IO34+1),[1]!qsn([1]!ml([1]!taqsha(1,1,1+IO34,IO35)),IO36)/30,IO35,IO36)</f>
        <v>#VALUE!</v>
      </c>
      <c r="IP41" s="962" t="e">
        <f>[1]!bodmoadal(1,1,(IP34+1),[1]!qsn([1]!ml([1]!taqsha(1,1,1+IP34,IP35)),IP36)/30,IP35,IP36)</f>
        <v>#VALUE!</v>
      </c>
      <c r="IQ41" s="962" t="e">
        <f>[1]!bodmoadal(1,1,(IQ34+1),[1]!qsn([1]!ml([1]!taqsha(1,1,1+IQ34,IQ35)),IQ36)/30,IQ35,IQ36)</f>
        <v>#VALUE!</v>
      </c>
      <c r="IR41" s="962" t="e">
        <f>[1]!bodmoadal(1,1,(IR34+1),[1]!qsn([1]!ml([1]!taqsha(1,1,1+IR34,IR35)),IR36)/30,IR35,IR36)</f>
        <v>#VALUE!</v>
      </c>
      <c r="IS41" s="962" t="e">
        <f>[1]!bodmoadal(1,1,(IS34+1),[1]!qsn([1]!ml([1]!taqsha(1,1,1+IS34,IS35)),IS36)/30,IS35,IS36)</f>
        <v>#VALUE!</v>
      </c>
      <c r="IT41" s="962" t="e">
        <f>[1]!bodmoadal(1,1,(IT34+1),[1]!qsn([1]!ml([1]!taqsha(1,1,1+IT34,IT35)),IT36)/30,IT35,IT36)</f>
        <v>#VALUE!</v>
      </c>
      <c r="IU41" s="962" t="e">
        <f>[1]!bodmoadal(1,1,(IU34+1),[1]!qsn([1]!ml([1]!taqsha(1,1,1+IU34,IU35)),IU36)/30,IU35,IU36)</f>
        <v>#VALUE!</v>
      </c>
      <c r="IV41" s="962" t="e">
        <f>[1]!bodmoadal(1,1,(IV34+1),[1]!qsn([1]!ml([1]!taqsha(1,1,1+IV34,IV35)),IV36)/30,IV35,IV36)</f>
        <v>#VALUE!</v>
      </c>
      <c r="IW41" s="962" t="e">
        <f>[1]!bodmoadal(1,1,(IW34+1),[1]!qsn([1]!ml([1]!taqsha(1,1,1+IW34,IW35)),IW36)/30,IW35,IW36)</f>
        <v>#VALUE!</v>
      </c>
      <c r="IX41" s="962" t="e">
        <f>[1]!bodmoadal(1,1,(IX34+1),[1]!qsn([1]!ml([1]!taqsha(1,1,1+IX34,IX35)),IX36)/30,IX35,IX36)</f>
        <v>#VALUE!</v>
      </c>
      <c r="IY41" s="962" t="e">
        <f>[1]!bodmoadal(1,1,(IY34+1),[1]!qsn([1]!ml([1]!taqsha(1,1,1+IY34,IY35)),IY36)/30,IY35,IY36)</f>
        <v>#VALUE!</v>
      </c>
      <c r="IZ41" s="962" t="e">
        <f>[1]!bodmoadal(1,1,(IZ34+1),[1]!qsn([1]!ml([1]!taqsha(1,1,1+IZ34,IZ35)),IZ36)/30,IZ35,IZ36)</f>
        <v>#VALUE!</v>
      </c>
      <c r="JA41" s="962" t="e">
        <f>[1]!bodmoadal(1,1,(JA34+1),[1]!qsn([1]!ml([1]!taqsha(1,1,1+JA34,JA35)),JA36)/30,JA35,JA36)</f>
        <v>#VALUE!</v>
      </c>
      <c r="JB41" s="962" t="e">
        <f>[1]!bodmoadal(1,1,(JB34+1),[1]!qsn([1]!ml([1]!taqsha(1,1,1+JB34,JB35)),JB36)/30,JB35,JB36)</f>
        <v>#VALUE!</v>
      </c>
      <c r="JC41" s="962" t="e">
        <f>[1]!bodmoadal(1,1,(JC34+1),[1]!qsn([1]!ml([1]!taqsha(1,1,1+JC34,JC35)),JC36)/30,JC35,JC36)</f>
        <v>#VALUE!</v>
      </c>
      <c r="JD41" s="962" t="e">
        <f>[1]!bodmoadal(1,1,(JD34+1),[1]!qsn([1]!ml([1]!taqsha(1,1,1+JD34,JD35)),JD36)/30,JD35,JD36)</f>
        <v>#VALUE!</v>
      </c>
      <c r="JE41" s="962" t="e">
        <f>[1]!bodmoadal(1,1,(JE34+1),[1]!qsn([1]!ml([1]!taqsha(1,1,1+JE34,JE35)),JE36)/30,JE35,JE36)</f>
        <v>#VALUE!</v>
      </c>
      <c r="JF41" s="962" t="e">
        <f>[1]!bodmoadal(1,1,(JF34+1),[1]!qsn([1]!ml([1]!taqsha(1,1,1+JF34,JF35)),JF36)/30,JF35,JF36)</f>
        <v>#VALUE!</v>
      </c>
      <c r="JG41" s="962" t="e">
        <f>[1]!bodmoadal(1,1,(JG34+1),[1]!qsn([1]!ml([1]!taqsha(1,1,1+JG34,JG35)),JG36)/30,JG35,JG36)</f>
        <v>#VALUE!</v>
      </c>
      <c r="JH41" s="962" t="e">
        <f>[1]!bodmoadal(1,1,(JH34+1),[1]!qsn([1]!ml([1]!taqsha(1,1,1+JH34,JH35)),JH36)/30,JH35,JH36)</f>
        <v>#VALUE!</v>
      </c>
      <c r="JI41" s="962" t="e">
        <f>[1]!bodmoadal(1,1,(JI34+1),[1]!qsn([1]!ml([1]!taqsha(1,1,1+JI34,JI35)),JI36)/30,JI35,JI36)</f>
        <v>#VALUE!</v>
      </c>
      <c r="JJ41" s="962" t="e">
        <f>[1]!bodmoadal(1,1,(JJ34+1),[1]!qsn([1]!ml([1]!taqsha(1,1,1+JJ34,JJ35)),JJ36)/30,JJ35,JJ36)</f>
        <v>#VALUE!</v>
      </c>
      <c r="JK41" s="962" t="e">
        <f>[1]!bodmoadal(1,1,(JK34+1),[1]!qsn([1]!ml([1]!taqsha(1,1,1+JK34,JK35)),JK36)/30,JK35,JK36)</f>
        <v>#VALUE!</v>
      </c>
      <c r="JL41" s="962" t="e">
        <f>[1]!bodmoadal(1,1,(JL34+1),[1]!qsn([1]!ml([1]!taqsha(1,1,1+JL34,JL35)),JL36)/30,JL35,JL36)</f>
        <v>#VALUE!</v>
      </c>
      <c r="JM41" s="962" t="e">
        <f>[1]!bodmoadal(1,1,(JM34+1),[1]!qsn([1]!ml([1]!taqsha(1,1,1+JM34,JM35)),JM36)/30,JM35,JM36)</f>
        <v>#VALUE!</v>
      </c>
      <c r="JN41" s="962" t="e">
        <f>[1]!bodmoadal(1,1,(JN34+1),[1]!qsn([1]!ml([1]!taqsha(1,1,1+JN34,JN35)),JN36)/30,JN35,JN36)</f>
        <v>#VALUE!</v>
      </c>
      <c r="JO41" s="962" t="e">
        <f>[1]!bodmoadal(1,1,(JO34+1),[1]!qsn([1]!ml([1]!taqsha(1,1,1+JO34,JO35)),JO36)/30,JO35,JO36)</f>
        <v>#VALUE!</v>
      </c>
      <c r="JP41" s="962" t="e">
        <f>[1]!bodmoadal(1,1,(JP34+1),[1]!qsn([1]!ml([1]!taqsha(1,1,1+JP34,JP35)),JP36)/30,JP35,JP36)</f>
        <v>#VALUE!</v>
      </c>
      <c r="JQ41" s="962" t="e">
        <f>[1]!bodmoadal(1,1,(JQ34+1),[1]!qsn([1]!ml([1]!taqsha(1,1,1+JQ34,JQ35)),JQ36)/30,JQ35,JQ36)</f>
        <v>#VALUE!</v>
      </c>
      <c r="JR41" s="962" t="e">
        <f>[1]!bodmoadal(1,1,(JR34+1),[1]!qsn([1]!ml([1]!taqsha(1,1,1+JR34,JR35)),JR36)/30,JR35,JR36)</f>
        <v>#VALUE!</v>
      </c>
      <c r="JS41" s="962" t="e">
        <f>[1]!bodmoadal(1,1,(JS34+1),[1]!qsn([1]!ml([1]!taqsha(1,1,1+JS34,JS35)),JS36)/30,JS35,JS36)</f>
        <v>#VALUE!</v>
      </c>
      <c r="JT41" s="962" t="e">
        <f>[1]!bodmoadal(1,1,(JT34+1),[1]!qsn([1]!ml([1]!taqsha(1,1,1+JT34,JT35)),JT36)/30,JT35,JT36)</f>
        <v>#VALUE!</v>
      </c>
      <c r="JU41" s="962" t="e">
        <f>[1]!bodmoadal(1,1,(JU34+1),[1]!qsn([1]!ml([1]!taqsha(1,1,1+JU34,JU35)),JU36)/30,JU35,JU36)</f>
        <v>#VALUE!</v>
      </c>
      <c r="JV41" s="962" t="e">
        <f>[1]!bodmoadal(1,1,(JV34+1),[1]!qsn([1]!ml([1]!taqsha(1,1,1+JV34,JV35)),JV36)/30,JV35,JV36)</f>
        <v>#VALUE!</v>
      </c>
      <c r="JW41" s="962" t="e">
        <f>[1]!bodmoadal(1,1,(JW34+1),[1]!qsn([1]!ml([1]!taqsha(1,1,1+JW34,JW35)),JW36)/30,JW35,JW36)</f>
        <v>#VALUE!</v>
      </c>
      <c r="JX41" s="962" t="e">
        <f>[1]!bodmoadal(1,1,(JX34+1),[1]!qsn([1]!ml([1]!taqsha(1,1,1+JX34,JX35)),JX36)/30,JX35,JX36)</f>
        <v>#VALUE!</v>
      </c>
      <c r="JY41" s="962" t="e">
        <f>[1]!bodmoadal(1,1,(JY34+1),[1]!qsn([1]!ml([1]!taqsha(1,1,1+JY34,JY35)),JY36)/30,JY35,JY36)</f>
        <v>#VALUE!</v>
      </c>
      <c r="JZ41" s="962" t="e">
        <f>[1]!bodmoadal(1,1,(JZ34+1),[1]!qsn([1]!ml([1]!taqsha(1,1,1+JZ34,JZ35)),JZ36)/30,JZ35,JZ36)</f>
        <v>#VALUE!</v>
      </c>
      <c r="KA41" s="962" t="e">
        <f>[1]!bodmoadal(1,1,(KA34+1),[1]!qsn([1]!ml([1]!taqsha(1,1,1+KA34,KA35)),KA36)/30,KA35,KA36)</f>
        <v>#VALUE!</v>
      </c>
      <c r="KB41" s="962" t="e">
        <f>[1]!bodmoadal(1,1,(KB34+1),[1]!qsn([1]!ml([1]!taqsha(1,1,1+KB34,KB35)),KB36)/30,KB35,KB36)</f>
        <v>#VALUE!</v>
      </c>
      <c r="KC41" s="962" t="e">
        <f>[1]!bodmoadal(1,1,(KC34+1),[1]!qsn([1]!ml([1]!taqsha(1,1,1+KC34,KC35)),KC36)/30,KC35,KC36)</f>
        <v>#VALUE!</v>
      </c>
      <c r="KD41" s="962" t="e">
        <f>[1]!bodmoadal(1,1,(KD34+1),[1]!qsn([1]!ml([1]!taqsha(1,1,1+KD34,KD35)),KD36)/30,KD35,KD36)</f>
        <v>#VALUE!</v>
      </c>
      <c r="KE41" s="962" t="e">
        <f>[1]!bodmoadal(1,1,(KE34+1),[1]!qsn([1]!ml([1]!taqsha(1,1,1+KE34,KE35)),KE36)/30,KE35,KE36)</f>
        <v>#VALUE!</v>
      </c>
      <c r="KF41" s="962" t="e">
        <f>[1]!bodmoadal(1,1,(KF34+1),[1]!qsn([1]!ml([1]!taqsha(1,1,1+KF34,KF35)),KF36)/30,KF35,KF36)</f>
        <v>#VALUE!</v>
      </c>
      <c r="KG41" s="962" t="e">
        <f>[1]!bodmoadal(1,1,(KG34+1),[1]!qsn([1]!ml([1]!taqsha(1,1,1+KG34,KG35)),KG36)/30,KG35,KG36)</f>
        <v>#VALUE!</v>
      </c>
      <c r="KH41" s="962" t="e">
        <f>[1]!bodmoadal(1,1,(KH34+1),[1]!qsn([1]!ml([1]!taqsha(1,1,1+KH34,KH35)),KH36)/30,KH35,KH36)</f>
        <v>#VALUE!</v>
      </c>
      <c r="KI41" s="962" t="e">
        <f>[1]!bodmoadal(1,1,(KI34+1),[1]!qsn([1]!ml([1]!taqsha(1,1,1+KI34,KI35)),KI36)/30,KI35,KI36)</f>
        <v>#VALUE!</v>
      </c>
      <c r="KJ41" s="962" t="e">
        <f>[1]!bodmoadal(1,1,(KJ34+1),[1]!qsn([1]!ml([1]!taqsha(1,1,1+KJ34,KJ35)),KJ36)/30,KJ35,KJ36)</f>
        <v>#VALUE!</v>
      </c>
      <c r="KK41" s="962" t="e">
        <f>[1]!bodmoadal(1,1,(KK34+1),[1]!qsn([1]!ml([1]!taqsha(1,1,1+KK34,KK35)),KK36)/30,KK35,KK36)</f>
        <v>#VALUE!</v>
      </c>
      <c r="KL41" s="962" t="e">
        <f>[1]!bodmoadal(1,1,(KL34+1),[1]!qsn([1]!ml([1]!taqsha(1,1,1+KL34,KL35)),KL36)/30,KL35,KL36)</f>
        <v>#VALUE!</v>
      </c>
      <c r="KM41" s="962" t="e">
        <f>[1]!bodmoadal(1,1,(KM34+1),[1]!qsn([1]!ml([1]!taqsha(1,1,1+KM34,KM35)),KM36)/30,KM35,KM36)</f>
        <v>#VALUE!</v>
      </c>
      <c r="KN41" s="962" t="e">
        <f>[1]!bodmoadal(1,1,(KN34+1),[1]!qsn([1]!ml([1]!taqsha(1,1,1+KN34,KN35)),KN36)/30,KN35,KN36)</f>
        <v>#VALUE!</v>
      </c>
      <c r="KO41" s="962" t="e">
        <f>[1]!bodmoadal(1,1,(KO34+1),[1]!qsn([1]!ml([1]!taqsha(1,1,1+KO34,KO35)),KO36)/30,KO35,KO36)</f>
        <v>#VALUE!</v>
      </c>
      <c r="KP41" s="962" t="e">
        <f>[1]!bodmoadal(1,1,(KP34+1),[1]!qsn([1]!ml([1]!taqsha(1,1,1+KP34,KP35)),KP36)/30,KP35,KP36)</f>
        <v>#VALUE!</v>
      </c>
      <c r="KQ41" s="962" t="e">
        <f>[1]!bodmoadal(1,1,(KQ34+1),[1]!qsn([1]!ml([1]!taqsha(1,1,1+KQ34,KQ35)),KQ36)/30,KQ35,KQ36)</f>
        <v>#VALUE!</v>
      </c>
      <c r="KR41" s="962" t="e">
        <f>[1]!bodmoadal(1,1,(KR34+1),[1]!qsn([1]!ml([1]!taqsha(1,1,1+KR34,KR35)),KR36)/30,KR35,KR36)</f>
        <v>#VALUE!</v>
      </c>
      <c r="KS41" s="962" t="e">
        <f>[1]!bodmoadal(1,1,(KS34+1),[1]!qsn([1]!ml([1]!taqsha(1,1,1+KS34,KS35)),KS36)/30,KS35,KS36)</f>
        <v>#VALUE!</v>
      </c>
      <c r="KT41" s="962" t="e">
        <f>[1]!bodmoadal(1,1,(KT34+1),[1]!qsn([1]!ml([1]!taqsha(1,1,1+KT34,KT35)),KT36)/30,KT35,KT36)</f>
        <v>#VALUE!</v>
      </c>
      <c r="KU41" s="962" t="e">
        <f>[1]!bodmoadal(1,1,(KU34+1),[1]!qsn([1]!ml([1]!taqsha(1,1,1+KU34,KU35)),KU36)/30,KU35,KU36)</f>
        <v>#VALUE!</v>
      </c>
      <c r="KV41" s="962" t="e">
        <f>[1]!bodmoadal(1,1,(KV34+1),[1]!qsn([1]!ml([1]!taqsha(1,1,1+KV34,KV35)),KV36)/30,KV35,KV36)</f>
        <v>#VALUE!</v>
      </c>
      <c r="KW41" s="962" t="e">
        <f>[1]!bodmoadal(1,1,(KW34+1),[1]!qsn([1]!ml([1]!taqsha(1,1,1+KW34,KW35)),KW36)/30,KW35,KW36)</f>
        <v>#VALUE!</v>
      </c>
      <c r="KX41" s="962" t="e">
        <f>[1]!bodmoadal(1,1,(KX34+1),[1]!qsn([1]!ml([1]!taqsha(1,1,1+KX34,KX35)),KX36)/30,KX35,KX36)</f>
        <v>#VALUE!</v>
      </c>
      <c r="KY41" s="962" t="e">
        <f>[1]!bodmoadal(1,1,(KY34+1),[1]!qsn([1]!ml([1]!taqsha(1,1,1+KY34,KY35)),KY36)/30,KY35,KY36)</f>
        <v>#VALUE!</v>
      </c>
      <c r="KZ41" s="962" t="e">
        <f>[1]!bodmoadal(1,1,(KZ34+1),[1]!qsn([1]!ml([1]!taqsha(1,1,1+KZ34,KZ35)),KZ36)/30,KZ35,KZ36)</f>
        <v>#VALUE!</v>
      </c>
      <c r="LA41" s="962" t="e">
        <f>[1]!bodmoadal(1,1,(LA34+1),[1]!qsn([1]!ml([1]!taqsha(1,1,1+LA34,LA35)),LA36)/30,LA35,LA36)</f>
        <v>#VALUE!</v>
      </c>
      <c r="LB41" s="962" t="e">
        <f>[1]!bodmoadal(1,1,(LB34+1),[1]!qsn([1]!ml([1]!taqsha(1,1,1+LB34,LB35)),LB36)/30,LB35,LB36)</f>
        <v>#VALUE!</v>
      </c>
      <c r="LC41" s="962" t="e">
        <f>[1]!bodmoadal(1,1,(LC34+1),[1]!qsn([1]!ml([1]!taqsha(1,1,1+LC34,LC35)),LC36)/30,LC35,LC36)</f>
        <v>#VALUE!</v>
      </c>
      <c r="LD41" s="962" t="e">
        <f>[1]!bodmoadal(1,1,(LD34+1),[1]!qsn([1]!ml([1]!taqsha(1,1,1+LD34,LD35)),LD36)/30,LD35,LD36)</f>
        <v>#VALUE!</v>
      </c>
      <c r="LE41" s="962" t="e">
        <f>[1]!bodmoadal(1,1,(LE34+1),[1]!qsn([1]!ml([1]!taqsha(1,1,1+LE34,LE35)),LE36)/30,LE35,LE36)</f>
        <v>#VALUE!</v>
      </c>
      <c r="LF41" s="962" t="e">
        <f>[1]!bodmoadal(1,1,(LF34+1),[1]!qsn([1]!ml([1]!taqsha(1,1,1+LF34,LF35)),LF36)/30,LF35,LF36)</f>
        <v>#VALUE!</v>
      </c>
      <c r="LG41" s="962" t="e">
        <f>[1]!bodmoadal(1,1,(LG34+1),[1]!qsn([1]!ml([1]!taqsha(1,1,1+LG34,LG35)),LG36)/30,LG35,LG36)</f>
        <v>#VALUE!</v>
      </c>
      <c r="LH41" s="962" t="e">
        <f>[1]!bodmoadal(1,1,(LH34+1),[1]!qsn([1]!ml([1]!taqsha(1,1,1+LH34,LH35)),LH36)/30,LH35,LH36)</f>
        <v>#VALUE!</v>
      </c>
      <c r="LI41" s="962" t="e">
        <f>[1]!bodmoadal(1,1,(LI34+1),[1]!qsn([1]!ml([1]!taqsha(1,1,1+LI34,LI35)),LI36)/30,LI35,LI36)</f>
        <v>#VALUE!</v>
      </c>
      <c r="LJ41" s="962" t="e">
        <f>[1]!bodmoadal(1,1,(LJ34+1),[1]!qsn([1]!ml([1]!taqsha(1,1,1+LJ34,LJ35)),LJ36)/30,LJ35,LJ36)</f>
        <v>#VALUE!</v>
      </c>
      <c r="LK41" s="962" t="e">
        <f>[1]!bodmoadal(1,1,(LK34+1),[1]!qsn([1]!ml([1]!taqsha(1,1,1+LK34,LK35)),LK36)/30,LK35,LK36)</f>
        <v>#VALUE!</v>
      </c>
      <c r="LL41" s="962" t="e">
        <f>[1]!bodmoadal(1,1,(LL34+1),[1]!qsn([1]!ml([1]!taqsha(1,1,1+LL34,LL35)),LL36)/30,LL35,LL36)</f>
        <v>#VALUE!</v>
      </c>
      <c r="LM41" s="962" t="e">
        <f>[1]!bodmoadal(1,1,(LM34+1),[1]!qsn([1]!ml([1]!taqsha(1,1,1+LM34,LM35)),LM36)/30,LM35,LM36)</f>
        <v>#VALUE!</v>
      </c>
      <c r="LN41" s="962" t="e">
        <f>[1]!bodmoadal(1,1,(LN34+1),[1]!qsn([1]!ml([1]!taqsha(1,1,1+LN34,LN35)),LN36)/30,LN35,LN36)</f>
        <v>#VALUE!</v>
      </c>
      <c r="LO41" s="962" t="e">
        <f>[1]!bodmoadal(1,1,(LO34+1),[1]!qsn([1]!ml([1]!taqsha(1,1,1+LO34,LO35)),LO36)/30,LO35,LO36)</f>
        <v>#VALUE!</v>
      </c>
      <c r="LP41" s="962" t="e">
        <f>[1]!bodmoadal(1,1,(LP34+1),[1]!qsn([1]!ml([1]!taqsha(1,1,1+LP34,LP35)),LP36)/30,LP35,LP36)</f>
        <v>#VALUE!</v>
      </c>
      <c r="LQ41" s="962" t="e">
        <f>[1]!bodmoadal(1,1,(LQ34+1),[1]!qsn([1]!ml([1]!taqsha(1,1,1+LQ34,LQ35)),LQ36)/30,LQ35,LQ36)</f>
        <v>#VALUE!</v>
      </c>
      <c r="LR41" s="962" t="e">
        <f>[1]!bodmoadal(1,1,(LR34+1),[1]!qsn([1]!ml([1]!taqsha(1,1,1+LR34,LR35)),LR36)/30,LR35,LR36)</f>
        <v>#VALUE!</v>
      </c>
      <c r="LS41" s="962" t="e">
        <f>[1]!bodmoadal(1,1,(LS34+1),[1]!qsn([1]!ml([1]!taqsha(1,1,1+LS34,LS35)),LS36)/30,LS35,LS36)</f>
        <v>#VALUE!</v>
      </c>
      <c r="LT41" s="962" t="e">
        <f>[1]!bodmoadal(1,1,(LT34+1),[1]!qsn([1]!ml([1]!taqsha(1,1,1+LT34,LT35)),LT36)/30,LT35,LT36)</f>
        <v>#VALUE!</v>
      </c>
      <c r="LU41" s="962" t="e">
        <f>[1]!bodmoadal(1,1,(LU34+1),[1]!qsn([1]!ml([1]!taqsha(1,1,1+LU34,LU35)),LU36)/30,LU35,LU36)</f>
        <v>#VALUE!</v>
      </c>
      <c r="LV41" s="962" t="e">
        <f>[1]!bodmoadal(1,1,(LV34+1),[1]!qsn([1]!ml([1]!taqsha(1,1,1+LV34,LV35)),LV36)/30,LV35,LV36)</f>
        <v>#VALUE!</v>
      </c>
      <c r="LW41" s="962" t="e">
        <f>[1]!bodmoadal(1,1,(LW34+1),[1]!qsn([1]!ml([1]!taqsha(1,1,1+LW34,LW35)),LW36)/30,LW35,LW36)</f>
        <v>#VALUE!</v>
      </c>
      <c r="LX41" s="962" t="e">
        <f>[1]!bodmoadal(1,1,(LX34+1),[1]!qsn([1]!ml([1]!taqsha(1,1,1+LX34,LX35)),LX36)/30,LX35,LX36)</f>
        <v>#VALUE!</v>
      </c>
      <c r="LY41" s="962" t="e">
        <f>[1]!bodmoadal(1,1,(LY34+1),[1]!qsn([1]!ml([1]!taqsha(1,1,1+LY34,LY35)),LY36)/30,LY35,LY36)</f>
        <v>#VALUE!</v>
      </c>
      <c r="LZ41" s="962" t="e">
        <f>[1]!bodmoadal(1,1,(LZ34+1),[1]!qsn([1]!ml([1]!taqsha(1,1,1+LZ34,LZ35)),LZ36)/30,LZ35,LZ36)</f>
        <v>#VALUE!</v>
      </c>
      <c r="MA41" s="962" t="e">
        <f>[1]!bodmoadal(1,1,(MA34+1),[1]!qsn([1]!ml([1]!taqsha(1,1,1+MA34,MA35)),MA36)/30,MA35,MA36)</f>
        <v>#VALUE!</v>
      </c>
      <c r="MB41" s="962" t="e">
        <f>[1]!bodmoadal(1,1,(MB34+1),[1]!qsn([1]!ml([1]!taqsha(1,1,1+MB34,MB35)),MB36)/30,MB35,MB36)</f>
        <v>#VALUE!</v>
      </c>
      <c r="MC41" s="962" t="e">
        <f>[1]!bodmoadal(1,1,(MC34+1),[1]!qsn([1]!ml([1]!taqsha(1,1,1+MC34,MC35)),MC36)/30,MC35,MC36)</f>
        <v>#VALUE!</v>
      </c>
      <c r="MD41" s="962" t="e">
        <f>[1]!bodmoadal(1,1,(MD34+1),[1]!qsn([1]!ml([1]!taqsha(1,1,1+MD34,MD35)),MD36)/30,MD35,MD36)</f>
        <v>#VALUE!</v>
      </c>
      <c r="ME41" s="962" t="e">
        <f>[1]!bodmoadal(1,1,(ME34+1),[1]!qsn([1]!ml([1]!taqsha(1,1,1+ME34,ME35)),ME36)/30,ME35,ME36)</f>
        <v>#VALUE!</v>
      </c>
      <c r="MF41" s="962" t="e">
        <f>[1]!bodmoadal(1,1,(MF34+1),[1]!qsn([1]!ml([1]!taqsha(1,1,1+MF34,MF35)),MF36)/30,MF35,MF36)</f>
        <v>#VALUE!</v>
      </c>
      <c r="MG41" s="962" t="e">
        <f>[1]!bodmoadal(1,1,(MG34+1),[1]!qsn([1]!ml([1]!taqsha(1,1,1+MG34,MG35)),MG36)/30,MG35,MG36)</f>
        <v>#VALUE!</v>
      </c>
      <c r="MH41" s="962" t="e">
        <f>[1]!bodmoadal(1,1,(MH34+1),[1]!qsn([1]!ml([1]!taqsha(1,1,1+MH34,MH35)),MH36)/30,MH35,MH36)</f>
        <v>#VALUE!</v>
      </c>
      <c r="MI41" s="962" t="e">
        <f>[1]!bodmoadal(1,1,(MI34+1),[1]!qsn([1]!ml([1]!taqsha(1,1,1+MI34,MI35)),MI36)/30,MI35,MI36)</f>
        <v>#VALUE!</v>
      </c>
      <c r="MJ41" s="962" t="e">
        <f>[1]!bodmoadal(1,1,(MJ34+1),[1]!qsn([1]!ml([1]!taqsha(1,1,1+MJ34,MJ35)),MJ36)/30,MJ35,MJ36)</f>
        <v>#VALUE!</v>
      </c>
      <c r="MK41" s="962" t="e">
        <f>[1]!bodmoadal(1,1,(MK34+1),[1]!qsn([1]!ml([1]!taqsha(1,1,1+MK34,MK35)),MK36)/30,MK35,MK36)</f>
        <v>#VALUE!</v>
      </c>
      <c r="ML41" s="962" t="e">
        <f>[1]!bodmoadal(1,1,(ML34+1),[1]!qsn([1]!ml([1]!taqsha(1,1,1+ML34,ML35)),ML36)/30,ML35,ML36)</f>
        <v>#VALUE!</v>
      </c>
      <c r="MM41" s="962" t="e">
        <f>[1]!bodmoadal(1,1,(MM34+1),[1]!qsn([1]!ml([1]!taqsha(1,1,1+MM34,MM35)),MM36)/30,MM35,MM36)</f>
        <v>#VALUE!</v>
      </c>
      <c r="MN41" s="962" t="e">
        <f>[1]!bodmoadal(1,1,(MN34+1),[1]!qsn([1]!ml([1]!taqsha(1,1,1+MN34,MN35)),MN36)/30,MN35,MN36)</f>
        <v>#VALUE!</v>
      </c>
      <c r="MO41" s="962" t="e">
        <f>[1]!bodmoadal(1,1,(MO34+1),[1]!qsn([1]!ml([1]!taqsha(1,1,1+MO34,MO35)),MO36)/30,MO35,MO36)</f>
        <v>#VALUE!</v>
      </c>
      <c r="MP41" s="962" t="e">
        <f>[1]!bodmoadal(1,1,(MP34+1),[1]!qsn([1]!ml([1]!taqsha(1,1,1+MP34,MP35)),MP36)/30,MP35,MP36)</f>
        <v>#VALUE!</v>
      </c>
      <c r="MQ41" s="962" t="e">
        <f>[1]!bodmoadal(1,1,(MQ34+1),[1]!qsn([1]!ml([1]!taqsha(1,1,1+MQ34,MQ35)),MQ36)/30,MQ35,MQ36)</f>
        <v>#VALUE!</v>
      </c>
      <c r="MR41" s="962" t="e">
        <f>[1]!bodmoadal(1,1,(MR34+1),[1]!qsn([1]!ml([1]!taqsha(1,1,1+MR34,MR35)),MR36)/30,MR35,MR36)</f>
        <v>#VALUE!</v>
      </c>
      <c r="MS41" s="962" t="e">
        <f>[1]!bodmoadal(1,1,(MS34+1),[1]!qsn([1]!ml([1]!taqsha(1,1,1+MS34,MS35)),MS36)/30,MS35,MS36)</f>
        <v>#VALUE!</v>
      </c>
      <c r="MT41" s="962" t="e">
        <f>[1]!bodmoadal(1,1,(MT34+1),[1]!qsn([1]!ml([1]!taqsha(1,1,1+MT34,MT35)),MT36)/30,MT35,MT36)</f>
        <v>#VALUE!</v>
      </c>
      <c r="MU41" s="962" t="e">
        <f>[1]!bodmoadal(1,1,(MU34+1),[1]!qsn([1]!ml([1]!taqsha(1,1,1+MU34,MU35)),MU36)/30,MU35,MU36)</f>
        <v>#VALUE!</v>
      </c>
      <c r="MV41" s="962" t="e">
        <f>[1]!bodmoadal(1,1,(MV34+1),[1]!qsn([1]!ml([1]!taqsha(1,1,1+MV34,MV35)),MV36)/30,MV35,MV36)</f>
        <v>#VALUE!</v>
      </c>
      <c r="MW41" s="962" t="e">
        <f>[1]!bodmoadal(1,1,(MW34+1),[1]!qsn([1]!ml([1]!taqsha(1,1,1+MW34,MW35)),MW36)/30,MW35,MW36)</f>
        <v>#VALUE!</v>
      </c>
      <c r="MX41" s="962" t="e">
        <f>[1]!bodmoadal(1,1,(MX34+1),[1]!qsn([1]!ml([1]!taqsha(1,1,1+MX34,MX35)),MX36)/30,MX35,MX36)</f>
        <v>#VALUE!</v>
      </c>
      <c r="MY41" s="962" t="e">
        <f>[1]!bodmoadal(1,1,(MY34+1),[1]!qsn([1]!ml([1]!taqsha(1,1,1+MY34,MY35)),MY36)/30,MY35,MY36)</f>
        <v>#VALUE!</v>
      </c>
      <c r="MZ41" s="962" t="e">
        <f>[1]!bodmoadal(1,1,(MZ34+1),[1]!qsn([1]!ml([1]!taqsha(1,1,1+MZ34,MZ35)),MZ36)/30,MZ35,MZ36)</f>
        <v>#VALUE!</v>
      </c>
      <c r="NA41" s="962" t="e">
        <f>[1]!bodmoadal(1,1,(NA34+1),[1]!qsn([1]!ml([1]!taqsha(1,1,1+NA34,NA35)),NA36)/30,NA35,NA36)</f>
        <v>#VALUE!</v>
      </c>
      <c r="NB41" s="962" t="e">
        <f>[1]!bodmoadal(1,1,(NB34+1),[1]!qsn([1]!ml([1]!taqsha(1,1,1+NB34,NB35)),NB36)/30,NB35,NB36)</f>
        <v>#VALUE!</v>
      </c>
      <c r="NC41" s="962" t="e">
        <f>[1]!bodmoadal(1,1,(NC34+1),[1]!qsn([1]!ml([1]!taqsha(1,1,1+NC34,NC35)),NC36)/30,NC35,NC36)</f>
        <v>#VALUE!</v>
      </c>
      <c r="ND41" s="962" t="e">
        <f>[1]!bodmoadal(1,1,(ND34+1),[1]!qsn([1]!ml([1]!taqsha(1,1,1+ND34,ND35)),ND36)/30,ND35,ND36)</f>
        <v>#VALUE!</v>
      </c>
      <c r="NE41" s="962" t="e">
        <f>[1]!bodmoadal(1,1,(NE34+1),[1]!qsn([1]!ml([1]!taqsha(1,1,1+NE34,NE35)),NE36)/30,NE35,NE36)</f>
        <v>#VALUE!</v>
      </c>
      <c r="NF41" s="962" t="e">
        <f>[1]!bodmoadal(1,1,(NF34+1),[1]!qsn([1]!ml([1]!taqsha(1,1,1+NF34,NF35)),NF36)/30,NF35,NF36)</f>
        <v>#VALUE!</v>
      </c>
      <c r="NG41" s="962" t="e">
        <f>[1]!bodmoadal(1,1,(NG34+1),[1]!qsn([1]!ml([1]!taqsha(1,1,1+NG34,NG35)),NG36)/30,NG35,NG36)</f>
        <v>#VALUE!</v>
      </c>
      <c r="NH41" s="962" t="e">
        <f>[1]!bodmoadal(1,1,(NH34+1),[1]!qsn([1]!ml([1]!taqsha(1,1,1+NH34,NH35)),NH36)/30,NH35,NH36)</f>
        <v>#VALUE!</v>
      </c>
      <c r="NI41" s="962" t="e">
        <f>[1]!bodmoadal(1,1,(NI34+1),[1]!qsn([1]!ml([1]!taqsha(1,1,1+NI34,NI35)),NI36)/30,NI35,NI36)</f>
        <v>#VALUE!</v>
      </c>
      <c r="NJ41" s="962" t="e">
        <f>[1]!bodmoadal(1,1,(NJ34+1),[1]!qsn([1]!ml([1]!taqsha(1,1,1+NJ34,NJ35)),NJ36)/30,NJ35,NJ36)</f>
        <v>#VALUE!</v>
      </c>
      <c r="NK41" s="962" t="e">
        <f>[1]!bodmoadal(1,1,(NK34+1),[1]!qsn([1]!ml([1]!taqsha(1,1,1+NK34,NK35)),NK36)/30,NK35,NK36)</f>
        <v>#VALUE!</v>
      </c>
      <c r="NL41" s="962" t="e">
        <f>[1]!bodmoadal(1,1,(NL34+1),[1]!qsn([1]!ml([1]!taqsha(1,1,1+NL34,NL35)),NL36)/30,NL35,NL36)</f>
        <v>#VALUE!</v>
      </c>
      <c r="NM41" s="962" t="e">
        <f>[1]!bodmoadal(1,1,(NM34+1),[1]!qsn([1]!ml([1]!taqsha(1,1,1+NM34,NM35)),NM36)/30,NM35,NM36)</f>
        <v>#VALUE!</v>
      </c>
      <c r="NN41" s="962" t="e">
        <f>[1]!bodmoadal(1,1,(NN34+1),[1]!qsn([1]!ml([1]!taqsha(1,1,1+NN34,NN35)),NN36)/30,NN35,NN36)</f>
        <v>#VALUE!</v>
      </c>
      <c r="NO41" s="962" t="e">
        <f>[1]!bodmoadal(1,1,(NO34+1),[1]!qsn([1]!ml([1]!taqsha(1,1,1+NO34,NO35)),NO36)/30,NO35,NO36)</f>
        <v>#VALUE!</v>
      </c>
      <c r="NP41" s="962" t="e">
        <f>[1]!bodmoadal(1,1,(NP34+1),[1]!qsn([1]!ml([1]!taqsha(1,1,1+NP34,NP35)),NP36)/30,NP35,NP36)</f>
        <v>#VALUE!</v>
      </c>
      <c r="NQ41" s="962" t="e">
        <f>[1]!bodmoadal(1,1,(NQ34+1),[1]!qsn([1]!ml([1]!taqsha(1,1,1+NQ34,NQ35)),NQ36)/30,NQ35,NQ36)</f>
        <v>#VALUE!</v>
      </c>
      <c r="NR41" s="962" t="e">
        <f>[1]!bodmoadal(1,1,(NR34+1),[1]!qsn([1]!ml([1]!taqsha(1,1,1+NR34,NR35)),NR36)/30,NR35,NR36)</f>
        <v>#VALUE!</v>
      </c>
      <c r="NS41" s="962" t="e">
        <f>[1]!bodmoadal(1,1,(NS34+1),[1]!qsn([1]!ml([1]!taqsha(1,1,1+NS34,NS35)),NS36)/30,NS35,NS36)</f>
        <v>#VALUE!</v>
      </c>
      <c r="NT41" s="962" t="e">
        <f>[1]!bodmoadal(1,1,(NT34+1),[1]!qsn([1]!ml([1]!taqsha(1,1,1+NT34,NT35)),NT36)/30,NT35,NT36)</f>
        <v>#VALUE!</v>
      </c>
      <c r="NU41" s="962" t="e">
        <f>[1]!bodmoadal(1,1,(NU34+1),[1]!qsn([1]!ml([1]!taqsha(1,1,1+NU34,NU35)),NU36)/30,NU35,NU36)</f>
        <v>#VALUE!</v>
      </c>
      <c r="NV41" s="962" t="e">
        <f>[1]!bodmoadal(1,1,(NV34+1),[1]!qsn([1]!ml([1]!taqsha(1,1,1+NV34,NV35)),NV36)/30,NV35,NV36)</f>
        <v>#VALUE!</v>
      </c>
      <c r="NW41" s="962" t="e">
        <f>[1]!bodmoadal(1,1,(NW34+1),[1]!qsn([1]!ml([1]!taqsha(1,1,1+NW34,NW35)),NW36)/30,NW35,NW36)</f>
        <v>#VALUE!</v>
      </c>
      <c r="NX41" s="962" t="e">
        <f>[1]!bodmoadal(1,1,(NX34+1),[1]!qsn([1]!ml([1]!taqsha(1,1,1+NX34,NX35)),NX36)/30,NX35,NX36)</f>
        <v>#VALUE!</v>
      </c>
      <c r="NY41" s="962" t="e">
        <f>[1]!bodmoadal(1,1,(NY34+1),[1]!qsn([1]!ml([1]!taqsha(1,1,1+NY34,NY35)),NY36)/30,NY35,NY36)</f>
        <v>#VALUE!</v>
      </c>
      <c r="NZ41" s="962" t="e">
        <f>[1]!bodmoadal(1,1,(NZ34+1),[1]!qsn([1]!ml([1]!taqsha(1,1,1+NZ34,NZ35)),NZ36)/30,NZ35,NZ36)</f>
        <v>#VALUE!</v>
      </c>
      <c r="OA41" s="962" t="e">
        <f>[1]!bodmoadal(1,1,(OA34+1),[1]!qsn([1]!ml([1]!taqsha(1,1,1+OA34,OA35)),OA36)/30,OA35,OA36)</f>
        <v>#VALUE!</v>
      </c>
      <c r="OB41" s="962" t="e">
        <f>[1]!bodmoadal(1,1,(OB34+1),[1]!qsn([1]!ml([1]!taqsha(1,1,1+OB34,OB35)),OB36)/30,OB35,OB36)</f>
        <v>#VALUE!</v>
      </c>
      <c r="OC41" s="962" t="e">
        <f>[1]!bodmoadal(1,1,(OC34+1),[1]!qsn([1]!ml([1]!taqsha(1,1,1+OC34,OC35)),OC36)/30,OC35,OC36)</f>
        <v>#VALUE!</v>
      </c>
      <c r="OD41" s="962" t="e">
        <f>[1]!bodmoadal(1,1,(OD34+1),[1]!qsn([1]!ml([1]!taqsha(1,1,1+OD34,OD35)),OD36)/30,OD35,OD36)</f>
        <v>#VALUE!</v>
      </c>
      <c r="OE41" s="962" t="e">
        <f>[1]!bodmoadal(1,1,(OE34+1),[1]!qsn([1]!ml([1]!taqsha(1,1,1+OE34,OE35)),OE36)/30,OE35,OE36)</f>
        <v>#VALUE!</v>
      </c>
      <c r="OF41" s="962" t="e">
        <f>[1]!bodmoadal(1,1,(OF34+1),[1]!qsn([1]!ml([1]!taqsha(1,1,1+OF34,OF35)),OF36)/30,OF35,OF36)</f>
        <v>#VALUE!</v>
      </c>
      <c r="OG41" s="962" t="e">
        <f>[1]!bodmoadal(1,1,(OG34+1),[1]!qsn([1]!ml([1]!taqsha(1,1,1+OG34,OG35)),OG36)/30,OG35,OG36)</f>
        <v>#VALUE!</v>
      </c>
      <c r="OH41" s="962" t="e">
        <f>[1]!bodmoadal(1,1,(OH34+1),[1]!qsn([1]!ml([1]!taqsha(1,1,1+OH34,OH35)),OH36)/30,OH35,OH36)</f>
        <v>#VALUE!</v>
      </c>
      <c r="OI41" s="962" t="e">
        <f>[1]!bodmoadal(1,1,(OI34+1),[1]!qsn([1]!ml([1]!taqsha(1,1,1+OI34,OI35)),OI36)/30,OI35,OI36)</f>
        <v>#VALUE!</v>
      </c>
      <c r="OJ41" s="962" t="e">
        <f>[1]!bodmoadal(1,1,(OJ34+1),[1]!qsn([1]!ml([1]!taqsha(1,1,1+OJ34,OJ35)),OJ36)/30,OJ35,OJ36)</f>
        <v>#VALUE!</v>
      </c>
      <c r="OK41" s="962" t="e">
        <f>[1]!bodmoadal(1,1,(OK34+1),[1]!qsn([1]!ml([1]!taqsha(1,1,1+OK34,OK35)),OK36)/30,OK35,OK36)</f>
        <v>#VALUE!</v>
      </c>
      <c r="OL41" s="962" t="e">
        <f>[1]!bodmoadal(1,1,(OL34+1),[1]!qsn([1]!ml([1]!taqsha(1,1,1+OL34,OL35)),OL36)/30,OL35,OL36)</f>
        <v>#VALUE!</v>
      </c>
      <c r="OM41" s="962" t="e">
        <f>[1]!bodmoadal(1,1,(OM34+1),[1]!qsn([1]!ml([1]!taqsha(1,1,1+OM34,OM35)),OM36)/30,OM35,OM36)</f>
        <v>#VALUE!</v>
      </c>
      <c r="ON41" s="962" t="e">
        <f>[1]!bodmoadal(1,1,(ON34+1),[1]!qsn([1]!ml([1]!taqsha(1,1,1+ON34,ON35)),ON36)/30,ON35,ON36)</f>
        <v>#VALUE!</v>
      </c>
      <c r="OO41" s="962" t="e">
        <f>[1]!bodmoadal(1,1,(OO34+1),[1]!qsn([1]!ml([1]!taqsha(1,1,1+OO34,OO35)),OO36)/30,OO35,OO36)</f>
        <v>#VALUE!</v>
      </c>
      <c r="OP41" s="962" t="e">
        <f>[1]!bodmoadal(1,1,(OP34+1),[1]!qsn([1]!ml([1]!taqsha(1,1,1+OP34,OP35)),OP36)/30,OP35,OP36)</f>
        <v>#VALUE!</v>
      </c>
      <c r="OQ41" s="962" t="e">
        <f>[1]!bodmoadal(1,1,(OQ34+1),[1]!qsn([1]!ml([1]!taqsha(1,1,1+OQ34,OQ35)),OQ36)/30,OQ35,OQ36)</f>
        <v>#VALUE!</v>
      </c>
      <c r="OR41" s="962" t="e">
        <f>[1]!bodmoadal(1,1,(OR34+1),[1]!qsn([1]!ml([1]!taqsha(1,1,1+OR34,OR35)),OR36)/30,OR35,OR36)</f>
        <v>#VALUE!</v>
      </c>
      <c r="OS41" s="962" t="e">
        <f>[1]!bodmoadal(1,1,(OS34+1),[1]!qsn([1]!ml([1]!taqsha(1,1,1+OS34,OS35)),OS36)/30,OS35,OS36)</f>
        <v>#VALUE!</v>
      </c>
      <c r="OT41" s="962" t="e">
        <f>[1]!bodmoadal(1,1,(OT34+1),[1]!qsn([1]!ml([1]!taqsha(1,1,1+OT34,OT35)),OT36)/30,OT35,OT36)</f>
        <v>#VALUE!</v>
      </c>
      <c r="OU41" s="962" t="e">
        <f>[1]!bodmoadal(1,1,(OU34+1),[1]!qsn([1]!ml([1]!taqsha(1,1,1+OU34,OU35)),OU36)/30,OU35,OU36)</f>
        <v>#VALUE!</v>
      </c>
      <c r="OV41" s="962" t="e">
        <f>[1]!bodmoadal(1,1,(OV34+1),[1]!qsn([1]!ml([1]!taqsha(1,1,1+OV34,OV35)),OV36)/30,OV35,OV36)</f>
        <v>#VALUE!</v>
      </c>
      <c r="OW41" s="962" t="e">
        <f>[1]!bodmoadal(1,1,(OW34+1),[1]!qsn([1]!ml([1]!taqsha(1,1,1+OW34,OW35)),OW36)/30,OW35,OW36)</f>
        <v>#VALUE!</v>
      </c>
      <c r="OX41" s="962" t="e">
        <f>[1]!bodmoadal(1,1,(OX34+1),[1]!qsn([1]!ml([1]!taqsha(1,1,1+OX34,OX35)),OX36)/30,OX35,OX36)</f>
        <v>#VALUE!</v>
      </c>
      <c r="OY41" s="962" t="e">
        <f>[1]!bodmoadal(1,1,(OY34+1),[1]!qsn([1]!ml([1]!taqsha(1,1,1+OY34,OY35)),OY36)/30,OY35,OY36)</f>
        <v>#VALUE!</v>
      </c>
      <c r="OZ41" s="962" t="e">
        <f>[1]!bodmoadal(1,1,(OZ34+1),[1]!qsn([1]!ml([1]!taqsha(1,1,1+OZ34,OZ35)),OZ36)/30,OZ35,OZ36)</f>
        <v>#VALUE!</v>
      </c>
      <c r="PA41" s="962" t="e">
        <f>[1]!bodmoadal(1,1,(PA34+1),[1]!qsn([1]!ml([1]!taqsha(1,1,1+PA34,PA35)),PA36)/30,PA35,PA36)</f>
        <v>#VALUE!</v>
      </c>
      <c r="PB41" s="962" t="e">
        <f>[1]!bodmoadal(1,1,(PB34+1),[1]!qsn([1]!ml([1]!taqsha(1,1,1+PB34,PB35)),PB36)/30,PB35,PB36)</f>
        <v>#VALUE!</v>
      </c>
      <c r="PC41" s="962" t="e">
        <f>[1]!bodmoadal(1,1,(PC34+1),[1]!qsn([1]!ml([1]!taqsha(1,1,1+PC34,PC35)),PC36)/30,PC35,PC36)</f>
        <v>#VALUE!</v>
      </c>
      <c r="PD41" s="962" t="e">
        <f>[1]!bodmoadal(1,1,(PD34+1),[1]!qsn([1]!ml([1]!taqsha(1,1,1+PD34,PD35)),PD36)/30,PD35,PD36)</f>
        <v>#VALUE!</v>
      </c>
      <c r="PE41" s="962" t="e">
        <f>[1]!bodmoadal(1,1,(PE34+1),[1]!qsn([1]!ml([1]!taqsha(1,1,1+PE34,PE35)),PE36)/30,PE35,PE36)</f>
        <v>#VALUE!</v>
      </c>
      <c r="PF41" s="962" t="e">
        <f>[1]!bodmoadal(1,1,(PF34+1),[1]!qsn([1]!ml([1]!taqsha(1,1,1+PF34,PF35)),PF36)/30,PF35,PF36)</f>
        <v>#VALUE!</v>
      </c>
      <c r="PG41" s="962" t="e">
        <f>[1]!bodmoadal(1,1,(PG34+1),[1]!qsn([1]!ml([1]!taqsha(1,1,1+PG34,PG35)),PG36)/30,PG35,PG36)</f>
        <v>#VALUE!</v>
      </c>
      <c r="PH41" s="962" t="e">
        <f>[1]!bodmoadal(1,1,(PH34+1),[1]!qsn([1]!ml([1]!taqsha(1,1,1+PH34,PH35)),PH36)/30,PH35,PH36)</f>
        <v>#VALUE!</v>
      </c>
      <c r="PI41" s="962" t="e">
        <f>[1]!bodmoadal(1,1,(PI34+1),[1]!qsn([1]!ml([1]!taqsha(1,1,1+PI34,PI35)),PI36)/30,PI35,PI36)</f>
        <v>#VALUE!</v>
      </c>
      <c r="PJ41" s="962" t="e">
        <f>[1]!bodmoadal(1,1,(PJ34+1),[1]!qsn([1]!ml([1]!taqsha(1,1,1+PJ34,PJ35)),PJ36)/30,PJ35,PJ36)</f>
        <v>#VALUE!</v>
      </c>
      <c r="PK41" s="962" t="e">
        <f>[1]!bodmoadal(1,1,(PK34+1),[1]!qsn([1]!ml([1]!taqsha(1,1,1+PK34,PK35)),PK36)/30,PK35,PK36)</f>
        <v>#VALUE!</v>
      </c>
      <c r="PL41" s="962" t="e">
        <f>[1]!bodmoadal(1,1,(PL34+1),[1]!qsn([1]!ml([1]!taqsha(1,1,1+PL34,PL35)),PL36)/30,PL35,PL36)</f>
        <v>#VALUE!</v>
      </c>
      <c r="PM41" s="962" t="e">
        <f>[1]!bodmoadal(1,1,(PM34+1),[1]!qsn([1]!ml([1]!taqsha(1,1,1+PM34,PM35)),PM36)/30,PM35,PM36)</f>
        <v>#VALUE!</v>
      </c>
      <c r="PN41" s="962" t="e">
        <f>[1]!bodmoadal(1,1,(PN34+1),[1]!qsn([1]!ml([1]!taqsha(1,1,1+PN34,PN35)),PN36)/30,PN35,PN36)</f>
        <v>#VALUE!</v>
      </c>
      <c r="PO41" s="962" t="e">
        <f>[1]!bodmoadal(1,1,(PO34+1),[1]!qsn([1]!ml([1]!taqsha(1,1,1+PO34,PO35)),PO36)/30,PO35,PO36)</f>
        <v>#VALUE!</v>
      </c>
      <c r="PP41" s="962" t="e">
        <f>[1]!bodmoadal(1,1,(PP34+1),[1]!qsn([1]!ml([1]!taqsha(1,1,1+PP34,PP35)),PP36)/30,PP35,PP36)</f>
        <v>#VALUE!</v>
      </c>
      <c r="PQ41" s="962" t="e">
        <f>[1]!bodmoadal(1,1,(PQ34+1),[1]!qsn([1]!ml([1]!taqsha(1,1,1+PQ34,PQ35)),PQ36)/30,PQ35,PQ36)</f>
        <v>#VALUE!</v>
      </c>
      <c r="PR41" s="962" t="e">
        <f>[1]!bodmoadal(1,1,(PR34+1),[1]!qsn([1]!ml([1]!taqsha(1,1,1+PR34,PR35)),PR36)/30,PR35,PR36)</f>
        <v>#VALUE!</v>
      </c>
      <c r="PS41" s="962" t="e">
        <f>[1]!bodmoadal(1,1,(PS34+1),[1]!qsn([1]!ml([1]!taqsha(1,1,1+PS34,PS35)),PS36)/30,PS35,PS36)</f>
        <v>#VALUE!</v>
      </c>
      <c r="PT41" s="962" t="e">
        <f>[1]!bodmoadal(1,1,(PT34+1),[1]!qsn([1]!ml([1]!taqsha(1,1,1+PT34,PT35)),PT36)/30,PT35,PT36)</f>
        <v>#VALUE!</v>
      </c>
      <c r="PU41" s="962" t="e">
        <f>[1]!bodmoadal(1,1,(PU34+1),[1]!qsn([1]!ml([1]!taqsha(1,1,1+PU34,PU35)),PU36)/30,PU35,PU36)</f>
        <v>#VALUE!</v>
      </c>
      <c r="PV41" s="962" t="e">
        <f>[1]!bodmoadal(1,1,(PV34+1),[1]!qsn([1]!ml([1]!taqsha(1,1,1+PV34,PV35)),PV36)/30,PV35,PV36)</f>
        <v>#VALUE!</v>
      </c>
      <c r="PW41" s="962" t="e">
        <f>[1]!bodmoadal(1,1,(PW34+1),[1]!qsn([1]!ml([1]!taqsha(1,1,1+PW34,PW35)),PW36)/30,PW35,PW36)</f>
        <v>#VALUE!</v>
      </c>
      <c r="PX41" s="962" t="e">
        <f>[1]!bodmoadal(1,1,(PX34+1),[1]!qsn([1]!ml([1]!taqsha(1,1,1+PX34,PX35)),PX36)/30,PX35,PX36)</f>
        <v>#VALUE!</v>
      </c>
      <c r="PY41" s="962" t="e">
        <f>[1]!bodmoadal(1,1,(PY34+1),[1]!qsn([1]!ml([1]!taqsha(1,1,1+PY34,PY35)),PY36)/30,PY35,PY36)</f>
        <v>#VALUE!</v>
      </c>
      <c r="PZ41" s="962" t="e">
        <f>[1]!bodmoadal(1,1,(PZ34+1),[1]!qsn([1]!ml([1]!taqsha(1,1,1+PZ34,PZ35)),PZ36)/30,PZ35,PZ36)</f>
        <v>#VALUE!</v>
      </c>
      <c r="QA41" s="962" t="e">
        <f>[1]!bodmoadal(1,1,(QA34+1),[1]!qsn([1]!ml([1]!taqsha(1,1,1+QA34,QA35)),QA36)/30,QA35,QA36)</f>
        <v>#VALUE!</v>
      </c>
      <c r="QB41" s="962" t="e">
        <f>[1]!bodmoadal(1,1,(QB34+1),[1]!qsn([1]!ml([1]!taqsha(1,1,1+QB34,QB35)),QB36)/30,QB35,QB36)</f>
        <v>#VALUE!</v>
      </c>
      <c r="QC41" s="962" t="e">
        <f>[1]!bodmoadal(1,1,(QC34+1),[1]!qsn([1]!ml([1]!taqsha(1,1,1+QC34,QC35)),QC36)/30,QC35,QC36)</f>
        <v>#VALUE!</v>
      </c>
      <c r="QD41" s="962" t="e">
        <f>[1]!bodmoadal(1,1,(QD34+1),[1]!qsn([1]!ml([1]!taqsha(1,1,1+QD34,QD35)),QD36)/30,QD35,QD36)</f>
        <v>#VALUE!</v>
      </c>
      <c r="QE41" s="962" t="e">
        <f>[1]!bodmoadal(1,1,(QE34+1),[1]!qsn([1]!ml([1]!taqsha(1,1,1+QE34,QE35)),QE36)/30,QE35,QE36)</f>
        <v>#VALUE!</v>
      </c>
      <c r="QF41" s="962" t="e">
        <f>[1]!bodmoadal(1,1,(QF34+1),[1]!qsn([1]!ml([1]!taqsha(1,1,1+QF34,QF35)),QF36)/30,QF35,QF36)</f>
        <v>#VALUE!</v>
      </c>
      <c r="QG41" s="962" t="e">
        <f>[1]!bodmoadal(1,1,(QG34+1),[1]!qsn([1]!ml([1]!taqsha(1,1,1+QG34,QG35)),QG36)/30,QG35,QG36)</f>
        <v>#VALUE!</v>
      </c>
      <c r="QH41" s="962" t="e">
        <f>[1]!bodmoadal(1,1,(QH34+1),[1]!qsn([1]!ml([1]!taqsha(1,1,1+QH34,QH35)),QH36)/30,QH35,QH36)</f>
        <v>#VALUE!</v>
      </c>
      <c r="QI41" s="962" t="e">
        <f>[1]!bodmoadal(1,1,(QI34+1),[1]!qsn([1]!ml([1]!taqsha(1,1,1+QI34,QI35)),QI36)/30,QI35,QI36)</f>
        <v>#VALUE!</v>
      </c>
      <c r="QJ41" s="962" t="e">
        <f>[1]!bodmoadal(1,1,(QJ34+1),[1]!qsn([1]!ml([1]!taqsha(1,1,1+QJ34,QJ35)),QJ36)/30,QJ35,QJ36)</f>
        <v>#VALUE!</v>
      </c>
      <c r="QK41" s="962" t="e">
        <f>[1]!bodmoadal(1,1,(QK34+1),[1]!qsn([1]!ml([1]!taqsha(1,1,1+QK34,QK35)),QK36)/30,QK35,QK36)</f>
        <v>#VALUE!</v>
      </c>
      <c r="QL41" s="962" t="e">
        <f>[1]!bodmoadal(1,1,(QL34+1),[1]!qsn([1]!ml([1]!taqsha(1,1,1+QL34,QL35)),QL36)/30,QL35,QL36)</f>
        <v>#VALUE!</v>
      </c>
      <c r="QM41" s="962" t="e">
        <f>[1]!bodmoadal(1,1,(QM34+1),[1]!qsn([1]!ml([1]!taqsha(1,1,1+QM34,QM35)),QM36)/30,QM35,QM36)</f>
        <v>#VALUE!</v>
      </c>
      <c r="QN41" s="962" t="e">
        <f>[1]!bodmoadal(1,1,(QN34+1),[1]!qsn([1]!ml([1]!taqsha(1,1,1+QN34,QN35)),QN36)/30,QN35,QN36)</f>
        <v>#VALUE!</v>
      </c>
      <c r="QO41" s="962" t="e">
        <f>[1]!bodmoadal(1,1,(QO34+1),[1]!qsn([1]!ml([1]!taqsha(1,1,1+QO34,QO35)),QO36)/30,QO35,QO36)</f>
        <v>#VALUE!</v>
      </c>
      <c r="QP41" s="962" t="e">
        <f>[1]!bodmoadal(1,1,(QP34+1),[1]!qsn([1]!ml([1]!taqsha(1,1,1+QP34,QP35)),QP36)/30,QP35,QP36)</f>
        <v>#VALUE!</v>
      </c>
      <c r="QQ41" s="962" t="e">
        <f>[1]!bodmoadal(1,1,(QQ34+1),[1]!qsn([1]!ml([1]!taqsha(1,1,1+QQ34,QQ35)),QQ36)/30,QQ35,QQ36)</f>
        <v>#VALUE!</v>
      </c>
      <c r="QR41" s="962" t="e">
        <f>[1]!bodmoadal(1,1,(QR34+1),[1]!qsn([1]!ml([1]!taqsha(1,1,1+QR34,QR35)),QR36)/30,QR35,QR36)</f>
        <v>#VALUE!</v>
      </c>
      <c r="QS41" s="962" t="e">
        <f>[1]!bodmoadal(1,1,(QS34+1),[1]!qsn([1]!ml([1]!taqsha(1,1,1+QS34,QS35)),QS36)/30,QS35,QS36)</f>
        <v>#VALUE!</v>
      </c>
      <c r="QT41" s="962" t="e">
        <f>[1]!bodmoadal(1,1,(QT34+1),[1]!qsn([1]!ml([1]!taqsha(1,1,1+QT34,QT35)),QT36)/30,QT35,QT36)</f>
        <v>#VALUE!</v>
      </c>
      <c r="QU41" s="962" t="e">
        <f>[1]!bodmoadal(1,1,(QU34+1),[1]!qsn([1]!ml([1]!taqsha(1,1,1+QU34,QU35)),QU36)/30,QU35,QU36)</f>
        <v>#VALUE!</v>
      </c>
      <c r="QV41" s="962" t="e">
        <f>[1]!bodmoadal(1,1,(QV34+1),[1]!qsn([1]!ml([1]!taqsha(1,1,1+QV34,QV35)),QV36)/30,QV35,QV36)</f>
        <v>#VALUE!</v>
      </c>
      <c r="QW41" s="962" t="e">
        <f>[1]!bodmoadal(1,1,(QW34+1),[1]!qsn([1]!ml([1]!taqsha(1,1,1+QW34,QW35)),QW36)/30,QW35,QW36)</f>
        <v>#VALUE!</v>
      </c>
      <c r="QX41" s="962" t="e">
        <f>[1]!bodmoadal(1,1,(QX34+1),[1]!qsn([1]!ml([1]!taqsha(1,1,1+QX34,QX35)),QX36)/30,QX35,QX36)</f>
        <v>#VALUE!</v>
      </c>
      <c r="QY41" s="962" t="e">
        <f>[1]!bodmoadal(1,1,(QY34+1),[1]!qsn([1]!ml([1]!taqsha(1,1,1+QY34,QY35)),QY36)/30,QY35,QY36)</f>
        <v>#VALUE!</v>
      </c>
      <c r="QZ41" s="962" t="e">
        <f>[1]!bodmoadal(1,1,(QZ34+1),[1]!qsn([1]!ml([1]!taqsha(1,1,1+QZ34,QZ35)),QZ36)/30,QZ35,QZ36)</f>
        <v>#VALUE!</v>
      </c>
      <c r="RA41" s="963" t="e">
        <f>[1]!bodmoadal(1,1,(RA34+1),[1]!qsn([1]!ml([1]!taqsha(1,1,1+RA34,RA35)),RA36)/30,RA35,RA36)</f>
        <v>#VALUE!</v>
      </c>
    </row>
    <row r="42" spans="1:471" ht="17.25">
      <c r="B42" t="s">
        <v>144</v>
      </c>
      <c r="D42" t="s">
        <v>145</v>
      </c>
      <c r="E42" t="s">
        <v>146</v>
      </c>
      <c r="J42" s="1"/>
      <c r="K42" s="1"/>
      <c r="L42" s="1"/>
      <c r="M42" s="1"/>
      <c r="N42" s="1"/>
      <c r="O42" s="1"/>
      <c r="P42" s="1"/>
      <c r="Q42" s="1"/>
      <c r="R42" s="1"/>
      <c r="S42" s="1"/>
      <c r="T42" s="1"/>
      <c r="U42" s="1"/>
      <c r="V42" s="1"/>
      <c r="W42" s="1"/>
      <c r="X42" s="1"/>
      <c r="Y42" s="1"/>
      <c r="Z42" s="1"/>
      <c r="AA42" s="1"/>
      <c r="AK42" s="759"/>
      <c r="AL42" s="303" t="e">
        <f t="shared" ref="AL42:AW42" si="348">IF(AND(AL14&gt;=10,AL14&lt;30),0,IF(AND(AL26&gt;=10,AL26&lt;30),AL18,IF(AND(AL38&gt;=10,AL38&lt;30),AL30,3)))</f>
        <v>#VALUE!</v>
      </c>
      <c r="AM42" s="303" t="e">
        <f t="shared" si="348"/>
        <v>#VALUE!</v>
      </c>
      <c r="AN42" s="303" t="e">
        <f t="shared" si="348"/>
        <v>#VALUE!</v>
      </c>
      <c r="AO42" s="303" t="e">
        <f t="shared" si="348"/>
        <v>#VALUE!</v>
      </c>
      <c r="AP42" s="303" t="e">
        <f t="shared" si="348"/>
        <v>#VALUE!</v>
      </c>
      <c r="AQ42" s="303" t="e">
        <f t="shared" si="348"/>
        <v>#VALUE!</v>
      </c>
      <c r="AR42" s="303" t="e">
        <f t="shared" si="348"/>
        <v>#VALUE!</v>
      </c>
      <c r="AS42" s="303" t="e">
        <f t="shared" si="348"/>
        <v>#VALUE!</v>
      </c>
      <c r="AT42" s="303" t="e">
        <f t="shared" si="348"/>
        <v>#VALUE!</v>
      </c>
      <c r="AU42" s="303" t="e">
        <f t="shared" si="348"/>
        <v>#VALUE!</v>
      </c>
      <c r="AV42" s="303" t="e">
        <f t="shared" si="348"/>
        <v>#VALUE!</v>
      </c>
      <c r="AW42" s="303" t="e">
        <f t="shared" si="348"/>
        <v>#VALUE!</v>
      </c>
      <c r="AX42" s="314"/>
      <c r="DH42" s="797"/>
      <c r="DI42" s="797" t="s">
        <v>3552</v>
      </c>
      <c r="DJ42" s="959" t="e">
        <f>[1]!bodsava(1,1,(DJ34+1),[1]!qsn([1]!ml([1]!taqsha(1,1,1+DJ34,DJ35)),DJ36)/30,DJ35,DJ36)</f>
        <v>#VALUE!</v>
      </c>
      <c r="DK42" s="962" t="e">
        <f>[1]!bodsava(1,1,(DK34+1),[1]!qsn([1]!ml([1]!taqsha(1,1,1+DK34,DK35)),DK36)/30,DK35,DK36)</f>
        <v>#VALUE!</v>
      </c>
      <c r="DL42" s="962" t="e">
        <f>[1]!bodsava(1,1,(DL34+1),[1]!qsn([1]!ml([1]!taqsha(1,1,1+DL34,DL35)),DL36)/30,DL35,DL36)</f>
        <v>#VALUE!</v>
      </c>
      <c r="DM42" s="962" t="e">
        <f>[1]!bodsava(1,1,(DM34+1),[1]!qsn([1]!ml([1]!taqsha(1,1,1+DM34,DM35)),DM36)/30,DM35,DM36)</f>
        <v>#VALUE!</v>
      </c>
      <c r="DN42" s="962" t="e">
        <f>[1]!bodsava(1,1,(DN34+1),[1]!qsn([1]!ml([1]!taqsha(1,1,1+DN34,DN35)),DN36)/30,DN35,DN36)</f>
        <v>#VALUE!</v>
      </c>
      <c r="DO42" s="962" t="e">
        <f>[1]!bodsava(1,1,(DO34+1),[1]!qsn([1]!ml([1]!taqsha(1,1,1+DO34,DO35)),DO36)/30,DO35,DO36)</f>
        <v>#VALUE!</v>
      </c>
      <c r="DP42" s="962" t="e">
        <f>[1]!bodsava(1,1,(DP34+1),[1]!qsn([1]!ml([1]!taqsha(1,1,1+DP34,DP35)),DP36)/30,DP35,DP36)</f>
        <v>#VALUE!</v>
      </c>
      <c r="DQ42" s="962" t="e">
        <f>[1]!bodsava(1,1,(DQ34+1),[1]!qsn([1]!ml([1]!taqsha(1,1,1+DQ34,DQ35)),DQ36)/30,DQ35,DQ36)</f>
        <v>#VALUE!</v>
      </c>
      <c r="DR42" s="962" t="e">
        <f>[1]!bodsava(1,1,(DR34+1),[1]!qsn([1]!ml([1]!taqsha(1,1,1+DR34,DR35)),DR36)/30,DR35,DR36)</f>
        <v>#VALUE!</v>
      </c>
      <c r="DS42" s="962" t="e">
        <f>[1]!bodsava(1,1,(DS34+1),[1]!qsn([1]!ml([1]!taqsha(1,1,1+DS34,DS35)),DS36)/30,DS35,DS36)</f>
        <v>#VALUE!</v>
      </c>
      <c r="DT42" s="962" t="e">
        <f>[1]!bodsava(1,1,(DT34+1),[1]!qsn([1]!ml([1]!taqsha(1,1,1+DT34,DT35)),DT36)/30,DT35,DT36)</f>
        <v>#VALUE!</v>
      </c>
      <c r="DU42" s="962" t="e">
        <f>[1]!bodsava(1,1,(DU34+1),[1]!qsn([1]!ml([1]!taqsha(1,1,1+DU34,DU35)),DU36)/30,DU35,DU36)</f>
        <v>#VALUE!</v>
      </c>
      <c r="DV42" s="962" t="e">
        <f>[1]!bodsava(1,1,(DV34+1),[1]!qsn([1]!ml([1]!taqsha(1,1,1+DV34,DV35)),DV36)/30,DV35,DV36)</f>
        <v>#VALUE!</v>
      </c>
      <c r="DW42" s="962" t="e">
        <f>[1]!bodsava(1,1,(DW34+1),[1]!qsn([1]!ml([1]!taqsha(1,1,1+DW34,DW35)),DW36)/30,DW35,DW36)</f>
        <v>#VALUE!</v>
      </c>
      <c r="DX42" s="962" t="e">
        <f>[1]!bodsava(1,1,(DX34+1),[1]!qsn([1]!ml([1]!taqsha(1,1,1+DX34,DX35)),DX36)/30,DX35,DX36)</f>
        <v>#VALUE!</v>
      </c>
      <c r="DY42" s="962" t="e">
        <f>[1]!bodsava(1,1,(DY34+1),[1]!qsn([1]!ml([1]!taqsha(1,1,1+DY34,DY35)),DY36)/30,DY35,DY36)</f>
        <v>#VALUE!</v>
      </c>
      <c r="DZ42" s="962" t="e">
        <f>[1]!bodsava(1,1,(DZ34+1),[1]!qsn([1]!ml([1]!taqsha(1,1,1+DZ34,DZ35)),DZ36)/30,DZ35,DZ36)</f>
        <v>#VALUE!</v>
      </c>
      <c r="EA42" s="962" t="e">
        <f>[1]!bodsava(1,1,(EA34+1),[1]!qsn([1]!ml([1]!taqsha(1,1,1+EA34,EA35)),EA36)/30,EA35,EA36)</f>
        <v>#VALUE!</v>
      </c>
      <c r="EB42" s="962" t="e">
        <f>[1]!bodsava(1,1,(EB34+1),[1]!qsn([1]!ml([1]!taqsha(1,1,1+EB34,EB35)),EB36)/30,EB35,EB36)</f>
        <v>#VALUE!</v>
      </c>
      <c r="EC42" s="962" t="e">
        <f>[1]!bodsava(1,1,(EC34+1),[1]!qsn([1]!ml([1]!taqsha(1,1,1+EC34,EC35)),EC36)/30,EC35,EC36)</f>
        <v>#VALUE!</v>
      </c>
      <c r="ED42" s="962" t="e">
        <f>[1]!bodsava(1,1,(ED34+1),[1]!qsn([1]!ml([1]!taqsha(1,1,1+ED34,ED35)),ED36)/30,ED35,ED36)</f>
        <v>#VALUE!</v>
      </c>
      <c r="EE42" s="962" t="e">
        <f>[1]!bodsava(1,1,(EE34+1),[1]!qsn([1]!ml([1]!taqsha(1,1,1+EE34,EE35)),EE36)/30,EE35,EE36)</f>
        <v>#VALUE!</v>
      </c>
      <c r="EF42" s="962" t="e">
        <f>[1]!bodsava(1,1,(EF34+1),[1]!qsn([1]!ml([1]!taqsha(1,1,1+EF34,EF35)),EF36)/30,EF35,EF36)</f>
        <v>#VALUE!</v>
      </c>
      <c r="EG42" s="962" t="e">
        <f>[1]!bodsava(1,1,(EG34+1),[1]!qsn([1]!ml([1]!taqsha(1,1,1+EG34,EG35)),EG36)/30,EG35,EG36)</f>
        <v>#VALUE!</v>
      </c>
      <c r="EH42" s="962" t="e">
        <f>[1]!bodsava(1,1,(EH34+1),[1]!qsn([1]!ml([1]!taqsha(1,1,1+EH34,EH35)),EH36)/30,EH35,EH36)</f>
        <v>#VALUE!</v>
      </c>
      <c r="EI42" s="962" t="e">
        <f>[1]!bodsava(1,1,(EI34+1),[1]!qsn([1]!ml([1]!taqsha(1,1,1+EI34,EI35)),EI36)/30,EI35,EI36)</f>
        <v>#VALUE!</v>
      </c>
      <c r="EJ42" s="962" t="e">
        <f>[1]!bodsava(1,1,(EJ34+1),[1]!qsn([1]!ml([1]!taqsha(1,1,1+EJ34,EJ35)),EJ36)/30,EJ35,EJ36)</f>
        <v>#VALUE!</v>
      </c>
      <c r="EK42" s="962" t="e">
        <f>[1]!bodsava(1,1,(EK34+1),[1]!qsn([1]!ml([1]!taqsha(1,1,1+EK34,EK35)),EK36)/30,EK35,EK36)</f>
        <v>#VALUE!</v>
      </c>
      <c r="EL42" s="962" t="e">
        <f>[1]!bodsava(1,1,(EL34+1),[1]!qsn([1]!ml([1]!taqsha(1,1,1+EL34,EL35)),EL36)/30,EL35,EL36)</f>
        <v>#VALUE!</v>
      </c>
      <c r="EM42" s="962" t="e">
        <f>[1]!bodsava(1,1,(EM34+1),[1]!qsn([1]!ml([1]!taqsha(1,1,1+EM34,EM35)),EM36)/30,EM35,EM36)</f>
        <v>#VALUE!</v>
      </c>
      <c r="EN42" s="962" t="e">
        <f>[1]!bodsava(1,1,(EN34+1),[1]!qsn([1]!ml([1]!taqsha(1,1,1+EN34,EN35)),EN36)/30,EN35,EN36)</f>
        <v>#VALUE!</v>
      </c>
      <c r="EO42" s="962" t="e">
        <f>[1]!bodsava(1,1,(EO34+1),[1]!qsn([1]!ml([1]!taqsha(1,1,1+EO34,EO35)),EO36)/30,EO35,EO36)</f>
        <v>#VALUE!</v>
      </c>
      <c r="EP42" s="962" t="e">
        <f>[1]!bodsava(1,1,(EP34+1),[1]!qsn([1]!ml([1]!taqsha(1,1,1+EP34,EP35)),EP36)/30,EP35,EP36)</f>
        <v>#VALUE!</v>
      </c>
      <c r="EQ42" s="962" t="e">
        <f>[1]!bodsava(1,1,(EQ34+1),[1]!qsn([1]!ml([1]!taqsha(1,1,1+EQ34,EQ35)),EQ36)/30,EQ35,EQ36)</f>
        <v>#VALUE!</v>
      </c>
      <c r="ER42" s="962" t="e">
        <f>[1]!bodsava(1,1,(ER34+1),[1]!qsn([1]!ml([1]!taqsha(1,1,1+ER34,ER35)),ER36)/30,ER35,ER36)</f>
        <v>#VALUE!</v>
      </c>
      <c r="ES42" s="962" t="e">
        <f>[1]!bodsava(1,1,(ES34+1),[1]!qsn([1]!ml([1]!taqsha(1,1,1+ES34,ES35)),ES36)/30,ES35,ES36)</f>
        <v>#VALUE!</v>
      </c>
      <c r="ET42" s="962" t="e">
        <f>[1]!bodsava(1,1,(ET34+1),[1]!qsn([1]!ml([1]!taqsha(1,1,1+ET34,ET35)),ET36)/30,ET35,ET36)</f>
        <v>#VALUE!</v>
      </c>
      <c r="EU42" s="962" t="e">
        <f>[1]!bodsava(1,1,(EU34+1),[1]!qsn([1]!ml([1]!taqsha(1,1,1+EU34,EU35)),EU36)/30,EU35,EU36)</f>
        <v>#VALUE!</v>
      </c>
      <c r="EV42" s="962" t="e">
        <f>[1]!bodsava(1,1,(EV34+1),[1]!qsn([1]!ml([1]!taqsha(1,1,1+EV34,EV35)),EV36)/30,EV35,EV36)</f>
        <v>#VALUE!</v>
      </c>
      <c r="EW42" s="962" t="e">
        <f>[1]!bodsava(1,1,(EW34+1),[1]!qsn([1]!ml([1]!taqsha(1,1,1+EW34,EW35)),EW36)/30,EW35,EW36)</f>
        <v>#VALUE!</v>
      </c>
      <c r="EX42" s="962" t="e">
        <f>[1]!bodsava(1,1,(EX34+1),[1]!qsn([1]!ml([1]!taqsha(1,1,1+EX34,EX35)),EX36)/30,EX35,EX36)</f>
        <v>#VALUE!</v>
      </c>
      <c r="EY42" s="962" t="e">
        <f>[1]!bodsava(1,1,(EY34+1),[1]!qsn([1]!ml([1]!taqsha(1,1,1+EY34,EY35)),EY36)/30,EY35,EY36)</f>
        <v>#VALUE!</v>
      </c>
      <c r="EZ42" s="962" t="e">
        <f>[1]!bodsava(1,1,(EZ34+1),[1]!qsn([1]!ml([1]!taqsha(1,1,1+EZ34,EZ35)),EZ36)/30,EZ35,EZ36)</f>
        <v>#VALUE!</v>
      </c>
      <c r="FA42" s="962" t="e">
        <f>[1]!bodsava(1,1,(FA34+1),[1]!qsn([1]!ml([1]!taqsha(1,1,1+FA34,FA35)),FA36)/30,FA35,FA36)</f>
        <v>#VALUE!</v>
      </c>
      <c r="FB42" s="962" t="e">
        <f>[1]!bodsava(1,1,(FB34+1),[1]!qsn([1]!ml([1]!taqsha(1,1,1+FB34,FB35)),FB36)/30,FB35,FB36)</f>
        <v>#VALUE!</v>
      </c>
      <c r="FC42" s="962" t="e">
        <f>[1]!bodsava(1,1,(FC34+1),[1]!qsn([1]!ml([1]!taqsha(1,1,1+FC34,FC35)),FC36)/30,FC35,FC36)</f>
        <v>#VALUE!</v>
      </c>
      <c r="FD42" s="962" t="e">
        <f>[1]!bodsava(1,1,(FD34+1),[1]!qsn([1]!ml([1]!taqsha(1,1,1+FD34,FD35)),FD36)/30,FD35,FD36)</f>
        <v>#VALUE!</v>
      </c>
      <c r="FE42" s="962" t="e">
        <f>[1]!bodsava(1,1,(FE34+1),[1]!qsn([1]!ml([1]!taqsha(1,1,1+FE34,FE35)),FE36)/30,FE35,FE36)</f>
        <v>#VALUE!</v>
      </c>
      <c r="FF42" s="962" t="e">
        <f>[1]!bodsava(1,1,(FF34+1),[1]!qsn([1]!ml([1]!taqsha(1,1,1+FF34,FF35)),FF36)/30,FF35,FF36)</f>
        <v>#VALUE!</v>
      </c>
      <c r="FG42" s="962" t="e">
        <f>[1]!bodsava(1,1,(FG34+1),[1]!qsn([1]!ml([1]!taqsha(1,1,1+FG34,FG35)),FG36)/30,FG35,FG36)</f>
        <v>#VALUE!</v>
      </c>
      <c r="FH42" s="962" t="e">
        <f>[1]!bodsava(1,1,(FH34+1),[1]!qsn([1]!ml([1]!taqsha(1,1,1+FH34,FH35)),FH36)/30,FH35,FH36)</f>
        <v>#VALUE!</v>
      </c>
      <c r="FI42" s="962" t="e">
        <f>[1]!bodsava(1,1,(FI34+1),[1]!qsn([1]!ml([1]!taqsha(1,1,1+FI34,FI35)),FI36)/30,FI35,FI36)</f>
        <v>#VALUE!</v>
      </c>
      <c r="FJ42" s="962" t="e">
        <f>[1]!bodsava(1,1,(FJ34+1),[1]!qsn([1]!ml([1]!taqsha(1,1,1+FJ34,FJ35)),FJ36)/30,FJ35,FJ36)</f>
        <v>#VALUE!</v>
      </c>
      <c r="FK42" s="962" t="e">
        <f>[1]!bodsava(1,1,(FK34+1),[1]!qsn([1]!ml([1]!taqsha(1,1,1+FK34,FK35)),FK36)/30,FK35,FK36)</f>
        <v>#VALUE!</v>
      </c>
      <c r="FL42" s="962" t="e">
        <f>[1]!bodsava(1,1,(FL34+1),[1]!qsn([1]!ml([1]!taqsha(1,1,1+FL34,FL35)),FL36)/30,FL35,FL36)</f>
        <v>#VALUE!</v>
      </c>
      <c r="FM42" s="962" t="e">
        <f>[1]!bodsava(1,1,(FM34+1),[1]!qsn([1]!ml([1]!taqsha(1,1,1+FM34,FM35)),FM36)/30,FM35,FM36)</f>
        <v>#VALUE!</v>
      </c>
      <c r="FN42" s="962" t="e">
        <f>[1]!bodsava(1,1,(FN34+1),[1]!qsn([1]!ml([1]!taqsha(1,1,1+FN34,FN35)),FN36)/30,FN35,FN36)</f>
        <v>#VALUE!</v>
      </c>
      <c r="FO42" s="962" t="e">
        <f>[1]!bodsava(1,1,(FO34+1),[1]!qsn([1]!ml([1]!taqsha(1,1,1+FO34,FO35)),FO36)/30,FO35,FO36)</f>
        <v>#VALUE!</v>
      </c>
      <c r="FP42" s="962" t="e">
        <f>[1]!bodsava(1,1,(FP34+1),[1]!qsn([1]!ml([1]!taqsha(1,1,1+FP34,FP35)),FP36)/30,FP35,FP36)</f>
        <v>#VALUE!</v>
      </c>
      <c r="FQ42" s="962" t="e">
        <f>[1]!bodsava(1,1,(FQ34+1),[1]!qsn([1]!ml([1]!taqsha(1,1,1+FQ34,FQ35)),FQ36)/30,FQ35,FQ36)</f>
        <v>#VALUE!</v>
      </c>
      <c r="FR42" s="962" t="e">
        <f>[1]!bodsava(1,1,(FR34+1),[1]!qsn([1]!ml([1]!taqsha(1,1,1+FR34,FR35)),FR36)/30,FR35,FR36)</f>
        <v>#VALUE!</v>
      </c>
      <c r="FS42" s="962" t="e">
        <f>[1]!bodsava(1,1,(FS34+1),[1]!qsn([1]!ml([1]!taqsha(1,1,1+FS34,FS35)),FS36)/30,FS35,FS36)</f>
        <v>#VALUE!</v>
      </c>
      <c r="FT42" s="962" t="e">
        <f>[1]!bodsava(1,1,(FT34+1),[1]!qsn([1]!ml([1]!taqsha(1,1,1+FT34,FT35)),FT36)/30,FT35,FT36)</f>
        <v>#VALUE!</v>
      </c>
      <c r="FU42" s="962" t="e">
        <f>[1]!bodsava(1,1,(FU34+1),[1]!qsn([1]!ml([1]!taqsha(1,1,1+FU34,FU35)),FU36)/30,FU35,FU36)</f>
        <v>#VALUE!</v>
      </c>
      <c r="FV42" s="962" t="e">
        <f>[1]!bodsava(1,1,(FV34+1),[1]!qsn([1]!ml([1]!taqsha(1,1,1+FV34,FV35)),FV36)/30,FV35,FV36)</f>
        <v>#VALUE!</v>
      </c>
      <c r="FW42" s="962" t="e">
        <f>[1]!bodsava(1,1,(FW34+1),[1]!qsn([1]!ml([1]!taqsha(1,1,1+FW34,FW35)),FW36)/30,FW35,FW36)</f>
        <v>#VALUE!</v>
      </c>
      <c r="FX42" s="962" t="e">
        <f>[1]!bodsava(1,1,(FX34+1),[1]!qsn([1]!ml([1]!taqsha(1,1,1+FX34,FX35)),FX36)/30,FX35,FX36)</f>
        <v>#VALUE!</v>
      </c>
      <c r="FY42" s="962" t="e">
        <f>[1]!bodsava(1,1,(FY34+1),[1]!qsn([1]!ml([1]!taqsha(1,1,1+FY34,FY35)),FY36)/30,FY35,FY36)</f>
        <v>#VALUE!</v>
      </c>
      <c r="FZ42" s="962" t="e">
        <f>[1]!bodsava(1,1,(FZ34+1),[1]!qsn([1]!ml([1]!taqsha(1,1,1+FZ34,FZ35)),FZ36)/30,FZ35,FZ36)</f>
        <v>#VALUE!</v>
      </c>
      <c r="GA42" s="962" t="e">
        <f>[1]!bodsava(1,1,(GA34+1),[1]!qsn([1]!ml([1]!taqsha(1,1,1+GA34,GA35)),GA36)/30,GA35,GA36)</f>
        <v>#VALUE!</v>
      </c>
      <c r="GB42" s="962" t="e">
        <f>[1]!bodsava(1,1,(GB34+1),[1]!qsn([1]!ml([1]!taqsha(1,1,1+GB34,GB35)),GB36)/30,GB35,GB36)</f>
        <v>#VALUE!</v>
      </c>
      <c r="GC42" s="962" t="e">
        <f>[1]!bodsava(1,1,(GC34+1),[1]!qsn([1]!ml([1]!taqsha(1,1,1+GC34,GC35)),GC36)/30,GC35,GC36)</f>
        <v>#VALUE!</v>
      </c>
      <c r="GD42" s="962" t="e">
        <f>[1]!bodsava(1,1,(GD34+1),[1]!qsn([1]!ml([1]!taqsha(1,1,1+GD34,GD35)),GD36)/30,GD35,GD36)</f>
        <v>#VALUE!</v>
      </c>
      <c r="GE42" s="962" t="e">
        <f>[1]!bodsava(1,1,(GE34+1),[1]!qsn([1]!ml([1]!taqsha(1,1,1+GE34,GE35)),GE36)/30,GE35,GE36)</f>
        <v>#VALUE!</v>
      </c>
      <c r="GF42" s="962" t="e">
        <f>[1]!bodsava(1,1,(GF34+1),[1]!qsn([1]!ml([1]!taqsha(1,1,1+GF34,GF35)),GF36)/30,GF35,GF36)</f>
        <v>#VALUE!</v>
      </c>
      <c r="GG42" s="962" t="e">
        <f>[1]!bodsava(1,1,(GG34+1),[1]!qsn([1]!ml([1]!taqsha(1,1,1+GG34,GG35)),GG36)/30,GG35,GG36)</f>
        <v>#VALUE!</v>
      </c>
      <c r="GH42" s="962" t="e">
        <f>[1]!bodsava(1,1,(GH34+1),[1]!qsn([1]!ml([1]!taqsha(1,1,1+GH34,GH35)),GH36)/30,GH35,GH36)</f>
        <v>#VALUE!</v>
      </c>
      <c r="GI42" s="962" t="e">
        <f>[1]!bodsava(1,1,(GI34+1),[1]!qsn([1]!ml([1]!taqsha(1,1,1+GI34,GI35)),GI36)/30,GI35,GI36)</f>
        <v>#VALUE!</v>
      </c>
      <c r="GJ42" s="962" t="e">
        <f>[1]!bodsava(1,1,(GJ34+1),[1]!qsn([1]!ml([1]!taqsha(1,1,1+GJ34,GJ35)),GJ36)/30,GJ35,GJ36)</f>
        <v>#VALUE!</v>
      </c>
      <c r="GK42" s="962" t="e">
        <f>[1]!bodsava(1,1,(GK34+1),[1]!qsn([1]!ml([1]!taqsha(1,1,1+GK34,GK35)),GK36)/30,GK35,GK36)</f>
        <v>#VALUE!</v>
      </c>
      <c r="GL42" s="962" t="e">
        <f>[1]!bodsava(1,1,(GL34+1),[1]!qsn([1]!ml([1]!taqsha(1,1,1+GL34,GL35)),GL36)/30,GL35,GL36)</f>
        <v>#VALUE!</v>
      </c>
      <c r="GM42" s="962" t="e">
        <f>[1]!bodsava(1,1,(GM34+1),[1]!qsn([1]!ml([1]!taqsha(1,1,1+GM34,GM35)),GM36)/30,GM35,GM36)</f>
        <v>#VALUE!</v>
      </c>
      <c r="GN42" s="962" t="e">
        <f>[1]!bodsava(1,1,(GN34+1),[1]!qsn([1]!ml([1]!taqsha(1,1,1+GN34,GN35)),GN36)/30,GN35,GN36)</f>
        <v>#VALUE!</v>
      </c>
      <c r="GO42" s="962" t="e">
        <f>[1]!bodsava(1,1,(GO34+1),[1]!qsn([1]!ml([1]!taqsha(1,1,1+GO34,GO35)),GO36)/30,GO35,GO36)</f>
        <v>#VALUE!</v>
      </c>
      <c r="GP42" s="962" t="e">
        <f>[1]!bodsava(1,1,(GP34+1),[1]!qsn([1]!ml([1]!taqsha(1,1,1+GP34,GP35)),GP36)/30,GP35,GP36)</f>
        <v>#VALUE!</v>
      </c>
      <c r="GQ42" s="962" t="e">
        <f>[1]!bodsava(1,1,(GQ34+1),[1]!qsn([1]!ml([1]!taqsha(1,1,1+GQ34,GQ35)),GQ36)/30,GQ35,GQ36)</f>
        <v>#VALUE!</v>
      </c>
      <c r="GR42" s="962" t="e">
        <f>[1]!bodsava(1,1,(GR34+1),[1]!qsn([1]!ml([1]!taqsha(1,1,1+GR34,GR35)),GR36)/30,GR35,GR36)</f>
        <v>#VALUE!</v>
      </c>
      <c r="GS42" s="962" t="e">
        <f>[1]!bodsava(1,1,(GS34+1),[1]!qsn([1]!ml([1]!taqsha(1,1,1+GS34,GS35)),GS36)/30,GS35,GS36)</f>
        <v>#VALUE!</v>
      </c>
      <c r="GT42" s="962" t="e">
        <f>[1]!bodsava(1,1,(GT34+1),[1]!qsn([1]!ml([1]!taqsha(1,1,1+GT34,GT35)),GT36)/30,GT35,GT36)</f>
        <v>#VALUE!</v>
      </c>
      <c r="GU42" s="962" t="e">
        <f>[1]!bodsava(1,1,(GU34+1),[1]!qsn([1]!ml([1]!taqsha(1,1,1+GU34,GU35)),GU36)/30,GU35,GU36)</f>
        <v>#VALUE!</v>
      </c>
      <c r="GV42" s="962" t="e">
        <f>[1]!bodsava(1,1,(GV34+1),[1]!qsn([1]!ml([1]!taqsha(1,1,1+GV34,GV35)),GV36)/30,GV35,GV36)</f>
        <v>#VALUE!</v>
      </c>
      <c r="GW42" s="962" t="e">
        <f>[1]!bodsava(1,1,(GW34+1),[1]!qsn([1]!ml([1]!taqsha(1,1,1+GW34,GW35)),GW36)/30,GW35,GW36)</f>
        <v>#VALUE!</v>
      </c>
      <c r="GX42" s="962" t="e">
        <f>[1]!bodsava(1,1,(GX34+1),[1]!qsn([1]!ml([1]!taqsha(1,1,1+GX34,GX35)),GX36)/30,GX35,GX36)</f>
        <v>#VALUE!</v>
      </c>
      <c r="GY42" s="962" t="e">
        <f>[1]!bodsava(1,1,(GY34+1),[1]!qsn([1]!ml([1]!taqsha(1,1,1+GY34,GY35)),GY36)/30,GY35,GY36)</f>
        <v>#VALUE!</v>
      </c>
      <c r="GZ42" s="962" t="e">
        <f>[1]!bodsava(1,1,(GZ34+1),[1]!qsn([1]!ml([1]!taqsha(1,1,1+GZ34,GZ35)),GZ36)/30,GZ35,GZ36)</f>
        <v>#VALUE!</v>
      </c>
      <c r="HA42" s="962" t="e">
        <f>[1]!bodsava(1,1,(HA34+1),[1]!qsn([1]!ml([1]!taqsha(1,1,1+HA34,HA35)),HA36)/30,HA35,HA36)</f>
        <v>#VALUE!</v>
      </c>
      <c r="HB42" s="962" t="e">
        <f>[1]!bodsava(1,1,(HB34+1),[1]!qsn([1]!ml([1]!taqsha(1,1,1+HB34,HB35)),HB36)/30,HB35,HB36)</f>
        <v>#VALUE!</v>
      </c>
      <c r="HC42" s="962" t="e">
        <f>[1]!bodsava(1,1,(HC34+1),[1]!qsn([1]!ml([1]!taqsha(1,1,1+HC34,HC35)),HC36)/30,HC35,HC36)</f>
        <v>#VALUE!</v>
      </c>
      <c r="HD42" s="962" t="e">
        <f>[1]!bodsava(1,1,(HD34+1),[1]!qsn([1]!ml([1]!taqsha(1,1,1+HD34,HD35)),HD36)/30,HD35,HD36)</f>
        <v>#VALUE!</v>
      </c>
      <c r="HE42" s="962" t="e">
        <f>[1]!bodsava(1,1,(HE34+1),[1]!qsn([1]!ml([1]!taqsha(1,1,1+HE34,HE35)),HE36)/30,HE35,HE36)</f>
        <v>#VALUE!</v>
      </c>
      <c r="HF42" s="962" t="e">
        <f>[1]!bodsava(1,1,(HF34+1),[1]!qsn([1]!ml([1]!taqsha(1,1,1+HF34,HF35)),HF36)/30,HF35,HF36)</f>
        <v>#VALUE!</v>
      </c>
      <c r="HG42" s="962" t="e">
        <f>[1]!bodsava(1,1,(HG34+1),[1]!qsn([1]!ml([1]!taqsha(1,1,1+HG34,HG35)),HG36)/30,HG35,HG36)</f>
        <v>#VALUE!</v>
      </c>
      <c r="HH42" s="962" t="e">
        <f>[1]!bodsava(1,1,(HH34+1),[1]!qsn([1]!ml([1]!taqsha(1,1,1+HH34,HH35)),HH36)/30,HH35,HH36)</f>
        <v>#VALUE!</v>
      </c>
      <c r="HI42" s="962" t="e">
        <f>[1]!bodsava(1,1,(HI34+1),[1]!qsn([1]!ml([1]!taqsha(1,1,1+HI34,HI35)),HI36)/30,HI35,HI36)</f>
        <v>#VALUE!</v>
      </c>
      <c r="HJ42" s="962" t="e">
        <f>[1]!bodsava(1,1,(HJ34+1),[1]!qsn([1]!ml([1]!taqsha(1,1,1+HJ34,HJ35)),HJ36)/30,HJ35,HJ36)</f>
        <v>#VALUE!</v>
      </c>
      <c r="HK42" s="962" t="e">
        <f>[1]!bodsava(1,1,(HK34+1),[1]!qsn([1]!ml([1]!taqsha(1,1,1+HK34,HK35)),HK36)/30,HK35,HK36)</f>
        <v>#VALUE!</v>
      </c>
      <c r="HL42" s="962" t="e">
        <f>[1]!bodsava(1,1,(HL34+1),[1]!qsn([1]!ml([1]!taqsha(1,1,1+HL34,HL35)),HL36)/30,HL35,HL36)</f>
        <v>#VALUE!</v>
      </c>
      <c r="HM42" s="962" t="e">
        <f>[1]!bodsava(1,1,(HM34+1),[1]!qsn([1]!ml([1]!taqsha(1,1,1+HM34,HM35)),HM36)/30,HM35,HM36)</f>
        <v>#VALUE!</v>
      </c>
      <c r="HN42" s="962" t="e">
        <f>[1]!bodsava(1,1,(HN34+1),[1]!qsn([1]!ml([1]!taqsha(1,1,1+HN34,HN35)),HN36)/30,HN35,HN36)</f>
        <v>#VALUE!</v>
      </c>
      <c r="HO42" s="962" t="e">
        <f>[1]!bodsava(1,1,(HO34+1),[1]!qsn([1]!ml([1]!taqsha(1,1,1+HO34,HO35)),HO36)/30,HO35,HO36)</f>
        <v>#VALUE!</v>
      </c>
      <c r="HP42" s="962" t="e">
        <f>[1]!bodsava(1,1,(HP34+1),[1]!qsn([1]!ml([1]!taqsha(1,1,1+HP34,HP35)),HP36)/30,HP35,HP36)</f>
        <v>#VALUE!</v>
      </c>
      <c r="HQ42" s="962" t="e">
        <f>[1]!bodsava(1,1,(HQ34+1),[1]!qsn([1]!ml([1]!taqsha(1,1,1+HQ34,HQ35)),HQ36)/30,HQ35,HQ36)</f>
        <v>#VALUE!</v>
      </c>
      <c r="HR42" s="962" t="e">
        <f>[1]!bodsava(1,1,(HR34+1),[1]!qsn([1]!ml([1]!taqsha(1,1,1+HR34,HR35)),HR36)/30,HR35,HR36)</f>
        <v>#VALUE!</v>
      </c>
      <c r="HS42" s="962" t="e">
        <f>[1]!bodsava(1,1,(HS34+1),[1]!qsn([1]!ml([1]!taqsha(1,1,1+HS34,HS35)),HS36)/30,HS35,HS36)</f>
        <v>#VALUE!</v>
      </c>
      <c r="HT42" s="962" t="e">
        <f>[1]!bodsava(1,1,(HT34+1),[1]!qsn([1]!ml([1]!taqsha(1,1,1+HT34,HT35)),HT36)/30,HT35,HT36)</f>
        <v>#VALUE!</v>
      </c>
      <c r="HU42" s="962" t="e">
        <f>[1]!bodsava(1,1,(HU34+1),[1]!qsn([1]!ml([1]!taqsha(1,1,1+HU34,HU35)),HU36)/30,HU35,HU36)</f>
        <v>#VALUE!</v>
      </c>
      <c r="HV42" s="962" t="e">
        <f>[1]!bodsava(1,1,(HV34+1),[1]!qsn([1]!ml([1]!taqsha(1,1,1+HV34,HV35)),HV36)/30,HV35,HV36)</f>
        <v>#VALUE!</v>
      </c>
      <c r="HW42" s="962" t="e">
        <f>[1]!bodsava(1,1,(HW34+1),[1]!qsn([1]!ml([1]!taqsha(1,1,1+HW34,HW35)),HW36)/30,HW35,HW36)</f>
        <v>#VALUE!</v>
      </c>
      <c r="HX42" s="962" t="e">
        <f>[1]!bodsava(1,1,(HX34+1),[1]!qsn([1]!ml([1]!taqsha(1,1,1+HX34,HX35)),HX36)/30,HX35,HX36)</f>
        <v>#VALUE!</v>
      </c>
      <c r="HY42" s="962" t="e">
        <f>[1]!bodsava(1,1,(HY34+1),[1]!qsn([1]!ml([1]!taqsha(1,1,1+HY34,HY35)),HY36)/30,HY35,HY36)</f>
        <v>#VALUE!</v>
      </c>
      <c r="HZ42" s="962" t="e">
        <f>[1]!bodsava(1,1,(HZ34+1),[1]!qsn([1]!ml([1]!taqsha(1,1,1+HZ34,HZ35)),HZ36)/30,HZ35,HZ36)</f>
        <v>#VALUE!</v>
      </c>
      <c r="IA42" s="962" t="e">
        <f>[1]!bodsava(1,1,(IA34+1),[1]!qsn([1]!ml([1]!taqsha(1,1,1+IA34,IA35)),IA36)/30,IA35,IA36)</f>
        <v>#VALUE!</v>
      </c>
      <c r="IB42" s="962" t="e">
        <f>[1]!bodsava(1,1,(IB34+1),[1]!qsn([1]!ml([1]!taqsha(1,1,1+IB34,IB35)),IB36)/30,IB35,IB36)</f>
        <v>#VALUE!</v>
      </c>
      <c r="IC42" s="962" t="e">
        <f>[1]!bodsava(1,1,(IC34+1),[1]!qsn([1]!ml([1]!taqsha(1,1,1+IC34,IC35)),IC36)/30,IC35,IC36)</f>
        <v>#VALUE!</v>
      </c>
      <c r="ID42" s="962" t="e">
        <f>[1]!bodsava(1,1,(ID34+1),[1]!qsn([1]!ml([1]!taqsha(1,1,1+ID34,ID35)),ID36)/30,ID35,ID36)</f>
        <v>#VALUE!</v>
      </c>
      <c r="IE42" s="962" t="e">
        <f>[1]!bodsava(1,1,(IE34+1),[1]!qsn([1]!ml([1]!taqsha(1,1,1+IE34,IE35)),IE36)/30,IE35,IE36)</f>
        <v>#VALUE!</v>
      </c>
      <c r="IF42" s="962" t="e">
        <f>[1]!bodsava(1,1,(IF34+1),[1]!qsn([1]!ml([1]!taqsha(1,1,1+IF34,IF35)),IF36)/30,IF35,IF36)</f>
        <v>#VALUE!</v>
      </c>
      <c r="IG42" s="962" t="e">
        <f>[1]!bodsava(1,1,(IG34+1),[1]!qsn([1]!ml([1]!taqsha(1,1,1+IG34,IG35)),IG36)/30,IG35,IG36)</f>
        <v>#VALUE!</v>
      </c>
      <c r="IH42" s="962" t="e">
        <f>[1]!bodsava(1,1,(IH34+1),[1]!qsn([1]!ml([1]!taqsha(1,1,1+IH34,IH35)),IH36)/30,IH35,IH36)</f>
        <v>#VALUE!</v>
      </c>
      <c r="II42" s="962" t="e">
        <f>[1]!bodsava(1,1,(II34+1),[1]!qsn([1]!ml([1]!taqsha(1,1,1+II34,II35)),II36)/30,II35,II36)</f>
        <v>#VALUE!</v>
      </c>
      <c r="IJ42" s="962" t="e">
        <f>[1]!bodsava(1,1,(IJ34+1),[1]!qsn([1]!ml([1]!taqsha(1,1,1+IJ34,IJ35)),IJ36)/30,IJ35,IJ36)</f>
        <v>#VALUE!</v>
      </c>
      <c r="IK42" s="962" t="e">
        <f>[1]!bodsava(1,1,(IK34+1),[1]!qsn([1]!ml([1]!taqsha(1,1,1+IK34,IK35)),IK36)/30,IK35,IK36)</f>
        <v>#VALUE!</v>
      </c>
      <c r="IL42" s="962" t="e">
        <f>[1]!bodsava(1,1,(IL34+1),[1]!qsn([1]!ml([1]!taqsha(1,1,1+IL34,IL35)),IL36)/30,IL35,IL36)</f>
        <v>#VALUE!</v>
      </c>
      <c r="IM42" s="962" t="e">
        <f>[1]!bodsava(1,1,(IM34+1),[1]!qsn([1]!ml([1]!taqsha(1,1,1+IM34,IM35)),IM36)/30,IM35,IM36)</f>
        <v>#VALUE!</v>
      </c>
      <c r="IN42" s="962" t="e">
        <f>[1]!bodsava(1,1,(IN34+1),[1]!qsn([1]!ml([1]!taqsha(1,1,1+IN34,IN35)),IN36)/30,IN35,IN36)</f>
        <v>#VALUE!</v>
      </c>
      <c r="IO42" s="962" t="e">
        <f>[1]!bodsava(1,1,(IO34+1),[1]!qsn([1]!ml([1]!taqsha(1,1,1+IO34,IO35)),IO36)/30,IO35,IO36)</f>
        <v>#VALUE!</v>
      </c>
      <c r="IP42" s="962" t="e">
        <f>[1]!bodsava(1,1,(IP34+1),[1]!qsn([1]!ml([1]!taqsha(1,1,1+IP34,IP35)),IP36)/30,IP35,IP36)</f>
        <v>#VALUE!</v>
      </c>
      <c r="IQ42" s="962" t="e">
        <f>[1]!bodsava(1,1,(IQ34+1),[1]!qsn([1]!ml([1]!taqsha(1,1,1+IQ34,IQ35)),IQ36)/30,IQ35,IQ36)</f>
        <v>#VALUE!</v>
      </c>
      <c r="IR42" s="962" t="e">
        <f>[1]!bodsava(1,1,(IR34+1),[1]!qsn([1]!ml([1]!taqsha(1,1,1+IR34,IR35)),IR36)/30,IR35,IR36)</f>
        <v>#VALUE!</v>
      </c>
      <c r="IS42" s="962" t="e">
        <f>[1]!bodsava(1,1,(IS34+1),[1]!qsn([1]!ml([1]!taqsha(1,1,1+IS34,IS35)),IS36)/30,IS35,IS36)</f>
        <v>#VALUE!</v>
      </c>
      <c r="IT42" s="962" t="e">
        <f>[1]!bodsava(1,1,(IT34+1),[1]!qsn([1]!ml([1]!taqsha(1,1,1+IT34,IT35)),IT36)/30,IT35,IT36)</f>
        <v>#VALUE!</v>
      </c>
      <c r="IU42" s="962" t="e">
        <f>[1]!bodsava(1,1,(IU34+1),[1]!qsn([1]!ml([1]!taqsha(1,1,1+IU34,IU35)),IU36)/30,IU35,IU36)</f>
        <v>#VALUE!</v>
      </c>
      <c r="IV42" s="962" t="e">
        <f>[1]!bodsava(1,1,(IV34+1),[1]!qsn([1]!ml([1]!taqsha(1,1,1+IV34,IV35)),IV36)/30,IV35,IV36)</f>
        <v>#VALUE!</v>
      </c>
      <c r="IW42" s="962" t="e">
        <f>[1]!bodsava(1,1,(IW34+1),[1]!qsn([1]!ml([1]!taqsha(1,1,1+IW34,IW35)),IW36)/30,IW35,IW36)</f>
        <v>#VALUE!</v>
      </c>
      <c r="IX42" s="962" t="e">
        <f>[1]!bodsava(1,1,(IX34+1),[1]!qsn([1]!ml([1]!taqsha(1,1,1+IX34,IX35)),IX36)/30,IX35,IX36)</f>
        <v>#VALUE!</v>
      </c>
      <c r="IY42" s="962" t="e">
        <f>[1]!bodsava(1,1,(IY34+1),[1]!qsn([1]!ml([1]!taqsha(1,1,1+IY34,IY35)),IY36)/30,IY35,IY36)</f>
        <v>#VALUE!</v>
      </c>
      <c r="IZ42" s="962" t="e">
        <f>[1]!bodsava(1,1,(IZ34+1),[1]!qsn([1]!ml([1]!taqsha(1,1,1+IZ34,IZ35)),IZ36)/30,IZ35,IZ36)</f>
        <v>#VALUE!</v>
      </c>
      <c r="JA42" s="962" t="e">
        <f>[1]!bodsava(1,1,(JA34+1),[1]!qsn([1]!ml([1]!taqsha(1,1,1+JA34,JA35)),JA36)/30,JA35,JA36)</f>
        <v>#VALUE!</v>
      </c>
      <c r="JB42" s="962" t="e">
        <f>[1]!bodsava(1,1,(JB34+1),[1]!qsn([1]!ml([1]!taqsha(1,1,1+JB34,JB35)),JB36)/30,JB35,JB36)</f>
        <v>#VALUE!</v>
      </c>
      <c r="JC42" s="962" t="e">
        <f>[1]!bodsava(1,1,(JC34+1),[1]!qsn([1]!ml([1]!taqsha(1,1,1+JC34,JC35)),JC36)/30,JC35,JC36)</f>
        <v>#VALUE!</v>
      </c>
      <c r="JD42" s="962" t="e">
        <f>[1]!bodsava(1,1,(JD34+1),[1]!qsn([1]!ml([1]!taqsha(1,1,1+JD34,JD35)),JD36)/30,JD35,JD36)</f>
        <v>#VALUE!</v>
      </c>
      <c r="JE42" s="962" t="e">
        <f>[1]!bodsava(1,1,(JE34+1),[1]!qsn([1]!ml([1]!taqsha(1,1,1+JE34,JE35)),JE36)/30,JE35,JE36)</f>
        <v>#VALUE!</v>
      </c>
      <c r="JF42" s="962" t="e">
        <f>[1]!bodsava(1,1,(JF34+1),[1]!qsn([1]!ml([1]!taqsha(1,1,1+JF34,JF35)),JF36)/30,JF35,JF36)</f>
        <v>#VALUE!</v>
      </c>
      <c r="JG42" s="962" t="e">
        <f>[1]!bodsava(1,1,(JG34+1),[1]!qsn([1]!ml([1]!taqsha(1,1,1+JG34,JG35)),JG36)/30,JG35,JG36)</f>
        <v>#VALUE!</v>
      </c>
      <c r="JH42" s="962" t="e">
        <f>[1]!bodsava(1,1,(JH34+1),[1]!qsn([1]!ml([1]!taqsha(1,1,1+JH34,JH35)),JH36)/30,JH35,JH36)</f>
        <v>#VALUE!</v>
      </c>
      <c r="JI42" s="962" t="e">
        <f>[1]!bodsava(1,1,(JI34+1),[1]!qsn([1]!ml([1]!taqsha(1,1,1+JI34,JI35)),JI36)/30,JI35,JI36)</f>
        <v>#VALUE!</v>
      </c>
      <c r="JJ42" s="962" t="e">
        <f>[1]!bodsava(1,1,(JJ34+1),[1]!qsn([1]!ml([1]!taqsha(1,1,1+JJ34,JJ35)),JJ36)/30,JJ35,JJ36)</f>
        <v>#VALUE!</v>
      </c>
      <c r="JK42" s="962" t="e">
        <f>[1]!bodsava(1,1,(JK34+1),[1]!qsn([1]!ml([1]!taqsha(1,1,1+JK34,JK35)),JK36)/30,JK35,JK36)</f>
        <v>#VALUE!</v>
      </c>
      <c r="JL42" s="962" t="e">
        <f>[1]!bodsava(1,1,(JL34+1),[1]!qsn([1]!ml([1]!taqsha(1,1,1+JL34,JL35)),JL36)/30,JL35,JL36)</f>
        <v>#VALUE!</v>
      </c>
      <c r="JM42" s="962" t="e">
        <f>[1]!bodsava(1,1,(JM34+1),[1]!qsn([1]!ml([1]!taqsha(1,1,1+JM34,JM35)),JM36)/30,JM35,JM36)</f>
        <v>#VALUE!</v>
      </c>
      <c r="JN42" s="962" t="e">
        <f>[1]!bodsava(1,1,(JN34+1),[1]!qsn([1]!ml([1]!taqsha(1,1,1+JN34,JN35)),JN36)/30,JN35,JN36)</f>
        <v>#VALUE!</v>
      </c>
      <c r="JO42" s="962" t="e">
        <f>[1]!bodsava(1,1,(JO34+1),[1]!qsn([1]!ml([1]!taqsha(1,1,1+JO34,JO35)),JO36)/30,JO35,JO36)</f>
        <v>#VALUE!</v>
      </c>
      <c r="JP42" s="962" t="e">
        <f>[1]!bodsava(1,1,(JP34+1),[1]!qsn([1]!ml([1]!taqsha(1,1,1+JP34,JP35)),JP36)/30,JP35,JP36)</f>
        <v>#VALUE!</v>
      </c>
      <c r="JQ42" s="962" t="e">
        <f>[1]!bodsava(1,1,(JQ34+1),[1]!qsn([1]!ml([1]!taqsha(1,1,1+JQ34,JQ35)),JQ36)/30,JQ35,JQ36)</f>
        <v>#VALUE!</v>
      </c>
      <c r="JR42" s="962" t="e">
        <f>[1]!bodsava(1,1,(JR34+1),[1]!qsn([1]!ml([1]!taqsha(1,1,1+JR34,JR35)),JR36)/30,JR35,JR36)</f>
        <v>#VALUE!</v>
      </c>
      <c r="JS42" s="962" t="e">
        <f>[1]!bodsava(1,1,(JS34+1),[1]!qsn([1]!ml([1]!taqsha(1,1,1+JS34,JS35)),JS36)/30,JS35,JS36)</f>
        <v>#VALUE!</v>
      </c>
      <c r="JT42" s="962" t="e">
        <f>[1]!bodsava(1,1,(JT34+1),[1]!qsn([1]!ml([1]!taqsha(1,1,1+JT34,JT35)),JT36)/30,JT35,JT36)</f>
        <v>#VALUE!</v>
      </c>
      <c r="JU42" s="962" t="e">
        <f>[1]!bodsava(1,1,(JU34+1),[1]!qsn([1]!ml([1]!taqsha(1,1,1+JU34,JU35)),JU36)/30,JU35,JU36)</f>
        <v>#VALUE!</v>
      </c>
      <c r="JV42" s="962" t="e">
        <f>[1]!bodsava(1,1,(JV34+1),[1]!qsn([1]!ml([1]!taqsha(1,1,1+JV34,JV35)),JV36)/30,JV35,JV36)</f>
        <v>#VALUE!</v>
      </c>
      <c r="JW42" s="962" t="e">
        <f>[1]!bodsava(1,1,(JW34+1),[1]!qsn([1]!ml([1]!taqsha(1,1,1+JW34,JW35)),JW36)/30,JW35,JW36)</f>
        <v>#VALUE!</v>
      </c>
      <c r="JX42" s="962" t="e">
        <f>[1]!bodsava(1,1,(JX34+1),[1]!qsn([1]!ml([1]!taqsha(1,1,1+JX34,JX35)),JX36)/30,JX35,JX36)</f>
        <v>#VALUE!</v>
      </c>
      <c r="JY42" s="962" t="e">
        <f>[1]!bodsava(1,1,(JY34+1),[1]!qsn([1]!ml([1]!taqsha(1,1,1+JY34,JY35)),JY36)/30,JY35,JY36)</f>
        <v>#VALUE!</v>
      </c>
      <c r="JZ42" s="962" t="e">
        <f>[1]!bodsava(1,1,(JZ34+1),[1]!qsn([1]!ml([1]!taqsha(1,1,1+JZ34,JZ35)),JZ36)/30,JZ35,JZ36)</f>
        <v>#VALUE!</v>
      </c>
      <c r="KA42" s="962" t="e">
        <f>[1]!bodsava(1,1,(KA34+1),[1]!qsn([1]!ml([1]!taqsha(1,1,1+KA34,KA35)),KA36)/30,KA35,KA36)</f>
        <v>#VALUE!</v>
      </c>
      <c r="KB42" s="962" t="e">
        <f>[1]!bodsava(1,1,(KB34+1),[1]!qsn([1]!ml([1]!taqsha(1,1,1+KB34,KB35)),KB36)/30,KB35,KB36)</f>
        <v>#VALUE!</v>
      </c>
      <c r="KC42" s="962" t="e">
        <f>[1]!bodsava(1,1,(KC34+1),[1]!qsn([1]!ml([1]!taqsha(1,1,1+KC34,KC35)),KC36)/30,KC35,KC36)</f>
        <v>#VALUE!</v>
      </c>
      <c r="KD42" s="962" t="e">
        <f>[1]!bodsava(1,1,(KD34+1),[1]!qsn([1]!ml([1]!taqsha(1,1,1+KD34,KD35)),KD36)/30,KD35,KD36)</f>
        <v>#VALUE!</v>
      </c>
      <c r="KE42" s="962" t="e">
        <f>[1]!bodsava(1,1,(KE34+1),[1]!qsn([1]!ml([1]!taqsha(1,1,1+KE34,KE35)),KE36)/30,KE35,KE36)</f>
        <v>#VALUE!</v>
      </c>
      <c r="KF42" s="962" t="e">
        <f>[1]!bodsava(1,1,(KF34+1),[1]!qsn([1]!ml([1]!taqsha(1,1,1+KF34,KF35)),KF36)/30,KF35,KF36)</f>
        <v>#VALUE!</v>
      </c>
      <c r="KG42" s="962" t="e">
        <f>[1]!bodsava(1,1,(KG34+1),[1]!qsn([1]!ml([1]!taqsha(1,1,1+KG34,KG35)),KG36)/30,KG35,KG36)</f>
        <v>#VALUE!</v>
      </c>
      <c r="KH42" s="962" t="e">
        <f>[1]!bodsava(1,1,(KH34+1),[1]!qsn([1]!ml([1]!taqsha(1,1,1+KH34,KH35)),KH36)/30,KH35,KH36)</f>
        <v>#VALUE!</v>
      </c>
      <c r="KI42" s="962" t="e">
        <f>[1]!bodsava(1,1,(KI34+1),[1]!qsn([1]!ml([1]!taqsha(1,1,1+KI34,KI35)),KI36)/30,KI35,KI36)</f>
        <v>#VALUE!</v>
      </c>
      <c r="KJ42" s="962" t="e">
        <f>[1]!bodsava(1,1,(KJ34+1),[1]!qsn([1]!ml([1]!taqsha(1,1,1+KJ34,KJ35)),KJ36)/30,KJ35,KJ36)</f>
        <v>#VALUE!</v>
      </c>
      <c r="KK42" s="962" t="e">
        <f>[1]!bodsava(1,1,(KK34+1),[1]!qsn([1]!ml([1]!taqsha(1,1,1+KK34,KK35)),KK36)/30,KK35,KK36)</f>
        <v>#VALUE!</v>
      </c>
      <c r="KL42" s="962" t="e">
        <f>[1]!bodsava(1,1,(KL34+1),[1]!qsn([1]!ml([1]!taqsha(1,1,1+KL34,KL35)),KL36)/30,KL35,KL36)</f>
        <v>#VALUE!</v>
      </c>
      <c r="KM42" s="962" t="e">
        <f>[1]!bodsava(1,1,(KM34+1),[1]!qsn([1]!ml([1]!taqsha(1,1,1+KM34,KM35)),KM36)/30,KM35,KM36)</f>
        <v>#VALUE!</v>
      </c>
      <c r="KN42" s="962" t="e">
        <f>[1]!bodsava(1,1,(KN34+1),[1]!qsn([1]!ml([1]!taqsha(1,1,1+KN34,KN35)),KN36)/30,KN35,KN36)</f>
        <v>#VALUE!</v>
      </c>
      <c r="KO42" s="962" t="e">
        <f>[1]!bodsava(1,1,(KO34+1),[1]!qsn([1]!ml([1]!taqsha(1,1,1+KO34,KO35)),KO36)/30,KO35,KO36)</f>
        <v>#VALUE!</v>
      </c>
      <c r="KP42" s="962" t="e">
        <f>[1]!bodsava(1,1,(KP34+1),[1]!qsn([1]!ml([1]!taqsha(1,1,1+KP34,KP35)),KP36)/30,KP35,KP36)</f>
        <v>#VALUE!</v>
      </c>
      <c r="KQ42" s="962" t="e">
        <f>[1]!bodsava(1,1,(KQ34+1),[1]!qsn([1]!ml([1]!taqsha(1,1,1+KQ34,KQ35)),KQ36)/30,KQ35,KQ36)</f>
        <v>#VALUE!</v>
      </c>
      <c r="KR42" s="962" t="e">
        <f>[1]!bodsava(1,1,(KR34+1),[1]!qsn([1]!ml([1]!taqsha(1,1,1+KR34,KR35)),KR36)/30,KR35,KR36)</f>
        <v>#VALUE!</v>
      </c>
      <c r="KS42" s="962" t="e">
        <f>[1]!bodsava(1,1,(KS34+1),[1]!qsn([1]!ml([1]!taqsha(1,1,1+KS34,KS35)),KS36)/30,KS35,KS36)</f>
        <v>#VALUE!</v>
      </c>
      <c r="KT42" s="962" t="e">
        <f>[1]!bodsava(1,1,(KT34+1),[1]!qsn([1]!ml([1]!taqsha(1,1,1+KT34,KT35)),KT36)/30,KT35,KT36)</f>
        <v>#VALUE!</v>
      </c>
      <c r="KU42" s="962" t="e">
        <f>[1]!bodsava(1,1,(KU34+1),[1]!qsn([1]!ml([1]!taqsha(1,1,1+KU34,KU35)),KU36)/30,KU35,KU36)</f>
        <v>#VALUE!</v>
      </c>
      <c r="KV42" s="962" t="e">
        <f>[1]!bodsava(1,1,(KV34+1),[1]!qsn([1]!ml([1]!taqsha(1,1,1+KV34,KV35)),KV36)/30,KV35,KV36)</f>
        <v>#VALUE!</v>
      </c>
      <c r="KW42" s="962" t="e">
        <f>[1]!bodsava(1,1,(KW34+1),[1]!qsn([1]!ml([1]!taqsha(1,1,1+KW34,KW35)),KW36)/30,KW35,KW36)</f>
        <v>#VALUE!</v>
      </c>
      <c r="KX42" s="962" t="e">
        <f>[1]!bodsava(1,1,(KX34+1),[1]!qsn([1]!ml([1]!taqsha(1,1,1+KX34,KX35)),KX36)/30,KX35,KX36)</f>
        <v>#VALUE!</v>
      </c>
      <c r="KY42" s="962" t="e">
        <f>[1]!bodsava(1,1,(KY34+1),[1]!qsn([1]!ml([1]!taqsha(1,1,1+KY34,KY35)),KY36)/30,KY35,KY36)</f>
        <v>#VALUE!</v>
      </c>
      <c r="KZ42" s="962" t="e">
        <f>[1]!bodsava(1,1,(KZ34+1),[1]!qsn([1]!ml([1]!taqsha(1,1,1+KZ34,KZ35)),KZ36)/30,KZ35,KZ36)</f>
        <v>#VALUE!</v>
      </c>
      <c r="LA42" s="962" t="e">
        <f>[1]!bodsava(1,1,(LA34+1),[1]!qsn([1]!ml([1]!taqsha(1,1,1+LA34,LA35)),LA36)/30,LA35,LA36)</f>
        <v>#VALUE!</v>
      </c>
      <c r="LB42" s="962" t="e">
        <f>[1]!bodsava(1,1,(LB34+1),[1]!qsn([1]!ml([1]!taqsha(1,1,1+LB34,LB35)),LB36)/30,LB35,LB36)</f>
        <v>#VALUE!</v>
      </c>
      <c r="LC42" s="962" t="e">
        <f>[1]!bodsava(1,1,(LC34+1),[1]!qsn([1]!ml([1]!taqsha(1,1,1+LC34,LC35)),LC36)/30,LC35,LC36)</f>
        <v>#VALUE!</v>
      </c>
      <c r="LD42" s="962" t="e">
        <f>[1]!bodsava(1,1,(LD34+1),[1]!qsn([1]!ml([1]!taqsha(1,1,1+LD34,LD35)),LD36)/30,LD35,LD36)</f>
        <v>#VALUE!</v>
      </c>
      <c r="LE42" s="962" t="e">
        <f>[1]!bodsava(1,1,(LE34+1),[1]!qsn([1]!ml([1]!taqsha(1,1,1+LE34,LE35)),LE36)/30,LE35,LE36)</f>
        <v>#VALUE!</v>
      </c>
      <c r="LF42" s="962" t="e">
        <f>[1]!bodsava(1,1,(LF34+1),[1]!qsn([1]!ml([1]!taqsha(1,1,1+LF34,LF35)),LF36)/30,LF35,LF36)</f>
        <v>#VALUE!</v>
      </c>
      <c r="LG42" s="962" t="e">
        <f>[1]!bodsava(1,1,(LG34+1),[1]!qsn([1]!ml([1]!taqsha(1,1,1+LG34,LG35)),LG36)/30,LG35,LG36)</f>
        <v>#VALUE!</v>
      </c>
      <c r="LH42" s="962" t="e">
        <f>[1]!bodsava(1,1,(LH34+1),[1]!qsn([1]!ml([1]!taqsha(1,1,1+LH34,LH35)),LH36)/30,LH35,LH36)</f>
        <v>#VALUE!</v>
      </c>
      <c r="LI42" s="962" t="e">
        <f>[1]!bodsava(1,1,(LI34+1),[1]!qsn([1]!ml([1]!taqsha(1,1,1+LI34,LI35)),LI36)/30,LI35,LI36)</f>
        <v>#VALUE!</v>
      </c>
      <c r="LJ42" s="962" t="e">
        <f>[1]!bodsava(1,1,(LJ34+1),[1]!qsn([1]!ml([1]!taqsha(1,1,1+LJ34,LJ35)),LJ36)/30,LJ35,LJ36)</f>
        <v>#VALUE!</v>
      </c>
      <c r="LK42" s="962" t="e">
        <f>[1]!bodsava(1,1,(LK34+1),[1]!qsn([1]!ml([1]!taqsha(1,1,1+LK34,LK35)),LK36)/30,LK35,LK36)</f>
        <v>#VALUE!</v>
      </c>
      <c r="LL42" s="962" t="e">
        <f>[1]!bodsava(1,1,(LL34+1),[1]!qsn([1]!ml([1]!taqsha(1,1,1+LL34,LL35)),LL36)/30,LL35,LL36)</f>
        <v>#VALUE!</v>
      </c>
      <c r="LM42" s="962" t="e">
        <f>[1]!bodsava(1,1,(LM34+1),[1]!qsn([1]!ml([1]!taqsha(1,1,1+LM34,LM35)),LM36)/30,LM35,LM36)</f>
        <v>#VALUE!</v>
      </c>
      <c r="LN42" s="962" t="e">
        <f>[1]!bodsava(1,1,(LN34+1),[1]!qsn([1]!ml([1]!taqsha(1,1,1+LN34,LN35)),LN36)/30,LN35,LN36)</f>
        <v>#VALUE!</v>
      </c>
      <c r="LO42" s="962" t="e">
        <f>[1]!bodsava(1,1,(LO34+1),[1]!qsn([1]!ml([1]!taqsha(1,1,1+LO34,LO35)),LO36)/30,LO35,LO36)</f>
        <v>#VALUE!</v>
      </c>
      <c r="LP42" s="962" t="e">
        <f>[1]!bodsava(1,1,(LP34+1),[1]!qsn([1]!ml([1]!taqsha(1,1,1+LP34,LP35)),LP36)/30,LP35,LP36)</f>
        <v>#VALUE!</v>
      </c>
      <c r="LQ42" s="962" t="e">
        <f>[1]!bodsava(1,1,(LQ34+1),[1]!qsn([1]!ml([1]!taqsha(1,1,1+LQ34,LQ35)),LQ36)/30,LQ35,LQ36)</f>
        <v>#VALUE!</v>
      </c>
      <c r="LR42" s="962" t="e">
        <f>[1]!bodsava(1,1,(LR34+1),[1]!qsn([1]!ml([1]!taqsha(1,1,1+LR34,LR35)),LR36)/30,LR35,LR36)</f>
        <v>#VALUE!</v>
      </c>
      <c r="LS42" s="962" t="e">
        <f>[1]!bodsava(1,1,(LS34+1),[1]!qsn([1]!ml([1]!taqsha(1,1,1+LS34,LS35)),LS36)/30,LS35,LS36)</f>
        <v>#VALUE!</v>
      </c>
      <c r="LT42" s="962" t="e">
        <f>[1]!bodsava(1,1,(LT34+1),[1]!qsn([1]!ml([1]!taqsha(1,1,1+LT34,LT35)),LT36)/30,LT35,LT36)</f>
        <v>#VALUE!</v>
      </c>
      <c r="LU42" s="962" t="e">
        <f>[1]!bodsava(1,1,(LU34+1),[1]!qsn([1]!ml([1]!taqsha(1,1,1+LU34,LU35)),LU36)/30,LU35,LU36)</f>
        <v>#VALUE!</v>
      </c>
      <c r="LV42" s="962" t="e">
        <f>[1]!bodsava(1,1,(LV34+1),[1]!qsn([1]!ml([1]!taqsha(1,1,1+LV34,LV35)),LV36)/30,LV35,LV36)</f>
        <v>#VALUE!</v>
      </c>
      <c r="LW42" s="962" t="e">
        <f>[1]!bodsava(1,1,(LW34+1),[1]!qsn([1]!ml([1]!taqsha(1,1,1+LW34,LW35)),LW36)/30,LW35,LW36)</f>
        <v>#VALUE!</v>
      </c>
      <c r="LX42" s="962" t="e">
        <f>[1]!bodsava(1,1,(LX34+1),[1]!qsn([1]!ml([1]!taqsha(1,1,1+LX34,LX35)),LX36)/30,LX35,LX36)</f>
        <v>#VALUE!</v>
      </c>
      <c r="LY42" s="962" t="e">
        <f>[1]!bodsava(1,1,(LY34+1),[1]!qsn([1]!ml([1]!taqsha(1,1,1+LY34,LY35)),LY36)/30,LY35,LY36)</f>
        <v>#VALUE!</v>
      </c>
      <c r="LZ42" s="962" t="e">
        <f>[1]!bodsava(1,1,(LZ34+1),[1]!qsn([1]!ml([1]!taqsha(1,1,1+LZ34,LZ35)),LZ36)/30,LZ35,LZ36)</f>
        <v>#VALUE!</v>
      </c>
      <c r="MA42" s="962" t="e">
        <f>[1]!bodsava(1,1,(MA34+1),[1]!qsn([1]!ml([1]!taqsha(1,1,1+MA34,MA35)),MA36)/30,MA35,MA36)</f>
        <v>#VALUE!</v>
      </c>
      <c r="MB42" s="962" t="e">
        <f>[1]!bodsava(1,1,(MB34+1),[1]!qsn([1]!ml([1]!taqsha(1,1,1+MB34,MB35)),MB36)/30,MB35,MB36)</f>
        <v>#VALUE!</v>
      </c>
      <c r="MC42" s="962" t="e">
        <f>[1]!bodsava(1,1,(MC34+1),[1]!qsn([1]!ml([1]!taqsha(1,1,1+MC34,MC35)),MC36)/30,MC35,MC36)</f>
        <v>#VALUE!</v>
      </c>
      <c r="MD42" s="962" t="e">
        <f>[1]!bodsava(1,1,(MD34+1),[1]!qsn([1]!ml([1]!taqsha(1,1,1+MD34,MD35)),MD36)/30,MD35,MD36)</f>
        <v>#VALUE!</v>
      </c>
      <c r="ME42" s="962" t="e">
        <f>[1]!bodsava(1,1,(ME34+1),[1]!qsn([1]!ml([1]!taqsha(1,1,1+ME34,ME35)),ME36)/30,ME35,ME36)</f>
        <v>#VALUE!</v>
      </c>
      <c r="MF42" s="962" t="e">
        <f>[1]!bodsava(1,1,(MF34+1),[1]!qsn([1]!ml([1]!taqsha(1,1,1+MF34,MF35)),MF36)/30,MF35,MF36)</f>
        <v>#VALUE!</v>
      </c>
      <c r="MG42" s="962" t="e">
        <f>[1]!bodsava(1,1,(MG34+1),[1]!qsn([1]!ml([1]!taqsha(1,1,1+MG34,MG35)),MG36)/30,MG35,MG36)</f>
        <v>#VALUE!</v>
      </c>
      <c r="MH42" s="962" t="e">
        <f>[1]!bodsava(1,1,(MH34+1),[1]!qsn([1]!ml([1]!taqsha(1,1,1+MH34,MH35)),MH36)/30,MH35,MH36)</f>
        <v>#VALUE!</v>
      </c>
      <c r="MI42" s="962" t="e">
        <f>[1]!bodsava(1,1,(MI34+1),[1]!qsn([1]!ml([1]!taqsha(1,1,1+MI34,MI35)),MI36)/30,MI35,MI36)</f>
        <v>#VALUE!</v>
      </c>
      <c r="MJ42" s="962" t="e">
        <f>[1]!bodsava(1,1,(MJ34+1),[1]!qsn([1]!ml([1]!taqsha(1,1,1+MJ34,MJ35)),MJ36)/30,MJ35,MJ36)</f>
        <v>#VALUE!</v>
      </c>
      <c r="MK42" s="962" t="e">
        <f>[1]!bodsava(1,1,(MK34+1),[1]!qsn([1]!ml([1]!taqsha(1,1,1+MK34,MK35)),MK36)/30,MK35,MK36)</f>
        <v>#VALUE!</v>
      </c>
      <c r="ML42" s="962" t="e">
        <f>[1]!bodsava(1,1,(ML34+1),[1]!qsn([1]!ml([1]!taqsha(1,1,1+ML34,ML35)),ML36)/30,ML35,ML36)</f>
        <v>#VALUE!</v>
      </c>
      <c r="MM42" s="962" t="e">
        <f>[1]!bodsava(1,1,(MM34+1),[1]!qsn([1]!ml([1]!taqsha(1,1,1+MM34,MM35)),MM36)/30,MM35,MM36)</f>
        <v>#VALUE!</v>
      </c>
      <c r="MN42" s="962" t="e">
        <f>[1]!bodsava(1,1,(MN34+1),[1]!qsn([1]!ml([1]!taqsha(1,1,1+MN34,MN35)),MN36)/30,MN35,MN36)</f>
        <v>#VALUE!</v>
      </c>
      <c r="MO42" s="962" t="e">
        <f>[1]!bodsava(1,1,(MO34+1),[1]!qsn([1]!ml([1]!taqsha(1,1,1+MO34,MO35)),MO36)/30,MO35,MO36)</f>
        <v>#VALUE!</v>
      </c>
      <c r="MP42" s="962" t="e">
        <f>[1]!bodsava(1,1,(MP34+1),[1]!qsn([1]!ml([1]!taqsha(1,1,1+MP34,MP35)),MP36)/30,MP35,MP36)</f>
        <v>#VALUE!</v>
      </c>
      <c r="MQ42" s="962" t="e">
        <f>[1]!bodsava(1,1,(MQ34+1),[1]!qsn([1]!ml([1]!taqsha(1,1,1+MQ34,MQ35)),MQ36)/30,MQ35,MQ36)</f>
        <v>#VALUE!</v>
      </c>
      <c r="MR42" s="962" t="e">
        <f>[1]!bodsava(1,1,(MR34+1),[1]!qsn([1]!ml([1]!taqsha(1,1,1+MR34,MR35)),MR36)/30,MR35,MR36)</f>
        <v>#VALUE!</v>
      </c>
      <c r="MS42" s="962" t="e">
        <f>[1]!bodsava(1,1,(MS34+1),[1]!qsn([1]!ml([1]!taqsha(1,1,1+MS34,MS35)),MS36)/30,MS35,MS36)</f>
        <v>#VALUE!</v>
      </c>
      <c r="MT42" s="962" t="e">
        <f>[1]!bodsava(1,1,(MT34+1),[1]!qsn([1]!ml([1]!taqsha(1,1,1+MT34,MT35)),MT36)/30,MT35,MT36)</f>
        <v>#VALUE!</v>
      </c>
      <c r="MU42" s="962" t="e">
        <f>[1]!bodsava(1,1,(MU34+1),[1]!qsn([1]!ml([1]!taqsha(1,1,1+MU34,MU35)),MU36)/30,MU35,MU36)</f>
        <v>#VALUE!</v>
      </c>
      <c r="MV42" s="962" t="e">
        <f>[1]!bodsava(1,1,(MV34+1),[1]!qsn([1]!ml([1]!taqsha(1,1,1+MV34,MV35)),MV36)/30,MV35,MV36)</f>
        <v>#VALUE!</v>
      </c>
      <c r="MW42" s="962" t="e">
        <f>[1]!bodsava(1,1,(MW34+1),[1]!qsn([1]!ml([1]!taqsha(1,1,1+MW34,MW35)),MW36)/30,MW35,MW36)</f>
        <v>#VALUE!</v>
      </c>
      <c r="MX42" s="962" t="e">
        <f>[1]!bodsava(1,1,(MX34+1),[1]!qsn([1]!ml([1]!taqsha(1,1,1+MX34,MX35)),MX36)/30,MX35,MX36)</f>
        <v>#VALUE!</v>
      </c>
      <c r="MY42" s="962" t="e">
        <f>[1]!bodsava(1,1,(MY34+1),[1]!qsn([1]!ml([1]!taqsha(1,1,1+MY34,MY35)),MY36)/30,MY35,MY36)</f>
        <v>#VALUE!</v>
      </c>
      <c r="MZ42" s="962" t="e">
        <f>[1]!bodsava(1,1,(MZ34+1),[1]!qsn([1]!ml([1]!taqsha(1,1,1+MZ34,MZ35)),MZ36)/30,MZ35,MZ36)</f>
        <v>#VALUE!</v>
      </c>
      <c r="NA42" s="962" t="e">
        <f>[1]!bodsava(1,1,(NA34+1),[1]!qsn([1]!ml([1]!taqsha(1,1,1+NA34,NA35)),NA36)/30,NA35,NA36)</f>
        <v>#VALUE!</v>
      </c>
      <c r="NB42" s="962" t="e">
        <f>[1]!bodsava(1,1,(NB34+1),[1]!qsn([1]!ml([1]!taqsha(1,1,1+NB34,NB35)),NB36)/30,NB35,NB36)</f>
        <v>#VALUE!</v>
      </c>
      <c r="NC42" s="962" t="e">
        <f>[1]!bodsava(1,1,(NC34+1),[1]!qsn([1]!ml([1]!taqsha(1,1,1+NC34,NC35)),NC36)/30,NC35,NC36)</f>
        <v>#VALUE!</v>
      </c>
      <c r="ND42" s="962" t="e">
        <f>[1]!bodsava(1,1,(ND34+1),[1]!qsn([1]!ml([1]!taqsha(1,1,1+ND34,ND35)),ND36)/30,ND35,ND36)</f>
        <v>#VALUE!</v>
      </c>
      <c r="NE42" s="962" t="e">
        <f>[1]!bodsava(1,1,(NE34+1),[1]!qsn([1]!ml([1]!taqsha(1,1,1+NE34,NE35)),NE36)/30,NE35,NE36)</f>
        <v>#VALUE!</v>
      </c>
      <c r="NF42" s="962" t="e">
        <f>[1]!bodsava(1,1,(NF34+1),[1]!qsn([1]!ml([1]!taqsha(1,1,1+NF34,NF35)),NF36)/30,NF35,NF36)</f>
        <v>#VALUE!</v>
      </c>
      <c r="NG42" s="962" t="e">
        <f>[1]!bodsava(1,1,(NG34+1),[1]!qsn([1]!ml([1]!taqsha(1,1,1+NG34,NG35)),NG36)/30,NG35,NG36)</f>
        <v>#VALUE!</v>
      </c>
      <c r="NH42" s="962" t="e">
        <f>[1]!bodsava(1,1,(NH34+1),[1]!qsn([1]!ml([1]!taqsha(1,1,1+NH34,NH35)),NH36)/30,NH35,NH36)</f>
        <v>#VALUE!</v>
      </c>
      <c r="NI42" s="962" t="e">
        <f>[1]!bodsava(1,1,(NI34+1),[1]!qsn([1]!ml([1]!taqsha(1,1,1+NI34,NI35)),NI36)/30,NI35,NI36)</f>
        <v>#VALUE!</v>
      </c>
      <c r="NJ42" s="962" t="e">
        <f>[1]!bodsava(1,1,(NJ34+1),[1]!qsn([1]!ml([1]!taqsha(1,1,1+NJ34,NJ35)),NJ36)/30,NJ35,NJ36)</f>
        <v>#VALUE!</v>
      </c>
      <c r="NK42" s="962" t="e">
        <f>[1]!bodsava(1,1,(NK34+1),[1]!qsn([1]!ml([1]!taqsha(1,1,1+NK34,NK35)),NK36)/30,NK35,NK36)</f>
        <v>#VALUE!</v>
      </c>
      <c r="NL42" s="962" t="e">
        <f>[1]!bodsava(1,1,(NL34+1),[1]!qsn([1]!ml([1]!taqsha(1,1,1+NL34,NL35)),NL36)/30,NL35,NL36)</f>
        <v>#VALUE!</v>
      </c>
      <c r="NM42" s="962" t="e">
        <f>[1]!bodsava(1,1,(NM34+1),[1]!qsn([1]!ml([1]!taqsha(1,1,1+NM34,NM35)),NM36)/30,NM35,NM36)</f>
        <v>#VALUE!</v>
      </c>
      <c r="NN42" s="962" t="e">
        <f>[1]!bodsava(1,1,(NN34+1),[1]!qsn([1]!ml([1]!taqsha(1,1,1+NN34,NN35)),NN36)/30,NN35,NN36)</f>
        <v>#VALUE!</v>
      </c>
      <c r="NO42" s="962" t="e">
        <f>[1]!bodsava(1,1,(NO34+1),[1]!qsn([1]!ml([1]!taqsha(1,1,1+NO34,NO35)),NO36)/30,NO35,NO36)</f>
        <v>#VALUE!</v>
      </c>
      <c r="NP42" s="962" t="e">
        <f>[1]!bodsava(1,1,(NP34+1),[1]!qsn([1]!ml([1]!taqsha(1,1,1+NP34,NP35)),NP36)/30,NP35,NP36)</f>
        <v>#VALUE!</v>
      </c>
      <c r="NQ42" s="962" t="e">
        <f>[1]!bodsava(1,1,(NQ34+1),[1]!qsn([1]!ml([1]!taqsha(1,1,1+NQ34,NQ35)),NQ36)/30,NQ35,NQ36)</f>
        <v>#VALUE!</v>
      </c>
      <c r="NR42" s="962" t="e">
        <f>[1]!bodsava(1,1,(NR34+1),[1]!qsn([1]!ml([1]!taqsha(1,1,1+NR34,NR35)),NR36)/30,NR35,NR36)</f>
        <v>#VALUE!</v>
      </c>
      <c r="NS42" s="962" t="e">
        <f>[1]!bodsava(1,1,(NS34+1),[1]!qsn([1]!ml([1]!taqsha(1,1,1+NS34,NS35)),NS36)/30,NS35,NS36)</f>
        <v>#VALUE!</v>
      </c>
      <c r="NT42" s="962" t="e">
        <f>[1]!bodsava(1,1,(NT34+1),[1]!qsn([1]!ml([1]!taqsha(1,1,1+NT34,NT35)),NT36)/30,NT35,NT36)</f>
        <v>#VALUE!</v>
      </c>
      <c r="NU42" s="962" t="e">
        <f>[1]!bodsava(1,1,(NU34+1),[1]!qsn([1]!ml([1]!taqsha(1,1,1+NU34,NU35)),NU36)/30,NU35,NU36)</f>
        <v>#VALUE!</v>
      </c>
      <c r="NV42" s="962" t="e">
        <f>[1]!bodsava(1,1,(NV34+1),[1]!qsn([1]!ml([1]!taqsha(1,1,1+NV34,NV35)),NV36)/30,NV35,NV36)</f>
        <v>#VALUE!</v>
      </c>
      <c r="NW42" s="962" t="e">
        <f>[1]!bodsava(1,1,(NW34+1),[1]!qsn([1]!ml([1]!taqsha(1,1,1+NW34,NW35)),NW36)/30,NW35,NW36)</f>
        <v>#VALUE!</v>
      </c>
      <c r="NX42" s="962" t="e">
        <f>[1]!bodsava(1,1,(NX34+1),[1]!qsn([1]!ml([1]!taqsha(1,1,1+NX34,NX35)),NX36)/30,NX35,NX36)</f>
        <v>#VALUE!</v>
      </c>
      <c r="NY42" s="962" t="e">
        <f>[1]!bodsava(1,1,(NY34+1),[1]!qsn([1]!ml([1]!taqsha(1,1,1+NY34,NY35)),NY36)/30,NY35,NY36)</f>
        <v>#VALUE!</v>
      </c>
      <c r="NZ42" s="962" t="e">
        <f>[1]!bodsava(1,1,(NZ34+1),[1]!qsn([1]!ml([1]!taqsha(1,1,1+NZ34,NZ35)),NZ36)/30,NZ35,NZ36)</f>
        <v>#VALUE!</v>
      </c>
      <c r="OA42" s="962" t="e">
        <f>[1]!bodsava(1,1,(OA34+1),[1]!qsn([1]!ml([1]!taqsha(1,1,1+OA34,OA35)),OA36)/30,OA35,OA36)</f>
        <v>#VALUE!</v>
      </c>
      <c r="OB42" s="962" t="e">
        <f>[1]!bodsava(1,1,(OB34+1),[1]!qsn([1]!ml([1]!taqsha(1,1,1+OB34,OB35)),OB36)/30,OB35,OB36)</f>
        <v>#VALUE!</v>
      </c>
      <c r="OC42" s="962" t="e">
        <f>[1]!bodsava(1,1,(OC34+1),[1]!qsn([1]!ml([1]!taqsha(1,1,1+OC34,OC35)),OC36)/30,OC35,OC36)</f>
        <v>#VALUE!</v>
      </c>
      <c r="OD42" s="962" t="e">
        <f>[1]!bodsava(1,1,(OD34+1),[1]!qsn([1]!ml([1]!taqsha(1,1,1+OD34,OD35)),OD36)/30,OD35,OD36)</f>
        <v>#VALUE!</v>
      </c>
      <c r="OE42" s="962" t="e">
        <f>[1]!bodsava(1,1,(OE34+1),[1]!qsn([1]!ml([1]!taqsha(1,1,1+OE34,OE35)),OE36)/30,OE35,OE36)</f>
        <v>#VALUE!</v>
      </c>
      <c r="OF42" s="962" t="e">
        <f>[1]!bodsava(1,1,(OF34+1),[1]!qsn([1]!ml([1]!taqsha(1,1,1+OF34,OF35)),OF36)/30,OF35,OF36)</f>
        <v>#VALUE!</v>
      </c>
      <c r="OG42" s="962" t="e">
        <f>[1]!bodsava(1,1,(OG34+1),[1]!qsn([1]!ml([1]!taqsha(1,1,1+OG34,OG35)),OG36)/30,OG35,OG36)</f>
        <v>#VALUE!</v>
      </c>
      <c r="OH42" s="962" t="e">
        <f>[1]!bodsava(1,1,(OH34+1),[1]!qsn([1]!ml([1]!taqsha(1,1,1+OH34,OH35)),OH36)/30,OH35,OH36)</f>
        <v>#VALUE!</v>
      </c>
      <c r="OI42" s="962" t="e">
        <f>[1]!bodsava(1,1,(OI34+1),[1]!qsn([1]!ml([1]!taqsha(1,1,1+OI34,OI35)),OI36)/30,OI35,OI36)</f>
        <v>#VALUE!</v>
      </c>
      <c r="OJ42" s="962" t="e">
        <f>[1]!bodsava(1,1,(OJ34+1),[1]!qsn([1]!ml([1]!taqsha(1,1,1+OJ34,OJ35)),OJ36)/30,OJ35,OJ36)</f>
        <v>#VALUE!</v>
      </c>
      <c r="OK42" s="962" t="e">
        <f>[1]!bodsava(1,1,(OK34+1),[1]!qsn([1]!ml([1]!taqsha(1,1,1+OK34,OK35)),OK36)/30,OK35,OK36)</f>
        <v>#VALUE!</v>
      </c>
      <c r="OL42" s="962" t="e">
        <f>[1]!bodsava(1,1,(OL34+1),[1]!qsn([1]!ml([1]!taqsha(1,1,1+OL34,OL35)),OL36)/30,OL35,OL36)</f>
        <v>#VALUE!</v>
      </c>
      <c r="OM42" s="962" t="e">
        <f>[1]!bodsava(1,1,(OM34+1),[1]!qsn([1]!ml([1]!taqsha(1,1,1+OM34,OM35)),OM36)/30,OM35,OM36)</f>
        <v>#VALUE!</v>
      </c>
      <c r="ON42" s="962" t="e">
        <f>[1]!bodsava(1,1,(ON34+1),[1]!qsn([1]!ml([1]!taqsha(1,1,1+ON34,ON35)),ON36)/30,ON35,ON36)</f>
        <v>#VALUE!</v>
      </c>
      <c r="OO42" s="962" t="e">
        <f>[1]!bodsava(1,1,(OO34+1),[1]!qsn([1]!ml([1]!taqsha(1,1,1+OO34,OO35)),OO36)/30,OO35,OO36)</f>
        <v>#VALUE!</v>
      </c>
      <c r="OP42" s="962" t="e">
        <f>[1]!bodsava(1,1,(OP34+1),[1]!qsn([1]!ml([1]!taqsha(1,1,1+OP34,OP35)),OP36)/30,OP35,OP36)</f>
        <v>#VALUE!</v>
      </c>
      <c r="OQ42" s="962" t="e">
        <f>[1]!bodsava(1,1,(OQ34+1),[1]!qsn([1]!ml([1]!taqsha(1,1,1+OQ34,OQ35)),OQ36)/30,OQ35,OQ36)</f>
        <v>#VALUE!</v>
      </c>
      <c r="OR42" s="962" t="e">
        <f>[1]!bodsava(1,1,(OR34+1),[1]!qsn([1]!ml([1]!taqsha(1,1,1+OR34,OR35)),OR36)/30,OR35,OR36)</f>
        <v>#VALUE!</v>
      </c>
      <c r="OS42" s="962" t="e">
        <f>[1]!bodsava(1,1,(OS34+1),[1]!qsn([1]!ml([1]!taqsha(1,1,1+OS34,OS35)),OS36)/30,OS35,OS36)</f>
        <v>#VALUE!</v>
      </c>
      <c r="OT42" s="962" t="e">
        <f>[1]!bodsava(1,1,(OT34+1),[1]!qsn([1]!ml([1]!taqsha(1,1,1+OT34,OT35)),OT36)/30,OT35,OT36)</f>
        <v>#VALUE!</v>
      </c>
      <c r="OU42" s="962" t="e">
        <f>[1]!bodsava(1,1,(OU34+1),[1]!qsn([1]!ml([1]!taqsha(1,1,1+OU34,OU35)),OU36)/30,OU35,OU36)</f>
        <v>#VALUE!</v>
      </c>
      <c r="OV42" s="962" t="e">
        <f>[1]!bodsava(1,1,(OV34+1),[1]!qsn([1]!ml([1]!taqsha(1,1,1+OV34,OV35)),OV36)/30,OV35,OV36)</f>
        <v>#VALUE!</v>
      </c>
      <c r="OW42" s="962" t="e">
        <f>[1]!bodsava(1,1,(OW34+1),[1]!qsn([1]!ml([1]!taqsha(1,1,1+OW34,OW35)),OW36)/30,OW35,OW36)</f>
        <v>#VALUE!</v>
      </c>
      <c r="OX42" s="962" t="e">
        <f>[1]!bodsava(1,1,(OX34+1),[1]!qsn([1]!ml([1]!taqsha(1,1,1+OX34,OX35)),OX36)/30,OX35,OX36)</f>
        <v>#VALUE!</v>
      </c>
      <c r="OY42" s="962" t="e">
        <f>[1]!bodsava(1,1,(OY34+1),[1]!qsn([1]!ml([1]!taqsha(1,1,1+OY34,OY35)),OY36)/30,OY35,OY36)</f>
        <v>#VALUE!</v>
      </c>
      <c r="OZ42" s="962" t="e">
        <f>[1]!bodsava(1,1,(OZ34+1),[1]!qsn([1]!ml([1]!taqsha(1,1,1+OZ34,OZ35)),OZ36)/30,OZ35,OZ36)</f>
        <v>#VALUE!</v>
      </c>
      <c r="PA42" s="962" t="e">
        <f>[1]!bodsava(1,1,(PA34+1),[1]!qsn([1]!ml([1]!taqsha(1,1,1+PA34,PA35)),PA36)/30,PA35,PA36)</f>
        <v>#VALUE!</v>
      </c>
      <c r="PB42" s="962" t="e">
        <f>[1]!bodsava(1,1,(PB34+1),[1]!qsn([1]!ml([1]!taqsha(1,1,1+PB34,PB35)),PB36)/30,PB35,PB36)</f>
        <v>#VALUE!</v>
      </c>
      <c r="PC42" s="962" t="e">
        <f>[1]!bodsava(1,1,(PC34+1),[1]!qsn([1]!ml([1]!taqsha(1,1,1+PC34,PC35)),PC36)/30,PC35,PC36)</f>
        <v>#VALUE!</v>
      </c>
      <c r="PD42" s="962" t="e">
        <f>[1]!bodsava(1,1,(PD34+1),[1]!qsn([1]!ml([1]!taqsha(1,1,1+PD34,PD35)),PD36)/30,PD35,PD36)</f>
        <v>#VALUE!</v>
      </c>
      <c r="PE42" s="962" t="e">
        <f>[1]!bodsava(1,1,(PE34+1),[1]!qsn([1]!ml([1]!taqsha(1,1,1+PE34,PE35)),PE36)/30,PE35,PE36)</f>
        <v>#VALUE!</v>
      </c>
      <c r="PF42" s="962" t="e">
        <f>[1]!bodsava(1,1,(PF34+1),[1]!qsn([1]!ml([1]!taqsha(1,1,1+PF34,PF35)),PF36)/30,PF35,PF36)</f>
        <v>#VALUE!</v>
      </c>
      <c r="PG42" s="962" t="e">
        <f>[1]!bodsava(1,1,(PG34+1),[1]!qsn([1]!ml([1]!taqsha(1,1,1+PG34,PG35)),PG36)/30,PG35,PG36)</f>
        <v>#VALUE!</v>
      </c>
      <c r="PH42" s="962" t="e">
        <f>[1]!bodsava(1,1,(PH34+1),[1]!qsn([1]!ml([1]!taqsha(1,1,1+PH34,PH35)),PH36)/30,PH35,PH36)</f>
        <v>#VALUE!</v>
      </c>
      <c r="PI42" s="962" t="e">
        <f>[1]!bodsava(1,1,(PI34+1),[1]!qsn([1]!ml([1]!taqsha(1,1,1+PI34,PI35)),PI36)/30,PI35,PI36)</f>
        <v>#VALUE!</v>
      </c>
      <c r="PJ42" s="962" t="e">
        <f>[1]!bodsava(1,1,(PJ34+1),[1]!qsn([1]!ml([1]!taqsha(1,1,1+PJ34,PJ35)),PJ36)/30,PJ35,PJ36)</f>
        <v>#VALUE!</v>
      </c>
      <c r="PK42" s="962" t="e">
        <f>[1]!bodsava(1,1,(PK34+1),[1]!qsn([1]!ml([1]!taqsha(1,1,1+PK34,PK35)),PK36)/30,PK35,PK36)</f>
        <v>#VALUE!</v>
      </c>
      <c r="PL42" s="962" t="e">
        <f>[1]!bodsava(1,1,(PL34+1),[1]!qsn([1]!ml([1]!taqsha(1,1,1+PL34,PL35)),PL36)/30,PL35,PL36)</f>
        <v>#VALUE!</v>
      </c>
      <c r="PM42" s="962" t="e">
        <f>[1]!bodsava(1,1,(PM34+1),[1]!qsn([1]!ml([1]!taqsha(1,1,1+PM34,PM35)),PM36)/30,PM35,PM36)</f>
        <v>#VALUE!</v>
      </c>
      <c r="PN42" s="962" t="e">
        <f>[1]!bodsava(1,1,(PN34+1),[1]!qsn([1]!ml([1]!taqsha(1,1,1+PN34,PN35)),PN36)/30,PN35,PN36)</f>
        <v>#VALUE!</v>
      </c>
      <c r="PO42" s="962" t="e">
        <f>[1]!bodsava(1,1,(PO34+1),[1]!qsn([1]!ml([1]!taqsha(1,1,1+PO34,PO35)),PO36)/30,PO35,PO36)</f>
        <v>#VALUE!</v>
      </c>
      <c r="PP42" s="962" t="e">
        <f>[1]!bodsava(1,1,(PP34+1),[1]!qsn([1]!ml([1]!taqsha(1,1,1+PP34,PP35)),PP36)/30,PP35,PP36)</f>
        <v>#VALUE!</v>
      </c>
      <c r="PQ42" s="962" t="e">
        <f>[1]!bodsava(1,1,(PQ34+1),[1]!qsn([1]!ml([1]!taqsha(1,1,1+PQ34,PQ35)),PQ36)/30,PQ35,PQ36)</f>
        <v>#VALUE!</v>
      </c>
      <c r="PR42" s="962" t="e">
        <f>[1]!bodsava(1,1,(PR34+1),[1]!qsn([1]!ml([1]!taqsha(1,1,1+PR34,PR35)),PR36)/30,PR35,PR36)</f>
        <v>#VALUE!</v>
      </c>
      <c r="PS42" s="962" t="e">
        <f>[1]!bodsava(1,1,(PS34+1),[1]!qsn([1]!ml([1]!taqsha(1,1,1+PS34,PS35)),PS36)/30,PS35,PS36)</f>
        <v>#VALUE!</v>
      </c>
      <c r="PT42" s="962" t="e">
        <f>[1]!bodsava(1,1,(PT34+1),[1]!qsn([1]!ml([1]!taqsha(1,1,1+PT34,PT35)),PT36)/30,PT35,PT36)</f>
        <v>#VALUE!</v>
      </c>
      <c r="PU42" s="962" t="e">
        <f>[1]!bodsava(1,1,(PU34+1),[1]!qsn([1]!ml([1]!taqsha(1,1,1+PU34,PU35)),PU36)/30,PU35,PU36)</f>
        <v>#VALUE!</v>
      </c>
      <c r="PV42" s="962" t="e">
        <f>[1]!bodsava(1,1,(PV34+1),[1]!qsn([1]!ml([1]!taqsha(1,1,1+PV34,PV35)),PV36)/30,PV35,PV36)</f>
        <v>#VALUE!</v>
      </c>
      <c r="PW42" s="962" t="e">
        <f>[1]!bodsava(1,1,(PW34+1),[1]!qsn([1]!ml([1]!taqsha(1,1,1+PW34,PW35)),PW36)/30,PW35,PW36)</f>
        <v>#VALUE!</v>
      </c>
      <c r="PX42" s="962" t="e">
        <f>[1]!bodsava(1,1,(PX34+1),[1]!qsn([1]!ml([1]!taqsha(1,1,1+PX34,PX35)),PX36)/30,PX35,PX36)</f>
        <v>#VALUE!</v>
      </c>
      <c r="PY42" s="962" t="e">
        <f>[1]!bodsava(1,1,(PY34+1),[1]!qsn([1]!ml([1]!taqsha(1,1,1+PY34,PY35)),PY36)/30,PY35,PY36)</f>
        <v>#VALUE!</v>
      </c>
      <c r="PZ42" s="962" t="e">
        <f>[1]!bodsava(1,1,(PZ34+1),[1]!qsn([1]!ml([1]!taqsha(1,1,1+PZ34,PZ35)),PZ36)/30,PZ35,PZ36)</f>
        <v>#VALUE!</v>
      </c>
      <c r="QA42" s="962" t="e">
        <f>[1]!bodsava(1,1,(QA34+1),[1]!qsn([1]!ml([1]!taqsha(1,1,1+QA34,QA35)),QA36)/30,QA35,QA36)</f>
        <v>#VALUE!</v>
      </c>
      <c r="QB42" s="962" t="e">
        <f>[1]!bodsava(1,1,(QB34+1),[1]!qsn([1]!ml([1]!taqsha(1,1,1+QB34,QB35)),QB36)/30,QB35,QB36)</f>
        <v>#VALUE!</v>
      </c>
      <c r="QC42" s="962" t="e">
        <f>[1]!bodsava(1,1,(QC34+1),[1]!qsn([1]!ml([1]!taqsha(1,1,1+QC34,QC35)),QC36)/30,QC35,QC36)</f>
        <v>#VALUE!</v>
      </c>
      <c r="QD42" s="962" t="e">
        <f>[1]!bodsava(1,1,(QD34+1),[1]!qsn([1]!ml([1]!taqsha(1,1,1+QD34,QD35)),QD36)/30,QD35,QD36)</f>
        <v>#VALUE!</v>
      </c>
      <c r="QE42" s="962" t="e">
        <f>[1]!bodsava(1,1,(QE34+1),[1]!qsn([1]!ml([1]!taqsha(1,1,1+QE34,QE35)),QE36)/30,QE35,QE36)</f>
        <v>#VALUE!</v>
      </c>
      <c r="QF42" s="962" t="e">
        <f>[1]!bodsava(1,1,(QF34+1),[1]!qsn([1]!ml([1]!taqsha(1,1,1+QF34,QF35)),QF36)/30,QF35,QF36)</f>
        <v>#VALUE!</v>
      </c>
      <c r="QG42" s="962" t="e">
        <f>[1]!bodsava(1,1,(QG34+1),[1]!qsn([1]!ml([1]!taqsha(1,1,1+QG34,QG35)),QG36)/30,QG35,QG36)</f>
        <v>#VALUE!</v>
      </c>
      <c r="QH42" s="962" t="e">
        <f>[1]!bodsava(1,1,(QH34+1),[1]!qsn([1]!ml([1]!taqsha(1,1,1+QH34,QH35)),QH36)/30,QH35,QH36)</f>
        <v>#VALUE!</v>
      </c>
      <c r="QI42" s="962" t="e">
        <f>[1]!bodsava(1,1,(QI34+1),[1]!qsn([1]!ml([1]!taqsha(1,1,1+QI34,QI35)),QI36)/30,QI35,QI36)</f>
        <v>#VALUE!</v>
      </c>
      <c r="QJ42" s="962" t="e">
        <f>[1]!bodsava(1,1,(QJ34+1),[1]!qsn([1]!ml([1]!taqsha(1,1,1+QJ34,QJ35)),QJ36)/30,QJ35,QJ36)</f>
        <v>#VALUE!</v>
      </c>
      <c r="QK42" s="962" t="e">
        <f>[1]!bodsava(1,1,(QK34+1),[1]!qsn([1]!ml([1]!taqsha(1,1,1+QK34,QK35)),QK36)/30,QK35,QK36)</f>
        <v>#VALUE!</v>
      </c>
      <c r="QL42" s="962" t="e">
        <f>[1]!bodsava(1,1,(QL34+1),[1]!qsn([1]!ml([1]!taqsha(1,1,1+QL34,QL35)),QL36)/30,QL35,QL36)</f>
        <v>#VALUE!</v>
      </c>
      <c r="QM42" s="962" t="e">
        <f>[1]!bodsava(1,1,(QM34+1),[1]!qsn([1]!ml([1]!taqsha(1,1,1+QM34,QM35)),QM36)/30,QM35,QM36)</f>
        <v>#VALUE!</v>
      </c>
      <c r="QN42" s="962" t="e">
        <f>[1]!bodsava(1,1,(QN34+1),[1]!qsn([1]!ml([1]!taqsha(1,1,1+QN34,QN35)),QN36)/30,QN35,QN36)</f>
        <v>#VALUE!</v>
      </c>
      <c r="QO42" s="962" t="e">
        <f>[1]!bodsava(1,1,(QO34+1),[1]!qsn([1]!ml([1]!taqsha(1,1,1+QO34,QO35)),QO36)/30,QO35,QO36)</f>
        <v>#VALUE!</v>
      </c>
      <c r="QP42" s="962" t="e">
        <f>[1]!bodsava(1,1,(QP34+1),[1]!qsn([1]!ml([1]!taqsha(1,1,1+QP34,QP35)),QP36)/30,QP35,QP36)</f>
        <v>#VALUE!</v>
      </c>
      <c r="QQ42" s="962" t="e">
        <f>[1]!bodsava(1,1,(QQ34+1),[1]!qsn([1]!ml([1]!taqsha(1,1,1+QQ34,QQ35)),QQ36)/30,QQ35,QQ36)</f>
        <v>#VALUE!</v>
      </c>
      <c r="QR42" s="962" t="e">
        <f>[1]!bodsava(1,1,(QR34+1),[1]!qsn([1]!ml([1]!taqsha(1,1,1+QR34,QR35)),QR36)/30,QR35,QR36)</f>
        <v>#VALUE!</v>
      </c>
      <c r="QS42" s="962" t="e">
        <f>[1]!bodsava(1,1,(QS34+1),[1]!qsn([1]!ml([1]!taqsha(1,1,1+QS34,QS35)),QS36)/30,QS35,QS36)</f>
        <v>#VALUE!</v>
      </c>
      <c r="QT42" s="962" t="e">
        <f>[1]!bodsava(1,1,(QT34+1),[1]!qsn([1]!ml([1]!taqsha(1,1,1+QT34,QT35)),QT36)/30,QT35,QT36)</f>
        <v>#VALUE!</v>
      </c>
      <c r="QU42" s="962" t="e">
        <f>[1]!bodsava(1,1,(QU34+1),[1]!qsn([1]!ml([1]!taqsha(1,1,1+QU34,QU35)),QU36)/30,QU35,QU36)</f>
        <v>#VALUE!</v>
      </c>
      <c r="QV42" s="962" t="e">
        <f>[1]!bodsava(1,1,(QV34+1),[1]!qsn([1]!ml([1]!taqsha(1,1,1+QV34,QV35)),QV36)/30,QV35,QV36)</f>
        <v>#VALUE!</v>
      </c>
      <c r="QW42" s="962" t="e">
        <f>[1]!bodsava(1,1,(QW34+1),[1]!qsn([1]!ml([1]!taqsha(1,1,1+QW34,QW35)),QW36)/30,QW35,QW36)</f>
        <v>#VALUE!</v>
      </c>
      <c r="QX42" s="962" t="e">
        <f>[1]!bodsava(1,1,(QX34+1),[1]!qsn([1]!ml([1]!taqsha(1,1,1+QX34,QX35)),QX36)/30,QX35,QX36)</f>
        <v>#VALUE!</v>
      </c>
      <c r="QY42" s="962" t="e">
        <f>[1]!bodsava(1,1,(QY34+1),[1]!qsn([1]!ml([1]!taqsha(1,1,1+QY34,QY35)),QY36)/30,QY35,QY36)</f>
        <v>#VALUE!</v>
      </c>
      <c r="QZ42" s="962" t="e">
        <f>[1]!bodsava(1,1,(QZ34+1),[1]!qsn([1]!ml([1]!taqsha(1,1,1+QZ34,QZ35)),QZ36)/30,QZ35,QZ36)</f>
        <v>#VALUE!</v>
      </c>
      <c r="RA42" s="963" t="e">
        <f>[1]!bodsava(1,1,(RA34+1),[1]!qsn([1]!ml([1]!taqsha(1,1,1+RA34,RA35)),RA36)/30,RA35,RA36)</f>
        <v>#VALUE!</v>
      </c>
    </row>
    <row r="43" spans="1:471" ht="15.75" thickBot="1">
      <c r="A43" s="22">
        <f>A40</f>
        <v>22</v>
      </c>
      <c r="B43" s="22">
        <f>B40</f>
        <v>9</v>
      </c>
      <c r="C43" s="22">
        <f>C40</f>
        <v>1442</v>
      </c>
      <c r="D43" t="str">
        <f>D40</f>
        <v>شمسی</v>
      </c>
      <c r="E43">
        <f>E40</f>
        <v>16</v>
      </c>
      <c r="J43" s="1"/>
      <c r="K43" s="1"/>
      <c r="L43" s="1"/>
      <c r="M43" s="1"/>
      <c r="N43" s="1"/>
      <c r="O43" s="1"/>
      <c r="P43" s="1"/>
      <c r="Q43" s="1"/>
      <c r="R43" s="1"/>
      <c r="S43" s="1"/>
      <c r="T43" s="1"/>
      <c r="U43" s="1"/>
      <c r="V43" s="1"/>
      <c r="W43" s="1"/>
      <c r="X43" s="1"/>
      <c r="Y43" s="1"/>
      <c r="Z43" s="1"/>
      <c r="AA43" s="1"/>
      <c r="AK43" s="759"/>
      <c r="AL43" s="701">
        <f t="shared" ref="AL43:AW44" si="349">AL19</f>
        <v>9.5138888888888884E-2</v>
      </c>
      <c r="AM43" s="304">
        <f t="shared" si="349"/>
        <v>9.5138888888888884E-2</v>
      </c>
      <c r="AN43" s="304">
        <f t="shared" si="349"/>
        <v>9.5138888888888884E-2</v>
      </c>
      <c r="AO43" s="304">
        <f t="shared" si="349"/>
        <v>9.5138888888888884E-2</v>
      </c>
      <c r="AP43" s="304">
        <f t="shared" si="349"/>
        <v>9.5138888888888884E-2</v>
      </c>
      <c r="AQ43" s="304">
        <f t="shared" si="349"/>
        <v>9.5138888888888884E-2</v>
      </c>
      <c r="AR43" s="304">
        <f t="shared" si="349"/>
        <v>9.5138888888888884E-2</v>
      </c>
      <c r="AS43" s="304">
        <f t="shared" si="349"/>
        <v>9.5138888888888884E-2</v>
      </c>
      <c r="AT43" s="304">
        <f t="shared" si="349"/>
        <v>9.5138888888888884E-2</v>
      </c>
      <c r="AU43" s="304">
        <f t="shared" si="349"/>
        <v>9.5138888888888884E-2</v>
      </c>
      <c r="AV43" s="304">
        <f t="shared" si="349"/>
        <v>9.5138888888888884E-2</v>
      </c>
      <c r="AW43" s="314">
        <f t="shared" si="349"/>
        <v>9.5138888888888884E-2</v>
      </c>
      <c r="AX43" s="314"/>
      <c r="DH43" s="797"/>
      <c r="DI43" s="797" t="s">
        <v>3543</v>
      </c>
      <c r="DJ43" s="967">
        <v>1</v>
      </c>
      <c r="DK43" s="965">
        <v>2</v>
      </c>
      <c r="DL43" s="965">
        <v>3</v>
      </c>
      <c r="DM43" s="965">
        <v>4</v>
      </c>
      <c r="DN43" s="964">
        <v>5</v>
      </c>
      <c r="DO43" s="965">
        <v>6</v>
      </c>
      <c r="DP43" s="965">
        <v>7</v>
      </c>
      <c r="DQ43" s="965">
        <v>8</v>
      </c>
      <c r="DR43" s="964">
        <v>9</v>
      </c>
      <c r="DS43" s="965">
        <v>10</v>
      </c>
      <c r="DT43" s="965">
        <v>11</v>
      </c>
      <c r="DU43" s="965">
        <v>12</v>
      </c>
      <c r="DV43" s="964">
        <v>13</v>
      </c>
      <c r="DW43" s="965">
        <v>14</v>
      </c>
      <c r="DX43" s="965">
        <v>15</v>
      </c>
      <c r="DY43" s="965">
        <v>16</v>
      </c>
      <c r="DZ43" s="964">
        <v>17</v>
      </c>
      <c r="EA43" s="965">
        <v>18</v>
      </c>
      <c r="EB43" s="965">
        <v>19</v>
      </c>
      <c r="EC43" s="965">
        <v>20</v>
      </c>
      <c r="ED43" s="964">
        <v>21</v>
      </c>
      <c r="EE43" s="965">
        <v>22</v>
      </c>
      <c r="EF43" s="965">
        <v>23</v>
      </c>
      <c r="EG43" s="965">
        <v>24</v>
      </c>
      <c r="EH43" s="964">
        <v>25</v>
      </c>
      <c r="EI43" s="965">
        <v>26</v>
      </c>
      <c r="EJ43" s="965">
        <v>27</v>
      </c>
      <c r="EK43" s="965">
        <v>28</v>
      </c>
      <c r="EL43" s="964">
        <v>29</v>
      </c>
      <c r="EM43" s="965">
        <v>30</v>
      </c>
      <c r="EN43" s="967">
        <v>1</v>
      </c>
      <c r="EO43" s="965">
        <v>2</v>
      </c>
      <c r="EP43" s="965">
        <v>3</v>
      </c>
      <c r="EQ43" s="965">
        <v>4</v>
      </c>
      <c r="ER43" s="964">
        <v>5</v>
      </c>
      <c r="ES43" s="965">
        <v>6</v>
      </c>
      <c r="ET43" s="965">
        <v>7</v>
      </c>
      <c r="EU43" s="965">
        <v>8</v>
      </c>
      <c r="EV43" s="964">
        <v>9</v>
      </c>
      <c r="EW43" s="965">
        <v>10</v>
      </c>
      <c r="EX43" s="965">
        <v>11</v>
      </c>
      <c r="EY43" s="965">
        <v>12</v>
      </c>
      <c r="EZ43" s="964">
        <v>13</v>
      </c>
      <c r="FA43" s="965">
        <v>14</v>
      </c>
      <c r="FB43" s="965">
        <v>15</v>
      </c>
      <c r="FC43" s="965">
        <v>16</v>
      </c>
      <c r="FD43" s="964">
        <v>17</v>
      </c>
      <c r="FE43" s="965">
        <v>18</v>
      </c>
      <c r="FF43" s="965">
        <v>19</v>
      </c>
      <c r="FG43" s="965">
        <v>20</v>
      </c>
      <c r="FH43" s="964">
        <v>21</v>
      </c>
      <c r="FI43" s="965">
        <v>22</v>
      </c>
      <c r="FJ43" s="965">
        <v>23</v>
      </c>
      <c r="FK43" s="965">
        <v>24</v>
      </c>
      <c r="FL43" s="964">
        <v>25</v>
      </c>
      <c r="FM43" s="965">
        <v>26</v>
      </c>
      <c r="FN43" s="965">
        <v>27</v>
      </c>
      <c r="FO43" s="965">
        <v>28</v>
      </c>
      <c r="FP43" s="964">
        <v>29</v>
      </c>
      <c r="FQ43" s="964">
        <v>30</v>
      </c>
      <c r="FR43" s="967">
        <v>1</v>
      </c>
      <c r="FS43" s="965">
        <v>2</v>
      </c>
      <c r="FT43" s="965">
        <v>3</v>
      </c>
      <c r="FU43" s="965">
        <v>4</v>
      </c>
      <c r="FV43" s="964">
        <v>5</v>
      </c>
      <c r="FW43" s="965">
        <v>6</v>
      </c>
      <c r="FX43" s="965">
        <v>7</v>
      </c>
      <c r="FY43" s="965">
        <v>8</v>
      </c>
      <c r="FZ43" s="964">
        <v>9</v>
      </c>
      <c r="GA43" s="965">
        <v>10</v>
      </c>
      <c r="GB43" s="965">
        <v>11</v>
      </c>
      <c r="GC43" s="965">
        <v>12</v>
      </c>
      <c r="GD43" s="964">
        <v>13</v>
      </c>
      <c r="GE43" s="965">
        <v>14</v>
      </c>
      <c r="GF43" s="965">
        <v>15</v>
      </c>
      <c r="GG43" s="965">
        <v>16</v>
      </c>
      <c r="GH43" s="964">
        <v>17</v>
      </c>
      <c r="GI43" s="965">
        <v>18</v>
      </c>
      <c r="GJ43" s="965">
        <v>19</v>
      </c>
      <c r="GK43" s="965">
        <v>20</v>
      </c>
      <c r="GL43" s="964">
        <v>21</v>
      </c>
      <c r="GM43" s="965">
        <v>22</v>
      </c>
      <c r="GN43" s="965">
        <v>23</v>
      </c>
      <c r="GO43" s="965">
        <v>24</v>
      </c>
      <c r="GP43" s="964">
        <v>25</v>
      </c>
      <c r="GQ43" s="965">
        <v>26</v>
      </c>
      <c r="GR43" s="965">
        <v>27</v>
      </c>
      <c r="GS43" s="965">
        <v>28</v>
      </c>
      <c r="GT43" s="964">
        <v>29</v>
      </c>
      <c r="GU43" s="967">
        <v>1</v>
      </c>
      <c r="GV43" s="965">
        <v>2</v>
      </c>
      <c r="GW43" s="965">
        <v>3</v>
      </c>
      <c r="GX43" s="965">
        <v>4</v>
      </c>
      <c r="GY43" s="964">
        <v>5</v>
      </c>
      <c r="GZ43" s="965">
        <v>6</v>
      </c>
      <c r="HA43" s="965">
        <v>7</v>
      </c>
      <c r="HB43" s="965">
        <v>8</v>
      </c>
      <c r="HC43" s="964">
        <v>9</v>
      </c>
      <c r="HD43" s="965">
        <v>10</v>
      </c>
      <c r="HE43" s="965">
        <v>11</v>
      </c>
      <c r="HF43" s="965">
        <v>12</v>
      </c>
      <c r="HG43" s="964">
        <v>13</v>
      </c>
      <c r="HH43" s="965">
        <v>14</v>
      </c>
      <c r="HI43" s="965">
        <v>15</v>
      </c>
      <c r="HJ43" s="965">
        <v>16</v>
      </c>
      <c r="HK43" s="964">
        <v>17</v>
      </c>
      <c r="HL43" s="965">
        <v>18</v>
      </c>
      <c r="HM43" s="965">
        <v>19</v>
      </c>
      <c r="HN43" s="965">
        <v>20</v>
      </c>
      <c r="HO43" s="964">
        <v>21</v>
      </c>
      <c r="HP43" s="965">
        <v>22</v>
      </c>
      <c r="HQ43" s="965">
        <v>23</v>
      </c>
      <c r="HR43" s="965">
        <v>24</v>
      </c>
      <c r="HS43" s="964">
        <v>25</v>
      </c>
      <c r="HT43" s="965">
        <v>26</v>
      </c>
      <c r="HU43" s="965">
        <v>27</v>
      </c>
      <c r="HV43" s="965">
        <v>28</v>
      </c>
      <c r="HW43" s="964">
        <v>29</v>
      </c>
      <c r="HX43" s="964">
        <v>30</v>
      </c>
      <c r="HY43" s="967">
        <v>1</v>
      </c>
      <c r="HZ43" s="965">
        <v>2</v>
      </c>
      <c r="IA43" s="965">
        <v>3</v>
      </c>
      <c r="IB43" s="965">
        <v>4</v>
      </c>
      <c r="IC43" s="964">
        <v>5</v>
      </c>
      <c r="ID43" s="965">
        <v>6</v>
      </c>
      <c r="IE43" s="965">
        <v>7</v>
      </c>
      <c r="IF43" s="965">
        <v>8</v>
      </c>
      <c r="IG43" s="964">
        <v>9</v>
      </c>
      <c r="IH43" s="965">
        <v>10</v>
      </c>
      <c r="II43" s="965">
        <v>11</v>
      </c>
      <c r="IJ43" s="965">
        <v>12</v>
      </c>
      <c r="IK43" s="964">
        <v>13</v>
      </c>
      <c r="IL43" s="965">
        <v>14</v>
      </c>
      <c r="IM43" s="965">
        <v>15</v>
      </c>
      <c r="IN43" s="965">
        <v>16</v>
      </c>
      <c r="IO43" s="964">
        <v>17</v>
      </c>
      <c r="IP43" s="965">
        <v>18</v>
      </c>
      <c r="IQ43" s="965">
        <v>19</v>
      </c>
      <c r="IR43" s="965">
        <v>20</v>
      </c>
      <c r="IS43" s="964">
        <v>21</v>
      </c>
      <c r="IT43" s="965">
        <v>22</v>
      </c>
      <c r="IU43" s="965">
        <v>23</v>
      </c>
      <c r="IV43" s="965">
        <v>24</v>
      </c>
      <c r="IW43" s="964">
        <v>25</v>
      </c>
      <c r="IX43" s="965">
        <v>26</v>
      </c>
      <c r="IY43" s="965">
        <v>27</v>
      </c>
      <c r="IZ43" s="965">
        <v>28</v>
      </c>
      <c r="JA43" s="964">
        <v>29</v>
      </c>
      <c r="JB43" s="964">
        <v>30</v>
      </c>
      <c r="JC43" s="967">
        <v>1</v>
      </c>
      <c r="JD43" s="965">
        <v>2</v>
      </c>
      <c r="JE43" s="965">
        <v>3</v>
      </c>
      <c r="JF43" s="965">
        <v>4</v>
      </c>
      <c r="JG43" s="964">
        <v>5</v>
      </c>
      <c r="JH43" s="965">
        <v>6</v>
      </c>
      <c r="JI43" s="965">
        <v>7</v>
      </c>
      <c r="JJ43" s="965">
        <v>8</v>
      </c>
      <c r="JK43" s="964">
        <v>9</v>
      </c>
      <c r="JL43" s="965">
        <v>10</v>
      </c>
      <c r="JM43" s="965">
        <v>11</v>
      </c>
      <c r="JN43" s="965">
        <v>12</v>
      </c>
      <c r="JO43" s="964">
        <v>13</v>
      </c>
      <c r="JP43" s="965">
        <v>14</v>
      </c>
      <c r="JQ43" s="965">
        <v>15</v>
      </c>
      <c r="JR43" s="965">
        <v>16</v>
      </c>
      <c r="JS43" s="964">
        <v>17</v>
      </c>
      <c r="JT43" s="965">
        <v>18</v>
      </c>
      <c r="JU43" s="965">
        <v>19</v>
      </c>
      <c r="JV43" s="965">
        <v>20</v>
      </c>
      <c r="JW43" s="964">
        <v>21</v>
      </c>
      <c r="JX43" s="965">
        <v>22</v>
      </c>
      <c r="JY43" s="965">
        <v>23</v>
      </c>
      <c r="JZ43" s="965">
        <v>24</v>
      </c>
      <c r="KA43" s="964">
        <v>25</v>
      </c>
      <c r="KB43" s="965">
        <v>26</v>
      </c>
      <c r="KC43" s="965">
        <v>27</v>
      </c>
      <c r="KD43" s="965">
        <v>28</v>
      </c>
      <c r="KE43" s="964">
        <v>29</v>
      </c>
      <c r="KF43" s="965">
        <v>30</v>
      </c>
      <c r="KG43" s="973">
        <v>1</v>
      </c>
      <c r="KH43" s="965">
        <v>2</v>
      </c>
      <c r="KI43" s="965">
        <v>3</v>
      </c>
      <c r="KJ43" s="965">
        <v>4</v>
      </c>
      <c r="KK43" s="965">
        <v>5</v>
      </c>
      <c r="KL43" s="965">
        <v>6</v>
      </c>
      <c r="KM43" s="965">
        <v>7</v>
      </c>
      <c r="KN43" s="965">
        <v>8</v>
      </c>
      <c r="KO43" s="965">
        <v>9</v>
      </c>
      <c r="KP43" s="965">
        <v>10</v>
      </c>
      <c r="KQ43" s="965">
        <v>11</v>
      </c>
      <c r="KR43" s="965">
        <v>12</v>
      </c>
      <c r="KS43" s="965">
        <v>13</v>
      </c>
      <c r="KT43" s="965">
        <v>14</v>
      </c>
      <c r="KU43" s="965">
        <v>15</v>
      </c>
      <c r="KV43" s="965">
        <v>16</v>
      </c>
      <c r="KW43" s="965">
        <v>17</v>
      </c>
      <c r="KX43" s="965">
        <v>18</v>
      </c>
      <c r="KY43" s="965">
        <v>19</v>
      </c>
      <c r="KZ43" s="965">
        <v>20</v>
      </c>
      <c r="LA43" s="965">
        <v>21</v>
      </c>
      <c r="LB43" s="965">
        <v>22</v>
      </c>
      <c r="LC43" s="965">
        <v>23</v>
      </c>
      <c r="LD43" s="965">
        <v>24</v>
      </c>
      <c r="LE43" s="965">
        <v>25</v>
      </c>
      <c r="LF43" s="965">
        <v>26</v>
      </c>
      <c r="LG43" s="965">
        <v>27</v>
      </c>
      <c r="LH43" s="965">
        <v>28</v>
      </c>
      <c r="LI43" s="965">
        <v>29</v>
      </c>
      <c r="LJ43" s="973">
        <v>1</v>
      </c>
      <c r="LK43" s="965">
        <v>2</v>
      </c>
      <c r="LL43" s="965">
        <v>3</v>
      </c>
      <c r="LM43" s="964">
        <v>4</v>
      </c>
      <c r="LN43" s="965">
        <v>5</v>
      </c>
      <c r="LO43" s="965">
        <v>6</v>
      </c>
      <c r="LP43" s="964">
        <v>7</v>
      </c>
      <c r="LQ43" s="965">
        <v>8</v>
      </c>
      <c r="LR43" s="965">
        <v>9</v>
      </c>
      <c r="LS43" s="964">
        <v>10</v>
      </c>
      <c r="LT43" s="965">
        <v>11</v>
      </c>
      <c r="LU43" s="965">
        <v>12</v>
      </c>
      <c r="LV43" s="964">
        <v>13</v>
      </c>
      <c r="LW43" s="965">
        <v>14</v>
      </c>
      <c r="LX43" s="965">
        <v>15</v>
      </c>
      <c r="LY43" s="964">
        <v>16</v>
      </c>
      <c r="LZ43" s="965">
        <v>17</v>
      </c>
      <c r="MA43" s="965">
        <v>18</v>
      </c>
      <c r="MB43" s="964">
        <v>19</v>
      </c>
      <c r="MC43" s="965">
        <v>20</v>
      </c>
      <c r="MD43" s="965">
        <v>21</v>
      </c>
      <c r="ME43" s="964">
        <v>22</v>
      </c>
      <c r="MF43" s="965">
        <v>23</v>
      </c>
      <c r="MG43" s="965">
        <v>24</v>
      </c>
      <c r="MH43" s="964">
        <v>25</v>
      </c>
      <c r="MI43" s="965">
        <v>26</v>
      </c>
      <c r="MJ43" s="965">
        <v>27</v>
      </c>
      <c r="MK43" s="964">
        <v>28</v>
      </c>
      <c r="ML43" s="965">
        <v>29</v>
      </c>
      <c r="MM43" s="967">
        <v>1</v>
      </c>
      <c r="MN43" s="965">
        <v>2</v>
      </c>
      <c r="MO43" s="965">
        <v>3</v>
      </c>
      <c r="MP43" s="965">
        <v>4</v>
      </c>
      <c r="MQ43" s="964">
        <v>5</v>
      </c>
      <c r="MR43" s="965">
        <v>6</v>
      </c>
      <c r="MS43" s="965">
        <v>7</v>
      </c>
      <c r="MT43" s="965">
        <v>8</v>
      </c>
      <c r="MU43" s="964">
        <v>9</v>
      </c>
      <c r="MV43" s="965">
        <v>10</v>
      </c>
      <c r="MW43" s="965">
        <v>11</v>
      </c>
      <c r="MX43" s="965">
        <v>12</v>
      </c>
      <c r="MY43" s="964">
        <v>13</v>
      </c>
      <c r="MZ43" s="965">
        <v>14</v>
      </c>
      <c r="NA43" s="965">
        <v>15</v>
      </c>
      <c r="NB43" s="965">
        <v>16</v>
      </c>
      <c r="NC43" s="964">
        <v>17</v>
      </c>
      <c r="ND43" s="965">
        <v>18</v>
      </c>
      <c r="NE43" s="965">
        <v>19</v>
      </c>
      <c r="NF43" s="965">
        <v>20</v>
      </c>
      <c r="NG43" s="964">
        <v>21</v>
      </c>
      <c r="NH43" s="965">
        <v>22</v>
      </c>
      <c r="NI43" s="965">
        <v>23</v>
      </c>
      <c r="NJ43" s="965">
        <v>24</v>
      </c>
      <c r="NK43" s="964">
        <v>25</v>
      </c>
      <c r="NL43" s="965">
        <v>26</v>
      </c>
      <c r="NM43" s="965">
        <v>27</v>
      </c>
      <c r="NN43" s="965">
        <v>28</v>
      </c>
      <c r="NO43" s="964">
        <v>29</v>
      </c>
      <c r="NP43" s="964">
        <v>30</v>
      </c>
      <c r="NQ43" s="973">
        <v>1</v>
      </c>
      <c r="NR43" s="965">
        <v>2</v>
      </c>
      <c r="NS43" s="965">
        <v>3</v>
      </c>
      <c r="NT43" s="964">
        <v>4</v>
      </c>
      <c r="NU43" s="965">
        <v>5</v>
      </c>
      <c r="NV43" s="965">
        <v>6</v>
      </c>
      <c r="NW43" s="964">
        <v>7</v>
      </c>
      <c r="NX43" s="965">
        <v>8</v>
      </c>
      <c r="NY43" s="965">
        <v>9</v>
      </c>
      <c r="NZ43" s="964">
        <v>10</v>
      </c>
      <c r="OA43" s="965">
        <v>11</v>
      </c>
      <c r="OB43" s="965">
        <v>12</v>
      </c>
      <c r="OC43" s="964">
        <v>13</v>
      </c>
      <c r="OD43" s="965">
        <v>14</v>
      </c>
      <c r="OE43" s="965">
        <v>15</v>
      </c>
      <c r="OF43" s="964">
        <v>16</v>
      </c>
      <c r="OG43" s="965">
        <v>17</v>
      </c>
      <c r="OH43" s="965">
        <v>18</v>
      </c>
      <c r="OI43" s="964">
        <v>19</v>
      </c>
      <c r="OJ43" s="965">
        <v>20</v>
      </c>
      <c r="OK43" s="965">
        <v>21</v>
      </c>
      <c r="OL43" s="964">
        <v>22</v>
      </c>
      <c r="OM43" s="965">
        <v>23</v>
      </c>
      <c r="ON43" s="965">
        <v>24</v>
      </c>
      <c r="OO43" s="964">
        <v>25</v>
      </c>
      <c r="OP43" s="965">
        <v>26</v>
      </c>
      <c r="OQ43" s="965">
        <v>27</v>
      </c>
      <c r="OR43" s="964">
        <v>28</v>
      </c>
      <c r="OS43" s="965">
        <v>29</v>
      </c>
      <c r="OT43" s="973">
        <v>1</v>
      </c>
      <c r="OU43" s="965">
        <v>2</v>
      </c>
      <c r="OV43" s="965">
        <v>3</v>
      </c>
      <c r="OW43" s="964">
        <v>4</v>
      </c>
      <c r="OX43" s="965">
        <v>5</v>
      </c>
      <c r="OY43" s="965">
        <v>6</v>
      </c>
      <c r="OZ43" s="964">
        <v>7</v>
      </c>
      <c r="PA43" s="965">
        <v>8</v>
      </c>
      <c r="PB43" s="965">
        <v>9</v>
      </c>
      <c r="PC43" s="964">
        <v>10</v>
      </c>
      <c r="PD43" s="965">
        <v>11</v>
      </c>
      <c r="PE43" s="965">
        <v>12</v>
      </c>
      <c r="PF43" s="964">
        <v>13</v>
      </c>
      <c r="PG43" s="965">
        <v>14</v>
      </c>
      <c r="PH43" s="965">
        <v>15</v>
      </c>
      <c r="PI43" s="964">
        <v>16</v>
      </c>
      <c r="PJ43" s="965">
        <v>17</v>
      </c>
      <c r="PK43" s="965">
        <v>18</v>
      </c>
      <c r="PL43" s="964">
        <v>19</v>
      </c>
      <c r="PM43" s="965">
        <v>20</v>
      </c>
      <c r="PN43" s="965">
        <v>21</v>
      </c>
      <c r="PO43" s="964">
        <v>22</v>
      </c>
      <c r="PP43" s="965">
        <v>23</v>
      </c>
      <c r="PQ43" s="965">
        <v>24</v>
      </c>
      <c r="PR43" s="964">
        <v>25</v>
      </c>
      <c r="PS43" s="965">
        <v>26</v>
      </c>
      <c r="PT43" s="965">
        <v>27</v>
      </c>
      <c r="PU43" s="964">
        <v>28</v>
      </c>
      <c r="PV43" s="965">
        <v>29</v>
      </c>
      <c r="PW43" s="967">
        <v>1</v>
      </c>
      <c r="PX43" s="965">
        <v>2</v>
      </c>
      <c r="PY43" s="965">
        <v>3</v>
      </c>
      <c r="PZ43" s="965">
        <v>4</v>
      </c>
      <c r="QA43" s="964">
        <v>5</v>
      </c>
      <c r="QB43" s="965">
        <v>6</v>
      </c>
      <c r="QC43" s="965">
        <v>7</v>
      </c>
      <c r="QD43" s="965">
        <v>8</v>
      </c>
      <c r="QE43" s="964">
        <v>9</v>
      </c>
      <c r="QF43" s="965">
        <v>10</v>
      </c>
      <c r="QG43" s="965">
        <v>11</v>
      </c>
      <c r="QH43" s="965">
        <v>12</v>
      </c>
      <c r="QI43" s="964">
        <v>13</v>
      </c>
      <c r="QJ43" s="965">
        <v>14</v>
      </c>
      <c r="QK43" s="965">
        <v>15</v>
      </c>
      <c r="QL43" s="965">
        <v>16</v>
      </c>
      <c r="QM43" s="964">
        <v>17</v>
      </c>
      <c r="QN43" s="965">
        <v>18</v>
      </c>
      <c r="QO43" s="965">
        <v>19</v>
      </c>
      <c r="QP43" s="965">
        <v>20</v>
      </c>
      <c r="QQ43" s="964">
        <v>21</v>
      </c>
      <c r="QR43" s="965">
        <v>22</v>
      </c>
      <c r="QS43" s="965">
        <v>23</v>
      </c>
      <c r="QT43" s="965">
        <v>24</v>
      </c>
      <c r="QU43" s="964">
        <v>25</v>
      </c>
      <c r="QV43" s="965">
        <v>26</v>
      </c>
      <c r="QW43" s="965">
        <v>27</v>
      </c>
      <c r="QX43" s="965">
        <v>28</v>
      </c>
      <c r="QY43" s="964">
        <v>29</v>
      </c>
      <c r="QZ43" s="964">
        <v>30</v>
      </c>
      <c r="RA43" s="974">
        <v>1</v>
      </c>
      <c r="RB43" s="797" t="e">
        <f>IF(AND(QZ41&gt;=10,QZ42&gt;=10),354,355)</f>
        <v>#VALUE!</v>
      </c>
      <c r="RC43" s="797" t="e">
        <f>IF(RB43=RB34,1,RC32+1)</f>
        <v>#VALUE!</v>
      </c>
    </row>
    <row r="44" spans="1:471" ht="15.75" thickBot="1">
      <c r="J44" s="21">
        <f>IF(E46=16,(((C46-1)*M44)+IF(B46=1,0,IF(B46=2,O46,IF(B46=3,P46,IF(B46=4,Q46,IF(B46=5,R46,IF(B46=6,S46,IF(B46=7,T46,IF(B46=8,U46,IF(B46=9,V46,IF(B46=10,W46,IF(B46=11,X46,Y46)))))))))))+A46),0)</f>
        <v>510901.98042592214</v>
      </c>
      <c r="K44" s="4">
        <v>15</v>
      </c>
      <c r="L44" s="4" t="s">
        <v>163</v>
      </c>
      <c r="M44" s="4">
        <v>354.36709259258998</v>
      </c>
      <c r="N44" s="4"/>
      <c r="O44" s="4" t="s">
        <v>65</v>
      </c>
      <c r="P44" s="4" t="s">
        <v>66</v>
      </c>
      <c r="Q44" s="4" t="s">
        <v>67</v>
      </c>
      <c r="R44" s="4" t="s">
        <v>93</v>
      </c>
      <c r="S44" s="4" t="s">
        <v>69</v>
      </c>
      <c r="T44" s="4" t="s">
        <v>92</v>
      </c>
      <c r="U44" s="4" t="s">
        <v>71</v>
      </c>
      <c r="V44" s="4" t="s">
        <v>72</v>
      </c>
      <c r="W44" s="4" t="s">
        <v>73</v>
      </c>
      <c r="X44" s="4" t="s">
        <v>74</v>
      </c>
      <c r="Y44" s="4" t="s">
        <v>94</v>
      </c>
      <c r="Z44" s="4" t="s">
        <v>95</v>
      </c>
      <c r="AA44" s="4" t="s">
        <v>97</v>
      </c>
      <c r="AK44" s="759"/>
      <c r="AL44" s="701">
        <f t="shared" si="349"/>
        <v>35</v>
      </c>
      <c r="AM44" s="304">
        <f t="shared" si="349"/>
        <v>35</v>
      </c>
      <c r="AN44" s="304">
        <f t="shared" si="349"/>
        <v>35</v>
      </c>
      <c r="AO44" s="304">
        <f t="shared" si="349"/>
        <v>35</v>
      </c>
      <c r="AP44" s="304">
        <f t="shared" si="349"/>
        <v>35</v>
      </c>
      <c r="AQ44" s="304">
        <f t="shared" si="349"/>
        <v>35</v>
      </c>
      <c r="AR44" s="304">
        <f t="shared" si="349"/>
        <v>35</v>
      </c>
      <c r="AS44" s="304">
        <f t="shared" si="349"/>
        <v>35</v>
      </c>
      <c r="AT44" s="304">
        <f t="shared" si="349"/>
        <v>35</v>
      </c>
      <c r="AU44" s="304">
        <f t="shared" si="349"/>
        <v>35</v>
      </c>
      <c r="AV44" s="304">
        <f t="shared" si="349"/>
        <v>35</v>
      </c>
      <c r="AW44" s="314">
        <f t="shared" si="349"/>
        <v>35</v>
      </c>
      <c r="AX44" s="314"/>
      <c r="DH44" s="797"/>
      <c r="DJ44" s="797" t="e">
        <f>DJ45-RB34</f>
        <v>#VALUE!</v>
      </c>
      <c r="DK44" s="797" t="e">
        <f>DJ44+1</f>
        <v>#VALUE!</v>
      </c>
      <c r="DL44" s="797" t="e">
        <f t="shared" ref="DL44:FW44" si="350">DK44+1</f>
        <v>#VALUE!</v>
      </c>
      <c r="DM44" s="797" t="e">
        <f t="shared" si="350"/>
        <v>#VALUE!</v>
      </c>
      <c r="DN44" s="797" t="e">
        <f t="shared" si="350"/>
        <v>#VALUE!</v>
      </c>
      <c r="DO44" s="797" t="e">
        <f t="shared" si="350"/>
        <v>#VALUE!</v>
      </c>
      <c r="DP44" s="797" t="e">
        <f t="shared" si="350"/>
        <v>#VALUE!</v>
      </c>
      <c r="DQ44" s="797" t="e">
        <f t="shared" si="350"/>
        <v>#VALUE!</v>
      </c>
      <c r="DR44" s="797" t="e">
        <f t="shared" si="350"/>
        <v>#VALUE!</v>
      </c>
      <c r="DS44" s="797" t="e">
        <f t="shared" si="350"/>
        <v>#VALUE!</v>
      </c>
      <c r="DT44" s="797" t="e">
        <f t="shared" si="350"/>
        <v>#VALUE!</v>
      </c>
      <c r="DU44" s="797" t="e">
        <f t="shared" si="350"/>
        <v>#VALUE!</v>
      </c>
      <c r="DV44" s="797" t="e">
        <f t="shared" si="350"/>
        <v>#VALUE!</v>
      </c>
      <c r="DW44" s="797" t="e">
        <f t="shared" si="350"/>
        <v>#VALUE!</v>
      </c>
      <c r="DX44" s="797" t="e">
        <f t="shared" si="350"/>
        <v>#VALUE!</v>
      </c>
      <c r="DY44" s="797" t="e">
        <f t="shared" si="350"/>
        <v>#VALUE!</v>
      </c>
      <c r="DZ44" s="797" t="e">
        <f t="shared" si="350"/>
        <v>#VALUE!</v>
      </c>
      <c r="EA44" s="797" t="e">
        <f t="shared" si="350"/>
        <v>#VALUE!</v>
      </c>
      <c r="EB44" s="797" t="e">
        <f t="shared" si="350"/>
        <v>#VALUE!</v>
      </c>
      <c r="EC44" s="797" t="e">
        <f t="shared" si="350"/>
        <v>#VALUE!</v>
      </c>
      <c r="ED44" s="797" t="e">
        <f t="shared" si="350"/>
        <v>#VALUE!</v>
      </c>
      <c r="EE44" s="797" t="e">
        <f t="shared" si="350"/>
        <v>#VALUE!</v>
      </c>
      <c r="EF44" s="797" t="e">
        <f t="shared" si="350"/>
        <v>#VALUE!</v>
      </c>
      <c r="EG44" s="797" t="e">
        <f t="shared" si="350"/>
        <v>#VALUE!</v>
      </c>
      <c r="EH44" s="797" t="e">
        <f t="shared" si="350"/>
        <v>#VALUE!</v>
      </c>
      <c r="EI44" s="797" t="e">
        <f t="shared" si="350"/>
        <v>#VALUE!</v>
      </c>
      <c r="EJ44" s="797" t="e">
        <f t="shared" si="350"/>
        <v>#VALUE!</v>
      </c>
      <c r="EK44" s="797" t="e">
        <f t="shared" si="350"/>
        <v>#VALUE!</v>
      </c>
      <c r="EL44" s="797" t="e">
        <f t="shared" si="350"/>
        <v>#VALUE!</v>
      </c>
      <c r="EM44" s="797" t="e">
        <f t="shared" si="350"/>
        <v>#VALUE!</v>
      </c>
      <c r="EN44" s="797" t="e">
        <f t="shared" si="350"/>
        <v>#VALUE!</v>
      </c>
      <c r="EO44" s="797" t="e">
        <f t="shared" si="350"/>
        <v>#VALUE!</v>
      </c>
      <c r="EP44" s="797" t="e">
        <f t="shared" si="350"/>
        <v>#VALUE!</v>
      </c>
      <c r="EQ44" s="797" t="e">
        <f t="shared" si="350"/>
        <v>#VALUE!</v>
      </c>
      <c r="ER44" s="797" t="e">
        <f t="shared" si="350"/>
        <v>#VALUE!</v>
      </c>
      <c r="ES44" s="797" t="e">
        <f t="shared" si="350"/>
        <v>#VALUE!</v>
      </c>
      <c r="ET44" s="797" t="e">
        <f t="shared" si="350"/>
        <v>#VALUE!</v>
      </c>
      <c r="EU44" s="797" t="e">
        <f t="shared" si="350"/>
        <v>#VALUE!</v>
      </c>
      <c r="EV44" s="797" t="e">
        <f t="shared" si="350"/>
        <v>#VALUE!</v>
      </c>
      <c r="EW44" s="797" t="e">
        <f t="shared" si="350"/>
        <v>#VALUE!</v>
      </c>
      <c r="EX44" s="797" t="e">
        <f t="shared" si="350"/>
        <v>#VALUE!</v>
      </c>
      <c r="EY44" s="797" t="e">
        <f t="shared" si="350"/>
        <v>#VALUE!</v>
      </c>
      <c r="EZ44" s="797" t="e">
        <f t="shared" si="350"/>
        <v>#VALUE!</v>
      </c>
      <c r="FA44" s="797" t="e">
        <f t="shared" si="350"/>
        <v>#VALUE!</v>
      </c>
      <c r="FB44" s="797" t="e">
        <f t="shared" si="350"/>
        <v>#VALUE!</v>
      </c>
      <c r="FC44" s="797" t="e">
        <f t="shared" si="350"/>
        <v>#VALUE!</v>
      </c>
      <c r="FD44" s="797" t="e">
        <f t="shared" si="350"/>
        <v>#VALUE!</v>
      </c>
      <c r="FE44" s="797" t="e">
        <f t="shared" si="350"/>
        <v>#VALUE!</v>
      </c>
      <c r="FF44" s="797" t="e">
        <f t="shared" si="350"/>
        <v>#VALUE!</v>
      </c>
      <c r="FG44" s="797" t="e">
        <f t="shared" si="350"/>
        <v>#VALUE!</v>
      </c>
      <c r="FH44" s="797" t="e">
        <f t="shared" si="350"/>
        <v>#VALUE!</v>
      </c>
      <c r="FI44" s="797" t="e">
        <f t="shared" si="350"/>
        <v>#VALUE!</v>
      </c>
      <c r="FJ44" s="797" t="e">
        <f t="shared" si="350"/>
        <v>#VALUE!</v>
      </c>
      <c r="FK44" s="797" t="e">
        <f t="shared" si="350"/>
        <v>#VALUE!</v>
      </c>
      <c r="FL44" s="797" t="e">
        <f t="shared" si="350"/>
        <v>#VALUE!</v>
      </c>
      <c r="FM44" s="797" t="e">
        <f t="shared" si="350"/>
        <v>#VALUE!</v>
      </c>
      <c r="FN44" s="797" t="e">
        <f t="shared" si="350"/>
        <v>#VALUE!</v>
      </c>
      <c r="FO44" s="797" t="e">
        <f t="shared" si="350"/>
        <v>#VALUE!</v>
      </c>
      <c r="FP44" s="797" t="e">
        <f t="shared" si="350"/>
        <v>#VALUE!</v>
      </c>
      <c r="FQ44" s="797" t="e">
        <f t="shared" si="350"/>
        <v>#VALUE!</v>
      </c>
      <c r="FR44" s="797" t="e">
        <f t="shared" si="350"/>
        <v>#VALUE!</v>
      </c>
      <c r="FS44" s="797" t="e">
        <f t="shared" si="350"/>
        <v>#VALUE!</v>
      </c>
      <c r="FT44" s="797" t="e">
        <f t="shared" si="350"/>
        <v>#VALUE!</v>
      </c>
      <c r="FU44" s="797" t="e">
        <f t="shared" si="350"/>
        <v>#VALUE!</v>
      </c>
      <c r="FV44" s="797" t="e">
        <f t="shared" si="350"/>
        <v>#VALUE!</v>
      </c>
      <c r="FW44" s="797" t="e">
        <f t="shared" si="350"/>
        <v>#VALUE!</v>
      </c>
      <c r="FX44" s="797" t="e">
        <f t="shared" ref="FX44:II44" si="351">FW44+1</f>
        <v>#VALUE!</v>
      </c>
      <c r="FY44" s="797" t="e">
        <f t="shared" si="351"/>
        <v>#VALUE!</v>
      </c>
      <c r="FZ44" s="797" t="e">
        <f t="shared" si="351"/>
        <v>#VALUE!</v>
      </c>
      <c r="GA44" s="797" t="e">
        <f t="shared" si="351"/>
        <v>#VALUE!</v>
      </c>
      <c r="GB44" s="797" t="e">
        <f t="shared" si="351"/>
        <v>#VALUE!</v>
      </c>
      <c r="GC44" s="797" t="e">
        <f t="shared" si="351"/>
        <v>#VALUE!</v>
      </c>
      <c r="GD44" s="797" t="e">
        <f t="shared" si="351"/>
        <v>#VALUE!</v>
      </c>
      <c r="GE44" s="797" t="e">
        <f t="shared" si="351"/>
        <v>#VALUE!</v>
      </c>
      <c r="GF44" s="797" t="e">
        <f t="shared" si="351"/>
        <v>#VALUE!</v>
      </c>
      <c r="GG44" s="797" t="e">
        <f t="shared" si="351"/>
        <v>#VALUE!</v>
      </c>
      <c r="GH44" s="797" t="e">
        <f t="shared" si="351"/>
        <v>#VALUE!</v>
      </c>
      <c r="GI44" s="797" t="e">
        <f t="shared" si="351"/>
        <v>#VALUE!</v>
      </c>
      <c r="GJ44" s="797" t="e">
        <f t="shared" si="351"/>
        <v>#VALUE!</v>
      </c>
      <c r="GK44" s="797" t="e">
        <f t="shared" si="351"/>
        <v>#VALUE!</v>
      </c>
      <c r="GL44" s="797" t="e">
        <f t="shared" si="351"/>
        <v>#VALUE!</v>
      </c>
      <c r="GM44" s="797" t="e">
        <f t="shared" si="351"/>
        <v>#VALUE!</v>
      </c>
      <c r="GN44" s="797" t="e">
        <f t="shared" si="351"/>
        <v>#VALUE!</v>
      </c>
      <c r="GO44" s="797" t="e">
        <f t="shared" si="351"/>
        <v>#VALUE!</v>
      </c>
      <c r="GP44" s="797" t="e">
        <f t="shared" si="351"/>
        <v>#VALUE!</v>
      </c>
      <c r="GQ44" s="797" t="e">
        <f t="shared" si="351"/>
        <v>#VALUE!</v>
      </c>
      <c r="GR44" s="797" t="e">
        <f t="shared" si="351"/>
        <v>#VALUE!</v>
      </c>
      <c r="GS44" s="797" t="e">
        <f t="shared" si="351"/>
        <v>#VALUE!</v>
      </c>
      <c r="GT44" s="797" t="e">
        <f t="shared" si="351"/>
        <v>#VALUE!</v>
      </c>
      <c r="GU44" s="797" t="e">
        <f t="shared" si="351"/>
        <v>#VALUE!</v>
      </c>
      <c r="GV44" s="797" t="e">
        <f t="shared" si="351"/>
        <v>#VALUE!</v>
      </c>
      <c r="GW44" s="797" t="e">
        <f t="shared" si="351"/>
        <v>#VALUE!</v>
      </c>
      <c r="GX44" s="797" t="e">
        <f t="shared" si="351"/>
        <v>#VALUE!</v>
      </c>
      <c r="GY44" s="797" t="e">
        <f t="shared" si="351"/>
        <v>#VALUE!</v>
      </c>
      <c r="GZ44" s="797" t="e">
        <f t="shared" si="351"/>
        <v>#VALUE!</v>
      </c>
      <c r="HA44" s="797" t="e">
        <f t="shared" si="351"/>
        <v>#VALUE!</v>
      </c>
      <c r="HB44" s="797" t="e">
        <f t="shared" si="351"/>
        <v>#VALUE!</v>
      </c>
      <c r="HC44" s="797" t="e">
        <f t="shared" si="351"/>
        <v>#VALUE!</v>
      </c>
      <c r="HD44" s="797" t="e">
        <f t="shared" si="351"/>
        <v>#VALUE!</v>
      </c>
      <c r="HE44" s="797" t="e">
        <f t="shared" si="351"/>
        <v>#VALUE!</v>
      </c>
      <c r="HF44" s="797" t="e">
        <f t="shared" si="351"/>
        <v>#VALUE!</v>
      </c>
      <c r="HG44" s="797" t="e">
        <f t="shared" si="351"/>
        <v>#VALUE!</v>
      </c>
      <c r="HH44" s="797" t="e">
        <f t="shared" si="351"/>
        <v>#VALUE!</v>
      </c>
      <c r="HI44" s="797" t="e">
        <f t="shared" si="351"/>
        <v>#VALUE!</v>
      </c>
      <c r="HJ44" s="797" t="e">
        <f t="shared" si="351"/>
        <v>#VALUE!</v>
      </c>
      <c r="HK44" s="797" t="e">
        <f t="shared" si="351"/>
        <v>#VALUE!</v>
      </c>
      <c r="HL44" s="797" t="e">
        <f t="shared" si="351"/>
        <v>#VALUE!</v>
      </c>
      <c r="HM44" s="797" t="e">
        <f t="shared" si="351"/>
        <v>#VALUE!</v>
      </c>
      <c r="HN44" s="797" t="e">
        <f t="shared" si="351"/>
        <v>#VALUE!</v>
      </c>
      <c r="HO44" s="797" t="e">
        <f t="shared" si="351"/>
        <v>#VALUE!</v>
      </c>
      <c r="HP44" s="797" t="e">
        <f t="shared" si="351"/>
        <v>#VALUE!</v>
      </c>
      <c r="HQ44" s="797" t="e">
        <f t="shared" si="351"/>
        <v>#VALUE!</v>
      </c>
      <c r="HR44" s="797" t="e">
        <f t="shared" si="351"/>
        <v>#VALUE!</v>
      </c>
      <c r="HS44" s="797" t="e">
        <f t="shared" si="351"/>
        <v>#VALUE!</v>
      </c>
      <c r="HT44" s="797" t="e">
        <f t="shared" si="351"/>
        <v>#VALUE!</v>
      </c>
      <c r="HU44" s="797" t="e">
        <f t="shared" si="351"/>
        <v>#VALUE!</v>
      </c>
      <c r="HV44" s="797" t="e">
        <f t="shared" si="351"/>
        <v>#VALUE!</v>
      </c>
      <c r="HW44" s="797" t="e">
        <f t="shared" si="351"/>
        <v>#VALUE!</v>
      </c>
      <c r="HX44" s="797" t="e">
        <f t="shared" si="351"/>
        <v>#VALUE!</v>
      </c>
      <c r="HY44" s="797" t="e">
        <f t="shared" si="351"/>
        <v>#VALUE!</v>
      </c>
      <c r="HZ44" s="797" t="e">
        <f t="shared" si="351"/>
        <v>#VALUE!</v>
      </c>
      <c r="IA44" s="797" t="e">
        <f t="shared" si="351"/>
        <v>#VALUE!</v>
      </c>
      <c r="IB44" s="797" t="e">
        <f t="shared" si="351"/>
        <v>#VALUE!</v>
      </c>
      <c r="IC44" s="797" t="e">
        <f t="shared" si="351"/>
        <v>#VALUE!</v>
      </c>
      <c r="ID44" s="797" t="e">
        <f t="shared" si="351"/>
        <v>#VALUE!</v>
      </c>
      <c r="IE44" s="797" t="e">
        <f t="shared" si="351"/>
        <v>#VALUE!</v>
      </c>
      <c r="IF44" s="797" t="e">
        <f t="shared" si="351"/>
        <v>#VALUE!</v>
      </c>
      <c r="IG44" s="797" t="e">
        <f t="shared" si="351"/>
        <v>#VALUE!</v>
      </c>
      <c r="IH44" s="797" t="e">
        <f t="shared" si="351"/>
        <v>#VALUE!</v>
      </c>
      <c r="II44" s="797" t="e">
        <f t="shared" si="351"/>
        <v>#VALUE!</v>
      </c>
      <c r="IJ44" s="797" t="e">
        <f t="shared" ref="IJ44:KU44" si="352">II44+1</f>
        <v>#VALUE!</v>
      </c>
      <c r="IK44" s="797" t="e">
        <f t="shared" si="352"/>
        <v>#VALUE!</v>
      </c>
      <c r="IL44" s="797" t="e">
        <f t="shared" si="352"/>
        <v>#VALUE!</v>
      </c>
      <c r="IM44" s="797" t="e">
        <f t="shared" si="352"/>
        <v>#VALUE!</v>
      </c>
      <c r="IN44" s="797" t="e">
        <f t="shared" si="352"/>
        <v>#VALUE!</v>
      </c>
      <c r="IO44" s="797" t="e">
        <f t="shared" si="352"/>
        <v>#VALUE!</v>
      </c>
      <c r="IP44" s="797" t="e">
        <f t="shared" si="352"/>
        <v>#VALUE!</v>
      </c>
      <c r="IQ44" s="797" t="e">
        <f t="shared" si="352"/>
        <v>#VALUE!</v>
      </c>
      <c r="IR44" s="797" t="e">
        <f t="shared" si="352"/>
        <v>#VALUE!</v>
      </c>
      <c r="IS44" s="797" t="e">
        <f t="shared" si="352"/>
        <v>#VALUE!</v>
      </c>
      <c r="IT44" s="797" t="e">
        <f t="shared" si="352"/>
        <v>#VALUE!</v>
      </c>
      <c r="IU44" s="797" t="e">
        <f t="shared" si="352"/>
        <v>#VALUE!</v>
      </c>
      <c r="IV44" s="797" t="e">
        <f t="shared" si="352"/>
        <v>#VALUE!</v>
      </c>
      <c r="IW44" s="797" t="e">
        <f t="shared" si="352"/>
        <v>#VALUE!</v>
      </c>
      <c r="IX44" s="797" t="e">
        <f t="shared" si="352"/>
        <v>#VALUE!</v>
      </c>
      <c r="IY44" s="797" t="e">
        <f t="shared" si="352"/>
        <v>#VALUE!</v>
      </c>
      <c r="IZ44" s="797" t="e">
        <f t="shared" si="352"/>
        <v>#VALUE!</v>
      </c>
      <c r="JA44" s="797" t="e">
        <f t="shared" si="352"/>
        <v>#VALUE!</v>
      </c>
      <c r="JB44" s="797" t="e">
        <f t="shared" si="352"/>
        <v>#VALUE!</v>
      </c>
      <c r="JC44" s="797" t="e">
        <f t="shared" si="352"/>
        <v>#VALUE!</v>
      </c>
      <c r="JD44" s="797" t="e">
        <f t="shared" si="352"/>
        <v>#VALUE!</v>
      </c>
      <c r="JE44" s="797" t="e">
        <f t="shared" si="352"/>
        <v>#VALUE!</v>
      </c>
      <c r="JF44" s="797" t="e">
        <f t="shared" si="352"/>
        <v>#VALUE!</v>
      </c>
      <c r="JG44" s="797" t="e">
        <f t="shared" si="352"/>
        <v>#VALUE!</v>
      </c>
      <c r="JH44" s="797" t="e">
        <f t="shared" si="352"/>
        <v>#VALUE!</v>
      </c>
      <c r="JI44" s="797" t="e">
        <f t="shared" si="352"/>
        <v>#VALUE!</v>
      </c>
      <c r="JJ44" s="797" t="e">
        <f t="shared" si="352"/>
        <v>#VALUE!</v>
      </c>
      <c r="JK44" s="797" t="e">
        <f t="shared" si="352"/>
        <v>#VALUE!</v>
      </c>
      <c r="JL44" s="797" t="e">
        <f t="shared" si="352"/>
        <v>#VALUE!</v>
      </c>
      <c r="JM44" s="797" t="e">
        <f t="shared" si="352"/>
        <v>#VALUE!</v>
      </c>
      <c r="JN44" s="797" t="e">
        <f t="shared" si="352"/>
        <v>#VALUE!</v>
      </c>
      <c r="JO44" s="797" t="e">
        <f t="shared" si="352"/>
        <v>#VALUE!</v>
      </c>
      <c r="JP44" s="797" t="e">
        <f t="shared" si="352"/>
        <v>#VALUE!</v>
      </c>
      <c r="JQ44" s="797" t="e">
        <f t="shared" si="352"/>
        <v>#VALUE!</v>
      </c>
      <c r="JR44" s="797" t="e">
        <f t="shared" si="352"/>
        <v>#VALUE!</v>
      </c>
      <c r="JS44" s="797" t="e">
        <f t="shared" si="352"/>
        <v>#VALUE!</v>
      </c>
      <c r="JT44" s="797" t="e">
        <f t="shared" si="352"/>
        <v>#VALUE!</v>
      </c>
      <c r="JU44" s="797" t="e">
        <f t="shared" si="352"/>
        <v>#VALUE!</v>
      </c>
      <c r="JV44" s="797" t="e">
        <f t="shared" si="352"/>
        <v>#VALUE!</v>
      </c>
      <c r="JW44" s="797" t="e">
        <f t="shared" si="352"/>
        <v>#VALUE!</v>
      </c>
      <c r="JX44" s="797" t="e">
        <f t="shared" si="352"/>
        <v>#VALUE!</v>
      </c>
      <c r="JY44" s="797" t="e">
        <f t="shared" si="352"/>
        <v>#VALUE!</v>
      </c>
      <c r="JZ44" s="797" t="e">
        <f t="shared" si="352"/>
        <v>#VALUE!</v>
      </c>
      <c r="KA44" s="797" t="e">
        <f t="shared" si="352"/>
        <v>#VALUE!</v>
      </c>
      <c r="KB44" s="797" t="e">
        <f t="shared" si="352"/>
        <v>#VALUE!</v>
      </c>
      <c r="KC44" s="797" t="e">
        <f t="shared" si="352"/>
        <v>#VALUE!</v>
      </c>
      <c r="KD44" s="797" t="e">
        <f t="shared" si="352"/>
        <v>#VALUE!</v>
      </c>
      <c r="KE44" s="797" t="e">
        <f t="shared" si="352"/>
        <v>#VALUE!</v>
      </c>
      <c r="KF44" s="797" t="e">
        <f t="shared" si="352"/>
        <v>#VALUE!</v>
      </c>
      <c r="KG44" s="797" t="e">
        <f t="shared" si="352"/>
        <v>#VALUE!</v>
      </c>
      <c r="KH44" s="797" t="e">
        <f t="shared" si="352"/>
        <v>#VALUE!</v>
      </c>
      <c r="KI44" s="797" t="e">
        <f t="shared" si="352"/>
        <v>#VALUE!</v>
      </c>
      <c r="KJ44" s="797" t="e">
        <f t="shared" si="352"/>
        <v>#VALUE!</v>
      </c>
      <c r="KK44" s="797" t="e">
        <f t="shared" si="352"/>
        <v>#VALUE!</v>
      </c>
      <c r="KL44" s="797" t="e">
        <f t="shared" si="352"/>
        <v>#VALUE!</v>
      </c>
      <c r="KM44" s="797" t="e">
        <f t="shared" si="352"/>
        <v>#VALUE!</v>
      </c>
      <c r="KN44" s="797" t="e">
        <f t="shared" si="352"/>
        <v>#VALUE!</v>
      </c>
      <c r="KO44" s="797" t="e">
        <f t="shared" si="352"/>
        <v>#VALUE!</v>
      </c>
      <c r="KP44" s="797" t="e">
        <f t="shared" si="352"/>
        <v>#VALUE!</v>
      </c>
      <c r="KQ44" s="797" t="e">
        <f t="shared" si="352"/>
        <v>#VALUE!</v>
      </c>
      <c r="KR44" s="797" t="e">
        <f t="shared" si="352"/>
        <v>#VALUE!</v>
      </c>
      <c r="KS44" s="797" t="e">
        <f t="shared" si="352"/>
        <v>#VALUE!</v>
      </c>
      <c r="KT44" s="797" t="e">
        <f t="shared" si="352"/>
        <v>#VALUE!</v>
      </c>
      <c r="KU44" s="797" t="e">
        <f t="shared" si="352"/>
        <v>#VALUE!</v>
      </c>
      <c r="KV44" s="797" t="e">
        <f t="shared" ref="KV44:NG44" si="353">KU44+1</f>
        <v>#VALUE!</v>
      </c>
      <c r="KW44" s="797" t="e">
        <f t="shared" si="353"/>
        <v>#VALUE!</v>
      </c>
      <c r="KX44" s="797" t="e">
        <f t="shared" si="353"/>
        <v>#VALUE!</v>
      </c>
      <c r="KY44" s="797" t="e">
        <f t="shared" si="353"/>
        <v>#VALUE!</v>
      </c>
      <c r="KZ44" s="797" t="e">
        <f t="shared" si="353"/>
        <v>#VALUE!</v>
      </c>
      <c r="LA44" s="797" t="e">
        <f t="shared" si="353"/>
        <v>#VALUE!</v>
      </c>
      <c r="LB44" s="797" t="e">
        <f t="shared" si="353"/>
        <v>#VALUE!</v>
      </c>
      <c r="LC44" s="797" t="e">
        <f t="shared" si="353"/>
        <v>#VALUE!</v>
      </c>
      <c r="LD44" s="797" t="e">
        <f t="shared" si="353"/>
        <v>#VALUE!</v>
      </c>
      <c r="LE44" s="797" t="e">
        <f t="shared" si="353"/>
        <v>#VALUE!</v>
      </c>
      <c r="LF44" s="797" t="e">
        <f t="shared" si="353"/>
        <v>#VALUE!</v>
      </c>
      <c r="LG44" s="797" t="e">
        <f t="shared" si="353"/>
        <v>#VALUE!</v>
      </c>
      <c r="LH44" s="797" t="e">
        <f t="shared" si="353"/>
        <v>#VALUE!</v>
      </c>
      <c r="LI44" s="797" t="e">
        <f t="shared" si="353"/>
        <v>#VALUE!</v>
      </c>
      <c r="LJ44" s="797" t="e">
        <f t="shared" si="353"/>
        <v>#VALUE!</v>
      </c>
      <c r="LK44" s="797" t="e">
        <f t="shared" si="353"/>
        <v>#VALUE!</v>
      </c>
      <c r="LL44" s="797" t="e">
        <f t="shared" si="353"/>
        <v>#VALUE!</v>
      </c>
      <c r="LM44" s="797" t="e">
        <f t="shared" si="353"/>
        <v>#VALUE!</v>
      </c>
      <c r="LN44" s="797" t="e">
        <f t="shared" si="353"/>
        <v>#VALUE!</v>
      </c>
      <c r="LO44" s="797" t="e">
        <f t="shared" si="353"/>
        <v>#VALUE!</v>
      </c>
      <c r="LP44" s="797" t="e">
        <f t="shared" si="353"/>
        <v>#VALUE!</v>
      </c>
      <c r="LQ44" s="797" t="e">
        <f t="shared" si="353"/>
        <v>#VALUE!</v>
      </c>
      <c r="LR44" s="797" t="e">
        <f t="shared" si="353"/>
        <v>#VALUE!</v>
      </c>
      <c r="LS44" s="797" t="e">
        <f t="shared" si="353"/>
        <v>#VALUE!</v>
      </c>
      <c r="LT44" s="797" t="e">
        <f t="shared" si="353"/>
        <v>#VALUE!</v>
      </c>
      <c r="LU44" s="797" t="e">
        <f t="shared" si="353"/>
        <v>#VALUE!</v>
      </c>
      <c r="LV44" s="797" t="e">
        <f t="shared" si="353"/>
        <v>#VALUE!</v>
      </c>
      <c r="LW44" s="797" t="e">
        <f t="shared" si="353"/>
        <v>#VALUE!</v>
      </c>
      <c r="LX44" s="797" t="e">
        <f t="shared" si="353"/>
        <v>#VALUE!</v>
      </c>
      <c r="LY44" s="797" t="e">
        <f t="shared" si="353"/>
        <v>#VALUE!</v>
      </c>
      <c r="LZ44" s="797" t="e">
        <f t="shared" si="353"/>
        <v>#VALUE!</v>
      </c>
      <c r="MA44" s="797" t="e">
        <f t="shared" si="353"/>
        <v>#VALUE!</v>
      </c>
      <c r="MB44" s="797" t="e">
        <f t="shared" si="353"/>
        <v>#VALUE!</v>
      </c>
      <c r="MC44" s="797" t="e">
        <f t="shared" si="353"/>
        <v>#VALUE!</v>
      </c>
      <c r="MD44" s="797" t="e">
        <f t="shared" si="353"/>
        <v>#VALUE!</v>
      </c>
      <c r="ME44" s="797" t="e">
        <f t="shared" si="353"/>
        <v>#VALUE!</v>
      </c>
      <c r="MF44" s="797" t="e">
        <f t="shared" si="353"/>
        <v>#VALUE!</v>
      </c>
      <c r="MG44" s="797" t="e">
        <f t="shared" si="353"/>
        <v>#VALUE!</v>
      </c>
      <c r="MH44" s="797" t="e">
        <f t="shared" si="353"/>
        <v>#VALUE!</v>
      </c>
      <c r="MI44" s="797" t="e">
        <f t="shared" si="353"/>
        <v>#VALUE!</v>
      </c>
      <c r="MJ44" s="797" t="e">
        <f t="shared" si="353"/>
        <v>#VALUE!</v>
      </c>
      <c r="MK44" s="797" t="e">
        <f t="shared" si="353"/>
        <v>#VALUE!</v>
      </c>
      <c r="ML44" s="797" t="e">
        <f t="shared" si="353"/>
        <v>#VALUE!</v>
      </c>
      <c r="MM44" s="797" t="e">
        <f t="shared" si="353"/>
        <v>#VALUE!</v>
      </c>
      <c r="MN44" s="797" t="e">
        <f t="shared" si="353"/>
        <v>#VALUE!</v>
      </c>
      <c r="MO44" s="797" t="e">
        <f t="shared" si="353"/>
        <v>#VALUE!</v>
      </c>
      <c r="MP44" s="797" t="e">
        <f t="shared" si="353"/>
        <v>#VALUE!</v>
      </c>
      <c r="MQ44" s="797" t="e">
        <f t="shared" si="353"/>
        <v>#VALUE!</v>
      </c>
      <c r="MR44" s="797" t="e">
        <f t="shared" si="353"/>
        <v>#VALUE!</v>
      </c>
      <c r="MS44" s="797" t="e">
        <f t="shared" si="353"/>
        <v>#VALUE!</v>
      </c>
      <c r="MT44" s="797" t="e">
        <f t="shared" si="353"/>
        <v>#VALUE!</v>
      </c>
      <c r="MU44" s="797" t="e">
        <f t="shared" si="353"/>
        <v>#VALUE!</v>
      </c>
      <c r="MV44" s="797" t="e">
        <f t="shared" si="353"/>
        <v>#VALUE!</v>
      </c>
      <c r="MW44" s="797" t="e">
        <f t="shared" si="353"/>
        <v>#VALUE!</v>
      </c>
      <c r="MX44" s="797" t="e">
        <f t="shared" si="353"/>
        <v>#VALUE!</v>
      </c>
      <c r="MY44" s="797" t="e">
        <f t="shared" si="353"/>
        <v>#VALUE!</v>
      </c>
      <c r="MZ44" s="797" t="e">
        <f t="shared" si="353"/>
        <v>#VALUE!</v>
      </c>
      <c r="NA44" s="797" t="e">
        <f t="shared" si="353"/>
        <v>#VALUE!</v>
      </c>
      <c r="NB44" s="797" t="e">
        <f t="shared" si="353"/>
        <v>#VALUE!</v>
      </c>
      <c r="NC44" s="797" t="e">
        <f t="shared" si="353"/>
        <v>#VALUE!</v>
      </c>
      <c r="ND44" s="797" t="e">
        <f t="shared" si="353"/>
        <v>#VALUE!</v>
      </c>
      <c r="NE44" s="797" t="e">
        <f t="shared" si="353"/>
        <v>#VALUE!</v>
      </c>
      <c r="NF44" s="797" t="e">
        <f t="shared" si="353"/>
        <v>#VALUE!</v>
      </c>
      <c r="NG44" s="797" t="e">
        <f t="shared" si="353"/>
        <v>#VALUE!</v>
      </c>
      <c r="NH44" s="797" t="e">
        <f t="shared" ref="NH44:PS44" si="354">NG44+1</f>
        <v>#VALUE!</v>
      </c>
      <c r="NI44" s="797" t="e">
        <f t="shared" si="354"/>
        <v>#VALUE!</v>
      </c>
      <c r="NJ44" s="797" t="e">
        <f t="shared" si="354"/>
        <v>#VALUE!</v>
      </c>
      <c r="NK44" s="797" t="e">
        <f t="shared" si="354"/>
        <v>#VALUE!</v>
      </c>
      <c r="NL44" s="797" t="e">
        <f t="shared" si="354"/>
        <v>#VALUE!</v>
      </c>
      <c r="NM44" s="797" t="e">
        <f t="shared" si="354"/>
        <v>#VALUE!</v>
      </c>
      <c r="NN44" s="797" t="e">
        <f t="shared" si="354"/>
        <v>#VALUE!</v>
      </c>
      <c r="NO44" s="797" t="e">
        <f t="shared" si="354"/>
        <v>#VALUE!</v>
      </c>
      <c r="NP44" s="797" t="e">
        <f t="shared" si="354"/>
        <v>#VALUE!</v>
      </c>
      <c r="NQ44" s="797" t="e">
        <f t="shared" si="354"/>
        <v>#VALUE!</v>
      </c>
      <c r="NR44" s="797" t="e">
        <f t="shared" si="354"/>
        <v>#VALUE!</v>
      </c>
      <c r="NS44" s="797" t="e">
        <f t="shared" si="354"/>
        <v>#VALUE!</v>
      </c>
      <c r="NT44" s="797" t="e">
        <f t="shared" si="354"/>
        <v>#VALUE!</v>
      </c>
      <c r="NU44" s="797" t="e">
        <f t="shared" si="354"/>
        <v>#VALUE!</v>
      </c>
      <c r="NV44" s="797" t="e">
        <f t="shared" si="354"/>
        <v>#VALUE!</v>
      </c>
      <c r="NW44" s="797" t="e">
        <f t="shared" si="354"/>
        <v>#VALUE!</v>
      </c>
      <c r="NX44" s="797" t="e">
        <f t="shared" si="354"/>
        <v>#VALUE!</v>
      </c>
      <c r="NY44" s="797" t="e">
        <f t="shared" si="354"/>
        <v>#VALUE!</v>
      </c>
      <c r="NZ44" s="797" t="e">
        <f t="shared" si="354"/>
        <v>#VALUE!</v>
      </c>
      <c r="OA44" s="797" t="e">
        <f t="shared" si="354"/>
        <v>#VALUE!</v>
      </c>
      <c r="OB44" s="797" t="e">
        <f t="shared" si="354"/>
        <v>#VALUE!</v>
      </c>
      <c r="OC44" s="797" t="e">
        <f t="shared" si="354"/>
        <v>#VALUE!</v>
      </c>
      <c r="OD44" s="797" t="e">
        <f t="shared" si="354"/>
        <v>#VALUE!</v>
      </c>
      <c r="OE44" s="797" t="e">
        <f t="shared" si="354"/>
        <v>#VALUE!</v>
      </c>
      <c r="OF44" s="797" t="e">
        <f t="shared" si="354"/>
        <v>#VALUE!</v>
      </c>
      <c r="OG44" s="797" t="e">
        <f t="shared" si="354"/>
        <v>#VALUE!</v>
      </c>
      <c r="OH44" s="797" t="e">
        <f t="shared" si="354"/>
        <v>#VALUE!</v>
      </c>
      <c r="OI44" s="797" t="e">
        <f t="shared" si="354"/>
        <v>#VALUE!</v>
      </c>
      <c r="OJ44" s="797" t="e">
        <f t="shared" si="354"/>
        <v>#VALUE!</v>
      </c>
      <c r="OK44" s="797" t="e">
        <f t="shared" si="354"/>
        <v>#VALUE!</v>
      </c>
      <c r="OL44" s="797" t="e">
        <f t="shared" si="354"/>
        <v>#VALUE!</v>
      </c>
      <c r="OM44" s="797" t="e">
        <f t="shared" si="354"/>
        <v>#VALUE!</v>
      </c>
      <c r="ON44" s="797" t="e">
        <f t="shared" si="354"/>
        <v>#VALUE!</v>
      </c>
      <c r="OO44" s="797" t="e">
        <f t="shared" si="354"/>
        <v>#VALUE!</v>
      </c>
      <c r="OP44" s="797" t="e">
        <f t="shared" si="354"/>
        <v>#VALUE!</v>
      </c>
      <c r="OQ44" s="797" t="e">
        <f t="shared" si="354"/>
        <v>#VALUE!</v>
      </c>
      <c r="OR44" s="797" t="e">
        <f t="shared" si="354"/>
        <v>#VALUE!</v>
      </c>
      <c r="OS44" s="797" t="e">
        <f t="shared" si="354"/>
        <v>#VALUE!</v>
      </c>
      <c r="OT44" s="797" t="e">
        <f t="shared" si="354"/>
        <v>#VALUE!</v>
      </c>
      <c r="OU44" s="797" t="e">
        <f t="shared" si="354"/>
        <v>#VALUE!</v>
      </c>
      <c r="OV44" s="797" t="e">
        <f t="shared" si="354"/>
        <v>#VALUE!</v>
      </c>
      <c r="OW44" s="797" t="e">
        <f t="shared" si="354"/>
        <v>#VALUE!</v>
      </c>
      <c r="OX44" s="797" t="e">
        <f t="shared" si="354"/>
        <v>#VALUE!</v>
      </c>
      <c r="OY44" s="797" t="e">
        <f t="shared" si="354"/>
        <v>#VALUE!</v>
      </c>
      <c r="OZ44" s="797" t="e">
        <f t="shared" si="354"/>
        <v>#VALUE!</v>
      </c>
      <c r="PA44" s="797" t="e">
        <f t="shared" si="354"/>
        <v>#VALUE!</v>
      </c>
      <c r="PB44" s="797" t="e">
        <f t="shared" si="354"/>
        <v>#VALUE!</v>
      </c>
      <c r="PC44" s="797" t="e">
        <f t="shared" si="354"/>
        <v>#VALUE!</v>
      </c>
      <c r="PD44" s="797" t="e">
        <f t="shared" si="354"/>
        <v>#VALUE!</v>
      </c>
      <c r="PE44" s="797" t="e">
        <f t="shared" si="354"/>
        <v>#VALUE!</v>
      </c>
      <c r="PF44" s="797" t="e">
        <f t="shared" si="354"/>
        <v>#VALUE!</v>
      </c>
      <c r="PG44" s="797" t="e">
        <f t="shared" si="354"/>
        <v>#VALUE!</v>
      </c>
      <c r="PH44" s="797" t="e">
        <f t="shared" si="354"/>
        <v>#VALUE!</v>
      </c>
      <c r="PI44" s="797" t="e">
        <f t="shared" si="354"/>
        <v>#VALUE!</v>
      </c>
      <c r="PJ44" s="797" t="e">
        <f t="shared" si="354"/>
        <v>#VALUE!</v>
      </c>
      <c r="PK44" s="797" t="e">
        <f t="shared" si="354"/>
        <v>#VALUE!</v>
      </c>
      <c r="PL44" s="797" t="e">
        <f t="shared" si="354"/>
        <v>#VALUE!</v>
      </c>
      <c r="PM44" s="797" t="e">
        <f t="shared" si="354"/>
        <v>#VALUE!</v>
      </c>
      <c r="PN44" s="797" t="e">
        <f t="shared" si="354"/>
        <v>#VALUE!</v>
      </c>
      <c r="PO44" s="797" t="e">
        <f t="shared" si="354"/>
        <v>#VALUE!</v>
      </c>
      <c r="PP44" s="797" t="e">
        <f t="shared" si="354"/>
        <v>#VALUE!</v>
      </c>
      <c r="PQ44" s="797" t="e">
        <f t="shared" si="354"/>
        <v>#VALUE!</v>
      </c>
      <c r="PR44" s="797" t="e">
        <f t="shared" si="354"/>
        <v>#VALUE!</v>
      </c>
      <c r="PS44" s="797" t="e">
        <f t="shared" si="354"/>
        <v>#VALUE!</v>
      </c>
      <c r="PT44" s="797" t="e">
        <f t="shared" ref="PT44:QZ44" si="355">PS44+1</f>
        <v>#VALUE!</v>
      </c>
      <c r="PU44" s="797" t="e">
        <f t="shared" si="355"/>
        <v>#VALUE!</v>
      </c>
      <c r="PV44" s="797" t="e">
        <f t="shared" si="355"/>
        <v>#VALUE!</v>
      </c>
      <c r="PW44" s="797" t="e">
        <f t="shared" si="355"/>
        <v>#VALUE!</v>
      </c>
      <c r="PX44" s="797" t="e">
        <f t="shared" si="355"/>
        <v>#VALUE!</v>
      </c>
      <c r="PY44" s="797" t="e">
        <f t="shared" si="355"/>
        <v>#VALUE!</v>
      </c>
      <c r="PZ44" s="797" t="e">
        <f t="shared" si="355"/>
        <v>#VALUE!</v>
      </c>
      <c r="QA44" s="797" t="e">
        <f t="shared" si="355"/>
        <v>#VALUE!</v>
      </c>
      <c r="QB44" s="797" t="e">
        <f t="shared" si="355"/>
        <v>#VALUE!</v>
      </c>
      <c r="QC44" s="797" t="e">
        <f t="shared" si="355"/>
        <v>#VALUE!</v>
      </c>
      <c r="QD44" s="797" t="e">
        <f t="shared" si="355"/>
        <v>#VALUE!</v>
      </c>
      <c r="QE44" s="797" t="e">
        <f t="shared" si="355"/>
        <v>#VALUE!</v>
      </c>
      <c r="QF44" s="797" t="e">
        <f t="shared" si="355"/>
        <v>#VALUE!</v>
      </c>
      <c r="QG44" s="797" t="e">
        <f t="shared" si="355"/>
        <v>#VALUE!</v>
      </c>
      <c r="QH44" s="797" t="e">
        <f t="shared" si="355"/>
        <v>#VALUE!</v>
      </c>
      <c r="QI44" s="797" t="e">
        <f t="shared" si="355"/>
        <v>#VALUE!</v>
      </c>
      <c r="QJ44" s="797" t="e">
        <f t="shared" si="355"/>
        <v>#VALUE!</v>
      </c>
      <c r="QK44" s="797" t="e">
        <f t="shared" si="355"/>
        <v>#VALUE!</v>
      </c>
      <c r="QL44" s="797" t="e">
        <f t="shared" si="355"/>
        <v>#VALUE!</v>
      </c>
      <c r="QM44" s="797" t="e">
        <f t="shared" si="355"/>
        <v>#VALUE!</v>
      </c>
      <c r="QN44" s="797" t="e">
        <f t="shared" si="355"/>
        <v>#VALUE!</v>
      </c>
      <c r="QO44" s="797" t="e">
        <f t="shared" si="355"/>
        <v>#VALUE!</v>
      </c>
      <c r="QP44" s="797" t="e">
        <f t="shared" si="355"/>
        <v>#VALUE!</v>
      </c>
      <c r="QQ44" s="797" t="e">
        <f t="shared" si="355"/>
        <v>#VALUE!</v>
      </c>
      <c r="QR44" s="797" t="e">
        <f t="shared" si="355"/>
        <v>#VALUE!</v>
      </c>
      <c r="QS44" s="797" t="e">
        <f t="shared" si="355"/>
        <v>#VALUE!</v>
      </c>
      <c r="QT44" s="797" t="e">
        <f t="shared" si="355"/>
        <v>#VALUE!</v>
      </c>
      <c r="QU44" s="797" t="e">
        <f t="shared" si="355"/>
        <v>#VALUE!</v>
      </c>
      <c r="QV44" s="797" t="e">
        <f t="shared" si="355"/>
        <v>#VALUE!</v>
      </c>
      <c r="QW44" s="797" t="e">
        <f t="shared" si="355"/>
        <v>#VALUE!</v>
      </c>
      <c r="QX44" s="797" t="e">
        <f t="shared" si="355"/>
        <v>#VALUE!</v>
      </c>
      <c r="QY44" s="797" t="e">
        <f t="shared" si="355"/>
        <v>#VALUE!</v>
      </c>
      <c r="QZ44" s="797" t="e">
        <f t="shared" si="355"/>
        <v>#VALUE!</v>
      </c>
    </row>
    <row r="45" spans="1:471" ht="17.25">
      <c r="B45" t="s">
        <v>144</v>
      </c>
      <c r="D45" t="s">
        <v>145</v>
      </c>
      <c r="E45" t="s">
        <v>146</v>
      </c>
      <c r="J45" s="4"/>
      <c r="K45" s="4"/>
      <c r="L45" s="4"/>
      <c r="M45" s="4"/>
      <c r="N45" s="4"/>
      <c r="O45" s="4">
        <v>30</v>
      </c>
      <c r="P45" s="4">
        <v>29</v>
      </c>
      <c r="Q45" s="4">
        <v>30</v>
      </c>
      <c r="R45" s="4">
        <v>29</v>
      </c>
      <c r="S45" s="4">
        <v>30</v>
      </c>
      <c r="T45" s="4">
        <v>29</v>
      </c>
      <c r="U45" s="4">
        <v>30</v>
      </c>
      <c r="V45" s="4">
        <v>29</v>
      </c>
      <c r="W45" s="4">
        <v>30</v>
      </c>
      <c r="X45" s="4">
        <v>29</v>
      </c>
      <c r="Y45" s="4">
        <v>30</v>
      </c>
      <c r="Z45" s="4">
        <v>29</v>
      </c>
      <c r="AA45" s="4"/>
      <c r="AK45" s="759"/>
      <c r="AL45" s="701" t="e">
        <f>[1]!taqsha(AL40,AL41,AL42,AL43)</f>
        <v>#VALUE!</v>
      </c>
      <c r="AM45" s="304" t="e">
        <f>[1]!taqsha(AM40,AM41,AM42,AM43)</f>
        <v>#VALUE!</v>
      </c>
      <c r="AN45" s="304" t="e">
        <f>[1]!taqsha(AN40,AN41,AN42,AN43)</f>
        <v>#VALUE!</v>
      </c>
      <c r="AO45" s="304" t="e">
        <f>[1]!taqsha(AO40,AO41,AO42,AO43)</f>
        <v>#VALUE!</v>
      </c>
      <c r="AP45" s="304" t="e">
        <f>[1]!taqsha(AP40,AP41,AP42,AP43)</f>
        <v>#VALUE!</v>
      </c>
      <c r="AQ45" s="304" t="e">
        <f>[1]!taqsha(AQ40,AQ41,AQ42,AQ43)</f>
        <v>#VALUE!</v>
      </c>
      <c r="AR45" s="304" t="e">
        <f>[1]!taqsha(AR40,AR41,AR42,AR43)</f>
        <v>#VALUE!</v>
      </c>
      <c r="AS45" s="304" t="e">
        <f>[1]!taqsha(AS40,AS41,AS42,AS43)</f>
        <v>#VALUE!</v>
      </c>
      <c r="AT45" s="304" t="e">
        <f>[1]!taqsha(AT40,AT41,AT42,AT43)</f>
        <v>#VALUE!</v>
      </c>
      <c r="AU45" s="304" t="e">
        <f>[1]!taqsha(AU40,AU41,AU42,AU43)</f>
        <v>#VALUE!</v>
      </c>
      <c r="AV45" s="304" t="e">
        <f>[1]!taqsha(AV40,AV41,AV42,AV43)</f>
        <v>#VALUE!</v>
      </c>
      <c r="AW45" s="314" t="e">
        <f>[1]!taqsha(AW40,AW41,AW42,AW43)</f>
        <v>#VALUE!</v>
      </c>
      <c r="AX45" s="314"/>
      <c r="DB45" s="797" t="s">
        <v>3803</v>
      </c>
      <c r="DC45" s="797"/>
      <c r="DD45" s="960">
        <v>73</v>
      </c>
      <c r="DH45" s="797"/>
      <c r="DI45" s="797" t="s">
        <v>3803</v>
      </c>
      <c r="DJ45" s="960" t="e">
        <f>RB34+1</f>
        <v>#VALUE!</v>
      </c>
      <c r="DK45" s="921" t="e">
        <f>DJ45+1</f>
        <v>#VALUE!</v>
      </c>
      <c r="DL45" s="921" t="e">
        <f t="shared" ref="DL45:FW45" si="356">DK45+1</f>
        <v>#VALUE!</v>
      </c>
      <c r="DM45" s="921" t="e">
        <f t="shared" si="356"/>
        <v>#VALUE!</v>
      </c>
      <c r="DN45" s="921" t="e">
        <f t="shared" si="356"/>
        <v>#VALUE!</v>
      </c>
      <c r="DO45" s="921" t="e">
        <f t="shared" si="356"/>
        <v>#VALUE!</v>
      </c>
      <c r="DP45" s="921" t="e">
        <f t="shared" si="356"/>
        <v>#VALUE!</v>
      </c>
      <c r="DQ45" s="921" t="e">
        <f t="shared" si="356"/>
        <v>#VALUE!</v>
      </c>
      <c r="DR45" s="921" t="e">
        <f t="shared" si="356"/>
        <v>#VALUE!</v>
      </c>
      <c r="DS45" s="921" t="e">
        <f t="shared" si="356"/>
        <v>#VALUE!</v>
      </c>
      <c r="DT45" s="921" t="e">
        <f t="shared" si="356"/>
        <v>#VALUE!</v>
      </c>
      <c r="DU45" s="921" t="e">
        <f t="shared" si="356"/>
        <v>#VALUE!</v>
      </c>
      <c r="DV45" s="921" t="e">
        <f t="shared" si="356"/>
        <v>#VALUE!</v>
      </c>
      <c r="DW45" s="921" t="e">
        <f t="shared" si="356"/>
        <v>#VALUE!</v>
      </c>
      <c r="DX45" s="921" t="e">
        <f t="shared" si="356"/>
        <v>#VALUE!</v>
      </c>
      <c r="DY45" s="921" t="e">
        <f t="shared" si="356"/>
        <v>#VALUE!</v>
      </c>
      <c r="DZ45" s="921" t="e">
        <f t="shared" si="356"/>
        <v>#VALUE!</v>
      </c>
      <c r="EA45" s="921" t="e">
        <f t="shared" si="356"/>
        <v>#VALUE!</v>
      </c>
      <c r="EB45" s="921" t="e">
        <f t="shared" si="356"/>
        <v>#VALUE!</v>
      </c>
      <c r="EC45" s="921" t="e">
        <f t="shared" si="356"/>
        <v>#VALUE!</v>
      </c>
      <c r="ED45" s="921" t="e">
        <f t="shared" si="356"/>
        <v>#VALUE!</v>
      </c>
      <c r="EE45" s="921" t="e">
        <f t="shared" si="356"/>
        <v>#VALUE!</v>
      </c>
      <c r="EF45" s="921" t="e">
        <f t="shared" si="356"/>
        <v>#VALUE!</v>
      </c>
      <c r="EG45" s="921" t="e">
        <f t="shared" si="356"/>
        <v>#VALUE!</v>
      </c>
      <c r="EH45" s="921" t="e">
        <f t="shared" si="356"/>
        <v>#VALUE!</v>
      </c>
      <c r="EI45" s="921" t="e">
        <f t="shared" si="356"/>
        <v>#VALUE!</v>
      </c>
      <c r="EJ45" s="921" t="e">
        <f t="shared" si="356"/>
        <v>#VALUE!</v>
      </c>
      <c r="EK45" s="921" t="e">
        <f t="shared" si="356"/>
        <v>#VALUE!</v>
      </c>
      <c r="EL45" s="921" t="e">
        <f t="shared" si="356"/>
        <v>#VALUE!</v>
      </c>
      <c r="EM45" s="921" t="e">
        <f t="shared" si="356"/>
        <v>#VALUE!</v>
      </c>
      <c r="EN45" s="921" t="e">
        <f t="shared" si="356"/>
        <v>#VALUE!</v>
      </c>
      <c r="EO45" s="921" t="e">
        <f t="shared" si="356"/>
        <v>#VALUE!</v>
      </c>
      <c r="EP45" s="921" t="e">
        <f t="shared" si="356"/>
        <v>#VALUE!</v>
      </c>
      <c r="EQ45" s="921" t="e">
        <f t="shared" si="356"/>
        <v>#VALUE!</v>
      </c>
      <c r="ER45" s="921" t="e">
        <f t="shared" si="356"/>
        <v>#VALUE!</v>
      </c>
      <c r="ES45" s="921" t="e">
        <f t="shared" si="356"/>
        <v>#VALUE!</v>
      </c>
      <c r="ET45" s="921" t="e">
        <f t="shared" si="356"/>
        <v>#VALUE!</v>
      </c>
      <c r="EU45" s="921" t="e">
        <f t="shared" si="356"/>
        <v>#VALUE!</v>
      </c>
      <c r="EV45" s="921" t="e">
        <f t="shared" si="356"/>
        <v>#VALUE!</v>
      </c>
      <c r="EW45" s="921" t="e">
        <f t="shared" si="356"/>
        <v>#VALUE!</v>
      </c>
      <c r="EX45" s="921" t="e">
        <f t="shared" si="356"/>
        <v>#VALUE!</v>
      </c>
      <c r="EY45" s="921" t="e">
        <f t="shared" si="356"/>
        <v>#VALUE!</v>
      </c>
      <c r="EZ45" s="921" t="e">
        <f t="shared" si="356"/>
        <v>#VALUE!</v>
      </c>
      <c r="FA45" s="921" t="e">
        <f t="shared" si="356"/>
        <v>#VALUE!</v>
      </c>
      <c r="FB45" s="921" t="e">
        <f t="shared" si="356"/>
        <v>#VALUE!</v>
      </c>
      <c r="FC45" s="921" t="e">
        <f t="shared" si="356"/>
        <v>#VALUE!</v>
      </c>
      <c r="FD45" s="921" t="e">
        <f t="shared" si="356"/>
        <v>#VALUE!</v>
      </c>
      <c r="FE45" s="921" t="e">
        <f t="shared" si="356"/>
        <v>#VALUE!</v>
      </c>
      <c r="FF45" s="921" t="e">
        <f t="shared" si="356"/>
        <v>#VALUE!</v>
      </c>
      <c r="FG45" s="921" t="e">
        <f t="shared" si="356"/>
        <v>#VALUE!</v>
      </c>
      <c r="FH45" s="921" t="e">
        <f t="shared" si="356"/>
        <v>#VALUE!</v>
      </c>
      <c r="FI45" s="921" t="e">
        <f t="shared" si="356"/>
        <v>#VALUE!</v>
      </c>
      <c r="FJ45" s="921" t="e">
        <f t="shared" si="356"/>
        <v>#VALUE!</v>
      </c>
      <c r="FK45" s="921" t="e">
        <f t="shared" si="356"/>
        <v>#VALUE!</v>
      </c>
      <c r="FL45" s="921" t="e">
        <f t="shared" si="356"/>
        <v>#VALUE!</v>
      </c>
      <c r="FM45" s="921" t="e">
        <f t="shared" si="356"/>
        <v>#VALUE!</v>
      </c>
      <c r="FN45" s="921" t="e">
        <f t="shared" si="356"/>
        <v>#VALUE!</v>
      </c>
      <c r="FO45" s="921" t="e">
        <f t="shared" si="356"/>
        <v>#VALUE!</v>
      </c>
      <c r="FP45" s="921" t="e">
        <f t="shared" si="356"/>
        <v>#VALUE!</v>
      </c>
      <c r="FQ45" s="921" t="e">
        <f t="shared" si="356"/>
        <v>#VALUE!</v>
      </c>
      <c r="FR45" s="921" t="e">
        <f t="shared" si="356"/>
        <v>#VALUE!</v>
      </c>
      <c r="FS45" s="921" t="e">
        <f t="shared" si="356"/>
        <v>#VALUE!</v>
      </c>
      <c r="FT45" s="921" t="e">
        <f t="shared" si="356"/>
        <v>#VALUE!</v>
      </c>
      <c r="FU45" s="921" t="e">
        <f t="shared" si="356"/>
        <v>#VALUE!</v>
      </c>
      <c r="FV45" s="921" t="e">
        <f t="shared" si="356"/>
        <v>#VALUE!</v>
      </c>
      <c r="FW45" s="921" t="e">
        <f t="shared" si="356"/>
        <v>#VALUE!</v>
      </c>
      <c r="FX45" s="921" t="e">
        <f t="shared" ref="FX45:II45" si="357">FW45+1</f>
        <v>#VALUE!</v>
      </c>
      <c r="FY45" s="921" t="e">
        <f t="shared" si="357"/>
        <v>#VALUE!</v>
      </c>
      <c r="FZ45" s="921" t="e">
        <f t="shared" si="357"/>
        <v>#VALUE!</v>
      </c>
      <c r="GA45" s="921" t="e">
        <f t="shared" si="357"/>
        <v>#VALUE!</v>
      </c>
      <c r="GB45" s="921" t="e">
        <f t="shared" si="357"/>
        <v>#VALUE!</v>
      </c>
      <c r="GC45" s="921" t="e">
        <f t="shared" si="357"/>
        <v>#VALUE!</v>
      </c>
      <c r="GD45" s="921" t="e">
        <f t="shared" si="357"/>
        <v>#VALUE!</v>
      </c>
      <c r="GE45" s="921" t="e">
        <f t="shared" si="357"/>
        <v>#VALUE!</v>
      </c>
      <c r="GF45" s="921" t="e">
        <f t="shared" si="357"/>
        <v>#VALUE!</v>
      </c>
      <c r="GG45" s="921" t="e">
        <f t="shared" si="357"/>
        <v>#VALUE!</v>
      </c>
      <c r="GH45" s="921" t="e">
        <f t="shared" si="357"/>
        <v>#VALUE!</v>
      </c>
      <c r="GI45" s="921" t="e">
        <f t="shared" si="357"/>
        <v>#VALUE!</v>
      </c>
      <c r="GJ45" s="921" t="e">
        <f t="shared" si="357"/>
        <v>#VALUE!</v>
      </c>
      <c r="GK45" s="921" t="e">
        <f t="shared" si="357"/>
        <v>#VALUE!</v>
      </c>
      <c r="GL45" s="921" t="e">
        <f t="shared" si="357"/>
        <v>#VALUE!</v>
      </c>
      <c r="GM45" s="921" t="e">
        <f t="shared" si="357"/>
        <v>#VALUE!</v>
      </c>
      <c r="GN45" s="921" t="e">
        <f t="shared" si="357"/>
        <v>#VALUE!</v>
      </c>
      <c r="GO45" s="921" t="e">
        <f t="shared" si="357"/>
        <v>#VALUE!</v>
      </c>
      <c r="GP45" s="921" t="e">
        <f t="shared" si="357"/>
        <v>#VALUE!</v>
      </c>
      <c r="GQ45" s="921" t="e">
        <f t="shared" si="357"/>
        <v>#VALUE!</v>
      </c>
      <c r="GR45" s="921" t="e">
        <f t="shared" si="357"/>
        <v>#VALUE!</v>
      </c>
      <c r="GS45" s="921" t="e">
        <f t="shared" si="357"/>
        <v>#VALUE!</v>
      </c>
      <c r="GT45" s="921" t="e">
        <f t="shared" si="357"/>
        <v>#VALUE!</v>
      </c>
      <c r="GU45" s="921" t="e">
        <f t="shared" si="357"/>
        <v>#VALUE!</v>
      </c>
      <c r="GV45" s="921" t="e">
        <f t="shared" si="357"/>
        <v>#VALUE!</v>
      </c>
      <c r="GW45" s="921" t="e">
        <f t="shared" si="357"/>
        <v>#VALUE!</v>
      </c>
      <c r="GX45" s="921" t="e">
        <f t="shared" si="357"/>
        <v>#VALUE!</v>
      </c>
      <c r="GY45" s="921" t="e">
        <f t="shared" si="357"/>
        <v>#VALUE!</v>
      </c>
      <c r="GZ45" s="921" t="e">
        <f t="shared" si="357"/>
        <v>#VALUE!</v>
      </c>
      <c r="HA45" s="921" t="e">
        <f t="shared" si="357"/>
        <v>#VALUE!</v>
      </c>
      <c r="HB45" s="921" t="e">
        <f t="shared" si="357"/>
        <v>#VALUE!</v>
      </c>
      <c r="HC45" s="921" t="e">
        <f t="shared" si="357"/>
        <v>#VALUE!</v>
      </c>
      <c r="HD45" s="921" t="e">
        <f t="shared" si="357"/>
        <v>#VALUE!</v>
      </c>
      <c r="HE45" s="921" t="e">
        <f t="shared" si="357"/>
        <v>#VALUE!</v>
      </c>
      <c r="HF45" s="921" t="e">
        <f t="shared" si="357"/>
        <v>#VALUE!</v>
      </c>
      <c r="HG45" s="921" t="e">
        <f t="shared" si="357"/>
        <v>#VALUE!</v>
      </c>
      <c r="HH45" s="921" t="e">
        <f t="shared" si="357"/>
        <v>#VALUE!</v>
      </c>
      <c r="HI45" s="921" t="e">
        <f t="shared" si="357"/>
        <v>#VALUE!</v>
      </c>
      <c r="HJ45" s="921" t="e">
        <f t="shared" si="357"/>
        <v>#VALUE!</v>
      </c>
      <c r="HK45" s="921" t="e">
        <f t="shared" si="357"/>
        <v>#VALUE!</v>
      </c>
      <c r="HL45" s="921" t="e">
        <f t="shared" si="357"/>
        <v>#VALUE!</v>
      </c>
      <c r="HM45" s="921" t="e">
        <f t="shared" si="357"/>
        <v>#VALUE!</v>
      </c>
      <c r="HN45" s="921" t="e">
        <f t="shared" si="357"/>
        <v>#VALUE!</v>
      </c>
      <c r="HO45" s="921" t="e">
        <f t="shared" si="357"/>
        <v>#VALUE!</v>
      </c>
      <c r="HP45" s="921" t="e">
        <f t="shared" si="357"/>
        <v>#VALUE!</v>
      </c>
      <c r="HQ45" s="921" t="e">
        <f t="shared" si="357"/>
        <v>#VALUE!</v>
      </c>
      <c r="HR45" s="921" t="e">
        <f t="shared" si="357"/>
        <v>#VALUE!</v>
      </c>
      <c r="HS45" s="921" t="e">
        <f t="shared" si="357"/>
        <v>#VALUE!</v>
      </c>
      <c r="HT45" s="921" t="e">
        <f t="shared" si="357"/>
        <v>#VALUE!</v>
      </c>
      <c r="HU45" s="921" t="e">
        <f t="shared" si="357"/>
        <v>#VALUE!</v>
      </c>
      <c r="HV45" s="921" t="e">
        <f t="shared" si="357"/>
        <v>#VALUE!</v>
      </c>
      <c r="HW45" s="921" t="e">
        <f t="shared" si="357"/>
        <v>#VALUE!</v>
      </c>
      <c r="HX45" s="921" t="e">
        <f t="shared" si="357"/>
        <v>#VALUE!</v>
      </c>
      <c r="HY45" s="921" t="e">
        <f t="shared" si="357"/>
        <v>#VALUE!</v>
      </c>
      <c r="HZ45" s="921" t="e">
        <f t="shared" si="357"/>
        <v>#VALUE!</v>
      </c>
      <c r="IA45" s="921" t="e">
        <f t="shared" si="357"/>
        <v>#VALUE!</v>
      </c>
      <c r="IB45" s="921" t="e">
        <f t="shared" si="357"/>
        <v>#VALUE!</v>
      </c>
      <c r="IC45" s="921" t="e">
        <f t="shared" si="357"/>
        <v>#VALUE!</v>
      </c>
      <c r="ID45" s="921" t="e">
        <f t="shared" si="357"/>
        <v>#VALUE!</v>
      </c>
      <c r="IE45" s="921" t="e">
        <f t="shared" si="357"/>
        <v>#VALUE!</v>
      </c>
      <c r="IF45" s="921" t="e">
        <f t="shared" si="357"/>
        <v>#VALUE!</v>
      </c>
      <c r="IG45" s="921" t="e">
        <f t="shared" si="357"/>
        <v>#VALUE!</v>
      </c>
      <c r="IH45" s="921" t="e">
        <f t="shared" si="357"/>
        <v>#VALUE!</v>
      </c>
      <c r="II45" s="921" t="e">
        <f t="shared" si="357"/>
        <v>#VALUE!</v>
      </c>
      <c r="IJ45" s="921" t="e">
        <f t="shared" ref="IJ45:KU45" si="358">II45+1</f>
        <v>#VALUE!</v>
      </c>
      <c r="IK45" s="921" t="e">
        <f t="shared" si="358"/>
        <v>#VALUE!</v>
      </c>
      <c r="IL45" s="921" t="e">
        <f t="shared" si="358"/>
        <v>#VALUE!</v>
      </c>
      <c r="IM45" s="921" t="e">
        <f t="shared" si="358"/>
        <v>#VALUE!</v>
      </c>
      <c r="IN45" s="921" t="e">
        <f t="shared" si="358"/>
        <v>#VALUE!</v>
      </c>
      <c r="IO45" s="921" t="e">
        <f t="shared" si="358"/>
        <v>#VALUE!</v>
      </c>
      <c r="IP45" s="921" t="e">
        <f t="shared" si="358"/>
        <v>#VALUE!</v>
      </c>
      <c r="IQ45" s="921" t="e">
        <f t="shared" si="358"/>
        <v>#VALUE!</v>
      </c>
      <c r="IR45" s="921" t="e">
        <f t="shared" si="358"/>
        <v>#VALUE!</v>
      </c>
      <c r="IS45" s="921" t="e">
        <f t="shared" si="358"/>
        <v>#VALUE!</v>
      </c>
      <c r="IT45" s="921" t="e">
        <f t="shared" si="358"/>
        <v>#VALUE!</v>
      </c>
      <c r="IU45" s="921" t="e">
        <f t="shared" si="358"/>
        <v>#VALUE!</v>
      </c>
      <c r="IV45" s="921" t="e">
        <f t="shared" si="358"/>
        <v>#VALUE!</v>
      </c>
      <c r="IW45" s="921" t="e">
        <f t="shared" si="358"/>
        <v>#VALUE!</v>
      </c>
      <c r="IX45" s="921" t="e">
        <f t="shared" si="358"/>
        <v>#VALUE!</v>
      </c>
      <c r="IY45" s="921" t="e">
        <f t="shared" si="358"/>
        <v>#VALUE!</v>
      </c>
      <c r="IZ45" s="921" t="e">
        <f t="shared" si="358"/>
        <v>#VALUE!</v>
      </c>
      <c r="JA45" s="921" t="e">
        <f t="shared" si="358"/>
        <v>#VALUE!</v>
      </c>
      <c r="JB45" s="921" t="e">
        <f t="shared" si="358"/>
        <v>#VALUE!</v>
      </c>
      <c r="JC45" s="921" t="e">
        <f t="shared" si="358"/>
        <v>#VALUE!</v>
      </c>
      <c r="JD45" s="921" t="e">
        <f t="shared" si="358"/>
        <v>#VALUE!</v>
      </c>
      <c r="JE45" s="921" t="e">
        <f t="shared" si="358"/>
        <v>#VALUE!</v>
      </c>
      <c r="JF45" s="921" t="e">
        <f t="shared" si="358"/>
        <v>#VALUE!</v>
      </c>
      <c r="JG45" s="921" t="e">
        <f t="shared" si="358"/>
        <v>#VALUE!</v>
      </c>
      <c r="JH45" s="921" t="e">
        <f t="shared" si="358"/>
        <v>#VALUE!</v>
      </c>
      <c r="JI45" s="921" t="e">
        <f t="shared" si="358"/>
        <v>#VALUE!</v>
      </c>
      <c r="JJ45" s="921" t="e">
        <f t="shared" si="358"/>
        <v>#VALUE!</v>
      </c>
      <c r="JK45" s="921" t="e">
        <f t="shared" si="358"/>
        <v>#VALUE!</v>
      </c>
      <c r="JL45" s="921" t="e">
        <f t="shared" si="358"/>
        <v>#VALUE!</v>
      </c>
      <c r="JM45" s="921" t="e">
        <f t="shared" si="358"/>
        <v>#VALUE!</v>
      </c>
      <c r="JN45" s="921" t="e">
        <f t="shared" si="358"/>
        <v>#VALUE!</v>
      </c>
      <c r="JO45" s="921" t="e">
        <f t="shared" si="358"/>
        <v>#VALUE!</v>
      </c>
      <c r="JP45" s="921" t="e">
        <f t="shared" si="358"/>
        <v>#VALUE!</v>
      </c>
      <c r="JQ45" s="921" t="e">
        <f t="shared" si="358"/>
        <v>#VALUE!</v>
      </c>
      <c r="JR45" s="921" t="e">
        <f t="shared" si="358"/>
        <v>#VALUE!</v>
      </c>
      <c r="JS45" s="921" t="e">
        <f t="shared" si="358"/>
        <v>#VALUE!</v>
      </c>
      <c r="JT45" s="921" t="e">
        <f t="shared" si="358"/>
        <v>#VALUE!</v>
      </c>
      <c r="JU45" s="921" t="e">
        <f t="shared" si="358"/>
        <v>#VALUE!</v>
      </c>
      <c r="JV45" s="921" t="e">
        <f t="shared" si="358"/>
        <v>#VALUE!</v>
      </c>
      <c r="JW45" s="921" t="e">
        <f t="shared" si="358"/>
        <v>#VALUE!</v>
      </c>
      <c r="JX45" s="921" t="e">
        <f t="shared" si="358"/>
        <v>#VALUE!</v>
      </c>
      <c r="JY45" s="921" t="e">
        <f t="shared" si="358"/>
        <v>#VALUE!</v>
      </c>
      <c r="JZ45" s="921" t="e">
        <f t="shared" si="358"/>
        <v>#VALUE!</v>
      </c>
      <c r="KA45" s="921" t="e">
        <f t="shared" si="358"/>
        <v>#VALUE!</v>
      </c>
      <c r="KB45" s="921" t="e">
        <f t="shared" si="358"/>
        <v>#VALUE!</v>
      </c>
      <c r="KC45" s="921" t="e">
        <f t="shared" si="358"/>
        <v>#VALUE!</v>
      </c>
      <c r="KD45" s="921" t="e">
        <f t="shared" si="358"/>
        <v>#VALUE!</v>
      </c>
      <c r="KE45" s="921" t="e">
        <f t="shared" si="358"/>
        <v>#VALUE!</v>
      </c>
      <c r="KF45" s="921" t="e">
        <f t="shared" si="358"/>
        <v>#VALUE!</v>
      </c>
      <c r="KG45" s="921" t="e">
        <f t="shared" si="358"/>
        <v>#VALUE!</v>
      </c>
      <c r="KH45" s="921" t="e">
        <f t="shared" si="358"/>
        <v>#VALUE!</v>
      </c>
      <c r="KI45" s="921" t="e">
        <f t="shared" si="358"/>
        <v>#VALUE!</v>
      </c>
      <c r="KJ45" s="921" t="e">
        <f t="shared" si="358"/>
        <v>#VALUE!</v>
      </c>
      <c r="KK45" s="921" t="e">
        <f t="shared" si="358"/>
        <v>#VALUE!</v>
      </c>
      <c r="KL45" s="921" t="e">
        <f t="shared" si="358"/>
        <v>#VALUE!</v>
      </c>
      <c r="KM45" s="921" t="e">
        <f t="shared" si="358"/>
        <v>#VALUE!</v>
      </c>
      <c r="KN45" s="921" t="e">
        <f t="shared" si="358"/>
        <v>#VALUE!</v>
      </c>
      <c r="KO45" s="921" t="e">
        <f t="shared" si="358"/>
        <v>#VALUE!</v>
      </c>
      <c r="KP45" s="921" t="e">
        <f t="shared" si="358"/>
        <v>#VALUE!</v>
      </c>
      <c r="KQ45" s="921" t="e">
        <f t="shared" si="358"/>
        <v>#VALUE!</v>
      </c>
      <c r="KR45" s="921" t="e">
        <f t="shared" si="358"/>
        <v>#VALUE!</v>
      </c>
      <c r="KS45" s="921" t="e">
        <f t="shared" si="358"/>
        <v>#VALUE!</v>
      </c>
      <c r="KT45" s="921" t="e">
        <f t="shared" si="358"/>
        <v>#VALUE!</v>
      </c>
      <c r="KU45" s="921" t="e">
        <f t="shared" si="358"/>
        <v>#VALUE!</v>
      </c>
      <c r="KV45" s="921" t="e">
        <f t="shared" ref="KV45:NG45" si="359">KU45+1</f>
        <v>#VALUE!</v>
      </c>
      <c r="KW45" s="921" t="e">
        <f t="shared" si="359"/>
        <v>#VALUE!</v>
      </c>
      <c r="KX45" s="921" t="e">
        <f t="shared" si="359"/>
        <v>#VALUE!</v>
      </c>
      <c r="KY45" s="921" t="e">
        <f t="shared" si="359"/>
        <v>#VALUE!</v>
      </c>
      <c r="KZ45" s="921" t="e">
        <f t="shared" si="359"/>
        <v>#VALUE!</v>
      </c>
      <c r="LA45" s="921" t="e">
        <f t="shared" si="359"/>
        <v>#VALUE!</v>
      </c>
      <c r="LB45" s="921" t="e">
        <f t="shared" si="359"/>
        <v>#VALUE!</v>
      </c>
      <c r="LC45" s="921" t="e">
        <f t="shared" si="359"/>
        <v>#VALUE!</v>
      </c>
      <c r="LD45" s="921" t="e">
        <f t="shared" si="359"/>
        <v>#VALUE!</v>
      </c>
      <c r="LE45" s="921" t="e">
        <f t="shared" si="359"/>
        <v>#VALUE!</v>
      </c>
      <c r="LF45" s="921" t="e">
        <f t="shared" si="359"/>
        <v>#VALUE!</v>
      </c>
      <c r="LG45" s="921" t="e">
        <f t="shared" si="359"/>
        <v>#VALUE!</v>
      </c>
      <c r="LH45" s="921" t="e">
        <f t="shared" si="359"/>
        <v>#VALUE!</v>
      </c>
      <c r="LI45" s="921" t="e">
        <f t="shared" si="359"/>
        <v>#VALUE!</v>
      </c>
      <c r="LJ45" s="921" t="e">
        <f t="shared" si="359"/>
        <v>#VALUE!</v>
      </c>
      <c r="LK45" s="921" t="e">
        <f t="shared" si="359"/>
        <v>#VALUE!</v>
      </c>
      <c r="LL45" s="921" t="e">
        <f t="shared" si="359"/>
        <v>#VALUE!</v>
      </c>
      <c r="LM45" s="921" t="e">
        <f t="shared" si="359"/>
        <v>#VALUE!</v>
      </c>
      <c r="LN45" s="921" t="e">
        <f t="shared" si="359"/>
        <v>#VALUE!</v>
      </c>
      <c r="LO45" s="921" t="e">
        <f t="shared" si="359"/>
        <v>#VALUE!</v>
      </c>
      <c r="LP45" s="921" t="e">
        <f t="shared" si="359"/>
        <v>#VALUE!</v>
      </c>
      <c r="LQ45" s="921" t="e">
        <f t="shared" si="359"/>
        <v>#VALUE!</v>
      </c>
      <c r="LR45" s="921" t="e">
        <f t="shared" si="359"/>
        <v>#VALUE!</v>
      </c>
      <c r="LS45" s="921" t="e">
        <f t="shared" si="359"/>
        <v>#VALUE!</v>
      </c>
      <c r="LT45" s="921" t="e">
        <f t="shared" si="359"/>
        <v>#VALUE!</v>
      </c>
      <c r="LU45" s="921" t="e">
        <f t="shared" si="359"/>
        <v>#VALUE!</v>
      </c>
      <c r="LV45" s="921" t="e">
        <f t="shared" si="359"/>
        <v>#VALUE!</v>
      </c>
      <c r="LW45" s="921" t="e">
        <f t="shared" si="359"/>
        <v>#VALUE!</v>
      </c>
      <c r="LX45" s="921" t="e">
        <f t="shared" si="359"/>
        <v>#VALUE!</v>
      </c>
      <c r="LY45" s="921" t="e">
        <f t="shared" si="359"/>
        <v>#VALUE!</v>
      </c>
      <c r="LZ45" s="921" t="e">
        <f t="shared" si="359"/>
        <v>#VALUE!</v>
      </c>
      <c r="MA45" s="921" t="e">
        <f t="shared" si="359"/>
        <v>#VALUE!</v>
      </c>
      <c r="MB45" s="921" t="e">
        <f t="shared" si="359"/>
        <v>#VALUE!</v>
      </c>
      <c r="MC45" s="921" t="e">
        <f t="shared" si="359"/>
        <v>#VALUE!</v>
      </c>
      <c r="MD45" s="921" t="e">
        <f t="shared" si="359"/>
        <v>#VALUE!</v>
      </c>
      <c r="ME45" s="921" t="e">
        <f t="shared" si="359"/>
        <v>#VALUE!</v>
      </c>
      <c r="MF45" s="921" t="e">
        <f t="shared" si="359"/>
        <v>#VALUE!</v>
      </c>
      <c r="MG45" s="921" t="e">
        <f t="shared" si="359"/>
        <v>#VALUE!</v>
      </c>
      <c r="MH45" s="921" t="e">
        <f t="shared" si="359"/>
        <v>#VALUE!</v>
      </c>
      <c r="MI45" s="921" t="e">
        <f t="shared" si="359"/>
        <v>#VALUE!</v>
      </c>
      <c r="MJ45" s="921" t="e">
        <f t="shared" si="359"/>
        <v>#VALUE!</v>
      </c>
      <c r="MK45" s="921" t="e">
        <f t="shared" si="359"/>
        <v>#VALUE!</v>
      </c>
      <c r="ML45" s="921" t="e">
        <f t="shared" si="359"/>
        <v>#VALUE!</v>
      </c>
      <c r="MM45" s="921" t="e">
        <f t="shared" si="359"/>
        <v>#VALUE!</v>
      </c>
      <c r="MN45" s="921" t="e">
        <f t="shared" si="359"/>
        <v>#VALUE!</v>
      </c>
      <c r="MO45" s="921" t="e">
        <f t="shared" si="359"/>
        <v>#VALUE!</v>
      </c>
      <c r="MP45" s="921" t="e">
        <f t="shared" si="359"/>
        <v>#VALUE!</v>
      </c>
      <c r="MQ45" s="921" t="e">
        <f t="shared" si="359"/>
        <v>#VALUE!</v>
      </c>
      <c r="MR45" s="921" t="e">
        <f t="shared" si="359"/>
        <v>#VALUE!</v>
      </c>
      <c r="MS45" s="921" t="e">
        <f t="shared" si="359"/>
        <v>#VALUE!</v>
      </c>
      <c r="MT45" s="921" t="e">
        <f t="shared" si="359"/>
        <v>#VALUE!</v>
      </c>
      <c r="MU45" s="921" t="e">
        <f t="shared" si="359"/>
        <v>#VALUE!</v>
      </c>
      <c r="MV45" s="921" t="e">
        <f t="shared" si="359"/>
        <v>#VALUE!</v>
      </c>
      <c r="MW45" s="921" t="e">
        <f t="shared" si="359"/>
        <v>#VALUE!</v>
      </c>
      <c r="MX45" s="921" t="e">
        <f t="shared" si="359"/>
        <v>#VALUE!</v>
      </c>
      <c r="MY45" s="921" t="e">
        <f t="shared" si="359"/>
        <v>#VALUE!</v>
      </c>
      <c r="MZ45" s="921" t="e">
        <f t="shared" si="359"/>
        <v>#VALUE!</v>
      </c>
      <c r="NA45" s="921" t="e">
        <f t="shared" si="359"/>
        <v>#VALUE!</v>
      </c>
      <c r="NB45" s="921" t="e">
        <f t="shared" si="359"/>
        <v>#VALUE!</v>
      </c>
      <c r="NC45" s="921" t="e">
        <f t="shared" si="359"/>
        <v>#VALUE!</v>
      </c>
      <c r="ND45" s="921" t="e">
        <f t="shared" si="359"/>
        <v>#VALUE!</v>
      </c>
      <c r="NE45" s="921" t="e">
        <f t="shared" si="359"/>
        <v>#VALUE!</v>
      </c>
      <c r="NF45" s="921" t="e">
        <f t="shared" si="359"/>
        <v>#VALUE!</v>
      </c>
      <c r="NG45" s="921" t="e">
        <f t="shared" si="359"/>
        <v>#VALUE!</v>
      </c>
      <c r="NH45" s="921" t="e">
        <f t="shared" ref="NH45:PS45" si="360">NG45+1</f>
        <v>#VALUE!</v>
      </c>
      <c r="NI45" s="921" t="e">
        <f t="shared" si="360"/>
        <v>#VALUE!</v>
      </c>
      <c r="NJ45" s="921" t="e">
        <f t="shared" si="360"/>
        <v>#VALUE!</v>
      </c>
      <c r="NK45" s="921" t="e">
        <f t="shared" si="360"/>
        <v>#VALUE!</v>
      </c>
      <c r="NL45" s="921" t="e">
        <f t="shared" si="360"/>
        <v>#VALUE!</v>
      </c>
      <c r="NM45" s="921" t="e">
        <f t="shared" si="360"/>
        <v>#VALUE!</v>
      </c>
      <c r="NN45" s="921" t="e">
        <f t="shared" si="360"/>
        <v>#VALUE!</v>
      </c>
      <c r="NO45" s="921" t="e">
        <f t="shared" si="360"/>
        <v>#VALUE!</v>
      </c>
      <c r="NP45" s="921" t="e">
        <f t="shared" si="360"/>
        <v>#VALUE!</v>
      </c>
      <c r="NQ45" s="921" t="e">
        <f t="shared" si="360"/>
        <v>#VALUE!</v>
      </c>
      <c r="NR45" s="921" t="e">
        <f t="shared" si="360"/>
        <v>#VALUE!</v>
      </c>
      <c r="NS45" s="921" t="e">
        <f t="shared" si="360"/>
        <v>#VALUE!</v>
      </c>
      <c r="NT45" s="921" t="e">
        <f t="shared" si="360"/>
        <v>#VALUE!</v>
      </c>
      <c r="NU45" s="921" t="e">
        <f t="shared" si="360"/>
        <v>#VALUE!</v>
      </c>
      <c r="NV45" s="921" t="e">
        <f t="shared" si="360"/>
        <v>#VALUE!</v>
      </c>
      <c r="NW45" s="921" t="e">
        <f t="shared" si="360"/>
        <v>#VALUE!</v>
      </c>
      <c r="NX45" s="921" t="e">
        <f t="shared" si="360"/>
        <v>#VALUE!</v>
      </c>
      <c r="NY45" s="921" t="e">
        <f t="shared" si="360"/>
        <v>#VALUE!</v>
      </c>
      <c r="NZ45" s="921" t="e">
        <f t="shared" si="360"/>
        <v>#VALUE!</v>
      </c>
      <c r="OA45" s="921" t="e">
        <f t="shared" si="360"/>
        <v>#VALUE!</v>
      </c>
      <c r="OB45" s="921" t="e">
        <f t="shared" si="360"/>
        <v>#VALUE!</v>
      </c>
      <c r="OC45" s="921" t="e">
        <f t="shared" si="360"/>
        <v>#VALUE!</v>
      </c>
      <c r="OD45" s="921" t="e">
        <f t="shared" si="360"/>
        <v>#VALUE!</v>
      </c>
      <c r="OE45" s="921" t="e">
        <f t="shared" si="360"/>
        <v>#VALUE!</v>
      </c>
      <c r="OF45" s="921" t="e">
        <f t="shared" si="360"/>
        <v>#VALUE!</v>
      </c>
      <c r="OG45" s="921" t="e">
        <f t="shared" si="360"/>
        <v>#VALUE!</v>
      </c>
      <c r="OH45" s="921" t="e">
        <f t="shared" si="360"/>
        <v>#VALUE!</v>
      </c>
      <c r="OI45" s="921" t="e">
        <f t="shared" si="360"/>
        <v>#VALUE!</v>
      </c>
      <c r="OJ45" s="921" t="e">
        <f t="shared" si="360"/>
        <v>#VALUE!</v>
      </c>
      <c r="OK45" s="921" t="e">
        <f t="shared" si="360"/>
        <v>#VALUE!</v>
      </c>
      <c r="OL45" s="921" t="e">
        <f t="shared" si="360"/>
        <v>#VALUE!</v>
      </c>
      <c r="OM45" s="921" t="e">
        <f t="shared" si="360"/>
        <v>#VALUE!</v>
      </c>
      <c r="ON45" s="921" t="e">
        <f t="shared" si="360"/>
        <v>#VALUE!</v>
      </c>
      <c r="OO45" s="921" t="e">
        <f t="shared" si="360"/>
        <v>#VALUE!</v>
      </c>
      <c r="OP45" s="921" t="e">
        <f t="shared" si="360"/>
        <v>#VALUE!</v>
      </c>
      <c r="OQ45" s="921" t="e">
        <f t="shared" si="360"/>
        <v>#VALUE!</v>
      </c>
      <c r="OR45" s="921" t="e">
        <f t="shared" si="360"/>
        <v>#VALUE!</v>
      </c>
      <c r="OS45" s="921" t="e">
        <f t="shared" si="360"/>
        <v>#VALUE!</v>
      </c>
      <c r="OT45" s="921" t="e">
        <f t="shared" si="360"/>
        <v>#VALUE!</v>
      </c>
      <c r="OU45" s="921" t="e">
        <f t="shared" si="360"/>
        <v>#VALUE!</v>
      </c>
      <c r="OV45" s="921" t="e">
        <f t="shared" si="360"/>
        <v>#VALUE!</v>
      </c>
      <c r="OW45" s="921" t="e">
        <f t="shared" si="360"/>
        <v>#VALUE!</v>
      </c>
      <c r="OX45" s="921" t="e">
        <f t="shared" si="360"/>
        <v>#VALUE!</v>
      </c>
      <c r="OY45" s="921" t="e">
        <f t="shared" si="360"/>
        <v>#VALUE!</v>
      </c>
      <c r="OZ45" s="921" t="e">
        <f t="shared" si="360"/>
        <v>#VALUE!</v>
      </c>
      <c r="PA45" s="921" t="e">
        <f t="shared" si="360"/>
        <v>#VALUE!</v>
      </c>
      <c r="PB45" s="921" t="e">
        <f t="shared" si="360"/>
        <v>#VALUE!</v>
      </c>
      <c r="PC45" s="921" t="e">
        <f t="shared" si="360"/>
        <v>#VALUE!</v>
      </c>
      <c r="PD45" s="921" t="e">
        <f t="shared" si="360"/>
        <v>#VALUE!</v>
      </c>
      <c r="PE45" s="921" t="e">
        <f t="shared" si="360"/>
        <v>#VALUE!</v>
      </c>
      <c r="PF45" s="921" t="e">
        <f t="shared" si="360"/>
        <v>#VALUE!</v>
      </c>
      <c r="PG45" s="921" t="e">
        <f t="shared" si="360"/>
        <v>#VALUE!</v>
      </c>
      <c r="PH45" s="921" t="e">
        <f t="shared" si="360"/>
        <v>#VALUE!</v>
      </c>
      <c r="PI45" s="921" t="e">
        <f t="shared" si="360"/>
        <v>#VALUE!</v>
      </c>
      <c r="PJ45" s="921" t="e">
        <f t="shared" si="360"/>
        <v>#VALUE!</v>
      </c>
      <c r="PK45" s="921" t="e">
        <f t="shared" si="360"/>
        <v>#VALUE!</v>
      </c>
      <c r="PL45" s="921" t="e">
        <f t="shared" si="360"/>
        <v>#VALUE!</v>
      </c>
      <c r="PM45" s="921" t="e">
        <f t="shared" si="360"/>
        <v>#VALUE!</v>
      </c>
      <c r="PN45" s="921" t="e">
        <f t="shared" si="360"/>
        <v>#VALUE!</v>
      </c>
      <c r="PO45" s="921" t="e">
        <f t="shared" si="360"/>
        <v>#VALUE!</v>
      </c>
      <c r="PP45" s="921" t="e">
        <f t="shared" si="360"/>
        <v>#VALUE!</v>
      </c>
      <c r="PQ45" s="921" t="e">
        <f t="shared" si="360"/>
        <v>#VALUE!</v>
      </c>
      <c r="PR45" s="921" t="e">
        <f t="shared" si="360"/>
        <v>#VALUE!</v>
      </c>
      <c r="PS45" s="921" t="e">
        <f t="shared" si="360"/>
        <v>#VALUE!</v>
      </c>
      <c r="PT45" s="921" t="e">
        <f t="shared" ref="PT45:RA45" si="361">PS45+1</f>
        <v>#VALUE!</v>
      </c>
      <c r="PU45" s="921" t="e">
        <f t="shared" si="361"/>
        <v>#VALUE!</v>
      </c>
      <c r="PV45" s="921" t="e">
        <f t="shared" si="361"/>
        <v>#VALUE!</v>
      </c>
      <c r="PW45" s="921" t="e">
        <f t="shared" si="361"/>
        <v>#VALUE!</v>
      </c>
      <c r="PX45" s="921" t="e">
        <f t="shared" si="361"/>
        <v>#VALUE!</v>
      </c>
      <c r="PY45" s="921" t="e">
        <f t="shared" si="361"/>
        <v>#VALUE!</v>
      </c>
      <c r="PZ45" s="921" t="e">
        <f t="shared" si="361"/>
        <v>#VALUE!</v>
      </c>
      <c r="QA45" s="921" t="e">
        <f t="shared" si="361"/>
        <v>#VALUE!</v>
      </c>
      <c r="QB45" s="921" t="e">
        <f t="shared" si="361"/>
        <v>#VALUE!</v>
      </c>
      <c r="QC45" s="921" t="e">
        <f t="shared" si="361"/>
        <v>#VALUE!</v>
      </c>
      <c r="QD45" s="921" t="e">
        <f t="shared" si="361"/>
        <v>#VALUE!</v>
      </c>
      <c r="QE45" s="921" t="e">
        <f t="shared" si="361"/>
        <v>#VALUE!</v>
      </c>
      <c r="QF45" s="921" t="e">
        <f t="shared" si="361"/>
        <v>#VALUE!</v>
      </c>
      <c r="QG45" s="921" t="e">
        <f t="shared" si="361"/>
        <v>#VALUE!</v>
      </c>
      <c r="QH45" s="921" t="e">
        <f t="shared" si="361"/>
        <v>#VALUE!</v>
      </c>
      <c r="QI45" s="921" t="e">
        <f t="shared" si="361"/>
        <v>#VALUE!</v>
      </c>
      <c r="QJ45" s="921" t="e">
        <f t="shared" si="361"/>
        <v>#VALUE!</v>
      </c>
      <c r="QK45" s="921" t="e">
        <f t="shared" si="361"/>
        <v>#VALUE!</v>
      </c>
      <c r="QL45" s="921" t="e">
        <f t="shared" si="361"/>
        <v>#VALUE!</v>
      </c>
      <c r="QM45" s="921" t="e">
        <f t="shared" si="361"/>
        <v>#VALUE!</v>
      </c>
      <c r="QN45" s="921" t="e">
        <f t="shared" si="361"/>
        <v>#VALUE!</v>
      </c>
      <c r="QO45" s="921" t="e">
        <f t="shared" si="361"/>
        <v>#VALUE!</v>
      </c>
      <c r="QP45" s="921" t="e">
        <f t="shared" si="361"/>
        <v>#VALUE!</v>
      </c>
      <c r="QQ45" s="921" t="e">
        <f t="shared" si="361"/>
        <v>#VALUE!</v>
      </c>
      <c r="QR45" s="921" t="e">
        <f t="shared" si="361"/>
        <v>#VALUE!</v>
      </c>
      <c r="QS45" s="921" t="e">
        <f t="shared" si="361"/>
        <v>#VALUE!</v>
      </c>
      <c r="QT45" s="921" t="e">
        <f t="shared" si="361"/>
        <v>#VALUE!</v>
      </c>
      <c r="QU45" s="921" t="e">
        <f t="shared" si="361"/>
        <v>#VALUE!</v>
      </c>
      <c r="QV45" s="921" t="e">
        <f t="shared" si="361"/>
        <v>#VALUE!</v>
      </c>
      <c r="QW45" s="921" t="e">
        <f t="shared" si="361"/>
        <v>#VALUE!</v>
      </c>
      <c r="QX45" s="921" t="e">
        <f t="shared" si="361"/>
        <v>#VALUE!</v>
      </c>
      <c r="QY45" s="921" t="e">
        <f t="shared" si="361"/>
        <v>#VALUE!</v>
      </c>
      <c r="QZ45" s="921" t="e">
        <f t="shared" si="361"/>
        <v>#VALUE!</v>
      </c>
      <c r="RA45" s="921" t="e">
        <f t="shared" si="361"/>
        <v>#VALUE!</v>
      </c>
      <c r="RB45" s="797" t="e">
        <f>IF(AND(QZ52&gt;=10,QZ53&gt;=10),QY45,QZ45)</f>
        <v>#VALUE!</v>
      </c>
    </row>
    <row r="46" spans="1:471" ht="17.25">
      <c r="A46" s="22">
        <f>A43</f>
        <v>22</v>
      </c>
      <c r="B46" s="22">
        <f>B43</f>
        <v>9</v>
      </c>
      <c r="C46" s="22">
        <f>C43</f>
        <v>1442</v>
      </c>
      <c r="D46" t="str">
        <f>D43</f>
        <v>شمسی</v>
      </c>
      <c r="E46">
        <f>E43</f>
        <v>16</v>
      </c>
      <c r="J46" s="4"/>
      <c r="K46" s="4"/>
      <c r="L46" s="4"/>
      <c r="M46" s="4"/>
      <c r="N46" s="4"/>
      <c r="O46" s="4">
        <v>31</v>
      </c>
      <c r="P46" s="4">
        <f t="shared" ref="P46:Z46" si="362">P45+O46</f>
        <v>60</v>
      </c>
      <c r="Q46" s="4">
        <f t="shared" si="362"/>
        <v>90</v>
      </c>
      <c r="R46" s="4">
        <f t="shared" si="362"/>
        <v>119</v>
      </c>
      <c r="S46" s="4">
        <f t="shared" si="362"/>
        <v>149</v>
      </c>
      <c r="T46" s="4">
        <f t="shared" si="362"/>
        <v>178</v>
      </c>
      <c r="U46" s="4">
        <f t="shared" si="362"/>
        <v>208</v>
      </c>
      <c r="V46" s="4">
        <f t="shared" si="362"/>
        <v>237</v>
      </c>
      <c r="W46" s="4">
        <f t="shared" si="362"/>
        <v>267</v>
      </c>
      <c r="X46" s="4">
        <f t="shared" si="362"/>
        <v>296</v>
      </c>
      <c r="Y46" s="4">
        <f t="shared" si="362"/>
        <v>326</v>
      </c>
      <c r="Z46" s="4">
        <f t="shared" si="362"/>
        <v>355</v>
      </c>
      <c r="AA46" s="4"/>
      <c r="AK46" s="759" t="s">
        <v>3556</v>
      </c>
      <c r="AL46" s="701" t="e">
        <f>[1]!qsn([1]!ml(AL45),AL44)/30</f>
        <v>#VALUE!</v>
      </c>
      <c r="AM46" s="304" t="e">
        <f>[1]!qsn([1]!ml(AM45),AM44)/30</f>
        <v>#VALUE!</v>
      </c>
      <c r="AN46" s="304" t="e">
        <f>[1]!qsn([1]!ml(AN45),AN44)/30</f>
        <v>#VALUE!</v>
      </c>
      <c r="AO46" s="304" t="e">
        <f>[1]!qsn([1]!ml(AO45),AO44)/30</f>
        <v>#VALUE!</v>
      </c>
      <c r="AP46" s="304" t="e">
        <f>[1]!qsn([1]!ml(AP45),AP44)/30</f>
        <v>#VALUE!</v>
      </c>
      <c r="AQ46" s="304" t="e">
        <f>[1]!qsn([1]!ml(AQ45),AQ44)/30</f>
        <v>#VALUE!</v>
      </c>
      <c r="AR46" s="304" t="e">
        <f>[1]!qsn([1]!ml(AR45),AR44)/30</f>
        <v>#VALUE!</v>
      </c>
      <c r="AS46" s="304" t="e">
        <f>[1]!qsn([1]!ml(AS45),AS44)/30</f>
        <v>#VALUE!</v>
      </c>
      <c r="AT46" s="304" t="e">
        <f>[1]!qsn([1]!ml(AT45),AT44)/30</f>
        <v>#VALUE!</v>
      </c>
      <c r="AU46" s="304" t="e">
        <f>[1]!qsn([1]!ml(AU45),AU44)/30</f>
        <v>#VALUE!</v>
      </c>
      <c r="AV46" s="304" t="e">
        <f>[1]!qsn([1]!ml(AV45),AV44)/30</f>
        <v>#VALUE!</v>
      </c>
      <c r="AW46" s="314" t="e">
        <f>[1]!qsn([1]!ml(AW45),AW44)/30</f>
        <v>#VALUE!</v>
      </c>
      <c r="AX46" s="314"/>
      <c r="DB46" s="797"/>
      <c r="DC46" s="797"/>
      <c r="DD46" s="961">
        <f>[1]!mbtool(2,17,0,1)</f>
        <v>9.5138888888888884E-2</v>
      </c>
      <c r="DH46" s="797"/>
      <c r="DI46" s="797"/>
      <c r="DJ46" s="961">
        <f>[1]!mbtool(2,17,0,1)</f>
        <v>9.5138888888888884E-2</v>
      </c>
      <c r="DK46" s="962">
        <f>[1]!mbtool(2,17,0,1)</f>
        <v>9.5138888888888884E-2</v>
      </c>
      <c r="DL46" s="962">
        <f>[1]!mbtool(2,17,0,1)</f>
        <v>9.5138888888888884E-2</v>
      </c>
      <c r="DM46" s="962">
        <f>[1]!mbtool(2,17,0,1)</f>
        <v>9.5138888888888884E-2</v>
      </c>
      <c r="DN46" s="962">
        <f>[1]!mbtool(2,17,0,1)</f>
        <v>9.5138888888888884E-2</v>
      </c>
      <c r="DO46" s="962">
        <f>[1]!mbtool(2,17,0,1)</f>
        <v>9.5138888888888884E-2</v>
      </c>
      <c r="DP46" s="962">
        <f>[1]!mbtool(2,17,0,1)</f>
        <v>9.5138888888888884E-2</v>
      </c>
      <c r="DQ46" s="962">
        <f>[1]!mbtool(2,17,0,1)</f>
        <v>9.5138888888888884E-2</v>
      </c>
      <c r="DR46" s="962">
        <f>[1]!mbtool(2,17,0,1)</f>
        <v>9.5138888888888884E-2</v>
      </c>
      <c r="DS46" s="962">
        <f>[1]!mbtool(2,17,0,1)</f>
        <v>9.5138888888888884E-2</v>
      </c>
      <c r="DT46" s="962">
        <f>[1]!mbtool(2,17,0,1)</f>
        <v>9.5138888888888884E-2</v>
      </c>
      <c r="DU46" s="962">
        <f>[1]!mbtool(2,17,0,1)</f>
        <v>9.5138888888888884E-2</v>
      </c>
      <c r="DV46" s="962">
        <f>[1]!mbtool(2,17,0,1)</f>
        <v>9.5138888888888884E-2</v>
      </c>
      <c r="DW46" s="962">
        <f>[1]!mbtool(2,17,0,1)</f>
        <v>9.5138888888888884E-2</v>
      </c>
      <c r="DX46" s="962">
        <f>[1]!mbtool(2,17,0,1)</f>
        <v>9.5138888888888884E-2</v>
      </c>
      <c r="DY46" s="962">
        <f>[1]!mbtool(2,17,0,1)</f>
        <v>9.5138888888888884E-2</v>
      </c>
      <c r="DZ46" s="962">
        <f>[1]!mbtool(2,17,0,1)</f>
        <v>9.5138888888888884E-2</v>
      </c>
      <c r="EA46" s="962">
        <f>[1]!mbtool(2,17,0,1)</f>
        <v>9.5138888888888884E-2</v>
      </c>
      <c r="EB46" s="962">
        <f>[1]!mbtool(2,17,0,1)</f>
        <v>9.5138888888888884E-2</v>
      </c>
      <c r="EC46" s="962">
        <f>[1]!mbtool(2,17,0,1)</f>
        <v>9.5138888888888884E-2</v>
      </c>
      <c r="ED46" s="962">
        <f>[1]!mbtool(2,17,0,1)</f>
        <v>9.5138888888888884E-2</v>
      </c>
      <c r="EE46" s="962">
        <f>[1]!mbtool(2,17,0,1)</f>
        <v>9.5138888888888884E-2</v>
      </c>
      <c r="EF46" s="962">
        <f>[1]!mbtool(2,17,0,1)</f>
        <v>9.5138888888888884E-2</v>
      </c>
      <c r="EG46" s="962">
        <f>[1]!mbtool(2,17,0,1)</f>
        <v>9.5138888888888884E-2</v>
      </c>
      <c r="EH46" s="962">
        <f>[1]!mbtool(2,17,0,1)</f>
        <v>9.5138888888888884E-2</v>
      </c>
      <c r="EI46" s="962">
        <f>[1]!mbtool(2,17,0,1)</f>
        <v>9.5138888888888884E-2</v>
      </c>
      <c r="EJ46" s="962">
        <f>[1]!mbtool(2,17,0,1)</f>
        <v>9.5138888888888884E-2</v>
      </c>
      <c r="EK46" s="962">
        <f>[1]!mbtool(2,17,0,1)</f>
        <v>9.5138888888888884E-2</v>
      </c>
      <c r="EL46" s="962">
        <f>[1]!mbtool(2,17,0,1)</f>
        <v>9.5138888888888884E-2</v>
      </c>
      <c r="EM46" s="962">
        <f>[1]!mbtool(2,17,0,1)</f>
        <v>9.5138888888888884E-2</v>
      </c>
      <c r="EN46" s="962">
        <f>[1]!mbtool(2,17,0,1)</f>
        <v>9.5138888888888884E-2</v>
      </c>
      <c r="EO46" s="962">
        <f>[1]!mbtool(2,17,0,1)</f>
        <v>9.5138888888888884E-2</v>
      </c>
      <c r="EP46" s="962">
        <f>[1]!mbtool(2,17,0,1)</f>
        <v>9.5138888888888884E-2</v>
      </c>
      <c r="EQ46" s="962">
        <f>[1]!mbtool(2,17,0,1)</f>
        <v>9.5138888888888884E-2</v>
      </c>
      <c r="ER46" s="962">
        <f>[1]!mbtool(2,17,0,1)</f>
        <v>9.5138888888888884E-2</v>
      </c>
      <c r="ES46" s="962">
        <f>[1]!mbtool(2,17,0,1)</f>
        <v>9.5138888888888884E-2</v>
      </c>
      <c r="ET46" s="962">
        <f>[1]!mbtool(2,17,0,1)</f>
        <v>9.5138888888888884E-2</v>
      </c>
      <c r="EU46" s="962">
        <f>[1]!mbtool(2,17,0,1)</f>
        <v>9.5138888888888884E-2</v>
      </c>
      <c r="EV46" s="962">
        <f>[1]!mbtool(2,17,0,1)</f>
        <v>9.5138888888888884E-2</v>
      </c>
      <c r="EW46" s="962">
        <f>[1]!mbtool(2,17,0,1)</f>
        <v>9.5138888888888884E-2</v>
      </c>
      <c r="EX46" s="962">
        <f>[1]!mbtool(2,17,0,1)</f>
        <v>9.5138888888888884E-2</v>
      </c>
      <c r="EY46" s="962">
        <f>[1]!mbtool(2,17,0,1)</f>
        <v>9.5138888888888884E-2</v>
      </c>
      <c r="EZ46" s="962">
        <f>[1]!mbtool(2,17,0,1)</f>
        <v>9.5138888888888884E-2</v>
      </c>
      <c r="FA46" s="962">
        <f>[1]!mbtool(2,17,0,1)</f>
        <v>9.5138888888888884E-2</v>
      </c>
      <c r="FB46" s="962">
        <f>[1]!mbtool(2,17,0,1)</f>
        <v>9.5138888888888884E-2</v>
      </c>
      <c r="FC46" s="962">
        <f>[1]!mbtool(2,17,0,1)</f>
        <v>9.5138888888888884E-2</v>
      </c>
      <c r="FD46" s="962">
        <f>[1]!mbtool(2,17,0,1)</f>
        <v>9.5138888888888884E-2</v>
      </c>
      <c r="FE46" s="962">
        <f>[1]!mbtool(2,17,0,1)</f>
        <v>9.5138888888888884E-2</v>
      </c>
      <c r="FF46" s="962">
        <f>[1]!mbtool(2,17,0,1)</f>
        <v>9.5138888888888884E-2</v>
      </c>
      <c r="FG46" s="962">
        <f>[1]!mbtool(2,17,0,1)</f>
        <v>9.5138888888888884E-2</v>
      </c>
      <c r="FH46" s="962">
        <f>[1]!mbtool(2,17,0,1)</f>
        <v>9.5138888888888884E-2</v>
      </c>
      <c r="FI46" s="962">
        <f>[1]!mbtool(2,17,0,1)</f>
        <v>9.5138888888888884E-2</v>
      </c>
      <c r="FJ46" s="962">
        <f>[1]!mbtool(2,17,0,1)</f>
        <v>9.5138888888888884E-2</v>
      </c>
      <c r="FK46" s="962">
        <f>[1]!mbtool(2,17,0,1)</f>
        <v>9.5138888888888884E-2</v>
      </c>
      <c r="FL46" s="962">
        <f>[1]!mbtool(2,17,0,1)</f>
        <v>9.5138888888888884E-2</v>
      </c>
      <c r="FM46" s="962">
        <f>[1]!mbtool(2,17,0,1)</f>
        <v>9.5138888888888884E-2</v>
      </c>
      <c r="FN46" s="962">
        <f>[1]!mbtool(2,17,0,1)</f>
        <v>9.5138888888888884E-2</v>
      </c>
      <c r="FO46" s="962">
        <f>[1]!mbtool(2,17,0,1)</f>
        <v>9.5138888888888884E-2</v>
      </c>
      <c r="FP46" s="962">
        <f>[1]!mbtool(2,17,0,1)</f>
        <v>9.5138888888888884E-2</v>
      </c>
      <c r="FQ46" s="962">
        <f>[1]!mbtool(2,17,0,1)</f>
        <v>9.5138888888888884E-2</v>
      </c>
      <c r="FR46" s="962">
        <f>[1]!mbtool(2,17,0,1)</f>
        <v>9.5138888888888884E-2</v>
      </c>
      <c r="FS46" s="962">
        <f>[1]!mbtool(2,17,0,1)</f>
        <v>9.5138888888888884E-2</v>
      </c>
      <c r="FT46" s="962">
        <f>[1]!mbtool(2,17,0,1)</f>
        <v>9.5138888888888884E-2</v>
      </c>
      <c r="FU46" s="962">
        <f>[1]!mbtool(2,17,0,1)</f>
        <v>9.5138888888888884E-2</v>
      </c>
      <c r="FV46" s="962">
        <f>[1]!mbtool(2,17,0,1)</f>
        <v>9.5138888888888884E-2</v>
      </c>
      <c r="FW46" s="962">
        <f>[1]!mbtool(2,17,0,1)</f>
        <v>9.5138888888888884E-2</v>
      </c>
      <c r="FX46" s="962">
        <f>[1]!mbtool(2,17,0,1)</f>
        <v>9.5138888888888884E-2</v>
      </c>
      <c r="FY46" s="962">
        <f>[1]!mbtool(2,17,0,1)</f>
        <v>9.5138888888888884E-2</v>
      </c>
      <c r="FZ46" s="962">
        <f>[1]!mbtool(2,17,0,1)</f>
        <v>9.5138888888888884E-2</v>
      </c>
      <c r="GA46" s="962">
        <f>[1]!mbtool(2,17,0,1)</f>
        <v>9.5138888888888884E-2</v>
      </c>
      <c r="GB46" s="962">
        <f>[1]!mbtool(2,17,0,1)</f>
        <v>9.5138888888888884E-2</v>
      </c>
      <c r="GC46" s="962">
        <f>[1]!mbtool(2,17,0,1)</f>
        <v>9.5138888888888884E-2</v>
      </c>
      <c r="GD46" s="962">
        <f>[1]!mbtool(2,17,0,1)</f>
        <v>9.5138888888888884E-2</v>
      </c>
      <c r="GE46" s="962">
        <f>[1]!mbtool(2,17,0,1)</f>
        <v>9.5138888888888884E-2</v>
      </c>
      <c r="GF46" s="962">
        <f>[1]!mbtool(2,17,0,1)</f>
        <v>9.5138888888888884E-2</v>
      </c>
      <c r="GG46" s="962">
        <f>[1]!mbtool(2,17,0,1)</f>
        <v>9.5138888888888884E-2</v>
      </c>
      <c r="GH46" s="962">
        <f>[1]!mbtool(2,17,0,1)</f>
        <v>9.5138888888888884E-2</v>
      </c>
      <c r="GI46" s="962">
        <f>[1]!mbtool(2,17,0,1)</f>
        <v>9.5138888888888884E-2</v>
      </c>
      <c r="GJ46" s="962">
        <f>[1]!mbtool(2,17,0,1)</f>
        <v>9.5138888888888884E-2</v>
      </c>
      <c r="GK46" s="962">
        <f>[1]!mbtool(2,17,0,1)</f>
        <v>9.5138888888888884E-2</v>
      </c>
      <c r="GL46" s="962">
        <f>[1]!mbtool(2,17,0,1)</f>
        <v>9.5138888888888884E-2</v>
      </c>
      <c r="GM46" s="962">
        <f>[1]!mbtool(2,17,0,1)</f>
        <v>9.5138888888888884E-2</v>
      </c>
      <c r="GN46" s="962">
        <f>[1]!mbtool(2,17,0,1)</f>
        <v>9.5138888888888884E-2</v>
      </c>
      <c r="GO46" s="962">
        <f>[1]!mbtool(2,17,0,1)</f>
        <v>9.5138888888888884E-2</v>
      </c>
      <c r="GP46" s="962">
        <f>[1]!mbtool(2,17,0,1)</f>
        <v>9.5138888888888884E-2</v>
      </c>
      <c r="GQ46" s="962">
        <f>[1]!mbtool(2,17,0,1)</f>
        <v>9.5138888888888884E-2</v>
      </c>
      <c r="GR46" s="962">
        <f>[1]!mbtool(2,17,0,1)</f>
        <v>9.5138888888888884E-2</v>
      </c>
      <c r="GS46" s="962">
        <f>[1]!mbtool(2,17,0,1)</f>
        <v>9.5138888888888884E-2</v>
      </c>
      <c r="GT46" s="962">
        <f>[1]!mbtool(2,17,0,1)</f>
        <v>9.5138888888888884E-2</v>
      </c>
      <c r="GU46" s="962">
        <f>[1]!mbtool(2,17,0,1)</f>
        <v>9.5138888888888884E-2</v>
      </c>
      <c r="GV46" s="962">
        <f>[1]!mbtool(2,17,0,1)</f>
        <v>9.5138888888888884E-2</v>
      </c>
      <c r="GW46" s="962">
        <f>[1]!mbtool(2,17,0,1)</f>
        <v>9.5138888888888884E-2</v>
      </c>
      <c r="GX46" s="962">
        <f>[1]!mbtool(2,17,0,1)</f>
        <v>9.5138888888888884E-2</v>
      </c>
      <c r="GY46" s="962">
        <f>[1]!mbtool(2,17,0,1)</f>
        <v>9.5138888888888884E-2</v>
      </c>
      <c r="GZ46" s="962">
        <f>[1]!mbtool(2,17,0,1)</f>
        <v>9.5138888888888884E-2</v>
      </c>
      <c r="HA46" s="962">
        <f>[1]!mbtool(2,17,0,1)</f>
        <v>9.5138888888888884E-2</v>
      </c>
      <c r="HB46" s="962">
        <f>[1]!mbtool(2,17,0,1)</f>
        <v>9.5138888888888884E-2</v>
      </c>
      <c r="HC46" s="962">
        <f>[1]!mbtool(2,17,0,1)</f>
        <v>9.5138888888888884E-2</v>
      </c>
      <c r="HD46" s="962">
        <f>[1]!mbtool(2,17,0,1)</f>
        <v>9.5138888888888884E-2</v>
      </c>
      <c r="HE46" s="962">
        <f>[1]!mbtool(2,17,0,1)</f>
        <v>9.5138888888888884E-2</v>
      </c>
      <c r="HF46" s="962">
        <f>[1]!mbtool(2,17,0,1)</f>
        <v>9.5138888888888884E-2</v>
      </c>
      <c r="HG46" s="962">
        <f>[1]!mbtool(2,17,0,1)</f>
        <v>9.5138888888888884E-2</v>
      </c>
      <c r="HH46" s="962">
        <f>[1]!mbtool(2,17,0,1)</f>
        <v>9.5138888888888884E-2</v>
      </c>
      <c r="HI46" s="962">
        <f>[1]!mbtool(2,17,0,1)</f>
        <v>9.5138888888888884E-2</v>
      </c>
      <c r="HJ46" s="962">
        <f>[1]!mbtool(2,17,0,1)</f>
        <v>9.5138888888888884E-2</v>
      </c>
      <c r="HK46" s="962">
        <f>[1]!mbtool(2,17,0,1)</f>
        <v>9.5138888888888884E-2</v>
      </c>
      <c r="HL46" s="962">
        <f>[1]!mbtool(2,17,0,1)</f>
        <v>9.5138888888888884E-2</v>
      </c>
      <c r="HM46" s="962">
        <f>[1]!mbtool(2,17,0,1)</f>
        <v>9.5138888888888884E-2</v>
      </c>
      <c r="HN46" s="962">
        <f>[1]!mbtool(2,17,0,1)</f>
        <v>9.5138888888888884E-2</v>
      </c>
      <c r="HO46" s="962">
        <f>[1]!mbtool(2,17,0,1)</f>
        <v>9.5138888888888884E-2</v>
      </c>
      <c r="HP46" s="962">
        <f>[1]!mbtool(2,17,0,1)</f>
        <v>9.5138888888888884E-2</v>
      </c>
      <c r="HQ46" s="962">
        <f>[1]!mbtool(2,17,0,1)</f>
        <v>9.5138888888888884E-2</v>
      </c>
      <c r="HR46" s="962">
        <f>[1]!mbtool(2,17,0,1)</f>
        <v>9.5138888888888884E-2</v>
      </c>
      <c r="HS46" s="962">
        <f>[1]!mbtool(2,17,0,1)</f>
        <v>9.5138888888888884E-2</v>
      </c>
      <c r="HT46" s="962">
        <f>[1]!mbtool(2,17,0,1)</f>
        <v>9.5138888888888884E-2</v>
      </c>
      <c r="HU46" s="962">
        <f>[1]!mbtool(2,17,0,1)</f>
        <v>9.5138888888888884E-2</v>
      </c>
      <c r="HV46" s="962">
        <f>[1]!mbtool(2,17,0,1)</f>
        <v>9.5138888888888884E-2</v>
      </c>
      <c r="HW46" s="962">
        <f>[1]!mbtool(2,17,0,1)</f>
        <v>9.5138888888888884E-2</v>
      </c>
      <c r="HX46" s="962">
        <f>[1]!mbtool(2,17,0,1)</f>
        <v>9.5138888888888884E-2</v>
      </c>
      <c r="HY46" s="962">
        <f>[1]!mbtool(2,17,0,1)</f>
        <v>9.5138888888888884E-2</v>
      </c>
      <c r="HZ46" s="962">
        <f>[1]!mbtool(2,17,0,1)</f>
        <v>9.5138888888888884E-2</v>
      </c>
      <c r="IA46" s="962">
        <f>[1]!mbtool(2,17,0,1)</f>
        <v>9.5138888888888884E-2</v>
      </c>
      <c r="IB46" s="962">
        <f>[1]!mbtool(2,17,0,1)</f>
        <v>9.5138888888888884E-2</v>
      </c>
      <c r="IC46" s="962">
        <f>[1]!mbtool(2,17,0,1)</f>
        <v>9.5138888888888884E-2</v>
      </c>
      <c r="ID46" s="962">
        <f>[1]!mbtool(2,17,0,1)</f>
        <v>9.5138888888888884E-2</v>
      </c>
      <c r="IE46" s="962">
        <f>[1]!mbtool(2,17,0,1)</f>
        <v>9.5138888888888884E-2</v>
      </c>
      <c r="IF46" s="962">
        <f>[1]!mbtool(2,17,0,1)</f>
        <v>9.5138888888888884E-2</v>
      </c>
      <c r="IG46" s="962">
        <f>[1]!mbtool(2,17,0,1)</f>
        <v>9.5138888888888884E-2</v>
      </c>
      <c r="IH46" s="962">
        <f>[1]!mbtool(2,17,0,1)</f>
        <v>9.5138888888888884E-2</v>
      </c>
      <c r="II46" s="962">
        <f>[1]!mbtool(2,17,0,1)</f>
        <v>9.5138888888888884E-2</v>
      </c>
      <c r="IJ46" s="962">
        <f>[1]!mbtool(2,17,0,1)</f>
        <v>9.5138888888888884E-2</v>
      </c>
      <c r="IK46" s="962">
        <f>[1]!mbtool(2,17,0,1)</f>
        <v>9.5138888888888884E-2</v>
      </c>
      <c r="IL46" s="962">
        <f>[1]!mbtool(2,17,0,1)</f>
        <v>9.5138888888888884E-2</v>
      </c>
      <c r="IM46" s="962">
        <f>[1]!mbtool(2,17,0,1)</f>
        <v>9.5138888888888884E-2</v>
      </c>
      <c r="IN46" s="962">
        <f>[1]!mbtool(2,17,0,1)</f>
        <v>9.5138888888888884E-2</v>
      </c>
      <c r="IO46" s="962">
        <f>[1]!mbtool(2,17,0,1)</f>
        <v>9.5138888888888884E-2</v>
      </c>
      <c r="IP46" s="962">
        <f>[1]!mbtool(2,17,0,1)</f>
        <v>9.5138888888888884E-2</v>
      </c>
      <c r="IQ46" s="962">
        <f>[1]!mbtool(2,17,0,1)</f>
        <v>9.5138888888888884E-2</v>
      </c>
      <c r="IR46" s="962">
        <f>[1]!mbtool(2,17,0,1)</f>
        <v>9.5138888888888884E-2</v>
      </c>
      <c r="IS46" s="962">
        <f>[1]!mbtool(2,17,0,1)</f>
        <v>9.5138888888888884E-2</v>
      </c>
      <c r="IT46" s="962">
        <f>[1]!mbtool(2,17,0,1)</f>
        <v>9.5138888888888884E-2</v>
      </c>
      <c r="IU46" s="962">
        <f>[1]!mbtool(2,17,0,1)</f>
        <v>9.5138888888888884E-2</v>
      </c>
      <c r="IV46" s="962">
        <f>[1]!mbtool(2,17,0,1)</f>
        <v>9.5138888888888884E-2</v>
      </c>
      <c r="IW46" s="962">
        <f>[1]!mbtool(2,17,0,1)</f>
        <v>9.5138888888888884E-2</v>
      </c>
      <c r="IX46" s="962">
        <f>[1]!mbtool(2,17,0,1)</f>
        <v>9.5138888888888884E-2</v>
      </c>
      <c r="IY46" s="962">
        <f>[1]!mbtool(2,17,0,1)</f>
        <v>9.5138888888888884E-2</v>
      </c>
      <c r="IZ46" s="962">
        <f>[1]!mbtool(2,17,0,1)</f>
        <v>9.5138888888888884E-2</v>
      </c>
      <c r="JA46" s="962">
        <f>[1]!mbtool(2,17,0,1)</f>
        <v>9.5138888888888884E-2</v>
      </c>
      <c r="JB46" s="962">
        <f>[1]!mbtool(2,17,0,1)</f>
        <v>9.5138888888888884E-2</v>
      </c>
      <c r="JC46" s="962">
        <f>[1]!mbtool(2,17,0,1)</f>
        <v>9.5138888888888884E-2</v>
      </c>
      <c r="JD46" s="962">
        <f>[1]!mbtool(2,17,0,1)</f>
        <v>9.5138888888888884E-2</v>
      </c>
      <c r="JE46" s="962">
        <f>[1]!mbtool(2,17,0,1)</f>
        <v>9.5138888888888884E-2</v>
      </c>
      <c r="JF46" s="962">
        <f>[1]!mbtool(2,17,0,1)</f>
        <v>9.5138888888888884E-2</v>
      </c>
      <c r="JG46" s="962">
        <f>[1]!mbtool(2,17,0,1)</f>
        <v>9.5138888888888884E-2</v>
      </c>
      <c r="JH46" s="962">
        <f>[1]!mbtool(2,17,0,1)</f>
        <v>9.5138888888888884E-2</v>
      </c>
      <c r="JI46" s="962">
        <f>[1]!mbtool(2,17,0,1)</f>
        <v>9.5138888888888884E-2</v>
      </c>
      <c r="JJ46" s="962">
        <f>[1]!mbtool(2,17,0,1)</f>
        <v>9.5138888888888884E-2</v>
      </c>
      <c r="JK46" s="962">
        <f>[1]!mbtool(2,17,0,1)</f>
        <v>9.5138888888888884E-2</v>
      </c>
      <c r="JL46" s="962">
        <f>[1]!mbtool(2,17,0,1)</f>
        <v>9.5138888888888884E-2</v>
      </c>
      <c r="JM46" s="962">
        <f>[1]!mbtool(2,17,0,1)</f>
        <v>9.5138888888888884E-2</v>
      </c>
      <c r="JN46" s="962">
        <f>[1]!mbtool(2,17,0,1)</f>
        <v>9.5138888888888884E-2</v>
      </c>
      <c r="JO46" s="962">
        <f>[1]!mbtool(2,17,0,1)</f>
        <v>9.5138888888888884E-2</v>
      </c>
      <c r="JP46" s="962">
        <f>[1]!mbtool(2,17,0,1)</f>
        <v>9.5138888888888884E-2</v>
      </c>
      <c r="JQ46" s="962">
        <f>[1]!mbtool(2,17,0,1)</f>
        <v>9.5138888888888884E-2</v>
      </c>
      <c r="JR46" s="962">
        <f>[1]!mbtool(2,17,0,1)</f>
        <v>9.5138888888888884E-2</v>
      </c>
      <c r="JS46" s="962">
        <f>[1]!mbtool(2,17,0,1)</f>
        <v>9.5138888888888884E-2</v>
      </c>
      <c r="JT46" s="962">
        <f>[1]!mbtool(2,17,0,1)</f>
        <v>9.5138888888888884E-2</v>
      </c>
      <c r="JU46" s="962">
        <f>[1]!mbtool(2,17,0,1)</f>
        <v>9.5138888888888884E-2</v>
      </c>
      <c r="JV46" s="962">
        <f>[1]!mbtool(2,17,0,1)</f>
        <v>9.5138888888888884E-2</v>
      </c>
      <c r="JW46" s="962">
        <f>[1]!mbtool(2,17,0,1)</f>
        <v>9.5138888888888884E-2</v>
      </c>
      <c r="JX46" s="962">
        <f>[1]!mbtool(2,17,0,1)</f>
        <v>9.5138888888888884E-2</v>
      </c>
      <c r="JY46" s="962">
        <f>[1]!mbtool(2,17,0,1)</f>
        <v>9.5138888888888884E-2</v>
      </c>
      <c r="JZ46" s="962">
        <f>[1]!mbtool(2,17,0,1)</f>
        <v>9.5138888888888884E-2</v>
      </c>
      <c r="KA46" s="962">
        <f>[1]!mbtool(2,17,0,1)</f>
        <v>9.5138888888888884E-2</v>
      </c>
      <c r="KB46" s="962">
        <f>[1]!mbtool(2,17,0,1)</f>
        <v>9.5138888888888884E-2</v>
      </c>
      <c r="KC46" s="962">
        <f>[1]!mbtool(2,17,0,1)</f>
        <v>9.5138888888888884E-2</v>
      </c>
      <c r="KD46" s="962">
        <f>[1]!mbtool(2,17,0,1)</f>
        <v>9.5138888888888884E-2</v>
      </c>
      <c r="KE46" s="962">
        <f>[1]!mbtool(2,17,0,1)</f>
        <v>9.5138888888888884E-2</v>
      </c>
      <c r="KF46" s="962">
        <f>[1]!mbtool(2,17,0,1)</f>
        <v>9.5138888888888884E-2</v>
      </c>
      <c r="KG46" s="962">
        <f>[1]!mbtool(2,17,0,1)</f>
        <v>9.5138888888888884E-2</v>
      </c>
      <c r="KH46" s="962">
        <f>[1]!mbtool(2,17,0,1)</f>
        <v>9.5138888888888884E-2</v>
      </c>
      <c r="KI46" s="962">
        <f>[1]!mbtool(2,17,0,1)</f>
        <v>9.5138888888888884E-2</v>
      </c>
      <c r="KJ46" s="962">
        <f>[1]!mbtool(2,17,0,1)</f>
        <v>9.5138888888888884E-2</v>
      </c>
      <c r="KK46" s="962">
        <f>[1]!mbtool(2,17,0,1)</f>
        <v>9.5138888888888884E-2</v>
      </c>
      <c r="KL46" s="962">
        <f>[1]!mbtool(2,17,0,1)</f>
        <v>9.5138888888888884E-2</v>
      </c>
      <c r="KM46" s="962">
        <f>[1]!mbtool(2,17,0,1)</f>
        <v>9.5138888888888884E-2</v>
      </c>
      <c r="KN46" s="962">
        <f>[1]!mbtool(2,17,0,1)</f>
        <v>9.5138888888888884E-2</v>
      </c>
      <c r="KO46" s="962">
        <f>[1]!mbtool(2,17,0,1)</f>
        <v>9.5138888888888884E-2</v>
      </c>
      <c r="KP46" s="962">
        <f>[1]!mbtool(2,17,0,1)</f>
        <v>9.5138888888888884E-2</v>
      </c>
      <c r="KQ46" s="962">
        <f>[1]!mbtool(2,17,0,1)</f>
        <v>9.5138888888888884E-2</v>
      </c>
      <c r="KR46" s="962">
        <f>[1]!mbtool(2,17,0,1)</f>
        <v>9.5138888888888884E-2</v>
      </c>
      <c r="KS46" s="962">
        <f>[1]!mbtool(2,17,0,1)</f>
        <v>9.5138888888888884E-2</v>
      </c>
      <c r="KT46" s="962">
        <f>[1]!mbtool(2,17,0,1)</f>
        <v>9.5138888888888884E-2</v>
      </c>
      <c r="KU46" s="962">
        <f>[1]!mbtool(2,17,0,1)</f>
        <v>9.5138888888888884E-2</v>
      </c>
      <c r="KV46" s="962">
        <f>[1]!mbtool(2,17,0,1)</f>
        <v>9.5138888888888884E-2</v>
      </c>
      <c r="KW46" s="962">
        <f>[1]!mbtool(2,17,0,1)</f>
        <v>9.5138888888888884E-2</v>
      </c>
      <c r="KX46" s="962">
        <f>[1]!mbtool(2,17,0,1)</f>
        <v>9.5138888888888884E-2</v>
      </c>
      <c r="KY46" s="962">
        <f>[1]!mbtool(2,17,0,1)</f>
        <v>9.5138888888888884E-2</v>
      </c>
      <c r="KZ46" s="962">
        <f>[1]!mbtool(2,17,0,1)</f>
        <v>9.5138888888888884E-2</v>
      </c>
      <c r="LA46" s="962">
        <f>[1]!mbtool(2,17,0,1)</f>
        <v>9.5138888888888884E-2</v>
      </c>
      <c r="LB46" s="962">
        <f>[1]!mbtool(2,17,0,1)</f>
        <v>9.5138888888888884E-2</v>
      </c>
      <c r="LC46" s="962">
        <f>[1]!mbtool(2,17,0,1)</f>
        <v>9.5138888888888884E-2</v>
      </c>
      <c r="LD46" s="962">
        <f>[1]!mbtool(2,17,0,1)</f>
        <v>9.5138888888888884E-2</v>
      </c>
      <c r="LE46" s="962">
        <f>[1]!mbtool(2,17,0,1)</f>
        <v>9.5138888888888884E-2</v>
      </c>
      <c r="LF46" s="962">
        <f>[1]!mbtool(2,17,0,1)</f>
        <v>9.5138888888888884E-2</v>
      </c>
      <c r="LG46" s="962">
        <f>[1]!mbtool(2,17,0,1)</f>
        <v>9.5138888888888884E-2</v>
      </c>
      <c r="LH46" s="962">
        <f>[1]!mbtool(2,17,0,1)</f>
        <v>9.5138888888888884E-2</v>
      </c>
      <c r="LI46" s="962">
        <f>[1]!mbtool(2,17,0,1)</f>
        <v>9.5138888888888884E-2</v>
      </c>
      <c r="LJ46" s="962">
        <f>[1]!mbtool(2,17,0,1)</f>
        <v>9.5138888888888884E-2</v>
      </c>
      <c r="LK46" s="962">
        <f>[1]!mbtool(2,17,0,1)</f>
        <v>9.5138888888888884E-2</v>
      </c>
      <c r="LL46" s="962">
        <f>[1]!mbtool(2,17,0,1)</f>
        <v>9.5138888888888884E-2</v>
      </c>
      <c r="LM46" s="962">
        <f>[1]!mbtool(2,17,0,1)</f>
        <v>9.5138888888888884E-2</v>
      </c>
      <c r="LN46" s="962">
        <f>[1]!mbtool(2,17,0,1)</f>
        <v>9.5138888888888884E-2</v>
      </c>
      <c r="LO46" s="962">
        <f>[1]!mbtool(2,17,0,1)</f>
        <v>9.5138888888888884E-2</v>
      </c>
      <c r="LP46" s="962">
        <f>[1]!mbtool(2,17,0,1)</f>
        <v>9.5138888888888884E-2</v>
      </c>
      <c r="LQ46" s="962">
        <f>[1]!mbtool(2,17,0,1)</f>
        <v>9.5138888888888884E-2</v>
      </c>
      <c r="LR46" s="962">
        <f>[1]!mbtool(2,17,0,1)</f>
        <v>9.5138888888888884E-2</v>
      </c>
      <c r="LS46" s="962">
        <f>[1]!mbtool(2,17,0,1)</f>
        <v>9.5138888888888884E-2</v>
      </c>
      <c r="LT46" s="962">
        <f>[1]!mbtool(2,17,0,1)</f>
        <v>9.5138888888888884E-2</v>
      </c>
      <c r="LU46" s="962">
        <f>[1]!mbtool(2,17,0,1)</f>
        <v>9.5138888888888884E-2</v>
      </c>
      <c r="LV46" s="962">
        <f>[1]!mbtool(2,17,0,1)</f>
        <v>9.5138888888888884E-2</v>
      </c>
      <c r="LW46" s="962">
        <f>[1]!mbtool(2,17,0,1)</f>
        <v>9.5138888888888884E-2</v>
      </c>
      <c r="LX46" s="962">
        <f>[1]!mbtool(2,17,0,1)</f>
        <v>9.5138888888888884E-2</v>
      </c>
      <c r="LY46" s="962">
        <f>[1]!mbtool(2,17,0,1)</f>
        <v>9.5138888888888884E-2</v>
      </c>
      <c r="LZ46" s="962">
        <f>[1]!mbtool(2,17,0,1)</f>
        <v>9.5138888888888884E-2</v>
      </c>
      <c r="MA46" s="962">
        <f>[1]!mbtool(2,17,0,1)</f>
        <v>9.5138888888888884E-2</v>
      </c>
      <c r="MB46" s="962">
        <f>[1]!mbtool(2,17,0,1)</f>
        <v>9.5138888888888884E-2</v>
      </c>
      <c r="MC46" s="962">
        <f>[1]!mbtool(2,17,0,1)</f>
        <v>9.5138888888888884E-2</v>
      </c>
      <c r="MD46" s="962">
        <f>[1]!mbtool(2,17,0,1)</f>
        <v>9.5138888888888884E-2</v>
      </c>
      <c r="ME46" s="962">
        <f>[1]!mbtool(2,17,0,1)</f>
        <v>9.5138888888888884E-2</v>
      </c>
      <c r="MF46" s="962">
        <f>[1]!mbtool(2,17,0,1)</f>
        <v>9.5138888888888884E-2</v>
      </c>
      <c r="MG46" s="962">
        <f>[1]!mbtool(2,17,0,1)</f>
        <v>9.5138888888888884E-2</v>
      </c>
      <c r="MH46" s="962">
        <f>[1]!mbtool(2,17,0,1)</f>
        <v>9.5138888888888884E-2</v>
      </c>
      <c r="MI46" s="962">
        <f>[1]!mbtool(2,17,0,1)</f>
        <v>9.5138888888888884E-2</v>
      </c>
      <c r="MJ46" s="962">
        <f>[1]!mbtool(2,17,0,1)</f>
        <v>9.5138888888888884E-2</v>
      </c>
      <c r="MK46" s="962">
        <f>[1]!mbtool(2,17,0,1)</f>
        <v>9.5138888888888884E-2</v>
      </c>
      <c r="ML46" s="962">
        <f>[1]!mbtool(2,17,0,1)</f>
        <v>9.5138888888888884E-2</v>
      </c>
      <c r="MM46" s="962">
        <f>[1]!mbtool(2,17,0,1)</f>
        <v>9.5138888888888884E-2</v>
      </c>
      <c r="MN46" s="962">
        <f>[1]!mbtool(2,17,0,1)</f>
        <v>9.5138888888888884E-2</v>
      </c>
      <c r="MO46" s="962">
        <f>[1]!mbtool(2,17,0,1)</f>
        <v>9.5138888888888884E-2</v>
      </c>
      <c r="MP46" s="962">
        <f>[1]!mbtool(2,17,0,1)</f>
        <v>9.5138888888888884E-2</v>
      </c>
      <c r="MQ46" s="962">
        <f>[1]!mbtool(2,17,0,1)</f>
        <v>9.5138888888888884E-2</v>
      </c>
      <c r="MR46" s="962">
        <f>[1]!mbtool(2,17,0,1)</f>
        <v>9.5138888888888884E-2</v>
      </c>
      <c r="MS46" s="962">
        <f>[1]!mbtool(2,17,0,1)</f>
        <v>9.5138888888888884E-2</v>
      </c>
      <c r="MT46" s="962">
        <f>[1]!mbtool(2,17,0,1)</f>
        <v>9.5138888888888884E-2</v>
      </c>
      <c r="MU46" s="962">
        <f>[1]!mbtool(2,17,0,1)</f>
        <v>9.5138888888888884E-2</v>
      </c>
      <c r="MV46" s="962">
        <f>[1]!mbtool(2,17,0,1)</f>
        <v>9.5138888888888884E-2</v>
      </c>
      <c r="MW46" s="962">
        <f>[1]!mbtool(2,17,0,1)</f>
        <v>9.5138888888888884E-2</v>
      </c>
      <c r="MX46" s="962">
        <f>[1]!mbtool(2,17,0,1)</f>
        <v>9.5138888888888884E-2</v>
      </c>
      <c r="MY46" s="962">
        <f>[1]!mbtool(2,17,0,1)</f>
        <v>9.5138888888888884E-2</v>
      </c>
      <c r="MZ46" s="962">
        <f>[1]!mbtool(2,17,0,1)</f>
        <v>9.5138888888888884E-2</v>
      </c>
      <c r="NA46" s="962">
        <f>[1]!mbtool(2,17,0,1)</f>
        <v>9.5138888888888884E-2</v>
      </c>
      <c r="NB46" s="962">
        <f>[1]!mbtool(2,17,0,1)</f>
        <v>9.5138888888888884E-2</v>
      </c>
      <c r="NC46" s="962">
        <f>[1]!mbtool(2,17,0,1)</f>
        <v>9.5138888888888884E-2</v>
      </c>
      <c r="ND46" s="962">
        <f>[1]!mbtool(2,17,0,1)</f>
        <v>9.5138888888888884E-2</v>
      </c>
      <c r="NE46" s="962">
        <f>[1]!mbtool(2,17,0,1)</f>
        <v>9.5138888888888884E-2</v>
      </c>
      <c r="NF46" s="962">
        <f>[1]!mbtool(2,17,0,1)</f>
        <v>9.5138888888888884E-2</v>
      </c>
      <c r="NG46" s="962">
        <f>[1]!mbtool(2,17,0,1)</f>
        <v>9.5138888888888884E-2</v>
      </c>
      <c r="NH46" s="962">
        <f>[1]!mbtool(2,17,0,1)</f>
        <v>9.5138888888888884E-2</v>
      </c>
      <c r="NI46" s="962">
        <f>[1]!mbtool(2,17,0,1)</f>
        <v>9.5138888888888884E-2</v>
      </c>
      <c r="NJ46" s="962">
        <f>[1]!mbtool(2,17,0,1)</f>
        <v>9.5138888888888884E-2</v>
      </c>
      <c r="NK46" s="962">
        <f>[1]!mbtool(2,17,0,1)</f>
        <v>9.5138888888888884E-2</v>
      </c>
      <c r="NL46" s="962">
        <f>[1]!mbtool(2,17,0,1)</f>
        <v>9.5138888888888884E-2</v>
      </c>
      <c r="NM46" s="962">
        <f>[1]!mbtool(2,17,0,1)</f>
        <v>9.5138888888888884E-2</v>
      </c>
      <c r="NN46" s="962">
        <f>[1]!mbtool(2,17,0,1)</f>
        <v>9.5138888888888884E-2</v>
      </c>
      <c r="NO46" s="962">
        <f>[1]!mbtool(2,17,0,1)</f>
        <v>9.5138888888888884E-2</v>
      </c>
      <c r="NP46" s="962">
        <f>[1]!mbtool(2,17,0,1)</f>
        <v>9.5138888888888884E-2</v>
      </c>
      <c r="NQ46" s="962">
        <f>[1]!mbtool(2,17,0,1)</f>
        <v>9.5138888888888884E-2</v>
      </c>
      <c r="NR46" s="962">
        <f>[1]!mbtool(2,17,0,1)</f>
        <v>9.5138888888888884E-2</v>
      </c>
      <c r="NS46" s="962">
        <f>[1]!mbtool(2,17,0,1)</f>
        <v>9.5138888888888884E-2</v>
      </c>
      <c r="NT46" s="962">
        <f>[1]!mbtool(2,17,0,1)</f>
        <v>9.5138888888888884E-2</v>
      </c>
      <c r="NU46" s="962">
        <f>[1]!mbtool(2,17,0,1)</f>
        <v>9.5138888888888884E-2</v>
      </c>
      <c r="NV46" s="962">
        <f>[1]!mbtool(2,17,0,1)</f>
        <v>9.5138888888888884E-2</v>
      </c>
      <c r="NW46" s="962">
        <f>[1]!mbtool(2,17,0,1)</f>
        <v>9.5138888888888884E-2</v>
      </c>
      <c r="NX46" s="962">
        <f>[1]!mbtool(2,17,0,1)</f>
        <v>9.5138888888888884E-2</v>
      </c>
      <c r="NY46" s="962">
        <f>[1]!mbtool(2,17,0,1)</f>
        <v>9.5138888888888884E-2</v>
      </c>
      <c r="NZ46" s="962">
        <f>[1]!mbtool(2,17,0,1)</f>
        <v>9.5138888888888884E-2</v>
      </c>
      <c r="OA46" s="962">
        <f>[1]!mbtool(2,17,0,1)</f>
        <v>9.5138888888888884E-2</v>
      </c>
      <c r="OB46" s="962">
        <f>[1]!mbtool(2,17,0,1)</f>
        <v>9.5138888888888884E-2</v>
      </c>
      <c r="OC46" s="962">
        <f>[1]!mbtool(2,17,0,1)</f>
        <v>9.5138888888888884E-2</v>
      </c>
      <c r="OD46" s="962">
        <f>[1]!mbtool(2,17,0,1)</f>
        <v>9.5138888888888884E-2</v>
      </c>
      <c r="OE46" s="962">
        <f>[1]!mbtool(2,17,0,1)</f>
        <v>9.5138888888888884E-2</v>
      </c>
      <c r="OF46" s="962">
        <f>[1]!mbtool(2,17,0,1)</f>
        <v>9.5138888888888884E-2</v>
      </c>
      <c r="OG46" s="962">
        <f>[1]!mbtool(2,17,0,1)</f>
        <v>9.5138888888888884E-2</v>
      </c>
      <c r="OH46" s="962">
        <f>[1]!mbtool(2,17,0,1)</f>
        <v>9.5138888888888884E-2</v>
      </c>
      <c r="OI46" s="962">
        <f>[1]!mbtool(2,17,0,1)</f>
        <v>9.5138888888888884E-2</v>
      </c>
      <c r="OJ46" s="962">
        <f>[1]!mbtool(2,17,0,1)</f>
        <v>9.5138888888888884E-2</v>
      </c>
      <c r="OK46" s="962">
        <f>[1]!mbtool(2,17,0,1)</f>
        <v>9.5138888888888884E-2</v>
      </c>
      <c r="OL46" s="962">
        <f>[1]!mbtool(2,17,0,1)</f>
        <v>9.5138888888888884E-2</v>
      </c>
      <c r="OM46" s="962">
        <f>[1]!mbtool(2,17,0,1)</f>
        <v>9.5138888888888884E-2</v>
      </c>
      <c r="ON46" s="962">
        <f>[1]!mbtool(2,17,0,1)</f>
        <v>9.5138888888888884E-2</v>
      </c>
      <c r="OO46" s="962">
        <f>[1]!mbtool(2,17,0,1)</f>
        <v>9.5138888888888884E-2</v>
      </c>
      <c r="OP46" s="962">
        <f>[1]!mbtool(2,17,0,1)</f>
        <v>9.5138888888888884E-2</v>
      </c>
      <c r="OQ46" s="962">
        <f>[1]!mbtool(2,17,0,1)</f>
        <v>9.5138888888888884E-2</v>
      </c>
      <c r="OR46" s="962">
        <f>[1]!mbtool(2,17,0,1)</f>
        <v>9.5138888888888884E-2</v>
      </c>
      <c r="OS46" s="962">
        <f>[1]!mbtool(2,17,0,1)</f>
        <v>9.5138888888888884E-2</v>
      </c>
      <c r="OT46" s="962">
        <f>[1]!mbtool(2,17,0,1)</f>
        <v>9.5138888888888884E-2</v>
      </c>
      <c r="OU46" s="962">
        <f>[1]!mbtool(2,17,0,1)</f>
        <v>9.5138888888888884E-2</v>
      </c>
      <c r="OV46" s="962">
        <f>[1]!mbtool(2,17,0,1)</f>
        <v>9.5138888888888884E-2</v>
      </c>
      <c r="OW46" s="962">
        <f>[1]!mbtool(2,17,0,1)</f>
        <v>9.5138888888888884E-2</v>
      </c>
      <c r="OX46" s="962">
        <f>[1]!mbtool(2,17,0,1)</f>
        <v>9.5138888888888884E-2</v>
      </c>
      <c r="OY46" s="962">
        <f>[1]!mbtool(2,17,0,1)</f>
        <v>9.5138888888888884E-2</v>
      </c>
      <c r="OZ46" s="962">
        <f>[1]!mbtool(2,17,0,1)</f>
        <v>9.5138888888888884E-2</v>
      </c>
      <c r="PA46" s="962">
        <f>[1]!mbtool(2,17,0,1)</f>
        <v>9.5138888888888884E-2</v>
      </c>
      <c r="PB46" s="962">
        <f>[1]!mbtool(2,17,0,1)</f>
        <v>9.5138888888888884E-2</v>
      </c>
      <c r="PC46" s="962">
        <f>[1]!mbtool(2,17,0,1)</f>
        <v>9.5138888888888884E-2</v>
      </c>
      <c r="PD46" s="962">
        <f>[1]!mbtool(2,17,0,1)</f>
        <v>9.5138888888888884E-2</v>
      </c>
      <c r="PE46" s="962">
        <f>[1]!mbtool(2,17,0,1)</f>
        <v>9.5138888888888884E-2</v>
      </c>
      <c r="PF46" s="962">
        <f>[1]!mbtool(2,17,0,1)</f>
        <v>9.5138888888888884E-2</v>
      </c>
      <c r="PG46" s="962">
        <f>[1]!mbtool(2,17,0,1)</f>
        <v>9.5138888888888884E-2</v>
      </c>
      <c r="PH46" s="962">
        <f>[1]!mbtool(2,17,0,1)</f>
        <v>9.5138888888888884E-2</v>
      </c>
      <c r="PI46" s="962">
        <f>[1]!mbtool(2,17,0,1)</f>
        <v>9.5138888888888884E-2</v>
      </c>
      <c r="PJ46" s="962">
        <f>[1]!mbtool(2,17,0,1)</f>
        <v>9.5138888888888884E-2</v>
      </c>
      <c r="PK46" s="962">
        <f>[1]!mbtool(2,17,0,1)</f>
        <v>9.5138888888888884E-2</v>
      </c>
      <c r="PL46" s="962">
        <f>[1]!mbtool(2,17,0,1)</f>
        <v>9.5138888888888884E-2</v>
      </c>
      <c r="PM46" s="962">
        <f>[1]!mbtool(2,17,0,1)</f>
        <v>9.5138888888888884E-2</v>
      </c>
      <c r="PN46" s="962">
        <f>[1]!mbtool(2,17,0,1)</f>
        <v>9.5138888888888884E-2</v>
      </c>
      <c r="PO46" s="962">
        <f>[1]!mbtool(2,17,0,1)</f>
        <v>9.5138888888888884E-2</v>
      </c>
      <c r="PP46" s="962">
        <f>[1]!mbtool(2,17,0,1)</f>
        <v>9.5138888888888884E-2</v>
      </c>
      <c r="PQ46" s="962">
        <f>[1]!mbtool(2,17,0,1)</f>
        <v>9.5138888888888884E-2</v>
      </c>
      <c r="PR46" s="962">
        <f>[1]!mbtool(2,17,0,1)</f>
        <v>9.5138888888888884E-2</v>
      </c>
      <c r="PS46" s="962">
        <f>[1]!mbtool(2,17,0,1)</f>
        <v>9.5138888888888884E-2</v>
      </c>
      <c r="PT46" s="962">
        <f>[1]!mbtool(2,17,0,1)</f>
        <v>9.5138888888888884E-2</v>
      </c>
      <c r="PU46" s="962">
        <f>[1]!mbtool(2,17,0,1)</f>
        <v>9.5138888888888884E-2</v>
      </c>
      <c r="PV46" s="962">
        <f>[1]!mbtool(2,17,0,1)</f>
        <v>9.5138888888888884E-2</v>
      </c>
      <c r="PW46" s="962">
        <f>[1]!mbtool(2,17,0,1)</f>
        <v>9.5138888888888884E-2</v>
      </c>
      <c r="PX46" s="962">
        <f>[1]!mbtool(2,17,0,1)</f>
        <v>9.5138888888888884E-2</v>
      </c>
      <c r="PY46" s="962">
        <f>[1]!mbtool(2,17,0,1)</f>
        <v>9.5138888888888884E-2</v>
      </c>
      <c r="PZ46" s="962">
        <f>[1]!mbtool(2,17,0,1)</f>
        <v>9.5138888888888884E-2</v>
      </c>
      <c r="QA46" s="962">
        <f>[1]!mbtool(2,17,0,1)</f>
        <v>9.5138888888888884E-2</v>
      </c>
      <c r="QB46" s="962">
        <f>[1]!mbtool(2,17,0,1)</f>
        <v>9.5138888888888884E-2</v>
      </c>
      <c r="QC46" s="962">
        <f>[1]!mbtool(2,17,0,1)</f>
        <v>9.5138888888888884E-2</v>
      </c>
      <c r="QD46" s="962">
        <f>[1]!mbtool(2,17,0,1)</f>
        <v>9.5138888888888884E-2</v>
      </c>
      <c r="QE46" s="962">
        <f>[1]!mbtool(2,17,0,1)</f>
        <v>9.5138888888888884E-2</v>
      </c>
      <c r="QF46" s="962">
        <f>[1]!mbtool(2,17,0,1)</f>
        <v>9.5138888888888884E-2</v>
      </c>
      <c r="QG46" s="962">
        <f>[1]!mbtool(2,17,0,1)</f>
        <v>9.5138888888888884E-2</v>
      </c>
      <c r="QH46" s="962">
        <f>[1]!mbtool(2,17,0,1)</f>
        <v>9.5138888888888884E-2</v>
      </c>
      <c r="QI46" s="962">
        <f>[1]!mbtool(2,17,0,1)</f>
        <v>9.5138888888888884E-2</v>
      </c>
      <c r="QJ46" s="962">
        <f>[1]!mbtool(2,17,0,1)</f>
        <v>9.5138888888888884E-2</v>
      </c>
      <c r="QK46" s="962">
        <f>[1]!mbtool(2,17,0,1)</f>
        <v>9.5138888888888884E-2</v>
      </c>
      <c r="QL46" s="962">
        <f>[1]!mbtool(2,17,0,1)</f>
        <v>9.5138888888888884E-2</v>
      </c>
      <c r="QM46" s="962">
        <f>[1]!mbtool(2,17,0,1)</f>
        <v>9.5138888888888884E-2</v>
      </c>
      <c r="QN46" s="962">
        <f>[1]!mbtool(2,17,0,1)</f>
        <v>9.5138888888888884E-2</v>
      </c>
      <c r="QO46" s="962">
        <f>[1]!mbtool(2,17,0,1)</f>
        <v>9.5138888888888884E-2</v>
      </c>
      <c r="QP46" s="962">
        <f>[1]!mbtool(2,17,0,1)</f>
        <v>9.5138888888888884E-2</v>
      </c>
      <c r="QQ46" s="962">
        <f>[1]!mbtool(2,17,0,1)</f>
        <v>9.5138888888888884E-2</v>
      </c>
      <c r="QR46" s="962">
        <f>[1]!mbtool(2,17,0,1)</f>
        <v>9.5138888888888884E-2</v>
      </c>
      <c r="QS46" s="962">
        <f>[1]!mbtool(2,17,0,1)</f>
        <v>9.5138888888888884E-2</v>
      </c>
      <c r="QT46" s="962">
        <f>[1]!mbtool(2,17,0,1)</f>
        <v>9.5138888888888884E-2</v>
      </c>
      <c r="QU46" s="962">
        <f>[1]!mbtool(2,17,0,1)</f>
        <v>9.5138888888888884E-2</v>
      </c>
      <c r="QV46" s="962">
        <f>[1]!mbtool(2,17,0,1)</f>
        <v>9.5138888888888884E-2</v>
      </c>
      <c r="QW46" s="962">
        <f>[1]!mbtool(2,17,0,1)</f>
        <v>9.5138888888888884E-2</v>
      </c>
      <c r="QX46" s="962">
        <f>[1]!mbtool(2,17,0,1)</f>
        <v>9.5138888888888884E-2</v>
      </c>
      <c r="QY46" s="962">
        <f>[1]!mbtool(2,17,0,1)</f>
        <v>9.5138888888888884E-2</v>
      </c>
      <c r="QZ46" s="962">
        <f>[1]!mbtool(2,17,0,1)</f>
        <v>9.5138888888888884E-2</v>
      </c>
      <c r="RA46" s="963"/>
    </row>
    <row r="47" spans="1:471" ht="17.25">
      <c r="J47" s="21">
        <f>IF(E49=16,(((C49-1)*M47)+IF(B49=1,0,IF(B49=2,O49,IF(B49=3,P49,IF(B49=4,Q49,IF(B49=5,R49,IF(B49=6,S49,IF(B49=7,T49,IF(B49=8,U49,IF(B49=9,V49,IF(B49=10,W49,IF(B49=11,X49,Y49)))))))))))+A49),0)</f>
        <v>526582.01057989092</v>
      </c>
      <c r="K47" s="21">
        <v>16</v>
      </c>
      <c r="L47" s="21" t="s">
        <v>151</v>
      </c>
      <c r="M47" s="21">
        <v>365.24220026363002</v>
      </c>
      <c r="N47" s="21"/>
      <c r="O47" s="21" t="s">
        <v>19</v>
      </c>
      <c r="P47" s="21" t="s">
        <v>20</v>
      </c>
      <c r="Q47" s="21" t="s">
        <v>88</v>
      </c>
      <c r="R47" s="21" t="s">
        <v>21</v>
      </c>
      <c r="S47" s="21" t="s">
        <v>89</v>
      </c>
      <c r="T47" s="21" t="s">
        <v>24</v>
      </c>
      <c r="U47" s="21" t="s">
        <v>25</v>
      </c>
      <c r="V47" s="21" t="s">
        <v>90</v>
      </c>
      <c r="W47" s="21" t="s">
        <v>27</v>
      </c>
      <c r="X47" s="21" t="s">
        <v>28</v>
      </c>
      <c r="Y47" s="21" t="s">
        <v>29</v>
      </c>
      <c r="Z47" s="21" t="s">
        <v>180</v>
      </c>
      <c r="AA47" s="21" t="s">
        <v>97</v>
      </c>
      <c r="AK47" s="759" t="s">
        <v>698</v>
      </c>
      <c r="AL47" s="701" t="e">
        <f>[1]!taqqa(AL40,AL41,[1]!roz(AL42,AL46,0,0),AL43)</f>
        <v>#VALUE!</v>
      </c>
      <c r="AM47" s="304" t="e">
        <f>[1]!taqqa(AM40,AM41,[1]!roz(AM42,AM46,0,0),AM43)</f>
        <v>#VALUE!</v>
      </c>
      <c r="AN47" s="304" t="e">
        <f>[1]!taqqa(AN40,AN41,[1]!roz(AN42,AN46,0,0),AN43)</f>
        <v>#VALUE!</v>
      </c>
      <c r="AO47" s="304" t="e">
        <f>[1]!taqqa(AO40,AO41,[1]!roz(AO42,AO46,0,0),AO43)</f>
        <v>#VALUE!</v>
      </c>
      <c r="AP47" s="304" t="e">
        <f>[1]!taqqa(AP40,AP41,[1]!roz(AP42,AP46,0,0),AP43)</f>
        <v>#VALUE!</v>
      </c>
      <c r="AQ47" s="304" t="e">
        <f>[1]!taqqa(AQ40,AQ41,[1]!roz(AQ42,AQ46,0,0),AQ43)</f>
        <v>#VALUE!</v>
      </c>
      <c r="AR47" s="304" t="e">
        <f>[1]!taqqa(AR40,AR41,[1]!roz(AR42,AR46,0,0),AR43)</f>
        <v>#VALUE!</v>
      </c>
      <c r="AS47" s="304" t="e">
        <f>[1]!taqqa(AS40,AS41,[1]!roz(AS42,AS46,0,0),AS43)</f>
        <v>#VALUE!</v>
      </c>
      <c r="AT47" s="304" t="e">
        <f>[1]!taqqa(AT40,AT41,[1]!roz(AT42,AT46,0,0),AT43)</f>
        <v>#VALUE!</v>
      </c>
      <c r="AU47" s="304" t="e">
        <f>[1]!taqqa(AU40,AU41,[1]!roz(AU42,AU46,0,0),AU43)</f>
        <v>#VALUE!</v>
      </c>
      <c r="AV47" s="304" t="e">
        <f>[1]!taqqa(AV40,AV41,[1]!roz(AV42,AV46,0,0),AV43)</f>
        <v>#VALUE!</v>
      </c>
      <c r="AW47" s="314" t="e">
        <f>[1]!taqqa(AW40,AW41,[1]!roz(AW42,AW46,0,0),AW43)</f>
        <v>#VALUE!</v>
      </c>
      <c r="AX47" s="314"/>
      <c r="DB47" s="797"/>
      <c r="DC47" s="797"/>
      <c r="DD47" s="961">
        <f t="shared" ref="DD47" si="363">35+(41/60)</f>
        <v>35.68333333333333</v>
      </c>
      <c r="DH47" s="797"/>
      <c r="DI47" s="797"/>
      <c r="DJ47" s="961">
        <f t="shared" ref="DJ47:FU47" si="364">35+(41/60)</f>
        <v>35.68333333333333</v>
      </c>
      <c r="DK47" s="962">
        <f t="shared" si="364"/>
        <v>35.68333333333333</v>
      </c>
      <c r="DL47" s="962">
        <f t="shared" si="364"/>
        <v>35.68333333333333</v>
      </c>
      <c r="DM47" s="962">
        <f t="shared" si="364"/>
        <v>35.68333333333333</v>
      </c>
      <c r="DN47" s="962">
        <f t="shared" si="364"/>
        <v>35.68333333333333</v>
      </c>
      <c r="DO47" s="962">
        <f t="shared" si="364"/>
        <v>35.68333333333333</v>
      </c>
      <c r="DP47" s="962">
        <f t="shared" si="364"/>
        <v>35.68333333333333</v>
      </c>
      <c r="DQ47" s="962">
        <f t="shared" si="364"/>
        <v>35.68333333333333</v>
      </c>
      <c r="DR47" s="962">
        <f t="shared" si="364"/>
        <v>35.68333333333333</v>
      </c>
      <c r="DS47" s="962">
        <f t="shared" si="364"/>
        <v>35.68333333333333</v>
      </c>
      <c r="DT47" s="962">
        <f t="shared" si="364"/>
        <v>35.68333333333333</v>
      </c>
      <c r="DU47" s="962">
        <f t="shared" si="364"/>
        <v>35.68333333333333</v>
      </c>
      <c r="DV47" s="962">
        <f t="shared" si="364"/>
        <v>35.68333333333333</v>
      </c>
      <c r="DW47" s="962">
        <f t="shared" si="364"/>
        <v>35.68333333333333</v>
      </c>
      <c r="DX47" s="962">
        <f t="shared" si="364"/>
        <v>35.68333333333333</v>
      </c>
      <c r="DY47" s="962">
        <f t="shared" si="364"/>
        <v>35.68333333333333</v>
      </c>
      <c r="DZ47" s="962">
        <f t="shared" si="364"/>
        <v>35.68333333333333</v>
      </c>
      <c r="EA47" s="962">
        <f t="shared" si="364"/>
        <v>35.68333333333333</v>
      </c>
      <c r="EB47" s="962">
        <f t="shared" si="364"/>
        <v>35.68333333333333</v>
      </c>
      <c r="EC47" s="962">
        <f t="shared" si="364"/>
        <v>35.68333333333333</v>
      </c>
      <c r="ED47" s="962">
        <f t="shared" si="364"/>
        <v>35.68333333333333</v>
      </c>
      <c r="EE47" s="962">
        <f t="shared" si="364"/>
        <v>35.68333333333333</v>
      </c>
      <c r="EF47" s="962">
        <f t="shared" si="364"/>
        <v>35.68333333333333</v>
      </c>
      <c r="EG47" s="962">
        <f t="shared" si="364"/>
        <v>35.68333333333333</v>
      </c>
      <c r="EH47" s="962">
        <f t="shared" si="364"/>
        <v>35.68333333333333</v>
      </c>
      <c r="EI47" s="962">
        <f t="shared" si="364"/>
        <v>35.68333333333333</v>
      </c>
      <c r="EJ47" s="962">
        <f t="shared" si="364"/>
        <v>35.68333333333333</v>
      </c>
      <c r="EK47" s="962">
        <f t="shared" si="364"/>
        <v>35.68333333333333</v>
      </c>
      <c r="EL47" s="962">
        <f t="shared" si="364"/>
        <v>35.68333333333333</v>
      </c>
      <c r="EM47" s="962">
        <f t="shared" si="364"/>
        <v>35.68333333333333</v>
      </c>
      <c r="EN47" s="962">
        <f t="shared" si="364"/>
        <v>35.68333333333333</v>
      </c>
      <c r="EO47" s="962">
        <f t="shared" si="364"/>
        <v>35.68333333333333</v>
      </c>
      <c r="EP47" s="962">
        <f t="shared" si="364"/>
        <v>35.68333333333333</v>
      </c>
      <c r="EQ47" s="962">
        <f t="shared" si="364"/>
        <v>35.68333333333333</v>
      </c>
      <c r="ER47" s="962">
        <f t="shared" si="364"/>
        <v>35.68333333333333</v>
      </c>
      <c r="ES47" s="962">
        <f t="shared" si="364"/>
        <v>35.68333333333333</v>
      </c>
      <c r="ET47" s="962">
        <f t="shared" si="364"/>
        <v>35.68333333333333</v>
      </c>
      <c r="EU47" s="962">
        <f t="shared" si="364"/>
        <v>35.68333333333333</v>
      </c>
      <c r="EV47" s="962">
        <f t="shared" si="364"/>
        <v>35.68333333333333</v>
      </c>
      <c r="EW47" s="962">
        <f t="shared" si="364"/>
        <v>35.68333333333333</v>
      </c>
      <c r="EX47" s="962">
        <f t="shared" si="364"/>
        <v>35.68333333333333</v>
      </c>
      <c r="EY47" s="962">
        <f t="shared" si="364"/>
        <v>35.68333333333333</v>
      </c>
      <c r="EZ47" s="962">
        <f t="shared" si="364"/>
        <v>35.68333333333333</v>
      </c>
      <c r="FA47" s="962">
        <f t="shared" si="364"/>
        <v>35.68333333333333</v>
      </c>
      <c r="FB47" s="962">
        <f t="shared" si="364"/>
        <v>35.68333333333333</v>
      </c>
      <c r="FC47" s="962">
        <f t="shared" si="364"/>
        <v>35.68333333333333</v>
      </c>
      <c r="FD47" s="962">
        <f t="shared" si="364"/>
        <v>35.68333333333333</v>
      </c>
      <c r="FE47" s="962">
        <f t="shared" si="364"/>
        <v>35.68333333333333</v>
      </c>
      <c r="FF47" s="962">
        <f t="shared" si="364"/>
        <v>35.68333333333333</v>
      </c>
      <c r="FG47" s="962">
        <f t="shared" si="364"/>
        <v>35.68333333333333</v>
      </c>
      <c r="FH47" s="962">
        <f t="shared" si="364"/>
        <v>35.68333333333333</v>
      </c>
      <c r="FI47" s="962">
        <f t="shared" si="364"/>
        <v>35.68333333333333</v>
      </c>
      <c r="FJ47" s="962">
        <f t="shared" si="364"/>
        <v>35.68333333333333</v>
      </c>
      <c r="FK47" s="962">
        <f t="shared" si="364"/>
        <v>35.68333333333333</v>
      </c>
      <c r="FL47" s="962">
        <f t="shared" si="364"/>
        <v>35.68333333333333</v>
      </c>
      <c r="FM47" s="962">
        <f t="shared" si="364"/>
        <v>35.68333333333333</v>
      </c>
      <c r="FN47" s="962">
        <f t="shared" si="364"/>
        <v>35.68333333333333</v>
      </c>
      <c r="FO47" s="962">
        <f t="shared" si="364"/>
        <v>35.68333333333333</v>
      </c>
      <c r="FP47" s="962">
        <f t="shared" si="364"/>
        <v>35.68333333333333</v>
      </c>
      <c r="FQ47" s="962">
        <f t="shared" si="364"/>
        <v>35.68333333333333</v>
      </c>
      <c r="FR47" s="962">
        <f t="shared" si="364"/>
        <v>35.68333333333333</v>
      </c>
      <c r="FS47" s="962">
        <f t="shared" si="364"/>
        <v>35.68333333333333</v>
      </c>
      <c r="FT47" s="962">
        <f t="shared" si="364"/>
        <v>35.68333333333333</v>
      </c>
      <c r="FU47" s="962">
        <f t="shared" si="364"/>
        <v>35.68333333333333</v>
      </c>
      <c r="FV47" s="962">
        <f t="shared" ref="FV47:IG47" si="365">35+(41/60)</f>
        <v>35.68333333333333</v>
      </c>
      <c r="FW47" s="962">
        <f t="shared" si="365"/>
        <v>35.68333333333333</v>
      </c>
      <c r="FX47" s="962">
        <f t="shared" si="365"/>
        <v>35.68333333333333</v>
      </c>
      <c r="FY47" s="962">
        <f t="shared" si="365"/>
        <v>35.68333333333333</v>
      </c>
      <c r="FZ47" s="962">
        <f t="shared" si="365"/>
        <v>35.68333333333333</v>
      </c>
      <c r="GA47" s="962">
        <f t="shared" si="365"/>
        <v>35.68333333333333</v>
      </c>
      <c r="GB47" s="962">
        <f t="shared" si="365"/>
        <v>35.68333333333333</v>
      </c>
      <c r="GC47" s="962">
        <f t="shared" si="365"/>
        <v>35.68333333333333</v>
      </c>
      <c r="GD47" s="962">
        <f t="shared" si="365"/>
        <v>35.68333333333333</v>
      </c>
      <c r="GE47" s="962">
        <f t="shared" si="365"/>
        <v>35.68333333333333</v>
      </c>
      <c r="GF47" s="962">
        <f t="shared" si="365"/>
        <v>35.68333333333333</v>
      </c>
      <c r="GG47" s="962">
        <f t="shared" si="365"/>
        <v>35.68333333333333</v>
      </c>
      <c r="GH47" s="962">
        <f t="shared" si="365"/>
        <v>35.68333333333333</v>
      </c>
      <c r="GI47" s="962">
        <f t="shared" si="365"/>
        <v>35.68333333333333</v>
      </c>
      <c r="GJ47" s="962">
        <f t="shared" si="365"/>
        <v>35.68333333333333</v>
      </c>
      <c r="GK47" s="962">
        <f t="shared" si="365"/>
        <v>35.68333333333333</v>
      </c>
      <c r="GL47" s="962">
        <f t="shared" si="365"/>
        <v>35.68333333333333</v>
      </c>
      <c r="GM47" s="962">
        <f t="shared" si="365"/>
        <v>35.68333333333333</v>
      </c>
      <c r="GN47" s="962">
        <f t="shared" si="365"/>
        <v>35.68333333333333</v>
      </c>
      <c r="GO47" s="962">
        <f t="shared" si="365"/>
        <v>35.68333333333333</v>
      </c>
      <c r="GP47" s="962">
        <f t="shared" si="365"/>
        <v>35.68333333333333</v>
      </c>
      <c r="GQ47" s="962">
        <f t="shared" si="365"/>
        <v>35.68333333333333</v>
      </c>
      <c r="GR47" s="962">
        <f t="shared" si="365"/>
        <v>35.68333333333333</v>
      </c>
      <c r="GS47" s="962">
        <f t="shared" si="365"/>
        <v>35.68333333333333</v>
      </c>
      <c r="GT47" s="962">
        <f t="shared" si="365"/>
        <v>35.68333333333333</v>
      </c>
      <c r="GU47" s="962">
        <f t="shared" si="365"/>
        <v>35.68333333333333</v>
      </c>
      <c r="GV47" s="962">
        <f t="shared" si="365"/>
        <v>35.68333333333333</v>
      </c>
      <c r="GW47" s="962">
        <f t="shared" si="365"/>
        <v>35.68333333333333</v>
      </c>
      <c r="GX47" s="962">
        <f t="shared" si="365"/>
        <v>35.68333333333333</v>
      </c>
      <c r="GY47" s="962">
        <f t="shared" si="365"/>
        <v>35.68333333333333</v>
      </c>
      <c r="GZ47" s="962">
        <f t="shared" si="365"/>
        <v>35.68333333333333</v>
      </c>
      <c r="HA47" s="962">
        <f t="shared" si="365"/>
        <v>35.68333333333333</v>
      </c>
      <c r="HB47" s="962">
        <f t="shared" si="365"/>
        <v>35.68333333333333</v>
      </c>
      <c r="HC47" s="962">
        <f t="shared" si="365"/>
        <v>35.68333333333333</v>
      </c>
      <c r="HD47" s="962">
        <f t="shared" si="365"/>
        <v>35.68333333333333</v>
      </c>
      <c r="HE47" s="962">
        <f t="shared" si="365"/>
        <v>35.68333333333333</v>
      </c>
      <c r="HF47" s="962">
        <f t="shared" si="365"/>
        <v>35.68333333333333</v>
      </c>
      <c r="HG47" s="962">
        <f t="shared" si="365"/>
        <v>35.68333333333333</v>
      </c>
      <c r="HH47" s="962">
        <f t="shared" si="365"/>
        <v>35.68333333333333</v>
      </c>
      <c r="HI47" s="962">
        <f t="shared" si="365"/>
        <v>35.68333333333333</v>
      </c>
      <c r="HJ47" s="962">
        <f t="shared" si="365"/>
        <v>35.68333333333333</v>
      </c>
      <c r="HK47" s="962">
        <f t="shared" si="365"/>
        <v>35.68333333333333</v>
      </c>
      <c r="HL47" s="962">
        <f t="shared" si="365"/>
        <v>35.68333333333333</v>
      </c>
      <c r="HM47" s="962">
        <f t="shared" si="365"/>
        <v>35.68333333333333</v>
      </c>
      <c r="HN47" s="962">
        <f t="shared" si="365"/>
        <v>35.68333333333333</v>
      </c>
      <c r="HO47" s="962">
        <f t="shared" si="365"/>
        <v>35.68333333333333</v>
      </c>
      <c r="HP47" s="962">
        <f t="shared" si="365"/>
        <v>35.68333333333333</v>
      </c>
      <c r="HQ47" s="962">
        <f t="shared" si="365"/>
        <v>35.68333333333333</v>
      </c>
      <c r="HR47" s="962">
        <f t="shared" si="365"/>
        <v>35.68333333333333</v>
      </c>
      <c r="HS47" s="962">
        <f t="shared" si="365"/>
        <v>35.68333333333333</v>
      </c>
      <c r="HT47" s="962">
        <f t="shared" si="365"/>
        <v>35.68333333333333</v>
      </c>
      <c r="HU47" s="962">
        <f t="shared" si="365"/>
        <v>35.68333333333333</v>
      </c>
      <c r="HV47" s="962">
        <f t="shared" si="365"/>
        <v>35.68333333333333</v>
      </c>
      <c r="HW47" s="962">
        <f t="shared" si="365"/>
        <v>35.68333333333333</v>
      </c>
      <c r="HX47" s="962">
        <f t="shared" si="365"/>
        <v>35.68333333333333</v>
      </c>
      <c r="HY47" s="962">
        <f t="shared" si="365"/>
        <v>35.68333333333333</v>
      </c>
      <c r="HZ47" s="962">
        <f t="shared" si="365"/>
        <v>35.68333333333333</v>
      </c>
      <c r="IA47" s="962">
        <f t="shared" si="365"/>
        <v>35.68333333333333</v>
      </c>
      <c r="IB47" s="962">
        <f t="shared" si="365"/>
        <v>35.68333333333333</v>
      </c>
      <c r="IC47" s="962">
        <f t="shared" si="365"/>
        <v>35.68333333333333</v>
      </c>
      <c r="ID47" s="962">
        <f t="shared" si="365"/>
        <v>35.68333333333333</v>
      </c>
      <c r="IE47" s="962">
        <f t="shared" si="365"/>
        <v>35.68333333333333</v>
      </c>
      <c r="IF47" s="962">
        <f t="shared" si="365"/>
        <v>35.68333333333333</v>
      </c>
      <c r="IG47" s="962">
        <f t="shared" si="365"/>
        <v>35.68333333333333</v>
      </c>
      <c r="IH47" s="962">
        <f t="shared" ref="IH47:KS47" si="366">35+(41/60)</f>
        <v>35.68333333333333</v>
      </c>
      <c r="II47" s="962">
        <f t="shared" si="366"/>
        <v>35.68333333333333</v>
      </c>
      <c r="IJ47" s="962">
        <f t="shared" si="366"/>
        <v>35.68333333333333</v>
      </c>
      <c r="IK47" s="962">
        <f t="shared" si="366"/>
        <v>35.68333333333333</v>
      </c>
      <c r="IL47" s="962">
        <f t="shared" si="366"/>
        <v>35.68333333333333</v>
      </c>
      <c r="IM47" s="962">
        <f t="shared" si="366"/>
        <v>35.68333333333333</v>
      </c>
      <c r="IN47" s="962">
        <f t="shared" si="366"/>
        <v>35.68333333333333</v>
      </c>
      <c r="IO47" s="962">
        <f t="shared" si="366"/>
        <v>35.68333333333333</v>
      </c>
      <c r="IP47" s="962">
        <f t="shared" si="366"/>
        <v>35.68333333333333</v>
      </c>
      <c r="IQ47" s="962">
        <f t="shared" si="366"/>
        <v>35.68333333333333</v>
      </c>
      <c r="IR47" s="962">
        <f t="shared" si="366"/>
        <v>35.68333333333333</v>
      </c>
      <c r="IS47" s="962">
        <f t="shared" si="366"/>
        <v>35.68333333333333</v>
      </c>
      <c r="IT47" s="962">
        <f t="shared" si="366"/>
        <v>35.68333333333333</v>
      </c>
      <c r="IU47" s="962">
        <f t="shared" si="366"/>
        <v>35.68333333333333</v>
      </c>
      <c r="IV47" s="962">
        <f t="shared" si="366"/>
        <v>35.68333333333333</v>
      </c>
      <c r="IW47" s="962">
        <f t="shared" si="366"/>
        <v>35.68333333333333</v>
      </c>
      <c r="IX47" s="962">
        <f t="shared" si="366"/>
        <v>35.68333333333333</v>
      </c>
      <c r="IY47" s="962">
        <f t="shared" si="366"/>
        <v>35.68333333333333</v>
      </c>
      <c r="IZ47" s="962">
        <f t="shared" si="366"/>
        <v>35.68333333333333</v>
      </c>
      <c r="JA47" s="962">
        <f t="shared" si="366"/>
        <v>35.68333333333333</v>
      </c>
      <c r="JB47" s="962">
        <f t="shared" si="366"/>
        <v>35.68333333333333</v>
      </c>
      <c r="JC47" s="962">
        <f t="shared" si="366"/>
        <v>35.68333333333333</v>
      </c>
      <c r="JD47" s="962">
        <f t="shared" si="366"/>
        <v>35.68333333333333</v>
      </c>
      <c r="JE47" s="962">
        <f t="shared" si="366"/>
        <v>35.68333333333333</v>
      </c>
      <c r="JF47" s="962">
        <f t="shared" si="366"/>
        <v>35.68333333333333</v>
      </c>
      <c r="JG47" s="962">
        <f t="shared" si="366"/>
        <v>35.68333333333333</v>
      </c>
      <c r="JH47" s="962">
        <f t="shared" si="366"/>
        <v>35.68333333333333</v>
      </c>
      <c r="JI47" s="962">
        <f t="shared" si="366"/>
        <v>35.68333333333333</v>
      </c>
      <c r="JJ47" s="962">
        <f t="shared" si="366"/>
        <v>35.68333333333333</v>
      </c>
      <c r="JK47" s="962">
        <f t="shared" si="366"/>
        <v>35.68333333333333</v>
      </c>
      <c r="JL47" s="962">
        <f t="shared" si="366"/>
        <v>35.68333333333333</v>
      </c>
      <c r="JM47" s="962">
        <f t="shared" si="366"/>
        <v>35.68333333333333</v>
      </c>
      <c r="JN47" s="962">
        <f t="shared" si="366"/>
        <v>35.68333333333333</v>
      </c>
      <c r="JO47" s="962">
        <f t="shared" si="366"/>
        <v>35.68333333333333</v>
      </c>
      <c r="JP47" s="962">
        <f t="shared" si="366"/>
        <v>35.68333333333333</v>
      </c>
      <c r="JQ47" s="962">
        <f t="shared" si="366"/>
        <v>35.68333333333333</v>
      </c>
      <c r="JR47" s="962">
        <f t="shared" si="366"/>
        <v>35.68333333333333</v>
      </c>
      <c r="JS47" s="962">
        <f t="shared" si="366"/>
        <v>35.68333333333333</v>
      </c>
      <c r="JT47" s="962">
        <f t="shared" si="366"/>
        <v>35.68333333333333</v>
      </c>
      <c r="JU47" s="962">
        <f t="shared" si="366"/>
        <v>35.68333333333333</v>
      </c>
      <c r="JV47" s="962">
        <f t="shared" si="366"/>
        <v>35.68333333333333</v>
      </c>
      <c r="JW47" s="962">
        <f t="shared" si="366"/>
        <v>35.68333333333333</v>
      </c>
      <c r="JX47" s="962">
        <f t="shared" si="366"/>
        <v>35.68333333333333</v>
      </c>
      <c r="JY47" s="962">
        <f t="shared" si="366"/>
        <v>35.68333333333333</v>
      </c>
      <c r="JZ47" s="962">
        <f t="shared" si="366"/>
        <v>35.68333333333333</v>
      </c>
      <c r="KA47" s="962">
        <f t="shared" si="366"/>
        <v>35.68333333333333</v>
      </c>
      <c r="KB47" s="962">
        <f t="shared" si="366"/>
        <v>35.68333333333333</v>
      </c>
      <c r="KC47" s="962">
        <f t="shared" si="366"/>
        <v>35.68333333333333</v>
      </c>
      <c r="KD47" s="962">
        <f t="shared" si="366"/>
        <v>35.68333333333333</v>
      </c>
      <c r="KE47" s="962">
        <f t="shared" si="366"/>
        <v>35.68333333333333</v>
      </c>
      <c r="KF47" s="962">
        <f t="shared" si="366"/>
        <v>35.68333333333333</v>
      </c>
      <c r="KG47" s="962">
        <f t="shared" si="366"/>
        <v>35.68333333333333</v>
      </c>
      <c r="KH47" s="962">
        <f t="shared" si="366"/>
        <v>35.68333333333333</v>
      </c>
      <c r="KI47" s="962">
        <f t="shared" si="366"/>
        <v>35.68333333333333</v>
      </c>
      <c r="KJ47" s="962">
        <f t="shared" si="366"/>
        <v>35.68333333333333</v>
      </c>
      <c r="KK47" s="962">
        <f t="shared" si="366"/>
        <v>35.68333333333333</v>
      </c>
      <c r="KL47" s="962">
        <f t="shared" si="366"/>
        <v>35.68333333333333</v>
      </c>
      <c r="KM47" s="962">
        <f t="shared" si="366"/>
        <v>35.68333333333333</v>
      </c>
      <c r="KN47" s="962">
        <f t="shared" si="366"/>
        <v>35.68333333333333</v>
      </c>
      <c r="KO47" s="962">
        <f t="shared" si="366"/>
        <v>35.68333333333333</v>
      </c>
      <c r="KP47" s="962">
        <f t="shared" si="366"/>
        <v>35.68333333333333</v>
      </c>
      <c r="KQ47" s="962">
        <f t="shared" si="366"/>
        <v>35.68333333333333</v>
      </c>
      <c r="KR47" s="962">
        <f t="shared" si="366"/>
        <v>35.68333333333333</v>
      </c>
      <c r="KS47" s="962">
        <f t="shared" si="366"/>
        <v>35.68333333333333</v>
      </c>
      <c r="KT47" s="962">
        <f t="shared" ref="KT47:NE47" si="367">35+(41/60)</f>
        <v>35.68333333333333</v>
      </c>
      <c r="KU47" s="962">
        <f t="shared" si="367"/>
        <v>35.68333333333333</v>
      </c>
      <c r="KV47" s="962">
        <f t="shared" si="367"/>
        <v>35.68333333333333</v>
      </c>
      <c r="KW47" s="962">
        <f t="shared" si="367"/>
        <v>35.68333333333333</v>
      </c>
      <c r="KX47" s="962">
        <f t="shared" si="367"/>
        <v>35.68333333333333</v>
      </c>
      <c r="KY47" s="962">
        <f t="shared" si="367"/>
        <v>35.68333333333333</v>
      </c>
      <c r="KZ47" s="962">
        <f t="shared" si="367"/>
        <v>35.68333333333333</v>
      </c>
      <c r="LA47" s="962">
        <f t="shared" si="367"/>
        <v>35.68333333333333</v>
      </c>
      <c r="LB47" s="962">
        <f t="shared" si="367"/>
        <v>35.68333333333333</v>
      </c>
      <c r="LC47" s="962">
        <f t="shared" si="367"/>
        <v>35.68333333333333</v>
      </c>
      <c r="LD47" s="962">
        <f t="shared" si="367"/>
        <v>35.68333333333333</v>
      </c>
      <c r="LE47" s="962">
        <f t="shared" si="367"/>
        <v>35.68333333333333</v>
      </c>
      <c r="LF47" s="962">
        <f t="shared" si="367"/>
        <v>35.68333333333333</v>
      </c>
      <c r="LG47" s="962">
        <f t="shared" si="367"/>
        <v>35.68333333333333</v>
      </c>
      <c r="LH47" s="962">
        <f t="shared" si="367"/>
        <v>35.68333333333333</v>
      </c>
      <c r="LI47" s="962">
        <f t="shared" si="367"/>
        <v>35.68333333333333</v>
      </c>
      <c r="LJ47" s="962">
        <f t="shared" si="367"/>
        <v>35.68333333333333</v>
      </c>
      <c r="LK47" s="962">
        <f t="shared" si="367"/>
        <v>35.68333333333333</v>
      </c>
      <c r="LL47" s="962">
        <f t="shared" si="367"/>
        <v>35.68333333333333</v>
      </c>
      <c r="LM47" s="962">
        <f t="shared" si="367"/>
        <v>35.68333333333333</v>
      </c>
      <c r="LN47" s="962">
        <f t="shared" si="367"/>
        <v>35.68333333333333</v>
      </c>
      <c r="LO47" s="962">
        <f t="shared" si="367"/>
        <v>35.68333333333333</v>
      </c>
      <c r="LP47" s="962">
        <f t="shared" si="367"/>
        <v>35.68333333333333</v>
      </c>
      <c r="LQ47" s="962">
        <f t="shared" si="367"/>
        <v>35.68333333333333</v>
      </c>
      <c r="LR47" s="962">
        <f t="shared" si="367"/>
        <v>35.68333333333333</v>
      </c>
      <c r="LS47" s="962">
        <f t="shared" si="367"/>
        <v>35.68333333333333</v>
      </c>
      <c r="LT47" s="962">
        <f t="shared" si="367"/>
        <v>35.68333333333333</v>
      </c>
      <c r="LU47" s="962">
        <f t="shared" si="367"/>
        <v>35.68333333333333</v>
      </c>
      <c r="LV47" s="962">
        <f t="shared" si="367"/>
        <v>35.68333333333333</v>
      </c>
      <c r="LW47" s="962">
        <f t="shared" si="367"/>
        <v>35.68333333333333</v>
      </c>
      <c r="LX47" s="962">
        <f t="shared" si="367"/>
        <v>35.68333333333333</v>
      </c>
      <c r="LY47" s="962">
        <f t="shared" si="367"/>
        <v>35.68333333333333</v>
      </c>
      <c r="LZ47" s="962">
        <f t="shared" si="367"/>
        <v>35.68333333333333</v>
      </c>
      <c r="MA47" s="962">
        <f t="shared" si="367"/>
        <v>35.68333333333333</v>
      </c>
      <c r="MB47" s="962">
        <f t="shared" si="367"/>
        <v>35.68333333333333</v>
      </c>
      <c r="MC47" s="962">
        <f t="shared" si="367"/>
        <v>35.68333333333333</v>
      </c>
      <c r="MD47" s="962">
        <f t="shared" si="367"/>
        <v>35.68333333333333</v>
      </c>
      <c r="ME47" s="962">
        <f t="shared" si="367"/>
        <v>35.68333333333333</v>
      </c>
      <c r="MF47" s="962">
        <f t="shared" si="367"/>
        <v>35.68333333333333</v>
      </c>
      <c r="MG47" s="962">
        <f t="shared" si="367"/>
        <v>35.68333333333333</v>
      </c>
      <c r="MH47" s="962">
        <f t="shared" si="367"/>
        <v>35.68333333333333</v>
      </c>
      <c r="MI47" s="962">
        <f t="shared" si="367"/>
        <v>35.68333333333333</v>
      </c>
      <c r="MJ47" s="962">
        <f t="shared" si="367"/>
        <v>35.68333333333333</v>
      </c>
      <c r="MK47" s="962">
        <f t="shared" si="367"/>
        <v>35.68333333333333</v>
      </c>
      <c r="ML47" s="962">
        <f t="shared" si="367"/>
        <v>35.68333333333333</v>
      </c>
      <c r="MM47" s="962">
        <f t="shared" si="367"/>
        <v>35.68333333333333</v>
      </c>
      <c r="MN47" s="962">
        <f t="shared" si="367"/>
        <v>35.68333333333333</v>
      </c>
      <c r="MO47" s="962">
        <f t="shared" si="367"/>
        <v>35.68333333333333</v>
      </c>
      <c r="MP47" s="962">
        <f t="shared" si="367"/>
        <v>35.68333333333333</v>
      </c>
      <c r="MQ47" s="962">
        <f t="shared" si="367"/>
        <v>35.68333333333333</v>
      </c>
      <c r="MR47" s="962">
        <f t="shared" si="367"/>
        <v>35.68333333333333</v>
      </c>
      <c r="MS47" s="962">
        <f t="shared" si="367"/>
        <v>35.68333333333333</v>
      </c>
      <c r="MT47" s="962">
        <f t="shared" si="367"/>
        <v>35.68333333333333</v>
      </c>
      <c r="MU47" s="962">
        <f t="shared" si="367"/>
        <v>35.68333333333333</v>
      </c>
      <c r="MV47" s="962">
        <f t="shared" si="367"/>
        <v>35.68333333333333</v>
      </c>
      <c r="MW47" s="962">
        <f t="shared" si="367"/>
        <v>35.68333333333333</v>
      </c>
      <c r="MX47" s="962">
        <f t="shared" si="367"/>
        <v>35.68333333333333</v>
      </c>
      <c r="MY47" s="962">
        <f t="shared" si="367"/>
        <v>35.68333333333333</v>
      </c>
      <c r="MZ47" s="962">
        <f t="shared" si="367"/>
        <v>35.68333333333333</v>
      </c>
      <c r="NA47" s="962">
        <f t="shared" si="367"/>
        <v>35.68333333333333</v>
      </c>
      <c r="NB47" s="962">
        <f t="shared" si="367"/>
        <v>35.68333333333333</v>
      </c>
      <c r="NC47" s="962">
        <f t="shared" si="367"/>
        <v>35.68333333333333</v>
      </c>
      <c r="ND47" s="962">
        <f t="shared" si="367"/>
        <v>35.68333333333333</v>
      </c>
      <c r="NE47" s="962">
        <f t="shared" si="367"/>
        <v>35.68333333333333</v>
      </c>
      <c r="NF47" s="962">
        <f t="shared" ref="NF47:PQ47" si="368">35+(41/60)</f>
        <v>35.68333333333333</v>
      </c>
      <c r="NG47" s="962">
        <f t="shared" si="368"/>
        <v>35.68333333333333</v>
      </c>
      <c r="NH47" s="962">
        <f t="shared" si="368"/>
        <v>35.68333333333333</v>
      </c>
      <c r="NI47" s="962">
        <f t="shared" si="368"/>
        <v>35.68333333333333</v>
      </c>
      <c r="NJ47" s="962">
        <f t="shared" si="368"/>
        <v>35.68333333333333</v>
      </c>
      <c r="NK47" s="962">
        <f t="shared" si="368"/>
        <v>35.68333333333333</v>
      </c>
      <c r="NL47" s="962">
        <f t="shared" si="368"/>
        <v>35.68333333333333</v>
      </c>
      <c r="NM47" s="962">
        <f t="shared" si="368"/>
        <v>35.68333333333333</v>
      </c>
      <c r="NN47" s="962">
        <f t="shared" si="368"/>
        <v>35.68333333333333</v>
      </c>
      <c r="NO47" s="962">
        <f t="shared" si="368"/>
        <v>35.68333333333333</v>
      </c>
      <c r="NP47" s="962">
        <f t="shared" si="368"/>
        <v>35.68333333333333</v>
      </c>
      <c r="NQ47" s="962">
        <f t="shared" si="368"/>
        <v>35.68333333333333</v>
      </c>
      <c r="NR47" s="962">
        <f t="shared" si="368"/>
        <v>35.68333333333333</v>
      </c>
      <c r="NS47" s="962">
        <f t="shared" si="368"/>
        <v>35.68333333333333</v>
      </c>
      <c r="NT47" s="962">
        <f t="shared" si="368"/>
        <v>35.68333333333333</v>
      </c>
      <c r="NU47" s="962">
        <f t="shared" si="368"/>
        <v>35.68333333333333</v>
      </c>
      <c r="NV47" s="962">
        <f t="shared" si="368"/>
        <v>35.68333333333333</v>
      </c>
      <c r="NW47" s="962">
        <f t="shared" si="368"/>
        <v>35.68333333333333</v>
      </c>
      <c r="NX47" s="962">
        <f t="shared" si="368"/>
        <v>35.68333333333333</v>
      </c>
      <c r="NY47" s="962">
        <f t="shared" si="368"/>
        <v>35.68333333333333</v>
      </c>
      <c r="NZ47" s="962">
        <f t="shared" si="368"/>
        <v>35.68333333333333</v>
      </c>
      <c r="OA47" s="962">
        <f t="shared" si="368"/>
        <v>35.68333333333333</v>
      </c>
      <c r="OB47" s="962">
        <f t="shared" si="368"/>
        <v>35.68333333333333</v>
      </c>
      <c r="OC47" s="962">
        <f t="shared" si="368"/>
        <v>35.68333333333333</v>
      </c>
      <c r="OD47" s="962">
        <f t="shared" si="368"/>
        <v>35.68333333333333</v>
      </c>
      <c r="OE47" s="962">
        <f t="shared" si="368"/>
        <v>35.68333333333333</v>
      </c>
      <c r="OF47" s="962">
        <f t="shared" si="368"/>
        <v>35.68333333333333</v>
      </c>
      <c r="OG47" s="962">
        <f t="shared" si="368"/>
        <v>35.68333333333333</v>
      </c>
      <c r="OH47" s="962">
        <f t="shared" si="368"/>
        <v>35.68333333333333</v>
      </c>
      <c r="OI47" s="962">
        <f t="shared" si="368"/>
        <v>35.68333333333333</v>
      </c>
      <c r="OJ47" s="962">
        <f t="shared" si="368"/>
        <v>35.68333333333333</v>
      </c>
      <c r="OK47" s="962">
        <f t="shared" si="368"/>
        <v>35.68333333333333</v>
      </c>
      <c r="OL47" s="962">
        <f t="shared" si="368"/>
        <v>35.68333333333333</v>
      </c>
      <c r="OM47" s="962">
        <f t="shared" si="368"/>
        <v>35.68333333333333</v>
      </c>
      <c r="ON47" s="962">
        <f t="shared" si="368"/>
        <v>35.68333333333333</v>
      </c>
      <c r="OO47" s="962">
        <f t="shared" si="368"/>
        <v>35.68333333333333</v>
      </c>
      <c r="OP47" s="962">
        <f t="shared" si="368"/>
        <v>35.68333333333333</v>
      </c>
      <c r="OQ47" s="962">
        <f t="shared" si="368"/>
        <v>35.68333333333333</v>
      </c>
      <c r="OR47" s="962">
        <f t="shared" si="368"/>
        <v>35.68333333333333</v>
      </c>
      <c r="OS47" s="962">
        <f t="shared" si="368"/>
        <v>35.68333333333333</v>
      </c>
      <c r="OT47" s="962">
        <f t="shared" si="368"/>
        <v>35.68333333333333</v>
      </c>
      <c r="OU47" s="962">
        <f t="shared" si="368"/>
        <v>35.68333333333333</v>
      </c>
      <c r="OV47" s="962">
        <f t="shared" si="368"/>
        <v>35.68333333333333</v>
      </c>
      <c r="OW47" s="962">
        <f t="shared" si="368"/>
        <v>35.68333333333333</v>
      </c>
      <c r="OX47" s="962">
        <f t="shared" si="368"/>
        <v>35.68333333333333</v>
      </c>
      <c r="OY47" s="962">
        <f t="shared" si="368"/>
        <v>35.68333333333333</v>
      </c>
      <c r="OZ47" s="962">
        <f t="shared" si="368"/>
        <v>35.68333333333333</v>
      </c>
      <c r="PA47" s="962">
        <f t="shared" si="368"/>
        <v>35.68333333333333</v>
      </c>
      <c r="PB47" s="962">
        <f t="shared" si="368"/>
        <v>35.68333333333333</v>
      </c>
      <c r="PC47" s="962">
        <f t="shared" si="368"/>
        <v>35.68333333333333</v>
      </c>
      <c r="PD47" s="962">
        <f t="shared" si="368"/>
        <v>35.68333333333333</v>
      </c>
      <c r="PE47" s="962">
        <f t="shared" si="368"/>
        <v>35.68333333333333</v>
      </c>
      <c r="PF47" s="962">
        <f t="shared" si="368"/>
        <v>35.68333333333333</v>
      </c>
      <c r="PG47" s="962">
        <f t="shared" si="368"/>
        <v>35.68333333333333</v>
      </c>
      <c r="PH47" s="962">
        <f t="shared" si="368"/>
        <v>35.68333333333333</v>
      </c>
      <c r="PI47" s="962">
        <f t="shared" si="368"/>
        <v>35.68333333333333</v>
      </c>
      <c r="PJ47" s="962">
        <f t="shared" si="368"/>
        <v>35.68333333333333</v>
      </c>
      <c r="PK47" s="962">
        <f t="shared" si="368"/>
        <v>35.68333333333333</v>
      </c>
      <c r="PL47" s="962">
        <f t="shared" si="368"/>
        <v>35.68333333333333</v>
      </c>
      <c r="PM47" s="962">
        <f t="shared" si="368"/>
        <v>35.68333333333333</v>
      </c>
      <c r="PN47" s="962">
        <f t="shared" si="368"/>
        <v>35.68333333333333</v>
      </c>
      <c r="PO47" s="962">
        <f t="shared" si="368"/>
        <v>35.68333333333333</v>
      </c>
      <c r="PP47" s="962">
        <f t="shared" si="368"/>
        <v>35.68333333333333</v>
      </c>
      <c r="PQ47" s="962">
        <f t="shared" si="368"/>
        <v>35.68333333333333</v>
      </c>
      <c r="PR47" s="962">
        <f t="shared" ref="PR47:QZ47" si="369">35+(41/60)</f>
        <v>35.68333333333333</v>
      </c>
      <c r="PS47" s="962">
        <f t="shared" si="369"/>
        <v>35.68333333333333</v>
      </c>
      <c r="PT47" s="962">
        <f t="shared" si="369"/>
        <v>35.68333333333333</v>
      </c>
      <c r="PU47" s="962">
        <f t="shared" si="369"/>
        <v>35.68333333333333</v>
      </c>
      <c r="PV47" s="962">
        <f t="shared" si="369"/>
        <v>35.68333333333333</v>
      </c>
      <c r="PW47" s="962">
        <f t="shared" si="369"/>
        <v>35.68333333333333</v>
      </c>
      <c r="PX47" s="962">
        <f t="shared" si="369"/>
        <v>35.68333333333333</v>
      </c>
      <c r="PY47" s="962">
        <f t="shared" si="369"/>
        <v>35.68333333333333</v>
      </c>
      <c r="PZ47" s="962">
        <f t="shared" si="369"/>
        <v>35.68333333333333</v>
      </c>
      <c r="QA47" s="962">
        <f t="shared" si="369"/>
        <v>35.68333333333333</v>
      </c>
      <c r="QB47" s="962">
        <f t="shared" si="369"/>
        <v>35.68333333333333</v>
      </c>
      <c r="QC47" s="962">
        <f t="shared" si="369"/>
        <v>35.68333333333333</v>
      </c>
      <c r="QD47" s="962">
        <f t="shared" si="369"/>
        <v>35.68333333333333</v>
      </c>
      <c r="QE47" s="962">
        <f t="shared" si="369"/>
        <v>35.68333333333333</v>
      </c>
      <c r="QF47" s="962">
        <f t="shared" si="369"/>
        <v>35.68333333333333</v>
      </c>
      <c r="QG47" s="962">
        <f t="shared" si="369"/>
        <v>35.68333333333333</v>
      </c>
      <c r="QH47" s="962">
        <f t="shared" si="369"/>
        <v>35.68333333333333</v>
      </c>
      <c r="QI47" s="962">
        <f t="shared" si="369"/>
        <v>35.68333333333333</v>
      </c>
      <c r="QJ47" s="962">
        <f t="shared" si="369"/>
        <v>35.68333333333333</v>
      </c>
      <c r="QK47" s="962">
        <f t="shared" si="369"/>
        <v>35.68333333333333</v>
      </c>
      <c r="QL47" s="962">
        <f t="shared" si="369"/>
        <v>35.68333333333333</v>
      </c>
      <c r="QM47" s="962">
        <f t="shared" si="369"/>
        <v>35.68333333333333</v>
      </c>
      <c r="QN47" s="962">
        <f t="shared" si="369"/>
        <v>35.68333333333333</v>
      </c>
      <c r="QO47" s="962">
        <f t="shared" si="369"/>
        <v>35.68333333333333</v>
      </c>
      <c r="QP47" s="962">
        <f t="shared" si="369"/>
        <v>35.68333333333333</v>
      </c>
      <c r="QQ47" s="962">
        <f t="shared" si="369"/>
        <v>35.68333333333333</v>
      </c>
      <c r="QR47" s="962">
        <f t="shared" si="369"/>
        <v>35.68333333333333</v>
      </c>
      <c r="QS47" s="962">
        <f t="shared" si="369"/>
        <v>35.68333333333333</v>
      </c>
      <c r="QT47" s="962">
        <f t="shared" si="369"/>
        <v>35.68333333333333</v>
      </c>
      <c r="QU47" s="962">
        <f t="shared" si="369"/>
        <v>35.68333333333333</v>
      </c>
      <c r="QV47" s="962">
        <f t="shared" si="369"/>
        <v>35.68333333333333</v>
      </c>
      <c r="QW47" s="962">
        <f t="shared" si="369"/>
        <v>35.68333333333333</v>
      </c>
      <c r="QX47" s="962">
        <f t="shared" si="369"/>
        <v>35.68333333333333</v>
      </c>
      <c r="QY47" s="962">
        <f t="shared" si="369"/>
        <v>35.68333333333333</v>
      </c>
      <c r="QZ47" s="962">
        <f t="shared" si="369"/>
        <v>35.68333333333333</v>
      </c>
      <c r="RA47" s="963"/>
    </row>
    <row r="48" spans="1:471" ht="17.25">
      <c r="B48" t="s">
        <v>144</v>
      </c>
      <c r="D48" t="s">
        <v>145</v>
      </c>
      <c r="E48" t="s">
        <v>146</v>
      </c>
      <c r="J48" s="21"/>
      <c r="K48" s="21"/>
      <c r="L48" s="21"/>
      <c r="M48" s="21"/>
      <c r="N48" s="21"/>
      <c r="O48" s="21">
        <v>31</v>
      </c>
      <c r="P48" s="21">
        <v>31</v>
      </c>
      <c r="Q48" s="21">
        <v>31</v>
      </c>
      <c r="R48" s="21">
        <v>31</v>
      </c>
      <c r="S48" s="21">
        <v>31</v>
      </c>
      <c r="T48" s="21">
        <v>31</v>
      </c>
      <c r="U48" s="21">
        <v>30</v>
      </c>
      <c r="V48" s="21">
        <v>30</v>
      </c>
      <c r="W48" s="21">
        <v>30</v>
      </c>
      <c r="X48" s="21">
        <v>30</v>
      </c>
      <c r="Y48" s="21">
        <v>30</v>
      </c>
      <c r="Z48" s="21">
        <f>IF(AND((D49="شمسی"),MOD(C49,4)=3),30,29)</f>
        <v>29</v>
      </c>
      <c r="AA48" s="21"/>
      <c r="AK48" s="759" t="s">
        <v>378</v>
      </c>
      <c r="AL48" s="701" t="e">
        <f>[1]!taqsha(AL40,AL41,[1]!roz(AL42,AL46,0,0),AL43)</f>
        <v>#VALUE!</v>
      </c>
      <c r="AM48" s="304" t="e">
        <f>[1]!taqsha(AM40,AM41,[1]!roz(AM42,AM46,0,0),AM43)</f>
        <v>#VALUE!</v>
      </c>
      <c r="AN48" s="304" t="e">
        <f>[1]!taqsha(AN40,AN41,[1]!roz(AN42,AN46,0,0),AN43)</f>
        <v>#VALUE!</v>
      </c>
      <c r="AO48" s="304" t="e">
        <f>[1]!taqsha(AO40,AO41,[1]!roz(AO42,AO46,0,0),AO43)</f>
        <v>#VALUE!</v>
      </c>
      <c r="AP48" s="304" t="e">
        <f>[1]!taqsha(AP40,AP41,[1]!roz(AP42,AP46,0,0),AP43)</f>
        <v>#VALUE!</v>
      </c>
      <c r="AQ48" s="304" t="e">
        <f>[1]!taqsha(AQ40,AQ41,[1]!roz(AQ42,AQ46,0,0),AQ43)</f>
        <v>#VALUE!</v>
      </c>
      <c r="AR48" s="304" t="e">
        <f>[1]!taqsha(AR40,AR41,[1]!roz(AR42,AR46,0,0),AR43)</f>
        <v>#VALUE!</v>
      </c>
      <c r="AS48" s="304" t="e">
        <f>[1]!taqsha(AS40,AS41,[1]!roz(AS42,AS46,0,0),AS43)</f>
        <v>#VALUE!</v>
      </c>
      <c r="AT48" s="304" t="e">
        <f>[1]!taqsha(AT40,AT41,[1]!roz(AT42,AT46,0,0),AT43)</f>
        <v>#VALUE!</v>
      </c>
      <c r="AU48" s="304" t="e">
        <f>[1]!taqsha(AU40,AU41,[1]!roz(AU42,AU46,0,0),AU43)</f>
        <v>#VALUE!</v>
      </c>
      <c r="AV48" s="304" t="e">
        <f>[1]!taqsha(AV40,AV41,[1]!roz(AV42,AV46,0,0),AV43)</f>
        <v>#VALUE!</v>
      </c>
      <c r="AW48" s="314" t="e">
        <f>[1]!taqsha(AW40,AW41,[1]!roz(AW42,AW46,0,0),AW43)</f>
        <v>#VALUE!</v>
      </c>
      <c r="AX48" s="314"/>
      <c r="DB48" s="797" t="s">
        <v>3499</v>
      </c>
      <c r="DC48" s="797"/>
      <c r="DD48" s="961" t="e">
        <f>[1]!qsn([1]!ml([1]!taqsha(1,1,[1]!roz(DD45+1,0,0,0),DD46)),DD47)/30</f>
        <v>#VALUE!</v>
      </c>
      <c r="DH48" s="797"/>
      <c r="DI48" s="797" t="s">
        <v>3499</v>
      </c>
      <c r="DJ48" s="961" t="e">
        <f>[1]!qsn([1]!ml([1]!taqsha(1,1,[1]!roz(DJ45+1,0,0,0),DJ46)),DJ47)/30</f>
        <v>#VALUE!</v>
      </c>
      <c r="DK48" s="962" t="e">
        <f>[1]!qsn([1]!ml([1]!taqsha(1,1,[1]!roz(DK45+1,0,0,0),DK46)),DK47)/30</f>
        <v>#VALUE!</v>
      </c>
      <c r="DL48" s="962" t="e">
        <f>[1]!qsn([1]!ml([1]!taqsha(1,1,[1]!roz(DL45+1,0,0,0),DL46)),DL47)/30</f>
        <v>#VALUE!</v>
      </c>
      <c r="DM48" s="962" t="e">
        <f>[1]!qsn([1]!ml([1]!taqsha(1,1,[1]!roz(DM45+1,0,0,0),DM46)),DM47)/30</f>
        <v>#VALUE!</v>
      </c>
      <c r="DN48" s="962" t="e">
        <f>[1]!qsn([1]!ml([1]!taqsha(1,1,[1]!roz(DN45+1,0,0,0),DN46)),DN47)/30</f>
        <v>#VALUE!</v>
      </c>
      <c r="DO48" s="962" t="e">
        <f>[1]!qsn([1]!ml([1]!taqsha(1,1,[1]!roz(DO45+1,0,0,0),DO46)),DO47)/30</f>
        <v>#VALUE!</v>
      </c>
      <c r="DP48" s="962" t="e">
        <f>[1]!qsn([1]!ml([1]!taqsha(1,1,[1]!roz(DP45+1,0,0,0),DP46)),DP47)/30</f>
        <v>#VALUE!</v>
      </c>
      <c r="DQ48" s="962" t="e">
        <f>[1]!qsn([1]!ml([1]!taqsha(1,1,[1]!roz(DQ45+1,0,0,0),DQ46)),DQ47)/30</f>
        <v>#VALUE!</v>
      </c>
      <c r="DR48" s="962" t="e">
        <f>[1]!qsn([1]!ml([1]!taqsha(1,1,[1]!roz(DR45+1,0,0,0),DR46)),DR47)/30</f>
        <v>#VALUE!</v>
      </c>
      <c r="DS48" s="962" t="e">
        <f>[1]!qsn([1]!ml([1]!taqsha(1,1,[1]!roz(DS45+1,0,0,0),DS46)),DS47)/30</f>
        <v>#VALUE!</v>
      </c>
      <c r="DT48" s="962" t="e">
        <f>[1]!qsn([1]!ml([1]!taqsha(1,1,[1]!roz(DT45+1,0,0,0),DT46)),DT47)/30</f>
        <v>#VALUE!</v>
      </c>
      <c r="DU48" s="962" t="e">
        <f>[1]!qsn([1]!ml([1]!taqsha(1,1,[1]!roz(DU45+1,0,0,0),DU46)),DU47)/30</f>
        <v>#VALUE!</v>
      </c>
      <c r="DV48" s="962" t="e">
        <f>[1]!qsn([1]!ml([1]!taqsha(1,1,[1]!roz(DV45+1,0,0,0),DV46)),DV47)/30</f>
        <v>#VALUE!</v>
      </c>
      <c r="DW48" s="962" t="e">
        <f>[1]!qsn([1]!ml([1]!taqsha(1,1,[1]!roz(DW45+1,0,0,0),DW46)),DW47)/30</f>
        <v>#VALUE!</v>
      </c>
      <c r="DX48" s="962" t="e">
        <f>[1]!qsn([1]!ml([1]!taqsha(1,1,[1]!roz(DX45+1,0,0,0),DX46)),DX47)/30</f>
        <v>#VALUE!</v>
      </c>
      <c r="DY48" s="962" t="e">
        <f>[1]!qsn([1]!ml([1]!taqsha(1,1,[1]!roz(DY45+1,0,0,0),DY46)),DY47)/30</f>
        <v>#VALUE!</v>
      </c>
      <c r="DZ48" s="962" t="e">
        <f>[1]!qsn([1]!ml([1]!taqsha(1,1,[1]!roz(DZ45+1,0,0,0),DZ46)),DZ47)/30</f>
        <v>#VALUE!</v>
      </c>
      <c r="EA48" s="962" t="e">
        <f>[1]!qsn([1]!ml([1]!taqsha(1,1,[1]!roz(EA45+1,0,0,0),EA46)),EA47)/30</f>
        <v>#VALUE!</v>
      </c>
      <c r="EB48" s="962" t="e">
        <f>[1]!qsn([1]!ml([1]!taqsha(1,1,[1]!roz(EB45+1,0,0,0),EB46)),EB47)/30</f>
        <v>#VALUE!</v>
      </c>
      <c r="EC48" s="962" t="e">
        <f>[1]!qsn([1]!ml([1]!taqsha(1,1,[1]!roz(EC45+1,0,0,0),EC46)),EC47)/30</f>
        <v>#VALUE!</v>
      </c>
      <c r="ED48" s="962" t="e">
        <f>[1]!qsn([1]!ml([1]!taqsha(1,1,[1]!roz(ED45+1,0,0,0),ED46)),ED47)/30</f>
        <v>#VALUE!</v>
      </c>
      <c r="EE48" s="962" t="e">
        <f>[1]!qsn([1]!ml([1]!taqsha(1,1,[1]!roz(EE45+1,0,0,0),EE46)),EE47)/30</f>
        <v>#VALUE!</v>
      </c>
      <c r="EF48" s="962" t="e">
        <f>[1]!qsn([1]!ml([1]!taqsha(1,1,[1]!roz(EF45+1,0,0,0),EF46)),EF47)/30</f>
        <v>#VALUE!</v>
      </c>
      <c r="EG48" s="962" t="e">
        <f>[1]!qsn([1]!ml([1]!taqsha(1,1,[1]!roz(EG45+1,0,0,0),EG46)),EG47)/30</f>
        <v>#VALUE!</v>
      </c>
      <c r="EH48" s="962" t="e">
        <f>[1]!qsn([1]!ml([1]!taqsha(1,1,[1]!roz(EH45+1,0,0,0),EH46)),EH47)/30</f>
        <v>#VALUE!</v>
      </c>
      <c r="EI48" s="962" t="e">
        <f>[1]!qsn([1]!ml([1]!taqsha(1,1,[1]!roz(EI45+1,0,0,0),EI46)),EI47)/30</f>
        <v>#VALUE!</v>
      </c>
      <c r="EJ48" s="962" t="e">
        <f>[1]!qsn([1]!ml([1]!taqsha(1,1,[1]!roz(EJ45+1,0,0,0),EJ46)),EJ47)/30</f>
        <v>#VALUE!</v>
      </c>
      <c r="EK48" s="962" t="e">
        <f>[1]!qsn([1]!ml([1]!taqsha(1,1,[1]!roz(EK45+1,0,0,0),EK46)),EK47)/30</f>
        <v>#VALUE!</v>
      </c>
      <c r="EL48" s="962" t="e">
        <f>[1]!qsn([1]!ml([1]!taqsha(1,1,[1]!roz(EL45+1,0,0,0),EL46)),EL47)/30</f>
        <v>#VALUE!</v>
      </c>
      <c r="EM48" s="962" t="e">
        <f>[1]!qsn([1]!ml([1]!taqsha(1,1,[1]!roz(EM45+1,0,0,0),EM46)),EM47)/30</f>
        <v>#VALUE!</v>
      </c>
      <c r="EN48" s="962" t="e">
        <f>[1]!qsn([1]!ml([1]!taqsha(1,1,[1]!roz(EN45+1,0,0,0),EN46)),EN47)/30</f>
        <v>#VALUE!</v>
      </c>
      <c r="EO48" s="962" t="e">
        <f>[1]!qsn([1]!ml([1]!taqsha(1,1,[1]!roz(EO45+1,0,0,0),EO46)),EO47)/30</f>
        <v>#VALUE!</v>
      </c>
      <c r="EP48" s="962" t="e">
        <f>[1]!qsn([1]!ml([1]!taqsha(1,1,[1]!roz(EP45+1,0,0,0),EP46)),EP47)/30</f>
        <v>#VALUE!</v>
      </c>
      <c r="EQ48" s="962" t="e">
        <f>[1]!qsn([1]!ml([1]!taqsha(1,1,[1]!roz(EQ45+1,0,0,0),EQ46)),EQ47)/30</f>
        <v>#VALUE!</v>
      </c>
      <c r="ER48" s="962" t="e">
        <f>[1]!qsn([1]!ml([1]!taqsha(1,1,[1]!roz(ER45+1,0,0,0),ER46)),ER47)/30</f>
        <v>#VALUE!</v>
      </c>
      <c r="ES48" s="962" t="e">
        <f>[1]!qsn([1]!ml([1]!taqsha(1,1,[1]!roz(ES45+1,0,0,0),ES46)),ES47)/30</f>
        <v>#VALUE!</v>
      </c>
      <c r="ET48" s="962" t="e">
        <f>[1]!qsn([1]!ml([1]!taqsha(1,1,[1]!roz(ET45+1,0,0,0),ET46)),ET47)/30</f>
        <v>#VALUE!</v>
      </c>
      <c r="EU48" s="962" t="e">
        <f>[1]!qsn([1]!ml([1]!taqsha(1,1,[1]!roz(EU45+1,0,0,0),EU46)),EU47)/30</f>
        <v>#VALUE!</v>
      </c>
      <c r="EV48" s="962" t="e">
        <f>[1]!qsn([1]!ml([1]!taqsha(1,1,[1]!roz(EV45+1,0,0,0),EV46)),EV47)/30</f>
        <v>#VALUE!</v>
      </c>
      <c r="EW48" s="962" t="e">
        <f>[1]!qsn([1]!ml([1]!taqsha(1,1,[1]!roz(EW45+1,0,0,0),EW46)),EW47)/30</f>
        <v>#VALUE!</v>
      </c>
      <c r="EX48" s="962" t="e">
        <f>[1]!qsn([1]!ml([1]!taqsha(1,1,[1]!roz(EX45+1,0,0,0),EX46)),EX47)/30</f>
        <v>#VALUE!</v>
      </c>
      <c r="EY48" s="962" t="e">
        <f>[1]!qsn([1]!ml([1]!taqsha(1,1,[1]!roz(EY45+1,0,0,0),EY46)),EY47)/30</f>
        <v>#VALUE!</v>
      </c>
      <c r="EZ48" s="962" t="e">
        <f>[1]!qsn([1]!ml([1]!taqsha(1,1,[1]!roz(EZ45+1,0,0,0),EZ46)),EZ47)/30</f>
        <v>#VALUE!</v>
      </c>
      <c r="FA48" s="962" t="e">
        <f>[1]!qsn([1]!ml([1]!taqsha(1,1,[1]!roz(FA45+1,0,0,0),FA46)),FA47)/30</f>
        <v>#VALUE!</v>
      </c>
      <c r="FB48" s="962" t="e">
        <f>[1]!qsn([1]!ml([1]!taqsha(1,1,[1]!roz(FB45+1,0,0,0),FB46)),FB47)/30</f>
        <v>#VALUE!</v>
      </c>
      <c r="FC48" s="962" t="e">
        <f>[1]!qsn([1]!ml([1]!taqsha(1,1,[1]!roz(FC45+1,0,0,0),FC46)),FC47)/30</f>
        <v>#VALUE!</v>
      </c>
      <c r="FD48" s="962" t="e">
        <f>[1]!qsn([1]!ml([1]!taqsha(1,1,[1]!roz(FD45+1,0,0,0),FD46)),FD47)/30</f>
        <v>#VALUE!</v>
      </c>
      <c r="FE48" s="962" t="e">
        <f>[1]!qsn([1]!ml([1]!taqsha(1,1,[1]!roz(FE45+1,0,0,0),FE46)),FE47)/30</f>
        <v>#VALUE!</v>
      </c>
      <c r="FF48" s="962" t="e">
        <f>[1]!qsn([1]!ml([1]!taqsha(1,1,[1]!roz(FF45+1,0,0,0),FF46)),FF47)/30</f>
        <v>#VALUE!</v>
      </c>
      <c r="FG48" s="962" t="e">
        <f>[1]!qsn([1]!ml([1]!taqsha(1,1,[1]!roz(FG45+1,0,0,0),FG46)),FG47)/30</f>
        <v>#VALUE!</v>
      </c>
      <c r="FH48" s="962" t="e">
        <f>[1]!qsn([1]!ml([1]!taqsha(1,1,[1]!roz(FH45+1,0,0,0),FH46)),FH47)/30</f>
        <v>#VALUE!</v>
      </c>
      <c r="FI48" s="962" t="e">
        <f>[1]!qsn([1]!ml([1]!taqsha(1,1,[1]!roz(FI45+1,0,0,0),FI46)),FI47)/30</f>
        <v>#VALUE!</v>
      </c>
      <c r="FJ48" s="962" t="e">
        <f>[1]!qsn([1]!ml([1]!taqsha(1,1,[1]!roz(FJ45+1,0,0,0),FJ46)),FJ47)/30</f>
        <v>#VALUE!</v>
      </c>
      <c r="FK48" s="962" t="e">
        <f>[1]!qsn([1]!ml([1]!taqsha(1,1,[1]!roz(FK45+1,0,0,0),FK46)),FK47)/30</f>
        <v>#VALUE!</v>
      </c>
      <c r="FL48" s="962" t="e">
        <f>[1]!qsn([1]!ml([1]!taqsha(1,1,[1]!roz(FL45+1,0,0,0),FL46)),FL47)/30</f>
        <v>#VALUE!</v>
      </c>
      <c r="FM48" s="962" t="e">
        <f>[1]!qsn([1]!ml([1]!taqsha(1,1,[1]!roz(FM45+1,0,0,0),FM46)),FM47)/30</f>
        <v>#VALUE!</v>
      </c>
      <c r="FN48" s="962" t="e">
        <f>[1]!qsn([1]!ml([1]!taqsha(1,1,[1]!roz(FN45+1,0,0,0),FN46)),FN47)/30</f>
        <v>#VALUE!</v>
      </c>
      <c r="FO48" s="962" t="e">
        <f>[1]!qsn([1]!ml([1]!taqsha(1,1,[1]!roz(FO45+1,0,0,0),FO46)),FO47)/30</f>
        <v>#VALUE!</v>
      </c>
      <c r="FP48" s="962" t="e">
        <f>[1]!qsn([1]!ml([1]!taqsha(1,1,[1]!roz(FP45+1,0,0,0),FP46)),FP47)/30</f>
        <v>#VALUE!</v>
      </c>
      <c r="FQ48" s="962" t="e">
        <f>[1]!qsn([1]!ml([1]!taqsha(1,1,[1]!roz(FQ45+1,0,0,0),FQ46)),FQ47)/30</f>
        <v>#VALUE!</v>
      </c>
      <c r="FR48" s="962" t="e">
        <f>[1]!qsn([1]!ml([1]!taqsha(1,1,[1]!roz(FR45+1,0,0,0),FR46)),FR47)/30</f>
        <v>#VALUE!</v>
      </c>
      <c r="FS48" s="962" t="e">
        <f>[1]!qsn([1]!ml([1]!taqsha(1,1,[1]!roz(FS45+1,0,0,0),FS46)),FS47)/30</f>
        <v>#VALUE!</v>
      </c>
      <c r="FT48" s="962" t="e">
        <f>[1]!qsn([1]!ml([1]!taqsha(1,1,[1]!roz(FT45+1,0,0,0),FT46)),FT47)/30</f>
        <v>#VALUE!</v>
      </c>
      <c r="FU48" s="962" t="e">
        <f>[1]!qsn([1]!ml([1]!taqsha(1,1,[1]!roz(FU45+1,0,0,0),FU46)),FU47)/30</f>
        <v>#VALUE!</v>
      </c>
      <c r="FV48" s="962" t="e">
        <f>[1]!qsn([1]!ml([1]!taqsha(1,1,[1]!roz(FV45+1,0,0,0),FV46)),FV47)/30</f>
        <v>#VALUE!</v>
      </c>
      <c r="FW48" s="962" t="e">
        <f>[1]!qsn([1]!ml([1]!taqsha(1,1,[1]!roz(FW45+1,0,0,0),FW46)),FW47)/30</f>
        <v>#VALUE!</v>
      </c>
      <c r="FX48" s="962" t="e">
        <f>[1]!qsn([1]!ml([1]!taqsha(1,1,[1]!roz(FX45+1,0,0,0),FX46)),FX47)/30</f>
        <v>#VALUE!</v>
      </c>
      <c r="FY48" s="962" t="e">
        <f>[1]!qsn([1]!ml([1]!taqsha(1,1,[1]!roz(FY45+1,0,0,0),FY46)),FY47)/30</f>
        <v>#VALUE!</v>
      </c>
      <c r="FZ48" s="962" t="e">
        <f>[1]!qsn([1]!ml([1]!taqsha(1,1,[1]!roz(FZ45+1,0,0,0),FZ46)),FZ47)/30</f>
        <v>#VALUE!</v>
      </c>
      <c r="GA48" s="962" t="e">
        <f>[1]!qsn([1]!ml([1]!taqsha(1,1,[1]!roz(GA45+1,0,0,0),GA46)),GA47)/30</f>
        <v>#VALUE!</v>
      </c>
      <c r="GB48" s="962" t="e">
        <f>[1]!qsn([1]!ml([1]!taqsha(1,1,[1]!roz(GB45+1,0,0,0),GB46)),GB47)/30</f>
        <v>#VALUE!</v>
      </c>
      <c r="GC48" s="962" t="e">
        <f>[1]!qsn([1]!ml([1]!taqsha(1,1,[1]!roz(GC45+1,0,0,0),GC46)),GC47)/30</f>
        <v>#VALUE!</v>
      </c>
      <c r="GD48" s="962" t="e">
        <f>[1]!qsn([1]!ml([1]!taqsha(1,1,[1]!roz(GD45+1,0,0,0),GD46)),GD47)/30</f>
        <v>#VALUE!</v>
      </c>
      <c r="GE48" s="962" t="e">
        <f>[1]!qsn([1]!ml([1]!taqsha(1,1,[1]!roz(GE45+1,0,0,0),GE46)),GE47)/30</f>
        <v>#VALUE!</v>
      </c>
      <c r="GF48" s="962" t="e">
        <f>[1]!qsn([1]!ml([1]!taqsha(1,1,[1]!roz(GF45+1,0,0,0),GF46)),GF47)/30</f>
        <v>#VALUE!</v>
      </c>
      <c r="GG48" s="962" t="e">
        <f>[1]!qsn([1]!ml([1]!taqsha(1,1,[1]!roz(GG45+1,0,0,0),GG46)),GG47)/30</f>
        <v>#VALUE!</v>
      </c>
      <c r="GH48" s="962" t="e">
        <f>[1]!qsn([1]!ml([1]!taqsha(1,1,[1]!roz(GH45+1,0,0,0),GH46)),GH47)/30</f>
        <v>#VALUE!</v>
      </c>
      <c r="GI48" s="962" t="e">
        <f>[1]!qsn([1]!ml([1]!taqsha(1,1,[1]!roz(GI45+1,0,0,0),GI46)),GI47)/30</f>
        <v>#VALUE!</v>
      </c>
      <c r="GJ48" s="962" t="e">
        <f>[1]!qsn([1]!ml([1]!taqsha(1,1,[1]!roz(GJ45+1,0,0,0),GJ46)),GJ47)/30</f>
        <v>#VALUE!</v>
      </c>
      <c r="GK48" s="962" t="e">
        <f>[1]!qsn([1]!ml([1]!taqsha(1,1,[1]!roz(GK45+1,0,0,0),GK46)),GK47)/30</f>
        <v>#VALUE!</v>
      </c>
      <c r="GL48" s="962" t="e">
        <f>[1]!qsn([1]!ml([1]!taqsha(1,1,[1]!roz(GL45+1,0,0,0),GL46)),GL47)/30</f>
        <v>#VALUE!</v>
      </c>
      <c r="GM48" s="962" t="e">
        <f>[1]!qsn([1]!ml([1]!taqsha(1,1,[1]!roz(GM45+1,0,0,0),GM46)),GM47)/30</f>
        <v>#VALUE!</v>
      </c>
      <c r="GN48" s="962" t="e">
        <f>[1]!qsn([1]!ml([1]!taqsha(1,1,[1]!roz(GN45+1,0,0,0),GN46)),GN47)/30</f>
        <v>#VALUE!</v>
      </c>
      <c r="GO48" s="962" t="e">
        <f>[1]!qsn([1]!ml([1]!taqsha(1,1,[1]!roz(GO45+1,0,0,0),GO46)),GO47)/30</f>
        <v>#VALUE!</v>
      </c>
      <c r="GP48" s="962" t="e">
        <f>[1]!qsn([1]!ml([1]!taqsha(1,1,[1]!roz(GP45+1,0,0,0),GP46)),GP47)/30</f>
        <v>#VALUE!</v>
      </c>
      <c r="GQ48" s="962" t="e">
        <f>[1]!qsn([1]!ml([1]!taqsha(1,1,[1]!roz(GQ45+1,0,0,0),GQ46)),GQ47)/30</f>
        <v>#VALUE!</v>
      </c>
      <c r="GR48" s="962" t="e">
        <f>[1]!qsn([1]!ml([1]!taqsha(1,1,[1]!roz(GR45+1,0,0,0),GR46)),GR47)/30</f>
        <v>#VALUE!</v>
      </c>
      <c r="GS48" s="962" t="e">
        <f>[1]!qsn([1]!ml([1]!taqsha(1,1,[1]!roz(GS45+1,0,0,0),GS46)),GS47)/30</f>
        <v>#VALUE!</v>
      </c>
      <c r="GT48" s="962" t="e">
        <f>[1]!qsn([1]!ml([1]!taqsha(1,1,[1]!roz(GT45+1,0,0,0),GT46)),GT47)/30</f>
        <v>#VALUE!</v>
      </c>
      <c r="GU48" s="962" t="e">
        <f>[1]!qsn([1]!ml([1]!taqsha(1,1,[1]!roz(GU45+1,0,0,0),GU46)),GU47)/30</f>
        <v>#VALUE!</v>
      </c>
      <c r="GV48" s="962" t="e">
        <f>[1]!qsn([1]!ml([1]!taqsha(1,1,[1]!roz(GV45+1,0,0,0),GV46)),GV47)/30</f>
        <v>#VALUE!</v>
      </c>
      <c r="GW48" s="962" t="e">
        <f>[1]!qsn([1]!ml([1]!taqsha(1,1,[1]!roz(GW45+1,0,0,0),GW46)),GW47)/30</f>
        <v>#VALUE!</v>
      </c>
      <c r="GX48" s="962" t="e">
        <f>[1]!qsn([1]!ml([1]!taqsha(1,1,[1]!roz(GX45+1,0,0,0),GX46)),GX47)/30</f>
        <v>#VALUE!</v>
      </c>
      <c r="GY48" s="962" t="e">
        <f>[1]!qsn([1]!ml([1]!taqsha(1,1,[1]!roz(GY45+1,0,0,0),GY46)),GY47)/30</f>
        <v>#VALUE!</v>
      </c>
      <c r="GZ48" s="962" t="e">
        <f>[1]!qsn([1]!ml([1]!taqsha(1,1,[1]!roz(GZ45+1,0,0,0),GZ46)),GZ47)/30</f>
        <v>#VALUE!</v>
      </c>
      <c r="HA48" s="962" t="e">
        <f>[1]!qsn([1]!ml([1]!taqsha(1,1,[1]!roz(HA45+1,0,0,0),HA46)),HA47)/30</f>
        <v>#VALUE!</v>
      </c>
      <c r="HB48" s="962" t="e">
        <f>[1]!qsn([1]!ml([1]!taqsha(1,1,[1]!roz(HB45+1,0,0,0),HB46)),HB47)/30</f>
        <v>#VALUE!</v>
      </c>
      <c r="HC48" s="962" t="e">
        <f>[1]!qsn([1]!ml([1]!taqsha(1,1,[1]!roz(HC45+1,0,0,0),HC46)),HC47)/30</f>
        <v>#VALUE!</v>
      </c>
      <c r="HD48" s="962" t="e">
        <f>[1]!qsn([1]!ml([1]!taqsha(1,1,[1]!roz(HD45+1,0,0,0),HD46)),HD47)/30</f>
        <v>#VALUE!</v>
      </c>
      <c r="HE48" s="962" t="e">
        <f>[1]!qsn([1]!ml([1]!taqsha(1,1,[1]!roz(HE45+1,0,0,0),HE46)),HE47)/30</f>
        <v>#VALUE!</v>
      </c>
      <c r="HF48" s="962" t="e">
        <f>[1]!qsn([1]!ml([1]!taqsha(1,1,[1]!roz(HF45+1,0,0,0),HF46)),HF47)/30</f>
        <v>#VALUE!</v>
      </c>
      <c r="HG48" s="962" t="e">
        <f>[1]!qsn([1]!ml([1]!taqsha(1,1,[1]!roz(HG45+1,0,0,0),HG46)),HG47)/30</f>
        <v>#VALUE!</v>
      </c>
      <c r="HH48" s="962" t="e">
        <f>[1]!qsn([1]!ml([1]!taqsha(1,1,[1]!roz(HH45+1,0,0,0),HH46)),HH47)/30</f>
        <v>#VALUE!</v>
      </c>
      <c r="HI48" s="962" t="e">
        <f>[1]!qsn([1]!ml([1]!taqsha(1,1,[1]!roz(HI45+1,0,0,0),HI46)),HI47)/30</f>
        <v>#VALUE!</v>
      </c>
      <c r="HJ48" s="962" t="e">
        <f>[1]!qsn([1]!ml([1]!taqsha(1,1,[1]!roz(HJ45+1,0,0,0),HJ46)),HJ47)/30</f>
        <v>#VALUE!</v>
      </c>
      <c r="HK48" s="962" t="e">
        <f>[1]!qsn([1]!ml([1]!taqsha(1,1,[1]!roz(HK45+1,0,0,0),HK46)),HK47)/30</f>
        <v>#VALUE!</v>
      </c>
      <c r="HL48" s="962" t="e">
        <f>[1]!qsn([1]!ml([1]!taqsha(1,1,[1]!roz(HL45+1,0,0,0),HL46)),HL47)/30</f>
        <v>#VALUE!</v>
      </c>
      <c r="HM48" s="962" t="e">
        <f>[1]!qsn([1]!ml([1]!taqsha(1,1,[1]!roz(HM45+1,0,0,0),HM46)),HM47)/30</f>
        <v>#VALUE!</v>
      </c>
      <c r="HN48" s="962" t="e">
        <f>[1]!qsn([1]!ml([1]!taqsha(1,1,[1]!roz(HN45+1,0,0,0),HN46)),HN47)/30</f>
        <v>#VALUE!</v>
      </c>
      <c r="HO48" s="962" t="e">
        <f>[1]!qsn([1]!ml([1]!taqsha(1,1,[1]!roz(HO45+1,0,0,0),HO46)),HO47)/30</f>
        <v>#VALUE!</v>
      </c>
      <c r="HP48" s="962" t="e">
        <f>[1]!qsn([1]!ml([1]!taqsha(1,1,[1]!roz(HP45+1,0,0,0),HP46)),HP47)/30</f>
        <v>#VALUE!</v>
      </c>
      <c r="HQ48" s="962" t="e">
        <f>[1]!qsn([1]!ml([1]!taqsha(1,1,[1]!roz(HQ45+1,0,0,0),HQ46)),HQ47)/30</f>
        <v>#VALUE!</v>
      </c>
      <c r="HR48" s="962" t="e">
        <f>[1]!qsn([1]!ml([1]!taqsha(1,1,[1]!roz(HR45+1,0,0,0),HR46)),HR47)/30</f>
        <v>#VALUE!</v>
      </c>
      <c r="HS48" s="962" t="e">
        <f>[1]!qsn([1]!ml([1]!taqsha(1,1,[1]!roz(HS45+1,0,0,0),HS46)),HS47)/30</f>
        <v>#VALUE!</v>
      </c>
      <c r="HT48" s="962" t="e">
        <f>[1]!qsn([1]!ml([1]!taqsha(1,1,[1]!roz(HT45+1,0,0,0),HT46)),HT47)/30</f>
        <v>#VALUE!</v>
      </c>
      <c r="HU48" s="962" t="e">
        <f>[1]!qsn([1]!ml([1]!taqsha(1,1,[1]!roz(HU45+1,0,0,0),HU46)),HU47)/30</f>
        <v>#VALUE!</v>
      </c>
      <c r="HV48" s="962" t="e">
        <f>[1]!qsn([1]!ml([1]!taqsha(1,1,[1]!roz(HV45+1,0,0,0),HV46)),HV47)/30</f>
        <v>#VALUE!</v>
      </c>
      <c r="HW48" s="962" t="e">
        <f>[1]!qsn([1]!ml([1]!taqsha(1,1,[1]!roz(HW45+1,0,0,0),HW46)),HW47)/30</f>
        <v>#VALUE!</v>
      </c>
      <c r="HX48" s="962" t="e">
        <f>[1]!qsn([1]!ml([1]!taqsha(1,1,[1]!roz(HX45+1,0,0,0),HX46)),HX47)/30</f>
        <v>#VALUE!</v>
      </c>
      <c r="HY48" s="962" t="e">
        <f>[1]!qsn([1]!ml([1]!taqsha(1,1,[1]!roz(HY45+1,0,0,0),HY46)),HY47)/30</f>
        <v>#VALUE!</v>
      </c>
      <c r="HZ48" s="962" t="e">
        <f>[1]!qsn([1]!ml([1]!taqsha(1,1,[1]!roz(HZ45+1,0,0,0),HZ46)),HZ47)/30</f>
        <v>#VALUE!</v>
      </c>
      <c r="IA48" s="962" t="e">
        <f>[1]!qsn([1]!ml([1]!taqsha(1,1,[1]!roz(IA45+1,0,0,0),IA46)),IA47)/30</f>
        <v>#VALUE!</v>
      </c>
      <c r="IB48" s="962" t="e">
        <f>[1]!qsn([1]!ml([1]!taqsha(1,1,[1]!roz(IB45+1,0,0,0),IB46)),IB47)/30</f>
        <v>#VALUE!</v>
      </c>
      <c r="IC48" s="962" t="e">
        <f>[1]!qsn([1]!ml([1]!taqsha(1,1,[1]!roz(IC45+1,0,0,0),IC46)),IC47)/30</f>
        <v>#VALUE!</v>
      </c>
      <c r="ID48" s="962" t="e">
        <f>[1]!qsn([1]!ml([1]!taqsha(1,1,[1]!roz(ID45+1,0,0,0),ID46)),ID47)/30</f>
        <v>#VALUE!</v>
      </c>
      <c r="IE48" s="962" t="e">
        <f>[1]!qsn([1]!ml([1]!taqsha(1,1,[1]!roz(IE45+1,0,0,0),IE46)),IE47)/30</f>
        <v>#VALUE!</v>
      </c>
      <c r="IF48" s="962" t="e">
        <f>[1]!qsn([1]!ml([1]!taqsha(1,1,[1]!roz(IF45+1,0,0,0),IF46)),IF47)/30</f>
        <v>#VALUE!</v>
      </c>
      <c r="IG48" s="962" t="e">
        <f>[1]!qsn([1]!ml([1]!taqsha(1,1,[1]!roz(IG45+1,0,0,0),IG46)),IG47)/30</f>
        <v>#VALUE!</v>
      </c>
      <c r="IH48" s="962" t="e">
        <f>[1]!qsn([1]!ml([1]!taqsha(1,1,[1]!roz(IH45+1,0,0,0),IH46)),IH47)/30</f>
        <v>#VALUE!</v>
      </c>
      <c r="II48" s="962" t="e">
        <f>[1]!qsn([1]!ml([1]!taqsha(1,1,[1]!roz(II45+1,0,0,0),II46)),II47)/30</f>
        <v>#VALUE!</v>
      </c>
      <c r="IJ48" s="962" t="e">
        <f>[1]!qsn([1]!ml([1]!taqsha(1,1,[1]!roz(IJ45+1,0,0,0),IJ46)),IJ47)/30</f>
        <v>#VALUE!</v>
      </c>
      <c r="IK48" s="962" t="e">
        <f>[1]!qsn([1]!ml([1]!taqsha(1,1,[1]!roz(IK45+1,0,0,0),IK46)),IK47)/30</f>
        <v>#VALUE!</v>
      </c>
      <c r="IL48" s="962" t="e">
        <f>[1]!qsn([1]!ml([1]!taqsha(1,1,[1]!roz(IL45+1,0,0,0),IL46)),IL47)/30</f>
        <v>#VALUE!</v>
      </c>
      <c r="IM48" s="962" t="e">
        <f>[1]!qsn([1]!ml([1]!taqsha(1,1,[1]!roz(IM45+1,0,0,0),IM46)),IM47)/30</f>
        <v>#VALUE!</v>
      </c>
      <c r="IN48" s="962" t="e">
        <f>[1]!qsn([1]!ml([1]!taqsha(1,1,[1]!roz(IN45+1,0,0,0),IN46)),IN47)/30</f>
        <v>#VALUE!</v>
      </c>
      <c r="IO48" s="962" t="e">
        <f>[1]!qsn([1]!ml([1]!taqsha(1,1,[1]!roz(IO45+1,0,0,0),IO46)),IO47)/30</f>
        <v>#VALUE!</v>
      </c>
      <c r="IP48" s="962" t="e">
        <f>[1]!qsn([1]!ml([1]!taqsha(1,1,[1]!roz(IP45+1,0,0,0),IP46)),IP47)/30</f>
        <v>#VALUE!</v>
      </c>
      <c r="IQ48" s="962" t="e">
        <f>[1]!qsn([1]!ml([1]!taqsha(1,1,[1]!roz(IQ45+1,0,0,0),IQ46)),IQ47)/30</f>
        <v>#VALUE!</v>
      </c>
      <c r="IR48" s="962" t="e">
        <f>[1]!qsn([1]!ml([1]!taqsha(1,1,[1]!roz(IR45+1,0,0,0),IR46)),IR47)/30</f>
        <v>#VALUE!</v>
      </c>
      <c r="IS48" s="962" t="e">
        <f>[1]!qsn([1]!ml([1]!taqsha(1,1,[1]!roz(IS45+1,0,0,0),IS46)),IS47)/30</f>
        <v>#VALUE!</v>
      </c>
      <c r="IT48" s="962" t="e">
        <f>[1]!qsn([1]!ml([1]!taqsha(1,1,[1]!roz(IT45+1,0,0,0),IT46)),IT47)/30</f>
        <v>#VALUE!</v>
      </c>
      <c r="IU48" s="962" t="e">
        <f>[1]!qsn([1]!ml([1]!taqsha(1,1,[1]!roz(IU45+1,0,0,0),IU46)),IU47)/30</f>
        <v>#VALUE!</v>
      </c>
      <c r="IV48" s="962" t="e">
        <f>[1]!qsn([1]!ml([1]!taqsha(1,1,[1]!roz(IV45+1,0,0,0),IV46)),IV47)/30</f>
        <v>#VALUE!</v>
      </c>
      <c r="IW48" s="962" t="e">
        <f>[1]!qsn([1]!ml([1]!taqsha(1,1,[1]!roz(IW45+1,0,0,0),IW46)),IW47)/30</f>
        <v>#VALUE!</v>
      </c>
      <c r="IX48" s="962" t="e">
        <f>[1]!qsn([1]!ml([1]!taqsha(1,1,[1]!roz(IX45+1,0,0,0),IX46)),IX47)/30</f>
        <v>#VALUE!</v>
      </c>
      <c r="IY48" s="962" t="e">
        <f>[1]!qsn([1]!ml([1]!taqsha(1,1,[1]!roz(IY45+1,0,0,0),IY46)),IY47)/30</f>
        <v>#VALUE!</v>
      </c>
      <c r="IZ48" s="962" t="e">
        <f>[1]!qsn([1]!ml([1]!taqsha(1,1,[1]!roz(IZ45+1,0,0,0),IZ46)),IZ47)/30</f>
        <v>#VALUE!</v>
      </c>
      <c r="JA48" s="962" t="e">
        <f>[1]!qsn([1]!ml([1]!taqsha(1,1,[1]!roz(JA45+1,0,0,0),JA46)),JA47)/30</f>
        <v>#VALUE!</v>
      </c>
      <c r="JB48" s="962" t="e">
        <f>[1]!qsn([1]!ml([1]!taqsha(1,1,[1]!roz(JB45+1,0,0,0),JB46)),JB47)/30</f>
        <v>#VALUE!</v>
      </c>
      <c r="JC48" s="962" t="e">
        <f>[1]!qsn([1]!ml([1]!taqsha(1,1,[1]!roz(JC45+1,0,0,0),JC46)),JC47)/30</f>
        <v>#VALUE!</v>
      </c>
      <c r="JD48" s="962" t="e">
        <f>[1]!qsn([1]!ml([1]!taqsha(1,1,[1]!roz(JD45+1,0,0,0),JD46)),JD47)/30</f>
        <v>#VALUE!</v>
      </c>
      <c r="JE48" s="962" t="e">
        <f>[1]!qsn([1]!ml([1]!taqsha(1,1,[1]!roz(JE45+1,0,0,0),JE46)),JE47)/30</f>
        <v>#VALUE!</v>
      </c>
      <c r="JF48" s="962" t="e">
        <f>[1]!qsn([1]!ml([1]!taqsha(1,1,[1]!roz(JF45+1,0,0,0),JF46)),JF47)/30</f>
        <v>#VALUE!</v>
      </c>
      <c r="JG48" s="962" t="e">
        <f>[1]!qsn([1]!ml([1]!taqsha(1,1,[1]!roz(JG45+1,0,0,0),JG46)),JG47)/30</f>
        <v>#VALUE!</v>
      </c>
      <c r="JH48" s="962" t="e">
        <f>[1]!qsn([1]!ml([1]!taqsha(1,1,[1]!roz(JH45+1,0,0,0),JH46)),JH47)/30</f>
        <v>#VALUE!</v>
      </c>
      <c r="JI48" s="962" t="e">
        <f>[1]!qsn([1]!ml([1]!taqsha(1,1,[1]!roz(JI45+1,0,0,0),JI46)),JI47)/30</f>
        <v>#VALUE!</v>
      </c>
      <c r="JJ48" s="962" t="e">
        <f>[1]!qsn([1]!ml([1]!taqsha(1,1,[1]!roz(JJ45+1,0,0,0),JJ46)),JJ47)/30</f>
        <v>#VALUE!</v>
      </c>
      <c r="JK48" s="962" t="e">
        <f>[1]!qsn([1]!ml([1]!taqsha(1,1,[1]!roz(JK45+1,0,0,0),JK46)),JK47)/30</f>
        <v>#VALUE!</v>
      </c>
      <c r="JL48" s="962" t="e">
        <f>[1]!qsn([1]!ml([1]!taqsha(1,1,[1]!roz(JL45+1,0,0,0),JL46)),JL47)/30</f>
        <v>#VALUE!</v>
      </c>
      <c r="JM48" s="962" t="e">
        <f>[1]!qsn([1]!ml([1]!taqsha(1,1,[1]!roz(JM45+1,0,0,0),JM46)),JM47)/30</f>
        <v>#VALUE!</v>
      </c>
      <c r="JN48" s="962" t="e">
        <f>[1]!qsn([1]!ml([1]!taqsha(1,1,[1]!roz(JN45+1,0,0,0),JN46)),JN47)/30</f>
        <v>#VALUE!</v>
      </c>
      <c r="JO48" s="962" t="e">
        <f>[1]!qsn([1]!ml([1]!taqsha(1,1,[1]!roz(JO45+1,0,0,0),JO46)),JO47)/30</f>
        <v>#VALUE!</v>
      </c>
      <c r="JP48" s="962" t="e">
        <f>[1]!qsn([1]!ml([1]!taqsha(1,1,[1]!roz(JP45+1,0,0,0),JP46)),JP47)/30</f>
        <v>#VALUE!</v>
      </c>
      <c r="JQ48" s="962" t="e">
        <f>[1]!qsn([1]!ml([1]!taqsha(1,1,[1]!roz(JQ45+1,0,0,0),JQ46)),JQ47)/30</f>
        <v>#VALUE!</v>
      </c>
      <c r="JR48" s="962" t="e">
        <f>[1]!qsn([1]!ml([1]!taqsha(1,1,[1]!roz(JR45+1,0,0,0),JR46)),JR47)/30</f>
        <v>#VALUE!</v>
      </c>
      <c r="JS48" s="962" t="e">
        <f>[1]!qsn([1]!ml([1]!taqsha(1,1,[1]!roz(JS45+1,0,0,0),JS46)),JS47)/30</f>
        <v>#VALUE!</v>
      </c>
      <c r="JT48" s="962" t="e">
        <f>[1]!qsn([1]!ml([1]!taqsha(1,1,[1]!roz(JT45+1,0,0,0),JT46)),JT47)/30</f>
        <v>#VALUE!</v>
      </c>
      <c r="JU48" s="962" t="e">
        <f>[1]!qsn([1]!ml([1]!taqsha(1,1,[1]!roz(JU45+1,0,0,0),JU46)),JU47)/30</f>
        <v>#VALUE!</v>
      </c>
      <c r="JV48" s="962" t="e">
        <f>[1]!qsn([1]!ml([1]!taqsha(1,1,[1]!roz(JV45+1,0,0,0),JV46)),JV47)/30</f>
        <v>#VALUE!</v>
      </c>
      <c r="JW48" s="962" t="e">
        <f>[1]!qsn([1]!ml([1]!taqsha(1,1,[1]!roz(JW45+1,0,0,0),JW46)),JW47)/30</f>
        <v>#VALUE!</v>
      </c>
      <c r="JX48" s="962" t="e">
        <f>[1]!qsn([1]!ml([1]!taqsha(1,1,[1]!roz(JX45+1,0,0,0),JX46)),JX47)/30</f>
        <v>#VALUE!</v>
      </c>
      <c r="JY48" s="962" t="e">
        <f>[1]!qsn([1]!ml([1]!taqsha(1,1,[1]!roz(JY45+1,0,0,0),JY46)),JY47)/30</f>
        <v>#VALUE!</v>
      </c>
      <c r="JZ48" s="962" t="e">
        <f>[1]!qsn([1]!ml([1]!taqsha(1,1,[1]!roz(JZ45+1,0,0,0),JZ46)),JZ47)/30</f>
        <v>#VALUE!</v>
      </c>
      <c r="KA48" s="962" t="e">
        <f>[1]!qsn([1]!ml([1]!taqsha(1,1,[1]!roz(KA45+1,0,0,0),KA46)),KA47)/30</f>
        <v>#VALUE!</v>
      </c>
      <c r="KB48" s="962" t="e">
        <f>[1]!qsn([1]!ml([1]!taqsha(1,1,[1]!roz(KB45+1,0,0,0),KB46)),KB47)/30</f>
        <v>#VALUE!</v>
      </c>
      <c r="KC48" s="962" t="e">
        <f>[1]!qsn([1]!ml([1]!taqsha(1,1,[1]!roz(KC45+1,0,0,0),KC46)),KC47)/30</f>
        <v>#VALUE!</v>
      </c>
      <c r="KD48" s="962" t="e">
        <f>[1]!qsn([1]!ml([1]!taqsha(1,1,[1]!roz(KD45+1,0,0,0),KD46)),KD47)/30</f>
        <v>#VALUE!</v>
      </c>
      <c r="KE48" s="962" t="e">
        <f>[1]!qsn([1]!ml([1]!taqsha(1,1,[1]!roz(KE45+1,0,0,0),KE46)),KE47)/30</f>
        <v>#VALUE!</v>
      </c>
      <c r="KF48" s="962" t="e">
        <f>[1]!qsn([1]!ml([1]!taqsha(1,1,[1]!roz(KF45+1,0,0,0),KF46)),KF47)/30</f>
        <v>#VALUE!</v>
      </c>
      <c r="KG48" s="962" t="e">
        <f>[1]!qsn([1]!ml([1]!taqsha(1,1,[1]!roz(KG45+1,0,0,0),KG46)),KG47)/30</f>
        <v>#VALUE!</v>
      </c>
      <c r="KH48" s="962" t="e">
        <f>[1]!qsn([1]!ml([1]!taqsha(1,1,[1]!roz(KH45+1,0,0,0),KH46)),KH47)/30</f>
        <v>#VALUE!</v>
      </c>
      <c r="KI48" s="962" t="e">
        <f>[1]!qsn([1]!ml([1]!taqsha(1,1,[1]!roz(KI45+1,0,0,0),KI46)),KI47)/30</f>
        <v>#VALUE!</v>
      </c>
      <c r="KJ48" s="962" t="e">
        <f>[1]!qsn([1]!ml([1]!taqsha(1,1,[1]!roz(KJ45+1,0,0,0),KJ46)),KJ47)/30</f>
        <v>#VALUE!</v>
      </c>
      <c r="KK48" s="962" t="e">
        <f>[1]!qsn([1]!ml([1]!taqsha(1,1,[1]!roz(KK45+1,0,0,0),KK46)),KK47)/30</f>
        <v>#VALUE!</v>
      </c>
      <c r="KL48" s="962" t="e">
        <f>[1]!qsn([1]!ml([1]!taqsha(1,1,[1]!roz(KL45+1,0,0,0),KL46)),KL47)/30</f>
        <v>#VALUE!</v>
      </c>
      <c r="KM48" s="962" t="e">
        <f>[1]!qsn([1]!ml([1]!taqsha(1,1,[1]!roz(KM45+1,0,0,0),KM46)),KM47)/30</f>
        <v>#VALUE!</v>
      </c>
      <c r="KN48" s="962" t="e">
        <f>[1]!qsn([1]!ml([1]!taqsha(1,1,[1]!roz(KN45+1,0,0,0),KN46)),KN47)/30</f>
        <v>#VALUE!</v>
      </c>
      <c r="KO48" s="962" t="e">
        <f>[1]!qsn([1]!ml([1]!taqsha(1,1,[1]!roz(KO45+1,0,0,0),KO46)),KO47)/30</f>
        <v>#VALUE!</v>
      </c>
      <c r="KP48" s="962" t="e">
        <f>[1]!qsn([1]!ml([1]!taqsha(1,1,[1]!roz(KP45+1,0,0,0),KP46)),KP47)/30</f>
        <v>#VALUE!</v>
      </c>
      <c r="KQ48" s="962" t="e">
        <f>[1]!qsn([1]!ml([1]!taqsha(1,1,[1]!roz(KQ45+1,0,0,0),KQ46)),KQ47)/30</f>
        <v>#VALUE!</v>
      </c>
      <c r="KR48" s="962" t="e">
        <f>[1]!qsn([1]!ml([1]!taqsha(1,1,[1]!roz(KR45+1,0,0,0),KR46)),KR47)/30</f>
        <v>#VALUE!</v>
      </c>
      <c r="KS48" s="962" t="e">
        <f>[1]!qsn([1]!ml([1]!taqsha(1,1,[1]!roz(KS45+1,0,0,0),KS46)),KS47)/30</f>
        <v>#VALUE!</v>
      </c>
      <c r="KT48" s="962" t="e">
        <f>[1]!qsn([1]!ml([1]!taqsha(1,1,[1]!roz(KT45+1,0,0,0),KT46)),KT47)/30</f>
        <v>#VALUE!</v>
      </c>
      <c r="KU48" s="962" t="e">
        <f>[1]!qsn([1]!ml([1]!taqsha(1,1,[1]!roz(KU45+1,0,0,0),KU46)),KU47)/30</f>
        <v>#VALUE!</v>
      </c>
      <c r="KV48" s="962" t="e">
        <f>[1]!qsn([1]!ml([1]!taqsha(1,1,[1]!roz(KV45+1,0,0,0),KV46)),KV47)/30</f>
        <v>#VALUE!</v>
      </c>
      <c r="KW48" s="962" t="e">
        <f>[1]!qsn([1]!ml([1]!taqsha(1,1,[1]!roz(KW45+1,0,0,0),KW46)),KW47)/30</f>
        <v>#VALUE!</v>
      </c>
      <c r="KX48" s="962" t="e">
        <f>[1]!qsn([1]!ml([1]!taqsha(1,1,[1]!roz(KX45+1,0,0,0),KX46)),KX47)/30</f>
        <v>#VALUE!</v>
      </c>
      <c r="KY48" s="962" t="e">
        <f>[1]!qsn([1]!ml([1]!taqsha(1,1,[1]!roz(KY45+1,0,0,0),KY46)),KY47)/30</f>
        <v>#VALUE!</v>
      </c>
      <c r="KZ48" s="962" t="e">
        <f>[1]!qsn([1]!ml([1]!taqsha(1,1,[1]!roz(KZ45+1,0,0,0),KZ46)),KZ47)/30</f>
        <v>#VALUE!</v>
      </c>
      <c r="LA48" s="962" t="e">
        <f>[1]!qsn([1]!ml([1]!taqsha(1,1,[1]!roz(LA45+1,0,0,0),LA46)),LA47)/30</f>
        <v>#VALUE!</v>
      </c>
      <c r="LB48" s="962" t="e">
        <f>[1]!qsn([1]!ml([1]!taqsha(1,1,[1]!roz(LB45+1,0,0,0),LB46)),LB47)/30</f>
        <v>#VALUE!</v>
      </c>
      <c r="LC48" s="962" t="e">
        <f>[1]!qsn([1]!ml([1]!taqsha(1,1,[1]!roz(LC45+1,0,0,0),LC46)),LC47)/30</f>
        <v>#VALUE!</v>
      </c>
      <c r="LD48" s="962" t="e">
        <f>[1]!qsn([1]!ml([1]!taqsha(1,1,[1]!roz(LD45+1,0,0,0),LD46)),LD47)/30</f>
        <v>#VALUE!</v>
      </c>
      <c r="LE48" s="962" t="e">
        <f>[1]!qsn([1]!ml([1]!taqsha(1,1,[1]!roz(LE45+1,0,0,0),LE46)),LE47)/30</f>
        <v>#VALUE!</v>
      </c>
      <c r="LF48" s="962" t="e">
        <f>[1]!qsn([1]!ml([1]!taqsha(1,1,[1]!roz(LF45+1,0,0,0),LF46)),LF47)/30</f>
        <v>#VALUE!</v>
      </c>
      <c r="LG48" s="962" t="e">
        <f>[1]!qsn([1]!ml([1]!taqsha(1,1,[1]!roz(LG45+1,0,0,0),LG46)),LG47)/30</f>
        <v>#VALUE!</v>
      </c>
      <c r="LH48" s="962" t="e">
        <f>[1]!qsn([1]!ml([1]!taqsha(1,1,[1]!roz(LH45+1,0,0,0),LH46)),LH47)/30</f>
        <v>#VALUE!</v>
      </c>
      <c r="LI48" s="962" t="e">
        <f>[1]!qsn([1]!ml([1]!taqsha(1,1,[1]!roz(LI45+1,0,0,0),LI46)),LI47)/30</f>
        <v>#VALUE!</v>
      </c>
      <c r="LJ48" s="962" t="e">
        <f>[1]!qsn([1]!ml([1]!taqsha(1,1,[1]!roz(LJ45+1,0,0,0),LJ46)),LJ47)/30</f>
        <v>#VALUE!</v>
      </c>
      <c r="LK48" s="962" t="e">
        <f>[1]!qsn([1]!ml([1]!taqsha(1,1,[1]!roz(LK45+1,0,0,0),LK46)),LK47)/30</f>
        <v>#VALUE!</v>
      </c>
      <c r="LL48" s="962" t="e">
        <f>[1]!qsn([1]!ml([1]!taqsha(1,1,[1]!roz(LL45+1,0,0,0),LL46)),LL47)/30</f>
        <v>#VALUE!</v>
      </c>
      <c r="LM48" s="962" t="e">
        <f>[1]!qsn([1]!ml([1]!taqsha(1,1,[1]!roz(LM45+1,0,0,0),LM46)),LM47)/30</f>
        <v>#VALUE!</v>
      </c>
      <c r="LN48" s="962" t="e">
        <f>[1]!qsn([1]!ml([1]!taqsha(1,1,[1]!roz(LN45+1,0,0,0),LN46)),LN47)/30</f>
        <v>#VALUE!</v>
      </c>
      <c r="LO48" s="962" t="e">
        <f>[1]!qsn([1]!ml([1]!taqsha(1,1,[1]!roz(LO45+1,0,0,0),LO46)),LO47)/30</f>
        <v>#VALUE!</v>
      </c>
      <c r="LP48" s="962" t="e">
        <f>[1]!qsn([1]!ml([1]!taqsha(1,1,[1]!roz(LP45+1,0,0,0),LP46)),LP47)/30</f>
        <v>#VALUE!</v>
      </c>
      <c r="LQ48" s="962" t="e">
        <f>[1]!qsn([1]!ml([1]!taqsha(1,1,[1]!roz(LQ45+1,0,0,0),LQ46)),LQ47)/30</f>
        <v>#VALUE!</v>
      </c>
      <c r="LR48" s="962" t="e">
        <f>[1]!qsn([1]!ml([1]!taqsha(1,1,[1]!roz(LR45+1,0,0,0),LR46)),LR47)/30</f>
        <v>#VALUE!</v>
      </c>
      <c r="LS48" s="962" t="e">
        <f>[1]!qsn([1]!ml([1]!taqsha(1,1,[1]!roz(LS45+1,0,0,0),LS46)),LS47)/30</f>
        <v>#VALUE!</v>
      </c>
      <c r="LT48" s="962" t="e">
        <f>[1]!qsn([1]!ml([1]!taqsha(1,1,[1]!roz(LT45+1,0,0,0),LT46)),LT47)/30</f>
        <v>#VALUE!</v>
      </c>
      <c r="LU48" s="962" t="e">
        <f>[1]!qsn([1]!ml([1]!taqsha(1,1,[1]!roz(LU45+1,0,0,0),LU46)),LU47)/30</f>
        <v>#VALUE!</v>
      </c>
      <c r="LV48" s="962" t="e">
        <f>[1]!qsn([1]!ml([1]!taqsha(1,1,[1]!roz(LV45+1,0,0,0),LV46)),LV47)/30</f>
        <v>#VALUE!</v>
      </c>
      <c r="LW48" s="962" t="e">
        <f>[1]!qsn([1]!ml([1]!taqsha(1,1,[1]!roz(LW45+1,0,0,0),LW46)),LW47)/30</f>
        <v>#VALUE!</v>
      </c>
      <c r="LX48" s="962" t="e">
        <f>[1]!qsn([1]!ml([1]!taqsha(1,1,[1]!roz(LX45+1,0,0,0),LX46)),LX47)/30</f>
        <v>#VALUE!</v>
      </c>
      <c r="LY48" s="962" t="e">
        <f>[1]!qsn([1]!ml([1]!taqsha(1,1,[1]!roz(LY45+1,0,0,0),LY46)),LY47)/30</f>
        <v>#VALUE!</v>
      </c>
      <c r="LZ48" s="962" t="e">
        <f>[1]!qsn([1]!ml([1]!taqsha(1,1,[1]!roz(LZ45+1,0,0,0),LZ46)),LZ47)/30</f>
        <v>#VALUE!</v>
      </c>
      <c r="MA48" s="962" t="e">
        <f>[1]!qsn([1]!ml([1]!taqsha(1,1,[1]!roz(MA45+1,0,0,0),MA46)),MA47)/30</f>
        <v>#VALUE!</v>
      </c>
      <c r="MB48" s="962" t="e">
        <f>[1]!qsn([1]!ml([1]!taqsha(1,1,[1]!roz(MB45+1,0,0,0),MB46)),MB47)/30</f>
        <v>#VALUE!</v>
      </c>
      <c r="MC48" s="962" t="e">
        <f>[1]!qsn([1]!ml([1]!taqsha(1,1,[1]!roz(MC45+1,0,0,0),MC46)),MC47)/30</f>
        <v>#VALUE!</v>
      </c>
      <c r="MD48" s="962" t="e">
        <f>[1]!qsn([1]!ml([1]!taqsha(1,1,[1]!roz(MD45+1,0,0,0),MD46)),MD47)/30</f>
        <v>#VALUE!</v>
      </c>
      <c r="ME48" s="962" t="e">
        <f>[1]!qsn([1]!ml([1]!taqsha(1,1,[1]!roz(ME45+1,0,0,0),ME46)),ME47)/30</f>
        <v>#VALUE!</v>
      </c>
      <c r="MF48" s="962" t="e">
        <f>[1]!qsn([1]!ml([1]!taqsha(1,1,[1]!roz(MF45+1,0,0,0),MF46)),MF47)/30</f>
        <v>#VALUE!</v>
      </c>
      <c r="MG48" s="962" t="e">
        <f>[1]!qsn([1]!ml([1]!taqsha(1,1,[1]!roz(MG45+1,0,0,0),MG46)),MG47)/30</f>
        <v>#VALUE!</v>
      </c>
      <c r="MH48" s="962" t="e">
        <f>[1]!qsn([1]!ml([1]!taqsha(1,1,[1]!roz(MH45+1,0,0,0),MH46)),MH47)/30</f>
        <v>#VALUE!</v>
      </c>
      <c r="MI48" s="962" t="e">
        <f>[1]!qsn([1]!ml([1]!taqsha(1,1,[1]!roz(MI45+1,0,0,0),MI46)),MI47)/30</f>
        <v>#VALUE!</v>
      </c>
      <c r="MJ48" s="962" t="e">
        <f>[1]!qsn([1]!ml([1]!taqsha(1,1,[1]!roz(MJ45+1,0,0,0),MJ46)),MJ47)/30</f>
        <v>#VALUE!</v>
      </c>
      <c r="MK48" s="962" t="e">
        <f>[1]!qsn([1]!ml([1]!taqsha(1,1,[1]!roz(MK45+1,0,0,0),MK46)),MK47)/30</f>
        <v>#VALUE!</v>
      </c>
      <c r="ML48" s="962" t="e">
        <f>[1]!qsn([1]!ml([1]!taqsha(1,1,[1]!roz(ML45+1,0,0,0),ML46)),ML47)/30</f>
        <v>#VALUE!</v>
      </c>
      <c r="MM48" s="962" t="e">
        <f>[1]!qsn([1]!ml([1]!taqsha(1,1,[1]!roz(MM45+1,0,0,0),MM46)),MM47)/30</f>
        <v>#VALUE!</v>
      </c>
      <c r="MN48" s="962" t="e">
        <f>[1]!qsn([1]!ml([1]!taqsha(1,1,[1]!roz(MN45+1,0,0,0),MN46)),MN47)/30</f>
        <v>#VALUE!</v>
      </c>
      <c r="MO48" s="962" t="e">
        <f>[1]!qsn([1]!ml([1]!taqsha(1,1,[1]!roz(MO45+1,0,0,0),MO46)),MO47)/30</f>
        <v>#VALUE!</v>
      </c>
      <c r="MP48" s="962" t="e">
        <f>[1]!qsn([1]!ml([1]!taqsha(1,1,[1]!roz(MP45+1,0,0,0),MP46)),MP47)/30</f>
        <v>#VALUE!</v>
      </c>
      <c r="MQ48" s="962" t="e">
        <f>[1]!qsn([1]!ml([1]!taqsha(1,1,[1]!roz(MQ45+1,0,0,0),MQ46)),MQ47)/30</f>
        <v>#VALUE!</v>
      </c>
      <c r="MR48" s="962" t="e">
        <f>[1]!qsn([1]!ml([1]!taqsha(1,1,[1]!roz(MR45+1,0,0,0),MR46)),MR47)/30</f>
        <v>#VALUE!</v>
      </c>
      <c r="MS48" s="962" t="e">
        <f>[1]!qsn([1]!ml([1]!taqsha(1,1,[1]!roz(MS45+1,0,0,0),MS46)),MS47)/30</f>
        <v>#VALUE!</v>
      </c>
      <c r="MT48" s="962" t="e">
        <f>[1]!qsn([1]!ml([1]!taqsha(1,1,[1]!roz(MT45+1,0,0,0),MT46)),MT47)/30</f>
        <v>#VALUE!</v>
      </c>
      <c r="MU48" s="962" t="e">
        <f>[1]!qsn([1]!ml([1]!taqsha(1,1,[1]!roz(MU45+1,0,0,0),MU46)),MU47)/30</f>
        <v>#VALUE!</v>
      </c>
      <c r="MV48" s="962" t="e">
        <f>[1]!qsn([1]!ml([1]!taqsha(1,1,[1]!roz(MV45+1,0,0,0),MV46)),MV47)/30</f>
        <v>#VALUE!</v>
      </c>
      <c r="MW48" s="962" t="e">
        <f>[1]!qsn([1]!ml([1]!taqsha(1,1,[1]!roz(MW45+1,0,0,0),MW46)),MW47)/30</f>
        <v>#VALUE!</v>
      </c>
      <c r="MX48" s="962" t="e">
        <f>[1]!qsn([1]!ml([1]!taqsha(1,1,[1]!roz(MX45+1,0,0,0),MX46)),MX47)/30</f>
        <v>#VALUE!</v>
      </c>
      <c r="MY48" s="962" t="e">
        <f>[1]!qsn([1]!ml([1]!taqsha(1,1,[1]!roz(MY45+1,0,0,0),MY46)),MY47)/30</f>
        <v>#VALUE!</v>
      </c>
      <c r="MZ48" s="962" t="e">
        <f>[1]!qsn([1]!ml([1]!taqsha(1,1,[1]!roz(MZ45+1,0,0,0),MZ46)),MZ47)/30</f>
        <v>#VALUE!</v>
      </c>
      <c r="NA48" s="962" t="e">
        <f>[1]!qsn([1]!ml([1]!taqsha(1,1,[1]!roz(NA45+1,0,0,0),NA46)),NA47)/30</f>
        <v>#VALUE!</v>
      </c>
      <c r="NB48" s="962" t="e">
        <f>[1]!qsn([1]!ml([1]!taqsha(1,1,[1]!roz(NB45+1,0,0,0),NB46)),NB47)/30</f>
        <v>#VALUE!</v>
      </c>
      <c r="NC48" s="962" t="e">
        <f>[1]!qsn([1]!ml([1]!taqsha(1,1,[1]!roz(NC45+1,0,0,0),NC46)),NC47)/30</f>
        <v>#VALUE!</v>
      </c>
      <c r="ND48" s="962" t="e">
        <f>[1]!qsn([1]!ml([1]!taqsha(1,1,[1]!roz(ND45+1,0,0,0),ND46)),ND47)/30</f>
        <v>#VALUE!</v>
      </c>
      <c r="NE48" s="962" t="e">
        <f>[1]!qsn([1]!ml([1]!taqsha(1,1,[1]!roz(NE45+1,0,0,0),NE46)),NE47)/30</f>
        <v>#VALUE!</v>
      </c>
      <c r="NF48" s="962" t="e">
        <f>[1]!qsn([1]!ml([1]!taqsha(1,1,[1]!roz(NF45+1,0,0,0),NF46)),NF47)/30</f>
        <v>#VALUE!</v>
      </c>
      <c r="NG48" s="962" t="e">
        <f>[1]!qsn([1]!ml([1]!taqsha(1,1,[1]!roz(NG45+1,0,0,0),NG46)),NG47)/30</f>
        <v>#VALUE!</v>
      </c>
      <c r="NH48" s="962" t="e">
        <f>[1]!qsn([1]!ml([1]!taqsha(1,1,[1]!roz(NH45+1,0,0,0),NH46)),NH47)/30</f>
        <v>#VALUE!</v>
      </c>
      <c r="NI48" s="962" t="e">
        <f>[1]!qsn([1]!ml([1]!taqsha(1,1,[1]!roz(NI45+1,0,0,0),NI46)),NI47)/30</f>
        <v>#VALUE!</v>
      </c>
      <c r="NJ48" s="962" t="e">
        <f>[1]!qsn([1]!ml([1]!taqsha(1,1,[1]!roz(NJ45+1,0,0,0),NJ46)),NJ47)/30</f>
        <v>#VALUE!</v>
      </c>
      <c r="NK48" s="962" t="e">
        <f>[1]!qsn([1]!ml([1]!taqsha(1,1,[1]!roz(NK45+1,0,0,0),NK46)),NK47)/30</f>
        <v>#VALUE!</v>
      </c>
      <c r="NL48" s="962" t="e">
        <f>[1]!qsn([1]!ml([1]!taqsha(1,1,[1]!roz(NL45+1,0,0,0),NL46)),NL47)/30</f>
        <v>#VALUE!</v>
      </c>
      <c r="NM48" s="962" t="e">
        <f>[1]!qsn([1]!ml([1]!taqsha(1,1,[1]!roz(NM45+1,0,0,0),NM46)),NM47)/30</f>
        <v>#VALUE!</v>
      </c>
      <c r="NN48" s="962" t="e">
        <f>[1]!qsn([1]!ml([1]!taqsha(1,1,[1]!roz(NN45+1,0,0,0),NN46)),NN47)/30</f>
        <v>#VALUE!</v>
      </c>
      <c r="NO48" s="962" t="e">
        <f>[1]!qsn([1]!ml([1]!taqsha(1,1,[1]!roz(NO45+1,0,0,0),NO46)),NO47)/30</f>
        <v>#VALUE!</v>
      </c>
      <c r="NP48" s="962" t="e">
        <f>[1]!qsn([1]!ml([1]!taqsha(1,1,[1]!roz(NP45+1,0,0,0),NP46)),NP47)/30</f>
        <v>#VALUE!</v>
      </c>
      <c r="NQ48" s="962" t="e">
        <f>[1]!qsn([1]!ml([1]!taqsha(1,1,[1]!roz(NQ45+1,0,0,0),NQ46)),NQ47)/30</f>
        <v>#VALUE!</v>
      </c>
      <c r="NR48" s="962" t="e">
        <f>[1]!qsn([1]!ml([1]!taqsha(1,1,[1]!roz(NR45+1,0,0,0),NR46)),NR47)/30</f>
        <v>#VALUE!</v>
      </c>
      <c r="NS48" s="962" t="e">
        <f>[1]!qsn([1]!ml([1]!taqsha(1,1,[1]!roz(NS45+1,0,0,0),NS46)),NS47)/30</f>
        <v>#VALUE!</v>
      </c>
      <c r="NT48" s="962" t="e">
        <f>[1]!qsn([1]!ml([1]!taqsha(1,1,[1]!roz(NT45+1,0,0,0),NT46)),NT47)/30</f>
        <v>#VALUE!</v>
      </c>
      <c r="NU48" s="962" t="e">
        <f>[1]!qsn([1]!ml([1]!taqsha(1,1,[1]!roz(NU45+1,0,0,0),NU46)),NU47)/30</f>
        <v>#VALUE!</v>
      </c>
      <c r="NV48" s="962" t="e">
        <f>[1]!qsn([1]!ml([1]!taqsha(1,1,[1]!roz(NV45+1,0,0,0),NV46)),NV47)/30</f>
        <v>#VALUE!</v>
      </c>
      <c r="NW48" s="962" t="e">
        <f>[1]!qsn([1]!ml([1]!taqsha(1,1,[1]!roz(NW45+1,0,0,0),NW46)),NW47)/30</f>
        <v>#VALUE!</v>
      </c>
      <c r="NX48" s="962" t="e">
        <f>[1]!qsn([1]!ml([1]!taqsha(1,1,[1]!roz(NX45+1,0,0,0),NX46)),NX47)/30</f>
        <v>#VALUE!</v>
      </c>
      <c r="NY48" s="962" t="e">
        <f>[1]!qsn([1]!ml([1]!taqsha(1,1,[1]!roz(NY45+1,0,0,0),NY46)),NY47)/30</f>
        <v>#VALUE!</v>
      </c>
      <c r="NZ48" s="962" t="e">
        <f>[1]!qsn([1]!ml([1]!taqsha(1,1,[1]!roz(NZ45+1,0,0,0),NZ46)),NZ47)/30</f>
        <v>#VALUE!</v>
      </c>
      <c r="OA48" s="962" t="e">
        <f>[1]!qsn([1]!ml([1]!taqsha(1,1,[1]!roz(OA45+1,0,0,0),OA46)),OA47)/30</f>
        <v>#VALUE!</v>
      </c>
      <c r="OB48" s="962" t="e">
        <f>[1]!qsn([1]!ml([1]!taqsha(1,1,[1]!roz(OB45+1,0,0,0),OB46)),OB47)/30</f>
        <v>#VALUE!</v>
      </c>
      <c r="OC48" s="962" t="e">
        <f>[1]!qsn([1]!ml([1]!taqsha(1,1,[1]!roz(OC45+1,0,0,0),OC46)),OC47)/30</f>
        <v>#VALUE!</v>
      </c>
      <c r="OD48" s="962" t="e">
        <f>[1]!qsn([1]!ml([1]!taqsha(1,1,[1]!roz(OD45+1,0,0,0),OD46)),OD47)/30</f>
        <v>#VALUE!</v>
      </c>
      <c r="OE48" s="962" t="e">
        <f>[1]!qsn([1]!ml([1]!taqsha(1,1,[1]!roz(OE45+1,0,0,0),OE46)),OE47)/30</f>
        <v>#VALUE!</v>
      </c>
      <c r="OF48" s="962" t="e">
        <f>[1]!qsn([1]!ml([1]!taqsha(1,1,[1]!roz(OF45+1,0,0,0),OF46)),OF47)/30</f>
        <v>#VALUE!</v>
      </c>
      <c r="OG48" s="962" t="e">
        <f>[1]!qsn([1]!ml([1]!taqsha(1,1,[1]!roz(OG45+1,0,0,0),OG46)),OG47)/30</f>
        <v>#VALUE!</v>
      </c>
      <c r="OH48" s="962" t="e">
        <f>[1]!qsn([1]!ml([1]!taqsha(1,1,[1]!roz(OH45+1,0,0,0),OH46)),OH47)/30</f>
        <v>#VALUE!</v>
      </c>
      <c r="OI48" s="962" t="e">
        <f>[1]!qsn([1]!ml([1]!taqsha(1,1,[1]!roz(OI45+1,0,0,0),OI46)),OI47)/30</f>
        <v>#VALUE!</v>
      </c>
      <c r="OJ48" s="962" t="e">
        <f>[1]!qsn([1]!ml([1]!taqsha(1,1,[1]!roz(OJ45+1,0,0,0),OJ46)),OJ47)/30</f>
        <v>#VALUE!</v>
      </c>
      <c r="OK48" s="962" t="e">
        <f>[1]!qsn([1]!ml([1]!taqsha(1,1,[1]!roz(OK45+1,0,0,0),OK46)),OK47)/30</f>
        <v>#VALUE!</v>
      </c>
      <c r="OL48" s="962" t="e">
        <f>[1]!qsn([1]!ml([1]!taqsha(1,1,[1]!roz(OL45+1,0,0,0),OL46)),OL47)/30</f>
        <v>#VALUE!</v>
      </c>
      <c r="OM48" s="962" t="e">
        <f>[1]!qsn([1]!ml([1]!taqsha(1,1,[1]!roz(OM45+1,0,0,0),OM46)),OM47)/30</f>
        <v>#VALUE!</v>
      </c>
      <c r="ON48" s="962" t="e">
        <f>[1]!qsn([1]!ml([1]!taqsha(1,1,[1]!roz(ON45+1,0,0,0),ON46)),ON47)/30</f>
        <v>#VALUE!</v>
      </c>
      <c r="OO48" s="962" t="e">
        <f>[1]!qsn([1]!ml([1]!taqsha(1,1,[1]!roz(OO45+1,0,0,0),OO46)),OO47)/30</f>
        <v>#VALUE!</v>
      </c>
      <c r="OP48" s="962" t="e">
        <f>[1]!qsn([1]!ml([1]!taqsha(1,1,[1]!roz(OP45+1,0,0,0),OP46)),OP47)/30</f>
        <v>#VALUE!</v>
      </c>
      <c r="OQ48" s="962" t="e">
        <f>[1]!qsn([1]!ml([1]!taqsha(1,1,[1]!roz(OQ45+1,0,0,0),OQ46)),OQ47)/30</f>
        <v>#VALUE!</v>
      </c>
      <c r="OR48" s="962" t="e">
        <f>[1]!qsn([1]!ml([1]!taqsha(1,1,[1]!roz(OR45+1,0,0,0),OR46)),OR47)/30</f>
        <v>#VALUE!</v>
      </c>
      <c r="OS48" s="962" t="e">
        <f>[1]!qsn([1]!ml([1]!taqsha(1,1,[1]!roz(OS45+1,0,0,0),OS46)),OS47)/30</f>
        <v>#VALUE!</v>
      </c>
      <c r="OT48" s="962" t="e">
        <f>[1]!qsn([1]!ml([1]!taqsha(1,1,[1]!roz(OT45+1,0,0,0),OT46)),OT47)/30</f>
        <v>#VALUE!</v>
      </c>
      <c r="OU48" s="962" t="e">
        <f>[1]!qsn([1]!ml([1]!taqsha(1,1,[1]!roz(OU45+1,0,0,0),OU46)),OU47)/30</f>
        <v>#VALUE!</v>
      </c>
      <c r="OV48" s="962" t="e">
        <f>[1]!qsn([1]!ml([1]!taqsha(1,1,[1]!roz(OV45+1,0,0,0),OV46)),OV47)/30</f>
        <v>#VALUE!</v>
      </c>
      <c r="OW48" s="962" t="e">
        <f>[1]!qsn([1]!ml([1]!taqsha(1,1,[1]!roz(OW45+1,0,0,0),OW46)),OW47)/30</f>
        <v>#VALUE!</v>
      </c>
      <c r="OX48" s="962" t="e">
        <f>[1]!qsn([1]!ml([1]!taqsha(1,1,[1]!roz(OX45+1,0,0,0),OX46)),OX47)/30</f>
        <v>#VALUE!</v>
      </c>
      <c r="OY48" s="962" t="e">
        <f>[1]!qsn([1]!ml([1]!taqsha(1,1,[1]!roz(OY45+1,0,0,0),OY46)),OY47)/30</f>
        <v>#VALUE!</v>
      </c>
      <c r="OZ48" s="962" t="e">
        <f>[1]!qsn([1]!ml([1]!taqsha(1,1,[1]!roz(OZ45+1,0,0,0),OZ46)),OZ47)/30</f>
        <v>#VALUE!</v>
      </c>
      <c r="PA48" s="962" t="e">
        <f>[1]!qsn([1]!ml([1]!taqsha(1,1,[1]!roz(PA45+1,0,0,0),PA46)),PA47)/30</f>
        <v>#VALUE!</v>
      </c>
      <c r="PB48" s="962" t="e">
        <f>[1]!qsn([1]!ml([1]!taqsha(1,1,[1]!roz(PB45+1,0,0,0),PB46)),PB47)/30</f>
        <v>#VALUE!</v>
      </c>
      <c r="PC48" s="962" t="e">
        <f>[1]!qsn([1]!ml([1]!taqsha(1,1,[1]!roz(PC45+1,0,0,0),PC46)),PC47)/30</f>
        <v>#VALUE!</v>
      </c>
      <c r="PD48" s="962" t="e">
        <f>[1]!qsn([1]!ml([1]!taqsha(1,1,[1]!roz(PD45+1,0,0,0),PD46)),PD47)/30</f>
        <v>#VALUE!</v>
      </c>
      <c r="PE48" s="962" t="e">
        <f>[1]!qsn([1]!ml([1]!taqsha(1,1,[1]!roz(PE45+1,0,0,0),PE46)),PE47)/30</f>
        <v>#VALUE!</v>
      </c>
      <c r="PF48" s="962" t="e">
        <f>[1]!qsn([1]!ml([1]!taqsha(1,1,[1]!roz(PF45+1,0,0,0),PF46)),PF47)/30</f>
        <v>#VALUE!</v>
      </c>
      <c r="PG48" s="962" t="e">
        <f>[1]!qsn([1]!ml([1]!taqsha(1,1,[1]!roz(PG45+1,0,0,0),PG46)),PG47)/30</f>
        <v>#VALUE!</v>
      </c>
      <c r="PH48" s="962" t="e">
        <f>[1]!qsn([1]!ml([1]!taqsha(1,1,[1]!roz(PH45+1,0,0,0),PH46)),PH47)/30</f>
        <v>#VALUE!</v>
      </c>
      <c r="PI48" s="962" t="e">
        <f>[1]!qsn([1]!ml([1]!taqsha(1,1,[1]!roz(PI45+1,0,0,0),PI46)),PI47)/30</f>
        <v>#VALUE!</v>
      </c>
      <c r="PJ48" s="962" t="e">
        <f>[1]!qsn([1]!ml([1]!taqsha(1,1,[1]!roz(PJ45+1,0,0,0),PJ46)),PJ47)/30</f>
        <v>#VALUE!</v>
      </c>
      <c r="PK48" s="962" t="e">
        <f>[1]!qsn([1]!ml([1]!taqsha(1,1,[1]!roz(PK45+1,0,0,0),PK46)),PK47)/30</f>
        <v>#VALUE!</v>
      </c>
      <c r="PL48" s="962" t="e">
        <f>[1]!qsn([1]!ml([1]!taqsha(1,1,[1]!roz(PL45+1,0,0,0),PL46)),PL47)/30</f>
        <v>#VALUE!</v>
      </c>
      <c r="PM48" s="962" t="e">
        <f>[1]!qsn([1]!ml([1]!taqsha(1,1,[1]!roz(PM45+1,0,0,0),PM46)),PM47)/30</f>
        <v>#VALUE!</v>
      </c>
      <c r="PN48" s="962" t="e">
        <f>[1]!qsn([1]!ml([1]!taqsha(1,1,[1]!roz(PN45+1,0,0,0),PN46)),PN47)/30</f>
        <v>#VALUE!</v>
      </c>
      <c r="PO48" s="962" t="e">
        <f>[1]!qsn([1]!ml([1]!taqsha(1,1,[1]!roz(PO45+1,0,0,0),PO46)),PO47)/30</f>
        <v>#VALUE!</v>
      </c>
      <c r="PP48" s="962" t="e">
        <f>[1]!qsn([1]!ml([1]!taqsha(1,1,[1]!roz(PP45+1,0,0,0),PP46)),PP47)/30</f>
        <v>#VALUE!</v>
      </c>
      <c r="PQ48" s="962" t="e">
        <f>[1]!qsn([1]!ml([1]!taqsha(1,1,[1]!roz(PQ45+1,0,0,0),PQ46)),PQ47)/30</f>
        <v>#VALUE!</v>
      </c>
      <c r="PR48" s="962" t="e">
        <f>[1]!qsn([1]!ml([1]!taqsha(1,1,[1]!roz(PR45+1,0,0,0),PR46)),PR47)/30</f>
        <v>#VALUE!</v>
      </c>
      <c r="PS48" s="962" t="e">
        <f>[1]!qsn([1]!ml([1]!taqsha(1,1,[1]!roz(PS45+1,0,0,0),PS46)),PS47)/30</f>
        <v>#VALUE!</v>
      </c>
      <c r="PT48" s="962" t="e">
        <f>[1]!qsn([1]!ml([1]!taqsha(1,1,[1]!roz(PT45+1,0,0,0),PT46)),PT47)/30</f>
        <v>#VALUE!</v>
      </c>
      <c r="PU48" s="962" t="e">
        <f>[1]!qsn([1]!ml([1]!taqsha(1,1,[1]!roz(PU45+1,0,0,0),PU46)),PU47)/30</f>
        <v>#VALUE!</v>
      </c>
      <c r="PV48" s="962" t="e">
        <f>[1]!qsn([1]!ml([1]!taqsha(1,1,[1]!roz(PV45+1,0,0,0),PV46)),PV47)/30</f>
        <v>#VALUE!</v>
      </c>
      <c r="PW48" s="962" t="e">
        <f>[1]!qsn([1]!ml([1]!taqsha(1,1,[1]!roz(PW45+1,0,0,0),PW46)),PW47)/30</f>
        <v>#VALUE!</v>
      </c>
      <c r="PX48" s="962" t="e">
        <f>[1]!qsn([1]!ml([1]!taqsha(1,1,[1]!roz(PX45+1,0,0,0),PX46)),PX47)/30</f>
        <v>#VALUE!</v>
      </c>
      <c r="PY48" s="962" t="e">
        <f>[1]!qsn([1]!ml([1]!taqsha(1,1,[1]!roz(PY45+1,0,0,0),PY46)),PY47)/30</f>
        <v>#VALUE!</v>
      </c>
      <c r="PZ48" s="962" t="e">
        <f>[1]!qsn([1]!ml([1]!taqsha(1,1,[1]!roz(PZ45+1,0,0,0),PZ46)),PZ47)/30</f>
        <v>#VALUE!</v>
      </c>
      <c r="QA48" s="962" t="e">
        <f>[1]!qsn([1]!ml([1]!taqsha(1,1,[1]!roz(QA45+1,0,0,0),QA46)),QA47)/30</f>
        <v>#VALUE!</v>
      </c>
      <c r="QB48" s="962" t="e">
        <f>[1]!qsn([1]!ml([1]!taqsha(1,1,[1]!roz(QB45+1,0,0,0),QB46)),QB47)/30</f>
        <v>#VALUE!</v>
      </c>
      <c r="QC48" s="962" t="e">
        <f>[1]!qsn([1]!ml([1]!taqsha(1,1,[1]!roz(QC45+1,0,0,0),QC46)),QC47)/30</f>
        <v>#VALUE!</v>
      </c>
      <c r="QD48" s="962" t="e">
        <f>[1]!qsn([1]!ml([1]!taqsha(1,1,[1]!roz(QD45+1,0,0,0),QD46)),QD47)/30</f>
        <v>#VALUE!</v>
      </c>
      <c r="QE48" s="962" t="e">
        <f>[1]!qsn([1]!ml([1]!taqsha(1,1,[1]!roz(QE45+1,0,0,0),QE46)),QE47)/30</f>
        <v>#VALUE!</v>
      </c>
      <c r="QF48" s="962" t="e">
        <f>[1]!qsn([1]!ml([1]!taqsha(1,1,[1]!roz(QF45+1,0,0,0),QF46)),QF47)/30</f>
        <v>#VALUE!</v>
      </c>
      <c r="QG48" s="962" t="e">
        <f>[1]!qsn([1]!ml([1]!taqsha(1,1,[1]!roz(QG45+1,0,0,0),QG46)),QG47)/30</f>
        <v>#VALUE!</v>
      </c>
      <c r="QH48" s="962" t="e">
        <f>[1]!qsn([1]!ml([1]!taqsha(1,1,[1]!roz(QH45+1,0,0,0),QH46)),QH47)/30</f>
        <v>#VALUE!</v>
      </c>
      <c r="QI48" s="962" t="e">
        <f>[1]!qsn([1]!ml([1]!taqsha(1,1,[1]!roz(QI45+1,0,0,0),QI46)),QI47)/30</f>
        <v>#VALUE!</v>
      </c>
      <c r="QJ48" s="962" t="e">
        <f>[1]!qsn([1]!ml([1]!taqsha(1,1,[1]!roz(QJ45+1,0,0,0),QJ46)),QJ47)/30</f>
        <v>#VALUE!</v>
      </c>
      <c r="QK48" s="962" t="e">
        <f>[1]!qsn([1]!ml([1]!taqsha(1,1,[1]!roz(QK45+1,0,0,0),QK46)),QK47)/30</f>
        <v>#VALUE!</v>
      </c>
      <c r="QL48" s="962" t="e">
        <f>[1]!qsn([1]!ml([1]!taqsha(1,1,[1]!roz(QL45+1,0,0,0),QL46)),QL47)/30</f>
        <v>#VALUE!</v>
      </c>
      <c r="QM48" s="962" t="e">
        <f>[1]!qsn([1]!ml([1]!taqsha(1,1,[1]!roz(QM45+1,0,0,0),QM46)),QM47)/30</f>
        <v>#VALUE!</v>
      </c>
      <c r="QN48" s="962" t="e">
        <f>[1]!qsn([1]!ml([1]!taqsha(1,1,[1]!roz(QN45+1,0,0,0),QN46)),QN47)/30</f>
        <v>#VALUE!</v>
      </c>
      <c r="QO48" s="962" t="e">
        <f>[1]!qsn([1]!ml([1]!taqsha(1,1,[1]!roz(QO45+1,0,0,0),QO46)),QO47)/30</f>
        <v>#VALUE!</v>
      </c>
      <c r="QP48" s="962" t="e">
        <f>[1]!qsn([1]!ml([1]!taqsha(1,1,[1]!roz(QP45+1,0,0,0),QP46)),QP47)/30</f>
        <v>#VALUE!</v>
      </c>
      <c r="QQ48" s="962" t="e">
        <f>[1]!qsn([1]!ml([1]!taqsha(1,1,[1]!roz(QQ45+1,0,0,0),QQ46)),QQ47)/30</f>
        <v>#VALUE!</v>
      </c>
      <c r="QR48" s="962" t="e">
        <f>[1]!qsn([1]!ml([1]!taqsha(1,1,[1]!roz(QR45+1,0,0,0),QR46)),QR47)/30</f>
        <v>#VALUE!</v>
      </c>
      <c r="QS48" s="962" t="e">
        <f>[1]!qsn([1]!ml([1]!taqsha(1,1,[1]!roz(QS45+1,0,0,0),QS46)),QS47)/30</f>
        <v>#VALUE!</v>
      </c>
      <c r="QT48" s="962" t="e">
        <f>[1]!qsn([1]!ml([1]!taqsha(1,1,[1]!roz(QT45+1,0,0,0),QT46)),QT47)/30</f>
        <v>#VALUE!</v>
      </c>
      <c r="QU48" s="962" t="e">
        <f>[1]!qsn([1]!ml([1]!taqsha(1,1,[1]!roz(QU45+1,0,0,0),QU46)),QU47)/30</f>
        <v>#VALUE!</v>
      </c>
      <c r="QV48" s="962" t="e">
        <f>[1]!qsn([1]!ml([1]!taqsha(1,1,[1]!roz(QV45+1,0,0,0),QV46)),QV47)/30</f>
        <v>#VALUE!</v>
      </c>
      <c r="QW48" s="962" t="e">
        <f>[1]!qsn([1]!ml([1]!taqsha(1,1,[1]!roz(QW45+1,0,0,0),QW46)),QW47)/30</f>
        <v>#VALUE!</v>
      </c>
      <c r="QX48" s="962" t="e">
        <f>[1]!qsn([1]!ml([1]!taqsha(1,1,[1]!roz(QX45+1,0,0,0),QX46)),QX47)/30</f>
        <v>#VALUE!</v>
      </c>
      <c r="QY48" s="962" t="e">
        <f>[1]!qsn([1]!ml([1]!taqsha(1,1,[1]!roz(QY45+1,0,0,0),QY46)),QY47)/30</f>
        <v>#VALUE!</v>
      </c>
      <c r="QZ48" s="962" t="e">
        <f>[1]!qsn([1]!ml([1]!taqsha(1,1,[1]!roz(QZ45+1,0,0,0),QZ46)),QZ47)/30</f>
        <v>#VALUE!</v>
      </c>
      <c r="RA48" s="963"/>
    </row>
    <row r="49" spans="1:471" ht="17.25">
      <c r="A49" s="22">
        <f>A46</f>
        <v>22</v>
      </c>
      <c r="B49" s="22">
        <f>B46</f>
        <v>9</v>
      </c>
      <c r="C49" s="22">
        <f>C46</f>
        <v>1442</v>
      </c>
      <c r="D49" t="str">
        <f>D46</f>
        <v>شمسی</v>
      </c>
      <c r="E49">
        <f>E46</f>
        <v>16</v>
      </c>
      <c r="J49" s="21"/>
      <c r="K49" s="21"/>
      <c r="L49" s="21"/>
      <c r="M49" s="21"/>
      <c r="N49" s="21"/>
      <c r="O49" s="21">
        <v>31</v>
      </c>
      <c r="P49" s="21">
        <f t="shared" ref="P49:Z49" si="370">P48+O49</f>
        <v>62</v>
      </c>
      <c r="Q49" s="21">
        <f t="shared" si="370"/>
        <v>93</v>
      </c>
      <c r="R49" s="21">
        <f t="shared" si="370"/>
        <v>124</v>
      </c>
      <c r="S49" s="21">
        <f t="shared" si="370"/>
        <v>155</v>
      </c>
      <c r="T49" s="21">
        <f t="shared" si="370"/>
        <v>186</v>
      </c>
      <c r="U49" s="21">
        <f t="shared" si="370"/>
        <v>216</v>
      </c>
      <c r="V49" s="21">
        <f t="shared" si="370"/>
        <v>246</v>
      </c>
      <c r="W49" s="21">
        <f t="shared" si="370"/>
        <v>276</v>
      </c>
      <c r="X49" s="21">
        <f t="shared" si="370"/>
        <v>306</v>
      </c>
      <c r="Y49" s="21">
        <f t="shared" si="370"/>
        <v>336</v>
      </c>
      <c r="Z49" s="21">
        <f t="shared" si="370"/>
        <v>365</v>
      </c>
      <c r="AA49" s="21"/>
      <c r="AK49" s="759"/>
      <c r="AL49" s="701"/>
      <c r="AM49" s="304"/>
      <c r="AN49" s="304"/>
      <c r="AO49" s="304"/>
      <c r="AP49" s="304"/>
      <c r="AQ49" s="304"/>
      <c r="AR49" s="304"/>
      <c r="AS49" s="304"/>
      <c r="AT49" s="304"/>
      <c r="AU49" s="304"/>
      <c r="AV49" s="304"/>
      <c r="AW49" s="314"/>
      <c r="AX49" s="314"/>
      <c r="DB49" s="797" t="s">
        <v>378</v>
      </c>
      <c r="DC49" s="797"/>
      <c r="DD49" s="961" t="e">
        <f>[1]!taqsh(1,1,[1]!roz(DD45+1,DD48,0,0),DD46)</f>
        <v>#VALUE!</v>
      </c>
      <c r="DH49" s="797"/>
      <c r="DI49" s="797" t="s">
        <v>378</v>
      </c>
      <c r="DJ49" s="961" t="e">
        <f>[1]!taqsh(1,1,[1]!roz(DJ45+1,DJ48,0,0),DJ46)</f>
        <v>#VALUE!</v>
      </c>
      <c r="DK49" s="962" t="e">
        <f>[1]!taqsh(1,1,[1]!roz(DK45+1,DK48,0,0),DK46)</f>
        <v>#VALUE!</v>
      </c>
      <c r="DL49" s="962" t="e">
        <f>[1]!taqsh(1,1,[1]!roz(DL45+1,DL48,0,0),DL46)</f>
        <v>#VALUE!</v>
      </c>
      <c r="DM49" s="962" t="e">
        <f>[1]!taqsh(1,1,[1]!roz(DM45+1,DM48,0,0),DM46)</f>
        <v>#VALUE!</v>
      </c>
      <c r="DN49" s="962" t="e">
        <f>[1]!taqsh(1,1,[1]!roz(DN45+1,DN48,0,0),DN46)</f>
        <v>#VALUE!</v>
      </c>
      <c r="DO49" s="962" t="e">
        <f>[1]!taqsh(1,1,[1]!roz(DO45+1,DO48,0,0),DO46)</f>
        <v>#VALUE!</v>
      </c>
      <c r="DP49" s="962" t="e">
        <f>[1]!taqsh(1,1,[1]!roz(DP45+1,DP48,0,0),DP46)</f>
        <v>#VALUE!</v>
      </c>
      <c r="DQ49" s="962" t="e">
        <f>[1]!taqsh(1,1,[1]!roz(DQ45+1,DQ48,0,0),DQ46)</f>
        <v>#VALUE!</v>
      </c>
      <c r="DR49" s="962" t="e">
        <f>[1]!taqsh(1,1,[1]!roz(DR45+1,DR48,0,0),DR46)</f>
        <v>#VALUE!</v>
      </c>
      <c r="DS49" s="962" t="e">
        <f>[1]!taqsh(1,1,[1]!roz(DS45+1,DS48,0,0),DS46)</f>
        <v>#VALUE!</v>
      </c>
      <c r="DT49" s="962" t="e">
        <f>[1]!taqsh(1,1,[1]!roz(DT45+1,DT48,0,0),DT46)</f>
        <v>#VALUE!</v>
      </c>
      <c r="DU49" s="962" t="e">
        <f>[1]!taqsh(1,1,[1]!roz(DU45+1,DU48,0,0),DU46)</f>
        <v>#VALUE!</v>
      </c>
      <c r="DV49" s="962" t="e">
        <f>[1]!taqsh(1,1,[1]!roz(DV45+1,DV48,0,0),DV46)</f>
        <v>#VALUE!</v>
      </c>
      <c r="DW49" s="962" t="e">
        <f>[1]!taqsh(1,1,[1]!roz(DW45+1,DW48,0,0),DW46)</f>
        <v>#VALUE!</v>
      </c>
      <c r="DX49" s="962" t="e">
        <f>[1]!taqsh(1,1,[1]!roz(DX45+1,DX48,0,0),DX46)</f>
        <v>#VALUE!</v>
      </c>
      <c r="DY49" s="962" t="e">
        <f>[1]!taqsh(1,1,[1]!roz(DY45+1,DY48,0,0),DY46)</f>
        <v>#VALUE!</v>
      </c>
      <c r="DZ49" s="962" t="e">
        <f>[1]!taqsh(1,1,[1]!roz(DZ45+1,DZ48,0,0),DZ46)</f>
        <v>#VALUE!</v>
      </c>
      <c r="EA49" s="962" t="e">
        <f>[1]!taqsh(1,1,[1]!roz(EA45+1,EA48,0,0),EA46)</f>
        <v>#VALUE!</v>
      </c>
      <c r="EB49" s="962" t="e">
        <f>[1]!taqsh(1,1,[1]!roz(EB45+1,EB48,0,0),EB46)</f>
        <v>#VALUE!</v>
      </c>
      <c r="EC49" s="962" t="e">
        <f>[1]!taqsh(1,1,[1]!roz(EC45+1,EC48,0,0),EC46)</f>
        <v>#VALUE!</v>
      </c>
      <c r="ED49" s="962" t="e">
        <f>[1]!taqsh(1,1,[1]!roz(ED45+1,ED48,0,0),ED46)</f>
        <v>#VALUE!</v>
      </c>
      <c r="EE49" s="962" t="e">
        <f>[1]!taqsh(1,1,[1]!roz(EE45+1,EE48,0,0),EE46)</f>
        <v>#VALUE!</v>
      </c>
      <c r="EF49" s="962" t="e">
        <f>[1]!taqsh(1,1,[1]!roz(EF45+1,EF48,0,0),EF46)</f>
        <v>#VALUE!</v>
      </c>
      <c r="EG49" s="962" t="e">
        <f>[1]!taqsh(1,1,[1]!roz(EG45+1,EG48,0,0),EG46)</f>
        <v>#VALUE!</v>
      </c>
      <c r="EH49" s="962" t="e">
        <f>[1]!taqsh(1,1,[1]!roz(EH45+1,EH48,0,0),EH46)</f>
        <v>#VALUE!</v>
      </c>
      <c r="EI49" s="962" t="e">
        <f>[1]!taqsh(1,1,[1]!roz(EI45+1,EI48,0,0),EI46)</f>
        <v>#VALUE!</v>
      </c>
      <c r="EJ49" s="962" t="e">
        <f>[1]!taqsh(1,1,[1]!roz(EJ45+1,EJ48,0,0),EJ46)</f>
        <v>#VALUE!</v>
      </c>
      <c r="EK49" s="962" t="e">
        <f>[1]!taqsh(1,1,[1]!roz(EK45+1,EK48,0,0),EK46)</f>
        <v>#VALUE!</v>
      </c>
      <c r="EL49" s="962" t="e">
        <f>[1]!taqsh(1,1,[1]!roz(EL45+1,EL48,0,0),EL46)</f>
        <v>#VALUE!</v>
      </c>
      <c r="EM49" s="962" t="e">
        <f>[1]!taqsh(1,1,[1]!roz(EM45+1,EM48,0,0),EM46)</f>
        <v>#VALUE!</v>
      </c>
      <c r="EN49" s="962" t="e">
        <f>[1]!taqsh(1,1,[1]!roz(EN45+1,EN48,0,0),EN46)</f>
        <v>#VALUE!</v>
      </c>
      <c r="EO49" s="962" t="e">
        <f>[1]!taqsh(1,1,[1]!roz(EO45+1,EO48,0,0),EO46)</f>
        <v>#VALUE!</v>
      </c>
      <c r="EP49" s="962" t="e">
        <f>[1]!taqsh(1,1,[1]!roz(EP45+1,EP48,0,0),EP46)</f>
        <v>#VALUE!</v>
      </c>
      <c r="EQ49" s="962" t="e">
        <f>[1]!taqsh(1,1,[1]!roz(EQ45+1,EQ48,0,0),EQ46)</f>
        <v>#VALUE!</v>
      </c>
      <c r="ER49" s="962" t="e">
        <f>[1]!taqsh(1,1,[1]!roz(ER45+1,ER48,0,0),ER46)</f>
        <v>#VALUE!</v>
      </c>
      <c r="ES49" s="962" t="e">
        <f>[1]!taqsh(1,1,[1]!roz(ES45+1,ES48,0,0),ES46)</f>
        <v>#VALUE!</v>
      </c>
      <c r="ET49" s="962" t="e">
        <f>[1]!taqsh(1,1,[1]!roz(ET45+1,ET48,0,0),ET46)</f>
        <v>#VALUE!</v>
      </c>
      <c r="EU49" s="962" t="e">
        <f>[1]!taqsh(1,1,[1]!roz(EU45+1,EU48,0,0),EU46)</f>
        <v>#VALUE!</v>
      </c>
      <c r="EV49" s="962" t="e">
        <f>[1]!taqsh(1,1,[1]!roz(EV45+1,EV48,0,0),EV46)</f>
        <v>#VALUE!</v>
      </c>
      <c r="EW49" s="962" t="e">
        <f>[1]!taqsh(1,1,[1]!roz(EW45+1,EW48,0,0),EW46)</f>
        <v>#VALUE!</v>
      </c>
      <c r="EX49" s="962" t="e">
        <f>[1]!taqsh(1,1,[1]!roz(EX45+1,EX48,0,0),EX46)</f>
        <v>#VALUE!</v>
      </c>
      <c r="EY49" s="962" t="e">
        <f>[1]!taqsh(1,1,[1]!roz(EY45+1,EY48,0,0),EY46)</f>
        <v>#VALUE!</v>
      </c>
      <c r="EZ49" s="962" t="e">
        <f>[1]!taqsh(1,1,[1]!roz(EZ45+1,EZ48,0,0),EZ46)</f>
        <v>#VALUE!</v>
      </c>
      <c r="FA49" s="962" t="e">
        <f>[1]!taqsh(1,1,[1]!roz(FA45+1,FA48,0,0),FA46)</f>
        <v>#VALUE!</v>
      </c>
      <c r="FB49" s="962" t="e">
        <f>[1]!taqsh(1,1,[1]!roz(FB45+1,FB48,0,0),FB46)</f>
        <v>#VALUE!</v>
      </c>
      <c r="FC49" s="962" t="e">
        <f>[1]!taqsh(1,1,[1]!roz(FC45+1,FC48,0,0),FC46)</f>
        <v>#VALUE!</v>
      </c>
      <c r="FD49" s="962" t="e">
        <f>[1]!taqsh(1,1,[1]!roz(FD45+1,FD48,0,0),FD46)</f>
        <v>#VALUE!</v>
      </c>
      <c r="FE49" s="962" t="e">
        <f>[1]!taqsh(1,1,[1]!roz(FE45+1,FE48,0,0),FE46)</f>
        <v>#VALUE!</v>
      </c>
      <c r="FF49" s="962" t="e">
        <f>[1]!taqsh(1,1,[1]!roz(FF45+1,FF48,0,0),FF46)</f>
        <v>#VALUE!</v>
      </c>
      <c r="FG49" s="962" t="e">
        <f>[1]!taqsh(1,1,[1]!roz(FG45+1,FG48,0,0),FG46)</f>
        <v>#VALUE!</v>
      </c>
      <c r="FH49" s="962" t="e">
        <f>[1]!taqsh(1,1,[1]!roz(FH45+1,FH48,0,0),FH46)</f>
        <v>#VALUE!</v>
      </c>
      <c r="FI49" s="962" t="e">
        <f>[1]!taqsh(1,1,[1]!roz(FI45+1,FI48,0,0),FI46)</f>
        <v>#VALUE!</v>
      </c>
      <c r="FJ49" s="962" t="e">
        <f>[1]!taqsh(1,1,[1]!roz(FJ45+1,FJ48,0,0),FJ46)</f>
        <v>#VALUE!</v>
      </c>
      <c r="FK49" s="962" t="e">
        <f>[1]!taqsh(1,1,[1]!roz(FK45+1,FK48,0,0),FK46)</f>
        <v>#VALUE!</v>
      </c>
      <c r="FL49" s="962" t="e">
        <f>[1]!taqsh(1,1,[1]!roz(FL45+1,FL48,0,0),FL46)</f>
        <v>#VALUE!</v>
      </c>
      <c r="FM49" s="962" t="e">
        <f>[1]!taqsh(1,1,[1]!roz(FM45+1,FM48,0,0),FM46)</f>
        <v>#VALUE!</v>
      </c>
      <c r="FN49" s="962" t="e">
        <f>[1]!taqsh(1,1,[1]!roz(FN45+1,FN48,0,0),FN46)</f>
        <v>#VALUE!</v>
      </c>
      <c r="FO49" s="962" t="e">
        <f>[1]!taqsh(1,1,[1]!roz(FO45+1,FO48,0,0),FO46)</f>
        <v>#VALUE!</v>
      </c>
      <c r="FP49" s="962" t="e">
        <f>[1]!taqsh(1,1,[1]!roz(FP45+1,FP48,0,0),FP46)</f>
        <v>#VALUE!</v>
      </c>
      <c r="FQ49" s="962" t="e">
        <f>[1]!taqsh(1,1,[1]!roz(FQ45+1,FQ48,0,0),FQ46)</f>
        <v>#VALUE!</v>
      </c>
      <c r="FR49" s="962" t="e">
        <f>[1]!taqsh(1,1,[1]!roz(FR45+1,FR48,0,0),FR46)</f>
        <v>#VALUE!</v>
      </c>
      <c r="FS49" s="962" t="e">
        <f>[1]!taqsh(1,1,[1]!roz(FS45+1,FS48,0,0),FS46)</f>
        <v>#VALUE!</v>
      </c>
      <c r="FT49" s="962" t="e">
        <f>[1]!taqsh(1,1,[1]!roz(FT45+1,FT48,0,0),FT46)</f>
        <v>#VALUE!</v>
      </c>
      <c r="FU49" s="962" t="e">
        <f>[1]!taqsh(1,1,[1]!roz(FU45+1,FU48,0,0),FU46)</f>
        <v>#VALUE!</v>
      </c>
      <c r="FV49" s="962" t="e">
        <f>[1]!taqsh(1,1,[1]!roz(FV45+1,FV48,0,0),FV46)</f>
        <v>#VALUE!</v>
      </c>
      <c r="FW49" s="962" t="e">
        <f>[1]!taqsh(1,1,[1]!roz(FW45+1,FW48,0,0),FW46)</f>
        <v>#VALUE!</v>
      </c>
      <c r="FX49" s="962" t="e">
        <f>[1]!taqsh(1,1,[1]!roz(FX45+1,FX48,0,0),FX46)</f>
        <v>#VALUE!</v>
      </c>
      <c r="FY49" s="962" t="e">
        <f>[1]!taqsh(1,1,[1]!roz(FY45+1,FY48,0,0),FY46)</f>
        <v>#VALUE!</v>
      </c>
      <c r="FZ49" s="962" t="e">
        <f>[1]!taqsh(1,1,[1]!roz(FZ45+1,FZ48,0,0),FZ46)</f>
        <v>#VALUE!</v>
      </c>
      <c r="GA49" s="962" t="e">
        <f>[1]!taqsh(1,1,[1]!roz(GA45+1,GA48,0,0),GA46)</f>
        <v>#VALUE!</v>
      </c>
      <c r="GB49" s="962" t="e">
        <f>[1]!taqsh(1,1,[1]!roz(GB45+1,GB48,0,0),GB46)</f>
        <v>#VALUE!</v>
      </c>
      <c r="GC49" s="962" t="e">
        <f>[1]!taqsh(1,1,[1]!roz(GC45+1,GC48,0,0),GC46)</f>
        <v>#VALUE!</v>
      </c>
      <c r="GD49" s="962" t="e">
        <f>[1]!taqsh(1,1,[1]!roz(GD45+1,GD48,0,0),GD46)</f>
        <v>#VALUE!</v>
      </c>
      <c r="GE49" s="962" t="e">
        <f>[1]!taqsh(1,1,[1]!roz(GE45+1,GE48,0,0),GE46)</f>
        <v>#VALUE!</v>
      </c>
      <c r="GF49" s="962" t="e">
        <f>[1]!taqsh(1,1,[1]!roz(GF45+1,GF48,0,0),GF46)</f>
        <v>#VALUE!</v>
      </c>
      <c r="GG49" s="962" t="e">
        <f>[1]!taqsh(1,1,[1]!roz(GG45+1,GG48,0,0),GG46)</f>
        <v>#VALUE!</v>
      </c>
      <c r="GH49" s="962" t="e">
        <f>[1]!taqsh(1,1,[1]!roz(GH45+1,GH48,0,0),GH46)</f>
        <v>#VALUE!</v>
      </c>
      <c r="GI49" s="962" t="e">
        <f>[1]!taqsh(1,1,[1]!roz(GI45+1,GI48,0,0),GI46)</f>
        <v>#VALUE!</v>
      </c>
      <c r="GJ49" s="962" t="e">
        <f>[1]!taqsh(1,1,[1]!roz(GJ45+1,GJ48,0,0),GJ46)</f>
        <v>#VALUE!</v>
      </c>
      <c r="GK49" s="962" t="e">
        <f>[1]!taqsh(1,1,[1]!roz(GK45+1,GK48,0,0),GK46)</f>
        <v>#VALUE!</v>
      </c>
      <c r="GL49" s="962" t="e">
        <f>[1]!taqsh(1,1,[1]!roz(GL45+1,GL48,0,0),GL46)</f>
        <v>#VALUE!</v>
      </c>
      <c r="GM49" s="962" t="e">
        <f>[1]!taqsh(1,1,[1]!roz(GM45+1,GM48,0,0),GM46)</f>
        <v>#VALUE!</v>
      </c>
      <c r="GN49" s="962" t="e">
        <f>[1]!taqsh(1,1,[1]!roz(GN45+1,GN48,0,0),GN46)</f>
        <v>#VALUE!</v>
      </c>
      <c r="GO49" s="962" t="e">
        <f>[1]!taqsh(1,1,[1]!roz(GO45+1,GO48,0,0),GO46)</f>
        <v>#VALUE!</v>
      </c>
      <c r="GP49" s="962" t="e">
        <f>[1]!taqsh(1,1,[1]!roz(GP45+1,GP48,0,0),GP46)</f>
        <v>#VALUE!</v>
      </c>
      <c r="GQ49" s="962" t="e">
        <f>[1]!taqsh(1,1,[1]!roz(GQ45+1,GQ48,0,0),GQ46)</f>
        <v>#VALUE!</v>
      </c>
      <c r="GR49" s="962" t="e">
        <f>[1]!taqsh(1,1,[1]!roz(GR45+1,GR48,0,0),GR46)</f>
        <v>#VALUE!</v>
      </c>
      <c r="GS49" s="962" t="e">
        <f>[1]!taqsh(1,1,[1]!roz(GS45+1,GS48,0,0),GS46)</f>
        <v>#VALUE!</v>
      </c>
      <c r="GT49" s="962" t="e">
        <f>[1]!taqsh(1,1,[1]!roz(GT45+1,GT48,0,0),GT46)</f>
        <v>#VALUE!</v>
      </c>
      <c r="GU49" s="962" t="e">
        <f>[1]!taqsh(1,1,[1]!roz(GU45+1,GU48,0,0),GU46)</f>
        <v>#VALUE!</v>
      </c>
      <c r="GV49" s="962" t="e">
        <f>[1]!taqsh(1,1,[1]!roz(GV45+1,GV48,0,0),GV46)</f>
        <v>#VALUE!</v>
      </c>
      <c r="GW49" s="962" t="e">
        <f>[1]!taqsh(1,1,[1]!roz(GW45+1,GW48,0,0),GW46)</f>
        <v>#VALUE!</v>
      </c>
      <c r="GX49" s="962" t="e">
        <f>[1]!taqsh(1,1,[1]!roz(GX45+1,GX48,0,0),GX46)</f>
        <v>#VALUE!</v>
      </c>
      <c r="GY49" s="962" t="e">
        <f>[1]!taqsh(1,1,[1]!roz(GY45+1,GY48,0,0),GY46)</f>
        <v>#VALUE!</v>
      </c>
      <c r="GZ49" s="962" t="e">
        <f>[1]!taqsh(1,1,[1]!roz(GZ45+1,GZ48,0,0),GZ46)</f>
        <v>#VALUE!</v>
      </c>
      <c r="HA49" s="962" t="e">
        <f>[1]!taqsh(1,1,[1]!roz(HA45+1,HA48,0,0),HA46)</f>
        <v>#VALUE!</v>
      </c>
      <c r="HB49" s="962" t="e">
        <f>[1]!taqsh(1,1,[1]!roz(HB45+1,HB48,0,0),HB46)</f>
        <v>#VALUE!</v>
      </c>
      <c r="HC49" s="962" t="e">
        <f>[1]!taqsh(1,1,[1]!roz(HC45+1,HC48,0,0),HC46)</f>
        <v>#VALUE!</v>
      </c>
      <c r="HD49" s="962" t="e">
        <f>[1]!taqsh(1,1,[1]!roz(HD45+1,HD48,0,0),HD46)</f>
        <v>#VALUE!</v>
      </c>
      <c r="HE49" s="962" t="e">
        <f>[1]!taqsh(1,1,[1]!roz(HE45+1,HE48,0,0),HE46)</f>
        <v>#VALUE!</v>
      </c>
      <c r="HF49" s="962" t="e">
        <f>[1]!taqsh(1,1,[1]!roz(HF45+1,HF48,0,0),HF46)</f>
        <v>#VALUE!</v>
      </c>
      <c r="HG49" s="962" t="e">
        <f>[1]!taqsh(1,1,[1]!roz(HG45+1,HG48,0,0),HG46)</f>
        <v>#VALUE!</v>
      </c>
      <c r="HH49" s="962" t="e">
        <f>[1]!taqsh(1,1,[1]!roz(HH45+1,HH48,0,0),HH46)</f>
        <v>#VALUE!</v>
      </c>
      <c r="HI49" s="962" t="e">
        <f>[1]!taqsh(1,1,[1]!roz(HI45+1,HI48,0,0),HI46)</f>
        <v>#VALUE!</v>
      </c>
      <c r="HJ49" s="962" t="e">
        <f>[1]!taqsh(1,1,[1]!roz(HJ45+1,HJ48,0,0),HJ46)</f>
        <v>#VALUE!</v>
      </c>
      <c r="HK49" s="962" t="e">
        <f>[1]!taqsh(1,1,[1]!roz(HK45+1,HK48,0,0),HK46)</f>
        <v>#VALUE!</v>
      </c>
      <c r="HL49" s="962" t="e">
        <f>[1]!taqsh(1,1,[1]!roz(HL45+1,HL48,0,0),HL46)</f>
        <v>#VALUE!</v>
      </c>
      <c r="HM49" s="962" t="e">
        <f>[1]!taqsh(1,1,[1]!roz(HM45+1,HM48,0,0),HM46)</f>
        <v>#VALUE!</v>
      </c>
      <c r="HN49" s="962" t="e">
        <f>[1]!taqsh(1,1,[1]!roz(HN45+1,HN48,0,0),HN46)</f>
        <v>#VALUE!</v>
      </c>
      <c r="HO49" s="962" t="e">
        <f>[1]!taqsh(1,1,[1]!roz(HO45+1,HO48,0,0),HO46)</f>
        <v>#VALUE!</v>
      </c>
      <c r="HP49" s="962" t="e">
        <f>[1]!taqsh(1,1,[1]!roz(HP45+1,HP48,0,0),HP46)</f>
        <v>#VALUE!</v>
      </c>
      <c r="HQ49" s="962" t="e">
        <f>[1]!taqsh(1,1,[1]!roz(HQ45+1,HQ48,0,0),HQ46)</f>
        <v>#VALUE!</v>
      </c>
      <c r="HR49" s="962" t="e">
        <f>[1]!taqsh(1,1,[1]!roz(HR45+1,HR48,0,0),HR46)</f>
        <v>#VALUE!</v>
      </c>
      <c r="HS49" s="962" t="e">
        <f>[1]!taqsh(1,1,[1]!roz(HS45+1,HS48,0,0),HS46)</f>
        <v>#VALUE!</v>
      </c>
      <c r="HT49" s="962" t="e">
        <f>[1]!taqsh(1,1,[1]!roz(HT45+1,HT48,0,0),HT46)</f>
        <v>#VALUE!</v>
      </c>
      <c r="HU49" s="962" t="e">
        <f>[1]!taqsh(1,1,[1]!roz(HU45+1,HU48,0,0),HU46)</f>
        <v>#VALUE!</v>
      </c>
      <c r="HV49" s="962" t="e">
        <f>[1]!taqsh(1,1,[1]!roz(HV45+1,HV48,0,0),HV46)</f>
        <v>#VALUE!</v>
      </c>
      <c r="HW49" s="962" t="e">
        <f>[1]!taqsh(1,1,[1]!roz(HW45+1,HW48,0,0),HW46)</f>
        <v>#VALUE!</v>
      </c>
      <c r="HX49" s="962" t="e">
        <f>[1]!taqsh(1,1,[1]!roz(HX45+1,HX48,0,0),HX46)</f>
        <v>#VALUE!</v>
      </c>
      <c r="HY49" s="962" t="e">
        <f>[1]!taqsh(1,1,[1]!roz(HY45+1,HY48,0,0),HY46)</f>
        <v>#VALUE!</v>
      </c>
      <c r="HZ49" s="962" t="e">
        <f>[1]!taqsh(1,1,[1]!roz(HZ45+1,HZ48,0,0),HZ46)</f>
        <v>#VALUE!</v>
      </c>
      <c r="IA49" s="962" t="e">
        <f>[1]!taqsh(1,1,[1]!roz(IA45+1,IA48,0,0),IA46)</f>
        <v>#VALUE!</v>
      </c>
      <c r="IB49" s="962" t="e">
        <f>[1]!taqsh(1,1,[1]!roz(IB45+1,IB48,0,0),IB46)</f>
        <v>#VALUE!</v>
      </c>
      <c r="IC49" s="962" t="e">
        <f>[1]!taqsh(1,1,[1]!roz(IC45+1,IC48,0,0),IC46)</f>
        <v>#VALUE!</v>
      </c>
      <c r="ID49" s="962" t="e">
        <f>[1]!taqsh(1,1,[1]!roz(ID45+1,ID48,0,0),ID46)</f>
        <v>#VALUE!</v>
      </c>
      <c r="IE49" s="962" t="e">
        <f>[1]!taqsh(1,1,[1]!roz(IE45+1,IE48,0,0),IE46)</f>
        <v>#VALUE!</v>
      </c>
      <c r="IF49" s="962" t="e">
        <f>[1]!taqsh(1,1,[1]!roz(IF45+1,IF48,0,0),IF46)</f>
        <v>#VALUE!</v>
      </c>
      <c r="IG49" s="962" t="e">
        <f>[1]!taqsh(1,1,[1]!roz(IG45+1,IG48,0,0),IG46)</f>
        <v>#VALUE!</v>
      </c>
      <c r="IH49" s="962" t="e">
        <f>[1]!taqsh(1,1,[1]!roz(IH45+1,IH48,0,0),IH46)</f>
        <v>#VALUE!</v>
      </c>
      <c r="II49" s="962" t="e">
        <f>[1]!taqsh(1,1,[1]!roz(II45+1,II48,0,0),II46)</f>
        <v>#VALUE!</v>
      </c>
      <c r="IJ49" s="962" t="e">
        <f>[1]!taqsh(1,1,[1]!roz(IJ45+1,IJ48,0,0),IJ46)</f>
        <v>#VALUE!</v>
      </c>
      <c r="IK49" s="962" t="e">
        <f>[1]!taqsh(1,1,[1]!roz(IK45+1,IK48,0,0),IK46)</f>
        <v>#VALUE!</v>
      </c>
      <c r="IL49" s="962" t="e">
        <f>[1]!taqsh(1,1,[1]!roz(IL45+1,IL48,0,0),IL46)</f>
        <v>#VALUE!</v>
      </c>
      <c r="IM49" s="962" t="e">
        <f>[1]!taqsh(1,1,[1]!roz(IM45+1,IM48,0,0),IM46)</f>
        <v>#VALUE!</v>
      </c>
      <c r="IN49" s="962" t="e">
        <f>[1]!taqsh(1,1,[1]!roz(IN45+1,IN48,0,0),IN46)</f>
        <v>#VALUE!</v>
      </c>
      <c r="IO49" s="962" t="e">
        <f>[1]!taqsh(1,1,[1]!roz(IO45+1,IO48,0,0),IO46)</f>
        <v>#VALUE!</v>
      </c>
      <c r="IP49" s="962" t="e">
        <f>[1]!taqsh(1,1,[1]!roz(IP45+1,IP48,0,0),IP46)</f>
        <v>#VALUE!</v>
      </c>
      <c r="IQ49" s="962" t="e">
        <f>[1]!taqsh(1,1,[1]!roz(IQ45+1,IQ48,0,0),IQ46)</f>
        <v>#VALUE!</v>
      </c>
      <c r="IR49" s="962" t="e">
        <f>[1]!taqsh(1,1,[1]!roz(IR45+1,IR48,0,0),IR46)</f>
        <v>#VALUE!</v>
      </c>
      <c r="IS49" s="962" t="e">
        <f>[1]!taqsh(1,1,[1]!roz(IS45+1,IS48,0,0),IS46)</f>
        <v>#VALUE!</v>
      </c>
      <c r="IT49" s="962" t="e">
        <f>[1]!taqsh(1,1,[1]!roz(IT45+1,IT48,0,0),IT46)</f>
        <v>#VALUE!</v>
      </c>
      <c r="IU49" s="962" t="e">
        <f>[1]!taqsh(1,1,[1]!roz(IU45+1,IU48,0,0),IU46)</f>
        <v>#VALUE!</v>
      </c>
      <c r="IV49" s="962" t="e">
        <f>[1]!taqsh(1,1,[1]!roz(IV45+1,IV48,0,0),IV46)</f>
        <v>#VALUE!</v>
      </c>
      <c r="IW49" s="962" t="e">
        <f>[1]!taqsh(1,1,[1]!roz(IW45+1,IW48,0,0),IW46)</f>
        <v>#VALUE!</v>
      </c>
      <c r="IX49" s="962" t="e">
        <f>[1]!taqsh(1,1,[1]!roz(IX45+1,IX48,0,0),IX46)</f>
        <v>#VALUE!</v>
      </c>
      <c r="IY49" s="962" t="e">
        <f>[1]!taqsh(1,1,[1]!roz(IY45+1,IY48,0,0),IY46)</f>
        <v>#VALUE!</v>
      </c>
      <c r="IZ49" s="962" t="e">
        <f>[1]!taqsh(1,1,[1]!roz(IZ45+1,IZ48,0,0),IZ46)</f>
        <v>#VALUE!</v>
      </c>
      <c r="JA49" s="962" t="e">
        <f>[1]!taqsh(1,1,[1]!roz(JA45+1,JA48,0,0),JA46)</f>
        <v>#VALUE!</v>
      </c>
      <c r="JB49" s="962" t="e">
        <f>[1]!taqsh(1,1,[1]!roz(JB45+1,JB48,0,0),JB46)</f>
        <v>#VALUE!</v>
      </c>
      <c r="JC49" s="962" t="e">
        <f>[1]!taqsh(1,1,[1]!roz(JC45+1,JC48,0,0),JC46)</f>
        <v>#VALUE!</v>
      </c>
      <c r="JD49" s="962" t="e">
        <f>[1]!taqsh(1,1,[1]!roz(JD45+1,JD48,0,0),JD46)</f>
        <v>#VALUE!</v>
      </c>
      <c r="JE49" s="962" t="e">
        <f>[1]!taqsh(1,1,[1]!roz(JE45+1,JE48,0,0),JE46)</f>
        <v>#VALUE!</v>
      </c>
      <c r="JF49" s="962" t="e">
        <f>[1]!taqsh(1,1,[1]!roz(JF45+1,JF48,0,0),JF46)</f>
        <v>#VALUE!</v>
      </c>
      <c r="JG49" s="962" t="e">
        <f>[1]!taqsh(1,1,[1]!roz(JG45+1,JG48,0,0),JG46)</f>
        <v>#VALUE!</v>
      </c>
      <c r="JH49" s="962" t="e">
        <f>[1]!taqsh(1,1,[1]!roz(JH45+1,JH48,0,0),JH46)</f>
        <v>#VALUE!</v>
      </c>
      <c r="JI49" s="962" t="e">
        <f>[1]!taqsh(1,1,[1]!roz(JI45+1,JI48,0,0),JI46)</f>
        <v>#VALUE!</v>
      </c>
      <c r="JJ49" s="962" t="e">
        <f>[1]!taqsh(1,1,[1]!roz(JJ45+1,JJ48,0,0),JJ46)</f>
        <v>#VALUE!</v>
      </c>
      <c r="JK49" s="962" t="e">
        <f>[1]!taqsh(1,1,[1]!roz(JK45+1,JK48,0,0),JK46)</f>
        <v>#VALUE!</v>
      </c>
      <c r="JL49" s="962" t="e">
        <f>[1]!taqsh(1,1,[1]!roz(JL45+1,JL48,0,0),JL46)</f>
        <v>#VALUE!</v>
      </c>
      <c r="JM49" s="962" t="e">
        <f>[1]!taqsh(1,1,[1]!roz(JM45+1,JM48,0,0),JM46)</f>
        <v>#VALUE!</v>
      </c>
      <c r="JN49" s="962" t="e">
        <f>[1]!taqsh(1,1,[1]!roz(JN45+1,JN48,0,0),JN46)</f>
        <v>#VALUE!</v>
      </c>
      <c r="JO49" s="962" t="e">
        <f>[1]!taqsh(1,1,[1]!roz(JO45+1,JO48,0,0),JO46)</f>
        <v>#VALUE!</v>
      </c>
      <c r="JP49" s="962" t="e">
        <f>[1]!taqsh(1,1,[1]!roz(JP45+1,JP48,0,0),JP46)</f>
        <v>#VALUE!</v>
      </c>
      <c r="JQ49" s="962" t="e">
        <f>[1]!taqsh(1,1,[1]!roz(JQ45+1,JQ48,0,0),JQ46)</f>
        <v>#VALUE!</v>
      </c>
      <c r="JR49" s="962" t="e">
        <f>[1]!taqsh(1,1,[1]!roz(JR45+1,JR48,0,0),JR46)</f>
        <v>#VALUE!</v>
      </c>
      <c r="JS49" s="962" t="e">
        <f>[1]!taqsh(1,1,[1]!roz(JS45+1,JS48,0,0),JS46)</f>
        <v>#VALUE!</v>
      </c>
      <c r="JT49" s="962" t="e">
        <f>[1]!taqsh(1,1,[1]!roz(JT45+1,JT48,0,0),JT46)</f>
        <v>#VALUE!</v>
      </c>
      <c r="JU49" s="962" t="e">
        <f>[1]!taqsh(1,1,[1]!roz(JU45+1,JU48,0,0),JU46)</f>
        <v>#VALUE!</v>
      </c>
      <c r="JV49" s="962" t="e">
        <f>[1]!taqsh(1,1,[1]!roz(JV45+1,JV48,0,0),JV46)</f>
        <v>#VALUE!</v>
      </c>
      <c r="JW49" s="962" t="e">
        <f>[1]!taqsh(1,1,[1]!roz(JW45+1,JW48,0,0),JW46)</f>
        <v>#VALUE!</v>
      </c>
      <c r="JX49" s="962" t="e">
        <f>[1]!taqsh(1,1,[1]!roz(JX45+1,JX48,0,0),JX46)</f>
        <v>#VALUE!</v>
      </c>
      <c r="JY49" s="962" t="e">
        <f>[1]!taqsh(1,1,[1]!roz(JY45+1,JY48,0,0),JY46)</f>
        <v>#VALUE!</v>
      </c>
      <c r="JZ49" s="962" t="e">
        <f>[1]!taqsh(1,1,[1]!roz(JZ45+1,JZ48,0,0),JZ46)</f>
        <v>#VALUE!</v>
      </c>
      <c r="KA49" s="962" t="e">
        <f>[1]!taqsh(1,1,[1]!roz(KA45+1,KA48,0,0),KA46)</f>
        <v>#VALUE!</v>
      </c>
      <c r="KB49" s="962" t="e">
        <f>[1]!taqsh(1,1,[1]!roz(KB45+1,KB48,0,0),KB46)</f>
        <v>#VALUE!</v>
      </c>
      <c r="KC49" s="962" t="e">
        <f>[1]!taqsh(1,1,[1]!roz(KC45+1,KC48,0,0),KC46)</f>
        <v>#VALUE!</v>
      </c>
      <c r="KD49" s="962" t="e">
        <f>[1]!taqsh(1,1,[1]!roz(KD45+1,KD48,0,0),KD46)</f>
        <v>#VALUE!</v>
      </c>
      <c r="KE49" s="962" t="e">
        <f>[1]!taqsh(1,1,[1]!roz(KE45+1,KE48,0,0),KE46)</f>
        <v>#VALUE!</v>
      </c>
      <c r="KF49" s="962" t="e">
        <f>[1]!taqsh(1,1,[1]!roz(KF45+1,KF48,0,0),KF46)</f>
        <v>#VALUE!</v>
      </c>
      <c r="KG49" s="962" t="e">
        <f>[1]!taqsh(1,1,[1]!roz(KG45+1,KG48,0,0),KG46)</f>
        <v>#VALUE!</v>
      </c>
      <c r="KH49" s="962" t="e">
        <f>[1]!taqsh(1,1,[1]!roz(KH45+1,KH48,0,0),KH46)</f>
        <v>#VALUE!</v>
      </c>
      <c r="KI49" s="962" t="e">
        <f>[1]!taqsh(1,1,[1]!roz(KI45+1,KI48,0,0),KI46)</f>
        <v>#VALUE!</v>
      </c>
      <c r="KJ49" s="962" t="e">
        <f>[1]!taqsh(1,1,[1]!roz(KJ45+1,KJ48,0,0),KJ46)</f>
        <v>#VALUE!</v>
      </c>
      <c r="KK49" s="962" t="e">
        <f>[1]!taqsh(1,1,[1]!roz(KK45+1,KK48,0,0),KK46)</f>
        <v>#VALUE!</v>
      </c>
      <c r="KL49" s="962" t="e">
        <f>[1]!taqsh(1,1,[1]!roz(KL45+1,KL48,0,0),KL46)</f>
        <v>#VALUE!</v>
      </c>
      <c r="KM49" s="962" t="e">
        <f>[1]!taqsh(1,1,[1]!roz(KM45+1,KM48,0,0),KM46)</f>
        <v>#VALUE!</v>
      </c>
      <c r="KN49" s="962" t="e">
        <f>[1]!taqsh(1,1,[1]!roz(KN45+1,KN48,0,0),KN46)</f>
        <v>#VALUE!</v>
      </c>
      <c r="KO49" s="962" t="e">
        <f>[1]!taqsh(1,1,[1]!roz(KO45+1,KO48,0,0),KO46)</f>
        <v>#VALUE!</v>
      </c>
      <c r="KP49" s="962" t="e">
        <f>[1]!taqsh(1,1,[1]!roz(KP45+1,KP48,0,0),KP46)</f>
        <v>#VALUE!</v>
      </c>
      <c r="KQ49" s="962" t="e">
        <f>[1]!taqsh(1,1,[1]!roz(KQ45+1,KQ48,0,0),KQ46)</f>
        <v>#VALUE!</v>
      </c>
      <c r="KR49" s="962" t="e">
        <f>[1]!taqsh(1,1,[1]!roz(KR45+1,KR48,0,0),KR46)</f>
        <v>#VALUE!</v>
      </c>
      <c r="KS49" s="962" t="e">
        <f>[1]!taqsh(1,1,[1]!roz(KS45+1,KS48,0,0),KS46)</f>
        <v>#VALUE!</v>
      </c>
      <c r="KT49" s="962" t="e">
        <f>[1]!taqsh(1,1,[1]!roz(KT45+1,KT48,0,0),KT46)</f>
        <v>#VALUE!</v>
      </c>
      <c r="KU49" s="962" t="e">
        <f>[1]!taqsh(1,1,[1]!roz(KU45+1,KU48,0,0),KU46)</f>
        <v>#VALUE!</v>
      </c>
      <c r="KV49" s="962" t="e">
        <f>[1]!taqsh(1,1,[1]!roz(KV45+1,KV48,0,0),KV46)</f>
        <v>#VALUE!</v>
      </c>
      <c r="KW49" s="962" t="e">
        <f>[1]!taqsh(1,1,[1]!roz(KW45+1,KW48,0,0),KW46)</f>
        <v>#VALUE!</v>
      </c>
      <c r="KX49" s="962" t="e">
        <f>[1]!taqsh(1,1,[1]!roz(KX45+1,KX48,0,0),KX46)</f>
        <v>#VALUE!</v>
      </c>
      <c r="KY49" s="962" t="e">
        <f>[1]!taqsh(1,1,[1]!roz(KY45+1,KY48,0,0),KY46)</f>
        <v>#VALUE!</v>
      </c>
      <c r="KZ49" s="962" t="e">
        <f>[1]!taqsh(1,1,[1]!roz(KZ45+1,KZ48,0,0),KZ46)</f>
        <v>#VALUE!</v>
      </c>
      <c r="LA49" s="962" t="e">
        <f>[1]!taqsh(1,1,[1]!roz(LA45+1,LA48,0,0),LA46)</f>
        <v>#VALUE!</v>
      </c>
      <c r="LB49" s="962" t="e">
        <f>[1]!taqsh(1,1,[1]!roz(LB45+1,LB48,0,0),LB46)</f>
        <v>#VALUE!</v>
      </c>
      <c r="LC49" s="962" t="e">
        <f>[1]!taqsh(1,1,[1]!roz(LC45+1,LC48,0,0),LC46)</f>
        <v>#VALUE!</v>
      </c>
      <c r="LD49" s="962" t="e">
        <f>[1]!taqsh(1,1,[1]!roz(LD45+1,LD48,0,0),LD46)</f>
        <v>#VALUE!</v>
      </c>
      <c r="LE49" s="962" t="e">
        <f>[1]!taqsh(1,1,[1]!roz(LE45+1,LE48,0,0),LE46)</f>
        <v>#VALUE!</v>
      </c>
      <c r="LF49" s="962" t="e">
        <f>[1]!taqsh(1,1,[1]!roz(LF45+1,LF48,0,0),LF46)</f>
        <v>#VALUE!</v>
      </c>
      <c r="LG49" s="962" t="e">
        <f>[1]!taqsh(1,1,[1]!roz(LG45+1,LG48,0,0),LG46)</f>
        <v>#VALUE!</v>
      </c>
      <c r="LH49" s="962" t="e">
        <f>[1]!taqsh(1,1,[1]!roz(LH45+1,LH48,0,0),LH46)</f>
        <v>#VALUE!</v>
      </c>
      <c r="LI49" s="962" t="e">
        <f>[1]!taqsh(1,1,[1]!roz(LI45+1,LI48,0,0),LI46)</f>
        <v>#VALUE!</v>
      </c>
      <c r="LJ49" s="962" t="e">
        <f>[1]!taqsh(1,1,[1]!roz(LJ45+1,LJ48,0,0),LJ46)</f>
        <v>#VALUE!</v>
      </c>
      <c r="LK49" s="962" t="e">
        <f>[1]!taqsh(1,1,[1]!roz(LK45+1,LK48,0,0),LK46)</f>
        <v>#VALUE!</v>
      </c>
      <c r="LL49" s="962" t="e">
        <f>[1]!taqsh(1,1,[1]!roz(LL45+1,LL48,0,0),LL46)</f>
        <v>#VALUE!</v>
      </c>
      <c r="LM49" s="962" t="e">
        <f>[1]!taqsh(1,1,[1]!roz(LM45+1,LM48,0,0),LM46)</f>
        <v>#VALUE!</v>
      </c>
      <c r="LN49" s="962" t="e">
        <f>[1]!taqsh(1,1,[1]!roz(LN45+1,LN48,0,0),LN46)</f>
        <v>#VALUE!</v>
      </c>
      <c r="LO49" s="962" t="e">
        <f>[1]!taqsh(1,1,[1]!roz(LO45+1,LO48,0,0),LO46)</f>
        <v>#VALUE!</v>
      </c>
      <c r="LP49" s="962" t="e">
        <f>[1]!taqsh(1,1,[1]!roz(LP45+1,LP48,0,0),LP46)</f>
        <v>#VALUE!</v>
      </c>
      <c r="LQ49" s="962" t="e">
        <f>[1]!taqsh(1,1,[1]!roz(LQ45+1,LQ48,0,0),LQ46)</f>
        <v>#VALUE!</v>
      </c>
      <c r="LR49" s="962" t="e">
        <f>[1]!taqsh(1,1,[1]!roz(LR45+1,LR48,0,0),LR46)</f>
        <v>#VALUE!</v>
      </c>
      <c r="LS49" s="962" t="e">
        <f>[1]!taqsh(1,1,[1]!roz(LS45+1,LS48,0,0),LS46)</f>
        <v>#VALUE!</v>
      </c>
      <c r="LT49" s="962" t="e">
        <f>[1]!taqsh(1,1,[1]!roz(LT45+1,LT48,0,0),LT46)</f>
        <v>#VALUE!</v>
      </c>
      <c r="LU49" s="962" t="e">
        <f>[1]!taqsh(1,1,[1]!roz(LU45+1,LU48,0,0),LU46)</f>
        <v>#VALUE!</v>
      </c>
      <c r="LV49" s="962" t="e">
        <f>[1]!taqsh(1,1,[1]!roz(LV45+1,LV48,0,0),LV46)</f>
        <v>#VALUE!</v>
      </c>
      <c r="LW49" s="962" t="e">
        <f>[1]!taqsh(1,1,[1]!roz(LW45+1,LW48,0,0),LW46)</f>
        <v>#VALUE!</v>
      </c>
      <c r="LX49" s="962" t="e">
        <f>[1]!taqsh(1,1,[1]!roz(LX45+1,LX48,0,0),LX46)</f>
        <v>#VALUE!</v>
      </c>
      <c r="LY49" s="962" t="e">
        <f>[1]!taqsh(1,1,[1]!roz(LY45+1,LY48,0,0),LY46)</f>
        <v>#VALUE!</v>
      </c>
      <c r="LZ49" s="962" t="e">
        <f>[1]!taqsh(1,1,[1]!roz(LZ45+1,LZ48,0,0),LZ46)</f>
        <v>#VALUE!</v>
      </c>
      <c r="MA49" s="962" t="e">
        <f>[1]!taqsh(1,1,[1]!roz(MA45+1,MA48,0,0),MA46)</f>
        <v>#VALUE!</v>
      </c>
      <c r="MB49" s="962" t="e">
        <f>[1]!taqsh(1,1,[1]!roz(MB45+1,MB48,0,0),MB46)</f>
        <v>#VALUE!</v>
      </c>
      <c r="MC49" s="962" t="e">
        <f>[1]!taqsh(1,1,[1]!roz(MC45+1,MC48,0,0),MC46)</f>
        <v>#VALUE!</v>
      </c>
      <c r="MD49" s="962" t="e">
        <f>[1]!taqsh(1,1,[1]!roz(MD45+1,MD48,0,0),MD46)</f>
        <v>#VALUE!</v>
      </c>
      <c r="ME49" s="962" t="e">
        <f>[1]!taqsh(1,1,[1]!roz(ME45+1,ME48,0,0),ME46)</f>
        <v>#VALUE!</v>
      </c>
      <c r="MF49" s="962" t="e">
        <f>[1]!taqsh(1,1,[1]!roz(MF45+1,MF48,0,0),MF46)</f>
        <v>#VALUE!</v>
      </c>
      <c r="MG49" s="962" t="e">
        <f>[1]!taqsh(1,1,[1]!roz(MG45+1,MG48,0,0),MG46)</f>
        <v>#VALUE!</v>
      </c>
      <c r="MH49" s="962" t="e">
        <f>[1]!taqsh(1,1,[1]!roz(MH45+1,MH48,0,0),MH46)</f>
        <v>#VALUE!</v>
      </c>
      <c r="MI49" s="962" t="e">
        <f>[1]!taqsh(1,1,[1]!roz(MI45+1,MI48,0,0),MI46)</f>
        <v>#VALUE!</v>
      </c>
      <c r="MJ49" s="962" t="e">
        <f>[1]!taqsh(1,1,[1]!roz(MJ45+1,MJ48,0,0),MJ46)</f>
        <v>#VALUE!</v>
      </c>
      <c r="MK49" s="962" t="e">
        <f>[1]!taqsh(1,1,[1]!roz(MK45+1,MK48,0,0),MK46)</f>
        <v>#VALUE!</v>
      </c>
      <c r="ML49" s="962" t="e">
        <f>[1]!taqsh(1,1,[1]!roz(ML45+1,ML48,0,0),ML46)</f>
        <v>#VALUE!</v>
      </c>
      <c r="MM49" s="962" t="e">
        <f>[1]!taqsh(1,1,[1]!roz(MM45+1,MM48,0,0),MM46)</f>
        <v>#VALUE!</v>
      </c>
      <c r="MN49" s="962" t="e">
        <f>[1]!taqsh(1,1,[1]!roz(MN45+1,MN48,0,0),MN46)</f>
        <v>#VALUE!</v>
      </c>
      <c r="MO49" s="962" t="e">
        <f>[1]!taqsh(1,1,[1]!roz(MO45+1,MO48,0,0),MO46)</f>
        <v>#VALUE!</v>
      </c>
      <c r="MP49" s="962" t="e">
        <f>[1]!taqsh(1,1,[1]!roz(MP45+1,MP48,0,0),MP46)</f>
        <v>#VALUE!</v>
      </c>
      <c r="MQ49" s="962" t="e">
        <f>[1]!taqsh(1,1,[1]!roz(MQ45+1,MQ48,0,0),MQ46)</f>
        <v>#VALUE!</v>
      </c>
      <c r="MR49" s="962" t="e">
        <f>[1]!taqsh(1,1,[1]!roz(MR45+1,MR48,0,0),MR46)</f>
        <v>#VALUE!</v>
      </c>
      <c r="MS49" s="962" t="e">
        <f>[1]!taqsh(1,1,[1]!roz(MS45+1,MS48,0,0),MS46)</f>
        <v>#VALUE!</v>
      </c>
      <c r="MT49" s="962" t="e">
        <f>[1]!taqsh(1,1,[1]!roz(MT45+1,MT48,0,0),MT46)</f>
        <v>#VALUE!</v>
      </c>
      <c r="MU49" s="962" t="e">
        <f>[1]!taqsh(1,1,[1]!roz(MU45+1,MU48,0,0),MU46)</f>
        <v>#VALUE!</v>
      </c>
      <c r="MV49" s="962" t="e">
        <f>[1]!taqsh(1,1,[1]!roz(MV45+1,MV48,0,0),MV46)</f>
        <v>#VALUE!</v>
      </c>
      <c r="MW49" s="962" t="e">
        <f>[1]!taqsh(1,1,[1]!roz(MW45+1,MW48,0,0),MW46)</f>
        <v>#VALUE!</v>
      </c>
      <c r="MX49" s="962" t="e">
        <f>[1]!taqsh(1,1,[1]!roz(MX45+1,MX48,0,0),MX46)</f>
        <v>#VALUE!</v>
      </c>
      <c r="MY49" s="962" t="e">
        <f>[1]!taqsh(1,1,[1]!roz(MY45+1,MY48,0,0),MY46)</f>
        <v>#VALUE!</v>
      </c>
      <c r="MZ49" s="962" t="e">
        <f>[1]!taqsh(1,1,[1]!roz(MZ45+1,MZ48,0,0),MZ46)</f>
        <v>#VALUE!</v>
      </c>
      <c r="NA49" s="962" t="e">
        <f>[1]!taqsh(1,1,[1]!roz(NA45+1,NA48,0,0),NA46)</f>
        <v>#VALUE!</v>
      </c>
      <c r="NB49" s="962" t="e">
        <f>[1]!taqsh(1,1,[1]!roz(NB45+1,NB48,0,0),NB46)</f>
        <v>#VALUE!</v>
      </c>
      <c r="NC49" s="962" t="e">
        <f>[1]!taqsh(1,1,[1]!roz(NC45+1,NC48,0,0),NC46)</f>
        <v>#VALUE!</v>
      </c>
      <c r="ND49" s="962" t="e">
        <f>[1]!taqsh(1,1,[1]!roz(ND45+1,ND48,0,0),ND46)</f>
        <v>#VALUE!</v>
      </c>
      <c r="NE49" s="962" t="e">
        <f>[1]!taqsh(1,1,[1]!roz(NE45+1,NE48,0,0),NE46)</f>
        <v>#VALUE!</v>
      </c>
      <c r="NF49" s="962" t="e">
        <f>[1]!taqsh(1,1,[1]!roz(NF45+1,NF48,0,0),NF46)</f>
        <v>#VALUE!</v>
      </c>
      <c r="NG49" s="962" t="e">
        <f>[1]!taqsh(1,1,[1]!roz(NG45+1,NG48,0,0),NG46)</f>
        <v>#VALUE!</v>
      </c>
      <c r="NH49" s="962" t="e">
        <f>[1]!taqsh(1,1,[1]!roz(NH45+1,NH48,0,0),NH46)</f>
        <v>#VALUE!</v>
      </c>
      <c r="NI49" s="962" t="e">
        <f>[1]!taqsh(1,1,[1]!roz(NI45+1,NI48,0,0),NI46)</f>
        <v>#VALUE!</v>
      </c>
      <c r="NJ49" s="962" t="e">
        <f>[1]!taqsh(1,1,[1]!roz(NJ45+1,NJ48,0,0),NJ46)</f>
        <v>#VALUE!</v>
      </c>
      <c r="NK49" s="962" t="e">
        <f>[1]!taqsh(1,1,[1]!roz(NK45+1,NK48,0,0),NK46)</f>
        <v>#VALUE!</v>
      </c>
      <c r="NL49" s="962" t="e">
        <f>[1]!taqsh(1,1,[1]!roz(NL45+1,NL48,0,0),NL46)</f>
        <v>#VALUE!</v>
      </c>
      <c r="NM49" s="962" t="e">
        <f>[1]!taqsh(1,1,[1]!roz(NM45+1,NM48,0,0),NM46)</f>
        <v>#VALUE!</v>
      </c>
      <c r="NN49" s="962" t="e">
        <f>[1]!taqsh(1,1,[1]!roz(NN45+1,NN48,0,0),NN46)</f>
        <v>#VALUE!</v>
      </c>
      <c r="NO49" s="962" t="e">
        <f>[1]!taqsh(1,1,[1]!roz(NO45+1,NO48,0,0),NO46)</f>
        <v>#VALUE!</v>
      </c>
      <c r="NP49" s="962" t="e">
        <f>[1]!taqsh(1,1,[1]!roz(NP45+1,NP48,0,0),NP46)</f>
        <v>#VALUE!</v>
      </c>
      <c r="NQ49" s="962" t="e">
        <f>[1]!taqsh(1,1,[1]!roz(NQ45+1,NQ48,0,0),NQ46)</f>
        <v>#VALUE!</v>
      </c>
      <c r="NR49" s="962" t="e">
        <f>[1]!taqsh(1,1,[1]!roz(NR45+1,NR48,0,0),NR46)</f>
        <v>#VALUE!</v>
      </c>
      <c r="NS49" s="962" t="e">
        <f>[1]!taqsh(1,1,[1]!roz(NS45+1,NS48,0,0),NS46)</f>
        <v>#VALUE!</v>
      </c>
      <c r="NT49" s="962" t="e">
        <f>[1]!taqsh(1,1,[1]!roz(NT45+1,NT48,0,0),NT46)</f>
        <v>#VALUE!</v>
      </c>
      <c r="NU49" s="962" t="e">
        <f>[1]!taqsh(1,1,[1]!roz(NU45+1,NU48,0,0),NU46)</f>
        <v>#VALUE!</v>
      </c>
      <c r="NV49" s="962" t="e">
        <f>[1]!taqsh(1,1,[1]!roz(NV45+1,NV48,0,0),NV46)</f>
        <v>#VALUE!</v>
      </c>
      <c r="NW49" s="962" t="e">
        <f>[1]!taqsh(1,1,[1]!roz(NW45+1,NW48,0,0),NW46)</f>
        <v>#VALUE!</v>
      </c>
      <c r="NX49" s="962" t="e">
        <f>[1]!taqsh(1,1,[1]!roz(NX45+1,NX48,0,0),NX46)</f>
        <v>#VALUE!</v>
      </c>
      <c r="NY49" s="962" t="e">
        <f>[1]!taqsh(1,1,[1]!roz(NY45+1,NY48,0,0),NY46)</f>
        <v>#VALUE!</v>
      </c>
      <c r="NZ49" s="962" t="e">
        <f>[1]!taqsh(1,1,[1]!roz(NZ45+1,NZ48,0,0),NZ46)</f>
        <v>#VALUE!</v>
      </c>
      <c r="OA49" s="962" t="e">
        <f>[1]!taqsh(1,1,[1]!roz(OA45+1,OA48,0,0),OA46)</f>
        <v>#VALUE!</v>
      </c>
      <c r="OB49" s="962" t="e">
        <f>[1]!taqsh(1,1,[1]!roz(OB45+1,OB48,0,0),OB46)</f>
        <v>#VALUE!</v>
      </c>
      <c r="OC49" s="962" t="e">
        <f>[1]!taqsh(1,1,[1]!roz(OC45+1,OC48,0,0),OC46)</f>
        <v>#VALUE!</v>
      </c>
      <c r="OD49" s="962" t="e">
        <f>[1]!taqsh(1,1,[1]!roz(OD45+1,OD48,0,0),OD46)</f>
        <v>#VALUE!</v>
      </c>
      <c r="OE49" s="962" t="e">
        <f>[1]!taqsh(1,1,[1]!roz(OE45+1,OE48,0,0),OE46)</f>
        <v>#VALUE!</v>
      </c>
      <c r="OF49" s="962" t="e">
        <f>[1]!taqsh(1,1,[1]!roz(OF45+1,OF48,0,0),OF46)</f>
        <v>#VALUE!</v>
      </c>
      <c r="OG49" s="962" t="e">
        <f>[1]!taqsh(1,1,[1]!roz(OG45+1,OG48,0,0),OG46)</f>
        <v>#VALUE!</v>
      </c>
      <c r="OH49" s="962" t="e">
        <f>[1]!taqsh(1,1,[1]!roz(OH45+1,OH48,0,0),OH46)</f>
        <v>#VALUE!</v>
      </c>
      <c r="OI49" s="962" t="e">
        <f>[1]!taqsh(1,1,[1]!roz(OI45+1,OI48,0,0),OI46)</f>
        <v>#VALUE!</v>
      </c>
      <c r="OJ49" s="962" t="e">
        <f>[1]!taqsh(1,1,[1]!roz(OJ45+1,OJ48,0,0),OJ46)</f>
        <v>#VALUE!</v>
      </c>
      <c r="OK49" s="962" t="e">
        <f>[1]!taqsh(1,1,[1]!roz(OK45+1,OK48,0,0),OK46)</f>
        <v>#VALUE!</v>
      </c>
      <c r="OL49" s="962" t="e">
        <f>[1]!taqsh(1,1,[1]!roz(OL45+1,OL48,0,0),OL46)</f>
        <v>#VALUE!</v>
      </c>
      <c r="OM49" s="962" t="e">
        <f>[1]!taqsh(1,1,[1]!roz(OM45+1,OM48,0,0),OM46)</f>
        <v>#VALUE!</v>
      </c>
      <c r="ON49" s="962" t="e">
        <f>[1]!taqsh(1,1,[1]!roz(ON45+1,ON48,0,0),ON46)</f>
        <v>#VALUE!</v>
      </c>
      <c r="OO49" s="962" t="e">
        <f>[1]!taqsh(1,1,[1]!roz(OO45+1,OO48,0,0),OO46)</f>
        <v>#VALUE!</v>
      </c>
      <c r="OP49" s="962" t="e">
        <f>[1]!taqsh(1,1,[1]!roz(OP45+1,OP48,0,0),OP46)</f>
        <v>#VALUE!</v>
      </c>
      <c r="OQ49" s="962" t="e">
        <f>[1]!taqsh(1,1,[1]!roz(OQ45+1,OQ48,0,0),OQ46)</f>
        <v>#VALUE!</v>
      </c>
      <c r="OR49" s="962" t="e">
        <f>[1]!taqsh(1,1,[1]!roz(OR45+1,OR48,0,0),OR46)</f>
        <v>#VALUE!</v>
      </c>
      <c r="OS49" s="962" t="e">
        <f>[1]!taqsh(1,1,[1]!roz(OS45+1,OS48,0,0),OS46)</f>
        <v>#VALUE!</v>
      </c>
      <c r="OT49" s="962" t="e">
        <f>[1]!taqsh(1,1,[1]!roz(OT45+1,OT48,0,0),OT46)</f>
        <v>#VALUE!</v>
      </c>
      <c r="OU49" s="962" t="e">
        <f>[1]!taqsh(1,1,[1]!roz(OU45+1,OU48,0,0),OU46)</f>
        <v>#VALUE!</v>
      </c>
      <c r="OV49" s="962" t="e">
        <f>[1]!taqsh(1,1,[1]!roz(OV45+1,OV48,0,0),OV46)</f>
        <v>#VALUE!</v>
      </c>
      <c r="OW49" s="962" t="e">
        <f>[1]!taqsh(1,1,[1]!roz(OW45+1,OW48,0,0),OW46)</f>
        <v>#VALUE!</v>
      </c>
      <c r="OX49" s="962" t="e">
        <f>[1]!taqsh(1,1,[1]!roz(OX45+1,OX48,0,0),OX46)</f>
        <v>#VALUE!</v>
      </c>
      <c r="OY49" s="962" t="e">
        <f>[1]!taqsh(1,1,[1]!roz(OY45+1,OY48,0,0),OY46)</f>
        <v>#VALUE!</v>
      </c>
      <c r="OZ49" s="962" t="e">
        <f>[1]!taqsh(1,1,[1]!roz(OZ45+1,OZ48,0,0),OZ46)</f>
        <v>#VALUE!</v>
      </c>
      <c r="PA49" s="962" t="e">
        <f>[1]!taqsh(1,1,[1]!roz(PA45+1,PA48,0,0),PA46)</f>
        <v>#VALUE!</v>
      </c>
      <c r="PB49" s="962" t="e">
        <f>[1]!taqsh(1,1,[1]!roz(PB45+1,PB48,0,0),PB46)</f>
        <v>#VALUE!</v>
      </c>
      <c r="PC49" s="962" t="e">
        <f>[1]!taqsh(1,1,[1]!roz(PC45+1,PC48,0,0),PC46)</f>
        <v>#VALUE!</v>
      </c>
      <c r="PD49" s="962" t="e">
        <f>[1]!taqsh(1,1,[1]!roz(PD45+1,PD48,0,0),PD46)</f>
        <v>#VALUE!</v>
      </c>
      <c r="PE49" s="962" t="e">
        <f>[1]!taqsh(1,1,[1]!roz(PE45+1,PE48,0,0),PE46)</f>
        <v>#VALUE!</v>
      </c>
      <c r="PF49" s="962" t="e">
        <f>[1]!taqsh(1,1,[1]!roz(PF45+1,PF48,0,0),PF46)</f>
        <v>#VALUE!</v>
      </c>
      <c r="PG49" s="962" t="e">
        <f>[1]!taqsh(1,1,[1]!roz(PG45+1,PG48,0,0),PG46)</f>
        <v>#VALUE!</v>
      </c>
      <c r="PH49" s="962" t="e">
        <f>[1]!taqsh(1,1,[1]!roz(PH45+1,PH48,0,0),PH46)</f>
        <v>#VALUE!</v>
      </c>
      <c r="PI49" s="962" t="e">
        <f>[1]!taqsh(1,1,[1]!roz(PI45+1,PI48,0,0),PI46)</f>
        <v>#VALUE!</v>
      </c>
      <c r="PJ49" s="962" t="e">
        <f>[1]!taqsh(1,1,[1]!roz(PJ45+1,PJ48,0,0),PJ46)</f>
        <v>#VALUE!</v>
      </c>
      <c r="PK49" s="962" t="e">
        <f>[1]!taqsh(1,1,[1]!roz(PK45+1,PK48,0,0),PK46)</f>
        <v>#VALUE!</v>
      </c>
      <c r="PL49" s="962" t="e">
        <f>[1]!taqsh(1,1,[1]!roz(PL45+1,PL48,0,0),PL46)</f>
        <v>#VALUE!</v>
      </c>
      <c r="PM49" s="962" t="e">
        <f>[1]!taqsh(1,1,[1]!roz(PM45+1,PM48,0,0),PM46)</f>
        <v>#VALUE!</v>
      </c>
      <c r="PN49" s="962" t="e">
        <f>[1]!taqsh(1,1,[1]!roz(PN45+1,PN48,0,0),PN46)</f>
        <v>#VALUE!</v>
      </c>
      <c r="PO49" s="962" t="e">
        <f>[1]!taqsh(1,1,[1]!roz(PO45+1,PO48,0,0),PO46)</f>
        <v>#VALUE!</v>
      </c>
      <c r="PP49" s="962" t="e">
        <f>[1]!taqsh(1,1,[1]!roz(PP45+1,PP48,0,0),PP46)</f>
        <v>#VALUE!</v>
      </c>
      <c r="PQ49" s="962" t="e">
        <f>[1]!taqsh(1,1,[1]!roz(PQ45+1,PQ48,0,0),PQ46)</f>
        <v>#VALUE!</v>
      </c>
      <c r="PR49" s="962" t="e">
        <f>[1]!taqsh(1,1,[1]!roz(PR45+1,PR48,0,0),PR46)</f>
        <v>#VALUE!</v>
      </c>
      <c r="PS49" s="962" t="e">
        <f>[1]!taqsh(1,1,[1]!roz(PS45+1,PS48,0,0),PS46)</f>
        <v>#VALUE!</v>
      </c>
      <c r="PT49" s="962" t="e">
        <f>[1]!taqsh(1,1,[1]!roz(PT45+1,PT48,0,0),PT46)</f>
        <v>#VALUE!</v>
      </c>
      <c r="PU49" s="962" t="e">
        <f>[1]!taqsh(1,1,[1]!roz(PU45+1,PU48,0,0),PU46)</f>
        <v>#VALUE!</v>
      </c>
      <c r="PV49" s="962" t="e">
        <f>[1]!taqsh(1,1,[1]!roz(PV45+1,PV48,0,0),PV46)</f>
        <v>#VALUE!</v>
      </c>
      <c r="PW49" s="962" t="e">
        <f>[1]!taqsh(1,1,[1]!roz(PW45+1,PW48,0,0),PW46)</f>
        <v>#VALUE!</v>
      </c>
      <c r="PX49" s="962" t="e">
        <f>[1]!taqsh(1,1,[1]!roz(PX45+1,PX48,0,0),PX46)</f>
        <v>#VALUE!</v>
      </c>
      <c r="PY49" s="962" t="e">
        <f>[1]!taqsh(1,1,[1]!roz(PY45+1,PY48,0,0),PY46)</f>
        <v>#VALUE!</v>
      </c>
      <c r="PZ49" s="962" t="e">
        <f>[1]!taqsh(1,1,[1]!roz(PZ45+1,PZ48,0,0),PZ46)</f>
        <v>#VALUE!</v>
      </c>
      <c r="QA49" s="962" t="e">
        <f>[1]!taqsh(1,1,[1]!roz(QA45+1,QA48,0,0),QA46)</f>
        <v>#VALUE!</v>
      </c>
      <c r="QB49" s="962" t="e">
        <f>[1]!taqsh(1,1,[1]!roz(QB45+1,QB48,0,0),QB46)</f>
        <v>#VALUE!</v>
      </c>
      <c r="QC49" s="962" t="e">
        <f>[1]!taqsh(1,1,[1]!roz(QC45+1,QC48,0,0),QC46)</f>
        <v>#VALUE!</v>
      </c>
      <c r="QD49" s="962" t="e">
        <f>[1]!taqsh(1,1,[1]!roz(QD45+1,QD48,0,0),QD46)</f>
        <v>#VALUE!</v>
      </c>
      <c r="QE49" s="962" t="e">
        <f>[1]!taqsh(1,1,[1]!roz(QE45+1,QE48,0,0),QE46)</f>
        <v>#VALUE!</v>
      </c>
      <c r="QF49" s="962" t="e">
        <f>[1]!taqsh(1,1,[1]!roz(QF45+1,QF48,0,0),QF46)</f>
        <v>#VALUE!</v>
      </c>
      <c r="QG49" s="962" t="e">
        <f>[1]!taqsh(1,1,[1]!roz(QG45+1,QG48,0,0),QG46)</f>
        <v>#VALUE!</v>
      </c>
      <c r="QH49" s="962" t="e">
        <f>[1]!taqsh(1,1,[1]!roz(QH45+1,QH48,0,0),QH46)</f>
        <v>#VALUE!</v>
      </c>
      <c r="QI49" s="962" t="e">
        <f>[1]!taqsh(1,1,[1]!roz(QI45+1,QI48,0,0),QI46)</f>
        <v>#VALUE!</v>
      </c>
      <c r="QJ49" s="962" t="e">
        <f>[1]!taqsh(1,1,[1]!roz(QJ45+1,QJ48,0,0),QJ46)</f>
        <v>#VALUE!</v>
      </c>
      <c r="QK49" s="962" t="e">
        <f>[1]!taqsh(1,1,[1]!roz(QK45+1,QK48,0,0),QK46)</f>
        <v>#VALUE!</v>
      </c>
      <c r="QL49" s="962" t="e">
        <f>[1]!taqsh(1,1,[1]!roz(QL45+1,QL48,0,0),QL46)</f>
        <v>#VALUE!</v>
      </c>
      <c r="QM49" s="962" t="e">
        <f>[1]!taqsh(1,1,[1]!roz(QM45+1,QM48,0,0),QM46)</f>
        <v>#VALUE!</v>
      </c>
      <c r="QN49" s="962" t="e">
        <f>[1]!taqsh(1,1,[1]!roz(QN45+1,QN48,0,0),QN46)</f>
        <v>#VALUE!</v>
      </c>
      <c r="QO49" s="962" t="e">
        <f>[1]!taqsh(1,1,[1]!roz(QO45+1,QO48,0,0),QO46)</f>
        <v>#VALUE!</v>
      </c>
      <c r="QP49" s="962" t="e">
        <f>[1]!taqsh(1,1,[1]!roz(QP45+1,QP48,0,0),QP46)</f>
        <v>#VALUE!</v>
      </c>
      <c r="QQ49" s="962" t="e">
        <f>[1]!taqsh(1,1,[1]!roz(QQ45+1,QQ48,0,0),QQ46)</f>
        <v>#VALUE!</v>
      </c>
      <c r="QR49" s="962" t="e">
        <f>[1]!taqsh(1,1,[1]!roz(QR45+1,QR48,0,0),QR46)</f>
        <v>#VALUE!</v>
      </c>
      <c r="QS49" s="962" t="e">
        <f>[1]!taqsh(1,1,[1]!roz(QS45+1,QS48,0,0),QS46)</f>
        <v>#VALUE!</v>
      </c>
      <c r="QT49" s="962" t="e">
        <f>[1]!taqsh(1,1,[1]!roz(QT45+1,QT48,0,0),QT46)</f>
        <v>#VALUE!</v>
      </c>
      <c r="QU49" s="962" t="e">
        <f>[1]!taqsh(1,1,[1]!roz(QU45+1,QU48,0,0),QU46)</f>
        <v>#VALUE!</v>
      </c>
      <c r="QV49" s="962" t="e">
        <f>[1]!taqsh(1,1,[1]!roz(QV45+1,QV48,0,0),QV46)</f>
        <v>#VALUE!</v>
      </c>
      <c r="QW49" s="962" t="e">
        <f>[1]!taqsh(1,1,[1]!roz(QW45+1,QW48,0,0),QW46)</f>
        <v>#VALUE!</v>
      </c>
      <c r="QX49" s="962" t="e">
        <f>[1]!taqsh(1,1,[1]!roz(QX45+1,QX48,0,0),QX46)</f>
        <v>#VALUE!</v>
      </c>
      <c r="QY49" s="962" t="e">
        <f>[1]!taqsh(1,1,[1]!roz(QY45+1,QY48,0,0),QY46)</f>
        <v>#VALUE!</v>
      </c>
      <c r="QZ49" s="962" t="e">
        <f>[1]!taqsh(1,1,[1]!roz(QZ45+1,QZ48,0,0),QZ46)</f>
        <v>#VALUE!</v>
      </c>
      <c r="RA49" s="963"/>
    </row>
    <row r="50" spans="1:471" ht="18" thickBot="1">
      <c r="AK50" s="759" t="s">
        <v>839</v>
      </c>
      <c r="AL50" s="699" t="e">
        <f>IF(AL47-AL48&gt;0,AL47-AL48,AL47-AL48+360)</f>
        <v>#VALUE!</v>
      </c>
      <c r="AM50" s="700" t="e">
        <f t="shared" ref="AM50:AV50" si="371">IF(AM47-AM48&gt;0,AM47-AM48,AM47-AM48+360)</f>
        <v>#VALUE!</v>
      </c>
      <c r="AN50" s="700" t="e">
        <f t="shared" si="371"/>
        <v>#VALUE!</v>
      </c>
      <c r="AO50" s="700" t="e">
        <f t="shared" si="371"/>
        <v>#VALUE!</v>
      </c>
      <c r="AP50" s="700" t="e">
        <f t="shared" si="371"/>
        <v>#VALUE!</v>
      </c>
      <c r="AQ50" s="700" t="e">
        <f t="shared" si="371"/>
        <v>#VALUE!</v>
      </c>
      <c r="AR50" s="700" t="e">
        <f t="shared" si="371"/>
        <v>#VALUE!</v>
      </c>
      <c r="AS50" s="700" t="e">
        <f t="shared" si="371"/>
        <v>#VALUE!</v>
      </c>
      <c r="AT50" s="700" t="e">
        <f t="shared" si="371"/>
        <v>#VALUE!</v>
      </c>
      <c r="AU50" s="700" t="e">
        <f t="shared" si="371"/>
        <v>#VALUE!</v>
      </c>
      <c r="AV50" s="700" t="e">
        <f t="shared" si="371"/>
        <v>#VALUE!</v>
      </c>
      <c r="AW50" s="315" t="e">
        <f>IF(AW47-AW48&gt;0,AW47-AW48,AW47-AW48+360)</f>
        <v>#VALUE!</v>
      </c>
      <c r="AX50" s="314"/>
      <c r="DB50" s="797" t="s">
        <v>698</v>
      </c>
      <c r="DC50" s="797"/>
      <c r="DD50" s="961" t="e">
        <f>[1]!taqq(1,1,[1]!roz(DD45+1,DD48,0,0),DD46)</f>
        <v>#VALUE!</v>
      </c>
      <c r="DH50" s="797"/>
      <c r="DI50" s="797" t="s">
        <v>698</v>
      </c>
      <c r="DJ50" s="961" t="e">
        <f>[1]!taqq(1,1,[1]!roz(DJ45+1,DJ48,0,0),DJ46)</f>
        <v>#VALUE!</v>
      </c>
      <c r="DK50" s="962" t="e">
        <f>[1]!taqq(1,1,[1]!roz(DK45+1,DK48,0,0),DK46)</f>
        <v>#VALUE!</v>
      </c>
      <c r="DL50" s="962" t="e">
        <f>[1]!taqq(1,1,[1]!roz(DL45+1,DL48,0,0),DL46)</f>
        <v>#VALUE!</v>
      </c>
      <c r="DM50" s="962" t="e">
        <f>[1]!taqq(1,1,[1]!roz(DM45+1,DM48,0,0),DM46)</f>
        <v>#VALUE!</v>
      </c>
      <c r="DN50" s="962" t="e">
        <f>[1]!taqq(1,1,[1]!roz(DN45+1,DN48,0,0),DN46)</f>
        <v>#VALUE!</v>
      </c>
      <c r="DO50" s="962" t="e">
        <f>[1]!taqq(1,1,[1]!roz(DO45+1,DO48,0,0),DO46)</f>
        <v>#VALUE!</v>
      </c>
      <c r="DP50" s="962" t="e">
        <f>[1]!taqq(1,1,[1]!roz(DP45+1,DP48,0,0),DP46)</f>
        <v>#VALUE!</v>
      </c>
      <c r="DQ50" s="962" t="e">
        <f>[1]!taqq(1,1,[1]!roz(DQ45+1,DQ48,0,0),DQ46)</f>
        <v>#VALUE!</v>
      </c>
      <c r="DR50" s="962" t="e">
        <f>[1]!taqq(1,1,[1]!roz(DR45+1,DR48,0,0),DR46)</f>
        <v>#VALUE!</v>
      </c>
      <c r="DS50" s="962" t="e">
        <f>[1]!taqq(1,1,[1]!roz(DS45+1,DS48,0,0),DS46)</f>
        <v>#VALUE!</v>
      </c>
      <c r="DT50" s="962" t="e">
        <f>[1]!taqq(1,1,[1]!roz(DT45+1,DT48,0,0),DT46)</f>
        <v>#VALUE!</v>
      </c>
      <c r="DU50" s="962" t="e">
        <f>[1]!taqq(1,1,[1]!roz(DU45+1,DU48,0,0),DU46)</f>
        <v>#VALUE!</v>
      </c>
      <c r="DV50" s="962" t="e">
        <f>[1]!taqq(1,1,[1]!roz(DV45+1,DV48,0,0),DV46)</f>
        <v>#VALUE!</v>
      </c>
      <c r="DW50" s="962" t="e">
        <f>[1]!taqq(1,1,[1]!roz(DW45+1,DW48,0,0),DW46)</f>
        <v>#VALUE!</v>
      </c>
      <c r="DX50" s="962" t="e">
        <f>[1]!taqq(1,1,[1]!roz(DX45+1,DX48,0,0),DX46)</f>
        <v>#VALUE!</v>
      </c>
      <c r="DY50" s="962" t="e">
        <f>[1]!taqq(1,1,[1]!roz(DY45+1,DY48,0,0),DY46)</f>
        <v>#VALUE!</v>
      </c>
      <c r="DZ50" s="962" t="e">
        <f>[1]!taqq(1,1,[1]!roz(DZ45+1,DZ48,0,0),DZ46)</f>
        <v>#VALUE!</v>
      </c>
      <c r="EA50" s="962" t="e">
        <f>[1]!taqq(1,1,[1]!roz(EA45+1,EA48,0,0),EA46)</f>
        <v>#VALUE!</v>
      </c>
      <c r="EB50" s="962" t="e">
        <f>[1]!taqq(1,1,[1]!roz(EB45+1,EB48,0,0),EB46)</f>
        <v>#VALUE!</v>
      </c>
      <c r="EC50" s="962" t="e">
        <f>[1]!taqq(1,1,[1]!roz(EC45+1,EC48,0,0),EC46)</f>
        <v>#VALUE!</v>
      </c>
      <c r="ED50" s="962" t="e">
        <f>[1]!taqq(1,1,[1]!roz(ED45+1,ED48,0,0),ED46)</f>
        <v>#VALUE!</v>
      </c>
      <c r="EE50" s="962" t="e">
        <f>[1]!taqq(1,1,[1]!roz(EE45+1,EE48,0,0),EE46)</f>
        <v>#VALUE!</v>
      </c>
      <c r="EF50" s="962" t="e">
        <f>[1]!taqq(1,1,[1]!roz(EF45+1,EF48,0,0),EF46)</f>
        <v>#VALUE!</v>
      </c>
      <c r="EG50" s="962" t="e">
        <f>[1]!taqq(1,1,[1]!roz(EG45+1,EG48,0,0),EG46)</f>
        <v>#VALUE!</v>
      </c>
      <c r="EH50" s="962" t="e">
        <f>[1]!taqq(1,1,[1]!roz(EH45+1,EH48,0,0),EH46)</f>
        <v>#VALUE!</v>
      </c>
      <c r="EI50" s="962" t="e">
        <f>[1]!taqq(1,1,[1]!roz(EI45+1,EI48,0,0),EI46)</f>
        <v>#VALUE!</v>
      </c>
      <c r="EJ50" s="962" t="e">
        <f>[1]!taqq(1,1,[1]!roz(EJ45+1,EJ48,0,0),EJ46)</f>
        <v>#VALUE!</v>
      </c>
      <c r="EK50" s="962" t="e">
        <f>[1]!taqq(1,1,[1]!roz(EK45+1,EK48,0,0),EK46)</f>
        <v>#VALUE!</v>
      </c>
      <c r="EL50" s="962" t="e">
        <f>[1]!taqq(1,1,[1]!roz(EL45+1,EL48,0,0),EL46)</f>
        <v>#VALUE!</v>
      </c>
      <c r="EM50" s="962" t="e">
        <f>[1]!taqq(1,1,[1]!roz(EM45+1,EM48,0,0),EM46)</f>
        <v>#VALUE!</v>
      </c>
      <c r="EN50" s="962" t="e">
        <f>[1]!taqq(1,1,[1]!roz(EN45+1,EN48,0,0),EN46)</f>
        <v>#VALUE!</v>
      </c>
      <c r="EO50" s="962" t="e">
        <f>[1]!taqq(1,1,[1]!roz(EO45+1,EO48,0,0),EO46)</f>
        <v>#VALUE!</v>
      </c>
      <c r="EP50" s="962" t="e">
        <f>[1]!taqq(1,1,[1]!roz(EP45+1,EP48,0,0),EP46)</f>
        <v>#VALUE!</v>
      </c>
      <c r="EQ50" s="962" t="e">
        <f>[1]!taqq(1,1,[1]!roz(EQ45+1,EQ48,0,0),EQ46)</f>
        <v>#VALUE!</v>
      </c>
      <c r="ER50" s="962" t="e">
        <f>[1]!taqq(1,1,[1]!roz(ER45+1,ER48,0,0),ER46)</f>
        <v>#VALUE!</v>
      </c>
      <c r="ES50" s="962" t="e">
        <f>[1]!taqq(1,1,[1]!roz(ES45+1,ES48,0,0),ES46)</f>
        <v>#VALUE!</v>
      </c>
      <c r="ET50" s="962" t="e">
        <f>[1]!taqq(1,1,[1]!roz(ET45+1,ET48,0,0),ET46)</f>
        <v>#VALUE!</v>
      </c>
      <c r="EU50" s="962" t="e">
        <f>[1]!taqq(1,1,[1]!roz(EU45+1,EU48,0,0),EU46)</f>
        <v>#VALUE!</v>
      </c>
      <c r="EV50" s="962" t="e">
        <f>[1]!taqq(1,1,[1]!roz(EV45+1,EV48,0,0),EV46)</f>
        <v>#VALUE!</v>
      </c>
      <c r="EW50" s="962" t="e">
        <f>[1]!taqq(1,1,[1]!roz(EW45+1,EW48,0,0),EW46)</f>
        <v>#VALUE!</v>
      </c>
      <c r="EX50" s="962" t="e">
        <f>[1]!taqq(1,1,[1]!roz(EX45+1,EX48,0,0),EX46)</f>
        <v>#VALUE!</v>
      </c>
      <c r="EY50" s="962" t="e">
        <f>[1]!taqq(1,1,[1]!roz(EY45+1,EY48,0,0),EY46)</f>
        <v>#VALUE!</v>
      </c>
      <c r="EZ50" s="962" t="e">
        <f>[1]!taqq(1,1,[1]!roz(EZ45+1,EZ48,0,0),EZ46)</f>
        <v>#VALUE!</v>
      </c>
      <c r="FA50" s="962" t="e">
        <f>[1]!taqq(1,1,[1]!roz(FA45+1,FA48,0,0),FA46)</f>
        <v>#VALUE!</v>
      </c>
      <c r="FB50" s="962" t="e">
        <f>[1]!taqq(1,1,[1]!roz(FB45+1,FB48,0,0),FB46)</f>
        <v>#VALUE!</v>
      </c>
      <c r="FC50" s="962" t="e">
        <f>[1]!taqq(1,1,[1]!roz(FC45+1,FC48,0,0),FC46)</f>
        <v>#VALUE!</v>
      </c>
      <c r="FD50" s="962" t="e">
        <f>[1]!taqq(1,1,[1]!roz(FD45+1,FD48,0,0),FD46)</f>
        <v>#VALUE!</v>
      </c>
      <c r="FE50" s="962" t="e">
        <f>[1]!taqq(1,1,[1]!roz(FE45+1,FE48,0,0),FE46)</f>
        <v>#VALUE!</v>
      </c>
      <c r="FF50" s="962" t="e">
        <f>[1]!taqq(1,1,[1]!roz(FF45+1,FF48,0,0),FF46)</f>
        <v>#VALUE!</v>
      </c>
      <c r="FG50" s="962" t="e">
        <f>[1]!taqq(1,1,[1]!roz(FG45+1,FG48,0,0),FG46)</f>
        <v>#VALUE!</v>
      </c>
      <c r="FH50" s="962" t="e">
        <f>[1]!taqq(1,1,[1]!roz(FH45+1,FH48,0,0),FH46)</f>
        <v>#VALUE!</v>
      </c>
      <c r="FI50" s="962" t="e">
        <f>[1]!taqq(1,1,[1]!roz(FI45+1,FI48,0,0),FI46)</f>
        <v>#VALUE!</v>
      </c>
      <c r="FJ50" s="962" t="e">
        <f>[1]!taqq(1,1,[1]!roz(FJ45+1,FJ48,0,0),FJ46)</f>
        <v>#VALUE!</v>
      </c>
      <c r="FK50" s="962" t="e">
        <f>[1]!taqq(1,1,[1]!roz(FK45+1,FK48,0,0),FK46)</f>
        <v>#VALUE!</v>
      </c>
      <c r="FL50" s="962" t="e">
        <f>[1]!taqq(1,1,[1]!roz(FL45+1,FL48,0,0),FL46)</f>
        <v>#VALUE!</v>
      </c>
      <c r="FM50" s="962" t="e">
        <f>[1]!taqq(1,1,[1]!roz(FM45+1,FM48,0,0),FM46)</f>
        <v>#VALUE!</v>
      </c>
      <c r="FN50" s="962" t="e">
        <f>[1]!taqq(1,1,[1]!roz(FN45+1,FN48,0,0),FN46)</f>
        <v>#VALUE!</v>
      </c>
      <c r="FO50" s="962" t="e">
        <f>[1]!taqq(1,1,[1]!roz(FO45+1,FO48,0,0),FO46)</f>
        <v>#VALUE!</v>
      </c>
      <c r="FP50" s="962" t="e">
        <f>[1]!taqq(1,1,[1]!roz(FP45+1,FP48,0,0),FP46)</f>
        <v>#VALUE!</v>
      </c>
      <c r="FQ50" s="962" t="e">
        <f>[1]!taqq(1,1,[1]!roz(FQ45+1,FQ48,0,0),FQ46)</f>
        <v>#VALUE!</v>
      </c>
      <c r="FR50" s="962" t="e">
        <f>[1]!taqq(1,1,[1]!roz(FR45+1,FR48,0,0),FR46)</f>
        <v>#VALUE!</v>
      </c>
      <c r="FS50" s="962" t="e">
        <f>[1]!taqq(1,1,[1]!roz(FS45+1,FS48,0,0),FS46)</f>
        <v>#VALUE!</v>
      </c>
      <c r="FT50" s="962" t="e">
        <f>[1]!taqq(1,1,[1]!roz(FT45+1,FT48,0,0),FT46)</f>
        <v>#VALUE!</v>
      </c>
      <c r="FU50" s="962" t="e">
        <f>[1]!taqq(1,1,[1]!roz(FU45+1,FU48,0,0),FU46)</f>
        <v>#VALUE!</v>
      </c>
      <c r="FV50" s="962" t="e">
        <f>[1]!taqq(1,1,[1]!roz(FV45+1,FV48,0,0),FV46)</f>
        <v>#VALUE!</v>
      </c>
      <c r="FW50" s="962" t="e">
        <f>[1]!taqq(1,1,[1]!roz(FW45+1,FW48,0,0),FW46)</f>
        <v>#VALUE!</v>
      </c>
      <c r="FX50" s="962" t="e">
        <f>[1]!taqq(1,1,[1]!roz(FX45+1,FX48,0,0),FX46)</f>
        <v>#VALUE!</v>
      </c>
      <c r="FY50" s="962" t="e">
        <f>[1]!taqq(1,1,[1]!roz(FY45+1,FY48,0,0),FY46)</f>
        <v>#VALUE!</v>
      </c>
      <c r="FZ50" s="962" t="e">
        <f>[1]!taqq(1,1,[1]!roz(FZ45+1,FZ48,0,0),FZ46)</f>
        <v>#VALUE!</v>
      </c>
      <c r="GA50" s="962" t="e">
        <f>[1]!taqq(1,1,[1]!roz(GA45+1,GA48,0,0),GA46)</f>
        <v>#VALUE!</v>
      </c>
      <c r="GB50" s="962" t="e">
        <f>[1]!taqq(1,1,[1]!roz(GB45+1,GB48,0,0),GB46)</f>
        <v>#VALUE!</v>
      </c>
      <c r="GC50" s="962" t="e">
        <f>[1]!taqq(1,1,[1]!roz(GC45+1,GC48,0,0),GC46)</f>
        <v>#VALUE!</v>
      </c>
      <c r="GD50" s="962" t="e">
        <f>[1]!taqq(1,1,[1]!roz(GD45+1,GD48,0,0),GD46)</f>
        <v>#VALUE!</v>
      </c>
      <c r="GE50" s="962" t="e">
        <f>[1]!taqq(1,1,[1]!roz(GE45+1,GE48,0,0),GE46)</f>
        <v>#VALUE!</v>
      </c>
      <c r="GF50" s="962" t="e">
        <f>[1]!taqq(1,1,[1]!roz(GF45+1,GF48,0,0),GF46)</f>
        <v>#VALUE!</v>
      </c>
      <c r="GG50" s="962" t="e">
        <f>[1]!taqq(1,1,[1]!roz(GG45+1,GG48,0,0),GG46)</f>
        <v>#VALUE!</v>
      </c>
      <c r="GH50" s="962" t="e">
        <f>[1]!taqq(1,1,[1]!roz(GH45+1,GH48,0,0),GH46)</f>
        <v>#VALUE!</v>
      </c>
      <c r="GI50" s="962" t="e">
        <f>[1]!taqq(1,1,[1]!roz(GI45+1,GI48,0,0),GI46)</f>
        <v>#VALUE!</v>
      </c>
      <c r="GJ50" s="962" t="e">
        <f>[1]!taqq(1,1,[1]!roz(GJ45+1,GJ48,0,0),GJ46)</f>
        <v>#VALUE!</v>
      </c>
      <c r="GK50" s="962" t="e">
        <f>[1]!taqq(1,1,[1]!roz(GK45+1,GK48,0,0),GK46)</f>
        <v>#VALUE!</v>
      </c>
      <c r="GL50" s="962" t="e">
        <f>[1]!taqq(1,1,[1]!roz(GL45+1,GL48,0,0),GL46)</f>
        <v>#VALUE!</v>
      </c>
      <c r="GM50" s="962" t="e">
        <f>[1]!taqq(1,1,[1]!roz(GM45+1,GM48,0,0),GM46)</f>
        <v>#VALUE!</v>
      </c>
      <c r="GN50" s="962" t="e">
        <f>[1]!taqq(1,1,[1]!roz(GN45+1,GN48,0,0),GN46)</f>
        <v>#VALUE!</v>
      </c>
      <c r="GO50" s="962" t="e">
        <f>[1]!taqq(1,1,[1]!roz(GO45+1,GO48,0,0),GO46)</f>
        <v>#VALUE!</v>
      </c>
      <c r="GP50" s="962" t="e">
        <f>[1]!taqq(1,1,[1]!roz(GP45+1,GP48,0,0),GP46)</f>
        <v>#VALUE!</v>
      </c>
      <c r="GQ50" s="962" t="e">
        <f>[1]!taqq(1,1,[1]!roz(GQ45+1,GQ48,0,0),GQ46)</f>
        <v>#VALUE!</v>
      </c>
      <c r="GR50" s="962" t="e">
        <f>[1]!taqq(1,1,[1]!roz(GR45+1,GR48,0,0),GR46)</f>
        <v>#VALUE!</v>
      </c>
      <c r="GS50" s="962" t="e">
        <f>[1]!taqq(1,1,[1]!roz(GS45+1,GS48,0,0),GS46)</f>
        <v>#VALUE!</v>
      </c>
      <c r="GT50" s="962" t="e">
        <f>[1]!taqq(1,1,[1]!roz(GT45+1,GT48,0,0),GT46)</f>
        <v>#VALUE!</v>
      </c>
      <c r="GU50" s="962" t="e">
        <f>[1]!taqq(1,1,[1]!roz(GU45+1,GU48,0,0),GU46)</f>
        <v>#VALUE!</v>
      </c>
      <c r="GV50" s="962" t="e">
        <f>[1]!taqq(1,1,[1]!roz(GV45+1,GV48,0,0),GV46)</f>
        <v>#VALUE!</v>
      </c>
      <c r="GW50" s="962" t="e">
        <f>[1]!taqq(1,1,[1]!roz(GW45+1,GW48,0,0),GW46)</f>
        <v>#VALUE!</v>
      </c>
      <c r="GX50" s="962" t="e">
        <f>[1]!taqq(1,1,[1]!roz(GX45+1,GX48,0,0),GX46)</f>
        <v>#VALUE!</v>
      </c>
      <c r="GY50" s="962" t="e">
        <f>[1]!taqq(1,1,[1]!roz(GY45+1,GY48,0,0),GY46)</f>
        <v>#VALUE!</v>
      </c>
      <c r="GZ50" s="962" t="e">
        <f>[1]!taqq(1,1,[1]!roz(GZ45+1,GZ48,0,0),GZ46)</f>
        <v>#VALUE!</v>
      </c>
      <c r="HA50" s="962" t="e">
        <f>[1]!taqq(1,1,[1]!roz(HA45+1,HA48,0,0),HA46)</f>
        <v>#VALUE!</v>
      </c>
      <c r="HB50" s="962" t="e">
        <f>[1]!taqq(1,1,[1]!roz(HB45+1,HB48,0,0),HB46)</f>
        <v>#VALUE!</v>
      </c>
      <c r="HC50" s="962" t="e">
        <f>[1]!taqq(1,1,[1]!roz(HC45+1,HC48,0,0),HC46)</f>
        <v>#VALUE!</v>
      </c>
      <c r="HD50" s="962" t="e">
        <f>[1]!taqq(1,1,[1]!roz(HD45+1,HD48,0,0),HD46)</f>
        <v>#VALUE!</v>
      </c>
      <c r="HE50" s="962" t="e">
        <f>[1]!taqq(1,1,[1]!roz(HE45+1,HE48,0,0),HE46)</f>
        <v>#VALUE!</v>
      </c>
      <c r="HF50" s="962" t="e">
        <f>[1]!taqq(1,1,[1]!roz(HF45+1,HF48,0,0),HF46)</f>
        <v>#VALUE!</v>
      </c>
      <c r="HG50" s="962" t="e">
        <f>[1]!taqq(1,1,[1]!roz(HG45+1,HG48,0,0),HG46)</f>
        <v>#VALUE!</v>
      </c>
      <c r="HH50" s="962" t="e">
        <f>[1]!taqq(1,1,[1]!roz(HH45+1,HH48,0,0),HH46)</f>
        <v>#VALUE!</v>
      </c>
      <c r="HI50" s="962" t="e">
        <f>[1]!taqq(1,1,[1]!roz(HI45+1,HI48,0,0),HI46)</f>
        <v>#VALUE!</v>
      </c>
      <c r="HJ50" s="962" t="e">
        <f>[1]!taqq(1,1,[1]!roz(HJ45+1,HJ48,0,0),HJ46)</f>
        <v>#VALUE!</v>
      </c>
      <c r="HK50" s="962" t="e">
        <f>[1]!taqq(1,1,[1]!roz(HK45+1,HK48,0,0),HK46)</f>
        <v>#VALUE!</v>
      </c>
      <c r="HL50" s="962" t="e">
        <f>[1]!taqq(1,1,[1]!roz(HL45+1,HL48,0,0),HL46)</f>
        <v>#VALUE!</v>
      </c>
      <c r="HM50" s="962" t="e">
        <f>[1]!taqq(1,1,[1]!roz(HM45+1,HM48,0,0),HM46)</f>
        <v>#VALUE!</v>
      </c>
      <c r="HN50" s="962" t="e">
        <f>[1]!taqq(1,1,[1]!roz(HN45+1,HN48,0,0),HN46)</f>
        <v>#VALUE!</v>
      </c>
      <c r="HO50" s="962" t="e">
        <f>[1]!taqq(1,1,[1]!roz(HO45+1,HO48,0,0),HO46)</f>
        <v>#VALUE!</v>
      </c>
      <c r="HP50" s="962" t="e">
        <f>[1]!taqq(1,1,[1]!roz(HP45+1,HP48,0,0),HP46)</f>
        <v>#VALUE!</v>
      </c>
      <c r="HQ50" s="962" t="e">
        <f>[1]!taqq(1,1,[1]!roz(HQ45+1,HQ48,0,0),HQ46)</f>
        <v>#VALUE!</v>
      </c>
      <c r="HR50" s="962" t="e">
        <f>[1]!taqq(1,1,[1]!roz(HR45+1,HR48,0,0),HR46)</f>
        <v>#VALUE!</v>
      </c>
      <c r="HS50" s="962" t="e">
        <f>[1]!taqq(1,1,[1]!roz(HS45+1,HS48,0,0),HS46)</f>
        <v>#VALUE!</v>
      </c>
      <c r="HT50" s="962" t="e">
        <f>[1]!taqq(1,1,[1]!roz(HT45+1,HT48,0,0),HT46)</f>
        <v>#VALUE!</v>
      </c>
      <c r="HU50" s="962" t="e">
        <f>[1]!taqq(1,1,[1]!roz(HU45+1,HU48,0,0),HU46)</f>
        <v>#VALUE!</v>
      </c>
      <c r="HV50" s="962" t="e">
        <f>[1]!taqq(1,1,[1]!roz(HV45+1,HV48,0,0),HV46)</f>
        <v>#VALUE!</v>
      </c>
      <c r="HW50" s="962" t="e">
        <f>[1]!taqq(1,1,[1]!roz(HW45+1,HW48,0,0),HW46)</f>
        <v>#VALUE!</v>
      </c>
      <c r="HX50" s="962" t="e">
        <f>[1]!taqq(1,1,[1]!roz(HX45+1,HX48,0,0),HX46)</f>
        <v>#VALUE!</v>
      </c>
      <c r="HY50" s="962" t="e">
        <f>[1]!taqq(1,1,[1]!roz(HY45+1,HY48,0,0),HY46)</f>
        <v>#VALUE!</v>
      </c>
      <c r="HZ50" s="962" t="e">
        <f>[1]!taqq(1,1,[1]!roz(HZ45+1,HZ48,0,0),HZ46)</f>
        <v>#VALUE!</v>
      </c>
      <c r="IA50" s="962" t="e">
        <f>[1]!taqq(1,1,[1]!roz(IA45+1,IA48,0,0),IA46)</f>
        <v>#VALUE!</v>
      </c>
      <c r="IB50" s="962" t="e">
        <f>[1]!taqq(1,1,[1]!roz(IB45+1,IB48,0,0),IB46)</f>
        <v>#VALUE!</v>
      </c>
      <c r="IC50" s="962" t="e">
        <f>[1]!taqq(1,1,[1]!roz(IC45+1,IC48,0,0),IC46)</f>
        <v>#VALUE!</v>
      </c>
      <c r="ID50" s="962" t="e">
        <f>[1]!taqq(1,1,[1]!roz(ID45+1,ID48,0,0),ID46)</f>
        <v>#VALUE!</v>
      </c>
      <c r="IE50" s="962" t="e">
        <f>[1]!taqq(1,1,[1]!roz(IE45+1,IE48,0,0),IE46)</f>
        <v>#VALUE!</v>
      </c>
      <c r="IF50" s="962" t="e">
        <f>[1]!taqq(1,1,[1]!roz(IF45+1,IF48,0,0),IF46)</f>
        <v>#VALUE!</v>
      </c>
      <c r="IG50" s="962" t="e">
        <f>[1]!taqq(1,1,[1]!roz(IG45+1,IG48,0,0),IG46)</f>
        <v>#VALUE!</v>
      </c>
      <c r="IH50" s="962" t="e">
        <f>[1]!taqq(1,1,[1]!roz(IH45+1,IH48,0,0),IH46)</f>
        <v>#VALUE!</v>
      </c>
      <c r="II50" s="962" t="e">
        <f>[1]!taqq(1,1,[1]!roz(II45+1,II48,0,0),II46)</f>
        <v>#VALUE!</v>
      </c>
      <c r="IJ50" s="962" t="e">
        <f>[1]!taqq(1,1,[1]!roz(IJ45+1,IJ48,0,0),IJ46)</f>
        <v>#VALUE!</v>
      </c>
      <c r="IK50" s="962" t="e">
        <f>[1]!taqq(1,1,[1]!roz(IK45+1,IK48,0,0),IK46)</f>
        <v>#VALUE!</v>
      </c>
      <c r="IL50" s="962" t="e">
        <f>[1]!taqq(1,1,[1]!roz(IL45+1,IL48,0,0),IL46)</f>
        <v>#VALUE!</v>
      </c>
      <c r="IM50" s="962" t="e">
        <f>[1]!taqq(1,1,[1]!roz(IM45+1,IM48,0,0),IM46)</f>
        <v>#VALUE!</v>
      </c>
      <c r="IN50" s="962" t="e">
        <f>[1]!taqq(1,1,[1]!roz(IN45+1,IN48,0,0),IN46)</f>
        <v>#VALUE!</v>
      </c>
      <c r="IO50" s="962" t="e">
        <f>[1]!taqq(1,1,[1]!roz(IO45+1,IO48,0,0),IO46)</f>
        <v>#VALUE!</v>
      </c>
      <c r="IP50" s="962" t="e">
        <f>[1]!taqq(1,1,[1]!roz(IP45+1,IP48,0,0),IP46)</f>
        <v>#VALUE!</v>
      </c>
      <c r="IQ50" s="962" t="e">
        <f>[1]!taqq(1,1,[1]!roz(IQ45+1,IQ48,0,0),IQ46)</f>
        <v>#VALUE!</v>
      </c>
      <c r="IR50" s="962" t="e">
        <f>[1]!taqq(1,1,[1]!roz(IR45+1,IR48,0,0),IR46)</f>
        <v>#VALUE!</v>
      </c>
      <c r="IS50" s="962" t="e">
        <f>[1]!taqq(1,1,[1]!roz(IS45+1,IS48,0,0),IS46)</f>
        <v>#VALUE!</v>
      </c>
      <c r="IT50" s="962" t="e">
        <f>[1]!taqq(1,1,[1]!roz(IT45+1,IT48,0,0),IT46)</f>
        <v>#VALUE!</v>
      </c>
      <c r="IU50" s="962" t="e">
        <f>[1]!taqq(1,1,[1]!roz(IU45+1,IU48,0,0),IU46)</f>
        <v>#VALUE!</v>
      </c>
      <c r="IV50" s="962" t="e">
        <f>[1]!taqq(1,1,[1]!roz(IV45+1,IV48,0,0),IV46)</f>
        <v>#VALUE!</v>
      </c>
      <c r="IW50" s="962" t="e">
        <f>[1]!taqq(1,1,[1]!roz(IW45+1,IW48,0,0),IW46)</f>
        <v>#VALUE!</v>
      </c>
      <c r="IX50" s="962" t="e">
        <f>[1]!taqq(1,1,[1]!roz(IX45+1,IX48,0,0),IX46)</f>
        <v>#VALUE!</v>
      </c>
      <c r="IY50" s="962" t="e">
        <f>[1]!taqq(1,1,[1]!roz(IY45+1,IY48,0,0),IY46)</f>
        <v>#VALUE!</v>
      </c>
      <c r="IZ50" s="962" t="e">
        <f>[1]!taqq(1,1,[1]!roz(IZ45+1,IZ48,0,0),IZ46)</f>
        <v>#VALUE!</v>
      </c>
      <c r="JA50" s="962" t="e">
        <f>[1]!taqq(1,1,[1]!roz(JA45+1,JA48,0,0),JA46)</f>
        <v>#VALUE!</v>
      </c>
      <c r="JB50" s="962" t="e">
        <f>[1]!taqq(1,1,[1]!roz(JB45+1,JB48,0,0),JB46)</f>
        <v>#VALUE!</v>
      </c>
      <c r="JC50" s="962" t="e">
        <f>[1]!taqq(1,1,[1]!roz(JC45+1,JC48,0,0),JC46)</f>
        <v>#VALUE!</v>
      </c>
      <c r="JD50" s="962" t="e">
        <f>[1]!taqq(1,1,[1]!roz(JD45+1,JD48,0,0),JD46)</f>
        <v>#VALUE!</v>
      </c>
      <c r="JE50" s="962" t="e">
        <f>[1]!taqq(1,1,[1]!roz(JE45+1,JE48,0,0),JE46)</f>
        <v>#VALUE!</v>
      </c>
      <c r="JF50" s="962" t="e">
        <f>[1]!taqq(1,1,[1]!roz(JF45+1,JF48,0,0),JF46)</f>
        <v>#VALUE!</v>
      </c>
      <c r="JG50" s="962" t="e">
        <f>[1]!taqq(1,1,[1]!roz(JG45+1,JG48,0,0),JG46)</f>
        <v>#VALUE!</v>
      </c>
      <c r="JH50" s="962" t="e">
        <f>[1]!taqq(1,1,[1]!roz(JH45+1,JH48,0,0),JH46)</f>
        <v>#VALUE!</v>
      </c>
      <c r="JI50" s="962" t="e">
        <f>[1]!taqq(1,1,[1]!roz(JI45+1,JI48,0,0),JI46)</f>
        <v>#VALUE!</v>
      </c>
      <c r="JJ50" s="962" t="e">
        <f>[1]!taqq(1,1,[1]!roz(JJ45+1,JJ48,0,0),JJ46)</f>
        <v>#VALUE!</v>
      </c>
      <c r="JK50" s="962" t="e">
        <f>[1]!taqq(1,1,[1]!roz(JK45+1,JK48,0,0),JK46)</f>
        <v>#VALUE!</v>
      </c>
      <c r="JL50" s="962" t="e">
        <f>[1]!taqq(1,1,[1]!roz(JL45+1,JL48,0,0),JL46)</f>
        <v>#VALUE!</v>
      </c>
      <c r="JM50" s="962" t="e">
        <f>[1]!taqq(1,1,[1]!roz(JM45+1,JM48,0,0),JM46)</f>
        <v>#VALUE!</v>
      </c>
      <c r="JN50" s="962" t="e">
        <f>[1]!taqq(1,1,[1]!roz(JN45+1,JN48,0,0),JN46)</f>
        <v>#VALUE!</v>
      </c>
      <c r="JO50" s="962" t="e">
        <f>[1]!taqq(1,1,[1]!roz(JO45+1,JO48,0,0),JO46)</f>
        <v>#VALUE!</v>
      </c>
      <c r="JP50" s="962" t="e">
        <f>[1]!taqq(1,1,[1]!roz(JP45+1,JP48,0,0),JP46)</f>
        <v>#VALUE!</v>
      </c>
      <c r="JQ50" s="962" t="e">
        <f>[1]!taqq(1,1,[1]!roz(JQ45+1,JQ48,0,0),JQ46)</f>
        <v>#VALUE!</v>
      </c>
      <c r="JR50" s="962" t="e">
        <f>[1]!taqq(1,1,[1]!roz(JR45+1,JR48,0,0),JR46)</f>
        <v>#VALUE!</v>
      </c>
      <c r="JS50" s="962" t="e">
        <f>[1]!taqq(1,1,[1]!roz(JS45+1,JS48,0,0),JS46)</f>
        <v>#VALUE!</v>
      </c>
      <c r="JT50" s="962" t="e">
        <f>[1]!taqq(1,1,[1]!roz(JT45+1,JT48,0,0),JT46)</f>
        <v>#VALUE!</v>
      </c>
      <c r="JU50" s="962" t="e">
        <f>[1]!taqq(1,1,[1]!roz(JU45+1,JU48,0,0),JU46)</f>
        <v>#VALUE!</v>
      </c>
      <c r="JV50" s="962" t="e">
        <f>[1]!taqq(1,1,[1]!roz(JV45+1,JV48,0,0),JV46)</f>
        <v>#VALUE!</v>
      </c>
      <c r="JW50" s="962" t="e">
        <f>[1]!taqq(1,1,[1]!roz(JW45+1,JW48,0,0),JW46)</f>
        <v>#VALUE!</v>
      </c>
      <c r="JX50" s="962" t="e">
        <f>[1]!taqq(1,1,[1]!roz(JX45+1,JX48,0,0),JX46)</f>
        <v>#VALUE!</v>
      </c>
      <c r="JY50" s="962" t="e">
        <f>[1]!taqq(1,1,[1]!roz(JY45+1,JY48,0,0),JY46)</f>
        <v>#VALUE!</v>
      </c>
      <c r="JZ50" s="962" t="e">
        <f>[1]!taqq(1,1,[1]!roz(JZ45+1,JZ48,0,0),JZ46)</f>
        <v>#VALUE!</v>
      </c>
      <c r="KA50" s="962" t="e">
        <f>[1]!taqq(1,1,[1]!roz(KA45+1,KA48,0,0),KA46)</f>
        <v>#VALUE!</v>
      </c>
      <c r="KB50" s="962" t="e">
        <f>[1]!taqq(1,1,[1]!roz(KB45+1,KB48,0,0),KB46)</f>
        <v>#VALUE!</v>
      </c>
      <c r="KC50" s="962" t="e">
        <f>[1]!taqq(1,1,[1]!roz(KC45+1,KC48,0,0),KC46)</f>
        <v>#VALUE!</v>
      </c>
      <c r="KD50" s="962" t="e">
        <f>[1]!taqq(1,1,[1]!roz(KD45+1,KD48,0,0),KD46)</f>
        <v>#VALUE!</v>
      </c>
      <c r="KE50" s="962" t="e">
        <f>[1]!taqq(1,1,[1]!roz(KE45+1,KE48,0,0),KE46)</f>
        <v>#VALUE!</v>
      </c>
      <c r="KF50" s="962" t="e">
        <f>[1]!taqq(1,1,[1]!roz(KF45+1,KF48,0,0),KF46)</f>
        <v>#VALUE!</v>
      </c>
      <c r="KG50" s="962" t="e">
        <f>[1]!taqq(1,1,[1]!roz(KG45+1,KG48,0,0),KG46)</f>
        <v>#VALUE!</v>
      </c>
      <c r="KH50" s="962" t="e">
        <f>[1]!taqq(1,1,[1]!roz(KH45+1,KH48,0,0),KH46)</f>
        <v>#VALUE!</v>
      </c>
      <c r="KI50" s="962" t="e">
        <f>[1]!taqq(1,1,[1]!roz(KI45+1,KI48,0,0),KI46)</f>
        <v>#VALUE!</v>
      </c>
      <c r="KJ50" s="962" t="e">
        <f>[1]!taqq(1,1,[1]!roz(KJ45+1,KJ48,0,0),KJ46)</f>
        <v>#VALUE!</v>
      </c>
      <c r="KK50" s="962" t="e">
        <f>[1]!taqq(1,1,[1]!roz(KK45+1,KK48,0,0),KK46)</f>
        <v>#VALUE!</v>
      </c>
      <c r="KL50" s="962" t="e">
        <f>[1]!taqq(1,1,[1]!roz(KL45+1,KL48,0,0),KL46)</f>
        <v>#VALUE!</v>
      </c>
      <c r="KM50" s="962" t="e">
        <f>[1]!taqq(1,1,[1]!roz(KM45+1,KM48,0,0),KM46)</f>
        <v>#VALUE!</v>
      </c>
      <c r="KN50" s="962" t="e">
        <f>[1]!taqq(1,1,[1]!roz(KN45+1,KN48,0,0),KN46)</f>
        <v>#VALUE!</v>
      </c>
      <c r="KO50" s="962" t="e">
        <f>[1]!taqq(1,1,[1]!roz(KO45+1,KO48,0,0),KO46)</f>
        <v>#VALUE!</v>
      </c>
      <c r="KP50" s="962" t="e">
        <f>[1]!taqq(1,1,[1]!roz(KP45+1,KP48,0,0),KP46)</f>
        <v>#VALUE!</v>
      </c>
      <c r="KQ50" s="962" t="e">
        <f>[1]!taqq(1,1,[1]!roz(KQ45+1,KQ48,0,0),KQ46)</f>
        <v>#VALUE!</v>
      </c>
      <c r="KR50" s="962" t="e">
        <f>[1]!taqq(1,1,[1]!roz(KR45+1,KR48,0,0),KR46)</f>
        <v>#VALUE!</v>
      </c>
      <c r="KS50" s="962" t="e">
        <f>[1]!taqq(1,1,[1]!roz(KS45+1,KS48,0,0),KS46)</f>
        <v>#VALUE!</v>
      </c>
      <c r="KT50" s="962" t="e">
        <f>[1]!taqq(1,1,[1]!roz(KT45+1,KT48,0,0),KT46)</f>
        <v>#VALUE!</v>
      </c>
      <c r="KU50" s="962" t="e">
        <f>[1]!taqq(1,1,[1]!roz(KU45+1,KU48,0,0),KU46)</f>
        <v>#VALUE!</v>
      </c>
      <c r="KV50" s="962" t="e">
        <f>[1]!taqq(1,1,[1]!roz(KV45+1,KV48,0,0),KV46)</f>
        <v>#VALUE!</v>
      </c>
      <c r="KW50" s="962" t="e">
        <f>[1]!taqq(1,1,[1]!roz(KW45+1,KW48,0,0),KW46)</f>
        <v>#VALUE!</v>
      </c>
      <c r="KX50" s="962" t="e">
        <f>[1]!taqq(1,1,[1]!roz(KX45+1,KX48,0,0),KX46)</f>
        <v>#VALUE!</v>
      </c>
      <c r="KY50" s="962" t="e">
        <f>[1]!taqq(1,1,[1]!roz(KY45+1,KY48,0,0),KY46)</f>
        <v>#VALUE!</v>
      </c>
      <c r="KZ50" s="962" t="e">
        <f>[1]!taqq(1,1,[1]!roz(KZ45+1,KZ48,0,0),KZ46)</f>
        <v>#VALUE!</v>
      </c>
      <c r="LA50" s="962" t="e">
        <f>[1]!taqq(1,1,[1]!roz(LA45+1,LA48,0,0),LA46)</f>
        <v>#VALUE!</v>
      </c>
      <c r="LB50" s="962" t="e">
        <f>[1]!taqq(1,1,[1]!roz(LB45+1,LB48,0,0),LB46)</f>
        <v>#VALUE!</v>
      </c>
      <c r="LC50" s="962" t="e">
        <f>[1]!taqq(1,1,[1]!roz(LC45+1,LC48,0,0),LC46)</f>
        <v>#VALUE!</v>
      </c>
      <c r="LD50" s="962" t="e">
        <f>[1]!taqq(1,1,[1]!roz(LD45+1,LD48,0,0),LD46)</f>
        <v>#VALUE!</v>
      </c>
      <c r="LE50" s="962" t="e">
        <f>[1]!taqq(1,1,[1]!roz(LE45+1,LE48,0,0),LE46)</f>
        <v>#VALUE!</v>
      </c>
      <c r="LF50" s="962" t="e">
        <f>[1]!taqq(1,1,[1]!roz(LF45+1,LF48,0,0),LF46)</f>
        <v>#VALUE!</v>
      </c>
      <c r="LG50" s="962" t="e">
        <f>[1]!taqq(1,1,[1]!roz(LG45+1,LG48,0,0),LG46)</f>
        <v>#VALUE!</v>
      </c>
      <c r="LH50" s="962" t="e">
        <f>[1]!taqq(1,1,[1]!roz(LH45+1,LH48,0,0),LH46)</f>
        <v>#VALUE!</v>
      </c>
      <c r="LI50" s="962" t="e">
        <f>[1]!taqq(1,1,[1]!roz(LI45+1,LI48,0,0),LI46)</f>
        <v>#VALUE!</v>
      </c>
      <c r="LJ50" s="962" t="e">
        <f>[1]!taqq(1,1,[1]!roz(LJ45+1,LJ48,0,0),LJ46)</f>
        <v>#VALUE!</v>
      </c>
      <c r="LK50" s="962" t="e">
        <f>[1]!taqq(1,1,[1]!roz(LK45+1,LK48,0,0),LK46)</f>
        <v>#VALUE!</v>
      </c>
      <c r="LL50" s="962" t="e">
        <f>[1]!taqq(1,1,[1]!roz(LL45+1,LL48,0,0),LL46)</f>
        <v>#VALUE!</v>
      </c>
      <c r="LM50" s="962" t="e">
        <f>[1]!taqq(1,1,[1]!roz(LM45+1,LM48,0,0),LM46)</f>
        <v>#VALUE!</v>
      </c>
      <c r="LN50" s="962" t="e">
        <f>[1]!taqq(1,1,[1]!roz(LN45+1,LN48,0,0),LN46)</f>
        <v>#VALUE!</v>
      </c>
      <c r="LO50" s="962" t="e">
        <f>[1]!taqq(1,1,[1]!roz(LO45+1,LO48,0,0),LO46)</f>
        <v>#VALUE!</v>
      </c>
      <c r="LP50" s="962" t="e">
        <f>[1]!taqq(1,1,[1]!roz(LP45+1,LP48,0,0),LP46)</f>
        <v>#VALUE!</v>
      </c>
      <c r="LQ50" s="962" t="e">
        <f>[1]!taqq(1,1,[1]!roz(LQ45+1,LQ48,0,0),LQ46)</f>
        <v>#VALUE!</v>
      </c>
      <c r="LR50" s="962" t="e">
        <f>[1]!taqq(1,1,[1]!roz(LR45+1,LR48,0,0),LR46)</f>
        <v>#VALUE!</v>
      </c>
      <c r="LS50" s="962" t="e">
        <f>[1]!taqq(1,1,[1]!roz(LS45+1,LS48,0,0),LS46)</f>
        <v>#VALUE!</v>
      </c>
      <c r="LT50" s="962" t="e">
        <f>[1]!taqq(1,1,[1]!roz(LT45+1,LT48,0,0),LT46)</f>
        <v>#VALUE!</v>
      </c>
      <c r="LU50" s="962" t="e">
        <f>[1]!taqq(1,1,[1]!roz(LU45+1,LU48,0,0),LU46)</f>
        <v>#VALUE!</v>
      </c>
      <c r="LV50" s="962" t="e">
        <f>[1]!taqq(1,1,[1]!roz(LV45+1,LV48,0,0),LV46)</f>
        <v>#VALUE!</v>
      </c>
      <c r="LW50" s="962" t="e">
        <f>[1]!taqq(1,1,[1]!roz(LW45+1,LW48,0,0),LW46)</f>
        <v>#VALUE!</v>
      </c>
      <c r="LX50" s="962" t="e">
        <f>[1]!taqq(1,1,[1]!roz(LX45+1,LX48,0,0),LX46)</f>
        <v>#VALUE!</v>
      </c>
      <c r="LY50" s="962" t="e">
        <f>[1]!taqq(1,1,[1]!roz(LY45+1,LY48,0,0),LY46)</f>
        <v>#VALUE!</v>
      </c>
      <c r="LZ50" s="962" t="e">
        <f>[1]!taqq(1,1,[1]!roz(LZ45+1,LZ48,0,0),LZ46)</f>
        <v>#VALUE!</v>
      </c>
      <c r="MA50" s="962" t="e">
        <f>[1]!taqq(1,1,[1]!roz(MA45+1,MA48,0,0),MA46)</f>
        <v>#VALUE!</v>
      </c>
      <c r="MB50" s="962" t="e">
        <f>[1]!taqq(1,1,[1]!roz(MB45+1,MB48,0,0),MB46)</f>
        <v>#VALUE!</v>
      </c>
      <c r="MC50" s="962" t="e">
        <f>[1]!taqq(1,1,[1]!roz(MC45+1,MC48,0,0),MC46)</f>
        <v>#VALUE!</v>
      </c>
      <c r="MD50" s="962" t="e">
        <f>[1]!taqq(1,1,[1]!roz(MD45+1,MD48,0,0),MD46)</f>
        <v>#VALUE!</v>
      </c>
      <c r="ME50" s="962" t="e">
        <f>[1]!taqq(1,1,[1]!roz(ME45+1,ME48,0,0),ME46)</f>
        <v>#VALUE!</v>
      </c>
      <c r="MF50" s="962" t="e">
        <f>[1]!taqq(1,1,[1]!roz(MF45+1,MF48,0,0),MF46)</f>
        <v>#VALUE!</v>
      </c>
      <c r="MG50" s="962" t="e">
        <f>[1]!taqq(1,1,[1]!roz(MG45+1,MG48,0,0),MG46)</f>
        <v>#VALUE!</v>
      </c>
      <c r="MH50" s="962" t="e">
        <f>[1]!taqq(1,1,[1]!roz(MH45+1,MH48,0,0),MH46)</f>
        <v>#VALUE!</v>
      </c>
      <c r="MI50" s="962" t="e">
        <f>[1]!taqq(1,1,[1]!roz(MI45+1,MI48,0,0),MI46)</f>
        <v>#VALUE!</v>
      </c>
      <c r="MJ50" s="962" t="e">
        <f>[1]!taqq(1,1,[1]!roz(MJ45+1,MJ48,0,0),MJ46)</f>
        <v>#VALUE!</v>
      </c>
      <c r="MK50" s="962" t="e">
        <f>[1]!taqq(1,1,[1]!roz(MK45+1,MK48,0,0),MK46)</f>
        <v>#VALUE!</v>
      </c>
      <c r="ML50" s="962" t="e">
        <f>[1]!taqq(1,1,[1]!roz(ML45+1,ML48,0,0),ML46)</f>
        <v>#VALUE!</v>
      </c>
      <c r="MM50" s="962" t="e">
        <f>[1]!taqq(1,1,[1]!roz(MM45+1,MM48,0,0),MM46)</f>
        <v>#VALUE!</v>
      </c>
      <c r="MN50" s="962" t="e">
        <f>[1]!taqq(1,1,[1]!roz(MN45+1,MN48,0,0),MN46)</f>
        <v>#VALUE!</v>
      </c>
      <c r="MO50" s="962" t="e">
        <f>[1]!taqq(1,1,[1]!roz(MO45+1,MO48,0,0),MO46)</f>
        <v>#VALUE!</v>
      </c>
      <c r="MP50" s="962" t="e">
        <f>[1]!taqq(1,1,[1]!roz(MP45+1,MP48,0,0),MP46)</f>
        <v>#VALUE!</v>
      </c>
      <c r="MQ50" s="962" t="e">
        <f>[1]!taqq(1,1,[1]!roz(MQ45+1,MQ48,0,0),MQ46)</f>
        <v>#VALUE!</v>
      </c>
      <c r="MR50" s="962" t="e">
        <f>[1]!taqq(1,1,[1]!roz(MR45+1,MR48,0,0),MR46)</f>
        <v>#VALUE!</v>
      </c>
      <c r="MS50" s="962" t="e">
        <f>[1]!taqq(1,1,[1]!roz(MS45+1,MS48,0,0),MS46)</f>
        <v>#VALUE!</v>
      </c>
      <c r="MT50" s="962" t="e">
        <f>[1]!taqq(1,1,[1]!roz(MT45+1,MT48,0,0),MT46)</f>
        <v>#VALUE!</v>
      </c>
      <c r="MU50" s="962" t="e">
        <f>[1]!taqq(1,1,[1]!roz(MU45+1,MU48,0,0),MU46)</f>
        <v>#VALUE!</v>
      </c>
      <c r="MV50" s="962" t="e">
        <f>[1]!taqq(1,1,[1]!roz(MV45+1,MV48,0,0),MV46)</f>
        <v>#VALUE!</v>
      </c>
      <c r="MW50" s="962" t="e">
        <f>[1]!taqq(1,1,[1]!roz(MW45+1,MW48,0,0),MW46)</f>
        <v>#VALUE!</v>
      </c>
      <c r="MX50" s="962" t="e">
        <f>[1]!taqq(1,1,[1]!roz(MX45+1,MX48,0,0),MX46)</f>
        <v>#VALUE!</v>
      </c>
      <c r="MY50" s="962" t="e">
        <f>[1]!taqq(1,1,[1]!roz(MY45+1,MY48,0,0),MY46)</f>
        <v>#VALUE!</v>
      </c>
      <c r="MZ50" s="962" t="e">
        <f>[1]!taqq(1,1,[1]!roz(MZ45+1,MZ48,0,0),MZ46)</f>
        <v>#VALUE!</v>
      </c>
      <c r="NA50" s="962" t="e">
        <f>[1]!taqq(1,1,[1]!roz(NA45+1,NA48,0,0),NA46)</f>
        <v>#VALUE!</v>
      </c>
      <c r="NB50" s="962" t="e">
        <f>[1]!taqq(1,1,[1]!roz(NB45+1,NB48,0,0),NB46)</f>
        <v>#VALUE!</v>
      </c>
      <c r="NC50" s="962" t="e">
        <f>[1]!taqq(1,1,[1]!roz(NC45+1,NC48,0,0),NC46)</f>
        <v>#VALUE!</v>
      </c>
      <c r="ND50" s="962" t="e">
        <f>[1]!taqq(1,1,[1]!roz(ND45+1,ND48,0,0),ND46)</f>
        <v>#VALUE!</v>
      </c>
      <c r="NE50" s="962" t="e">
        <f>[1]!taqq(1,1,[1]!roz(NE45+1,NE48,0,0),NE46)</f>
        <v>#VALUE!</v>
      </c>
      <c r="NF50" s="962" t="e">
        <f>[1]!taqq(1,1,[1]!roz(NF45+1,NF48,0,0),NF46)</f>
        <v>#VALUE!</v>
      </c>
      <c r="NG50" s="962" t="e">
        <f>[1]!taqq(1,1,[1]!roz(NG45+1,NG48,0,0),NG46)</f>
        <v>#VALUE!</v>
      </c>
      <c r="NH50" s="962" t="e">
        <f>[1]!taqq(1,1,[1]!roz(NH45+1,NH48,0,0),NH46)</f>
        <v>#VALUE!</v>
      </c>
      <c r="NI50" s="962" t="e">
        <f>[1]!taqq(1,1,[1]!roz(NI45+1,NI48,0,0),NI46)</f>
        <v>#VALUE!</v>
      </c>
      <c r="NJ50" s="962" t="e">
        <f>[1]!taqq(1,1,[1]!roz(NJ45+1,NJ48,0,0),NJ46)</f>
        <v>#VALUE!</v>
      </c>
      <c r="NK50" s="962" t="e">
        <f>[1]!taqq(1,1,[1]!roz(NK45+1,NK48,0,0),NK46)</f>
        <v>#VALUE!</v>
      </c>
      <c r="NL50" s="962" t="e">
        <f>[1]!taqq(1,1,[1]!roz(NL45+1,NL48,0,0),NL46)</f>
        <v>#VALUE!</v>
      </c>
      <c r="NM50" s="962" t="e">
        <f>[1]!taqq(1,1,[1]!roz(NM45+1,NM48,0,0),NM46)</f>
        <v>#VALUE!</v>
      </c>
      <c r="NN50" s="962" t="e">
        <f>[1]!taqq(1,1,[1]!roz(NN45+1,NN48,0,0),NN46)</f>
        <v>#VALUE!</v>
      </c>
      <c r="NO50" s="962" t="e">
        <f>[1]!taqq(1,1,[1]!roz(NO45+1,NO48,0,0),NO46)</f>
        <v>#VALUE!</v>
      </c>
      <c r="NP50" s="962" t="e">
        <f>[1]!taqq(1,1,[1]!roz(NP45+1,NP48,0,0),NP46)</f>
        <v>#VALUE!</v>
      </c>
      <c r="NQ50" s="962" t="e">
        <f>[1]!taqq(1,1,[1]!roz(NQ45+1,NQ48,0,0),NQ46)</f>
        <v>#VALUE!</v>
      </c>
      <c r="NR50" s="962" t="e">
        <f>[1]!taqq(1,1,[1]!roz(NR45+1,NR48,0,0),NR46)</f>
        <v>#VALUE!</v>
      </c>
      <c r="NS50" s="962" t="e">
        <f>[1]!taqq(1,1,[1]!roz(NS45+1,NS48,0,0),NS46)</f>
        <v>#VALUE!</v>
      </c>
      <c r="NT50" s="962" t="e">
        <f>[1]!taqq(1,1,[1]!roz(NT45+1,NT48,0,0),NT46)</f>
        <v>#VALUE!</v>
      </c>
      <c r="NU50" s="962" t="e">
        <f>[1]!taqq(1,1,[1]!roz(NU45+1,NU48,0,0),NU46)</f>
        <v>#VALUE!</v>
      </c>
      <c r="NV50" s="962" t="e">
        <f>[1]!taqq(1,1,[1]!roz(NV45+1,NV48,0,0),NV46)</f>
        <v>#VALUE!</v>
      </c>
      <c r="NW50" s="962" t="e">
        <f>[1]!taqq(1,1,[1]!roz(NW45+1,NW48,0,0),NW46)</f>
        <v>#VALUE!</v>
      </c>
      <c r="NX50" s="962" t="e">
        <f>[1]!taqq(1,1,[1]!roz(NX45+1,NX48,0,0),NX46)</f>
        <v>#VALUE!</v>
      </c>
      <c r="NY50" s="962" t="e">
        <f>[1]!taqq(1,1,[1]!roz(NY45+1,NY48,0,0),NY46)</f>
        <v>#VALUE!</v>
      </c>
      <c r="NZ50" s="962" t="e">
        <f>[1]!taqq(1,1,[1]!roz(NZ45+1,NZ48,0,0),NZ46)</f>
        <v>#VALUE!</v>
      </c>
      <c r="OA50" s="962" t="e">
        <f>[1]!taqq(1,1,[1]!roz(OA45+1,OA48,0,0),OA46)</f>
        <v>#VALUE!</v>
      </c>
      <c r="OB50" s="962" t="e">
        <f>[1]!taqq(1,1,[1]!roz(OB45+1,OB48,0,0),OB46)</f>
        <v>#VALUE!</v>
      </c>
      <c r="OC50" s="962" t="e">
        <f>[1]!taqq(1,1,[1]!roz(OC45+1,OC48,0,0),OC46)</f>
        <v>#VALUE!</v>
      </c>
      <c r="OD50" s="962" t="e">
        <f>[1]!taqq(1,1,[1]!roz(OD45+1,OD48,0,0),OD46)</f>
        <v>#VALUE!</v>
      </c>
      <c r="OE50" s="962" t="e">
        <f>[1]!taqq(1,1,[1]!roz(OE45+1,OE48,0,0),OE46)</f>
        <v>#VALUE!</v>
      </c>
      <c r="OF50" s="962" t="e">
        <f>[1]!taqq(1,1,[1]!roz(OF45+1,OF48,0,0),OF46)</f>
        <v>#VALUE!</v>
      </c>
      <c r="OG50" s="962" t="e">
        <f>[1]!taqq(1,1,[1]!roz(OG45+1,OG48,0,0),OG46)</f>
        <v>#VALUE!</v>
      </c>
      <c r="OH50" s="962" t="e">
        <f>[1]!taqq(1,1,[1]!roz(OH45+1,OH48,0,0),OH46)</f>
        <v>#VALUE!</v>
      </c>
      <c r="OI50" s="962" t="e">
        <f>[1]!taqq(1,1,[1]!roz(OI45+1,OI48,0,0),OI46)</f>
        <v>#VALUE!</v>
      </c>
      <c r="OJ50" s="962" t="e">
        <f>[1]!taqq(1,1,[1]!roz(OJ45+1,OJ48,0,0),OJ46)</f>
        <v>#VALUE!</v>
      </c>
      <c r="OK50" s="962" t="e">
        <f>[1]!taqq(1,1,[1]!roz(OK45+1,OK48,0,0),OK46)</f>
        <v>#VALUE!</v>
      </c>
      <c r="OL50" s="962" t="e">
        <f>[1]!taqq(1,1,[1]!roz(OL45+1,OL48,0,0),OL46)</f>
        <v>#VALUE!</v>
      </c>
      <c r="OM50" s="962" t="e">
        <f>[1]!taqq(1,1,[1]!roz(OM45+1,OM48,0,0),OM46)</f>
        <v>#VALUE!</v>
      </c>
      <c r="ON50" s="962" t="e">
        <f>[1]!taqq(1,1,[1]!roz(ON45+1,ON48,0,0),ON46)</f>
        <v>#VALUE!</v>
      </c>
      <c r="OO50" s="962" t="e">
        <f>[1]!taqq(1,1,[1]!roz(OO45+1,OO48,0,0),OO46)</f>
        <v>#VALUE!</v>
      </c>
      <c r="OP50" s="962" t="e">
        <f>[1]!taqq(1,1,[1]!roz(OP45+1,OP48,0,0),OP46)</f>
        <v>#VALUE!</v>
      </c>
      <c r="OQ50" s="962" t="e">
        <f>[1]!taqq(1,1,[1]!roz(OQ45+1,OQ48,0,0),OQ46)</f>
        <v>#VALUE!</v>
      </c>
      <c r="OR50" s="962" t="e">
        <f>[1]!taqq(1,1,[1]!roz(OR45+1,OR48,0,0),OR46)</f>
        <v>#VALUE!</v>
      </c>
      <c r="OS50" s="962" t="e">
        <f>[1]!taqq(1,1,[1]!roz(OS45+1,OS48,0,0),OS46)</f>
        <v>#VALUE!</v>
      </c>
      <c r="OT50" s="962" t="e">
        <f>[1]!taqq(1,1,[1]!roz(OT45+1,OT48,0,0),OT46)</f>
        <v>#VALUE!</v>
      </c>
      <c r="OU50" s="962" t="e">
        <f>[1]!taqq(1,1,[1]!roz(OU45+1,OU48,0,0),OU46)</f>
        <v>#VALUE!</v>
      </c>
      <c r="OV50" s="962" t="e">
        <f>[1]!taqq(1,1,[1]!roz(OV45+1,OV48,0,0),OV46)</f>
        <v>#VALUE!</v>
      </c>
      <c r="OW50" s="962" t="e">
        <f>[1]!taqq(1,1,[1]!roz(OW45+1,OW48,0,0),OW46)</f>
        <v>#VALUE!</v>
      </c>
      <c r="OX50" s="962" t="e">
        <f>[1]!taqq(1,1,[1]!roz(OX45+1,OX48,0,0),OX46)</f>
        <v>#VALUE!</v>
      </c>
      <c r="OY50" s="962" t="e">
        <f>[1]!taqq(1,1,[1]!roz(OY45+1,OY48,0,0),OY46)</f>
        <v>#VALUE!</v>
      </c>
      <c r="OZ50" s="962" t="e">
        <f>[1]!taqq(1,1,[1]!roz(OZ45+1,OZ48,0,0),OZ46)</f>
        <v>#VALUE!</v>
      </c>
      <c r="PA50" s="962" t="e">
        <f>[1]!taqq(1,1,[1]!roz(PA45+1,PA48,0,0),PA46)</f>
        <v>#VALUE!</v>
      </c>
      <c r="PB50" s="962" t="e">
        <f>[1]!taqq(1,1,[1]!roz(PB45+1,PB48,0,0),PB46)</f>
        <v>#VALUE!</v>
      </c>
      <c r="PC50" s="962" t="e">
        <f>[1]!taqq(1,1,[1]!roz(PC45+1,PC48,0,0),PC46)</f>
        <v>#VALUE!</v>
      </c>
      <c r="PD50" s="962" t="e">
        <f>[1]!taqq(1,1,[1]!roz(PD45+1,PD48,0,0),PD46)</f>
        <v>#VALUE!</v>
      </c>
      <c r="PE50" s="962" t="e">
        <f>[1]!taqq(1,1,[1]!roz(PE45+1,PE48,0,0),PE46)</f>
        <v>#VALUE!</v>
      </c>
      <c r="PF50" s="962" t="e">
        <f>[1]!taqq(1,1,[1]!roz(PF45+1,PF48,0,0),PF46)</f>
        <v>#VALUE!</v>
      </c>
      <c r="PG50" s="962" t="e">
        <f>[1]!taqq(1,1,[1]!roz(PG45+1,PG48,0,0),PG46)</f>
        <v>#VALUE!</v>
      </c>
      <c r="PH50" s="962" t="e">
        <f>[1]!taqq(1,1,[1]!roz(PH45+1,PH48,0,0),PH46)</f>
        <v>#VALUE!</v>
      </c>
      <c r="PI50" s="962" t="e">
        <f>[1]!taqq(1,1,[1]!roz(PI45+1,PI48,0,0),PI46)</f>
        <v>#VALUE!</v>
      </c>
      <c r="PJ50" s="962" t="e">
        <f>[1]!taqq(1,1,[1]!roz(PJ45+1,PJ48,0,0),PJ46)</f>
        <v>#VALUE!</v>
      </c>
      <c r="PK50" s="962" t="e">
        <f>[1]!taqq(1,1,[1]!roz(PK45+1,PK48,0,0),PK46)</f>
        <v>#VALUE!</v>
      </c>
      <c r="PL50" s="962" t="e">
        <f>[1]!taqq(1,1,[1]!roz(PL45+1,PL48,0,0),PL46)</f>
        <v>#VALUE!</v>
      </c>
      <c r="PM50" s="962" t="e">
        <f>[1]!taqq(1,1,[1]!roz(PM45+1,PM48,0,0),PM46)</f>
        <v>#VALUE!</v>
      </c>
      <c r="PN50" s="962" t="e">
        <f>[1]!taqq(1,1,[1]!roz(PN45+1,PN48,0,0),PN46)</f>
        <v>#VALUE!</v>
      </c>
      <c r="PO50" s="962" t="e">
        <f>[1]!taqq(1,1,[1]!roz(PO45+1,PO48,0,0),PO46)</f>
        <v>#VALUE!</v>
      </c>
      <c r="PP50" s="962" t="e">
        <f>[1]!taqq(1,1,[1]!roz(PP45+1,PP48,0,0),PP46)</f>
        <v>#VALUE!</v>
      </c>
      <c r="PQ50" s="962" t="e">
        <f>[1]!taqq(1,1,[1]!roz(PQ45+1,PQ48,0,0),PQ46)</f>
        <v>#VALUE!</v>
      </c>
      <c r="PR50" s="962" t="e">
        <f>[1]!taqq(1,1,[1]!roz(PR45+1,PR48,0,0),PR46)</f>
        <v>#VALUE!</v>
      </c>
      <c r="PS50" s="962" t="e">
        <f>[1]!taqq(1,1,[1]!roz(PS45+1,PS48,0,0),PS46)</f>
        <v>#VALUE!</v>
      </c>
      <c r="PT50" s="962" t="e">
        <f>[1]!taqq(1,1,[1]!roz(PT45+1,PT48,0,0),PT46)</f>
        <v>#VALUE!</v>
      </c>
      <c r="PU50" s="962" t="e">
        <f>[1]!taqq(1,1,[1]!roz(PU45+1,PU48,0,0),PU46)</f>
        <v>#VALUE!</v>
      </c>
      <c r="PV50" s="962" t="e">
        <f>[1]!taqq(1,1,[1]!roz(PV45+1,PV48,0,0),PV46)</f>
        <v>#VALUE!</v>
      </c>
      <c r="PW50" s="962" t="e">
        <f>[1]!taqq(1,1,[1]!roz(PW45+1,PW48,0,0),PW46)</f>
        <v>#VALUE!</v>
      </c>
      <c r="PX50" s="962" t="e">
        <f>[1]!taqq(1,1,[1]!roz(PX45+1,PX48,0,0),PX46)</f>
        <v>#VALUE!</v>
      </c>
      <c r="PY50" s="962" t="e">
        <f>[1]!taqq(1,1,[1]!roz(PY45+1,PY48,0,0),PY46)</f>
        <v>#VALUE!</v>
      </c>
      <c r="PZ50" s="962" t="e">
        <f>[1]!taqq(1,1,[1]!roz(PZ45+1,PZ48,0,0),PZ46)</f>
        <v>#VALUE!</v>
      </c>
      <c r="QA50" s="962" t="e">
        <f>[1]!taqq(1,1,[1]!roz(QA45+1,QA48,0,0),QA46)</f>
        <v>#VALUE!</v>
      </c>
      <c r="QB50" s="962" t="e">
        <f>[1]!taqq(1,1,[1]!roz(QB45+1,QB48,0,0),QB46)</f>
        <v>#VALUE!</v>
      </c>
      <c r="QC50" s="962" t="e">
        <f>[1]!taqq(1,1,[1]!roz(QC45+1,QC48,0,0),QC46)</f>
        <v>#VALUE!</v>
      </c>
      <c r="QD50" s="962" t="e">
        <f>[1]!taqq(1,1,[1]!roz(QD45+1,QD48,0,0),QD46)</f>
        <v>#VALUE!</v>
      </c>
      <c r="QE50" s="962" t="e">
        <f>[1]!taqq(1,1,[1]!roz(QE45+1,QE48,0,0),QE46)</f>
        <v>#VALUE!</v>
      </c>
      <c r="QF50" s="962" t="e">
        <f>[1]!taqq(1,1,[1]!roz(QF45+1,QF48,0,0),QF46)</f>
        <v>#VALUE!</v>
      </c>
      <c r="QG50" s="962" t="e">
        <f>[1]!taqq(1,1,[1]!roz(QG45+1,QG48,0,0),QG46)</f>
        <v>#VALUE!</v>
      </c>
      <c r="QH50" s="962" t="e">
        <f>[1]!taqq(1,1,[1]!roz(QH45+1,QH48,0,0),QH46)</f>
        <v>#VALUE!</v>
      </c>
      <c r="QI50" s="962" t="e">
        <f>[1]!taqq(1,1,[1]!roz(QI45+1,QI48,0,0),QI46)</f>
        <v>#VALUE!</v>
      </c>
      <c r="QJ50" s="962" t="e">
        <f>[1]!taqq(1,1,[1]!roz(QJ45+1,QJ48,0,0),QJ46)</f>
        <v>#VALUE!</v>
      </c>
      <c r="QK50" s="962" t="e">
        <f>[1]!taqq(1,1,[1]!roz(QK45+1,QK48,0,0),QK46)</f>
        <v>#VALUE!</v>
      </c>
      <c r="QL50" s="962" t="e">
        <f>[1]!taqq(1,1,[1]!roz(QL45+1,QL48,0,0),QL46)</f>
        <v>#VALUE!</v>
      </c>
      <c r="QM50" s="962" t="e">
        <f>[1]!taqq(1,1,[1]!roz(QM45+1,QM48,0,0),QM46)</f>
        <v>#VALUE!</v>
      </c>
      <c r="QN50" s="962" t="e">
        <f>[1]!taqq(1,1,[1]!roz(QN45+1,QN48,0,0),QN46)</f>
        <v>#VALUE!</v>
      </c>
      <c r="QO50" s="962" t="e">
        <f>[1]!taqq(1,1,[1]!roz(QO45+1,QO48,0,0),QO46)</f>
        <v>#VALUE!</v>
      </c>
      <c r="QP50" s="962" t="e">
        <f>[1]!taqq(1,1,[1]!roz(QP45+1,QP48,0,0),QP46)</f>
        <v>#VALUE!</v>
      </c>
      <c r="QQ50" s="962" t="e">
        <f>[1]!taqq(1,1,[1]!roz(QQ45+1,QQ48,0,0),QQ46)</f>
        <v>#VALUE!</v>
      </c>
      <c r="QR50" s="962" t="e">
        <f>[1]!taqq(1,1,[1]!roz(QR45+1,QR48,0,0),QR46)</f>
        <v>#VALUE!</v>
      </c>
      <c r="QS50" s="962" t="e">
        <f>[1]!taqq(1,1,[1]!roz(QS45+1,QS48,0,0),QS46)</f>
        <v>#VALUE!</v>
      </c>
      <c r="QT50" s="962" t="e">
        <f>[1]!taqq(1,1,[1]!roz(QT45+1,QT48,0,0),QT46)</f>
        <v>#VALUE!</v>
      </c>
      <c r="QU50" s="962" t="e">
        <f>[1]!taqq(1,1,[1]!roz(QU45+1,QU48,0,0),QU46)</f>
        <v>#VALUE!</v>
      </c>
      <c r="QV50" s="962" t="e">
        <f>[1]!taqq(1,1,[1]!roz(QV45+1,QV48,0,0),QV46)</f>
        <v>#VALUE!</v>
      </c>
      <c r="QW50" s="962" t="e">
        <f>[1]!taqq(1,1,[1]!roz(QW45+1,QW48,0,0),QW46)</f>
        <v>#VALUE!</v>
      </c>
      <c r="QX50" s="962" t="e">
        <f>[1]!taqq(1,1,[1]!roz(QX45+1,QX48,0,0),QX46)</f>
        <v>#VALUE!</v>
      </c>
      <c r="QY50" s="962" t="e">
        <f>[1]!taqq(1,1,[1]!roz(QY45+1,QY48,0,0),QY46)</f>
        <v>#VALUE!</v>
      </c>
      <c r="QZ50" s="962" t="e">
        <f>[1]!taqq(1,1,[1]!roz(QZ45+1,QZ48,0,0),QZ46)</f>
        <v>#VALUE!</v>
      </c>
      <c r="RA50" s="963"/>
    </row>
    <row r="51" spans="1:471" ht="18" thickBot="1">
      <c r="AK51" s="759"/>
      <c r="AL51" s="701"/>
      <c r="AM51" s="304"/>
      <c r="AN51" s="304"/>
      <c r="AO51" s="304"/>
      <c r="AP51" s="304"/>
      <c r="AQ51" s="304"/>
      <c r="AR51" s="304"/>
      <c r="AS51" s="304"/>
      <c r="AT51" s="304"/>
      <c r="AU51" s="304"/>
      <c r="AV51" s="304"/>
      <c r="AW51" s="304"/>
      <c r="AX51" s="314"/>
      <c r="DB51" s="797" t="s">
        <v>3489</v>
      </c>
      <c r="DC51" s="797"/>
      <c r="DD51" s="961" t="e">
        <f>IF(DD50-DD49&gt;-180,DD50-DD49,DD50-DD49+360)</f>
        <v>#VALUE!</v>
      </c>
      <c r="DH51" s="797"/>
      <c r="DI51" s="797" t="s">
        <v>3489</v>
      </c>
      <c r="DJ51" s="961" t="e">
        <f>IF(DJ50-DJ49&gt;-180,DJ50-DJ49,DJ50-DJ49+360)</f>
        <v>#VALUE!</v>
      </c>
      <c r="DK51" s="962" t="e">
        <f>IF(DK50-DK49&gt;-180,DK50-DK49,DK50-DK49+360)</f>
        <v>#VALUE!</v>
      </c>
      <c r="DL51" s="962" t="e">
        <f>IF(DL50-DL49&gt;-180,DL50-DL49,DL50-DL49+360)</f>
        <v>#VALUE!</v>
      </c>
      <c r="DM51" s="962" t="e">
        <f t="shared" ref="DM51:FX51" si="372">IF(DM50-DM49&gt;-180,DM50-DM49,DM50-DM49+360)</f>
        <v>#VALUE!</v>
      </c>
      <c r="DN51" s="962" t="e">
        <f t="shared" si="372"/>
        <v>#VALUE!</v>
      </c>
      <c r="DO51" s="962" t="e">
        <f t="shared" si="372"/>
        <v>#VALUE!</v>
      </c>
      <c r="DP51" s="962" t="e">
        <f t="shared" si="372"/>
        <v>#VALUE!</v>
      </c>
      <c r="DQ51" s="962" t="e">
        <f t="shared" si="372"/>
        <v>#VALUE!</v>
      </c>
      <c r="DR51" s="962" t="e">
        <f t="shared" si="372"/>
        <v>#VALUE!</v>
      </c>
      <c r="DS51" s="962" t="e">
        <f t="shared" si="372"/>
        <v>#VALUE!</v>
      </c>
      <c r="DT51" s="962" t="e">
        <f t="shared" si="372"/>
        <v>#VALUE!</v>
      </c>
      <c r="DU51" s="962" t="e">
        <f t="shared" si="372"/>
        <v>#VALUE!</v>
      </c>
      <c r="DV51" s="962" t="e">
        <f t="shared" si="372"/>
        <v>#VALUE!</v>
      </c>
      <c r="DW51" s="962" t="e">
        <f t="shared" si="372"/>
        <v>#VALUE!</v>
      </c>
      <c r="DX51" s="962" t="e">
        <f t="shared" si="372"/>
        <v>#VALUE!</v>
      </c>
      <c r="DY51" s="962" t="e">
        <f t="shared" si="372"/>
        <v>#VALUE!</v>
      </c>
      <c r="DZ51" s="962" t="e">
        <f t="shared" si="372"/>
        <v>#VALUE!</v>
      </c>
      <c r="EA51" s="962" t="e">
        <f t="shared" si="372"/>
        <v>#VALUE!</v>
      </c>
      <c r="EB51" s="962" t="e">
        <f t="shared" si="372"/>
        <v>#VALUE!</v>
      </c>
      <c r="EC51" s="962" t="e">
        <f t="shared" si="372"/>
        <v>#VALUE!</v>
      </c>
      <c r="ED51" s="962" t="e">
        <f t="shared" si="372"/>
        <v>#VALUE!</v>
      </c>
      <c r="EE51" s="962" t="e">
        <f t="shared" si="372"/>
        <v>#VALUE!</v>
      </c>
      <c r="EF51" s="962" t="e">
        <f t="shared" si="372"/>
        <v>#VALUE!</v>
      </c>
      <c r="EG51" s="962" t="e">
        <f t="shared" si="372"/>
        <v>#VALUE!</v>
      </c>
      <c r="EH51" s="962" t="e">
        <f t="shared" si="372"/>
        <v>#VALUE!</v>
      </c>
      <c r="EI51" s="962" t="e">
        <f t="shared" si="372"/>
        <v>#VALUE!</v>
      </c>
      <c r="EJ51" s="962" t="e">
        <f t="shared" si="372"/>
        <v>#VALUE!</v>
      </c>
      <c r="EK51" s="962" t="e">
        <f t="shared" si="372"/>
        <v>#VALUE!</v>
      </c>
      <c r="EL51" s="962" t="e">
        <f t="shared" si="372"/>
        <v>#VALUE!</v>
      </c>
      <c r="EM51" s="962" t="e">
        <f t="shared" si="372"/>
        <v>#VALUE!</v>
      </c>
      <c r="EN51" s="962" t="e">
        <f t="shared" si="372"/>
        <v>#VALUE!</v>
      </c>
      <c r="EO51" s="962" t="e">
        <f t="shared" si="372"/>
        <v>#VALUE!</v>
      </c>
      <c r="EP51" s="962" t="e">
        <f t="shared" si="372"/>
        <v>#VALUE!</v>
      </c>
      <c r="EQ51" s="962" t="e">
        <f t="shared" si="372"/>
        <v>#VALUE!</v>
      </c>
      <c r="ER51" s="962" t="e">
        <f t="shared" si="372"/>
        <v>#VALUE!</v>
      </c>
      <c r="ES51" s="962" t="e">
        <f t="shared" si="372"/>
        <v>#VALUE!</v>
      </c>
      <c r="ET51" s="962" t="e">
        <f t="shared" si="372"/>
        <v>#VALUE!</v>
      </c>
      <c r="EU51" s="962" t="e">
        <f t="shared" si="372"/>
        <v>#VALUE!</v>
      </c>
      <c r="EV51" s="962" t="e">
        <f t="shared" si="372"/>
        <v>#VALUE!</v>
      </c>
      <c r="EW51" s="962" t="e">
        <f t="shared" si="372"/>
        <v>#VALUE!</v>
      </c>
      <c r="EX51" s="962" t="e">
        <f t="shared" si="372"/>
        <v>#VALUE!</v>
      </c>
      <c r="EY51" s="962" t="e">
        <f t="shared" si="372"/>
        <v>#VALUE!</v>
      </c>
      <c r="EZ51" s="962" t="e">
        <f t="shared" si="372"/>
        <v>#VALUE!</v>
      </c>
      <c r="FA51" s="962" t="e">
        <f t="shared" si="372"/>
        <v>#VALUE!</v>
      </c>
      <c r="FB51" s="962" t="e">
        <f t="shared" si="372"/>
        <v>#VALUE!</v>
      </c>
      <c r="FC51" s="962" t="e">
        <f t="shared" si="372"/>
        <v>#VALUE!</v>
      </c>
      <c r="FD51" s="962" t="e">
        <f t="shared" si="372"/>
        <v>#VALUE!</v>
      </c>
      <c r="FE51" s="962" t="e">
        <f t="shared" si="372"/>
        <v>#VALUE!</v>
      </c>
      <c r="FF51" s="962" t="e">
        <f t="shared" si="372"/>
        <v>#VALUE!</v>
      </c>
      <c r="FG51" s="962" t="e">
        <f t="shared" si="372"/>
        <v>#VALUE!</v>
      </c>
      <c r="FH51" s="962" t="e">
        <f t="shared" si="372"/>
        <v>#VALUE!</v>
      </c>
      <c r="FI51" s="962" t="e">
        <f t="shared" si="372"/>
        <v>#VALUE!</v>
      </c>
      <c r="FJ51" s="962" t="e">
        <f t="shared" si="372"/>
        <v>#VALUE!</v>
      </c>
      <c r="FK51" s="962" t="e">
        <f t="shared" si="372"/>
        <v>#VALUE!</v>
      </c>
      <c r="FL51" s="962" t="e">
        <f t="shared" si="372"/>
        <v>#VALUE!</v>
      </c>
      <c r="FM51" s="962" t="e">
        <f t="shared" si="372"/>
        <v>#VALUE!</v>
      </c>
      <c r="FN51" s="962" t="e">
        <f t="shared" si="372"/>
        <v>#VALUE!</v>
      </c>
      <c r="FO51" s="962" t="e">
        <f t="shared" si="372"/>
        <v>#VALUE!</v>
      </c>
      <c r="FP51" s="962" t="e">
        <f t="shared" si="372"/>
        <v>#VALUE!</v>
      </c>
      <c r="FQ51" s="962" t="e">
        <f t="shared" si="372"/>
        <v>#VALUE!</v>
      </c>
      <c r="FR51" s="962" t="e">
        <f t="shared" si="372"/>
        <v>#VALUE!</v>
      </c>
      <c r="FS51" s="962" t="e">
        <f t="shared" si="372"/>
        <v>#VALUE!</v>
      </c>
      <c r="FT51" s="962" t="e">
        <f t="shared" si="372"/>
        <v>#VALUE!</v>
      </c>
      <c r="FU51" s="962" t="e">
        <f t="shared" si="372"/>
        <v>#VALUE!</v>
      </c>
      <c r="FV51" s="962" t="e">
        <f t="shared" si="372"/>
        <v>#VALUE!</v>
      </c>
      <c r="FW51" s="962" t="e">
        <f t="shared" si="372"/>
        <v>#VALUE!</v>
      </c>
      <c r="FX51" s="962" t="e">
        <f t="shared" si="372"/>
        <v>#VALUE!</v>
      </c>
      <c r="FY51" s="962" t="e">
        <f t="shared" ref="FY51:IJ51" si="373">IF(FY50-FY49&gt;-180,FY50-FY49,FY50-FY49+360)</f>
        <v>#VALUE!</v>
      </c>
      <c r="FZ51" s="962" t="e">
        <f t="shared" si="373"/>
        <v>#VALUE!</v>
      </c>
      <c r="GA51" s="962" t="e">
        <f t="shared" si="373"/>
        <v>#VALUE!</v>
      </c>
      <c r="GB51" s="962" t="e">
        <f t="shared" si="373"/>
        <v>#VALUE!</v>
      </c>
      <c r="GC51" s="962" t="e">
        <f t="shared" si="373"/>
        <v>#VALUE!</v>
      </c>
      <c r="GD51" s="962" t="e">
        <f t="shared" si="373"/>
        <v>#VALUE!</v>
      </c>
      <c r="GE51" s="962" t="e">
        <f t="shared" si="373"/>
        <v>#VALUE!</v>
      </c>
      <c r="GF51" s="962" t="e">
        <f t="shared" si="373"/>
        <v>#VALUE!</v>
      </c>
      <c r="GG51" s="962" t="e">
        <f t="shared" si="373"/>
        <v>#VALUE!</v>
      </c>
      <c r="GH51" s="962" t="e">
        <f t="shared" si="373"/>
        <v>#VALUE!</v>
      </c>
      <c r="GI51" s="962" t="e">
        <f t="shared" si="373"/>
        <v>#VALUE!</v>
      </c>
      <c r="GJ51" s="962" t="e">
        <f t="shared" si="373"/>
        <v>#VALUE!</v>
      </c>
      <c r="GK51" s="962" t="e">
        <f t="shared" si="373"/>
        <v>#VALUE!</v>
      </c>
      <c r="GL51" s="962" t="e">
        <f t="shared" si="373"/>
        <v>#VALUE!</v>
      </c>
      <c r="GM51" s="962" t="e">
        <f t="shared" si="373"/>
        <v>#VALUE!</v>
      </c>
      <c r="GN51" s="962" t="e">
        <f t="shared" si="373"/>
        <v>#VALUE!</v>
      </c>
      <c r="GO51" s="962" t="e">
        <f t="shared" si="373"/>
        <v>#VALUE!</v>
      </c>
      <c r="GP51" s="962" t="e">
        <f t="shared" si="373"/>
        <v>#VALUE!</v>
      </c>
      <c r="GQ51" s="962" t="e">
        <f t="shared" si="373"/>
        <v>#VALUE!</v>
      </c>
      <c r="GR51" s="962" t="e">
        <f t="shared" si="373"/>
        <v>#VALUE!</v>
      </c>
      <c r="GS51" s="962" t="e">
        <f t="shared" si="373"/>
        <v>#VALUE!</v>
      </c>
      <c r="GT51" s="962" t="e">
        <f t="shared" si="373"/>
        <v>#VALUE!</v>
      </c>
      <c r="GU51" s="962" t="e">
        <f t="shared" si="373"/>
        <v>#VALUE!</v>
      </c>
      <c r="GV51" s="962" t="e">
        <f t="shared" si="373"/>
        <v>#VALUE!</v>
      </c>
      <c r="GW51" s="962" t="e">
        <f t="shared" si="373"/>
        <v>#VALUE!</v>
      </c>
      <c r="GX51" s="962" t="e">
        <f t="shared" si="373"/>
        <v>#VALUE!</v>
      </c>
      <c r="GY51" s="962" t="e">
        <f t="shared" si="373"/>
        <v>#VALUE!</v>
      </c>
      <c r="GZ51" s="962" t="e">
        <f t="shared" si="373"/>
        <v>#VALUE!</v>
      </c>
      <c r="HA51" s="962" t="e">
        <f t="shared" si="373"/>
        <v>#VALUE!</v>
      </c>
      <c r="HB51" s="962" t="e">
        <f t="shared" si="373"/>
        <v>#VALUE!</v>
      </c>
      <c r="HC51" s="962" t="e">
        <f t="shared" si="373"/>
        <v>#VALUE!</v>
      </c>
      <c r="HD51" s="962" t="e">
        <f t="shared" si="373"/>
        <v>#VALUE!</v>
      </c>
      <c r="HE51" s="962" t="e">
        <f t="shared" si="373"/>
        <v>#VALUE!</v>
      </c>
      <c r="HF51" s="962" t="e">
        <f t="shared" si="373"/>
        <v>#VALUE!</v>
      </c>
      <c r="HG51" s="962" t="e">
        <f t="shared" si="373"/>
        <v>#VALUE!</v>
      </c>
      <c r="HH51" s="962" t="e">
        <f t="shared" si="373"/>
        <v>#VALUE!</v>
      </c>
      <c r="HI51" s="962" t="e">
        <f t="shared" si="373"/>
        <v>#VALUE!</v>
      </c>
      <c r="HJ51" s="962" t="e">
        <f t="shared" si="373"/>
        <v>#VALUE!</v>
      </c>
      <c r="HK51" s="962" t="e">
        <f t="shared" si="373"/>
        <v>#VALUE!</v>
      </c>
      <c r="HL51" s="962" t="e">
        <f t="shared" si="373"/>
        <v>#VALUE!</v>
      </c>
      <c r="HM51" s="962" t="e">
        <f t="shared" si="373"/>
        <v>#VALUE!</v>
      </c>
      <c r="HN51" s="962" t="e">
        <f t="shared" si="373"/>
        <v>#VALUE!</v>
      </c>
      <c r="HO51" s="962" t="e">
        <f t="shared" si="373"/>
        <v>#VALUE!</v>
      </c>
      <c r="HP51" s="962" t="e">
        <f t="shared" si="373"/>
        <v>#VALUE!</v>
      </c>
      <c r="HQ51" s="962" t="e">
        <f t="shared" si="373"/>
        <v>#VALUE!</v>
      </c>
      <c r="HR51" s="962" t="e">
        <f t="shared" si="373"/>
        <v>#VALUE!</v>
      </c>
      <c r="HS51" s="962" t="e">
        <f t="shared" si="373"/>
        <v>#VALUE!</v>
      </c>
      <c r="HT51" s="962" t="e">
        <f t="shared" si="373"/>
        <v>#VALUE!</v>
      </c>
      <c r="HU51" s="962" t="e">
        <f t="shared" si="373"/>
        <v>#VALUE!</v>
      </c>
      <c r="HV51" s="962" t="e">
        <f t="shared" si="373"/>
        <v>#VALUE!</v>
      </c>
      <c r="HW51" s="962" t="e">
        <f t="shared" si="373"/>
        <v>#VALUE!</v>
      </c>
      <c r="HX51" s="962" t="e">
        <f t="shared" si="373"/>
        <v>#VALUE!</v>
      </c>
      <c r="HY51" s="962" t="e">
        <f t="shared" si="373"/>
        <v>#VALUE!</v>
      </c>
      <c r="HZ51" s="962" t="e">
        <f t="shared" si="373"/>
        <v>#VALUE!</v>
      </c>
      <c r="IA51" s="962" t="e">
        <f t="shared" si="373"/>
        <v>#VALUE!</v>
      </c>
      <c r="IB51" s="962" t="e">
        <f t="shared" si="373"/>
        <v>#VALUE!</v>
      </c>
      <c r="IC51" s="962" t="e">
        <f t="shared" si="373"/>
        <v>#VALUE!</v>
      </c>
      <c r="ID51" s="962" t="e">
        <f t="shared" si="373"/>
        <v>#VALUE!</v>
      </c>
      <c r="IE51" s="962" t="e">
        <f t="shared" si="373"/>
        <v>#VALUE!</v>
      </c>
      <c r="IF51" s="962" t="e">
        <f t="shared" si="373"/>
        <v>#VALUE!</v>
      </c>
      <c r="IG51" s="962" t="e">
        <f t="shared" si="373"/>
        <v>#VALUE!</v>
      </c>
      <c r="IH51" s="962" t="e">
        <f t="shared" si="373"/>
        <v>#VALUE!</v>
      </c>
      <c r="II51" s="962" t="e">
        <f t="shared" si="373"/>
        <v>#VALUE!</v>
      </c>
      <c r="IJ51" s="962" t="e">
        <f t="shared" si="373"/>
        <v>#VALUE!</v>
      </c>
      <c r="IK51" s="962" t="e">
        <f t="shared" ref="IK51:KV51" si="374">IF(IK50-IK49&gt;-180,IK50-IK49,IK50-IK49+360)</f>
        <v>#VALUE!</v>
      </c>
      <c r="IL51" s="962" t="e">
        <f t="shared" si="374"/>
        <v>#VALUE!</v>
      </c>
      <c r="IM51" s="962" t="e">
        <f t="shared" si="374"/>
        <v>#VALUE!</v>
      </c>
      <c r="IN51" s="962" t="e">
        <f t="shared" si="374"/>
        <v>#VALUE!</v>
      </c>
      <c r="IO51" s="962" t="e">
        <f t="shared" si="374"/>
        <v>#VALUE!</v>
      </c>
      <c r="IP51" s="962" t="e">
        <f t="shared" si="374"/>
        <v>#VALUE!</v>
      </c>
      <c r="IQ51" s="962" t="e">
        <f t="shared" si="374"/>
        <v>#VALUE!</v>
      </c>
      <c r="IR51" s="962" t="e">
        <f t="shared" si="374"/>
        <v>#VALUE!</v>
      </c>
      <c r="IS51" s="962" t="e">
        <f t="shared" si="374"/>
        <v>#VALUE!</v>
      </c>
      <c r="IT51" s="962" t="e">
        <f t="shared" si="374"/>
        <v>#VALUE!</v>
      </c>
      <c r="IU51" s="962" t="e">
        <f t="shared" si="374"/>
        <v>#VALUE!</v>
      </c>
      <c r="IV51" s="962" t="e">
        <f t="shared" si="374"/>
        <v>#VALUE!</v>
      </c>
      <c r="IW51" s="962" t="e">
        <f t="shared" si="374"/>
        <v>#VALUE!</v>
      </c>
      <c r="IX51" s="962" t="e">
        <f t="shared" si="374"/>
        <v>#VALUE!</v>
      </c>
      <c r="IY51" s="962" t="e">
        <f t="shared" si="374"/>
        <v>#VALUE!</v>
      </c>
      <c r="IZ51" s="962" t="e">
        <f t="shared" si="374"/>
        <v>#VALUE!</v>
      </c>
      <c r="JA51" s="962" t="e">
        <f t="shared" si="374"/>
        <v>#VALUE!</v>
      </c>
      <c r="JB51" s="962" t="e">
        <f t="shared" si="374"/>
        <v>#VALUE!</v>
      </c>
      <c r="JC51" s="962" t="e">
        <f t="shared" si="374"/>
        <v>#VALUE!</v>
      </c>
      <c r="JD51" s="962" t="e">
        <f t="shared" si="374"/>
        <v>#VALUE!</v>
      </c>
      <c r="JE51" s="962" t="e">
        <f t="shared" si="374"/>
        <v>#VALUE!</v>
      </c>
      <c r="JF51" s="962" t="e">
        <f t="shared" si="374"/>
        <v>#VALUE!</v>
      </c>
      <c r="JG51" s="962" t="e">
        <f t="shared" si="374"/>
        <v>#VALUE!</v>
      </c>
      <c r="JH51" s="962" t="e">
        <f t="shared" si="374"/>
        <v>#VALUE!</v>
      </c>
      <c r="JI51" s="962" t="e">
        <f t="shared" si="374"/>
        <v>#VALUE!</v>
      </c>
      <c r="JJ51" s="962" t="e">
        <f t="shared" si="374"/>
        <v>#VALUE!</v>
      </c>
      <c r="JK51" s="962" t="e">
        <f t="shared" si="374"/>
        <v>#VALUE!</v>
      </c>
      <c r="JL51" s="962" t="e">
        <f t="shared" si="374"/>
        <v>#VALUE!</v>
      </c>
      <c r="JM51" s="962" t="e">
        <f t="shared" si="374"/>
        <v>#VALUE!</v>
      </c>
      <c r="JN51" s="962" t="e">
        <f t="shared" si="374"/>
        <v>#VALUE!</v>
      </c>
      <c r="JO51" s="962" t="e">
        <f t="shared" si="374"/>
        <v>#VALUE!</v>
      </c>
      <c r="JP51" s="962" t="e">
        <f t="shared" si="374"/>
        <v>#VALUE!</v>
      </c>
      <c r="JQ51" s="962" t="e">
        <f t="shared" si="374"/>
        <v>#VALUE!</v>
      </c>
      <c r="JR51" s="962" t="e">
        <f t="shared" si="374"/>
        <v>#VALUE!</v>
      </c>
      <c r="JS51" s="962" t="e">
        <f t="shared" si="374"/>
        <v>#VALUE!</v>
      </c>
      <c r="JT51" s="962" t="e">
        <f t="shared" si="374"/>
        <v>#VALUE!</v>
      </c>
      <c r="JU51" s="962" t="e">
        <f t="shared" si="374"/>
        <v>#VALUE!</v>
      </c>
      <c r="JV51" s="962" t="e">
        <f t="shared" si="374"/>
        <v>#VALUE!</v>
      </c>
      <c r="JW51" s="962" t="e">
        <f t="shared" si="374"/>
        <v>#VALUE!</v>
      </c>
      <c r="JX51" s="962" t="e">
        <f t="shared" si="374"/>
        <v>#VALUE!</v>
      </c>
      <c r="JY51" s="962" t="e">
        <f t="shared" si="374"/>
        <v>#VALUE!</v>
      </c>
      <c r="JZ51" s="962" t="e">
        <f t="shared" si="374"/>
        <v>#VALUE!</v>
      </c>
      <c r="KA51" s="962" t="e">
        <f t="shared" si="374"/>
        <v>#VALUE!</v>
      </c>
      <c r="KB51" s="962" t="e">
        <f t="shared" si="374"/>
        <v>#VALUE!</v>
      </c>
      <c r="KC51" s="962" t="e">
        <f t="shared" si="374"/>
        <v>#VALUE!</v>
      </c>
      <c r="KD51" s="962" t="e">
        <f t="shared" si="374"/>
        <v>#VALUE!</v>
      </c>
      <c r="KE51" s="962" t="e">
        <f t="shared" si="374"/>
        <v>#VALUE!</v>
      </c>
      <c r="KF51" s="962" t="e">
        <f t="shared" si="374"/>
        <v>#VALUE!</v>
      </c>
      <c r="KG51" s="962" t="e">
        <f t="shared" si="374"/>
        <v>#VALUE!</v>
      </c>
      <c r="KH51" s="962" t="e">
        <f t="shared" si="374"/>
        <v>#VALUE!</v>
      </c>
      <c r="KI51" s="962" t="e">
        <f t="shared" si="374"/>
        <v>#VALUE!</v>
      </c>
      <c r="KJ51" s="962" t="e">
        <f t="shared" si="374"/>
        <v>#VALUE!</v>
      </c>
      <c r="KK51" s="962" t="e">
        <f t="shared" si="374"/>
        <v>#VALUE!</v>
      </c>
      <c r="KL51" s="962" t="e">
        <f t="shared" si="374"/>
        <v>#VALUE!</v>
      </c>
      <c r="KM51" s="962" t="e">
        <f t="shared" si="374"/>
        <v>#VALUE!</v>
      </c>
      <c r="KN51" s="962" t="e">
        <f t="shared" si="374"/>
        <v>#VALUE!</v>
      </c>
      <c r="KO51" s="962" t="e">
        <f t="shared" si="374"/>
        <v>#VALUE!</v>
      </c>
      <c r="KP51" s="962" t="e">
        <f t="shared" si="374"/>
        <v>#VALUE!</v>
      </c>
      <c r="KQ51" s="962" t="e">
        <f t="shared" si="374"/>
        <v>#VALUE!</v>
      </c>
      <c r="KR51" s="962" t="e">
        <f t="shared" si="374"/>
        <v>#VALUE!</v>
      </c>
      <c r="KS51" s="962" t="e">
        <f t="shared" si="374"/>
        <v>#VALUE!</v>
      </c>
      <c r="KT51" s="962" t="e">
        <f t="shared" si="374"/>
        <v>#VALUE!</v>
      </c>
      <c r="KU51" s="962" t="e">
        <f t="shared" si="374"/>
        <v>#VALUE!</v>
      </c>
      <c r="KV51" s="962" t="e">
        <f t="shared" si="374"/>
        <v>#VALUE!</v>
      </c>
      <c r="KW51" s="962" t="e">
        <f t="shared" ref="KW51:NH51" si="375">IF(KW50-KW49&gt;-180,KW50-KW49,KW50-KW49+360)</f>
        <v>#VALUE!</v>
      </c>
      <c r="KX51" s="962" t="e">
        <f t="shared" si="375"/>
        <v>#VALUE!</v>
      </c>
      <c r="KY51" s="962" t="e">
        <f t="shared" si="375"/>
        <v>#VALUE!</v>
      </c>
      <c r="KZ51" s="962" t="e">
        <f t="shared" si="375"/>
        <v>#VALUE!</v>
      </c>
      <c r="LA51" s="962" t="e">
        <f t="shared" si="375"/>
        <v>#VALUE!</v>
      </c>
      <c r="LB51" s="962" t="e">
        <f t="shared" si="375"/>
        <v>#VALUE!</v>
      </c>
      <c r="LC51" s="962" t="e">
        <f t="shared" si="375"/>
        <v>#VALUE!</v>
      </c>
      <c r="LD51" s="962" t="e">
        <f t="shared" si="375"/>
        <v>#VALUE!</v>
      </c>
      <c r="LE51" s="962" t="e">
        <f t="shared" si="375"/>
        <v>#VALUE!</v>
      </c>
      <c r="LF51" s="962" t="e">
        <f t="shared" si="375"/>
        <v>#VALUE!</v>
      </c>
      <c r="LG51" s="962" t="e">
        <f t="shared" si="375"/>
        <v>#VALUE!</v>
      </c>
      <c r="LH51" s="962" t="e">
        <f t="shared" si="375"/>
        <v>#VALUE!</v>
      </c>
      <c r="LI51" s="962" t="e">
        <f t="shared" si="375"/>
        <v>#VALUE!</v>
      </c>
      <c r="LJ51" s="962" t="e">
        <f t="shared" si="375"/>
        <v>#VALUE!</v>
      </c>
      <c r="LK51" s="962" t="e">
        <f t="shared" si="375"/>
        <v>#VALUE!</v>
      </c>
      <c r="LL51" s="962" t="e">
        <f t="shared" si="375"/>
        <v>#VALUE!</v>
      </c>
      <c r="LM51" s="962" t="e">
        <f t="shared" si="375"/>
        <v>#VALUE!</v>
      </c>
      <c r="LN51" s="962" t="e">
        <f t="shared" si="375"/>
        <v>#VALUE!</v>
      </c>
      <c r="LO51" s="962" t="e">
        <f t="shared" si="375"/>
        <v>#VALUE!</v>
      </c>
      <c r="LP51" s="962" t="e">
        <f t="shared" si="375"/>
        <v>#VALUE!</v>
      </c>
      <c r="LQ51" s="962" t="e">
        <f t="shared" si="375"/>
        <v>#VALUE!</v>
      </c>
      <c r="LR51" s="962" t="e">
        <f t="shared" si="375"/>
        <v>#VALUE!</v>
      </c>
      <c r="LS51" s="962" t="e">
        <f t="shared" si="375"/>
        <v>#VALUE!</v>
      </c>
      <c r="LT51" s="962" t="e">
        <f t="shared" si="375"/>
        <v>#VALUE!</v>
      </c>
      <c r="LU51" s="962" t="e">
        <f t="shared" si="375"/>
        <v>#VALUE!</v>
      </c>
      <c r="LV51" s="962" t="e">
        <f t="shared" si="375"/>
        <v>#VALUE!</v>
      </c>
      <c r="LW51" s="962" t="e">
        <f t="shared" si="375"/>
        <v>#VALUE!</v>
      </c>
      <c r="LX51" s="962" t="e">
        <f t="shared" si="375"/>
        <v>#VALUE!</v>
      </c>
      <c r="LY51" s="962" t="e">
        <f t="shared" si="375"/>
        <v>#VALUE!</v>
      </c>
      <c r="LZ51" s="962" t="e">
        <f t="shared" si="375"/>
        <v>#VALUE!</v>
      </c>
      <c r="MA51" s="962" t="e">
        <f t="shared" si="375"/>
        <v>#VALUE!</v>
      </c>
      <c r="MB51" s="962" t="e">
        <f t="shared" si="375"/>
        <v>#VALUE!</v>
      </c>
      <c r="MC51" s="962" t="e">
        <f t="shared" si="375"/>
        <v>#VALUE!</v>
      </c>
      <c r="MD51" s="962" t="e">
        <f t="shared" si="375"/>
        <v>#VALUE!</v>
      </c>
      <c r="ME51" s="962" t="e">
        <f t="shared" si="375"/>
        <v>#VALUE!</v>
      </c>
      <c r="MF51" s="962" t="e">
        <f t="shared" si="375"/>
        <v>#VALUE!</v>
      </c>
      <c r="MG51" s="962" t="e">
        <f t="shared" si="375"/>
        <v>#VALUE!</v>
      </c>
      <c r="MH51" s="962" t="e">
        <f t="shared" si="375"/>
        <v>#VALUE!</v>
      </c>
      <c r="MI51" s="962" t="e">
        <f t="shared" si="375"/>
        <v>#VALUE!</v>
      </c>
      <c r="MJ51" s="962" t="e">
        <f t="shared" si="375"/>
        <v>#VALUE!</v>
      </c>
      <c r="MK51" s="962" t="e">
        <f t="shared" si="375"/>
        <v>#VALUE!</v>
      </c>
      <c r="ML51" s="962" t="e">
        <f t="shared" si="375"/>
        <v>#VALUE!</v>
      </c>
      <c r="MM51" s="962" t="e">
        <f t="shared" si="375"/>
        <v>#VALUE!</v>
      </c>
      <c r="MN51" s="962" t="e">
        <f t="shared" si="375"/>
        <v>#VALUE!</v>
      </c>
      <c r="MO51" s="962" t="e">
        <f t="shared" si="375"/>
        <v>#VALUE!</v>
      </c>
      <c r="MP51" s="962" t="e">
        <f t="shared" si="375"/>
        <v>#VALUE!</v>
      </c>
      <c r="MQ51" s="962" t="e">
        <f t="shared" si="375"/>
        <v>#VALUE!</v>
      </c>
      <c r="MR51" s="962" t="e">
        <f t="shared" si="375"/>
        <v>#VALUE!</v>
      </c>
      <c r="MS51" s="962" t="e">
        <f t="shared" si="375"/>
        <v>#VALUE!</v>
      </c>
      <c r="MT51" s="962" t="e">
        <f t="shared" si="375"/>
        <v>#VALUE!</v>
      </c>
      <c r="MU51" s="962" t="e">
        <f t="shared" si="375"/>
        <v>#VALUE!</v>
      </c>
      <c r="MV51" s="962" t="e">
        <f t="shared" si="375"/>
        <v>#VALUE!</v>
      </c>
      <c r="MW51" s="962" t="e">
        <f t="shared" si="375"/>
        <v>#VALUE!</v>
      </c>
      <c r="MX51" s="962" t="e">
        <f t="shared" si="375"/>
        <v>#VALUE!</v>
      </c>
      <c r="MY51" s="962" t="e">
        <f t="shared" si="375"/>
        <v>#VALUE!</v>
      </c>
      <c r="MZ51" s="962" t="e">
        <f t="shared" si="375"/>
        <v>#VALUE!</v>
      </c>
      <c r="NA51" s="962" t="e">
        <f t="shared" si="375"/>
        <v>#VALUE!</v>
      </c>
      <c r="NB51" s="962" t="e">
        <f t="shared" si="375"/>
        <v>#VALUE!</v>
      </c>
      <c r="NC51" s="962" t="e">
        <f t="shared" si="375"/>
        <v>#VALUE!</v>
      </c>
      <c r="ND51" s="962" t="e">
        <f t="shared" si="375"/>
        <v>#VALUE!</v>
      </c>
      <c r="NE51" s="962" t="e">
        <f t="shared" si="375"/>
        <v>#VALUE!</v>
      </c>
      <c r="NF51" s="962" t="e">
        <f t="shared" si="375"/>
        <v>#VALUE!</v>
      </c>
      <c r="NG51" s="962" t="e">
        <f t="shared" si="375"/>
        <v>#VALUE!</v>
      </c>
      <c r="NH51" s="962" t="e">
        <f t="shared" si="375"/>
        <v>#VALUE!</v>
      </c>
      <c r="NI51" s="962" t="e">
        <f t="shared" ref="NI51:PT51" si="376">IF(NI50-NI49&gt;-180,NI50-NI49,NI50-NI49+360)</f>
        <v>#VALUE!</v>
      </c>
      <c r="NJ51" s="962" t="e">
        <f t="shared" si="376"/>
        <v>#VALUE!</v>
      </c>
      <c r="NK51" s="962" t="e">
        <f t="shared" si="376"/>
        <v>#VALUE!</v>
      </c>
      <c r="NL51" s="962" t="e">
        <f t="shared" si="376"/>
        <v>#VALUE!</v>
      </c>
      <c r="NM51" s="962" t="e">
        <f t="shared" si="376"/>
        <v>#VALUE!</v>
      </c>
      <c r="NN51" s="962" t="e">
        <f t="shared" si="376"/>
        <v>#VALUE!</v>
      </c>
      <c r="NO51" s="962" t="e">
        <f t="shared" si="376"/>
        <v>#VALUE!</v>
      </c>
      <c r="NP51" s="962" t="e">
        <f t="shared" si="376"/>
        <v>#VALUE!</v>
      </c>
      <c r="NQ51" s="962" t="e">
        <f t="shared" si="376"/>
        <v>#VALUE!</v>
      </c>
      <c r="NR51" s="962" t="e">
        <f t="shared" si="376"/>
        <v>#VALUE!</v>
      </c>
      <c r="NS51" s="962" t="e">
        <f t="shared" si="376"/>
        <v>#VALUE!</v>
      </c>
      <c r="NT51" s="962" t="e">
        <f t="shared" si="376"/>
        <v>#VALUE!</v>
      </c>
      <c r="NU51" s="962" t="e">
        <f t="shared" si="376"/>
        <v>#VALUE!</v>
      </c>
      <c r="NV51" s="962" t="e">
        <f t="shared" si="376"/>
        <v>#VALUE!</v>
      </c>
      <c r="NW51" s="962" t="e">
        <f t="shared" si="376"/>
        <v>#VALUE!</v>
      </c>
      <c r="NX51" s="962" t="e">
        <f t="shared" si="376"/>
        <v>#VALUE!</v>
      </c>
      <c r="NY51" s="962" t="e">
        <f t="shared" si="376"/>
        <v>#VALUE!</v>
      </c>
      <c r="NZ51" s="962" t="e">
        <f t="shared" si="376"/>
        <v>#VALUE!</v>
      </c>
      <c r="OA51" s="962" t="e">
        <f t="shared" si="376"/>
        <v>#VALUE!</v>
      </c>
      <c r="OB51" s="962" t="e">
        <f t="shared" si="376"/>
        <v>#VALUE!</v>
      </c>
      <c r="OC51" s="962" t="e">
        <f t="shared" si="376"/>
        <v>#VALUE!</v>
      </c>
      <c r="OD51" s="962" t="e">
        <f t="shared" si="376"/>
        <v>#VALUE!</v>
      </c>
      <c r="OE51" s="962" t="e">
        <f t="shared" si="376"/>
        <v>#VALUE!</v>
      </c>
      <c r="OF51" s="962" t="e">
        <f t="shared" si="376"/>
        <v>#VALUE!</v>
      </c>
      <c r="OG51" s="962" t="e">
        <f t="shared" si="376"/>
        <v>#VALUE!</v>
      </c>
      <c r="OH51" s="962" t="e">
        <f t="shared" si="376"/>
        <v>#VALUE!</v>
      </c>
      <c r="OI51" s="962" t="e">
        <f t="shared" si="376"/>
        <v>#VALUE!</v>
      </c>
      <c r="OJ51" s="962" t="e">
        <f t="shared" si="376"/>
        <v>#VALUE!</v>
      </c>
      <c r="OK51" s="962" t="e">
        <f t="shared" si="376"/>
        <v>#VALUE!</v>
      </c>
      <c r="OL51" s="962" t="e">
        <f t="shared" si="376"/>
        <v>#VALUE!</v>
      </c>
      <c r="OM51" s="962" t="e">
        <f t="shared" si="376"/>
        <v>#VALUE!</v>
      </c>
      <c r="ON51" s="962" t="e">
        <f t="shared" si="376"/>
        <v>#VALUE!</v>
      </c>
      <c r="OO51" s="962" t="e">
        <f t="shared" si="376"/>
        <v>#VALUE!</v>
      </c>
      <c r="OP51" s="962" t="e">
        <f t="shared" si="376"/>
        <v>#VALUE!</v>
      </c>
      <c r="OQ51" s="962" t="e">
        <f t="shared" si="376"/>
        <v>#VALUE!</v>
      </c>
      <c r="OR51" s="962" t="e">
        <f t="shared" si="376"/>
        <v>#VALUE!</v>
      </c>
      <c r="OS51" s="962" t="e">
        <f t="shared" si="376"/>
        <v>#VALUE!</v>
      </c>
      <c r="OT51" s="962" t="e">
        <f t="shared" si="376"/>
        <v>#VALUE!</v>
      </c>
      <c r="OU51" s="962" t="e">
        <f t="shared" si="376"/>
        <v>#VALUE!</v>
      </c>
      <c r="OV51" s="962" t="e">
        <f t="shared" si="376"/>
        <v>#VALUE!</v>
      </c>
      <c r="OW51" s="962" t="e">
        <f t="shared" si="376"/>
        <v>#VALUE!</v>
      </c>
      <c r="OX51" s="962" t="e">
        <f t="shared" si="376"/>
        <v>#VALUE!</v>
      </c>
      <c r="OY51" s="962" t="e">
        <f t="shared" si="376"/>
        <v>#VALUE!</v>
      </c>
      <c r="OZ51" s="962" t="e">
        <f t="shared" si="376"/>
        <v>#VALUE!</v>
      </c>
      <c r="PA51" s="962" t="e">
        <f t="shared" si="376"/>
        <v>#VALUE!</v>
      </c>
      <c r="PB51" s="962" t="e">
        <f t="shared" si="376"/>
        <v>#VALUE!</v>
      </c>
      <c r="PC51" s="962" t="e">
        <f t="shared" si="376"/>
        <v>#VALUE!</v>
      </c>
      <c r="PD51" s="962" t="e">
        <f t="shared" si="376"/>
        <v>#VALUE!</v>
      </c>
      <c r="PE51" s="962" t="e">
        <f t="shared" si="376"/>
        <v>#VALUE!</v>
      </c>
      <c r="PF51" s="962" t="e">
        <f t="shared" si="376"/>
        <v>#VALUE!</v>
      </c>
      <c r="PG51" s="962" t="e">
        <f t="shared" si="376"/>
        <v>#VALUE!</v>
      </c>
      <c r="PH51" s="962" t="e">
        <f t="shared" si="376"/>
        <v>#VALUE!</v>
      </c>
      <c r="PI51" s="962" t="e">
        <f t="shared" si="376"/>
        <v>#VALUE!</v>
      </c>
      <c r="PJ51" s="962" t="e">
        <f t="shared" si="376"/>
        <v>#VALUE!</v>
      </c>
      <c r="PK51" s="962" t="e">
        <f t="shared" si="376"/>
        <v>#VALUE!</v>
      </c>
      <c r="PL51" s="962" t="e">
        <f t="shared" si="376"/>
        <v>#VALUE!</v>
      </c>
      <c r="PM51" s="962" t="e">
        <f t="shared" si="376"/>
        <v>#VALUE!</v>
      </c>
      <c r="PN51" s="962" t="e">
        <f t="shared" si="376"/>
        <v>#VALUE!</v>
      </c>
      <c r="PO51" s="962" t="e">
        <f t="shared" si="376"/>
        <v>#VALUE!</v>
      </c>
      <c r="PP51" s="962" t="e">
        <f t="shared" si="376"/>
        <v>#VALUE!</v>
      </c>
      <c r="PQ51" s="962" t="e">
        <f t="shared" si="376"/>
        <v>#VALUE!</v>
      </c>
      <c r="PR51" s="962" t="e">
        <f t="shared" si="376"/>
        <v>#VALUE!</v>
      </c>
      <c r="PS51" s="962" t="e">
        <f t="shared" si="376"/>
        <v>#VALUE!</v>
      </c>
      <c r="PT51" s="962" t="e">
        <f t="shared" si="376"/>
        <v>#VALUE!</v>
      </c>
      <c r="PU51" s="962" t="e">
        <f t="shared" ref="PU51:QZ51" si="377">IF(PU50-PU49&gt;-180,PU50-PU49,PU50-PU49+360)</f>
        <v>#VALUE!</v>
      </c>
      <c r="PV51" s="962" t="e">
        <f t="shared" si="377"/>
        <v>#VALUE!</v>
      </c>
      <c r="PW51" s="962" t="e">
        <f t="shared" si="377"/>
        <v>#VALUE!</v>
      </c>
      <c r="PX51" s="962" t="e">
        <f t="shared" si="377"/>
        <v>#VALUE!</v>
      </c>
      <c r="PY51" s="962" t="e">
        <f t="shared" si="377"/>
        <v>#VALUE!</v>
      </c>
      <c r="PZ51" s="962" t="e">
        <f t="shared" si="377"/>
        <v>#VALUE!</v>
      </c>
      <c r="QA51" s="962" t="e">
        <f t="shared" si="377"/>
        <v>#VALUE!</v>
      </c>
      <c r="QB51" s="962" t="e">
        <f t="shared" si="377"/>
        <v>#VALUE!</v>
      </c>
      <c r="QC51" s="962" t="e">
        <f t="shared" si="377"/>
        <v>#VALUE!</v>
      </c>
      <c r="QD51" s="962" t="e">
        <f t="shared" si="377"/>
        <v>#VALUE!</v>
      </c>
      <c r="QE51" s="962" t="e">
        <f t="shared" si="377"/>
        <v>#VALUE!</v>
      </c>
      <c r="QF51" s="962" t="e">
        <f t="shared" si="377"/>
        <v>#VALUE!</v>
      </c>
      <c r="QG51" s="962" t="e">
        <f t="shared" si="377"/>
        <v>#VALUE!</v>
      </c>
      <c r="QH51" s="962" t="e">
        <f t="shared" si="377"/>
        <v>#VALUE!</v>
      </c>
      <c r="QI51" s="962" t="e">
        <f t="shared" si="377"/>
        <v>#VALUE!</v>
      </c>
      <c r="QJ51" s="962" t="e">
        <f t="shared" si="377"/>
        <v>#VALUE!</v>
      </c>
      <c r="QK51" s="962" t="e">
        <f t="shared" si="377"/>
        <v>#VALUE!</v>
      </c>
      <c r="QL51" s="962" t="e">
        <f t="shared" si="377"/>
        <v>#VALUE!</v>
      </c>
      <c r="QM51" s="962" t="e">
        <f t="shared" si="377"/>
        <v>#VALUE!</v>
      </c>
      <c r="QN51" s="962" t="e">
        <f t="shared" si="377"/>
        <v>#VALUE!</v>
      </c>
      <c r="QO51" s="962" t="e">
        <f t="shared" si="377"/>
        <v>#VALUE!</v>
      </c>
      <c r="QP51" s="962" t="e">
        <f t="shared" si="377"/>
        <v>#VALUE!</v>
      </c>
      <c r="QQ51" s="962" t="e">
        <f t="shared" si="377"/>
        <v>#VALUE!</v>
      </c>
      <c r="QR51" s="962" t="e">
        <f t="shared" si="377"/>
        <v>#VALUE!</v>
      </c>
      <c r="QS51" s="962" t="e">
        <f t="shared" si="377"/>
        <v>#VALUE!</v>
      </c>
      <c r="QT51" s="962" t="e">
        <f t="shared" si="377"/>
        <v>#VALUE!</v>
      </c>
      <c r="QU51" s="962" t="e">
        <f t="shared" si="377"/>
        <v>#VALUE!</v>
      </c>
      <c r="QV51" s="962" t="e">
        <f t="shared" si="377"/>
        <v>#VALUE!</v>
      </c>
      <c r="QW51" s="962" t="e">
        <f t="shared" si="377"/>
        <v>#VALUE!</v>
      </c>
      <c r="QX51" s="962" t="e">
        <f t="shared" si="377"/>
        <v>#VALUE!</v>
      </c>
      <c r="QY51" s="962" t="e">
        <f t="shared" si="377"/>
        <v>#VALUE!</v>
      </c>
      <c r="QZ51" s="962" t="e">
        <f t="shared" si="377"/>
        <v>#VALUE!</v>
      </c>
      <c r="RA51" s="963"/>
    </row>
    <row r="52" spans="1:471" ht="17.25">
      <c r="AK52" s="108" t="s">
        <v>3</v>
      </c>
      <c r="AL52" s="696">
        <f t="shared" ref="AL52:AW53" si="378">AL40</f>
        <v>1443</v>
      </c>
      <c r="AM52" s="697">
        <f t="shared" si="378"/>
        <v>1443</v>
      </c>
      <c r="AN52" s="697">
        <f t="shared" si="378"/>
        <v>1443</v>
      </c>
      <c r="AO52" s="697">
        <f t="shared" si="378"/>
        <v>1443</v>
      </c>
      <c r="AP52" s="697">
        <f t="shared" si="378"/>
        <v>1443</v>
      </c>
      <c r="AQ52" s="697">
        <f t="shared" si="378"/>
        <v>1443</v>
      </c>
      <c r="AR52" s="697">
        <f t="shared" si="378"/>
        <v>1443</v>
      </c>
      <c r="AS52" s="697">
        <f t="shared" si="378"/>
        <v>1443</v>
      </c>
      <c r="AT52" s="697">
        <f t="shared" si="378"/>
        <v>1443</v>
      </c>
      <c r="AU52" s="697">
        <f t="shared" si="378"/>
        <v>1443</v>
      </c>
      <c r="AV52" s="697">
        <f t="shared" si="378"/>
        <v>1443</v>
      </c>
      <c r="AW52" s="698">
        <f t="shared" si="378"/>
        <v>1443</v>
      </c>
      <c r="AX52" s="314"/>
      <c r="DB52" s="797" t="s">
        <v>3802</v>
      </c>
      <c r="DC52" s="797"/>
      <c r="DD52" s="959" t="e">
        <f>[1]!bodmoadal(1,1,(DD45+1),[1]!qsn([1]!ml([1]!taqsha(1,1,1+DD45,DD46)),DD47)/30,DD46,DD47)</f>
        <v>#VALUE!</v>
      </c>
      <c r="DH52" s="797"/>
      <c r="DI52" s="797" t="s">
        <v>3802</v>
      </c>
      <c r="DJ52" s="959" t="e">
        <f>[1]!bodmoadal(1,1,(DJ45+1),[1]!qsn([1]!ml([1]!taqsha(1,1,1+DJ45,DJ46)),DJ47)/30,DJ46,DJ47)</f>
        <v>#VALUE!</v>
      </c>
      <c r="DK52" s="962" t="e">
        <f>[1]!bodmoadal(1,1,(DK45+1),[1]!qsn([1]!ml([1]!taqsha(1,1,1+DK45,DK46)),DK47)/30,DK46,DK47)</f>
        <v>#VALUE!</v>
      </c>
      <c r="DL52" s="962" t="e">
        <f>[1]!bodmoadal(1,1,(DL45+1),[1]!qsn([1]!ml([1]!taqsha(1,1,1+DL45,DL46)),DL47)/30,DL46,DL47)</f>
        <v>#VALUE!</v>
      </c>
      <c r="DM52" s="962" t="e">
        <f>[1]!bodmoadal(1,1,(DM45+1),[1]!qsn([1]!ml([1]!taqsha(1,1,1+DM45,DM46)),DM47)/30,DM46,DM47)</f>
        <v>#VALUE!</v>
      </c>
      <c r="DN52" s="962" t="e">
        <f>[1]!bodmoadal(1,1,(DN45+1),[1]!qsn([1]!ml([1]!taqsha(1,1,1+DN45,DN46)),DN47)/30,DN46,DN47)</f>
        <v>#VALUE!</v>
      </c>
      <c r="DO52" s="962" t="e">
        <f>[1]!bodmoadal(1,1,(DO45+1),[1]!qsn([1]!ml([1]!taqsha(1,1,1+DO45,DO46)),DO47)/30,DO46,DO47)</f>
        <v>#VALUE!</v>
      </c>
      <c r="DP52" s="962" t="e">
        <f>[1]!bodmoadal(1,1,(DP45+1),[1]!qsn([1]!ml([1]!taqsha(1,1,1+DP45,DP46)),DP47)/30,DP46,DP47)</f>
        <v>#VALUE!</v>
      </c>
      <c r="DQ52" s="962" t="e">
        <f>[1]!bodmoadal(1,1,(DQ45+1),[1]!qsn([1]!ml([1]!taqsha(1,1,1+DQ45,DQ46)),DQ47)/30,DQ46,DQ47)</f>
        <v>#VALUE!</v>
      </c>
      <c r="DR52" s="962" t="e">
        <f>[1]!bodmoadal(1,1,(DR45+1),[1]!qsn([1]!ml([1]!taqsha(1,1,1+DR45,DR46)),DR47)/30,DR46,DR47)</f>
        <v>#VALUE!</v>
      </c>
      <c r="DS52" s="962" t="e">
        <f>[1]!bodmoadal(1,1,(DS45+1),[1]!qsn([1]!ml([1]!taqsha(1,1,1+DS45,DS46)),DS47)/30,DS46,DS47)</f>
        <v>#VALUE!</v>
      </c>
      <c r="DT52" s="962" t="e">
        <f>[1]!bodmoadal(1,1,(DT45+1),[1]!qsn([1]!ml([1]!taqsha(1,1,1+DT45,DT46)),DT47)/30,DT46,DT47)</f>
        <v>#VALUE!</v>
      </c>
      <c r="DU52" s="962" t="e">
        <f>[1]!bodmoadal(1,1,(DU45+1),[1]!qsn([1]!ml([1]!taqsha(1,1,1+DU45,DU46)),DU47)/30,DU46,DU47)</f>
        <v>#VALUE!</v>
      </c>
      <c r="DV52" s="962" t="e">
        <f>[1]!bodmoadal(1,1,(DV45+1),[1]!qsn([1]!ml([1]!taqsha(1,1,1+DV45,DV46)),DV47)/30,DV46,DV47)</f>
        <v>#VALUE!</v>
      </c>
      <c r="DW52" s="962" t="e">
        <f>[1]!bodmoadal(1,1,(DW45+1),[1]!qsn([1]!ml([1]!taqsha(1,1,1+DW45,DW46)),DW47)/30,DW46,DW47)</f>
        <v>#VALUE!</v>
      </c>
      <c r="DX52" s="962" t="e">
        <f>[1]!bodmoadal(1,1,(DX45+1),[1]!qsn([1]!ml([1]!taqsha(1,1,1+DX45,DX46)),DX47)/30,DX46,DX47)</f>
        <v>#VALUE!</v>
      </c>
      <c r="DY52" s="962" t="e">
        <f>[1]!bodmoadal(1,1,(DY45+1),[1]!qsn([1]!ml([1]!taqsha(1,1,1+DY45,DY46)),DY47)/30,DY46,DY47)</f>
        <v>#VALUE!</v>
      </c>
      <c r="DZ52" s="962" t="e">
        <f>[1]!bodmoadal(1,1,(DZ45+1),[1]!qsn([1]!ml([1]!taqsha(1,1,1+DZ45,DZ46)),DZ47)/30,DZ46,DZ47)</f>
        <v>#VALUE!</v>
      </c>
      <c r="EA52" s="962" t="e">
        <f>[1]!bodmoadal(1,1,(EA45+1),[1]!qsn([1]!ml([1]!taqsha(1,1,1+EA45,EA46)),EA47)/30,EA46,EA47)</f>
        <v>#VALUE!</v>
      </c>
      <c r="EB52" s="962" t="e">
        <f>[1]!bodmoadal(1,1,(EB45+1),[1]!qsn([1]!ml([1]!taqsha(1,1,1+EB45,EB46)),EB47)/30,EB46,EB47)</f>
        <v>#VALUE!</v>
      </c>
      <c r="EC52" s="962" t="e">
        <f>[1]!bodmoadal(1,1,(EC45+1),[1]!qsn([1]!ml([1]!taqsha(1,1,1+EC45,EC46)),EC47)/30,EC46,EC47)</f>
        <v>#VALUE!</v>
      </c>
      <c r="ED52" s="962" t="e">
        <f>[1]!bodmoadal(1,1,(ED45+1),[1]!qsn([1]!ml([1]!taqsha(1,1,1+ED45,ED46)),ED47)/30,ED46,ED47)</f>
        <v>#VALUE!</v>
      </c>
      <c r="EE52" s="962" t="e">
        <f>[1]!bodmoadal(1,1,(EE45+1),[1]!qsn([1]!ml([1]!taqsha(1,1,1+EE45,EE46)),EE47)/30,EE46,EE47)</f>
        <v>#VALUE!</v>
      </c>
      <c r="EF52" s="962" t="e">
        <f>[1]!bodmoadal(1,1,(EF45+1),[1]!qsn([1]!ml([1]!taqsha(1,1,1+EF45,EF46)),EF47)/30,EF46,EF47)</f>
        <v>#VALUE!</v>
      </c>
      <c r="EG52" s="962" t="e">
        <f>[1]!bodmoadal(1,1,(EG45+1),[1]!qsn([1]!ml([1]!taqsha(1,1,1+EG45,EG46)),EG47)/30,EG46,EG47)</f>
        <v>#VALUE!</v>
      </c>
      <c r="EH52" s="962" t="e">
        <f>[1]!bodmoadal(1,1,(EH45+1),[1]!qsn([1]!ml([1]!taqsha(1,1,1+EH45,EH46)),EH47)/30,EH46,EH47)</f>
        <v>#VALUE!</v>
      </c>
      <c r="EI52" s="962" t="e">
        <f>[1]!bodmoadal(1,1,(EI45+1),[1]!qsn([1]!ml([1]!taqsha(1,1,1+EI45,EI46)),EI47)/30,EI46,EI47)</f>
        <v>#VALUE!</v>
      </c>
      <c r="EJ52" s="962" t="e">
        <f>[1]!bodmoadal(1,1,(EJ45+1),[1]!qsn([1]!ml([1]!taqsha(1,1,1+EJ45,EJ46)),EJ47)/30,EJ46,EJ47)</f>
        <v>#VALUE!</v>
      </c>
      <c r="EK52" s="962" t="e">
        <f>[1]!bodmoadal(1,1,(EK45+1),[1]!qsn([1]!ml([1]!taqsha(1,1,1+EK45,EK46)),EK47)/30,EK46,EK47)</f>
        <v>#VALUE!</v>
      </c>
      <c r="EL52" s="962" t="e">
        <f>[1]!bodmoadal(1,1,(EL45+1),[1]!qsn([1]!ml([1]!taqsha(1,1,1+EL45,EL46)),EL47)/30,EL46,EL47)</f>
        <v>#VALUE!</v>
      </c>
      <c r="EM52" s="962" t="e">
        <f>[1]!bodmoadal(1,1,(EM45+1),[1]!qsn([1]!ml([1]!taqsha(1,1,1+EM45,EM46)),EM47)/30,EM46,EM47)</f>
        <v>#VALUE!</v>
      </c>
      <c r="EN52" s="962" t="e">
        <f>[1]!bodmoadal(1,1,(EN45+1),[1]!qsn([1]!ml([1]!taqsha(1,1,1+EN45,EN46)),EN47)/30,EN46,EN47)</f>
        <v>#VALUE!</v>
      </c>
      <c r="EO52" s="962" t="e">
        <f>[1]!bodmoadal(1,1,(EO45+1),[1]!qsn([1]!ml([1]!taqsha(1,1,1+EO45,EO46)),EO47)/30,EO46,EO47)</f>
        <v>#VALUE!</v>
      </c>
      <c r="EP52" s="962" t="e">
        <f>[1]!bodmoadal(1,1,(EP45+1),[1]!qsn([1]!ml([1]!taqsha(1,1,1+EP45,EP46)),EP47)/30,EP46,EP47)</f>
        <v>#VALUE!</v>
      </c>
      <c r="EQ52" s="962" t="e">
        <f>[1]!bodmoadal(1,1,(EQ45+1),[1]!qsn([1]!ml([1]!taqsha(1,1,1+EQ45,EQ46)),EQ47)/30,EQ46,EQ47)</f>
        <v>#VALUE!</v>
      </c>
      <c r="ER52" s="962" t="e">
        <f>[1]!bodmoadal(1,1,(ER45+1),[1]!qsn([1]!ml([1]!taqsha(1,1,1+ER45,ER46)),ER47)/30,ER46,ER47)</f>
        <v>#VALUE!</v>
      </c>
      <c r="ES52" s="962" t="e">
        <f>[1]!bodmoadal(1,1,(ES45+1),[1]!qsn([1]!ml([1]!taqsha(1,1,1+ES45,ES46)),ES47)/30,ES46,ES47)</f>
        <v>#VALUE!</v>
      </c>
      <c r="ET52" s="962" t="e">
        <f>[1]!bodmoadal(1,1,(ET45+1),[1]!qsn([1]!ml([1]!taqsha(1,1,1+ET45,ET46)),ET47)/30,ET46,ET47)</f>
        <v>#VALUE!</v>
      </c>
      <c r="EU52" s="962" t="e">
        <f>[1]!bodmoadal(1,1,(EU45+1),[1]!qsn([1]!ml([1]!taqsha(1,1,1+EU45,EU46)),EU47)/30,EU46,EU47)</f>
        <v>#VALUE!</v>
      </c>
      <c r="EV52" s="962" t="e">
        <f>[1]!bodmoadal(1,1,(EV45+1),[1]!qsn([1]!ml([1]!taqsha(1,1,1+EV45,EV46)),EV47)/30,EV46,EV47)</f>
        <v>#VALUE!</v>
      </c>
      <c r="EW52" s="962" t="e">
        <f>[1]!bodmoadal(1,1,(EW45+1),[1]!qsn([1]!ml([1]!taqsha(1,1,1+EW45,EW46)),EW47)/30,EW46,EW47)</f>
        <v>#VALUE!</v>
      </c>
      <c r="EX52" s="962" t="e">
        <f>[1]!bodmoadal(1,1,(EX45+1),[1]!qsn([1]!ml([1]!taqsha(1,1,1+EX45,EX46)),EX47)/30,EX46,EX47)</f>
        <v>#VALUE!</v>
      </c>
      <c r="EY52" s="962" t="e">
        <f>[1]!bodmoadal(1,1,(EY45+1),[1]!qsn([1]!ml([1]!taqsha(1,1,1+EY45,EY46)),EY47)/30,EY46,EY47)</f>
        <v>#VALUE!</v>
      </c>
      <c r="EZ52" s="962" t="e">
        <f>[1]!bodmoadal(1,1,(EZ45+1),[1]!qsn([1]!ml([1]!taqsha(1,1,1+EZ45,EZ46)),EZ47)/30,EZ46,EZ47)</f>
        <v>#VALUE!</v>
      </c>
      <c r="FA52" s="962" t="e">
        <f>[1]!bodmoadal(1,1,(FA45+1),[1]!qsn([1]!ml([1]!taqsha(1,1,1+FA45,FA46)),FA47)/30,FA46,FA47)</f>
        <v>#VALUE!</v>
      </c>
      <c r="FB52" s="962" t="e">
        <f>[1]!bodmoadal(1,1,(FB45+1),[1]!qsn([1]!ml([1]!taqsha(1,1,1+FB45,FB46)),FB47)/30,FB46,FB47)</f>
        <v>#VALUE!</v>
      </c>
      <c r="FC52" s="962" t="e">
        <f>[1]!bodmoadal(1,1,(FC45+1),[1]!qsn([1]!ml([1]!taqsha(1,1,1+FC45,FC46)),FC47)/30,FC46,FC47)</f>
        <v>#VALUE!</v>
      </c>
      <c r="FD52" s="962" t="e">
        <f>[1]!bodmoadal(1,1,(FD45+1),[1]!qsn([1]!ml([1]!taqsha(1,1,1+FD45,FD46)),FD47)/30,FD46,FD47)</f>
        <v>#VALUE!</v>
      </c>
      <c r="FE52" s="962" t="e">
        <f>[1]!bodmoadal(1,1,(FE45+1),[1]!qsn([1]!ml([1]!taqsha(1,1,1+FE45,FE46)),FE47)/30,FE46,FE47)</f>
        <v>#VALUE!</v>
      </c>
      <c r="FF52" s="962" t="e">
        <f>[1]!bodmoadal(1,1,(FF45+1),[1]!qsn([1]!ml([1]!taqsha(1,1,1+FF45,FF46)),FF47)/30,FF46,FF47)</f>
        <v>#VALUE!</v>
      </c>
      <c r="FG52" s="962" t="e">
        <f>[1]!bodmoadal(1,1,(FG45+1),[1]!qsn([1]!ml([1]!taqsha(1,1,1+FG45,FG46)),FG47)/30,FG46,FG47)</f>
        <v>#VALUE!</v>
      </c>
      <c r="FH52" s="962" t="e">
        <f>[1]!bodmoadal(1,1,(FH45+1),[1]!qsn([1]!ml([1]!taqsha(1,1,1+FH45,FH46)),FH47)/30,FH46,FH47)</f>
        <v>#VALUE!</v>
      </c>
      <c r="FI52" s="962" t="e">
        <f>[1]!bodmoadal(1,1,(FI45+1),[1]!qsn([1]!ml([1]!taqsha(1,1,1+FI45,FI46)),FI47)/30,FI46,FI47)</f>
        <v>#VALUE!</v>
      </c>
      <c r="FJ52" s="962" t="e">
        <f>[1]!bodmoadal(1,1,(FJ45+1),[1]!qsn([1]!ml([1]!taqsha(1,1,1+FJ45,FJ46)),FJ47)/30,FJ46,FJ47)</f>
        <v>#VALUE!</v>
      </c>
      <c r="FK52" s="962" t="e">
        <f>[1]!bodmoadal(1,1,(FK45+1),[1]!qsn([1]!ml([1]!taqsha(1,1,1+FK45,FK46)),FK47)/30,FK46,FK47)</f>
        <v>#VALUE!</v>
      </c>
      <c r="FL52" s="962" t="e">
        <f>[1]!bodmoadal(1,1,(FL45+1),[1]!qsn([1]!ml([1]!taqsha(1,1,1+FL45,FL46)),FL47)/30,FL46,FL47)</f>
        <v>#VALUE!</v>
      </c>
      <c r="FM52" s="962" t="e">
        <f>[1]!bodmoadal(1,1,(FM45+1),[1]!qsn([1]!ml([1]!taqsha(1,1,1+FM45,FM46)),FM47)/30,FM46,FM47)</f>
        <v>#VALUE!</v>
      </c>
      <c r="FN52" s="962" t="e">
        <f>[1]!bodmoadal(1,1,(FN45+1),[1]!qsn([1]!ml([1]!taqsha(1,1,1+FN45,FN46)),FN47)/30,FN46,FN47)</f>
        <v>#VALUE!</v>
      </c>
      <c r="FO52" s="962" t="e">
        <f>[1]!bodmoadal(1,1,(FO45+1),[1]!qsn([1]!ml([1]!taqsha(1,1,1+FO45,FO46)),FO47)/30,FO46,FO47)</f>
        <v>#VALUE!</v>
      </c>
      <c r="FP52" s="962" t="e">
        <f>[1]!bodmoadal(1,1,(FP45+1),[1]!qsn([1]!ml([1]!taqsha(1,1,1+FP45,FP46)),FP47)/30,FP46,FP47)</f>
        <v>#VALUE!</v>
      </c>
      <c r="FQ52" s="962" t="e">
        <f>[1]!bodmoadal(1,1,(FQ45+1),[1]!qsn([1]!ml([1]!taqsha(1,1,1+FQ45,FQ46)),FQ47)/30,FQ46,FQ47)</f>
        <v>#VALUE!</v>
      </c>
      <c r="FR52" s="962" t="e">
        <f>[1]!bodmoadal(1,1,(FR45+1),[1]!qsn([1]!ml([1]!taqsha(1,1,1+FR45,FR46)),FR47)/30,FR46,FR47)</f>
        <v>#VALUE!</v>
      </c>
      <c r="FS52" s="962" t="e">
        <f>[1]!bodmoadal(1,1,(FS45+1),[1]!qsn([1]!ml([1]!taqsha(1,1,1+FS45,FS46)),FS47)/30,FS46,FS47)</f>
        <v>#VALUE!</v>
      </c>
      <c r="FT52" s="962" t="e">
        <f>[1]!bodmoadal(1,1,(FT45+1),[1]!qsn([1]!ml([1]!taqsha(1,1,1+FT45,FT46)),FT47)/30,FT46,FT47)</f>
        <v>#VALUE!</v>
      </c>
      <c r="FU52" s="962" t="e">
        <f>[1]!bodmoadal(1,1,(FU45+1),[1]!qsn([1]!ml([1]!taqsha(1,1,1+FU45,FU46)),FU47)/30,FU46,FU47)</f>
        <v>#VALUE!</v>
      </c>
      <c r="FV52" s="962" t="e">
        <f>[1]!bodmoadal(1,1,(FV45+1),[1]!qsn([1]!ml([1]!taqsha(1,1,1+FV45,FV46)),FV47)/30,FV46,FV47)</f>
        <v>#VALUE!</v>
      </c>
      <c r="FW52" s="962" t="e">
        <f>[1]!bodmoadal(1,1,(FW45+1),[1]!qsn([1]!ml([1]!taqsha(1,1,1+FW45,FW46)),FW47)/30,FW46,FW47)</f>
        <v>#VALUE!</v>
      </c>
      <c r="FX52" s="962" t="e">
        <f>[1]!bodmoadal(1,1,(FX45+1),[1]!qsn([1]!ml([1]!taqsha(1,1,1+FX45,FX46)),FX47)/30,FX46,FX47)</f>
        <v>#VALUE!</v>
      </c>
      <c r="FY52" s="962" t="e">
        <f>[1]!bodmoadal(1,1,(FY45+1),[1]!qsn([1]!ml([1]!taqsha(1,1,1+FY45,FY46)),FY47)/30,FY46,FY47)</f>
        <v>#VALUE!</v>
      </c>
      <c r="FZ52" s="962" t="e">
        <f>[1]!bodmoadal(1,1,(FZ45+1),[1]!qsn([1]!ml([1]!taqsha(1,1,1+FZ45,FZ46)),FZ47)/30,FZ46,FZ47)</f>
        <v>#VALUE!</v>
      </c>
      <c r="GA52" s="962" t="e">
        <f>[1]!bodmoadal(1,1,(GA45+1),[1]!qsn([1]!ml([1]!taqsha(1,1,1+GA45,GA46)),GA47)/30,GA46,GA47)</f>
        <v>#VALUE!</v>
      </c>
      <c r="GB52" s="962" t="e">
        <f>[1]!bodmoadal(1,1,(GB45+1),[1]!qsn([1]!ml([1]!taqsha(1,1,1+GB45,GB46)),GB47)/30,GB46,GB47)</f>
        <v>#VALUE!</v>
      </c>
      <c r="GC52" s="962" t="e">
        <f>[1]!bodmoadal(1,1,(GC45+1),[1]!qsn([1]!ml([1]!taqsha(1,1,1+GC45,GC46)),GC47)/30,GC46,GC47)</f>
        <v>#VALUE!</v>
      </c>
      <c r="GD52" s="962" t="e">
        <f>[1]!bodmoadal(1,1,(GD45+1),[1]!qsn([1]!ml([1]!taqsha(1,1,1+GD45,GD46)),GD47)/30,GD46,GD47)</f>
        <v>#VALUE!</v>
      </c>
      <c r="GE52" s="962" t="e">
        <f>[1]!bodmoadal(1,1,(GE45+1),[1]!qsn([1]!ml([1]!taqsha(1,1,1+GE45,GE46)),GE47)/30,GE46,GE47)</f>
        <v>#VALUE!</v>
      </c>
      <c r="GF52" s="962" t="e">
        <f>[1]!bodmoadal(1,1,(GF45+1),[1]!qsn([1]!ml([1]!taqsha(1,1,1+GF45,GF46)),GF47)/30,GF46,GF47)</f>
        <v>#VALUE!</v>
      </c>
      <c r="GG52" s="962" t="e">
        <f>[1]!bodmoadal(1,1,(GG45+1),[1]!qsn([1]!ml([1]!taqsha(1,1,1+GG45,GG46)),GG47)/30,GG46,GG47)</f>
        <v>#VALUE!</v>
      </c>
      <c r="GH52" s="962" t="e">
        <f>[1]!bodmoadal(1,1,(GH45+1),[1]!qsn([1]!ml([1]!taqsha(1,1,1+GH45,GH46)),GH47)/30,GH46,GH47)</f>
        <v>#VALUE!</v>
      </c>
      <c r="GI52" s="962" t="e">
        <f>[1]!bodmoadal(1,1,(GI45+1),[1]!qsn([1]!ml([1]!taqsha(1,1,1+GI45,GI46)),GI47)/30,GI46,GI47)</f>
        <v>#VALUE!</v>
      </c>
      <c r="GJ52" s="962" t="e">
        <f>[1]!bodmoadal(1,1,(GJ45+1),[1]!qsn([1]!ml([1]!taqsha(1,1,1+GJ45,GJ46)),GJ47)/30,GJ46,GJ47)</f>
        <v>#VALUE!</v>
      </c>
      <c r="GK52" s="962" t="e">
        <f>[1]!bodmoadal(1,1,(GK45+1),[1]!qsn([1]!ml([1]!taqsha(1,1,1+GK45,GK46)),GK47)/30,GK46,GK47)</f>
        <v>#VALUE!</v>
      </c>
      <c r="GL52" s="962" t="e">
        <f>[1]!bodmoadal(1,1,(GL45+1),[1]!qsn([1]!ml([1]!taqsha(1,1,1+GL45,GL46)),GL47)/30,GL46,GL47)</f>
        <v>#VALUE!</v>
      </c>
      <c r="GM52" s="962" t="e">
        <f>[1]!bodmoadal(1,1,(GM45+1),[1]!qsn([1]!ml([1]!taqsha(1,1,1+GM45,GM46)),GM47)/30,GM46,GM47)</f>
        <v>#VALUE!</v>
      </c>
      <c r="GN52" s="962" t="e">
        <f>[1]!bodmoadal(1,1,(GN45+1),[1]!qsn([1]!ml([1]!taqsha(1,1,1+GN45,GN46)),GN47)/30,GN46,GN47)</f>
        <v>#VALUE!</v>
      </c>
      <c r="GO52" s="962" t="e">
        <f>[1]!bodmoadal(1,1,(GO45+1),[1]!qsn([1]!ml([1]!taqsha(1,1,1+GO45,GO46)),GO47)/30,GO46,GO47)</f>
        <v>#VALUE!</v>
      </c>
      <c r="GP52" s="962" t="e">
        <f>[1]!bodmoadal(1,1,(GP45+1),[1]!qsn([1]!ml([1]!taqsha(1,1,1+GP45,GP46)),GP47)/30,GP46,GP47)</f>
        <v>#VALUE!</v>
      </c>
      <c r="GQ52" s="962" t="e">
        <f>[1]!bodmoadal(1,1,(GQ45+1),[1]!qsn([1]!ml([1]!taqsha(1,1,1+GQ45,GQ46)),GQ47)/30,GQ46,GQ47)</f>
        <v>#VALUE!</v>
      </c>
      <c r="GR52" s="962" t="e">
        <f>[1]!bodmoadal(1,1,(GR45+1),[1]!qsn([1]!ml([1]!taqsha(1,1,1+GR45,GR46)),GR47)/30,GR46,GR47)</f>
        <v>#VALUE!</v>
      </c>
      <c r="GS52" s="962" t="e">
        <f>[1]!bodmoadal(1,1,(GS45+1),[1]!qsn([1]!ml([1]!taqsha(1,1,1+GS45,GS46)),GS47)/30,GS46,GS47)</f>
        <v>#VALUE!</v>
      </c>
      <c r="GT52" s="962" t="e">
        <f>[1]!bodmoadal(1,1,(GT45+1),[1]!qsn([1]!ml([1]!taqsha(1,1,1+GT45,GT46)),GT47)/30,GT46,GT47)</f>
        <v>#VALUE!</v>
      </c>
      <c r="GU52" s="962" t="e">
        <f>[1]!bodmoadal(1,1,(GU45+1),[1]!qsn([1]!ml([1]!taqsha(1,1,1+GU45,GU46)),GU47)/30,GU46,GU47)</f>
        <v>#VALUE!</v>
      </c>
      <c r="GV52" s="962" t="e">
        <f>[1]!bodmoadal(1,1,(GV45+1),[1]!qsn([1]!ml([1]!taqsha(1,1,1+GV45,GV46)),GV47)/30,GV46,GV47)</f>
        <v>#VALUE!</v>
      </c>
      <c r="GW52" s="962" t="e">
        <f>[1]!bodmoadal(1,1,(GW45+1),[1]!qsn([1]!ml([1]!taqsha(1,1,1+GW45,GW46)),GW47)/30,GW46,GW47)</f>
        <v>#VALUE!</v>
      </c>
      <c r="GX52" s="962" t="e">
        <f>[1]!bodmoadal(1,1,(GX45+1),[1]!qsn([1]!ml([1]!taqsha(1,1,1+GX45,GX46)),GX47)/30,GX46,GX47)</f>
        <v>#VALUE!</v>
      </c>
      <c r="GY52" s="962" t="e">
        <f>[1]!bodmoadal(1,1,(GY45+1),[1]!qsn([1]!ml([1]!taqsha(1,1,1+GY45,GY46)),GY47)/30,GY46,GY47)</f>
        <v>#VALUE!</v>
      </c>
      <c r="GZ52" s="962" t="e">
        <f>[1]!bodmoadal(1,1,(GZ45+1),[1]!qsn([1]!ml([1]!taqsha(1,1,1+GZ45,GZ46)),GZ47)/30,GZ46,GZ47)</f>
        <v>#VALUE!</v>
      </c>
      <c r="HA52" s="962" t="e">
        <f>[1]!bodmoadal(1,1,(HA45+1),[1]!qsn([1]!ml([1]!taqsha(1,1,1+HA45,HA46)),HA47)/30,HA46,HA47)</f>
        <v>#VALUE!</v>
      </c>
      <c r="HB52" s="962" t="e">
        <f>[1]!bodmoadal(1,1,(HB45+1),[1]!qsn([1]!ml([1]!taqsha(1,1,1+HB45,HB46)),HB47)/30,HB46,HB47)</f>
        <v>#VALUE!</v>
      </c>
      <c r="HC52" s="962" t="e">
        <f>[1]!bodmoadal(1,1,(HC45+1),[1]!qsn([1]!ml([1]!taqsha(1,1,1+HC45,HC46)),HC47)/30,HC46,HC47)</f>
        <v>#VALUE!</v>
      </c>
      <c r="HD52" s="962" t="e">
        <f>[1]!bodmoadal(1,1,(HD45+1),[1]!qsn([1]!ml([1]!taqsha(1,1,1+HD45,HD46)),HD47)/30,HD46,HD47)</f>
        <v>#VALUE!</v>
      </c>
      <c r="HE52" s="962" t="e">
        <f>[1]!bodmoadal(1,1,(HE45+1),[1]!qsn([1]!ml([1]!taqsha(1,1,1+HE45,HE46)),HE47)/30,HE46,HE47)</f>
        <v>#VALUE!</v>
      </c>
      <c r="HF52" s="962" t="e">
        <f>[1]!bodmoadal(1,1,(HF45+1),[1]!qsn([1]!ml([1]!taqsha(1,1,1+HF45,HF46)),HF47)/30,HF46,HF47)</f>
        <v>#VALUE!</v>
      </c>
      <c r="HG52" s="962" t="e">
        <f>[1]!bodmoadal(1,1,(HG45+1),[1]!qsn([1]!ml([1]!taqsha(1,1,1+HG45,HG46)),HG47)/30,HG46,HG47)</f>
        <v>#VALUE!</v>
      </c>
      <c r="HH52" s="962" t="e">
        <f>[1]!bodmoadal(1,1,(HH45+1),[1]!qsn([1]!ml([1]!taqsha(1,1,1+HH45,HH46)),HH47)/30,HH46,HH47)</f>
        <v>#VALUE!</v>
      </c>
      <c r="HI52" s="962" t="e">
        <f>[1]!bodmoadal(1,1,(HI45+1),[1]!qsn([1]!ml([1]!taqsha(1,1,1+HI45,HI46)),HI47)/30,HI46,HI47)</f>
        <v>#VALUE!</v>
      </c>
      <c r="HJ52" s="962" t="e">
        <f>[1]!bodmoadal(1,1,(HJ45+1),[1]!qsn([1]!ml([1]!taqsha(1,1,1+HJ45,HJ46)),HJ47)/30,HJ46,HJ47)</f>
        <v>#VALUE!</v>
      </c>
      <c r="HK52" s="962" t="e">
        <f>[1]!bodmoadal(1,1,(HK45+1),[1]!qsn([1]!ml([1]!taqsha(1,1,1+HK45,HK46)),HK47)/30,HK46,HK47)</f>
        <v>#VALUE!</v>
      </c>
      <c r="HL52" s="962" t="e">
        <f>[1]!bodmoadal(1,1,(HL45+1),[1]!qsn([1]!ml([1]!taqsha(1,1,1+HL45,HL46)),HL47)/30,HL46,HL47)</f>
        <v>#VALUE!</v>
      </c>
      <c r="HM52" s="962" t="e">
        <f>[1]!bodmoadal(1,1,(HM45+1),[1]!qsn([1]!ml([1]!taqsha(1,1,1+HM45,HM46)),HM47)/30,HM46,HM47)</f>
        <v>#VALUE!</v>
      </c>
      <c r="HN52" s="962" t="e">
        <f>[1]!bodmoadal(1,1,(HN45+1),[1]!qsn([1]!ml([1]!taqsha(1,1,1+HN45,HN46)),HN47)/30,HN46,HN47)</f>
        <v>#VALUE!</v>
      </c>
      <c r="HO52" s="962" t="e">
        <f>[1]!bodmoadal(1,1,(HO45+1),[1]!qsn([1]!ml([1]!taqsha(1,1,1+HO45,HO46)),HO47)/30,HO46,HO47)</f>
        <v>#VALUE!</v>
      </c>
      <c r="HP52" s="962" t="e">
        <f>[1]!bodmoadal(1,1,(HP45+1),[1]!qsn([1]!ml([1]!taqsha(1,1,1+HP45,HP46)),HP47)/30,HP46,HP47)</f>
        <v>#VALUE!</v>
      </c>
      <c r="HQ52" s="962" t="e">
        <f>[1]!bodmoadal(1,1,(HQ45+1),[1]!qsn([1]!ml([1]!taqsha(1,1,1+HQ45,HQ46)),HQ47)/30,HQ46,HQ47)</f>
        <v>#VALUE!</v>
      </c>
      <c r="HR52" s="962" t="e">
        <f>[1]!bodmoadal(1,1,(HR45+1),[1]!qsn([1]!ml([1]!taqsha(1,1,1+HR45,HR46)),HR47)/30,HR46,HR47)</f>
        <v>#VALUE!</v>
      </c>
      <c r="HS52" s="962" t="e">
        <f>[1]!bodmoadal(1,1,(HS45+1),[1]!qsn([1]!ml([1]!taqsha(1,1,1+HS45,HS46)),HS47)/30,HS46,HS47)</f>
        <v>#VALUE!</v>
      </c>
      <c r="HT52" s="962" t="e">
        <f>[1]!bodmoadal(1,1,(HT45+1),[1]!qsn([1]!ml([1]!taqsha(1,1,1+HT45,HT46)),HT47)/30,HT46,HT47)</f>
        <v>#VALUE!</v>
      </c>
      <c r="HU52" s="962" t="e">
        <f>[1]!bodmoadal(1,1,(HU45+1),[1]!qsn([1]!ml([1]!taqsha(1,1,1+HU45,HU46)),HU47)/30,HU46,HU47)</f>
        <v>#VALUE!</v>
      </c>
      <c r="HV52" s="962" t="e">
        <f>[1]!bodmoadal(1,1,(HV45+1),[1]!qsn([1]!ml([1]!taqsha(1,1,1+HV45,HV46)),HV47)/30,HV46,HV47)</f>
        <v>#VALUE!</v>
      </c>
      <c r="HW52" s="962" t="e">
        <f>[1]!bodmoadal(1,1,(HW45+1),[1]!qsn([1]!ml([1]!taqsha(1,1,1+HW45,HW46)),HW47)/30,HW46,HW47)</f>
        <v>#VALUE!</v>
      </c>
      <c r="HX52" s="962" t="e">
        <f>[1]!bodmoadal(1,1,(HX45+1),[1]!qsn([1]!ml([1]!taqsha(1,1,1+HX45,HX46)),HX47)/30,HX46,HX47)</f>
        <v>#VALUE!</v>
      </c>
      <c r="HY52" s="962" t="e">
        <f>[1]!bodmoadal(1,1,(HY45+1),[1]!qsn([1]!ml([1]!taqsha(1,1,1+HY45,HY46)),HY47)/30,HY46,HY47)</f>
        <v>#VALUE!</v>
      </c>
      <c r="HZ52" s="962" t="e">
        <f>[1]!bodmoadal(1,1,(HZ45+1),[1]!qsn([1]!ml([1]!taqsha(1,1,1+HZ45,HZ46)),HZ47)/30,HZ46,HZ47)</f>
        <v>#VALUE!</v>
      </c>
      <c r="IA52" s="962" t="e">
        <f>[1]!bodmoadal(1,1,(IA45+1),[1]!qsn([1]!ml([1]!taqsha(1,1,1+IA45,IA46)),IA47)/30,IA46,IA47)</f>
        <v>#VALUE!</v>
      </c>
      <c r="IB52" s="962" t="e">
        <f>[1]!bodmoadal(1,1,(IB45+1),[1]!qsn([1]!ml([1]!taqsha(1,1,1+IB45,IB46)),IB47)/30,IB46,IB47)</f>
        <v>#VALUE!</v>
      </c>
      <c r="IC52" s="962" t="e">
        <f>[1]!bodmoadal(1,1,(IC45+1),[1]!qsn([1]!ml([1]!taqsha(1,1,1+IC45,IC46)),IC47)/30,IC46,IC47)</f>
        <v>#VALUE!</v>
      </c>
      <c r="ID52" s="962" t="e">
        <f>[1]!bodmoadal(1,1,(ID45+1),[1]!qsn([1]!ml([1]!taqsha(1,1,1+ID45,ID46)),ID47)/30,ID46,ID47)</f>
        <v>#VALUE!</v>
      </c>
      <c r="IE52" s="962" t="e">
        <f>[1]!bodmoadal(1,1,(IE45+1),[1]!qsn([1]!ml([1]!taqsha(1,1,1+IE45,IE46)),IE47)/30,IE46,IE47)</f>
        <v>#VALUE!</v>
      </c>
      <c r="IF52" s="962" t="e">
        <f>[1]!bodmoadal(1,1,(IF45+1),[1]!qsn([1]!ml([1]!taqsha(1,1,1+IF45,IF46)),IF47)/30,IF46,IF47)</f>
        <v>#VALUE!</v>
      </c>
      <c r="IG52" s="962" t="e">
        <f>[1]!bodmoadal(1,1,(IG45+1),[1]!qsn([1]!ml([1]!taqsha(1,1,1+IG45,IG46)),IG47)/30,IG46,IG47)</f>
        <v>#VALUE!</v>
      </c>
      <c r="IH52" s="962" t="e">
        <f>[1]!bodmoadal(1,1,(IH45+1),[1]!qsn([1]!ml([1]!taqsha(1,1,1+IH45,IH46)),IH47)/30,IH46,IH47)</f>
        <v>#VALUE!</v>
      </c>
      <c r="II52" s="962" t="e">
        <f>[1]!bodmoadal(1,1,(II45+1),[1]!qsn([1]!ml([1]!taqsha(1,1,1+II45,II46)),II47)/30,II46,II47)</f>
        <v>#VALUE!</v>
      </c>
      <c r="IJ52" s="962" t="e">
        <f>[1]!bodmoadal(1,1,(IJ45+1),[1]!qsn([1]!ml([1]!taqsha(1,1,1+IJ45,IJ46)),IJ47)/30,IJ46,IJ47)</f>
        <v>#VALUE!</v>
      </c>
      <c r="IK52" s="962" t="e">
        <f>[1]!bodmoadal(1,1,(IK45+1),[1]!qsn([1]!ml([1]!taqsha(1,1,1+IK45,IK46)),IK47)/30,IK46,IK47)</f>
        <v>#VALUE!</v>
      </c>
      <c r="IL52" s="962" t="e">
        <f>[1]!bodmoadal(1,1,(IL45+1),[1]!qsn([1]!ml([1]!taqsha(1,1,1+IL45,IL46)),IL47)/30,IL46,IL47)</f>
        <v>#VALUE!</v>
      </c>
      <c r="IM52" s="962" t="e">
        <f>[1]!bodmoadal(1,1,(IM45+1),[1]!qsn([1]!ml([1]!taqsha(1,1,1+IM45,IM46)),IM47)/30,IM46,IM47)</f>
        <v>#VALUE!</v>
      </c>
      <c r="IN52" s="962" t="e">
        <f>[1]!bodmoadal(1,1,(IN45+1),[1]!qsn([1]!ml([1]!taqsha(1,1,1+IN45,IN46)),IN47)/30,IN46,IN47)</f>
        <v>#VALUE!</v>
      </c>
      <c r="IO52" s="962" t="e">
        <f>[1]!bodmoadal(1,1,(IO45+1),[1]!qsn([1]!ml([1]!taqsha(1,1,1+IO45,IO46)),IO47)/30,IO46,IO47)</f>
        <v>#VALUE!</v>
      </c>
      <c r="IP52" s="962" t="e">
        <f>[1]!bodmoadal(1,1,(IP45+1),[1]!qsn([1]!ml([1]!taqsha(1,1,1+IP45,IP46)),IP47)/30,IP46,IP47)</f>
        <v>#VALUE!</v>
      </c>
      <c r="IQ52" s="962" t="e">
        <f>[1]!bodmoadal(1,1,(IQ45+1),[1]!qsn([1]!ml([1]!taqsha(1,1,1+IQ45,IQ46)),IQ47)/30,IQ46,IQ47)</f>
        <v>#VALUE!</v>
      </c>
      <c r="IR52" s="962" t="e">
        <f>[1]!bodmoadal(1,1,(IR45+1),[1]!qsn([1]!ml([1]!taqsha(1,1,1+IR45,IR46)),IR47)/30,IR46,IR47)</f>
        <v>#VALUE!</v>
      </c>
      <c r="IS52" s="962" t="e">
        <f>[1]!bodmoadal(1,1,(IS45+1),[1]!qsn([1]!ml([1]!taqsha(1,1,1+IS45,IS46)),IS47)/30,IS46,IS47)</f>
        <v>#VALUE!</v>
      </c>
      <c r="IT52" s="962" t="e">
        <f>[1]!bodmoadal(1,1,(IT45+1),[1]!qsn([1]!ml([1]!taqsha(1,1,1+IT45,IT46)),IT47)/30,IT46,IT47)</f>
        <v>#VALUE!</v>
      </c>
      <c r="IU52" s="962" t="e">
        <f>[1]!bodmoadal(1,1,(IU45+1),[1]!qsn([1]!ml([1]!taqsha(1,1,1+IU45,IU46)),IU47)/30,IU46,IU47)</f>
        <v>#VALUE!</v>
      </c>
      <c r="IV52" s="962" t="e">
        <f>[1]!bodmoadal(1,1,(IV45+1),[1]!qsn([1]!ml([1]!taqsha(1,1,1+IV45,IV46)),IV47)/30,IV46,IV47)</f>
        <v>#VALUE!</v>
      </c>
      <c r="IW52" s="962" t="e">
        <f>[1]!bodmoadal(1,1,(IW45+1),[1]!qsn([1]!ml([1]!taqsha(1,1,1+IW45,IW46)),IW47)/30,IW46,IW47)</f>
        <v>#VALUE!</v>
      </c>
      <c r="IX52" s="962" t="e">
        <f>[1]!bodmoadal(1,1,(IX45+1),[1]!qsn([1]!ml([1]!taqsha(1,1,1+IX45,IX46)),IX47)/30,IX46,IX47)</f>
        <v>#VALUE!</v>
      </c>
      <c r="IY52" s="962" t="e">
        <f>[1]!bodmoadal(1,1,(IY45+1),[1]!qsn([1]!ml([1]!taqsha(1,1,1+IY45,IY46)),IY47)/30,IY46,IY47)</f>
        <v>#VALUE!</v>
      </c>
      <c r="IZ52" s="962" t="e">
        <f>[1]!bodmoadal(1,1,(IZ45+1),[1]!qsn([1]!ml([1]!taqsha(1,1,1+IZ45,IZ46)),IZ47)/30,IZ46,IZ47)</f>
        <v>#VALUE!</v>
      </c>
      <c r="JA52" s="962" t="e">
        <f>[1]!bodmoadal(1,1,(JA45+1),[1]!qsn([1]!ml([1]!taqsha(1,1,1+JA45,JA46)),JA47)/30,JA46,JA47)</f>
        <v>#VALUE!</v>
      </c>
      <c r="JB52" s="962" t="e">
        <f>[1]!bodmoadal(1,1,(JB45+1),[1]!qsn([1]!ml([1]!taqsha(1,1,1+JB45,JB46)),JB47)/30,JB46,JB47)</f>
        <v>#VALUE!</v>
      </c>
      <c r="JC52" s="962" t="e">
        <f>[1]!bodmoadal(1,1,(JC45+1),[1]!qsn([1]!ml([1]!taqsha(1,1,1+JC45,JC46)),JC47)/30,JC46,JC47)</f>
        <v>#VALUE!</v>
      </c>
      <c r="JD52" s="962" t="e">
        <f>[1]!bodmoadal(1,1,(JD45+1),[1]!qsn([1]!ml([1]!taqsha(1,1,1+JD45,JD46)),JD47)/30,JD46,JD47)</f>
        <v>#VALUE!</v>
      </c>
      <c r="JE52" s="962" t="e">
        <f>[1]!bodmoadal(1,1,(JE45+1),[1]!qsn([1]!ml([1]!taqsha(1,1,1+JE45,JE46)),JE47)/30,JE46,JE47)</f>
        <v>#VALUE!</v>
      </c>
      <c r="JF52" s="962" t="e">
        <f>[1]!bodmoadal(1,1,(JF45+1),[1]!qsn([1]!ml([1]!taqsha(1,1,1+JF45,JF46)),JF47)/30,JF46,JF47)</f>
        <v>#VALUE!</v>
      </c>
      <c r="JG52" s="962" t="e">
        <f>[1]!bodmoadal(1,1,(JG45+1),[1]!qsn([1]!ml([1]!taqsha(1,1,1+JG45,JG46)),JG47)/30,JG46,JG47)</f>
        <v>#VALUE!</v>
      </c>
      <c r="JH52" s="962" t="e">
        <f>[1]!bodmoadal(1,1,(JH45+1),[1]!qsn([1]!ml([1]!taqsha(1,1,1+JH45,JH46)),JH47)/30,JH46,JH47)</f>
        <v>#VALUE!</v>
      </c>
      <c r="JI52" s="962" t="e">
        <f>[1]!bodmoadal(1,1,(JI45+1),[1]!qsn([1]!ml([1]!taqsha(1,1,1+JI45,JI46)),JI47)/30,JI46,JI47)</f>
        <v>#VALUE!</v>
      </c>
      <c r="JJ52" s="962" t="e">
        <f>[1]!bodmoadal(1,1,(JJ45+1),[1]!qsn([1]!ml([1]!taqsha(1,1,1+JJ45,JJ46)),JJ47)/30,JJ46,JJ47)</f>
        <v>#VALUE!</v>
      </c>
      <c r="JK52" s="962" t="e">
        <f>[1]!bodmoadal(1,1,(JK45+1),[1]!qsn([1]!ml([1]!taqsha(1,1,1+JK45,JK46)),JK47)/30,JK46,JK47)</f>
        <v>#VALUE!</v>
      </c>
      <c r="JL52" s="962" t="e">
        <f>[1]!bodmoadal(1,1,(JL45+1),[1]!qsn([1]!ml([1]!taqsha(1,1,1+JL45,JL46)),JL47)/30,JL46,JL47)</f>
        <v>#VALUE!</v>
      </c>
      <c r="JM52" s="962" t="e">
        <f>[1]!bodmoadal(1,1,(JM45+1),[1]!qsn([1]!ml([1]!taqsha(1,1,1+JM45,JM46)),JM47)/30,JM46,JM47)</f>
        <v>#VALUE!</v>
      </c>
      <c r="JN52" s="962" t="e">
        <f>[1]!bodmoadal(1,1,(JN45+1),[1]!qsn([1]!ml([1]!taqsha(1,1,1+JN45,JN46)),JN47)/30,JN46,JN47)</f>
        <v>#VALUE!</v>
      </c>
      <c r="JO52" s="962" t="e">
        <f>[1]!bodmoadal(1,1,(JO45+1),[1]!qsn([1]!ml([1]!taqsha(1,1,1+JO45,JO46)),JO47)/30,JO46,JO47)</f>
        <v>#VALUE!</v>
      </c>
      <c r="JP52" s="962" t="e">
        <f>[1]!bodmoadal(1,1,(JP45+1),[1]!qsn([1]!ml([1]!taqsha(1,1,1+JP45,JP46)),JP47)/30,JP46,JP47)</f>
        <v>#VALUE!</v>
      </c>
      <c r="JQ52" s="962" t="e">
        <f>[1]!bodmoadal(1,1,(JQ45+1),[1]!qsn([1]!ml([1]!taqsha(1,1,1+JQ45,JQ46)),JQ47)/30,JQ46,JQ47)</f>
        <v>#VALUE!</v>
      </c>
      <c r="JR52" s="962" t="e">
        <f>[1]!bodmoadal(1,1,(JR45+1),[1]!qsn([1]!ml([1]!taqsha(1,1,1+JR45,JR46)),JR47)/30,JR46,JR47)</f>
        <v>#VALUE!</v>
      </c>
      <c r="JS52" s="962" t="e">
        <f>[1]!bodmoadal(1,1,(JS45+1),[1]!qsn([1]!ml([1]!taqsha(1,1,1+JS45,JS46)),JS47)/30,JS46,JS47)</f>
        <v>#VALUE!</v>
      </c>
      <c r="JT52" s="962" t="e">
        <f>[1]!bodmoadal(1,1,(JT45+1),[1]!qsn([1]!ml([1]!taqsha(1,1,1+JT45,JT46)),JT47)/30,JT46,JT47)</f>
        <v>#VALUE!</v>
      </c>
      <c r="JU52" s="962" t="e">
        <f>[1]!bodmoadal(1,1,(JU45+1),[1]!qsn([1]!ml([1]!taqsha(1,1,1+JU45,JU46)),JU47)/30,JU46,JU47)</f>
        <v>#VALUE!</v>
      </c>
      <c r="JV52" s="962" t="e">
        <f>[1]!bodmoadal(1,1,(JV45+1),[1]!qsn([1]!ml([1]!taqsha(1,1,1+JV45,JV46)),JV47)/30,JV46,JV47)</f>
        <v>#VALUE!</v>
      </c>
      <c r="JW52" s="962" t="e">
        <f>[1]!bodmoadal(1,1,(JW45+1),[1]!qsn([1]!ml([1]!taqsha(1,1,1+JW45,JW46)),JW47)/30,JW46,JW47)</f>
        <v>#VALUE!</v>
      </c>
      <c r="JX52" s="962" t="e">
        <f>[1]!bodmoadal(1,1,(JX45+1),[1]!qsn([1]!ml([1]!taqsha(1,1,1+JX45,JX46)),JX47)/30,JX46,JX47)</f>
        <v>#VALUE!</v>
      </c>
      <c r="JY52" s="962" t="e">
        <f>[1]!bodmoadal(1,1,(JY45+1),[1]!qsn([1]!ml([1]!taqsha(1,1,1+JY45,JY46)),JY47)/30,JY46,JY47)</f>
        <v>#VALUE!</v>
      </c>
      <c r="JZ52" s="962" t="e">
        <f>[1]!bodmoadal(1,1,(JZ45+1),[1]!qsn([1]!ml([1]!taqsha(1,1,1+JZ45,JZ46)),JZ47)/30,JZ46,JZ47)</f>
        <v>#VALUE!</v>
      </c>
      <c r="KA52" s="962" t="e">
        <f>[1]!bodmoadal(1,1,(KA45+1),[1]!qsn([1]!ml([1]!taqsha(1,1,1+KA45,KA46)),KA47)/30,KA46,KA47)</f>
        <v>#VALUE!</v>
      </c>
      <c r="KB52" s="962" t="e">
        <f>[1]!bodmoadal(1,1,(KB45+1),[1]!qsn([1]!ml([1]!taqsha(1,1,1+KB45,KB46)),KB47)/30,KB46,KB47)</f>
        <v>#VALUE!</v>
      </c>
      <c r="KC52" s="962" t="e">
        <f>[1]!bodmoadal(1,1,(KC45+1),[1]!qsn([1]!ml([1]!taqsha(1,1,1+KC45,KC46)),KC47)/30,KC46,KC47)</f>
        <v>#VALUE!</v>
      </c>
      <c r="KD52" s="962" t="e">
        <f>[1]!bodmoadal(1,1,(KD45+1),[1]!qsn([1]!ml([1]!taqsha(1,1,1+KD45,KD46)),KD47)/30,KD46,KD47)</f>
        <v>#VALUE!</v>
      </c>
      <c r="KE52" s="962" t="e">
        <f>[1]!bodmoadal(1,1,(KE45+1),[1]!qsn([1]!ml([1]!taqsha(1,1,1+KE45,KE46)),KE47)/30,KE46,KE47)</f>
        <v>#VALUE!</v>
      </c>
      <c r="KF52" s="962" t="e">
        <f>[1]!bodmoadal(1,1,(KF45+1),[1]!qsn([1]!ml([1]!taqsha(1,1,1+KF45,KF46)),KF47)/30,KF46,KF47)</f>
        <v>#VALUE!</v>
      </c>
      <c r="KG52" s="962" t="e">
        <f>[1]!bodmoadal(1,1,(KG45+1),[1]!qsn([1]!ml([1]!taqsha(1,1,1+KG45,KG46)),KG47)/30,KG46,KG47)</f>
        <v>#VALUE!</v>
      </c>
      <c r="KH52" s="962" t="e">
        <f>[1]!bodmoadal(1,1,(KH45+1),[1]!qsn([1]!ml([1]!taqsha(1,1,1+KH45,KH46)),KH47)/30,KH46,KH47)</f>
        <v>#VALUE!</v>
      </c>
      <c r="KI52" s="962" t="e">
        <f>[1]!bodmoadal(1,1,(KI45+1),[1]!qsn([1]!ml([1]!taqsha(1,1,1+KI45,KI46)),KI47)/30,KI46,KI47)</f>
        <v>#VALUE!</v>
      </c>
      <c r="KJ52" s="962" t="e">
        <f>[1]!bodmoadal(1,1,(KJ45+1),[1]!qsn([1]!ml([1]!taqsha(1,1,1+KJ45,KJ46)),KJ47)/30,KJ46,KJ47)</f>
        <v>#VALUE!</v>
      </c>
      <c r="KK52" s="962" t="e">
        <f>[1]!bodmoadal(1,1,(KK45+1),[1]!qsn([1]!ml([1]!taqsha(1,1,1+KK45,KK46)),KK47)/30,KK46,KK47)</f>
        <v>#VALUE!</v>
      </c>
      <c r="KL52" s="962" t="e">
        <f>[1]!bodmoadal(1,1,(KL45+1),[1]!qsn([1]!ml([1]!taqsha(1,1,1+KL45,KL46)),KL47)/30,KL46,KL47)</f>
        <v>#VALUE!</v>
      </c>
      <c r="KM52" s="962" t="e">
        <f>[1]!bodmoadal(1,1,(KM45+1),[1]!qsn([1]!ml([1]!taqsha(1,1,1+KM45,KM46)),KM47)/30,KM46,KM47)</f>
        <v>#VALUE!</v>
      </c>
      <c r="KN52" s="962" t="e">
        <f>[1]!bodmoadal(1,1,(KN45+1),[1]!qsn([1]!ml([1]!taqsha(1,1,1+KN45,KN46)),KN47)/30,KN46,KN47)</f>
        <v>#VALUE!</v>
      </c>
      <c r="KO52" s="962" t="e">
        <f>[1]!bodmoadal(1,1,(KO45+1),[1]!qsn([1]!ml([1]!taqsha(1,1,1+KO45,KO46)),KO47)/30,KO46,KO47)</f>
        <v>#VALUE!</v>
      </c>
      <c r="KP52" s="962" t="e">
        <f>[1]!bodmoadal(1,1,(KP45+1),[1]!qsn([1]!ml([1]!taqsha(1,1,1+KP45,KP46)),KP47)/30,KP46,KP47)</f>
        <v>#VALUE!</v>
      </c>
      <c r="KQ52" s="962" t="e">
        <f>[1]!bodmoadal(1,1,(KQ45+1),[1]!qsn([1]!ml([1]!taqsha(1,1,1+KQ45,KQ46)),KQ47)/30,KQ46,KQ47)</f>
        <v>#VALUE!</v>
      </c>
      <c r="KR52" s="962" t="e">
        <f>[1]!bodmoadal(1,1,(KR45+1),[1]!qsn([1]!ml([1]!taqsha(1,1,1+KR45,KR46)),KR47)/30,KR46,KR47)</f>
        <v>#VALUE!</v>
      </c>
      <c r="KS52" s="962" t="e">
        <f>[1]!bodmoadal(1,1,(KS45+1),[1]!qsn([1]!ml([1]!taqsha(1,1,1+KS45,KS46)),KS47)/30,KS46,KS47)</f>
        <v>#VALUE!</v>
      </c>
      <c r="KT52" s="962" t="e">
        <f>[1]!bodmoadal(1,1,(KT45+1),[1]!qsn([1]!ml([1]!taqsha(1,1,1+KT45,KT46)),KT47)/30,KT46,KT47)</f>
        <v>#VALUE!</v>
      </c>
      <c r="KU52" s="962" t="e">
        <f>[1]!bodmoadal(1,1,(KU45+1),[1]!qsn([1]!ml([1]!taqsha(1,1,1+KU45,KU46)),KU47)/30,KU46,KU47)</f>
        <v>#VALUE!</v>
      </c>
      <c r="KV52" s="962" t="e">
        <f>[1]!bodmoadal(1,1,(KV45+1),[1]!qsn([1]!ml([1]!taqsha(1,1,1+KV45,KV46)),KV47)/30,KV46,KV47)</f>
        <v>#VALUE!</v>
      </c>
      <c r="KW52" s="962" t="e">
        <f>[1]!bodmoadal(1,1,(KW45+1),[1]!qsn([1]!ml([1]!taqsha(1,1,1+KW45,KW46)),KW47)/30,KW46,KW47)</f>
        <v>#VALUE!</v>
      </c>
      <c r="KX52" s="962" t="e">
        <f>[1]!bodmoadal(1,1,(KX45+1),[1]!qsn([1]!ml([1]!taqsha(1,1,1+KX45,KX46)),KX47)/30,KX46,KX47)</f>
        <v>#VALUE!</v>
      </c>
      <c r="KY52" s="962" t="e">
        <f>[1]!bodmoadal(1,1,(KY45+1),[1]!qsn([1]!ml([1]!taqsha(1,1,1+KY45,KY46)),KY47)/30,KY46,KY47)</f>
        <v>#VALUE!</v>
      </c>
      <c r="KZ52" s="962" t="e">
        <f>[1]!bodmoadal(1,1,(KZ45+1),[1]!qsn([1]!ml([1]!taqsha(1,1,1+KZ45,KZ46)),KZ47)/30,KZ46,KZ47)</f>
        <v>#VALUE!</v>
      </c>
      <c r="LA52" s="962" t="e">
        <f>[1]!bodmoadal(1,1,(LA45+1),[1]!qsn([1]!ml([1]!taqsha(1,1,1+LA45,LA46)),LA47)/30,LA46,LA47)</f>
        <v>#VALUE!</v>
      </c>
      <c r="LB52" s="962" t="e">
        <f>[1]!bodmoadal(1,1,(LB45+1),[1]!qsn([1]!ml([1]!taqsha(1,1,1+LB45,LB46)),LB47)/30,LB46,LB47)</f>
        <v>#VALUE!</v>
      </c>
      <c r="LC52" s="962" t="e">
        <f>[1]!bodmoadal(1,1,(LC45+1),[1]!qsn([1]!ml([1]!taqsha(1,1,1+LC45,LC46)),LC47)/30,LC46,LC47)</f>
        <v>#VALUE!</v>
      </c>
      <c r="LD52" s="962" t="e">
        <f>[1]!bodmoadal(1,1,(LD45+1),[1]!qsn([1]!ml([1]!taqsha(1,1,1+LD45,LD46)),LD47)/30,LD46,LD47)</f>
        <v>#VALUE!</v>
      </c>
      <c r="LE52" s="962" t="e">
        <f>[1]!bodmoadal(1,1,(LE45+1),[1]!qsn([1]!ml([1]!taqsha(1,1,1+LE45,LE46)),LE47)/30,LE46,LE47)</f>
        <v>#VALUE!</v>
      </c>
      <c r="LF52" s="962" t="e">
        <f>[1]!bodmoadal(1,1,(LF45+1),[1]!qsn([1]!ml([1]!taqsha(1,1,1+LF45,LF46)),LF47)/30,LF46,LF47)</f>
        <v>#VALUE!</v>
      </c>
      <c r="LG52" s="962" t="e">
        <f>[1]!bodmoadal(1,1,(LG45+1),[1]!qsn([1]!ml([1]!taqsha(1,1,1+LG45,LG46)),LG47)/30,LG46,LG47)</f>
        <v>#VALUE!</v>
      </c>
      <c r="LH52" s="962" t="e">
        <f>[1]!bodmoadal(1,1,(LH45+1),[1]!qsn([1]!ml([1]!taqsha(1,1,1+LH45,LH46)),LH47)/30,LH46,LH47)</f>
        <v>#VALUE!</v>
      </c>
      <c r="LI52" s="962" t="e">
        <f>[1]!bodmoadal(1,1,(LI45+1),[1]!qsn([1]!ml([1]!taqsha(1,1,1+LI45,LI46)),LI47)/30,LI46,LI47)</f>
        <v>#VALUE!</v>
      </c>
      <c r="LJ52" s="962" t="e">
        <f>[1]!bodmoadal(1,1,(LJ45+1),[1]!qsn([1]!ml([1]!taqsha(1,1,1+LJ45,LJ46)),LJ47)/30,LJ46,LJ47)</f>
        <v>#VALUE!</v>
      </c>
      <c r="LK52" s="962" t="e">
        <f>[1]!bodmoadal(1,1,(LK45+1),[1]!qsn([1]!ml([1]!taqsha(1,1,1+LK45,LK46)),LK47)/30,LK46,LK47)</f>
        <v>#VALUE!</v>
      </c>
      <c r="LL52" s="962" t="e">
        <f>[1]!bodmoadal(1,1,(LL45+1),[1]!qsn([1]!ml([1]!taqsha(1,1,1+LL45,LL46)),LL47)/30,LL46,LL47)</f>
        <v>#VALUE!</v>
      </c>
      <c r="LM52" s="962" t="e">
        <f>[1]!bodmoadal(1,1,(LM45+1),[1]!qsn([1]!ml([1]!taqsha(1,1,1+LM45,LM46)),LM47)/30,LM46,LM47)</f>
        <v>#VALUE!</v>
      </c>
      <c r="LN52" s="962" t="e">
        <f>[1]!bodmoadal(1,1,(LN45+1),[1]!qsn([1]!ml([1]!taqsha(1,1,1+LN45,LN46)),LN47)/30,LN46,LN47)</f>
        <v>#VALUE!</v>
      </c>
      <c r="LO52" s="962" t="e">
        <f>[1]!bodmoadal(1,1,(LO45+1),[1]!qsn([1]!ml([1]!taqsha(1,1,1+LO45,LO46)),LO47)/30,LO46,LO47)</f>
        <v>#VALUE!</v>
      </c>
      <c r="LP52" s="962" t="e">
        <f>[1]!bodmoadal(1,1,(LP45+1),[1]!qsn([1]!ml([1]!taqsha(1,1,1+LP45,LP46)),LP47)/30,LP46,LP47)</f>
        <v>#VALUE!</v>
      </c>
      <c r="LQ52" s="962" t="e">
        <f>[1]!bodmoadal(1,1,(LQ45+1),[1]!qsn([1]!ml([1]!taqsha(1,1,1+LQ45,LQ46)),LQ47)/30,LQ46,LQ47)</f>
        <v>#VALUE!</v>
      </c>
      <c r="LR52" s="962" t="e">
        <f>[1]!bodmoadal(1,1,(LR45+1),[1]!qsn([1]!ml([1]!taqsha(1,1,1+LR45,LR46)),LR47)/30,LR46,LR47)</f>
        <v>#VALUE!</v>
      </c>
      <c r="LS52" s="962" t="e">
        <f>[1]!bodmoadal(1,1,(LS45+1),[1]!qsn([1]!ml([1]!taqsha(1,1,1+LS45,LS46)),LS47)/30,LS46,LS47)</f>
        <v>#VALUE!</v>
      </c>
      <c r="LT52" s="962" t="e">
        <f>[1]!bodmoadal(1,1,(LT45+1),[1]!qsn([1]!ml([1]!taqsha(1,1,1+LT45,LT46)),LT47)/30,LT46,LT47)</f>
        <v>#VALUE!</v>
      </c>
      <c r="LU52" s="962" t="e">
        <f>[1]!bodmoadal(1,1,(LU45+1),[1]!qsn([1]!ml([1]!taqsha(1,1,1+LU45,LU46)),LU47)/30,LU46,LU47)</f>
        <v>#VALUE!</v>
      </c>
      <c r="LV52" s="962" t="e">
        <f>[1]!bodmoadal(1,1,(LV45+1),[1]!qsn([1]!ml([1]!taqsha(1,1,1+LV45,LV46)),LV47)/30,LV46,LV47)</f>
        <v>#VALUE!</v>
      </c>
      <c r="LW52" s="962" t="e">
        <f>[1]!bodmoadal(1,1,(LW45+1),[1]!qsn([1]!ml([1]!taqsha(1,1,1+LW45,LW46)),LW47)/30,LW46,LW47)</f>
        <v>#VALUE!</v>
      </c>
      <c r="LX52" s="962" t="e">
        <f>[1]!bodmoadal(1,1,(LX45+1),[1]!qsn([1]!ml([1]!taqsha(1,1,1+LX45,LX46)),LX47)/30,LX46,LX47)</f>
        <v>#VALUE!</v>
      </c>
      <c r="LY52" s="962" t="e">
        <f>[1]!bodmoadal(1,1,(LY45+1),[1]!qsn([1]!ml([1]!taqsha(1,1,1+LY45,LY46)),LY47)/30,LY46,LY47)</f>
        <v>#VALUE!</v>
      </c>
      <c r="LZ52" s="962" t="e">
        <f>[1]!bodmoadal(1,1,(LZ45+1),[1]!qsn([1]!ml([1]!taqsha(1,1,1+LZ45,LZ46)),LZ47)/30,LZ46,LZ47)</f>
        <v>#VALUE!</v>
      </c>
      <c r="MA52" s="962" t="e">
        <f>[1]!bodmoadal(1,1,(MA45+1),[1]!qsn([1]!ml([1]!taqsha(1,1,1+MA45,MA46)),MA47)/30,MA46,MA47)</f>
        <v>#VALUE!</v>
      </c>
      <c r="MB52" s="962" t="e">
        <f>[1]!bodmoadal(1,1,(MB45+1),[1]!qsn([1]!ml([1]!taqsha(1,1,1+MB45,MB46)),MB47)/30,MB46,MB47)</f>
        <v>#VALUE!</v>
      </c>
      <c r="MC52" s="962" t="e">
        <f>[1]!bodmoadal(1,1,(MC45+1),[1]!qsn([1]!ml([1]!taqsha(1,1,1+MC45,MC46)),MC47)/30,MC46,MC47)</f>
        <v>#VALUE!</v>
      </c>
      <c r="MD52" s="962" t="e">
        <f>[1]!bodmoadal(1,1,(MD45+1),[1]!qsn([1]!ml([1]!taqsha(1,1,1+MD45,MD46)),MD47)/30,MD46,MD47)</f>
        <v>#VALUE!</v>
      </c>
      <c r="ME52" s="962" t="e">
        <f>[1]!bodmoadal(1,1,(ME45+1),[1]!qsn([1]!ml([1]!taqsha(1,1,1+ME45,ME46)),ME47)/30,ME46,ME47)</f>
        <v>#VALUE!</v>
      </c>
      <c r="MF52" s="962" t="e">
        <f>[1]!bodmoadal(1,1,(MF45+1),[1]!qsn([1]!ml([1]!taqsha(1,1,1+MF45,MF46)),MF47)/30,MF46,MF47)</f>
        <v>#VALUE!</v>
      </c>
      <c r="MG52" s="962" t="e">
        <f>[1]!bodmoadal(1,1,(MG45+1),[1]!qsn([1]!ml([1]!taqsha(1,1,1+MG45,MG46)),MG47)/30,MG46,MG47)</f>
        <v>#VALUE!</v>
      </c>
      <c r="MH52" s="962" t="e">
        <f>[1]!bodmoadal(1,1,(MH45+1),[1]!qsn([1]!ml([1]!taqsha(1,1,1+MH45,MH46)),MH47)/30,MH46,MH47)</f>
        <v>#VALUE!</v>
      </c>
      <c r="MI52" s="962" t="e">
        <f>[1]!bodmoadal(1,1,(MI45+1),[1]!qsn([1]!ml([1]!taqsha(1,1,1+MI45,MI46)),MI47)/30,MI46,MI47)</f>
        <v>#VALUE!</v>
      </c>
      <c r="MJ52" s="962" t="e">
        <f>[1]!bodmoadal(1,1,(MJ45+1),[1]!qsn([1]!ml([1]!taqsha(1,1,1+MJ45,MJ46)),MJ47)/30,MJ46,MJ47)</f>
        <v>#VALUE!</v>
      </c>
      <c r="MK52" s="962" t="e">
        <f>[1]!bodmoadal(1,1,(MK45+1),[1]!qsn([1]!ml([1]!taqsha(1,1,1+MK45,MK46)),MK47)/30,MK46,MK47)</f>
        <v>#VALUE!</v>
      </c>
      <c r="ML52" s="962" t="e">
        <f>[1]!bodmoadal(1,1,(ML45+1),[1]!qsn([1]!ml([1]!taqsha(1,1,1+ML45,ML46)),ML47)/30,ML46,ML47)</f>
        <v>#VALUE!</v>
      </c>
      <c r="MM52" s="962" t="e">
        <f>[1]!bodmoadal(1,1,(MM45+1),[1]!qsn([1]!ml([1]!taqsha(1,1,1+MM45,MM46)),MM47)/30,MM46,MM47)</f>
        <v>#VALUE!</v>
      </c>
      <c r="MN52" s="962" t="e">
        <f>[1]!bodmoadal(1,1,(MN45+1),[1]!qsn([1]!ml([1]!taqsha(1,1,1+MN45,MN46)),MN47)/30,MN46,MN47)</f>
        <v>#VALUE!</v>
      </c>
      <c r="MO52" s="962" t="e">
        <f>[1]!bodmoadal(1,1,(MO45+1),[1]!qsn([1]!ml([1]!taqsha(1,1,1+MO45,MO46)),MO47)/30,MO46,MO47)</f>
        <v>#VALUE!</v>
      </c>
      <c r="MP52" s="962" t="e">
        <f>[1]!bodmoadal(1,1,(MP45+1),[1]!qsn([1]!ml([1]!taqsha(1,1,1+MP45,MP46)),MP47)/30,MP46,MP47)</f>
        <v>#VALUE!</v>
      </c>
      <c r="MQ52" s="962" t="e">
        <f>[1]!bodmoadal(1,1,(MQ45+1),[1]!qsn([1]!ml([1]!taqsha(1,1,1+MQ45,MQ46)),MQ47)/30,MQ46,MQ47)</f>
        <v>#VALUE!</v>
      </c>
      <c r="MR52" s="962" t="e">
        <f>[1]!bodmoadal(1,1,(MR45+1),[1]!qsn([1]!ml([1]!taqsha(1,1,1+MR45,MR46)),MR47)/30,MR46,MR47)</f>
        <v>#VALUE!</v>
      </c>
      <c r="MS52" s="962" t="e">
        <f>[1]!bodmoadal(1,1,(MS45+1),[1]!qsn([1]!ml([1]!taqsha(1,1,1+MS45,MS46)),MS47)/30,MS46,MS47)</f>
        <v>#VALUE!</v>
      </c>
      <c r="MT52" s="962" t="e">
        <f>[1]!bodmoadal(1,1,(MT45+1),[1]!qsn([1]!ml([1]!taqsha(1,1,1+MT45,MT46)),MT47)/30,MT46,MT47)</f>
        <v>#VALUE!</v>
      </c>
      <c r="MU52" s="962" t="e">
        <f>[1]!bodmoadal(1,1,(MU45+1),[1]!qsn([1]!ml([1]!taqsha(1,1,1+MU45,MU46)),MU47)/30,MU46,MU47)</f>
        <v>#VALUE!</v>
      </c>
      <c r="MV52" s="962" t="e">
        <f>[1]!bodmoadal(1,1,(MV45+1),[1]!qsn([1]!ml([1]!taqsha(1,1,1+MV45,MV46)),MV47)/30,MV46,MV47)</f>
        <v>#VALUE!</v>
      </c>
      <c r="MW52" s="962" t="e">
        <f>[1]!bodmoadal(1,1,(MW45+1),[1]!qsn([1]!ml([1]!taqsha(1,1,1+MW45,MW46)),MW47)/30,MW46,MW47)</f>
        <v>#VALUE!</v>
      </c>
      <c r="MX52" s="962" t="e">
        <f>[1]!bodmoadal(1,1,(MX45+1),[1]!qsn([1]!ml([1]!taqsha(1,1,1+MX45,MX46)),MX47)/30,MX46,MX47)</f>
        <v>#VALUE!</v>
      </c>
      <c r="MY52" s="962" t="e">
        <f>[1]!bodmoadal(1,1,(MY45+1),[1]!qsn([1]!ml([1]!taqsha(1,1,1+MY45,MY46)),MY47)/30,MY46,MY47)</f>
        <v>#VALUE!</v>
      </c>
      <c r="MZ52" s="962" t="e">
        <f>[1]!bodmoadal(1,1,(MZ45+1),[1]!qsn([1]!ml([1]!taqsha(1,1,1+MZ45,MZ46)),MZ47)/30,MZ46,MZ47)</f>
        <v>#VALUE!</v>
      </c>
      <c r="NA52" s="962" t="e">
        <f>[1]!bodmoadal(1,1,(NA45+1),[1]!qsn([1]!ml([1]!taqsha(1,1,1+NA45,NA46)),NA47)/30,NA46,NA47)</f>
        <v>#VALUE!</v>
      </c>
      <c r="NB52" s="962" t="e">
        <f>[1]!bodmoadal(1,1,(NB45+1),[1]!qsn([1]!ml([1]!taqsha(1,1,1+NB45,NB46)),NB47)/30,NB46,NB47)</f>
        <v>#VALUE!</v>
      </c>
      <c r="NC52" s="962" t="e">
        <f>[1]!bodmoadal(1,1,(NC45+1),[1]!qsn([1]!ml([1]!taqsha(1,1,1+NC45,NC46)),NC47)/30,NC46,NC47)</f>
        <v>#VALUE!</v>
      </c>
      <c r="ND52" s="962" t="e">
        <f>[1]!bodmoadal(1,1,(ND45+1),[1]!qsn([1]!ml([1]!taqsha(1,1,1+ND45,ND46)),ND47)/30,ND46,ND47)</f>
        <v>#VALUE!</v>
      </c>
      <c r="NE52" s="962" t="e">
        <f>[1]!bodmoadal(1,1,(NE45+1),[1]!qsn([1]!ml([1]!taqsha(1,1,1+NE45,NE46)),NE47)/30,NE46,NE47)</f>
        <v>#VALUE!</v>
      </c>
      <c r="NF52" s="962" t="e">
        <f>[1]!bodmoadal(1,1,(NF45+1),[1]!qsn([1]!ml([1]!taqsha(1,1,1+NF45,NF46)),NF47)/30,NF46,NF47)</f>
        <v>#VALUE!</v>
      </c>
      <c r="NG52" s="962" t="e">
        <f>[1]!bodmoadal(1,1,(NG45+1),[1]!qsn([1]!ml([1]!taqsha(1,1,1+NG45,NG46)),NG47)/30,NG46,NG47)</f>
        <v>#VALUE!</v>
      </c>
      <c r="NH52" s="962" t="e">
        <f>[1]!bodmoadal(1,1,(NH45+1),[1]!qsn([1]!ml([1]!taqsha(1,1,1+NH45,NH46)),NH47)/30,NH46,NH47)</f>
        <v>#VALUE!</v>
      </c>
      <c r="NI52" s="962" t="e">
        <f>[1]!bodmoadal(1,1,(NI45+1),[1]!qsn([1]!ml([1]!taqsha(1,1,1+NI45,NI46)),NI47)/30,NI46,NI47)</f>
        <v>#VALUE!</v>
      </c>
      <c r="NJ52" s="962" t="e">
        <f>[1]!bodmoadal(1,1,(NJ45+1),[1]!qsn([1]!ml([1]!taqsha(1,1,1+NJ45,NJ46)),NJ47)/30,NJ46,NJ47)</f>
        <v>#VALUE!</v>
      </c>
      <c r="NK52" s="962" t="e">
        <f>[1]!bodmoadal(1,1,(NK45+1),[1]!qsn([1]!ml([1]!taqsha(1,1,1+NK45,NK46)),NK47)/30,NK46,NK47)</f>
        <v>#VALUE!</v>
      </c>
      <c r="NL52" s="962" t="e">
        <f>[1]!bodmoadal(1,1,(NL45+1),[1]!qsn([1]!ml([1]!taqsha(1,1,1+NL45,NL46)),NL47)/30,NL46,NL47)</f>
        <v>#VALUE!</v>
      </c>
      <c r="NM52" s="962" t="e">
        <f>[1]!bodmoadal(1,1,(NM45+1),[1]!qsn([1]!ml([1]!taqsha(1,1,1+NM45,NM46)),NM47)/30,NM46,NM47)</f>
        <v>#VALUE!</v>
      </c>
      <c r="NN52" s="962" t="e">
        <f>[1]!bodmoadal(1,1,(NN45+1),[1]!qsn([1]!ml([1]!taqsha(1,1,1+NN45,NN46)),NN47)/30,NN46,NN47)</f>
        <v>#VALUE!</v>
      </c>
      <c r="NO52" s="962" t="e">
        <f>[1]!bodmoadal(1,1,(NO45+1),[1]!qsn([1]!ml([1]!taqsha(1,1,1+NO45,NO46)),NO47)/30,NO46,NO47)</f>
        <v>#VALUE!</v>
      </c>
      <c r="NP52" s="962" t="e">
        <f>[1]!bodmoadal(1,1,(NP45+1),[1]!qsn([1]!ml([1]!taqsha(1,1,1+NP45,NP46)),NP47)/30,NP46,NP47)</f>
        <v>#VALUE!</v>
      </c>
      <c r="NQ52" s="962" t="e">
        <f>[1]!bodmoadal(1,1,(NQ45+1),[1]!qsn([1]!ml([1]!taqsha(1,1,1+NQ45,NQ46)),NQ47)/30,NQ46,NQ47)</f>
        <v>#VALUE!</v>
      </c>
      <c r="NR52" s="962" t="e">
        <f>[1]!bodmoadal(1,1,(NR45+1),[1]!qsn([1]!ml([1]!taqsha(1,1,1+NR45,NR46)),NR47)/30,NR46,NR47)</f>
        <v>#VALUE!</v>
      </c>
      <c r="NS52" s="962" t="e">
        <f>[1]!bodmoadal(1,1,(NS45+1),[1]!qsn([1]!ml([1]!taqsha(1,1,1+NS45,NS46)),NS47)/30,NS46,NS47)</f>
        <v>#VALUE!</v>
      </c>
      <c r="NT52" s="962" t="e">
        <f>[1]!bodmoadal(1,1,(NT45+1),[1]!qsn([1]!ml([1]!taqsha(1,1,1+NT45,NT46)),NT47)/30,NT46,NT47)</f>
        <v>#VALUE!</v>
      </c>
      <c r="NU52" s="962" t="e">
        <f>[1]!bodmoadal(1,1,(NU45+1),[1]!qsn([1]!ml([1]!taqsha(1,1,1+NU45,NU46)),NU47)/30,NU46,NU47)</f>
        <v>#VALUE!</v>
      </c>
      <c r="NV52" s="962" t="e">
        <f>[1]!bodmoadal(1,1,(NV45+1),[1]!qsn([1]!ml([1]!taqsha(1,1,1+NV45,NV46)),NV47)/30,NV46,NV47)</f>
        <v>#VALUE!</v>
      </c>
      <c r="NW52" s="962" t="e">
        <f>[1]!bodmoadal(1,1,(NW45+1),[1]!qsn([1]!ml([1]!taqsha(1,1,1+NW45,NW46)),NW47)/30,NW46,NW47)</f>
        <v>#VALUE!</v>
      </c>
      <c r="NX52" s="962" t="e">
        <f>[1]!bodmoadal(1,1,(NX45+1),[1]!qsn([1]!ml([1]!taqsha(1,1,1+NX45,NX46)),NX47)/30,NX46,NX47)</f>
        <v>#VALUE!</v>
      </c>
      <c r="NY52" s="962" t="e">
        <f>[1]!bodmoadal(1,1,(NY45+1),[1]!qsn([1]!ml([1]!taqsha(1,1,1+NY45,NY46)),NY47)/30,NY46,NY47)</f>
        <v>#VALUE!</v>
      </c>
      <c r="NZ52" s="962" t="e">
        <f>[1]!bodmoadal(1,1,(NZ45+1),[1]!qsn([1]!ml([1]!taqsha(1,1,1+NZ45,NZ46)),NZ47)/30,NZ46,NZ47)</f>
        <v>#VALUE!</v>
      </c>
      <c r="OA52" s="962" t="e">
        <f>[1]!bodmoadal(1,1,(OA45+1),[1]!qsn([1]!ml([1]!taqsha(1,1,1+OA45,OA46)),OA47)/30,OA46,OA47)</f>
        <v>#VALUE!</v>
      </c>
      <c r="OB52" s="962" t="e">
        <f>[1]!bodmoadal(1,1,(OB45+1),[1]!qsn([1]!ml([1]!taqsha(1,1,1+OB45,OB46)),OB47)/30,OB46,OB47)</f>
        <v>#VALUE!</v>
      </c>
      <c r="OC52" s="962" t="e">
        <f>[1]!bodmoadal(1,1,(OC45+1),[1]!qsn([1]!ml([1]!taqsha(1,1,1+OC45,OC46)),OC47)/30,OC46,OC47)</f>
        <v>#VALUE!</v>
      </c>
      <c r="OD52" s="962" t="e">
        <f>[1]!bodmoadal(1,1,(OD45+1),[1]!qsn([1]!ml([1]!taqsha(1,1,1+OD45,OD46)),OD47)/30,OD46,OD47)</f>
        <v>#VALUE!</v>
      </c>
      <c r="OE52" s="962" t="e">
        <f>[1]!bodmoadal(1,1,(OE45+1),[1]!qsn([1]!ml([1]!taqsha(1,1,1+OE45,OE46)),OE47)/30,OE46,OE47)</f>
        <v>#VALUE!</v>
      </c>
      <c r="OF52" s="962" t="e">
        <f>[1]!bodmoadal(1,1,(OF45+1),[1]!qsn([1]!ml([1]!taqsha(1,1,1+OF45,OF46)),OF47)/30,OF46,OF47)</f>
        <v>#VALUE!</v>
      </c>
      <c r="OG52" s="962" t="e">
        <f>[1]!bodmoadal(1,1,(OG45+1),[1]!qsn([1]!ml([1]!taqsha(1,1,1+OG45,OG46)),OG47)/30,OG46,OG47)</f>
        <v>#VALUE!</v>
      </c>
      <c r="OH52" s="962" t="e">
        <f>[1]!bodmoadal(1,1,(OH45+1),[1]!qsn([1]!ml([1]!taqsha(1,1,1+OH45,OH46)),OH47)/30,OH46,OH47)</f>
        <v>#VALUE!</v>
      </c>
      <c r="OI52" s="962" t="e">
        <f>[1]!bodmoadal(1,1,(OI45+1),[1]!qsn([1]!ml([1]!taqsha(1,1,1+OI45,OI46)),OI47)/30,OI46,OI47)</f>
        <v>#VALUE!</v>
      </c>
      <c r="OJ52" s="962" t="e">
        <f>[1]!bodmoadal(1,1,(OJ45+1),[1]!qsn([1]!ml([1]!taqsha(1,1,1+OJ45,OJ46)),OJ47)/30,OJ46,OJ47)</f>
        <v>#VALUE!</v>
      </c>
      <c r="OK52" s="962" t="e">
        <f>[1]!bodmoadal(1,1,(OK45+1),[1]!qsn([1]!ml([1]!taqsha(1,1,1+OK45,OK46)),OK47)/30,OK46,OK47)</f>
        <v>#VALUE!</v>
      </c>
      <c r="OL52" s="962" t="e">
        <f>[1]!bodmoadal(1,1,(OL45+1),[1]!qsn([1]!ml([1]!taqsha(1,1,1+OL45,OL46)),OL47)/30,OL46,OL47)</f>
        <v>#VALUE!</v>
      </c>
      <c r="OM52" s="962" t="e">
        <f>[1]!bodmoadal(1,1,(OM45+1),[1]!qsn([1]!ml([1]!taqsha(1,1,1+OM45,OM46)),OM47)/30,OM46,OM47)</f>
        <v>#VALUE!</v>
      </c>
      <c r="ON52" s="962" t="e">
        <f>[1]!bodmoadal(1,1,(ON45+1),[1]!qsn([1]!ml([1]!taqsha(1,1,1+ON45,ON46)),ON47)/30,ON46,ON47)</f>
        <v>#VALUE!</v>
      </c>
      <c r="OO52" s="962" t="e">
        <f>[1]!bodmoadal(1,1,(OO45+1),[1]!qsn([1]!ml([1]!taqsha(1,1,1+OO45,OO46)),OO47)/30,OO46,OO47)</f>
        <v>#VALUE!</v>
      </c>
      <c r="OP52" s="962" t="e">
        <f>[1]!bodmoadal(1,1,(OP45+1),[1]!qsn([1]!ml([1]!taqsha(1,1,1+OP45,OP46)),OP47)/30,OP46,OP47)</f>
        <v>#VALUE!</v>
      </c>
      <c r="OQ52" s="962" t="e">
        <f>[1]!bodmoadal(1,1,(OQ45+1),[1]!qsn([1]!ml([1]!taqsha(1,1,1+OQ45,OQ46)),OQ47)/30,OQ46,OQ47)</f>
        <v>#VALUE!</v>
      </c>
      <c r="OR52" s="962" t="e">
        <f>[1]!bodmoadal(1,1,(OR45+1),[1]!qsn([1]!ml([1]!taqsha(1,1,1+OR45,OR46)),OR47)/30,OR46,OR47)</f>
        <v>#VALUE!</v>
      </c>
      <c r="OS52" s="962" t="e">
        <f>[1]!bodmoadal(1,1,(OS45+1),[1]!qsn([1]!ml([1]!taqsha(1,1,1+OS45,OS46)),OS47)/30,OS46,OS47)</f>
        <v>#VALUE!</v>
      </c>
      <c r="OT52" s="962" t="e">
        <f>[1]!bodmoadal(1,1,(OT45+1),[1]!qsn([1]!ml([1]!taqsha(1,1,1+OT45,OT46)),OT47)/30,OT46,OT47)</f>
        <v>#VALUE!</v>
      </c>
      <c r="OU52" s="962" t="e">
        <f>[1]!bodmoadal(1,1,(OU45+1),[1]!qsn([1]!ml([1]!taqsha(1,1,1+OU45,OU46)),OU47)/30,OU46,OU47)</f>
        <v>#VALUE!</v>
      </c>
      <c r="OV52" s="962" t="e">
        <f>[1]!bodmoadal(1,1,(OV45+1),[1]!qsn([1]!ml([1]!taqsha(1,1,1+OV45,OV46)),OV47)/30,OV46,OV47)</f>
        <v>#VALUE!</v>
      </c>
      <c r="OW52" s="962" t="e">
        <f>[1]!bodmoadal(1,1,(OW45+1),[1]!qsn([1]!ml([1]!taqsha(1,1,1+OW45,OW46)),OW47)/30,OW46,OW47)</f>
        <v>#VALUE!</v>
      </c>
      <c r="OX52" s="962" t="e">
        <f>[1]!bodmoadal(1,1,(OX45+1),[1]!qsn([1]!ml([1]!taqsha(1,1,1+OX45,OX46)),OX47)/30,OX46,OX47)</f>
        <v>#VALUE!</v>
      </c>
      <c r="OY52" s="962" t="e">
        <f>[1]!bodmoadal(1,1,(OY45+1),[1]!qsn([1]!ml([1]!taqsha(1,1,1+OY45,OY46)),OY47)/30,OY46,OY47)</f>
        <v>#VALUE!</v>
      </c>
      <c r="OZ52" s="962" t="e">
        <f>[1]!bodmoadal(1,1,(OZ45+1),[1]!qsn([1]!ml([1]!taqsha(1,1,1+OZ45,OZ46)),OZ47)/30,OZ46,OZ47)</f>
        <v>#VALUE!</v>
      </c>
      <c r="PA52" s="962" t="e">
        <f>[1]!bodmoadal(1,1,(PA45+1),[1]!qsn([1]!ml([1]!taqsha(1,1,1+PA45,PA46)),PA47)/30,PA46,PA47)</f>
        <v>#VALUE!</v>
      </c>
      <c r="PB52" s="962" t="e">
        <f>[1]!bodmoadal(1,1,(PB45+1),[1]!qsn([1]!ml([1]!taqsha(1,1,1+PB45,PB46)),PB47)/30,PB46,PB47)</f>
        <v>#VALUE!</v>
      </c>
      <c r="PC52" s="962" t="e">
        <f>[1]!bodmoadal(1,1,(PC45+1),[1]!qsn([1]!ml([1]!taqsha(1,1,1+PC45,PC46)),PC47)/30,PC46,PC47)</f>
        <v>#VALUE!</v>
      </c>
      <c r="PD52" s="962" t="e">
        <f>[1]!bodmoadal(1,1,(PD45+1),[1]!qsn([1]!ml([1]!taqsha(1,1,1+PD45,PD46)),PD47)/30,PD46,PD47)</f>
        <v>#VALUE!</v>
      </c>
      <c r="PE52" s="962" t="e">
        <f>[1]!bodmoadal(1,1,(PE45+1),[1]!qsn([1]!ml([1]!taqsha(1,1,1+PE45,PE46)),PE47)/30,PE46,PE47)</f>
        <v>#VALUE!</v>
      </c>
      <c r="PF52" s="962" t="e">
        <f>[1]!bodmoadal(1,1,(PF45+1),[1]!qsn([1]!ml([1]!taqsha(1,1,1+PF45,PF46)),PF47)/30,PF46,PF47)</f>
        <v>#VALUE!</v>
      </c>
      <c r="PG52" s="962" t="e">
        <f>[1]!bodmoadal(1,1,(PG45+1),[1]!qsn([1]!ml([1]!taqsha(1,1,1+PG45,PG46)),PG47)/30,PG46,PG47)</f>
        <v>#VALUE!</v>
      </c>
      <c r="PH52" s="962" t="e">
        <f>[1]!bodmoadal(1,1,(PH45+1),[1]!qsn([1]!ml([1]!taqsha(1,1,1+PH45,PH46)),PH47)/30,PH46,PH47)</f>
        <v>#VALUE!</v>
      </c>
      <c r="PI52" s="962" t="e">
        <f>[1]!bodmoadal(1,1,(PI45+1),[1]!qsn([1]!ml([1]!taqsha(1,1,1+PI45,PI46)),PI47)/30,PI46,PI47)</f>
        <v>#VALUE!</v>
      </c>
      <c r="PJ52" s="962" t="e">
        <f>[1]!bodmoadal(1,1,(PJ45+1),[1]!qsn([1]!ml([1]!taqsha(1,1,1+PJ45,PJ46)),PJ47)/30,PJ46,PJ47)</f>
        <v>#VALUE!</v>
      </c>
      <c r="PK52" s="962" t="e">
        <f>[1]!bodmoadal(1,1,(PK45+1),[1]!qsn([1]!ml([1]!taqsha(1,1,1+PK45,PK46)),PK47)/30,PK46,PK47)</f>
        <v>#VALUE!</v>
      </c>
      <c r="PL52" s="962" t="e">
        <f>[1]!bodmoadal(1,1,(PL45+1),[1]!qsn([1]!ml([1]!taqsha(1,1,1+PL45,PL46)),PL47)/30,PL46,PL47)</f>
        <v>#VALUE!</v>
      </c>
      <c r="PM52" s="962" t="e">
        <f>[1]!bodmoadal(1,1,(PM45+1),[1]!qsn([1]!ml([1]!taqsha(1,1,1+PM45,PM46)),PM47)/30,PM46,PM47)</f>
        <v>#VALUE!</v>
      </c>
      <c r="PN52" s="962" t="e">
        <f>[1]!bodmoadal(1,1,(PN45+1),[1]!qsn([1]!ml([1]!taqsha(1,1,1+PN45,PN46)),PN47)/30,PN46,PN47)</f>
        <v>#VALUE!</v>
      </c>
      <c r="PO52" s="962" t="e">
        <f>[1]!bodmoadal(1,1,(PO45+1),[1]!qsn([1]!ml([1]!taqsha(1,1,1+PO45,PO46)),PO47)/30,PO46,PO47)</f>
        <v>#VALUE!</v>
      </c>
      <c r="PP52" s="962" t="e">
        <f>[1]!bodmoadal(1,1,(PP45+1),[1]!qsn([1]!ml([1]!taqsha(1,1,1+PP45,PP46)),PP47)/30,PP46,PP47)</f>
        <v>#VALUE!</v>
      </c>
      <c r="PQ52" s="962" t="e">
        <f>[1]!bodmoadal(1,1,(PQ45+1),[1]!qsn([1]!ml([1]!taqsha(1,1,1+PQ45,PQ46)),PQ47)/30,PQ46,PQ47)</f>
        <v>#VALUE!</v>
      </c>
      <c r="PR52" s="962" t="e">
        <f>[1]!bodmoadal(1,1,(PR45+1),[1]!qsn([1]!ml([1]!taqsha(1,1,1+PR45,PR46)),PR47)/30,PR46,PR47)</f>
        <v>#VALUE!</v>
      </c>
      <c r="PS52" s="962" t="e">
        <f>[1]!bodmoadal(1,1,(PS45+1),[1]!qsn([1]!ml([1]!taqsha(1,1,1+PS45,PS46)),PS47)/30,PS46,PS47)</f>
        <v>#VALUE!</v>
      </c>
      <c r="PT52" s="962" t="e">
        <f>[1]!bodmoadal(1,1,(PT45+1),[1]!qsn([1]!ml([1]!taqsha(1,1,1+PT45,PT46)),PT47)/30,PT46,PT47)</f>
        <v>#VALUE!</v>
      </c>
      <c r="PU52" s="962" t="e">
        <f>[1]!bodmoadal(1,1,(PU45+1),[1]!qsn([1]!ml([1]!taqsha(1,1,1+PU45,PU46)),PU47)/30,PU46,PU47)</f>
        <v>#VALUE!</v>
      </c>
      <c r="PV52" s="962" t="e">
        <f>[1]!bodmoadal(1,1,(PV45+1),[1]!qsn([1]!ml([1]!taqsha(1,1,1+PV45,PV46)),PV47)/30,PV46,PV47)</f>
        <v>#VALUE!</v>
      </c>
      <c r="PW52" s="962" t="e">
        <f>[1]!bodmoadal(1,1,(PW45+1),[1]!qsn([1]!ml([1]!taqsha(1,1,1+PW45,PW46)),PW47)/30,PW46,PW47)</f>
        <v>#VALUE!</v>
      </c>
      <c r="PX52" s="962" t="e">
        <f>[1]!bodmoadal(1,1,(PX45+1),[1]!qsn([1]!ml([1]!taqsha(1,1,1+PX45,PX46)),PX47)/30,PX46,PX47)</f>
        <v>#VALUE!</v>
      </c>
      <c r="PY52" s="962" t="e">
        <f>[1]!bodmoadal(1,1,(PY45+1),[1]!qsn([1]!ml([1]!taqsha(1,1,1+PY45,PY46)),PY47)/30,PY46,PY47)</f>
        <v>#VALUE!</v>
      </c>
      <c r="PZ52" s="962" t="e">
        <f>[1]!bodmoadal(1,1,(PZ45+1),[1]!qsn([1]!ml([1]!taqsha(1,1,1+PZ45,PZ46)),PZ47)/30,PZ46,PZ47)</f>
        <v>#VALUE!</v>
      </c>
      <c r="QA52" s="962" t="e">
        <f>[1]!bodmoadal(1,1,(QA45+1),[1]!qsn([1]!ml([1]!taqsha(1,1,1+QA45,QA46)),QA47)/30,QA46,QA47)</f>
        <v>#VALUE!</v>
      </c>
      <c r="QB52" s="962" t="e">
        <f>[1]!bodmoadal(1,1,(QB45+1),[1]!qsn([1]!ml([1]!taqsha(1,1,1+QB45,QB46)),QB47)/30,QB46,QB47)</f>
        <v>#VALUE!</v>
      </c>
      <c r="QC52" s="962" t="e">
        <f>[1]!bodmoadal(1,1,(QC45+1),[1]!qsn([1]!ml([1]!taqsha(1,1,1+QC45,QC46)),QC47)/30,QC46,QC47)</f>
        <v>#VALUE!</v>
      </c>
      <c r="QD52" s="962" t="e">
        <f>[1]!bodmoadal(1,1,(QD45+1),[1]!qsn([1]!ml([1]!taqsha(1,1,1+QD45,QD46)),QD47)/30,QD46,QD47)</f>
        <v>#VALUE!</v>
      </c>
      <c r="QE52" s="962" t="e">
        <f>[1]!bodmoadal(1,1,(QE45+1),[1]!qsn([1]!ml([1]!taqsha(1,1,1+QE45,QE46)),QE47)/30,QE46,QE47)</f>
        <v>#VALUE!</v>
      </c>
      <c r="QF52" s="962" t="e">
        <f>[1]!bodmoadal(1,1,(QF45+1),[1]!qsn([1]!ml([1]!taqsha(1,1,1+QF45,QF46)),QF47)/30,QF46,QF47)</f>
        <v>#VALUE!</v>
      </c>
      <c r="QG52" s="962" t="e">
        <f>[1]!bodmoadal(1,1,(QG45+1),[1]!qsn([1]!ml([1]!taqsha(1,1,1+QG45,QG46)),QG47)/30,QG46,QG47)</f>
        <v>#VALUE!</v>
      </c>
      <c r="QH52" s="962" t="e">
        <f>[1]!bodmoadal(1,1,(QH45+1),[1]!qsn([1]!ml([1]!taqsha(1,1,1+QH45,QH46)),QH47)/30,QH46,QH47)</f>
        <v>#VALUE!</v>
      </c>
      <c r="QI52" s="962" t="e">
        <f>[1]!bodmoadal(1,1,(QI45+1),[1]!qsn([1]!ml([1]!taqsha(1,1,1+QI45,QI46)),QI47)/30,QI46,QI47)</f>
        <v>#VALUE!</v>
      </c>
      <c r="QJ52" s="962" t="e">
        <f>[1]!bodmoadal(1,1,(QJ45+1),[1]!qsn([1]!ml([1]!taqsha(1,1,1+QJ45,QJ46)),QJ47)/30,QJ46,QJ47)</f>
        <v>#VALUE!</v>
      </c>
      <c r="QK52" s="962" t="e">
        <f>[1]!bodmoadal(1,1,(QK45+1),[1]!qsn([1]!ml([1]!taqsha(1,1,1+QK45,QK46)),QK47)/30,QK46,QK47)</f>
        <v>#VALUE!</v>
      </c>
      <c r="QL52" s="962" t="e">
        <f>[1]!bodmoadal(1,1,(QL45+1),[1]!qsn([1]!ml([1]!taqsha(1,1,1+QL45,QL46)),QL47)/30,QL46,QL47)</f>
        <v>#VALUE!</v>
      </c>
      <c r="QM52" s="962" t="e">
        <f>[1]!bodmoadal(1,1,(QM45+1),[1]!qsn([1]!ml([1]!taqsha(1,1,1+QM45,QM46)),QM47)/30,QM46,QM47)</f>
        <v>#VALUE!</v>
      </c>
      <c r="QN52" s="962" t="e">
        <f>[1]!bodmoadal(1,1,(QN45+1),[1]!qsn([1]!ml([1]!taqsha(1,1,1+QN45,QN46)),QN47)/30,QN46,QN47)</f>
        <v>#VALUE!</v>
      </c>
      <c r="QO52" s="962" t="e">
        <f>[1]!bodmoadal(1,1,(QO45+1),[1]!qsn([1]!ml([1]!taqsha(1,1,1+QO45,QO46)),QO47)/30,QO46,QO47)</f>
        <v>#VALUE!</v>
      </c>
      <c r="QP52" s="962" t="e">
        <f>[1]!bodmoadal(1,1,(QP45+1),[1]!qsn([1]!ml([1]!taqsha(1,1,1+QP45,QP46)),QP47)/30,QP46,QP47)</f>
        <v>#VALUE!</v>
      </c>
      <c r="QQ52" s="962" t="e">
        <f>[1]!bodmoadal(1,1,(QQ45+1),[1]!qsn([1]!ml([1]!taqsha(1,1,1+QQ45,QQ46)),QQ47)/30,QQ46,QQ47)</f>
        <v>#VALUE!</v>
      </c>
      <c r="QR52" s="962" t="e">
        <f>[1]!bodmoadal(1,1,(QR45+1),[1]!qsn([1]!ml([1]!taqsha(1,1,1+QR45,QR46)),QR47)/30,QR46,QR47)</f>
        <v>#VALUE!</v>
      </c>
      <c r="QS52" s="962" t="e">
        <f>[1]!bodmoadal(1,1,(QS45+1),[1]!qsn([1]!ml([1]!taqsha(1,1,1+QS45,QS46)),QS47)/30,QS46,QS47)</f>
        <v>#VALUE!</v>
      </c>
      <c r="QT52" s="962" t="e">
        <f>[1]!bodmoadal(1,1,(QT45+1),[1]!qsn([1]!ml([1]!taqsha(1,1,1+QT45,QT46)),QT47)/30,QT46,QT47)</f>
        <v>#VALUE!</v>
      </c>
      <c r="QU52" s="962" t="e">
        <f>[1]!bodmoadal(1,1,(QU45+1),[1]!qsn([1]!ml([1]!taqsha(1,1,1+QU45,QU46)),QU47)/30,QU46,QU47)</f>
        <v>#VALUE!</v>
      </c>
      <c r="QV52" s="962" t="e">
        <f>[1]!bodmoadal(1,1,(QV45+1),[1]!qsn([1]!ml([1]!taqsha(1,1,1+QV45,QV46)),QV47)/30,QV46,QV47)</f>
        <v>#VALUE!</v>
      </c>
      <c r="QW52" s="962" t="e">
        <f>[1]!bodmoadal(1,1,(QW45+1),[1]!qsn([1]!ml([1]!taqsha(1,1,1+QW45,QW46)),QW47)/30,QW46,QW47)</f>
        <v>#VALUE!</v>
      </c>
      <c r="QX52" s="962" t="e">
        <f>[1]!bodmoadal(1,1,(QX45+1),[1]!qsn([1]!ml([1]!taqsha(1,1,1+QX45,QX46)),QX47)/30,QX46,QX47)</f>
        <v>#VALUE!</v>
      </c>
      <c r="QY52" s="962" t="e">
        <f>[1]!bodmoadal(1,1,(QY45+1),[1]!qsn([1]!ml([1]!taqsha(1,1,1+QY45,QY46)),QY47)/30,QY46,QY47)</f>
        <v>#VALUE!</v>
      </c>
      <c r="QZ52" s="962" t="e">
        <f>[1]!bodmoadal(1,1,(QZ45+1),[1]!qsn([1]!ml([1]!taqsha(1,1,1+QZ45,QZ46)),QZ47)/30,QZ46,QZ47)</f>
        <v>#VALUE!</v>
      </c>
      <c r="RA52" s="963"/>
    </row>
    <row r="53" spans="1:471" ht="17.25">
      <c r="AK53" s="112" t="s">
        <v>4</v>
      </c>
      <c r="AL53" s="701">
        <f>AL41</f>
        <v>1</v>
      </c>
      <c r="AM53" s="304">
        <f t="shared" si="378"/>
        <v>2</v>
      </c>
      <c r="AN53" s="304">
        <f t="shared" si="378"/>
        <v>3</v>
      </c>
      <c r="AO53" s="304">
        <f t="shared" si="378"/>
        <v>4</v>
      </c>
      <c r="AP53" s="304">
        <f t="shared" si="378"/>
        <v>5</v>
      </c>
      <c r="AQ53" s="304">
        <f t="shared" si="378"/>
        <v>6</v>
      </c>
      <c r="AR53" s="304">
        <f t="shared" si="378"/>
        <v>7</v>
      </c>
      <c r="AS53" s="304">
        <f t="shared" si="378"/>
        <v>8</v>
      </c>
      <c r="AT53" s="304">
        <f t="shared" si="378"/>
        <v>9</v>
      </c>
      <c r="AU53" s="304">
        <f t="shared" si="378"/>
        <v>10</v>
      </c>
      <c r="AV53" s="304">
        <f t="shared" si="378"/>
        <v>11</v>
      </c>
      <c r="AW53" s="314">
        <f t="shared" si="378"/>
        <v>12</v>
      </c>
      <c r="AX53" s="314"/>
      <c r="DB53" s="797" t="s">
        <v>3552</v>
      </c>
      <c r="DC53" s="797">
        <v>100</v>
      </c>
      <c r="DD53" s="959" t="e">
        <f>[1]!bodsava(1,1,(DD45+1),[1]!qsn([1]!ml([1]!taqsha(1,1,1+DD45,DD46)),DD47)/30,DD46,DD47)</f>
        <v>#VALUE!</v>
      </c>
      <c r="DH53" s="797"/>
      <c r="DI53" s="797" t="s">
        <v>3552</v>
      </c>
      <c r="DJ53" s="959" t="e">
        <f>[1]!bodsava(1,1,(DJ45+1),[1]!qsn([1]!ml([1]!taqsha(1,1,1+DJ45,DJ46)),DJ47)/30,DJ46,DJ47)</f>
        <v>#VALUE!</v>
      </c>
      <c r="DK53" s="962" t="e">
        <f>[1]!bodsava(1,1,(DK45+1),[1]!qsn([1]!ml([1]!taqsha(1,1,1+DK45,DK46)),DK47)/30,DK46,DK47)</f>
        <v>#VALUE!</v>
      </c>
      <c r="DL53" s="962" t="e">
        <f>[1]!bodsava(1,1,(DL45+1),[1]!qsn([1]!ml([1]!taqsha(1,1,1+DL45,DL46)),DL47)/30,DL46,DL47)</f>
        <v>#VALUE!</v>
      </c>
      <c r="DM53" s="962" t="e">
        <f>[1]!bodsava(1,1,(DM45+1),[1]!qsn([1]!ml([1]!taqsha(1,1,1+DM45,DM46)),DM47)/30,DM46,DM47)</f>
        <v>#VALUE!</v>
      </c>
      <c r="DN53" s="962" t="e">
        <f>[1]!bodsava(1,1,(DN45+1),[1]!qsn([1]!ml([1]!taqsha(1,1,1+DN45,DN46)),DN47)/30,DN46,DN47)</f>
        <v>#VALUE!</v>
      </c>
      <c r="DO53" s="962" t="e">
        <f>[1]!bodsava(1,1,(DO45+1),[1]!qsn([1]!ml([1]!taqsha(1,1,1+DO45,DO46)),DO47)/30,DO46,DO47)</f>
        <v>#VALUE!</v>
      </c>
      <c r="DP53" s="962" t="e">
        <f>[1]!bodsava(1,1,(DP45+1),[1]!qsn([1]!ml([1]!taqsha(1,1,1+DP45,DP46)),DP47)/30,DP46,DP47)</f>
        <v>#VALUE!</v>
      </c>
      <c r="DQ53" s="962" t="e">
        <f>[1]!bodsava(1,1,(DQ45+1),[1]!qsn([1]!ml([1]!taqsha(1,1,1+DQ45,DQ46)),DQ47)/30,DQ46,DQ47)</f>
        <v>#VALUE!</v>
      </c>
      <c r="DR53" s="962" t="e">
        <f>[1]!bodsava(1,1,(DR45+1),[1]!qsn([1]!ml([1]!taqsha(1,1,1+DR45,DR46)),DR47)/30,DR46,DR47)</f>
        <v>#VALUE!</v>
      </c>
      <c r="DS53" s="962" t="e">
        <f>[1]!bodsava(1,1,(DS45+1),[1]!qsn([1]!ml([1]!taqsha(1,1,1+DS45,DS46)),DS47)/30,DS46,DS47)</f>
        <v>#VALUE!</v>
      </c>
      <c r="DT53" s="962" t="e">
        <f>[1]!bodsava(1,1,(DT45+1),[1]!qsn([1]!ml([1]!taqsha(1,1,1+DT45,DT46)),DT47)/30,DT46,DT47)</f>
        <v>#VALUE!</v>
      </c>
      <c r="DU53" s="962" t="e">
        <f>[1]!bodsava(1,1,(DU45+1),[1]!qsn([1]!ml([1]!taqsha(1,1,1+DU45,DU46)),DU47)/30,DU46,DU47)</f>
        <v>#VALUE!</v>
      </c>
      <c r="DV53" s="962" t="e">
        <f>[1]!bodsava(1,1,(DV45+1),[1]!qsn([1]!ml([1]!taqsha(1,1,1+DV45,DV46)),DV47)/30,DV46,DV47)</f>
        <v>#VALUE!</v>
      </c>
      <c r="DW53" s="962" t="e">
        <f>[1]!bodsava(1,1,(DW45+1),[1]!qsn([1]!ml([1]!taqsha(1,1,1+DW45,DW46)),DW47)/30,DW46,DW47)</f>
        <v>#VALUE!</v>
      </c>
      <c r="DX53" s="962" t="e">
        <f>[1]!bodsava(1,1,(DX45+1),[1]!qsn([1]!ml([1]!taqsha(1,1,1+DX45,DX46)),DX47)/30,DX46,DX47)</f>
        <v>#VALUE!</v>
      </c>
      <c r="DY53" s="962" t="e">
        <f>[1]!bodsava(1,1,(DY45+1),[1]!qsn([1]!ml([1]!taqsha(1,1,1+DY45,DY46)),DY47)/30,DY46,DY47)</f>
        <v>#VALUE!</v>
      </c>
      <c r="DZ53" s="962" t="e">
        <f>[1]!bodsava(1,1,(DZ45+1),[1]!qsn([1]!ml([1]!taqsha(1,1,1+DZ45,DZ46)),DZ47)/30,DZ46,DZ47)</f>
        <v>#VALUE!</v>
      </c>
      <c r="EA53" s="962" t="e">
        <f>[1]!bodsava(1,1,(EA45+1),[1]!qsn([1]!ml([1]!taqsha(1,1,1+EA45,EA46)),EA47)/30,EA46,EA47)</f>
        <v>#VALUE!</v>
      </c>
      <c r="EB53" s="962" t="e">
        <f>[1]!bodsava(1,1,(EB45+1),[1]!qsn([1]!ml([1]!taqsha(1,1,1+EB45,EB46)),EB47)/30,EB46,EB47)</f>
        <v>#VALUE!</v>
      </c>
      <c r="EC53" s="962" t="e">
        <f>[1]!bodsava(1,1,(EC45+1),[1]!qsn([1]!ml([1]!taqsha(1,1,1+EC45,EC46)),EC47)/30,EC46,EC47)</f>
        <v>#VALUE!</v>
      </c>
      <c r="ED53" s="962" t="e">
        <f>[1]!bodsava(1,1,(ED45+1),[1]!qsn([1]!ml([1]!taqsha(1,1,1+ED45,ED46)),ED47)/30,ED46,ED47)</f>
        <v>#VALUE!</v>
      </c>
      <c r="EE53" s="962" t="e">
        <f>[1]!bodsava(1,1,(EE45+1),[1]!qsn([1]!ml([1]!taqsha(1,1,1+EE45,EE46)),EE47)/30,EE46,EE47)</f>
        <v>#VALUE!</v>
      </c>
      <c r="EF53" s="962" t="e">
        <f>[1]!bodsava(1,1,(EF45+1),[1]!qsn([1]!ml([1]!taqsha(1,1,1+EF45,EF46)),EF47)/30,EF46,EF47)</f>
        <v>#VALUE!</v>
      </c>
      <c r="EG53" s="962" t="e">
        <f>[1]!bodsava(1,1,(EG45+1),[1]!qsn([1]!ml([1]!taqsha(1,1,1+EG45,EG46)),EG47)/30,EG46,EG47)</f>
        <v>#VALUE!</v>
      </c>
      <c r="EH53" s="962" t="e">
        <f>[1]!bodsava(1,1,(EH45+1),[1]!qsn([1]!ml([1]!taqsha(1,1,1+EH45,EH46)),EH47)/30,EH46,EH47)</f>
        <v>#VALUE!</v>
      </c>
      <c r="EI53" s="962" t="e">
        <f>[1]!bodsava(1,1,(EI45+1),[1]!qsn([1]!ml([1]!taqsha(1,1,1+EI45,EI46)),EI47)/30,EI46,EI47)</f>
        <v>#VALUE!</v>
      </c>
      <c r="EJ53" s="962" t="e">
        <f>[1]!bodsava(1,1,(EJ45+1),[1]!qsn([1]!ml([1]!taqsha(1,1,1+EJ45,EJ46)),EJ47)/30,EJ46,EJ47)</f>
        <v>#VALUE!</v>
      </c>
      <c r="EK53" s="962" t="e">
        <f>[1]!bodsava(1,1,(EK45+1),[1]!qsn([1]!ml([1]!taqsha(1,1,1+EK45,EK46)),EK47)/30,EK46,EK47)</f>
        <v>#VALUE!</v>
      </c>
      <c r="EL53" s="962" t="e">
        <f>[1]!bodsava(1,1,(EL45+1),[1]!qsn([1]!ml([1]!taqsha(1,1,1+EL45,EL46)),EL47)/30,EL46,EL47)</f>
        <v>#VALUE!</v>
      </c>
      <c r="EM53" s="962" t="e">
        <f>[1]!bodsava(1,1,(EM45+1),[1]!qsn([1]!ml([1]!taqsha(1,1,1+EM45,EM46)),EM47)/30,EM46,EM47)</f>
        <v>#VALUE!</v>
      </c>
      <c r="EN53" s="962" t="e">
        <f>[1]!bodsava(1,1,(EN45+1),[1]!qsn([1]!ml([1]!taqsha(1,1,1+EN45,EN46)),EN47)/30,EN46,EN47)</f>
        <v>#VALUE!</v>
      </c>
      <c r="EO53" s="962" t="e">
        <f>[1]!bodsava(1,1,(EO45+1),[1]!qsn([1]!ml([1]!taqsha(1,1,1+EO45,EO46)),EO47)/30,EO46,EO47)</f>
        <v>#VALUE!</v>
      </c>
      <c r="EP53" s="962" t="e">
        <f>[1]!bodsava(1,1,(EP45+1),[1]!qsn([1]!ml([1]!taqsha(1,1,1+EP45,EP46)),EP47)/30,EP46,EP47)</f>
        <v>#VALUE!</v>
      </c>
      <c r="EQ53" s="962" t="e">
        <f>[1]!bodsava(1,1,(EQ45+1),[1]!qsn([1]!ml([1]!taqsha(1,1,1+EQ45,EQ46)),EQ47)/30,EQ46,EQ47)</f>
        <v>#VALUE!</v>
      </c>
      <c r="ER53" s="962" t="e">
        <f>[1]!bodsava(1,1,(ER45+1),[1]!qsn([1]!ml([1]!taqsha(1,1,1+ER45,ER46)),ER47)/30,ER46,ER47)</f>
        <v>#VALUE!</v>
      </c>
      <c r="ES53" s="962" t="e">
        <f>[1]!bodsava(1,1,(ES45+1),[1]!qsn([1]!ml([1]!taqsha(1,1,1+ES45,ES46)),ES47)/30,ES46,ES47)</f>
        <v>#VALUE!</v>
      </c>
      <c r="ET53" s="962" t="e">
        <f>[1]!bodsava(1,1,(ET45+1),[1]!qsn([1]!ml([1]!taqsha(1,1,1+ET45,ET46)),ET47)/30,ET46,ET47)</f>
        <v>#VALUE!</v>
      </c>
      <c r="EU53" s="962" t="e">
        <f>[1]!bodsava(1,1,(EU45+1),[1]!qsn([1]!ml([1]!taqsha(1,1,1+EU45,EU46)),EU47)/30,EU46,EU47)</f>
        <v>#VALUE!</v>
      </c>
      <c r="EV53" s="962" t="e">
        <f>[1]!bodsava(1,1,(EV45+1),[1]!qsn([1]!ml([1]!taqsha(1,1,1+EV45,EV46)),EV47)/30,EV46,EV47)</f>
        <v>#VALUE!</v>
      </c>
      <c r="EW53" s="962" t="e">
        <f>[1]!bodsava(1,1,(EW45+1),[1]!qsn([1]!ml([1]!taqsha(1,1,1+EW45,EW46)),EW47)/30,EW46,EW47)</f>
        <v>#VALUE!</v>
      </c>
      <c r="EX53" s="962" t="e">
        <f>[1]!bodsava(1,1,(EX45+1),[1]!qsn([1]!ml([1]!taqsha(1,1,1+EX45,EX46)),EX47)/30,EX46,EX47)</f>
        <v>#VALUE!</v>
      </c>
      <c r="EY53" s="962" t="e">
        <f>[1]!bodsava(1,1,(EY45+1),[1]!qsn([1]!ml([1]!taqsha(1,1,1+EY45,EY46)),EY47)/30,EY46,EY47)</f>
        <v>#VALUE!</v>
      </c>
      <c r="EZ53" s="962" t="e">
        <f>[1]!bodsava(1,1,(EZ45+1),[1]!qsn([1]!ml([1]!taqsha(1,1,1+EZ45,EZ46)),EZ47)/30,EZ46,EZ47)</f>
        <v>#VALUE!</v>
      </c>
      <c r="FA53" s="962" t="e">
        <f>[1]!bodsava(1,1,(FA45+1),[1]!qsn([1]!ml([1]!taqsha(1,1,1+FA45,FA46)),FA47)/30,FA46,FA47)</f>
        <v>#VALUE!</v>
      </c>
      <c r="FB53" s="962" t="e">
        <f>[1]!bodsava(1,1,(FB45+1),[1]!qsn([1]!ml([1]!taqsha(1,1,1+FB45,FB46)),FB47)/30,FB46,FB47)</f>
        <v>#VALUE!</v>
      </c>
      <c r="FC53" s="962" t="e">
        <f>[1]!bodsava(1,1,(FC45+1),[1]!qsn([1]!ml([1]!taqsha(1,1,1+FC45,FC46)),FC47)/30,FC46,FC47)</f>
        <v>#VALUE!</v>
      </c>
      <c r="FD53" s="962" t="e">
        <f>[1]!bodsava(1,1,(FD45+1),[1]!qsn([1]!ml([1]!taqsha(1,1,1+FD45,FD46)),FD47)/30,FD46,FD47)</f>
        <v>#VALUE!</v>
      </c>
      <c r="FE53" s="962" t="e">
        <f>[1]!bodsava(1,1,(FE45+1),[1]!qsn([1]!ml([1]!taqsha(1,1,1+FE45,FE46)),FE47)/30,FE46,FE47)</f>
        <v>#VALUE!</v>
      </c>
      <c r="FF53" s="962" t="e">
        <f>[1]!bodsava(1,1,(FF45+1),[1]!qsn([1]!ml([1]!taqsha(1,1,1+FF45,FF46)),FF47)/30,FF46,FF47)</f>
        <v>#VALUE!</v>
      </c>
      <c r="FG53" s="962" t="e">
        <f>[1]!bodsava(1,1,(FG45+1),[1]!qsn([1]!ml([1]!taqsha(1,1,1+FG45,FG46)),FG47)/30,FG46,FG47)</f>
        <v>#VALUE!</v>
      </c>
      <c r="FH53" s="962" t="e">
        <f>[1]!bodsava(1,1,(FH45+1),[1]!qsn([1]!ml([1]!taqsha(1,1,1+FH45,FH46)),FH47)/30,FH46,FH47)</f>
        <v>#VALUE!</v>
      </c>
      <c r="FI53" s="962" t="e">
        <f>[1]!bodsava(1,1,(FI45+1),[1]!qsn([1]!ml([1]!taqsha(1,1,1+FI45,FI46)),FI47)/30,FI46,FI47)</f>
        <v>#VALUE!</v>
      </c>
      <c r="FJ53" s="962" t="e">
        <f>[1]!bodsava(1,1,(FJ45+1),[1]!qsn([1]!ml([1]!taqsha(1,1,1+FJ45,FJ46)),FJ47)/30,FJ46,FJ47)</f>
        <v>#VALUE!</v>
      </c>
      <c r="FK53" s="962" t="e">
        <f>[1]!bodsava(1,1,(FK45+1),[1]!qsn([1]!ml([1]!taqsha(1,1,1+FK45,FK46)),FK47)/30,FK46,FK47)</f>
        <v>#VALUE!</v>
      </c>
      <c r="FL53" s="962" t="e">
        <f>[1]!bodsava(1,1,(FL45+1),[1]!qsn([1]!ml([1]!taqsha(1,1,1+FL45,FL46)),FL47)/30,FL46,FL47)</f>
        <v>#VALUE!</v>
      </c>
      <c r="FM53" s="962" t="e">
        <f>[1]!bodsava(1,1,(FM45+1),[1]!qsn([1]!ml([1]!taqsha(1,1,1+FM45,FM46)),FM47)/30,FM46,FM47)</f>
        <v>#VALUE!</v>
      </c>
      <c r="FN53" s="962" t="e">
        <f>[1]!bodsava(1,1,(FN45+1),[1]!qsn([1]!ml([1]!taqsha(1,1,1+FN45,FN46)),FN47)/30,FN46,FN47)</f>
        <v>#VALUE!</v>
      </c>
      <c r="FO53" s="962" t="e">
        <f>[1]!bodsava(1,1,(FO45+1),[1]!qsn([1]!ml([1]!taqsha(1,1,1+FO45,FO46)),FO47)/30,FO46,FO47)</f>
        <v>#VALUE!</v>
      </c>
      <c r="FP53" s="962" t="e">
        <f>[1]!bodsava(1,1,(FP45+1),[1]!qsn([1]!ml([1]!taqsha(1,1,1+FP45,FP46)),FP47)/30,FP46,FP47)</f>
        <v>#VALUE!</v>
      </c>
      <c r="FQ53" s="962" t="e">
        <f>[1]!bodsava(1,1,(FQ45+1),[1]!qsn([1]!ml([1]!taqsha(1,1,1+FQ45,FQ46)),FQ47)/30,FQ46,FQ47)</f>
        <v>#VALUE!</v>
      </c>
      <c r="FR53" s="962" t="e">
        <f>[1]!bodsava(1,1,(FR45+1),[1]!qsn([1]!ml([1]!taqsha(1,1,1+FR45,FR46)),FR47)/30,FR46,FR47)</f>
        <v>#VALUE!</v>
      </c>
      <c r="FS53" s="962" t="e">
        <f>[1]!bodsava(1,1,(FS45+1),[1]!qsn([1]!ml([1]!taqsha(1,1,1+FS45,FS46)),FS47)/30,FS46,FS47)</f>
        <v>#VALUE!</v>
      </c>
      <c r="FT53" s="962" t="e">
        <f>[1]!bodsava(1,1,(FT45+1),[1]!qsn([1]!ml([1]!taqsha(1,1,1+FT45,FT46)),FT47)/30,FT46,FT47)</f>
        <v>#VALUE!</v>
      </c>
      <c r="FU53" s="962" t="e">
        <f>[1]!bodsava(1,1,(FU45+1),[1]!qsn([1]!ml([1]!taqsha(1,1,1+FU45,FU46)),FU47)/30,FU46,FU47)</f>
        <v>#VALUE!</v>
      </c>
      <c r="FV53" s="962" t="e">
        <f>[1]!bodsava(1,1,(FV45+1),[1]!qsn([1]!ml([1]!taqsha(1,1,1+FV45,FV46)),FV47)/30,FV46,FV47)</f>
        <v>#VALUE!</v>
      </c>
      <c r="FW53" s="962" t="e">
        <f>[1]!bodsava(1,1,(FW45+1),[1]!qsn([1]!ml([1]!taqsha(1,1,1+FW45,FW46)),FW47)/30,FW46,FW47)</f>
        <v>#VALUE!</v>
      </c>
      <c r="FX53" s="962" t="e">
        <f>[1]!bodsava(1,1,(FX45+1),[1]!qsn([1]!ml([1]!taqsha(1,1,1+FX45,FX46)),FX47)/30,FX46,FX47)</f>
        <v>#VALUE!</v>
      </c>
      <c r="FY53" s="962" t="e">
        <f>[1]!bodsava(1,1,(FY45+1),[1]!qsn([1]!ml([1]!taqsha(1,1,1+FY45,FY46)),FY47)/30,FY46,FY47)</f>
        <v>#VALUE!</v>
      </c>
      <c r="FZ53" s="962" t="e">
        <f>[1]!bodsava(1,1,(FZ45+1),[1]!qsn([1]!ml([1]!taqsha(1,1,1+FZ45,FZ46)),FZ47)/30,FZ46,FZ47)</f>
        <v>#VALUE!</v>
      </c>
      <c r="GA53" s="962" t="e">
        <f>[1]!bodsava(1,1,(GA45+1),[1]!qsn([1]!ml([1]!taqsha(1,1,1+GA45,GA46)),GA47)/30,GA46,GA47)</f>
        <v>#VALUE!</v>
      </c>
      <c r="GB53" s="962" t="e">
        <f>[1]!bodsava(1,1,(GB45+1),[1]!qsn([1]!ml([1]!taqsha(1,1,1+GB45,GB46)),GB47)/30,GB46,GB47)</f>
        <v>#VALUE!</v>
      </c>
      <c r="GC53" s="962" t="e">
        <f>[1]!bodsava(1,1,(GC45+1),[1]!qsn([1]!ml([1]!taqsha(1,1,1+GC45,GC46)),GC47)/30,GC46,GC47)</f>
        <v>#VALUE!</v>
      </c>
      <c r="GD53" s="962" t="e">
        <f>[1]!bodsava(1,1,(GD45+1),[1]!qsn([1]!ml([1]!taqsha(1,1,1+GD45,GD46)),GD47)/30,GD46,GD47)</f>
        <v>#VALUE!</v>
      </c>
      <c r="GE53" s="962" t="e">
        <f>[1]!bodsava(1,1,(GE45+1),[1]!qsn([1]!ml([1]!taqsha(1,1,1+GE45,GE46)),GE47)/30,GE46,GE47)</f>
        <v>#VALUE!</v>
      </c>
      <c r="GF53" s="962" t="e">
        <f>[1]!bodsava(1,1,(GF45+1),[1]!qsn([1]!ml([1]!taqsha(1,1,1+GF45,GF46)),GF47)/30,GF46,GF47)</f>
        <v>#VALUE!</v>
      </c>
      <c r="GG53" s="962" t="e">
        <f>[1]!bodsava(1,1,(GG45+1),[1]!qsn([1]!ml([1]!taqsha(1,1,1+GG45,GG46)),GG47)/30,GG46,GG47)</f>
        <v>#VALUE!</v>
      </c>
      <c r="GH53" s="962" t="e">
        <f>[1]!bodsava(1,1,(GH45+1),[1]!qsn([1]!ml([1]!taqsha(1,1,1+GH45,GH46)),GH47)/30,GH46,GH47)</f>
        <v>#VALUE!</v>
      </c>
      <c r="GI53" s="962" t="e">
        <f>[1]!bodsava(1,1,(GI45+1),[1]!qsn([1]!ml([1]!taqsha(1,1,1+GI45,GI46)),GI47)/30,GI46,GI47)</f>
        <v>#VALUE!</v>
      </c>
      <c r="GJ53" s="962" t="e">
        <f>[1]!bodsava(1,1,(GJ45+1),[1]!qsn([1]!ml([1]!taqsha(1,1,1+GJ45,GJ46)),GJ47)/30,GJ46,GJ47)</f>
        <v>#VALUE!</v>
      </c>
      <c r="GK53" s="962" t="e">
        <f>[1]!bodsava(1,1,(GK45+1),[1]!qsn([1]!ml([1]!taqsha(1,1,1+GK45,GK46)),GK47)/30,GK46,GK47)</f>
        <v>#VALUE!</v>
      </c>
      <c r="GL53" s="962" t="e">
        <f>[1]!bodsava(1,1,(GL45+1),[1]!qsn([1]!ml([1]!taqsha(1,1,1+GL45,GL46)),GL47)/30,GL46,GL47)</f>
        <v>#VALUE!</v>
      </c>
      <c r="GM53" s="962" t="e">
        <f>[1]!bodsava(1,1,(GM45+1),[1]!qsn([1]!ml([1]!taqsha(1,1,1+GM45,GM46)),GM47)/30,GM46,GM47)</f>
        <v>#VALUE!</v>
      </c>
      <c r="GN53" s="962" t="e">
        <f>[1]!bodsava(1,1,(GN45+1),[1]!qsn([1]!ml([1]!taqsha(1,1,1+GN45,GN46)),GN47)/30,GN46,GN47)</f>
        <v>#VALUE!</v>
      </c>
      <c r="GO53" s="962" t="e">
        <f>[1]!bodsava(1,1,(GO45+1),[1]!qsn([1]!ml([1]!taqsha(1,1,1+GO45,GO46)),GO47)/30,GO46,GO47)</f>
        <v>#VALUE!</v>
      </c>
      <c r="GP53" s="962" t="e">
        <f>[1]!bodsava(1,1,(GP45+1),[1]!qsn([1]!ml([1]!taqsha(1,1,1+GP45,GP46)),GP47)/30,GP46,GP47)</f>
        <v>#VALUE!</v>
      </c>
      <c r="GQ53" s="962" t="e">
        <f>[1]!bodsava(1,1,(GQ45+1),[1]!qsn([1]!ml([1]!taqsha(1,1,1+GQ45,GQ46)),GQ47)/30,GQ46,GQ47)</f>
        <v>#VALUE!</v>
      </c>
      <c r="GR53" s="962" t="e">
        <f>[1]!bodsava(1,1,(GR45+1),[1]!qsn([1]!ml([1]!taqsha(1,1,1+GR45,GR46)),GR47)/30,GR46,GR47)</f>
        <v>#VALUE!</v>
      </c>
      <c r="GS53" s="962" t="e">
        <f>[1]!bodsava(1,1,(GS45+1),[1]!qsn([1]!ml([1]!taqsha(1,1,1+GS45,GS46)),GS47)/30,GS46,GS47)</f>
        <v>#VALUE!</v>
      </c>
      <c r="GT53" s="962" t="e">
        <f>[1]!bodsava(1,1,(GT45+1),[1]!qsn([1]!ml([1]!taqsha(1,1,1+GT45,GT46)),GT47)/30,GT46,GT47)</f>
        <v>#VALUE!</v>
      </c>
      <c r="GU53" s="962" t="e">
        <f>[1]!bodsava(1,1,(GU45+1),[1]!qsn([1]!ml([1]!taqsha(1,1,1+GU45,GU46)),GU47)/30,GU46,GU47)</f>
        <v>#VALUE!</v>
      </c>
      <c r="GV53" s="962" t="e">
        <f>[1]!bodsava(1,1,(GV45+1),[1]!qsn([1]!ml([1]!taqsha(1,1,1+GV45,GV46)),GV47)/30,GV46,GV47)</f>
        <v>#VALUE!</v>
      </c>
      <c r="GW53" s="962" t="e">
        <f>[1]!bodsava(1,1,(GW45+1),[1]!qsn([1]!ml([1]!taqsha(1,1,1+GW45,GW46)),GW47)/30,GW46,GW47)</f>
        <v>#VALUE!</v>
      </c>
      <c r="GX53" s="962" t="e">
        <f>[1]!bodsava(1,1,(GX45+1),[1]!qsn([1]!ml([1]!taqsha(1,1,1+GX45,GX46)),GX47)/30,GX46,GX47)</f>
        <v>#VALUE!</v>
      </c>
      <c r="GY53" s="962" t="e">
        <f>[1]!bodsava(1,1,(GY45+1),[1]!qsn([1]!ml([1]!taqsha(1,1,1+GY45,GY46)),GY47)/30,GY46,GY47)</f>
        <v>#VALUE!</v>
      </c>
      <c r="GZ53" s="962" t="e">
        <f>[1]!bodsava(1,1,(GZ45+1),[1]!qsn([1]!ml([1]!taqsha(1,1,1+GZ45,GZ46)),GZ47)/30,GZ46,GZ47)</f>
        <v>#VALUE!</v>
      </c>
      <c r="HA53" s="962" t="e">
        <f>[1]!bodsava(1,1,(HA45+1),[1]!qsn([1]!ml([1]!taqsha(1,1,1+HA45,HA46)),HA47)/30,HA46,HA47)</f>
        <v>#VALUE!</v>
      </c>
      <c r="HB53" s="962" t="e">
        <f>[1]!bodsava(1,1,(HB45+1),[1]!qsn([1]!ml([1]!taqsha(1,1,1+HB45,HB46)),HB47)/30,HB46,HB47)</f>
        <v>#VALUE!</v>
      </c>
      <c r="HC53" s="962" t="e">
        <f>[1]!bodsava(1,1,(HC45+1),[1]!qsn([1]!ml([1]!taqsha(1,1,1+HC45,HC46)),HC47)/30,HC46,HC47)</f>
        <v>#VALUE!</v>
      </c>
      <c r="HD53" s="962" t="e">
        <f>[1]!bodsava(1,1,(HD45+1),[1]!qsn([1]!ml([1]!taqsha(1,1,1+HD45,HD46)),HD47)/30,HD46,HD47)</f>
        <v>#VALUE!</v>
      </c>
      <c r="HE53" s="962" t="e">
        <f>[1]!bodsava(1,1,(HE45+1),[1]!qsn([1]!ml([1]!taqsha(1,1,1+HE45,HE46)),HE47)/30,HE46,HE47)</f>
        <v>#VALUE!</v>
      </c>
      <c r="HF53" s="962" t="e">
        <f>[1]!bodsava(1,1,(HF45+1),[1]!qsn([1]!ml([1]!taqsha(1,1,1+HF45,HF46)),HF47)/30,HF46,HF47)</f>
        <v>#VALUE!</v>
      </c>
      <c r="HG53" s="962" t="e">
        <f>[1]!bodsava(1,1,(HG45+1),[1]!qsn([1]!ml([1]!taqsha(1,1,1+HG45,HG46)),HG47)/30,HG46,HG47)</f>
        <v>#VALUE!</v>
      </c>
      <c r="HH53" s="962" t="e">
        <f>[1]!bodsava(1,1,(HH45+1),[1]!qsn([1]!ml([1]!taqsha(1,1,1+HH45,HH46)),HH47)/30,HH46,HH47)</f>
        <v>#VALUE!</v>
      </c>
      <c r="HI53" s="962" t="e">
        <f>[1]!bodsava(1,1,(HI45+1),[1]!qsn([1]!ml([1]!taqsha(1,1,1+HI45,HI46)),HI47)/30,HI46,HI47)</f>
        <v>#VALUE!</v>
      </c>
      <c r="HJ53" s="962" t="e">
        <f>[1]!bodsava(1,1,(HJ45+1),[1]!qsn([1]!ml([1]!taqsha(1,1,1+HJ45,HJ46)),HJ47)/30,HJ46,HJ47)</f>
        <v>#VALUE!</v>
      </c>
      <c r="HK53" s="962" t="e">
        <f>[1]!bodsava(1,1,(HK45+1),[1]!qsn([1]!ml([1]!taqsha(1,1,1+HK45,HK46)),HK47)/30,HK46,HK47)</f>
        <v>#VALUE!</v>
      </c>
      <c r="HL53" s="962" t="e">
        <f>[1]!bodsava(1,1,(HL45+1),[1]!qsn([1]!ml([1]!taqsha(1,1,1+HL45,HL46)),HL47)/30,HL46,HL47)</f>
        <v>#VALUE!</v>
      </c>
      <c r="HM53" s="962" t="e">
        <f>[1]!bodsava(1,1,(HM45+1),[1]!qsn([1]!ml([1]!taqsha(1,1,1+HM45,HM46)),HM47)/30,HM46,HM47)</f>
        <v>#VALUE!</v>
      </c>
      <c r="HN53" s="962" t="e">
        <f>[1]!bodsava(1,1,(HN45+1),[1]!qsn([1]!ml([1]!taqsha(1,1,1+HN45,HN46)),HN47)/30,HN46,HN47)</f>
        <v>#VALUE!</v>
      </c>
      <c r="HO53" s="962" t="e">
        <f>[1]!bodsava(1,1,(HO45+1),[1]!qsn([1]!ml([1]!taqsha(1,1,1+HO45,HO46)),HO47)/30,HO46,HO47)</f>
        <v>#VALUE!</v>
      </c>
      <c r="HP53" s="962" t="e">
        <f>[1]!bodsava(1,1,(HP45+1),[1]!qsn([1]!ml([1]!taqsha(1,1,1+HP45,HP46)),HP47)/30,HP46,HP47)</f>
        <v>#VALUE!</v>
      </c>
      <c r="HQ53" s="962" t="e">
        <f>[1]!bodsava(1,1,(HQ45+1),[1]!qsn([1]!ml([1]!taqsha(1,1,1+HQ45,HQ46)),HQ47)/30,HQ46,HQ47)</f>
        <v>#VALUE!</v>
      </c>
      <c r="HR53" s="962" t="e">
        <f>[1]!bodsava(1,1,(HR45+1),[1]!qsn([1]!ml([1]!taqsha(1,1,1+HR45,HR46)),HR47)/30,HR46,HR47)</f>
        <v>#VALUE!</v>
      </c>
      <c r="HS53" s="962" t="e">
        <f>[1]!bodsava(1,1,(HS45+1),[1]!qsn([1]!ml([1]!taqsha(1,1,1+HS45,HS46)),HS47)/30,HS46,HS47)</f>
        <v>#VALUE!</v>
      </c>
      <c r="HT53" s="962" t="e">
        <f>[1]!bodsava(1,1,(HT45+1),[1]!qsn([1]!ml([1]!taqsha(1,1,1+HT45,HT46)),HT47)/30,HT46,HT47)</f>
        <v>#VALUE!</v>
      </c>
      <c r="HU53" s="962" t="e">
        <f>[1]!bodsava(1,1,(HU45+1),[1]!qsn([1]!ml([1]!taqsha(1,1,1+HU45,HU46)),HU47)/30,HU46,HU47)</f>
        <v>#VALUE!</v>
      </c>
      <c r="HV53" s="962" t="e">
        <f>[1]!bodsava(1,1,(HV45+1),[1]!qsn([1]!ml([1]!taqsha(1,1,1+HV45,HV46)),HV47)/30,HV46,HV47)</f>
        <v>#VALUE!</v>
      </c>
      <c r="HW53" s="962" t="e">
        <f>[1]!bodsava(1,1,(HW45+1),[1]!qsn([1]!ml([1]!taqsha(1,1,1+HW45,HW46)),HW47)/30,HW46,HW47)</f>
        <v>#VALUE!</v>
      </c>
      <c r="HX53" s="962" t="e">
        <f>[1]!bodsava(1,1,(HX45+1),[1]!qsn([1]!ml([1]!taqsha(1,1,1+HX45,HX46)),HX47)/30,HX46,HX47)</f>
        <v>#VALUE!</v>
      </c>
      <c r="HY53" s="962" t="e">
        <f>[1]!bodsava(1,1,(HY45+1),[1]!qsn([1]!ml([1]!taqsha(1,1,1+HY45,HY46)),HY47)/30,HY46,HY47)</f>
        <v>#VALUE!</v>
      </c>
      <c r="HZ53" s="962" t="e">
        <f>[1]!bodsava(1,1,(HZ45+1),[1]!qsn([1]!ml([1]!taqsha(1,1,1+HZ45,HZ46)),HZ47)/30,HZ46,HZ47)</f>
        <v>#VALUE!</v>
      </c>
      <c r="IA53" s="962" t="e">
        <f>[1]!bodsava(1,1,(IA45+1),[1]!qsn([1]!ml([1]!taqsha(1,1,1+IA45,IA46)),IA47)/30,IA46,IA47)</f>
        <v>#VALUE!</v>
      </c>
      <c r="IB53" s="962" t="e">
        <f>[1]!bodsava(1,1,(IB45+1),[1]!qsn([1]!ml([1]!taqsha(1,1,1+IB45,IB46)),IB47)/30,IB46,IB47)</f>
        <v>#VALUE!</v>
      </c>
      <c r="IC53" s="962" t="e">
        <f>[1]!bodsava(1,1,(IC45+1),[1]!qsn([1]!ml([1]!taqsha(1,1,1+IC45,IC46)),IC47)/30,IC46,IC47)</f>
        <v>#VALUE!</v>
      </c>
      <c r="ID53" s="962" t="e">
        <f>[1]!bodsava(1,1,(ID45+1),[1]!qsn([1]!ml([1]!taqsha(1,1,1+ID45,ID46)),ID47)/30,ID46,ID47)</f>
        <v>#VALUE!</v>
      </c>
      <c r="IE53" s="962" t="e">
        <f>[1]!bodsava(1,1,(IE45+1),[1]!qsn([1]!ml([1]!taqsha(1,1,1+IE45,IE46)),IE47)/30,IE46,IE47)</f>
        <v>#VALUE!</v>
      </c>
      <c r="IF53" s="962" t="e">
        <f>[1]!bodsava(1,1,(IF45+1),[1]!qsn([1]!ml([1]!taqsha(1,1,1+IF45,IF46)),IF47)/30,IF46,IF47)</f>
        <v>#VALUE!</v>
      </c>
      <c r="IG53" s="962" t="e">
        <f>[1]!bodsava(1,1,(IG45+1),[1]!qsn([1]!ml([1]!taqsha(1,1,1+IG45,IG46)),IG47)/30,IG46,IG47)</f>
        <v>#VALUE!</v>
      </c>
      <c r="IH53" s="962" t="e">
        <f>[1]!bodsava(1,1,(IH45+1),[1]!qsn([1]!ml([1]!taqsha(1,1,1+IH45,IH46)),IH47)/30,IH46,IH47)</f>
        <v>#VALUE!</v>
      </c>
      <c r="II53" s="962" t="e">
        <f>[1]!bodsava(1,1,(II45+1),[1]!qsn([1]!ml([1]!taqsha(1,1,1+II45,II46)),II47)/30,II46,II47)</f>
        <v>#VALUE!</v>
      </c>
      <c r="IJ53" s="962" t="e">
        <f>[1]!bodsava(1,1,(IJ45+1),[1]!qsn([1]!ml([1]!taqsha(1,1,1+IJ45,IJ46)),IJ47)/30,IJ46,IJ47)</f>
        <v>#VALUE!</v>
      </c>
      <c r="IK53" s="962" t="e">
        <f>[1]!bodsava(1,1,(IK45+1),[1]!qsn([1]!ml([1]!taqsha(1,1,1+IK45,IK46)),IK47)/30,IK46,IK47)</f>
        <v>#VALUE!</v>
      </c>
      <c r="IL53" s="962" t="e">
        <f>[1]!bodsava(1,1,(IL45+1),[1]!qsn([1]!ml([1]!taqsha(1,1,1+IL45,IL46)),IL47)/30,IL46,IL47)</f>
        <v>#VALUE!</v>
      </c>
      <c r="IM53" s="962" t="e">
        <f>[1]!bodsava(1,1,(IM45+1),[1]!qsn([1]!ml([1]!taqsha(1,1,1+IM45,IM46)),IM47)/30,IM46,IM47)</f>
        <v>#VALUE!</v>
      </c>
      <c r="IN53" s="962" t="e">
        <f>[1]!bodsava(1,1,(IN45+1),[1]!qsn([1]!ml([1]!taqsha(1,1,1+IN45,IN46)),IN47)/30,IN46,IN47)</f>
        <v>#VALUE!</v>
      </c>
      <c r="IO53" s="962" t="e">
        <f>[1]!bodsava(1,1,(IO45+1),[1]!qsn([1]!ml([1]!taqsha(1,1,1+IO45,IO46)),IO47)/30,IO46,IO47)</f>
        <v>#VALUE!</v>
      </c>
      <c r="IP53" s="962" t="e">
        <f>[1]!bodsava(1,1,(IP45+1),[1]!qsn([1]!ml([1]!taqsha(1,1,1+IP45,IP46)),IP47)/30,IP46,IP47)</f>
        <v>#VALUE!</v>
      </c>
      <c r="IQ53" s="962" t="e">
        <f>[1]!bodsava(1,1,(IQ45+1),[1]!qsn([1]!ml([1]!taqsha(1,1,1+IQ45,IQ46)),IQ47)/30,IQ46,IQ47)</f>
        <v>#VALUE!</v>
      </c>
      <c r="IR53" s="962" t="e">
        <f>[1]!bodsava(1,1,(IR45+1),[1]!qsn([1]!ml([1]!taqsha(1,1,1+IR45,IR46)),IR47)/30,IR46,IR47)</f>
        <v>#VALUE!</v>
      </c>
      <c r="IS53" s="962" t="e">
        <f>[1]!bodsava(1,1,(IS45+1),[1]!qsn([1]!ml([1]!taqsha(1,1,1+IS45,IS46)),IS47)/30,IS46,IS47)</f>
        <v>#VALUE!</v>
      </c>
      <c r="IT53" s="962" t="e">
        <f>[1]!bodsava(1,1,(IT45+1),[1]!qsn([1]!ml([1]!taqsha(1,1,1+IT45,IT46)),IT47)/30,IT46,IT47)</f>
        <v>#VALUE!</v>
      </c>
      <c r="IU53" s="962" t="e">
        <f>[1]!bodsava(1,1,(IU45+1),[1]!qsn([1]!ml([1]!taqsha(1,1,1+IU45,IU46)),IU47)/30,IU46,IU47)</f>
        <v>#VALUE!</v>
      </c>
      <c r="IV53" s="962" t="e">
        <f>[1]!bodsava(1,1,(IV45+1),[1]!qsn([1]!ml([1]!taqsha(1,1,1+IV45,IV46)),IV47)/30,IV46,IV47)</f>
        <v>#VALUE!</v>
      </c>
      <c r="IW53" s="962" t="e">
        <f>[1]!bodsava(1,1,(IW45+1),[1]!qsn([1]!ml([1]!taqsha(1,1,1+IW45,IW46)),IW47)/30,IW46,IW47)</f>
        <v>#VALUE!</v>
      </c>
      <c r="IX53" s="962" t="e">
        <f>[1]!bodsava(1,1,(IX45+1),[1]!qsn([1]!ml([1]!taqsha(1,1,1+IX45,IX46)),IX47)/30,IX46,IX47)</f>
        <v>#VALUE!</v>
      </c>
      <c r="IY53" s="962" t="e">
        <f>[1]!bodsava(1,1,(IY45+1),[1]!qsn([1]!ml([1]!taqsha(1,1,1+IY45,IY46)),IY47)/30,IY46,IY47)</f>
        <v>#VALUE!</v>
      </c>
      <c r="IZ53" s="962" t="e">
        <f>[1]!bodsava(1,1,(IZ45+1),[1]!qsn([1]!ml([1]!taqsha(1,1,1+IZ45,IZ46)),IZ47)/30,IZ46,IZ47)</f>
        <v>#VALUE!</v>
      </c>
      <c r="JA53" s="962" t="e">
        <f>[1]!bodsava(1,1,(JA45+1),[1]!qsn([1]!ml([1]!taqsha(1,1,1+JA45,JA46)),JA47)/30,JA46,JA47)</f>
        <v>#VALUE!</v>
      </c>
      <c r="JB53" s="962" t="e">
        <f>[1]!bodsava(1,1,(JB45+1),[1]!qsn([1]!ml([1]!taqsha(1,1,1+JB45,JB46)),JB47)/30,JB46,JB47)</f>
        <v>#VALUE!</v>
      </c>
      <c r="JC53" s="962" t="e">
        <f>[1]!bodsava(1,1,(JC45+1),[1]!qsn([1]!ml([1]!taqsha(1,1,1+JC45,JC46)),JC47)/30,JC46,JC47)</f>
        <v>#VALUE!</v>
      </c>
      <c r="JD53" s="962" t="e">
        <f>[1]!bodsava(1,1,(JD45+1),[1]!qsn([1]!ml([1]!taqsha(1,1,1+JD45,JD46)),JD47)/30,JD46,JD47)</f>
        <v>#VALUE!</v>
      </c>
      <c r="JE53" s="962" t="e">
        <f>[1]!bodsava(1,1,(JE45+1),[1]!qsn([1]!ml([1]!taqsha(1,1,1+JE45,JE46)),JE47)/30,JE46,JE47)</f>
        <v>#VALUE!</v>
      </c>
      <c r="JF53" s="962" t="e">
        <f>[1]!bodsava(1,1,(JF45+1),[1]!qsn([1]!ml([1]!taqsha(1,1,1+JF45,JF46)),JF47)/30,JF46,JF47)</f>
        <v>#VALUE!</v>
      </c>
      <c r="JG53" s="962" t="e">
        <f>[1]!bodsava(1,1,(JG45+1),[1]!qsn([1]!ml([1]!taqsha(1,1,1+JG45,JG46)),JG47)/30,JG46,JG47)</f>
        <v>#VALUE!</v>
      </c>
      <c r="JH53" s="962" t="e">
        <f>[1]!bodsava(1,1,(JH45+1),[1]!qsn([1]!ml([1]!taqsha(1,1,1+JH45,JH46)),JH47)/30,JH46,JH47)</f>
        <v>#VALUE!</v>
      </c>
      <c r="JI53" s="962" t="e">
        <f>[1]!bodsava(1,1,(JI45+1),[1]!qsn([1]!ml([1]!taqsha(1,1,1+JI45,JI46)),JI47)/30,JI46,JI47)</f>
        <v>#VALUE!</v>
      </c>
      <c r="JJ53" s="962" t="e">
        <f>[1]!bodsava(1,1,(JJ45+1),[1]!qsn([1]!ml([1]!taqsha(1,1,1+JJ45,JJ46)),JJ47)/30,JJ46,JJ47)</f>
        <v>#VALUE!</v>
      </c>
      <c r="JK53" s="962" t="e">
        <f>[1]!bodsava(1,1,(JK45+1),[1]!qsn([1]!ml([1]!taqsha(1,1,1+JK45,JK46)),JK47)/30,JK46,JK47)</f>
        <v>#VALUE!</v>
      </c>
      <c r="JL53" s="962" t="e">
        <f>[1]!bodsava(1,1,(JL45+1),[1]!qsn([1]!ml([1]!taqsha(1,1,1+JL45,JL46)),JL47)/30,JL46,JL47)</f>
        <v>#VALUE!</v>
      </c>
      <c r="JM53" s="962" t="e">
        <f>[1]!bodsava(1,1,(JM45+1),[1]!qsn([1]!ml([1]!taqsha(1,1,1+JM45,JM46)),JM47)/30,JM46,JM47)</f>
        <v>#VALUE!</v>
      </c>
      <c r="JN53" s="962" t="e">
        <f>[1]!bodsava(1,1,(JN45+1),[1]!qsn([1]!ml([1]!taqsha(1,1,1+JN45,JN46)),JN47)/30,JN46,JN47)</f>
        <v>#VALUE!</v>
      </c>
      <c r="JO53" s="962" t="e">
        <f>[1]!bodsava(1,1,(JO45+1),[1]!qsn([1]!ml([1]!taqsha(1,1,1+JO45,JO46)),JO47)/30,JO46,JO47)</f>
        <v>#VALUE!</v>
      </c>
      <c r="JP53" s="962" t="e">
        <f>[1]!bodsava(1,1,(JP45+1),[1]!qsn([1]!ml([1]!taqsha(1,1,1+JP45,JP46)),JP47)/30,JP46,JP47)</f>
        <v>#VALUE!</v>
      </c>
      <c r="JQ53" s="962" t="e">
        <f>[1]!bodsava(1,1,(JQ45+1),[1]!qsn([1]!ml([1]!taqsha(1,1,1+JQ45,JQ46)),JQ47)/30,JQ46,JQ47)</f>
        <v>#VALUE!</v>
      </c>
      <c r="JR53" s="962" t="e">
        <f>[1]!bodsava(1,1,(JR45+1),[1]!qsn([1]!ml([1]!taqsha(1,1,1+JR45,JR46)),JR47)/30,JR46,JR47)</f>
        <v>#VALUE!</v>
      </c>
      <c r="JS53" s="962" t="e">
        <f>[1]!bodsava(1,1,(JS45+1),[1]!qsn([1]!ml([1]!taqsha(1,1,1+JS45,JS46)),JS47)/30,JS46,JS47)</f>
        <v>#VALUE!</v>
      </c>
      <c r="JT53" s="962" t="e">
        <f>[1]!bodsava(1,1,(JT45+1),[1]!qsn([1]!ml([1]!taqsha(1,1,1+JT45,JT46)),JT47)/30,JT46,JT47)</f>
        <v>#VALUE!</v>
      </c>
      <c r="JU53" s="962" t="e">
        <f>[1]!bodsava(1,1,(JU45+1),[1]!qsn([1]!ml([1]!taqsha(1,1,1+JU45,JU46)),JU47)/30,JU46,JU47)</f>
        <v>#VALUE!</v>
      </c>
      <c r="JV53" s="962" t="e">
        <f>[1]!bodsava(1,1,(JV45+1),[1]!qsn([1]!ml([1]!taqsha(1,1,1+JV45,JV46)),JV47)/30,JV46,JV47)</f>
        <v>#VALUE!</v>
      </c>
      <c r="JW53" s="962" t="e">
        <f>[1]!bodsava(1,1,(JW45+1),[1]!qsn([1]!ml([1]!taqsha(1,1,1+JW45,JW46)),JW47)/30,JW46,JW47)</f>
        <v>#VALUE!</v>
      </c>
      <c r="JX53" s="962" t="e">
        <f>[1]!bodsava(1,1,(JX45+1),[1]!qsn([1]!ml([1]!taqsha(1,1,1+JX45,JX46)),JX47)/30,JX46,JX47)</f>
        <v>#VALUE!</v>
      </c>
      <c r="JY53" s="962" t="e">
        <f>[1]!bodsava(1,1,(JY45+1),[1]!qsn([1]!ml([1]!taqsha(1,1,1+JY45,JY46)),JY47)/30,JY46,JY47)</f>
        <v>#VALUE!</v>
      </c>
      <c r="JZ53" s="962" t="e">
        <f>[1]!bodsava(1,1,(JZ45+1),[1]!qsn([1]!ml([1]!taqsha(1,1,1+JZ45,JZ46)),JZ47)/30,JZ46,JZ47)</f>
        <v>#VALUE!</v>
      </c>
      <c r="KA53" s="962" t="e">
        <f>[1]!bodsava(1,1,(KA45+1),[1]!qsn([1]!ml([1]!taqsha(1,1,1+KA45,KA46)),KA47)/30,KA46,KA47)</f>
        <v>#VALUE!</v>
      </c>
      <c r="KB53" s="962" t="e">
        <f>[1]!bodsava(1,1,(KB45+1),[1]!qsn([1]!ml([1]!taqsha(1,1,1+KB45,KB46)),KB47)/30,KB46,KB47)</f>
        <v>#VALUE!</v>
      </c>
      <c r="KC53" s="962" t="e">
        <f>[1]!bodsava(1,1,(KC45+1),[1]!qsn([1]!ml([1]!taqsha(1,1,1+KC45,KC46)),KC47)/30,KC46,KC47)</f>
        <v>#VALUE!</v>
      </c>
      <c r="KD53" s="962" t="e">
        <f>[1]!bodsava(1,1,(KD45+1),[1]!qsn([1]!ml([1]!taqsha(1,1,1+KD45,KD46)),KD47)/30,KD46,KD47)</f>
        <v>#VALUE!</v>
      </c>
      <c r="KE53" s="962" t="e">
        <f>[1]!bodsava(1,1,(KE45+1),[1]!qsn([1]!ml([1]!taqsha(1,1,1+KE45,KE46)),KE47)/30,KE46,KE47)</f>
        <v>#VALUE!</v>
      </c>
      <c r="KF53" s="962" t="e">
        <f>[1]!bodsava(1,1,(KF45+1),[1]!qsn([1]!ml([1]!taqsha(1,1,1+KF45,KF46)),KF47)/30,KF46,KF47)</f>
        <v>#VALUE!</v>
      </c>
      <c r="KG53" s="962" t="e">
        <f>[1]!bodsava(1,1,(KG45+1),[1]!qsn([1]!ml([1]!taqsha(1,1,1+KG45,KG46)),KG47)/30,KG46,KG47)</f>
        <v>#VALUE!</v>
      </c>
      <c r="KH53" s="962" t="e">
        <f>[1]!bodsava(1,1,(KH45+1),[1]!qsn([1]!ml([1]!taqsha(1,1,1+KH45,KH46)),KH47)/30,KH46,KH47)</f>
        <v>#VALUE!</v>
      </c>
      <c r="KI53" s="962" t="e">
        <f>[1]!bodsava(1,1,(KI45+1),[1]!qsn([1]!ml([1]!taqsha(1,1,1+KI45,KI46)),KI47)/30,KI46,KI47)</f>
        <v>#VALUE!</v>
      </c>
      <c r="KJ53" s="962" t="e">
        <f>[1]!bodsava(1,1,(KJ45+1),[1]!qsn([1]!ml([1]!taqsha(1,1,1+KJ45,KJ46)),KJ47)/30,KJ46,KJ47)</f>
        <v>#VALUE!</v>
      </c>
      <c r="KK53" s="962" t="e">
        <f>[1]!bodsava(1,1,(KK45+1),[1]!qsn([1]!ml([1]!taqsha(1,1,1+KK45,KK46)),KK47)/30,KK46,KK47)</f>
        <v>#VALUE!</v>
      </c>
      <c r="KL53" s="962" t="e">
        <f>[1]!bodsava(1,1,(KL45+1),[1]!qsn([1]!ml([1]!taqsha(1,1,1+KL45,KL46)),KL47)/30,KL46,KL47)</f>
        <v>#VALUE!</v>
      </c>
      <c r="KM53" s="962" t="e">
        <f>[1]!bodsava(1,1,(KM45+1),[1]!qsn([1]!ml([1]!taqsha(1,1,1+KM45,KM46)),KM47)/30,KM46,KM47)</f>
        <v>#VALUE!</v>
      </c>
      <c r="KN53" s="962" t="e">
        <f>[1]!bodsava(1,1,(KN45+1),[1]!qsn([1]!ml([1]!taqsha(1,1,1+KN45,KN46)),KN47)/30,KN46,KN47)</f>
        <v>#VALUE!</v>
      </c>
      <c r="KO53" s="962" t="e">
        <f>[1]!bodsava(1,1,(KO45+1),[1]!qsn([1]!ml([1]!taqsha(1,1,1+KO45,KO46)),KO47)/30,KO46,KO47)</f>
        <v>#VALUE!</v>
      </c>
      <c r="KP53" s="962" t="e">
        <f>[1]!bodsava(1,1,(KP45+1),[1]!qsn([1]!ml([1]!taqsha(1,1,1+KP45,KP46)),KP47)/30,KP46,KP47)</f>
        <v>#VALUE!</v>
      </c>
      <c r="KQ53" s="962" t="e">
        <f>[1]!bodsava(1,1,(KQ45+1),[1]!qsn([1]!ml([1]!taqsha(1,1,1+KQ45,KQ46)),KQ47)/30,KQ46,KQ47)</f>
        <v>#VALUE!</v>
      </c>
      <c r="KR53" s="962" t="e">
        <f>[1]!bodsava(1,1,(KR45+1),[1]!qsn([1]!ml([1]!taqsha(1,1,1+KR45,KR46)),KR47)/30,KR46,KR47)</f>
        <v>#VALUE!</v>
      </c>
      <c r="KS53" s="962" t="e">
        <f>[1]!bodsava(1,1,(KS45+1),[1]!qsn([1]!ml([1]!taqsha(1,1,1+KS45,KS46)),KS47)/30,KS46,KS47)</f>
        <v>#VALUE!</v>
      </c>
      <c r="KT53" s="962" t="e">
        <f>[1]!bodsava(1,1,(KT45+1),[1]!qsn([1]!ml([1]!taqsha(1,1,1+KT45,KT46)),KT47)/30,KT46,KT47)</f>
        <v>#VALUE!</v>
      </c>
      <c r="KU53" s="962" t="e">
        <f>[1]!bodsava(1,1,(KU45+1),[1]!qsn([1]!ml([1]!taqsha(1,1,1+KU45,KU46)),KU47)/30,KU46,KU47)</f>
        <v>#VALUE!</v>
      </c>
      <c r="KV53" s="962" t="e">
        <f>[1]!bodsava(1,1,(KV45+1),[1]!qsn([1]!ml([1]!taqsha(1,1,1+KV45,KV46)),KV47)/30,KV46,KV47)</f>
        <v>#VALUE!</v>
      </c>
      <c r="KW53" s="962" t="e">
        <f>[1]!bodsava(1,1,(KW45+1),[1]!qsn([1]!ml([1]!taqsha(1,1,1+KW45,KW46)),KW47)/30,KW46,KW47)</f>
        <v>#VALUE!</v>
      </c>
      <c r="KX53" s="962" t="e">
        <f>[1]!bodsava(1,1,(KX45+1),[1]!qsn([1]!ml([1]!taqsha(1,1,1+KX45,KX46)),KX47)/30,KX46,KX47)</f>
        <v>#VALUE!</v>
      </c>
      <c r="KY53" s="962" t="e">
        <f>[1]!bodsava(1,1,(KY45+1),[1]!qsn([1]!ml([1]!taqsha(1,1,1+KY45,KY46)),KY47)/30,KY46,KY47)</f>
        <v>#VALUE!</v>
      </c>
      <c r="KZ53" s="962" t="e">
        <f>[1]!bodsava(1,1,(KZ45+1),[1]!qsn([1]!ml([1]!taqsha(1,1,1+KZ45,KZ46)),KZ47)/30,KZ46,KZ47)</f>
        <v>#VALUE!</v>
      </c>
      <c r="LA53" s="962" t="e">
        <f>[1]!bodsava(1,1,(LA45+1),[1]!qsn([1]!ml([1]!taqsha(1,1,1+LA45,LA46)),LA47)/30,LA46,LA47)</f>
        <v>#VALUE!</v>
      </c>
      <c r="LB53" s="962" t="e">
        <f>[1]!bodsava(1,1,(LB45+1),[1]!qsn([1]!ml([1]!taqsha(1,1,1+LB45,LB46)),LB47)/30,LB46,LB47)</f>
        <v>#VALUE!</v>
      </c>
      <c r="LC53" s="962" t="e">
        <f>[1]!bodsava(1,1,(LC45+1),[1]!qsn([1]!ml([1]!taqsha(1,1,1+LC45,LC46)),LC47)/30,LC46,LC47)</f>
        <v>#VALUE!</v>
      </c>
      <c r="LD53" s="962" t="e">
        <f>[1]!bodsava(1,1,(LD45+1),[1]!qsn([1]!ml([1]!taqsha(1,1,1+LD45,LD46)),LD47)/30,LD46,LD47)</f>
        <v>#VALUE!</v>
      </c>
      <c r="LE53" s="962" t="e">
        <f>[1]!bodsava(1,1,(LE45+1),[1]!qsn([1]!ml([1]!taqsha(1,1,1+LE45,LE46)),LE47)/30,LE46,LE47)</f>
        <v>#VALUE!</v>
      </c>
      <c r="LF53" s="962" t="e">
        <f>[1]!bodsava(1,1,(LF45+1),[1]!qsn([1]!ml([1]!taqsha(1,1,1+LF45,LF46)),LF47)/30,LF46,LF47)</f>
        <v>#VALUE!</v>
      </c>
      <c r="LG53" s="962" t="e">
        <f>[1]!bodsava(1,1,(LG45+1),[1]!qsn([1]!ml([1]!taqsha(1,1,1+LG45,LG46)),LG47)/30,LG46,LG47)</f>
        <v>#VALUE!</v>
      </c>
      <c r="LH53" s="962" t="e">
        <f>[1]!bodsava(1,1,(LH45+1),[1]!qsn([1]!ml([1]!taqsha(1,1,1+LH45,LH46)),LH47)/30,LH46,LH47)</f>
        <v>#VALUE!</v>
      </c>
      <c r="LI53" s="962" t="e">
        <f>[1]!bodsava(1,1,(LI45+1),[1]!qsn([1]!ml([1]!taqsha(1,1,1+LI45,LI46)),LI47)/30,LI46,LI47)</f>
        <v>#VALUE!</v>
      </c>
      <c r="LJ53" s="962" t="e">
        <f>[1]!bodsava(1,1,(LJ45+1),[1]!qsn([1]!ml([1]!taqsha(1,1,1+LJ45,LJ46)),LJ47)/30,LJ46,LJ47)</f>
        <v>#VALUE!</v>
      </c>
      <c r="LK53" s="962" t="e">
        <f>[1]!bodsava(1,1,(LK45+1),[1]!qsn([1]!ml([1]!taqsha(1,1,1+LK45,LK46)),LK47)/30,LK46,LK47)</f>
        <v>#VALUE!</v>
      </c>
      <c r="LL53" s="962" t="e">
        <f>[1]!bodsava(1,1,(LL45+1),[1]!qsn([1]!ml([1]!taqsha(1,1,1+LL45,LL46)),LL47)/30,LL46,LL47)</f>
        <v>#VALUE!</v>
      </c>
      <c r="LM53" s="962" t="e">
        <f>[1]!bodsava(1,1,(LM45+1),[1]!qsn([1]!ml([1]!taqsha(1,1,1+LM45,LM46)),LM47)/30,LM46,LM47)</f>
        <v>#VALUE!</v>
      </c>
      <c r="LN53" s="962" t="e">
        <f>[1]!bodsava(1,1,(LN45+1),[1]!qsn([1]!ml([1]!taqsha(1,1,1+LN45,LN46)),LN47)/30,LN46,LN47)</f>
        <v>#VALUE!</v>
      </c>
      <c r="LO53" s="962" t="e">
        <f>[1]!bodsava(1,1,(LO45+1),[1]!qsn([1]!ml([1]!taqsha(1,1,1+LO45,LO46)),LO47)/30,LO46,LO47)</f>
        <v>#VALUE!</v>
      </c>
      <c r="LP53" s="962" t="e">
        <f>[1]!bodsava(1,1,(LP45+1),[1]!qsn([1]!ml([1]!taqsha(1,1,1+LP45,LP46)),LP47)/30,LP46,LP47)</f>
        <v>#VALUE!</v>
      </c>
      <c r="LQ53" s="962" t="e">
        <f>[1]!bodsava(1,1,(LQ45+1),[1]!qsn([1]!ml([1]!taqsha(1,1,1+LQ45,LQ46)),LQ47)/30,LQ46,LQ47)</f>
        <v>#VALUE!</v>
      </c>
      <c r="LR53" s="962" t="e">
        <f>[1]!bodsava(1,1,(LR45+1),[1]!qsn([1]!ml([1]!taqsha(1,1,1+LR45,LR46)),LR47)/30,LR46,LR47)</f>
        <v>#VALUE!</v>
      </c>
      <c r="LS53" s="962" t="e">
        <f>[1]!bodsava(1,1,(LS45+1),[1]!qsn([1]!ml([1]!taqsha(1,1,1+LS45,LS46)),LS47)/30,LS46,LS47)</f>
        <v>#VALUE!</v>
      </c>
      <c r="LT53" s="962" t="e">
        <f>[1]!bodsava(1,1,(LT45+1),[1]!qsn([1]!ml([1]!taqsha(1,1,1+LT45,LT46)),LT47)/30,LT46,LT47)</f>
        <v>#VALUE!</v>
      </c>
      <c r="LU53" s="962" t="e">
        <f>[1]!bodsava(1,1,(LU45+1),[1]!qsn([1]!ml([1]!taqsha(1,1,1+LU45,LU46)),LU47)/30,LU46,LU47)</f>
        <v>#VALUE!</v>
      </c>
      <c r="LV53" s="962" t="e">
        <f>[1]!bodsava(1,1,(LV45+1),[1]!qsn([1]!ml([1]!taqsha(1,1,1+LV45,LV46)),LV47)/30,LV46,LV47)</f>
        <v>#VALUE!</v>
      </c>
      <c r="LW53" s="962" t="e">
        <f>[1]!bodsava(1,1,(LW45+1),[1]!qsn([1]!ml([1]!taqsha(1,1,1+LW45,LW46)),LW47)/30,LW46,LW47)</f>
        <v>#VALUE!</v>
      </c>
      <c r="LX53" s="962" t="e">
        <f>[1]!bodsava(1,1,(LX45+1),[1]!qsn([1]!ml([1]!taqsha(1,1,1+LX45,LX46)),LX47)/30,LX46,LX47)</f>
        <v>#VALUE!</v>
      </c>
      <c r="LY53" s="962" t="e">
        <f>[1]!bodsava(1,1,(LY45+1),[1]!qsn([1]!ml([1]!taqsha(1,1,1+LY45,LY46)),LY47)/30,LY46,LY47)</f>
        <v>#VALUE!</v>
      </c>
      <c r="LZ53" s="962" t="e">
        <f>[1]!bodsava(1,1,(LZ45+1),[1]!qsn([1]!ml([1]!taqsha(1,1,1+LZ45,LZ46)),LZ47)/30,LZ46,LZ47)</f>
        <v>#VALUE!</v>
      </c>
      <c r="MA53" s="962" t="e">
        <f>[1]!bodsava(1,1,(MA45+1),[1]!qsn([1]!ml([1]!taqsha(1,1,1+MA45,MA46)),MA47)/30,MA46,MA47)</f>
        <v>#VALUE!</v>
      </c>
      <c r="MB53" s="962" t="e">
        <f>[1]!bodsava(1,1,(MB45+1),[1]!qsn([1]!ml([1]!taqsha(1,1,1+MB45,MB46)),MB47)/30,MB46,MB47)</f>
        <v>#VALUE!</v>
      </c>
      <c r="MC53" s="962" t="e">
        <f>[1]!bodsava(1,1,(MC45+1),[1]!qsn([1]!ml([1]!taqsha(1,1,1+MC45,MC46)),MC47)/30,MC46,MC47)</f>
        <v>#VALUE!</v>
      </c>
      <c r="MD53" s="962" t="e">
        <f>[1]!bodsava(1,1,(MD45+1),[1]!qsn([1]!ml([1]!taqsha(1,1,1+MD45,MD46)),MD47)/30,MD46,MD47)</f>
        <v>#VALUE!</v>
      </c>
      <c r="ME53" s="962" t="e">
        <f>[1]!bodsava(1,1,(ME45+1),[1]!qsn([1]!ml([1]!taqsha(1,1,1+ME45,ME46)),ME47)/30,ME46,ME47)</f>
        <v>#VALUE!</v>
      </c>
      <c r="MF53" s="962" t="e">
        <f>[1]!bodsava(1,1,(MF45+1),[1]!qsn([1]!ml([1]!taqsha(1,1,1+MF45,MF46)),MF47)/30,MF46,MF47)</f>
        <v>#VALUE!</v>
      </c>
      <c r="MG53" s="962" t="e">
        <f>[1]!bodsava(1,1,(MG45+1),[1]!qsn([1]!ml([1]!taqsha(1,1,1+MG45,MG46)),MG47)/30,MG46,MG47)</f>
        <v>#VALUE!</v>
      </c>
      <c r="MH53" s="962" t="e">
        <f>[1]!bodsava(1,1,(MH45+1),[1]!qsn([1]!ml([1]!taqsha(1,1,1+MH45,MH46)),MH47)/30,MH46,MH47)</f>
        <v>#VALUE!</v>
      </c>
      <c r="MI53" s="962" t="e">
        <f>[1]!bodsava(1,1,(MI45+1),[1]!qsn([1]!ml([1]!taqsha(1,1,1+MI45,MI46)),MI47)/30,MI46,MI47)</f>
        <v>#VALUE!</v>
      </c>
      <c r="MJ53" s="962" t="e">
        <f>[1]!bodsava(1,1,(MJ45+1),[1]!qsn([1]!ml([1]!taqsha(1,1,1+MJ45,MJ46)),MJ47)/30,MJ46,MJ47)</f>
        <v>#VALUE!</v>
      </c>
      <c r="MK53" s="962" t="e">
        <f>[1]!bodsava(1,1,(MK45+1),[1]!qsn([1]!ml([1]!taqsha(1,1,1+MK45,MK46)),MK47)/30,MK46,MK47)</f>
        <v>#VALUE!</v>
      </c>
      <c r="ML53" s="962" t="e">
        <f>[1]!bodsava(1,1,(ML45+1),[1]!qsn([1]!ml([1]!taqsha(1,1,1+ML45,ML46)),ML47)/30,ML46,ML47)</f>
        <v>#VALUE!</v>
      </c>
      <c r="MM53" s="962" t="e">
        <f>[1]!bodsava(1,1,(MM45+1),[1]!qsn([1]!ml([1]!taqsha(1,1,1+MM45,MM46)),MM47)/30,MM46,MM47)</f>
        <v>#VALUE!</v>
      </c>
      <c r="MN53" s="962" t="e">
        <f>[1]!bodsava(1,1,(MN45+1),[1]!qsn([1]!ml([1]!taqsha(1,1,1+MN45,MN46)),MN47)/30,MN46,MN47)</f>
        <v>#VALUE!</v>
      </c>
      <c r="MO53" s="962" t="e">
        <f>[1]!bodsava(1,1,(MO45+1),[1]!qsn([1]!ml([1]!taqsha(1,1,1+MO45,MO46)),MO47)/30,MO46,MO47)</f>
        <v>#VALUE!</v>
      </c>
      <c r="MP53" s="962" t="e">
        <f>[1]!bodsava(1,1,(MP45+1),[1]!qsn([1]!ml([1]!taqsha(1,1,1+MP45,MP46)),MP47)/30,MP46,MP47)</f>
        <v>#VALUE!</v>
      </c>
      <c r="MQ53" s="962" t="e">
        <f>[1]!bodsava(1,1,(MQ45+1),[1]!qsn([1]!ml([1]!taqsha(1,1,1+MQ45,MQ46)),MQ47)/30,MQ46,MQ47)</f>
        <v>#VALUE!</v>
      </c>
      <c r="MR53" s="962" t="e">
        <f>[1]!bodsava(1,1,(MR45+1),[1]!qsn([1]!ml([1]!taqsha(1,1,1+MR45,MR46)),MR47)/30,MR46,MR47)</f>
        <v>#VALUE!</v>
      </c>
      <c r="MS53" s="962" t="e">
        <f>[1]!bodsava(1,1,(MS45+1),[1]!qsn([1]!ml([1]!taqsha(1,1,1+MS45,MS46)),MS47)/30,MS46,MS47)</f>
        <v>#VALUE!</v>
      </c>
      <c r="MT53" s="962" t="e">
        <f>[1]!bodsava(1,1,(MT45+1),[1]!qsn([1]!ml([1]!taqsha(1,1,1+MT45,MT46)),MT47)/30,MT46,MT47)</f>
        <v>#VALUE!</v>
      </c>
      <c r="MU53" s="962" t="e">
        <f>[1]!bodsava(1,1,(MU45+1),[1]!qsn([1]!ml([1]!taqsha(1,1,1+MU45,MU46)),MU47)/30,MU46,MU47)</f>
        <v>#VALUE!</v>
      </c>
      <c r="MV53" s="962" t="e">
        <f>[1]!bodsava(1,1,(MV45+1),[1]!qsn([1]!ml([1]!taqsha(1,1,1+MV45,MV46)),MV47)/30,MV46,MV47)</f>
        <v>#VALUE!</v>
      </c>
      <c r="MW53" s="962" t="e">
        <f>[1]!bodsava(1,1,(MW45+1),[1]!qsn([1]!ml([1]!taqsha(1,1,1+MW45,MW46)),MW47)/30,MW46,MW47)</f>
        <v>#VALUE!</v>
      </c>
      <c r="MX53" s="962" t="e">
        <f>[1]!bodsava(1,1,(MX45+1),[1]!qsn([1]!ml([1]!taqsha(1,1,1+MX45,MX46)),MX47)/30,MX46,MX47)</f>
        <v>#VALUE!</v>
      </c>
      <c r="MY53" s="962" t="e">
        <f>[1]!bodsava(1,1,(MY45+1),[1]!qsn([1]!ml([1]!taqsha(1,1,1+MY45,MY46)),MY47)/30,MY46,MY47)</f>
        <v>#VALUE!</v>
      </c>
      <c r="MZ53" s="962" t="e">
        <f>[1]!bodsava(1,1,(MZ45+1),[1]!qsn([1]!ml([1]!taqsha(1,1,1+MZ45,MZ46)),MZ47)/30,MZ46,MZ47)</f>
        <v>#VALUE!</v>
      </c>
      <c r="NA53" s="962" t="e">
        <f>[1]!bodsava(1,1,(NA45+1),[1]!qsn([1]!ml([1]!taqsha(1,1,1+NA45,NA46)),NA47)/30,NA46,NA47)</f>
        <v>#VALUE!</v>
      </c>
      <c r="NB53" s="962" t="e">
        <f>[1]!bodsava(1,1,(NB45+1),[1]!qsn([1]!ml([1]!taqsha(1,1,1+NB45,NB46)),NB47)/30,NB46,NB47)</f>
        <v>#VALUE!</v>
      </c>
      <c r="NC53" s="962" t="e">
        <f>[1]!bodsava(1,1,(NC45+1),[1]!qsn([1]!ml([1]!taqsha(1,1,1+NC45,NC46)),NC47)/30,NC46,NC47)</f>
        <v>#VALUE!</v>
      </c>
      <c r="ND53" s="962" t="e">
        <f>[1]!bodsava(1,1,(ND45+1),[1]!qsn([1]!ml([1]!taqsha(1,1,1+ND45,ND46)),ND47)/30,ND46,ND47)</f>
        <v>#VALUE!</v>
      </c>
      <c r="NE53" s="962" t="e">
        <f>[1]!bodsava(1,1,(NE45+1),[1]!qsn([1]!ml([1]!taqsha(1,1,1+NE45,NE46)),NE47)/30,NE46,NE47)</f>
        <v>#VALUE!</v>
      </c>
      <c r="NF53" s="962" t="e">
        <f>[1]!bodsava(1,1,(NF45+1),[1]!qsn([1]!ml([1]!taqsha(1,1,1+NF45,NF46)),NF47)/30,NF46,NF47)</f>
        <v>#VALUE!</v>
      </c>
      <c r="NG53" s="962" t="e">
        <f>[1]!bodsava(1,1,(NG45+1),[1]!qsn([1]!ml([1]!taqsha(1,1,1+NG45,NG46)),NG47)/30,NG46,NG47)</f>
        <v>#VALUE!</v>
      </c>
      <c r="NH53" s="962" t="e">
        <f>[1]!bodsava(1,1,(NH45+1),[1]!qsn([1]!ml([1]!taqsha(1,1,1+NH45,NH46)),NH47)/30,NH46,NH47)</f>
        <v>#VALUE!</v>
      </c>
      <c r="NI53" s="962" t="e">
        <f>[1]!bodsava(1,1,(NI45+1),[1]!qsn([1]!ml([1]!taqsha(1,1,1+NI45,NI46)),NI47)/30,NI46,NI47)</f>
        <v>#VALUE!</v>
      </c>
      <c r="NJ53" s="962" t="e">
        <f>[1]!bodsava(1,1,(NJ45+1),[1]!qsn([1]!ml([1]!taqsha(1,1,1+NJ45,NJ46)),NJ47)/30,NJ46,NJ47)</f>
        <v>#VALUE!</v>
      </c>
      <c r="NK53" s="962" t="e">
        <f>[1]!bodsava(1,1,(NK45+1),[1]!qsn([1]!ml([1]!taqsha(1,1,1+NK45,NK46)),NK47)/30,NK46,NK47)</f>
        <v>#VALUE!</v>
      </c>
      <c r="NL53" s="962" t="e">
        <f>[1]!bodsava(1,1,(NL45+1),[1]!qsn([1]!ml([1]!taqsha(1,1,1+NL45,NL46)),NL47)/30,NL46,NL47)</f>
        <v>#VALUE!</v>
      </c>
      <c r="NM53" s="962" t="e">
        <f>[1]!bodsava(1,1,(NM45+1),[1]!qsn([1]!ml([1]!taqsha(1,1,1+NM45,NM46)),NM47)/30,NM46,NM47)</f>
        <v>#VALUE!</v>
      </c>
      <c r="NN53" s="962" t="e">
        <f>[1]!bodsava(1,1,(NN45+1),[1]!qsn([1]!ml([1]!taqsha(1,1,1+NN45,NN46)),NN47)/30,NN46,NN47)</f>
        <v>#VALUE!</v>
      </c>
      <c r="NO53" s="962" t="e">
        <f>[1]!bodsava(1,1,(NO45+1),[1]!qsn([1]!ml([1]!taqsha(1,1,1+NO45,NO46)),NO47)/30,NO46,NO47)</f>
        <v>#VALUE!</v>
      </c>
      <c r="NP53" s="962" t="e">
        <f>[1]!bodsava(1,1,(NP45+1),[1]!qsn([1]!ml([1]!taqsha(1,1,1+NP45,NP46)),NP47)/30,NP46,NP47)</f>
        <v>#VALUE!</v>
      </c>
      <c r="NQ53" s="962" t="e">
        <f>[1]!bodsava(1,1,(NQ45+1),[1]!qsn([1]!ml([1]!taqsha(1,1,1+NQ45,NQ46)),NQ47)/30,NQ46,NQ47)</f>
        <v>#VALUE!</v>
      </c>
      <c r="NR53" s="962" t="e">
        <f>[1]!bodsava(1,1,(NR45+1),[1]!qsn([1]!ml([1]!taqsha(1,1,1+NR45,NR46)),NR47)/30,NR46,NR47)</f>
        <v>#VALUE!</v>
      </c>
      <c r="NS53" s="962" t="e">
        <f>[1]!bodsava(1,1,(NS45+1),[1]!qsn([1]!ml([1]!taqsha(1,1,1+NS45,NS46)),NS47)/30,NS46,NS47)</f>
        <v>#VALUE!</v>
      </c>
      <c r="NT53" s="962" t="e">
        <f>[1]!bodsava(1,1,(NT45+1),[1]!qsn([1]!ml([1]!taqsha(1,1,1+NT45,NT46)),NT47)/30,NT46,NT47)</f>
        <v>#VALUE!</v>
      </c>
      <c r="NU53" s="962" t="e">
        <f>[1]!bodsava(1,1,(NU45+1),[1]!qsn([1]!ml([1]!taqsha(1,1,1+NU45,NU46)),NU47)/30,NU46,NU47)</f>
        <v>#VALUE!</v>
      </c>
      <c r="NV53" s="962" t="e">
        <f>[1]!bodsava(1,1,(NV45+1),[1]!qsn([1]!ml([1]!taqsha(1,1,1+NV45,NV46)),NV47)/30,NV46,NV47)</f>
        <v>#VALUE!</v>
      </c>
      <c r="NW53" s="962" t="e">
        <f>[1]!bodsava(1,1,(NW45+1),[1]!qsn([1]!ml([1]!taqsha(1,1,1+NW45,NW46)),NW47)/30,NW46,NW47)</f>
        <v>#VALUE!</v>
      </c>
      <c r="NX53" s="962" t="e">
        <f>[1]!bodsava(1,1,(NX45+1),[1]!qsn([1]!ml([1]!taqsha(1,1,1+NX45,NX46)),NX47)/30,NX46,NX47)</f>
        <v>#VALUE!</v>
      </c>
      <c r="NY53" s="962" t="e">
        <f>[1]!bodsava(1,1,(NY45+1),[1]!qsn([1]!ml([1]!taqsha(1,1,1+NY45,NY46)),NY47)/30,NY46,NY47)</f>
        <v>#VALUE!</v>
      </c>
      <c r="NZ53" s="962" t="e">
        <f>[1]!bodsava(1,1,(NZ45+1),[1]!qsn([1]!ml([1]!taqsha(1,1,1+NZ45,NZ46)),NZ47)/30,NZ46,NZ47)</f>
        <v>#VALUE!</v>
      </c>
      <c r="OA53" s="962" t="e">
        <f>[1]!bodsava(1,1,(OA45+1),[1]!qsn([1]!ml([1]!taqsha(1,1,1+OA45,OA46)),OA47)/30,OA46,OA47)</f>
        <v>#VALUE!</v>
      </c>
      <c r="OB53" s="962" t="e">
        <f>[1]!bodsava(1,1,(OB45+1),[1]!qsn([1]!ml([1]!taqsha(1,1,1+OB45,OB46)),OB47)/30,OB46,OB47)</f>
        <v>#VALUE!</v>
      </c>
      <c r="OC53" s="962" t="e">
        <f>[1]!bodsava(1,1,(OC45+1),[1]!qsn([1]!ml([1]!taqsha(1,1,1+OC45,OC46)),OC47)/30,OC46,OC47)</f>
        <v>#VALUE!</v>
      </c>
      <c r="OD53" s="962" t="e">
        <f>[1]!bodsava(1,1,(OD45+1),[1]!qsn([1]!ml([1]!taqsha(1,1,1+OD45,OD46)),OD47)/30,OD46,OD47)</f>
        <v>#VALUE!</v>
      </c>
      <c r="OE53" s="962" t="e">
        <f>[1]!bodsava(1,1,(OE45+1),[1]!qsn([1]!ml([1]!taqsha(1,1,1+OE45,OE46)),OE47)/30,OE46,OE47)</f>
        <v>#VALUE!</v>
      </c>
      <c r="OF53" s="962" t="e">
        <f>[1]!bodsava(1,1,(OF45+1),[1]!qsn([1]!ml([1]!taqsha(1,1,1+OF45,OF46)),OF47)/30,OF46,OF47)</f>
        <v>#VALUE!</v>
      </c>
      <c r="OG53" s="962" t="e">
        <f>[1]!bodsava(1,1,(OG45+1),[1]!qsn([1]!ml([1]!taqsha(1,1,1+OG45,OG46)),OG47)/30,OG46,OG47)</f>
        <v>#VALUE!</v>
      </c>
      <c r="OH53" s="962" t="e">
        <f>[1]!bodsava(1,1,(OH45+1),[1]!qsn([1]!ml([1]!taqsha(1,1,1+OH45,OH46)),OH47)/30,OH46,OH47)</f>
        <v>#VALUE!</v>
      </c>
      <c r="OI53" s="962" t="e">
        <f>[1]!bodsava(1,1,(OI45+1),[1]!qsn([1]!ml([1]!taqsha(1,1,1+OI45,OI46)),OI47)/30,OI46,OI47)</f>
        <v>#VALUE!</v>
      </c>
      <c r="OJ53" s="962" t="e">
        <f>[1]!bodsava(1,1,(OJ45+1),[1]!qsn([1]!ml([1]!taqsha(1,1,1+OJ45,OJ46)),OJ47)/30,OJ46,OJ47)</f>
        <v>#VALUE!</v>
      </c>
      <c r="OK53" s="962" t="e">
        <f>[1]!bodsava(1,1,(OK45+1),[1]!qsn([1]!ml([1]!taqsha(1,1,1+OK45,OK46)),OK47)/30,OK46,OK47)</f>
        <v>#VALUE!</v>
      </c>
      <c r="OL53" s="962" t="e">
        <f>[1]!bodsava(1,1,(OL45+1),[1]!qsn([1]!ml([1]!taqsha(1,1,1+OL45,OL46)),OL47)/30,OL46,OL47)</f>
        <v>#VALUE!</v>
      </c>
      <c r="OM53" s="962" t="e">
        <f>[1]!bodsava(1,1,(OM45+1),[1]!qsn([1]!ml([1]!taqsha(1,1,1+OM45,OM46)),OM47)/30,OM46,OM47)</f>
        <v>#VALUE!</v>
      </c>
      <c r="ON53" s="962" t="e">
        <f>[1]!bodsava(1,1,(ON45+1),[1]!qsn([1]!ml([1]!taqsha(1,1,1+ON45,ON46)),ON47)/30,ON46,ON47)</f>
        <v>#VALUE!</v>
      </c>
      <c r="OO53" s="962" t="e">
        <f>[1]!bodsava(1,1,(OO45+1),[1]!qsn([1]!ml([1]!taqsha(1,1,1+OO45,OO46)),OO47)/30,OO46,OO47)</f>
        <v>#VALUE!</v>
      </c>
      <c r="OP53" s="962" t="e">
        <f>[1]!bodsava(1,1,(OP45+1),[1]!qsn([1]!ml([1]!taqsha(1,1,1+OP45,OP46)),OP47)/30,OP46,OP47)</f>
        <v>#VALUE!</v>
      </c>
      <c r="OQ53" s="962" t="e">
        <f>[1]!bodsava(1,1,(OQ45+1),[1]!qsn([1]!ml([1]!taqsha(1,1,1+OQ45,OQ46)),OQ47)/30,OQ46,OQ47)</f>
        <v>#VALUE!</v>
      </c>
      <c r="OR53" s="962" t="e">
        <f>[1]!bodsava(1,1,(OR45+1),[1]!qsn([1]!ml([1]!taqsha(1,1,1+OR45,OR46)),OR47)/30,OR46,OR47)</f>
        <v>#VALUE!</v>
      </c>
      <c r="OS53" s="962" t="e">
        <f>[1]!bodsava(1,1,(OS45+1),[1]!qsn([1]!ml([1]!taqsha(1,1,1+OS45,OS46)),OS47)/30,OS46,OS47)</f>
        <v>#VALUE!</v>
      </c>
      <c r="OT53" s="962" t="e">
        <f>[1]!bodsava(1,1,(OT45+1),[1]!qsn([1]!ml([1]!taqsha(1,1,1+OT45,OT46)),OT47)/30,OT46,OT47)</f>
        <v>#VALUE!</v>
      </c>
      <c r="OU53" s="962" t="e">
        <f>[1]!bodsava(1,1,(OU45+1),[1]!qsn([1]!ml([1]!taqsha(1,1,1+OU45,OU46)),OU47)/30,OU46,OU47)</f>
        <v>#VALUE!</v>
      </c>
      <c r="OV53" s="962" t="e">
        <f>[1]!bodsava(1,1,(OV45+1),[1]!qsn([1]!ml([1]!taqsha(1,1,1+OV45,OV46)),OV47)/30,OV46,OV47)</f>
        <v>#VALUE!</v>
      </c>
      <c r="OW53" s="962" t="e">
        <f>[1]!bodsava(1,1,(OW45+1),[1]!qsn([1]!ml([1]!taqsha(1,1,1+OW45,OW46)),OW47)/30,OW46,OW47)</f>
        <v>#VALUE!</v>
      </c>
      <c r="OX53" s="962" t="e">
        <f>[1]!bodsava(1,1,(OX45+1),[1]!qsn([1]!ml([1]!taqsha(1,1,1+OX45,OX46)),OX47)/30,OX46,OX47)</f>
        <v>#VALUE!</v>
      </c>
      <c r="OY53" s="962" t="e">
        <f>[1]!bodsava(1,1,(OY45+1),[1]!qsn([1]!ml([1]!taqsha(1,1,1+OY45,OY46)),OY47)/30,OY46,OY47)</f>
        <v>#VALUE!</v>
      </c>
      <c r="OZ53" s="962" t="e">
        <f>[1]!bodsava(1,1,(OZ45+1),[1]!qsn([1]!ml([1]!taqsha(1,1,1+OZ45,OZ46)),OZ47)/30,OZ46,OZ47)</f>
        <v>#VALUE!</v>
      </c>
      <c r="PA53" s="962" t="e">
        <f>[1]!bodsava(1,1,(PA45+1),[1]!qsn([1]!ml([1]!taqsha(1,1,1+PA45,PA46)),PA47)/30,PA46,PA47)</f>
        <v>#VALUE!</v>
      </c>
      <c r="PB53" s="962" t="e">
        <f>[1]!bodsava(1,1,(PB45+1),[1]!qsn([1]!ml([1]!taqsha(1,1,1+PB45,PB46)),PB47)/30,PB46,PB47)</f>
        <v>#VALUE!</v>
      </c>
      <c r="PC53" s="962" t="e">
        <f>[1]!bodsava(1,1,(PC45+1),[1]!qsn([1]!ml([1]!taqsha(1,1,1+PC45,PC46)),PC47)/30,PC46,PC47)</f>
        <v>#VALUE!</v>
      </c>
      <c r="PD53" s="962" t="e">
        <f>[1]!bodsava(1,1,(PD45+1),[1]!qsn([1]!ml([1]!taqsha(1,1,1+PD45,PD46)),PD47)/30,PD46,PD47)</f>
        <v>#VALUE!</v>
      </c>
      <c r="PE53" s="962" t="e">
        <f>[1]!bodsava(1,1,(PE45+1),[1]!qsn([1]!ml([1]!taqsha(1,1,1+PE45,PE46)),PE47)/30,PE46,PE47)</f>
        <v>#VALUE!</v>
      </c>
      <c r="PF53" s="962" t="e">
        <f>[1]!bodsava(1,1,(PF45+1),[1]!qsn([1]!ml([1]!taqsha(1,1,1+PF45,PF46)),PF47)/30,PF46,PF47)</f>
        <v>#VALUE!</v>
      </c>
      <c r="PG53" s="962" t="e">
        <f>[1]!bodsava(1,1,(PG45+1),[1]!qsn([1]!ml([1]!taqsha(1,1,1+PG45,PG46)),PG47)/30,PG46,PG47)</f>
        <v>#VALUE!</v>
      </c>
      <c r="PH53" s="962" t="e">
        <f>[1]!bodsava(1,1,(PH45+1),[1]!qsn([1]!ml([1]!taqsha(1,1,1+PH45,PH46)),PH47)/30,PH46,PH47)</f>
        <v>#VALUE!</v>
      </c>
      <c r="PI53" s="962" t="e">
        <f>[1]!bodsava(1,1,(PI45+1),[1]!qsn([1]!ml([1]!taqsha(1,1,1+PI45,PI46)),PI47)/30,PI46,PI47)</f>
        <v>#VALUE!</v>
      </c>
      <c r="PJ53" s="962" t="e">
        <f>[1]!bodsava(1,1,(PJ45+1),[1]!qsn([1]!ml([1]!taqsha(1,1,1+PJ45,PJ46)),PJ47)/30,PJ46,PJ47)</f>
        <v>#VALUE!</v>
      </c>
      <c r="PK53" s="962" t="e">
        <f>[1]!bodsava(1,1,(PK45+1),[1]!qsn([1]!ml([1]!taqsha(1,1,1+PK45,PK46)),PK47)/30,PK46,PK47)</f>
        <v>#VALUE!</v>
      </c>
      <c r="PL53" s="962" t="e">
        <f>[1]!bodsava(1,1,(PL45+1),[1]!qsn([1]!ml([1]!taqsha(1,1,1+PL45,PL46)),PL47)/30,PL46,PL47)</f>
        <v>#VALUE!</v>
      </c>
      <c r="PM53" s="962" t="e">
        <f>[1]!bodsava(1,1,(PM45+1),[1]!qsn([1]!ml([1]!taqsha(1,1,1+PM45,PM46)),PM47)/30,PM46,PM47)</f>
        <v>#VALUE!</v>
      </c>
      <c r="PN53" s="962" t="e">
        <f>[1]!bodsava(1,1,(PN45+1),[1]!qsn([1]!ml([1]!taqsha(1,1,1+PN45,PN46)),PN47)/30,PN46,PN47)</f>
        <v>#VALUE!</v>
      </c>
      <c r="PO53" s="962" t="e">
        <f>[1]!bodsava(1,1,(PO45+1),[1]!qsn([1]!ml([1]!taqsha(1,1,1+PO45,PO46)),PO47)/30,PO46,PO47)</f>
        <v>#VALUE!</v>
      </c>
      <c r="PP53" s="962" t="e">
        <f>[1]!bodsava(1,1,(PP45+1),[1]!qsn([1]!ml([1]!taqsha(1,1,1+PP45,PP46)),PP47)/30,PP46,PP47)</f>
        <v>#VALUE!</v>
      </c>
      <c r="PQ53" s="962" t="e">
        <f>[1]!bodsava(1,1,(PQ45+1),[1]!qsn([1]!ml([1]!taqsha(1,1,1+PQ45,PQ46)),PQ47)/30,PQ46,PQ47)</f>
        <v>#VALUE!</v>
      </c>
      <c r="PR53" s="962" t="e">
        <f>[1]!bodsava(1,1,(PR45+1),[1]!qsn([1]!ml([1]!taqsha(1,1,1+PR45,PR46)),PR47)/30,PR46,PR47)</f>
        <v>#VALUE!</v>
      </c>
      <c r="PS53" s="962" t="e">
        <f>[1]!bodsava(1,1,(PS45+1),[1]!qsn([1]!ml([1]!taqsha(1,1,1+PS45,PS46)),PS47)/30,PS46,PS47)</f>
        <v>#VALUE!</v>
      </c>
      <c r="PT53" s="962" t="e">
        <f>[1]!bodsava(1,1,(PT45+1),[1]!qsn([1]!ml([1]!taqsha(1,1,1+PT45,PT46)),PT47)/30,PT46,PT47)</f>
        <v>#VALUE!</v>
      </c>
      <c r="PU53" s="962" t="e">
        <f>[1]!bodsava(1,1,(PU45+1),[1]!qsn([1]!ml([1]!taqsha(1,1,1+PU45,PU46)),PU47)/30,PU46,PU47)</f>
        <v>#VALUE!</v>
      </c>
      <c r="PV53" s="962" t="e">
        <f>[1]!bodsava(1,1,(PV45+1),[1]!qsn([1]!ml([1]!taqsha(1,1,1+PV45,PV46)),PV47)/30,PV46,PV47)</f>
        <v>#VALUE!</v>
      </c>
      <c r="PW53" s="962" t="e">
        <f>[1]!bodsava(1,1,(PW45+1),[1]!qsn([1]!ml([1]!taqsha(1,1,1+PW45,PW46)),PW47)/30,PW46,PW47)</f>
        <v>#VALUE!</v>
      </c>
      <c r="PX53" s="962" t="e">
        <f>[1]!bodsava(1,1,(PX45+1),[1]!qsn([1]!ml([1]!taqsha(1,1,1+PX45,PX46)),PX47)/30,PX46,PX47)</f>
        <v>#VALUE!</v>
      </c>
      <c r="PY53" s="962" t="e">
        <f>[1]!bodsava(1,1,(PY45+1),[1]!qsn([1]!ml([1]!taqsha(1,1,1+PY45,PY46)),PY47)/30,PY46,PY47)</f>
        <v>#VALUE!</v>
      </c>
      <c r="PZ53" s="962" t="e">
        <f>[1]!bodsava(1,1,(PZ45+1),[1]!qsn([1]!ml([1]!taqsha(1,1,1+PZ45,PZ46)),PZ47)/30,PZ46,PZ47)</f>
        <v>#VALUE!</v>
      </c>
      <c r="QA53" s="962" t="e">
        <f>[1]!bodsava(1,1,(QA45+1),[1]!qsn([1]!ml([1]!taqsha(1,1,1+QA45,QA46)),QA47)/30,QA46,QA47)</f>
        <v>#VALUE!</v>
      </c>
      <c r="QB53" s="962" t="e">
        <f>[1]!bodsava(1,1,(QB45+1),[1]!qsn([1]!ml([1]!taqsha(1,1,1+QB45,QB46)),QB47)/30,QB46,QB47)</f>
        <v>#VALUE!</v>
      </c>
      <c r="QC53" s="962" t="e">
        <f>[1]!bodsava(1,1,(QC45+1),[1]!qsn([1]!ml([1]!taqsha(1,1,1+QC45,QC46)),QC47)/30,QC46,QC47)</f>
        <v>#VALUE!</v>
      </c>
      <c r="QD53" s="962" t="e">
        <f>[1]!bodsava(1,1,(QD45+1),[1]!qsn([1]!ml([1]!taqsha(1,1,1+QD45,QD46)),QD47)/30,QD46,QD47)</f>
        <v>#VALUE!</v>
      </c>
      <c r="QE53" s="962" t="e">
        <f>[1]!bodsava(1,1,(QE45+1),[1]!qsn([1]!ml([1]!taqsha(1,1,1+QE45,QE46)),QE47)/30,QE46,QE47)</f>
        <v>#VALUE!</v>
      </c>
      <c r="QF53" s="962" t="e">
        <f>[1]!bodsava(1,1,(QF45+1),[1]!qsn([1]!ml([1]!taqsha(1,1,1+QF45,QF46)),QF47)/30,QF46,QF47)</f>
        <v>#VALUE!</v>
      </c>
      <c r="QG53" s="962" t="e">
        <f>[1]!bodsava(1,1,(QG45+1),[1]!qsn([1]!ml([1]!taqsha(1,1,1+QG45,QG46)),QG47)/30,QG46,QG47)</f>
        <v>#VALUE!</v>
      </c>
      <c r="QH53" s="962" t="e">
        <f>[1]!bodsava(1,1,(QH45+1),[1]!qsn([1]!ml([1]!taqsha(1,1,1+QH45,QH46)),QH47)/30,QH46,QH47)</f>
        <v>#VALUE!</v>
      </c>
      <c r="QI53" s="962" t="e">
        <f>[1]!bodsava(1,1,(QI45+1),[1]!qsn([1]!ml([1]!taqsha(1,1,1+QI45,QI46)),QI47)/30,QI46,QI47)</f>
        <v>#VALUE!</v>
      </c>
      <c r="QJ53" s="962" t="e">
        <f>[1]!bodsava(1,1,(QJ45+1),[1]!qsn([1]!ml([1]!taqsha(1,1,1+QJ45,QJ46)),QJ47)/30,QJ46,QJ47)</f>
        <v>#VALUE!</v>
      </c>
      <c r="QK53" s="962" t="e">
        <f>[1]!bodsava(1,1,(QK45+1),[1]!qsn([1]!ml([1]!taqsha(1,1,1+QK45,QK46)),QK47)/30,QK46,QK47)</f>
        <v>#VALUE!</v>
      </c>
      <c r="QL53" s="962" t="e">
        <f>[1]!bodsava(1,1,(QL45+1),[1]!qsn([1]!ml([1]!taqsha(1,1,1+QL45,QL46)),QL47)/30,QL46,QL47)</f>
        <v>#VALUE!</v>
      </c>
      <c r="QM53" s="962" t="e">
        <f>[1]!bodsava(1,1,(QM45+1),[1]!qsn([1]!ml([1]!taqsha(1,1,1+QM45,QM46)),QM47)/30,QM46,QM47)</f>
        <v>#VALUE!</v>
      </c>
      <c r="QN53" s="962" t="e">
        <f>[1]!bodsava(1,1,(QN45+1),[1]!qsn([1]!ml([1]!taqsha(1,1,1+QN45,QN46)),QN47)/30,QN46,QN47)</f>
        <v>#VALUE!</v>
      </c>
      <c r="QO53" s="962" t="e">
        <f>[1]!bodsava(1,1,(QO45+1),[1]!qsn([1]!ml([1]!taqsha(1,1,1+QO45,QO46)),QO47)/30,QO46,QO47)</f>
        <v>#VALUE!</v>
      </c>
      <c r="QP53" s="962" t="e">
        <f>[1]!bodsava(1,1,(QP45+1),[1]!qsn([1]!ml([1]!taqsha(1,1,1+QP45,QP46)),QP47)/30,QP46,QP47)</f>
        <v>#VALUE!</v>
      </c>
      <c r="QQ53" s="962" t="e">
        <f>[1]!bodsava(1,1,(QQ45+1),[1]!qsn([1]!ml([1]!taqsha(1,1,1+QQ45,QQ46)),QQ47)/30,QQ46,QQ47)</f>
        <v>#VALUE!</v>
      </c>
      <c r="QR53" s="962" t="e">
        <f>[1]!bodsava(1,1,(QR45+1),[1]!qsn([1]!ml([1]!taqsha(1,1,1+QR45,QR46)),QR47)/30,QR46,QR47)</f>
        <v>#VALUE!</v>
      </c>
      <c r="QS53" s="962" t="e">
        <f>[1]!bodsava(1,1,(QS45+1),[1]!qsn([1]!ml([1]!taqsha(1,1,1+QS45,QS46)),QS47)/30,QS46,QS47)</f>
        <v>#VALUE!</v>
      </c>
      <c r="QT53" s="962" t="e">
        <f>[1]!bodsava(1,1,(QT45+1),[1]!qsn([1]!ml([1]!taqsha(1,1,1+QT45,QT46)),QT47)/30,QT46,QT47)</f>
        <v>#VALUE!</v>
      </c>
      <c r="QU53" s="962" t="e">
        <f>[1]!bodsava(1,1,(QU45+1),[1]!qsn([1]!ml([1]!taqsha(1,1,1+QU45,QU46)),QU47)/30,QU46,QU47)</f>
        <v>#VALUE!</v>
      </c>
      <c r="QV53" s="962" t="e">
        <f>[1]!bodsava(1,1,(QV45+1),[1]!qsn([1]!ml([1]!taqsha(1,1,1+QV45,QV46)),QV47)/30,QV46,QV47)</f>
        <v>#VALUE!</v>
      </c>
      <c r="QW53" s="962" t="e">
        <f>[1]!bodsava(1,1,(QW45+1),[1]!qsn([1]!ml([1]!taqsha(1,1,1+QW45,QW46)),QW47)/30,QW46,QW47)</f>
        <v>#VALUE!</v>
      </c>
      <c r="QX53" s="962" t="e">
        <f>[1]!bodsava(1,1,(QX45+1),[1]!qsn([1]!ml([1]!taqsha(1,1,1+QX45,QX46)),QX47)/30,QX46,QX47)</f>
        <v>#VALUE!</v>
      </c>
      <c r="QY53" s="962" t="e">
        <f>[1]!bodsava(1,1,(QY45+1),[1]!qsn([1]!ml([1]!taqsha(1,1,1+QY45,QY46)),QY47)/30,QY46,QY47)</f>
        <v>#VALUE!</v>
      </c>
      <c r="QZ53" s="962" t="e">
        <f>[1]!bodsava(1,1,(QZ45+1),[1]!qsn([1]!ml([1]!taqsha(1,1,1+QZ45,QZ46)),QZ47)/30,QZ46,QZ47)</f>
        <v>#VALUE!</v>
      </c>
      <c r="RA53" s="963"/>
    </row>
    <row r="54" spans="1:471" ht="15.75" thickBot="1">
      <c r="AK54" s="112" t="s">
        <v>3543</v>
      </c>
      <c r="AL54" s="708" t="e">
        <f>AL42+29</f>
        <v>#VALUE!</v>
      </c>
      <c r="AM54" s="708" t="e">
        <f t="shared" ref="AM54:AW54" si="379">AM42+29</f>
        <v>#VALUE!</v>
      </c>
      <c r="AN54" s="708" t="e">
        <f t="shared" si="379"/>
        <v>#VALUE!</v>
      </c>
      <c r="AO54" s="708" t="e">
        <f t="shared" si="379"/>
        <v>#VALUE!</v>
      </c>
      <c r="AP54" s="708" t="e">
        <f t="shared" si="379"/>
        <v>#VALUE!</v>
      </c>
      <c r="AQ54" s="708" t="e">
        <f t="shared" si="379"/>
        <v>#VALUE!</v>
      </c>
      <c r="AR54" s="708" t="e">
        <f t="shared" si="379"/>
        <v>#VALUE!</v>
      </c>
      <c r="AS54" s="708" t="e">
        <f t="shared" si="379"/>
        <v>#VALUE!</v>
      </c>
      <c r="AT54" s="708" t="e">
        <f t="shared" si="379"/>
        <v>#VALUE!</v>
      </c>
      <c r="AU54" s="708" t="e">
        <f t="shared" si="379"/>
        <v>#VALUE!</v>
      </c>
      <c r="AV54" s="708" t="e">
        <f t="shared" si="379"/>
        <v>#VALUE!</v>
      </c>
      <c r="AW54" s="708" t="e">
        <f t="shared" si="379"/>
        <v>#VALUE!</v>
      </c>
      <c r="AX54" s="314"/>
      <c r="DB54" s="797" t="s">
        <v>3543</v>
      </c>
      <c r="DC54" s="797">
        <v>8</v>
      </c>
      <c r="DD54" s="651" t="e">
        <f>IF(AND(DC52&lt;10,DC53&lt;10,DD52&gt;=10,DD53&gt;=10),1,DC54+1)</f>
        <v>#VALUE!</v>
      </c>
      <c r="DE54" t="e">
        <f>[1]!tedadrooz(1,1,DD45+1,DD48,DD46,DD47)</f>
        <v>#VALUE!</v>
      </c>
      <c r="DH54" s="797"/>
      <c r="DI54" s="797" t="s">
        <v>3543</v>
      </c>
      <c r="DJ54" s="964">
        <v>1</v>
      </c>
      <c r="DK54" s="965">
        <v>2</v>
      </c>
      <c r="DL54" s="965">
        <v>3</v>
      </c>
      <c r="DM54" s="965">
        <v>4</v>
      </c>
      <c r="DN54" s="964">
        <v>5</v>
      </c>
      <c r="DO54" s="965">
        <v>6</v>
      </c>
      <c r="DP54" s="965">
        <v>7</v>
      </c>
      <c r="DQ54" s="965">
        <v>8</v>
      </c>
      <c r="DR54" s="964">
        <v>9</v>
      </c>
      <c r="DS54" s="965">
        <v>10</v>
      </c>
      <c r="DT54" s="965">
        <v>11</v>
      </c>
      <c r="DU54" s="965">
        <v>12</v>
      </c>
      <c r="DV54" s="964">
        <v>13</v>
      </c>
      <c r="DW54" s="965">
        <v>14</v>
      </c>
      <c r="DX54" s="965">
        <v>15</v>
      </c>
      <c r="DY54" s="965">
        <v>16</v>
      </c>
      <c r="DZ54" s="964">
        <v>17</v>
      </c>
      <c r="EA54" s="965">
        <v>18</v>
      </c>
      <c r="EB54" s="965">
        <v>19</v>
      </c>
      <c r="EC54" s="965">
        <v>20</v>
      </c>
      <c r="ED54" s="964">
        <v>21</v>
      </c>
      <c r="EE54" s="965">
        <v>22</v>
      </c>
      <c r="EF54" s="965">
        <v>23</v>
      </c>
      <c r="EG54" s="965">
        <v>24</v>
      </c>
      <c r="EH54" s="964">
        <v>25</v>
      </c>
      <c r="EI54" s="965">
        <v>26</v>
      </c>
      <c r="EJ54" s="965">
        <v>27</v>
      </c>
      <c r="EK54" s="965">
        <v>28</v>
      </c>
      <c r="EL54" s="964">
        <v>29</v>
      </c>
      <c r="EM54" s="965">
        <v>1</v>
      </c>
      <c r="EN54" s="967">
        <f>EM54+1</f>
        <v>2</v>
      </c>
      <c r="EO54" s="965">
        <f>EN54+1</f>
        <v>3</v>
      </c>
      <c r="EP54" s="965">
        <f t="shared" ref="EP54:FO54" si="380">EO54+1</f>
        <v>4</v>
      </c>
      <c r="EQ54" s="965">
        <f t="shared" si="380"/>
        <v>5</v>
      </c>
      <c r="ER54" s="965">
        <f t="shared" si="380"/>
        <v>6</v>
      </c>
      <c r="ES54" s="965">
        <f t="shared" si="380"/>
        <v>7</v>
      </c>
      <c r="ET54" s="965">
        <f t="shared" si="380"/>
        <v>8</v>
      </c>
      <c r="EU54" s="965">
        <f t="shared" si="380"/>
        <v>9</v>
      </c>
      <c r="EV54" s="965">
        <f t="shared" si="380"/>
        <v>10</v>
      </c>
      <c r="EW54" s="965">
        <f t="shared" si="380"/>
        <v>11</v>
      </c>
      <c r="EX54" s="965">
        <f t="shared" si="380"/>
        <v>12</v>
      </c>
      <c r="EY54" s="965">
        <f t="shared" si="380"/>
        <v>13</v>
      </c>
      <c r="EZ54" s="965">
        <f t="shared" si="380"/>
        <v>14</v>
      </c>
      <c r="FA54" s="965">
        <f t="shared" si="380"/>
        <v>15</v>
      </c>
      <c r="FB54" s="965">
        <f t="shared" si="380"/>
        <v>16</v>
      </c>
      <c r="FC54" s="965">
        <f t="shared" si="380"/>
        <v>17</v>
      </c>
      <c r="FD54" s="965">
        <f t="shared" si="380"/>
        <v>18</v>
      </c>
      <c r="FE54" s="965">
        <f t="shared" si="380"/>
        <v>19</v>
      </c>
      <c r="FF54" s="965">
        <f t="shared" si="380"/>
        <v>20</v>
      </c>
      <c r="FG54" s="965">
        <f t="shared" si="380"/>
        <v>21</v>
      </c>
      <c r="FH54" s="965">
        <f t="shared" si="380"/>
        <v>22</v>
      </c>
      <c r="FI54" s="965">
        <f t="shared" si="380"/>
        <v>23</v>
      </c>
      <c r="FJ54" s="965">
        <f t="shared" si="380"/>
        <v>24</v>
      </c>
      <c r="FK54" s="965">
        <f t="shared" si="380"/>
        <v>25</v>
      </c>
      <c r="FL54" s="965">
        <f t="shared" si="380"/>
        <v>26</v>
      </c>
      <c r="FM54" s="965">
        <f t="shared" si="380"/>
        <v>27</v>
      </c>
      <c r="FN54" s="965">
        <f t="shared" si="380"/>
        <v>28</v>
      </c>
      <c r="FO54" s="965">
        <f t="shared" si="380"/>
        <v>29</v>
      </c>
      <c r="FP54" s="965">
        <f>FO54+1</f>
        <v>30</v>
      </c>
      <c r="FQ54" s="967">
        <v>1</v>
      </c>
      <c r="FR54" s="965">
        <v>2</v>
      </c>
      <c r="FS54" s="965">
        <v>3</v>
      </c>
      <c r="FT54" s="965">
        <v>4</v>
      </c>
      <c r="FU54" s="964">
        <v>5</v>
      </c>
      <c r="FV54" s="965">
        <v>6</v>
      </c>
      <c r="FW54" s="965">
        <v>7</v>
      </c>
      <c r="FX54" s="965">
        <v>8</v>
      </c>
      <c r="FY54" s="964">
        <v>9</v>
      </c>
      <c r="FZ54" s="965">
        <v>10</v>
      </c>
      <c r="GA54" s="965">
        <v>11</v>
      </c>
      <c r="GB54" s="965">
        <v>12</v>
      </c>
      <c r="GC54" s="964">
        <v>13</v>
      </c>
      <c r="GD54" s="965">
        <v>14</v>
      </c>
      <c r="GE54" s="965">
        <v>15</v>
      </c>
      <c r="GF54" s="965">
        <v>16</v>
      </c>
      <c r="GG54" s="964">
        <v>17</v>
      </c>
      <c r="GH54" s="965">
        <v>18</v>
      </c>
      <c r="GI54" s="965">
        <v>19</v>
      </c>
      <c r="GJ54" s="965">
        <v>20</v>
      </c>
      <c r="GK54" s="964">
        <v>21</v>
      </c>
      <c r="GL54" s="965">
        <v>22</v>
      </c>
      <c r="GM54" s="965">
        <v>23</v>
      </c>
      <c r="GN54" s="965">
        <v>24</v>
      </c>
      <c r="GO54" s="964">
        <v>25</v>
      </c>
      <c r="GP54" s="965">
        <v>26</v>
      </c>
      <c r="GQ54" s="965">
        <v>27</v>
      </c>
      <c r="GR54" s="965">
        <v>28</v>
      </c>
      <c r="GS54" s="964">
        <v>29</v>
      </c>
      <c r="GT54" s="973">
        <v>1</v>
      </c>
      <c r="GU54" s="964">
        <f>GT54+1</f>
        <v>2</v>
      </c>
      <c r="GV54" s="964">
        <f t="shared" ref="GV54:HW54" si="381">GU54+1</f>
        <v>3</v>
      </c>
      <c r="GW54" s="964">
        <f t="shared" si="381"/>
        <v>4</v>
      </c>
      <c r="GX54" s="964">
        <f t="shared" si="381"/>
        <v>5</v>
      </c>
      <c r="GY54" s="964">
        <f t="shared" si="381"/>
        <v>6</v>
      </c>
      <c r="GZ54" s="964">
        <f t="shared" si="381"/>
        <v>7</v>
      </c>
      <c r="HA54" s="964">
        <f t="shared" si="381"/>
        <v>8</v>
      </c>
      <c r="HB54" s="964">
        <f t="shared" si="381"/>
        <v>9</v>
      </c>
      <c r="HC54" s="964">
        <f t="shared" si="381"/>
        <v>10</v>
      </c>
      <c r="HD54" s="964">
        <f t="shared" si="381"/>
        <v>11</v>
      </c>
      <c r="HE54" s="964">
        <f t="shared" si="381"/>
        <v>12</v>
      </c>
      <c r="HF54" s="964">
        <f t="shared" si="381"/>
        <v>13</v>
      </c>
      <c r="HG54" s="964">
        <f t="shared" si="381"/>
        <v>14</v>
      </c>
      <c r="HH54" s="964">
        <f t="shared" si="381"/>
        <v>15</v>
      </c>
      <c r="HI54" s="964">
        <f t="shared" si="381"/>
        <v>16</v>
      </c>
      <c r="HJ54" s="964">
        <f t="shared" si="381"/>
        <v>17</v>
      </c>
      <c r="HK54" s="964">
        <f t="shared" si="381"/>
        <v>18</v>
      </c>
      <c r="HL54" s="964">
        <f t="shared" si="381"/>
        <v>19</v>
      </c>
      <c r="HM54" s="964">
        <f t="shared" si="381"/>
        <v>20</v>
      </c>
      <c r="HN54" s="964">
        <f t="shared" si="381"/>
        <v>21</v>
      </c>
      <c r="HO54" s="964">
        <f t="shared" si="381"/>
        <v>22</v>
      </c>
      <c r="HP54" s="964">
        <f t="shared" si="381"/>
        <v>23</v>
      </c>
      <c r="HQ54" s="964">
        <f t="shared" si="381"/>
        <v>24</v>
      </c>
      <c r="HR54" s="964">
        <f t="shared" si="381"/>
        <v>25</v>
      </c>
      <c r="HS54" s="964">
        <f t="shared" si="381"/>
        <v>26</v>
      </c>
      <c r="HT54" s="964">
        <f t="shared" si="381"/>
        <v>27</v>
      </c>
      <c r="HU54" s="964">
        <f t="shared" si="381"/>
        <v>28</v>
      </c>
      <c r="HV54" s="964">
        <f t="shared" si="381"/>
        <v>29</v>
      </c>
      <c r="HW54" s="964">
        <f t="shared" si="381"/>
        <v>30</v>
      </c>
      <c r="HX54" s="967">
        <v>1</v>
      </c>
      <c r="HY54" s="965">
        <v>2</v>
      </c>
      <c r="HZ54" s="965">
        <v>3</v>
      </c>
      <c r="IA54" s="965">
        <v>4</v>
      </c>
      <c r="IB54" s="964">
        <v>5</v>
      </c>
      <c r="IC54" s="965">
        <v>6</v>
      </c>
      <c r="ID54" s="965">
        <v>7</v>
      </c>
      <c r="IE54" s="965">
        <v>8</v>
      </c>
      <c r="IF54" s="964">
        <v>9</v>
      </c>
      <c r="IG54" s="965">
        <v>10</v>
      </c>
      <c r="IH54" s="965">
        <v>11</v>
      </c>
      <c r="II54" s="965">
        <v>12</v>
      </c>
      <c r="IJ54" s="964">
        <v>13</v>
      </c>
      <c r="IK54" s="965">
        <v>14</v>
      </c>
      <c r="IL54" s="965">
        <v>15</v>
      </c>
      <c r="IM54" s="965">
        <v>16</v>
      </c>
      <c r="IN54" s="964">
        <v>17</v>
      </c>
      <c r="IO54" s="965">
        <v>18</v>
      </c>
      <c r="IP54" s="965">
        <v>19</v>
      </c>
      <c r="IQ54" s="965">
        <v>20</v>
      </c>
      <c r="IR54" s="964">
        <v>21</v>
      </c>
      <c r="IS54" s="965">
        <v>22</v>
      </c>
      <c r="IT54" s="965">
        <v>23</v>
      </c>
      <c r="IU54" s="965">
        <v>24</v>
      </c>
      <c r="IV54" s="964">
        <v>25</v>
      </c>
      <c r="IW54" s="965">
        <v>26</v>
      </c>
      <c r="IX54" s="965">
        <v>27</v>
      </c>
      <c r="IY54" s="965">
        <v>28</v>
      </c>
      <c r="IZ54" s="964">
        <v>29</v>
      </c>
      <c r="JA54" s="967">
        <v>30</v>
      </c>
      <c r="JB54" s="964">
        <v>1</v>
      </c>
      <c r="JC54" s="965">
        <v>2</v>
      </c>
      <c r="JD54" s="965">
        <v>3</v>
      </c>
      <c r="JE54" s="965">
        <v>4</v>
      </c>
      <c r="JF54" s="964">
        <v>5</v>
      </c>
      <c r="JG54" s="965">
        <v>6</v>
      </c>
      <c r="JH54" s="965">
        <v>7</v>
      </c>
      <c r="JI54" s="965">
        <v>8</v>
      </c>
      <c r="JJ54" s="964">
        <v>9</v>
      </c>
      <c r="JK54" s="965">
        <v>10</v>
      </c>
      <c r="JL54" s="965">
        <v>11</v>
      </c>
      <c r="JM54" s="965">
        <v>12</v>
      </c>
      <c r="JN54" s="964">
        <v>13</v>
      </c>
      <c r="JO54" s="965">
        <v>14</v>
      </c>
      <c r="JP54" s="965">
        <v>15</v>
      </c>
      <c r="JQ54" s="965">
        <v>16</v>
      </c>
      <c r="JR54" s="964">
        <v>17</v>
      </c>
      <c r="JS54" s="965">
        <v>18</v>
      </c>
      <c r="JT54" s="965">
        <v>19</v>
      </c>
      <c r="JU54" s="965">
        <v>20</v>
      </c>
      <c r="JV54" s="964">
        <v>21</v>
      </c>
      <c r="JW54" s="965">
        <v>22</v>
      </c>
      <c r="JX54" s="965">
        <v>23</v>
      </c>
      <c r="JY54" s="965">
        <v>24</v>
      </c>
      <c r="JZ54" s="964">
        <v>25</v>
      </c>
      <c r="KA54" s="965">
        <v>26</v>
      </c>
      <c r="KB54" s="965">
        <v>27</v>
      </c>
      <c r="KC54" s="965">
        <v>28</v>
      </c>
      <c r="KD54" s="967">
        <v>29</v>
      </c>
      <c r="KE54" s="964">
        <v>30</v>
      </c>
      <c r="KF54" s="973">
        <v>1</v>
      </c>
      <c r="KG54" s="965">
        <f>KF54+1</f>
        <v>2</v>
      </c>
      <c r="KH54" s="965">
        <f t="shared" ref="KH54:LH55" si="382">KG54+1</f>
        <v>3</v>
      </c>
      <c r="KI54" s="965">
        <f t="shared" si="382"/>
        <v>4</v>
      </c>
      <c r="KJ54" s="965">
        <f t="shared" si="382"/>
        <v>5</v>
      </c>
      <c r="KK54" s="965">
        <f t="shared" si="382"/>
        <v>6</v>
      </c>
      <c r="KL54" s="965">
        <f t="shared" si="382"/>
        <v>7</v>
      </c>
      <c r="KM54" s="965">
        <f t="shared" si="382"/>
        <v>8</v>
      </c>
      <c r="KN54" s="965">
        <f t="shared" si="382"/>
        <v>9</v>
      </c>
      <c r="KO54" s="965">
        <f t="shared" si="382"/>
        <v>10</v>
      </c>
      <c r="KP54" s="965">
        <f t="shared" si="382"/>
        <v>11</v>
      </c>
      <c r="KQ54" s="965">
        <f t="shared" si="382"/>
        <v>12</v>
      </c>
      <c r="KR54" s="965">
        <f t="shared" si="382"/>
        <v>13</v>
      </c>
      <c r="KS54" s="965">
        <f t="shared" si="382"/>
        <v>14</v>
      </c>
      <c r="KT54" s="965">
        <f t="shared" si="382"/>
        <v>15</v>
      </c>
      <c r="KU54" s="965">
        <f t="shared" si="382"/>
        <v>16</v>
      </c>
      <c r="KV54" s="965">
        <f t="shared" si="382"/>
        <v>17</v>
      </c>
      <c r="KW54" s="965">
        <f t="shared" si="382"/>
        <v>18</v>
      </c>
      <c r="KX54" s="965">
        <f t="shared" si="382"/>
        <v>19</v>
      </c>
      <c r="KY54" s="965">
        <f t="shared" si="382"/>
        <v>20</v>
      </c>
      <c r="KZ54" s="965">
        <f t="shared" si="382"/>
        <v>21</v>
      </c>
      <c r="LA54" s="965">
        <f t="shared" si="382"/>
        <v>22</v>
      </c>
      <c r="LB54" s="965">
        <f t="shared" si="382"/>
        <v>23</v>
      </c>
      <c r="LC54" s="965">
        <f t="shared" si="382"/>
        <v>24</v>
      </c>
      <c r="LD54" s="965">
        <f t="shared" si="382"/>
        <v>25</v>
      </c>
      <c r="LE54" s="965">
        <f t="shared" si="382"/>
        <v>26</v>
      </c>
      <c r="LF54" s="965">
        <f t="shared" si="382"/>
        <v>27</v>
      </c>
      <c r="LG54" s="965">
        <f t="shared" si="382"/>
        <v>28</v>
      </c>
      <c r="LH54" s="965">
        <f t="shared" si="382"/>
        <v>29</v>
      </c>
      <c r="LI54" s="967">
        <v>1</v>
      </c>
      <c r="LJ54" s="965">
        <v>2</v>
      </c>
      <c r="LK54" s="965">
        <v>3</v>
      </c>
      <c r="LL54" s="965">
        <v>4</v>
      </c>
      <c r="LM54" s="964">
        <v>5</v>
      </c>
      <c r="LN54" s="965">
        <v>6</v>
      </c>
      <c r="LO54" s="965">
        <v>7</v>
      </c>
      <c r="LP54" s="965">
        <v>8</v>
      </c>
      <c r="LQ54" s="964">
        <v>9</v>
      </c>
      <c r="LR54" s="965">
        <v>10</v>
      </c>
      <c r="LS54" s="965">
        <v>11</v>
      </c>
      <c r="LT54" s="965">
        <v>12</v>
      </c>
      <c r="LU54" s="964">
        <v>13</v>
      </c>
      <c r="LV54" s="965">
        <v>14</v>
      </c>
      <c r="LW54" s="965">
        <v>15</v>
      </c>
      <c r="LX54" s="965">
        <v>16</v>
      </c>
      <c r="LY54" s="964">
        <v>17</v>
      </c>
      <c r="LZ54" s="965">
        <v>18</v>
      </c>
      <c r="MA54" s="965">
        <v>19</v>
      </c>
      <c r="MB54" s="965">
        <v>20</v>
      </c>
      <c r="MC54" s="964">
        <v>21</v>
      </c>
      <c r="MD54" s="965">
        <v>22</v>
      </c>
      <c r="ME54" s="965">
        <v>23</v>
      </c>
      <c r="MF54" s="965">
        <v>24</v>
      </c>
      <c r="MG54" s="964">
        <v>25</v>
      </c>
      <c r="MH54" s="965">
        <v>26</v>
      </c>
      <c r="MI54" s="965">
        <v>27</v>
      </c>
      <c r="MJ54" s="965">
        <v>28</v>
      </c>
      <c r="MK54" s="967">
        <v>29</v>
      </c>
      <c r="ML54" s="964">
        <v>30</v>
      </c>
      <c r="MM54" s="965">
        <v>1</v>
      </c>
      <c r="MN54" s="965">
        <f>MM54+1</f>
        <v>2</v>
      </c>
      <c r="MO54" s="965">
        <f t="shared" ref="MO54:NO55" si="383">MN54+1</f>
        <v>3</v>
      </c>
      <c r="MP54" s="965">
        <f t="shared" si="383"/>
        <v>4</v>
      </c>
      <c r="MQ54" s="965">
        <f t="shared" si="383"/>
        <v>5</v>
      </c>
      <c r="MR54" s="965">
        <f t="shared" si="383"/>
        <v>6</v>
      </c>
      <c r="MS54" s="965">
        <f t="shared" si="383"/>
        <v>7</v>
      </c>
      <c r="MT54" s="965">
        <f t="shared" si="383"/>
        <v>8</v>
      </c>
      <c r="MU54" s="965">
        <f t="shared" si="383"/>
        <v>9</v>
      </c>
      <c r="MV54" s="965">
        <f t="shared" si="383"/>
        <v>10</v>
      </c>
      <c r="MW54" s="965">
        <f t="shared" si="383"/>
        <v>11</v>
      </c>
      <c r="MX54" s="965">
        <f t="shared" si="383"/>
        <v>12</v>
      </c>
      <c r="MY54" s="965">
        <f t="shared" si="383"/>
        <v>13</v>
      </c>
      <c r="MZ54" s="965">
        <f t="shared" si="383"/>
        <v>14</v>
      </c>
      <c r="NA54" s="965">
        <f t="shared" si="383"/>
        <v>15</v>
      </c>
      <c r="NB54" s="965">
        <f t="shared" si="383"/>
        <v>16</v>
      </c>
      <c r="NC54" s="965">
        <f t="shared" si="383"/>
        <v>17</v>
      </c>
      <c r="ND54" s="965">
        <f t="shared" si="383"/>
        <v>18</v>
      </c>
      <c r="NE54" s="965">
        <f t="shared" si="383"/>
        <v>19</v>
      </c>
      <c r="NF54" s="965">
        <f t="shared" si="383"/>
        <v>20</v>
      </c>
      <c r="NG54" s="965">
        <f t="shared" si="383"/>
        <v>21</v>
      </c>
      <c r="NH54" s="965">
        <f t="shared" si="383"/>
        <v>22</v>
      </c>
      <c r="NI54" s="965">
        <f t="shared" si="383"/>
        <v>23</v>
      </c>
      <c r="NJ54" s="965">
        <f t="shared" si="383"/>
        <v>24</v>
      </c>
      <c r="NK54" s="965">
        <f t="shared" si="383"/>
        <v>25</v>
      </c>
      <c r="NL54" s="965">
        <f t="shared" si="383"/>
        <v>26</v>
      </c>
      <c r="NM54" s="965">
        <f t="shared" si="383"/>
        <v>27</v>
      </c>
      <c r="NN54" s="965">
        <f t="shared" si="383"/>
        <v>28</v>
      </c>
      <c r="NO54" s="965">
        <f t="shared" si="383"/>
        <v>29</v>
      </c>
      <c r="NP54" s="967">
        <v>1</v>
      </c>
      <c r="NQ54" s="965">
        <v>2</v>
      </c>
      <c r="NR54" s="965">
        <v>3</v>
      </c>
      <c r="NS54" s="965">
        <v>4</v>
      </c>
      <c r="NT54" s="964">
        <v>5</v>
      </c>
      <c r="NU54" s="965">
        <v>6</v>
      </c>
      <c r="NV54" s="965">
        <v>7</v>
      </c>
      <c r="NW54" s="965">
        <v>8</v>
      </c>
      <c r="NX54" s="964">
        <v>9</v>
      </c>
      <c r="NY54" s="965">
        <v>10</v>
      </c>
      <c r="NZ54" s="965">
        <v>11</v>
      </c>
      <c r="OA54" s="965">
        <v>12</v>
      </c>
      <c r="OB54" s="964">
        <v>13</v>
      </c>
      <c r="OC54" s="965">
        <v>14</v>
      </c>
      <c r="OD54" s="965">
        <v>15</v>
      </c>
      <c r="OE54" s="965">
        <v>16</v>
      </c>
      <c r="OF54" s="964">
        <v>17</v>
      </c>
      <c r="OG54" s="965">
        <v>18</v>
      </c>
      <c r="OH54" s="965">
        <v>19</v>
      </c>
      <c r="OI54" s="965">
        <v>20</v>
      </c>
      <c r="OJ54" s="964">
        <v>21</v>
      </c>
      <c r="OK54" s="965">
        <v>22</v>
      </c>
      <c r="OL54" s="965">
        <v>23</v>
      </c>
      <c r="OM54" s="965">
        <v>24</v>
      </c>
      <c r="ON54" s="964">
        <v>25</v>
      </c>
      <c r="OO54" s="965">
        <v>26</v>
      </c>
      <c r="OP54" s="965">
        <v>27</v>
      </c>
      <c r="OQ54" s="965">
        <v>28</v>
      </c>
      <c r="OR54" s="964">
        <v>29</v>
      </c>
      <c r="OS54" s="967">
        <v>30</v>
      </c>
      <c r="OT54" s="965">
        <v>1</v>
      </c>
      <c r="OU54" s="965">
        <f>OT54+1</f>
        <v>2</v>
      </c>
      <c r="OV54" s="965">
        <f t="shared" ref="OV54:PV55" si="384">OU54+1</f>
        <v>3</v>
      </c>
      <c r="OW54" s="965">
        <f t="shared" si="384"/>
        <v>4</v>
      </c>
      <c r="OX54" s="965">
        <f t="shared" si="384"/>
        <v>5</v>
      </c>
      <c r="OY54" s="965">
        <f t="shared" si="384"/>
        <v>6</v>
      </c>
      <c r="OZ54" s="965">
        <f t="shared" si="384"/>
        <v>7</v>
      </c>
      <c r="PA54" s="965">
        <f t="shared" si="384"/>
        <v>8</v>
      </c>
      <c r="PB54" s="965">
        <f t="shared" si="384"/>
        <v>9</v>
      </c>
      <c r="PC54" s="965">
        <f t="shared" si="384"/>
        <v>10</v>
      </c>
      <c r="PD54" s="965">
        <f t="shared" si="384"/>
        <v>11</v>
      </c>
      <c r="PE54" s="965">
        <f t="shared" si="384"/>
        <v>12</v>
      </c>
      <c r="PF54" s="965">
        <f t="shared" si="384"/>
        <v>13</v>
      </c>
      <c r="PG54" s="965">
        <f t="shared" si="384"/>
        <v>14</v>
      </c>
      <c r="PH54" s="965">
        <f t="shared" si="384"/>
        <v>15</v>
      </c>
      <c r="PI54" s="965">
        <f t="shared" si="384"/>
        <v>16</v>
      </c>
      <c r="PJ54" s="965">
        <f t="shared" si="384"/>
        <v>17</v>
      </c>
      <c r="PK54" s="965">
        <f t="shared" si="384"/>
        <v>18</v>
      </c>
      <c r="PL54" s="965">
        <f t="shared" si="384"/>
        <v>19</v>
      </c>
      <c r="PM54" s="965">
        <f t="shared" si="384"/>
        <v>20</v>
      </c>
      <c r="PN54" s="965">
        <f t="shared" si="384"/>
        <v>21</v>
      </c>
      <c r="PO54" s="965">
        <f t="shared" si="384"/>
        <v>22</v>
      </c>
      <c r="PP54" s="965">
        <f t="shared" si="384"/>
        <v>23</v>
      </c>
      <c r="PQ54" s="965">
        <f t="shared" si="384"/>
        <v>24</v>
      </c>
      <c r="PR54" s="965">
        <f t="shared" si="384"/>
        <v>25</v>
      </c>
      <c r="PS54" s="965">
        <f t="shared" si="384"/>
        <v>26</v>
      </c>
      <c r="PT54" s="965">
        <f t="shared" si="384"/>
        <v>27</v>
      </c>
      <c r="PU54" s="965">
        <f t="shared" si="384"/>
        <v>28</v>
      </c>
      <c r="PV54" s="965">
        <f t="shared" si="384"/>
        <v>29</v>
      </c>
      <c r="PW54" s="967">
        <v>1</v>
      </c>
      <c r="PX54" s="965">
        <v>2</v>
      </c>
      <c r="PY54" s="965">
        <v>3</v>
      </c>
      <c r="PZ54" s="965">
        <v>4</v>
      </c>
      <c r="QA54" s="964">
        <v>5</v>
      </c>
      <c r="QB54" s="965">
        <v>6</v>
      </c>
      <c r="QC54" s="965">
        <v>7</v>
      </c>
      <c r="QD54" s="965">
        <v>8</v>
      </c>
      <c r="QE54" s="964">
        <v>9</v>
      </c>
      <c r="QF54" s="965">
        <v>10</v>
      </c>
      <c r="QG54" s="965">
        <v>11</v>
      </c>
      <c r="QH54" s="965">
        <v>12</v>
      </c>
      <c r="QI54" s="964">
        <v>13</v>
      </c>
      <c r="QJ54" s="965">
        <v>14</v>
      </c>
      <c r="QK54" s="965">
        <v>15</v>
      </c>
      <c r="QL54" s="965">
        <v>16</v>
      </c>
      <c r="QM54" s="964">
        <v>17</v>
      </c>
      <c r="QN54" s="965">
        <v>18</v>
      </c>
      <c r="QO54" s="965">
        <v>19</v>
      </c>
      <c r="QP54" s="965">
        <v>20</v>
      </c>
      <c r="QQ54" s="964">
        <v>21</v>
      </c>
      <c r="QR54" s="965">
        <v>22</v>
      </c>
      <c r="QS54" s="965">
        <v>23</v>
      </c>
      <c r="QT54" s="965">
        <v>24</v>
      </c>
      <c r="QU54" s="964">
        <v>25</v>
      </c>
      <c r="QV54" s="965">
        <v>26</v>
      </c>
      <c r="QW54" s="965">
        <v>27</v>
      </c>
      <c r="QX54" s="965">
        <v>28</v>
      </c>
      <c r="QY54" s="964">
        <v>29</v>
      </c>
      <c r="QZ54" s="973">
        <v>1</v>
      </c>
      <c r="RA54" s="966"/>
      <c r="RB54" s="797" t="e">
        <f>IF(AND(QZ52&gt;=10,QZ53&gt;=10),354,355)</f>
        <v>#VALUE!</v>
      </c>
      <c r="RC54" s="797" t="e">
        <f t="shared" ref="RC54" si="385">IF(RB54=RB45,1,RC43+1)</f>
        <v>#VALUE!</v>
      </c>
    </row>
    <row r="55" spans="1:471" ht="15.75" thickBot="1">
      <c r="AK55" s="112" t="s">
        <v>326</v>
      </c>
      <c r="AL55" s="701">
        <f t="shared" ref="AL55:AW56" si="386">AL43</f>
        <v>9.5138888888888884E-2</v>
      </c>
      <c r="AM55" s="304">
        <f t="shared" si="386"/>
        <v>9.5138888888888884E-2</v>
      </c>
      <c r="AN55" s="304">
        <f t="shared" si="386"/>
        <v>9.5138888888888884E-2</v>
      </c>
      <c r="AO55" s="304">
        <f t="shared" si="386"/>
        <v>9.5138888888888884E-2</v>
      </c>
      <c r="AP55" s="304">
        <f t="shared" si="386"/>
        <v>9.5138888888888884E-2</v>
      </c>
      <c r="AQ55" s="304">
        <f t="shared" si="386"/>
        <v>9.5138888888888884E-2</v>
      </c>
      <c r="AR55" s="304">
        <f t="shared" si="386"/>
        <v>9.5138888888888884E-2</v>
      </c>
      <c r="AS55" s="304">
        <f t="shared" si="386"/>
        <v>9.5138888888888884E-2</v>
      </c>
      <c r="AT55" s="304">
        <f t="shared" si="386"/>
        <v>9.5138888888888884E-2</v>
      </c>
      <c r="AU55" s="304">
        <f t="shared" si="386"/>
        <v>9.5138888888888884E-2</v>
      </c>
      <c r="AV55" s="304">
        <f t="shared" si="386"/>
        <v>9.5138888888888884E-2</v>
      </c>
      <c r="AW55" s="314">
        <f t="shared" si="386"/>
        <v>9.5138888888888884E-2</v>
      </c>
      <c r="AX55" s="314"/>
      <c r="DD55" s="651"/>
      <c r="DH55" s="797"/>
      <c r="DI55" s="797"/>
      <c r="DJ55" s="797" t="e">
        <f>DJ56-RB45</f>
        <v>#VALUE!</v>
      </c>
      <c r="DK55" s="797" t="e">
        <f>DJ55+1</f>
        <v>#VALUE!</v>
      </c>
      <c r="DL55" s="797" t="e">
        <f t="shared" ref="DL55:FW55" si="387">DK55+1</f>
        <v>#VALUE!</v>
      </c>
      <c r="DM55" s="797" t="e">
        <f t="shared" si="387"/>
        <v>#VALUE!</v>
      </c>
      <c r="DN55" s="797" t="e">
        <f t="shared" si="387"/>
        <v>#VALUE!</v>
      </c>
      <c r="DO55" s="797" t="e">
        <f t="shared" si="387"/>
        <v>#VALUE!</v>
      </c>
      <c r="DP55" s="797" t="e">
        <f t="shared" si="387"/>
        <v>#VALUE!</v>
      </c>
      <c r="DQ55" s="797" t="e">
        <f t="shared" si="387"/>
        <v>#VALUE!</v>
      </c>
      <c r="DR55" s="797" t="e">
        <f t="shared" si="387"/>
        <v>#VALUE!</v>
      </c>
      <c r="DS55" s="797" t="e">
        <f t="shared" si="387"/>
        <v>#VALUE!</v>
      </c>
      <c r="DT55" s="797" t="e">
        <f t="shared" si="387"/>
        <v>#VALUE!</v>
      </c>
      <c r="DU55" s="797" t="e">
        <f t="shared" si="387"/>
        <v>#VALUE!</v>
      </c>
      <c r="DV55" s="797" t="e">
        <f t="shared" si="387"/>
        <v>#VALUE!</v>
      </c>
      <c r="DW55" s="797" t="e">
        <f t="shared" si="387"/>
        <v>#VALUE!</v>
      </c>
      <c r="DX55" s="797" t="e">
        <f t="shared" si="387"/>
        <v>#VALUE!</v>
      </c>
      <c r="DY55" s="797" t="e">
        <f t="shared" si="387"/>
        <v>#VALUE!</v>
      </c>
      <c r="DZ55" s="797" t="e">
        <f t="shared" si="387"/>
        <v>#VALUE!</v>
      </c>
      <c r="EA55" s="797" t="e">
        <f t="shared" si="387"/>
        <v>#VALUE!</v>
      </c>
      <c r="EB55" s="797" t="e">
        <f t="shared" si="387"/>
        <v>#VALUE!</v>
      </c>
      <c r="EC55" s="797" t="e">
        <f t="shared" si="387"/>
        <v>#VALUE!</v>
      </c>
      <c r="ED55" s="797" t="e">
        <f t="shared" si="387"/>
        <v>#VALUE!</v>
      </c>
      <c r="EE55" s="797" t="e">
        <f t="shared" si="387"/>
        <v>#VALUE!</v>
      </c>
      <c r="EF55" s="797" t="e">
        <f t="shared" si="387"/>
        <v>#VALUE!</v>
      </c>
      <c r="EG55" s="797" t="e">
        <f t="shared" si="387"/>
        <v>#VALUE!</v>
      </c>
      <c r="EH55" s="797" t="e">
        <f t="shared" si="387"/>
        <v>#VALUE!</v>
      </c>
      <c r="EI55" s="797" t="e">
        <f t="shared" si="387"/>
        <v>#VALUE!</v>
      </c>
      <c r="EJ55" s="797" t="e">
        <f t="shared" si="387"/>
        <v>#VALUE!</v>
      </c>
      <c r="EK55" s="797" t="e">
        <f t="shared" si="387"/>
        <v>#VALUE!</v>
      </c>
      <c r="EL55" s="797" t="e">
        <f t="shared" si="387"/>
        <v>#VALUE!</v>
      </c>
      <c r="EM55" s="797" t="e">
        <f t="shared" si="387"/>
        <v>#VALUE!</v>
      </c>
      <c r="EN55" s="797" t="e">
        <f t="shared" si="387"/>
        <v>#VALUE!</v>
      </c>
      <c r="EO55" s="797" t="e">
        <f t="shared" si="387"/>
        <v>#VALUE!</v>
      </c>
      <c r="EP55" s="797" t="e">
        <f t="shared" si="387"/>
        <v>#VALUE!</v>
      </c>
      <c r="EQ55" s="797" t="e">
        <f t="shared" si="387"/>
        <v>#VALUE!</v>
      </c>
      <c r="ER55" s="797" t="e">
        <f t="shared" si="387"/>
        <v>#VALUE!</v>
      </c>
      <c r="ES55" s="797" t="e">
        <f t="shared" si="387"/>
        <v>#VALUE!</v>
      </c>
      <c r="ET55" s="797" t="e">
        <f t="shared" si="387"/>
        <v>#VALUE!</v>
      </c>
      <c r="EU55" s="797" t="e">
        <f t="shared" si="387"/>
        <v>#VALUE!</v>
      </c>
      <c r="EV55" s="797" t="e">
        <f t="shared" si="387"/>
        <v>#VALUE!</v>
      </c>
      <c r="EW55" s="797" t="e">
        <f t="shared" si="387"/>
        <v>#VALUE!</v>
      </c>
      <c r="EX55" s="797" t="e">
        <f t="shared" si="387"/>
        <v>#VALUE!</v>
      </c>
      <c r="EY55" s="797" t="e">
        <f t="shared" si="387"/>
        <v>#VALUE!</v>
      </c>
      <c r="EZ55" s="797" t="e">
        <f t="shared" si="387"/>
        <v>#VALUE!</v>
      </c>
      <c r="FA55" s="797" t="e">
        <f t="shared" si="387"/>
        <v>#VALUE!</v>
      </c>
      <c r="FB55" s="797" t="e">
        <f t="shared" si="387"/>
        <v>#VALUE!</v>
      </c>
      <c r="FC55" s="797" t="e">
        <f t="shared" si="387"/>
        <v>#VALUE!</v>
      </c>
      <c r="FD55" s="797" t="e">
        <f t="shared" si="387"/>
        <v>#VALUE!</v>
      </c>
      <c r="FE55" s="797" t="e">
        <f t="shared" si="387"/>
        <v>#VALUE!</v>
      </c>
      <c r="FF55" s="797" t="e">
        <f t="shared" si="387"/>
        <v>#VALUE!</v>
      </c>
      <c r="FG55" s="797" t="e">
        <f t="shared" si="387"/>
        <v>#VALUE!</v>
      </c>
      <c r="FH55" s="797" t="e">
        <f t="shared" si="387"/>
        <v>#VALUE!</v>
      </c>
      <c r="FI55" s="797" t="e">
        <f t="shared" si="387"/>
        <v>#VALUE!</v>
      </c>
      <c r="FJ55" s="797" t="e">
        <f t="shared" si="387"/>
        <v>#VALUE!</v>
      </c>
      <c r="FK55" s="797" t="e">
        <f t="shared" si="387"/>
        <v>#VALUE!</v>
      </c>
      <c r="FL55" s="797" t="e">
        <f t="shared" si="387"/>
        <v>#VALUE!</v>
      </c>
      <c r="FM55" s="797" t="e">
        <f t="shared" si="387"/>
        <v>#VALUE!</v>
      </c>
      <c r="FN55" s="797" t="e">
        <f t="shared" si="387"/>
        <v>#VALUE!</v>
      </c>
      <c r="FO55" s="797" t="e">
        <f t="shared" si="387"/>
        <v>#VALUE!</v>
      </c>
      <c r="FP55" s="797" t="e">
        <f t="shared" si="387"/>
        <v>#VALUE!</v>
      </c>
      <c r="FQ55" s="797" t="e">
        <f t="shared" si="387"/>
        <v>#VALUE!</v>
      </c>
      <c r="FR55" s="797" t="e">
        <f t="shared" si="387"/>
        <v>#VALUE!</v>
      </c>
      <c r="FS55" s="797" t="e">
        <f t="shared" si="387"/>
        <v>#VALUE!</v>
      </c>
      <c r="FT55" s="797" t="e">
        <f t="shared" si="387"/>
        <v>#VALUE!</v>
      </c>
      <c r="FU55" s="797" t="e">
        <f t="shared" si="387"/>
        <v>#VALUE!</v>
      </c>
      <c r="FV55" s="797" t="e">
        <f t="shared" si="387"/>
        <v>#VALUE!</v>
      </c>
      <c r="FW55" s="797" t="e">
        <f t="shared" si="387"/>
        <v>#VALUE!</v>
      </c>
      <c r="FX55" s="797" t="e">
        <f t="shared" ref="FX55:II55" si="388">FW55+1</f>
        <v>#VALUE!</v>
      </c>
      <c r="FY55" s="797" t="e">
        <f t="shared" si="388"/>
        <v>#VALUE!</v>
      </c>
      <c r="FZ55" s="797" t="e">
        <f t="shared" si="388"/>
        <v>#VALUE!</v>
      </c>
      <c r="GA55" s="797" t="e">
        <f t="shared" si="388"/>
        <v>#VALUE!</v>
      </c>
      <c r="GB55" s="797" t="e">
        <f t="shared" si="388"/>
        <v>#VALUE!</v>
      </c>
      <c r="GC55" s="797" t="e">
        <f t="shared" si="388"/>
        <v>#VALUE!</v>
      </c>
      <c r="GD55" s="797" t="e">
        <f t="shared" si="388"/>
        <v>#VALUE!</v>
      </c>
      <c r="GE55" s="797" t="e">
        <f t="shared" si="388"/>
        <v>#VALUE!</v>
      </c>
      <c r="GF55" s="797" t="e">
        <f t="shared" si="388"/>
        <v>#VALUE!</v>
      </c>
      <c r="GG55" s="797" t="e">
        <f t="shared" si="388"/>
        <v>#VALUE!</v>
      </c>
      <c r="GH55" s="797" t="e">
        <f t="shared" si="388"/>
        <v>#VALUE!</v>
      </c>
      <c r="GI55" s="797" t="e">
        <f t="shared" si="388"/>
        <v>#VALUE!</v>
      </c>
      <c r="GJ55" s="797" t="e">
        <f t="shared" si="388"/>
        <v>#VALUE!</v>
      </c>
      <c r="GK55" s="797" t="e">
        <f t="shared" si="388"/>
        <v>#VALUE!</v>
      </c>
      <c r="GL55" s="797" t="e">
        <f t="shared" si="388"/>
        <v>#VALUE!</v>
      </c>
      <c r="GM55" s="797" t="e">
        <f t="shared" si="388"/>
        <v>#VALUE!</v>
      </c>
      <c r="GN55" s="797" t="e">
        <f t="shared" si="388"/>
        <v>#VALUE!</v>
      </c>
      <c r="GO55" s="797" t="e">
        <f t="shared" si="388"/>
        <v>#VALUE!</v>
      </c>
      <c r="GP55" s="797" t="e">
        <f t="shared" si="388"/>
        <v>#VALUE!</v>
      </c>
      <c r="GQ55" s="797" t="e">
        <f t="shared" si="388"/>
        <v>#VALUE!</v>
      </c>
      <c r="GR55" s="797" t="e">
        <f t="shared" si="388"/>
        <v>#VALUE!</v>
      </c>
      <c r="GS55" s="797" t="e">
        <f t="shared" si="388"/>
        <v>#VALUE!</v>
      </c>
      <c r="GT55" s="797" t="e">
        <f t="shared" si="388"/>
        <v>#VALUE!</v>
      </c>
      <c r="GU55" s="797" t="e">
        <f t="shared" si="388"/>
        <v>#VALUE!</v>
      </c>
      <c r="GV55" s="797" t="e">
        <f t="shared" si="388"/>
        <v>#VALUE!</v>
      </c>
      <c r="GW55" s="797" t="e">
        <f t="shared" si="388"/>
        <v>#VALUE!</v>
      </c>
      <c r="GX55" s="797" t="e">
        <f t="shared" si="388"/>
        <v>#VALUE!</v>
      </c>
      <c r="GY55" s="797" t="e">
        <f t="shared" si="388"/>
        <v>#VALUE!</v>
      </c>
      <c r="GZ55" s="797" t="e">
        <f t="shared" si="388"/>
        <v>#VALUE!</v>
      </c>
      <c r="HA55" s="797" t="e">
        <f t="shared" si="388"/>
        <v>#VALUE!</v>
      </c>
      <c r="HB55" s="797" t="e">
        <f t="shared" si="388"/>
        <v>#VALUE!</v>
      </c>
      <c r="HC55" s="797" t="e">
        <f t="shared" si="388"/>
        <v>#VALUE!</v>
      </c>
      <c r="HD55" s="797" t="e">
        <f t="shared" si="388"/>
        <v>#VALUE!</v>
      </c>
      <c r="HE55" s="797" t="e">
        <f t="shared" si="388"/>
        <v>#VALUE!</v>
      </c>
      <c r="HF55" s="797" t="e">
        <f t="shared" si="388"/>
        <v>#VALUE!</v>
      </c>
      <c r="HG55" s="797" t="e">
        <f t="shared" si="388"/>
        <v>#VALUE!</v>
      </c>
      <c r="HH55" s="797" t="e">
        <f t="shared" si="388"/>
        <v>#VALUE!</v>
      </c>
      <c r="HI55" s="797" t="e">
        <f t="shared" si="388"/>
        <v>#VALUE!</v>
      </c>
      <c r="HJ55" s="797" t="e">
        <f t="shared" si="388"/>
        <v>#VALUE!</v>
      </c>
      <c r="HK55" s="797" t="e">
        <f t="shared" si="388"/>
        <v>#VALUE!</v>
      </c>
      <c r="HL55" s="797" t="e">
        <f t="shared" si="388"/>
        <v>#VALUE!</v>
      </c>
      <c r="HM55" s="797" t="e">
        <f t="shared" si="388"/>
        <v>#VALUE!</v>
      </c>
      <c r="HN55" s="797" t="e">
        <f t="shared" si="388"/>
        <v>#VALUE!</v>
      </c>
      <c r="HO55" s="797" t="e">
        <f t="shared" si="388"/>
        <v>#VALUE!</v>
      </c>
      <c r="HP55" s="797" t="e">
        <f t="shared" si="388"/>
        <v>#VALUE!</v>
      </c>
      <c r="HQ55" s="797" t="e">
        <f t="shared" si="388"/>
        <v>#VALUE!</v>
      </c>
      <c r="HR55" s="797" t="e">
        <f t="shared" si="388"/>
        <v>#VALUE!</v>
      </c>
      <c r="HS55" s="797" t="e">
        <f t="shared" si="388"/>
        <v>#VALUE!</v>
      </c>
      <c r="HT55" s="797" t="e">
        <f t="shared" si="388"/>
        <v>#VALUE!</v>
      </c>
      <c r="HU55" s="797" t="e">
        <f t="shared" si="388"/>
        <v>#VALUE!</v>
      </c>
      <c r="HV55" s="797" t="e">
        <f t="shared" si="388"/>
        <v>#VALUE!</v>
      </c>
      <c r="HW55" s="797" t="e">
        <f t="shared" si="388"/>
        <v>#VALUE!</v>
      </c>
      <c r="HX55" s="797" t="e">
        <f t="shared" si="388"/>
        <v>#VALUE!</v>
      </c>
      <c r="HY55" s="797" t="e">
        <f t="shared" si="388"/>
        <v>#VALUE!</v>
      </c>
      <c r="HZ55" s="797" t="e">
        <f t="shared" si="388"/>
        <v>#VALUE!</v>
      </c>
      <c r="IA55" s="797" t="e">
        <f t="shared" si="388"/>
        <v>#VALUE!</v>
      </c>
      <c r="IB55" s="797" t="e">
        <f t="shared" si="388"/>
        <v>#VALUE!</v>
      </c>
      <c r="IC55" s="797" t="e">
        <f t="shared" si="388"/>
        <v>#VALUE!</v>
      </c>
      <c r="ID55" s="797" t="e">
        <f t="shared" si="388"/>
        <v>#VALUE!</v>
      </c>
      <c r="IE55" s="797" t="e">
        <f t="shared" si="388"/>
        <v>#VALUE!</v>
      </c>
      <c r="IF55" s="797" t="e">
        <f t="shared" si="388"/>
        <v>#VALUE!</v>
      </c>
      <c r="IG55" s="797" t="e">
        <f t="shared" si="388"/>
        <v>#VALUE!</v>
      </c>
      <c r="IH55" s="797" t="e">
        <f t="shared" si="388"/>
        <v>#VALUE!</v>
      </c>
      <c r="II55" s="797" t="e">
        <f t="shared" si="388"/>
        <v>#VALUE!</v>
      </c>
      <c r="IJ55" s="797" t="e">
        <f t="shared" ref="IJ55:KU55" si="389">II55+1</f>
        <v>#VALUE!</v>
      </c>
      <c r="IK55" s="797" t="e">
        <f t="shared" si="389"/>
        <v>#VALUE!</v>
      </c>
      <c r="IL55" s="797" t="e">
        <f t="shared" si="389"/>
        <v>#VALUE!</v>
      </c>
      <c r="IM55" s="797" t="e">
        <f t="shared" si="389"/>
        <v>#VALUE!</v>
      </c>
      <c r="IN55" s="797" t="e">
        <f t="shared" si="389"/>
        <v>#VALUE!</v>
      </c>
      <c r="IO55" s="797" t="e">
        <f t="shared" si="389"/>
        <v>#VALUE!</v>
      </c>
      <c r="IP55" s="797" t="e">
        <f t="shared" si="389"/>
        <v>#VALUE!</v>
      </c>
      <c r="IQ55" s="797" t="e">
        <f t="shared" si="389"/>
        <v>#VALUE!</v>
      </c>
      <c r="IR55" s="797" t="e">
        <f t="shared" si="389"/>
        <v>#VALUE!</v>
      </c>
      <c r="IS55" s="797" t="e">
        <f t="shared" si="389"/>
        <v>#VALUE!</v>
      </c>
      <c r="IT55" s="797" t="e">
        <f t="shared" si="389"/>
        <v>#VALUE!</v>
      </c>
      <c r="IU55" s="797" t="e">
        <f t="shared" si="389"/>
        <v>#VALUE!</v>
      </c>
      <c r="IV55" s="797" t="e">
        <f t="shared" si="389"/>
        <v>#VALUE!</v>
      </c>
      <c r="IW55" s="797" t="e">
        <f t="shared" si="389"/>
        <v>#VALUE!</v>
      </c>
      <c r="IX55" s="797" t="e">
        <f t="shared" si="389"/>
        <v>#VALUE!</v>
      </c>
      <c r="IY55" s="797" t="e">
        <f t="shared" si="389"/>
        <v>#VALUE!</v>
      </c>
      <c r="IZ55" s="797" t="e">
        <f t="shared" si="389"/>
        <v>#VALUE!</v>
      </c>
      <c r="JA55" s="797" t="e">
        <f t="shared" si="389"/>
        <v>#VALUE!</v>
      </c>
      <c r="JB55" s="797" t="e">
        <f t="shared" si="389"/>
        <v>#VALUE!</v>
      </c>
      <c r="JC55" s="797" t="e">
        <f t="shared" si="389"/>
        <v>#VALUE!</v>
      </c>
      <c r="JD55" s="797" t="e">
        <f t="shared" si="389"/>
        <v>#VALUE!</v>
      </c>
      <c r="JE55" s="797" t="e">
        <f t="shared" si="389"/>
        <v>#VALUE!</v>
      </c>
      <c r="JF55" s="797" t="e">
        <f t="shared" si="389"/>
        <v>#VALUE!</v>
      </c>
      <c r="JG55" s="797" t="e">
        <f t="shared" si="389"/>
        <v>#VALUE!</v>
      </c>
      <c r="JH55" s="797" t="e">
        <f t="shared" si="389"/>
        <v>#VALUE!</v>
      </c>
      <c r="JI55" s="797" t="e">
        <f t="shared" si="389"/>
        <v>#VALUE!</v>
      </c>
      <c r="JJ55" s="797" t="e">
        <f t="shared" si="389"/>
        <v>#VALUE!</v>
      </c>
      <c r="JK55" s="797" t="e">
        <f t="shared" si="389"/>
        <v>#VALUE!</v>
      </c>
      <c r="JL55" s="797" t="e">
        <f t="shared" si="389"/>
        <v>#VALUE!</v>
      </c>
      <c r="JM55" s="797" t="e">
        <f t="shared" si="389"/>
        <v>#VALUE!</v>
      </c>
      <c r="JN55" s="797" t="e">
        <f t="shared" si="389"/>
        <v>#VALUE!</v>
      </c>
      <c r="JO55" s="797" t="e">
        <f t="shared" si="389"/>
        <v>#VALUE!</v>
      </c>
      <c r="JP55" s="797" t="e">
        <f t="shared" si="389"/>
        <v>#VALUE!</v>
      </c>
      <c r="JQ55" s="797" t="e">
        <f t="shared" si="389"/>
        <v>#VALUE!</v>
      </c>
      <c r="JR55" s="797" t="e">
        <f t="shared" si="389"/>
        <v>#VALUE!</v>
      </c>
      <c r="JS55" s="797" t="e">
        <f t="shared" si="389"/>
        <v>#VALUE!</v>
      </c>
      <c r="JT55" s="797" t="e">
        <f t="shared" si="389"/>
        <v>#VALUE!</v>
      </c>
      <c r="JU55" s="797" t="e">
        <f t="shared" si="389"/>
        <v>#VALUE!</v>
      </c>
      <c r="JV55" s="797" t="e">
        <f t="shared" si="389"/>
        <v>#VALUE!</v>
      </c>
      <c r="JW55" s="797" t="e">
        <f t="shared" si="389"/>
        <v>#VALUE!</v>
      </c>
      <c r="JX55" s="797" t="e">
        <f t="shared" si="389"/>
        <v>#VALUE!</v>
      </c>
      <c r="JY55" s="797" t="e">
        <f t="shared" si="389"/>
        <v>#VALUE!</v>
      </c>
      <c r="JZ55" s="797" t="e">
        <f t="shared" si="389"/>
        <v>#VALUE!</v>
      </c>
      <c r="KA55" s="797" t="e">
        <f t="shared" si="389"/>
        <v>#VALUE!</v>
      </c>
      <c r="KB55" s="797" t="e">
        <f t="shared" si="389"/>
        <v>#VALUE!</v>
      </c>
      <c r="KC55" s="797" t="e">
        <f t="shared" si="389"/>
        <v>#VALUE!</v>
      </c>
      <c r="KD55" s="797" t="e">
        <f t="shared" si="389"/>
        <v>#VALUE!</v>
      </c>
      <c r="KE55" s="797" t="e">
        <f t="shared" si="389"/>
        <v>#VALUE!</v>
      </c>
      <c r="KF55" s="797" t="e">
        <f t="shared" si="389"/>
        <v>#VALUE!</v>
      </c>
      <c r="KG55" s="797" t="e">
        <f t="shared" si="389"/>
        <v>#VALUE!</v>
      </c>
      <c r="KH55" s="797" t="e">
        <f t="shared" si="389"/>
        <v>#VALUE!</v>
      </c>
      <c r="KI55" s="797" t="e">
        <f t="shared" si="389"/>
        <v>#VALUE!</v>
      </c>
      <c r="KJ55" s="797" t="e">
        <f t="shared" si="389"/>
        <v>#VALUE!</v>
      </c>
      <c r="KK55" s="797" t="e">
        <f t="shared" si="389"/>
        <v>#VALUE!</v>
      </c>
      <c r="KL55" s="797" t="e">
        <f t="shared" si="389"/>
        <v>#VALUE!</v>
      </c>
      <c r="KM55" s="797" t="e">
        <f t="shared" si="389"/>
        <v>#VALUE!</v>
      </c>
      <c r="KN55" s="797" t="e">
        <f t="shared" si="389"/>
        <v>#VALUE!</v>
      </c>
      <c r="KO55" s="797" t="e">
        <f t="shared" si="389"/>
        <v>#VALUE!</v>
      </c>
      <c r="KP55" s="797" t="e">
        <f t="shared" si="389"/>
        <v>#VALUE!</v>
      </c>
      <c r="KQ55" s="797" t="e">
        <f t="shared" si="389"/>
        <v>#VALUE!</v>
      </c>
      <c r="KR55" s="797" t="e">
        <f t="shared" si="389"/>
        <v>#VALUE!</v>
      </c>
      <c r="KS55" s="797" t="e">
        <f t="shared" si="389"/>
        <v>#VALUE!</v>
      </c>
      <c r="KT55" s="797" t="e">
        <f t="shared" si="389"/>
        <v>#VALUE!</v>
      </c>
      <c r="KU55" s="797" t="e">
        <f t="shared" si="389"/>
        <v>#VALUE!</v>
      </c>
      <c r="KV55" s="797" t="e">
        <f t="shared" si="382"/>
        <v>#VALUE!</v>
      </c>
      <c r="KW55" s="797" t="e">
        <f t="shared" si="382"/>
        <v>#VALUE!</v>
      </c>
      <c r="KX55" s="797" t="e">
        <f t="shared" si="382"/>
        <v>#VALUE!</v>
      </c>
      <c r="KY55" s="797" t="e">
        <f t="shared" si="382"/>
        <v>#VALUE!</v>
      </c>
      <c r="KZ55" s="797" t="e">
        <f t="shared" si="382"/>
        <v>#VALUE!</v>
      </c>
      <c r="LA55" s="797" t="e">
        <f t="shared" si="382"/>
        <v>#VALUE!</v>
      </c>
      <c r="LB55" s="797" t="e">
        <f t="shared" si="382"/>
        <v>#VALUE!</v>
      </c>
      <c r="LC55" s="797" t="e">
        <f t="shared" si="382"/>
        <v>#VALUE!</v>
      </c>
      <c r="LD55" s="797" t="e">
        <f t="shared" si="382"/>
        <v>#VALUE!</v>
      </c>
      <c r="LE55" s="797" t="e">
        <f t="shared" si="382"/>
        <v>#VALUE!</v>
      </c>
      <c r="LF55" s="797" t="e">
        <f t="shared" si="382"/>
        <v>#VALUE!</v>
      </c>
      <c r="LG55" s="797" t="e">
        <f t="shared" si="382"/>
        <v>#VALUE!</v>
      </c>
      <c r="LH55" s="797" t="e">
        <f t="shared" si="382"/>
        <v>#VALUE!</v>
      </c>
      <c r="LI55" s="797" t="e">
        <f t="shared" ref="LI55:NG55" si="390">LH55+1</f>
        <v>#VALUE!</v>
      </c>
      <c r="LJ55" s="797" t="e">
        <f t="shared" si="390"/>
        <v>#VALUE!</v>
      </c>
      <c r="LK55" s="797" t="e">
        <f t="shared" si="390"/>
        <v>#VALUE!</v>
      </c>
      <c r="LL55" s="797" t="e">
        <f t="shared" si="390"/>
        <v>#VALUE!</v>
      </c>
      <c r="LM55" s="797" t="e">
        <f t="shared" si="390"/>
        <v>#VALUE!</v>
      </c>
      <c r="LN55" s="797" t="e">
        <f t="shared" si="390"/>
        <v>#VALUE!</v>
      </c>
      <c r="LO55" s="797" t="e">
        <f t="shared" si="390"/>
        <v>#VALUE!</v>
      </c>
      <c r="LP55" s="797" t="e">
        <f t="shared" si="390"/>
        <v>#VALUE!</v>
      </c>
      <c r="LQ55" s="797" t="e">
        <f t="shared" si="390"/>
        <v>#VALUE!</v>
      </c>
      <c r="LR55" s="797" t="e">
        <f t="shared" si="390"/>
        <v>#VALUE!</v>
      </c>
      <c r="LS55" s="797" t="e">
        <f t="shared" si="390"/>
        <v>#VALUE!</v>
      </c>
      <c r="LT55" s="797" t="e">
        <f t="shared" si="390"/>
        <v>#VALUE!</v>
      </c>
      <c r="LU55" s="797" t="e">
        <f t="shared" si="390"/>
        <v>#VALUE!</v>
      </c>
      <c r="LV55" s="797" t="e">
        <f t="shared" si="390"/>
        <v>#VALUE!</v>
      </c>
      <c r="LW55" s="797" t="e">
        <f t="shared" si="390"/>
        <v>#VALUE!</v>
      </c>
      <c r="LX55" s="797" t="e">
        <f t="shared" si="390"/>
        <v>#VALUE!</v>
      </c>
      <c r="LY55" s="797" t="e">
        <f t="shared" si="390"/>
        <v>#VALUE!</v>
      </c>
      <c r="LZ55" s="797" t="e">
        <f t="shared" si="390"/>
        <v>#VALUE!</v>
      </c>
      <c r="MA55" s="797" t="e">
        <f t="shared" si="390"/>
        <v>#VALUE!</v>
      </c>
      <c r="MB55" s="797" t="e">
        <f t="shared" si="390"/>
        <v>#VALUE!</v>
      </c>
      <c r="MC55" s="797" t="e">
        <f t="shared" si="390"/>
        <v>#VALUE!</v>
      </c>
      <c r="MD55" s="797" t="e">
        <f t="shared" si="390"/>
        <v>#VALUE!</v>
      </c>
      <c r="ME55" s="797" t="e">
        <f t="shared" si="390"/>
        <v>#VALUE!</v>
      </c>
      <c r="MF55" s="797" t="e">
        <f t="shared" si="390"/>
        <v>#VALUE!</v>
      </c>
      <c r="MG55" s="797" t="e">
        <f t="shared" si="390"/>
        <v>#VALUE!</v>
      </c>
      <c r="MH55" s="797" t="e">
        <f t="shared" si="390"/>
        <v>#VALUE!</v>
      </c>
      <c r="MI55" s="797" t="e">
        <f t="shared" si="390"/>
        <v>#VALUE!</v>
      </c>
      <c r="MJ55" s="797" t="e">
        <f t="shared" si="390"/>
        <v>#VALUE!</v>
      </c>
      <c r="MK55" s="797" t="e">
        <f t="shared" si="390"/>
        <v>#VALUE!</v>
      </c>
      <c r="ML55" s="797" t="e">
        <f t="shared" si="390"/>
        <v>#VALUE!</v>
      </c>
      <c r="MM55" s="797" t="e">
        <f t="shared" si="390"/>
        <v>#VALUE!</v>
      </c>
      <c r="MN55" s="797" t="e">
        <f t="shared" si="390"/>
        <v>#VALUE!</v>
      </c>
      <c r="MO55" s="797" t="e">
        <f t="shared" si="390"/>
        <v>#VALUE!</v>
      </c>
      <c r="MP55" s="797" t="e">
        <f t="shared" si="390"/>
        <v>#VALUE!</v>
      </c>
      <c r="MQ55" s="797" t="e">
        <f t="shared" si="390"/>
        <v>#VALUE!</v>
      </c>
      <c r="MR55" s="797" t="e">
        <f t="shared" si="390"/>
        <v>#VALUE!</v>
      </c>
      <c r="MS55" s="797" t="e">
        <f t="shared" si="390"/>
        <v>#VALUE!</v>
      </c>
      <c r="MT55" s="797" t="e">
        <f t="shared" si="390"/>
        <v>#VALUE!</v>
      </c>
      <c r="MU55" s="797" t="e">
        <f t="shared" si="390"/>
        <v>#VALUE!</v>
      </c>
      <c r="MV55" s="797" t="e">
        <f t="shared" si="390"/>
        <v>#VALUE!</v>
      </c>
      <c r="MW55" s="797" t="e">
        <f t="shared" si="390"/>
        <v>#VALUE!</v>
      </c>
      <c r="MX55" s="797" t="e">
        <f t="shared" si="390"/>
        <v>#VALUE!</v>
      </c>
      <c r="MY55" s="797" t="e">
        <f t="shared" si="390"/>
        <v>#VALUE!</v>
      </c>
      <c r="MZ55" s="797" t="e">
        <f t="shared" si="390"/>
        <v>#VALUE!</v>
      </c>
      <c r="NA55" s="797" t="e">
        <f t="shared" si="390"/>
        <v>#VALUE!</v>
      </c>
      <c r="NB55" s="797" t="e">
        <f t="shared" si="390"/>
        <v>#VALUE!</v>
      </c>
      <c r="NC55" s="797" t="e">
        <f t="shared" si="390"/>
        <v>#VALUE!</v>
      </c>
      <c r="ND55" s="797" t="e">
        <f t="shared" si="390"/>
        <v>#VALUE!</v>
      </c>
      <c r="NE55" s="797" t="e">
        <f t="shared" si="390"/>
        <v>#VALUE!</v>
      </c>
      <c r="NF55" s="797" t="e">
        <f t="shared" si="390"/>
        <v>#VALUE!</v>
      </c>
      <c r="NG55" s="797" t="e">
        <f t="shared" si="390"/>
        <v>#VALUE!</v>
      </c>
      <c r="NH55" s="797" t="e">
        <f t="shared" si="383"/>
        <v>#VALUE!</v>
      </c>
      <c r="NI55" s="797" t="e">
        <f t="shared" si="383"/>
        <v>#VALUE!</v>
      </c>
      <c r="NJ55" s="797" t="e">
        <f t="shared" si="383"/>
        <v>#VALUE!</v>
      </c>
      <c r="NK55" s="797" t="e">
        <f t="shared" si="383"/>
        <v>#VALUE!</v>
      </c>
      <c r="NL55" s="797" t="e">
        <f t="shared" si="383"/>
        <v>#VALUE!</v>
      </c>
      <c r="NM55" s="797" t="e">
        <f t="shared" si="383"/>
        <v>#VALUE!</v>
      </c>
      <c r="NN55" s="797" t="e">
        <f t="shared" si="383"/>
        <v>#VALUE!</v>
      </c>
      <c r="NO55" s="797" t="e">
        <f t="shared" si="383"/>
        <v>#VALUE!</v>
      </c>
      <c r="NP55" s="797" t="e">
        <f t="shared" ref="NP55:PS55" si="391">NO55+1</f>
        <v>#VALUE!</v>
      </c>
      <c r="NQ55" s="797" t="e">
        <f t="shared" si="391"/>
        <v>#VALUE!</v>
      </c>
      <c r="NR55" s="797" t="e">
        <f t="shared" si="391"/>
        <v>#VALUE!</v>
      </c>
      <c r="NS55" s="797" t="e">
        <f t="shared" si="391"/>
        <v>#VALUE!</v>
      </c>
      <c r="NT55" s="797" t="e">
        <f t="shared" si="391"/>
        <v>#VALUE!</v>
      </c>
      <c r="NU55" s="797" t="e">
        <f t="shared" si="391"/>
        <v>#VALUE!</v>
      </c>
      <c r="NV55" s="797" t="e">
        <f t="shared" si="391"/>
        <v>#VALUE!</v>
      </c>
      <c r="NW55" s="797" t="e">
        <f t="shared" si="391"/>
        <v>#VALUE!</v>
      </c>
      <c r="NX55" s="797" t="e">
        <f t="shared" si="391"/>
        <v>#VALUE!</v>
      </c>
      <c r="NY55" s="797" t="e">
        <f t="shared" si="391"/>
        <v>#VALUE!</v>
      </c>
      <c r="NZ55" s="797" t="e">
        <f t="shared" si="391"/>
        <v>#VALUE!</v>
      </c>
      <c r="OA55" s="797" t="e">
        <f t="shared" si="391"/>
        <v>#VALUE!</v>
      </c>
      <c r="OB55" s="797" t="e">
        <f t="shared" si="391"/>
        <v>#VALUE!</v>
      </c>
      <c r="OC55" s="797" t="e">
        <f t="shared" si="391"/>
        <v>#VALUE!</v>
      </c>
      <c r="OD55" s="797" t="e">
        <f t="shared" si="391"/>
        <v>#VALUE!</v>
      </c>
      <c r="OE55" s="797" t="e">
        <f t="shared" si="391"/>
        <v>#VALUE!</v>
      </c>
      <c r="OF55" s="797" t="e">
        <f t="shared" si="391"/>
        <v>#VALUE!</v>
      </c>
      <c r="OG55" s="797" t="e">
        <f t="shared" si="391"/>
        <v>#VALUE!</v>
      </c>
      <c r="OH55" s="797" t="e">
        <f t="shared" si="391"/>
        <v>#VALUE!</v>
      </c>
      <c r="OI55" s="797" t="e">
        <f t="shared" si="391"/>
        <v>#VALUE!</v>
      </c>
      <c r="OJ55" s="797" t="e">
        <f t="shared" si="391"/>
        <v>#VALUE!</v>
      </c>
      <c r="OK55" s="797" t="e">
        <f t="shared" si="391"/>
        <v>#VALUE!</v>
      </c>
      <c r="OL55" s="797" t="e">
        <f t="shared" si="391"/>
        <v>#VALUE!</v>
      </c>
      <c r="OM55" s="797" t="e">
        <f t="shared" si="391"/>
        <v>#VALUE!</v>
      </c>
      <c r="ON55" s="797" t="e">
        <f t="shared" si="391"/>
        <v>#VALUE!</v>
      </c>
      <c r="OO55" s="797" t="e">
        <f t="shared" si="391"/>
        <v>#VALUE!</v>
      </c>
      <c r="OP55" s="797" t="e">
        <f t="shared" si="391"/>
        <v>#VALUE!</v>
      </c>
      <c r="OQ55" s="797" t="e">
        <f t="shared" si="391"/>
        <v>#VALUE!</v>
      </c>
      <c r="OR55" s="797" t="e">
        <f t="shared" si="391"/>
        <v>#VALUE!</v>
      </c>
      <c r="OS55" s="797" t="e">
        <f t="shared" si="391"/>
        <v>#VALUE!</v>
      </c>
      <c r="OT55" s="797" t="e">
        <f t="shared" si="391"/>
        <v>#VALUE!</v>
      </c>
      <c r="OU55" s="797" t="e">
        <f t="shared" si="391"/>
        <v>#VALUE!</v>
      </c>
      <c r="OV55" s="797" t="e">
        <f t="shared" si="391"/>
        <v>#VALUE!</v>
      </c>
      <c r="OW55" s="797" t="e">
        <f t="shared" si="391"/>
        <v>#VALUE!</v>
      </c>
      <c r="OX55" s="797" t="e">
        <f t="shared" si="391"/>
        <v>#VALUE!</v>
      </c>
      <c r="OY55" s="797" t="e">
        <f t="shared" si="391"/>
        <v>#VALUE!</v>
      </c>
      <c r="OZ55" s="797" t="e">
        <f t="shared" si="391"/>
        <v>#VALUE!</v>
      </c>
      <c r="PA55" s="797" t="e">
        <f t="shared" si="391"/>
        <v>#VALUE!</v>
      </c>
      <c r="PB55" s="797" t="e">
        <f t="shared" si="391"/>
        <v>#VALUE!</v>
      </c>
      <c r="PC55" s="797" t="e">
        <f t="shared" si="391"/>
        <v>#VALUE!</v>
      </c>
      <c r="PD55" s="797" t="e">
        <f t="shared" si="391"/>
        <v>#VALUE!</v>
      </c>
      <c r="PE55" s="797" t="e">
        <f t="shared" si="391"/>
        <v>#VALUE!</v>
      </c>
      <c r="PF55" s="797" t="e">
        <f t="shared" si="391"/>
        <v>#VALUE!</v>
      </c>
      <c r="PG55" s="797" t="e">
        <f t="shared" si="391"/>
        <v>#VALUE!</v>
      </c>
      <c r="PH55" s="797" t="e">
        <f t="shared" si="391"/>
        <v>#VALUE!</v>
      </c>
      <c r="PI55" s="797" t="e">
        <f t="shared" si="391"/>
        <v>#VALUE!</v>
      </c>
      <c r="PJ55" s="797" t="e">
        <f t="shared" si="391"/>
        <v>#VALUE!</v>
      </c>
      <c r="PK55" s="797" t="e">
        <f t="shared" si="391"/>
        <v>#VALUE!</v>
      </c>
      <c r="PL55" s="797" t="e">
        <f t="shared" si="391"/>
        <v>#VALUE!</v>
      </c>
      <c r="PM55" s="797" t="e">
        <f t="shared" si="391"/>
        <v>#VALUE!</v>
      </c>
      <c r="PN55" s="797" t="e">
        <f t="shared" si="391"/>
        <v>#VALUE!</v>
      </c>
      <c r="PO55" s="797" t="e">
        <f t="shared" si="391"/>
        <v>#VALUE!</v>
      </c>
      <c r="PP55" s="797" t="e">
        <f t="shared" si="391"/>
        <v>#VALUE!</v>
      </c>
      <c r="PQ55" s="797" t="e">
        <f t="shared" si="391"/>
        <v>#VALUE!</v>
      </c>
      <c r="PR55" s="797" t="e">
        <f t="shared" si="391"/>
        <v>#VALUE!</v>
      </c>
      <c r="PS55" s="797" t="e">
        <f t="shared" si="391"/>
        <v>#VALUE!</v>
      </c>
      <c r="PT55" s="797" t="e">
        <f t="shared" si="384"/>
        <v>#VALUE!</v>
      </c>
      <c r="PU55" s="797" t="e">
        <f t="shared" si="384"/>
        <v>#VALUE!</v>
      </c>
      <c r="PV55" s="797" t="e">
        <f t="shared" si="384"/>
        <v>#VALUE!</v>
      </c>
      <c r="PW55" s="797" t="e">
        <f t="shared" ref="PW55:QZ55" si="392">PV55+1</f>
        <v>#VALUE!</v>
      </c>
      <c r="PX55" s="797" t="e">
        <f t="shared" si="392"/>
        <v>#VALUE!</v>
      </c>
      <c r="PY55" s="797" t="e">
        <f t="shared" si="392"/>
        <v>#VALUE!</v>
      </c>
      <c r="PZ55" s="797" t="e">
        <f t="shared" si="392"/>
        <v>#VALUE!</v>
      </c>
      <c r="QA55" s="797" t="e">
        <f t="shared" si="392"/>
        <v>#VALUE!</v>
      </c>
      <c r="QB55" s="797" t="e">
        <f t="shared" si="392"/>
        <v>#VALUE!</v>
      </c>
      <c r="QC55" s="797" t="e">
        <f t="shared" si="392"/>
        <v>#VALUE!</v>
      </c>
      <c r="QD55" s="797" t="e">
        <f t="shared" si="392"/>
        <v>#VALUE!</v>
      </c>
      <c r="QE55" s="797" t="e">
        <f t="shared" si="392"/>
        <v>#VALUE!</v>
      </c>
      <c r="QF55" s="797" t="e">
        <f t="shared" si="392"/>
        <v>#VALUE!</v>
      </c>
      <c r="QG55" s="797" t="e">
        <f t="shared" si="392"/>
        <v>#VALUE!</v>
      </c>
      <c r="QH55" s="797" t="e">
        <f t="shared" si="392"/>
        <v>#VALUE!</v>
      </c>
      <c r="QI55" s="797" t="e">
        <f t="shared" si="392"/>
        <v>#VALUE!</v>
      </c>
      <c r="QJ55" s="797" t="e">
        <f t="shared" si="392"/>
        <v>#VALUE!</v>
      </c>
      <c r="QK55" s="797" t="e">
        <f t="shared" si="392"/>
        <v>#VALUE!</v>
      </c>
      <c r="QL55" s="797" t="e">
        <f t="shared" si="392"/>
        <v>#VALUE!</v>
      </c>
      <c r="QM55" s="797" t="e">
        <f t="shared" si="392"/>
        <v>#VALUE!</v>
      </c>
      <c r="QN55" s="797" t="e">
        <f t="shared" si="392"/>
        <v>#VALUE!</v>
      </c>
      <c r="QO55" s="797" t="e">
        <f t="shared" si="392"/>
        <v>#VALUE!</v>
      </c>
      <c r="QP55" s="797" t="e">
        <f t="shared" si="392"/>
        <v>#VALUE!</v>
      </c>
      <c r="QQ55" s="797" t="e">
        <f t="shared" si="392"/>
        <v>#VALUE!</v>
      </c>
      <c r="QR55" s="797" t="e">
        <f t="shared" si="392"/>
        <v>#VALUE!</v>
      </c>
      <c r="QS55" s="797" t="e">
        <f t="shared" si="392"/>
        <v>#VALUE!</v>
      </c>
      <c r="QT55" s="797" t="e">
        <f t="shared" si="392"/>
        <v>#VALUE!</v>
      </c>
      <c r="QU55" s="797" t="e">
        <f t="shared" si="392"/>
        <v>#VALUE!</v>
      </c>
      <c r="QV55" s="797" t="e">
        <f t="shared" si="392"/>
        <v>#VALUE!</v>
      </c>
      <c r="QW55" s="797" t="e">
        <f t="shared" si="392"/>
        <v>#VALUE!</v>
      </c>
      <c r="QX55" s="797" t="e">
        <f t="shared" si="392"/>
        <v>#VALUE!</v>
      </c>
      <c r="QY55" s="797" t="e">
        <f t="shared" si="392"/>
        <v>#VALUE!</v>
      </c>
      <c r="QZ55" s="797" t="e">
        <f t="shared" si="392"/>
        <v>#VALUE!</v>
      </c>
      <c r="RA55" s="797"/>
      <c r="RC55" s="797"/>
    </row>
    <row r="56" spans="1:471" ht="17.25">
      <c r="AK56" s="112" t="s">
        <v>177</v>
      </c>
      <c r="AL56" s="701">
        <f t="shared" si="386"/>
        <v>35</v>
      </c>
      <c r="AM56" s="304">
        <f t="shared" si="386"/>
        <v>35</v>
      </c>
      <c r="AN56" s="304">
        <f t="shared" si="386"/>
        <v>35</v>
      </c>
      <c r="AO56" s="304">
        <f t="shared" si="386"/>
        <v>35</v>
      </c>
      <c r="AP56" s="304">
        <f t="shared" si="386"/>
        <v>35</v>
      </c>
      <c r="AQ56" s="304">
        <f t="shared" si="386"/>
        <v>35</v>
      </c>
      <c r="AR56" s="304">
        <f t="shared" si="386"/>
        <v>35</v>
      </c>
      <c r="AS56" s="304">
        <f t="shared" si="386"/>
        <v>35</v>
      </c>
      <c r="AT56" s="304">
        <f t="shared" si="386"/>
        <v>35</v>
      </c>
      <c r="AU56" s="304">
        <f t="shared" si="386"/>
        <v>35</v>
      </c>
      <c r="AV56" s="304">
        <f t="shared" si="386"/>
        <v>35</v>
      </c>
      <c r="AW56" s="314">
        <f t="shared" si="386"/>
        <v>35</v>
      </c>
      <c r="AX56" s="314"/>
      <c r="DH56" s="797"/>
      <c r="DI56" s="797" t="s">
        <v>3803</v>
      </c>
      <c r="DJ56" s="960" t="e">
        <f>RB45+1</f>
        <v>#VALUE!</v>
      </c>
      <c r="DK56" s="921" t="e">
        <f>DJ56+1</f>
        <v>#VALUE!</v>
      </c>
      <c r="DL56" s="921" t="e">
        <f t="shared" ref="DL56:FW56" si="393">DK56+1</f>
        <v>#VALUE!</v>
      </c>
      <c r="DM56" s="921" t="e">
        <f t="shared" si="393"/>
        <v>#VALUE!</v>
      </c>
      <c r="DN56" s="921" t="e">
        <f t="shared" si="393"/>
        <v>#VALUE!</v>
      </c>
      <c r="DO56" s="921" t="e">
        <f t="shared" si="393"/>
        <v>#VALUE!</v>
      </c>
      <c r="DP56" s="921" t="e">
        <f t="shared" si="393"/>
        <v>#VALUE!</v>
      </c>
      <c r="DQ56" s="921" t="e">
        <f t="shared" si="393"/>
        <v>#VALUE!</v>
      </c>
      <c r="DR56" s="921" t="e">
        <f t="shared" si="393"/>
        <v>#VALUE!</v>
      </c>
      <c r="DS56" s="921" t="e">
        <f t="shared" si="393"/>
        <v>#VALUE!</v>
      </c>
      <c r="DT56" s="921" t="e">
        <f t="shared" si="393"/>
        <v>#VALUE!</v>
      </c>
      <c r="DU56" s="921" t="e">
        <f t="shared" si="393"/>
        <v>#VALUE!</v>
      </c>
      <c r="DV56" s="921" t="e">
        <f t="shared" si="393"/>
        <v>#VALUE!</v>
      </c>
      <c r="DW56" s="921" t="e">
        <f t="shared" si="393"/>
        <v>#VALUE!</v>
      </c>
      <c r="DX56" s="921" t="e">
        <f t="shared" si="393"/>
        <v>#VALUE!</v>
      </c>
      <c r="DY56" s="921" t="e">
        <f t="shared" si="393"/>
        <v>#VALUE!</v>
      </c>
      <c r="DZ56" s="921" t="e">
        <f t="shared" si="393"/>
        <v>#VALUE!</v>
      </c>
      <c r="EA56" s="921" t="e">
        <f t="shared" si="393"/>
        <v>#VALUE!</v>
      </c>
      <c r="EB56" s="921" t="e">
        <f t="shared" si="393"/>
        <v>#VALUE!</v>
      </c>
      <c r="EC56" s="921" t="e">
        <f t="shared" si="393"/>
        <v>#VALUE!</v>
      </c>
      <c r="ED56" s="921" t="e">
        <f t="shared" si="393"/>
        <v>#VALUE!</v>
      </c>
      <c r="EE56" s="921" t="e">
        <f t="shared" si="393"/>
        <v>#VALUE!</v>
      </c>
      <c r="EF56" s="921" t="e">
        <f t="shared" si="393"/>
        <v>#VALUE!</v>
      </c>
      <c r="EG56" s="921" t="e">
        <f t="shared" si="393"/>
        <v>#VALUE!</v>
      </c>
      <c r="EH56" s="921" t="e">
        <f t="shared" si="393"/>
        <v>#VALUE!</v>
      </c>
      <c r="EI56" s="921" t="e">
        <f t="shared" si="393"/>
        <v>#VALUE!</v>
      </c>
      <c r="EJ56" s="921" t="e">
        <f t="shared" si="393"/>
        <v>#VALUE!</v>
      </c>
      <c r="EK56" s="921" t="e">
        <f t="shared" si="393"/>
        <v>#VALUE!</v>
      </c>
      <c r="EL56" s="921" t="e">
        <f t="shared" si="393"/>
        <v>#VALUE!</v>
      </c>
      <c r="EM56" s="921" t="e">
        <f t="shared" si="393"/>
        <v>#VALUE!</v>
      </c>
      <c r="EN56" s="921" t="e">
        <f t="shared" si="393"/>
        <v>#VALUE!</v>
      </c>
      <c r="EO56" s="921" t="e">
        <f t="shared" si="393"/>
        <v>#VALUE!</v>
      </c>
      <c r="EP56" s="921" t="e">
        <f t="shared" si="393"/>
        <v>#VALUE!</v>
      </c>
      <c r="EQ56" s="921" t="e">
        <f t="shared" si="393"/>
        <v>#VALUE!</v>
      </c>
      <c r="ER56" s="921" t="e">
        <f t="shared" si="393"/>
        <v>#VALUE!</v>
      </c>
      <c r="ES56" s="921" t="e">
        <f t="shared" si="393"/>
        <v>#VALUE!</v>
      </c>
      <c r="ET56" s="921" t="e">
        <f t="shared" si="393"/>
        <v>#VALUE!</v>
      </c>
      <c r="EU56" s="921" t="e">
        <f t="shared" si="393"/>
        <v>#VALUE!</v>
      </c>
      <c r="EV56" s="921" t="e">
        <f t="shared" si="393"/>
        <v>#VALUE!</v>
      </c>
      <c r="EW56" s="921" t="e">
        <f t="shared" si="393"/>
        <v>#VALUE!</v>
      </c>
      <c r="EX56" s="921" t="e">
        <f t="shared" si="393"/>
        <v>#VALUE!</v>
      </c>
      <c r="EY56" s="921" t="e">
        <f t="shared" si="393"/>
        <v>#VALUE!</v>
      </c>
      <c r="EZ56" s="921" t="e">
        <f t="shared" si="393"/>
        <v>#VALUE!</v>
      </c>
      <c r="FA56" s="921" t="e">
        <f t="shared" si="393"/>
        <v>#VALUE!</v>
      </c>
      <c r="FB56" s="921" t="e">
        <f t="shared" si="393"/>
        <v>#VALUE!</v>
      </c>
      <c r="FC56" s="921" t="e">
        <f t="shared" si="393"/>
        <v>#VALUE!</v>
      </c>
      <c r="FD56" s="921" t="e">
        <f t="shared" si="393"/>
        <v>#VALUE!</v>
      </c>
      <c r="FE56" s="921" t="e">
        <f t="shared" si="393"/>
        <v>#VALUE!</v>
      </c>
      <c r="FF56" s="921" t="e">
        <f t="shared" si="393"/>
        <v>#VALUE!</v>
      </c>
      <c r="FG56" s="921" t="e">
        <f t="shared" si="393"/>
        <v>#VALUE!</v>
      </c>
      <c r="FH56" s="921" t="e">
        <f t="shared" si="393"/>
        <v>#VALUE!</v>
      </c>
      <c r="FI56" s="921" t="e">
        <f t="shared" si="393"/>
        <v>#VALUE!</v>
      </c>
      <c r="FJ56" s="921" t="e">
        <f t="shared" si="393"/>
        <v>#VALUE!</v>
      </c>
      <c r="FK56" s="921" t="e">
        <f t="shared" si="393"/>
        <v>#VALUE!</v>
      </c>
      <c r="FL56" s="921" t="e">
        <f t="shared" si="393"/>
        <v>#VALUE!</v>
      </c>
      <c r="FM56" s="921" t="e">
        <f t="shared" si="393"/>
        <v>#VALUE!</v>
      </c>
      <c r="FN56" s="921" t="e">
        <f t="shared" si="393"/>
        <v>#VALUE!</v>
      </c>
      <c r="FO56" s="921" t="e">
        <f t="shared" si="393"/>
        <v>#VALUE!</v>
      </c>
      <c r="FP56" s="921" t="e">
        <f t="shared" si="393"/>
        <v>#VALUE!</v>
      </c>
      <c r="FQ56" s="921" t="e">
        <f t="shared" si="393"/>
        <v>#VALUE!</v>
      </c>
      <c r="FR56" s="921" t="e">
        <f t="shared" si="393"/>
        <v>#VALUE!</v>
      </c>
      <c r="FS56" s="921" t="e">
        <f t="shared" si="393"/>
        <v>#VALUE!</v>
      </c>
      <c r="FT56" s="921" t="e">
        <f t="shared" si="393"/>
        <v>#VALUE!</v>
      </c>
      <c r="FU56" s="921" t="e">
        <f t="shared" si="393"/>
        <v>#VALUE!</v>
      </c>
      <c r="FV56" s="921" t="e">
        <f t="shared" si="393"/>
        <v>#VALUE!</v>
      </c>
      <c r="FW56" s="921" t="e">
        <f t="shared" si="393"/>
        <v>#VALUE!</v>
      </c>
      <c r="FX56" s="921" t="e">
        <f t="shared" ref="FX56:II56" si="394">FW56+1</f>
        <v>#VALUE!</v>
      </c>
      <c r="FY56" s="921" t="e">
        <f t="shared" si="394"/>
        <v>#VALUE!</v>
      </c>
      <c r="FZ56" s="921" t="e">
        <f t="shared" si="394"/>
        <v>#VALUE!</v>
      </c>
      <c r="GA56" s="921" t="e">
        <f t="shared" si="394"/>
        <v>#VALUE!</v>
      </c>
      <c r="GB56" s="921" t="e">
        <f t="shared" si="394"/>
        <v>#VALUE!</v>
      </c>
      <c r="GC56" s="921" t="e">
        <f t="shared" si="394"/>
        <v>#VALUE!</v>
      </c>
      <c r="GD56" s="921" t="e">
        <f t="shared" si="394"/>
        <v>#VALUE!</v>
      </c>
      <c r="GE56" s="921" t="e">
        <f t="shared" si="394"/>
        <v>#VALUE!</v>
      </c>
      <c r="GF56" s="921" t="e">
        <f t="shared" si="394"/>
        <v>#VALUE!</v>
      </c>
      <c r="GG56" s="921" t="e">
        <f t="shared" si="394"/>
        <v>#VALUE!</v>
      </c>
      <c r="GH56" s="921" t="e">
        <f t="shared" si="394"/>
        <v>#VALUE!</v>
      </c>
      <c r="GI56" s="921" t="e">
        <f t="shared" si="394"/>
        <v>#VALUE!</v>
      </c>
      <c r="GJ56" s="921" t="e">
        <f t="shared" si="394"/>
        <v>#VALUE!</v>
      </c>
      <c r="GK56" s="921" t="e">
        <f t="shared" si="394"/>
        <v>#VALUE!</v>
      </c>
      <c r="GL56" s="921" t="e">
        <f t="shared" si="394"/>
        <v>#VALUE!</v>
      </c>
      <c r="GM56" s="921" t="e">
        <f t="shared" si="394"/>
        <v>#VALUE!</v>
      </c>
      <c r="GN56" s="921" t="e">
        <f t="shared" si="394"/>
        <v>#VALUE!</v>
      </c>
      <c r="GO56" s="921" t="e">
        <f t="shared" si="394"/>
        <v>#VALUE!</v>
      </c>
      <c r="GP56" s="921" t="e">
        <f t="shared" si="394"/>
        <v>#VALUE!</v>
      </c>
      <c r="GQ56" s="921" t="e">
        <f t="shared" si="394"/>
        <v>#VALUE!</v>
      </c>
      <c r="GR56" s="921" t="e">
        <f t="shared" si="394"/>
        <v>#VALUE!</v>
      </c>
      <c r="GS56" s="921" t="e">
        <f t="shared" si="394"/>
        <v>#VALUE!</v>
      </c>
      <c r="GT56" s="921" t="e">
        <f t="shared" si="394"/>
        <v>#VALUE!</v>
      </c>
      <c r="GU56" s="921" t="e">
        <f t="shared" si="394"/>
        <v>#VALUE!</v>
      </c>
      <c r="GV56" s="921" t="e">
        <f t="shared" si="394"/>
        <v>#VALUE!</v>
      </c>
      <c r="GW56" s="921" t="e">
        <f t="shared" si="394"/>
        <v>#VALUE!</v>
      </c>
      <c r="GX56" s="921" t="e">
        <f t="shared" si="394"/>
        <v>#VALUE!</v>
      </c>
      <c r="GY56" s="921" t="e">
        <f t="shared" si="394"/>
        <v>#VALUE!</v>
      </c>
      <c r="GZ56" s="921" t="e">
        <f t="shared" si="394"/>
        <v>#VALUE!</v>
      </c>
      <c r="HA56" s="921" t="e">
        <f t="shared" si="394"/>
        <v>#VALUE!</v>
      </c>
      <c r="HB56" s="921" t="e">
        <f t="shared" si="394"/>
        <v>#VALUE!</v>
      </c>
      <c r="HC56" s="921" t="e">
        <f t="shared" si="394"/>
        <v>#VALUE!</v>
      </c>
      <c r="HD56" s="921" t="e">
        <f t="shared" si="394"/>
        <v>#VALUE!</v>
      </c>
      <c r="HE56" s="921" t="e">
        <f t="shared" si="394"/>
        <v>#VALUE!</v>
      </c>
      <c r="HF56" s="921" t="e">
        <f t="shared" si="394"/>
        <v>#VALUE!</v>
      </c>
      <c r="HG56" s="921" t="e">
        <f t="shared" si="394"/>
        <v>#VALUE!</v>
      </c>
      <c r="HH56" s="921" t="e">
        <f t="shared" si="394"/>
        <v>#VALUE!</v>
      </c>
      <c r="HI56" s="921" t="e">
        <f t="shared" si="394"/>
        <v>#VALUE!</v>
      </c>
      <c r="HJ56" s="921" t="e">
        <f t="shared" si="394"/>
        <v>#VALUE!</v>
      </c>
      <c r="HK56" s="921" t="e">
        <f t="shared" si="394"/>
        <v>#VALUE!</v>
      </c>
      <c r="HL56" s="921" t="e">
        <f t="shared" si="394"/>
        <v>#VALUE!</v>
      </c>
      <c r="HM56" s="921" t="e">
        <f t="shared" si="394"/>
        <v>#VALUE!</v>
      </c>
      <c r="HN56" s="921" t="e">
        <f t="shared" si="394"/>
        <v>#VALUE!</v>
      </c>
      <c r="HO56" s="921" t="e">
        <f t="shared" si="394"/>
        <v>#VALUE!</v>
      </c>
      <c r="HP56" s="921" t="e">
        <f t="shared" si="394"/>
        <v>#VALUE!</v>
      </c>
      <c r="HQ56" s="921" t="e">
        <f t="shared" si="394"/>
        <v>#VALUE!</v>
      </c>
      <c r="HR56" s="921" t="e">
        <f t="shared" si="394"/>
        <v>#VALUE!</v>
      </c>
      <c r="HS56" s="921" t="e">
        <f t="shared" si="394"/>
        <v>#VALUE!</v>
      </c>
      <c r="HT56" s="921" t="e">
        <f t="shared" si="394"/>
        <v>#VALUE!</v>
      </c>
      <c r="HU56" s="921" t="e">
        <f t="shared" si="394"/>
        <v>#VALUE!</v>
      </c>
      <c r="HV56" s="921" t="e">
        <f t="shared" si="394"/>
        <v>#VALUE!</v>
      </c>
      <c r="HW56" s="921" t="e">
        <f t="shared" si="394"/>
        <v>#VALUE!</v>
      </c>
      <c r="HX56" s="921" t="e">
        <f t="shared" si="394"/>
        <v>#VALUE!</v>
      </c>
      <c r="HY56" s="921" t="e">
        <f t="shared" si="394"/>
        <v>#VALUE!</v>
      </c>
      <c r="HZ56" s="921" t="e">
        <f t="shared" si="394"/>
        <v>#VALUE!</v>
      </c>
      <c r="IA56" s="921" t="e">
        <f t="shared" si="394"/>
        <v>#VALUE!</v>
      </c>
      <c r="IB56" s="921" t="e">
        <f t="shared" si="394"/>
        <v>#VALUE!</v>
      </c>
      <c r="IC56" s="921" t="e">
        <f t="shared" si="394"/>
        <v>#VALUE!</v>
      </c>
      <c r="ID56" s="921" t="e">
        <f t="shared" si="394"/>
        <v>#VALUE!</v>
      </c>
      <c r="IE56" s="921" t="e">
        <f t="shared" si="394"/>
        <v>#VALUE!</v>
      </c>
      <c r="IF56" s="921" t="e">
        <f t="shared" si="394"/>
        <v>#VALUE!</v>
      </c>
      <c r="IG56" s="921" t="e">
        <f t="shared" si="394"/>
        <v>#VALUE!</v>
      </c>
      <c r="IH56" s="921" t="e">
        <f t="shared" si="394"/>
        <v>#VALUE!</v>
      </c>
      <c r="II56" s="921" t="e">
        <f t="shared" si="394"/>
        <v>#VALUE!</v>
      </c>
      <c r="IJ56" s="921" t="e">
        <f t="shared" ref="IJ56:KU56" si="395">II56+1</f>
        <v>#VALUE!</v>
      </c>
      <c r="IK56" s="921" t="e">
        <f t="shared" si="395"/>
        <v>#VALUE!</v>
      </c>
      <c r="IL56" s="921" t="e">
        <f t="shared" si="395"/>
        <v>#VALUE!</v>
      </c>
      <c r="IM56" s="921" t="e">
        <f t="shared" si="395"/>
        <v>#VALUE!</v>
      </c>
      <c r="IN56" s="921" t="e">
        <f t="shared" si="395"/>
        <v>#VALUE!</v>
      </c>
      <c r="IO56" s="921" t="e">
        <f t="shared" si="395"/>
        <v>#VALUE!</v>
      </c>
      <c r="IP56" s="921" t="e">
        <f t="shared" si="395"/>
        <v>#VALUE!</v>
      </c>
      <c r="IQ56" s="921" t="e">
        <f t="shared" si="395"/>
        <v>#VALUE!</v>
      </c>
      <c r="IR56" s="921" t="e">
        <f t="shared" si="395"/>
        <v>#VALUE!</v>
      </c>
      <c r="IS56" s="921" t="e">
        <f t="shared" si="395"/>
        <v>#VALUE!</v>
      </c>
      <c r="IT56" s="921" t="e">
        <f t="shared" si="395"/>
        <v>#VALUE!</v>
      </c>
      <c r="IU56" s="921" t="e">
        <f t="shared" si="395"/>
        <v>#VALUE!</v>
      </c>
      <c r="IV56" s="921" t="e">
        <f t="shared" si="395"/>
        <v>#VALUE!</v>
      </c>
      <c r="IW56" s="921" t="e">
        <f t="shared" si="395"/>
        <v>#VALUE!</v>
      </c>
      <c r="IX56" s="921" t="e">
        <f t="shared" si="395"/>
        <v>#VALUE!</v>
      </c>
      <c r="IY56" s="921" t="e">
        <f t="shared" si="395"/>
        <v>#VALUE!</v>
      </c>
      <c r="IZ56" s="921" t="e">
        <f t="shared" si="395"/>
        <v>#VALUE!</v>
      </c>
      <c r="JA56" s="921" t="e">
        <f t="shared" si="395"/>
        <v>#VALUE!</v>
      </c>
      <c r="JB56" s="921" t="e">
        <f t="shared" si="395"/>
        <v>#VALUE!</v>
      </c>
      <c r="JC56" s="921" t="e">
        <f t="shared" si="395"/>
        <v>#VALUE!</v>
      </c>
      <c r="JD56" s="921" t="e">
        <f t="shared" si="395"/>
        <v>#VALUE!</v>
      </c>
      <c r="JE56" s="921" t="e">
        <f t="shared" si="395"/>
        <v>#VALUE!</v>
      </c>
      <c r="JF56" s="921" t="e">
        <f t="shared" si="395"/>
        <v>#VALUE!</v>
      </c>
      <c r="JG56" s="921" t="e">
        <f t="shared" si="395"/>
        <v>#VALUE!</v>
      </c>
      <c r="JH56" s="921" t="e">
        <f t="shared" si="395"/>
        <v>#VALUE!</v>
      </c>
      <c r="JI56" s="921" t="e">
        <f t="shared" si="395"/>
        <v>#VALUE!</v>
      </c>
      <c r="JJ56" s="921" t="e">
        <f t="shared" si="395"/>
        <v>#VALUE!</v>
      </c>
      <c r="JK56" s="921" t="e">
        <f t="shared" si="395"/>
        <v>#VALUE!</v>
      </c>
      <c r="JL56" s="921" t="e">
        <f t="shared" si="395"/>
        <v>#VALUE!</v>
      </c>
      <c r="JM56" s="921" t="e">
        <f t="shared" si="395"/>
        <v>#VALUE!</v>
      </c>
      <c r="JN56" s="921" t="e">
        <f t="shared" si="395"/>
        <v>#VALUE!</v>
      </c>
      <c r="JO56" s="921" t="e">
        <f t="shared" si="395"/>
        <v>#VALUE!</v>
      </c>
      <c r="JP56" s="921" t="e">
        <f t="shared" si="395"/>
        <v>#VALUE!</v>
      </c>
      <c r="JQ56" s="921" t="e">
        <f t="shared" si="395"/>
        <v>#VALUE!</v>
      </c>
      <c r="JR56" s="921" t="e">
        <f t="shared" si="395"/>
        <v>#VALUE!</v>
      </c>
      <c r="JS56" s="921" t="e">
        <f t="shared" si="395"/>
        <v>#VALUE!</v>
      </c>
      <c r="JT56" s="921" t="e">
        <f t="shared" si="395"/>
        <v>#VALUE!</v>
      </c>
      <c r="JU56" s="921" t="e">
        <f t="shared" si="395"/>
        <v>#VALUE!</v>
      </c>
      <c r="JV56" s="921" t="e">
        <f t="shared" si="395"/>
        <v>#VALUE!</v>
      </c>
      <c r="JW56" s="921" t="e">
        <f t="shared" si="395"/>
        <v>#VALUE!</v>
      </c>
      <c r="JX56" s="921" t="e">
        <f t="shared" si="395"/>
        <v>#VALUE!</v>
      </c>
      <c r="JY56" s="921" t="e">
        <f t="shared" si="395"/>
        <v>#VALUE!</v>
      </c>
      <c r="JZ56" s="921" t="e">
        <f t="shared" si="395"/>
        <v>#VALUE!</v>
      </c>
      <c r="KA56" s="921" t="e">
        <f t="shared" si="395"/>
        <v>#VALUE!</v>
      </c>
      <c r="KB56" s="921" t="e">
        <f t="shared" si="395"/>
        <v>#VALUE!</v>
      </c>
      <c r="KC56" s="921" t="e">
        <f t="shared" si="395"/>
        <v>#VALUE!</v>
      </c>
      <c r="KD56" s="921" t="e">
        <f t="shared" si="395"/>
        <v>#VALUE!</v>
      </c>
      <c r="KE56" s="921" t="e">
        <f t="shared" si="395"/>
        <v>#VALUE!</v>
      </c>
      <c r="KF56" s="921" t="e">
        <f t="shared" si="395"/>
        <v>#VALUE!</v>
      </c>
      <c r="KG56" s="921" t="e">
        <f t="shared" si="395"/>
        <v>#VALUE!</v>
      </c>
      <c r="KH56" s="921" t="e">
        <f t="shared" si="395"/>
        <v>#VALUE!</v>
      </c>
      <c r="KI56" s="921" t="e">
        <f t="shared" si="395"/>
        <v>#VALUE!</v>
      </c>
      <c r="KJ56" s="921" t="e">
        <f t="shared" si="395"/>
        <v>#VALUE!</v>
      </c>
      <c r="KK56" s="921" t="e">
        <f t="shared" si="395"/>
        <v>#VALUE!</v>
      </c>
      <c r="KL56" s="921" t="e">
        <f t="shared" si="395"/>
        <v>#VALUE!</v>
      </c>
      <c r="KM56" s="921" t="e">
        <f t="shared" si="395"/>
        <v>#VALUE!</v>
      </c>
      <c r="KN56" s="921" t="e">
        <f t="shared" si="395"/>
        <v>#VALUE!</v>
      </c>
      <c r="KO56" s="921" t="e">
        <f t="shared" si="395"/>
        <v>#VALUE!</v>
      </c>
      <c r="KP56" s="921" t="e">
        <f t="shared" si="395"/>
        <v>#VALUE!</v>
      </c>
      <c r="KQ56" s="921" t="e">
        <f t="shared" si="395"/>
        <v>#VALUE!</v>
      </c>
      <c r="KR56" s="921" t="e">
        <f t="shared" si="395"/>
        <v>#VALUE!</v>
      </c>
      <c r="KS56" s="921" t="e">
        <f t="shared" si="395"/>
        <v>#VALUE!</v>
      </c>
      <c r="KT56" s="921" t="e">
        <f t="shared" si="395"/>
        <v>#VALUE!</v>
      </c>
      <c r="KU56" s="921" t="e">
        <f t="shared" si="395"/>
        <v>#VALUE!</v>
      </c>
      <c r="KV56" s="921" t="e">
        <f t="shared" ref="KV56:NG56" si="396">KU56+1</f>
        <v>#VALUE!</v>
      </c>
      <c r="KW56" s="921" t="e">
        <f t="shared" si="396"/>
        <v>#VALUE!</v>
      </c>
      <c r="KX56" s="921" t="e">
        <f t="shared" si="396"/>
        <v>#VALUE!</v>
      </c>
      <c r="KY56" s="921" t="e">
        <f t="shared" si="396"/>
        <v>#VALUE!</v>
      </c>
      <c r="KZ56" s="921" t="e">
        <f t="shared" si="396"/>
        <v>#VALUE!</v>
      </c>
      <c r="LA56" s="921" t="e">
        <f t="shared" si="396"/>
        <v>#VALUE!</v>
      </c>
      <c r="LB56" s="921" t="e">
        <f t="shared" si="396"/>
        <v>#VALUE!</v>
      </c>
      <c r="LC56" s="921" t="e">
        <f t="shared" si="396"/>
        <v>#VALUE!</v>
      </c>
      <c r="LD56" s="921" t="e">
        <f t="shared" si="396"/>
        <v>#VALUE!</v>
      </c>
      <c r="LE56" s="921" t="e">
        <f t="shared" si="396"/>
        <v>#VALUE!</v>
      </c>
      <c r="LF56" s="921" t="e">
        <f t="shared" si="396"/>
        <v>#VALUE!</v>
      </c>
      <c r="LG56" s="921" t="e">
        <f t="shared" si="396"/>
        <v>#VALUE!</v>
      </c>
      <c r="LH56" s="921" t="e">
        <f t="shared" si="396"/>
        <v>#VALUE!</v>
      </c>
      <c r="LI56" s="921" t="e">
        <f t="shared" si="396"/>
        <v>#VALUE!</v>
      </c>
      <c r="LJ56" s="921" t="e">
        <f t="shared" si="396"/>
        <v>#VALUE!</v>
      </c>
      <c r="LK56" s="921" t="e">
        <f t="shared" si="396"/>
        <v>#VALUE!</v>
      </c>
      <c r="LL56" s="921" t="e">
        <f t="shared" si="396"/>
        <v>#VALUE!</v>
      </c>
      <c r="LM56" s="921" t="e">
        <f t="shared" si="396"/>
        <v>#VALUE!</v>
      </c>
      <c r="LN56" s="921" t="e">
        <f t="shared" si="396"/>
        <v>#VALUE!</v>
      </c>
      <c r="LO56" s="921" t="e">
        <f t="shared" si="396"/>
        <v>#VALUE!</v>
      </c>
      <c r="LP56" s="921" t="e">
        <f t="shared" si="396"/>
        <v>#VALUE!</v>
      </c>
      <c r="LQ56" s="921" t="e">
        <f t="shared" si="396"/>
        <v>#VALUE!</v>
      </c>
      <c r="LR56" s="921" t="e">
        <f t="shared" si="396"/>
        <v>#VALUE!</v>
      </c>
      <c r="LS56" s="921" t="e">
        <f t="shared" si="396"/>
        <v>#VALUE!</v>
      </c>
      <c r="LT56" s="921" t="e">
        <f t="shared" si="396"/>
        <v>#VALUE!</v>
      </c>
      <c r="LU56" s="921" t="e">
        <f t="shared" si="396"/>
        <v>#VALUE!</v>
      </c>
      <c r="LV56" s="921" t="e">
        <f t="shared" si="396"/>
        <v>#VALUE!</v>
      </c>
      <c r="LW56" s="921" t="e">
        <f t="shared" si="396"/>
        <v>#VALUE!</v>
      </c>
      <c r="LX56" s="921" t="e">
        <f t="shared" si="396"/>
        <v>#VALUE!</v>
      </c>
      <c r="LY56" s="921" t="e">
        <f t="shared" si="396"/>
        <v>#VALUE!</v>
      </c>
      <c r="LZ56" s="921" t="e">
        <f t="shared" si="396"/>
        <v>#VALUE!</v>
      </c>
      <c r="MA56" s="921" t="e">
        <f t="shared" si="396"/>
        <v>#VALUE!</v>
      </c>
      <c r="MB56" s="921" t="e">
        <f t="shared" si="396"/>
        <v>#VALUE!</v>
      </c>
      <c r="MC56" s="921" t="e">
        <f t="shared" si="396"/>
        <v>#VALUE!</v>
      </c>
      <c r="MD56" s="921" t="e">
        <f t="shared" si="396"/>
        <v>#VALUE!</v>
      </c>
      <c r="ME56" s="921" t="e">
        <f t="shared" si="396"/>
        <v>#VALUE!</v>
      </c>
      <c r="MF56" s="921" t="e">
        <f t="shared" si="396"/>
        <v>#VALUE!</v>
      </c>
      <c r="MG56" s="921" t="e">
        <f t="shared" si="396"/>
        <v>#VALUE!</v>
      </c>
      <c r="MH56" s="921" t="e">
        <f t="shared" si="396"/>
        <v>#VALUE!</v>
      </c>
      <c r="MI56" s="921" t="e">
        <f t="shared" si="396"/>
        <v>#VALUE!</v>
      </c>
      <c r="MJ56" s="921" t="e">
        <f t="shared" si="396"/>
        <v>#VALUE!</v>
      </c>
      <c r="MK56" s="921" t="e">
        <f t="shared" si="396"/>
        <v>#VALUE!</v>
      </c>
      <c r="ML56" s="921" t="e">
        <f t="shared" si="396"/>
        <v>#VALUE!</v>
      </c>
      <c r="MM56" s="921" t="e">
        <f t="shared" si="396"/>
        <v>#VALUE!</v>
      </c>
      <c r="MN56" s="921" t="e">
        <f t="shared" si="396"/>
        <v>#VALUE!</v>
      </c>
      <c r="MO56" s="921" t="e">
        <f t="shared" si="396"/>
        <v>#VALUE!</v>
      </c>
      <c r="MP56" s="921" t="e">
        <f t="shared" si="396"/>
        <v>#VALUE!</v>
      </c>
      <c r="MQ56" s="921" t="e">
        <f t="shared" si="396"/>
        <v>#VALUE!</v>
      </c>
      <c r="MR56" s="921" t="e">
        <f t="shared" si="396"/>
        <v>#VALUE!</v>
      </c>
      <c r="MS56" s="921" t="e">
        <f t="shared" si="396"/>
        <v>#VALUE!</v>
      </c>
      <c r="MT56" s="921" t="e">
        <f t="shared" si="396"/>
        <v>#VALUE!</v>
      </c>
      <c r="MU56" s="921" t="e">
        <f t="shared" si="396"/>
        <v>#VALUE!</v>
      </c>
      <c r="MV56" s="921" t="e">
        <f t="shared" si="396"/>
        <v>#VALUE!</v>
      </c>
      <c r="MW56" s="921" t="e">
        <f t="shared" si="396"/>
        <v>#VALUE!</v>
      </c>
      <c r="MX56" s="921" t="e">
        <f t="shared" si="396"/>
        <v>#VALUE!</v>
      </c>
      <c r="MY56" s="921" t="e">
        <f t="shared" si="396"/>
        <v>#VALUE!</v>
      </c>
      <c r="MZ56" s="921" t="e">
        <f t="shared" si="396"/>
        <v>#VALUE!</v>
      </c>
      <c r="NA56" s="921" t="e">
        <f t="shared" si="396"/>
        <v>#VALUE!</v>
      </c>
      <c r="NB56" s="921" t="e">
        <f t="shared" si="396"/>
        <v>#VALUE!</v>
      </c>
      <c r="NC56" s="921" t="e">
        <f t="shared" si="396"/>
        <v>#VALUE!</v>
      </c>
      <c r="ND56" s="921" t="e">
        <f t="shared" si="396"/>
        <v>#VALUE!</v>
      </c>
      <c r="NE56" s="921" t="e">
        <f t="shared" si="396"/>
        <v>#VALUE!</v>
      </c>
      <c r="NF56" s="921" t="e">
        <f t="shared" si="396"/>
        <v>#VALUE!</v>
      </c>
      <c r="NG56" s="921" t="e">
        <f t="shared" si="396"/>
        <v>#VALUE!</v>
      </c>
      <c r="NH56" s="921" t="e">
        <f t="shared" ref="NH56:PS56" si="397">NG56+1</f>
        <v>#VALUE!</v>
      </c>
      <c r="NI56" s="921" t="e">
        <f t="shared" si="397"/>
        <v>#VALUE!</v>
      </c>
      <c r="NJ56" s="921" t="e">
        <f t="shared" si="397"/>
        <v>#VALUE!</v>
      </c>
      <c r="NK56" s="921" t="e">
        <f t="shared" si="397"/>
        <v>#VALUE!</v>
      </c>
      <c r="NL56" s="921" t="e">
        <f t="shared" si="397"/>
        <v>#VALUE!</v>
      </c>
      <c r="NM56" s="921" t="e">
        <f t="shared" si="397"/>
        <v>#VALUE!</v>
      </c>
      <c r="NN56" s="921" t="e">
        <f t="shared" si="397"/>
        <v>#VALUE!</v>
      </c>
      <c r="NO56" s="921" t="e">
        <f t="shared" si="397"/>
        <v>#VALUE!</v>
      </c>
      <c r="NP56" s="921" t="e">
        <f t="shared" si="397"/>
        <v>#VALUE!</v>
      </c>
      <c r="NQ56" s="921" t="e">
        <f t="shared" si="397"/>
        <v>#VALUE!</v>
      </c>
      <c r="NR56" s="921" t="e">
        <f t="shared" si="397"/>
        <v>#VALUE!</v>
      </c>
      <c r="NS56" s="921" t="e">
        <f t="shared" si="397"/>
        <v>#VALUE!</v>
      </c>
      <c r="NT56" s="921" t="e">
        <f t="shared" si="397"/>
        <v>#VALUE!</v>
      </c>
      <c r="NU56" s="921" t="e">
        <f t="shared" si="397"/>
        <v>#VALUE!</v>
      </c>
      <c r="NV56" s="921" t="e">
        <f t="shared" si="397"/>
        <v>#VALUE!</v>
      </c>
      <c r="NW56" s="921" t="e">
        <f t="shared" si="397"/>
        <v>#VALUE!</v>
      </c>
      <c r="NX56" s="921" t="e">
        <f t="shared" si="397"/>
        <v>#VALUE!</v>
      </c>
      <c r="NY56" s="921" t="e">
        <f t="shared" si="397"/>
        <v>#VALUE!</v>
      </c>
      <c r="NZ56" s="921" t="e">
        <f t="shared" si="397"/>
        <v>#VALUE!</v>
      </c>
      <c r="OA56" s="921" t="e">
        <f t="shared" si="397"/>
        <v>#VALUE!</v>
      </c>
      <c r="OB56" s="921" t="e">
        <f t="shared" si="397"/>
        <v>#VALUE!</v>
      </c>
      <c r="OC56" s="921" t="e">
        <f t="shared" si="397"/>
        <v>#VALUE!</v>
      </c>
      <c r="OD56" s="921" t="e">
        <f t="shared" si="397"/>
        <v>#VALUE!</v>
      </c>
      <c r="OE56" s="921" t="e">
        <f t="shared" si="397"/>
        <v>#VALUE!</v>
      </c>
      <c r="OF56" s="921" t="e">
        <f t="shared" si="397"/>
        <v>#VALUE!</v>
      </c>
      <c r="OG56" s="921" t="e">
        <f t="shared" si="397"/>
        <v>#VALUE!</v>
      </c>
      <c r="OH56" s="921" t="e">
        <f t="shared" si="397"/>
        <v>#VALUE!</v>
      </c>
      <c r="OI56" s="921" t="e">
        <f t="shared" si="397"/>
        <v>#VALUE!</v>
      </c>
      <c r="OJ56" s="921" t="e">
        <f t="shared" si="397"/>
        <v>#VALUE!</v>
      </c>
      <c r="OK56" s="921" t="e">
        <f t="shared" si="397"/>
        <v>#VALUE!</v>
      </c>
      <c r="OL56" s="921" t="e">
        <f t="shared" si="397"/>
        <v>#VALUE!</v>
      </c>
      <c r="OM56" s="921" t="e">
        <f t="shared" si="397"/>
        <v>#VALUE!</v>
      </c>
      <c r="ON56" s="921" t="e">
        <f t="shared" si="397"/>
        <v>#VALUE!</v>
      </c>
      <c r="OO56" s="921" t="e">
        <f t="shared" si="397"/>
        <v>#VALUE!</v>
      </c>
      <c r="OP56" s="921" t="e">
        <f t="shared" si="397"/>
        <v>#VALUE!</v>
      </c>
      <c r="OQ56" s="921" t="e">
        <f t="shared" si="397"/>
        <v>#VALUE!</v>
      </c>
      <c r="OR56" s="921" t="e">
        <f t="shared" si="397"/>
        <v>#VALUE!</v>
      </c>
      <c r="OS56" s="921" t="e">
        <f t="shared" si="397"/>
        <v>#VALUE!</v>
      </c>
      <c r="OT56" s="921" t="e">
        <f t="shared" si="397"/>
        <v>#VALUE!</v>
      </c>
      <c r="OU56" s="921" t="e">
        <f t="shared" si="397"/>
        <v>#VALUE!</v>
      </c>
      <c r="OV56" s="921" t="e">
        <f t="shared" si="397"/>
        <v>#VALUE!</v>
      </c>
      <c r="OW56" s="921" t="e">
        <f t="shared" si="397"/>
        <v>#VALUE!</v>
      </c>
      <c r="OX56" s="921" t="e">
        <f t="shared" si="397"/>
        <v>#VALUE!</v>
      </c>
      <c r="OY56" s="921" t="e">
        <f t="shared" si="397"/>
        <v>#VALUE!</v>
      </c>
      <c r="OZ56" s="921" t="e">
        <f t="shared" si="397"/>
        <v>#VALUE!</v>
      </c>
      <c r="PA56" s="921" t="e">
        <f t="shared" si="397"/>
        <v>#VALUE!</v>
      </c>
      <c r="PB56" s="921" t="e">
        <f t="shared" si="397"/>
        <v>#VALUE!</v>
      </c>
      <c r="PC56" s="921" t="e">
        <f t="shared" si="397"/>
        <v>#VALUE!</v>
      </c>
      <c r="PD56" s="921" t="e">
        <f t="shared" si="397"/>
        <v>#VALUE!</v>
      </c>
      <c r="PE56" s="921" t="e">
        <f t="shared" si="397"/>
        <v>#VALUE!</v>
      </c>
      <c r="PF56" s="921" t="e">
        <f t="shared" si="397"/>
        <v>#VALUE!</v>
      </c>
      <c r="PG56" s="921" t="e">
        <f t="shared" si="397"/>
        <v>#VALUE!</v>
      </c>
      <c r="PH56" s="921" t="e">
        <f t="shared" si="397"/>
        <v>#VALUE!</v>
      </c>
      <c r="PI56" s="921" t="e">
        <f t="shared" si="397"/>
        <v>#VALUE!</v>
      </c>
      <c r="PJ56" s="921" t="e">
        <f t="shared" si="397"/>
        <v>#VALUE!</v>
      </c>
      <c r="PK56" s="921" t="e">
        <f t="shared" si="397"/>
        <v>#VALUE!</v>
      </c>
      <c r="PL56" s="921" t="e">
        <f t="shared" si="397"/>
        <v>#VALUE!</v>
      </c>
      <c r="PM56" s="921" t="e">
        <f t="shared" si="397"/>
        <v>#VALUE!</v>
      </c>
      <c r="PN56" s="921" t="e">
        <f t="shared" si="397"/>
        <v>#VALUE!</v>
      </c>
      <c r="PO56" s="921" t="e">
        <f t="shared" si="397"/>
        <v>#VALUE!</v>
      </c>
      <c r="PP56" s="921" t="e">
        <f t="shared" si="397"/>
        <v>#VALUE!</v>
      </c>
      <c r="PQ56" s="921" t="e">
        <f t="shared" si="397"/>
        <v>#VALUE!</v>
      </c>
      <c r="PR56" s="921" t="e">
        <f t="shared" si="397"/>
        <v>#VALUE!</v>
      </c>
      <c r="PS56" s="921" t="e">
        <f t="shared" si="397"/>
        <v>#VALUE!</v>
      </c>
      <c r="PT56" s="921" t="e">
        <f t="shared" ref="PT56:RA56" si="398">PS56+1</f>
        <v>#VALUE!</v>
      </c>
      <c r="PU56" s="921" t="e">
        <f t="shared" si="398"/>
        <v>#VALUE!</v>
      </c>
      <c r="PV56" s="921" t="e">
        <f t="shared" si="398"/>
        <v>#VALUE!</v>
      </c>
      <c r="PW56" s="921" t="e">
        <f t="shared" si="398"/>
        <v>#VALUE!</v>
      </c>
      <c r="PX56" s="921" t="e">
        <f t="shared" si="398"/>
        <v>#VALUE!</v>
      </c>
      <c r="PY56" s="921" t="e">
        <f t="shared" si="398"/>
        <v>#VALUE!</v>
      </c>
      <c r="PZ56" s="921" t="e">
        <f t="shared" si="398"/>
        <v>#VALUE!</v>
      </c>
      <c r="QA56" s="921" t="e">
        <f t="shared" si="398"/>
        <v>#VALUE!</v>
      </c>
      <c r="QB56" s="921" t="e">
        <f t="shared" si="398"/>
        <v>#VALUE!</v>
      </c>
      <c r="QC56" s="921" t="e">
        <f t="shared" si="398"/>
        <v>#VALUE!</v>
      </c>
      <c r="QD56" s="921" t="e">
        <f t="shared" si="398"/>
        <v>#VALUE!</v>
      </c>
      <c r="QE56" s="921" t="e">
        <f t="shared" si="398"/>
        <v>#VALUE!</v>
      </c>
      <c r="QF56" s="921" t="e">
        <f t="shared" si="398"/>
        <v>#VALUE!</v>
      </c>
      <c r="QG56" s="921" t="e">
        <f t="shared" si="398"/>
        <v>#VALUE!</v>
      </c>
      <c r="QH56" s="921" t="e">
        <f t="shared" si="398"/>
        <v>#VALUE!</v>
      </c>
      <c r="QI56" s="921" t="e">
        <f t="shared" si="398"/>
        <v>#VALUE!</v>
      </c>
      <c r="QJ56" s="921" t="e">
        <f t="shared" si="398"/>
        <v>#VALUE!</v>
      </c>
      <c r="QK56" s="921" t="e">
        <f t="shared" si="398"/>
        <v>#VALUE!</v>
      </c>
      <c r="QL56" s="921" t="e">
        <f t="shared" si="398"/>
        <v>#VALUE!</v>
      </c>
      <c r="QM56" s="921" t="e">
        <f t="shared" si="398"/>
        <v>#VALUE!</v>
      </c>
      <c r="QN56" s="921" t="e">
        <f t="shared" si="398"/>
        <v>#VALUE!</v>
      </c>
      <c r="QO56" s="921" t="e">
        <f t="shared" si="398"/>
        <v>#VALUE!</v>
      </c>
      <c r="QP56" s="921" t="e">
        <f t="shared" si="398"/>
        <v>#VALUE!</v>
      </c>
      <c r="QQ56" s="921" t="e">
        <f t="shared" si="398"/>
        <v>#VALUE!</v>
      </c>
      <c r="QR56" s="921" t="e">
        <f t="shared" si="398"/>
        <v>#VALUE!</v>
      </c>
      <c r="QS56" s="921" t="e">
        <f t="shared" si="398"/>
        <v>#VALUE!</v>
      </c>
      <c r="QT56" s="921" t="e">
        <f t="shared" si="398"/>
        <v>#VALUE!</v>
      </c>
      <c r="QU56" s="921" t="e">
        <f t="shared" si="398"/>
        <v>#VALUE!</v>
      </c>
      <c r="QV56" s="921" t="e">
        <f t="shared" si="398"/>
        <v>#VALUE!</v>
      </c>
      <c r="QW56" s="921" t="e">
        <f t="shared" si="398"/>
        <v>#VALUE!</v>
      </c>
      <c r="QX56" s="921" t="e">
        <f t="shared" si="398"/>
        <v>#VALUE!</v>
      </c>
      <c r="QY56" s="921" t="e">
        <f t="shared" si="398"/>
        <v>#VALUE!</v>
      </c>
      <c r="QZ56" s="921" t="e">
        <f t="shared" si="398"/>
        <v>#VALUE!</v>
      </c>
      <c r="RA56" s="921" t="e">
        <f t="shared" si="398"/>
        <v>#VALUE!</v>
      </c>
      <c r="RB56" s="797" t="e">
        <f>IF(AND(QZ63&gt;=10,QZ64&gt;=10),QY56,QZ56)</f>
        <v>#VALUE!</v>
      </c>
      <c r="RC56" s="797"/>
    </row>
    <row r="57" spans="1:471" ht="17.25">
      <c r="AK57" s="112"/>
      <c r="AL57" s="701" t="e">
        <f>[1]!taqsha(AL52,AL53,AL54,AL55)</f>
        <v>#VALUE!</v>
      </c>
      <c r="AM57" s="304" t="e">
        <f>[1]!taqsha(AM52,AM53,AM54,AM55)</f>
        <v>#VALUE!</v>
      </c>
      <c r="AN57" s="304" t="e">
        <f>[1]!taqsha(AN52,AN53,AN54,AN55)</f>
        <v>#VALUE!</v>
      </c>
      <c r="AO57" s="304" t="e">
        <f>[1]!taqsha(AO52,AO53,AO54,AO55)</f>
        <v>#VALUE!</v>
      </c>
      <c r="AP57" s="304" t="e">
        <f>[1]!taqsha(AP52,AP53,AP54,AP55)</f>
        <v>#VALUE!</v>
      </c>
      <c r="AQ57" s="304" t="e">
        <f>[1]!taqsha(AQ52,AQ53,AQ54,AQ55)</f>
        <v>#VALUE!</v>
      </c>
      <c r="AR57" s="304" t="e">
        <f>[1]!taqsha(AR52,AR53,AR54,AR55)</f>
        <v>#VALUE!</v>
      </c>
      <c r="AS57" s="304" t="e">
        <f>[1]!taqsha(AS52,AS53,AS54,AS55)</f>
        <v>#VALUE!</v>
      </c>
      <c r="AT57" s="304" t="e">
        <f>[1]!taqsha(AT52,AT53,AT54,AT55)</f>
        <v>#VALUE!</v>
      </c>
      <c r="AU57" s="304" t="e">
        <f>[1]!taqsha(AU52,AU53,AU54,AU55)</f>
        <v>#VALUE!</v>
      </c>
      <c r="AV57" s="304" t="e">
        <f>[1]!taqsha(AV52,AV53,AV54,AV55)</f>
        <v>#VALUE!</v>
      </c>
      <c r="AW57" s="314" t="e">
        <f>[1]!taqsha(AW52,AW53,AW54,AW55)</f>
        <v>#VALUE!</v>
      </c>
      <c r="AX57" s="314"/>
      <c r="DH57" s="797"/>
      <c r="DI57" s="797"/>
      <c r="DJ57" s="961">
        <f>[1]!mbtool(2,17,0,1)</f>
        <v>9.5138888888888884E-2</v>
      </c>
      <c r="DK57" s="962">
        <f>[1]!mbtool(2,17,0,1)</f>
        <v>9.5138888888888884E-2</v>
      </c>
      <c r="DL57" s="962">
        <f>[1]!mbtool(2,17,0,1)</f>
        <v>9.5138888888888884E-2</v>
      </c>
      <c r="DM57" s="962">
        <f>[1]!mbtool(2,17,0,1)</f>
        <v>9.5138888888888884E-2</v>
      </c>
      <c r="DN57" s="962">
        <f>[1]!mbtool(2,17,0,1)</f>
        <v>9.5138888888888884E-2</v>
      </c>
      <c r="DO57" s="962">
        <f>[1]!mbtool(2,17,0,1)</f>
        <v>9.5138888888888884E-2</v>
      </c>
      <c r="DP57" s="962">
        <f>[1]!mbtool(2,17,0,1)</f>
        <v>9.5138888888888884E-2</v>
      </c>
      <c r="DQ57" s="962">
        <f>[1]!mbtool(2,17,0,1)</f>
        <v>9.5138888888888884E-2</v>
      </c>
      <c r="DR57" s="962">
        <f>[1]!mbtool(2,17,0,1)</f>
        <v>9.5138888888888884E-2</v>
      </c>
      <c r="DS57" s="962">
        <f>[1]!mbtool(2,17,0,1)</f>
        <v>9.5138888888888884E-2</v>
      </c>
      <c r="DT57" s="962">
        <f>[1]!mbtool(2,17,0,1)</f>
        <v>9.5138888888888884E-2</v>
      </c>
      <c r="DU57" s="962">
        <f>[1]!mbtool(2,17,0,1)</f>
        <v>9.5138888888888884E-2</v>
      </c>
      <c r="DV57" s="962">
        <f>[1]!mbtool(2,17,0,1)</f>
        <v>9.5138888888888884E-2</v>
      </c>
      <c r="DW57" s="962">
        <f>[1]!mbtool(2,17,0,1)</f>
        <v>9.5138888888888884E-2</v>
      </c>
      <c r="DX57" s="962">
        <f>[1]!mbtool(2,17,0,1)</f>
        <v>9.5138888888888884E-2</v>
      </c>
      <c r="DY57" s="962">
        <f>[1]!mbtool(2,17,0,1)</f>
        <v>9.5138888888888884E-2</v>
      </c>
      <c r="DZ57" s="962">
        <f>[1]!mbtool(2,17,0,1)</f>
        <v>9.5138888888888884E-2</v>
      </c>
      <c r="EA57" s="962">
        <f>[1]!mbtool(2,17,0,1)</f>
        <v>9.5138888888888884E-2</v>
      </c>
      <c r="EB57" s="962">
        <f>[1]!mbtool(2,17,0,1)</f>
        <v>9.5138888888888884E-2</v>
      </c>
      <c r="EC57" s="962">
        <f>[1]!mbtool(2,17,0,1)</f>
        <v>9.5138888888888884E-2</v>
      </c>
      <c r="ED57" s="962">
        <f>[1]!mbtool(2,17,0,1)</f>
        <v>9.5138888888888884E-2</v>
      </c>
      <c r="EE57" s="962">
        <f>[1]!mbtool(2,17,0,1)</f>
        <v>9.5138888888888884E-2</v>
      </c>
      <c r="EF57" s="962">
        <f>[1]!mbtool(2,17,0,1)</f>
        <v>9.5138888888888884E-2</v>
      </c>
      <c r="EG57" s="962">
        <f>[1]!mbtool(2,17,0,1)</f>
        <v>9.5138888888888884E-2</v>
      </c>
      <c r="EH57" s="962">
        <f>[1]!mbtool(2,17,0,1)</f>
        <v>9.5138888888888884E-2</v>
      </c>
      <c r="EI57" s="962">
        <f>[1]!mbtool(2,17,0,1)</f>
        <v>9.5138888888888884E-2</v>
      </c>
      <c r="EJ57" s="962">
        <f>[1]!mbtool(2,17,0,1)</f>
        <v>9.5138888888888884E-2</v>
      </c>
      <c r="EK57" s="962">
        <f>[1]!mbtool(2,17,0,1)</f>
        <v>9.5138888888888884E-2</v>
      </c>
      <c r="EL57" s="962">
        <f>[1]!mbtool(2,17,0,1)</f>
        <v>9.5138888888888884E-2</v>
      </c>
      <c r="EM57" s="962">
        <f>[1]!mbtool(2,17,0,1)</f>
        <v>9.5138888888888884E-2</v>
      </c>
      <c r="EN57" s="962">
        <f>[1]!mbtool(2,17,0,1)</f>
        <v>9.5138888888888884E-2</v>
      </c>
      <c r="EO57" s="962">
        <f>[1]!mbtool(2,17,0,1)</f>
        <v>9.5138888888888884E-2</v>
      </c>
      <c r="EP57" s="962">
        <f>[1]!mbtool(2,17,0,1)</f>
        <v>9.5138888888888884E-2</v>
      </c>
      <c r="EQ57" s="962">
        <f>[1]!mbtool(2,17,0,1)</f>
        <v>9.5138888888888884E-2</v>
      </c>
      <c r="ER57" s="962">
        <f>[1]!mbtool(2,17,0,1)</f>
        <v>9.5138888888888884E-2</v>
      </c>
      <c r="ES57" s="962">
        <f>[1]!mbtool(2,17,0,1)</f>
        <v>9.5138888888888884E-2</v>
      </c>
      <c r="ET57" s="962">
        <f>[1]!mbtool(2,17,0,1)</f>
        <v>9.5138888888888884E-2</v>
      </c>
      <c r="EU57" s="962">
        <f>[1]!mbtool(2,17,0,1)</f>
        <v>9.5138888888888884E-2</v>
      </c>
      <c r="EV57" s="962">
        <f>[1]!mbtool(2,17,0,1)</f>
        <v>9.5138888888888884E-2</v>
      </c>
      <c r="EW57" s="962">
        <f>[1]!mbtool(2,17,0,1)</f>
        <v>9.5138888888888884E-2</v>
      </c>
      <c r="EX57" s="962">
        <f>[1]!mbtool(2,17,0,1)</f>
        <v>9.5138888888888884E-2</v>
      </c>
      <c r="EY57" s="962">
        <f>[1]!mbtool(2,17,0,1)</f>
        <v>9.5138888888888884E-2</v>
      </c>
      <c r="EZ57" s="962">
        <f>[1]!mbtool(2,17,0,1)</f>
        <v>9.5138888888888884E-2</v>
      </c>
      <c r="FA57" s="962">
        <f>[1]!mbtool(2,17,0,1)</f>
        <v>9.5138888888888884E-2</v>
      </c>
      <c r="FB57" s="962">
        <f>[1]!mbtool(2,17,0,1)</f>
        <v>9.5138888888888884E-2</v>
      </c>
      <c r="FC57" s="962">
        <f>[1]!mbtool(2,17,0,1)</f>
        <v>9.5138888888888884E-2</v>
      </c>
      <c r="FD57" s="962">
        <f>[1]!mbtool(2,17,0,1)</f>
        <v>9.5138888888888884E-2</v>
      </c>
      <c r="FE57" s="962">
        <f>[1]!mbtool(2,17,0,1)</f>
        <v>9.5138888888888884E-2</v>
      </c>
      <c r="FF57" s="962">
        <f>[1]!mbtool(2,17,0,1)</f>
        <v>9.5138888888888884E-2</v>
      </c>
      <c r="FG57" s="962">
        <f>[1]!mbtool(2,17,0,1)</f>
        <v>9.5138888888888884E-2</v>
      </c>
      <c r="FH57" s="962">
        <f>[1]!mbtool(2,17,0,1)</f>
        <v>9.5138888888888884E-2</v>
      </c>
      <c r="FI57" s="962">
        <f>[1]!mbtool(2,17,0,1)</f>
        <v>9.5138888888888884E-2</v>
      </c>
      <c r="FJ57" s="962">
        <f>[1]!mbtool(2,17,0,1)</f>
        <v>9.5138888888888884E-2</v>
      </c>
      <c r="FK57" s="962">
        <f>[1]!mbtool(2,17,0,1)</f>
        <v>9.5138888888888884E-2</v>
      </c>
      <c r="FL57" s="962">
        <f>[1]!mbtool(2,17,0,1)</f>
        <v>9.5138888888888884E-2</v>
      </c>
      <c r="FM57" s="962">
        <f>[1]!mbtool(2,17,0,1)</f>
        <v>9.5138888888888884E-2</v>
      </c>
      <c r="FN57" s="962">
        <f>[1]!mbtool(2,17,0,1)</f>
        <v>9.5138888888888884E-2</v>
      </c>
      <c r="FO57" s="962">
        <f>[1]!mbtool(2,17,0,1)</f>
        <v>9.5138888888888884E-2</v>
      </c>
      <c r="FP57" s="962">
        <f>[1]!mbtool(2,17,0,1)</f>
        <v>9.5138888888888884E-2</v>
      </c>
      <c r="FQ57" s="962">
        <f>[1]!mbtool(2,17,0,1)</f>
        <v>9.5138888888888884E-2</v>
      </c>
      <c r="FR57" s="962">
        <f>[1]!mbtool(2,17,0,1)</f>
        <v>9.5138888888888884E-2</v>
      </c>
      <c r="FS57" s="962">
        <f>[1]!mbtool(2,17,0,1)</f>
        <v>9.5138888888888884E-2</v>
      </c>
      <c r="FT57" s="962">
        <f>[1]!mbtool(2,17,0,1)</f>
        <v>9.5138888888888884E-2</v>
      </c>
      <c r="FU57" s="962">
        <f>[1]!mbtool(2,17,0,1)</f>
        <v>9.5138888888888884E-2</v>
      </c>
      <c r="FV57" s="962">
        <f>[1]!mbtool(2,17,0,1)</f>
        <v>9.5138888888888884E-2</v>
      </c>
      <c r="FW57" s="962">
        <f>[1]!mbtool(2,17,0,1)</f>
        <v>9.5138888888888884E-2</v>
      </c>
      <c r="FX57" s="962">
        <f>[1]!mbtool(2,17,0,1)</f>
        <v>9.5138888888888884E-2</v>
      </c>
      <c r="FY57" s="962">
        <f>[1]!mbtool(2,17,0,1)</f>
        <v>9.5138888888888884E-2</v>
      </c>
      <c r="FZ57" s="962">
        <f>[1]!mbtool(2,17,0,1)</f>
        <v>9.5138888888888884E-2</v>
      </c>
      <c r="GA57" s="962">
        <f>[1]!mbtool(2,17,0,1)</f>
        <v>9.5138888888888884E-2</v>
      </c>
      <c r="GB57" s="962">
        <f>[1]!mbtool(2,17,0,1)</f>
        <v>9.5138888888888884E-2</v>
      </c>
      <c r="GC57" s="962">
        <f>[1]!mbtool(2,17,0,1)</f>
        <v>9.5138888888888884E-2</v>
      </c>
      <c r="GD57" s="962">
        <f>[1]!mbtool(2,17,0,1)</f>
        <v>9.5138888888888884E-2</v>
      </c>
      <c r="GE57" s="962">
        <f>[1]!mbtool(2,17,0,1)</f>
        <v>9.5138888888888884E-2</v>
      </c>
      <c r="GF57" s="962">
        <f>[1]!mbtool(2,17,0,1)</f>
        <v>9.5138888888888884E-2</v>
      </c>
      <c r="GG57" s="962">
        <f>[1]!mbtool(2,17,0,1)</f>
        <v>9.5138888888888884E-2</v>
      </c>
      <c r="GH57" s="962">
        <f>[1]!mbtool(2,17,0,1)</f>
        <v>9.5138888888888884E-2</v>
      </c>
      <c r="GI57" s="962">
        <f>[1]!mbtool(2,17,0,1)</f>
        <v>9.5138888888888884E-2</v>
      </c>
      <c r="GJ57" s="962">
        <f>[1]!mbtool(2,17,0,1)</f>
        <v>9.5138888888888884E-2</v>
      </c>
      <c r="GK57" s="962">
        <f>[1]!mbtool(2,17,0,1)</f>
        <v>9.5138888888888884E-2</v>
      </c>
      <c r="GL57" s="962">
        <f>[1]!mbtool(2,17,0,1)</f>
        <v>9.5138888888888884E-2</v>
      </c>
      <c r="GM57" s="962">
        <f>[1]!mbtool(2,17,0,1)</f>
        <v>9.5138888888888884E-2</v>
      </c>
      <c r="GN57" s="962">
        <f>[1]!mbtool(2,17,0,1)</f>
        <v>9.5138888888888884E-2</v>
      </c>
      <c r="GO57" s="962">
        <f>[1]!mbtool(2,17,0,1)</f>
        <v>9.5138888888888884E-2</v>
      </c>
      <c r="GP57" s="962">
        <f>[1]!mbtool(2,17,0,1)</f>
        <v>9.5138888888888884E-2</v>
      </c>
      <c r="GQ57" s="962">
        <f>[1]!mbtool(2,17,0,1)</f>
        <v>9.5138888888888884E-2</v>
      </c>
      <c r="GR57" s="962">
        <f>[1]!mbtool(2,17,0,1)</f>
        <v>9.5138888888888884E-2</v>
      </c>
      <c r="GS57" s="962">
        <f>[1]!mbtool(2,17,0,1)</f>
        <v>9.5138888888888884E-2</v>
      </c>
      <c r="GT57" s="962">
        <f>[1]!mbtool(2,17,0,1)</f>
        <v>9.5138888888888884E-2</v>
      </c>
      <c r="GU57" s="962">
        <f>[1]!mbtool(2,17,0,1)</f>
        <v>9.5138888888888884E-2</v>
      </c>
      <c r="GV57" s="962">
        <f>[1]!mbtool(2,17,0,1)</f>
        <v>9.5138888888888884E-2</v>
      </c>
      <c r="GW57" s="962">
        <f>[1]!mbtool(2,17,0,1)</f>
        <v>9.5138888888888884E-2</v>
      </c>
      <c r="GX57" s="962">
        <f>[1]!mbtool(2,17,0,1)</f>
        <v>9.5138888888888884E-2</v>
      </c>
      <c r="GY57" s="962">
        <f>[1]!mbtool(2,17,0,1)</f>
        <v>9.5138888888888884E-2</v>
      </c>
      <c r="GZ57" s="962">
        <f>[1]!mbtool(2,17,0,1)</f>
        <v>9.5138888888888884E-2</v>
      </c>
      <c r="HA57" s="962">
        <f>[1]!mbtool(2,17,0,1)</f>
        <v>9.5138888888888884E-2</v>
      </c>
      <c r="HB57" s="962">
        <f>[1]!mbtool(2,17,0,1)</f>
        <v>9.5138888888888884E-2</v>
      </c>
      <c r="HC57" s="962">
        <f>[1]!mbtool(2,17,0,1)</f>
        <v>9.5138888888888884E-2</v>
      </c>
      <c r="HD57" s="962">
        <f>[1]!mbtool(2,17,0,1)</f>
        <v>9.5138888888888884E-2</v>
      </c>
      <c r="HE57" s="962">
        <f>[1]!mbtool(2,17,0,1)</f>
        <v>9.5138888888888884E-2</v>
      </c>
      <c r="HF57" s="962">
        <f>[1]!mbtool(2,17,0,1)</f>
        <v>9.5138888888888884E-2</v>
      </c>
      <c r="HG57" s="962">
        <f>[1]!mbtool(2,17,0,1)</f>
        <v>9.5138888888888884E-2</v>
      </c>
      <c r="HH57" s="962">
        <f>[1]!mbtool(2,17,0,1)</f>
        <v>9.5138888888888884E-2</v>
      </c>
      <c r="HI57" s="962">
        <f>[1]!mbtool(2,17,0,1)</f>
        <v>9.5138888888888884E-2</v>
      </c>
      <c r="HJ57" s="962">
        <f>[1]!mbtool(2,17,0,1)</f>
        <v>9.5138888888888884E-2</v>
      </c>
      <c r="HK57" s="962">
        <f>[1]!mbtool(2,17,0,1)</f>
        <v>9.5138888888888884E-2</v>
      </c>
      <c r="HL57" s="962">
        <f>[1]!mbtool(2,17,0,1)</f>
        <v>9.5138888888888884E-2</v>
      </c>
      <c r="HM57" s="962">
        <f>[1]!mbtool(2,17,0,1)</f>
        <v>9.5138888888888884E-2</v>
      </c>
      <c r="HN57" s="962">
        <f>[1]!mbtool(2,17,0,1)</f>
        <v>9.5138888888888884E-2</v>
      </c>
      <c r="HO57" s="962">
        <f>[1]!mbtool(2,17,0,1)</f>
        <v>9.5138888888888884E-2</v>
      </c>
      <c r="HP57" s="962">
        <f>[1]!mbtool(2,17,0,1)</f>
        <v>9.5138888888888884E-2</v>
      </c>
      <c r="HQ57" s="962">
        <f>[1]!mbtool(2,17,0,1)</f>
        <v>9.5138888888888884E-2</v>
      </c>
      <c r="HR57" s="962">
        <f>[1]!mbtool(2,17,0,1)</f>
        <v>9.5138888888888884E-2</v>
      </c>
      <c r="HS57" s="962">
        <f>[1]!mbtool(2,17,0,1)</f>
        <v>9.5138888888888884E-2</v>
      </c>
      <c r="HT57" s="962">
        <f>[1]!mbtool(2,17,0,1)</f>
        <v>9.5138888888888884E-2</v>
      </c>
      <c r="HU57" s="962">
        <f>[1]!mbtool(2,17,0,1)</f>
        <v>9.5138888888888884E-2</v>
      </c>
      <c r="HV57" s="962">
        <f>[1]!mbtool(2,17,0,1)</f>
        <v>9.5138888888888884E-2</v>
      </c>
      <c r="HW57" s="962">
        <f>[1]!mbtool(2,17,0,1)</f>
        <v>9.5138888888888884E-2</v>
      </c>
      <c r="HX57" s="962">
        <f>[1]!mbtool(2,17,0,1)</f>
        <v>9.5138888888888884E-2</v>
      </c>
      <c r="HY57" s="962">
        <f>[1]!mbtool(2,17,0,1)</f>
        <v>9.5138888888888884E-2</v>
      </c>
      <c r="HZ57" s="962">
        <f>[1]!mbtool(2,17,0,1)</f>
        <v>9.5138888888888884E-2</v>
      </c>
      <c r="IA57" s="962">
        <f>[1]!mbtool(2,17,0,1)</f>
        <v>9.5138888888888884E-2</v>
      </c>
      <c r="IB57" s="962">
        <f>[1]!mbtool(2,17,0,1)</f>
        <v>9.5138888888888884E-2</v>
      </c>
      <c r="IC57" s="962">
        <f>[1]!mbtool(2,17,0,1)</f>
        <v>9.5138888888888884E-2</v>
      </c>
      <c r="ID57" s="962">
        <f>[1]!mbtool(2,17,0,1)</f>
        <v>9.5138888888888884E-2</v>
      </c>
      <c r="IE57" s="962">
        <f>[1]!mbtool(2,17,0,1)</f>
        <v>9.5138888888888884E-2</v>
      </c>
      <c r="IF57" s="962">
        <f>[1]!mbtool(2,17,0,1)</f>
        <v>9.5138888888888884E-2</v>
      </c>
      <c r="IG57" s="962">
        <f>[1]!mbtool(2,17,0,1)</f>
        <v>9.5138888888888884E-2</v>
      </c>
      <c r="IH57" s="962">
        <f>[1]!mbtool(2,17,0,1)</f>
        <v>9.5138888888888884E-2</v>
      </c>
      <c r="II57" s="962">
        <f>[1]!mbtool(2,17,0,1)</f>
        <v>9.5138888888888884E-2</v>
      </c>
      <c r="IJ57" s="962">
        <f>[1]!mbtool(2,17,0,1)</f>
        <v>9.5138888888888884E-2</v>
      </c>
      <c r="IK57" s="962">
        <f>[1]!mbtool(2,17,0,1)</f>
        <v>9.5138888888888884E-2</v>
      </c>
      <c r="IL57" s="962">
        <f>[1]!mbtool(2,17,0,1)</f>
        <v>9.5138888888888884E-2</v>
      </c>
      <c r="IM57" s="962">
        <f>[1]!mbtool(2,17,0,1)</f>
        <v>9.5138888888888884E-2</v>
      </c>
      <c r="IN57" s="962">
        <f>[1]!mbtool(2,17,0,1)</f>
        <v>9.5138888888888884E-2</v>
      </c>
      <c r="IO57" s="962">
        <f>[1]!mbtool(2,17,0,1)</f>
        <v>9.5138888888888884E-2</v>
      </c>
      <c r="IP57" s="962">
        <f>[1]!mbtool(2,17,0,1)</f>
        <v>9.5138888888888884E-2</v>
      </c>
      <c r="IQ57" s="962">
        <f>[1]!mbtool(2,17,0,1)</f>
        <v>9.5138888888888884E-2</v>
      </c>
      <c r="IR57" s="962">
        <f>[1]!mbtool(2,17,0,1)</f>
        <v>9.5138888888888884E-2</v>
      </c>
      <c r="IS57" s="962">
        <f>[1]!mbtool(2,17,0,1)</f>
        <v>9.5138888888888884E-2</v>
      </c>
      <c r="IT57" s="962">
        <f>[1]!mbtool(2,17,0,1)</f>
        <v>9.5138888888888884E-2</v>
      </c>
      <c r="IU57" s="962">
        <f>[1]!mbtool(2,17,0,1)</f>
        <v>9.5138888888888884E-2</v>
      </c>
      <c r="IV57" s="962">
        <f>[1]!mbtool(2,17,0,1)</f>
        <v>9.5138888888888884E-2</v>
      </c>
      <c r="IW57" s="962">
        <f>[1]!mbtool(2,17,0,1)</f>
        <v>9.5138888888888884E-2</v>
      </c>
      <c r="IX57" s="962">
        <f>[1]!mbtool(2,17,0,1)</f>
        <v>9.5138888888888884E-2</v>
      </c>
      <c r="IY57" s="962">
        <f>[1]!mbtool(2,17,0,1)</f>
        <v>9.5138888888888884E-2</v>
      </c>
      <c r="IZ57" s="962">
        <f>[1]!mbtool(2,17,0,1)</f>
        <v>9.5138888888888884E-2</v>
      </c>
      <c r="JA57" s="962">
        <f>[1]!mbtool(2,17,0,1)</f>
        <v>9.5138888888888884E-2</v>
      </c>
      <c r="JB57" s="962">
        <f>[1]!mbtool(2,17,0,1)</f>
        <v>9.5138888888888884E-2</v>
      </c>
      <c r="JC57" s="962">
        <f>[1]!mbtool(2,17,0,1)</f>
        <v>9.5138888888888884E-2</v>
      </c>
      <c r="JD57" s="962">
        <f>[1]!mbtool(2,17,0,1)</f>
        <v>9.5138888888888884E-2</v>
      </c>
      <c r="JE57" s="962">
        <f>[1]!mbtool(2,17,0,1)</f>
        <v>9.5138888888888884E-2</v>
      </c>
      <c r="JF57" s="962">
        <f>[1]!mbtool(2,17,0,1)</f>
        <v>9.5138888888888884E-2</v>
      </c>
      <c r="JG57" s="962">
        <f>[1]!mbtool(2,17,0,1)</f>
        <v>9.5138888888888884E-2</v>
      </c>
      <c r="JH57" s="962">
        <f>[1]!mbtool(2,17,0,1)</f>
        <v>9.5138888888888884E-2</v>
      </c>
      <c r="JI57" s="962">
        <f>[1]!mbtool(2,17,0,1)</f>
        <v>9.5138888888888884E-2</v>
      </c>
      <c r="JJ57" s="962">
        <f>[1]!mbtool(2,17,0,1)</f>
        <v>9.5138888888888884E-2</v>
      </c>
      <c r="JK57" s="962">
        <f>[1]!mbtool(2,17,0,1)</f>
        <v>9.5138888888888884E-2</v>
      </c>
      <c r="JL57" s="962">
        <f>[1]!mbtool(2,17,0,1)</f>
        <v>9.5138888888888884E-2</v>
      </c>
      <c r="JM57" s="962">
        <f>[1]!mbtool(2,17,0,1)</f>
        <v>9.5138888888888884E-2</v>
      </c>
      <c r="JN57" s="962">
        <f>[1]!mbtool(2,17,0,1)</f>
        <v>9.5138888888888884E-2</v>
      </c>
      <c r="JO57" s="962">
        <f>[1]!mbtool(2,17,0,1)</f>
        <v>9.5138888888888884E-2</v>
      </c>
      <c r="JP57" s="962">
        <f>[1]!mbtool(2,17,0,1)</f>
        <v>9.5138888888888884E-2</v>
      </c>
      <c r="JQ57" s="962">
        <f>[1]!mbtool(2,17,0,1)</f>
        <v>9.5138888888888884E-2</v>
      </c>
      <c r="JR57" s="962">
        <f>[1]!mbtool(2,17,0,1)</f>
        <v>9.5138888888888884E-2</v>
      </c>
      <c r="JS57" s="962">
        <f>[1]!mbtool(2,17,0,1)</f>
        <v>9.5138888888888884E-2</v>
      </c>
      <c r="JT57" s="962">
        <f>[1]!mbtool(2,17,0,1)</f>
        <v>9.5138888888888884E-2</v>
      </c>
      <c r="JU57" s="962">
        <f>[1]!mbtool(2,17,0,1)</f>
        <v>9.5138888888888884E-2</v>
      </c>
      <c r="JV57" s="962">
        <f>[1]!mbtool(2,17,0,1)</f>
        <v>9.5138888888888884E-2</v>
      </c>
      <c r="JW57" s="962">
        <f>[1]!mbtool(2,17,0,1)</f>
        <v>9.5138888888888884E-2</v>
      </c>
      <c r="JX57" s="962">
        <f>[1]!mbtool(2,17,0,1)</f>
        <v>9.5138888888888884E-2</v>
      </c>
      <c r="JY57" s="962">
        <f>[1]!mbtool(2,17,0,1)</f>
        <v>9.5138888888888884E-2</v>
      </c>
      <c r="JZ57" s="962">
        <f>[1]!mbtool(2,17,0,1)</f>
        <v>9.5138888888888884E-2</v>
      </c>
      <c r="KA57" s="962">
        <f>[1]!mbtool(2,17,0,1)</f>
        <v>9.5138888888888884E-2</v>
      </c>
      <c r="KB57" s="962">
        <f>[1]!mbtool(2,17,0,1)</f>
        <v>9.5138888888888884E-2</v>
      </c>
      <c r="KC57" s="962">
        <f>[1]!mbtool(2,17,0,1)</f>
        <v>9.5138888888888884E-2</v>
      </c>
      <c r="KD57" s="962">
        <f>[1]!mbtool(2,17,0,1)</f>
        <v>9.5138888888888884E-2</v>
      </c>
      <c r="KE57" s="962">
        <f>[1]!mbtool(2,17,0,1)</f>
        <v>9.5138888888888884E-2</v>
      </c>
      <c r="KF57" s="962">
        <f>[1]!mbtool(2,17,0,1)</f>
        <v>9.5138888888888884E-2</v>
      </c>
      <c r="KG57" s="962">
        <f>[1]!mbtool(2,17,0,1)</f>
        <v>9.5138888888888884E-2</v>
      </c>
      <c r="KH57" s="962">
        <f>[1]!mbtool(2,17,0,1)</f>
        <v>9.5138888888888884E-2</v>
      </c>
      <c r="KI57" s="962">
        <f>[1]!mbtool(2,17,0,1)</f>
        <v>9.5138888888888884E-2</v>
      </c>
      <c r="KJ57" s="962">
        <f>[1]!mbtool(2,17,0,1)</f>
        <v>9.5138888888888884E-2</v>
      </c>
      <c r="KK57" s="962">
        <f>[1]!mbtool(2,17,0,1)</f>
        <v>9.5138888888888884E-2</v>
      </c>
      <c r="KL57" s="962">
        <f>[1]!mbtool(2,17,0,1)</f>
        <v>9.5138888888888884E-2</v>
      </c>
      <c r="KM57" s="962">
        <f>[1]!mbtool(2,17,0,1)</f>
        <v>9.5138888888888884E-2</v>
      </c>
      <c r="KN57" s="962">
        <f>[1]!mbtool(2,17,0,1)</f>
        <v>9.5138888888888884E-2</v>
      </c>
      <c r="KO57" s="962">
        <f>[1]!mbtool(2,17,0,1)</f>
        <v>9.5138888888888884E-2</v>
      </c>
      <c r="KP57" s="962">
        <f>[1]!mbtool(2,17,0,1)</f>
        <v>9.5138888888888884E-2</v>
      </c>
      <c r="KQ57" s="962">
        <f>[1]!mbtool(2,17,0,1)</f>
        <v>9.5138888888888884E-2</v>
      </c>
      <c r="KR57" s="962">
        <f>[1]!mbtool(2,17,0,1)</f>
        <v>9.5138888888888884E-2</v>
      </c>
      <c r="KS57" s="962">
        <f>[1]!mbtool(2,17,0,1)</f>
        <v>9.5138888888888884E-2</v>
      </c>
      <c r="KT57" s="962">
        <f>[1]!mbtool(2,17,0,1)</f>
        <v>9.5138888888888884E-2</v>
      </c>
      <c r="KU57" s="962">
        <f>[1]!mbtool(2,17,0,1)</f>
        <v>9.5138888888888884E-2</v>
      </c>
      <c r="KV57" s="962">
        <f>[1]!mbtool(2,17,0,1)</f>
        <v>9.5138888888888884E-2</v>
      </c>
      <c r="KW57" s="962">
        <f>[1]!mbtool(2,17,0,1)</f>
        <v>9.5138888888888884E-2</v>
      </c>
      <c r="KX57" s="962">
        <f>[1]!mbtool(2,17,0,1)</f>
        <v>9.5138888888888884E-2</v>
      </c>
      <c r="KY57" s="962">
        <f>[1]!mbtool(2,17,0,1)</f>
        <v>9.5138888888888884E-2</v>
      </c>
      <c r="KZ57" s="962">
        <f>[1]!mbtool(2,17,0,1)</f>
        <v>9.5138888888888884E-2</v>
      </c>
      <c r="LA57" s="962">
        <f>[1]!mbtool(2,17,0,1)</f>
        <v>9.5138888888888884E-2</v>
      </c>
      <c r="LB57" s="962">
        <f>[1]!mbtool(2,17,0,1)</f>
        <v>9.5138888888888884E-2</v>
      </c>
      <c r="LC57" s="962">
        <f>[1]!mbtool(2,17,0,1)</f>
        <v>9.5138888888888884E-2</v>
      </c>
      <c r="LD57" s="962">
        <f>[1]!mbtool(2,17,0,1)</f>
        <v>9.5138888888888884E-2</v>
      </c>
      <c r="LE57" s="962">
        <f>[1]!mbtool(2,17,0,1)</f>
        <v>9.5138888888888884E-2</v>
      </c>
      <c r="LF57" s="962">
        <f>[1]!mbtool(2,17,0,1)</f>
        <v>9.5138888888888884E-2</v>
      </c>
      <c r="LG57" s="962">
        <f>[1]!mbtool(2,17,0,1)</f>
        <v>9.5138888888888884E-2</v>
      </c>
      <c r="LH57" s="962">
        <f>[1]!mbtool(2,17,0,1)</f>
        <v>9.5138888888888884E-2</v>
      </c>
      <c r="LI57" s="962">
        <f>[1]!mbtool(2,17,0,1)</f>
        <v>9.5138888888888884E-2</v>
      </c>
      <c r="LJ57" s="962">
        <f>[1]!mbtool(2,17,0,1)</f>
        <v>9.5138888888888884E-2</v>
      </c>
      <c r="LK57" s="962">
        <f>[1]!mbtool(2,17,0,1)</f>
        <v>9.5138888888888884E-2</v>
      </c>
      <c r="LL57" s="962">
        <f>[1]!mbtool(2,17,0,1)</f>
        <v>9.5138888888888884E-2</v>
      </c>
      <c r="LM57" s="962">
        <f>[1]!mbtool(2,17,0,1)</f>
        <v>9.5138888888888884E-2</v>
      </c>
      <c r="LN57" s="962">
        <f>[1]!mbtool(2,17,0,1)</f>
        <v>9.5138888888888884E-2</v>
      </c>
      <c r="LO57" s="962">
        <f>[1]!mbtool(2,17,0,1)</f>
        <v>9.5138888888888884E-2</v>
      </c>
      <c r="LP57" s="962">
        <f>[1]!mbtool(2,17,0,1)</f>
        <v>9.5138888888888884E-2</v>
      </c>
      <c r="LQ57" s="962">
        <f>[1]!mbtool(2,17,0,1)</f>
        <v>9.5138888888888884E-2</v>
      </c>
      <c r="LR57" s="962">
        <f>[1]!mbtool(2,17,0,1)</f>
        <v>9.5138888888888884E-2</v>
      </c>
      <c r="LS57" s="962">
        <f>[1]!mbtool(2,17,0,1)</f>
        <v>9.5138888888888884E-2</v>
      </c>
      <c r="LT57" s="962">
        <f>[1]!mbtool(2,17,0,1)</f>
        <v>9.5138888888888884E-2</v>
      </c>
      <c r="LU57" s="962">
        <f>[1]!mbtool(2,17,0,1)</f>
        <v>9.5138888888888884E-2</v>
      </c>
      <c r="LV57" s="962">
        <f>[1]!mbtool(2,17,0,1)</f>
        <v>9.5138888888888884E-2</v>
      </c>
      <c r="LW57" s="962">
        <f>[1]!mbtool(2,17,0,1)</f>
        <v>9.5138888888888884E-2</v>
      </c>
      <c r="LX57" s="962">
        <f>[1]!mbtool(2,17,0,1)</f>
        <v>9.5138888888888884E-2</v>
      </c>
      <c r="LY57" s="962">
        <f>[1]!mbtool(2,17,0,1)</f>
        <v>9.5138888888888884E-2</v>
      </c>
      <c r="LZ57" s="962">
        <f>[1]!mbtool(2,17,0,1)</f>
        <v>9.5138888888888884E-2</v>
      </c>
      <c r="MA57" s="962">
        <f>[1]!mbtool(2,17,0,1)</f>
        <v>9.5138888888888884E-2</v>
      </c>
      <c r="MB57" s="962">
        <f>[1]!mbtool(2,17,0,1)</f>
        <v>9.5138888888888884E-2</v>
      </c>
      <c r="MC57" s="962">
        <f>[1]!mbtool(2,17,0,1)</f>
        <v>9.5138888888888884E-2</v>
      </c>
      <c r="MD57" s="962">
        <f>[1]!mbtool(2,17,0,1)</f>
        <v>9.5138888888888884E-2</v>
      </c>
      <c r="ME57" s="962">
        <f>[1]!mbtool(2,17,0,1)</f>
        <v>9.5138888888888884E-2</v>
      </c>
      <c r="MF57" s="962">
        <f>[1]!mbtool(2,17,0,1)</f>
        <v>9.5138888888888884E-2</v>
      </c>
      <c r="MG57" s="962">
        <f>[1]!mbtool(2,17,0,1)</f>
        <v>9.5138888888888884E-2</v>
      </c>
      <c r="MH57" s="962">
        <f>[1]!mbtool(2,17,0,1)</f>
        <v>9.5138888888888884E-2</v>
      </c>
      <c r="MI57" s="962">
        <f>[1]!mbtool(2,17,0,1)</f>
        <v>9.5138888888888884E-2</v>
      </c>
      <c r="MJ57" s="962">
        <f>[1]!mbtool(2,17,0,1)</f>
        <v>9.5138888888888884E-2</v>
      </c>
      <c r="MK57" s="962">
        <f>[1]!mbtool(2,17,0,1)</f>
        <v>9.5138888888888884E-2</v>
      </c>
      <c r="ML57" s="962">
        <f>[1]!mbtool(2,17,0,1)</f>
        <v>9.5138888888888884E-2</v>
      </c>
      <c r="MM57" s="962">
        <f>[1]!mbtool(2,17,0,1)</f>
        <v>9.5138888888888884E-2</v>
      </c>
      <c r="MN57" s="962">
        <f>[1]!mbtool(2,17,0,1)</f>
        <v>9.5138888888888884E-2</v>
      </c>
      <c r="MO57" s="962">
        <f>[1]!mbtool(2,17,0,1)</f>
        <v>9.5138888888888884E-2</v>
      </c>
      <c r="MP57" s="962">
        <f>[1]!mbtool(2,17,0,1)</f>
        <v>9.5138888888888884E-2</v>
      </c>
      <c r="MQ57" s="962">
        <f>[1]!mbtool(2,17,0,1)</f>
        <v>9.5138888888888884E-2</v>
      </c>
      <c r="MR57" s="962">
        <f>[1]!mbtool(2,17,0,1)</f>
        <v>9.5138888888888884E-2</v>
      </c>
      <c r="MS57" s="962">
        <f>[1]!mbtool(2,17,0,1)</f>
        <v>9.5138888888888884E-2</v>
      </c>
      <c r="MT57" s="962">
        <f>[1]!mbtool(2,17,0,1)</f>
        <v>9.5138888888888884E-2</v>
      </c>
      <c r="MU57" s="962">
        <f>[1]!mbtool(2,17,0,1)</f>
        <v>9.5138888888888884E-2</v>
      </c>
      <c r="MV57" s="962">
        <f>[1]!mbtool(2,17,0,1)</f>
        <v>9.5138888888888884E-2</v>
      </c>
      <c r="MW57" s="962">
        <f>[1]!mbtool(2,17,0,1)</f>
        <v>9.5138888888888884E-2</v>
      </c>
      <c r="MX57" s="962">
        <f>[1]!mbtool(2,17,0,1)</f>
        <v>9.5138888888888884E-2</v>
      </c>
      <c r="MY57" s="962">
        <f>[1]!mbtool(2,17,0,1)</f>
        <v>9.5138888888888884E-2</v>
      </c>
      <c r="MZ57" s="962">
        <f>[1]!mbtool(2,17,0,1)</f>
        <v>9.5138888888888884E-2</v>
      </c>
      <c r="NA57" s="962">
        <f>[1]!mbtool(2,17,0,1)</f>
        <v>9.5138888888888884E-2</v>
      </c>
      <c r="NB57" s="962">
        <f>[1]!mbtool(2,17,0,1)</f>
        <v>9.5138888888888884E-2</v>
      </c>
      <c r="NC57" s="962">
        <f>[1]!mbtool(2,17,0,1)</f>
        <v>9.5138888888888884E-2</v>
      </c>
      <c r="ND57" s="962">
        <f>[1]!mbtool(2,17,0,1)</f>
        <v>9.5138888888888884E-2</v>
      </c>
      <c r="NE57" s="962">
        <f>[1]!mbtool(2,17,0,1)</f>
        <v>9.5138888888888884E-2</v>
      </c>
      <c r="NF57" s="962">
        <f>[1]!mbtool(2,17,0,1)</f>
        <v>9.5138888888888884E-2</v>
      </c>
      <c r="NG57" s="962">
        <f>[1]!mbtool(2,17,0,1)</f>
        <v>9.5138888888888884E-2</v>
      </c>
      <c r="NH57" s="962">
        <f>[1]!mbtool(2,17,0,1)</f>
        <v>9.5138888888888884E-2</v>
      </c>
      <c r="NI57" s="962">
        <f>[1]!mbtool(2,17,0,1)</f>
        <v>9.5138888888888884E-2</v>
      </c>
      <c r="NJ57" s="962">
        <f>[1]!mbtool(2,17,0,1)</f>
        <v>9.5138888888888884E-2</v>
      </c>
      <c r="NK57" s="962">
        <f>[1]!mbtool(2,17,0,1)</f>
        <v>9.5138888888888884E-2</v>
      </c>
      <c r="NL57" s="962">
        <f>[1]!mbtool(2,17,0,1)</f>
        <v>9.5138888888888884E-2</v>
      </c>
      <c r="NM57" s="962">
        <f>[1]!mbtool(2,17,0,1)</f>
        <v>9.5138888888888884E-2</v>
      </c>
      <c r="NN57" s="962">
        <f>[1]!mbtool(2,17,0,1)</f>
        <v>9.5138888888888884E-2</v>
      </c>
      <c r="NO57" s="962">
        <f>[1]!mbtool(2,17,0,1)</f>
        <v>9.5138888888888884E-2</v>
      </c>
      <c r="NP57" s="962">
        <f>[1]!mbtool(2,17,0,1)</f>
        <v>9.5138888888888884E-2</v>
      </c>
      <c r="NQ57" s="962">
        <f>[1]!mbtool(2,17,0,1)</f>
        <v>9.5138888888888884E-2</v>
      </c>
      <c r="NR57" s="962">
        <f>[1]!mbtool(2,17,0,1)</f>
        <v>9.5138888888888884E-2</v>
      </c>
      <c r="NS57" s="962">
        <f>[1]!mbtool(2,17,0,1)</f>
        <v>9.5138888888888884E-2</v>
      </c>
      <c r="NT57" s="962">
        <f>[1]!mbtool(2,17,0,1)</f>
        <v>9.5138888888888884E-2</v>
      </c>
      <c r="NU57" s="962">
        <f>[1]!mbtool(2,17,0,1)</f>
        <v>9.5138888888888884E-2</v>
      </c>
      <c r="NV57" s="962">
        <f>[1]!mbtool(2,17,0,1)</f>
        <v>9.5138888888888884E-2</v>
      </c>
      <c r="NW57" s="962">
        <f>[1]!mbtool(2,17,0,1)</f>
        <v>9.5138888888888884E-2</v>
      </c>
      <c r="NX57" s="962">
        <f>[1]!mbtool(2,17,0,1)</f>
        <v>9.5138888888888884E-2</v>
      </c>
      <c r="NY57" s="962">
        <f>[1]!mbtool(2,17,0,1)</f>
        <v>9.5138888888888884E-2</v>
      </c>
      <c r="NZ57" s="962">
        <f>[1]!mbtool(2,17,0,1)</f>
        <v>9.5138888888888884E-2</v>
      </c>
      <c r="OA57" s="962">
        <f>[1]!mbtool(2,17,0,1)</f>
        <v>9.5138888888888884E-2</v>
      </c>
      <c r="OB57" s="962">
        <f>[1]!mbtool(2,17,0,1)</f>
        <v>9.5138888888888884E-2</v>
      </c>
      <c r="OC57" s="962">
        <f>[1]!mbtool(2,17,0,1)</f>
        <v>9.5138888888888884E-2</v>
      </c>
      <c r="OD57" s="962">
        <f>[1]!mbtool(2,17,0,1)</f>
        <v>9.5138888888888884E-2</v>
      </c>
      <c r="OE57" s="962">
        <f>[1]!mbtool(2,17,0,1)</f>
        <v>9.5138888888888884E-2</v>
      </c>
      <c r="OF57" s="962">
        <f>[1]!mbtool(2,17,0,1)</f>
        <v>9.5138888888888884E-2</v>
      </c>
      <c r="OG57" s="962">
        <f>[1]!mbtool(2,17,0,1)</f>
        <v>9.5138888888888884E-2</v>
      </c>
      <c r="OH57" s="962">
        <f>[1]!mbtool(2,17,0,1)</f>
        <v>9.5138888888888884E-2</v>
      </c>
      <c r="OI57" s="962">
        <f>[1]!mbtool(2,17,0,1)</f>
        <v>9.5138888888888884E-2</v>
      </c>
      <c r="OJ57" s="962">
        <f>[1]!mbtool(2,17,0,1)</f>
        <v>9.5138888888888884E-2</v>
      </c>
      <c r="OK57" s="962">
        <f>[1]!mbtool(2,17,0,1)</f>
        <v>9.5138888888888884E-2</v>
      </c>
      <c r="OL57" s="962">
        <f>[1]!mbtool(2,17,0,1)</f>
        <v>9.5138888888888884E-2</v>
      </c>
      <c r="OM57" s="962">
        <f>[1]!mbtool(2,17,0,1)</f>
        <v>9.5138888888888884E-2</v>
      </c>
      <c r="ON57" s="962">
        <f>[1]!mbtool(2,17,0,1)</f>
        <v>9.5138888888888884E-2</v>
      </c>
      <c r="OO57" s="962">
        <f>[1]!mbtool(2,17,0,1)</f>
        <v>9.5138888888888884E-2</v>
      </c>
      <c r="OP57" s="962">
        <f>[1]!mbtool(2,17,0,1)</f>
        <v>9.5138888888888884E-2</v>
      </c>
      <c r="OQ57" s="962">
        <f>[1]!mbtool(2,17,0,1)</f>
        <v>9.5138888888888884E-2</v>
      </c>
      <c r="OR57" s="962">
        <f>[1]!mbtool(2,17,0,1)</f>
        <v>9.5138888888888884E-2</v>
      </c>
      <c r="OS57" s="962">
        <f>[1]!mbtool(2,17,0,1)</f>
        <v>9.5138888888888884E-2</v>
      </c>
      <c r="OT57" s="962">
        <f>[1]!mbtool(2,17,0,1)</f>
        <v>9.5138888888888884E-2</v>
      </c>
      <c r="OU57" s="962">
        <f>[1]!mbtool(2,17,0,1)</f>
        <v>9.5138888888888884E-2</v>
      </c>
      <c r="OV57" s="962">
        <f>[1]!mbtool(2,17,0,1)</f>
        <v>9.5138888888888884E-2</v>
      </c>
      <c r="OW57" s="962">
        <f>[1]!mbtool(2,17,0,1)</f>
        <v>9.5138888888888884E-2</v>
      </c>
      <c r="OX57" s="962">
        <f>[1]!mbtool(2,17,0,1)</f>
        <v>9.5138888888888884E-2</v>
      </c>
      <c r="OY57" s="962">
        <f>[1]!mbtool(2,17,0,1)</f>
        <v>9.5138888888888884E-2</v>
      </c>
      <c r="OZ57" s="962">
        <f>[1]!mbtool(2,17,0,1)</f>
        <v>9.5138888888888884E-2</v>
      </c>
      <c r="PA57" s="962">
        <f>[1]!mbtool(2,17,0,1)</f>
        <v>9.5138888888888884E-2</v>
      </c>
      <c r="PB57" s="962">
        <f>[1]!mbtool(2,17,0,1)</f>
        <v>9.5138888888888884E-2</v>
      </c>
      <c r="PC57" s="962">
        <f>[1]!mbtool(2,17,0,1)</f>
        <v>9.5138888888888884E-2</v>
      </c>
      <c r="PD57" s="962">
        <f>[1]!mbtool(2,17,0,1)</f>
        <v>9.5138888888888884E-2</v>
      </c>
      <c r="PE57" s="962">
        <f>[1]!mbtool(2,17,0,1)</f>
        <v>9.5138888888888884E-2</v>
      </c>
      <c r="PF57" s="962">
        <f>[1]!mbtool(2,17,0,1)</f>
        <v>9.5138888888888884E-2</v>
      </c>
      <c r="PG57" s="962">
        <f>[1]!mbtool(2,17,0,1)</f>
        <v>9.5138888888888884E-2</v>
      </c>
      <c r="PH57" s="962">
        <f>[1]!mbtool(2,17,0,1)</f>
        <v>9.5138888888888884E-2</v>
      </c>
      <c r="PI57" s="962">
        <f>[1]!mbtool(2,17,0,1)</f>
        <v>9.5138888888888884E-2</v>
      </c>
      <c r="PJ57" s="962">
        <f>[1]!mbtool(2,17,0,1)</f>
        <v>9.5138888888888884E-2</v>
      </c>
      <c r="PK57" s="962">
        <f>[1]!mbtool(2,17,0,1)</f>
        <v>9.5138888888888884E-2</v>
      </c>
      <c r="PL57" s="962">
        <f>[1]!mbtool(2,17,0,1)</f>
        <v>9.5138888888888884E-2</v>
      </c>
      <c r="PM57" s="962">
        <f>[1]!mbtool(2,17,0,1)</f>
        <v>9.5138888888888884E-2</v>
      </c>
      <c r="PN57" s="962">
        <f>[1]!mbtool(2,17,0,1)</f>
        <v>9.5138888888888884E-2</v>
      </c>
      <c r="PO57" s="962">
        <f>[1]!mbtool(2,17,0,1)</f>
        <v>9.5138888888888884E-2</v>
      </c>
      <c r="PP57" s="962">
        <f>[1]!mbtool(2,17,0,1)</f>
        <v>9.5138888888888884E-2</v>
      </c>
      <c r="PQ57" s="962">
        <f>[1]!mbtool(2,17,0,1)</f>
        <v>9.5138888888888884E-2</v>
      </c>
      <c r="PR57" s="962">
        <f>[1]!mbtool(2,17,0,1)</f>
        <v>9.5138888888888884E-2</v>
      </c>
      <c r="PS57" s="962">
        <f>[1]!mbtool(2,17,0,1)</f>
        <v>9.5138888888888884E-2</v>
      </c>
      <c r="PT57" s="962">
        <f>[1]!mbtool(2,17,0,1)</f>
        <v>9.5138888888888884E-2</v>
      </c>
      <c r="PU57" s="962">
        <f>[1]!mbtool(2,17,0,1)</f>
        <v>9.5138888888888884E-2</v>
      </c>
      <c r="PV57" s="962">
        <f>[1]!mbtool(2,17,0,1)</f>
        <v>9.5138888888888884E-2</v>
      </c>
      <c r="PW57" s="962">
        <f>[1]!mbtool(2,17,0,1)</f>
        <v>9.5138888888888884E-2</v>
      </c>
      <c r="PX57" s="962">
        <f>[1]!mbtool(2,17,0,1)</f>
        <v>9.5138888888888884E-2</v>
      </c>
      <c r="PY57" s="962">
        <f>[1]!mbtool(2,17,0,1)</f>
        <v>9.5138888888888884E-2</v>
      </c>
      <c r="PZ57" s="962">
        <f>[1]!mbtool(2,17,0,1)</f>
        <v>9.5138888888888884E-2</v>
      </c>
      <c r="QA57" s="962">
        <f>[1]!mbtool(2,17,0,1)</f>
        <v>9.5138888888888884E-2</v>
      </c>
      <c r="QB57" s="962">
        <f>[1]!mbtool(2,17,0,1)</f>
        <v>9.5138888888888884E-2</v>
      </c>
      <c r="QC57" s="962">
        <f>[1]!mbtool(2,17,0,1)</f>
        <v>9.5138888888888884E-2</v>
      </c>
      <c r="QD57" s="962">
        <f>[1]!mbtool(2,17,0,1)</f>
        <v>9.5138888888888884E-2</v>
      </c>
      <c r="QE57" s="962">
        <f>[1]!mbtool(2,17,0,1)</f>
        <v>9.5138888888888884E-2</v>
      </c>
      <c r="QF57" s="962">
        <f>[1]!mbtool(2,17,0,1)</f>
        <v>9.5138888888888884E-2</v>
      </c>
      <c r="QG57" s="962">
        <f>[1]!mbtool(2,17,0,1)</f>
        <v>9.5138888888888884E-2</v>
      </c>
      <c r="QH57" s="962">
        <f>[1]!mbtool(2,17,0,1)</f>
        <v>9.5138888888888884E-2</v>
      </c>
      <c r="QI57" s="962">
        <f>[1]!mbtool(2,17,0,1)</f>
        <v>9.5138888888888884E-2</v>
      </c>
      <c r="QJ57" s="962">
        <f>[1]!mbtool(2,17,0,1)</f>
        <v>9.5138888888888884E-2</v>
      </c>
      <c r="QK57" s="962">
        <f>[1]!mbtool(2,17,0,1)</f>
        <v>9.5138888888888884E-2</v>
      </c>
      <c r="QL57" s="962">
        <f>[1]!mbtool(2,17,0,1)</f>
        <v>9.5138888888888884E-2</v>
      </c>
      <c r="QM57" s="962">
        <f>[1]!mbtool(2,17,0,1)</f>
        <v>9.5138888888888884E-2</v>
      </c>
      <c r="QN57" s="962">
        <f>[1]!mbtool(2,17,0,1)</f>
        <v>9.5138888888888884E-2</v>
      </c>
      <c r="QO57" s="962">
        <f>[1]!mbtool(2,17,0,1)</f>
        <v>9.5138888888888884E-2</v>
      </c>
      <c r="QP57" s="962">
        <f>[1]!mbtool(2,17,0,1)</f>
        <v>9.5138888888888884E-2</v>
      </c>
      <c r="QQ57" s="962">
        <f>[1]!mbtool(2,17,0,1)</f>
        <v>9.5138888888888884E-2</v>
      </c>
      <c r="QR57" s="962">
        <f>[1]!mbtool(2,17,0,1)</f>
        <v>9.5138888888888884E-2</v>
      </c>
      <c r="QS57" s="962">
        <f>[1]!mbtool(2,17,0,1)</f>
        <v>9.5138888888888884E-2</v>
      </c>
      <c r="QT57" s="962">
        <f>[1]!mbtool(2,17,0,1)</f>
        <v>9.5138888888888884E-2</v>
      </c>
      <c r="QU57" s="962">
        <f>[1]!mbtool(2,17,0,1)</f>
        <v>9.5138888888888884E-2</v>
      </c>
      <c r="QV57" s="962">
        <f>[1]!mbtool(2,17,0,1)</f>
        <v>9.5138888888888884E-2</v>
      </c>
      <c r="QW57" s="962">
        <f>[1]!mbtool(2,17,0,1)</f>
        <v>9.5138888888888884E-2</v>
      </c>
      <c r="QX57" s="962">
        <f>[1]!mbtool(2,17,0,1)</f>
        <v>9.5138888888888884E-2</v>
      </c>
      <c r="QY57" s="962">
        <f>[1]!mbtool(2,17,0,1)</f>
        <v>9.5138888888888884E-2</v>
      </c>
      <c r="QZ57" s="962">
        <f>[1]!mbtool(2,17,0,1)</f>
        <v>9.5138888888888884E-2</v>
      </c>
      <c r="RA57" s="962">
        <f>[1]!mbtool(2,17,0,1)</f>
        <v>9.5138888888888884E-2</v>
      </c>
      <c r="RC57" s="797"/>
    </row>
    <row r="58" spans="1:471" ht="17.25">
      <c r="B58" s="2"/>
      <c r="C58" s="2"/>
      <c r="D58" s="2"/>
      <c r="E58" s="2"/>
      <c r="F58" s="2"/>
      <c r="G58" s="2"/>
      <c r="H58" s="2"/>
      <c r="I58" s="2"/>
      <c r="J58" s="2"/>
      <c r="K58" s="2"/>
      <c r="L58" s="2"/>
      <c r="M58" s="2" t="s">
        <v>60</v>
      </c>
      <c r="N58" s="2"/>
      <c r="O58" s="2"/>
      <c r="P58" s="2"/>
      <c r="Q58" s="2"/>
      <c r="R58" s="2"/>
      <c r="S58" s="2"/>
      <c r="T58" s="2"/>
      <c r="U58" s="2"/>
      <c r="V58" s="2"/>
      <c r="W58" s="2"/>
      <c r="X58" s="2"/>
      <c r="Y58" s="2"/>
      <c r="Z58" s="2"/>
      <c r="AA58" s="2"/>
      <c r="AB58" s="2"/>
      <c r="AC58" s="2"/>
      <c r="AK58" s="112" t="s">
        <v>1484</v>
      </c>
      <c r="AL58" s="701" t="e">
        <f>[1]!qsn([1]!ml(AL57),AL56)/30</f>
        <v>#VALUE!</v>
      </c>
      <c r="AM58" s="304" t="e">
        <f>[1]!qsn([1]!ml(AM57),AM56)/30</f>
        <v>#VALUE!</v>
      </c>
      <c r="AN58" s="304" t="e">
        <f>[1]!qsn([1]!ml(AN57),AN56)/30</f>
        <v>#VALUE!</v>
      </c>
      <c r="AO58" s="304" t="e">
        <f>[1]!qsn([1]!ml(AO57),AO56)/30</f>
        <v>#VALUE!</v>
      </c>
      <c r="AP58" s="304" t="e">
        <f>[1]!qsn([1]!ml(AP57),AP56)/30</f>
        <v>#VALUE!</v>
      </c>
      <c r="AQ58" s="304" t="e">
        <f>[1]!qsn([1]!ml(AQ57),AQ56)/30</f>
        <v>#VALUE!</v>
      </c>
      <c r="AR58" s="304" t="e">
        <f>[1]!qsn([1]!ml(AR57),AR56)/30</f>
        <v>#VALUE!</v>
      </c>
      <c r="AS58" s="304" t="e">
        <f>[1]!qsn([1]!ml(AS57),AS56)/30</f>
        <v>#VALUE!</v>
      </c>
      <c r="AT58" s="304" t="e">
        <f>[1]!qsn([1]!ml(AT57),AT56)/30</f>
        <v>#VALUE!</v>
      </c>
      <c r="AU58" s="304" t="e">
        <f>[1]!qsn([1]!ml(AU57),AU56)/30</f>
        <v>#VALUE!</v>
      </c>
      <c r="AV58" s="304" t="e">
        <f>[1]!qsn([1]!ml(AV57),AV56)/30</f>
        <v>#VALUE!</v>
      </c>
      <c r="AW58" s="314" t="e">
        <f>[1]!qsn([1]!ml(AW57),AW56)/30</f>
        <v>#VALUE!</v>
      </c>
      <c r="AX58" s="314"/>
      <c r="DH58" s="797"/>
      <c r="DI58" s="797"/>
      <c r="DJ58" s="961">
        <f t="shared" ref="DJ58:FU58" si="399">35+(41/60)</f>
        <v>35.68333333333333</v>
      </c>
      <c r="DK58" s="962">
        <f t="shared" si="399"/>
        <v>35.68333333333333</v>
      </c>
      <c r="DL58" s="962">
        <f t="shared" si="399"/>
        <v>35.68333333333333</v>
      </c>
      <c r="DM58" s="962">
        <f t="shared" si="399"/>
        <v>35.68333333333333</v>
      </c>
      <c r="DN58" s="962">
        <f t="shared" si="399"/>
        <v>35.68333333333333</v>
      </c>
      <c r="DO58" s="962">
        <f t="shared" si="399"/>
        <v>35.68333333333333</v>
      </c>
      <c r="DP58" s="962">
        <f t="shared" si="399"/>
        <v>35.68333333333333</v>
      </c>
      <c r="DQ58" s="962">
        <f t="shared" si="399"/>
        <v>35.68333333333333</v>
      </c>
      <c r="DR58" s="962">
        <f t="shared" si="399"/>
        <v>35.68333333333333</v>
      </c>
      <c r="DS58" s="962">
        <f t="shared" si="399"/>
        <v>35.68333333333333</v>
      </c>
      <c r="DT58" s="962">
        <f t="shared" si="399"/>
        <v>35.68333333333333</v>
      </c>
      <c r="DU58" s="962">
        <f t="shared" si="399"/>
        <v>35.68333333333333</v>
      </c>
      <c r="DV58" s="962">
        <f t="shared" si="399"/>
        <v>35.68333333333333</v>
      </c>
      <c r="DW58" s="962">
        <f t="shared" si="399"/>
        <v>35.68333333333333</v>
      </c>
      <c r="DX58" s="962">
        <f t="shared" si="399"/>
        <v>35.68333333333333</v>
      </c>
      <c r="DY58" s="962">
        <f t="shared" si="399"/>
        <v>35.68333333333333</v>
      </c>
      <c r="DZ58" s="962">
        <f t="shared" si="399"/>
        <v>35.68333333333333</v>
      </c>
      <c r="EA58" s="962">
        <f t="shared" si="399"/>
        <v>35.68333333333333</v>
      </c>
      <c r="EB58" s="962">
        <f t="shared" si="399"/>
        <v>35.68333333333333</v>
      </c>
      <c r="EC58" s="962">
        <f t="shared" si="399"/>
        <v>35.68333333333333</v>
      </c>
      <c r="ED58" s="962">
        <f t="shared" si="399"/>
        <v>35.68333333333333</v>
      </c>
      <c r="EE58" s="962">
        <f t="shared" si="399"/>
        <v>35.68333333333333</v>
      </c>
      <c r="EF58" s="962">
        <f t="shared" si="399"/>
        <v>35.68333333333333</v>
      </c>
      <c r="EG58" s="962">
        <f t="shared" si="399"/>
        <v>35.68333333333333</v>
      </c>
      <c r="EH58" s="962">
        <f t="shared" si="399"/>
        <v>35.68333333333333</v>
      </c>
      <c r="EI58" s="962">
        <f t="shared" si="399"/>
        <v>35.68333333333333</v>
      </c>
      <c r="EJ58" s="962">
        <f t="shared" si="399"/>
        <v>35.68333333333333</v>
      </c>
      <c r="EK58" s="962">
        <f t="shared" si="399"/>
        <v>35.68333333333333</v>
      </c>
      <c r="EL58" s="962">
        <f t="shared" si="399"/>
        <v>35.68333333333333</v>
      </c>
      <c r="EM58" s="962">
        <f t="shared" si="399"/>
        <v>35.68333333333333</v>
      </c>
      <c r="EN58" s="962">
        <f t="shared" si="399"/>
        <v>35.68333333333333</v>
      </c>
      <c r="EO58" s="962">
        <f t="shared" si="399"/>
        <v>35.68333333333333</v>
      </c>
      <c r="EP58" s="962">
        <f t="shared" si="399"/>
        <v>35.68333333333333</v>
      </c>
      <c r="EQ58" s="962">
        <f t="shared" si="399"/>
        <v>35.68333333333333</v>
      </c>
      <c r="ER58" s="962">
        <f t="shared" si="399"/>
        <v>35.68333333333333</v>
      </c>
      <c r="ES58" s="962">
        <f t="shared" si="399"/>
        <v>35.68333333333333</v>
      </c>
      <c r="ET58" s="962">
        <f t="shared" si="399"/>
        <v>35.68333333333333</v>
      </c>
      <c r="EU58" s="962">
        <f t="shared" si="399"/>
        <v>35.68333333333333</v>
      </c>
      <c r="EV58" s="962">
        <f t="shared" si="399"/>
        <v>35.68333333333333</v>
      </c>
      <c r="EW58" s="962">
        <f t="shared" si="399"/>
        <v>35.68333333333333</v>
      </c>
      <c r="EX58" s="962">
        <f t="shared" si="399"/>
        <v>35.68333333333333</v>
      </c>
      <c r="EY58" s="962">
        <f t="shared" si="399"/>
        <v>35.68333333333333</v>
      </c>
      <c r="EZ58" s="962">
        <f t="shared" si="399"/>
        <v>35.68333333333333</v>
      </c>
      <c r="FA58" s="962">
        <f t="shared" si="399"/>
        <v>35.68333333333333</v>
      </c>
      <c r="FB58" s="962">
        <f t="shared" si="399"/>
        <v>35.68333333333333</v>
      </c>
      <c r="FC58" s="962">
        <f t="shared" si="399"/>
        <v>35.68333333333333</v>
      </c>
      <c r="FD58" s="962">
        <f t="shared" si="399"/>
        <v>35.68333333333333</v>
      </c>
      <c r="FE58" s="962">
        <f t="shared" si="399"/>
        <v>35.68333333333333</v>
      </c>
      <c r="FF58" s="962">
        <f t="shared" si="399"/>
        <v>35.68333333333333</v>
      </c>
      <c r="FG58" s="962">
        <f t="shared" si="399"/>
        <v>35.68333333333333</v>
      </c>
      <c r="FH58" s="962">
        <f t="shared" si="399"/>
        <v>35.68333333333333</v>
      </c>
      <c r="FI58" s="962">
        <f t="shared" si="399"/>
        <v>35.68333333333333</v>
      </c>
      <c r="FJ58" s="962">
        <f t="shared" si="399"/>
        <v>35.68333333333333</v>
      </c>
      <c r="FK58" s="962">
        <f t="shared" si="399"/>
        <v>35.68333333333333</v>
      </c>
      <c r="FL58" s="962">
        <f t="shared" si="399"/>
        <v>35.68333333333333</v>
      </c>
      <c r="FM58" s="962">
        <f t="shared" si="399"/>
        <v>35.68333333333333</v>
      </c>
      <c r="FN58" s="962">
        <f t="shared" si="399"/>
        <v>35.68333333333333</v>
      </c>
      <c r="FO58" s="962">
        <f t="shared" si="399"/>
        <v>35.68333333333333</v>
      </c>
      <c r="FP58" s="962">
        <f t="shared" si="399"/>
        <v>35.68333333333333</v>
      </c>
      <c r="FQ58" s="962">
        <f t="shared" si="399"/>
        <v>35.68333333333333</v>
      </c>
      <c r="FR58" s="962">
        <f t="shared" si="399"/>
        <v>35.68333333333333</v>
      </c>
      <c r="FS58" s="962">
        <f t="shared" si="399"/>
        <v>35.68333333333333</v>
      </c>
      <c r="FT58" s="962">
        <f t="shared" si="399"/>
        <v>35.68333333333333</v>
      </c>
      <c r="FU58" s="962">
        <f t="shared" si="399"/>
        <v>35.68333333333333</v>
      </c>
      <c r="FV58" s="962">
        <f t="shared" ref="FV58:IG58" si="400">35+(41/60)</f>
        <v>35.68333333333333</v>
      </c>
      <c r="FW58" s="962">
        <f t="shared" si="400"/>
        <v>35.68333333333333</v>
      </c>
      <c r="FX58" s="962">
        <f t="shared" si="400"/>
        <v>35.68333333333333</v>
      </c>
      <c r="FY58" s="962">
        <f t="shared" si="400"/>
        <v>35.68333333333333</v>
      </c>
      <c r="FZ58" s="962">
        <f t="shared" si="400"/>
        <v>35.68333333333333</v>
      </c>
      <c r="GA58" s="962">
        <f t="shared" si="400"/>
        <v>35.68333333333333</v>
      </c>
      <c r="GB58" s="962">
        <f t="shared" si="400"/>
        <v>35.68333333333333</v>
      </c>
      <c r="GC58" s="962">
        <f t="shared" si="400"/>
        <v>35.68333333333333</v>
      </c>
      <c r="GD58" s="962">
        <f t="shared" si="400"/>
        <v>35.68333333333333</v>
      </c>
      <c r="GE58" s="962">
        <f t="shared" si="400"/>
        <v>35.68333333333333</v>
      </c>
      <c r="GF58" s="962">
        <f t="shared" si="400"/>
        <v>35.68333333333333</v>
      </c>
      <c r="GG58" s="962">
        <f t="shared" si="400"/>
        <v>35.68333333333333</v>
      </c>
      <c r="GH58" s="962">
        <f t="shared" si="400"/>
        <v>35.68333333333333</v>
      </c>
      <c r="GI58" s="962">
        <f t="shared" si="400"/>
        <v>35.68333333333333</v>
      </c>
      <c r="GJ58" s="962">
        <f t="shared" si="400"/>
        <v>35.68333333333333</v>
      </c>
      <c r="GK58" s="962">
        <f t="shared" si="400"/>
        <v>35.68333333333333</v>
      </c>
      <c r="GL58" s="962">
        <f t="shared" si="400"/>
        <v>35.68333333333333</v>
      </c>
      <c r="GM58" s="962">
        <f t="shared" si="400"/>
        <v>35.68333333333333</v>
      </c>
      <c r="GN58" s="962">
        <f t="shared" si="400"/>
        <v>35.68333333333333</v>
      </c>
      <c r="GO58" s="962">
        <f t="shared" si="400"/>
        <v>35.68333333333333</v>
      </c>
      <c r="GP58" s="962">
        <f t="shared" si="400"/>
        <v>35.68333333333333</v>
      </c>
      <c r="GQ58" s="962">
        <f t="shared" si="400"/>
        <v>35.68333333333333</v>
      </c>
      <c r="GR58" s="962">
        <f t="shared" si="400"/>
        <v>35.68333333333333</v>
      </c>
      <c r="GS58" s="962">
        <f t="shared" si="400"/>
        <v>35.68333333333333</v>
      </c>
      <c r="GT58" s="962">
        <f t="shared" si="400"/>
        <v>35.68333333333333</v>
      </c>
      <c r="GU58" s="962">
        <f t="shared" si="400"/>
        <v>35.68333333333333</v>
      </c>
      <c r="GV58" s="962">
        <f t="shared" si="400"/>
        <v>35.68333333333333</v>
      </c>
      <c r="GW58" s="962">
        <f t="shared" si="400"/>
        <v>35.68333333333333</v>
      </c>
      <c r="GX58" s="962">
        <f t="shared" si="400"/>
        <v>35.68333333333333</v>
      </c>
      <c r="GY58" s="962">
        <f t="shared" si="400"/>
        <v>35.68333333333333</v>
      </c>
      <c r="GZ58" s="962">
        <f t="shared" si="400"/>
        <v>35.68333333333333</v>
      </c>
      <c r="HA58" s="962">
        <f t="shared" si="400"/>
        <v>35.68333333333333</v>
      </c>
      <c r="HB58" s="962">
        <f t="shared" si="400"/>
        <v>35.68333333333333</v>
      </c>
      <c r="HC58" s="962">
        <f t="shared" si="400"/>
        <v>35.68333333333333</v>
      </c>
      <c r="HD58" s="962">
        <f t="shared" si="400"/>
        <v>35.68333333333333</v>
      </c>
      <c r="HE58" s="962">
        <f t="shared" si="400"/>
        <v>35.68333333333333</v>
      </c>
      <c r="HF58" s="962">
        <f t="shared" si="400"/>
        <v>35.68333333333333</v>
      </c>
      <c r="HG58" s="962">
        <f t="shared" si="400"/>
        <v>35.68333333333333</v>
      </c>
      <c r="HH58" s="962">
        <f t="shared" si="400"/>
        <v>35.68333333333333</v>
      </c>
      <c r="HI58" s="962">
        <f t="shared" si="400"/>
        <v>35.68333333333333</v>
      </c>
      <c r="HJ58" s="962">
        <f t="shared" si="400"/>
        <v>35.68333333333333</v>
      </c>
      <c r="HK58" s="962">
        <f t="shared" si="400"/>
        <v>35.68333333333333</v>
      </c>
      <c r="HL58" s="962">
        <f t="shared" si="400"/>
        <v>35.68333333333333</v>
      </c>
      <c r="HM58" s="962">
        <f t="shared" si="400"/>
        <v>35.68333333333333</v>
      </c>
      <c r="HN58" s="962">
        <f t="shared" si="400"/>
        <v>35.68333333333333</v>
      </c>
      <c r="HO58" s="962">
        <f t="shared" si="400"/>
        <v>35.68333333333333</v>
      </c>
      <c r="HP58" s="962">
        <f t="shared" si="400"/>
        <v>35.68333333333333</v>
      </c>
      <c r="HQ58" s="962">
        <f t="shared" si="400"/>
        <v>35.68333333333333</v>
      </c>
      <c r="HR58" s="962">
        <f t="shared" si="400"/>
        <v>35.68333333333333</v>
      </c>
      <c r="HS58" s="962">
        <f t="shared" si="400"/>
        <v>35.68333333333333</v>
      </c>
      <c r="HT58" s="962">
        <f t="shared" si="400"/>
        <v>35.68333333333333</v>
      </c>
      <c r="HU58" s="962">
        <f t="shared" si="400"/>
        <v>35.68333333333333</v>
      </c>
      <c r="HV58" s="962">
        <f t="shared" si="400"/>
        <v>35.68333333333333</v>
      </c>
      <c r="HW58" s="962">
        <f t="shared" si="400"/>
        <v>35.68333333333333</v>
      </c>
      <c r="HX58" s="962">
        <f t="shared" si="400"/>
        <v>35.68333333333333</v>
      </c>
      <c r="HY58" s="962">
        <f t="shared" si="400"/>
        <v>35.68333333333333</v>
      </c>
      <c r="HZ58" s="962">
        <f t="shared" si="400"/>
        <v>35.68333333333333</v>
      </c>
      <c r="IA58" s="962">
        <f t="shared" si="400"/>
        <v>35.68333333333333</v>
      </c>
      <c r="IB58" s="962">
        <f t="shared" si="400"/>
        <v>35.68333333333333</v>
      </c>
      <c r="IC58" s="962">
        <f t="shared" si="400"/>
        <v>35.68333333333333</v>
      </c>
      <c r="ID58" s="962">
        <f t="shared" si="400"/>
        <v>35.68333333333333</v>
      </c>
      <c r="IE58" s="962">
        <f t="shared" si="400"/>
        <v>35.68333333333333</v>
      </c>
      <c r="IF58" s="962">
        <f t="shared" si="400"/>
        <v>35.68333333333333</v>
      </c>
      <c r="IG58" s="962">
        <f t="shared" si="400"/>
        <v>35.68333333333333</v>
      </c>
      <c r="IH58" s="962">
        <f t="shared" ref="IH58:KS58" si="401">35+(41/60)</f>
        <v>35.68333333333333</v>
      </c>
      <c r="II58" s="962">
        <f t="shared" si="401"/>
        <v>35.68333333333333</v>
      </c>
      <c r="IJ58" s="962">
        <f t="shared" si="401"/>
        <v>35.68333333333333</v>
      </c>
      <c r="IK58" s="962">
        <f t="shared" si="401"/>
        <v>35.68333333333333</v>
      </c>
      <c r="IL58" s="962">
        <f t="shared" si="401"/>
        <v>35.68333333333333</v>
      </c>
      <c r="IM58" s="962">
        <f t="shared" si="401"/>
        <v>35.68333333333333</v>
      </c>
      <c r="IN58" s="962">
        <f t="shared" si="401"/>
        <v>35.68333333333333</v>
      </c>
      <c r="IO58" s="962">
        <f t="shared" si="401"/>
        <v>35.68333333333333</v>
      </c>
      <c r="IP58" s="962">
        <f t="shared" si="401"/>
        <v>35.68333333333333</v>
      </c>
      <c r="IQ58" s="962">
        <f t="shared" si="401"/>
        <v>35.68333333333333</v>
      </c>
      <c r="IR58" s="962">
        <f t="shared" si="401"/>
        <v>35.68333333333333</v>
      </c>
      <c r="IS58" s="962">
        <f t="shared" si="401"/>
        <v>35.68333333333333</v>
      </c>
      <c r="IT58" s="962">
        <f t="shared" si="401"/>
        <v>35.68333333333333</v>
      </c>
      <c r="IU58" s="962">
        <f t="shared" si="401"/>
        <v>35.68333333333333</v>
      </c>
      <c r="IV58" s="962">
        <f t="shared" si="401"/>
        <v>35.68333333333333</v>
      </c>
      <c r="IW58" s="962">
        <f t="shared" si="401"/>
        <v>35.68333333333333</v>
      </c>
      <c r="IX58" s="962">
        <f t="shared" si="401"/>
        <v>35.68333333333333</v>
      </c>
      <c r="IY58" s="962">
        <f t="shared" si="401"/>
        <v>35.68333333333333</v>
      </c>
      <c r="IZ58" s="962">
        <f t="shared" si="401"/>
        <v>35.68333333333333</v>
      </c>
      <c r="JA58" s="962">
        <f t="shared" si="401"/>
        <v>35.68333333333333</v>
      </c>
      <c r="JB58" s="962">
        <f t="shared" si="401"/>
        <v>35.68333333333333</v>
      </c>
      <c r="JC58" s="962">
        <f t="shared" si="401"/>
        <v>35.68333333333333</v>
      </c>
      <c r="JD58" s="962">
        <f t="shared" si="401"/>
        <v>35.68333333333333</v>
      </c>
      <c r="JE58" s="962">
        <f t="shared" si="401"/>
        <v>35.68333333333333</v>
      </c>
      <c r="JF58" s="962">
        <f t="shared" si="401"/>
        <v>35.68333333333333</v>
      </c>
      <c r="JG58" s="962">
        <f t="shared" si="401"/>
        <v>35.68333333333333</v>
      </c>
      <c r="JH58" s="962">
        <f t="shared" si="401"/>
        <v>35.68333333333333</v>
      </c>
      <c r="JI58" s="962">
        <f t="shared" si="401"/>
        <v>35.68333333333333</v>
      </c>
      <c r="JJ58" s="962">
        <f t="shared" si="401"/>
        <v>35.68333333333333</v>
      </c>
      <c r="JK58" s="962">
        <f t="shared" si="401"/>
        <v>35.68333333333333</v>
      </c>
      <c r="JL58" s="962">
        <f t="shared" si="401"/>
        <v>35.68333333333333</v>
      </c>
      <c r="JM58" s="962">
        <f t="shared" si="401"/>
        <v>35.68333333333333</v>
      </c>
      <c r="JN58" s="962">
        <f t="shared" si="401"/>
        <v>35.68333333333333</v>
      </c>
      <c r="JO58" s="962">
        <f t="shared" si="401"/>
        <v>35.68333333333333</v>
      </c>
      <c r="JP58" s="962">
        <f t="shared" si="401"/>
        <v>35.68333333333333</v>
      </c>
      <c r="JQ58" s="962">
        <f t="shared" si="401"/>
        <v>35.68333333333333</v>
      </c>
      <c r="JR58" s="962">
        <f t="shared" si="401"/>
        <v>35.68333333333333</v>
      </c>
      <c r="JS58" s="962">
        <f t="shared" si="401"/>
        <v>35.68333333333333</v>
      </c>
      <c r="JT58" s="962">
        <f t="shared" si="401"/>
        <v>35.68333333333333</v>
      </c>
      <c r="JU58" s="962">
        <f t="shared" si="401"/>
        <v>35.68333333333333</v>
      </c>
      <c r="JV58" s="962">
        <f t="shared" si="401"/>
        <v>35.68333333333333</v>
      </c>
      <c r="JW58" s="962">
        <f t="shared" si="401"/>
        <v>35.68333333333333</v>
      </c>
      <c r="JX58" s="962">
        <f t="shared" si="401"/>
        <v>35.68333333333333</v>
      </c>
      <c r="JY58" s="962">
        <f t="shared" si="401"/>
        <v>35.68333333333333</v>
      </c>
      <c r="JZ58" s="962">
        <f t="shared" si="401"/>
        <v>35.68333333333333</v>
      </c>
      <c r="KA58" s="962">
        <f t="shared" si="401"/>
        <v>35.68333333333333</v>
      </c>
      <c r="KB58" s="962">
        <f t="shared" si="401"/>
        <v>35.68333333333333</v>
      </c>
      <c r="KC58" s="962">
        <f t="shared" si="401"/>
        <v>35.68333333333333</v>
      </c>
      <c r="KD58" s="962">
        <f t="shared" si="401"/>
        <v>35.68333333333333</v>
      </c>
      <c r="KE58" s="962">
        <f t="shared" si="401"/>
        <v>35.68333333333333</v>
      </c>
      <c r="KF58" s="962">
        <f t="shared" si="401"/>
        <v>35.68333333333333</v>
      </c>
      <c r="KG58" s="962">
        <f t="shared" si="401"/>
        <v>35.68333333333333</v>
      </c>
      <c r="KH58" s="962">
        <f t="shared" si="401"/>
        <v>35.68333333333333</v>
      </c>
      <c r="KI58" s="962">
        <f t="shared" si="401"/>
        <v>35.68333333333333</v>
      </c>
      <c r="KJ58" s="962">
        <f t="shared" si="401"/>
        <v>35.68333333333333</v>
      </c>
      <c r="KK58" s="962">
        <f t="shared" si="401"/>
        <v>35.68333333333333</v>
      </c>
      <c r="KL58" s="962">
        <f t="shared" si="401"/>
        <v>35.68333333333333</v>
      </c>
      <c r="KM58" s="962">
        <f t="shared" si="401"/>
        <v>35.68333333333333</v>
      </c>
      <c r="KN58" s="962">
        <f t="shared" si="401"/>
        <v>35.68333333333333</v>
      </c>
      <c r="KO58" s="962">
        <f t="shared" si="401"/>
        <v>35.68333333333333</v>
      </c>
      <c r="KP58" s="962">
        <f t="shared" si="401"/>
        <v>35.68333333333333</v>
      </c>
      <c r="KQ58" s="962">
        <f t="shared" si="401"/>
        <v>35.68333333333333</v>
      </c>
      <c r="KR58" s="962">
        <f t="shared" si="401"/>
        <v>35.68333333333333</v>
      </c>
      <c r="KS58" s="962">
        <f t="shared" si="401"/>
        <v>35.68333333333333</v>
      </c>
      <c r="KT58" s="962">
        <f t="shared" ref="KT58:NE58" si="402">35+(41/60)</f>
        <v>35.68333333333333</v>
      </c>
      <c r="KU58" s="962">
        <f t="shared" si="402"/>
        <v>35.68333333333333</v>
      </c>
      <c r="KV58" s="962">
        <f t="shared" si="402"/>
        <v>35.68333333333333</v>
      </c>
      <c r="KW58" s="962">
        <f t="shared" si="402"/>
        <v>35.68333333333333</v>
      </c>
      <c r="KX58" s="962">
        <f t="shared" si="402"/>
        <v>35.68333333333333</v>
      </c>
      <c r="KY58" s="962">
        <f t="shared" si="402"/>
        <v>35.68333333333333</v>
      </c>
      <c r="KZ58" s="962">
        <f t="shared" si="402"/>
        <v>35.68333333333333</v>
      </c>
      <c r="LA58" s="962">
        <f t="shared" si="402"/>
        <v>35.68333333333333</v>
      </c>
      <c r="LB58" s="962">
        <f t="shared" si="402"/>
        <v>35.68333333333333</v>
      </c>
      <c r="LC58" s="962">
        <f t="shared" si="402"/>
        <v>35.68333333333333</v>
      </c>
      <c r="LD58" s="962">
        <f t="shared" si="402"/>
        <v>35.68333333333333</v>
      </c>
      <c r="LE58" s="962">
        <f t="shared" si="402"/>
        <v>35.68333333333333</v>
      </c>
      <c r="LF58" s="962">
        <f t="shared" si="402"/>
        <v>35.68333333333333</v>
      </c>
      <c r="LG58" s="962">
        <f t="shared" si="402"/>
        <v>35.68333333333333</v>
      </c>
      <c r="LH58" s="962">
        <f t="shared" si="402"/>
        <v>35.68333333333333</v>
      </c>
      <c r="LI58" s="962">
        <f t="shared" si="402"/>
        <v>35.68333333333333</v>
      </c>
      <c r="LJ58" s="962">
        <f t="shared" si="402"/>
        <v>35.68333333333333</v>
      </c>
      <c r="LK58" s="962">
        <f t="shared" si="402"/>
        <v>35.68333333333333</v>
      </c>
      <c r="LL58" s="962">
        <f t="shared" si="402"/>
        <v>35.68333333333333</v>
      </c>
      <c r="LM58" s="962">
        <f t="shared" si="402"/>
        <v>35.68333333333333</v>
      </c>
      <c r="LN58" s="962">
        <f t="shared" si="402"/>
        <v>35.68333333333333</v>
      </c>
      <c r="LO58" s="962">
        <f t="shared" si="402"/>
        <v>35.68333333333333</v>
      </c>
      <c r="LP58" s="962">
        <f t="shared" si="402"/>
        <v>35.68333333333333</v>
      </c>
      <c r="LQ58" s="962">
        <f t="shared" si="402"/>
        <v>35.68333333333333</v>
      </c>
      <c r="LR58" s="962">
        <f t="shared" si="402"/>
        <v>35.68333333333333</v>
      </c>
      <c r="LS58" s="962">
        <f t="shared" si="402"/>
        <v>35.68333333333333</v>
      </c>
      <c r="LT58" s="962">
        <f t="shared" si="402"/>
        <v>35.68333333333333</v>
      </c>
      <c r="LU58" s="962">
        <f t="shared" si="402"/>
        <v>35.68333333333333</v>
      </c>
      <c r="LV58" s="962">
        <f t="shared" si="402"/>
        <v>35.68333333333333</v>
      </c>
      <c r="LW58" s="962">
        <f t="shared" si="402"/>
        <v>35.68333333333333</v>
      </c>
      <c r="LX58" s="962">
        <f t="shared" si="402"/>
        <v>35.68333333333333</v>
      </c>
      <c r="LY58" s="962">
        <f t="shared" si="402"/>
        <v>35.68333333333333</v>
      </c>
      <c r="LZ58" s="962">
        <f t="shared" si="402"/>
        <v>35.68333333333333</v>
      </c>
      <c r="MA58" s="962">
        <f t="shared" si="402"/>
        <v>35.68333333333333</v>
      </c>
      <c r="MB58" s="962">
        <f t="shared" si="402"/>
        <v>35.68333333333333</v>
      </c>
      <c r="MC58" s="962">
        <f t="shared" si="402"/>
        <v>35.68333333333333</v>
      </c>
      <c r="MD58" s="962">
        <f t="shared" si="402"/>
        <v>35.68333333333333</v>
      </c>
      <c r="ME58" s="962">
        <f t="shared" si="402"/>
        <v>35.68333333333333</v>
      </c>
      <c r="MF58" s="962">
        <f t="shared" si="402"/>
        <v>35.68333333333333</v>
      </c>
      <c r="MG58" s="962">
        <f t="shared" si="402"/>
        <v>35.68333333333333</v>
      </c>
      <c r="MH58" s="962">
        <f t="shared" si="402"/>
        <v>35.68333333333333</v>
      </c>
      <c r="MI58" s="962">
        <f t="shared" si="402"/>
        <v>35.68333333333333</v>
      </c>
      <c r="MJ58" s="962">
        <f t="shared" si="402"/>
        <v>35.68333333333333</v>
      </c>
      <c r="MK58" s="962">
        <f t="shared" si="402"/>
        <v>35.68333333333333</v>
      </c>
      <c r="ML58" s="962">
        <f t="shared" si="402"/>
        <v>35.68333333333333</v>
      </c>
      <c r="MM58" s="962">
        <f t="shared" si="402"/>
        <v>35.68333333333333</v>
      </c>
      <c r="MN58" s="962">
        <f t="shared" si="402"/>
        <v>35.68333333333333</v>
      </c>
      <c r="MO58" s="962">
        <f t="shared" si="402"/>
        <v>35.68333333333333</v>
      </c>
      <c r="MP58" s="962">
        <f t="shared" si="402"/>
        <v>35.68333333333333</v>
      </c>
      <c r="MQ58" s="962">
        <f t="shared" si="402"/>
        <v>35.68333333333333</v>
      </c>
      <c r="MR58" s="962">
        <f t="shared" si="402"/>
        <v>35.68333333333333</v>
      </c>
      <c r="MS58" s="962">
        <f t="shared" si="402"/>
        <v>35.68333333333333</v>
      </c>
      <c r="MT58" s="962">
        <f t="shared" si="402"/>
        <v>35.68333333333333</v>
      </c>
      <c r="MU58" s="962">
        <f t="shared" si="402"/>
        <v>35.68333333333333</v>
      </c>
      <c r="MV58" s="962">
        <f t="shared" si="402"/>
        <v>35.68333333333333</v>
      </c>
      <c r="MW58" s="962">
        <f t="shared" si="402"/>
        <v>35.68333333333333</v>
      </c>
      <c r="MX58" s="962">
        <f t="shared" si="402"/>
        <v>35.68333333333333</v>
      </c>
      <c r="MY58" s="962">
        <f t="shared" si="402"/>
        <v>35.68333333333333</v>
      </c>
      <c r="MZ58" s="962">
        <f t="shared" si="402"/>
        <v>35.68333333333333</v>
      </c>
      <c r="NA58" s="962">
        <f t="shared" si="402"/>
        <v>35.68333333333333</v>
      </c>
      <c r="NB58" s="962">
        <f t="shared" si="402"/>
        <v>35.68333333333333</v>
      </c>
      <c r="NC58" s="962">
        <f t="shared" si="402"/>
        <v>35.68333333333333</v>
      </c>
      <c r="ND58" s="962">
        <f t="shared" si="402"/>
        <v>35.68333333333333</v>
      </c>
      <c r="NE58" s="962">
        <f t="shared" si="402"/>
        <v>35.68333333333333</v>
      </c>
      <c r="NF58" s="962">
        <f t="shared" ref="NF58:PQ58" si="403">35+(41/60)</f>
        <v>35.68333333333333</v>
      </c>
      <c r="NG58" s="962">
        <f t="shared" si="403"/>
        <v>35.68333333333333</v>
      </c>
      <c r="NH58" s="962">
        <f t="shared" si="403"/>
        <v>35.68333333333333</v>
      </c>
      <c r="NI58" s="962">
        <f t="shared" si="403"/>
        <v>35.68333333333333</v>
      </c>
      <c r="NJ58" s="962">
        <f t="shared" si="403"/>
        <v>35.68333333333333</v>
      </c>
      <c r="NK58" s="962">
        <f t="shared" si="403"/>
        <v>35.68333333333333</v>
      </c>
      <c r="NL58" s="962">
        <f t="shared" si="403"/>
        <v>35.68333333333333</v>
      </c>
      <c r="NM58" s="962">
        <f t="shared" si="403"/>
        <v>35.68333333333333</v>
      </c>
      <c r="NN58" s="962">
        <f t="shared" si="403"/>
        <v>35.68333333333333</v>
      </c>
      <c r="NO58" s="962">
        <f t="shared" si="403"/>
        <v>35.68333333333333</v>
      </c>
      <c r="NP58" s="962">
        <f t="shared" si="403"/>
        <v>35.68333333333333</v>
      </c>
      <c r="NQ58" s="962">
        <f t="shared" si="403"/>
        <v>35.68333333333333</v>
      </c>
      <c r="NR58" s="962">
        <f t="shared" si="403"/>
        <v>35.68333333333333</v>
      </c>
      <c r="NS58" s="962">
        <f t="shared" si="403"/>
        <v>35.68333333333333</v>
      </c>
      <c r="NT58" s="962">
        <f t="shared" si="403"/>
        <v>35.68333333333333</v>
      </c>
      <c r="NU58" s="962">
        <f t="shared" si="403"/>
        <v>35.68333333333333</v>
      </c>
      <c r="NV58" s="962">
        <f t="shared" si="403"/>
        <v>35.68333333333333</v>
      </c>
      <c r="NW58" s="962">
        <f t="shared" si="403"/>
        <v>35.68333333333333</v>
      </c>
      <c r="NX58" s="962">
        <f t="shared" si="403"/>
        <v>35.68333333333333</v>
      </c>
      <c r="NY58" s="962">
        <f t="shared" si="403"/>
        <v>35.68333333333333</v>
      </c>
      <c r="NZ58" s="962">
        <f t="shared" si="403"/>
        <v>35.68333333333333</v>
      </c>
      <c r="OA58" s="962">
        <f t="shared" si="403"/>
        <v>35.68333333333333</v>
      </c>
      <c r="OB58" s="962">
        <f t="shared" si="403"/>
        <v>35.68333333333333</v>
      </c>
      <c r="OC58" s="962">
        <f t="shared" si="403"/>
        <v>35.68333333333333</v>
      </c>
      <c r="OD58" s="962">
        <f t="shared" si="403"/>
        <v>35.68333333333333</v>
      </c>
      <c r="OE58" s="962">
        <f t="shared" si="403"/>
        <v>35.68333333333333</v>
      </c>
      <c r="OF58" s="962">
        <f t="shared" si="403"/>
        <v>35.68333333333333</v>
      </c>
      <c r="OG58" s="962">
        <f t="shared" si="403"/>
        <v>35.68333333333333</v>
      </c>
      <c r="OH58" s="962">
        <f t="shared" si="403"/>
        <v>35.68333333333333</v>
      </c>
      <c r="OI58" s="962">
        <f t="shared" si="403"/>
        <v>35.68333333333333</v>
      </c>
      <c r="OJ58" s="962">
        <f t="shared" si="403"/>
        <v>35.68333333333333</v>
      </c>
      <c r="OK58" s="962">
        <f t="shared" si="403"/>
        <v>35.68333333333333</v>
      </c>
      <c r="OL58" s="962">
        <f t="shared" si="403"/>
        <v>35.68333333333333</v>
      </c>
      <c r="OM58" s="962">
        <f t="shared" si="403"/>
        <v>35.68333333333333</v>
      </c>
      <c r="ON58" s="962">
        <f t="shared" si="403"/>
        <v>35.68333333333333</v>
      </c>
      <c r="OO58" s="962">
        <f t="shared" si="403"/>
        <v>35.68333333333333</v>
      </c>
      <c r="OP58" s="962">
        <f t="shared" si="403"/>
        <v>35.68333333333333</v>
      </c>
      <c r="OQ58" s="962">
        <f t="shared" si="403"/>
        <v>35.68333333333333</v>
      </c>
      <c r="OR58" s="962">
        <f t="shared" si="403"/>
        <v>35.68333333333333</v>
      </c>
      <c r="OS58" s="962">
        <f t="shared" si="403"/>
        <v>35.68333333333333</v>
      </c>
      <c r="OT58" s="962">
        <f t="shared" si="403"/>
        <v>35.68333333333333</v>
      </c>
      <c r="OU58" s="962">
        <f t="shared" si="403"/>
        <v>35.68333333333333</v>
      </c>
      <c r="OV58" s="962">
        <f t="shared" si="403"/>
        <v>35.68333333333333</v>
      </c>
      <c r="OW58" s="962">
        <f t="shared" si="403"/>
        <v>35.68333333333333</v>
      </c>
      <c r="OX58" s="962">
        <f t="shared" si="403"/>
        <v>35.68333333333333</v>
      </c>
      <c r="OY58" s="962">
        <f t="shared" si="403"/>
        <v>35.68333333333333</v>
      </c>
      <c r="OZ58" s="962">
        <f t="shared" si="403"/>
        <v>35.68333333333333</v>
      </c>
      <c r="PA58" s="962">
        <f t="shared" si="403"/>
        <v>35.68333333333333</v>
      </c>
      <c r="PB58" s="962">
        <f t="shared" si="403"/>
        <v>35.68333333333333</v>
      </c>
      <c r="PC58" s="962">
        <f t="shared" si="403"/>
        <v>35.68333333333333</v>
      </c>
      <c r="PD58" s="962">
        <f t="shared" si="403"/>
        <v>35.68333333333333</v>
      </c>
      <c r="PE58" s="962">
        <f t="shared" si="403"/>
        <v>35.68333333333333</v>
      </c>
      <c r="PF58" s="962">
        <f t="shared" si="403"/>
        <v>35.68333333333333</v>
      </c>
      <c r="PG58" s="962">
        <f t="shared" si="403"/>
        <v>35.68333333333333</v>
      </c>
      <c r="PH58" s="962">
        <f t="shared" si="403"/>
        <v>35.68333333333333</v>
      </c>
      <c r="PI58" s="962">
        <f t="shared" si="403"/>
        <v>35.68333333333333</v>
      </c>
      <c r="PJ58" s="962">
        <f t="shared" si="403"/>
        <v>35.68333333333333</v>
      </c>
      <c r="PK58" s="962">
        <f t="shared" si="403"/>
        <v>35.68333333333333</v>
      </c>
      <c r="PL58" s="962">
        <f t="shared" si="403"/>
        <v>35.68333333333333</v>
      </c>
      <c r="PM58" s="962">
        <f t="shared" si="403"/>
        <v>35.68333333333333</v>
      </c>
      <c r="PN58" s="962">
        <f t="shared" si="403"/>
        <v>35.68333333333333</v>
      </c>
      <c r="PO58" s="962">
        <f t="shared" si="403"/>
        <v>35.68333333333333</v>
      </c>
      <c r="PP58" s="962">
        <f t="shared" si="403"/>
        <v>35.68333333333333</v>
      </c>
      <c r="PQ58" s="962">
        <f t="shared" si="403"/>
        <v>35.68333333333333</v>
      </c>
      <c r="PR58" s="962">
        <f t="shared" ref="PR58:RA58" si="404">35+(41/60)</f>
        <v>35.68333333333333</v>
      </c>
      <c r="PS58" s="962">
        <f t="shared" si="404"/>
        <v>35.68333333333333</v>
      </c>
      <c r="PT58" s="962">
        <f t="shared" si="404"/>
        <v>35.68333333333333</v>
      </c>
      <c r="PU58" s="962">
        <f t="shared" si="404"/>
        <v>35.68333333333333</v>
      </c>
      <c r="PV58" s="962">
        <f t="shared" si="404"/>
        <v>35.68333333333333</v>
      </c>
      <c r="PW58" s="962">
        <f t="shared" si="404"/>
        <v>35.68333333333333</v>
      </c>
      <c r="PX58" s="962">
        <f t="shared" si="404"/>
        <v>35.68333333333333</v>
      </c>
      <c r="PY58" s="962">
        <f t="shared" si="404"/>
        <v>35.68333333333333</v>
      </c>
      <c r="PZ58" s="962">
        <f t="shared" si="404"/>
        <v>35.68333333333333</v>
      </c>
      <c r="QA58" s="962">
        <f t="shared" si="404"/>
        <v>35.68333333333333</v>
      </c>
      <c r="QB58" s="962">
        <f t="shared" si="404"/>
        <v>35.68333333333333</v>
      </c>
      <c r="QC58" s="962">
        <f t="shared" si="404"/>
        <v>35.68333333333333</v>
      </c>
      <c r="QD58" s="962">
        <f t="shared" si="404"/>
        <v>35.68333333333333</v>
      </c>
      <c r="QE58" s="962">
        <f t="shared" si="404"/>
        <v>35.68333333333333</v>
      </c>
      <c r="QF58" s="962">
        <f t="shared" si="404"/>
        <v>35.68333333333333</v>
      </c>
      <c r="QG58" s="962">
        <f t="shared" si="404"/>
        <v>35.68333333333333</v>
      </c>
      <c r="QH58" s="962">
        <f t="shared" si="404"/>
        <v>35.68333333333333</v>
      </c>
      <c r="QI58" s="962">
        <f t="shared" si="404"/>
        <v>35.68333333333333</v>
      </c>
      <c r="QJ58" s="962">
        <f t="shared" si="404"/>
        <v>35.68333333333333</v>
      </c>
      <c r="QK58" s="962">
        <f t="shared" si="404"/>
        <v>35.68333333333333</v>
      </c>
      <c r="QL58" s="962">
        <f t="shared" si="404"/>
        <v>35.68333333333333</v>
      </c>
      <c r="QM58" s="962">
        <f t="shared" si="404"/>
        <v>35.68333333333333</v>
      </c>
      <c r="QN58" s="962">
        <f t="shared" si="404"/>
        <v>35.68333333333333</v>
      </c>
      <c r="QO58" s="962">
        <f t="shared" si="404"/>
        <v>35.68333333333333</v>
      </c>
      <c r="QP58" s="962">
        <f t="shared" si="404"/>
        <v>35.68333333333333</v>
      </c>
      <c r="QQ58" s="962">
        <f t="shared" si="404"/>
        <v>35.68333333333333</v>
      </c>
      <c r="QR58" s="962">
        <f t="shared" si="404"/>
        <v>35.68333333333333</v>
      </c>
      <c r="QS58" s="962">
        <f t="shared" si="404"/>
        <v>35.68333333333333</v>
      </c>
      <c r="QT58" s="962">
        <f t="shared" si="404"/>
        <v>35.68333333333333</v>
      </c>
      <c r="QU58" s="962">
        <f t="shared" si="404"/>
        <v>35.68333333333333</v>
      </c>
      <c r="QV58" s="962">
        <f t="shared" si="404"/>
        <v>35.68333333333333</v>
      </c>
      <c r="QW58" s="962">
        <f t="shared" si="404"/>
        <v>35.68333333333333</v>
      </c>
      <c r="QX58" s="962">
        <f t="shared" si="404"/>
        <v>35.68333333333333</v>
      </c>
      <c r="QY58" s="962">
        <f t="shared" si="404"/>
        <v>35.68333333333333</v>
      </c>
      <c r="QZ58" s="962">
        <f t="shared" si="404"/>
        <v>35.68333333333333</v>
      </c>
      <c r="RA58" s="962">
        <f t="shared" si="404"/>
        <v>35.68333333333333</v>
      </c>
      <c r="RC58" s="797"/>
    </row>
    <row r="59" spans="1:471" ht="17.25">
      <c r="B59" s="2"/>
      <c r="C59" s="2"/>
      <c r="D59" s="2"/>
      <c r="E59" s="2"/>
      <c r="F59" s="2"/>
      <c r="G59" s="2"/>
      <c r="H59" s="2"/>
      <c r="I59" s="2"/>
      <c r="J59" s="2"/>
      <c r="K59" s="2"/>
      <c r="L59" s="2"/>
      <c r="M59" s="2">
        <v>354.36666666666599</v>
      </c>
      <c r="N59" s="2"/>
      <c r="O59" s="2"/>
      <c r="P59" s="2"/>
      <c r="Q59" s="2"/>
      <c r="R59" s="2"/>
      <c r="S59" s="2"/>
      <c r="T59" s="2"/>
      <c r="U59" s="2"/>
      <c r="V59" s="2"/>
      <c r="W59" s="2"/>
      <c r="X59" s="2"/>
      <c r="Y59" s="2"/>
      <c r="Z59" s="2"/>
      <c r="AA59" s="2"/>
      <c r="AB59" s="2"/>
      <c r="AC59" s="2"/>
      <c r="AK59" s="112" t="s">
        <v>698</v>
      </c>
      <c r="AL59" s="701" t="e">
        <f>[1]!taqqa(AL52,AL53,[1]!roz(AL54,AL58,0,0),AL55)</f>
        <v>#VALUE!</v>
      </c>
      <c r="AM59" s="304" t="e">
        <f>[1]!taqqa(AM52,AM53,[1]!roz(AM54,AM58,0,0),AM55)</f>
        <v>#VALUE!</v>
      </c>
      <c r="AN59" s="304" t="e">
        <f>[1]!taqqa(AN52,AN53,[1]!roz(AN54,AN58,0,0),AN55)</f>
        <v>#VALUE!</v>
      </c>
      <c r="AO59" s="304" t="e">
        <f>[1]!taqqa(AO52,AO53,[1]!roz(AO54,AO58,0,0),AO55)</f>
        <v>#VALUE!</v>
      </c>
      <c r="AP59" s="304" t="e">
        <f>[1]!taqqa(AP52,AP53,[1]!roz(AP54,AP58,0,0),AP55)</f>
        <v>#VALUE!</v>
      </c>
      <c r="AQ59" s="304" t="e">
        <f>[1]!taqqa(AQ52,AQ53,[1]!roz(AQ54,AQ58,0,0),AQ55)</f>
        <v>#VALUE!</v>
      </c>
      <c r="AR59" s="304" t="e">
        <f>[1]!taqqa(AR52,AR53,[1]!roz(AR54,AR58,0,0),AR55)</f>
        <v>#VALUE!</v>
      </c>
      <c r="AS59" s="304" t="e">
        <f>[1]!taqqa(AS52,AS53,[1]!roz(AS54,AS58,0,0),AS55)</f>
        <v>#VALUE!</v>
      </c>
      <c r="AT59" s="304" t="e">
        <f>[1]!taqqa(AT52,AT53,[1]!roz(AT54,AT58,0,0),AT55)</f>
        <v>#VALUE!</v>
      </c>
      <c r="AU59" s="304" t="e">
        <f>[1]!taqqa(AU52,AU53,[1]!roz(AU54,AU58,0,0),AU55)</f>
        <v>#VALUE!</v>
      </c>
      <c r="AV59" s="304" t="e">
        <f>[1]!taqqa(AV52,AV53,[1]!roz(AV54,AV58,0,0),AV55)</f>
        <v>#VALUE!</v>
      </c>
      <c r="AW59" s="314" t="e">
        <f>[1]!taqqa(AW52,AW53,[1]!roz(AW54,AW58,0,0),AW55)</f>
        <v>#VALUE!</v>
      </c>
      <c r="AX59" s="314"/>
      <c r="DH59" s="797"/>
      <c r="DI59" s="797" t="s">
        <v>3499</v>
      </c>
      <c r="DJ59" s="961" t="e">
        <f>[1]!qsn([1]!ml([1]!taqsha(1,1,[1]!roz(DJ56+1,0,0,0),DJ57)),DJ58)/30</f>
        <v>#VALUE!</v>
      </c>
      <c r="DK59" s="962" t="e">
        <f>[1]!qsn([1]!ml([1]!taqsha(1,1,[1]!roz(DK56+1,0,0,0),DK57)),DK58)/30</f>
        <v>#VALUE!</v>
      </c>
      <c r="DL59" s="962" t="e">
        <f>[1]!qsn([1]!ml([1]!taqsha(1,1,[1]!roz(DL56+1,0,0,0),DL57)),DL58)/30</f>
        <v>#VALUE!</v>
      </c>
      <c r="DM59" s="962" t="e">
        <f>[1]!qsn([1]!ml([1]!taqsha(1,1,[1]!roz(DM56+1,0,0,0),DM57)),DM58)/30</f>
        <v>#VALUE!</v>
      </c>
      <c r="DN59" s="962" t="e">
        <f>[1]!qsn([1]!ml([1]!taqsha(1,1,[1]!roz(DN56+1,0,0,0),DN57)),DN58)/30</f>
        <v>#VALUE!</v>
      </c>
      <c r="DO59" s="962" t="e">
        <f>[1]!qsn([1]!ml([1]!taqsha(1,1,[1]!roz(DO56+1,0,0,0),DO57)),DO58)/30</f>
        <v>#VALUE!</v>
      </c>
      <c r="DP59" s="962" t="e">
        <f>[1]!qsn([1]!ml([1]!taqsha(1,1,[1]!roz(DP56+1,0,0,0),DP57)),DP58)/30</f>
        <v>#VALUE!</v>
      </c>
      <c r="DQ59" s="962" t="e">
        <f>[1]!qsn([1]!ml([1]!taqsha(1,1,[1]!roz(DQ56+1,0,0,0),DQ57)),DQ58)/30</f>
        <v>#VALUE!</v>
      </c>
      <c r="DR59" s="962" t="e">
        <f>[1]!qsn([1]!ml([1]!taqsha(1,1,[1]!roz(DR56+1,0,0,0),DR57)),DR58)/30</f>
        <v>#VALUE!</v>
      </c>
      <c r="DS59" s="962" t="e">
        <f>[1]!qsn([1]!ml([1]!taqsha(1,1,[1]!roz(DS56+1,0,0,0),DS57)),DS58)/30</f>
        <v>#VALUE!</v>
      </c>
      <c r="DT59" s="962" t="e">
        <f>[1]!qsn([1]!ml([1]!taqsha(1,1,[1]!roz(DT56+1,0,0,0),DT57)),DT58)/30</f>
        <v>#VALUE!</v>
      </c>
      <c r="DU59" s="962" t="e">
        <f>[1]!qsn([1]!ml([1]!taqsha(1,1,[1]!roz(DU56+1,0,0,0),DU57)),DU58)/30</f>
        <v>#VALUE!</v>
      </c>
      <c r="DV59" s="962" t="e">
        <f>[1]!qsn([1]!ml([1]!taqsha(1,1,[1]!roz(DV56+1,0,0,0),DV57)),DV58)/30</f>
        <v>#VALUE!</v>
      </c>
      <c r="DW59" s="962" t="e">
        <f>[1]!qsn([1]!ml([1]!taqsha(1,1,[1]!roz(DW56+1,0,0,0),DW57)),DW58)/30</f>
        <v>#VALUE!</v>
      </c>
      <c r="DX59" s="962" t="e">
        <f>[1]!qsn([1]!ml([1]!taqsha(1,1,[1]!roz(DX56+1,0,0,0),DX57)),DX58)/30</f>
        <v>#VALUE!</v>
      </c>
      <c r="DY59" s="962" t="e">
        <f>[1]!qsn([1]!ml([1]!taqsha(1,1,[1]!roz(DY56+1,0,0,0),DY57)),DY58)/30</f>
        <v>#VALUE!</v>
      </c>
      <c r="DZ59" s="962" t="e">
        <f>[1]!qsn([1]!ml([1]!taqsha(1,1,[1]!roz(DZ56+1,0,0,0),DZ57)),DZ58)/30</f>
        <v>#VALUE!</v>
      </c>
      <c r="EA59" s="962" t="e">
        <f>[1]!qsn([1]!ml([1]!taqsha(1,1,[1]!roz(EA56+1,0,0,0),EA57)),EA58)/30</f>
        <v>#VALUE!</v>
      </c>
      <c r="EB59" s="962" t="e">
        <f>[1]!qsn([1]!ml([1]!taqsha(1,1,[1]!roz(EB56+1,0,0,0),EB57)),EB58)/30</f>
        <v>#VALUE!</v>
      </c>
      <c r="EC59" s="962" t="e">
        <f>[1]!qsn([1]!ml([1]!taqsha(1,1,[1]!roz(EC56+1,0,0,0),EC57)),EC58)/30</f>
        <v>#VALUE!</v>
      </c>
      <c r="ED59" s="962" t="e">
        <f>[1]!qsn([1]!ml([1]!taqsha(1,1,[1]!roz(ED56+1,0,0,0),ED57)),ED58)/30</f>
        <v>#VALUE!</v>
      </c>
      <c r="EE59" s="962" t="e">
        <f>[1]!qsn([1]!ml([1]!taqsha(1,1,[1]!roz(EE56+1,0,0,0),EE57)),EE58)/30</f>
        <v>#VALUE!</v>
      </c>
      <c r="EF59" s="962" t="e">
        <f>[1]!qsn([1]!ml([1]!taqsha(1,1,[1]!roz(EF56+1,0,0,0),EF57)),EF58)/30</f>
        <v>#VALUE!</v>
      </c>
      <c r="EG59" s="962" t="e">
        <f>[1]!qsn([1]!ml([1]!taqsha(1,1,[1]!roz(EG56+1,0,0,0),EG57)),EG58)/30</f>
        <v>#VALUE!</v>
      </c>
      <c r="EH59" s="962" t="e">
        <f>[1]!qsn([1]!ml([1]!taqsha(1,1,[1]!roz(EH56+1,0,0,0),EH57)),EH58)/30</f>
        <v>#VALUE!</v>
      </c>
      <c r="EI59" s="962" t="e">
        <f>[1]!qsn([1]!ml([1]!taqsha(1,1,[1]!roz(EI56+1,0,0,0),EI57)),EI58)/30</f>
        <v>#VALUE!</v>
      </c>
      <c r="EJ59" s="962" t="e">
        <f>[1]!qsn([1]!ml([1]!taqsha(1,1,[1]!roz(EJ56+1,0,0,0),EJ57)),EJ58)/30</f>
        <v>#VALUE!</v>
      </c>
      <c r="EK59" s="962" t="e">
        <f>[1]!qsn([1]!ml([1]!taqsha(1,1,[1]!roz(EK56+1,0,0,0),EK57)),EK58)/30</f>
        <v>#VALUE!</v>
      </c>
      <c r="EL59" s="962" t="e">
        <f>[1]!qsn([1]!ml([1]!taqsha(1,1,[1]!roz(EL56+1,0,0,0),EL57)),EL58)/30</f>
        <v>#VALUE!</v>
      </c>
      <c r="EM59" s="962" t="e">
        <f>[1]!qsn([1]!ml([1]!taqsha(1,1,[1]!roz(EM56+1,0,0,0),EM57)),EM58)/30</f>
        <v>#VALUE!</v>
      </c>
      <c r="EN59" s="962" t="e">
        <f>[1]!qsn([1]!ml([1]!taqsha(1,1,[1]!roz(EN56+1,0,0,0),EN57)),EN58)/30</f>
        <v>#VALUE!</v>
      </c>
      <c r="EO59" s="962" t="e">
        <f>[1]!qsn([1]!ml([1]!taqsha(1,1,[1]!roz(EO56+1,0,0,0),EO57)),EO58)/30</f>
        <v>#VALUE!</v>
      </c>
      <c r="EP59" s="962" t="e">
        <f>[1]!qsn([1]!ml([1]!taqsha(1,1,[1]!roz(EP56+1,0,0,0),EP57)),EP58)/30</f>
        <v>#VALUE!</v>
      </c>
      <c r="EQ59" s="962" t="e">
        <f>[1]!qsn([1]!ml([1]!taqsha(1,1,[1]!roz(EQ56+1,0,0,0),EQ57)),EQ58)/30</f>
        <v>#VALUE!</v>
      </c>
      <c r="ER59" s="962" t="e">
        <f>[1]!qsn([1]!ml([1]!taqsha(1,1,[1]!roz(ER56+1,0,0,0),ER57)),ER58)/30</f>
        <v>#VALUE!</v>
      </c>
      <c r="ES59" s="962" t="e">
        <f>[1]!qsn([1]!ml([1]!taqsha(1,1,[1]!roz(ES56+1,0,0,0),ES57)),ES58)/30</f>
        <v>#VALUE!</v>
      </c>
      <c r="ET59" s="962" t="e">
        <f>[1]!qsn([1]!ml([1]!taqsha(1,1,[1]!roz(ET56+1,0,0,0),ET57)),ET58)/30</f>
        <v>#VALUE!</v>
      </c>
      <c r="EU59" s="962" t="e">
        <f>[1]!qsn([1]!ml([1]!taqsha(1,1,[1]!roz(EU56+1,0,0,0),EU57)),EU58)/30</f>
        <v>#VALUE!</v>
      </c>
      <c r="EV59" s="962" t="e">
        <f>[1]!qsn([1]!ml([1]!taqsha(1,1,[1]!roz(EV56+1,0,0,0),EV57)),EV58)/30</f>
        <v>#VALUE!</v>
      </c>
      <c r="EW59" s="962" t="e">
        <f>[1]!qsn([1]!ml([1]!taqsha(1,1,[1]!roz(EW56+1,0,0,0),EW57)),EW58)/30</f>
        <v>#VALUE!</v>
      </c>
      <c r="EX59" s="962" t="e">
        <f>[1]!qsn([1]!ml([1]!taqsha(1,1,[1]!roz(EX56+1,0,0,0),EX57)),EX58)/30</f>
        <v>#VALUE!</v>
      </c>
      <c r="EY59" s="962" t="e">
        <f>[1]!qsn([1]!ml([1]!taqsha(1,1,[1]!roz(EY56+1,0,0,0),EY57)),EY58)/30</f>
        <v>#VALUE!</v>
      </c>
      <c r="EZ59" s="962" t="e">
        <f>[1]!qsn([1]!ml([1]!taqsha(1,1,[1]!roz(EZ56+1,0,0,0),EZ57)),EZ58)/30</f>
        <v>#VALUE!</v>
      </c>
      <c r="FA59" s="962" t="e">
        <f>[1]!qsn([1]!ml([1]!taqsha(1,1,[1]!roz(FA56+1,0,0,0),FA57)),FA58)/30</f>
        <v>#VALUE!</v>
      </c>
      <c r="FB59" s="962" t="e">
        <f>[1]!qsn([1]!ml([1]!taqsha(1,1,[1]!roz(FB56+1,0,0,0),FB57)),FB58)/30</f>
        <v>#VALUE!</v>
      </c>
      <c r="FC59" s="962" t="e">
        <f>[1]!qsn([1]!ml([1]!taqsha(1,1,[1]!roz(FC56+1,0,0,0),FC57)),FC58)/30</f>
        <v>#VALUE!</v>
      </c>
      <c r="FD59" s="962" t="e">
        <f>[1]!qsn([1]!ml([1]!taqsha(1,1,[1]!roz(FD56+1,0,0,0),FD57)),FD58)/30</f>
        <v>#VALUE!</v>
      </c>
      <c r="FE59" s="962" t="e">
        <f>[1]!qsn([1]!ml([1]!taqsha(1,1,[1]!roz(FE56+1,0,0,0),FE57)),FE58)/30</f>
        <v>#VALUE!</v>
      </c>
      <c r="FF59" s="962" t="e">
        <f>[1]!qsn([1]!ml([1]!taqsha(1,1,[1]!roz(FF56+1,0,0,0),FF57)),FF58)/30</f>
        <v>#VALUE!</v>
      </c>
      <c r="FG59" s="962" t="e">
        <f>[1]!qsn([1]!ml([1]!taqsha(1,1,[1]!roz(FG56+1,0,0,0),FG57)),FG58)/30</f>
        <v>#VALUE!</v>
      </c>
      <c r="FH59" s="962" t="e">
        <f>[1]!qsn([1]!ml([1]!taqsha(1,1,[1]!roz(FH56+1,0,0,0),FH57)),FH58)/30</f>
        <v>#VALUE!</v>
      </c>
      <c r="FI59" s="962" t="e">
        <f>[1]!qsn([1]!ml([1]!taqsha(1,1,[1]!roz(FI56+1,0,0,0),FI57)),FI58)/30</f>
        <v>#VALUE!</v>
      </c>
      <c r="FJ59" s="962" t="e">
        <f>[1]!qsn([1]!ml([1]!taqsha(1,1,[1]!roz(FJ56+1,0,0,0),FJ57)),FJ58)/30</f>
        <v>#VALUE!</v>
      </c>
      <c r="FK59" s="962" t="e">
        <f>[1]!qsn([1]!ml([1]!taqsha(1,1,[1]!roz(FK56+1,0,0,0),FK57)),FK58)/30</f>
        <v>#VALUE!</v>
      </c>
      <c r="FL59" s="962" t="e">
        <f>[1]!qsn([1]!ml([1]!taqsha(1,1,[1]!roz(FL56+1,0,0,0),FL57)),FL58)/30</f>
        <v>#VALUE!</v>
      </c>
      <c r="FM59" s="962" t="e">
        <f>[1]!qsn([1]!ml([1]!taqsha(1,1,[1]!roz(FM56+1,0,0,0),FM57)),FM58)/30</f>
        <v>#VALUE!</v>
      </c>
      <c r="FN59" s="962" t="e">
        <f>[1]!qsn([1]!ml([1]!taqsha(1,1,[1]!roz(FN56+1,0,0,0),FN57)),FN58)/30</f>
        <v>#VALUE!</v>
      </c>
      <c r="FO59" s="962" t="e">
        <f>[1]!qsn([1]!ml([1]!taqsha(1,1,[1]!roz(FO56+1,0,0,0),FO57)),FO58)/30</f>
        <v>#VALUE!</v>
      </c>
      <c r="FP59" s="962" t="e">
        <f>[1]!qsn([1]!ml([1]!taqsha(1,1,[1]!roz(FP56+1,0,0,0),FP57)),FP58)/30</f>
        <v>#VALUE!</v>
      </c>
      <c r="FQ59" s="962" t="e">
        <f>[1]!qsn([1]!ml([1]!taqsha(1,1,[1]!roz(FQ56+1,0,0,0),FQ57)),FQ58)/30</f>
        <v>#VALUE!</v>
      </c>
      <c r="FR59" s="962" t="e">
        <f>[1]!qsn([1]!ml([1]!taqsha(1,1,[1]!roz(FR56+1,0,0,0),FR57)),FR58)/30</f>
        <v>#VALUE!</v>
      </c>
      <c r="FS59" s="962" t="e">
        <f>[1]!qsn([1]!ml([1]!taqsha(1,1,[1]!roz(FS56+1,0,0,0),FS57)),FS58)/30</f>
        <v>#VALUE!</v>
      </c>
      <c r="FT59" s="962" t="e">
        <f>[1]!qsn([1]!ml([1]!taqsha(1,1,[1]!roz(FT56+1,0,0,0),FT57)),FT58)/30</f>
        <v>#VALUE!</v>
      </c>
      <c r="FU59" s="962" t="e">
        <f>[1]!qsn([1]!ml([1]!taqsha(1,1,[1]!roz(FU56+1,0,0,0),FU57)),FU58)/30</f>
        <v>#VALUE!</v>
      </c>
      <c r="FV59" s="962" t="e">
        <f>[1]!qsn([1]!ml([1]!taqsha(1,1,[1]!roz(FV56+1,0,0,0),FV57)),FV58)/30</f>
        <v>#VALUE!</v>
      </c>
      <c r="FW59" s="962" t="e">
        <f>[1]!qsn([1]!ml([1]!taqsha(1,1,[1]!roz(FW56+1,0,0,0),FW57)),FW58)/30</f>
        <v>#VALUE!</v>
      </c>
      <c r="FX59" s="962" t="e">
        <f>[1]!qsn([1]!ml([1]!taqsha(1,1,[1]!roz(FX56+1,0,0,0),FX57)),FX58)/30</f>
        <v>#VALUE!</v>
      </c>
      <c r="FY59" s="962" t="e">
        <f>[1]!qsn([1]!ml([1]!taqsha(1,1,[1]!roz(FY56+1,0,0,0),FY57)),FY58)/30</f>
        <v>#VALUE!</v>
      </c>
      <c r="FZ59" s="962" t="e">
        <f>[1]!qsn([1]!ml([1]!taqsha(1,1,[1]!roz(FZ56+1,0,0,0),FZ57)),FZ58)/30</f>
        <v>#VALUE!</v>
      </c>
      <c r="GA59" s="962" t="e">
        <f>[1]!qsn([1]!ml([1]!taqsha(1,1,[1]!roz(GA56+1,0,0,0),GA57)),GA58)/30</f>
        <v>#VALUE!</v>
      </c>
      <c r="GB59" s="962" t="e">
        <f>[1]!qsn([1]!ml([1]!taqsha(1,1,[1]!roz(GB56+1,0,0,0),GB57)),GB58)/30</f>
        <v>#VALUE!</v>
      </c>
      <c r="GC59" s="962" t="e">
        <f>[1]!qsn([1]!ml([1]!taqsha(1,1,[1]!roz(GC56+1,0,0,0),GC57)),GC58)/30</f>
        <v>#VALUE!</v>
      </c>
      <c r="GD59" s="962" t="e">
        <f>[1]!qsn([1]!ml([1]!taqsha(1,1,[1]!roz(GD56+1,0,0,0),GD57)),GD58)/30</f>
        <v>#VALUE!</v>
      </c>
      <c r="GE59" s="962" t="e">
        <f>[1]!qsn([1]!ml([1]!taqsha(1,1,[1]!roz(GE56+1,0,0,0),GE57)),GE58)/30</f>
        <v>#VALUE!</v>
      </c>
      <c r="GF59" s="962" t="e">
        <f>[1]!qsn([1]!ml([1]!taqsha(1,1,[1]!roz(GF56+1,0,0,0),GF57)),GF58)/30</f>
        <v>#VALUE!</v>
      </c>
      <c r="GG59" s="962" t="e">
        <f>[1]!qsn([1]!ml([1]!taqsha(1,1,[1]!roz(GG56+1,0,0,0),GG57)),GG58)/30</f>
        <v>#VALUE!</v>
      </c>
      <c r="GH59" s="962" t="e">
        <f>[1]!qsn([1]!ml([1]!taqsha(1,1,[1]!roz(GH56+1,0,0,0),GH57)),GH58)/30</f>
        <v>#VALUE!</v>
      </c>
      <c r="GI59" s="962" t="e">
        <f>[1]!qsn([1]!ml([1]!taqsha(1,1,[1]!roz(GI56+1,0,0,0),GI57)),GI58)/30</f>
        <v>#VALUE!</v>
      </c>
      <c r="GJ59" s="962" t="e">
        <f>[1]!qsn([1]!ml([1]!taqsha(1,1,[1]!roz(GJ56+1,0,0,0),GJ57)),GJ58)/30</f>
        <v>#VALUE!</v>
      </c>
      <c r="GK59" s="962" t="e">
        <f>[1]!qsn([1]!ml([1]!taqsha(1,1,[1]!roz(GK56+1,0,0,0),GK57)),GK58)/30</f>
        <v>#VALUE!</v>
      </c>
      <c r="GL59" s="962" t="e">
        <f>[1]!qsn([1]!ml([1]!taqsha(1,1,[1]!roz(GL56+1,0,0,0),GL57)),GL58)/30</f>
        <v>#VALUE!</v>
      </c>
      <c r="GM59" s="962" t="e">
        <f>[1]!qsn([1]!ml([1]!taqsha(1,1,[1]!roz(GM56+1,0,0,0),GM57)),GM58)/30</f>
        <v>#VALUE!</v>
      </c>
      <c r="GN59" s="962" t="e">
        <f>[1]!qsn([1]!ml([1]!taqsha(1,1,[1]!roz(GN56+1,0,0,0),GN57)),GN58)/30</f>
        <v>#VALUE!</v>
      </c>
      <c r="GO59" s="962" t="e">
        <f>[1]!qsn([1]!ml([1]!taqsha(1,1,[1]!roz(GO56+1,0,0,0),GO57)),GO58)/30</f>
        <v>#VALUE!</v>
      </c>
      <c r="GP59" s="962" t="e">
        <f>[1]!qsn([1]!ml([1]!taqsha(1,1,[1]!roz(GP56+1,0,0,0),GP57)),GP58)/30</f>
        <v>#VALUE!</v>
      </c>
      <c r="GQ59" s="962" t="e">
        <f>[1]!qsn([1]!ml([1]!taqsha(1,1,[1]!roz(GQ56+1,0,0,0),GQ57)),GQ58)/30</f>
        <v>#VALUE!</v>
      </c>
      <c r="GR59" s="962" t="e">
        <f>[1]!qsn([1]!ml([1]!taqsha(1,1,[1]!roz(GR56+1,0,0,0),GR57)),GR58)/30</f>
        <v>#VALUE!</v>
      </c>
      <c r="GS59" s="962" t="e">
        <f>[1]!qsn([1]!ml([1]!taqsha(1,1,[1]!roz(GS56+1,0,0,0),GS57)),GS58)/30</f>
        <v>#VALUE!</v>
      </c>
      <c r="GT59" s="962" t="e">
        <f>[1]!qsn([1]!ml([1]!taqsha(1,1,[1]!roz(GT56+1,0,0,0),GT57)),GT58)/30</f>
        <v>#VALUE!</v>
      </c>
      <c r="GU59" s="962" t="e">
        <f>[1]!qsn([1]!ml([1]!taqsha(1,1,[1]!roz(GU56+1,0,0,0),GU57)),GU58)/30</f>
        <v>#VALUE!</v>
      </c>
      <c r="GV59" s="962" t="e">
        <f>[1]!qsn([1]!ml([1]!taqsha(1,1,[1]!roz(GV56+1,0,0,0),GV57)),GV58)/30</f>
        <v>#VALUE!</v>
      </c>
      <c r="GW59" s="962" t="e">
        <f>[1]!qsn([1]!ml([1]!taqsha(1,1,[1]!roz(GW56+1,0,0,0),GW57)),GW58)/30</f>
        <v>#VALUE!</v>
      </c>
      <c r="GX59" s="962" t="e">
        <f>[1]!qsn([1]!ml([1]!taqsha(1,1,[1]!roz(GX56+1,0,0,0),GX57)),GX58)/30</f>
        <v>#VALUE!</v>
      </c>
      <c r="GY59" s="962" t="e">
        <f>[1]!qsn([1]!ml([1]!taqsha(1,1,[1]!roz(GY56+1,0,0,0),GY57)),GY58)/30</f>
        <v>#VALUE!</v>
      </c>
      <c r="GZ59" s="962" t="e">
        <f>[1]!qsn([1]!ml([1]!taqsha(1,1,[1]!roz(GZ56+1,0,0,0),GZ57)),GZ58)/30</f>
        <v>#VALUE!</v>
      </c>
      <c r="HA59" s="962" t="e">
        <f>[1]!qsn([1]!ml([1]!taqsha(1,1,[1]!roz(HA56+1,0,0,0),HA57)),HA58)/30</f>
        <v>#VALUE!</v>
      </c>
      <c r="HB59" s="962" t="e">
        <f>[1]!qsn([1]!ml([1]!taqsha(1,1,[1]!roz(HB56+1,0,0,0),HB57)),HB58)/30</f>
        <v>#VALUE!</v>
      </c>
      <c r="HC59" s="962" t="e">
        <f>[1]!qsn([1]!ml([1]!taqsha(1,1,[1]!roz(HC56+1,0,0,0),HC57)),HC58)/30</f>
        <v>#VALUE!</v>
      </c>
      <c r="HD59" s="962" t="e">
        <f>[1]!qsn([1]!ml([1]!taqsha(1,1,[1]!roz(HD56+1,0,0,0),HD57)),HD58)/30</f>
        <v>#VALUE!</v>
      </c>
      <c r="HE59" s="962" t="e">
        <f>[1]!qsn([1]!ml([1]!taqsha(1,1,[1]!roz(HE56+1,0,0,0),HE57)),HE58)/30</f>
        <v>#VALUE!</v>
      </c>
      <c r="HF59" s="962" t="e">
        <f>[1]!qsn([1]!ml([1]!taqsha(1,1,[1]!roz(HF56+1,0,0,0),HF57)),HF58)/30</f>
        <v>#VALUE!</v>
      </c>
      <c r="HG59" s="962" t="e">
        <f>[1]!qsn([1]!ml([1]!taqsha(1,1,[1]!roz(HG56+1,0,0,0),HG57)),HG58)/30</f>
        <v>#VALUE!</v>
      </c>
      <c r="HH59" s="962" t="e">
        <f>[1]!qsn([1]!ml([1]!taqsha(1,1,[1]!roz(HH56+1,0,0,0),HH57)),HH58)/30</f>
        <v>#VALUE!</v>
      </c>
      <c r="HI59" s="962" t="e">
        <f>[1]!qsn([1]!ml([1]!taqsha(1,1,[1]!roz(HI56+1,0,0,0),HI57)),HI58)/30</f>
        <v>#VALUE!</v>
      </c>
      <c r="HJ59" s="962" t="e">
        <f>[1]!qsn([1]!ml([1]!taqsha(1,1,[1]!roz(HJ56+1,0,0,0),HJ57)),HJ58)/30</f>
        <v>#VALUE!</v>
      </c>
      <c r="HK59" s="962" t="e">
        <f>[1]!qsn([1]!ml([1]!taqsha(1,1,[1]!roz(HK56+1,0,0,0),HK57)),HK58)/30</f>
        <v>#VALUE!</v>
      </c>
      <c r="HL59" s="962" t="e">
        <f>[1]!qsn([1]!ml([1]!taqsha(1,1,[1]!roz(HL56+1,0,0,0),HL57)),HL58)/30</f>
        <v>#VALUE!</v>
      </c>
      <c r="HM59" s="962" t="e">
        <f>[1]!qsn([1]!ml([1]!taqsha(1,1,[1]!roz(HM56+1,0,0,0),HM57)),HM58)/30</f>
        <v>#VALUE!</v>
      </c>
      <c r="HN59" s="962" t="e">
        <f>[1]!qsn([1]!ml([1]!taqsha(1,1,[1]!roz(HN56+1,0,0,0),HN57)),HN58)/30</f>
        <v>#VALUE!</v>
      </c>
      <c r="HO59" s="962" t="e">
        <f>[1]!qsn([1]!ml([1]!taqsha(1,1,[1]!roz(HO56+1,0,0,0),HO57)),HO58)/30</f>
        <v>#VALUE!</v>
      </c>
      <c r="HP59" s="962" t="e">
        <f>[1]!qsn([1]!ml([1]!taqsha(1,1,[1]!roz(HP56+1,0,0,0),HP57)),HP58)/30</f>
        <v>#VALUE!</v>
      </c>
      <c r="HQ59" s="962" t="e">
        <f>[1]!qsn([1]!ml([1]!taqsha(1,1,[1]!roz(HQ56+1,0,0,0),HQ57)),HQ58)/30</f>
        <v>#VALUE!</v>
      </c>
      <c r="HR59" s="962" t="e">
        <f>[1]!qsn([1]!ml([1]!taqsha(1,1,[1]!roz(HR56+1,0,0,0),HR57)),HR58)/30</f>
        <v>#VALUE!</v>
      </c>
      <c r="HS59" s="962" t="e">
        <f>[1]!qsn([1]!ml([1]!taqsha(1,1,[1]!roz(HS56+1,0,0,0),HS57)),HS58)/30</f>
        <v>#VALUE!</v>
      </c>
      <c r="HT59" s="962" t="e">
        <f>[1]!qsn([1]!ml([1]!taqsha(1,1,[1]!roz(HT56+1,0,0,0),HT57)),HT58)/30</f>
        <v>#VALUE!</v>
      </c>
      <c r="HU59" s="962" t="e">
        <f>[1]!qsn([1]!ml([1]!taqsha(1,1,[1]!roz(HU56+1,0,0,0),HU57)),HU58)/30</f>
        <v>#VALUE!</v>
      </c>
      <c r="HV59" s="962" t="e">
        <f>[1]!qsn([1]!ml([1]!taqsha(1,1,[1]!roz(HV56+1,0,0,0),HV57)),HV58)/30</f>
        <v>#VALUE!</v>
      </c>
      <c r="HW59" s="962" t="e">
        <f>[1]!qsn([1]!ml([1]!taqsha(1,1,[1]!roz(HW56+1,0,0,0),HW57)),HW58)/30</f>
        <v>#VALUE!</v>
      </c>
      <c r="HX59" s="962" t="e">
        <f>[1]!qsn([1]!ml([1]!taqsha(1,1,[1]!roz(HX56+1,0,0,0),HX57)),HX58)/30</f>
        <v>#VALUE!</v>
      </c>
      <c r="HY59" s="962" t="e">
        <f>[1]!qsn([1]!ml([1]!taqsha(1,1,[1]!roz(HY56+1,0,0,0),HY57)),HY58)/30</f>
        <v>#VALUE!</v>
      </c>
      <c r="HZ59" s="962" t="e">
        <f>[1]!qsn([1]!ml([1]!taqsha(1,1,[1]!roz(HZ56+1,0,0,0),HZ57)),HZ58)/30</f>
        <v>#VALUE!</v>
      </c>
      <c r="IA59" s="962" t="e">
        <f>[1]!qsn([1]!ml([1]!taqsha(1,1,[1]!roz(IA56+1,0,0,0),IA57)),IA58)/30</f>
        <v>#VALUE!</v>
      </c>
      <c r="IB59" s="962" t="e">
        <f>[1]!qsn([1]!ml([1]!taqsha(1,1,[1]!roz(IB56+1,0,0,0),IB57)),IB58)/30</f>
        <v>#VALUE!</v>
      </c>
      <c r="IC59" s="962" t="e">
        <f>[1]!qsn([1]!ml([1]!taqsha(1,1,[1]!roz(IC56+1,0,0,0),IC57)),IC58)/30</f>
        <v>#VALUE!</v>
      </c>
      <c r="ID59" s="962" t="e">
        <f>[1]!qsn([1]!ml([1]!taqsha(1,1,[1]!roz(ID56+1,0,0,0),ID57)),ID58)/30</f>
        <v>#VALUE!</v>
      </c>
      <c r="IE59" s="962" t="e">
        <f>[1]!qsn([1]!ml([1]!taqsha(1,1,[1]!roz(IE56+1,0,0,0),IE57)),IE58)/30</f>
        <v>#VALUE!</v>
      </c>
      <c r="IF59" s="962" t="e">
        <f>[1]!qsn([1]!ml([1]!taqsha(1,1,[1]!roz(IF56+1,0,0,0),IF57)),IF58)/30</f>
        <v>#VALUE!</v>
      </c>
      <c r="IG59" s="962" t="e">
        <f>[1]!qsn([1]!ml([1]!taqsha(1,1,[1]!roz(IG56+1,0,0,0),IG57)),IG58)/30</f>
        <v>#VALUE!</v>
      </c>
      <c r="IH59" s="962" t="e">
        <f>[1]!qsn([1]!ml([1]!taqsha(1,1,[1]!roz(IH56+1,0,0,0),IH57)),IH58)/30</f>
        <v>#VALUE!</v>
      </c>
      <c r="II59" s="962" t="e">
        <f>[1]!qsn([1]!ml([1]!taqsha(1,1,[1]!roz(II56+1,0,0,0),II57)),II58)/30</f>
        <v>#VALUE!</v>
      </c>
      <c r="IJ59" s="962" t="e">
        <f>[1]!qsn([1]!ml([1]!taqsha(1,1,[1]!roz(IJ56+1,0,0,0),IJ57)),IJ58)/30</f>
        <v>#VALUE!</v>
      </c>
      <c r="IK59" s="962" t="e">
        <f>[1]!qsn([1]!ml([1]!taqsha(1,1,[1]!roz(IK56+1,0,0,0),IK57)),IK58)/30</f>
        <v>#VALUE!</v>
      </c>
      <c r="IL59" s="962" t="e">
        <f>[1]!qsn([1]!ml([1]!taqsha(1,1,[1]!roz(IL56+1,0,0,0),IL57)),IL58)/30</f>
        <v>#VALUE!</v>
      </c>
      <c r="IM59" s="962" t="e">
        <f>[1]!qsn([1]!ml([1]!taqsha(1,1,[1]!roz(IM56+1,0,0,0),IM57)),IM58)/30</f>
        <v>#VALUE!</v>
      </c>
      <c r="IN59" s="962" t="e">
        <f>[1]!qsn([1]!ml([1]!taqsha(1,1,[1]!roz(IN56+1,0,0,0),IN57)),IN58)/30</f>
        <v>#VALUE!</v>
      </c>
      <c r="IO59" s="962" t="e">
        <f>[1]!qsn([1]!ml([1]!taqsha(1,1,[1]!roz(IO56+1,0,0,0),IO57)),IO58)/30</f>
        <v>#VALUE!</v>
      </c>
      <c r="IP59" s="962" t="e">
        <f>[1]!qsn([1]!ml([1]!taqsha(1,1,[1]!roz(IP56+1,0,0,0),IP57)),IP58)/30</f>
        <v>#VALUE!</v>
      </c>
      <c r="IQ59" s="962" t="e">
        <f>[1]!qsn([1]!ml([1]!taqsha(1,1,[1]!roz(IQ56+1,0,0,0),IQ57)),IQ58)/30</f>
        <v>#VALUE!</v>
      </c>
      <c r="IR59" s="962" t="e">
        <f>[1]!qsn([1]!ml([1]!taqsha(1,1,[1]!roz(IR56+1,0,0,0),IR57)),IR58)/30</f>
        <v>#VALUE!</v>
      </c>
      <c r="IS59" s="962" t="e">
        <f>[1]!qsn([1]!ml([1]!taqsha(1,1,[1]!roz(IS56+1,0,0,0),IS57)),IS58)/30</f>
        <v>#VALUE!</v>
      </c>
      <c r="IT59" s="962" t="e">
        <f>[1]!qsn([1]!ml([1]!taqsha(1,1,[1]!roz(IT56+1,0,0,0),IT57)),IT58)/30</f>
        <v>#VALUE!</v>
      </c>
      <c r="IU59" s="962" t="e">
        <f>[1]!qsn([1]!ml([1]!taqsha(1,1,[1]!roz(IU56+1,0,0,0),IU57)),IU58)/30</f>
        <v>#VALUE!</v>
      </c>
      <c r="IV59" s="962" t="e">
        <f>[1]!qsn([1]!ml([1]!taqsha(1,1,[1]!roz(IV56+1,0,0,0),IV57)),IV58)/30</f>
        <v>#VALUE!</v>
      </c>
      <c r="IW59" s="962" t="e">
        <f>[1]!qsn([1]!ml([1]!taqsha(1,1,[1]!roz(IW56+1,0,0,0),IW57)),IW58)/30</f>
        <v>#VALUE!</v>
      </c>
      <c r="IX59" s="962" t="e">
        <f>[1]!qsn([1]!ml([1]!taqsha(1,1,[1]!roz(IX56+1,0,0,0),IX57)),IX58)/30</f>
        <v>#VALUE!</v>
      </c>
      <c r="IY59" s="962" t="e">
        <f>[1]!qsn([1]!ml([1]!taqsha(1,1,[1]!roz(IY56+1,0,0,0),IY57)),IY58)/30</f>
        <v>#VALUE!</v>
      </c>
      <c r="IZ59" s="962" t="e">
        <f>[1]!qsn([1]!ml([1]!taqsha(1,1,[1]!roz(IZ56+1,0,0,0),IZ57)),IZ58)/30</f>
        <v>#VALUE!</v>
      </c>
      <c r="JA59" s="962" t="e">
        <f>[1]!qsn([1]!ml([1]!taqsha(1,1,[1]!roz(JA56+1,0,0,0),JA57)),JA58)/30</f>
        <v>#VALUE!</v>
      </c>
      <c r="JB59" s="962" t="e">
        <f>[1]!qsn([1]!ml([1]!taqsha(1,1,[1]!roz(JB56+1,0,0,0),JB57)),JB58)/30</f>
        <v>#VALUE!</v>
      </c>
      <c r="JC59" s="962" t="e">
        <f>[1]!qsn([1]!ml([1]!taqsha(1,1,[1]!roz(JC56+1,0,0,0),JC57)),JC58)/30</f>
        <v>#VALUE!</v>
      </c>
      <c r="JD59" s="962" t="e">
        <f>[1]!qsn([1]!ml([1]!taqsha(1,1,[1]!roz(JD56+1,0,0,0),JD57)),JD58)/30</f>
        <v>#VALUE!</v>
      </c>
      <c r="JE59" s="962" t="e">
        <f>[1]!qsn([1]!ml([1]!taqsha(1,1,[1]!roz(JE56+1,0,0,0),JE57)),JE58)/30</f>
        <v>#VALUE!</v>
      </c>
      <c r="JF59" s="962" t="e">
        <f>[1]!qsn([1]!ml([1]!taqsha(1,1,[1]!roz(JF56+1,0,0,0),JF57)),JF58)/30</f>
        <v>#VALUE!</v>
      </c>
      <c r="JG59" s="962" t="e">
        <f>[1]!qsn([1]!ml([1]!taqsha(1,1,[1]!roz(JG56+1,0,0,0),JG57)),JG58)/30</f>
        <v>#VALUE!</v>
      </c>
      <c r="JH59" s="962" t="e">
        <f>[1]!qsn([1]!ml([1]!taqsha(1,1,[1]!roz(JH56+1,0,0,0),JH57)),JH58)/30</f>
        <v>#VALUE!</v>
      </c>
      <c r="JI59" s="962" t="e">
        <f>[1]!qsn([1]!ml([1]!taqsha(1,1,[1]!roz(JI56+1,0,0,0),JI57)),JI58)/30</f>
        <v>#VALUE!</v>
      </c>
      <c r="JJ59" s="962" t="e">
        <f>[1]!qsn([1]!ml([1]!taqsha(1,1,[1]!roz(JJ56+1,0,0,0),JJ57)),JJ58)/30</f>
        <v>#VALUE!</v>
      </c>
      <c r="JK59" s="962" t="e">
        <f>[1]!qsn([1]!ml([1]!taqsha(1,1,[1]!roz(JK56+1,0,0,0),JK57)),JK58)/30</f>
        <v>#VALUE!</v>
      </c>
      <c r="JL59" s="962" t="e">
        <f>[1]!qsn([1]!ml([1]!taqsha(1,1,[1]!roz(JL56+1,0,0,0),JL57)),JL58)/30</f>
        <v>#VALUE!</v>
      </c>
      <c r="JM59" s="962" t="e">
        <f>[1]!qsn([1]!ml([1]!taqsha(1,1,[1]!roz(JM56+1,0,0,0),JM57)),JM58)/30</f>
        <v>#VALUE!</v>
      </c>
      <c r="JN59" s="962" t="e">
        <f>[1]!qsn([1]!ml([1]!taqsha(1,1,[1]!roz(JN56+1,0,0,0),JN57)),JN58)/30</f>
        <v>#VALUE!</v>
      </c>
      <c r="JO59" s="962" t="e">
        <f>[1]!qsn([1]!ml([1]!taqsha(1,1,[1]!roz(JO56+1,0,0,0),JO57)),JO58)/30</f>
        <v>#VALUE!</v>
      </c>
      <c r="JP59" s="962" t="e">
        <f>[1]!qsn([1]!ml([1]!taqsha(1,1,[1]!roz(JP56+1,0,0,0),JP57)),JP58)/30</f>
        <v>#VALUE!</v>
      </c>
      <c r="JQ59" s="962" t="e">
        <f>[1]!qsn([1]!ml([1]!taqsha(1,1,[1]!roz(JQ56+1,0,0,0),JQ57)),JQ58)/30</f>
        <v>#VALUE!</v>
      </c>
      <c r="JR59" s="962" t="e">
        <f>[1]!qsn([1]!ml([1]!taqsha(1,1,[1]!roz(JR56+1,0,0,0),JR57)),JR58)/30</f>
        <v>#VALUE!</v>
      </c>
      <c r="JS59" s="962" t="e">
        <f>[1]!qsn([1]!ml([1]!taqsha(1,1,[1]!roz(JS56+1,0,0,0),JS57)),JS58)/30</f>
        <v>#VALUE!</v>
      </c>
      <c r="JT59" s="962" t="e">
        <f>[1]!qsn([1]!ml([1]!taqsha(1,1,[1]!roz(JT56+1,0,0,0),JT57)),JT58)/30</f>
        <v>#VALUE!</v>
      </c>
      <c r="JU59" s="962" t="e">
        <f>[1]!qsn([1]!ml([1]!taqsha(1,1,[1]!roz(JU56+1,0,0,0),JU57)),JU58)/30</f>
        <v>#VALUE!</v>
      </c>
      <c r="JV59" s="962" t="e">
        <f>[1]!qsn([1]!ml([1]!taqsha(1,1,[1]!roz(JV56+1,0,0,0),JV57)),JV58)/30</f>
        <v>#VALUE!</v>
      </c>
      <c r="JW59" s="962" t="e">
        <f>[1]!qsn([1]!ml([1]!taqsha(1,1,[1]!roz(JW56+1,0,0,0),JW57)),JW58)/30</f>
        <v>#VALUE!</v>
      </c>
      <c r="JX59" s="962" t="e">
        <f>[1]!qsn([1]!ml([1]!taqsha(1,1,[1]!roz(JX56+1,0,0,0),JX57)),JX58)/30</f>
        <v>#VALUE!</v>
      </c>
      <c r="JY59" s="962" t="e">
        <f>[1]!qsn([1]!ml([1]!taqsha(1,1,[1]!roz(JY56+1,0,0,0),JY57)),JY58)/30</f>
        <v>#VALUE!</v>
      </c>
      <c r="JZ59" s="962" t="e">
        <f>[1]!qsn([1]!ml([1]!taqsha(1,1,[1]!roz(JZ56+1,0,0,0),JZ57)),JZ58)/30</f>
        <v>#VALUE!</v>
      </c>
      <c r="KA59" s="962" t="e">
        <f>[1]!qsn([1]!ml([1]!taqsha(1,1,[1]!roz(KA56+1,0,0,0),KA57)),KA58)/30</f>
        <v>#VALUE!</v>
      </c>
      <c r="KB59" s="962" t="e">
        <f>[1]!qsn([1]!ml([1]!taqsha(1,1,[1]!roz(KB56+1,0,0,0),KB57)),KB58)/30</f>
        <v>#VALUE!</v>
      </c>
      <c r="KC59" s="962" t="e">
        <f>[1]!qsn([1]!ml([1]!taqsha(1,1,[1]!roz(KC56+1,0,0,0),KC57)),KC58)/30</f>
        <v>#VALUE!</v>
      </c>
      <c r="KD59" s="962" t="e">
        <f>[1]!qsn([1]!ml([1]!taqsha(1,1,[1]!roz(KD56+1,0,0,0),KD57)),KD58)/30</f>
        <v>#VALUE!</v>
      </c>
      <c r="KE59" s="962" t="e">
        <f>[1]!qsn([1]!ml([1]!taqsha(1,1,[1]!roz(KE56+1,0,0,0),KE57)),KE58)/30</f>
        <v>#VALUE!</v>
      </c>
      <c r="KF59" s="962" t="e">
        <f>[1]!qsn([1]!ml([1]!taqsha(1,1,[1]!roz(KF56+1,0,0,0),KF57)),KF58)/30</f>
        <v>#VALUE!</v>
      </c>
      <c r="KG59" s="962" t="e">
        <f>[1]!qsn([1]!ml([1]!taqsha(1,1,[1]!roz(KG56+1,0,0,0),KG57)),KG58)/30</f>
        <v>#VALUE!</v>
      </c>
      <c r="KH59" s="962" t="e">
        <f>[1]!qsn([1]!ml([1]!taqsha(1,1,[1]!roz(KH56+1,0,0,0),KH57)),KH58)/30</f>
        <v>#VALUE!</v>
      </c>
      <c r="KI59" s="962" t="e">
        <f>[1]!qsn([1]!ml([1]!taqsha(1,1,[1]!roz(KI56+1,0,0,0),KI57)),KI58)/30</f>
        <v>#VALUE!</v>
      </c>
      <c r="KJ59" s="962" t="e">
        <f>[1]!qsn([1]!ml([1]!taqsha(1,1,[1]!roz(KJ56+1,0,0,0),KJ57)),KJ58)/30</f>
        <v>#VALUE!</v>
      </c>
      <c r="KK59" s="962" t="e">
        <f>[1]!qsn([1]!ml([1]!taqsha(1,1,[1]!roz(KK56+1,0,0,0),KK57)),KK58)/30</f>
        <v>#VALUE!</v>
      </c>
      <c r="KL59" s="962" t="e">
        <f>[1]!qsn([1]!ml([1]!taqsha(1,1,[1]!roz(KL56+1,0,0,0),KL57)),KL58)/30</f>
        <v>#VALUE!</v>
      </c>
      <c r="KM59" s="962" t="e">
        <f>[1]!qsn([1]!ml([1]!taqsha(1,1,[1]!roz(KM56+1,0,0,0),KM57)),KM58)/30</f>
        <v>#VALUE!</v>
      </c>
      <c r="KN59" s="962" t="e">
        <f>[1]!qsn([1]!ml([1]!taqsha(1,1,[1]!roz(KN56+1,0,0,0),KN57)),KN58)/30</f>
        <v>#VALUE!</v>
      </c>
      <c r="KO59" s="962" t="e">
        <f>[1]!qsn([1]!ml([1]!taqsha(1,1,[1]!roz(KO56+1,0,0,0),KO57)),KO58)/30</f>
        <v>#VALUE!</v>
      </c>
      <c r="KP59" s="962" t="e">
        <f>[1]!qsn([1]!ml([1]!taqsha(1,1,[1]!roz(KP56+1,0,0,0),KP57)),KP58)/30</f>
        <v>#VALUE!</v>
      </c>
      <c r="KQ59" s="962" t="e">
        <f>[1]!qsn([1]!ml([1]!taqsha(1,1,[1]!roz(KQ56+1,0,0,0),KQ57)),KQ58)/30</f>
        <v>#VALUE!</v>
      </c>
      <c r="KR59" s="962" t="e">
        <f>[1]!qsn([1]!ml([1]!taqsha(1,1,[1]!roz(KR56+1,0,0,0),KR57)),KR58)/30</f>
        <v>#VALUE!</v>
      </c>
      <c r="KS59" s="962" t="e">
        <f>[1]!qsn([1]!ml([1]!taqsha(1,1,[1]!roz(KS56+1,0,0,0),KS57)),KS58)/30</f>
        <v>#VALUE!</v>
      </c>
      <c r="KT59" s="962" t="e">
        <f>[1]!qsn([1]!ml([1]!taqsha(1,1,[1]!roz(KT56+1,0,0,0),KT57)),KT58)/30</f>
        <v>#VALUE!</v>
      </c>
      <c r="KU59" s="962" t="e">
        <f>[1]!qsn([1]!ml([1]!taqsha(1,1,[1]!roz(KU56+1,0,0,0),KU57)),KU58)/30</f>
        <v>#VALUE!</v>
      </c>
      <c r="KV59" s="962" t="e">
        <f>[1]!qsn([1]!ml([1]!taqsha(1,1,[1]!roz(KV56+1,0,0,0),KV57)),KV58)/30</f>
        <v>#VALUE!</v>
      </c>
      <c r="KW59" s="962" t="e">
        <f>[1]!qsn([1]!ml([1]!taqsha(1,1,[1]!roz(KW56+1,0,0,0),KW57)),KW58)/30</f>
        <v>#VALUE!</v>
      </c>
      <c r="KX59" s="962" t="e">
        <f>[1]!qsn([1]!ml([1]!taqsha(1,1,[1]!roz(KX56+1,0,0,0),KX57)),KX58)/30</f>
        <v>#VALUE!</v>
      </c>
      <c r="KY59" s="962" t="e">
        <f>[1]!qsn([1]!ml([1]!taqsha(1,1,[1]!roz(KY56+1,0,0,0),KY57)),KY58)/30</f>
        <v>#VALUE!</v>
      </c>
      <c r="KZ59" s="962" t="e">
        <f>[1]!qsn([1]!ml([1]!taqsha(1,1,[1]!roz(KZ56+1,0,0,0),KZ57)),KZ58)/30</f>
        <v>#VALUE!</v>
      </c>
      <c r="LA59" s="962" t="e">
        <f>[1]!qsn([1]!ml([1]!taqsha(1,1,[1]!roz(LA56+1,0,0,0),LA57)),LA58)/30</f>
        <v>#VALUE!</v>
      </c>
      <c r="LB59" s="962" t="e">
        <f>[1]!qsn([1]!ml([1]!taqsha(1,1,[1]!roz(LB56+1,0,0,0),LB57)),LB58)/30</f>
        <v>#VALUE!</v>
      </c>
      <c r="LC59" s="962" t="e">
        <f>[1]!qsn([1]!ml([1]!taqsha(1,1,[1]!roz(LC56+1,0,0,0),LC57)),LC58)/30</f>
        <v>#VALUE!</v>
      </c>
      <c r="LD59" s="962" t="e">
        <f>[1]!qsn([1]!ml([1]!taqsha(1,1,[1]!roz(LD56+1,0,0,0),LD57)),LD58)/30</f>
        <v>#VALUE!</v>
      </c>
      <c r="LE59" s="962" t="e">
        <f>[1]!qsn([1]!ml([1]!taqsha(1,1,[1]!roz(LE56+1,0,0,0),LE57)),LE58)/30</f>
        <v>#VALUE!</v>
      </c>
      <c r="LF59" s="962" t="e">
        <f>[1]!qsn([1]!ml([1]!taqsha(1,1,[1]!roz(LF56+1,0,0,0),LF57)),LF58)/30</f>
        <v>#VALUE!</v>
      </c>
      <c r="LG59" s="962" t="e">
        <f>[1]!qsn([1]!ml([1]!taqsha(1,1,[1]!roz(LG56+1,0,0,0),LG57)),LG58)/30</f>
        <v>#VALUE!</v>
      </c>
      <c r="LH59" s="962" t="e">
        <f>[1]!qsn([1]!ml([1]!taqsha(1,1,[1]!roz(LH56+1,0,0,0),LH57)),LH58)/30</f>
        <v>#VALUE!</v>
      </c>
      <c r="LI59" s="962" t="e">
        <f>[1]!qsn([1]!ml([1]!taqsha(1,1,[1]!roz(LI56+1,0,0,0),LI57)),LI58)/30</f>
        <v>#VALUE!</v>
      </c>
      <c r="LJ59" s="962" t="e">
        <f>[1]!qsn([1]!ml([1]!taqsha(1,1,[1]!roz(LJ56+1,0,0,0),LJ57)),LJ58)/30</f>
        <v>#VALUE!</v>
      </c>
      <c r="LK59" s="962" t="e">
        <f>[1]!qsn([1]!ml([1]!taqsha(1,1,[1]!roz(LK56+1,0,0,0),LK57)),LK58)/30</f>
        <v>#VALUE!</v>
      </c>
      <c r="LL59" s="962" t="e">
        <f>[1]!qsn([1]!ml([1]!taqsha(1,1,[1]!roz(LL56+1,0,0,0),LL57)),LL58)/30</f>
        <v>#VALUE!</v>
      </c>
      <c r="LM59" s="962" t="e">
        <f>[1]!qsn([1]!ml([1]!taqsha(1,1,[1]!roz(LM56+1,0,0,0),LM57)),LM58)/30</f>
        <v>#VALUE!</v>
      </c>
      <c r="LN59" s="962" t="e">
        <f>[1]!qsn([1]!ml([1]!taqsha(1,1,[1]!roz(LN56+1,0,0,0),LN57)),LN58)/30</f>
        <v>#VALUE!</v>
      </c>
      <c r="LO59" s="962" t="e">
        <f>[1]!qsn([1]!ml([1]!taqsha(1,1,[1]!roz(LO56+1,0,0,0),LO57)),LO58)/30</f>
        <v>#VALUE!</v>
      </c>
      <c r="LP59" s="962" t="e">
        <f>[1]!qsn([1]!ml([1]!taqsha(1,1,[1]!roz(LP56+1,0,0,0),LP57)),LP58)/30</f>
        <v>#VALUE!</v>
      </c>
      <c r="LQ59" s="962" t="e">
        <f>[1]!qsn([1]!ml([1]!taqsha(1,1,[1]!roz(LQ56+1,0,0,0),LQ57)),LQ58)/30</f>
        <v>#VALUE!</v>
      </c>
      <c r="LR59" s="962" t="e">
        <f>[1]!qsn([1]!ml([1]!taqsha(1,1,[1]!roz(LR56+1,0,0,0),LR57)),LR58)/30</f>
        <v>#VALUE!</v>
      </c>
      <c r="LS59" s="962" t="e">
        <f>[1]!qsn([1]!ml([1]!taqsha(1,1,[1]!roz(LS56+1,0,0,0),LS57)),LS58)/30</f>
        <v>#VALUE!</v>
      </c>
      <c r="LT59" s="962" t="e">
        <f>[1]!qsn([1]!ml([1]!taqsha(1,1,[1]!roz(LT56+1,0,0,0),LT57)),LT58)/30</f>
        <v>#VALUE!</v>
      </c>
      <c r="LU59" s="962" t="e">
        <f>[1]!qsn([1]!ml([1]!taqsha(1,1,[1]!roz(LU56+1,0,0,0),LU57)),LU58)/30</f>
        <v>#VALUE!</v>
      </c>
      <c r="LV59" s="962" t="e">
        <f>[1]!qsn([1]!ml([1]!taqsha(1,1,[1]!roz(LV56+1,0,0,0),LV57)),LV58)/30</f>
        <v>#VALUE!</v>
      </c>
      <c r="LW59" s="962" t="e">
        <f>[1]!qsn([1]!ml([1]!taqsha(1,1,[1]!roz(LW56+1,0,0,0),LW57)),LW58)/30</f>
        <v>#VALUE!</v>
      </c>
      <c r="LX59" s="962" t="e">
        <f>[1]!qsn([1]!ml([1]!taqsha(1,1,[1]!roz(LX56+1,0,0,0),LX57)),LX58)/30</f>
        <v>#VALUE!</v>
      </c>
      <c r="LY59" s="962" t="e">
        <f>[1]!qsn([1]!ml([1]!taqsha(1,1,[1]!roz(LY56+1,0,0,0),LY57)),LY58)/30</f>
        <v>#VALUE!</v>
      </c>
      <c r="LZ59" s="962" t="e">
        <f>[1]!qsn([1]!ml([1]!taqsha(1,1,[1]!roz(LZ56+1,0,0,0),LZ57)),LZ58)/30</f>
        <v>#VALUE!</v>
      </c>
      <c r="MA59" s="962" t="e">
        <f>[1]!qsn([1]!ml([1]!taqsha(1,1,[1]!roz(MA56+1,0,0,0),MA57)),MA58)/30</f>
        <v>#VALUE!</v>
      </c>
      <c r="MB59" s="962" t="e">
        <f>[1]!qsn([1]!ml([1]!taqsha(1,1,[1]!roz(MB56+1,0,0,0),MB57)),MB58)/30</f>
        <v>#VALUE!</v>
      </c>
      <c r="MC59" s="962" t="e">
        <f>[1]!qsn([1]!ml([1]!taqsha(1,1,[1]!roz(MC56+1,0,0,0),MC57)),MC58)/30</f>
        <v>#VALUE!</v>
      </c>
      <c r="MD59" s="962" t="e">
        <f>[1]!qsn([1]!ml([1]!taqsha(1,1,[1]!roz(MD56+1,0,0,0),MD57)),MD58)/30</f>
        <v>#VALUE!</v>
      </c>
      <c r="ME59" s="962" t="e">
        <f>[1]!qsn([1]!ml([1]!taqsha(1,1,[1]!roz(ME56+1,0,0,0),ME57)),ME58)/30</f>
        <v>#VALUE!</v>
      </c>
      <c r="MF59" s="962" t="e">
        <f>[1]!qsn([1]!ml([1]!taqsha(1,1,[1]!roz(MF56+1,0,0,0),MF57)),MF58)/30</f>
        <v>#VALUE!</v>
      </c>
      <c r="MG59" s="962" t="e">
        <f>[1]!qsn([1]!ml([1]!taqsha(1,1,[1]!roz(MG56+1,0,0,0),MG57)),MG58)/30</f>
        <v>#VALUE!</v>
      </c>
      <c r="MH59" s="962" t="e">
        <f>[1]!qsn([1]!ml([1]!taqsha(1,1,[1]!roz(MH56+1,0,0,0),MH57)),MH58)/30</f>
        <v>#VALUE!</v>
      </c>
      <c r="MI59" s="962" t="e">
        <f>[1]!qsn([1]!ml([1]!taqsha(1,1,[1]!roz(MI56+1,0,0,0),MI57)),MI58)/30</f>
        <v>#VALUE!</v>
      </c>
      <c r="MJ59" s="962" t="e">
        <f>[1]!qsn([1]!ml([1]!taqsha(1,1,[1]!roz(MJ56+1,0,0,0),MJ57)),MJ58)/30</f>
        <v>#VALUE!</v>
      </c>
      <c r="MK59" s="962" t="e">
        <f>[1]!qsn([1]!ml([1]!taqsha(1,1,[1]!roz(MK56+1,0,0,0),MK57)),MK58)/30</f>
        <v>#VALUE!</v>
      </c>
      <c r="ML59" s="962" t="e">
        <f>[1]!qsn([1]!ml([1]!taqsha(1,1,[1]!roz(ML56+1,0,0,0),ML57)),ML58)/30</f>
        <v>#VALUE!</v>
      </c>
      <c r="MM59" s="962" t="e">
        <f>[1]!qsn([1]!ml([1]!taqsha(1,1,[1]!roz(MM56+1,0,0,0),MM57)),MM58)/30</f>
        <v>#VALUE!</v>
      </c>
      <c r="MN59" s="962" t="e">
        <f>[1]!qsn([1]!ml([1]!taqsha(1,1,[1]!roz(MN56+1,0,0,0),MN57)),MN58)/30</f>
        <v>#VALUE!</v>
      </c>
      <c r="MO59" s="962" t="e">
        <f>[1]!qsn([1]!ml([1]!taqsha(1,1,[1]!roz(MO56+1,0,0,0),MO57)),MO58)/30</f>
        <v>#VALUE!</v>
      </c>
      <c r="MP59" s="962" t="e">
        <f>[1]!qsn([1]!ml([1]!taqsha(1,1,[1]!roz(MP56+1,0,0,0),MP57)),MP58)/30</f>
        <v>#VALUE!</v>
      </c>
      <c r="MQ59" s="962" t="e">
        <f>[1]!qsn([1]!ml([1]!taqsha(1,1,[1]!roz(MQ56+1,0,0,0),MQ57)),MQ58)/30</f>
        <v>#VALUE!</v>
      </c>
      <c r="MR59" s="962" t="e">
        <f>[1]!qsn([1]!ml([1]!taqsha(1,1,[1]!roz(MR56+1,0,0,0),MR57)),MR58)/30</f>
        <v>#VALUE!</v>
      </c>
      <c r="MS59" s="962" t="e">
        <f>[1]!qsn([1]!ml([1]!taqsha(1,1,[1]!roz(MS56+1,0,0,0),MS57)),MS58)/30</f>
        <v>#VALUE!</v>
      </c>
      <c r="MT59" s="962" t="e">
        <f>[1]!qsn([1]!ml([1]!taqsha(1,1,[1]!roz(MT56+1,0,0,0),MT57)),MT58)/30</f>
        <v>#VALUE!</v>
      </c>
      <c r="MU59" s="962" t="e">
        <f>[1]!qsn([1]!ml([1]!taqsha(1,1,[1]!roz(MU56+1,0,0,0),MU57)),MU58)/30</f>
        <v>#VALUE!</v>
      </c>
      <c r="MV59" s="962" t="e">
        <f>[1]!qsn([1]!ml([1]!taqsha(1,1,[1]!roz(MV56+1,0,0,0),MV57)),MV58)/30</f>
        <v>#VALUE!</v>
      </c>
      <c r="MW59" s="962" t="e">
        <f>[1]!qsn([1]!ml([1]!taqsha(1,1,[1]!roz(MW56+1,0,0,0),MW57)),MW58)/30</f>
        <v>#VALUE!</v>
      </c>
      <c r="MX59" s="962" t="e">
        <f>[1]!qsn([1]!ml([1]!taqsha(1,1,[1]!roz(MX56+1,0,0,0),MX57)),MX58)/30</f>
        <v>#VALUE!</v>
      </c>
      <c r="MY59" s="962" t="e">
        <f>[1]!qsn([1]!ml([1]!taqsha(1,1,[1]!roz(MY56+1,0,0,0),MY57)),MY58)/30</f>
        <v>#VALUE!</v>
      </c>
      <c r="MZ59" s="962" t="e">
        <f>[1]!qsn([1]!ml([1]!taqsha(1,1,[1]!roz(MZ56+1,0,0,0),MZ57)),MZ58)/30</f>
        <v>#VALUE!</v>
      </c>
      <c r="NA59" s="962" t="e">
        <f>[1]!qsn([1]!ml([1]!taqsha(1,1,[1]!roz(NA56+1,0,0,0),NA57)),NA58)/30</f>
        <v>#VALUE!</v>
      </c>
      <c r="NB59" s="962" t="e">
        <f>[1]!qsn([1]!ml([1]!taqsha(1,1,[1]!roz(NB56+1,0,0,0),NB57)),NB58)/30</f>
        <v>#VALUE!</v>
      </c>
      <c r="NC59" s="962" t="e">
        <f>[1]!qsn([1]!ml([1]!taqsha(1,1,[1]!roz(NC56+1,0,0,0),NC57)),NC58)/30</f>
        <v>#VALUE!</v>
      </c>
      <c r="ND59" s="962" t="e">
        <f>[1]!qsn([1]!ml([1]!taqsha(1,1,[1]!roz(ND56+1,0,0,0),ND57)),ND58)/30</f>
        <v>#VALUE!</v>
      </c>
      <c r="NE59" s="962" t="e">
        <f>[1]!qsn([1]!ml([1]!taqsha(1,1,[1]!roz(NE56+1,0,0,0),NE57)),NE58)/30</f>
        <v>#VALUE!</v>
      </c>
      <c r="NF59" s="962" t="e">
        <f>[1]!qsn([1]!ml([1]!taqsha(1,1,[1]!roz(NF56+1,0,0,0),NF57)),NF58)/30</f>
        <v>#VALUE!</v>
      </c>
      <c r="NG59" s="962" t="e">
        <f>[1]!qsn([1]!ml([1]!taqsha(1,1,[1]!roz(NG56+1,0,0,0),NG57)),NG58)/30</f>
        <v>#VALUE!</v>
      </c>
      <c r="NH59" s="962" t="e">
        <f>[1]!qsn([1]!ml([1]!taqsha(1,1,[1]!roz(NH56+1,0,0,0),NH57)),NH58)/30</f>
        <v>#VALUE!</v>
      </c>
      <c r="NI59" s="962" t="e">
        <f>[1]!qsn([1]!ml([1]!taqsha(1,1,[1]!roz(NI56+1,0,0,0),NI57)),NI58)/30</f>
        <v>#VALUE!</v>
      </c>
      <c r="NJ59" s="962" t="e">
        <f>[1]!qsn([1]!ml([1]!taqsha(1,1,[1]!roz(NJ56+1,0,0,0),NJ57)),NJ58)/30</f>
        <v>#VALUE!</v>
      </c>
      <c r="NK59" s="962" t="e">
        <f>[1]!qsn([1]!ml([1]!taqsha(1,1,[1]!roz(NK56+1,0,0,0),NK57)),NK58)/30</f>
        <v>#VALUE!</v>
      </c>
      <c r="NL59" s="962" t="e">
        <f>[1]!qsn([1]!ml([1]!taqsha(1,1,[1]!roz(NL56+1,0,0,0),NL57)),NL58)/30</f>
        <v>#VALUE!</v>
      </c>
      <c r="NM59" s="962" t="e">
        <f>[1]!qsn([1]!ml([1]!taqsha(1,1,[1]!roz(NM56+1,0,0,0),NM57)),NM58)/30</f>
        <v>#VALUE!</v>
      </c>
      <c r="NN59" s="962" t="e">
        <f>[1]!qsn([1]!ml([1]!taqsha(1,1,[1]!roz(NN56+1,0,0,0),NN57)),NN58)/30</f>
        <v>#VALUE!</v>
      </c>
      <c r="NO59" s="962" t="e">
        <f>[1]!qsn([1]!ml([1]!taqsha(1,1,[1]!roz(NO56+1,0,0,0),NO57)),NO58)/30</f>
        <v>#VALUE!</v>
      </c>
      <c r="NP59" s="962" t="e">
        <f>[1]!qsn([1]!ml([1]!taqsha(1,1,[1]!roz(NP56+1,0,0,0),NP57)),NP58)/30</f>
        <v>#VALUE!</v>
      </c>
      <c r="NQ59" s="962" t="e">
        <f>[1]!qsn([1]!ml([1]!taqsha(1,1,[1]!roz(NQ56+1,0,0,0),NQ57)),NQ58)/30</f>
        <v>#VALUE!</v>
      </c>
      <c r="NR59" s="962" t="e">
        <f>[1]!qsn([1]!ml([1]!taqsha(1,1,[1]!roz(NR56+1,0,0,0),NR57)),NR58)/30</f>
        <v>#VALUE!</v>
      </c>
      <c r="NS59" s="962" t="e">
        <f>[1]!qsn([1]!ml([1]!taqsha(1,1,[1]!roz(NS56+1,0,0,0),NS57)),NS58)/30</f>
        <v>#VALUE!</v>
      </c>
      <c r="NT59" s="962" t="e">
        <f>[1]!qsn([1]!ml([1]!taqsha(1,1,[1]!roz(NT56+1,0,0,0),NT57)),NT58)/30</f>
        <v>#VALUE!</v>
      </c>
      <c r="NU59" s="962" t="e">
        <f>[1]!qsn([1]!ml([1]!taqsha(1,1,[1]!roz(NU56+1,0,0,0),NU57)),NU58)/30</f>
        <v>#VALUE!</v>
      </c>
      <c r="NV59" s="962" t="e">
        <f>[1]!qsn([1]!ml([1]!taqsha(1,1,[1]!roz(NV56+1,0,0,0),NV57)),NV58)/30</f>
        <v>#VALUE!</v>
      </c>
      <c r="NW59" s="962" t="e">
        <f>[1]!qsn([1]!ml([1]!taqsha(1,1,[1]!roz(NW56+1,0,0,0),NW57)),NW58)/30</f>
        <v>#VALUE!</v>
      </c>
      <c r="NX59" s="962" t="e">
        <f>[1]!qsn([1]!ml([1]!taqsha(1,1,[1]!roz(NX56+1,0,0,0),NX57)),NX58)/30</f>
        <v>#VALUE!</v>
      </c>
      <c r="NY59" s="962" t="e">
        <f>[1]!qsn([1]!ml([1]!taqsha(1,1,[1]!roz(NY56+1,0,0,0),NY57)),NY58)/30</f>
        <v>#VALUE!</v>
      </c>
      <c r="NZ59" s="962" t="e">
        <f>[1]!qsn([1]!ml([1]!taqsha(1,1,[1]!roz(NZ56+1,0,0,0),NZ57)),NZ58)/30</f>
        <v>#VALUE!</v>
      </c>
      <c r="OA59" s="962" t="e">
        <f>[1]!qsn([1]!ml([1]!taqsha(1,1,[1]!roz(OA56+1,0,0,0),OA57)),OA58)/30</f>
        <v>#VALUE!</v>
      </c>
      <c r="OB59" s="962" t="e">
        <f>[1]!qsn([1]!ml([1]!taqsha(1,1,[1]!roz(OB56+1,0,0,0),OB57)),OB58)/30</f>
        <v>#VALUE!</v>
      </c>
      <c r="OC59" s="962" t="e">
        <f>[1]!qsn([1]!ml([1]!taqsha(1,1,[1]!roz(OC56+1,0,0,0),OC57)),OC58)/30</f>
        <v>#VALUE!</v>
      </c>
      <c r="OD59" s="962" t="e">
        <f>[1]!qsn([1]!ml([1]!taqsha(1,1,[1]!roz(OD56+1,0,0,0),OD57)),OD58)/30</f>
        <v>#VALUE!</v>
      </c>
      <c r="OE59" s="962" t="e">
        <f>[1]!qsn([1]!ml([1]!taqsha(1,1,[1]!roz(OE56+1,0,0,0),OE57)),OE58)/30</f>
        <v>#VALUE!</v>
      </c>
      <c r="OF59" s="962" t="e">
        <f>[1]!qsn([1]!ml([1]!taqsha(1,1,[1]!roz(OF56+1,0,0,0),OF57)),OF58)/30</f>
        <v>#VALUE!</v>
      </c>
      <c r="OG59" s="962" t="e">
        <f>[1]!qsn([1]!ml([1]!taqsha(1,1,[1]!roz(OG56+1,0,0,0),OG57)),OG58)/30</f>
        <v>#VALUE!</v>
      </c>
      <c r="OH59" s="962" t="e">
        <f>[1]!qsn([1]!ml([1]!taqsha(1,1,[1]!roz(OH56+1,0,0,0),OH57)),OH58)/30</f>
        <v>#VALUE!</v>
      </c>
      <c r="OI59" s="962" t="e">
        <f>[1]!qsn([1]!ml([1]!taqsha(1,1,[1]!roz(OI56+1,0,0,0),OI57)),OI58)/30</f>
        <v>#VALUE!</v>
      </c>
      <c r="OJ59" s="962" t="e">
        <f>[1]!qsn([1]!ml([1]!taqsha(1,1,[1]!roz(OJ56+1,0,0,0),OJ57)),OJ58)/30</f>
        <v>#VALUE!</v>
      </c>
      <c r="OK59" s="962" t="e">
        <f>[1]!qsn([1]!ml([1]!taqsha(1,1,[1]!roz(OK56+1,0,0,0),OK57)),OK58)/30</f>
        <v>#VALUE!</v>
      </c>
      <c r="OL59" s="962" t="e">
        <f>[1]!qsn([1]!ml([1]!taqsha(1,1,[1]!roz(OL56+1,0,0,0),OL57)),OL58)/30</f>
        <v>#VALUE!</v>
      </c>
      <c r="OM59" s="962" t="e">
        <f>[1]!qsn([1]!ml([1]!taqsha(1,1,[1]!roz(OM56+1,0,0,0),OM57)),OM58)/30</f>
        <v>#VALUE!</v>
      </c>
      <c r="ON59" s="962" t="e">
        <f>[1]!qsn([1]!ml([1]!taqsha(1,1,[1]!roz(ON56+1,0,0,0),ON57)),ON58)/30</f>
        <v>#VALUE!</v>
      </c>
      <c r="OO59" s="962" t="e">
        <f>[1]!qsn([1]!ml([1]!taqsha(1,1,[1]!roz(OO56+1,0,0,0),OO57)),OO58)/30</f>
        <v>#VALUE!</v>
      </c>
      <c r="OP59" s="962" t="e">
        <f>[1]!qsn([1]!ml([1]!taqsha(1,1,[1]!roz(OP56+1,0,0,0),OP57)),OP58)/30</f>
        <v>#VALUE!</v>
      </c>
      <c r="OQ59" s="962" t="e">
        <f>[1]!qsn([1]!ml([1]!taqsha(1,1,[1]!roz(OQ56+1,0,0,0),OQ57)),OQ58)/30</f>
        <v>#VALUE!</v>
      </c>
      <c r="OR59" s="962" t="e">
        <f>[1]!qsn([1]!ml([1]!taqsha(1,1,[1]!roz(OR56+1,0,0,0),OR57)),OR58)/30</f>
        <v>#VALUE!</v>
      </c>
      <c r="OS59" s="962" t="e">
        <f>[1]!qsn([1]!ml([1]!taqsha(1,1,[1]!roz(OS56+1,0,0,0),OS57)),OS58)/30</f>
        <v>#VALUE!</v>
      </c>
      <c r="OT59" s="962" t="e">
        <f>[1]!qsn([1]!ml([1]!taqsha(1,1,[1]!roz(OT56+1,0,0,0),OT57)),OT58)/30</f>
        <v>#VALUE!</v>
      </c>
      <c r="OU59" s="962" t="e">
        <f>[1]!qsn([1]!ml([1]!taqsha(1,1,[1]!roz(OU56+1,0,0,0),OU57)),OU58)/30</f>
        <v>#VALUE!</v>
      </c>
      <c r="OV59" s="962" t="e">
        <f>[1]!qsn([1]!ml([1]!taqsha(1,1,[1]!roz(OV56+1,0,0,0),OV57)),OV58)/30</f>
        <v>#VALUE!</v>
      </c>
      <c r="OW59" s="962" t="e">
        <f>[1]!qsn([1]!ml([1]!taqsha(1,1,[1]!roz(OW56+1,0,0,0),OW57)),OW58)/30</f>
        <v>#VALUE!</v>
      </c>
      <c r="OX59" s="962" t="e">
        <f>[1]!qsn([1]!ml([1]!taqsha(1,1,[1]!roz(OX56+1,0,0,0),OX57)),OX58)/30</f>
        <v>#VALUE!</v>
      </c>
      <c r="OY59" s="962" t="e">
        <f>[1]!qsn([1]!ml([1]!taqsha(1,1,[1]!roz(OY56+1,0,0,0),OY57)),OY58)/30</f>
        <v>#VALUE!</v>
      </c>
      <c r="OZ59" s="962" t="e">
        <f>[1]!qsn([1]!ml([1]!taqsha(1,1,[1]!roz(OZ56+1,0,0,0),OZ57)),OZ58)/30</f>
        <v>#VALUE!</v>
      </c>
      <c r="PA59" s="962" t="e">
        <f>[1]!qsn([1]!ml([1]!taqsha(1,1,[1]!roz(PA56+1,0,0,0),PA57)),PA58)/30</f>
        <v>#VALUE!</v>
      </c>
      <c r="PB59" s="962" t="e">
        <f>[1]!qsn([1]!ml([1]!taqsha(1,1,[1]!roz(PB56+1,0,0,0),PB57)),PB58)/30</f>
        <v>#VALUE!</v>
      </c>
      <c r="PC59" s="962" t="e">
        <f>[1]!qsn([1]!ml([1]!taqsha(1,1,[1]!roz(PC56+1,0,0,0),PC57)),PC58)/30</f>
        <v>#VALUE!</v>
      </c>
      <c r="PD59" s="962" t="e">
        <f>[1]!qsn([1]!ml([1]!taqsha(1,1,[1]!roz(PD56+1,0,0,0),PD57)),PD58)/30</f>
        <v>#VALUE!</v>
      </c>
      <c r="PE59" s="962" t="e">
        <f>[1]!qsn([1]!ml([1]!taqsha(1,1,[1]!roz(PE56+1,0,0,0),PE57)),PE58)/30</f>
        <v>#VALUE!</v>
      </c>
      <c r="PF59" s="962" t="e">
        <f>[1]!qsn([1]!ml([1]!taqsha(1,1,[1]!roz(PF56+1,0,0,0),PF57)),PF58)/30</f>
        <v>#VALUE!</v>
      </c>
      <c r="PG59" s="962" t="e">
        <f>[1]!qsn([1]!ml([1]!taqsha(1,1,[1]!roz(PG56+1,0,0,0),PG57)),PG58)/30</f>
        <v>#VALUE!</v>
      </c>
      <c r="PH59" s="962" t="e">
        <f>[1]!qsn([1]!ml([1]!taqsha(1,1,[1]!roz(PH56+1,0,0,0),PH57)),PH58)/30</f>
        <v>#VALUE!</v>
      </c>
      <c r="PI59" s="962" t="e">
        <f>[1]!qsn([1]!ml([1]!taqsha(1,1,[1]!roz(PI56+1,0,0,0),PI57)),PI58)/30</f>
        <v>#VALUE!</v>
      </c>
      <c r="PJ59" s="962" t="e">
        <f>[1]!qsn([1]!ml([1]!taqsha(1,1,[1]!roz(PJ56+1,0,0,0),PJ57)),PJ58)/30</f>
        <v>#VALUE!</v>
      </c>
      <c r="PK59" s="962" t="e">
        <f>[1]!qsn([1]!ml([1]!taqsha(1,1,[1]!roz(PK56+1,0,0,0),PK57)),PK58)/30</f>
        <v>#VALUE!</v>
      </c>
      <c r="PL59" s="962" t="e">
        <f>[1]!qsn([1]!ml([1]!taqsha(1,1,[1]!roz(PL56+1,0,0,0),PL57)),PL58)/30</f>
        <v>#VALUE!</v>
      </c>
      <c r="PM59" s="962" t="e">
        <f>[1]!qsn([1]!ml([1]!taqsha(1,1,[1]!roz(PM56+1,0,0,0),PM57)),PM58)/30</f>
        <v>#VALUE!</v>
      </c>
      <c r="PN59" s="962" t="e">
        <f>[1]!qsn([1]!ml([1]!taqsha(1,1,[1]!roz(PN56+1,0,0,0),PN57)),PN58)/30</f>
        <v>#VALUE!</v>
      </c>
      <c r="PO59" s="962" t="e">
        <f>[1]!qsn([1]!ml([1]!taqsha(1,1,[1]!roz(PO56+1,0,0,0),PO57)),PO58)/30</f>
        <v>#VALUE!</v>
      </c>
      <c r="PP59" s="962" t="e">
        <f>[1]!qsn([1]!ml([1]!taqsha(1,1,[1]!roz(PP56+1,0,0,0),PP57)),PP58)/30</f>
        <v>#VALUE!</v>
      </c>
      <c r="PQ59" s="962" t="e">
        <f>[1]!qsn([1]!ml([1]!taqsha(1,1,[1]!roz(PQ56+1,0,0,0),PQ57)),PQ58)/30</f>
        <v>#VALUE!</v>
      </c>
      <c r="PR59" s="962" t="e">
        <f>[1]!qsn([1]!ml([1]!taqsha(1,1,[1]!roz(PR56+1,0,0,0),PR57)),PR58)/30</f>
        <v>#VALUE!</v>
      </c>
      <c r="PS59" s="962" t="e">
        <f>[1]!qsn([1]!ml([1]!taqsha(1,1,[1]!roz(PS56+1,0,0,0),PS57)),PS58)/30</f>
        <v>#VALUE!</v>
      </c>
      <c r="PT59" s="962" t="e">
        <f>[1]!qsn([1]!ml([1]!taqsha(1,1,[1]!roz(PT56+1,0,0,0),PT57)),PT58)/30</f>
        <v>#VALUE!</v>
      </c>
      <c r="PU59" s="962" t="e">
        <f>[1]!qsn([1]!ml([1]!taqsha(1,1,[1]!roz(PU56+1,0,0,0),PU57)),PU58)/30</f>
        <v>#VALUE!</v>
      </c>
      <c r="PV59" s="962" t="e">
        <f>[1]!qsn([1]!ml([1]!taqsha(1,1,[1]!roz(PV56+1,0,0,0),PV57)),PV58)/30</f>
        <v>#VALUE!</v>
      </c>
      <c r="PW59" s="962" t="e">
        <f>[1]!qsn([1]!ml([1]!taqsha(1,1,[1]!roz(PW56+1,0,0,0),PW57)),PW58)/30</f>
        <v>#VALUE!</v>
      </c>
      <c r="PX59" s="962" t="e">
        <f>[1]!qsn([1]!ml([1]!taqsha(1,1,[1]!roz(PX56+1,0,0,0),PX57)),PX58)/30</f>
        <v>#VALUE!</v>
      </c>
      <c r="PY59" s="962" t="e">
        <f>[1]!qsn([1]!ml([1]!taqsha(1,1,[1]!roz(PY56+1,0,0,0),PY57)),PY58)/30</f>
        <v>#VALUE!</v>
      </c>
      <c r="PZ59" s="962" t="e">
        <f>[1]!qsn([1]!ml([1]!taqsha(1,1,[1]!roz(PZ56+1,0,0,0),PZ57)),PZ58)/30</f>
        <v>#VALUE!</v>
      </c>
      <c r="QA59" s="962" t="e">
        <f>[1]!qsn([1]!ml([1]!taqsha(1,1,[1]!roz(QA56+1,0,0,0),QA57)),QA58)/30</f>
        <v>#VALUE!</v>
      </c>
      <c r="QB59" s="962" t="e">
        <f>[1]!qsn([1]!ml([1]!taqsha(1,1,[1]!roz(QB56+1,0,0,0),QB57)),QB58)/30</f>
        <v>#VALUE!</v>
      </c>
      <c r="QC59" s="962" t="e">
        <f>[1]!qsn([1]!ml([1]!taqsha(1,1,[1]!roz(QC56+1,0,0,0),QC57)),QC58)/30</f>
        <v>#VALUE!</v>
      </c>
      <c r="QD59" s="962" t="e">
        <f>[1]!qsn([1]!ml([1]!taqsha(1,1,[1]!roz(QD56+1,0,0,0),QD57)),QD58)/30</f>
        <v>#VALUE!</v>
      </c>
      <c r="QE59" s="962" t="e">
        <f>[1]!qsn([1]!ml([1]!taqsha(1,1,[1]!roz(QE56+1,0,0,0),QE57)),QE58)/30</f>
        <v>#VALUE!</v>
      </c>
      <c r="QF59" s="962" t="e">
        <f>[1]!qsn([1]!ml([1]!taqsha(1,1,[1]!roz(QF56+1,0,0,0),QF57)),QF58)/30</f>
        <v>#VALUE!</v>
      </c>
      <c r="QG59" s="962" t="e">
        <f>[1]!qsn([1]!ml([1]!taqsha(1,1,[1]!roz(QG56+1,0,0,0),QG57)),QG58)/30</f>
        <v>#VALUE!</v>
      </c>
      <c r="QH59" s="962" t="e">
        <f>[1]!qsn([1]!ml([1]!taqsha(1,1,[1]!roz(QH56+1,0,0,0),QH57)),QH58)/30</f>
        <v>#VALUE!</v>
      </c>
      <c r="QI59" s="962" t="e">
        <f>[1]!qsn([1]!ml([1]!taqsha(1,1,[1]!roz(QI56+1,0,0,0),QI57)),QI58)/30</f>
        <v>#VALUE!</v>
      </c>
      <c r="QJ59" s="962" t="e">
        <f>[1]!qsn([1]!ml([1]!taqsha(1,1,[1]!roz(QJ56+1,0,0,0),QJ57)),QJ58)/30</f>
        <v>#VALUE!</v>
      </c>
      <c r="QK59" s="962" t="e">
        <f>[1]!qsn([1]!ml([1]!taqsha(1,1,[1]!roz(QK56+1,0,0,0),QK57)),QK58)/30</f>
        <v>#VALUE!</v>
      </c>
      <c r="QL59" s="962" t="e">
        <f>[1]!qsn([1]!ml([1]!taqsha(1,1,[1]!roz(QL56+1,0,0,0),QL57)),QL58)/30</f>
        <v>#VALUE!</v>
      </c>
      <c r="QM59" s="962" t="e">
        <f>[1]!qsn([1]!ml([1]!taqsha(1,1,[1]!roz(QM56+1,0,0,0),QM57)),QM58)/30</f>
        <v>#VALUE!</v>
      </c>
      <c r="QN59" s="962" t="e">
        <f>[1]!qsn([1]!ml([1]!taqsha(1,1,[1]!roz(QN56+1,0,0,0),QN57)),QN58)/30</f>
        <v>#VALUE!</v>
      </c>
      <c r="QO59" s="962" t="e">
        <f>[1]!qsn([1]!ml([1]!taqsha(1,1,[1]!roz(QO56+1,0,0,0),QO57)),QO58)/30</f>
        <v>#VALUE!</v>
      </c>
      <c r="QP59" s="962" t="e">
        <f>[1]!qsn([1]!ml([1]!taqsha(1,1,[1]!roz(QP56+1,0,0,0),QP57)),QP58)/30</f>
        <v>#VALUE!</v>
      </c>
      <c r="QQ59" s="962" t="e">
        <f>[1]!qsn([1]!ml([1]!taqsha(1,1,[1]!roz(QQ56+1,0,0,0),QQ57)),QQ58)/30</f>
        <v>#VALUE!</v>
      </c>
      <c r="QR59" s="962" t="e">
        <f>[1]!qsn([1]!ml([1]!taqsha(1,1,[1]!roz(QR56+1,0,0,0),QR57)),QR58)/30</f>
        <v>#VALUE!</v>
      </c>
      <c r="QS59" s="962" t="e">
        <f>[1]!qsn([1]!ml([1]!taqsha(1,1,[1]!roz(QS56+1,0,0,0),QS57)),QS58)/30</f>
        <v>#VALUE!</v>
      </c>
      <c r="QT59" s="962" t="e">
        <f>[1]!qsn([1]!ml([1]!taqsha(1,1,[1]!roz(QT56+1,0,0,0),QT57)),QT58)/30</f>
        <v>#VALUE!</v>
      </c>
      <c r="QU59" s="962" t="e">
        <f>[1]!qsn([1]!ml([1]!taqsha(1,1,[1]!roz(QU56+1,0,0,0),QU57)),QU58)/30</f>
        <v>#VALUE!</v>
      </c>
      <c r="QV59" s="962" t="e">
        <f>[1]!qsn([1]!ml([1]!taqsha(1,1,[1]!roz(QV56+1,0,0,0),QV57)),QV58)/30</f>
        <v>#VALUE!</v>
      </c>
      <c r="QW59" s="962" t="e">
        <f>[1]!qsn([1]!ml([1]!taqsha(1,1,[1]!roz(QW56+1,0,0,0),QW57)),QW58)/30</f>
        <v>#VALUE!</v>
      </c>
      <c r="QX59" s="962" t="e">
        <f>[1]!qsn([1]!ml([1]!taqsha(1,1,[1]!roz(QX56+1,0,0,0),QX57)),QX58)/30</f>
        <v>#VALUE!</v>
      </c>
      <c r="QY59" s="962" t="e">
        <f>[1]!qsn([1]!ml([1]!taqsha(1,1,[1]!roz(QY56+1,0,0,0),QY57)),QY58)/30</f>
        <v>#VALUE!</v>
      </c>
      <c r="QZ59" s="962" t="e">
        <f>[1]!qsn([1]!ml([1]!taqsha(1,1,[1]!roz(QZ56+1,0,0,0),QZ57)),QZ58)/30</f>
        <v>#VALUE!</v>
      </c>
      <c r="RA59" s="962" t="e">
        <f>[1]!qsn([1]!ml([1]!taqsha(1,1,[1]!roz(RA56+1,0,0,0),RA57)),RA58)/30</f>
        <v>#VALUE!</v>
      </c>
      <c r="RC59" s="797"/>
    </row>
    <row r="60" spans="1:471" ht="17.25">
      <c r="B60" s="2"/>
      <c r="C60" s="2" t="s">
        <v>10</v>
      </c>
      <c r="D60" s="2" t="s">
        <v>3</v>
      </c>
      <c r="E60" s="2" t="s">
        <v>4</v>
      </c>
      <c r="F60" s="2" t="s">
        <v>5</v>
      </c>
      <c r="G60" s="2"/>
      <c r="H60" s="2"/>
      <c r="I60" s="2"/>
      <c r="J60" s="2"/>
      <c r="K60" s="2"/>
      <c r="L60" s="2" t="s">
        <v>1</v>
      </c>
      <c r="M60" s="2" t="s">
        <v>61</v>
      </c>
      <c r="N60" s="2" t="s">
        <v>63</v>
      </c>
      <c r="O60" s="2" t="s">
        <v>3</v>
      </c>
      <c r="P60" s="2"/>
      <c r="Q60" s="2" t="s">
        <v>62</v>
      </c>
      <c r="R60" s="2"/>
      <c r="S60" s="2"/>
      <c r="T60" s="2"/>
      <c r="U60" s="2"/>
      <c r="V60" s="2"/>
      <c r="W60" s="2"/>
      <c r="X60" s="2"/>
      <c r="Y60" s="2"/>
      <c r="Z60" s="2"/>
      <c r="AA60" s="2"/>
      <c r="AB60" s="2"/>
      <c r="AC60" s="2"/>
      <c r="AK60" s="112" t="s">
        <v>378</v>
      </c>
      <c r="AL60" s="701" t="e">
        <f>[1]!taqsha(AL52,AL53,[1]!roz(AL54,AL58,0,0),AL55)</f>
        <v>#VALUE!</v>
      </c>
      <c r="AM60" s="304" t="e">
        <f>[1]!taqsha(AM52,AM53,[1]!roz(AM54,AM58,0,0),AM55)</f>
        <v>#VALUE!</v>
      </c>
      <c r="AN60" s="304" t="e">
        <f>[1]!taqsha(AN52,AN53,[1]!roz(AN54,AN58,0,0),AN55)</f>
        <v>#VALUE!</v>
      </c>
      <c r="AO60" s="304" t="e">
        <f>[1]!taqsha(AO52,AO53,[1]!roz(AO54,AO58,0,0),AO55)</f>
        <v>#VALUE!</v>
      </c>
      <c r="AP60" s="304" t="e">
        <f>[1]!taqsha(AP52,AP53,[1]!roz(AP54,AP58,0,0),AP55)</f>
        <v>#VALUE!</v>
      </c>
      <c r="AQ60" s="304" t="e">
        <f>[1]!taqsha(AQ52,AQ53,[1]!roz(AQ54,AQ58,0,0),AQ55)</f>
        <v>#VALUE!</v>
      </c>
      <c r="AR60" s="304" t="e">
        <f>[1]!taqsha(AR52,AR53,[1]!roz(AR54,AR58,0,0),AR55)</f>
        <v>#VALUE!</v>
      </c>
      <c r="AS60" s="304" t="e">
        <f>[1]!taqsha(AS52,AS53,[1]!roz(AS54,AS58,0,0),AS55)</f>
        <v>#VALUE!</v>
      </c>
      <c r="AT60" s="304" t="e">
        <f>[1]!taqsha(AT52,AT53,[1]!roz(AT54,AT58,0,0),AT55)</f>
        <v>#VALUE!</v>
      </c>
      <c r="AU60" s="304" t="e">
        <f>[1]!taqsha(AU52,AU53,[1]!roz(AU54,AU58,0,0),AU55)</f>
        <v>#VALUE!</v>
      </c>
      <c r="AV60" s="304" t="e">
        <f>[1]!taqsha(AV52,AV53,[1]!roz(AV54,AV58,0,0),AV55)</f>
        <v>#VALUE!</v>
      </c>
      <c r="AW60" s="314" t="e">
        <f>[1]!taqsha(AW52,AW53,[1]!roz(AW54,AW58,0,0),AW55)</f>
        <v>#VALUE!</v>
      </c>
      <c r="AX60" s="314"/>
      <c r="DH60" s="797"/>
      <c r="DI60" s="797" t="s">
        <v>378</v>
      </c>
      <c r="DJ60" s="961" t="e">
        <f>[1]!taqsh(1,1,[1]!roz(DJ56+1,DJ59,0,0),DJ57)</f>
        <v>#VALUE!</v>
      </c>
      <c r="DK60" s="962" t="e">
        <f>[1]!taqsh(1,1,[1]!roz(DK56+1,DK59,0,0),DK57)</f>
        <v>#VALUE!</v>
      </c>
      <c r="DL60" s="962" t="e">
        <f>[1]!taqsh(1,1,[1]!roz(DL56+1,DL59,0,0),DL57)</f>
        <v>#VALUE!</v>
      </c>
      <c r="DM60" s="962" t="e">
        <f>[1]!taqsh(1,1,[1]!roz(DM56+1,DM59,0,0),DM57)</f>
        <v>#VALUE!</v>
      </c>
      <c r="DN60" s="962" t="e">
        <f>[1]!taqsh(1,1,[1]!roz(DN56+1,DN59,0,0),DN57)</f>
        <v>#VALUE!</v>
      </c>
      <c r="DO60" s="962" t="e">
        <f>[1]!taqsh(1,1,[1]!roz(DO56+1,DO59,0,0),DO57)</f>
        <v>#VALUE!</v>
      </c>
      <c r="DP60" s="962" t="e">
        <f>[1]!taqsh(1,1,[1]!roz(DP56+1,DP59,0,0),DP57)</f>
        <v>#VALUE!</v>
      </c>
      <c r="DQ60" s="962" t="e">
        <f>[1]!taqsh(1,1,[1]!roz(DQ56+1,DQ59,0,0),DQ57)</f>
        <v>#VALUE!</v>
      </c>
      <c r="DR60" s="962" t="e">
        <f>[1]!taqsh(1,1,[1]!roz(DR56+1,DR59,0,0),DR57)</f>
        <v>#VALUE!</v>
      </c>
      <c r="DS60" s="962" t="e">
        <f>[1]!taqsh(1,1,[1]!roz(DS56+1,DS59,0,0),DS57)</f>
        <v>#VALUE!</v>
      </c>
      <c r="DT60" s="962" t="e">
        <f>[1]!taqsh(1,1,[1]!roz(DT56+1,DT59,0,0),DT57)</f>
        <v>#VALUE!</v>
      </c>
      <c r="DU60" s="962" t="e">
        <f>[1]!taqsh(1,1,[1]!roz(DU56+1,DU59,0,0),DU57)</f>
        <v>#VALUE!</v>
      </c>
      <c r="DV60" s="962" t="e">
        <f>[1]!taqsh(1,1,[1]!roz(DV56+1,DV59,0,0),DV57)</f>
        <v>#VALUE!</v>
      </c>
      <c r="DW60" s="962" t="e">
        <f>[1]!taqsh(1,1,[1]!roz(DW56+1,DW59,0,0),DW57)</f>
        <v>#VALUE!</v>
      </c>
      <c r="DX60" s="962" t="e">
        <f>[1]!taqsh(1,1,[1]!roz(DX56+1,DX59,0,0),DX57)</f>
        <v>#VALUE!</v>
      </c>
      <c r="DY60" s="962" t="e">
        <f>[1]!taqsh(1,1,[1]!roz(DY56+1,DY59,0,0),DY57)</f>
        <v>#VALUE!</v>
      </c>
      <c r="DZ60" s="962" t="e">
        <f>[1]!taqsh(1,1,[1]!roz(DZ56+1,DZ59,0,0),DZ57)</f>
        <v>#VALUE!</v>
      </c>
      <c r="EA60" s="962" t="e">
        <f>[1]!taqsh(1,1,[1]!roz(EA56+1,EA59,0,0),EA57)</f>
        <v>#VALUE!</v>
      </c>
      <c r="EB60" s="962" t="e">
        <f>[1]!taqsh(1,1,[1]!roz(EB56+1,EB59,0,0),EB57)</f>
        <v>#VALUE!</v>
      </c>
      <c r="EC60" s="962" t="e">
        <f>[1]!taqsh(1,1,[1]!roz(EC56+1,EC59,0,0),EC57)</f>
        <v>#VALUE!</v>
      </c>
      <c r="ED60" s="962" t="e">
        <f>[1]!taqsh(1,1,[1]!roz(ED56+1,ED59,0,0),ED57)</f>
        <v>#VALUE!</v>
      </c>
      <c r="EE60" s="962" t="e">
        <f>[1]!taqsh(1,1,[1]!roz(EE56+1,EE59,0,0),EE57)</f>
        <v>#VALUE!</v>
      </c>
      <c r="EF60" s="962" t="e">
        <f>[1]!taqsh(1,1,[1]!roz(EF56+1,EF59,0,0),EF57)</f>
        <v>#VALUE!</v>
      </c>
      <c r="EG60" s="962" t="e">
        <f>[1]!taqsh(1,1,[1]!roz(EG56+1,EG59,0,0),EG57)</f>
        <v>#VALUE!</v>
      </c>
      <c r="EH60" s="962" t="e">
        <f>[1]!taqsh(1,1,[1]!roz(EH56+1,EH59,0,0),EH57)</f>
        <v>#VALUE!</v>
      </c>
      <c r="EI60" s="962" t="e">
        <f>[1]!taqsh(1,1,[1]!roz(EI56+1,EI59,0,0),EI57)</f>
        <v>#VALUE!</v>
      </c>
      <c r="EJ60" s="962" t="e">
        <f>[1]!taqsh(1,1,[1]!roz(EJ56+1,EJ59,0,0),EJ57)</f>
        <v>#VALUE!</v>
      </c>
      <c r="EK60" s="962" t="e">
        <f>[1]!taqsh(1,1,[1]!roz(EK56+1,EK59,0,0),EK57)</f>
        <v>#VALUE!</v>
      </c>
      <c r="EL60" s="962" t="e">
        <f>[1]!taqsh(1,1,[1]!roz(EL56+1,EL59,0,0),EL57)</f>
        <v>#VALUE!</v>
      </c>
      <c r="EM60" s="962" t="e">
        <f>[1]!taqsh(1,1,[1]!roz(EM56+1,EM59,0,0),EM57)</f>
        <v>#VALUE!</v>
      </c>
      <c r="EN60" s="962" t="e">
        <f>[1]!taqsh(1,1,[1]!roz(EN56+1,EN59,0,0),EN57)</f>
        <v>#VALUE!</v>
      </c>
      <c r="EO60" s="962" t="e">
        <f>[1]!taqsh(1,1,[1]!roz(EO56+1,EO59,0,0),EO57)</f>
        <v>#VALUE!</v>
      </c>
      <c r="EP60" s="962" t="e">
        <f>[1]!taqsh(1,1,[1]!roz(EP56+1,EP59,0,0),EP57)</f>
        <v>#VALUE!</v>
      </c>
      <c r="EQ60" s="962" t="e">
        <f>[1]!taqsh(1,1,[1]!roz(EQ56+1,EQ59,0,0),EQ57)</f>
        <v>#VALUE!</v>
      </c>
      <c r="ER60" s="962" t="e">
        <f>[1]!taqsh(1,1,[1]!roz(ER56+1,ER59,0,0),ER57)</f>
        <v>#VALUE!</v>
      </c>
      <c r="ES60" s="962" t="e">
        <f>[1]!taqsh(1,1,[1]!roz(ES56+1,ES59,0,0),ES57)</f>
        <v>#VALUE!</v>
      </c>
      <c r="ET60" s="962" t="e">
        <f>[1]!taqsh(1,1,[1]!roz(ET56+1,ET59,0,0),ET57)</f>
        <v>#VALUE!</v>
      </c>
      <c r="EU60" s="962" t="e">
        <f>[1]!taqsh(1,1,[1]!roz(EU56+1,EU59,0,0),EU57)</f>
        <v>#VALUE!</v>
      </c>
      <c r="EV60" s="962" t="e">
        <f>[1]!taqsh(1,1,[1]!roz(EV56+1,EV59,0,0),EV57)</f>
        <v>#VALUE!</v>
      </c>
      <c r="EW60" s="962" t="e">
        <f>[1]!taqsh(1,1,[1]!roz(EW56+1,EW59,0,0),EW57)</f>
        <v>#VALUE!</v>
      </c>
      <c r="EX60" s="962" t="e">
        <f>[1]!taqsh(1,1,[1]!roz(EX56+1,EX59,0,0),EX57)</f>
        <v>#VALUE!</v>
      </c>
      <c r="EY60" s="962" t="e">
        <f>[1]!taqsh(1,1,[1]!roz(EY56+1,EY59,0,0),EY57)</f>
        <v>#VALUE!</v>
      </c>
      <c r="EZ60" s="962" t="e">
        <f>[1]!taqsh(1,1,[1]!roz(EZ56+1,EZ59,0,0),EZ57)</f>
        <v>#VALUE!</v>
      </c>
      <c r="FA60" s="962" t="e">
        <f>[1]!taqsh(1,1,[1]!roz(FA56+1,FA59,0,0),FA57)</f>
        <v>#VALUE!</v>
      </c>
      <c r="FB60" s="962" t="e">
        <f>[1]!taqsh(1,1,[1]!roz(FB56+1,FB59,0,0),FB57)</f>
        <v>#VALUE!</v>
      </c>
      <c r="FC60" s="962" t="e">
        <f>[1]!taqsh(1,1,[1]!roz(FC56+1,FC59,0,0),FC57)</f>
        <v>#VALUE!</v>
      </c>
      <c r="FD60" s="962" t="e">
        <f>[1]!taqsh(1,1,[1]!roz(FD56+1,FD59,0,0),FD57)</f>
        <v>#VALUE!</v>
      </c>
      <c r="FE60" s="962" t="e">
        <f>[1]!taqsh(1,1,[1]!roz(FE56+1,FE59,0,0),FE57)</f>
        <v>#VALUE!</v>
      </c>
      <c r="FF60" s="962" t="e">
        <f>[1]!taqsh(1,1,[1]!roz(FF56+1,FF59,0,0),FF57)</f>
        <v>#VALUE!</v>
      </c>
      <c r="FG60" s="962" t="e">
        <f>[1]!taqsh(1,1,[1]!roz(FG56+1,FG59,0,0),FG57)</f>
        <v>#VALUE!</v>
      </c>
      <c r="FH60" s="962" t="e">
        <f>[1]!taqsh(1,1,[1]!roz(FH56+1,FH59,0,0),FH57)</f>
        <v>#VALUE!</v>
      </c>
      <c r="FI60" s="962" t="e">
        <f>[1]!taqsh(1,1,[1]!roz(FI56+1,FI59,0,0),FI57)</f>
        <v>#VALUE!</v>
      </c>
      <c r="FJ60" s="962" t="e">
        <f>[1]!taqsh(1,1,[1]!roz(FJ56+1,FJ59,0,0),FJ57)</f>
        <v>#VALUE!</v>
      </c>
      <c r="FK60" s="962" t="e">
        <f>[1]!taqsh(1,1,[1]!roz(FK56+1,FK59,0,0),FK57)</f>
        <v>#VALUE!</v>
      </c>
      <c r="FL60" s="962" t="e">
        <f>[1]!taqsh(1,1,[1]!roz(FL56+1,FL59,0,0),FL57)</f>
        <v>#VALUE!</v>
      </c>
      <c r="FM60" s="962" t="e">
        <f>[1]!taqsh(1,1,[1]!roz(FM56+1,FM59,0,0),FM57)</f>
        <v>#VALUE!</v>
      </c>
      <c r="FN60" s="962" t="e">
        <f>[1]!taqsh(1,1,[1]!roz(FN56+1,FN59,0,0),FN57)</f>
        <v>#VALUE!</v>
      </c>
      <c r="FO60" s="962" t="e">
        <f>[1]!taqsh(1,1,[1]!roz(FO56+1,FO59,0,0),FO57)</f>
        <v>#VALUE!</v>
      </c>
      <c r="FP60" s="962" t="e">
        <f>[1]!taqsh(1,1,[1]!roz(FP56+1,FP59,0,0),FP57)</f>
        <v>#VALUE!</v>
      </c>
      <c r="FQ60" s="962" t="e">
        <f>[1]!taqsh(1,1,[1]!roz(FQ56+1,FQ59,0,0),FQ57)</f>
        <v>#VALUE!</v>
      </c>
      <c r="FR60" s="962" t="e">
        <f>[1]!taqsh(1,1,[1]!roz(FR56+1,FR59,0,0),FR57)</f>
        <v>#VALUE!</v>
      </c>
      <c r="FS60" s="962" t="e">
        <f>[1]!taqsh(1,1,[1]!roz(FS56+1,FS59,0,0),FS57)</f>
        <v>#VALUE!</v>
      </c>
      <c r="FT60" s="962" t="e">
        <f>[1]!taqsh(1,1,[1]!roz(FT56+1,FT59,0,0),FT57)</f>
        <v>#VALUE!</v>
      </c>
      <c r="FU60" s="962" t="e">
        <f>[1]!taqsh(1,1,[1]!roz(FU56+1,FU59,0,0),FU57)</f>
        <v>#VALUE!</v>
      </c>
      <c r="FV60" s="962" t="e">
        <f>[1]!taqsh(1,1,[1]!roz(FV56+1,FV59,0,0),FV57)</f>
        <v>#VALUE!</v>
      </c>
      <c r="FW60" s="962" t="e">
        <f>[1]!taqsh(1,1,[1]!roz(FW56+1,FW59,0,0),FW57)</f>
        <v>#VALUE!</v>
      </c>
      <c r="FX60" s="962" t="e">
        <f>[1]!taqsh(1,1,[1]!roz(FX56+1,FX59,0,0),FX57)</f>
        <v>#VALUE!</v>
      </c>
      <c r="FY60" s="962" t="e">
        <f>[1]!taqsh(1,1,[1]!roz(FY56+1,FY59,0,0),FY57)</f>
        <v>#VALUE!</v>
      </c>
      <c r="FZ60" s="962" t="e">
        <f>[1]!taqsh(1,1,[1]!roz(FZ56+1,FZ59,0,0),FZ57)</f>
        <v>#VALUE!</v>
      </c>
      <c r="GA60" s="962" t="e">
        <f>[1]!taqsh(1,1,[1]!roz(GA56+1,GA59,0,0),GA57)</f>
        <v>#VALUE!</v>
      </c>
      <c r="GB60" s="962" t="e">
        <f>[1]!taqsh(1,1,[1]!roz(GB56+1,GB59,0,0),GB57)</f>
        <v>#VALUE!</v>
      </c>
      <c r="GC60" s="962" t="e">
        <f>[1]!taqsh(1,1,[1]!roz(GC56+1,GC59,0,0),GC57)</f>
        <v>#VALUE!</v>
      </c>
      <c r="GD60" s="962" t="e">
        <f>[1]!taqsh(1,1,[1]!roz(GD56+1,GD59,0,0),GD57)</f>
        <v>#VALUE!</v>
      </c>
      <c r="GE60" s="962" t="e">
        <f>[1]!taqsh(1,1,[1]!roz(GE56+1,GE59,0,0),GE57)</f>
        <v>#VALUE!</v>
      </c>
      <c r="GF60" s="962" t="e">
        <f>[1]!taqsh(1,1,[1]!roz(GF56+1,GF59,0,0),GF57)</f>
        <v>#VALUE!</v>
      </c>
      <c r="GG60" s="962" t="e">
        <f>[1]!taqsh(1,1,[1]!roz(GG56+1,GG59,0,0),GG57)</f>
        <v>#VALUE!</v>
      </c>
      <c r="GH60" s="962" t="e">
        <f>[1]!taqsh(1,1,[1]!roz(GH56+1,GH59,0,0),GH57)</f>
        <v>#VALUE!</v>
      </c>
      <c r="GI60" s="962" t="e">
        <f>[1]!taqsh(1,1,[1]!roz(GI56+1,GI59,0,0),GI57)</f>
        <v>#VALUE!</v>
      </c>
      <c r="GJ60" s="962" t="e">
        <f>[1]!taqsh(1,1,[1]!roz(GJ56+1,GJ59,0,0),GJ57)</f>
        <v>#VALUE!</v>
      </c>
      <c r="GK60" s="962" t="e">
        <f>[1]!taqsh(1,1,[1]!roz(GK56+1,GK59,0,0),GK57)</f>
        <v>#VALUE!</v>
      </c>
      <c r="GL60" s="962" t="e">
        <f>[1]!taqsh(1,1,[1]!roz(GL56+1,GL59,0,0),GL57)</f>
        <v>#VALUE!</v>
      </c>
      <c r="GM60" s="962" t="e">
        <f>[1]!taqsh(1,1,[1]!roz(GM56+1,GM59,0,0),GM57)</f>
        <v>#VALUE!</v>
      </c>
      <c r="GN60" s="962" t="e">
        <f>[1]!taqsh(1,1,[1]!roz(GN56+1,GN59,0,0),GN57)</f>
        <v>#VALUE!</v>
      </c>
      <c r="GO60" s="962" t="e">
        <f>[1]!taqsh(1,1,[1]!roz(GO56+1,GO59,0,0),GO57)</f>
        <v>#VALUE!</v>
      </c>
      <c r="GP60" s="962" t="e">
        <f>[1]!taqsh(1,1,[1]!roz(GP56+1,GP59,0,0),GP57)</f>
        <v>#VALUE!</v>
      </c>
      <c r="GQ60" s="962" t="e">
        <f>[1]!taqsh(1,1,[1]!roz(GQ56+1,GQ59,0,0),GQ57)</f>
        <v>#VALUE!</v>
      </c>
      <c r="GR60" s="962" t="e">
        <f>[1]!taqsh(1,1,[1]!roz(GR56+1,GR59,0,0),GR57)</f>
        <v>#VALUE!</v>
      </c>
      <c r="GS60" s="962" t="e">
        <f>[1]!taqsh(1,1,[1]!roz(GS56+1,GS59,0,0),GS57)</f>
        <v>#VALUE!</v>
      </c>
      <c r="GT60" s="962" t="e">
        <f>[1]!taqsh(1,1,[1]!roz(GT56+1,GT59,0,0),GT57)</f>
        <v>#VALUE!</v>
      </c>
      <c r="GU60" s="962" t="e">
        <f>[1]!taqsh(1,1,[1]!roz(GU56+1,GU59,0,0),GU57)</f>
        <v>#VALUE!</v>
      </c>
      <c r="GV60" s="962" t="e">
        <f>[1]!taqsh(1,1,[1]!roz(GV56+1,GV59,0,0),GV57)</f>
        <v>#VALUE!</v>
      </c>
      <c r="GW60" s="962" t="e">
        <f>[1]!taqsh(1,1,[1]!roz(GW56+1,GW59,0,0),GW57)</f>
        <v>#VALUE!</v>
      </c>
      <c r="GX60" s="962" t="e">
        <f>[1]!taqsh(1,1,[1]!roz(GX56+1,GX59,0,0),GX57)</f>
        <v>#VALUE!</v>
      </c>
      <c r="GY60" s="962" t="e">
        <f>[1]!taqsh(1,1,[1]!roz(GY56+1,GY59,0,0),GY57)</f>
        <v>#VALUE!</v>
      </c>
      <c r="GZ60" s="962" t="e">
        <f>[1]!taqsh(1,1,[1]!roz(GZ56+1,GZ59,0,0),GZ57)</f>
        <v>#VALUE!</v>
      </c>
      <c r="HA60" s="962" t="e">
        <f>[1]!taqsh(1,1,[1]!roz(HA56+1,HA59,0,0),HA57)</f>
        <v>#VALUE!</v>
      </c>
      <c r="HB60" s="962" t="e">
        <f>[1]!taqsh(1,1,[1]!roz(HB56+1,HB59,0,0),HB57)</f>
        <v>#VALUE!</v>
      </c>
      <c r="HC60" s="962" t="e">
        <f>[1]!taqsh(1,1,[1]!roz(HC56+1,HC59,0,0),HC57)</f>
        <v>#VALUE!</v>
      </c>
      <c r="HD60" s="962" t="e">
        <f>[1]!taqsh(1,1,[1]!roz(HD56+1,HD59,0,0),HD57)</f>
        <v>#VALUE!</v>
      </c>
      <c r="HE60" s="962" t="e">
        <f>[1]!taqsh(1,1,[1]!roz(HE56+1,HE59,0,0),HE57)</f>
        <v>#VALUE!</v>
      </c>
      <c r="HF60" s="962" t="e">
        <f>[1]!taqsh(1,1,[1]!roz(HF56+1,HF59,0,0),HF57)</f>
        <v>#VALUE!</v>
      </c>
      <c r="HG60" s="962" t="e">
        <f>[1]!taqsh(1,1,[1]!roz(HG56+1,HG59,0,0),HG57)</f>
        <v>#VALUE!</v>
      </c>
      <c r="HH60" s="962" t="e">
        <f>[1]!taqsh(1,1,[1]!roz(HH56+1,HH59,0,0),HH57)</f>
        <v>#VALUE!</v>
      </c>
      <c r="HI60" s="962" t="e">
        <f>[1]!taqsh(1,1,[1]!roz(HI56+1,HI59,0,0),HI57)</f>
        <v>#VALUE!</v>
      </c>
      <c r="HJ60" s="962" t="e">
        <f>[1]!taqsh(1,1,[1]!roz(HJ56+1,HJ59,0,0),HJ57)</f>
        <v>#VALUE!</v>
      </c>
      <c r="HK60" s="962" t="e">
        <f>[1]!taqsh(1,1,[1]!roz(HK56+1,HK59,0,0),HK57)</f>
        <v>#VALUE!</v>
      </c>
      <c r="HL60" s="962" t="e">
        <f>[1]!taqsh(1,1,[1]!roz(HL56+1,HL59,0,0),HL57)</f>
        <v>#VALUE!</v>
      </c>
      <c r="HM60" s="962" t="e">
        <f>[1]!taqsh(1,1,[1]!roz(HM56+1,HM59,0,0),HM57)</f>
        <v>#VALUE!</v>
      </c>
      <c r="HN60" s="962" t="e">
        <f>[1]!taqsh(1,1,[1]!roz(HN56+1,HN59,0,0),HN57)</f>
        <v>#VALUE!</v>
      </c>
      <c r="HO60" s="962" t="e">
        <f>[1]!taqsh(1,1,[1]!roz(HO56+1,HO59,0,0),HO57)</f>
        <v>#VALUE!</v>
      </c>
      <c r="HP60" s="962" t="e">
        <f>[1]!taqsh(1,1,[1]!roz(HP56+1,HP59,0,0),HP57)</f>
        <v>#VALUE!</v>
      </c>
      <c r="HQ60" s="962" t="e">
        <f>[1]!taqsh(1,1,[1]!roz(HQ56+1,HQ59,0,0),HQ57)</f>
        <v>#VALUE!</v>
      </c>
      <c r="HR60" s="962" t="e">
        <f>[1]!taqsh(1,1,[1]!roz(HR56+1,HR59,0,0),HR57)</f>
        <v>#VALUE!</v>
      </c>
      <c r="HS60" s="962" t="e">
        <f>[1]!taqsh(1,1,[1]!roz(HS56+1,HS59,0,0),HS57)</f>
        <v>#VALUE!</v>
      </c>
      <c r="HT60" s="962" t="e">
        <f>[1]!taqsh(1,1,[1]!roz(HT56+1,HT59,0,0),HT57)</f>
        <v>#VALUE!</v>
      </c>
      <c r="HU60" s="962" t="e">
        <f>[1]!taqsh(1,1,[1]!roz(HU56+1,HU59,0,0),HU57)</f>
        <v>#VALUE!</v>
      </c>
      <c r="HV60" s="962" t="e">
        <f>[1]!taqsh(1,1,[1]!roz(HV56+1,HV59,0,0),HV57)</f>
        <v>#VALUE!</v>
      </c>
      <c r="HW60" s="962" t="e">
        <f>[1]!taqsh(1,1,[1]!roz(HW56+1,HW59,0,0),HW57)</f>
        <v>#VALUE!</v>
      </c>
      <c r="HX60" s="962" t="e">
        <f>[1]!taqsh(1,1,[1]!roz(HX56+1,HX59,0,0),HX57)</f>
        <v>#VALUE!</v>
      </c>
      <c r="HY60" s="962" t="e">
        <f>[1]!taqsh(1,1,[1]!roz(HY56+1,HY59,0,0),HY57)</f>
        <v>#VALUE!</v>
      </c>
      <c r="HZ60" s="962" t="e">
        <f>[1]!taqsh(1,1,[1]!roz(HZ56+1,HZ59,0,0),HZ57)</f>
        <v>#VALUE!</v>
      </c>
      <c r="IA60" s="962" t="e">
        <f>[1]!taqsh(1,1,[1]!roz(IA56+1,IA59,0,0),IA57)</f>
        <v>#VALUE!</v>
      </c>
      <c r="IB60" s="962" t="e">
        <f>[1]!taqsh(1,1,[1]!roz(IB56+1,IB59,0,0),IB57)</f>
        <v>#VALUE!</v>
      </c>
      <c r="IC60" s="962" t="e">
        <f>[1]!taqsh(1,1,[1]!roz(IC56+1,IC59,0,0),IC57)</f>
        <v>#VALUE!</v>
      </c>
      <c r="ID60" s="962" t="e">
        <f>[1]!taqsh(1,1,[1]!roz(ID56+1,ID59,0,0),ID57)</f>
        <v>#VALUE!</v>
      </c>
      <c r="IE60" s="962" t="e">
        <f>[1]!taqsh(1,1,[1]!roz(IE56+1,IE59,0,0),IE57)</f>
        <v>#VALUE!</v>
      </c>
      <c r="IF60" s="962" t="e">
        <f>[1]!taqsh(1,1,[1]!roz(IF56+1,IF59,0,0),IF57)</f>
        <v>#VALUE!</v>
      </c>
      <c r="IG60" s="962" t="e">
        <f>[1]!taqsh(1,1,[1]!roz(IG56+1,IG59,0,0),IG57)</f>
        <v>#VALUE!</v>
      </c>
      <c r="IH60" s="962" t="e">
        <f>[1]!taqsh(1,1,[1]!roz(IH56+1,IH59,0,0),IH57)</f>
        <v>#VALUE!</v>
      </c>
      <c r="II60" s="962" t="e">
        <f>[1]!taqsh(1,1,[1]!roz(II56+1,II59,0,0),II57)</f>
        <v>#VALUE!</v>
      </c>
      <c r="IJ60" s="962" t="e">
        <f>[1]!taqsh(1,1,[1]!roz(IJ56+1,IJ59,0,0),IJ57)</f>
        <v>#VALUE!</v>
      </c>
      <c r="IK60" s="962" t="e">
        <f>[1]!taqsh(1,1,[1]!roz(IK56+1,IK59,0,0),IK57)</f>
        <v>#VALUE!</v>
      </c>
      <c r="IL60" s="962" t="e">
        <f>[1]!taqsh(1,1,[1]!roz(IL56+1,IL59,0,0),IL57)</f>
        <v>#VALUE!</v>
      </c>
      <c r="IM60" s="962" t="e">
        <f>[1]!taqsh(1,1,[1]!roz(IM56+1,IM59,0,0),IM57)</f>
        <v>#VALUE!</v>
      </c>
      <c r="IN60" s="962" t="e">
        <f>[1]!taqsh(1,1,[1]!roz(IN56+1,IN59,0,0),IN57)</f>
        <v>#VALUE!</v>
      </c>
      <c r="IO60" s="962" t="e">
        <f>[1]!taqsh(1,1,[1]!roz(IO56+1,IO59,0,0),IO57)</f>
        <v>#VALUE!</v>
      </c>
      <c r="IP60" s="962" t="e">
        <f>[1]!taqsh(1,1,[1]!roz(IP56+1,IP59,0,0),IP57)</f>
        <v>#VALUE!</v>
      </c>
      <c r="IQ60" s="962" t="e">
        <f>[1]!taqsh(1,1,[1]!roz(IQ56+1,IQ59,0,0),IQ57)</f>
        <v>#VALUE!</v>
      </c>
      <c r="IR60" s="962" t="e">
        <f>[1]!taqsh(1,1,[1]!roz(IR56+1,IR59,0,0),IR57)</f>
        <v>#VALUE!</v>
      </c>
      <c r="IS60" s="962" t="e">
        <f>[1]!taqsh(1,1,[1]!roz(IS56+1,IS59,0,0),IS57)</f>
        <v>#VALUE!</v>
      </c>
      <c r="IT60" s="962" t="e">
        <f>[1]!taqsh(1,1,[1]!roz(IT56+1,IT59,0,0),IT57)</f>
        <v>#VALUE!</v>
      </c>
      <c r="IU60" s="962" t="e">
        <f>[1]!taqsh(1,1,[1]!roz(IU56+1,IU59,0,0),IU57)</f>
        <v>#VALUE!</v>
      </c>
      <c r="IV60" s="962" t="e">
        <f>[1]!taqsh(1,1,[1]!roz(IV56+1,IV59,0,0),IV57)</f>
        <v>#VALUE!</v>
      </c>
      <c r="IW60" s="962" t="e">
        <f>[1]!taqsh(1,1,[1]!roz(IW56+1,IW59,0,0),IW57)</f>
        <v>#VALUE!</v>
      </c>
      <c r="IX60" s="962" t="e">
        <f>[1]!taqsh(1,1,[1]!roz(IX56+1,IX59,0,0),IX57)</f>
        <v>#VALUE!</v>
      </c>
      <c r="IY60" s="962" t="e">
        <f>[1]!taqsh(1,1,[1]!roz(IY56+1,IY59,0,0),IY57)</f>
        <v>#VALUE!</v>
      </c>
      <c r="IZ60" s="962" t="e">
        <f>[1]!taqsh(1,1,[1]!roz(IZ56+1,IZ59,0,0),IZ57)</f>
        <v>#VALUE!</v>
      </c>
      <c r="JA60" s="962" t="e">
        <f>[1]!taqsh(1,1,[1]!roz(JA56+1,JA59,0,0),JA57)</f>
        <v>#VALUE!</v>
      </c>
      <c r="JB60" s="962" t="e">
        <f>[1]!taqsh(1,1,[1]!roz(JB56+1,JB59,0,0),JB57)</f>
        <v>#VALUE!</v>
      </c>
      <c r="JC60" s="962" t="e">
        <f>[1]!taqsh(1,1,[1]!roz(JC56+1,JC59,0,0),JC57)</f>
        <v>#VALUE!</v>
      </c>
      <c r="JD60" s="962" t="e">
        <f>[1]!taqsh(1,1,[1]!roz(JD56+1,JD59,0,0),JD57)</f>
        <v>#VALUE!</v>
      </c>
      <c r="JE60" s="962" t="e">
        <f>[1]!taqsh(1,1,[1]!roz(JE56+1,JE59,0,0),JE57)</f>
        <v>#VALUE!</v>
      </c>
      <c r="JF60" s="962" t="e">
        <f>[1]!taqsh(1,1,[1]!roz(JF56+1,JF59,0,0),JF57)</f>
        <v>#VALUE!</v>
      </c>
      <c r="JG60" s="962" t="e">
        <f>[1]!taqsh(1,1,[1]!roz(JG56+1,JG59,0,0),JG57)</f>
        <v>#VALUE!</v>
      </c>
      <c r="JH60" s="962" t="e">
        <f>[1]!taqsh(1,1,[1]!roz(JH56+1,JH59,0,0),JH57)</f>
        <v>#VALUE!</v>
      </c>
      <c r="JI60" s="962" t="e">
        <f>[1]!taqsh(1,1,[1]!roz(JI56+1,JI59,0,0),JI57)</f>
        <v>#VALUE!</v>
      </c>
      <c r="JJ60" s="962" t="e">
        <f>[1]!taqsh(1,1,[1]!roz(JJ56+1,JJ59,0,0),JJ57)</f>
        <v>#VALUE!</v>
      </c>
      <c r="JK60" s="962" t="e">
        <f>[1]!taqsh(1,1,[1]!roz(JK56+1,JK59,0,0),JK57)</f>
        <v>#VALUE!</v>
      </c>
      <c r="JL60" s="962" t="e">
        <f>[1]!taqsh(1,1,[1]!roz(JL56+1,JL59,0,0),JL57)</f>
        <v>#VALUE!</v>
      </c>
      <c r="JM60" s="962" t="e">
        <f>[1]!taqsh(1,1,[1]!roz(JM56+1,JM59,0,0),JM57)</f>
        <v>#VALUE!</v>
      </c>
      <c r="JN60" s="962" t="e">
        <f>[1]!taqsh(1,1,[1]!roz(JN56+1,JN59,0,0),JN57)</f>
        <v>#VALUE!</v>
      </c>
      <c r="JO60" s="962" t="e">
        <f>[1]!taqsh(1,1,[1]!roz(JO56+1,JO59,0,0),JO57)</f>
        <v>#VALUE!</v>
      </c>
      <c r="JP60" s="962" t="e">
        <f>[1]!taqsh(1,1,[1]!roz(JP56+1,JP59,0,0),JP57)</f>
        <v>#VALUE!</v>
      </c>
      <c r="JQ60" s="962" t="e">
        <f>[1]!taqsh(1,1,[1]!roz(JQ56+1,JQ59,0,0),JQ57)</f>
        <v>#VALUE!</v>
      </c>
      <c r="JR60" s="962" t="e">
        <f>[1]!taqsh(1,1,[1]!roz(JR56+1,JR59,0,0),JR57)</f>
        <v>#VALUE!</v>
      </c>
      <c r="JS60" s="962" t="e">
        <f>[1]!taqsh(1,1,[1]!roz(JS56+1,JS59,0,0),JS57)</f>
        <v>#VALUE!</v>
      </c>
      <c r="JT60" s="962" t="e">
        <f>[1]!taqsh(1,1,[1]!roz(JT56+1,JT59,0,0),JT57)</f>
        <v>#VALUE!</v>
      </c>
      <c r="JU60" s="962" t="e">
        <f>[1]!taqsh(1,1,[1]!roz(JU56+1,JU59,0,0),JU57)</f>
        <v>#VALUE!</v>
      </c>
      <c r="JV60" s="962" t="e">
        <f>[1]!taqsh(1,1,[1]!roz(JV56+1,JV59,0,0),JV57)</f>
        <v>#VALUE!</v>
      </c>
      <c r="JW60" s="962" t="e">
        <f>[1]!taqsh(1,1,[1]!roz(JW56+1,JW59,0,0),JW57)</f>
        <v>#VALUE!</v>
      </c>
      <c r="JX60" s="962" t="e">
        <f>[1]!taqsh(1,1,[1]!roz(JX56+1,JX59,0,0),JX57)</f>
        <v>#VALUE!</v>
      </c>
      <c r="JY60" s="962" t="e">
        <f>[1]!taqsh(1,1,[1]!roz(JY56+1,JY59,0,0),JY57)</f>
        <v>#VALUE!</v>
      </c>
      <c r="JZ60" s="962" t="e">
        <f>[1]!taqsh(1,1,[1]!roz(JZ56+1,JZ59,0,0),JZ57)</f>
        <v>#VALUE!</v>
      </c>
      <c r="KA60" s="962" t="e">
        <f>[1]!taqsh(1,1,[1]!roz(KA56+1,KA59,0,0),KA57)</f>
        <v>#VALUE!</v>
      </c>
      <c r="KB60" s="962" t="e">
        <f>[1]!taqsh(1,1,[1]!roz(KB56+1,KB59,0,0),KB57)</f>
        <v>#VALUE!</v>
      </c>
      <c r="KC60" s="962" t="e">
        <f>[1]!taqsh(1,1,[1]!roz(KC56+1,KC59,0,0),KC57)</f>
        <v>#VALUE!</v>
      </c>
      <c r="KD60" s="962" t="e">
        <f>[1]!taqsh(1,1,[1]!roz(KD56+1,KD59,0,0),KD57)</f>
        <v>#VALUE!</v>
      </c>
      <c r="KE60" s="962" t="e">
        <f>[1]!taqsh(1,1,[1]!roz(KE56+1,KE59,0,0),KE57)</f>
        <v>#VALUE!</v>
      </c>
      <c r="KF60" s="962" t="e">
        <f>[1]!taqsh(1,1,[1]!roz(KF56+1,KF59,0,0),KF57)</f>
        <v>#VALUE!</v>
      </c>
      <c r="KG60" s="962" t="e">
        <f>[1]!taqsh(1,1,[1]!roz(KG56+1,KG59,0,0),KG57)</f>
        <v>#VALUE!</v>
      </c>
      <c r="KH60" s="962" t="e">
        <f>[1]!taqsh(1,1,[1]!roz(KH56+1,KH59,0,0),KH57)</f>
        <v>#VALUE!</v>
      </c>
      <c r="KI60" s="962" t="e">
        <f>[1]!taqsh(1,1,[1]!roz(KI56+1,KI59,0,0),KI57)</f>
        <v>#VALUE!</v>
      </c>
      <c r="KJ60" s="962" t="e">
        <f>[1]!taqsh(1,1,[1]!roz(KJ56+1,KJ59,0,0),KJ57)</f>
        <v>#VALUE!</v>
      </c>
      <c r="KK60" s="962" t="e">
        <f>[1]!taqsh(1,1,[1]!roz(KK56+1,KK59,0,0),KK57)</f>
        <v>#VALUE!</v>
      </c>
      <c r="KL60" s="962" t="e">
        <f>[1]!taqsh(1,1,[1]!roz(KL56+1,KL59,0,0),KL57)</f>
        <v>#VALUE!</v>
      </c>
      <c r="KM60" s="962" t="e">
        <f>[1]!taqsh(1,1,[1]!roz(KM56+1,KM59,0,0),KM57)</f>
        <v>#VALUE!</v>
      </c>
      <c r="KN60" s="962" t="e">
        <f>[1]!taqsh(1,1,[1]!roz(KN56+1,KN59,0,0),KN57)</f>
        <v>#VALUE!</v>
      </c>
      <c r="KO60" s="962" t="e">
        <f>[1]!taqsh(1,1,[1]!roz(KO56+1,KO59,0,0),KO57)</f>
        <v>#VALUE!</v>
      </c>
      <c r="KP60" s="962" t="e">
        <f>[1]!taqsh(1,1,[1]!roz(KP56+1,KP59,0,0),KP57)</f>
        <v>#VALUE!</v>
      </c>
      <c r="KQ60" s="962" t="e">
        <f>[1]!taqsh(1,1,[1]!roz(KQ56+1,KQ59,0,0),KQ57)</f>
        <v>#VALUE!</v>
      </c>
      <c r="KR60" s="962" t="e">
        <f>[1]!taqsh(1,1,[1]!roz(KR56+1,KR59,0,0),KR57)</f>
        <v>#VALUE!</v>
      </c>
      <c r="KS60" s="962" t="e">
        <f>[1]!taqsh(1,1,[1]!roz(KS56+1,KS59,0,0),KS57)</f>
        <v>#VALUE!</v>
      </c>
      <c r="KT60" s="962" t="e">
        <f>[1]!taqsh(1,1,[1]!roz(KT56+1,KT59,0,0),KT57)</f>
        <v>#VALUE!</v>
      </c>
      <c r="KU60" s="962" t="e">
        <f>[1]!taqsh(1,1,[1]!roz(KU56+1,KU59,0,0),KU57)</f>
        <v>#VALUE!</v>
      </c>
      <c r="KV60" s="962" t="e">
        <f>[1]!taqsh(1,1,[1]!roz(KV56+1,KV59,0,0),KV57)</f>
        <v>#VALUE!</v>
      </c>
      <c r="KW60" s="962" t="e">
        <f>[1]!taqsh(1,1,[1]!roz(KW56+1,KW59,0,0),KW57)</f>
        <v>#VALUE!</v>
      </c>
      <c r="KX60" s="962" t="e">
        <f>[1]!taqsh(1,1,[1]!roz(KX56+1,KX59,0,0),KX57)</f>
        <v>#VALUE!</v>
      </c>
      <c r="KY60" s="962" t="e">
        <f>[1]!taqsh(1,1,[1]!roz(KY56+1,KY59,0,0),KY57)</f>
        <v>#VALUE!</v>
      </c>
      <c r="KZ60" s="962" t="e">
        <f>[1]!taqsh(1,1,[1]!roz(KZ56+1,KZ59,0,0),KZ57)</f>
        <v>#VALUE!</v>
      </c>
      <c r="LA60" s="962" t="e">
        <f>[1]!taqsh(1,1,[1]!roz(LA56+1,LA59,0,0),LA57)</f>
        <v>#VALUE!</v>
      </c>
      <c r="LB60" s="962" t="e">
        <f>[1]!taqsh(1,1,[1]!roz(LB56+1,LB59,0,0),LB57)</f>
        <v>#VALUE!</v>
      </c>
      <c r="LC60" s="962" t="e">
        <f>[1]!taqsh(1,1,[1]!roz(LC56+1,LC59,0,0),LC57)</f>
        <v>#VALUE!</v>
      </c>
      <c r="LD60" s="962" t="e">
        <f>[1]!taqsh(1,1,[1]!roz(LD56+1,LD59,0,0),LD57)</f>
        <v>#VALUE!</v>
      </c>
      <c r="LE60" s="962" t="e">
        <f>[1]!taqsh(1,1,[1]!roz(LE56+1,LE59,0,0),LE57)</f>
        <v>#VALUE!</v>
      </c>
      <c r="LF60" s="962" t="e">
        <f>[1]!taqsh(1,1,[1]!roz(LF56+1,LF59,0,0),LF57)</f>
        <v>#VALUE!</v>
      </c>
      <c r="LG60" s="962" t="e">
        <f>[1]!taqsh(1,1,[1]!roz(LG56+1,LG59,0,0),LG57)</f>
        <v>#VALUE!</v>
      </c>
      <c r="LH60" s="962" t="e">
        <f>[1]!taqsh(1,1,[1]!roz(LH56+1,LH59,0,0),LH57)</f>
        <v>#VALUE!</v>
      </c>
      <c r="LI60" s="962" t="e">
        <f>[1]!taqsh(1,1,[1]!roz(LI56+1,LI59,0,0),LI57)</f>
        <v>#VALUE!</v>
      </c>
      <c r="LJ60" s="962" t="e">
        <f>[1]!taqsh(1,1,[1]!roz(LJ56+1,LJ59,0,0),LJ57)</f>
        <v>#VALUE!</v>
      </c>
      <c r="LK60" s="962" t="e">
        <f>[1]!taqsh(1,1,[1]!roz(LK56+1,LK59,0,0),LK57)</f>
        <v>#VALUE!</v>
      </c>
      <c r="LL60" s="962" t="e">
        <f>[1]!taqsh(1,1,[1]!roz(LL56+1,LL59,0,0),LL57)</f>
        <v>#VALUE!</v>
      </c>
      <c r="LM60" s="962" t="e">
        <f>[1]!taqsh(1,1,[1]!roz(LM56+1,LM59,0,0),LM57)</f>
        <v>#VALUE!</v>
      </c>
      <c r="LN60" s="962" t="e">
        <f>[1]!taqsh(1,1,[1]!roz(LN56+1,LN59,0,0),LN57)</f>
        <v>#VALUE!</v>
      </c>
      <c r="LO60" s="962" t="e">
        <f>[1]!taqsh(1,1,[1]!roz(LO56+1,LO59,0,0),LO57)</f>
        <v>#VALUE!</v>
      </c>
      <c r="LP60" s="962" t="e">
        <f>[1]!taqsh(1,1,[1]!roz(LP56+1,LP59,0,0),LP57)</f>
        <v>#VALUE!</v>
      </c>
      <c r="LQ60" s="962" t="e">
        <f>[1]!taqsh(1,1,[1]!roz(LQ56+1,LQ59,0,0),LQ57)</f>
        <v>#VALUE!</v>
      </c>
      <c r="LR60" s="962" t="e">
        <f>[1]!taqsh(1,1,[1]!roz(LR56+1,LR59,0,0),LR57)</f>
        <v>#VALUE!</v>
      </c>
      <c r="LS60" s="962" t="e">
        <f>[1]!taqsh(1,1,[1]!roz(LS56+1,LS59,0,0),LS57)</f>
        <v>#VALUE!</v>
      </c>
      <c r="LT60" s="962" t="e">
        <f>[1]!taqsh(1,1,[1]!roz(LT56+1,LT59,0,0),LT57)</f>
        <v>#VALUE!</v>
      </c>
      <c r="LU60" s="962" t="e">
        <f>[1]!taqsh(1,1,[1]!roz(LU56+1,LU59,0,0),LU57)</f>
        <v>#VALUE!</v>
      </c>
      <c r="LV60" s="962" t="e">
        <f>[1]!taqsh(1,1,[1]!roz(LV56+1,LV59,0,0),LV57)</f>
        <v>#VALUE!</v>
      </c>
      <c r="LW60" s="962" t="e">
        <f>[1]!taqsh(1,1,[1]!roz(LW56+1,LW59,0,0),LW57)</f>
        <v>#VALUE!</v>
      </c>
      <c r="LX60" s="962" t="e">
        <f>[1]!taqsh(1,1,[1]!roz(LX56+1,LX59,0,0),LX57)</f>
        <v>#VALUE!</v>
      </c>
      <c r="LY60" s="962" t="e">
        <f>[1]!taqsh(1,1,[1]!roz(LY56+1,LY59,0,0),LY57)</f>
        <v>#VALUE!</v>
      </c>
      <c r="LZ60" s="962" t="e">
        <f>[1]!taqsh(1,1,[1]!roz(LZ56+1,LZ59,0,0),LZ57)</f>
        <v>#VALUE!</v>
      </c>
      <c r="MA60" s="962" t="e">
        <f>[1]!taqsh(1,1,[1]!roz(MA56+1,MA59,0,0),MA57)</f>
        <v>#VALUE!</v>
      </c>
      <c r="MB60" s="962" t="e">
        <f>[1]!taqsh(1,1,[1]!roz(MB56+1,MB59,0,0),MB57)</f>
        <v>#VALUE!</v>
      </c>
      <c r="MC60" s="962" t="e">
        <f>[1]!taqsh(1,1,[1]!roz(MC56+1,MC59,0,0),MC57)</f>
        <v>#VALUE!</v>
      </c>
      <c r="MD60" s="962" t="e">
        <f>[1]!taqsh(1,1,[1]!roz(MD56+1,MD59,0,0),MD57)</f>
        <v>#VALUE!</v>
      </c>
      <c r="ME60" s="962" t="e">
        <f>[1]!taqsh(1,1,[1]!roz(ME56+1,ME59,0,0),ME57)</f>
        <v>#VALUE!</v>
      </c>
      <c r="MF60" s="962" t="e">
        <f>[1]!taqsh(1,1,[1]!roz(MF56+1,MF59,0,0),MF57)</f>
        <v>#VALUE!</v>
      </c>
      <c r="MG60" s="962" t="e">
        <f>[1]!taqsh(1,1,[1]!roz(MG56+1,MG59,0,0),MG57)</f>
        <v>#VALUE!</v>
      </c>
      <c r="MH60" s="962" t="e">
        <f>[1]!taqsh(1,1,[1]!roz(MH56+1,MH59,0,0),MH57)</f>
        <v>#VALUE!</v>
      </c>
      <c r="MI60" s="962" t="e">
        <f>[1]!taqsh(1,1,[1]!roz(MI56+1,MI59,0,0),MI57)</f>
        <v>#VALUE!</v>
      </c>
      <c r="MJ60" s="962" t="e">
        <f>[1]!taqsh(1,1,[1]!roz(MJ56+1,MJ59,0,0),MJ57)</f>
        <v>#VALUE!</v>
      </c>
      <c r="MK60" s="962" t="e">
        <f>[1]!taqsh(1,1,[1]!roz(MK56+1,MK59,0,0),MK57)</f>
        <v>#VALUE!</v>
      </c>
      <c r="ML60" s="962" t="e">
        <f>[1]!taqsh(1,1,[1]!roz(ML56+1,ML59,0,0),ML57)</f>
        <v>#VALUE!</v>
      </c>
      <c r="MM60" s="962" t="e">
        <f>[1]!taqsh(1,1,[1]!roz(MM56+1,MM59,0,0),MM57)</f>
        <v>#VALUE!</v>
      </c>
      <c r="MN60" s="962" t="e">
        <f>[1]!taqsh(1,1,[1]!roz(MN56+1,MN59,0,0),MN57)</f>
        <v>#VALUE!</v>
      </c>
      <c r="MO60" s="962" t="e">
        <f>[1]!taqsh(1,1,[1]!roz(MO56+1,MO59,0,0),MO57)</f>
        <v>#VALUE!</v>
      </c>
      <c r="MP60" s="962" t="e">
        <f>[1]!taqsh(1,1,[1]!roz(MP56+1,MP59,0,0),MP57)</f>
        <v>#VALUE!</v>
      </c>
      <c r="MQ60" s="962" t="e">
        <f>[1]!taqsh(1,1,[1]!roz(MQ56+1,MQ59,0,0),MQ57)</f>
        <v>#VALUE!</v>
      </c>
      <c r="MR60" s="962" t="e">
        <f>[1]!taqsh(1,1,[1]!roz(MR56+1,MR59,0,0),MR57)</f>
        <v>#VALUE!</v>
      </c>
      <c r="MS60" s="962" t="e">
        <f>[1]!taqsh(1,1,[1]!roz(MS56+1,MS59,0,0),MS57)</f>
        <v>#VALUE!</v>
      </c>
      <c r="MT60" s="962" t="e">
        <f>[1]!taqsh(1,1,[1]!roz(MT56+1,MT59,0,0),MT57)</f>
        <v>#VALUE!</v>
      </c>
      <c r="MU60" s="962" t="e">
        <f>[1]!taqsh(1,1,[1]!roz(MU56+1,MU59,0,0),MU57)</f>
        <v>#VALUE!</v>
      </c>
      <c r="MV60" s="962" t="e">
        <f>[1]!taqsh(1,1,[1]!roz(MV56+1,MV59,0,0),MV57)</f>
        <v>#VALUE!</v>
      </c>
      <c r="MW60" s="962" t="e">
        <f>[1]!taqsh(1,1,[1]!roz(MW56+1,MW59,0,0),MW57)</f>
        <v>#VALUE!</v>
      </c>
      <c r="MX60" s="962" t="e">
        <f>[1]!taqsh(1,1,[1]!roz(MX56+1,MX59,0,0),MX57)</f>
        <v>#VALUE!</v>
      </c>
      <c r="MY60" s="962" t="e">
        <f>[1]!taqsh(1,1,[1]!roz(MY56+1,MY59,0,0),MY57)</f>
        <v>#VALUE!</v>
      </c>
      <c r="MZ60" s="962" t="e">
        <f>[1]!taqsh(1,1,[1]!roz(MZ56+1,MZ59,0,0),MZ57)</f>
        <v>#VALUE!</v>
      </c>
      <c r="NA60" s="962" t="e">
        <f>[1]!taqsh(1,1,[1]!roz(NA56+1,NA59,0,0),NA57)</f>
        <v>#VALUE!</v>
      </c>
      <c r="NB60" s="962" t="e">
        <f>[1]!taqsh(1,1,[1]!roz(NB56+1,NB59,0,0),NB57)</f>
        <v>#VALUE!</v>
      </c>
      <c r="NC60" s="962" t="e">
        <f>[1]!taqsh(1,1,[1]!roz(NC56+1,NC59,0,0),NC57)</f>
        <v>#VALUE!</v>
      </c>
      <c r="ND60" s="962" t="e">
        <f>[1]!taqsh(1,1,[1]!roz(ND56+1,ND59,0,0),ND57)</f>
        <v>#VALUE!</v>
      </c>
      <c r="NE60" s="962" t="e">
        <f>[1]!taqsh(1,1,[1]!roz(NE56+1,NE59,0,0),NE57)</f>
        <v>#VALUE!</v>
      </c>
      <c r="NF60" s="962" t="e">
        <f>[1]!taqsh(1,1,[1]!roz(NF56+1,NF59,0,0),NF57)</f>
        <v>#VALUE!</v>
      </c>
      <c r="NG60" s="962" t="e">
        <f>[1]!taqsh(1,1,[1]!roz(NG56+1,NG59,0,0),NG57)</f>
        <v>#VALUE!</v>
      </c>
      <c r="NH60" s="962" t="e">
        <f>[1]!taqsh(1,1,[1]!roz(NH56+1,NH59,0,0),NH57)</f>
        <v>#VALUE!</v>
      </c>
      <c r="NI60" s="962" t="e">
        <f>[1]!taqsh(1,1,[1]!roz(NI56+1,NI59,0,0),NI57)</f>
        <v>#VALUE!</v>
      </c>
      <c r="NJ60" s="962" t="e">
        <f>[1]!taqsh(1,1,[1]!roz(NJ56+1,NJ59,0,0),NJ57)</f>
        <v>#VALUE!</v>
      </c>
      <c r="NK60" s="962" t="e">
        <f>[1]!taqsh(1,1,[1]!roz(NK56+1,NK59,0,0),NK57)</f>
        <v>#VALUE!</v>
      </c>
      <c r="NL60" s="962" t="e">
        <f>[1]!taqsh(1,1,[1]!roz(NL56+1,NL59,0,0),NL57)</f>
        <v>#VALUE!</v>
      </c>
      <c r="NM60" s="962" t="e">
        <f>[1]!taqsh(1,1,[1]!roz(NM56+1,NM59,0,0),NM57)</f>
        <v>#VALUE!</v>
      </c>
      <c r="NN60" s="962" t="e">
        <f>[1]!taqsh(1,1,[1]!roz(NN56+1,NN59,0,0),NN57)</f>
        <v>#VALUE!</v>
      </c>
      <c r="NO60" s="962" t="e">
        <f>[1]!taqsh(1,1,[1]!roz(NO56+1,NO59,0,0),NO57)</f>
        <v>#VALUE!</v>
      </c>
      <c r="NP60" s="962" t="e">
        <f>[1]!taqsh(1,1,[1]!roz(NP56+1,NP59,0,0),NP57)</f>
        <v>#VALUE!</v>
      </c>
      <c r="NQ60" s="962" t="e">
        <f>[1]!taqsh(1,1,[1]!roz(NQ56+1,NQ59,0,0),NQ57)</f>
        <v>#VALUE!</v>
      </c>
      <c r="NR60" s="962" t="e">
        <f>[1]!taqsh(1,1,[1]!roz(NR56+1,NR59,0,0),NR57)</f>
        <v>#VALUE!</v>
      </c>
      <c r="NS60" s="962" t="e">
        <f>[1]!taqsh(1,1,[1]!roz(NS56+1,NS59,0,0),NS57)</f>
        <v>#VALUE!</v>
      </c>
      <c r="NT60" s="962" t="e">
        <f>[1]!taqsh(1,1,[1]!roz(NT56+1,NT59,0,0),NT57)</f>
        <v>#VALUE!</v>
      </c>
      <c r="NU60" s="962" t="e">
        <f>[1]!taqsh(1,1,[1]!roz(NU56+1,NU59,0,0),NU57)</f>
        <v>#VALUE!</v>
      </c>
      <c r="NV60" s="962" t="e">
        <f>[1]!taqsh(1,1,[1]!roz(NV56+1,NV59,0,0),NV57)</f>
        <v>#VALUE!</v>
      </c>
      <c r="NW60" s="962" t="e">
        <f>[1]!taqsh(1,1,[1]!roz(NW56+1,NW59,0,0),NW57)</f>
        <v>#VALUE!</v>
      </c>
      <c r="NX60" s="962" t="e">
        <f>[1]!taqsh(1,1,[1]!roz(NX56+1,NX59,0,0),NX57)</f>
        <v>#VALUE!</v>
      </c>
      <c r="NY60" s="962" t="e">
        <f>[1]!taqsh(1,1,[1]!roz(NY56+1,NY59,0,0),NY57)</f>
        <v>#VALUE!</v>
      </c>
      <c r="NZ60" s="962" t="e">
        <f>[1]!taqsh(1,1,[1]!roz(NZ56+1,NZ59,0,0),NZ57)</f>
        <v>#VALUE!</v>
      </c>
      <c r="OA60" s="962" t="e">
        <f>[1]!taqsh(1,1,[1]!roz(OA56+1,OA59,0,0),OA57)</f>
        <v>#VALUE!</v>
      </c>
      <c r="OB60" s="962" t="e">
        <f>[1]!taqsh(1,1,[1]!roz(OB56+1,OB59,0,0),OB57)</f>
        <v>#VALUE!</v>
      </c>
      <c r="OC60" s="962" t="e">
        <f>[1]!taqsh(1,1,[1]!roz(OC56+1,OC59,0,0),OC57)</f>
        <v>#VALUE!</v>
      </c>
      <c r="OD60" s="962" t="e">
        <f>[1]!taqsh(1,1,[1]!roz(OD56+1,OD59,0,0),OD57)</f>
        <v>#VALUE!</v>
      </c>
      <c r="OE60" s="962" t="e">
        <f>[1]!taqsh(1,1,[1]!roz(OE56+1,OE59,0,0),OE57)</f>
        <v>#VALUE!</v>
      </c>
      <c r="OF60" s="962" t="e">
        <f>[1]!taqsh(1,1,[1]!roz(OF56+1,OF59,0,0),OF57)</f>
        <v>#VALUE!</v>
      </c>
      <c r="OG60" s="962" t="e">
        <f>[1]!taqsh(1,1,[1]!roz(OG56+1,OG59,0,0),OG57)</f>
        <v>#VALUE!</v>
      </c>
      <c r="OH60" s="962" t="e">
        <f>[1]!taqsh(1,1,[1]!roz(OH56+1,OH59,0,0),OH57)</f>
        <v>#VALUE!</v>
      </c>
      <c r="OI60" s="962" t="e">
        <f>[1]!taqsh(1,1,[1]!roz(OI56+1,OI59,0,0),OI57)</f>
        <v>#VALUE!</v>
      </c>
      <c r="OJ60" s="962" t="e">
        <f>[1]!taqsh(1,1,[1]!roz(OJ56+1,OJ59,0,0),OJ57)</f>
        <v>#VALUE!</v>
      </c>
      <c r="OK60" s="962" t="e">
        <f>[1]!taqsh(1,1,[1]!roz(OK56+1,OK59,0,0),OK57)</f>
        <v>#VALUE!</v>
      </c>
      <c r="OL60" s="962" t="e">
        <f>[1]!taqsh(1,1,[1]!roz(OL56+1,OL59,0,0),OL57)</f>
        <v>#VALUE!</v>
      </c>
      <c r="OM60" s="962" t="e">
        <f>[1]!taqsh(1,1,[1]!roz(OM56+1,OM59,0,0),OM57)</f>
        <v>#VALUE!</v>
      </c>
      <c r="ON60" s="962" t="e">
        <f>[1]!taqsh(1,1,[1]!roz(ON56+1,ON59,0,0),ON57)</f>
        <v>#VALUE!</v>
      </c>
      <c r="OO60" s="962" t="e">
        <f>[1]!taqsh(1,1,[1]!roz(OO56+1,OO59,0,0),OO57)</f>
        <v>#VALUE!</v>
      </c>
      <c r="OP60" s="962" t="e">
        <f>[1]!taqsh(1,1,[1]!roz(OP56+1,OP59,0,0),OP57)</f>
        <v>#VALUE!</v>
      </c>
      <c r="OQ60" s="962" t="e">
        <f>[1]!taqsh(1,1,[1]!roz(OQ56+1,OQ59,0,0),OQ57)</f>
        <v>#VALUE!</v>
      </c>
      <c r="OR60" s="962" t="e">
        <f>[1]!taqsh(1,1,[1]!roz(OR56+1,OR59,0,0),OR57)</f>
        <v>#VALUE!</v>
      </c>
      <c r="OS60" s="962" t="e">
        <f>[1]!taqsh(1,1,[1]!roz(OS56+1,OS59,0,0),OS57)</f>
        <v>#VALUE!</v>
      </c>
      <c r="OT60" s="962" t="e">
        <f>[1]!taqsh(1,1,[1]!roz(OT56+1,OT59,0,0),OT57)</f>
        <v>#VALUE!</v>
      </c>
      <c r="OU60" s="962" t="e">
        <f>[1]!taqsh(1,1,[1]!roz(OU56+1,OU59,0,0),OU57)</f>
        <v>#VALUE!</v>
      </c>
      <c r="OV60" s="962" t="e">
        <f>[1]!taqsh(1,1,[1]!roz(OV56+1,OV59,0,0),OV57)</f>
        <v>#VALUE!</v>
      </c>
      <c r="OW60" s="962" t="e">
        <f>[1]!taqsh(1,1,[1]!roz(OW56+1,OW59,0,0),OW57)</f>
        <v>#VALUE!</v>
      </c>
      <c r="OX60" s="962" t="e">
        <f>[1]!taqsh(1,1,[1]!roz(OX56+1,OX59,0,0),OX57)</f>
        <v>#VALUE!</v>
      </c>
      <c r="OY60" s="962" t="e">
        <f>[1]!taqsh(1,1,[1]!roz(OY56+1,OY59,0,0),OY57)</f>
        <v>#VALUE!</v>
      </c>
      <c r="OZ60" s="962" t="e">
        <f>[1]!taqsh(1,1,[1]!roz(OZ56+1,OZ59,0,0),OZ57)</f>
        <v>#VALUE!</v>
      </c>
      <c r="PA60" s="962" t="e">
        <f>[1]!taqsh(1,1,[1]!roz(PA56+1,PA59,0,0),PA57)</f>
        <v>#VALUE!</v>
      </c>
      <c r="PB60" s="962" t="e">
        <f>[1]!taqsh(1,1,[1]!roz(PB56+1,PB59,0,0),PB57)</f>
        <v>#VALUE!</v>
      </c>
      <c r="PC60" s="962" t="e">
        <f>[1]!taqsh(1,1,[1]!roz(PC56+1,PC59,0,0),PC57)</f>
        <v>#VALUE!</v>
      </c>
      <c r="PD60" s="962" t="e">
        <f>[1]!taqsh(1,1,[1]!roz(PD56+1,PD59,0,0),PD57)</f>
        <v>#VALUE!</v>
      </c>
      <c r="PE60" s="962" t="e">
        <f>[1]!taqsh(1,1,[1]!roz(PE56+1,PE59,0,0),PE57)</f>
        <v>#VALUE!</v>
      </c>
      <c r="PF60" s="962" t="e">
        <f>[1]!taqsh(1,1,[1]!roz(PF56+1,PF59,0,0),PF57)</f>
        <v>#VALUE!</v>
      </c>
      <c r="PG60" s="962" t="e">
        <f>[1]!taqsh(1,1,[1]!roz(PG56+1,PG59,0,0),PG57)</f>
        <v>#VALUE!</v>
      </c>
      <c r="PH60" s="962" t="e">
        <f>[1]!taqsh(1,1,[1]!roz(PH56+1,PH59,0,0),PH57)</f>
        <v>#VALUE!</v>
      </c>
      <c r="PI60" s="962" t="e">
        <f>[1]!taqsh(1,1,[1]!roz(PI56+1,PI59,0,0),PI57)</f>
        <v>#VALUE!</v>
      </c>
      <c r="PJ60" s="962" t="e">
        <f>[1]!taqsh(1,1,[1]!roz(PJ56+1,PJ59,0,0),PJ57)</f>
        <v>#VALUE!</v>
      </c>
      <c r="PK60" s="962" t="e">
        <f>[1]!taqsh(1,1,[1]!roz(PK56+1,PK59,0,0),PK57)</f>
        <v>#VALUE!</v>
      </c>
      <c r="PL60" s="962" t="e">
        <f>[1]!taqsh(1,1,[1]!roz(PL56+1,PL59,0,0),PL57)</f>
        <v>#VALUE!</v>
      </c>
      <c r="PM60" s="962" t="e">
        <f>[1]!taqsh(1,1,[1]!roz(PM56+1,PM59,0,0),PM57)</f>
        <v>#VALUE!</v>
      </c>
      <c r="PN60" s="962" t="e">
        <f>[1]!taqsh(1,1,[1]!roz(PN56+1,PN59,0,0),PN57)</f>
        <v>#VALUE!</v>
      </c>
      <c r="PO60" s="962" t="e">
        <f>[1]!taqsh(1,1,[1]!roz(PO56+1,PO59,0,0),PO57)</f>
        <v>#VALUE!</v>
      </c>
      <c r="PP60" s="962" t="e">
        <f>[1]!taqsh(1,1,[1]!roz(PP56+1,PP59,0,0),PP57)</f>
        <v>#VALUE!</v>
      </c>
      <c r="PQ60" s="962" t="e">
        <f>[1]!taqsh(1,1,[1]!roz(PQ56+1,PQ59,0,0),PQ57)</f>
        <v>#VALUE!</v>
      </c>
      <c r="PR60" s="962" t="e">
        <f>[1]!taqsh(1,1,[1]!roz(PR56+1,PR59,0,0),PR57)</f>
        <v>#VALUE!</v>
      </c>
      <c r="PS60" s="962" t="e">
        <f>[1]!taqsh(1,1,[1]!roz(PS56+1,PS59,0,0),PS57)</f>
        <v>#VALUE!</v>
      </c>
      <c r="PT60" s="962" t="e">
        <f>[1]!taqsh(1,1,[1]!roz(PT56+1,PT59,0,0),PT57)</f>
        <v>#VALUE!</v>
      </c>
      <c r="PU60" s="962" t="e">
        <f>[1]!taqsh(1,1,[1]!roz(PU56+1,PU59,0,0),PU57)</f>
        <v>#VALUE!</v>
      </c>
      <c r="PV60" s="962" t="e">
        <f>[1]!taqsh(1,1,[1]!roz(PV56+1,PV59,0,0),PV57)</f>
        <v>#VALUE!</v>
      </c>
      <c r="PW60" s="962" t="e">
        <f>[1]!taqsh(1,1,[1]!roz(PW56+1,PW59,0,0),PW57)</f>
        <v>#VALUE!</v>
      </c>
      <c r="PX60" s="962" t="e">
        <f>[1]!taqsh(1,1,[1]!roz(PX56+1,PX59,0,0),PX57)</f>
        <v>#VALUE!</v>
      </c>
      <c r="PY60" s="962" t="e">
        <f>[1]!taqsh(1,1,[1]!roz(PY56+1,PY59,0,0),PY57)</f>
        <v>#VALUE!</v>
      </c>
      <c r="PZ60" s="962" t="e">
        <f>[1]!taqsh(1,1,[1]!roz(PZ56+1,PZ59,0,0),PZ57)</f>
        <v>#VALUE!</v>
      </c>
      <c r="QA60" s="962" t="e">
        <f>[1]!taqsh(1,1,[1]!roz(QA56+1,QA59,0,0),QA57)</f>
        <v>#VALUE!</v>
      </c>
      <c r="QB60" s="962" t="e">
        <f>[1]!taqsh(1,1,[1]!roz(QB56+1,QB59,0,0),QB57)</f>
        <v>#VALUE!</v>
      </c>
      <c r="QC60" s="962" t="e">
        <f>[1]!taqsh(1,1,[1]!roz(QC56+1,QC59,0,0),QC57)</f>
        <v>#VALUE!</v>
      </c>
      <c r="QD60" s="962" t="e">
        <f>[1]!taqsh(1,1,[1]!roz(QD56+1,QD59,0,0),QD57)</f>
        <v>#VALUE!</v>
      </c>
      <c r="QE60" s="962" t="e">
        <f>[1]!taqsh(1,1,[1]!roz(QE56+1,QE59,0,0),QE57)</f>
        <v>#VALUE!</v>
      </c>
      <c r="QF60" s="962" t="e">
        <f>[1]!taqsh(1,1,[1]!roz(QF56+1,QF59,0,0),QF57)</f>
        <v>#VALUE!</v>
      </c>
      <c r="QG60" s="962" t="e">
        <f>[1]!taqsh(1,1,[1]!roz(QG56+1,QG59,0,0),QG57)</f>
        <v>#VALUE!</v>
      </c>
      <c r="QH60" s="962" t="e">
        <f>[1]!taqsh(1,1,[1]!roz(QH56+1,QH59,0,0),QH57)</f>
        <v>#VALUE!</v>
      </c>
      <c r="QI60" s="962" t="e">
        <f>[1]!taqsh(1,1,[1]!roz(QI56+1,QI59,0,0),QI57)</f>
        <v>#VALUE!</v>
      </c>
      <c r="QJ60" s="962" t="e">
        <f>[1]!taqsh(1,1,[1]!roz(QJ56+1,QJ59,0,0),QJ57)</f>
        <v>#VALUE!</v>
      </c>
      <c r="QK60" s="962" t="e">
        <f>[1]!taqsh(1,1,[1]!roz(QK56+1,QK59,0,0),QK57)</f>
        <v>#VALUE!</v>
      </c>
      <c r="QL60" s="962" t="e">
        <f>[1]!taqsh(1,1,[1]!roz(QL56+1,QL59,0,0),QL57)</f>
        <v>#VALUE!</v>
      </c>
      <c r="QM60" s="962" t="e">
        <f>[1]!taqsh(1,1,[1]!roz(QM56+1,QM59,0,0),QM57)</f>
        <v>#VALUE!</v>
      </c>
      <c r="QN60" s="962" t="e">
        <f>[1]!taqsh(1,1,[1]!roz(QN56+1,QN59,0,0),QN57)</f>
        <v>#VALUE!</v>
      </c>
      <c r="QO60" s="962" t="e">
        <f>[1]!taqsh(1,1,[1]!roz(QO56+1,QO59,0,0),QO57)</f>
        <v>#VALUE!</v>
      </c>
      <c r="QP60" s="962" t="e">
        <f>[1]!taqsh(1,1,[1]!roz(QP56+1,QP59,0,0),QP57)</f>
        <v>#VALUE!</v>
      </c>
      <c r="QQ60" s="962" t="e">
        <f>[1]!taqsh(1,1,[1]!roz(QQ56+1,QQ59,0,0),QQ57)</f>
        <v>#VALUE!</v>
      </c>
      <c r="QR60" s="962" t="e">
        <f>[1]!taqsh(1,1,[1]!roz(QR56+1,QR59,0,0),QR57)</f>
        <v>#VALUE!</v>
      </c>
      <c r="QS60" s="962" t="e">
        <f>[1]!taqsh(1,1,[1]!roz(QS56+1,QS59,0,0),QS57)</f>
        <v>#VALUE!</v>
      </c>
      <c r="QT60" s="962" t="e">
        <f>[1]!taqsh(1,1,[1]!roz(QT56+1,QT59,0,0),QT57)</f>
        <v>#VALUE!</v>
      </c>
      <c r="QU60" s="962" t="e">
        <f>[1]!taqsh(1,1,[1]!roz(QU56+1,QU59,0,0),QU57)</f>
        <v>#VALUE!</v>
      </c>
      <c r="QV60" s="962" t="e">
        <f>[1]!taqsh(1,1,[1]!roz(QV56+1,QV59,0,0),QV57)</f>
        <v>#VALUE!</v>
      </c>
      <c r="QW60" s="962" t="e">
        <f>[1]!taqsh(1,1,[1]!roz(QW56+1,QW59,0,0),QW57)</f>
        <v>#VALUE!</v>
      </c>
      <c r="QX60" s="962" t="e">
        <f>[1]!taqsh(1,1,[1]!roz(QX56+1,QX59,0,0),QX57)</f>
        <v>#VALUE!</v>
      </c>
      <c r="QY60" s="962" t="e">
        <f>[1]!taqsh(1,1,[1]!roz(QY56+1,QY59,0,0),QY57)</f>
        <v>#VALUE!</v>
      </c>
      <c r="QZ60" s="962" t="e">
        <f>[1]!taqsh(1,1,[1]!roz(QZ56+1,QZ59,0,0),QZ57)</f>
        <v>#VALUE!</v>
      </c>
      <c r="RA60" s="962" t="e">
        <f>[1]!taqsh(1,1,[1]!roz(RA56+1,RA59,0,0),RA57)</f>
        <v>#VALUE!</v>
      </c>
      <c r="RC60" s="797"/>
    </row>
    <row r="61" spans="1:471" ht="17.25">
      <c r="B61" s="2"/>
      <c r="C61" s="2">
        <f>C64+720390</f>
        <v>1743886</v>
      </c>
      <c r="D61" s="2">
        <f>INT(C61/365)</f>
        <v>4777</v>
      </c>
      <c r="E61" s="2">
        <f>INT(MOD(C61,365)/30)</f>
        <v>9</v>
      </c>
      <c r="F61" s="2">
        <f>MOD(MOD(C61,365),30)</f>
        <v>11</v>
      </c>
      <c r="G61" s="2">
        <f>365-(MOD(C61,365))</f>
        <v>84</v>
      </c>
      <c r="H61" s="2">
        <f>INT(G61/30)</f>
        <v>2</v>
      </c>
      <c r="I61" s="2" t="str">
        <f>IF(H61=0,"توث",IF(H61=1,"ماوبی",IF(H61=2,"اثور",IF(H61=3,"خواق",IF(H61=4,"طوبی",IF(H61=5,"ماخیر",IF(H61=6,"فامانوث",IF(H61=7,"فرموثی",IF(H61=8,"ماخور",IF(H61=9,"بورنی",IF(H61=10,"انیقی",IF(H61=11,"ماسوری","خمسه مسترقه"))))))))))))</f>
        <v>اثور</v>
      </c>
      <c r="J61" s="2">
        <f>MOD(G61,30)+1</f>
        <v>25</v>
      </c>
      <c r="K61" s="2">
        <f>MOD((G61+1),7)</f>
        <v>1</v>
      </c>
      <c r="L61" s="2" t="str">
        <f>IF(K61=1,"جمعه",IF(K61=2,"پنج شنبه",IF(K61=3,"چهارشنبه",IF(K61=4,"سه شنبه",IF(K61=5,"دو شنبه",IF(K61=6,"یک شنبه",IF(K61=0,"شنبه")))))))</f>
        <v>جمعه</v>
      </c>
      <c r="M61" s="2">
        <v>2243687</v>
      </c>
      <c r="N61" s="2">
        <f>MOD(M61,7)</f>
        <v>5</v>
      </c>
      <c r="O61" s="2">
        <f>INT(M61/M59)</f>
        <v>6331</v>
      </c>
      <c r="P61" s="2">
        <f>((M61/M59)-O61)*M59</f>
        <v>191.63333333757606</v>
      </c>
      <c r="Q61" s="2">
        <f>M59-P61</f>
        <v>162.73333332908993</v>
      </c>
      <c r="R61" s="2"/>
      <c r="S61" s="2"/>
      <c r="T61" s="2"/>
      <c r="U61" s="2"/>
      <c r="V61" s="2"/>
      <c r="W61" s="2"/>
      <c r="X61" s="2"/>
      <c r="Y61" s="2"/>
      <c r="Z61" s="2"/>
      <c r="AA61" s="2"/>
      <c r="AB61" s="2"/>
      <c r="AC61" s="2"/>
      <c r="AK61" s="112"/>
      <c r="AL61" s="701"/>
      <c r="AM61" s="304"/>
      <c r="AN61" s="304"/>
      <c r="AO61" s="304"/>
      <c r="AP61" s="304"/>
      <c r="AQ61" s="304"/>
      <c r="AR61" s="304"/>
      <c r="AS61" s="304"/>
      <c r="AT61" s="304"/>
      <c r="AU61" s="304"/>
      <c r="AV61" s="304"/>
      <c r="AW61" s="314"/>
      <c r="AX61" s="314"/>
      <c r="DH61" s="797"/>
      <c r="DI61" s="797" t="s">
        <v>698</v>
      </c>
      <c r="DJ61" s="961" t="e">
        <f>[1]!taqq(1,1,[1]!roz(DJ56+1,DJ59,0,0),DJ57)</f>
        <v>#VALUE!</v>
      </c>
      <c r="DK61" s="962" t="e">
        <f>[1]!taqq(1,1,[1]!roz(DK56+1,DK59,0,0),DK57)</f>
        <v>#VALUE!</v>
      </c>
      <c r="DL61" s="962" t="e">
        <f>[1]!taqq(1,1,[1]!roz(DL56+1,DL59,0,0),DL57)</f>
        <v>#VALUE!</v>
      </c>
      <c r="DM61" s="962" t="e">
        <f>[1]!taqq(1,1,[1]!roz(DM56+1,DM59,0,0),DM57)</f>
        <v>#VALUE!</v>
      </c>
      <c r="DN61" s="962" t="e">
        <f>[1]!taqq(1,1,[1]!roz(DN56+1,DN59,0,0),DN57)</f>
        <v>#VALUE!</v>
      </c>
      <c r="DO61" s="962" t="e">
        <f>[1]!taqq(1,1,[1]!roz(DO56+1,DO59,0,0),DO57)</f>
        <v>#VALUE!</v>
      </c>
      <c r="DP61" s="962" t="e">
        <f>[1]!taqq(1,1,[1]!roz(DP56+1,DP59,0,0),DP57)</f>
        <v>#VALUE!</v>
      </c>
      <c r="DQ61" s="962" t="e">
        <f>[1]!taqq(1,1,[1]!roz(DQ56+1,DQ59,0,0),DQ57)</f>
        <v>#VALUE!</v>
      </c>
      <c r="DR61" s="962" t="e">
        <f>[1]!taqq(1,1,[1]!roz(DR56+1,DR59,0,0),DR57)</f>
        <v>#VALUE!</v>
      </c>
      <c r="DS61" s="962" t="e">
        <f>[1]!taqq(1,1,[1]!roz(DS56+1,DS59,0,0),DS57)</f>
        <v>#VALUE!</v>
      </c>
      <c r="DT61" s="962" t="e">
        <f>[1]!taqq(1,1,[1]!roz(DT56+1,DT59,0,0),DT57)</f>
        <v>#VALUE!</v>
      </c>
      <c r="DU61" s="962" t="e">
        <f>[1]!taqq(1,1,[1]!roz(DU56+1,DU59,0,0),DU57)</f>
        <v>#VALUE!</v>
      </c>
      <c r="DV61" s="962" t="e">
        <f>[1]!taqq(1,1,[1]!roz(DV56+1,DV59,0,0),DV57)</f>
        <v>#VALUE!</v>
      </c>
      <c r="DW61" s="962" t="e">
        <f>[1]!taqq(1,1,[1]!roz(DW56+1,DW59,0,0),DW57)</f>
        <v>#VALUE!</v>
      </c>
      <c r="DX61" s="962" t="e">
        <f>[1]!taqq(1,1,[1]!roz(DX56+1,DX59,0,0),DX57)</f>
        <v>#VALUE!</v>
      </c>
      <c r="DY61" s="962" t="e">
        <f>[1]!taqq(1,1,[1]!roz(DY56+1,DY59,0,0),DY57)</f>
        <v>#VALUE!</v>
      </c>
      <c r="DZ61" s="962" t="e">
        <f>[1]!taqq(1,1,[1]!roz(DZ56+1,DZ59,0,0),DZ57)</f>
        <v>#VALUE!</v>
      </c>
      <c r="EA61" s="962" t="e">
        <f>[1]!taqq(1,1,[1]!roz(EA56+1,EA59,0,0),EA57)</f>
        <v>#VALUE!</v>
      </c>
      <c r="EB61" s="962" t="e">
        <f>[1]!taqq(1,1,[1]!roz(EB56+1,EB59,0,0),EB57)</f>
        <v>#VALUE!</v>
      </c>
      <c r="EC61" s="962" t="e">
        <f>[1]!taqq(1,1,[1]!roz(EC56+1,EC59,0,0),EC57)</f>
        <v>#VALUE!</v>
      </c>
      <c r="ED61" s="962" t="e">
        <f>[1]!taqq(1,1,[1]!roz(ED56+1,ED59,0,0),ED57)</f>
        <v>#VALUE!</v>
      </c>
      <c r="EE61" s="962" t="e">
        <f>[1]!taqq(1,1,[1]!roz(EE56+1,EE59,0,0),EE57)</f>
        <v>#VALUE!</v>
      </c>
      <c r="EF61" s="962" t="e">
        <f>[1]!taqq(1,1,[1]!roz(EF56+1,EF59,0,0),EF57)</f>
        <v>#VALUE!</v>
      </c>
      <c r="EG61" s="962" t="e">
        <f>[1]!taqq(1,1,[1]!roz(EG56+1,EG59,0,0),EG57)</f>
        <v>#VALUE!</v>
      </c>
      <c r="EH61" s="962" t="e">
        <f>[1]!taqq(1,1,[1]!roz(EH56+1,EH59,0,0),EH57)</f>
        <v>#VALUE!</v>
      </c>
      <c r="EI61" s="962" t="e">
        <f>[1]!taqq(1,1,[1]!roz(EI56+1,EI59,0,0),EI57)</f>
        <v>#VALUE!</v>
      </c>
      <c r="EJ61" s="962" t="e">
        <f>[1]!taqq(1,1,[1]!roz(EJ56+1,EJ59,0,0),EJ57)</f>
        <v>#VALUE!</v>
      </c>
      <c r="EK61" s="962" t="e">
        <f>[1]!taqq(1,1,[1]!roz(EK56+1,EK59,0,0),EK57)</f>
        <v>#VALUE!</v>
      </c>
      <c r="EL61" s="962" t="e">
        <f>[1]!taqq(1,1,[1]!roz(EL56+1,EL59,0,0),EL57)</f>
        <v>#VALUE!</v>
      </c>
      <c r="EM61" s="962" t="e">
        <f>[1]!taqq(1,1,[1]!roz(EM56+1,EM59,0,0),EM57)</f>
        <v>#VALUE!</v>
      </c>
      <c r="EN61" s="962" t="e">
        <f>[1]!taqq(1,1,[1]!roz(EN56+1,EN59,0,0),EN57)</f>
        <v>#VALUE!</v>
      </c>
      <c r="EO61" s="962" t="e">
        <f>[1]!taqq(1,1,[1]!roz(EO56+1,EO59,0,0),EO57)</f>
        <v>#VALUE!</v>
      </c>
      <c r="EP61" s="962" t="e">
        <f>[1]!taqq(1,1,[1]!roz(EP56+1,EP59,0,0),EP57)</f>
        <v>#VALUE!</v>
      </c>
      <c r="EQ61" s="962" t="e">
        <f>[1]!taqq(1,1,[1]!roz(EQ56+1,EQ59,0,0),EQ57)</f>
        <v>#VALUE!</v>
      </c>
      <c r="ER61" s="962" t="e">
        <f>[1]!taqq(1,1,[1]!roz(ER56+1,ER59,0,0),ER57)</f>
        <v>#VALUE!</v>
      </c>
      <c r="ES61" s="962" t="e">
        <f>[1]!taqq(1,1,[1]!roz(ES56+1,ES59,0,0),ES57)</f>
        <v>#VALUE!</v>
      </c>
      <c r="ET61" s="962" t="e">
        <f>[1]!taqq(1,1,[1]!roz(ET56+1,ET59,0,0),ET57)</f>
        <v>#VALUE!</v>
      </c>
      <c r="EU61" s="962" t="e">
        <f>[1]!taqq(1,1,[1]!roz(EU56+1,EU59,0,0),EU57)</f>
        <v>#VALUE!</v>
      </c>
      <c r="EV61" s="962" t="e">
        <f>[1]!taqq(1,1,[1]!roz(EV56+1,EV59,0,0),EV57)</f>
        <v>#VALUE!</v>
      </c>
      <c r="EW61" s="962" t="e">
        <f>[1]!taqq(1,1,[1]!roz(EW56+1,EW59,0,0),EW57)</f>
        <v>#VALUE!</v>
      </c>
      <c r="EX61" s="962" t="e">
        <f>[1]!taqq(1,1,[1]!roz(EX56+1,EX59,0,0),EX57)</f>
        <v>#VALUE!</v>
      </c>
      <c r="EY61" s="962" t="e">
        <f>[1]!taqq(1,1,[1]!roz(EY56+1,EY59,0,0),EY57)</f>
        <v>#VALUE!</v>
      </c>
      <c r="EZ61" s="962" t="e">
        <f>[1]!taqq(1,1,[1]!roz(EZ56+1,EZ59,0,0),EZ57)</f>
        <v>#VALUE!</v>
      </c>
      <c r="FA61" s="962" t="e">
        <f>[1]!taqq(1,1,[1]!roz(FA56+1,FA59,0,0),FA57)</f>
        <v>#VALUE!</v>
      </c>
      <c r="FB61" s="962" t="e">
        <f>[1]!taqq(1,1,[1]!roz(FB56+1,FB59,0,0),FB57)</f>
        <v>#VALUE!</v>
      </c>
      <c r="FC61" s="962" t="e">
        <f>[1]!taqq(1,1,[1]!roz(FC56+1,FC59,0,0),FC57)</f>
        <v>#VALUE!</v>
      </c>
      <c r="FD61" s="962" t="e">
        <f>[1]!taqq(1,1,[1]!roz(FD56+1,FD59,0,0),FD57)</f>
        <v>#VALUE!</v>
      </c>
      <c r="FE61" s="962" t="e">
        <f>[1]!taqq(1,1,[1]!roz(FE56+1,FE59,0,0),FE57)</f>
        <v>#VALUE!</v>
      </c>
      <c r="FF61" s="962" t="e">
        <f>[1]!taqq(1,1,[1]!roz(FF56+1,FF59,0,0),FF57)</f>
        <v>#VALUE!</v>
      </c>
      <c r="FG61" s="962" t="e">
        <f>[1]!taqq(1,1,[1]!roz(FG56+1,FG59,0,0),FG57)</f>
        <v>#VALUE!</v>
      </c>
      <c r="FH61" s="962" t="e">
        <f>[1]!taqq(1,1,[1]!roz(FH56+1,FH59,0,0),FH57)</f>
        <v>#VALUE!</v>
      </c>
      <c r="FI61" s="962" t="e">
        <f>[1]!taqq(1,1,[1]!roz(FI56+1,FI59,0,0),FI57)</f>
        <v>#VALUE!</v>
      </c>
      <c r="FJ61" s="962" t="e">
        <f>[1]!taqq(1,1,[1]!roz(FJ56+1,FJ59,0,0),FJ57)</f>
        <v>#VALUE!</v>
      </c>
      <c r="FK61" s="962" t="e">
        <f>[1]!taqq(1,1,[1]!roz(FK56+1,FK59,0,0),FK57)</f>
        <v>#VALUE!</v>
      </c>
      <c r="FL61" s="962" t="e">
        <f>[1]!taqq(1,1,[1]!roz(FL56+1,FL59,0,0),FL57)</f>
        <v>#VALUE!</v>
      </c>
      <c r="FM61" s="962" t="e">
        <f>[1]!taqq(1,1,[1]!roz(FM56+1,FM59,0,0),FM57)</f>
        <v>#VALUE!</v>
      </c>
      <c r="FN61" s="962" t="e">
        <f>[1]!taqq(1,1,[1]!roz(FN56+1,FN59,0,0),FN57)</f>
        <v>#VALUE!</v>
      </c>
      <c r="FO61" s="962" t="e">
        <f>[1]!taqq(1,1,[1]!roz(FO56+1,FO59,0,0),FO57)</f>
        <v>#VALUE!</v>
      </c>
      <c r="FP61" s="962" t="e">
        <f>[1]!taqq(1,1,[1]!roz(FP56+1,FP59,0,0),FP57)</f>
        <v>#VALUE!</v>
      </c>
      <c r="FQ61" s="962" t="e">
        <f>[1]!taqq(1,1,[1]!roz(FQ56+1,FQ59,0,0),FQ57)</f>
        <v>#VALUE!</v>
      </c>
      <c r="FR61" s="962" t="e">
        <f>[1]!taqq(1,1,[1]!roz(FR56+1,FR59,0,0),FR57)</f>
        <v>#VALUE!</v>
      </c>
      <c r="FS61" s="962" t="e">
        <f>[1]!taqq(1,1,[1]!roz(FS56+1,FS59,0,0),FS57)</f>
        <v>#VALUE!</v>
      </c>
      <c r="FT61" s="962" t="e">
        <f>[1]!taqq(1,1,[1]!roz(FT56+1,FT59,0,0),FT57)</f>
        <v>#VALUE!</v>
      </c>
      <c r="FU61" s="962" t="e">
        <f>[1]!taqq(1,1,[1]!roz(FU56+1,FU59,0,0),FU57)</f>
        <v>#VALUE!</v>
      </c>
      <c r="FV61" s="962" t="e">
        <f>[1]!taqq(1,1,[1]!roz(FV56+1,FV59,0,0),FV57)</f>
        <v>#VALUE!</v>
      </c>
      <c r="FW61" s="962" t="e">
        <f>[1]!taqq(1,1,[1]!roz(FW56+1,FW59,0,0),FW57)</f>
        <v>#VALUE!</v>
      </c>
      <c r="FX61" s="962" t="e">
        <f>[1]!taqq(1,1,[1]!roz(FX56+1,FX59,0,0),FX57)</f>
        <v>#VALUE!</v>
      </c>
      <c r="FY61" s="962" t="e">
        <f>[1]!taqq(1,1,[1]!roz(FY56+1,FY59,0,0),FY57)</f>
        <v>#VALUE!</v>
      </c>
      <c r="FZ61" s="962" t="e">
        <f>[1]!taqq(1,1,[1]!roz(FZ56+1,FZ59,0,0),FZ57)</f>
        <v>#VALUE!</v>
      </c>
      <c r="GA61" s="962" t="e">
        <f>[1]!taqq(1,1,[1]!roz(GA56+1,GA59,0,0),GA57)</f>
        <v>#VALUE!</v>
      </c>
      <c r="GB61" s="962" t="e">
        <f>[1]!taqq(1,1,[1]!roz(GB56+1,GB59,0,0),GB57)</f>
        <v>#VALUE!</v>
      </c>
      <c r="GC61" s="962" t="e">
        <f>[1]!taqq(1,1,[1]!roz(GC56+1,GC59,0,0),GC57)</f>
        <v>#VALUE!</v>
      </c>
      <c r="GD61" s="962" t="e">
        <f>[1]!taqq(1,1,[1]!roz(GD56+1,GD59,0,0),GD57)</f>
        <v>#VALUE!</v>
      </c>
      <c r="GE61" s="962" t="e">
        <f>[1]!taqq(1,1,[1]!roz(GE56+1,GE59,0,0),GE57)</f>
        <v>#VALUE!</v>
      </c>
      <c r="GF61" s="962" t="e">
        <f>[1]!taqq(1,1,[1]!roz(GF56+1,GF59,0,0),GF57)</f>
        <v>#VALUE!</v>
      </c>
      <c r="GG61" s="962" t="e">
        <f>[1]!taqq(1,1,[1]!roz(GG56+1,GG59,0,0),GG57)</f>
        <v>#VALUE!</v>
      </c>
      <c r="GH61" s="962" t="e">
        <f>[1]!taqq(1,1,[1]!roz(GH56+1,GH59,0,0),GH57)</f>
        <v>#VALUE!</v>
      </c>
      <c r="GI61" s="962" t="e">
        <f>[1]!taqq(1,1,[1]!roz(GI56+1,GI59,0,0),GI57)</f>
        <v>#VALUE!</v>
      </c>
      <c r="GJ61" s="962" t="e">
        <f>[1]!taqq(1,1,[1]!roz(GJ56+1,GJ59,0,0),GJ57)</f>
        <v>#VALUE!</v>
      </c>
      <c r="GK61" s="962" t="e">
        <f>[1]!taqq(1,1,[1]!roz(GK56+1,GK59,0,0),GK57)</f>
        <v>#VALUE!</v>
      </c>
      <c r="GL61" s="962" t="e">
        <f>[1]!taqq(1,1,[1]!roz(GL56+1,GL59,0,0),GL57)</f>
        <v>#VALUE!</v>
      </c>
      <c r="GM61" s="962" t="e">
        <f>[1]!taqq(1,1,[1]!roz(GM56+1,GM59,0,0),GM57)</f>
        <v>#VALUE!</v>
      </c>
      <c r="GN61" s="962" t="e">
        <f>[1]!taqq(1,1,[1]!roz(GN56+1,GN59,0,0),GN57)</f>
        <v>#VALUE!</v>
      </c>
      <c r="GO61" s="962" t="e">
        <f>[1]!taqq(1,1,[1]!roz(GO56+1,GO59,0,0),GO57)</f>
        <v>#VALUE!</v>
      </c>
      <c r="GP61" s="962" t="e">
        <f>[1]!taqq(1,1,[1]!roz(GP56+1,GP59,0,0),GP57)</f>
        <v>#VALUE!</v>
      </c>
      <c r="GQ61" s="962" t="e">
        <f>[1]!taqq(1,1,[1]!roz(GQ56+1,GQ59,0,0),GQ57)</f>
        <v>#VALUE!</v>
      </c>
      <c r="GR61" s="962" t="e">
        <f>[1]!taqq(1,1,[1]!roz(GR56+1,GR59,0,0),GR57)</f>
        <v>#VALUE!</v>
      </c>
      <c r="GS61" s="962" t="e">
        <f>[1]!taqq(1,1,[1]!roz(GS56+1,GS59,0,0),GS57)</f>
        <v>#VALUE!</v>
      </c>
      <c r="GT61" s="962" t="e">
        <f>[1]!taqq(1,1,[1]!roz(GT56+1,GT59,0,0),GT57)</f>
        <v>#VALUE!</v>
      </c>
      <c r="GU61" s="962" t="e">
        <f>[1]!taqq(1,1,[1]!roz(GU56+1,GU59,0,0),GU57)</f>
        <v>#VALUE!</v>
      </c>
      <c r="GV61" s="962" t="e">
        <f>[1]!taqq(1,1,[1]!roz(GV56+1,GV59,0,0),GV57)</f>
        <v>#VALUE!</v>
      </c>
      <c r="GW61" s="962" t="e">
        <f>[1]!taqq(1,1,[1]!roz(GW56+1,GW59,0,0),GW57)</f>
        <v>#VALUE!</v>
      </c>
      <c r="GX61" s="962" t="e">
        <f>[1]!taqq(1,1,[1]!roz(GX56+1,GX59,0,0),GX57)</f>
        <v>#VALUE!</v>
      </c>
      <c r="GY61" s="962" t="e">
        <f>[1]!taqq(1,1,[1]!roz(GY56+1,GY59,0,0),GY57)</f>
        <v>#VALUE!</v>
      </c>
      <c r="GZ61" s="962" t="e">
        <f>[1]!taqq(1,1,[1]!roz(GZ56+1,GZ59,0,0),GZ57)</f>
        <v>#VALUE!</v>
      </c>
      <c r="HA61" s="962" t="e">
        <f>[1]!taqq(1,1,[1]!roz(HA56+1,HA59,0,0),HA57)</f>
        <v>#VALUE!</v>
      </c>
      <c r="HB61" s="962" t="e">
        <f>[1]!taqq(1,1,[1]!roz(HB56+1,HB59,0,0),HB57)</f>
        <v>#VALUE!</v>
      </c>
      <c r="HC61" s="962" t="e">
        <f>[1]!taqq(1,1,[1]!roz(HC56+1,HC59,0,0),HC57)</f>
        <v>#VALUE!</v>
      </c>
      <c r="HD61" s="962" t="e">
        <f>[1]!taqq(1,1,[1]!roz(HD56+1,HD59,0,0),HD57)</f>
        <v>#VALUE!</v>
      </c>
      <c r="HE61" s="962" t="e">
        <f>[1]!taqq(1,1,[1]!roz(HE56+1,HE59,0,0),HE57)</f>
        <v>#VALUE!</v>
      </c>
      <c r="HF61" s="962" t="e">
        <f>[1]!taqq(1,1,[1]!roz(HF56+1,HF59,0,0),HF57)</f>
        <v>#VALUE!</v>
      </c>
      <c r="HG61" s="962" t="e">
        <f>[1]!taqq(1,1,[1]!roz(HG56+1,HG59,0,0),HG57)</f>
        <v>#VALUE!</v>
      </c>
      <c r="HH61" s="962" t="e">
        <f>[1]!taqq(1,1,[1]!roz(HH56+1,HH59,0,0),HH57)</f>
        <v>#VALUE!</v>
      </c>
      <c r="HI61" s="962" t="e">
        <f>[1]!taqq(1,1,[1]!roz(HI56+1,HI59,0,0),HI57)</f>
        <v>#VALUE!</v>
      </c>
      <c r="HJ61" s="962" t="e">
        <f>[1]!taqq(1,1,[1]!roz(HJ56+1,HJ59,0,0),HJ57)</f>
        <v>#VALUE!</v>
      </c>
      <c r="HK61" s="962" t="e">
        <f>[1]!taqq(1,1,[1]!roz(HK56+1,HK59,0,0),HK57)</f>
        <v>#VALUE!</v>
      </c>
      <c r="HL61" s="962" t="e">
        <f>[1]!taqq(1,1,[1]!roz(HL56+1,HL59,0,0),HL57)</f>
        <v>#VALUE!</v>
      </c>
      <c r="HM61" s="962" t="e">
        <f>[1]!taqq(1,1,[1]!roz(HM56+1,HM59,0,0),HM57)</f>
        <v>#VALUE!</v>
      </c>
      <c r="HN61" s="962" t="e">
        <f>[1]!taqq(1,1,[1]!roz(HN56+1,HN59,0,0),HN57)</f>
        <v>#VALUE!</v>
      </c>
      <c r="HO61" s="962" t="e">
        <f>[1]!taqq(1,1,[1]!roz(HO56+1,HO59,0,0),HO57)</f>
        <v>#VALUE!</v>
      </c>
      <c r="HP61" s="962" t="e">
        <f>[1]!taqq(1,1,[1]!roz(HP56+1,HP59,0,0),HP57)</f>
        <v>#VALUE!</v>
      </c>
      <c r="HQ61" s="962" t="e">
        <f>[1]!taqq(1,1,[1]!roz(HQ56+1,HQ59,0,0),HQ57)</f>
        <v>#VALUE!</v>
      </c>
      <c r="HR61" s="962" t="e">
        <f>[1]!taqq(1,1,[1]!roz(HR56+1,HR59,0,0),HR57)</f>
        <v>#VALUE!</v>
      </c>
      <c r="HS61" s="962" t="e">
        <f>[1]!taqq(1,1,[1]!roz(HS56+1,HS59,0,0),HS57)</f>
        <v>#VALUE!</v>
      </c>
      <c r="HT61" s="962" t="e">
        <f>[1]!taqq(1,1,[1]!roz(HT56+1,HT59,0,0),HT57)</f>
        <v>#VALUE!</v>
      </c>
      <c r="HU61" s="962" t="e">
        <f>[1]!taqq(1,1,[1]!roz(HU56+1,HU59,0,0),HU57)</f>
        <v>#VALUE!</v>
      </c>
      <c r="HV61" s="962" t="e">
        <f>[1]!taqq(1,1,[1]!roz(HV56+1,HV59,0,0),HV57)</f>
        <v>#VALUE!</v>
      </c>
      <c r="HW61" s="962" t="e">
        <f>[1]!taqq(1,1,[1]!roz(HW56+1,HW59,0,0),HW57)</f>
        <v>#VALUE!</v>
      </c>
      <c r="HX61" s="962" t="e">
        <f>[1]!taqq(1,1,[1]!roz(HX56+1,HX59,0,0),HX57)</f>
        <v>#VALUE!</v>
      </c>
      <c r="HY61" s="962" t="e">
        <f>[1]!taqq(1,1,[1]!roz(HY56+1,HY59,0,0),HY57)</f>
        <v>#VALUE!</v>
      </c>
      <c r="HZ61" s="962" t="e">
        <f>[1]!taqq(1,1,[1]!roz(HZ56+1,HZ59,0,0),HZ57)</f>
        <v>#VALUE!</v>
      </c>
      <c r="IA61" s="962" t="e">
        <f>[1]!taqq(1,1,[1]!roz(IA56+1,IA59,0,0),IA57)</f>
        <v>#VALUE!</v>
      </c>
      <c r="IB61" s="962" t="e">
        <f>[1]!taqq(1,1,[1]!roz(IB56+1,IB59,0,0),IB57)</f>
        <v>#VALUE!</v>
      </c>
      <c r="IC61" s="962" t="e">
        <f>[1]!taqq(1,1,[1]!roz(IC56+1,IC59,0,0),IC57)</f>
        <v>#VALUE!</v>
      </c>
      <c r="ID61" s="962" t="e">
        <f>[1]!taqq(1,1,[1]!roz(ID56+1,ID59,0,0),ID57)</f>
        <v>#VALUE!</v>
      </c>
      <c r="IE61" s="962" t="e">
        <f>[1]!taqq(1,1,[1]!roz(IE56+1,IE59,0,0),IE57)</f>
        <v>#VALUE!</v>
      </c>
      <c r="IF61" s="962" t="e">
        <f>[1]!taqq(1,1,[1]!roz(IF56+1,IF59,0,0),IF57)</f>
        <v>#VALUE!</v>
      </c>
      <c r="IG61" s="962" t="e">
        <f>[1]!taqq(1,1,[1]!roz(IG56+1,IG59,0,0),IG57)</f>
        <v>#VALUE!</v>
      </c>
      <c r="IH61" s="962" t="e">
        <f>[1]!taqq(1,1,[1]!roz(IH56+1,IH59,0,0),IH57)</f>
        <v>#VALUE!</v>
      </c>
      <c r="II61" s="962" t="e">
        <f>[1]!taqq(1,1,[1]!roz(II56+1,II59,0,0),II57)</f>
        <v>#VALUE!</v>
      </c>
      <c r="IJ61" s="962" t="e">
        <f>[1]!taqq(1,1,[1]!roz(IJ56+1,IJ59,0,0),IJ57)</f>
        <v>#VALUE!</v>
      </c>
      <c r="IK61" s="962" t="e">
        <f>[1]!taqq(1,1,[1]!roz(IK56+1,IK59,0,0),IK57)</f>
        <v>#VALUE!</v>
      </c>
      <c r="IL61" s="962" t="e">
        <f>[1]!taqq(1,1,[1]!roz(IL56+1,IL59,0,0),IL57)</f>
        <v>#VALUE!</v>
      </c>
      <c r="IM61" s="962" t="e">
        <f>[1]!taqq(1,1,[1]!roz(IM56+1,IM59,0,0),IM57)</f>
        <v>#VALUE!</v>
      </c>
      <c r="IN61" s="962" t="e">
        <f>[1]!taqq(1,1,[1]!roz(IN56+1,IN59,0,0),IN57)</f>
        <v>#VALUE!</v>
      </c>
      <c r="IO61" s="962" t="e">
        <f>[1]!taqq(1,1,[1]!roz(IO56+1,IO59,0,0),IO57)</f>
        <v>#VALUE!</v>
      </c>
      <c r="IP61" s="962" t="e">
        <f>[1]!taqq(1,1,[1]!roz(IP56+1,IP59,0,0),IP57)</f>
        <v>#VALUE!</v>
      </c>
      <c r="IQ61" s="962" t="e">
        <f>[1]!taqq(1,1,[1]!roz(IQ56+1,IQ59,0,0),IQ57)</f>
        <v>#VALUE!</v>
      </c>
      <c r="IR61" s="962" t="e">
        <f>[1]!taqq(1,1,[1]!roz(IR56+1,IR59,0,0),IR57)</f>
        <v>#VALUE!</v>
      </c>
      <c r="IS61" s="962" t="e">
        <f>[1]!taqq(1,1,[1]!roz(IS56+1,IS59,0,0),IS57)</f>
        <v>#VALUE!</v>
      </c>
      <c r="IT61" s="962" t="e">
        <f>[1]!taqq(1,1,[1]!roz(IT56+1,IT59,0,0),IT57)</f>
        <v>#VALUE!</v>
      </c>
      <c r="IU61" s="962" t="e">
        <f>[1]!taqq(1,1,[1]!roz(IU56+1,IU59,0,0),IU57)</f>
        <v>#VALUE!</v>
      </c>
      <c r="IV61" s="962" t="e">
        <f>[1]!taqq(1,1,[1]!roz(IV56+1,IV59,0,0),IV57)</f>
        <v>#VALUE!</v>
      </c>
      <c r="IW61" s="962" t="e">
        <f>[1]!taqq(1,1,[1]!roz(IW56+1,IW59,0,0),IW57)</f>
        <v>#VALUE!</v>
      </c>
      <c r="IX61" s="962" t="e">
        <f>[1]!taqq(1,1,[1]!roz(IX56+1,IX59,0,0),IX57)</f>
        <v>#VALUE!</v>
      </c>
      <c r="IY61" s="962" t="e">
        <f>[1]!taqq(1,1,[1]!roz(IY56+1,IY59,0,0),IY57)</f>
        <v>#VALUE!</v>
      </c>
      <c r="IZ61" s="962" t="e">
        <f>[1]!taqq(1,1,[1]!roz(IZ56+1,IZ59,0,0),IZ57)</f>
        <v>#VALUE!</v>
      </c>
      <c r="JA61" s="962" t="e">
        <f>[1]!taqq(1,1,[1]!roz(JA56+1,JA59,0,0),JA57)</f>
        <v>#VALUE!</v>
      </c>
      <c r="JB61" s="962" t="e">
        <f>[1]!taqq(1,1,[1]!roz(JB56+1,JB59,0,0),JB57)</f>
        <v>#VALUE!</v>
      </c>
      <c r="JC61" s="962" t="e">
        <f>[1]!taqq(1,1,[1]!roz(JC56+1,JC59,0,0),JC57)</f>
        <v>#VALUE!</v>
      </c>
      <c r="JD61" s="962" t="e">
        <f>[1]!taqq(1,1,[1]!roz(JD56+1,JD59,0,0),JD57)</f>
        <v>#VALUE!</v>
      </c>
      <c r="JE61" s="962" t="e">
        <f>[1]!taqq(1,1,[1]!roz(JE56+1,JE59,0,0),JE57)</f>
        <v>#VALUE!</v>
      </c>
      <c r="JF61" s="962" t="e">
        <f>[1]!taqq(1,1,[1]!roz(JF56+1,JF59,0,0),JF57)</f>
        <v>#VALUE!</v>
      </c>
      <c r="JG61" s="962" t="e">
        <f>[1]!taqq(1,1,[1]!roz(JG56+1,JG59,0,0),JG57)</f>
        <v>#VALUE!</v>
      </c>
      <c r="JH61" s="962" t="e">
        <f>[1]!taqq(1,1,[1]!roz(JH56+1,JH59,0,0),JH57)</f>
        <v>#VALUE!</v>
      </c>
      <c r="JI61" s="962" t="e">
        <f>[1]!taqq(1,1,[1]!roz(JI56+1,JI59,0,0),JI57)</f>
        <v>#VALUE!</v>
      </c>
      <c r="JJ61" s="962" t="e">
        <f>[1]!taqq(1,1,[1]!roz(JJ56+1,JJ59,0,0),JJ57)</f>
        <v>#VALUE!</v>
      </c>
      <c r="JK61" s="962" t="e">
        <f>[1]!taqq(1,1,[1]!roz(JK56+1,JK59,0,0),JK57)</f>
        <v>#VALUE!</v>
      </c>
      <c r="JL61" s="962" t="e">
        <f>[1]!taqq(1,1,[1]!roz(JL56+1,JL59,0,0),JL57)</f>
        <v>#VALUE!</v>
      </c>
      <c r="JM61" s="962" t="e">
        <f>[1]!taqq(1,1,[1]!roz(JM56+1,JM59,0,0),JM57)</f>
        <v>#VALUE!</v>
      </c>
      <c r="JN61" s="962" t="e">
        <f>[1]!taqq(1,1,[1]!roz(JN56+1,JN59,0,0),JN57)</f>
        <v>#VALUE!</v>
      </c>
      <c r="JO61" s="962" t="e">
        <f>[1]!taqq(1,1,[1]!roz(JO56+1,JO59,0,0),JO57)</f>
        <v>#VALUE!</v>
      </c>
      <c r="JP61" s="962" t="e">
        <f>[1]!taqq(1,1,[1]!roz(JP56+1,JP59,0,0),JP57)</f>
        <v>#VALUE!</v>
      </c>
      <c r="JQ61" s="962" t="e">
        <f>[1]!taqq(1,1,[1]!roz(JQ56+1,JQ59,0,0),JQ57)</f>
        <v>#VALUE!</v>
      </c>
      <c r="JR61" s="962" t="e">
        <f>[1]!taqq(1,1,[1]!roz(JR56+1,JR59,0,0),JR57)</f>
        <v>#VALUE!</v>
      </c>
      <c r="JS61" s="962" t="e">
        <f>[1]!taqq(1,1,[1]!roz(JS56+1,JS59,0,0),JS57)</f>
        <v>#VALUE!</v>
      </c>
      <c r="JT61" s="962" t="e">
        <f>[1]!taqq(1,1,[1]!roz(JT56+1,JT59,0,0),JT57)</f>
        <v>#VALUE!</v>
      </c>
      <c r="JU61" s="962" t="e">
        <f>[1]!taqq(1,1,[1]!roz(JU56+1,JU59,0,0),JU57)</f>
        <v>#VALUE!</v>
      </c>
      <c r="JV61" s="962" t="e">
        <f>[1]!taqq(1,1,[1]!roz(JV56+1,JV59,0,0),JV57)</f>
        <v>#VALUE!</v>
      </c>
      <c r="JW61" s="962" t="e">
        <f>[1]!taqq(1,1,[1]!roz(JW56+1,JW59,0,0),JW57)</f>
        <v>#VALUE!</v>
      </c>
      <c r="JX61" s="962" t="e">
        <f>[1]!taqq(1,1,[1]!roz(JX56+1,JX59,0,0),JX57)</f>
        <v>#VALUE!</v>
      </c>
      <c r="JY61" s="962" t="e">
        <f>[1]!taqq(1,1,[1]!roz(JY56+1,JY59,0,0),JY57)</f>
        <v>#VALUE!</v>
      </c>
      <c r="JZ61" s="962" t="e">
        <f>[1]!taqq(1,1,[1]!roz(JZ56+1,JZ59,0,0),JZ57)</f>
        <v>#VALUE!</v>
      </c>
      <c r="KA61" s="962" t="e">
        <f>[1]!taqq(1,1,[1]!roz(KA56+1,KA59,0,0),KA57)</f>
        <v>#VALUE!</v>
      </c>
      <c r="KB61" s="962" t="e">
        <f>[1]!taqq(1,1,[1]!roz(KB56+1,KB59,0,0),KB57)</f>
        <v>#VALUE!</v>
      </c>
      <c r="KC61" s="962" t="e">
        <f>[1]!taqq(1,1,[1]!roz(KC56+1,KC59,0,0),KC57)</f>
        <v>#VALUE!</v>
      </c>
      <c r="KD61" s="962" t="e">
        <f>[1]!taqq(1,1,[1]!roz(KD56+1,KD59,0,0),KD57)</f>
        <v>#VALUE!</v>
      </c>
      <c r="KE61" s="962" t="e">
        <f>[1]!taqq(1,1,[1]!roz(KE56+1,KE59,0,0),KE57)</f>
        <v>#VALUE!</v>
      </c>
      <c r="KF61" s="962" t="e">
        <f>[1]!taqq(1,1,[1]!roz(KF56+1,KF59,0,0),KF57)</f>
        <v>#VALUE!</v>
      </c>
      <c r="KG61" s="962" t="e">
        <f>[1]!taqq(1,1,[1]!roz(KG56+1,KG59,0,0),KG57)</f>
        <v>#VALUE!</v>
      </c>
      <c r="KH61" s="962" t="e">
        <f>[1]!taqq(1,1,[1]!roz(KH56+1,KH59,0,0),KH57)</f>
        <v>#VALUE!</v>
      </c>
      <c r="KI61" s="962" t="e">
        <f>[1]!taqq(1,1,[1]!roz(KI56+1,KI59,0,0),KI57)</f>
        <v>#VALUE!</v>
      </c>
      <c r="KJ61" s="962" t="e">
        <f>[1]!taqq(1,1,[1]!roz(KJ56+1,KJ59,0,0),KJ57)</f>
        <v>#VALUE!</v>
      </c>
      <c r="KK61" s="962" t="e">
        <f>[1]!taqq(1,1,[1]!roz(KK56+1,KK59,0,0),KK57)</f>
        <v>#VALUE!</v>
      </c>
      <c r="KL61" s="962" t="e">
        <f>[1]!taqq(1,1,[1]!roz(KL56+1,KL59,0,0),KL57)</f>
        <v>#VALUE!</v>
      </c>
      <c r="KM61" s="962" t="e">
        <f>[1]!taqq(1,1,[1]!roz(KM56+1,KM59,0,0),KM57)</f>
        <v>#VALUE!</v>
      </c>
      <c r="KN61" s="962" t="e">
        <f>[1]!taqq(1,1,[1]!roz(KN56+1,KN59,0,0),KN57)</f>
        <v>#VALUE!</v>
      </c>
      <c r="KO61" s="962" t="e">
        <f>[1]!taqq(1,1,[1]!roz(KO56+1,KO59,0,0),KO57)</f>
        <v>#VALUE!</v>
      </c>
      <c r="KP61" s="962" t="e">
        <f>[1]!taqq(1,1,[1]!roz(KP56+1,KP59,0,0),KP57)</f>
        <v>#VALUE!</v>
      </c>
      <c r="KQ61" s="962" t="e">
        <f>[1]!taqq(1,1,[1]!roz(KQ56+1,KQ59,0,0),KQ57)</f>
        <v>#VALUE!</v>
      </c>
      <c r="KR61" s="962" t="e">
        <f>[1]!taqq(1,1,[1]!roz(KR56+1,KR59,0,0),KR57)</f>
        <v>#VALUE!</v>
      </c>
      <c r="KS61" s="962" t="e">
        <f>[1]!taqq(1,1,[1]!roz(KS56+1,KS59,0,0),KS57)</f>
        <v>#VALUE!</v>
      </c>
      <c r="KT61" s="962" t="e">
        <f>[1]!taqq(1,1,[1]!roz(KT56+1,KT59,0,0),KT57)</f>
        <v>#VALUE!</v>
      </c>
      <c r="KU61" s="962" t="e">
        <f>[1]!taqq(1,1,[1]!roz(KU56+1,KU59,0,0),KU57)</f>
        <v>#VALUE!</v>
      </c>
      <c r="KV61" s="962" t="e">
        <f>[1]!taqq(1,1,[1]!roz(KV56+1,KV59,0,0),KV57)</f>
        <v>#VALUE!</v>
      </c>
      <c r="KW61" s="962" t="e">
        <f>[1]!taqq(1,1,[1]!roz(KW56+1,KW59,0,0),KW57)</f>
        <v>#VALUE!</v>
      </c>
      <c r="KX61" s="962" t="e">
        <f>[1]!taqq(1,1,[1]!roz(KX56+1,KX59,0,0),KX57)</f>
        <v>#VALUE!</v>
      </c>
      <c r="KY61" s="962" t="e">
        <f>[1]!taqq(1,1,[1]!roz(KY56+1,KY59,0,0),KY57)</f>
        <v>#VALUE!</v>
      </c>
      <c r="KZ61" s="962" t="e">
        <f>[1]!taqq(1,1,[1]!roz(KZ56+1,KZ59,0,0),KZ57)</f>
        <v>#VALUE!</v>
      </c>
      <c r="LA61" s="962" t="e">
        <f>[1]!taqq(1,1,[1]!roz(LA56+1,LA59,0,0),LA57)</f>
        <v>#VALUE!</v>
      </c>
      <c r="LB61" s="962" t="e">
        <f>[1]!taqq(1,1,[1]!roz(LB56+1,LB59,0,0),LB57)</f>
        <v>#VALUE!</v>
      </c>
      <c r="LC61" s="962" t="e">
        <f>[1]!taqq(1,1,[1]!roz(LC56+1,LC59,0,0),LC57)</f>
        <v>#VALUE!</v>
      </c>
      <c r="LD61" s="962" t="e">
        <f>[1]!taqq(1,1,[1]!roz(LD56+1,LD59,0,0),LD57)</f>
        <v>#VALUE!</v>
      </c>
      <c r="LE61" s="962" t="e">
        <f>[1]!taqq(1,1,[1]!roz(LE56+1,LE59,0,0),LE57)</f>
        <v>#VALUE!</v>
      </c>
      <c r="LF61" s="962" t="e">
        <f>[1]!taqq(1,1,[1]!roz(LF56+1,LF59,0,0),LF57)</f>
        <v>#VALUE!</v>
      </c>
      <c r="LG61" s="962" t="e">
        <f>[1]!taqq(1,1,[1]!roz(LG56+1,LG59,0,0),LG57)</f>
        <v>#VALUE!</v>
      </c>
      <c r="LH61" s="962" t="e">
        <f>[1]!taqq(1,1,[1]!roz(LH56+1,LH59,0,0),LH57)</f>
        <v>#VALUE!</v>
      </c>
      <c r="LI61" s="962" t="e">
        <f>[1]!taqq(1,1,[1]!roz(LI56+1,LI59,0,0),LI57)</f>
        <v>#VALUE!</v>
      </c>
      <c r="LJ61" s="962" t="e">
        <f>[1]!taqq(1,1,[1]!roz(LJ56+1,LJ59,0,0),LJ57)</f>
        <v>#VALUE!</v>
      </c>
      <c r="LK61" s="962" t="e">
        <f>[1]!taqq(1,1,[1]!roz(LK56+1,LK59,0,0),LK57)</f>
        <v>#VALUE!</v>
      </c>
      <c r="LL61" s="962" t="e">
        <f>[1]!taqq(1,1,[1]!roz(LL56+1,LL59,0,0),LL57)</f>
        <v>#VALUE!</v>
      </c>
      <c r="LM61" s="962" t="e">
        <f>[1]!taqq(1,1,[1]!roz(LM56+1,LM59,0,0),LM57)</f>
        <v>#VALUE!</v>
      </c>
      <c r="LN61" s="962" t="e">
        <f>[1]!taqq(1,1,[1]!roz(LN56+1,LN59,0,0),LN57)</f>
        <v>#VALUE!</v>
      </c>
      <c r="LO61" s="962" t="e">
        <f>[1]!taqq(1,1,[1]!roz(LO56+1,LO59,0,0),LO57)</f>
        <v>#VALUE!</v>
      </c>
      <c r="LP61" s="962" t="e">
        <f>[1]!taqq(1,1,[1]!roz(LP56+1,LP59,0,0),LP57)</f>
        <v>#VALUE!</v>
      </c>
      <c r="LQ61" s="962" t="e">
        <f>[1]!taqq(1,1,[1]!roz(LQ56+1,LQ59,0,0),LQ57)</f>
        <v>#VALUE!</v>
      </c>
      <c r="LR61" s="962" t="e">
        <f>[1]!taqq(1,1,[1]!roz(LR56+1,LR59,0,0),LR57)</f>
        <v>#VALUE!</v>
      </c>
      <c r="LS61" s="962" t="e">
        <f>[1]!taqq(1,1,[1]!roz(LS56+1,LS59,0,0),LS57)</f>
        <v>#VALUE!</v>
      </c>
      <c r="LT61" s="962" t="e">
        <f>[1]!taqq(1,1,[1]!roz(LT56+1,LT59,0,0),LT57)</f>
        <v>#VALUE!</v>
      </c>
      <c r="LU61" s="962" t="e">
        <f>[1]!taqq(1,1,[1]!roz(LU56+1,LU59,0,0),LU57)</f>
        <v>#VALUE!</v>
      </c>
      <c r="LV61" s="962" t="e">
        <f>[1]!taqq(1,1,[1]!roz(LV56+1,LV59,0,0),LV57)</f>
        <v>#VALUE!</v>
      </c>
      <c r="LW61" s="962" t="e">
        <f>[1]!taqq(1,1,[1]!roz(LW56+1,LW59,0,0),LW57)</f>
        <v>#VALUE!</v>
      </c>
      <c r="LX61" s="962" t="e">
        <f>[1]!taqq(1,1,[1]!roz(LX56+1,LX59,0,0),LX57)</f>
        <v>#VALUE!</v>
      </c>
      <c r="LY61" s="962" t="e">
        <f>[1]!taqq(1,1,[1]!roz(LY56+1,LY59,0,0),LY57)</f>
        <v>#VALUE!</v>
      </c>
      <c r="LZ61" s="962" t="e">
        <f>[1]!taqq(1,1,[1]!roz(LZ56+1,LZ59,0,0),LZ57)</f>
        <v>#VALUE!</v>
      </c>
      <c r="MA61" s="962" t="e">
        <f>[1]!taqq(1,1,[1]!roz(MA56+1,MA59,0,0),MA57)</f>
        <v>#VALUE!</v>
      </c>
      <c r="MB61" s="962" t="e">
        <f>[1]!taqq(1,1,[1]!roz(MB56+1,MB59,0,0),MB57)</f>
        <v>#VALUE!</v>
      </c>
      <c r="MC61" s="962" t="e">
        <f>[1]!taqq(1,1,[1]!roz(MC56+1,MC59,0,0),MC57)</f>
        <v>#VALUE!</v>
      </c>
      <c r="MD61" s="962" t="e">
        <f>[1]!taqq(1,1,[1]!roz(MD56+1,MD59,0,0),MD57)</f>
        <v>#VALUE!</v>
      </c>
      <c r="ME61" s="962" t="e">
        <f>[1]!taqq(1,1,[1]!roz(ME56+1,ME59,0,0),ME57)</f>
        <v>#VALUE!</v>
      </c>
      <c r="MF61" s="962" t="e">
        <f>[1]!taqq(1,1,[1]!roz(MF56+1,MF59,0,0),MF57)</f>
        <v>#VALUE!</v>
      </c>
      <c r="MG61" s="962" t="e">
        <f>[1]!taqq(1,1,[1]!roz(MG56+1,MG59,0,0),MG57)</f>
        <v>#VALUE!</v>
      </c>
      <c r="MH61" s="962" t="e">
        <f>[1]!taqq(1,1,[1]!roz(MH56+1,MH59,0,0),MH57)</f>
        <v>#VALUE!</v>
      </c>
      <c r="MI61" s="962" t="e">
        <f>[1]!taqq(1,1,[1]!roz(MI56+1,MI59,0,0),MI57)</f>
        <v>#VALUE!</v>
      </c>
      <c r="MJ61" s="962" t="e">
        <f>[1]!taqq(1,1,[1]!roz(MJ56+1,MJ59,0,0),MJ57)</f>
        <v>#VALUE!</v>
      </c>
      <c r="MK61" s="962" t="e">
        <f>[1]!taqq(1,1,[1]!roz(MK56+1,MK59,0,0),MK57)</f>
        <v>#VALUE!</v>
      </c>
      <c r="ML61" s="962" t="e">
        <f>[1]!taqq(1,1,[1]!roz(ML56+1,ML59,0,0),ML57)</f>
        <v>#VALUE!</v>
      </c>
      <c r="MM61" s="962" t="e">
        <f>[1]!taqq(1,1,[1]!roz(MM56+1,MM59,0,0),MM57)</f>
        <v>#VALUE!</v>
      </c>
      <c r="MN61" s="962" t="e">
        <f>[1]!taqq(1,1,[1]!roz(MN56+1,MN59,0,0),MN57)</f>
        <v>#VALUE!</v>
      </c>
      <c r="MO61" s="962" t="e">
        <f>[1]!taqq(1,1,[1]!roz(MO56+1,MO59,0,0),MO57)</f>
        <v>#VALUE!</v>
      </c>
      <c r="MP61" s="962" t="e">
        <f>[1]!taqq(1,1,[1]!roz(MP56+1,MP59,0,0),MP57)</f>
        <v>#VALUE!</v>
      </c>
      <c r="MQ61" s="962" t="e">
        <f>[1]!taqq(1,1,[1]!roz(MQ56+1,MQ59,0,0),MQ57)</f>
        <v>#VALUE!</v>
      </c>
      <c r="MR61" s="962" t="e">
        <f>[1]!taqq(1,1,[1]!roz(MR56+1,MR59,0,0),MR57)</f>
        <v>#VALUE!</v>
      </c>
      <c r="MS61" s="962" t="e">
        <f>[1]!taqq(1,1,[1]!roz(MS56+1,MS59,0,0),MS57)</f>
        <v>#VALUE!</v>
      </c>
      <c r="MT61" s="962" t="e">
        <f>[1]!taqq(1,1,[1]!roz(MT56+1,MT59,0,0),MT57)</f>
        <v>#VALUE!</v>
      </c>
      <c r="MU61" s="962" t="e">
        <f>[1]!taqq(1,1,[1]!roz(MU56+1,MU59,0,0),MU57)</f>
        <v>#VALUE!</v>
      </c>
      <c r="MV61" s="962" t="e">
        <f>[1]!taqq(1,1,[1]!roz(MV56+1,MV59,0,0),MV57)</f>
        <v>#VALUE!</v>
      </c>
      <c r="MW61" s="962" t="e">
        <f>[1]!taqq(1,1,[1]!roz(MW56+1,MW59,0,0),MW57)</f>
        <v>#VALUE!</v>
      </c>
      <c r="MX61" s="962" t="e">
        <f>[1]!taqq(1,1,[1]!roz(MX56+1,MX59,0,0),MX57)</f>
        <v>#VALUE!</v>
      </c>
      <c r="MY61" s="962" t="e">
        <f>[1]!taqq(1,1,[1]!roz(MY56+1,MY59,0,0),MY57)</f>
        <v>#VALUE!</v>
      </c>
      <c r="MZ61" s="962" t="e">
        <f>[1]!taqq(1,1,[1]!roz(MZ56+1,MZ59,0,0),MZ57)</f>
        <v>#VALUE!</v>
      </c>
      <c r="NA61" s="962" t="e">
        <f>[1]!taqq(1,1,[1]!roz(NA56+1,NA59,0,0),NA57)</f>
        <v>#VALUE!</v>
      </c>
      <c r="NB61" s="962" t="e">
        <f>[1]!taqq(1,1,[1]!roz(NB56+1,NB59,0,0),NB57)</f>
        <v>#VALUE!</v>
      </c>
      <c r="NC61" s="962" t="e">
        <f>[1]!taqq(1,1,[1]!roz(NC56+1,NC59,0,0),NC57)</f>
        <v>#VALUE!</v>
      </c>
      <c r="ND61" s="962" t="e">
        <f>[1]!taqq(1,1,[1]!roz(ND56+1,ND59,0,0),ND57)</f>
        <v>#VALUE!</v>
      </c>
      <c r="NE61" s="962" t="e">
        <f>[1]!taqq(1,1,[1]!roz(NE56+1,NE59,0,0),NE57)</f>
        <v>#VALUE!</v>
      </c>
      <c r="NF61" s="962" t="e">
        <f>[1]!taqq(1,1,[1]!roz(NF56+1,NF59,0,0),NF57)</f>
        <v>#VALUE!</v>
      </c>
      <c r="NG61" s="962" t="e">
        <f>[1]!taqq(1,1,[1]!roz(NG56+1,NG59,0,0),NG57)</f>
        <v>#VALUE!</v>
      </c>
      <c r="NH61" s="962" t="e">
        <f>[1]!taqq(1,1,[1]!roz(NH56+1,NH59,0,0),NH57)</f>
        <v>#VALUE!</v>
      </c>
      <c r="NI61" s="962" t="e">
        <f>[1]!taqq(1,1,[1]!roz(NI56+1,NI59,0,0),NI57)</f>
        <v>#VALUE!</v>
      </c>
      <c r="NJ61" s="962" t="e">
        <f>[1]!taqq(1,1,[1]!roz(NJ56+1,NJ59,0,0),NJ57)</f>
        <v>#VALUE!</v>
      </c>
      <c r="NK61" s="962" t="e">
        <f>[1]!taqq(1,1,[1]!roz(NK56+1,NK59,0,0),NK57)</f>
        <v>#VALUE!</v>
      </c>
      <c r="NL61" s="962" t="e">
        <f>[1]!taqq(1,1,[1]!roz(NL56+1,NL59,0,0),NL57)</f>
        <v>#VALUE!</v>
      </c>
      <c r="NM61" s="962" t="e">
        <f>[1]!taqq(1,1,[1]!roz(NM56+1,NM59,0,0),NM57)</f>
        <v>#VALUE!</v>
      </c>
      <c r="NN61" s="962" t="e">
        <f>[1]!taqq(1,1,[1]!roz(NN56+1,NN59,0,0),NN57)</f>
        <v>#VALUE!</v>
      </c>
      <c r="NO61" s="962" t="e">
        <f>[1]!taqq(1,1,[1]!roz(NO56+1,NO59,0,0),NO57)</f>
        <v>#VALUE!</v>
      </c>
      <c r="NP61" s="962" t="e">
        <f>[1]!taqq(1,1,[1]!roz(NP56+1,NP59,0,0),NP57)</f>
        <v>#VALUE!</v>
      </c>
      <c r="NQ61" s="962" t="e">
        <f>[1]!taqq(1,1,[1]!roz(NQ56+1,NQ59,0,0),NQ57)</f>
        <v>#VALUE!</v>
      </c>
      <c r="NR61" s="962" t="e">
        <f>[1]!taqq(1,1,[1]!roz(NR56+1,NR59,0,0),NR57)</f>
        <v>#VALUE!</v>
      </c>
      <c r="NS61" s="962" t="e">
        <f>[1]!taqq(1,1,[1]!roz(NS56+1,NS59,0,0),NS57)</f>
        <v>#VALUE!</v>
      </c>
      <c r="NT61" s="962" t="e">
        <f>[1]!taqq(1,1,[1]!roz(NT56+1,NT59,0,0),NT57)</f>
        <v>#VALUE!</v>
      </c>
      <c r="NU61" s="962" t="e">
        <f>[1]!taqq(1,1,[1]!roz(NU56+1,NU59,0,0),NU57)</f>
        <v>#VALUE!</v>
      </c>
      <c r="NV61" s="962" t="e">
        <f>[1]!taqq(1,1,[1]!roz(NV56+1,NV59,0,0),NV57)</f>
        <v>#VALUE!</v>
      </c>
      <c r="NW61" s="962" t="e">
        <f>[1]!taqq(1,1,[1]!roz(NW56+1,NW59,0,0),NW57)</f>
        <v>#VALUE!</v>
      </c>
      <c r="NX61" s="962" t="e">
        <f>[1]!taqq(1,1,[1]!roz(NX56+1,NX59,0,0),NX57)</f>
        <v>#VALUE!</v>
      </c>
      <c r="NY61" s="962" t="e">
        <f>[1]!taqq(1,1,[1]!roz(NY56+1,NY59,0,0),NY57)</f>
        <v>#VALUE!</v>
      </c>
      <c r="NZ61" s="962" t="e">
        <f>[1]!taqq(1,1,[1]!roz(NZ56+1,NZ59,0,0),NZ57)</f>
        <v>#VALUE!</v>
      </c>
      <c r="OA61" s="962" t="e">
        <f>[1]!taqq(1,1,[1]!roz(OA56+1,OA59,0,0),OA57)</f>
        <v>#VALUE!</v>
      </c>
      <c r="OB61" s="962" t="e">
        <f>[1]!taqq(1,1,[1]!roz(OB56+1,OB59,0,0),OB57)</f>
        <v>#VALUE!</v>
      </c>
      <c r="OC61" s="962" t="e">
        <f>[1]!taqq(1,1,[1]!roz(OC56+1,OC59,0,0),OC57)</f>
        <v>#VALUE!</v>
      </c>
      <c r="OD61" s="962" t="e">
        <f>[1]!taqq(1,1,[1]!roz(OD56+1,OD59,0,0),OD57)</f>
        <v>#VALUE!</v>
      </c>
      <c r="OE61" s="962" t="e">
        <f>[1]!taqq(1,1,[1]!roz(OE56+1,OE59,0,0),OE57)</f>
        <v>#VALUE!</v>
      </c>
      <c r="OF61" s="962" t="e">
        <f>[1]!taqq(1,1,[1]!roz(OF56+1,OF59,0,0),OF57)</f>
        <v>#VALUE!</v>
      </c>
      <c r="OG61" s="962" t="e">
        <f>[1]!taqq(1,1,[1]!roz(OG56+1,OG59,0,0),OG57)</f>
        <v>#VALUE!</v>
      </c>
      <c r="OH61" s="962" t="e">
        <f>[1]!taqq(1,1,[1]!roz(OH56+1,OH59,0,0),OH57)</f>
        <v>#VALUE!</v>
      </c>
      <c r="OI61" s="962" t="e">
        <f>[1]!taqq(1,1,[1]!roz(OI56+1,OI59,0,0),OI57)</f>
        <v>#VALUE!</v>
      </c>
      <c r="OJ61" s="962" t="e">
        <f>[1]!taqq(1,1,[1]!roz(OJ56+1,OJ59,0,0),OJ57)</f>
        <v>#VALUE!</v>
      </c>
      <c r="OK61" s="962" t="e">
        <f>[1]!taqq(1,1,[1]!roz(OK56+1,OK59,0,0),OK57)</f>
        <v>#VALUE!</v>
      </c>
      <c r="OL61" s="962" t="e">
        <f>[1]!taqq(1,1,[1]!roz(OL56+1,OL59,0,0),OL57)</f>
        <v>#VALUE!</v>
      </c>
      <c r="OM61" s="962" t="e">
        <f>[1]!taqq(1,1,[1]!roz(OM56+1,OM59,0,0),OM57)</f>
        <v>#VALUE!</v>
      </c>
      <c r="ON61" s="962" t="e">
        <f>[1]!taqq(1,1,[1]!roz(ON56+1,ON59,0,0),ON57)</f>
        <v>#VALUE!</v>
      </c>
      <c r="OO61" s="962" t="e">
        <f>[1]!taqq(1,1,[1]!roz(OO56+1,OO59,0,0),OO57)</f>
        <v>#VALUE!</v>
      </c>
      <c r="OP61" s="962" t="e">
        <f>[1]!taqq(1,1,[1]!roz(OP56+1,OP59,0,0),OP57)</f>
        <v>#VALUE!</v>
      </c>
      <c r="OQ61" s="962" t="e">
        <f>[1]!taqq(1,1,[1]!roz(OQ56+1,OQ59,0,0),OQ57)</f>
        <v>#VALUE!</v>
      </c>
      <c r="OR61" s="962" t="e">
        <f>[1]!taqq(1,1,[1]!roz(OR56+1,OR59,0,0),OR57)</f>
        <v>#VALUE!</v>
      </c>
      <c r="OS61" s="962" t="e">
        <f>[1]!taqq(1,1,[1]!roz(OS56+1,OS59,0,0),OS57)</f>
        <v>#VALUE!</v>
      </c>
      <c r="OT61" s="962" t="e">
        <f>[1]!taqq(1,1,[1]!roz(OT56+1,OT59,0,0),OT57)</f>
        <v>#VALUE!</v>
      </c>
      <c r="OU61" s="962" t="e">
        <f>[1]!taqq(1,1,[1]!roz(OU56+1,OU59,0,0),OU57)</f>
        <v>#VALUE!</v>
      </c>
      <c r="OV61" s="962" t="e">
        <f>[1]!taqq(1,1,[1]!roz(OV56+1,OV59,0,0),OV57)</f>
        <v>#VALUE!</v>
      </c>
      <c r="OW61" s="962" t="e">
        <f>[1]!taqq(1,1,[1]!roz(OW56+1,OW59,0,0),OW57)</f>
        <v>#VALUE!</v>
      </c>
      <c r="OX61" s="962" t="e">
        <f>[1]!taqq(1,1,[1]!roz(OX56+1,OX59,0,0),OX57)</f>
        <v>#VALUE!</v>
      </c>
      <c r="OY61" s="962" t="e">
        <f>[1]!taqq(1,1,[1]!roz(OY56+1,OY59,0,0),OY57)</f>
        <v>#VALUE!</v>
      </c>
      <c r="OZ61" s="962" t="e">
        <f>[1]!taqq(1,1,[1]!roz(OZ56+1,OZ59,0,0),OZ57)</f>
        <v>#VALUE!</v>
      </c>
      <c r="PA61" s="962" t="e">
        <f>[1]!taqq(1,1,[1]!roz(PA56+1,PA59,0,0),PA57)</f>
        <v>#VALUE!</v>
      </c>
      <c r="PB61" s="962" t="e">
        <f>[1]!taqq(1,1,[1]!roz(PB56+1,PB59,0,0),PB57)</f>
        <v>#VALUE!</v>
      </c>
      <c r="PC61" s="962" t="e">
        <f>[1]!taqq(1,1,[1]!roz(PC56+1,PC59,0,0),PC57)</f>
        <v>#VALUE!</v>
      </c>
      <c r="PD61" s="962" t="e">
        <f>[1]!taqq(1,1,[1]!roz(PD56+1,PD59,0,0),PD57)</f>
        <v>#VALUE!</v>
      </c>
      <c r="PE61" s="962" t="e">
        <f>[1]!taqq(1,1,[1]!roz(PE56+1,PE59,0,0),PE57)</f>
        <v>#VALUE!</v>
      </c>
      <c r="PF61" s="962" t="e">
        <f>[1]!taqq(1,1,[1]!roz(PF56+1,PF59,0,0),PF57)</f>
        <v>#VALUE!</v>
      </c>
      <c r="PG61" s="962" t="e">
        <f>[1]!taqq(1,1,[1]!roz(PG56+1,PG59,0,0),PG57)</f>
        <v>#VALUE!</v>
      </c>
      <c r="PH61" s="962" t="e">
        <f>[1]!taqq(1,1,[1]!roz(PH56+1,PH59,0,0),PH57)</f>
        <v>#VALUE!</v>
      </c>
      <c r="PI61" s="962" t="e">
        <f>[1]!taqq(1,1,[1]!roz(PI56+1,PI59,0,0),PI57)</f>
        <v>#VALUE!</v>
      </c>
      <c r="PJ61" s="962" t="e">
        <f>[1]!taqq(1,1,[1]!roz(PJ56+1,PJ59,0,0),PJ57)</f>
        <v>#VALUE!</v>
      </c>
      <c r="PK61" s="962" t="e">
        <f>[1]!taqq(1,1,[1]!roz(PK56+1,PK59,0,0),PK57)</f>
        <v>#VALUE!</v>
      </c>
      <c r="PL61" s="962" t="e">
        <f>[1]!taqq(1,1,[1]!roz(PL56+1,PL59,0,0),PL57)</f>
        <v>#VALUE!</v>
      </c>
      <c r="PM61" s="962" t="e">
        <f>[1]!taqq(1,1,[1]!roz(PM56+1,PM59,0,0),PM57)</f>
        <v>#VALUE!</v>
      </c>
      <c r="PN61" s="962" t="e">
        <f>[1]!taqq(1,1,[1]!roz(PN56+1,PN59,0,0),PN57)</f>
        <v>#VALUE!</v>
      </c>
      <c r="PO61" s="962" t="e">
        <f>[1]!taqq(1,1,[1]!roz(PO56+1,PO59,0,0),PO57)</f>
        <v>#VALUE!</v>
      </c>
      <c r="PP61" s="962" t="e">
        <f>[1]!taqq(1,1,[1]!roz(PP56+1,PP59,0,0),PP57)</f>
        <v>#VALUE!</v>
      </c>
      <c r="PQ61" s="962" t="e">
        <f>[1]!taqq(1,1,[1]!roz(PQ56+1,PQ59,0,0),PQ57)</f>
        <v>#VALUE!</v>
      </c>
      <c r="PR61" s="962" t="e">
        <f>[1]!taqq(1,1,[1]!roz(PR56+1,PR59,0,0),PR57)</f>
        <v>#VALUE!</v>
      </c>
      <c r="PS61" s="962" t="e">
        <f>[1]!taqq(1,1,[1]!roz(PS56+1,PS59,0,0),PS57)</f>
        <v>#VALUE!</v>
      </c>
      <c r="PT61" s="962" t="e">
        <f>[1]!taqq(1,1,[1]!roz(PT56+1,PT59,0,0),PT57)</f>
        <v>#VALUE!</v>
      </c>
      <c r="PU61" s="962" t="e">
        <f>[1]!taqq(1,1,[1]!roz(PU56+1,PU59,0,0),PU57)</f>
        <v>#VALUE!</v>
      </c>
      <c r="PV61" s="962" t="e">
        <f>[1]!taqq(1,1,[1]!roz(PV56+1,PV59,0,0),PV57)</f>
        <v>#VALUE!</v>
      </c>
      <c r="PW61" s="962" t="e">
        <f>[1]!taqq(1,1,[1]!roz(PW56+1,PW59,0,0),PW57)</f>
        <v>#VALUE!</v>
      </c>
      <c r="PX61" s="962" t="e">
        <f>[1]!taqq(1,1,[1]!roz(PX56+1,PX59,0,0),PX57)</f>
        <v>#VALUE!</v>
      </c>
      <c r="PY61" s="962" t="e">
        <f>[1]!taqq(1,1,[1]!roz(PY56+1,PY59,0,0),PY57)</f>
        <v>#VALUE!</v>
      </c>
      <c r="PZ61" s="962" t="e">
        <f>[1]!taqq(1,1,[1]!roz(PZ56+1,PZ59,0,0),PZ57)</f>
        <v>#VALUE!</v>
      </c>
      <c r="QA61" s="962" t="e">
        <f>[1]!taqq(1,1,[1]!roz(QA56+1,QA59,0,0),QA57)</f>
        <v>#VALUE!</v>
      </c>
      <c r="QB61" s="962" t="e">
        <f>[1]!taqq(1,1,[1]!roz(QB56+1,QB59,0,0),QB57)</f>
        <v>#VALUE!</v>
      </c>
      <c r="QC61" s="962" t="e">
        <f>[1]!taqq(1,1,[1]!roz(QC56+1,QC59,0,0),QC57)</f>
        <v>#VALUE!</v>
      </c>
      <c r="QD61" s="962" t="e">
        <f>[1]!taqq(1,1,[1]!roz(QD56+1,QD59,0,0),QD57)</f>
        <v>#VALUE!</v>
      </c>
      <c r="QE61" s="962" t="e">
        <f>[1]!taqq(1,1,[1]!roz(QE56+1,QE59,0,0),QE57)</f>
        <v>#VALUE!</v>
      </c>
      <c r="QF61" s="962" t="e">
        <f>[1]!taqq(1,1,[1]!roz(QF56+1,QF59,0,0),QF57)</f>
        <v>#VALUE!</v>
      </c>
      <c r="QG61" s="962" t="e">
        <f>[1]!taqq(1,1,[1]!roz(QG56+1,QG59,0,0),QG57)</f>
        <v>#VALUE!</v>
      </c>
      <c r="QH61" s="962" t="e">
        <f>[1]!taqq(1,1,[1]!roz(QH56+1,QH59,0,0),QH57)</f>
        <v>#VALUE!</v>
      </c>
      <c r="QI61" s="962" t="e">
        <f>[1]!taqq(1,1,[1]!roz(QI56+1,QI59,0,0),QI57)</f>
        <v>#VALUE!</v>
      </c>
      <c r="QJ61" s="962" t="e">
        <f>[1]!taqq(1,1,[1]!roz(QJ56+1,QJ59,0,0),QJ57)</f>
        <v>#VALUE!</v>
      </c>
      <c r="QK61" s="962" t="e">
        <f>[1]!taqq(1,1,[1]!roz(QK56+1,QK59,0,0),QK57)</f>
        <v>#VALUE!</v>
      </c>
      <c r="QL61" s="962" t="e">
        <f>[1]!taqq(1,1,[1]!roz(QL56+1,QL59,0,0),QL57)</f>
        <v>#VALUE!</v>
      </c>
      <c r="QM61" s="962" t="e">
        <f>[1]!taqq(1,1,[1]!roz(QM56+1,QM59,0,0),QM57)</f>
        <v>#VALUE!</v>
      </c>
      <c r="QN61" s="962" t="e">
        <f>[1]!taqq(1,1,[1]!roz(QN56+1,QN59,0,0),QN57)</f>
        <v>#VALUE!</v>
      </c>
      <c r="QO61" s="962" t="e">
        <f>[1]!taqq(1,1,[1]!roz(QO56+1,QO59,0,0),QO57)</f>
        <v>#VALUE!</v>
      </c>
      <c r="QP61" s="962" t="e">
        <f>[1]!taqq(1,1,[1]!roz(QP56+1,QP59,0,0),QP57)</f>
        <v>#VALUE!</v>
      </c>
      <c r="QQ61" s="962" t="e">
        <f>[1]!taqq(1,1,[1]!roz(QQ56+1,QQ59,0,0),QQ57)</f>
        <v>#VALUE!</v>
      </c>
      <c r="QR61" s="962" t="e">
        <f>[1]!taqq(1,1,[1]!roz(QR56+1,QR59,0,0),QR57)</f>
        <v>#VALUE!</v>
      </c>
      <c r="QS61" s="962" t="e">
        <f>[1]!taqq(1,1,[1]!roz(QS56+1,QS59,0,0),QS57)</f>
        <v>#VALUE!</v>
      </c>
      <c r="QT61" s="962" t="e">
        <f>[1]!taqq(1,1,[1]!roz(QT56+1,QT59,0,0),QT57)</f>
        <v>#VALUE!</v>
      </c>
      <c r="QU61" s="962" t="e">
        <f>[1]!taqq(1,1,[1]!roz(QU56+1,QU59,0,0),QU57)</f>
        <v>#VALUE!</v>
      </c>
      <c r="QV61" s="962" t="e">
        <f>[1]!taqq(1,1,[1]!roz(QV56+1,QV59,0,0),QV57)</f>
        <v>#VALUE!</v>
      </c>
      <c r="QW61" s="962" t="e">
        <f>[1]!taqq(1,1,[1]!roz(QW56+1,QW59,0,0),QW57)</f>
        <v>#VALUE!</v>
      </c>
      <c r="QX61" s="962" t="e">
        <f>[1]!taqq(1,1,[1]!roz(QX56+1,QX59,0,0),QX57)</f>
        <v>#VALUE!</v>
      </c>
      <c r="QY61" s="962" t="e">
        <f>[1]!taqq(1,1,[1]!roz(QY56+1,QY59,0,0),QY57)</f>
        <v>#VALUE!</v>
      </c>
      <c r="QZ61" s="962" t="e">
        <f>[1]!taqq(1,1,[1]!roz(QZ56+1,QZ59,0,0),QZ57)</f>
        <v>#VALUE!</v>
      </c>
      <c r="RA61" s="962" t="e">
        <f>[1]!taqq(1,1,[1]!roz(RA56+1,RA59,0,0),RA57)</f>
        <v>#VALUE!</v>
      </c>
      <c r="RC61" s="797"/>
    </row>
    <row r="62" spans="1:471" ht="18" thickBot="1">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K62" s="112" t="s">
        <v>3489</v>
      </c>
      <c r="AL62" s="699" t="e">
        <f t="shared" ref="AL62:AV62" si="405">IF(AL59-AL60&gt;0,AL59-AL60,AL59-AL60+360)</f>
        <v>#VALUE!</v>
      </c>
      <c r="AM62" s="700" t="e">
        <f t="shared" si="405"/>
        <v>#VALUE!</v>
      </c>
      <c r="AN62" s="700" t="e">
        <f t="shared" si="405"/>
        <v>#VALUE!</v>
      </c>
      <c r="AO62" s="700" t="e">
        <f t="shared" si="405"/>
        <v>#VALUE!</v>
      </c>
      <c r="AP62" s="700" t="e">
        <f t="shared" si="405"/>
        <v>#VALUE!</v>
      </c>
      <c r="AQ62" s="700" t="e">
        <f t="shared" si="405"/>
        <v>#VALUE!</v>
      </c>
      <c r="AR62" s="700" t="e">
        <f>IF(AR59-AR60&gt;0,AR59-AR60,AR59-AR60+360)</f>
        <v>#VALUE!</v>
      </c>
      <c r="AS62" s="700" t="e">
        <f t="shared" si="405"/>
        <v>#VALUE!</v>
      </c>
      <c r="AT62" s="700" t="e">
        <f t="shared" si="405"/>
        <v>#VALUE!</v>
      </c>
      <c r="AU62" s="700" t="e">
        <f t="shared" si="405"/>
        <v>#VALUE!</v>
      </c>
      <c r="AV62" s="700" t="e">
        <f t="shared" si="405"/>
        <v>#VALUE!</v>
      </c>
      <c r="AW62" s="315" t="e">
        <f>IF(AW59-AW60&gt;0,AW59-AW60,AW59-AW60+360)</f>
        <v>#VALUE!</v>
      </c>
      <c r="AX62" s="314"/>
      <c r="DH62" s="797"/>
      <c r="DI62" s="797" t="s">
        <v>3489</v>
      </c>
      <c r="DJ62" s="961" t="e">
        <f>IF(DJ61-DJ60&gt;-180,DJ61-DJ60,DJ61-DJ60+360)</f>
        <v>#VALUE!</v>
      </c>
      <c r="DK62" s="962" t="e">
        <f>IF(DK61-DK60&gt;-180,DK61-DK60,DK61-DK60+360)</f>
        <v>#VALUE!</v>
      </c>
      <c r="DL62" s="962" t="e">
        <f>IF(DL61-DL60&gt;-180,DL61-DL60,DL61-DL60+360)</f>
        <v>#VALUE!</v>
      </c>
      <c r="DM62" s="962" t="e">
        <f t="shared" ref="DM62:FX62" si="406">IF(DM61-DM60&gt;-180,DM61-DM60,DM61-DM60+360)</f>
        <v>#VALUE!</v>
      </c>
      <c r="DN62" s="962" t="e">
        <f t="shared" si="406"/>
        <v>#VALUE!</v>
      </c>
      <c r="DO62" s="962" t="e">
        <f t="shared" si="406"/>
        <v>#VALUE!</v>
      </c>
      <c r="DP62" s="962" t="e">
        <f t="shared" si="406"/>
        <v>#VALUE!</v>
      </c>
      <c r="DQ62" s="962" t="e">
        <f t="shared" si="406"/>
        <v>#VALUE!</v>
      </c>
      <c r="DR62" s="962" t="e">
        <f t="shared" si="406"/>
        <v>#VALUE!</v>
      </c>
      <c r="DS62" s="962" t="e">
        <f t="shared" si="406"/>
        <v>#VALUE!</v>
      </c>
      <c r="DT62" s="962" t="e">
        <f t="shared" si="406"/>
        <v>#VALUE!</v>
      </c>
      <c r="DU62" s="962" t="e">
        <f t="shared" si="406"/>
        <v>#VALUE!</v>
      </c>
      <c r="DV62" s="962" t="e">
        <f t="shared" si="406"/>
        <v>#VALUE!</v>
      </c>
      <c r="DW62" s="962" t="e">
        <f t="shared" si="406"/>
        <v>#VALUE!</v>
      </c>
      <c r="DX62" s="962" t="e">
        <f t="shared" si="406"/>
        <v>#VALUE!</v>
      </c>
      <c r="DY62" s="962" t="e">
        <f t="shared" si="406"/>
        <v>#VALUE!</v>
      </c>
      <c r="DZ62" s="962" t="e">
        <f t="shared" si="406"/>
        <v>#VALUE!</v>
      </c>
      <c r="EA62" s="962" t="e">
        <f t="shared" si="406"/>
        <v>#VALUE!</v>
      </c>
      <c r="EB62" s="962" t="e">
        <f t="shared" si="406"/>
        <v>#VALUE!</v>
      </c>
      <c r="EC62" s="962" t="e">
        <f t="shared" si="406"/>
        <v>#VALUE!</v>
      </c>
      <c r="ED62" s="962" t="e">
        <f t="shared" si="406"/>
        <v>#VALUE!</v>
      </c>
      <c r="EE62" s="962" t="e">
        <f t="shared" si="406"/>
        <v>#VALUE!</v>
      </c>
      <c r="EF62" s="962" t="e">
        <f t="shared" si="406"/>
        <v>#VALUE!</v>
      </c>
      <c r="EG62" s="962" t="e">
        <f t="shared" si="406"/>
        <v>#VALUE!</v>
      </c>
      <c r="EH62" s="962" t="e">
        <f t="shared" si="406"/>
        <v>#VALUE!</v>
      </c>
      <c r="EI62" s="962" t="e">
        <f t="shared" si="406"/>
        <v>#VALUE!</v>
      </c>
      <c r="EJ62" s="962" t="e">
        <f t="shared" si="406"/>
        <v>#VALUE!</v>
      </c>
      <c r="EK62" s="962" t="e">
        <f t="shared" si="406"/>
        <v>#VALUE!</v>
      </c>
      <c r="EL62" s="962" t="e">
        <f t="shared" si="406"/>
        <v>#VALUE!</v>
      </c>
      <c r="EM62" s="962" t="e">
        <f t="shared" si="406"/>
        <v>#VALUE!</v>
      </c>
      <c r="EN62" s="962" t="e">
        <f t="shared" si="406"/>
        <v>#VALUE!</v>
      </c>
      <c r="EO62" s="962" t="e">
        <f t="shared" si="406"/>
        <v>#VALUE!</v>
      </c>
      <c r="EP62" s="962" t="e">
        <f t="shared" si="406"/>
        <v>#VALUE!</v>
      </c>
      <c r="EQ62" s="962" t="e">
        <f t="shared" si="406"/>
        <v>#VALUE!</v>
      </c>
      <c r="ER62" s="962" t="e">
        <f t="shared" si="406"/>
        <v>#VALUE!</v>
      </c>
      <c r="ES62" s="962" t="e">
        <f t="shared" si="406"/>
        <v>#VALUE!</v>
      </c>
      <c r="ET62" s="962" t="e">
        <f t="shared" si="406"/>
        <v>#VALUE!</v>
      </c>
      <c r="EU62" s="962" t="e">
        <f t="shared" si="406"/>
        <v>#VALUE!</v>
      </c>
      <c r="EV62" s="962" t="e">
        <f t="shared" si="406"/>
        <v>#VALUE!</v>
      </c>
      <c r="EW62" s="962" t="e">
        <f t="shared" si="406"/>
        <v>#VALUE!</v>
      </c>
      <c r="EX62" s="962" t="e">
        <f t="shared" si="406"/>
        <v>#VALUE!</v>
      </c>
      <c r="EY62" s="962" t="e">
        <f t="shared" si="406"/>
        <v>#VALUE!</v>
      </c>
      <c r="EZ62" s="962" t="e">
        <f t="shared" si="406"/>
        <v>#VALUE!</v>
      </c>
      <c r="FA62" s="962" t="e">
        <f t="shared" si="406"/>
        <v>#VALUE!</v>
      </c>
      <c r="FB62" s="962" t="e">
        <f t="shared" si="406"/>
        <v>#VALUE!</v>
      </c>
      <c r="FC62" s="962" t="e">
        <f t="shared" si="406"/>
        <v>#VALUE!</v>
      </c>
      <c r="FD62" s="962" t="e">
        <f t="shared" si="406"/>
        <v>#VALUE!</v>
      </c>
      <c r="FE62" s="962" t="e">
        <f t="shared" si="406"/>
        <v>#VALUE!</v>
      </c>
      <c r="FF62" s="962" t="e">
        <f t="shared" si="406"/>
        <v>#VALUE!</v>
      </c>
      <c r="FG62" s="962" t="e">
        <f t="shared" si="406"/>
        <v>#VALUE!</v>
      </c>
      <c r="FH62" s="962" t="e">
        <f t="shared" si="406"/>
        <v>#VALUE!</v>
      </c>
      <c r="FI62" s="962" t="e">
        <f t="shared" si="406"/>
        <v>#VALUE!</v>
      </c>
      <c r="FJ62" s="962" t="e">
        <f t="shared" si="406"/>
        <v>#VALUE!</v>
      </c>
      <c r="FK62" s="962" t="e">
        <f t="shared" si="406"/>
        <v>#VALUE!</v>
      </c>
      <c r="FL62" s="962" t="e">
        <f t="shared" si="406"/>
        <v>#VALUE!</v>
      </c>
      <c r="FM62" s="962" t="e">
        <f t="shared" si="406"/>
        <v>#VALUE!</v>
      </c>
      <c r="FN62" s="962" t="e">
        <f t="shared" si="406"/>
        <v>#VALUE!</v>
      </c>
      <c r="FO62" s="962" t="e">
        <f t="shared" si="406"/>
        <v>#VALUE!</v>
      </c>
      <c r="FP62" s="962" t="e">
        <f t="shared" si="406"/>
        <v>#VALUE!</v>
      </c>
      <c r="FQ62" s="962" t="e">
        <f t="shared" si="406"/>
        <v>#VALUE!</v>
      </c>
      <c r="FR62" s="962" t="e">
        <f t="shared" si="406"/>
        <v>#VALUE!</v>
      </c>
      <c r="FS62" s="962" t="e">
        <f t="shared" si="406"/>
        <v>#VALUE!</v>
      </c>
      <c r="FT62" s="962" t="e">
        <f t="shared" si="406"/>
        <v>#VALUE!</v>
      </c>
      <c r="FU62" s="962" t="e">
        <f t="shared" si="406"/>
        <v>#VALUE!</v>
      </c>
      <c r="FV62" s="962" t="e">
        <f t="shared" si="406"/>
        <v>#VALUE!</v>
      </c>
      <c r="FW62" s="962" t="e">
        <f t="shared" si="406"/>
        <v>#VALUE!</v>
      </c>
      <c r="FX62" s="962" t="e">
        <f t="shared" si="406"/>
        <v>#VALUE!</v>
      </c>
      <c r="FY62" s="962" t="e">
        <f t="shared" ref="FY62:IJ62" si="407">IF(FY61-FY60&gt;-180,FY61-FY60,FY61-FY60+360)</f>
        <v>#VALUE!</v>
      </c>
      <c r="FZ62" s="962" t="e">
        <f t="shared" si="407"/>
        <v>#VALUE!</v>
      </c>
      <c r="GA62" s="962" t="e">
        <f t="shared" si="407"/>
        <v>#VALUE!</v>
      </c>
      <c r="GB62" s="962" t="e">
        <f t="shared" si="407"/>
        <v>#VALUE!</v>
      </c>
      <c r="GC62" s="962" t="e">
        <f t="shared" si="407"/>
        <v>#VALUE!</v>
      </c>
      <c r="GD62" s="962" t="e">
        <f t="shared" si="407"/>
        <v>#VALUE!</v>
      </c>
      <c r="GE62" s="962" t="e">
        <f t="shared" si="407"/>
        <v>#VALUE!</v>
      </c>
      <c r="GF62" s="962" t="e">
        <f t="shared" si="407"/>
        <v>#VALUE!</v>
      </c>
      <c r="GG62" s="962" t="e">
        <f t="shared" si="407"/>
        <v>#VALUE!</v>
      </c>
      <c r="GH62" s="962" t="e">
        <f t="shared" si="407"/>
        <v>#VALUE!</v>
      </c>
      <c r="GI62" s="962" t="e">
        <f t="shared" si="407"/>
        <v>#VALUE!</v>
      </c>
      <c r="GJ62" s="962" t="e">
        <f t="shared" si="407"/>
        <v>#VALUE!</v>
      </c>
      <c r="GK62" s="962" t="e">
        <f t="shared" si="407"/>
        <v>#VALUE!</v>
      </c>
      <c r="GL62" s="962" t="e">
        <f t="shared" si="407"/>
        <v>#VALUE!</v>
      </c>
      <c r="GM62" s="962" t="e">
        <f t="shared" si="407"/>
        <v>#VALUE!</v>
      </c>
      <c r="GN62" s="962" t="e">
        <f t="shared" si="407"/>
        <v>#VALUE!</v>
      </c>
      <c r="GO62" s="962" t="e">
        <f t="shared" si="407"/>
        <v>#VALUE!</v>
      </c>
      <c r="GP62" s="962" t="e">
        <f t="shared" si="407"/>
        <v>#VALUE!</v>
      </c>
      <c r="GQ62" s="962" t="e">
        <f t="shared" si="407"/>
        <v>#VALUE!</v>
      </c>
      <c r="GR62" s="962" t="e">
        <f t="shared" si="407"/>
        <v>#VALUE!</v>
      </c>
      <c r="GS62" s="962" t="e">
        <f t="shared" si="407"/>
        <v>#VALUE!</v>
      </c>
      <c r="GT62" s="962" t="e">
        <f t="shared" si="407"/>
        <v>#VALUE!</v>
      </c>
      <c r="GU62" s="962" t="e">
        <f t="shared" si="407"/>
        <v>#VALUE!</v>
      </c>
      <c r="GV62" s="962" t="e">
        <f t="shared" si="407"/>
        <v>#VALUE!</v>
      </c>
      <c r="GW62" s="962" t="e">
        <f t="shared" si="407"/>
        <v>#VALUE!</v>
      </c>
      <c r="GX62" s="962" t="e">
        <f t="shared" si="407"/>
        <v>#VALUE!</v>
      </c>
      <c r="GY62" s="962" t="e">
        <f t="shared" si="407"/>
        <v>#VALUE!</v>
      </c>
      <c r="GZ62" s="962" t="e">
        <f t="shared" si="407"/>
        <v>#VALUE!</v>
      </c>
      <c r="HA62" s="962" t="e">
        <f t="shared" si="407"/>
        <v>#VALUE!</v>
      </c>
      <c r="HB62" s="962" t="e">
        <f t="shared" si="407"/>
        <v>#VALUE!</v>
      </c>
      <c r="HC62" s="962" t="e">
        <f t="shared" si="407"/>
        <v>#VALUE!</v>
      </c>
      <c r="HD62" s="962" t="e">
        <f t="shared" si="407"/>
        <v>#VALUE!</v>
      </c>
      <c r="HE62" s="962" t="e">
        <f t="shared" si="407"/>
        <v>#VALUE!</v>
      </c>
      <c r="HF62" s="962" t="e">
        <f t="shared" si="407"/>
        <v>#VALUE!</v>
      </c>
      <c r="HG62" s="962" t="e">
        <f t="shared" si="407"/>
        <v>#VALUE!</v>
      </c>
      <c r="HH62" s="962" t="e">
        <f t="shared" si="407"/>
        <v>#VALUE!</v>
      </c>
      <c r="HI62" s="962" t="e">
        <f t="shared" si="407"/>
        <v>#VALUE!</v>
      </c>
      <c r="HJ62" s="962" t="e">
        <f t="shared" si="407"/>
        <v>#VALUE!</v>
      </c>
      <c r="HK62" s="962" t="e">
        <f t="shared" si="407"/>
        <v>#VALUE!</v>
      </c>
      <c r="HL62" s="962" t="e">
        <f t="shared" si="407"/>
        <v>#VALUE!</v>
      </c>
      <c r="HM62" s="962" t="e">
        <f t="shared" si="407"/>
        <v>#VALUE!</v>
      </c>
      <c r="HN62" s="962" t="e">
        <f t="shared" si="407"/>
        <v>#VALUE!</v>
      </c>
      <c r="HO62" s="962" t="e">
        <f t="shared" si="407"/>
        <v>#VALUE!</v>
      </c>
      <c r="HP62" s="962" t="e">
        <f t="shared" si="407"/>
        <v>#VALUE!</v>
      </c>
      <c r="HQ62" s="962" t="e">
        <f t="shared" si="407"/>
        <v>#VALUE!</v>
      </c>
      <c r="HR62" s="962" t="e">
        <f t="shared" si="407"/>
        <v>#VALUE!</v>
      </c>
      <c r="HS62" s="962" t="e">
        <f t="shared" si="407"/>
        <v>#VALUE!</v>
      </c>
      <c r="HT62" s="962" t="e">
        <f t="shared" si="407"/>
        <v>#VALUE!</v>
      </c>
      <c r="HU62" s="962" t="e">
        <f t="shared" si="407"/>
        <v>#VALUE!</v>
      </c>
      <c r="HV62" s="962" t="e">
        <f t="shared" si="407"/>
        <v>#VALUE!</v>
      </c>
      <c r="HW62" s="962" t="e">
        <f t="shared" si="407"/>
        <v>#VALUE!</v>
      </c>
      <c r="HX62" s="962" t="e">
        <f t="shared" si="407"/>
        <v>#VALUE!</v>
      </c>
      <c r="HY62" s="962" t="e">
        <f t="shared" si="407"/>
        <v>#VALUE!</v>
      </c>
      <c r="HZ62" s="962" t="e">
        <f t="shared" si="407"/>
        <v>#VALUE!</v>
      </c>
      <c r="IA62" s="962" t="e">
        <f t="shared" si="407"/>
        <v>#VALUE!</v>
      </c>
      <c r="IB62" s="962" t="e">
        <f t="shared" si="407"/>
        <v>#VALUE!</v>
      </c>
      <c r="IC62" s="962" t="e">
        <f t="shared" si="407"/>
        <v>#VALUE!</v>
      </c>
      <c r="ID62" s="962" t="e">
        <f t="shared" si="407"/>
        <v>#VALUE!</v>
      </c>
      <c r="IE62" s="962" t="e">
        <f t="shared" si="407"/>
        <v>#VALUE!</v>
      </c>
      <c r="IF62" s="962" t="e">
        <f t="shared" si="407"/>
        <v>#VALUE!</v>
      </c>
      <c r="IG62" s="962" t="e">
        <f t="shared" si="407"/>
        <v>#VALUE!</v>
      </c>
      <c r="IH62" s="962" t="e">
        <f t="shared" si="407"/>
        <v>#VALUE!</v>
      </c>
      <c r="II62" s="962" t="e">
        <f t="shared" si="407"/>
        <v>#VALUE!</v>
      </c>
      <c r="IJ62" s="962" t="e">
        <f t="shared" si="407"/>
        <v>#VALUE!</v>
      </c>
      <c r="IK62" s="962" t="e">
        <f t="shared" ref="IK62:KV62" si="408">IF(IK61-IK60&gt;-180,IK61-IK60,IK61-IK60+360)</f>
        <v>#VALUE!</v>
      </c>
      <c r="IL62" s="962" t="e">
        <f t="shared" si="408"/>
        <v>#VALUE!</v>
      </c>
      <c r="IM62" s="962" t="e">
        <f t="shared" si="408"/>
        <v>#VALUE!</v>
      </c>
      <c r="IN62" s="962" t="e">
        <f t="shared" si="408"/>
        <v>#VALUE!</v>
      </c>
      <c r="IO62" s="962" t="e">
        <f t="shared" si="408"/>
        <v>#VALUE!</v>
      </c>
      <c r="IP62" s="962" t="e">
        <f t="shared" si="408"/>
        <v>#VALUE!</v>
      </c>
      <c r="IQ62" s="962" t="e">
        <f t="shared" si="408"/>
        <v>#VALUE!</v>
      </c>
      <c r="IR62" s="962" t="e">
        <f t="shared" si="408"/>
        <v>#VALUE!</v>
      </c>
      <c r="IS62" s="962" t="e">
        <f t="shared" si="408"/>
        <v>#VALUE!</v>
      </c>
      <c r="IT62" s="962" t="e">
        <f t="shared" si="408"/>
        <v>#VALUE!</v>
      </c>
      <c r="IU62" s="962" t="e">
        <f t="shared" si="408"/>
        <v>#VALUE!</v>
      </c>
      <c r="IV62" s="962" t="e">
        <f t="shared" si="408"/>
        <v>#VALUE!</v>
      </c>
      <c r="IW62" s="962" t="e">
        <f t="shared" si="408"/>
        <v>#VALUE!</v>
      </c>
      <c r="IX62" s="962" t="e">
        <f t="shared" si="408"/>
        <v>#VALUE!</v>
      </c>
      <c r="IY62" s="962" t="e">
        <f t="shared" si="408"/>
        <v>#VALUE!</v>
      </c>
      <c r="IZ62" s="962" t="e">
        <f t="shared" si="408"/>
        <v>#VALUE!</v>
      </c>
      <c r="JA62" s="962" t="e">
        <f t="shared" si="408"/>
        <v>#VALUE!</v>
      </c>
      <c r="JB62" s="962" t="e">
        <f t="shared" si="408"/>
        <v>#VALUE!</v>
      </c>
      <c r="JC62" s="962" t="e">
        <f t="shared" si="408"/>
        <v>#VALUE!</v>
      </c>
      <c r="JD62" s="962" t="e">
        <f t="shared" si="408"/>
        <v>#VALUE!</v>
      </c>
      <c r="JE62" s="962" t="e">
        <f t="shared" si="408"/>
        <v>#VALUE!</v>
      </c>
      <c r="JF62" s="962" t="e">
        <f t="shared" si="408"/>
        <v>#VALUE!</v>
      </c>
      <c r="JG62" s="962" t="e">
        <f t="shared" si="408"/>
        <v>#VALUE!</v>
      </c>
      <c r="JH62" s="962" t="e">
        <f t="shared" si="408"/>
        <v>#VALUE!</v>
      </c>
      <c r="JI62" s="962" t="e">
        <f t="shared" si="408"/>
        <v>#VALUE!</v>
      </c>
      <c r="JJ62" s="962" t="e">
        <f t="shared" si="408"/>
        <v>#VALUE!</v>
      </c>
      <c r="JK62" s="962" t="e">
        <f t="shared" si="408"/>
        <v>#VALUE!</v>
      </c>
      <c r="JL62" s="962" t="e">
        <f t="shared" si="408"/>
        <v>#VALUE!</v>
      </c>
      <c r="JM62" s="962" t="e">
        <f t="shared" si="408"/>
        <v>#VALUE!</v>
      </c>
      <c r="JN62" s="962" t="e">
        <f t="shared" si="408"/>
        <v>#VALUE!</v>
      </c>
      <c r="JO62" s="962" t="e">
        <f t="shared" si="408"/>
        <v>#VALUE!</v>
      </c>
      <c r="JP62" s="962" t="e">
        <f t="shared" si="408"/>
        <v>#VALUE!</v>
      </c>
      <c r="JQ62" s="962" t="e">
        <f t="shared" si="408"/>
        <v>#VALUE!</v>
      </c>
      <c r="JR62" s="962" t="e">
        <f t="shared" si="408"/>
        <v>#VALUE!</v>
      </c>
      <c r="JS62" s="962" t="e">
        <f t="shared" si="408"/>
        <v>#VALUE!</v>
      </c>
      <c r="JT62" s="962" t="e">
        <f t="shared" si="408"/>
        <v>#VALUE!</v>
      </c>
      <c r="JU62" s="962" t="e">
        <f t="shared" si="408"/>
        <v>#VALUE!</v>
      </c>
      <c r="JV62" s="962" t="e">
        <f t="shared" si="408"/>
        <v>#VALUE!</v>
      </c>
      <c r="JW62" s="962" t="e">
        <f t="shared" si="408"/>
        <v>#VALUE!</v>
      </c>
      <c r="JX62" s="962" t="e">
        <f t="shared" si="408"/>
        <v>#VALUE!</v>
      </c>
      <c r="JY62" s="962" t="e">
        <f t="shared" si="408"/>
        <v>#VALUE!</v>
      </c>
      <c r="JZ62" s="962" t="e">
        <f t="shared" si="408"/>
        <v>#VALUE!</v>
      </c>
      <c r="KA62" s="962" t="e">
        <f t="shared" si="408"/>
        <v>#VALUE!</v>
      </c>
      <c r="KB62" s="962" t="e">
        <f t="shared" si="408"/>
        <v>#VALUE!</v>
      </c>
      <c r="KC62" s="962" t="e">
        <f t="shared" si="408"/>
        <v>#VALUE!</v>
      </c>
      <c r="KD62" s="962" t="e">
        <f t="shared" si="408"/>
        <v>#VALUE!</v>
      </c>
      <c r="KE62" s="962" t="e">
        <f t="shared" si="408"/>
        <v>#VALUE!</v>
      </c>
      <c r="KF62" s="962" t="e">
        <f t="shared" si="408"/>
        <v>#VALUE!</v>
      </c>
      <c r="KG62" s="962" t="e">
        <f t="shared" si="408"/>
        <v>#VALUE!</v>
      </c>
      <c r="KH62" s="962" t="e">
        <f t="shared" si="408"/>
        <v>#VALUE!</v>
      </c>
      <c r="KI62" s="962" t="e">
        <f t="shared" si="408"/>
        <v>#VALUE!</v>
      </c>
      <c r="KJ62" s="962" t="e">
        <f t="shared" si="408"/>
        <v>#VALUE!</v>
      </c>
      <c r="KK62" s="962" t="e">
        <f t="shared" si="408"/>
        <v>#VALUE!</v>
      </c>
      <c r="KL62" s="962" t="e">
        <f t="shared" si="408"/>
        <v>#VALUE!</v>
      </c>
      <c r="KM62" s="962" t="e">
        <f t="shared" si="408"/>
        <v>#VALUE!</v>
      </c>
      <c r="KN62" s="962" t="e">
        <f t="shared" si="408"/>
        <v>#VALUE!</v>
      </c>
      <c r="KO62" s="962" t="e">
        <f t="shared" si="408"/>
        <v>#VALUE!</v>
      </c>
      <c r="KP62" s="962" t="e">
        <f t="shared" si="408"/>
        <v>#VALUE!</v>
      </c>
      <c r="KQ62" s="962" t="e">
        <f t="shared" si="408"/>
        <v>#VALUE!</v>
      </c>
      <c r="KR62" s="962" t="e">
        <f t="shared" si="408"/>
        <v>#VALUE!</v>
      </c>
      <c r="KS62" s="962" t="e">
        <f t="shared" si="408"/>
        <v>#VALUE!</v>
      </c>
      <c r="KT62" s="962" t="e">
        <f t="shared" si="408"/>
        <v>#VALUE!</v>
      </c>
      <c r="KU62" s="962" t="e">
        <f t="shared" si="408"/>
        <v>#VALUE!</v>
      </c>
      <c r="KV62" s="962" t="e">
        <f t="shared" si="408"/>
        <v>#VALUE!</v>
      </c>
      <c r="KW62" s="962" t="e">
        <f t="shared" ref="KW62:NH62" si="409">IF(KW61-KW60&gt;-180,KW61-KW60,KW61-KW60+360)</f>
        <v>#VALUE!</v>
      </c>
      <c r="KX62" s="962" t="e">
        <f t="shared" si="409"/>
        <v>#VALUE!</v>
      </c>
      <c r="KY62" s="962" t="e">
        <f t="shared" si="409"/>
        <v>#VALUE!</v>
      </c>
      <c r="KZ62" s="962" t="e">
        <f t="shared" si="409"/>
        <v>#VALUE!</v>
      </c>
      <c r="LA62" s="962" t="e">
        <f t="shared" si="409"/>
        <v>#VALUE!</v>
      </c>
      <c r="LB62" s="962" t="e">
        <f t="shared" si="409"/>
        <v>#VALUE!</v>
      </c>
      <c r="LC62" s="962" t="e">
        <f t="shared" si="409"/>
        <v>#VALUE!</v>
      </c>
      <c r="LD62" s="962" t="e">
        <f t="shared" si="409"/>
        <v>#VALUE!</v>
      </c>
      <c r="LE62" s="962" t="e">
        <f t="shared" si="409"/>
        <v>#VALUE!</v>
      </c>
      <c r="LF62" s="962" t="e">
        <f t="shared" si="409"/>
        <v>#VALUE!</v>
      </c>
      <c r="LG62" s="962" t="e">
        <f t="shared" si="409"/>
        <v>#VALUE!</v>
      </c>
      <c r="LH62" s="962" t="e">
        <f t="shared" si="409"/>
        <v>#VALUE!</v>
      </c>
      <c r="LI62" s="962" t="e">
        <f t="shared" si="409"/>
        <v>#VALUE!</v>
      </c>
      <c r="LJ62" s="962" t="e">
        <f t="shared" si="409"/>
        <v>#VALUE!</v>
      </c>
      <c r="LK62" s="962" t="e">
        <f t="shared" si="409"/>
        <v>#VALUE!</v>
      </c>
      <c r="LL62" s="962" t="e">
        <f t="shared" si="409"/>
        <v>#VALUE!</v>
      </c>
      <c r="LM62" s="962" t="e">
        <f t="shared" si="409"/>
        <v>#VALUE!</v>
      </c>
      <c r="LN62" s="962" t="e">
        <f t="shared" si="409"/>
        <v>#VALUE!</v>
      </c>
      <c r="LO62" s="962" t="e">
        <f t="shared" si="409"/>
        <v>#VALUE!</v>
      </c>
      <c r="LP62" s="962" t="e">
        <f t="shared" si="409"/>
        <v>#VALUE!</v>
      </c>
      <c r="LQ62" s="962" t="e">
        <f t="shared" si="409"/>
        <v>#VALUE!</v>
      </c>
      <c r="LR62" s="962" t="e">
        <f t="shared" si="409"/>
        <v>#VALUE!</v>
      </c>
      <c r="LS62" s="962" t="e">
        <f t="shared" si="409"/>
        <v>#VALUE!</v>
      </c>
      <c r="LT62" s="962" t="e">
        <f t="shared" si="409"/>
        <v>#VALUE!</v>
      </c>
      <c r="LU62" s="962" t="e">
        <f t="shared" si="409"/>
        <v>#VALUE!</v>
      </c>
      <c r="LV62" s="962" t="e">
        <f t="shared" si="409"/>
        <v>#VALUE!</v>
      </c>
      <c r="LW62" s="962" t="e">
        <f t="shared" si="409"/>
        <v>#VALUE!</v>
      </c>
      <c r="LX62" s="962" t="e">
        <f t="shared" si="409"/>
        <v>#VALUE!</v>
      </c>
      <c r="LY62" s="962" t="e">
        <f t="shared" si="409"/>
        <v>#VALUE!</v>
      </c>
      <c r="LZ62" s="962" t="e">
        <f t="shared" si="409"/>
        <v>#VALUE!</v>
      </c>
      <c r="MA62" s="962" t="e">
        <f t="shared" si="409"/>
        <v>#VALUE!</v>
      </c>
      <c r="MB62" s="962" t="e">
        <f t="shared" si="409"/>
        <v>#VALUE!</v>
      </c>
      <c r="MC62" s="962" t="e">
        <f t="shared" si="409"/>
        <v>#VALUE!</v>
      </c>
      <c r="MD62" s="962" t="e">
        <f t="shared" si="409"/>
        <v>#VALUE!</v>
      </c>
      <c r="ME62" s="962" t="e">
        <f t="shared" si="409"/>
        <v>#VALUE!</v>
      </c>
      <c r="MF62" s="962" t="e">
        <f t="shared" si="409"/>
        <v>#VALUE!</v>
      </c>
      <c r="MG62" s="962" t="e">
        <f t="shared" si="409"/>
        <v>#VALUE!</v>
      </c>
      <c r="MH62" s="962" t="e">
        <f t="shared" si="409"/>
        <v>#VALUE!</v>
      </c>
      <c r="MI62" s="962" t="e">
        <f t="shared" si="409"/>
        <v>#VALUE!</v>
      </c>
      <c r="MJ62" s="962" t="e">
        <f t="shared" si="409"/>
        <v>#VALUE!</v>
      </c>
      <c r="MK62" s="962" t="e">
        <f t="shared" si="409"/>
        <v>#VALUE!</v>
      </c>
      <c r="ML62" s="962" t="e">
        <f t="shared" si="409"/>
        <v>#VALUE!</v>
      </c>
      <c r="MM62" s="962" t="e">
        <f t="shared" si="409"/>
        <v>#VALUE!</v>
      </c>
      <c r="MN62" s="962" t="e">
        <f t="shared" si="409"/>
        <v>#VALUE!</v>
      </c>
      <c r="MO62" s="962" t="e">
        <f t="shared" si="409"/>
        <v>#VALUE!</v>
      </c>
      <c r="MP62" s="962" t="e">
        <f t="shared" si="409"/>
        <v>#VALUE!</v>
      </c>
      <c r="MQ62" s="962" t="e">
        <f t="shared" si="409"/>
        <v>#VALUE!</v>
      </c>
      <c r="MR62" s="962" t="e">
        <f t="shared" si="409"/>
        <v>#VALUE!</v>
      </c>
      <c r="MS62" s="962" t="e">
        <f t="shared" si="409"/>
        <v>#VALUE!</v>
      </c>
      <c r="MT62" s="962" t="e">
        <f t="shared" si="409"/>
        <v>#VALUE!</v>
      </c>
      <c r="MU62" s="962" t="e">
        <f t="shared" si="409"/>
        <v>#VALUE!</v>
      </c>
      <c r="MV62" s="962" t="e">
        <f t="shared" si="409"/>
        <v>#VALUE!</v>
      </c>
      <c r="MW62" s="962" t="e">
        <f t="shared" si="409"/>
        <v>#VALUE!</v>
      </c>
      <c r="MX62" s="962" t="e">
        <f t="shared" si="409"/>
        <v>#VALUE!</v>
      </c>
      <c r="MY62" s="962" t="e">
        <f t="shared" si="409"/>
        <v>#VALUE!</v>
      </c>
      <c r="MZ62" s="962" t="e">
        <f t="shared" si="409"/>
        <v>#VALUE!</v>
      </c>
      <c r="NA62" s="962" t="e">
        <f t="shared" si="409"/>
        <v>#VALUE!</v>
      </c>
      <c r="NB62" s="962" t="e">
        <f t="shared" si="409"/>
        <v>#VALUE!</v>
      </c>
      <c r="NC62" s="962" t="e">
        <f t="shared" si="409"/>
        <v>#VALUE!</v>
      </c>
      <c r="ND62" s="962" t="e">
        <f t="shared" si="409"/>
        <v>#VALUE!</v>
      </c>
      <c r="NE62" s="962" t="e">
        <f t="shared" si="409"/>
        <v>#VALUE!</v>
      </c>
      <c r="NF62" s="962" t="e">
        <f t="shared" si="409"/>
        <v>#VALUE!</v>
      </c>
      <c r="NG62" s="962" t="e">
        <f t="shared" si="409"/>
        <v>#VALUE!</v>
      </c>
      <c r="NH62" s="962" t="e">
        <f t="shared" si="409"/>
        <v>#VALUE!</v>
      </c>
      <c r="NI62" s="962" t="e">
        <f t="shared" ref="NI62:PT62" si="410">IF(NI61-NI60&gt;-180,NI61-NI60,NI61-NI60+360)</f>
        <v>#VALUE!</v>
      </c>
      <c r="NJ62" s="962" t="e">
        <f t="shared" si="410"/>
        <v>#VALUE!</v>
      </c>
      <c r="NK62" s="962" t="e">
        <f t="shared" si="410"/>
        <v>#VALUE!</v>
      </c>
      <c r="NL62" s="962" t="e">
        <f t="shared" si="410"/>
        <v>#VALUE!</v>
      </c>
      <c r="NM62" s="962" t="e">
        <f t="shared" si="410"/>
        <v>#VALUE!</v>
      </c>
      <c r="NN62" s="962" t="e">
        <f t="shared" si="410"/>
        <v>#VALUE!</v>
      </c>
      <c r="NO62" s="962" t="e">
        <f t="shared" si="410"/>
        <v>#VALUE!</v>
      </c>
      <c r="NP62" s="962" t="e">
        <f t="shared" si="410"/>
        <v>#VALUE!</v>
      </c>
      <c r="NQ62" s="962" t="e">
        <f t="shared" si="410"/>
        <v>#VALUE!</v>
      </c>
      <c r="NR62" s="962" t="e">
        <f t="shared" si="410"/>
        <v>#VALUE!</v>
      </c>
      <c r="NS62" s="962" t="e">
        <f t="shared" si="410"/>
        <v>#VALUE!</v>
      </c>
      <c r="NT62" s="962" t="e">
        <f t="shared" si="410"/>
        <v>#VALUE!</v>
      </c>
      <c r="NU62" s="962" t="e">
        <f t="shared" si="410"/>
        <v>#VALUE!</v>
      </c>
      <c r="NV62" s="962" t="e">
        <f t="shared" si="410"/>
        <v>#VALUE!</v>
      </c>
      <c r="NW62" s="962" t="e">
        <f t="shared" si="410"/>
        <v>#VALUE!</v>
      </c>
      <c r="NX62" s="962" t="e">
        <f t="shared" si="410"/>
        <v>#VALUE!</v>
      </c>
      <c r="NY62" s="962" t="e">
        <f t="shared" si="410"/>
        <v>#VALUE!</v>
      </c>
      <c r="NZ62" s="962" t="e">
        <f t="shared" si="410"/>
        <v>#VALUE!</v>
      </c>
      <c r="OA62" s="962" t="e">
        <f t="shared" si="410"/>
        <v>#VALUE!</v>
      </c>
      <c r="OB62" s="962" t="e">
        <f t="shared" si="410"/>
        <v>#VALUE!</v>
      </c>
      <c r="OC62" s="962" t="e">
        <f t="shared" si="410"/>
        <v>#VALUE!</v>
      </c>
      <c r="OD62" s="962" t="e">
        <f t="shared" si="410"/>
        <v>#VALUE!</v>
      </c>
      <c r="OE62" s="962" t="e">
        <f t="shared" si="410"/>
        <v>#VALUE!</v>
      </c>
      <c r="OF62" s="962" t="e">
        <f t="shared" si="410"/>
        <v>#VALUE!</v>
      </c>
      <c r="OG62" s="962" t="e">
        <f t="shared" si="410"/>
        <v>#VALUE!</v>
      </c>
      <c r="OH62" s="962" t="e">
        <f t="shared" si="410"/>
        <v>#VALUE!</v>
      </c>
      <c r="OI62" s="962" t="e">
        <f t="shared" si="410"/>
        <v>#VALUE!</v>
      </c>
      <c r="OJ62" s="962" t="e">
        <f t="shared" si="410"/>
        <v>#VALUE!</v>
      </c>
      <c r="OK62" s="962" t="e">
        <f t="shared" si="410"/>
        <v>#VALUE!</v>
      </c>
      <c r="OL62" s="962" t="e">
        <f t="shared" si="410"/>
        <v>#VALUE!</v>
      </c>
      <c r="OM62" s="962" t="e">
        <f t="shared" si="410"/>
        <v>#VALUE!</v>
      </c>
      <c r="ON62" s="962" t="e">
        <f t="shared" si="410"/>
        <v>#VALUE!</v>
      </c>
      <c r="OO62" s="962" t="e">
        <f t="shared" si="410"/>
        <v>#VALUE!</v>
      </c>
      <c r="OP62" s="962" t="e">
        <f t="shared" si="410"/>
        <v>#VALUE!</v>
      </c>
      <c r="OQ62" s="962" t="e">
        <f t="shared" si="410"/>
        <v>#VALUE!</v>
      </c>
      <c r="OR62" s="962" t="e">
        <f t="shared" si="410"/>
        <v>#VALUE!</v>
      </c>
      <c r="OS62" s="962" t="e">
        <f t="shared" si="410"/>
        <v>#VALUE!</v>
      </c>
      <c r="OT62" s="962" t="e">
        <f t="shared" si="410"/>
        <v>#VALUE!</v>
      </c>
      <c r="OU62" s="962" t="e">
        <f t="shared" si="410"/>
        <v>#VALUE!</v>
      </c>
      <c r="OV62" s="962" t="e">
        <f t="shared" si="410"/>
        <v>#VALUE!</v>
      </c>
      <c r="OW62" s="962" t="e">
        <f t="shared" si="410"/>
        <v>#VALUE!</v>
      </c>
      <c r="OX62" s="962" t="e">
        <f t="shared" si="410"/>
        <v>#VALUE!</v>
      </c>
      <c r="OY62" s="962" t="e">
        <f t="shared" si="410"/>
        <v>#VALUE!</v>
      </c>
      <c r="OZ62" s="962" t="e">
        <f t="shared" si="410"/>
        <v>#VALUE!</v>
      </c>
      <c r="PA62" s="962" t="e">
        <f t="shared" si="410"/>
        <v>#VALUE!</v>
      </c>
      <c r="PB62" s="962" t="e">
        <f t="shared" si="410"/>
        <v>#VALUE!</v>
      </c>
      <c r="PC62" s="962" t="e">
        <f t="shared" si="410"/>
        <v>#VALUE!</v>
      </c>
      <c r="PD62" s="962" t="e">
        <f t="shared" si="410"/>
        <v>#VALUE!</v>
      </c>
      <c r="PE62" s="962" t="e">
        <f t="shared" si="410"/>
        <v>#VALUE!</v>
      </c>
      <c r="PF62" s="962" t="e">
        <f t="shared" si="410"/>
        <v>#VALUE!</v>
      </c>
      <c r="PG62" s="962" t="e">
        <f t="shared" si="410"/>
        <v>#VALUE!</v>
      </c>
      <c r="PH62" s="962" t="e">
        <f t="shared" si="410"/>
        <v>#VALUE!</v>
      </c>
      <c r="PI62" s="962" t="e">
        <f t="shared" si="410"/>
        <v>#VALUE!</v>
      </c>
      <c r="PJ62" s="962" t="e">
        <f t="shared" si="410"/>
        <v>#VALUE!</v>
      </c>
      <c r="PK62" s="962" t="e">
        <f t="shared" si="410"/>
        <v>#VALUE!</v>
      </c>
      <c r="PL62" s="962" t="e">
        <f t="shared" si="410"/>
        <v>#VALUE!</v>
      </c>
      <c r="PM62" s="962" t="e">
        <f t="shared" si="410"/>
        <v>#VALUE!</v>
      </c>
      <c r="PN62" s="962" t="e">
        <f t="shared" si="410"/>
        <v>#VALUE!</v>
      </c>
      <c r="PO62" s="962" t="e">
        <f t="shared" si="410"/>
        <v>#VALUE!</v>
      </c>
      <c r="PP62" s="962" t="e">
        <f t="shared" si="410"/>
        <v>#VALUE!</v>
      </c>
      <c r="PQ62" s="962" t="e">
        <f t="shared" si="410"/>
        <v>#VALUE!</v>
      </c>
      <c r="PR62" s="962" t="e">
        <f t="shared" si="410"/>
        <v>#VALUE!</v>
      </c>
      <c r="PS62" s="962" t="e">
        <f t="shared" si="410"/>
        <v>#VALUE!</v>
      </c>
      <c r="PT62" s="962" t="e">
        <f t="shared" si="410"/>
        <v>#VALUE!</v>
      </c>
      <c r="PU62" s="962" t="e">
        <f t="shared" ref="PU62:QZ62" si="411">IF(PU61-PU60&gt;-180,PU61-PU60,PU61-PU60+360)</f>
        <v>#VALUE!</v>
      </c>
      <c r="PV62" s="962" t="e">
        <f t="shared" si="411"/>
        <v>#VALUE!</v>
      </c>
      <c r="PW62" s="962" t="e">
        <f t="shared" si="411"/>
        <v>#VALUE!</v>
      </c>
      <c r="PX62" s="962" t="e">
        <f t="shared" si="411"/>
        <v>#VALUE!</v>
      </c>
      <c r="PY62" s="962" t="e">
        <f t="shared" si="411"/>
        <v>#VALUE!</v>
      </c>
      <c r="PZ62" s="962" t="e">
        <f t="shared" si="411"/>
        <v>#VALUE!</v>
      </c>
      <c r="QA62" s="962" t="e">
        <f t="shared" si="411"/>
        <v>#VALUE!</v>
      </c>
      <c r="QB62" s="962" t="e">
        <f t="shared" si="411"/>
        <v>#VALUE!</v>
      </c>
      <c r="QC62" s="962" t="e">
        <f t="shared" si="411"/>
        <v>#VALUE!</v>
      </c>
      <c r="QD62" s="962" t="e">
        <f t="shared" si="411"/>
        <v>#VALUE!</v>
      </c>
      <c r="QE62" s="962" t="e">
        <f t="shared" si="411"/>
        <v>#VALUE!</v>
      </c>
      <c r="QF62" s="962" t="e">
        <f t="shared" si="411"/>
        <v>#VALUE!</v>
      </c>
      <c r="QG62" s="962" t="e">
        <f t="shared" si="411"/>
        <v>#VALUE!</v>
      </c>
      <c r="QH62" s="962" t="e">
        <f t="shared" si="411"/>
        <v>#VALUE!</v>
      </c>
      <c r="QI62" s="962" t="e">
        <f t="shared" si="411"/>
        <v>#VALUE!</v>
      </c>
      <c r="QJ62" s="962" t="e">
        <f t="shared" si="411"/>
        <v>#VALUE!</v>
      </c>
      <c r="QK62" s="962" t="e">
        <f t="shared" si="411"/>
        <v>#VALUE!</v>
      </c>
      <c r="QL62" s="962" t="e">
        <f t="shared" si="411"/>
        <v>#VALUE!</v>
      </c>
      <c r="QM62" s="962" t="e">
        <f t="shared" si="411"/>
        <v>#VALUE!</v>
      </c>
      <c r="QN62" s="962" t="e">
        <f t="shared" si="411"/>
        <v>#VALUE!</v>
      </c>
      <c r="QO62" s="962" t="e">
        <f t="shared" si="411"/>
        <v>#VALUE!</v>
      </c>
      <c r="QP62" s="962" t="e">
        <f t="shared" si="411"/>
        <v>#VALUE!</v>
      </c>
      <c r="QQ62" s="962" t="e">
        <f t="shared" si="411"/>
        <v>#VALUE!</v>
      </c>
      <c r="QR62" s="962" t="e">
        <f t="shared" si="411"/>
        <v>#VALUE!</v>
      </c>
      <c r="QS62" s="962" t="e">
        <f t="shared" si="411"/>
        <v>#VALUE!</v>
      </c>
      <c r="QT62" s="962" t="e">
        <f t="shared" si="411"/>
        <v>#VALUE!</v>
      </c>
      <c r="QU62" s="962" t="e">
        <f t="shared" si="411"/>
        <v>#VALUE!</v>
      </c>
      <c r="QV62" s="962" t="e">
        <f t="shared" si="411"/>
        <v>#VALUE!</v>
      </c>
      <c r="QW62" s="962" t="e">
        <f t="shared" si="411"/>
        <v>#VALUE!</v>
      </c>
      <c r="QX62" s="962" t="e">
        <f t="shared" si="411"/>
        <v>#VALUE!</v>
      </c>
      <c r="QY62" s="962" t="e">
        <f t="shared" si="411"/>
        <v>#VALUE!</v>
      </c>
      <c r="QZ62" s="962" t="e">
        <f t="shared" si="411"/>
        <v>#VALUE!</v>
      </c>
      <c r="RA62" s="962" t="e">
        <f t="shared" ref="RA62" si="412">IF(RA61-RA60&gt;-180,RA61-RA60,RA61-RA60+360)</f>
        <v>#VALUE!</v>
      </c>
      <c r="RC62" s="797"/>
    </row>
    <row r="63" spans="1:471" ht="17.25">
      <c r="B63" s="2"/>
      <c r="C63" s="2" t="s">
        <v>6</v>
      </c>
      <c r="D63" s="2" t="s">
        <v>3</v>
      </c>
      <c r="E63" s="2" t="s">
        <v>4</v>
      </c>
      <c r="F63" s="2" t="s">
        <v>5</v>
      </c>
      <c r="G63" s="2"/>
      <c r="H63" s="2" t="s">
        <v>8</v>
      </c>
      <c r="I63" s="2" t="s">
        <v>9</v>
      </c>
      <c r="J63" s="2" t="s">
        <v>7</v>
      </c>
      <c r="K63" s="2"/>
      <c r="L63" s="2" t="s">
        <v>1</v>
      </c>
      <c r="M63" s="2"/>
      <c r="N63" s="2"/>
      <c r="O63" s="2"/>
      <c r="P63" s="2"/>
      <c r="Q63" s="2"/>
      <c r="R63" s="2"/>
      <c r="S63" s="2"/>
      <c r="T63" s="2"/>
      <c r="U63" s="2"/>
      <c r="V63" s="2"/>
      <c r="W63" s="2"/>
      <c r="X63" s="2"/>
      <c r="Y63" s="2"/>
      <c r="Z63" s="2"/>
      <c r="AA63" s="2"/>
      <c r="AB63" s="2"/>
      <c r="AC63" s="2"/>
      <c r="AK63" s="713" t="s">
        <v>3542</v>
      </c>
      <c r="AL63" s="740" t="e">
        <f>IF(AL62&gt;=10,29,30)</f>
        <v>#VALUE!</v>
      </c>
      <c r="AM63" s="233" t="e">
        <f t="shared" ref="AM63:AW63" si="413">IF(AM62&gt;=10,29,30)</f>
        <v>#VALUE!</v>
      </c>
      <c r="AN63" s="233" t="e">
        <f t="shared" si="413"/>
        <v>#VALUE!</v>
      </c>
      <c r="AO63" s="233" t="e">
        <f t="shared" si="413"/>
        <v>#VALUE!</v>
      </c>
      <c r="AP63" s="233" t="e">
        <f t="shared" si="413"/>
        <v>#VALUE!</v>
      </c>
      <c r="AQ63" s="233" t="e">
        <f t="shared" si="413"/>
        <v>#VALUE!</v>
      </c>
      <c r="AR63" s="233" t="e">
        <f>IF(AR62&gt;=10,29,30)</f>
        <v>#VALUE!</v>
      </c>
      <c r="AS63" s="233" t="e">
        <f t="shared" si="413"/>
        <v>#VALUE!</v>
      </c>
      <c r="AT63" s="233" t="e">
        <f t="shared" si="413"/>
        <v>#VALUE!</v>
      </c>
      <c r="AU63" s="233" t="e">
        <f t="shared" si="413"/>
        <v>#VALUE!</v>
      </c>
      <c r="AV63" s="233" t="e">
        <f t="shared" si="413"/>
        <v>#VALUE!</v>
      </c>
      <c r="AW63" s="741" t="e">
        <f t="shared" si="413"/>
        <v>#VALUE!</v>
      </c>
      <c r="AX63" s="709" t="e">
        <f>SUM(AL63:AW63)</f>
        <v>#VALUE!</v>
      </c>
      <c r="DH63" s="797"/>
      <c r="DI63" s="797" t="s">
        <v>3802</v>
      </c>
      <c r="DJ63" s="959" t="e">
        <f>[1]!bodmoadal(1,1,(DJ56+1),[1]!qsn([1]!ml([1]!taqsha(1,1,1+DJ56,DJ57)),DJ58)/30,DJ57,DJ58)</f>
        <v>#VALUE!</v>
      </c>
      <c r="DK63" s="962" t="e">
        <f>[1]!bodmoadal(1,1,(DK56+1),[1]!qsn([1]!ml([1]!taqsha(1,1,1+DK56,DK57)),DK58)/30,DK57,DK58)</f>
        <v>#VALUE!</v>
      </c>
      <c r="DL63" s="962" t="e">
        <f>[1]!bodmoadal(1,1,(DL56+1),[1]!qsn([1]!ml([1]!taqsha(1,1,1+DL56,DL57)),DL58)/30,DL57,DL58)</f>
        <v>#VALUE!</v>
      </c>
      <c r="DM63" s="962" t="e">
        <f>[1]!bodmoadal(1,1,(DM56+1),[1]!qsn([1]!ml([1]!taqsha(1,1,1+DM56,DM57)),DM58)/30,DM57,DM58)</f>
        <v>#VALUE!</v>
      </c>
      <c r="DN63" s="962" t="e">
        <f>[1]!bodmoadal(1,1,(DN56+1),[1]!qsn([1]!ml([1]!taqsha(1,1,1+DN56,DN57)),DN58)/30,DN57,DN58)</f>
        <v>#VALUE!</v>
      </c>
      <c r="DO63" s="962" t="e">
        <f>[1]!bodmoadal(1,1,(DO56+1),[1]!qsn([1]!ml([1]!taqsha(1,1,1+DO56,DO57)),DO58)/30,DO57,DO58)</f>
        <v>#VALUE!</v>
      </c>
      <c r="DP63" s="962" t="e">
        <f>[1]!bodmoadal(1,1,(DP56+1),[1]!qsn([1]!ml([1]!taqsha(1,1,1+DP56,DP57)),DP58)/30,DP57,DP58)</f>
        <v>#VALUE!</v>
      </c>
      <c r="DQ63" s="962" t="e">
        <f>[1]!bodmoadal(1,1,(DQ56+1),[1]!qsn([1]!ml([1]!taqsha(1,1,1+DQ56,DQ57)),DQ58)/30,DQ57,DQ58)</f>
        <v>#VALUE!</v>
      </c>
      <c r="DR63" s="962" t="e">
        <f>[1]!bodmoadal(1,1,(DR56+1),[1]!qsn([1]!ml([1]!taqsha(1,1,1+DR56,DR57)),DR58)/30,DR57,DR58)</f>
        <v>#VALUE!</v>
      </c>
      <c r="DS63" s="962" t="e">
        <f>[1]!bodmoadal(1,1,(DS56+1),[1]!qsn([1]!ml([1]!taqsha(1,1,1+DS56,DS57)),DS58)/30,DS57,DS58)</f>
        <v>#VALUE!</v>
      </c>
      <c r="DT63" s="962" t="e">
        <f>[1]!bodmoadal(1,1,(DT56+1),[1]!qsn([1]!ml([1]!taqsha(1,1,1+DT56,DT57)),DT58)/30,DT57,DT58)</f>
        <v>#VALUE!</v>
      </c>
      <c r="DU63" s="962" t="e">
        <f>[1]!bodmoadal(1,1,(DU56+1),[1]!qsn([1]!ml([1]!taqsha(1,1,1+DU56,DU57)),DU58)/30,DU57,DU58)</f>
        <v>#VALUE!</v>
      </c>
      <c r="DV63" s="962" t="e">
        <f>[1]!bodmoadal(1,1,(DV56+1),[1]!qsn([1]!ml([1]!taqsha(1,1,1+DV56,DV57)),DV58)/30,DV57,DV58)</f>
        <v>#VALUE!</v>
      </c>
      <c r="DW63" s="962" t="e">
        <f>[1]!bodmoadal(1,1,(DW56+1),[1]!qsn([1]!ml([1]!taqsha(1,1,1+DW56,DW57)),DW58)/30,DW57,DW58)</f>
        <v>#VALUE!</v>
      </c>
      <c r="DX63" s="962" t="e">
        <f>[1]!bodmoadal(1,1,(DX56+1),[1]!qsn([1]!ml([1]!taqsha(1,1,1+DX56,DX57)),DX58)/30,DX57,DX58)</f>
        <v>#VALUE!</v>
      </c>
      <c r="DY63" s="962" t="e">
        <f>[1]!bodmoadal(1,1,(DY56+1),[1]!qsn([1]!ml([1]!taqsha(1,1,1+DY56,DY57)),DY58)/30,DY57,DY58)</f>
        <v>#VALUE!</v>
      </c>
      <c r="DZ63" s="962" t="e">
        <f>[1]!bodmoadal(1,1,(DZ56+1),[1]!qsn([1]!ml([1]!taqsha(1,1,1+DZ56,DZ57)),DZ58)/30,DZ57,DZ58)</f>
        <v>#VALUE!</v>
      </c>
      <c r="EA63" s="962" t="e">
        <f>[1]!bodmoadal(1,1,(EA56+1),[1]!qsn([1]!ml([1]!taqsha(1,1,1+EA56,EA57)),EA58)/30,EA57,EA58)</f>
        <v>#VALUE!</v>
      </c>
      <c r="EB63" s="962" t="e">
        <f>[1]!bodmoadal(1,1,(EB56+1),[1]!qsn([1]!ml([1]!taqsha(1,1,1+EB56,EB57)),EB58)/30,EB57,EB58)</f>
        <v>#VALUE!</v>
      </c>
      <c r="EC63" s="962" t="e">
        <f>[1]!bodmoadal(1,1,(EC56+1),[1]!qsn([1]!ml([1]!taqsha(1,1,1+EC56,EC57)),EC58)/30,EC57,EC58)</f>
        <v>#VALUE!</v>
      </c>
      <c r="ED63" s="962" t="e">
        <f>[1]!bodmoadal(1,1,(ED56+1),[1]!qsn([1]!ml([1]!taqsha(1,1,1+ED56,ED57)),ED58)/30,ED57,ED58)</f>
        <v>#VALUE!</v>
      </c>
      <c r="EE63" s="962" t="e">
        <f>[1]!bodmoadal(1,1,(EE56+1),[1]!qsn([1]!ml([1]!taqsha(1,1,1+EE56,EE57)),EE58)/30,EE57,EE58)</f>
        <v>#VALUE!</v>
      </c>
      <c r="EF63" s="962" t="e">
        <f>[1]!bodmoadal(1,1,(EF56+1),[1]!qsn([1]!ml([1]!taqsha(1,1,1+EF56,EF57)),EF58)/30,EF57,EF58)</f>
        <v>#VALUE!</v>
      </c>
      <c r="EG63" s="962" t="e">
        <f>[1]!bodmoadal(1,1,(EG56+1),[1]!qsn([1]!ml([1]!taqsha(1,1,1+EG56,EG57)),EG58)/30,EG57,EG58)</f>
        <v>#VALUE!</v>
      </c>
      <c r="EH63" s="962" t="e">
        <f>[1]!bodmoadal(1,1,(EH56+1),[1]!qsn([1]!ml([1]!taqsha(1,1,1+EH56,EH57)),EH58)/30,EH57,EH58)</f>
        <v>#VALUE!</v>
      </c>
      <c r="EI63" s="962" t="e">
        <f>[1]!bodmoadal(1,1,(EI56+1),[1]!qsn([1]!ml([1]!taqsha(1,1,1+EI56,EI57)),EI58)/30,EI57,EI58)</f>
        <v>#VALUE!</v>
      </c>
      <c r="EJ63" s="962" t="e">
        <f>[1]!bodmoadal(1,1,(EJ56+1),[1]!qsn([1]!ml([1]!taqsha(1,1,1+EJ56,EJ57)),EJ58)/30,EJ57,EJ58)</f>
        <v>#VALUE!</v>
      </c>
      <c r="EK63" s="962" t="e">
        <f>[1]!bodmoadal(1,1,(EK56+1),[1]!qsn([1]!ml([1]!taqsha(1,1,1+EK56,EK57)),EK58)/30,EK57,EK58)</f>
        <v>#VALUE!</v>
      </c>
      <c r="EL63" s="962" t="e">
        <f>[1]!bodmoadal(1,1,(EL56+1),[1]!qsn([1]!ml([1]!taqsha(1,1,1+EL56,EL57)),EL58)/30,EL57,EL58)</f>
        <v>#VALUE!</v>
      </c>
      <c r="EM63" s="962" t="e">
        <f>[1]!bodmoadal(1,1,(EM56+1),[1]!qsn([1]!ml([1]!taqsha(1,1,1+EM56,EM57)),EM58)/30,EM57,EM58)</f>
        <v>#VALUE!</v>
      </c>
      <c r="EN63" s="962" t="e">
        <f>[1]!bodmoadal(1,1,(EN56+1),[1]!qsn([1]!ml([1]!taqsha(1,1,1+EN56,EN57)),EN58)/30,EN57,EN58)</f>
        <v>#VALUE!</v>
      </c>
      <c r="EO63" s="962" t="e">
        <f>[1]!bodmoadal(1,1,(EO56+1),[1]!qsn([1]!ml([1]!taqsha(1,1,1+EO56,EO57)),EO58)/30,EO57,EO58)</f>
        <v>#VALUE!</v>
      </c>
      <c r="EP63" s="962" t="e">
        <f>[1]!bodmoadal(1,1,(EP56+1),[1]!qsn([1]!ml([1]!taqsha(1,1,1+EP56,EP57)),EP58)/30,EP57,EP58)</f>
        <v>#VALUE!</v>
      </c>
      <c r="EQ63" s="962" t="e">
        <f>[1]!bodmoadal(1,1,(EQ56+1),[1]!qsn([1]!ml([1]!taqsha(1,1,1+EQ56,EQ57)),EQ58)/30,EQ57,EQ58)</f>
        <v>#VALUE!</v>
      </c>
      <c r="ER63" s="962" t="e">
        <f>[1]!bodmoadal(1,1,(ER56+1),[1]!qsn([1]!ml([1]!taqsha(1,1,1+ER56,ER57)),ER58)/30,ER57,ER58)</f>
        <v>#VALUE!</v>
      </c>
      <c r="ES63" s="962" t="e">
        <f>[1]!bodmoadal(1,1,(ES56+1),[1]!qsn([1]!ml([1]!taqsha(1,1,1+ES56,ES57)),ES58)/30,ES57,ES58)</f>
        <v>#VALUE!</v>
      </c>
      <c r="ET63" s="962" t="e">
        <f>[1]!bodmoadal(1,1,(ET56+1),[1]!qsn([1]!ml([1]!taqsha(1,1,1+ET56,ET57)),ET58)/30,ET57,ET58)</f>
        <v>#VALUE!</v>
      </c>
      <c r="EU63" s="962" t="e">
        <f>[1]!bodmoadal(1,1,(EU56+1),[1]!qsn([1]!ml([1]!taqsha(1,1,1+EU56,EU57)),EU58)/30,EU57,EU58)</f>
        <v>#VALUE!</v>
      </c>
      <c r="EV63" s="962" t="e">
        <f>[1]!bodmoadal(1,1,(EV56+1),[1]!qsn([1]!ml([1]!taqsha(1,1,1+EV56,EV57)),EV58)/30,EV57,EV58)</f>
        <v>#VALUE!</v>
      </c>
      <c r="EW63" s="962" t="e">
        <f>[1]!bodmoadal(1,1,(EW56+1),[1]!qsn([1]!ml([1]!taqsha(1,1,1+EW56,EW57)),EW58)/30,EW57,EW58)</f>
        <v>#VALUE!</v>
      </c>
      <c r="EX63" s="962" t="e">
        <f>[1]!bodmoadal(1,1,(EX56+1),[1]!qsn([1]!ml([1]!taqsha(1,1,1+EX56,EX57)),EX58)/30,EX57,EX58)</f>
        <v>#VALUE!</v>
      </c>
      <c r="EY63" s="962" t="e">
        <f>[1]!bodmoadal(1,1,(EY56+1),[1]!qsn([1]!ml([1]!taqsha(1,1,1+EY56,EY57)),EY58)/30,EY57,EY58)</f>
        <v>#VALUE!</v>
      </c>
      <c r="EZ63" s="962" t="e">
        <f>[1]!bodmoadal(1,1,(EZ56+1),[1]!qsn([1]!ml([1]!taqsha(1,1,1+EZ56,EZ57)),EZ58)/30,EZ57,EZ58)</f>
        <v>#VALUE!</v>
      </c>
      <c r="FA63" s="962" t="e">
        <f>[1]!bodmoadal(1,1,(FA56+1),[1]!qsn([1]!ml([1]!taqsha(1,1,1+FA56,FA57)),FA58)/30,FA57,FA58)</f>
        <v>#VALUE!</v>
      </c>
      <c r="FB63" s="962" t="e">
        <f>[1]!bodmoadal(1,1,(FB56+1),[1]!qsn([1]!ml([1]!taqsha(1,1,1+FB56,FB57)),FB58)/30,FB57,FB58)</f>
        <v>#VALUE!</v>
      </c>
      <c r="FC63" s="962" t="e">
        <f>[1]!bodmoadal(1,1,(FC56+1),[1]!qsn([1]!ml([1]!taqsha(1,1,1+FC56,FC57)),FC58)/30,FC57,FC58)</f>
        <v>#VALUE!</v>
      </c>
      <c r="FD63" s="962" t="e">
        <f>[1]!bodmoadal(1,1,(FD56+1),[1]!qsn([1]!ml([1]!taqsha(1,1,1+FD56,FD57)),FD58)/30,FD57,FD58)</f>
        <v>#VALUE!</v>
      </c>
      <c r="FE63" s="962" t="e">
        <f>[1]!bodmoadal(1,1,(FE56+1),[1]!qsn([1]!ml([1]!taqsha(1,1,1+FE56,FE57)),FE58)/30,FE57,FE58)</f>
        <v>#VALUE!</v>
      </c>
      <c r="FF63" s="962" t="e">
        <f>[1]!bodmoadal(1,1,(FF56+1),[1]!qsn([1]!ml([1]!taqsha(1,1,1+FF56,FF57)),FF58)/30,FF57,FF58)</f>
        <v>#VALUE!</v>
      </c>
      <c r="FG63" s="962" t="e">
        <f>[1]!bodmoadal(1,1,(FG56+1),[1]!qsn([1]!ml([1]!taqsha(1,1,1+FG56,FG57)),FG58)/30,FG57,FG58)</f>
        <v>#VALUE!</v>
      </c>
      <c r="FH63" s="962" t="e">
        <f>[1]!bodmoadal(1,1,(FH56+1),[1]!qsn([1]!ml([1]!taqsha(1,1,1+FH56,FH57)),FH58)/30,FH57,FH58)</f>
        <v>#VALUE!</v>
      </c>
      <c r="FI63" s="962" t="e">
        <f>[1]!bodmoadal(1,1,(FI56+1),[1]!qsn([1]!ml([1]!taqsha(1,1,1+FI56,FI57)),FI58)/30,FI57,FI58)</f>
        <v>#VALUE!</v>
      </c>
      <c r="FJ63" s="962" t="e">
        <f>[1]!bodmoadal(1,1,(FJ56+1),[1]!qsn([1]!ml([1]!taqsha(1,1,1+FJ56,FJ57)),FJ58)/30,FJ57,FJ58)</f>
        <v>#VALUE!</v>
      </c>
      <c r="FK63" s="962" t="e">
        <f>[1]!bodmoadal(1,1,(FK56+1),[1]!qsn([1]!ml([1]!taqsha(1,1,1+FK56,FK57)),FK58)/30,FK57,FK58)</f>
        <v>#VALUE!</v>
      </c>
      <c r="FL63" s="962" t="e">
        <f>[1]!bodmoadal(1,1,(FL56+1),[1]!qsn([1]!ml([1]!taqsha(1,1,1+FL56,FL57)),FL58)/30,FL57,FL58)</f>
        <v>#VALUE!</v>
      </c>
      <c r="FM63" s="962" t="e">
        <f>[1]!bodmoadal(1,1,(FM56+1),[1]!qsn([1]!ml([1]!taqsha(1,1,1+FM56,FM57)),FM58)/30,FM57,FM58)</f>
        <v>#VALUE!</v>
      </c>
      <c r="FN63" s="962" t="e">
        <f>[1]!bodmoadal(1,1,(FN56+1),[1]!qsn([1]!ml([1]!taqsha(1,1,1+FN56,FN57)),FN58)/30,FN57,FN58)</f>
        <v>#VALUE!</v>
      </c>
      <c r="FO63" s="962" t="e">
        <f>[1]!bodmoadal(1,1,(FO56+1),[1]!qsn([1]!ml([1]!taqsha(1,1,1+FO56,FO57)),FO58)/30,FO57,FO58)</f>
        <v>#VALUE!</v>
      </c>
      <c r="FP63" s="962" t="e">
        <f>[1]!bodmoadal(1,1,(FP56+1),[1]!qsn([1]!ml([1]!taqsha(1,1,1+FP56,FP57)),FP58)/30,FP57,FP58)</f>
        <v>#VALUE!</v>
      </c>
      <c r="FQ63" s="962" t="e">
        <f>[1]!bodmoadal(1,1,(FQ56+1),[1]!qsn([1]!ml([1]!taqsha(1,1,1+FQ56,FQ57)),FQ58)/30,FQ57,FQ58)</f>
        <v>#VALUE!</v>
      </c>
      <c r="FR63" s="962" t="e">
        <f>[1]!bodmoadal(1,1,(FR56+1),[1]!qsn([1]!ml([1]!taqsha(1,1,1+FR56,FR57)),FR58)/30,FR57,FR58)</f>
        <v>#VALUE!</v>
      </c>
      <c r="FS63" s="962" t="e">
        <f>[1]!bodmoadal(1,1,(FS56+1),[1]!qsn([1]!ml([1]!taqsha(1,1,1+FS56,FS57)),FS58)/30,FS57,FS58)</f>
        <v>#VALUE!</v>
      </c>
      <c r="FT63" s="962" t="e">
        <f>[1]!bodmoadal(1,1,(FT56+1),[1]!qsn([1]!ml([1]!taqsha(1,1,1+FT56,FT57)),FT58)/30,FT57,FT58)</f>
        <v>#VALUE!</v>
      </c>
      <c r="FU63" s="962" t="e">
        <f>[1]!bodmoadal(1,1,(FU56+1),[1]!qsn([1]!ml([1]!taqsha(1,1,1+FU56,FU57)),FU58)/30,FU57,FU58)</f>
        <v>#VALUE!</v>
      </c>
      <c r="FV63" s="962" t="e">
        <f>[1]!bodmoadal(1,1,(FV56+1),[1]!qsn([1]!ml([1]!taqsha(1,1,1+FV56,FV57)),FV58)/30,FV57,FV58)</f>
        <v>#VALUE!</v>
      </c>
      <c r="FW63" s="962" t="e">
        <f>[1]!bodmoadal(1,1,(FW56+1),[1]!qsn([1]!ml([1]!taqsha(1,1,1+FW56,FW57)),FW58)/30,FW57,FW58)</f>
        <v>#VALUE!</v>
      </c>
      <c r="FX63" s="962" t="e">
        <f>[1]!bodmoadal(1,1,(FX56+1),[1]!qsn([1]!ml([1]!taqsha(1,1,1+FX56,FX57)),FX58)/30,FX57,FX58)</f>
        <v>#VALUE!</v>
      </c>
      <c r="FY63" s="962" t="e">
        <f>[1]!bodmoadal(1,1,(FY56+1),[1]!qsn([1]!ml([1]!taqsha(1,1,1+FY56,FY57)),FY58)/30,FY57,FY58)</f>
        <v>#VALUE!</v>
      </c>
      <c r="FZ63" s="962" t="e">
        <f>[1]!bodmoadal(1,1,(FZ56+1),[1]!qsn([1]!ml([1]!taqsha(1,1,1+FZ56,FZ57)),FZ58)/30,FZ57,FZ58)</f>
        <v>#VALUE!</v>
      </c>
      <c r="GA63" s="962" t="e">
        <f>[1]!bodmoadal(1,1,(GA56+1),[1]!qsn([1]!ml([1]!taqsha(1,1,1+GA56,GA57)),GA58)/30,GA57,GA58)</f>
        <v>#VALUE!</v>
      </c>
      <c r="GB63" s="962" t="e">
        <f>[1]!bodmoadal(1,1,(GB56+1),[1]!qsn([1]!ml([1]!taqsha(1,1,1+GB56,GB57)),GB58)/30,GB57,GB58)</f>
        <v>#VALUE!</v>
      </c>
      <c r="GC63" s="962" t="e">
        <f>[1]!bodmoadal(1,1,(GC56+1),[1]!qsn([1]!ml([1]!taqsha(1,1,1+GC56,GC57)),GC58)/30,GC57,GC58)</f>
        <v>#VALUE!</v>
      </c>
      <c r="GD63" s="962" t="e">
        <f>[1]!bodmoadal(1,1,(GD56+1),[1]!qsn([1]!ml([1]!taqsha(1,1,1+GD56,GD57)),GD58)/30,GD57,GD58)</f>
        <v>#VALUE!</v>
      </c>
      <c r="GE63" s="962" t="e">
        <f>[1]!bodmoadal(1,1,(GE56+1),[1]!qsn([1]!ml([1]!taqsha(1,1,1+GE56,GE57)),GE58)/30,GE57,GE58)</f>
        <v>#VALUE!</v>
      </c>
      <c r="GF63" s="962" t="e">
        <f>[1]!bodmoadal(1,1,(GF56+1),[1]!qsn([1]!ml([1]!taqsha(1,1,1+GF56,GF57)),GF58)/30,GF57,GF58)</f>
        <v>#VALUE!</v>
      </c>
      <c r="GG63" s="962" t="e">
        <f>[1]!bodmoadal(1,1,(GG56+1),[1]!qsn([1]!ml([1]!taqsha(1,1,1+GG56,GG57)),GG58)/30,GG57,GG58)</f>
        <v>#VALUE!</v>
      </c>
      <c r="GH63" s="962" t="e">
        <f>[1]!bodmoadal(1,1,(GH56+1),[1]!qsn([1]!ml([1]!taqsha(1,1,1+GH56,GH57)),GH58)/30,GH57,GH58)</f>
        <v>#VALUE!</v>
      </c>
      <c r="GI63" s="962" t="e">
        <f>[1]!bodmoadal(1,1,(GI56+1),[1]!qsn([1]!ml([1]!taqsha(1,1,1+GI56,GI57)),GI58)/30,GI57,GI58)</f>
        <v>#VALUE!</v>
      </c>
      <c r="GJ63" s="962" t="e">
        <f>[1]!bodmoadal(1,1,(GJ56+1),[1]!qsn([1]!ml([1]!taqsha(1,1,1+GJ56,GJ57)),GJ58)/30,GJ57,GJ58)</f>
        <v>#VALUE!</v>
      </c>
      <c r="GK63" s="962" t="e">
        <f>[1]!bodmoadal(1,1,(GK56+1),[1]!qsn([1]!ml([1]!taqsha(1,1,1+GK56,GK57)),GK58)/30,GK57,GK58)</f>
        <v>#VALUE!</v>
      </c>
      <c r="GL63" s="962" t="e">
        <f>[1]!bodmoadal(1,1,(GL56+1),[1]!qsn([1]!ml([1]!taqsha(1,1,1+GL56,GL57)),GL58)/30,GL57,GL58)</f>
        <v>#VALUE!</v>
      </c>
      <c r="GM63" s="962" t="e">
        <f>[1]!bodmoadal(1,1,(GM56+1),[1]!qsn([1]!ml([1]!taqsha(1,1,1+GM56,GM57)),GM58)/30,GM57,GM58)</f>
        <v>#VALUE!</v>
      </c>
      <c r="GN63" s="962" t="e">
        <f>[1]!bodmoadal(1,1,(GN56+1),[1]!qsn([1]!ml([1]!taqsha(1,1,1+GN56,GN57)),GN58)/30,GN57,GN58)</f>
        <v>#VALUE!</v>
      </c>
      <c r="GO63" s="962" t="e">
        <f>[1]!bodmoadal(1,1,(GO56+1),[1]!qsn([1]!ml([1]!taqsha(1,1,1+GO56,GO57)),GO58)/30,GO57,GO58)</f>
        <v>#VALUE!</v>
      </c>
      <c r="GP63" s="962" t="e">
        <f>[1]!bodmoadal(1,1,(GP56+1),[1]!qsn([1]!ml([1]!taqsha(1,1,1+GP56,GP57)),GP58)/30,GP57,GP58)</f>
        <v>#VALUE!</v>
      </c>
      <c r="GQ63" s="962" t="e">
        <f>[1]!bodmoadal(1,1,(GQ56+1),[1]!qsn([1]!ml([1]!taqsha(1,1,1+GQ56,GQ57)),GQ58)/30,GQ57,GQ58)</f>
        <v>#VALUE!</v>
      </c>
      <c r="GR63" s="962" t="e">
        <f>[1]!bodmoadal(1,1,(GR56+1),[1]!qsn([1]!ml([1]!taqsha(1,1,1+GR56,GR57)),GR58)/30,GR57,GR58)</f>
        <v>#VALUE!</v>
      </c>
      <c r="GS63" s="962" t="e">
        <f>[1]!bodmoadal(1,1,(GS56+1),[1]!qsn([1]!ml([1]!taqsha(1,1,1+GS56,GS57)),GS58)/30,GS57,GS58)</f>
        <v>#VALUE!</v>
      </c>
      <c r="GT63" s="962" t="e">
        <f>[1]!bodmoadal(1,1,(GT56+1),[1]!qsn([1]!ml([1]!taqsha(1,1,1+GT56,GT57)),GT58)/30,GT57,GT58)</f>
        <v>#VALUE!</v>
      </c>
      <c r="GU63" s="962" t="e">
        <f>[1]!bodmoadal(1,1,(GU56+1),[1]!qsn([1]!ml([1]!taqsha(1,1,1+GU56,GU57)),GU58)/30,GU57,GU58)</f>
        <v>#VALUE!</v>
      </c>
      <c r="GV63" s="962" t="e">
        <f>[1]!bodmoadal(1,1,(GV56+1),[1]!qsn([1]!ml([1]!taqsha(1,1,1+GV56,GV57)),GV58)/30,GV57,GV58)</f>
        <v>#VALUE!</v>
      </c>
      <c r="GW63" s="962" t="e">
        <f>[1]!bodmoadal(1,1,(GW56+1),[1]!qsn([1]!ml([1]!taqsha(1,1,1+GW56,GW57)),GW58)/30,GW57,GW58)</f>
        <v>#VALUE!</v>
      </c>
      <c r="GX63" s="962" t="e">
        <f>[1]!bodmoadal(1,1,(GX56+1),[1]!qsn([1]!ml([1]!taqsha(1,1,1+GX56,GX57)),GX58)/30,GX57,GX58)</f>
        <v>#VALUE!</v>
      </c>
      <c r="GY63" s="962" t="e">
        <f>[1]!bodmoadal(1,1,(GY56+1),[1]!qsn([1]!ml([1]!taqsha(1,1,1+GY56,GY57)),GY58)/30,GY57,GY58)</f>
        <v>#VALUE!</v>
      </c>
      <c r="GZ63" s="962" t="e">
        <f>[1]!bodmoadal(1,1,(GZ56+1),[1]!qsn([1]!ml([1]!taqsha(1,1,1+GZ56,GZ57)),GZ58)/30,GZ57,GZ58)</f>
        <v>#VALUE!</v>
      </c>
      <c r="HA63" s="962" t="e">
        <f>[1]!bodmoadal(1,1,(HA56+1),[1]!qsn([1]!ml([1]!taqsha(1,1,1+HA56,HA57)),HA58)/30,HA57,HA58)</f>
        <v>#VALUE!</v>
      </c>
      <c r="HB63" s="962" t="e">
        <f>[1]!bodmoadal(1,1,(HB56+1),[1]!qsn([1]!ml([1]!taqsha(1,1,1+HB56,HB57)),HB58)/30,HB57,HB58)</f>
        <v>#VALUE!</v>
      </c>
      <c r="HC63" s="962" t="e">
        <f>[1]!bodmoadal(1,1,(HC56+1),[1]!qsn([1]!ml([1]!taqsha(1,1,1+HC56,HC57)),HC58)/30,HC57,HC58)</f>
        <v>#VALUE!</v>
      </c>
      <c r="HD63" s="962" t="e">
        <f>[1]!bodmoadal(1,1,(HD56+1),[1]!qsn([1]!ml([1]!taqsha(1,1,1+HD56,HD57)),HD58)/30,HD57,HD58)</f>
        <v>#VALUE!</v>
      </c>
      <c r="HE63" s="962" t="e">
        <f>[1]!bodmoadal(1,1,(HE56+1),[1]!qsn([1]!ml([1]!taqsha(1,1,1+HE56,HE57)),HE58)/30,HE57,HE58)</f>
        <v>#VALUE!</v>
      </c>
      <c r="HF63" s="962" t="e">
        <f>[1]!bodmoadal(1,1,(HF56+1),[1]!qsn([1]!ml([1]!taqsha(1,1,1+HF56,HF57)),HF58)/30,HF57,HF58)</f>
        <v>#VALUE!</v>
      </c>
      <c r="HG63" s="962" t="e">
        <f>[1]!bodmoadal(1,1,(HG56+1),[1]!qsn([1]!ml([1]!taqsha(1,1,1+HG56,HG57)),HG58)/30,HG57,HG58)</f>
        <v>#VALUE!</v>
      </c>
      <c r="HH63" s="962" t="e">
        <f>[1]!bodmoadal(1,1,(HH56+1),[1]!qsn([1]!ml([1]!taqsha(1,1,1+HH56,HH57)),HH58)/30,HH57,HH58)</f>
        <v>#VALUE!</v>
      </c>
      <c r="HI63" s="962" t="e">
        <f>[1]!bodmoadal(1,1,(HI56+1),[1]!qsn([1]!ml([1]!taqsha(1,1,1+HI56,HI57)),HI58)/30,HI57,HI58)</f>
        <v>#VALUE!</v>
      </c>
      <c r="HJ63" s="962" t="e">
        <f>[1]!bodmoadal(1,1,(HJ56+1),[1]!qsn([1]!ml([1]!taqsha(1,1,1+HJ56,HJ57)),HJ58)/30,HJ57,HJ58)</f>
        <v>#VALUE!</v>
      </c>
      <c r="HK63" s="962" t="e">
        <f>[1]!bodmoadal(1,1,(HK56+1),[1]!qsn([1]!ml([1]!taqsha(1,1,1+HK56,HK57)),HK58)/30,HK57,HK58)</f>
        <v>#VALUE!</v>
      </c>
      <c r="HL63" s="962" t="e">
        <f>[1]!bodmoadal(1,1,(HL56+1),[1]!qsn([1]!ml([1]!taqsha(1,1,1+HL56,HL57)),HL58)/30,HL57,HL58)</f>
        <v>#VALUE!</v>
      </c>
      <c r="HM63" s="962" t="e">
        <f>[1]!bodmoadal(1,1,(HM56+1),[1]!qsn([1]!ml([1]!taqsha(1,1,1+HM56,HM57)),HM58)/30,HM57,HM58)</f>
        <v>#VALUE!</v>
      </c>
      <c r="HN63" s="962" t="e">
        <f>[1]!bodmoadal(1,1,(HN56+1),[1]!qsn([1]!ml([1]!taqsha(1,1,1+HN56,HN57)),HN58)/30,HN57,HN58)</f>
        <v>#VALUE!</v>
      </c>
      <c r="HO63" s="962" t="e">
        <f>[1]!bodmoadal(1,1,(HO56+1),[1]!qsn([1]!ml([1]!taqsha(1,1,1+HO56,HO57)),HO58)/30,HO57,HO58)</f>
        <v>#VALUE!</v>
      </c>
      <c r="HP63" s="962" t="e">
        <f>[1]!bodmoadal(1,1,(HP56+1),[1]!qsn([1]!ml([1]!taqsha(1,1,1+HP56,HP57)),HP58)/30,HP57,HP58)</f>
        <v>#VALUE!</v>
      </c>
      <c r="HQ63" s="962" t="e">
        <f>[1]!bodmoadal(1,1,(HQ56+1),[1]!qsn([1]!ml([1]!taqsha(1,1,1+HQ56,HQ57)),HQ58)/30,HQ57,HQ58)</f>
        <v>#VALUE!</v>
      </c>
      <c r="HR63" s="962" t="e">
        <f>[1]!bodmoadal(1,1,(HR56+1),[1]!qsn([1]!ml([1]!taqsha(1,1,1+HR56,HR57)),HR58)/30,HR57,HR58)</f>
        <v>#VALUE!</v>
      </c>
      <c r="HS63" s="962" t="e">
        <f>[1]!bodmoadal(1,1,(HS56+1),[1]!qsn([1]!ml([1]!taqsha(1,1,1+HS56,HS57)),HS58)/30,HS57,HS58)</f>
        <v>#VALUE!</v>
      </c>
      <c r="HT63" s="962" t="e">
        <f>[1]!bodmoadal(1,1,(HT56+1),[1]!qsn([1]!ml([1]!taqsha(1,1,1+HT56,HT57)),HT58)/30,HT57,HT58)</f>
        <v>#VALUE!</v>
      </c>
      <c r="HU63" s="962" t="e">
        <f>[1]!bodmoadal(1,1,(HU56+1),[1]!qsn([1]!ml([1]!taqsha(1,1,1+HU56,HU57)),HU58)/30,HU57,HU58)</f>
        <v>#VALUE!</v>
      </c>
      <c r="HV63" s="962" t="e">
        <f>[1]!bodmoadal(1,1,(HV56+1),[1]!qsn([1]!ml([1]!taqsha(1,1,1+HV56,HV57)),HV58)/30,HV57,HV58)</f>
        <v>#VALUE!</v>
      </c>
      <c r="HW63" s="962" t="e">
        <f>[1]!bodmoadal(1,1,(HW56+1),[1]!qsn([1]!ml([1]!taqsha(1,1,1+HW56,HW57)),HW58)/30,HW57,HW58)</f>
        <v>#VALUE!</v>
      </c>
      <c r="HX63" s="962" t="e">
        <f>[1]!bodmoadal(1,1,(HX56+1),[1]!qsn([1]!ml([1]!taqsha(1,1,1+HX56,HX57)),HX58)/30,HX57,HX58)</f>
        <v>#VALUE!</v>
      </c>
      <c r="HY63" s="962" t="e">
        <f>[1]!bodmoadal(1,1,(HY56+1),[1]!qsn([1]!ml([1]!taqsha(1,1,1+HY56,HY57)),HY58)/30,HY57,HY58)</f>
        <v>#VALUE!</v>
      </c>
      <c r="HZ63" s="962" t="e">
        <f>[1]!bodmoadal(1,1,(HZ56+1),[1]!qsn([1]!ml([1]!taqsha(1,1,1+HZ56,HZ57)),HZ58)/30,HZ57,HZ58)</f>
        <v>#VALUE!</v>
      </c>
      <c r="IA63" s="962" t="e">
        <f>[1]!bodmoadal(1,1,(IA56+1),[1]!qsn([1]!ml([1]!taqsha(1,1,1+IA56,IA57)),IA58)/30,IA57,IA58)</f>
        <v>#VALUE!</v>
      </c>
      <c r="IB63" s="962" t="e">
        <f>[1]!bodmoadal(1,1,(IB56+1),[1]!qsn([1]!ml([1]!taqsha(1,1,1+IB56,IB57)),IB58)/30,IB57,IB58)</f>
        <v>#VALUE!</v>
      </c>
      <c r="IC63" s="962" t="e">
        <f>[1]!bodmoadal(1,1,(IC56+1),[1]!qsn([1]!ml([1]!taqsha(1,1,1+IC56,IC57)),IC58)/30,IC57,IC58)</f>
        <v>#VALUE!</v>
      </c>
      <c r="ID63" s="962" t="e">
        <f>[1]!bodmoadal(1,1,(ID56+1),[1]!qsn([1]!ml([1]!taqsha(1,1,1+ID56,ID57)),ID58)/30,ID57,ID58)</f>
        <v>#VALUE!</v>
      </c>
      <c r="IE63" s="962" t="e">
        <f>[1]!bodmoadal(1,1,(IE56+1),[1]!qsn([1]!ml([1]!taqsha(1,1,1+IE56,IE57)),IE58)/30,IE57,IE58)</f>
        <v>#VALUE!</v>
      </c>
      <c r="IF63" s="962" t="e">
        <f>[1]!bodmoadal(1,1,(IF56+1),[1]!qsn([1]!ml([1]!taqsha(1,1,1+IF56,IF57)),IF58)/30,IF57,IF58)</f>
        <v>#VALUE!</v>
      </c>
      <c r="IG63" s="962" t="e">
        <f>[1]!bodmoadal(1,1,(IG56+1),[1]!qsn([1]!ml([1]!taqsha(1,1,1+IG56,IG57)),IG58)/30,IG57,IG58)</f>
        <v>#VALUE!</v>
      </c>
      <c r="IH63" s="962" t="e">
        <f>[1]!bodmoadal(1,1,(IH56+1),[1]!qsn([1]!ml([1]!taqsha(1,1,1+IH56,IH57)),IH58)/30,IH57,IH58)</f>
        <v>#VALUE!</v>
      </c>
      <c r="II63" s="962" t="e">
        <f>[1]!bodmoadal(1,1,(II56+1),[1]!qsn([1]!ml([1]!taqsha(1,1,1+II56,II57)),II58)/30,II57,II58)</f>
        <v>#VALUE!</v>
      </c>
      <c r="IJ63" s="962" t="e">
        <f>[1]!bodmoadal(1,1,(IJ56+1),[1]!qsn([1]!ml([1]!taqsha(1,1,1+IJ56,IJ57)),IJ58)/30,IJ57,IJ58)</f>
        <v>#VALUE!</v>
      </c>
      <c r="IK63" s="962" t="e">
        <f>[1]!bodmoadal(1,1,(IK56+1),[1]!qsn([1]!ml([1]!taqsha(1,1,1+IK56,IK57)),IK58)/30,IK57,IK58)</f>
        <v>#VALUE!</v>
      </c>
      <c r="IL63" s="962" t="e">
        <f>[1]!bodmoadal(1,1,(IL56+1),[1]!qsn([1]!ml([1]!taqsha(1,1,1+IL56,IL57)),IL58)/30,IL57,IL58)</f>
        <v>#VALUE!</v>
      </c>
      <c r="IM63" s="962" t="e">
        <f>[1]!bodmoadal(1,1,(IM56+1),[1]!qsn([1]!ml([1]!taqsha(1,1,1+IM56,IM57)),IM58)/30,IM57,IM58)</f>
        <v>#VALUE!</v>
      </c>
      <c r="IN63" s="962" t="e">
        <f>[1]!bodmoadal(1,1,(IN56+1),[1]!qsn([1]!ml([1]!taqsha(1,1,1+IN56,IN57)),IN58)/30,IN57,IN58)</f>
        <v>#VALUE!</v>
      </c>
      <c r="IO63" s="962" t="e">
        <f>[1]!bodmoadal(1,1,(IO56+1),[1]!qsn([1]!ml([1]!taqsha(1,1,1+IO56,IO57)),IO58)/30,IO57,IO58)</f>
        <v>#VALUE!</v>
      </c>
      <c r="IP63" s="962" t="e">
        <f>[1]!bodmoadal(1,1,(IP56+1),[1]!qsn([1]!ml([1]!taqsha(1,1,1+IP56,IP57)),IP58)/30,IP57,IP58)</f>
        <v>#VALUE!</v>
      </c>
      <c r="IQ63" s="962" t="e">
        <f>[1]!bodmoadal(1,1,(IQ56+1),[1]!qsn([1]!ml([1]!taqsha(1,1,1+IQ56,IQ57)),IQ58)/30,IQ57,IQ58)</f>
        <v>#VALUE!</v>
      </c>
      <c r="IR63" s="962" t="e">
        <f>[1]!bodmoadal(1,1,(IR56+1),[1]!qsn([1]!ml([1]!taqsha(1,1,1+IR56,IR57)),IR58)/30,IR57,IR58)</f>
        <v>#VALUE!</v>
      </c>
      <c r="IS63" s="962" t="e">
        <f>[1]!bodmoadal(1,1,(IS56+1),[1]!qsn([1]!ml([1]!taqsha(1,1,1+IS56,IS57)),IS58)/30,IS57,IS58)</f>
        <v>#VALUE!</v>
      </c>
      <c r="IT63" s="962" t="e">
        <f>[1]!bodmoadal(1,1,(IT56+1),[1]!qsn([1]!ml([1]!taqsha(1,1,1+IT56,IT57)),IT58)/30,IT57,IT58)</f>
        <v>#VALUE!</v>
      </c>
      <c r="IU63" s="962" t="e">
        <f>[1]!bodmoadal(1,1,(IU56+1),[1]!qsn([1]!ml([1]!taqsha(1,1,1+IU56,IU57)),IU58)/30,IU57,IU58)</f>
        <v>#VALUE!</v>
      </c>
      <c r="IV63" s="962" t="e">
        <f>[1]!bodmoadal(1,1,(IV56+1),[1]!qsn([1]!ml([1]!taqsha(1,1,1+IV56,IV57)),IV58)/30,IV57,IV58)</f>
        <v>#VALUE!</v>
      </c>
      <c r="IW63" s="962" t="e">
        <f>[1]!bodmoadal(1,1,(IW56+1),[1]!qsn([1]!ml([1]!taqsha(1,1,1+IW56,IW57)),IW58)/30,IW57,IW58)</f>
        <v>#VALUE!</v>
      </c>
      <c r="IX63" s="962" t="e">
        <f>[1]!bodmoadal(1,1,(IX56+1),[1]!qsn([1]!ml([1]!taqsha(1,1,1+IX56,IX57)),IX58)/30,IX57,IX58)</f>
        <v>#VALUE!</v>
      </c>
      <c r="IY63" s="962" t="e">
        <f>[1]!bodmoadal(1,1,(IY56+1),[1]!qsn([1]!ml([1]!taqsha(1,1,1+IY56,IY57)),IY58)/30,IY57,IY58)</f>
        <v>#VALUE!</v>
      </c>
      <c r="IZ63" s="962" t="e">
        <f>[1]!bodmoadal(1,1,(IZ56+1),[1]!qsn([1]!ml([1]!taqsha(1,1,1+IZ56,IZ57)),IZ58)/30,IZ57,IZ58)</f>
        <v>#VALUE!</v>
      </c>
      <c r="JA63" s="962" t="e">
        <f>[1]!bodmoadal(1,1,(JA56+1),[1]!qsn([1]!ml([1]!taqsha(1,1,1+JA56,JA57)),JA58)/30,JA57,JA58)</f>
        <v>#VALUE!</v>
      </c>
      <c r="JB63" s="962" t="e">
        <f>[1]!bodmoadal(1,1,(JB56+1),[1]!qsn([1]!ml([1]!taqsha(1,1,1+JB56,JB57)),JB58)/30,JB57,JB58)</f>
        <v>#VALUE!</v>
      </c>
      <c r="JC63" s="962" t="e">
        <f>[1]!bodmoadal(1,1,(JC56+1),[1]!qsn([1]!ml([1]!taqsha(1,1,1+JC56,JC57)),JC58)/30,JC57,JC58)</f>
        <v>#VALUE!</v>
      </c>
      <c r="JD63" s="962" t="e">
        <f>[1]!bodmoadal(1,1,(JD56+1),[1]!qsn([1]!ml([1]!taqsha(1,1,1+JD56,JD57)),JD58)/30,JD57,JD58)</f>
        <v>#VALUE!</v>
      </c>
      <c r="JE63" s="962" t="e">
        <f>[1]!bodmoadal(1,1,(JE56+1),[1]!qsn([1]!ml([1]!taqsha(1,1,1+JE56,JE57)),JE58)/30,JE57,JE58)</f>
        <v>#VALUE!</v>
      </c>
      <c r="JF63" s="962" t="e">
        <f>[1]!bodmoadal(1,1,(JF56+1),[1]!qsn([1]!ml([1]!taqsha(1,1,1+JF56,JF57)),JF58)/30,JF57,JF58)</f>
        <v>#VALUE!</v>
      </c>
      <c r="JG63" s="962" t="e">
        <f>[1]!bodmoadal(1,1,(JG56+1),[1]!qsn([1]!ml([1]!taqsha(1,1,1+JG56,JG57)),JG58)/30,JG57,JG58)</f>
        <v>#VALUE!</v>
      </c>
      <c r="JH63" s="962" t="e">
        <f>[1]!bodmoadal(1,1,(JH56+1),[1]!qsn([1]!ml([1]!taqsha(1,1,1+JH56,JH57)),JH58)/30,JH57,JH58)</f>
        <v>#VALUE!</v>
      </c>
      <c r="JI63" s="962" t="e">
        <f>[1]!bodmoadal(1,1,(JI56+1),[1]!qsn([1]!ml([1]!taqsha(1,1,1+JI56,JI57)),JI58)/30,JI57,JI58)</f>
        <v>#VALUE!</v>
      </c>
      <c r="JJ63" s="962" t="e">
        <f>[1]!bodmoadal(1,1,(JJ56+1),[1]!qsn([1]!ml([1]!taqsha(1,1,1+JJ56,JJ57)),JJ58)/30,JJ57,JJ58)</f>
        <v>#VALUE!</v>
      </c>
      <c r="JK63" s="962" t="e">
        <f>[1]!bodmoadal(1,1,(JK56+1),[1]!qsn([1]!ml([1]!taqsha(1,1,1+JK56,JK57)),JK58)/30,JK57,JK58)</f>
        <v>#VALUE!</v>
      </c>
      <c r="JL63" s="962" t="e">
        <f>[1]!bodmoadal(1,1,(JL56+1),[1]!qsn([1]!ml([1]!taqsha(1,1,1+JL56,JL57)),JL58)/30,JL57,JL58)</f>
        <v>#VALUE!</v>
      </c>
      <c r="JM63" s="962" t="e">
        <f>[1]!bodmoadal(1,1,(JM56+1),[1]!qsn([1]!ml([1]!taqsha(1,1,1+JM56,JM57)),JM58)/30,JM57,JM58)</f>
        <v>#VALUE!</v>
      </c>
      <c r="JN63" s="962" t="e">
        <f>[1]!bodmoadal(1,1,(JN56+1),[1]!qsn([1]!ml([1]!taqsha(1,1,1+JN56,JN57)),JN58)/30,JN57,JN58)</f>
        <v>#VALUE!</v>
      </c>
      <c r="JO63" s="962" t="e">
        <f>[1]!bodmoadal(1,1,(JO56+1),[1]!qsn([1]!ml([1]!taqsha(1,1,1+JO56,JO57)),JO58)/30,JO57,JO58)</f>
        <v>#VALUE!</v>
      </c>
      <c r="JP63" s="962" t="e">
        <f>[1]!bodmoadal(1,1,(JP56+1),[1]!qsn([1]!ml([1]!taqsha(1,1,1+JP56,JP57)),JP58)/30,JP57,JP58)</f>
        <v>#VALUE!</v>
      </c>
      <c r="JQ63" s="962" t="e">
        <f>[1]!bodmoadal(1,1,(JQ56+1),[1]!qsn([1]!ml([1]!taqsha(1,1,1+JQ56,JQ57)),JQ58)/30,JQ57,JQ58)</f>
        <v>#VALUE!</v>
      </c>
      <c r="JR63" s="962" t="e">
        <f>[1]!bodmoadal(1,1,(JR56+1),[1]!qsn([1]!ml([1]!taqsha(1,1,1+JR56,JR57)),JR58)/30,JR57,JR58)</f>
        <v>#VALUE!</v>
      </c>
      <c r="JS63" s="962" t="e">
        <f>[1]!bodmoadal(1,1,(JS56+1),[1]!qsn([1]!ml([1]!taqsha(1,1,1+JS56,JS57)),JS58)/30,JS57,JS58)</f>
        <v>#VALUE!</v>
      </c>
      <c r="JT63" s="962" t="e">
        <f>[1]!bodmoadal(1,1,(JT56+1),[1]!qsn([1]!ml([1]!taqsha(1,1,1+JT56,JT57)),JT58)/30,JT57,JT58)</f>
        <v>#VALUE!</v>
      </c>
      <c r="JU63" s="962" t="e">
        <f>[1]!bodmoadal(1,1,(JU56+1),[1]!qsn([1]!ml([1]!taqsha(1,1,1+JU56,JU57)),JU58)/30,JU57,JU58)</f>
        <v>#VALUE!</v>
      </c>
      <c r="JV63" s="962" t="e">
        <f>[1]!bodmoadal(1,1,(JV56+1),[1]!qsn([1]!ml([1]!taqsha(1,1,1+JV56,JV57)),JV58)/30,JV57,JV58)</f>
        <v>#VALUE!</v>
      </c>
      <c r="JW63" s="962" t="e">
        <f>[1]!bodmoadal(1,1,(JW56+1),[1]!qsn([1]!ml([1]!taqsha(1,1,1+JW56,JW57)),JW58)/30,JW57,JW58)</f>
        <v>#VALUE!</v>
      </c>
      <c r="JX63" s="962" t="e">
        <f>[1]!bodmoadal(1,1,(JX56+1),[1]!qsn([1]!ml([1]!taqsha(1,1,1+JX56,JX57)),JX58)/30,JX57,JX58)</f>
        <v>#VALUE!</v>
      </c>
      <c r="JY63" s="962" t="e">
        <f>[1]!bodmoadal(1,1,(JY56+1),[1]!qsn([1]!ml([1]!taqsha(1,1,1+JY56,JY57)),JY58)/30,JY57,JY58)</f>
        <v>#VALUE!</v>
      </c>
      <c r="JZ63" s="962" t="e">
        <f>[1]!bodmoadal(1,1,(JZ56+1),[1]!qsn([1]!ml([1]!taqsha(1,1,1+JZ56,JZ57)),JZ58)/30,JZ57,JZ58)</f>
        <v>#VALUE!</v>
      </c>
      <c r="KA63" s="962" t="e">
        <f>[1]!bodmoadal(1,1,(KA56+1),[1]!qsn([1]!ml([1]!taqsha(1,1,1+KA56,KA57)),KA58)/30,KA57,KA58)</f>
        <v>#VALUE!</v>
      </c>
      <c r="KB63" s="962" t="e">
        <f>[1]!bodmoadal(1,1,(KB56+1),[1]!qsn([1]!ml([1]!taqsha(1,1,1+KB56,KB57)),KB58)/30,KB57,KB58)</f>
        <v>#VALUE!</v>
      </c>
      <c r="KC63" s="962" t="e">
        <f>[1]!bodmoadal(1,1,(KC56+1),[1]!qsn([1]!ml([1]!taqsha(1,1,1+KC56,KC57)),KC58)/30,KC57,KC58)</f>
        <v>#VALUE!</v>
      </c>
      <c r="KD63" s="962" t="e">
        <f>[1]!bodmoadal(1,1,(KD56+1),[1]!qsn([1]!ml([1]!taqsha(1,1,1+KD56,KD57)),KD58)/30,KD57,KD58)</f>
        <v>#VALUE!</v>
      </c>
      <c r="KE63" s="962" t="e">
        <f>[1]!bodmoadal(1,1,(KE56+1),[1]!qsn([1]!ml([1]!taqsha(1,1,1+KE56,KE57)),KE58)/30,KE57,KE58)</f>
        <v>#VALUE!</v>
      </c>
      <c r="KF63" s="962" t="e">
        <f>[1]!bodmoadal(1,1,(KF56+1),[1]!qsn([1]!ml([1]!taqsha(1,1,1+KF56,KF57)),KF58)/30,KF57,KF58)</f>
        <v>#VALUE!</v>
      </c>
      <c r="KG63" s="962" t="e">
        <f>[1]!bodmoadal(1,1,(KG56+1),[1]!qsn([1]!ml([1]!taqsha(1,1,1+KG56,KG57)),KG58)/30,KG57,KG58)</f>
        <v>#VALUE!</v>
      </c>
      <c r="KH63" s="962" t="e">
        <f>[1]!bodmoadal(1,1,(KH56+1),[1]!qsn([1]!ml([1]!taqsha(1,1,1+KH56,KH57)),KH58)/30,KH57,KH58)</f>
        <v>#VALUE!</v>
      </c>
      <c r="KI63" s="962" t="e">
        <f>[1]!bodmoadal(1,1,(KI56+1),[1]!qsn([1]!ml([1]!taqsha(1,1,1+KI56,KI57)),KI58)/30,KI57,KI58)</f>
        <v>#VALUE!</v>
      </c>
      <c r="KJ63" s="962" t="e">
        <f>[1]!bodmoadal(1,1,(KJ56+1),[1]!qsn([1]!ml([1]!taqsha(1,1,1+KJ56,KJ57)),KJ58)/30,KJ57,KJ58)</f>
        <v>#VALUE!</v>
      </c>
      <c r="KK63" s="962" t="e">
        <f>[1]!bodmoadal(1,1,(KK56+1),[1]!qsn([1]!ml([1]!taqsha(1,1,1+KK56,KK57)),KK58)/30,KK57,KK58)</f>
        <v>#VALUE!</v>
      </c>
      <c r="KL63" s="962" t="e">
        <f>[1]!bodmoadal(1,1,(KL56+1),[1]!qsn([1]!ml([1]!taqsha(1,1,1+KL56,KL57)),KL58)/30,KL57,KL58)</f>
        <v>#VALUE!</v>
      </c>
      <c r="KM63" s="962" t="e">
        <f>[1]!bodmoadal(1,1,(KM56+1),[1]!qsn([1]!ml([1]!taqsha(1,1,1+KM56,KM57)),KM58)/30,KM57,KM58)</f>
        <v>#VALUE!</v>
      </c>
      <c r="KN63" s="962" t="e">
        <f>[1]!bodmoadal(1,1,(KN56+1),[1]!qsn([1]!ml([1]!taqsha(1,1,1+KN56,KN57)),KN58)/30,KN57,KN58)</f>
        <v>#VALUE!</v>
      </c>
      <c r="KO63" s="962" t="e">
        <f>[1]!bodmoadal(1,1,(KO56+1),[1]!qsn([1]!ml([1]!taqsha(1,1,1+KO56,KO57)),KO58)/30,KO57,KO58)</f>
        <v>#VALUE!</v>
      </c>
      <c r="KP63" s="962" t="e">
        <f>[1]!bodmoadal(1,1,(KP56+1),[1]!qsn([1]!ml([1]!taqsha(1,1,1+KP56,KP57)),KP58)/30,KP57,KP58)</f>
        <v>#VALUE!</v>
      </c>
      <c r="KQ63" s="962" t="e">
        <f>[1]!bodmoadal(1,1,(KQ56+1),[1]!qsn([1]!ml([1]!taqsha(1,1,1+KQ56,KQ57)),KQ58)/30,KQ57,KQ58)</f>
        <v>#VALUE!</v>
      </c>
      <c r="KR63" s="962" t="e">
        <f>[1]!bodmoadal(1,1,(KR56+1),[1]!qsn([1]!ml([1]!taqsha(1,1,1+KR56,KR57)),KR58)/30,KR57,KR58)</f>
        <v>#VALUE!</v>
      </c>
      <c r="KS63" s="962" t="e">
        <f>[1]!bodmoadal(1,1,(KS56+1),[1]!qsn([1]!ml([1]!taqsha(1,1,1+KS56,KS57)),KS58)/30,KS57,KS58)</f>
        <v>#VALUE!</v>
      </c>
      <c r="KT63" s="962" t="e">
        <f>[1]!bodmoadal(1,1,(KT56+1),[1]!qsn([1]!ml([1]!taqsha(1,1,1+KT56,KT57)),KT58)/30,KT57,KT58)</f>
        <v>#VALUE!</v>
      </c>
      <c r="KU63" s="962" t="e">
        <f>[1]!bodmoadal(1,1,(KU56+1),[1]!qsn([1]!ml([1]!taqsha(1,1,1+KU56,KU57)),KU58)/30,KU57,KU58)</f>
        <v>#VALUE!</v>
      </c>
      <c r="KV63" s="962" t="e">
        <f>[1]!bodmoadal(1,1,(KV56+1),[1]!qsn([1]!ml([1]!taqsha(1,1,1+KV56,KV57)),KV58)/30,KV57,KV58)</f>
        <v>#VALUE!</v>
      </c>
      <c r="KW63" s="962" t="e">
        <f>[1]!bodmoadal(1,1,(KW56+1),[1]!qsn([1]!ml([1]!taqsha(1,1,1+KW56,KW57)),KW58)/30,KW57,KW58)</f>
        <v>#VALUE!</v>
      </c>
      <c r="KX63" s="962" t="e">
        <f>[1]!bodmoadal(1,1,(KX56+1),[1]!qsn([1]!ml([1]!taqsha(1,1,1+KX56,KX57)),KX58)/30,KX57,KX58)</f>
        <v>#VALUE!</v>
      </c>
      <c r="KY63" s="962" t="e">
        <f>[1]!bodmoadal(1,1,(KY56+1),[1]!qsn([1]!ml([1]!taqsha(1,1,1+KY56,KY57)),KY58)/30,KY57,KY58)</f>
        <v>#VALUE!</v>
      </c>
      <c r="KZ63" s="962" t="e">
        <f>[1]!bodmoadal(1,1,(KZ56+1),[1]!qsn([1]!ml([1]!taqsha(1,1,1+KZ56,KZ57)),KZ58)/30,KZ57,KZ58)</f>
        <v>#VALUE!</v>
      </c>
      <c r="LA63" s="962" t="e">
        <f>[1]!bodmoadal(1,1,(LA56+1),[1]!qsn([1]!ml([1]!taqsha(1,1,1+LA56,LA57)),LA58)/30,LA57,LA58)</f>
        <v>#VALUE!</v>
      </c>
      <c r="LB63" s="962" t="e">
        <f>[1]!bodmoadal(1,1,(LB56+1),[1]!qsn([1]!ml([1]!taqsha(1,1,1+LB56,LB57)),LB58)/30,LB57,LB58)</f>
        <v>#VALUE!</v>
      </c>
      <c r="LC63" s="962" t="e">
        <f>[1]!bodmoadal(1,1,(LC56+1),[1]!qsn([1]!ml([1]!taqsha(1,1,1+LC56,LC57)),LC58)/30,LC57,LC58)</f>
        <v>#VALUE!</v>
      </c>
      <c r="LD63" s="962" t="e">
        <f>[1]!bodmoadal(1,1,(LD56+1),[1]!qsn([1]!ml([1]!taqsha(1,1,1+LD56,LD57)),LD58)/30,LD57,LD58)</f>
        <v>#VALUE!</v>
      </c>
      <c r="LE63" s="962" t="e">
        <f>[1]!bodmoadal(1,1,(LE56+1),[1]!qsn([1]!ml([1]!taqsha(1,1,1+LE56,LE57)),LE58)/30,LE57,LE58)</f>
        <v>#VALUE!</v>
      </c>
      <c r="LF63" s="962" t="e">
        <f>[1]!bodmoadal(1,1,(LF56+1),[1]!qsn([1]!ml([1]!taqsha(1,1,1+LF56,LF57)),LF58)/30,LF57,LF58)</f>
        <v>#VALUE!</v>
      </c>
      <c r="LG63" s="962" t="e">
        <f>[1]!bodmoadal(1,1,(LG56+1),[1]!qsn([1]!ml([1]!taqsha(1,1,1+LG56,LG57)),LG58)/30,LG57,LG58)</f>
        <v>#VALUE!</v>
      </c>
      <c r="LH63" s="962" t="e">
        <f>[1]!bodmoadal(1,1,(LH56+1),[1]!qsn([1]!ml([1]!taqsha(1,1,1+LH56,LH57)),LH58)/30,LH57,LH58)</f>
        <v>#VALUE!</v>
      </c>
      <c r="LI63" s="962" t="e">
        <f>[1]!bodmoadal(1,1,(LI56+1),[1]!qsn([1]!ml([1]!taqsha(1,1,1+LI56,LI57)),LI58)/30,LI57,LI58)</f>
        <v>#VALUE!</v>
      </c>
      <c r="LJ63" s="962" t="e">
        <f>[1]!bodmoadal(1,1,(LJ56+1),[1]!qsn([1]!ml([1]!taqsha(1,1,1+LJ56,LJ57)),LJ58)/30,LJ57,LJ58)</f>
        <v>#VALUE!</v>
      </c>
      <c r="LK63" s="962" t="e">
        <f>[1]!bodmoadal(1,1,(LK56+1),[1]!qsn([1]!ml([1]!taqsha(1,1,1+LK56,LK57)),LK58)/30,LK57,LK58)</f>
        <v>#VALUE!</v>
      </c>
      <c r="LL63" s="962" t="e">
        <f>[1]!bodmoadal(1,1,(LL56+1),[1]!qsn([1]!ml([1]!taqsha(1,1,1+LL56,LL57)),LL58)/30,LL57,LL58)</f>
        <v>#VALUE!</v>
      </c>
      <c r="LM63" s="962" t="e">
        <f>[1]!bodmoadal(1,1,(LM56+1),[1]!qsn([1]!ml([1]!taqsha(1,1,1+LM56,LM57)),LM58)/30,LM57,LM58)</f>
        <v>#VALUE!</v>
      </c>
      <c r="LN63" s="962" t="e">
        <f>[1]!bodmoadal(1,1,(LN56+1),[1]!qsn([1]!ml([1]!taqsha(1,1,1+LN56,LN57)),LN58)/30,LN57,LN58)</f>
        <v>#VALUE!</v>
      </c>
      <c r="LO63" s="962" t="e">
        <f>[1]!bodmoadal(1,1,(LO56+1),[1]!qsn([1]!ml([1]!taqsha(1,1,1+LO56,LO57)),LO58)/30,LO57,LO58)</f>
        <v>#VALUE!</v>
      </c>
      <c r="LP63" s="962" t="e">
        <f>[1]!bodmoadal(1,1,(LP56+1),[1]!qsn([1]!ml([1]!taqsha(1,1,1+LP56,LP57)),LP58)/30,LP57,LP58)</f>
        <v>#VALUE!</v>
      </c>
      <c r="LQ63" s="962" t="e">
        <f>[1]!bodmoadal(1,1,(LQ56+1),[1]!qsn([1]!ml([1]!taqsha(1,1,1+LQ56,LQ57)),LQ58)/30,LQ57,LQ58)</f>
        <v>#VALUE!</v>
      </c>
      <c r="LR63" s="962" t="e">
        <f>[1]!bodmoadal(1,1,(LR56+1),[1]!qsn([1]!ml([1]!taqsha(1,1,1+LR56,LR57)),LR58)/30,LR57,LR58)</f>
        <v>#VALUE!</v>
      </c>
      <c r="LS63" s="962" t="e">
        <f>[1]!bodmoadal(1,1,(LS56+1),[1]!qsn([1]!ml([1]!taqsha(1,1,1+LS56,LS57)),LS58)/30,LS57,LS58)</f>
        <v>#VALUE!</v>
      </c>
      <c r="LT63" s="962" t="e">
        <f>[1]!bodmoadal(1,1,(LT56+1),[1]!qsn([1]!ml([1]!taqsha(1,1,1+LT56,LT57)),LT58)/30,LT57,LT58)</f>
        <v>#VALUE!</v>
      </c>
      <c r="LU63" s="962" t="e">
        <f>[1]!bodmoadal(1,1,(LU56+1),[1]!qsn([1]!ml([1]!taqsha(1,1,1+LU56,LU57)),LU58)/30,LU57,LU58)</f>
        <v>#VALUE!</v>
      </c>
      <c r="LV63" s="962" t="e">
        <f>[1]!bodmoadal(1,1,(LV56+1),[1]!qsn([1]!ml([1]!taqsha(1,1,1+LV56,LV57)),LV58)/30,LV57,LV58)</f>
        <v>#VALUE!</v>
      </c>
      <c r="LW63" s="962" t="e">
        <f>[1]!bodmoadal(1,1,(LW56+1),[1]!qsn([1]!ml([1]!taqsha(1,1,1+LW56,LW57)),LW58)/30,LW57,LW58)</f>
        <v>#VALUE!</v>
      </c>
      <c r="LX63" s="962" t="e">
        <f>[1]!bodmoadal(1,1,(LX56+1),[1]!qsn([1]!ml([1]!taqsha(1,1,1+LX56,LX57)),LX58)/30,LX57,LX58)</f>
        <v>#VALUE!</v>
      </c>
      <c r="LY63" s="962" t="e">
        <f>[1]!bodmoadal(1,1,(LY56+1),[1]!qsn([1]!ml([1]!taqsha(1,1,1+LY56,LY57)),LY58)/30,LY57,LY58)</f>
        <v>#VALUE!</v>
      </c>
      <c r="LZ63" s="962" t="e">
        <f>[1]!bodmoadal(1,1,(LZ56+1),[1]!qsn([1]!ml([1]!taqsha(1,1,1+LZ56,LZ57)),LZ58)/30,LZ57,LZ58)</f>
        <v>#VALUE!</v>
      </c>
      <c r="MA63" s="962" t="e">
        <f>[1]!bodmoadal(1,1,(MA56+1),[1]!qsn([1]!ml([1]!taqsha(1,1,1+MA56,MA57)),MA58)/30,MA57,MA58)</f>
        <v>#VALUE!</v>
      </c>
      <c r="MB63" s="962" t="e">
        <f>[1]!bodmoadal(1,1,(MB56+1),[1]!qsn([1]!ml([1]!taqsha(1,1,1+MB56,MB57)),MB58)/30,MB57,MB58)</f>
        <v>#VALUE!</v>
      </c>
      <c r="MC63" s="962" t="e">
        <f>[1]!bodmoadal(1,1,(MC56+1),[1]!qsn([1]!ml([1]!taqsha(1,1,1+MC56,MC57)),MC58)/30,MC57,MC58)</f>
        <v>#VALUE!</v>
      </c>
      <c r="MD63" s="962" t="e">
        <f>[1]!bodmoadal(1,1,(MD56+1),[1]!qsn([1]!ml([1]!taqsha(1,1,1+MD56,MD57)),MD58)/30,MD57,MD58)</f>
        <v>#VALUE!</v>
      </c>
      <c r="ME63" s="962" t="e">
        <f>[1]!bodmoadal(1,1,(ME56+1),[1]!qsn([1]!ml([1]!taqsha(1,1,1+ME56,ME57)),ME58)/30,ME57,ME58)</f>
        <v>#VALUE!</v>
      </c>
      <c r="MF63" s="962" t="e">
        <f>[1]!bodmoadal(1,1,(MF56+1),[1]!qsn([1]!ml([1]!taqsha(1,1,1+MF56,MF57)),MF58)/30,MF57,MF58)</f>
        <v>#VALUE!</v>
      </c>
      <c r="MG63" s="962" t="e">
        <f>[1]!bodmoadal(1,1,(MG56+1),[1]!qsn([1]!ml([1]!taqsha(1,1,1+MG56,MG57)),MG58)/30,MG57,MG58)</f>
        <v>#VALUE!</v>
      </c>
      <c r="MH63" s="962" t="e">
        <f>[1]!bodmoadal(1,1,(MH56+1),[1]!qsn([1]!ml([1]!taqsha(1,1,1+MH56,MH57)),MH58)/30,MH57,MH58)</f>
        <v>#VALUE!</v>
      </c>
      <c r="MI63" s="962" t="e">
        <f>[1]!bodmoadal(1,1,(MI56+1),[1]!qsn([1]!ml([1]!taqsha(1,1,1+MI56,MI57)),MI58)/30,MI57,MI58)</f>
        <v>#VALUE!</v>
      </c>
      <c r="MJ63" s="962" t="e">
        <f>[1]!bodmoadal(1,1,(MJ56+1),[1]!qsn([1]!ml([1]!taqsha(1,1,1+MJ56,MJ57)),MJ58)/30,MJ57,MJ58)</f>
        <v>#VALUE!</v>
      </c>
      <c r="MK63" s="962" t="e">
        <f>[1]!bodmoadal(1,1,(MK56+1),[1]!qsn([1]!ml([1]!taqsha(1,1,1+MK56,MK57)),MK58)/30,MK57,MK58)</f>
        <v>#VALUE!</v>
      </c>
      <c r="ML63" s="962" t="e">
        <f>[1]!bodmoadal(1,1,(ML56+1),[1]!qsn([1]!ml([1]!taqsha(1,1,1+ML56,ML57)),ML58)/30,ML57,ML58)</f>
        <v>#VALUE!</v>
      </c>
      <c r="MM63" s="962" t="e">
        <f>[1]!bodmoadal(1,1,(MM56+1),[1]!qsn([1]!ml([1]!taqsha(1,1,1+MM56,MM57)),MM58)/30,MM57,MM58)</f>
        <v>#VALUE!</v>
      </c>
      <c r="MN63" s="962" t="e">
        <f>[1]!bodmoadal(1,1,(MN56+1),[1]!qsn([1]!ml([1]!taqsha(1,1,1+MN56,MN57)),MN58)/30,MN57,MN58)</f>
        <v>#VALUE!</v>
      </c>
      <c r="MO63" s="962" t="e">
        <f>[1]!bodmoadal(1,1,(MO56+1),[1]!qsn([1]!ml([1]!taqsha(1,1,1+MO56,MO57)),MO58)/30,MO57,MO58)</f>
        <v>#VALUE!</v>
      </c>
      <c r="MP63" s="962" t="e">
        <f>[1]!bodmoadal(1,1,(MP56+1),[1]!qsn([1]!ml([1]!taqsha(1,1,1+MP56,MP57)),MP58)/30,MP57,MP58)</f>
        <v>#VALUE!</v>
      </c>
      <c r="MQ63" s="962" t="e">
        <f>[1]!bodmoadal(1,1,(MQ56+1),[1]!qsn([1]!ml([1]!taqsha(1,1,1+MQ56,MQ57)),MQ58)/30,MQ57,MQ58)</f>
        <v>#VALUE!</v>
      </c>
      <c r="MR63" s="962" t="e">
        <f>[1]!bodmoadal(1,1,(MR56+1),[1]!qsn([1]!ml([1]!taqsha(1,1,1+MR56,MR57)),MR58)/30,MR57,MR58)</f>
        <v>#VALUE!</v>
      </c>
      <c r="MS63" s="962" t="e">
        <f>[1]!bodmoadal(1,1,(MS56+1),[1]!qsn([1]!ml([1]!taqsha(1,1,1+MS56,MS57)),MS58)/30,MS57,MS58)</f>
        <v>#VALUE!</v>
      </c>
      <c r="MT63" s="962" t="e">
        <f>[1]!bodmoadal(1,1,(MT56+1),[1]!qsn([1]!ml([1]!taqsha(1,1,1+MT56,MT57)),MT58)/30,MT57,MT58)</f>
        <v>#VALUE!</v>
      </c>
      <c r="MU63" s="962" t="e">
        <f>[1]!bodmoadal(1,1,(MU56+1),[1]!qsn([1]!ml([1]!taqsha(1,1,1+MU56,MU57)),MU58)/30,MU57,MU58)</f>
        <v>#VALUE!</v>
      </c>
      <c r="MV63" s="962" t="e">
        <f>[1]!bodmoadal(1,1,(MV56+1),[1]!qsn([1]!ml([1]!taqsha(1,1,1+MV56,MV57)),MV58)/30,MV57,MV58)</f>
        <v>#VALUE!</v>
      </c>
      <c r="MW63" s="962" t="e">
        <f>[1]!bodmoadal(1,1,(MW56+1),[1]!qsn([1]!ml([1]!taqsha(1,1,1+MW56,MW57)),MW58)/30,MW57,MW58)</f>
        <v>#VALUE!</v>
      </c>
      <c r="MX63" s="962" t="e">
        <f>[1]!bodmoadal(1,1,(MX56+1),[1]!qsn([1]!ml([1]!taqsha(1,1,1+MX56,MX57)),MX58)/30,MX57,MX58)</f>
        <v>#VALUE!</v>
      </c>
      <c r="MY63" s="962" t="e">
        <f>[1]!bodmoadal(1,1,(MY56+1),[1]!qsn([1]!ml([1]!taqsha(1,1,1+MY56,MY57)),MY58)/30,MY57,MY58)</f>
        <v>#VALUE!</v>
      </c>
      <c r="MZ63" s="962" t="e">
        <f>[1]!bodmoadal(1,1,(MZ56+1),[1]!qsn([1]!ml([1]!taqsha(1,1,1+MZ56,MZ57)),MZ58)/30,MZ57,MZ58)</f>
        <v>#VALUE!</v>
      </c>
      <c r="NA63" s="962" t="e">
        <f>[1]!bodmoadal(1,1,(NA56+1),[1]!qsn([1]!ml([1]!taqsha(1,1,1+NA56,NA57)),NA58)/30,NA57,NA58)</f>
        <v>#VALUE!</v>
      </c>
      <c r="NB63" s="962" t="e">
        <f>[1]!bodmoadal(1,1,(NB56+1),[1]!qsn([1]!ml([1]!taqsha(1,1,1+NB56,NB57)),NB58)/30,NB57,NB58)</f>
        <v>#VALUE!</v>
      </c>
      <c r="NC63" s="962" t="e">
        <f>[1]!bodmoadal(1,1,(NC56+1),[1]!qsn([1]!ml([1]!taqsha(1,1,1+NC56,NC57)),NC58)/30,NC57,NC58)</f>
        <v>#VALUE!</v>
      </c>
      <c r="ND63" s="962" t="e">
        <f>[1]!bodmoadal(1,1,(ND56+1),[1]!qsn([1]!ml([1]!taqsha(1,1,1+ND56,ND57)),ND58)/30,ND57,ND58)</f>
        <v>#VALUE!</v>
      </c>
      <c r="NE63" s="962" t="e">
        <f>[1]!bodmoadal(1,1,(NE56+1),[1]!qsn([1]!ml([1]!taqsha(1,1,1+NE56,NE57)),NE58)/30,NE57,NE58)</f>
        <v>#VALUE!</v>
      </c>
      <c r="NF63" s="962" t="e">
        <f>[1]!bodmoadal(1,1,(NF56+1),[1]!qsn([1]!ml([1]!taqsha(1,1,1+NF56,NF57)),NF58)/30,NF57,NF58)</f>
        <v>#VALUE!</v>
      </c>
      <c r="NG63" s="962" t="e">
        <f>[1]!bodmoadal(1,1,(NG56+1),[1]!qsn([1]!ml([1]!taqsha(1,1,1+NG56,NG57)),NG58)/30,NG57,NG58)</f>
        <v>#VALUE!</v>
      </c>
      <c r="NH63" s="962" t="e">
        <f>[1]!bodmoadal(1,1,(NH56+1),[1]!qsn([1]!ml([1]!taqsha(1,1,1+NH56,NH57)),NH58)/30,NH57,NH58)</f>
        <v>#VALUE!</v>
      </c>
      <c r="NI63" s="962" t="e">
        <f>[1]!bodmoadal(1,1,(NI56+1),[1]!qsn([1]!ml([1]!taqsha(1,1,1+NI56,NI57)),NI58)/30,NI57,NI58)</f>
        <v>#VALUE!</v>
      </c>
      <c r="NJ63" s="962" t="e">
        <f>[1]!bodmoadal(1,1,(NJ56+1),[1]!qsn([1]!ml([1]!taqsha(1,1,1+NJ56,NJ57)),NJ58)/30,NJ57,NJ58)</f>
        <v>#VALUE!</v>
      </c>
      <c r="NK63" s="962" t="e">
        <f>[1]!bodmoadal(1,1,(NK56+1),[1]!qsn([1]!ml([1]!taqsha(1,1,1+NK56,NK57)),NK58)/30,NK57,NK58)</f>
        <v>#VALUE!</v>
      </c>
      <c r="NL63" s="962" t="e">
        <f>[1]!bodmoadal(1,1,(NL56+1),[1]!qsn([1]!ml([1]!taqsha(1,1,1+NL56,NL57)),NL58)/30,NL57,NL58)</f>
        <v>#VALUE!</v>
      </c>
      <c r="NM63" s="962" t="e">
        <f>[1]!bodmoadal(1,1,(NM56+1),[1]!qsn([1]!ml([1]!taqsha(1,1,1+NM56,NM57)),NM58)/30,NM57,NM58)</f>
        <v>#VALUE!</v>
      </c>
      <c r="NN63" s="962" t="e">
        <f>[1]!bodmoadal(1,1,(NN56+1),[1]!qsn([1]!ml([1]!taqsha(1,1,1+NN56,NN57)),NN58)/30,NN57,NN58)</f>
        <v>#VALUE!</v>
      </c>
      <c r="NO63" s="962" t="e">
        <f>[1]!bodmoadal(1,1,(NO56+1),[1]!qsn([1]!ml([1]!taqsha(1,1,1+NO56,NO57)),NO58)/30,NO57,NO58)</f>
        <v>#VALUE!</v>
      </c>
      <c r="NP63" s="962" t="e">
        <f>[1]!bodmoadal(1,1,(NP56+1),[1]!qsn([1]!ml([1]!taqsha(1,1,1+NP56,NP57)),NP58)/30,NP57,NP58)</f>
        <v>#VALUE!</v>
      </c>
      <c r="NQ63" s="962" t="e">
        <f>[1]!bodmoadal(1,1,(NQ56+1),[1]!qsn([1]!ml([1]!taqsha(1,1,1+NQ56,NQ57)),NQ58)/30,NQ57,NQ58)</f>
        <v>#VALUE!</v>
      </c>
      <c r="NR63" s="962" t="e">
        <f>[1]!bodmoadal(1,1,(NR56+1),[1]!qsn([1]!ml([1]!taqsha(1,1,1+NR56,NR57)),NR58)/30,NR57,NR58)</f>
        <v>#VALUE!</v>
      </c>
      <c r="NS63" s="962" t="e">
        <f>[1]!bodmoadal(1,1,(NS56+1),[1]!qsn([1]!ml([1]!taqsha(1,1,1+NS56,NS57)),NS58)/30,NS57,NS58)</f>
        <v>#VALUE!</v>
      </c>
      <c r="NT63" s="962" t="e">
        <f>[1]!bodmoadal(1,1,(NT56+1),[1]!qsn([1]!ml([1]!taqsha(1,1,1+NT56,NT57)),NT58)/30,NT57,NT58)</f>
        <v>#VALUE!</v>
      </c>
      <c r="NU63" s="962" t="e">
        <f>[1]!bodmoadal(1,1,(NU56+1),[1]!qsn([1]!ml([1]!taqsha(1,1,1+NU56,NU57)),NU58)/30,NU57,NU58)</f>
        <v>#VALUE!</v>
      </c>
      <c r="NV63" s="962" t="e">
        <f>[1]!bodmoadal(1,1,(NV56+1),[1]!qsn([1]!ml([1]!taqsha(1,1,1+NV56,NV57)),NV58)/30,NV57,NV58)</f>
        <v>#VALUE!</v>
      </c>
      <c r="NW63" s="962" t="e">
        <f>[1]!bodmoadal(1,1,(NW56+1),[1]!qsn([1]!ml([1]!taqsha(1,1,1+NW56,NW57)),NW58)/30,NW57,NW58)</f>
        <v>#VALUE!</v>
      </c>
      <c r="NX63" s="962" t="e">
        <f>[1]!bodmoadal(1,1,(NX56+1),[1]!qsn([1]!ml([1]!taqsha(1,1,1+NX56,NX57)),NX58)/30,NX57,NX58)</f>
        <v>#VALUE!</v>
      </c>
      <c r="NY63" s="962" t="e">
        <f>[1]!bodmoadal(1,1,(NY56+1),[1]!qsn([1]!ml([1]!taqsha(1,1,1+NY56,NY57)),NY58)/30,NY57,NY58)</f>
        <v>#VALUE!</v>
      </c>
      <c r="NZ63" s="962" t="e">
        <f>[1]!bodmoadal(1,1,(NZ56+1),[1]!qsn([1]!ml([1]!taqsha(1,1,1+NZ56,NZ57)),NZ58)/30,NZ57,NZ58)</f>
        <v>#VALUE!</v>
      </c>
      <c r="OA63" s="962" t="e">
        <f>[1]!bodmoadal(1,1,(OA56+1),[1]!qsn([1]!ml([1]!taqsha(1,1,1+OA56,OA57)),OA58)/30,OA57,OA58)</f>
        <v>#VALUE!</v>
      </c>
      <c r="OB63" s="962" t="e">
        <f>[1]!bodmoadal(1,1,(OB56+1),[1]!qsn([1]!ml([1]!taqsha(1,1,1+OB56,OB57)),OB58)/30,OB57,OB58)</f>
        <v>#VALUE!</v>
      </c>
      <c r="OC63" s="962" t="e">
        <f>[1]!bodmoadal(1,1,(OC56+1),[1]!qsn([1]!ml([1]!taqsha(1,1,1+OC56,OC57)),OC58)/30,OC57,OC58)</f>
        <v>#VALUE!</v>
      </c>
      <c r="OD63" s="962" t="e">
        <f>[1]!bodmoadal(1,1,(OD56+1),[1]!qsn([1]!ml([1]!taqsha(1,1,1+OD56,OD57)),OD58)/30,OD57,OD58)</f>
        <v>#VALUE!</v>
      </c>
      <c r="OE63" s="962" t="e">
        <f>[1]!bodmoadal(1,1,(OE56+1),[1]!qsn([1]!ml([1]!taqsha(1,1,1+OE56,OE57)),OE58)/30,OE57,OE58)</f>
        <v>#VALUE!</v>
      </c>
      <c r="OF63" s="962" t="e">
        <f>[1]!bodmoadal(1,1,(OF56+1),[1]!qsn([1]!ml([1]!taqsha(1,1,1+OF56,OF57)),OF58)/30,OF57,OF58)</f>
        <v>#VALUE!</v>
      </c>
      <c r="OG63" s="962" t="e">
        <f>[1]!bodmoadal(1,1,(OG56+1),[1]!qsn([1]!ml([1]!taqsha(1,1,1+OG56,OG57)),OG58)/30,OG57,OG58)</f>
        <v>#VALUE!</v>
      </c>
      <c r="OH63" s="962" t="e">
        <f>[1]!bodmoadal(1,1,(OH56+1),[1]!qsn([1]!ml([1]!taqsha(1,1,1+OH56,OH57)),OH58)/30,OH57,OH58)</f>
        <v>#VALUE!</v>
      </c>
      <c r="OI63" s="962" t="e">
        <f>[1]!bodmoadal(1,1,(OI56+1),[1]!qsn([1]!ml([1]!taqsha(1,1,1+OI56,OI57)),OI58)/30,OI57,OI58)</f>
        <v>#VALUE!</v>
      </c>
      <c r="OJ63" s="962" t="e">
        <f>[1]!bodmoadal(1,1,(OJ56+1),[1]!qsn([1]!ml([1]!taqsha(1,1,1+OJ56,OJ57)),OJ58)/30,OJ57,OJ58)</f>
        <v>#VALUE!</v>
      </c>
      <c r="OK63" s="962" t="e">
        <f>[1]!bodmoadal(1,1,(OK56+1),[1]!qsn([1]!ml([1]!taqsha(1,1,1+OK56,OK57)),OK58)/30,OK57,OK58)</f>
        <v>#VALUE!</v>
      </c>
      <c r="OL63" s="962" t="e">
        <f>[1]!bodmoadal(1,1,(OL56+1),[1]!qsn([1]!ml([1]!taqsha(1,1,1+OL56,OL57)),OL58)/30,OL57,OL58)</f>
        <v>#VALUE!</v>
      </c>
      <c r="OM63" s="962" t="e">
        <f>[1]!bodmoadal(1,1,(OM56+1),[1]!qsn([1]!ml([1]!taqsha(1,1,1+OM56,OM57)),OM58)/30,OM57,OM58)</f>
        <v>#VALUE!</v>
      </c>
      <c r="ON63" s="962" t="e">
        <f>[1]!bodmoadal(1,1,(ON56+1),[1]!qsn([1]!ml([1]!taqsha(1,1,1+ON56,ON57)),ON58)/30,ON57,ON58)</f>
        <v>#VALUE!</v>
      </c>
      <c r="OO63" s="962" t="e">
        <f>[1]!bodmoadal(1,1,(OO56+1),[1]!qsn([1]!ml([1]!taqsha(1,1,1+OO56,OO57)),OO58)/30,OO57,OO58)</f>
        <v>#VALUE!</v>
      </c>
      <c r="OP63" s="962" t="e">
        <f>[1]!bodmoadal(1,1,(OP56+1),[1]!qsn([1]!ml([1]!taqsha(1,1,1+OP56,OP57)),OP58)/30,OP57,OP58)</f>
        <v>#VALUE!</v>
      </c>
      <c r="OQ63" s="962" t="e">
        <f>[1]!bodmoadal(1,1,(OQ56+1),[1]!qsn([1]!ml([1]!taqsha(1,1,1+OQ56,OQ57)),OQ58)/30,OQ57,OQ58)</f>
        <v>#VALUE!</v>
      </c>
      <c r="OR63" s="962" t="e">
        <f>[1]!bodmoadal(1,1,(OR56+1),[1]!qsn([1]!ml([1]!taqsha(1,1,1+OR56,OR57)),OR58)/30,OR57,OR58)</f>
        <v>#VALUE!</v>
      </c>
      <c r="OS63" s="962" t="e">
        <f>[1]!bodmoadal(1,1,(OS56+1),[1]!qsn([1]!ml([1]!taqsha(1,1,1+OS56,OS57)),OS58)/30,OS57,OS58)</f>
        <v>#VALUE!</v>
      </c>
      <c r="OT63" s="962" t="e">
        <f>[1]!bodmoadal(1,1,(OT56+1),[1]!qsn([1]!ml([1]!taqsha(1,1,1+OT56,OT57)),OT58)/30,OT57,OT58)</f>
        <v>#VALUE!</v>
      </c>
      <c r="OU63" s="962" t="e">
        <f>[1]!bodmoadal(1,1,(OU56+1),[1]!qsn([1]!ml([1]!taqsha(1,1,1+OU56,OU57)),OU58)/30,OU57,OU58)</f>
        <v>#VALUE!</v>
      </c>
      <c r="OV63" s="962" t="e">
        <f>[1]!bodmoadal(1,1,(OV56+1),[1]!qsn([1]!ml([1]!taqsha(1,1,1+OV56,OV57)),OV58)/30,OV57,OV58)</f>
        <v>#VALUE!</v>
      </c>
      <c r="OW63" s="962" t="e">
        <f>[1]!bodmoadal(1,1,(OW56+1),[1]!qsn([1]!ml([1]!taqsha(1,1,1+OW56,OW57)),OW58)/30,OW57,OW58)</f>
        <v>#VALUE!</v>
      </c>
      <c r="OX63" s="962" t="e">
        <f>[1]!bodmoadal(1,1,(OX56+1),[1]!qsn([1]!ml([1]!taqsha(1,1,1+OX56,OX57)),OX58)/30,OX57,OX58)</f>
        <v>#VALUE!</v>
      </c>
      <c r="OY63" s="962" t="e">
        <f>[1]!bodmoadal(1,1,(OY56+1),[1]!qsn([1]!ml([1]!taqsha(1,1,1+OY56,OY57)),OY58)/30,OY57,OY58)</f>
        <v>#VALUE!</v>
      </c>
      <c r="OZ63" s="962" t="e">
        <f>[1]!bodmoadal(1,1,(OZ56+1),[1]!qsn([1]!ml([1]!taqsha(1,1,1+OZ56,OZ57)),OZ58)/30,OZ57,OZ58)</f>
        <v>#VALUE!</v>
      </c>
      <c r="PA63" s="962" t="e">
        <f>[1]!bodmoadal(1,1,(PA56+1),[1]!qsn([1]!ml([1]!taqsha(1,1,1+PA56,PA57)),PA58)/30,PA57,PA58)</f>
        <v>#VALUE!</v>
      </c>
      <c r="PB63" s="962" t="e">
        <f>[1]!bodmoadal(1,1,(PB56+1),[1]!qsn([1]!ml([1]!taqsha(1,1,1+PB56,PB57)),PB58)/30,PB57,PB58)</f>
        <v>#VALUE!</v>
      </c>
      <c r="PC63" s="962" t="e">
        <f>[1]!bodmoadal(1,1,(PC56+1),[1]!qsn([1]!ml([1]!taqsha(1,1,1+PC56,PC57)),PC58)/30,PC57,PC58)</f>
        <v>#VALUE!</v>
      </c>
      <c r="PD63" s="962" t="e">
        <f>[1]!bodmoadal(1,1,(PD56+1),[1]!qsn([1]!ml([1]!taqsha(1,1,1+PD56,PD57)),PD58)/30,PD57,PD58)</f>
        <v>#VALUE!</v>
      </c>
      <c r="PE63" s="962" t="e">
        <f>[1]!bodmoadal(1,1,(PE56+1),[1]!qsn([1]!ml([1]!taqsha(1,1,1+PE56,PE57)),PE58)/30,PE57,PE58)</f>
        <v>#VALUE!</v>
      </c>
      <c r="PF63" s="962" t="e">
        <f>[1]!bodmoadal(1,1,(PF56+1),[1]!qsn([1]!ml([1]!taqsha(1,1,1+PF56,PF57)),PF58)/30,PF57,PF58)</f>
        <v>#VALUE!</v>
      </c>
      <c r="PG63" s="962" t="e">
        <f>[1]!bodmoadal(1,1,(PG56+1),[1]!qsn([1]!ml([1]!taqsha(1,1,1+PG56,PG57)),PG58)/30,PG57,PG58)</f>
        <v>#VALUE!</v>
      </c>
      <c r="PH63" s="962" t="e">
        <f>[1]!bodmoadal(1,1,(PH56+1),[1]!qsn([1]!ml([1]!taqsha(1,1,1+PH56,PH57)),PH58)/30,PH57,PH58)</f>
        <v>#VALUE!</v>
      </c>
      <c r="PI63" s="962" t="e">
        <f>[1]!bodmoadal(1,1,(PI56+1),[1]!qsn([1]!ml([1]!taqsha(1,1,1+PI56,PI57)),PI58)/30,PI57,PI58)</f>
        <v>#VALUE!</v>
      </c>
      <c r="PJ63" s="962" t="e">
        <f>[1]!bodmoadal(1,1,(PJ56+1),[1]!qsn([1]!ml([1]!taqsha(1,1,1+PJ56,PJ57)),PJ58)/30,PJ57,PJ58)</f>
        <v>#VALUE!</v>
      </c>
      <c r="PK63" s="962" t="e">
        <f>[1]!bodmoadal(1,1,(PK56+1),[1]!qsn([1]!ml([1]!taqsha(1,1,1+PK56,PK57)),PK58)/30,PK57,PK58)</f>
        <v>#VALUE!</v>
      </c>
      <c r="PL63" s="962" t="e">
        <f>[1]!bodmoadal(1,1,(PL56+1),[1]!qsn([1]!ml([1]!taqsha(1,1,1+PL56,PL57)),PL58)/30,PL57,PL58)</f>
        <v>#VALUE!</v>
      </c>
      <c r="PM63" s="962" t="e">
        <f>[1]!bodmoadal(1,1,(PM56+1),[1]!qsn([1]!ml([1]!taqsha(1,1,1+PM56,PM57)),PM58)/30,PM57,PM58)</f>
        <v>#VALUE!</v>
      </c>
      <c r="PN63" s="962" t="e">
        <f>[1]!bodmoadal(1,1,(PN56+1),[1]!qsn([1]!ml([1]!taqsha(1,1,1+PN56,PN57)),PN58)/30,PN57,PN58)</f>
        <v>#VALUE!</v>
      </c>
      <c r="PO63" s="962" t="e">
        <f>[1]!bodmoadal(1,1,(PO56+1),[1]!qsn([1]!ml([1]!taqsha(1,1,1+PO56,PO57)),PO58)/30,PO57,PO58)</f>
        <v>#VALUE!</v>
      </c>
      <c r="PP63" s="962" t="e">
        <f>[1]!bodmoadal(1,1,(PP56+1),[1]!qsn([1]!ml([1]!taqsha(1,1,1+PP56,PP57)),PP58)/30,PP57,PP58)</f>
        <v>#VALUE!</v>
      </c>
      <c r="PQ63" s="962" t="e">
        <f>[1]!bodmoadal(1,1,(PQ56+1),[1]!qsn([1]!ml([1]!taqsha(1,1,1+PQ56,PQ57)),PQ58)/30,PQ57,PQ58)</f>
        <v>#VALUE!</v>
      </c>
      <c r="PR63" s="962" t="e">
        <f>[1]!bodmoadal(1,1,(PR56+1),[1]!qsn([1]!ml([1]!taqsha(1,1,1+PR56,PR57)),PR58)/30,PR57,PR58)</f>
        <v>#VALUE!</v>
      </c>
      <c r="PS63" s="962" t="e">
        <f>[1]!bodmoadal(1,1,(PS56+1),[1]!qsn([1]!ml([1]!taqsha(1,1,1+PS56,PS57)),PS58)/30,PS57,PS58)</f>
        <v>#VALUE!</v>
      </c>
      <c r="PT63" s="962" t="e">
        <f>[1]!bodmoadal(1,1,(PT56+1),[1]!qsn([1]!ml([1]!taqsha(1,1,1+PT56,PT57)),PT58)/30,PT57,PT58)</f>
        <v>#VALUE!</v>
      </c>
      <c r="PU63" s="962" t="e">
        <f>[1]!bodmoadal(1,1,(PU56+1),[1]!qsn([1]!ml([1]!taqsha(1,1,1+PU56,PU57)),PU58)/30,PU57,PU58)</f>
        <v>#VALUE!</v>
      </c>
      <c r="PV63" s="962" t="e">
        <f>[1]!bodmoadal(1,1,(PV56+1),[1]!qsn([1]!ml([1]!taqsha(1,1,1+PV56,PV57)),PV58)/30,PV57,PV58)</f>
        <v>#VALUE!</v>
      </c>
      <c r="PW63" s="962" t="e">
        <f>[1]!bodmoadal(1,1,(PW56+1),[1]!qsn([1]!ml([1]!taqsha(1,1,1+PW56,PW57)),PW58)/30,PW57,PW58)</f>
        <v>#VALUE!</v>
      </c>
      <c r="PX63" s="962" t="e">
        <f>[1]!bodmoadal(1,1,(PX56+1),[1]!qsn([1]!ml([1]!taqsha(1,1,1+PX56,PX57)),PX58)/30,PX57,PX58)</f>
        <v>#VALUE!</v>
      </c>
      <c r="PY63" s="962" t="e">
        <f>[1]!bodmoadal(1,1,(PY56+1),[1]!qsn([1]!ml([1]!taqsha(1,1,1+PY56,PY57)),PY58)/30,PY57,PY58)</f>
        <v>#VALUE!</v>
      </c>
      <c r="PZ63" s="962" t="e">
        <f>[1]!bodmoadal(1,1,(PZ56+1),[1]!qsn([1]!ml([1]!taqsha(1,1,1+PZ56,PZ57)),PZ58)/30,PZ57,PZ58)</f>
        <v>#VALUE!</v>
      </c>
      <c r="QA63" s="962" t="e">
        <f>[1]!bodmoadal(1,1,(QA56+1),[1]!qsn([1]!ml([1]!taqsha(1,1,1+QA56,QA57)),QA58)/30,QA57,QA58)</f>
        <v>#VALUE!</v>
      </c>
      <c r="QB63" s="962" t="e">
        <f>[1]!bodmoadal(1,1,(QB56+1),[1]!qsn([1]!ml([1]!taqsha(1,1,1+QB56,QB57)),QB58)/30,QB57,QB58)</f>
        <v>#VALUE!</v>
      </c>
      <c r="QC63" s="962" t="e">
        <f>[1]!bodmoadal(1,1,(QC56+1),[1]!qsn([1]!ml([1]!taqsha(1,1,1+QC56,QC57)),QC58)/30,QC57,QC58)</f>
        <v>#VALUE!</v>
      </c>
      <c r="QD63" s="962" t="e">
        <f>[1]!bodmoadal(1,1,(QD56+1),[1]!qsn([1]!ml([1]!taqsha(1,1,1+QD56,QD57)),QD58)/30,QD57,QD58)</f>
        <v>#VALUE!</v>
      </c>
      <c r="QE63" s="962" t="e">
        <f>[1]!bodmoadal(1,1,(QE56+1),[1]!qsn([1]!ml([1]!taqsha(1,1,1+QE56,QE57)),QE58)/30,QE57,QE58)</f>
        <v>#VALUE!</v>
      </c>
      <c r="QF63" s="962" t="e">
        <f>[1]!bodmoadal(1,1,(QF56+1),[1]!qsn([1]!ml([1]!taqsha(1,1,1+QF56,QF57)),QF58)/30,QF57,QF58)</f>
        <v>#VALUE!</v>
      </c>
      <c r="QG63" s="962" t="e">
        <f>[1]!bodmoadal(1,1,(QG56+1),[1]!qsn([1]!ml([1]!taqsha(1,1,1+QG56,QG57)),QG58)/30,QG57,QG58)</f>
        <v>#VALUE!</v>
      </c>
      <c r="QH63" s="962" t="e">
        <f>[1]!bodmoadal(1,1,(QH56+1),[1]!qsn([1]!ml([1]!taqsha(1,1,1+QH56,QH57)),QH58)/30,QH57,QH58)</f>
        <v>#VALUE!</v>
      </c>
      <c r="QI63" s="962" t="e">
        <f>[1]!bodmoadal(1,1,(QI56+1),[1]!qsn([1]!ml([1]!taqsha(1,1,1+QI56,QI57)),QI58)/30,QI57,QI58)</f>
        <v>#VALUE!</v>
      </c>
      <c r="QJ63" s="962" t="e">
        <f>[1]!bodmoadal(1,1,(QJ56+1),[1]!qsn([1]!ml([1]!taqsha(1,1,1+QJ56,QJ57)),QJ58)/30,QJ57,QJ58)</f>
        <v>#VALUE!</v>
      </c>
      <c r="QK63" s="962" t="e">
        <f>[1]!bodmoadal(1,1,(QK56+1),[1]!qsn([1]!ml([1]!taqsha(1,1,1+QK56,QK57)),QK58)/30,QK57,QK58)</f>
        <v>#VALUE!</v>
      </c>
      <c r="QL63" s="962" t="e">
        <f>[1]!bodmoadal(1,1,(QL56+1),[1]!qsn([1]!ml([1]!taqsha(1,1,1+QL56,QL57)),QL58)/30,QL57,QL58)</f>
        <v>#VALUE!</v>
      </c>
      <c r="QM63" s="962" t="e">
        <f>[1]!bodmoadal(1,1,(QM56+1),[1]!qsn([1]!ml([1]!taqsha(1,1,1+QM56,QM57)),QM58)/30,QM57,QM58)</f>
        <v>#VALUE!</v>
      </c>
      <c r="QN63" s="962" t="e">
        <f>[1]!bodmoadal(1,1,(QN56+1),[1]!qsn([1]!ml([1]!taqsha(1,1,1+QN56,QN57)),QN58)/30,QN57,QN58)</f>
        <v>#VALUE!</v>
      </c>
      <c r="QO63" s="962" t="e">
        <f>[1]!bodmoadal(1,1,(QO56+1),[1]!qsn([1]!ml([1]!taqsha(1,1,1+QO56,QO57)),QO58)/30,QO57,QO58)</f>
        <v>#VALUE!</v>
      </c>
      <c r="QP63" s="962" t="e">
        <f>[1]!bodmoadal(1,1,(QP56+1),[1]!qsn([1]!ml([1]!taqsha(1,1,1+QP56,QP57)),QP58)/30,QP57,QP58)</f>
        <v>#VALUE!</v>
      </c>
      <c r="QQ63" s="962" t="e">
        <f>[1]!bodmoadal(1,1,(QQ56+1),[1]!qsn([1]!ml([1]!taqsha(1,1,1+QQ56,QQ57)),QQ58)/30,QQ57,QQ58)</f>
        <v>#VALUE!</v>
      </c>
      <c r="QR63" s="962" t="e">
        <f>[1]!bodmoadal(1,1,(QR56+1),[1]!qsn([1]!ml([1]!taqsha(1,1,1+QR56,QR57)),QR58)/30,QR57,QR58)</f>
        <v>#VALUE!</v>
      </c>
      <c r="QS63" s="962" t="e">
        <f>[1]!bodmoadal(1,1,(QS56+1),[1]!qsn([1]!ml([1]!taqsha(1,1,1+QS56,QS57)),QS58)/30,QS57,QS58)</f>
        <v>#VALUE!</v>
      </c>
      <c r="QT63" s="962" t="e">
        <f>[1]!bodmoadal(1,1,(QT56+1),[1]!qsn([1]!ml([1]!taqsha(1,1,1+QT56,QT57)),QT58)/30,QT57,QT58)</f>
        <v>#VALUE!</v>
      </c>
      <c r="QU63" s="962" t="e">
        <f>[1]!bodmoadal(1,1,(QU56+1),[1]!qsn([1]!ml([1]!taqsha(1,1,1+QU56,QU57)),QU58)/30,QU57,QU58)</f>
        <v>#VALUE!</v>
      </c>
      <c r="QV63" s="962" t="e">
        <f>[1]!bodmoadal(1,1,(QV56+1),[1]!qsn([1]!ml([1]!taqsha(1,1,1+QV56,QV57)),QV58)/30,QV57,QV58)</f>
        <v>#VALUE!</v>
      </c>
      <c r="QW63" s="962" t="e">
        <f>[1]!bodmoadal(1,1,(QW56+1),[1]!qsn([1]!ml([1]!taqsha(1,1,1+QW56,QW57)),QW58)/30,QW57,QW58)</f>
        <v>#VALUE!</v>
      </c>
      <c r="QX63" s="962" t="e">
        <f>[1]!bodmoadal(1,1,(QX56+1),[1]!qsn([1]!ml([1]!taqsha(1,1,1+QX56,QX57)),QX58)/30,QX57,QX58)</f>
        <v>#VALUE!</v>
      </c>
      <c r="QY63" s="962" t="e">
        <f>[1]!bodmoadal(1,1,(QY56+1),[1]!qsn([1]!ml([1]!taqsha(1,1,1+QY56,QY57)),QY58)/30,QY57,QY58)</f>
        <v>#VALUE!</v>
      </c>
      <c r="QZ63" s="962" t="e">
        <f>[1]!bodmoadal(1,1,(QZ56+1),[1]!qsn([1]!ml([1]!taqsha(1,1,1+QZ56,QZ57)),QZ58)/30,QZ57,QZ58)</f>
        <v>#VALUE!</v>
      </c>
      <c r="RA63" s="962" t="e">
        <f>[1]!bodmoadal(1,1,(RA56+1),[1]!qsn([1]!ml([1]!taqsha(1,1,1+RA56,RA57)),RA58)/30,RA57,RA58)</f>
        <v>#VALUE!</v>
      </c>
      <c r="RC63" s="797"/>
    </row>
    <row r="64" spans="1:471" ht="18" thickBot="1">
      <c r="B64" s="2"/>
      <c r="C64" s="2">
        <v>1023496</v>
      </c>
      <c r="D64" s="2">
        <f>INT(C64/365)</f>
        <v>2804</v>
      </c>
      <c r="E64" s="2">
        <f>INT(MOD(C64,365)/30)</f>
        <v>1</v>
      </c>
      <c r="F64" s="2">
        <f>MOD(MOD(C64,365),30)</f>
        <v>6</v>
      </c>
      <c r="G64" s="2">
        <f>365-(MOD(C64,365))</f>
        <v>329</v>
      </c>
      <c r="H64" s="2">
        <f>INT(G64/30)</f>
        <v>10</v>
      </c>
      <c r="I64" s="2" t="str">
        <f>IF(H64=0,"توث",IF(H64=1,"ماوبی",IF(H64=2,"اثور",IF(H64=3,"خواق",IF(H64=4,"طوبی",IF(H64=5,"ماخیر",IF(H64=6,"فامانوث",IF(H64=7,"فرموثی",IF(H64=8,"ماخور",IF(H64=9,"بورنی",IF(H64=10,"انیقی",IF(H64=11,"ماسوری","خمسه مسترقه"))))))))))))</f>
        <v>انیقی</v>
      </c>
      <c r="J64" s="2">
        <f>MOD(G64,30)+1</f>
        <v>30</v>
      </c>
      <c r="K64" s="2">
        <f>MOD((G64+1),7)</f>
        <v>1</v>
      </c>
      <c r="L64" s="2" t="str">
        <f>IF(K64=1,"جمعه",IF(K64=2,"پنج شنبه",IF(K64=3,"چهارشنبه",IF(K64=4,"سه شنبه",IF(K64=5,"دو شنبه",IF(K64=6,"یک شنبه",IF(K64=0,"شنبه")))))))</f>
        <v>جمعه</v>
      </c>
      <c r="M64" s="2"/>
      <c r="N64" s="2"/>
      <c r="O64" s="2"/>
      <c r="P64" s="2"/>
      <c r="Q64" s="2"/>
      <c r="R64" s="2"/>
      <c r="S64" s="2"/>
      <c r="T64" s="2"/>
      <c r="U64" s="2"/>
      <c r="V64" s="2"/>
      <c r="W64" s="2"/>
      <c r="X64" s="2"/>
      <c r="Y64" s="2"/>
      <c r="Z64" s="2"/>
      <c r="AA64" s="2"/>
      <c r="AB64" s="2"/>
      <c r="AC64" s="2"/>
      <c r="AK64" s="714" t="s">
        <v>3544</v>
      </c>
      <c r="AL64" s="710" t="s">
        <v>65</v>
      </c>
      <c r="AM64" s="711" t="s">
        <v>66</v>
      </c>
      <c r="AN64" s="711" t="s">
        <v>67</v>
      </c>
      <c r="AO64" s="711" t="s">
        <v>68</v>
      </c>
      <c r="AP64" s="711" t="s">
        <v>69</v>
      </c>
      <c r="AQ64" s="711" t="s">
        <v>3540</v>
      </c>
      <c r="AR64" s="711" t="s">
        <v>71</v>
      </c>
      <c r="AS64" s="711" t="s">
        <v>72</v>
      </c>
      <c r="AT64" s="711" t="s">
        <v>73</v>
      </c>
      <c r="AU64" s="711" t="s">
        <v>74</v>
      </c>
      <c r="AV64" s="711" t="s">
        <v>75</v>
      </c>
      <c r="AW64" s="712" t="s">
        <v>76</v>
      </c>
      <c r="AX64" s="712" t="s">
        <v>1485</v>
      </c>
      <c r="DH64" s="797"/>
      <c r="DI64" s="797" t="s">
        <v>3552</v>
      </c>
      <c r="DJ64" s="959" t="e">
        <f>[1]!bodsava(1,1,(DJ56+1),[1]!qsn([1]!ml([1]!taqsha(1,1,1+DJ56,DJ57)),DJ58)/30,DJ57,DJ58)</f>
        <v>#VALUE!</v>
      </c>
      <c r="DK64" s="962" t="e">
        <f>[1]!bodsava(1,1,(DK56+1),[1]!qsn([1]!ml([1]!taqsha(1,1,1+DK56,DK57)),DK58)/30,DK57,DK58)</f>
        <v>#VALUE!</v>
      </c>
      <c r="DL64" s="962" t="e">
        <f>[1]!bodsava(1,1,(DL56+1),[1]!qsn([1]!ml([1]!taqsha(1,1,1+DL56,DL57)),DL58)/30,DL57,DL58)</f>
        <v>#VALUE!</v>
      </c>
      <c r="DM64" s="962" t="e">
        <f>[1]!bodsava(1,1,(DM56+1),[1]!qsn([1]!ml([1]!taqsha(1,1,1+DM56,DM57)),DM58)/30,DM57,DM58)</f>
        <v>#VALUE!</v>
      </c>
      <c r="DN64" s="962" t="e">
        <f>[1]!bodsava(1,1,(DN56+1),[1]!qsn([1]!ml([1]!taqsha(1,1,1+DN56,DN57)),DN58)/30,DN57,DN58)</f>
        <v>#VALUE!</v>
      </c>
      <c r="DO64" s="962" t="e">
        <f>[1]!bodsava(1,1,(DO56+1),[1]!qsn([1]!ml([1]!taqsha(1,1,1+DO56,DO57)),DO58)/30,DO57,DO58)</f>
        <v>#VALUE!</v>
      </c>
      <c r="DP64" s="962" t="e">
        <f>[1]!bodsava(1,1,(DP56+1),[1]!qsn([1]!ml([1]!taqsha(1,1,1+DP56,DP57)),DP58)/30,DP57,DP58)</f>
        <v>#VALUE!</v>
      </c>
      <c r="DQ64" s="962" t="e">
        <f>[1]!bodsava(1,1,(DQ56+1),[1]!qsn([1]!ml([1]!taqsha(1,1,1+DQ56,DQ57)),DQ58)/30,DQ57,DQ58)</f>
        <v>#VALUE!</v>
      </c>
      <c r="DR64" s="962" t="e">
        <f>[1]!bodsava(1,1,(DR56+1),[1]!qsn([1]!ml([1]!taqsha(1,1,1+DR56,DR57)),DR58)/30,DR57,DR58)</f>
        <v>#VALUE!</v>
      </c>
      <c r="DS64" s="962" t="e">
        <f>[1]!bodsava(1,1,(DS56+1),[1]!qsn([1]!ml([1]!taqsha(1,1,1+DS56,DS57)),DS58)/30,DS57,DS58)</f>
        <v>#VALUE!</v>
      </c>
      <c r="DT64" s="962" t="e">
        <f>[1]!bodsava(1,1,(DT56+1),[1]!qsn([1]!ml([1]!taqsha(1,1,1+DT56,DT57)),DT58)/30,DT57,DT58)</f>
        <v>#VALUE!</v>
      </c>
      <c r="DU64" s="962" t="e">
        <f>[1]!bodsava(1,1,(DU56+1),[1]!qsn([1]!ml([1]!taqsha(1,1,1+DU56,DU57)),DU58)/30,DU57,DU58)</f>
        <v>#VALUE!</v>
      </c>
      <c r="DV64" s="962" t="e">
        <f>[1]!bodsava(1,1,(DV56+1),[1]!qsn([1]!ml([1]!taqsha(1,1,1+DV56,DV57)),DV58)/30,DV57,DV58)</f>
        <v>#VALUE!</v>
      </c>
      <c r="DW64" s="962" t="e">
        <f>[1]!bodsava(1,1,(DW56+1),[1]!qsn([1]!ml([1]!taqsha(1,1,1+DW56,DW57)),DW58)/30,DW57,DW58)</f>
        <v>#VALUE!</v>
      </c>
      <c r="DX64" s="962" t="e">
        <f>[1]!bodsava(1,1,(DX56+1),[1]!qsn([1]!ml([1]!taqsha(1,1,1+DX56,DX57)),DX58)/30,DX57,DX58)</f>
        <v>#VALUE!</v>
      </c>
      <c r="DY64" s="962" t="e">
        <f>[1]!bodsava(1,1,(DY56+1),[1]!qsn([1]!ml([1]!taqsha(1,1,1+DY56,DY57)),DY58)/30,DY57,DY58)</f>
        <v>#VALUE!</v>
      </c>
      <c r="DZ64" s="962" t="e">
        <f>[1]!bodsava(1,1,(DZ56+1),[1]!qsn([1]!ml([1]!taqsha(1,1,1+DZ56,DZ57)),DZ58)/30,DZ57,DZ58)</f>
        <v>#VALUE!</v>
      </c>
      <c r="EA64" s="962" t="e">
        <f>[1]!bodsava(1,1,(EA56+1),[1]!qsn([1]!ml([1]!taqsha(1,1,1+EA56,EA57)),EA58)/30,EA57,EA58)</f>
        <v>#VALUE!</v>
      </c>
      <c r="EB64" s="962" t="e">
        <f>[1]!bodsava(1,1,(EB56+1),[1]!qsn([1]!ml([1]!taqsha(1,1,1+EB56,EB57)),EB58)/30,EB57,EB58)</f>
        <v>#VALUE!</v>
      </c>
      <c r="EC64" s="962" t="e">
        <f>[1]!bodsava(1,1,(EC56+1),[1]!qsn([1]!ml([1]!taqsha(1,1,1+EC56,EC57)),EC58)/30,EC57,EC58)</f>
        <v>#VALUE!</v>
      </c>
      <c r="ED64" s="962" t="e">
        <f>[1]!bodsava(1,1,(ED56+1),[1]!qsn([1]!ml([1]!taqsha(1,1,1+ED56,ED57)),ED58)/30,ED57,ED58)</f>
        <v>#VALUE!</v>
      </c>
      <c r="EE64" s="962" t="e">
        <f>[1]!bodsava(1,1,(EE56+1),[1]!qsn([1]!ml([1]!taqsha(1,1,1+EE56,EE57)),EE58)/30,EE57,EE58)</f>
        <v>#VALUE!</v>
      </c>
      <c r="EF64" s="962" t="e">
        <f>[1]!bodsava(1,1,(EF56+1),[1]!qsn([1]!ml([1]!taqsha(1,1,1+EF56,EF57)),EF58)/30,EF57,EF58)</f>
        <v>#VALUE!</v>
      </c>
      <c r="EG64" s="962" t="e">
        <f>[1]!bodsava(1,1,(EG56+1),[1]!qsn([1]!ml([1]!taqsha(1,1,1+EG56,EG57)),EG58)/30,EG57,EG58)</f>
        <v>#VALUE!</v>
      </c>
      <c r="EH64" s="962" t="e">
        <f>[1]!bodsava(1,1,(EH56+1),[1]!qsn([1]!ml([1]!taqsha(1,1,1+EH56,EH57)),EH58)/30,EH57,EH58)</f>
        <v>#VALUE!</v>
      </c>
      <c r="EI64" s="962" t="e">
        <f>[1]!bodsava(1,1,(EI56+1),[1]!qsn([1]!ml([1]!taqsha(1,1,1+EI56,EI57)),EI58)/30,EI57,EI58)</f>
        <v>#VALUE!</v>
      </c>
      <c r="EJ64" s="962" t="e">
        <f>[1]!bodsava(1,1,(EJ56+1),[1]!qsn([1]!ml([1]!taqsha(1,1,1+EJ56,EJ57)),EJ58)/30,EJ57,EJ58)</f>
        <v>#VALUE!</v>
      </c>
      <c r="EK64" s="962" t="e">
        <f>[1]!bodsava(1,1,(EK56+1),[1]!qsn([1]!ml([1]!taqsha(1,1,1+EK56,EK57)),EK58)/30,EK57,EK58)</f>
        <v>#VALUE!</v>
      </c>
      <c r="EL64" s="962" t="e">
        <f>[1]!bodsava(1,1,(EL56+1),[1]!qsn([1]!ml([1]!taqsha(1,1,1+EL56,EL57)),EL58)/30,EL57,EL58)</f>
        <v>#VALUE!</v>
      </c>
      <c r="EM64" s="962" t="e">
        <f>[1]!bodsava(1,1,(EM56+1),[1]!qsn([1]!ml([1]!taqsha(1,1,1+EM56,EM57)),EM58)/30,EM57,EM58)</f>
        <v>#VALUE!</v>
      </c>
      <c r="EN64" s="962" t="e">
        <f>[1]!bodsava(1,1,(EN56+1),[1]!qsn([1]!ml([1]!taqsha(1,1,1+EN56,EN57)),EN58)/30,EN57,EN58)</f>
        <v>#VALUE!</v>
      </c>
      <c r="EO64" s="962" t="e">
        <f>[1]!bodsava(1,1,(EO56+1),[1]!qsn([1]!ml([1]!taqsha(1,1,1+EO56,EO57)),EO58)/30,EO57,EO58)</f>
        <v>#VALUE!</v>
      </c>
      <c r="EP64" s="962" t="e">
        <f>[1]!bodsava(1,1,(EP56+1),[1]!qsn([1]!ml([1]!taqsha(1,1,1+EP56,EP57)),EP58)/30,EP57,EP58)</f>
        <v>#VALUE!</v>
      </c>
      <c r="EQ64" s="962" t="e">
        <f>[1]!bodsava(1,1,(EQ56+1),[1]!qsn([1]!ml([1]!taqsha(1,1,1+EQ56,EQ57)),EQ58)/30,EQ57,EQ58)</f>
        <v>#VALUE!</v>
      </c>
      <c r="ER64" s="962" t="e">
        <f>[1]!bodsava(1,1,(ER56+1),[1]!qsn([1]!ml([1]!taqsha(1,1,1+ER56,ER57)),ER58)/30,ER57,ER58)</f>
        <v>#VALUE!</v>
      </c>
      <c r="ES64" s="962" t="e">
        <f>[1]!bodsava(1,1,(ES56+1),[1]!qsn([1]!ml([1]!taqsha(1,1,1+ES56,ES57)),ES58)/30,ES57,ES58)</f>
        <v>#VALUE!</v>
      </c>
      <c r="ET64" s="962" t="e">
        <f>[1]!bodsava(1,1,(ET56+1),[1]!qsn([1]!ml([1]!taqsha(1,1,1+ET56,ET57)),ET58)/30,ET57,ET58)</f>
        <v>#VALUE!</v>
      </c>
      <c r="EU64" s="962" t="e">
        <f>[1]!bodsava(1,1,(EU56+1),[1]!qsn([1]!ml([1]!taqsha(1,1,1+EU56,EU57)),EU58)/30,EU57,EU58)</f>
        <v>#VALUE!</v>
      </c>
      <c r="EV64" s="962" t="e">
        <f>[1]!bodsava(1,1,(EV56+1),[1]!qsn([1]!ml([1]!taqsha(1,1,1+EV56,EV57)),EV58)/30,EV57,EV58)</f>
        <v>#VALUE!</v>
      </c>
      <c r="EW64" s="962" t="e">
        <f>[1]!bodsava(1,1,(EW56+1),[1]!qsn([1]!ml([1]!taqsha(1,1,1+EW56,EW57)),EW58)/30,EW57,EW58)</f>
        <v>#VALUE!</v>
      </c>
      <c r="EX64" s="962" t="e">
        <f>[1]!bodsava(1,1,(EX56+1),[1]!qsn([1]!ml([1]!taqsha(1,1,1+EX56,EX57)),EX58)/30,EX57,EX58)</f>
        <v>#VALUE!</v>
      </c>
      <c r="EY64" s="962" t="e">
        <f>[1]!bodsava(1,1,(EY56+1),[1]!qsn([1]!ml([1]!taqsha(1,1,1+EY56,EY57)),EY58)/30,EY57,EY58)</f>
        <v>#VALUE!</v>
      </c>
      <c r="EZ64" s="962" t="e">
        <f>[1]!bodsava(1,1,(EZ56+1),[1]!qsn([1]!ml([1]!taqsha(1,1,1+EZ56,EZ57)),EZ58)/30,EZ57,EZ58)</f>
        <v>#VALUE!</v>
      </c>
      <c r="FA64" s="962" t="e">
        <f>[1]!bodsava(1,1,(FA56+1),[1]!qsn([1]!ml([1]!taqsha(1,1,1+FA56,FA57)),FA58)/30,FA57,FA58)</f>
        <v>#VALUE!</v>
      </c>
      <c r="FB64" s="962" t="e">
        <f>[1]!bodsava(1,1,(FB56+1),[1]!qsn([1]!ml([1]!taqsha(1,1,1+FB56,FB57)),FB58)/30,FB57,FB58)</f>
        <v>#VALUE!</v>
      </c>
      <c r="FC64" s="962" t="e">
        <f>[1]!bodsava(1,1,(FC56+1),[1]!qsn([1]!ml([1]!taqsha(1,1,1+FC56,FC57)),FC58)/30,FC57,FC58)</f>
        <v>#VALUE!</v>
      </c>
      <c r="FD64" s="962" t="e">
        <f>[1]!bodsava(1,1,(FD56+1),[1]!qsn([1]!ml([1]!taqsha(1,1,1+FD56,FD57)),FD58)/30,FD57,FD58)</f>
        <v>#VALUE!</v>
      </c>
      <c r="FE64" s="962" t="e">
        <f>[1]!bodsava(1,1,(FE56+1),[1]!qsn([1]!ml([1]!taqsha(1,1,1+FE56,FE57)),FE58)/30,FE57,FE58)</f>
        <v>#VALUE!</v>
      </c>
      <c r="FF64" s="962" t="e">
        <f>[1]!bodsava(1,1,(FF56+1),[1]!qsn([1]!ml([1]!taqsha(1,1,1+FF56,FF57)),FF58)/30,FF57,FF58)</f>
        <v>#VALUE!</v>
      </c>
      <c r="FG64" s="962" t="e">
        <f>[1]!bodsava(1,1,(FG56+1),[1]!qsn([1]!ml([1]!taqsha(1,1,1+FG56,FG57)),FG58)/30,FG57,FG58)</f>
        <v>#VALUE!</v>
      </c>
      <c r="FH64" s="962" t="e">
        <f>[1]!bodsava(1,1,(FH56+1),[1]!qsn([1]!ml([1]!taqsha(1,1,1+FH56,FH57)),FH58)/30,FH57,FH58)</f>
        <v>#VALUE!</v>
      </c>
      <c r="FI64" s="962" t="e">
        <f>[1]!bodsava(1,1,(FI56+1),[1]!qsn([1]!ml([1]!taqsha(1,1,1+FI56,FI57)),FI58)/30,FI57,FI58)</f>
        <v>#VALUE!</v>
      </c>
      <c r="FJ64" s="962" t="e">
        <f>[1]!bodsava(1,1,(FJ56+1),[1]!qsn([1]!ml([1]!taqsha(1,1,1+FJ56,FJ57)),FJ58)/30,FJ57,FJ58)</f>
        <v>#VALUE!</v>
      </c>
      <c r="FK64" s="962" t="e">
        <f>[1]!bodsava(1,1,(FK56+1),[1]!qsn([1]!ml([1]!taqsha(1,1,1+FK56,FK57)),FK58)/30,FK57,FK58)</f>
        <v>#VALUE!</v>
      </c>
      <c r="FL64" s="962" t="e">
        <f>[1]!bodsava(1,1,(FL56+1),[1]!qsn([1]!ml([1]!taqsha(1,1,1+FL56,FL57)),FL58)/30,FL57,FL58)</f>
        <v>#VALUE!</v>
      </c>
      <c r="FM64" s="962" t="e">
        <f>[1]!bodsava(1,1,(FM56+1),[1]!qsn([1]!ml([1]!taqsha(1,1,1+FM56,FM57)),FM58)/30,FM57,FM58)</f>
        <v>#VALUE!</v>
      </c>
      <c r="FN64" s="962" t="e">
        <f>[1]!bodsava(1,1,(FN56+1),[1]!qsn([1]!ml([1]!taqsha(1,1,1+FN56,FN57)),FN58)/30,FN57,FN58)</f>
        <v>#VALUE!</v>
      </c>
      <c r="FO64" s="962" t="e">
        <f>[1]!bodsava(1,1,(FO56+1),[1]!qsn([1]!ml([1]!taqsha(1,1,1+FO56,FO57)),FO58)/30,FO57,FO58)</f>
        <v>#VALUE!</v>
      </c>
      <c r="FP64" s="962" t="e">
        <f>[1]!bodsava(1,1,(FP56+1),[1]!qsn([1]!ml([1]!taqsha(1,1,1+FP56,FP57)),FP58)/30,FP57,FP58)</f>
        <v>#VALUE!</v>
      </c>
      <c r="FQ64" s="962" t="e">
        <f>[1]!bodsava(1,1,(FQ56+1),[1]!qsn([1]!ml([1]!taqsha(1,1,1+FQ56,FQ57)),FQ58)/30,FQ57,FQ58)</f>
        <v>#VALUE!</v>
      </c>
      <c r="FR64" s="962" t="e">
        <f>[1]!bodsava(1,1,(FR56+1),[1]!qsn([1]!ml([1]!taqsha(1,1,1+FR56,FR57)),FR58)/30,FR57,FR58)</f>
        <v>#VALUE!</v>
      </c>
      <c r="FS64" s="962" t="e">
        <f>[1]!bodsava(1,1,(FS56+1),[1]!qsn([1]!ml([1]!taqsha(1,1,1+FS56,FS57)),FS58)/30,FS57,FS58)</f>
        <v>#VALUE!</v>
      </c>
      <c r="FT64" s="962" t="e">
        <f>[1]!bodsava(1,1,(FT56+1),[1]!qsn([1]!ml([1]!taqsha(1,1,1+FT56,FT57)),FT58)/30,FT57,FT58)</f>
        <v>#VALUE!</v>
      </c>
      <c r="FU64" s="962" t="e">
        <f>[1]!bodsava(1,1,(FU56+1),[1]!qsn([1]!ml([1]!taqsha(1,1,1+FU56,FU57)),FU58)/30,FU57,FU58)</f>
        <v>#VALUE!</v>
      </c>
      <c r="FV64" s="962" t="e">
        <f>[1]!bodsava(1,1,(FV56+1),[1]!qsn([1]!ml([1]!taqsha(1,1,1+FV56,FV57)),FV58)/30,FV57,FV58)</f>
        <v>#VALUE!</v>
      </c>
      <c r="FW64" s="962" t="e">
        <f>[1]!bodsava(1,1,(FW56+1),[1]!qsn([1]!ml([1]!taqsha(1,1,1+FW56,FW57)),FW58)/30,FW57,FW58)</f>
        <v>#VALUE!</v>
      </c>
      <c r="FX64" s="962" t="e">
        <f>[1]!bodsava(1,1,(FX56+1),[1]!qsn([1]!ml([1]!taqsha(1,1,1+FX56,FX57)),FX58)/30,FX57,FX58)</f>
        <v>#VALUE!</v>
      </c>
      <c r="FY64" s="962" t="e">
        <f>[1]!bodsava(1,1,(FY56+1),[1]!qsn([1]!ml([1]!taqsha(1,1,1+FY56,FY57)),FY58)/30,FY57,FY58)</f>
        <v>#VALUE!</v>
      </c>
      <c r="FZ64" s="962" t="e">
        <f>[1]!bodsava(1,1,(FZ56+1),[1]!qsn([1]!ml([1]!taqsha(1,1,1+FZ56,FZ57)),FZ58)/30,FZ57,FZ58)</f>
        <v>#VALUE!</v>
      </c>
      <c r="GA64" s="962" t="e">
        <f>[1]!bodsava(1,1,(GA56+1),[1]!qsn([1]!ml([1]!taqsha(1,1,1+GA56,GA57)),GA58)/30,GA57,GA58)</f>
        <v>#VALUE!</v>
      </c>
      <c r="GB64" s="962" t="e">
        <f>[1]!bodsava(1,1,(GB56+1),[1]!qsn([1]!ml([1]!taqsha(1,1,1+GB56,GB57)),GB58)/30,GB57,GB58)</f>
        <v>#VALUE!</v>
      </c>
      <c r="GC64" s="962" t="e">
        <f>[1]!bodsava(1,1,(GC56+1),[1]!qsn([1]!ml([1]!taqsha(1,1,1+GC56,GC57)),GC58)/30,GC57,GC58)</f>
        <v>#VALUE!</v>
      </c>
      <c r="GD64" s="962" t="e">
        <f>[1]!bodsava(1,1,(GD56+1),[1]!qsn([1]!ml([1]!taqsha(1,1,1+GD56,GD57)),GD58)/30,GD57,GD58)</f>
        <v>#VALUE!</v>
      </c>
      <c r="GE64" s="962" t="e">
        <f>[1]!bodsava(1,1,(GE56+1),[1]!qsn([1]!ml([1]!taqsha(1,1,1+GE56,GE57)),GE58)/30,GE57,GE58)</f>
        <v>#VALUE!</v>
      </c>
      <c r="GF64" s="962" t="e">
        <f>[1]!bodsava(1,1,(GF56+1),[1]!qsn([1]!ml([1]!taqsha(1,1,1+GF56,GF57)),GF58)/30,GF57,GF58)</f>
        <v>#VALUE!</v>
      </c>
      <c r="GG64" s="962" t="e">
        <f>[1]!bodsava(1,1,(GG56+1),[1]!qsn([1]!ml([1]!taqsha(1,1,1+GG56,GG57)),GG58)/30,GG57,GG58)</f>
        <v>#VALUE!</v>
      </c>
      <c r="GH64" s="962" t="e">
        <f>[1]!bodsava(1,1,(GH56+1),[1]!qsn([1]!ml([1]!taqsha(1,1,1+GH56,GH57)),GH58)/30,GH57,GH58)</f>
        <v>#VALUE!</v>
      </c>
      <c r="GI64" s="962" t="e">
        <f>[1]!bodsava(1,1,(GI56+1),[1]!qsn([1]!ml([1]!taqsha(1,1,1+GI56,GI57)),GI58)/30,GI57,GI58)</f>
        <v>#VALUE!</v>
      </c>
      <c r="GJ64" s="962" t="e">
        <f>[1]!bodsava(1,1,(GJ56+1),[1]!qsn([1]!ml([1]!taqsha(1,1,1+GJ56,GJ57)),GJ58)/30,GJ57,GJ58)</f>
        <v>#VALUE!</v>
      </c>
      <c r="GK64" s="962" t="e">
        <f>[1]!bodsava(1,1,(GK56+1),[1]!qsn([1]!ml([1]!taqsha(1,1,1+GK56,GK57)),GK58)/30,GK57,GK58)</f>
        <v>#VALUE!</v>
      </c>
      <c r="GL64" s="962" t="e">
        <f>[1]!bodsava(1,1,(GL56+1),[1]!qsn([1]!ml([1]!taqsha(1,1,1+GL56,GL57)),GL58)/30,GL57,GL58)</f>
        <v>#VALUE!</v>
      </c>
      <c r="GM64" s="962" t="e">
        <f>[1]!bodsava(1,1,(GM56+1),[1]!qsn([1]!ml([1]!taqsha(1,1,1+GM56,GM57)),GM58)/30,GM57,GM58)</f>
        <v>#VALUE!</v>
      </c>
      <c r="GN64" s="962" t="e">
        <f>[1]!bodsava(1,1,(GN56+1),[1]!qsn([1]!ml([1]!taqsha(1,1,1+GN56,GN57)),GN58)/30,GN57,GN58)</f>
        <v>#VALUE!</v>
      </c>
      <c r="GO64" s="962" t="e">
        <f>[1]!bodsava(1,1,(GO56+1),[1]!qsn([1]!ml([1]!taqsha(1,1,1+GO56,GO57)),GO58)/30,GO57,GO58)</f>
        <v>#VALUE!</v>
      </c>
      <c r="GP64" s="962" t="e">
        <f>[1]!bodsava(1,1,(GP56+1),[1]!qsn([1]!ml([1]!taqsha(1,1,1+GP56,GP57)),GP58)/30,GP57,GP58)</f>
        <v>#VALUE!</v>
      </c>
      <c r="GQ64" s="962" t="e">
        <f>[1]!bodsava(1,1,(GQ56+1),[1]!qsn([1]!ml([1]!taqsha(1,1,1+GQ56,GQ57)),GQ58)/30,GQ57,GQ58)</f>
        <v>#VALUE!</v>
      </c>
      <c r="GR64" s="962" t="e">
        <f>[1]!bodsava(1,1,(GR56+1),[1]!qsn([1]!ml([1]!taqsha(1,1,1+GR56,GR57)),GR58)/30,GR57,GR58)</f>
        <v>#VALUE!</v>
      </c>
      <c r="GS64" s="962" t="e">
        <f>[1]!bodsava(1,1,(GS56+1),[1]!qsn([1]!ml([1]!taqsha(1,1,1+GS56,GS57)),GS58)/30,GS57,GS58)</f>
        <v>#VALUE!</v>
      </c>
      <c r="GT64" s="962" t="e">
        <f>[1]!bodsava(1,1,(GT56+1),[1]!qsn([1]!ml([1]!taqsha(1,1,1+GT56,GT57)),GT58)/30,GT57,GT58)</f>
        <v>#VALUE!</v>
      </c>
      <c r="GU64" s="962" t="e">
        <f>[1]!bodsava(1,1,(GU56+1),[1]!qsn([1]!ml([1]!taqsha(1,1,1+GU56,GU57)),GU58)/30,GU57,GU58)</f>
        <v>#VALUE!</v>
      </c>
      <c r="GV64" s="962" t="e">
        <f>[1]!bodsava(1,1,(GV56+1),[1]!qsn([1]!ml([1]!taqsha(1,1,1+GV56,GV57)),GV58)/30,GV57,GV58)</f>
        <v>#VALUE!</v>
      </c>
      <c r="GW64" s="962" t="e">
        <f>[1]!bodsava(1,1,(GW56+1),[1]!qsn([1]!ml([1]!taqsha(1,1,1+GW56,GW57)),GW58)/30,GW57,GW58)</f>
        <v>#VALUE!</v>
      </c>
      <c r="GX64" s="962" t="e">
        <f>[1]!bodsava(1,1,(GX56+1),[1]!qsn([1]!ml([1]!taqsha(1,1,1+GX56,GX57)),GX58)/30,GX57,GX58)</f>
        <v>#VALUE!</v>
      </c>
      <c r="GY64" s="962" t="e">
        <f>[1]!bodsava(1,1,(GY56+1),[1]!qsn([1]!ml([1]!taqsha(1,1,1+GY56,GY57)),GY58)/30,GY57,GY58)</f>
        <v>#VALUE!</v>
      </c>
      <c r="GZ64" s="962" t="e">
        <f>[1]!bodsava(1,1,(GZ56+1),[1]!qsn([1]!ml([1]!taqsha(1,1,1+GZ56,GZ57)),GZ58)/30,GZ57,GZ58)</f>
        <v>#VALUE!</v>
      </c>
      <c r="HA64" s="962" t="e">
        <f>[1]!bodsava(1,1,(HA56+1),[1]!qsn([1]!ml([1]!taqsha(1,1,1+HA56,HA57)),HA58)/30,HA57,HA58)</f>
        <v>#VALUE!</v>
      </c>
      <c r="HB64" s="962" t="e">
        <f>[1]!bodsava(1,1,(HB56+1),[1]!qsn([1]!ml([1]!taqsha(1,1,1+HB56,HB57)),HB58)/30,HB57,HB58)</f>
        <v>#VALUE!</v>
      </c>
      <c r="HC64" s="962" t="e">
        <f>[1]!bodsava(1,1,(HC56+1),[1]!qsn([1]!ml([1]!taqsha(1,1,1+HC56,HC57)),HC58)/30,HC57,HC58)</f>
        <v>#VALUE!</v>
      </c>
      <c r="HD64" s="962" t="e">
        <f>[1]!bodsava(1,1,(HD56+1),[1]!qsn([1]!ml([1]!taqsha(1,1,1+HD56,HD57)),HD58)/30,HD57,HD58)</f>
        <v>#VALUE!</v>
      </c>
      <c r="HE64" s="962" t="e">
        <f>[1]!bodsava(1,1,(HE56+1),[1]!qsn([1]!ml([1]!taqsha(1,1,1+HE56,HE57)),HE58)/30,HE57,HE58)</f>
        <v>#VALUE!</v>
      </c>
      <c r="HF64" s="962" t="e">
        <f>[1]!bodsava(1,1,(HF56+1),[1]!qsn([1]!ml([1]!taqsha(1,1,1+HF56,HF57)),HF58)/30,HF57,HF58)</f>
        <v>#VALUE!</v>
      </c>
      <c r="HG64" s="962" t="e">
        <f>[1]!bodsava(1,1,(HG56+1),[1]!qsn([1]!ml([1]!taqsha(1,1,1+HG56,HG57)),HG58)/30,HG57,HG58)</f>
        <v>#VALUE!</v>
      </c>
      <c r="HH64" s="962" t="e">
        <f>[1]!bodsava(1,1,(HH56+1),[1]!qsn([1]!ml([1]!taqsha(1,1,1+HH56,HH57)),HH58)/30,HH57,HH58)</f>
        <v>#VALUE!</v>
      </c>
      <c r="HI64" s="962" t="e">
        <f>[1]!bodsava(1,1,(HI56+1),[1]!qsn([1]!ml([1]!taqsha(1,1,1+HI56,HI57)),HI58)/30,HI57,HI58)</f>
        <v>#VALUE!</v>
      </c>
      <c r="HJ64" s="962" t="e">
        <f>[1]!bodsava(1,1,(HJ56+1),[1]!qsn([1]!ml([1]!taqsha(1,1,1+HJ56,HJ57)),HJ58)/30,HJ57,HJ58)</f>
        <v>#VALUE!</v>
      </c>
      <c r="HK64" s="962" t="e">
        <f>[1]!bodsava(1,1,(HK56+1),[1]!qsn([1]!ml([1]!taqsha(1,1,1+HK56,HK57)),HK58)/30,HK57,HK58)</f>
        <v>#VALUE!</v>
      </c>
      <c r="HL64" s="962" t="e">
        <f>[1]!bodsava(1,1,(HL56+1),[1]!qsn([1]!ml([1]!taqsha(1,1,1+HL56,HL57)),HL58)/30,HL57,HL58)</f>
        <v>#VALUE!</v>
      </c>
      <c r="HM64" s="962" t="e">
        <f>[1]!bodsava(1,1,(HM56+1),[1]!qsn([1]!ml([1]!taqsha(1,1,1+HM56,HM57)),HM58)/30,HM57,HM58)</f>
        <v>#VALUE!</v>
      </c>
      <c r="HN64" s="962" t="e">
        <f>[1]!bodsava(1,1,(HN56+1),[1]!qsn([1]!ml([1]!taqsha(1,1,1+HN56,HN57)),HN58)/30,HN57,HN58)</f>
        <v>#VALUE!</v>
      </c>
      <c r="HO64" s="962" t="e">
        <f>[1]!bodsava(1,1,(HO56+1),[1]!qsn([1]!ml([1]!taqsha(1,1,1+HO56,HO57)),HO58)/30,HO57,HO58)</f>
        <v>#VALUE!</v>
      </c>
      <c r="HP64" s="962" t="e">
        <f>[1]!bodsava(1,1,(HP56+1),[1]!qsn([1]!ml([1]!taqsha(1,1,1+HP56,HP57)),HP58)/30,HP57,HP58)</f>
        <v>#VALUE!</v>
      </c>
      <c r="HQ64" s="962" t="e">
        <f>[1]!bodsava(1,1,(HQ56+1),[1]!qsn([1]!ml([1]!taqsha(1,1,1+HQ56,HQ57)),HQ58)/30,HQ57,HQ58)</f>
        <v>#VALUE!</v>
      </c>
      <c r="HR64" s="962" t="e">
        <f>[1]!bodsava(1,1,(HR56+1),[1]!qsn([1]!ml([1]!taqsha(1,1,1+HR56,HR57)),HR58)/30,HR57,HR58)</f>
        <v>#VALUE!</v>
      </c>
      <c r="HS64" s="962" t="e">
        <f>[1]!bodsava(1,1,(HS56+1),[1]!qsn([1]!ml([1]!taqsha(1,1,1+HS56,HS57)),HS58)/30,HS57,HS58)</f>
        <v>#VALUE!</v>
      </c>
      <c r="HT64" s="962" t="e">
        <f>[1]!bodsava(1,1,(HT56+1),[1]!qsn([1]!ml([1]!taqsha(1,1,1+HT56,HT57)),HT58)/30,HT57,HT58)</f>
        <v>#VALUE!</v>
      </c>
      <c r="HU64" s="962" t="e">
        <f>[1]!bodsava(1,1,(HU56+1),[1]!qsn([1]!ml([1]!taqsha(1,1,1+HU56,HU57)),HU58)/30,HU57,HU58)</f>
        <v>#VALUE!</v>
      </c>
      <c r="HV64" s="962" t="e">
        <f>[1]!bodsava(1,1,(HV56+1),[1]!qsn([1]!ml([1]!taqsha(1,1,1+HV56,HV57)),HV58)/30,HV57,HV58)</f>
        <v>#VALUE!</v>
      </c>
      <c r="HW64" s="962" t="e">
        <f>[1]!bodsava(1,1,(HW56+1),[1]!qsn([1]!ml([1]!taqsha(1,1,1+HW56,HW57)),HW58)/30,HW57,HW58)</f>
        <v>#VALUE!</v>
      </c>
      <c r="HX64" s="962" t="e">
        <f>[1]!bodsava(1,1,(HX56+1),[1]!qsn([1]!ml([1]!taqsha(1,1,1+HX56,HX57)),HX58)/30,HX57,HX58)</f>
        <v>#VALUE!</v>
      </c>
      <c r="HY64" s="962" t="e">
        <f>[1]!bodsava(1,1,(HY56+1),[1]!qsn([1]!ml([1]!taqsha(1,1,1+HY56,HY57)),HY58)/30,HY57,HY58)</f>
        <v>#VALUE!</v>
      </c>
      <c r="HZ64" s="962" t="e">
        <f>[1]!bodsava(1,1,(HZ56+1),[1]!qsn([1]!ml([1]!taqsha(1,1,1+HZ56,HZ57)),HZ58)/30,HZ57,HZ58)</f>
        <v>#VALUE!</v>
      </c>
      <c r="IA64" s="962" t="e">
        <f>[1]!bodsava(1,1,(IA56+1),[1]!qsn([1]!ml([1]!taqsha(1,1,1+IA56,IA57)),IA58)/30,IA57,IA58)</f>
        <v>#VALUE!</v>
      </c>
      <c r="IB64" s="962" t="e">
        <f>[1]!bodsava(1,1,(IB56+1),[1]!qsn([1]!ml([1]!taqsha(1,1,1+IB56,IB57)),IB58)/30,IB57,IB58)</f>
        <v>#VALUE!</v>
      </c>
      <c r="IC64" s="962" t="e">
        <f>[1]!bodsava(1,1,(IC56+1),[1]!qsn([1]!ml([1]!taqsha(1,1,1+IC56,IC57)),IC58)/30,IC57,IC58)</f>
        <v>#VALUE!</v>
      </c>
      <c r="ID64" s="962" t="e">
        <f>[1]!bodsava(1,1,(ID56+1),[1]!qsn([1]!ml([1]!taqsha(1,1,1+ID56,ID57)),ID58)/30,ID57,ID58)</f>
        <v>#VALUE!</v>
      </c>
      <c r="IE64" s="962" t="e">
        <f>[1]!bodsava(1,1,(IE56+1),[1]!qsn([1]!ml([1]!taqsha(1,1,1+IE56,IE57)),IE58)/30,IE57,IE58)</f>
        <v>#VALUE!</v>
      </c>
      <c r="IF64" s="962" t="e">
        <f>[1]!bodsava(1,1,(IF56+1),[1]!qsn([1]!ml([1]!taqsha(1,1,1+IF56,IF57)),IF58)/30,IF57,IF58)</f>
        <v>#VALUE!</v>
      </c>
      <c r="IG64" s="962" t="e">
        <f>[1]!bodsava(1,1,(IG56+1),[1]!qsn([1]!ml([1]!taqsha(1,1,1+IG56,IG57)),IG58)/30,IG57,IG58)</f>
        <v>#VALUE!</v>
      </c>
      <c r="IH64" s="962" t="e">
        <f>[1]!bodsava(1,1,(IH56+1),[1]!qsn([1]!ml([1]!taqsha(1,1,1+IH56,IH57)),IH58)/30,IH57,IH58)</f>
        <v>#VALUE!</v>
      </c>
      <c r="II64" s="962" t="e">
        <f>[1]!bodsava(1,1,(II56+1),[1]!qsn([1]!ml([1]!taqsha(1,1,1+II56,II57)),II58)/30,II57,II58)</f>
        <v>#VALUE!</v>
      </c>
      <c r="IJ64" s="962" t="e">
        <f>[1]!bodsava(1,1,(IJ56+1),[1]!qsn([1]!ml([1]!taqsha(1,1,1+IJ56,IJ57)),IJ58)/30,IJ57,IJ58)</f>
        <v>#VALUE!</v>
      </c>
      <c r="IK64" s="962" t="e">
        <f>[1]!bodsava(1,1,(IK56+1),[1]!qsn([1]!ml([1]!taqsha(1,1,1+IK56,IK57)),IK58)/30,IK57,IK58)</f>
        <v>#VALUE!</v>
      </c>
      <c r="IL64" s="962" t="e">
        <f>[1]!bodsava(1,1,(IL56+1),[1]!qsn([1]!ml([1]!taqsha(1,1,1+IL56,IL57)),IL58)/30,IL57,IL58)</f>
        <v>#VALUE!</v>
      </c>
      <c r="IM64" s="962" t="e">
        <f>[1]!bodsava(1,1,(IM56+1),[1]!qsn([1]!ml([1]!taqsha(1,1,1+IM56,IM57)),IM58)/30,IM57,IM58)</f>
        <v>#VALUE!</v>
      </c>
      <c r="IN64" s="962" t="e">
        <f>[1]!bodsava(1,1,(IN56+1),[1]!qsn([1]!ml([1]!taqsha(1,1,1+IN56,IN57)),IN58)/30,IN57,IN58)</f>
        <v>#VALUE!</v>
      </c>
      <c r="IO64" s="962" t="e">
        <f>[1]!bodsava(1,1,(IO56+1),[1]!qsn([1]!ml([1]!taqsha(1,1,1+IO56,IO57)),IO58)/30,IO57,IO58)</f>
        <v>#VALUE!</v>
      </c>
      <c r="IP64" s="962" t="e">
        <f>[1]!bodsava(1,1,(IP56+1),[1]!qsn([1]!ml([1]!taqsha(1,1,1+IP56,IP57)),IP58)/30,IP57,IP58)</f>
        <v>#VALUE!</v>
      </c>
      <c r="IQ64" s="962" t="e">
        <f>[1]!bodsava(1,1,(IQ56+1),[1]!qsn([1]!ml([1]!taqsha(1,1,1+IQ56,IQ57)),IQ58)/30,IQ57,IQ58)</f>
        <v>#VALUE!</v>
      </c>
      <c r="IR64" s="962" t="e">
        <f>[1]!bodsava(1,1,(IR56+1),[1]!qsn([1]!ml([1]!taqsha(1,1,1+IR56,IR57)),IR58)/30,IR57,IR58)</f>
        <v>#VALUE!</v>
      </c>
      <c r="IS64" s="962" t="e">
        <f>[1]!bodsava(1,1,(IS56+1),[1]!qsn([1]!ml([1]!taqsha(1,1,1+IS56,IS57)),IS58)/30,IS57,IS58)</f>
        <v>#VALUE!</v>
      </c>
      <c r="IT64" s="962" t="e">
        <f>[1]!bodsava(1,1,(IT56+1),[1]!qsn([1]!ml([1]!taqsha(1,1,1+IT56,IT57)),IT58)/30,IT57,IT58)</f>
        <v>#VALUE!</v>
      </c>
      <c r="IU64" s="962" t="e">
        <f>[1]!bodsava(1,1,(IU56+1),[1]!qsn([1]!ml([1]!taqsha(1,1,1+IU56,IU57)),IU58)/30,IU57,IU58)</f>
        <v>#VALUE!</v>
      </c>
      <c r="IV64" s="962" t="e">
        <f>[1]!bodsava(1,1,(IV56+1),[1]!qsn([1]!ml([1]!taqsha(1,1,1+IV56,IV57)),IV58)/30,IV57,IV58)</f>
        <v>#VALUE!</v>
      </c>
      <c r="IW64" s="962" t="e">
        <f>[1]!bodsava(1,1,(IW56+1),[1]!qsn([1]!ml([1]!taqsha(1,1,1+IW56,IW57)),IW58)/30,IW57,IW58)</f>
        <v>#VALUE!</v>
      </c>
      <c r="IX64" s="962" t="e">
        <f>[1]!bodsava(1,1,(IX56+1),[1]!qsn([1]!ml([1]!taqsha(1,1,1+IX56,IX57)),IX58)/30,IX57,IX58)</f>
        <v>#VALUE!</v>
      </c>
      <c r="IY64" s="962" t="e">
        <f>[1]!bodsava(1,1,(IY56+1),[1]!qsn([1]!ml([1]!taqsha(1,1,1+IY56,IY57)),IY58)/30,IY57,IY58)</f>
        <v>#VALUE!</v>
      </c>
      <c r="IZ64" s="962" t="e">
        <f>[1]!bodsava(1,1,(IZ56+1),[1]!qsn([1]!ml([1]!taqsha(1,1,1+IZ56,IZ57)),IZ58)/30,IZ57,IZ58)</f>
        <v>#VALUE!</v>
      </c>
      <c r="JA64" s="962" t="e">
        <f>[1]!bodsava(1,1,(JA56+1),[1]!qsn([1]!ml([1]!taqsha(1,1,1+JA56,JA57)),JA58)/30,JA57,JA58)</f>
        <v>#VALUE!</v>
      </c>
      <c r="JB64" s="962" t="e">
        <f>[1]!bodsava(1,1,(JB56+1),[1]!qsn([1]!ml([1]!taqsha(1,1,1+JB56,JB57)),JB58)/30,JB57,JB58)</f>
        <v>#VALUE!</v>
      </c>
      <c r="JC64" s="962" t="e">
        <f>[1]!bodsava(1,1,(JC56+1),[1]!qsn([1]!ml([1]!taqsha(1,1,1+JC56,JC57)),JC58)/30,JC57,JC58)</f>
        <v>#VALUE!</v>
      </c>
      <c r="JD64" s="962" t="e">
        <f>[1]!bodsava(1,1,(JD56+1),[1]!qsn([1]!ml([1]!taqsha(1,1,1+JD56,JD57)),JD58)/30,JD57,JD58)</f>
        <v>#VALUE!</v>
      </c>
      <c r="JE64" s="962" t="e">
        <f>[1]!bodsava(1,1,(JE56+1),[1]!qsn([1]!ml([1]!taqsha(1,1,1+JE56,JE57)),JE58)/30,JE57,JE58)</f>
        <v>#VALUE!</v>
      </c>
      <c r="JF64" s="962" t="e">
        <f>[1]!bodsava(1,1,(JF56+1),[1]!qsn([1]!ml([1]!taqsha(1,1,1+JF56,JF57)),JF58)/30,JF57,JF58)</f>
        <v>#VALUE!</v>
      </c>
      <c r="JG64" s="962" t="e">
        <f>[1]!bodsava(1,1,(JG56+1),[1]!qsn([1]!ml([1]!taqsha(1,1,1+JG56,JG57)),JG58)/30,JG57,JG58)</f>
        <v>#VALUE!</v>
      </c>
      <c r="JH64" s="962" t="e">
        <f>[1]!bodsava(1,1,(JH56+1),[1]!qsn([1]!ml([1]!taqsha(1,1,1+JH56,JH57)),JH58)/30,JH57,JH58)</f>
        <v>#VALUE!</v>
      </c>
      <c r="JI64" s="962" t="e">
        <f>[1]!bodsava(1,1,(JI56+1),[1]!qsn([1]!ml([1]!taqsha(1,1,1+JI56,JI57)),JI58)/30,JI57,JI58)</f>
        <v>#VALUE!</v>
      </c>
      <c r="JJ64" s="962" t="e">
        <f>[1]!bodsava(1,1,(JJ56+1),[1]!qsn([1]!ml([1]!taqsha(1,1,1+JJ56,JJ57)),JJ58)/30,JJ57,JJ58)</f>
        <v>#VALUE!</v>
      </c>
      <c r="JK64" s="962" t="e">
        <f>[1]!bodsava(1,1,(JK56+1),[1]!qsn([1]!ml([1]!taqsha(1,1,1+JK56,JK57)),JK58)/30,JK57,JK58)</f>
        <v>#VALUE!</v>
      </c>
      <c r="JL64" s="962" t="e">
        <f>[1]!bodsava(1,1,(JL56+1),[1]!qsn([1]!ml([1]!taqsha(1,1,1+JL56,JL57)),JL58)/30,JL57,JL58)</f>
        <v>#VALUE!</v>
      </c>
      <c r="JM64" s="962" t="e">
        <f>[1]!bodsava(1,1,(JM56+1),[1]!qsn([1]!ml([1]!taqsha(1,1,1+JM56,JM57)),JM58)/30,JM57,JM58)</f>
        <v>#VALUE!</v>
      </c>
      <c r="JN64" s="962" t="e">
        <f>[1]!bodsava(1,1,(JN56+1),[1]!qsn([1]!ml([1]!taqsha(1,1,1+JN56,JN57)),JN58)/30,JN57,JN58)</f>
        <v>#VALUE!</v>
      </c>
      <c r="JO64" s="962" t="e">
        <f>[1]!bodsava(1,1,(JO56+1),[1]!qsn([1]!ml([1]!taqsha(1,1,1+JO56,JO57)),JO58)/30,JO57,JO58)</f>
        <v>#VALUE!</v>
      </c>
      <c r="JP64" s="962" t="e">
        <f>[1]!bodsava(1,1,(JP56+1),[1]!qsn([1]!ml([1]!taqsha(1,1,1+JP56,JP57)),JP58)/30,JP57,JP58)</f>
        <v>#VALUE!</v>
      </c>
      <c r="JQ64" s="962" t="e">
        <f>[1]!bodsava(1,1,(JQ56+1),[1]!qsn([1]!ml([1]!taqsha(1,1,1+JQ56,JQ57)),JQ58)/30,JQ57,JQ58)</f>
        <v>#VALUE!</v>
      </c>
      <c r="JR64" s="962" t="e">
        <f>[1]!bodsava(1,1,(JR56+1),[1]!qsn([1]!ml([1]!taqsha(1,1,1+JR56,JR57)),JR58)/30,JR57,JR58)</f>
        <v>#VALUE!</v>
      </c>
      <c r="JS64" s="962" t="e">
        <f>[1]!bodsava(1,1,(JS56+1),[1]!qsn([1]!ml([1]!taqsha(1,1,1+JS56,JS57)),JS58)/30,JS57,JS58)</f>
        <v>#VALUE!</v>
      </c>
      <c r="JT64" s="962" t="e">
        <f>[1]!bodsava(1,1,(JT56+1),[1]!qsn([1]!ml([1]!taqsha(1,1,1+JT56,JT57)),JT58)/30,JT57,JT58)</f>
        <v>#VALUE!</v>
      </c>
      <c r="JU64" s="962" t="e">
        <f>[1]!bodsava(1,1,(JU56+1),[1]!qsn([1]!ml([1]!taqsha(1,1,1+JU56,JU57)),JU58)/30,JU57,JU58)</f>
        <v>#VALUE!</v>
      </c>
      <c r="JV64" s="962" t="e">
        <f>[1]!bodsava(1,1,(JV56+1),[1]!qsn([1]!ml([1]!taqsha(1,1,1+JV56,JV57)),JV58)/30,JV57,JV58)</f>
        <v>#VALUE!</v>
      </c>
      <c r="JW64" s="962" t="e">
        <f>[1]!bodsava(1,1,(JW56+1),[1]!qsn([1]!ml([1]!taqsha(1,1,1+JW56,JW57)),JW58)/30,JW57,JW58)</f>
        <v>#VALUE!</v>
      </c>
      <c r="JX64" s="962" t="e">
        <f>[1]!bodsava(1,1,(JX56+1),[1]!qsn([1]!ml([1]!taqsha(1,1,1+JX56,JX57)),JX58)/30,JX57,JX58)</f>
        <v>#VALUE!</v>
      </c>
      <c r="JY64" s="962" t="e">
        <f>[1]!bodsava(1,1,(JY56+1),[1]!qsn([1]!ml([1]!taqsha(1,1,1+JY56,JY57)),JY58)/30,JY57,JY58)</f>
        <v>#VALUE!</v>
      </c>
      <c r="JZ64" s="962" t="e">
        <f>[1]!bodsava(1,1,(JZ56+1),[1]!qsn([1]!ml([1]!taqsha(1,1,1+JZ56,JZ57)),JZ58)/30,JZ57,JZ58)</f>
        <v>#VALUE!</v>
      </c>
      <c r="KA64" s="962" t="e">
        <f>[1]!bodsava(1,1,(KA56+1),[1]!qsn([1]!ml([1]!taqsha(1,1,1+KA56,KA57)),KA58)/30,KA57,KA58)</f>
        <v>#VALUE!</v>
      </c>
      <c r="KB64" s="962" t="e">
        <f>[1]!bodsava(1,1,(KB56+1),[1]!qsn([1]!ml([1]!taqsha(1,1,1+KB56,KB57)),KB58)/30,KB57,KB58)</f>
        <v>#VALUE!</v>
      </c>
      <c r="KC64" s="962" t="e">
        <f>[1]!bodsava(1,1,(KC56+1),[1]!qsn([1]!ml([1]!taqsha(1,1,1+KC56,KC57)),KC58)/30,KC57,KC58)</f>
        <v>#VALUE!</v>
      </c>
      <c r="KD64" s="962" t="e">
        <f>[1]!bodsava(1,1,(KD56+1),[1]!qsn([1]!ml([1]!taqsha(1,1,1+KD56,KD57)),KD58)/30,KD57,KD58)</f>
        <v>#VALUE!</v>
      </c>
      <c r="KE64" s="962" t="e">
        <f>[1]!bodsava(1,1,(KE56+1),[1]!qsn([1]!ml([1]!taqsha(1,1,1+KE56,KE57)),KE58)/30,KE57,KE58)</f>
        <v>#VALUE!</v>
      </c>
      <c r="KF64" s="962" t="e">
        <f>[1]!bodsava(1,1,(KF56+1),[1]!qsn([1]!ml([1]!taqsha(1,1,1+KF56,KF57)),KF58)/30,KF57,KF58)</f>
        <v>#VALUE!</v>
      </c>
      <c r="KG64" s="962" t="e">
        <f>[1]!bodsava(1,1,(KG56+1),[1]!qsn([1]!ml([1]!taqsha(1,1,1+KG56,KG57)),KG58)/30,KG57,KG58)</f>
        <v>#VALUE!</v>
      </c>
      <c r="KH64" s="962" t="e">
        <f>[1]!bodsava(1,1,(KH56+1),[1]!qsn([1]!ml([1]!taqsha(1,1,1+KH56,KH57)),KH58)/30,KH57,KH58)</f>
        <v>#VALUE!</v>
      </c>
      <c r="KI64" s="962" t="e">
        <f>[1]!bodsava(1,1,(KI56+1),[1]!qsn([1]!ml([1]!taqsha(1,1,1+KI56,KI57)),KI58)/30,KI57,KI58)</f>
        <v>#VALUE!</v>
      </c>
      <c r="KJ64" s="962" t="e">
        <f>[1]!bodsava(1,1,(KJ56+1),[1]!qsn([1]!ml([1]!taqsha(1,1,1+KJ56,KJ57)),KJ58)/30,KJ57,KJ58)</f>
        <v>#VALUE!</v>
      </c>
      <c r="KK64" s="962" t="e">
        <f>[1]!bodsava(1,1,(KK56+1),[1]!qsn([1]!ml([1]!taqsha(1,1,1+KK56,KK57)),KK58)/30,KK57,KK58)</f>
        <v>#VALUE!</v>
      </c>
      <c r="KL64" s="962" t="e">
        <f>[1]!bodsava(1,1,(KL56+1),[1]!qsn([1]!ml([1]!taqsha(1,1,1+KL56,KL57)),KL58)/30,KL57,KL58)</f>
        <v>#VALUE!</v>
      </c>
      <c r="KM64" s="962" t="e">
        <f>[1]!bodsava(1,1,(KM56+1),[1]!qsn([1]!ml([1]!taqsha(1,1,1+KM56,KM57)),KM58)/30,KM57,KM58)</f>
        <v>#VALUE!</v>
      </c>
      <c r="KN64" s="962" t="e">
        <f>[1]!bodsava(1,1,(KN56+1),[1]!qsn([1]!ml([1]!taqsha(1,1,1+KN56,KN57)),KN58)/30,KN57,KN58)</f>
        <v>#VALUE!</v>
      </c>
      <c r="KO64" s="962" t="e">
        <f>[1]!bodsava(1,1,(KO56+1),[1]!qsn([1]!ml([1]!taqsha(1,1,1+KO56,KO57)),KO58)/30,KO57,KO58)</f>
        <v>#VALUE!</v>
      </c>
      <c r="KP64" s="962" t="e">
        <f>[1]!bodsava(1,1,(KP56+1),[1]!qsn([1]!ml([1]!taqsha(1,1,1+KP56,KP57)),KP58)/30,KP57,KP58)</f>
        <v>#VALUE!</v>
      </c>
      <c r="KQ64" s="962" t="e">
        <f>[1]!bodsava(1,1,(KQ56+1),[1]!qsn([1]!ml([1]!taqsha(1,1,1+KQ56,KQ57)),KQ58)/30,KQ57,KQ58)</f>
        <v>#VALUE!</v>
      </c>
      <c r="KR64" s="962" t="e">
        <f>[1]!bodsava(1,1,(KR56+1),[1]!qsn([1]!ml([1]!taqsha(1,1,1+KR56,KR57)),KR58)/30,KR57,KR58)</f>
        <v>#VALUE!</v>
      </c>
      <c r="KS64" s="962" t="e">
        <f>[1]!bodsava(1,1,(KS56+1),[1]!qsn([1]!ml([1]!taqsha(1,1,1+KS56,KS57)),KS58)/30,KS57,KS58)</f>
        <v>#VALUE!</v>
      </c>
      <c r="KT64" s="962" t="e">
        <f>[1]!bodsava(1,1,(KT56+1),[1]!qsn([1]!ml([1]!taqsha(1,1,1+KT56,KT57)),KT58)/30,KT57,KT58)</f>
        <v>#VALUE!</v>
      </c>
      <c r="KU64" s="962" t="e">
        <f>[1]!bodsava(1,1,(KU56+1),[1]!qsn([1]!ml([1]!taqsha(1,1,1+KU56,KU57)),KU58)/30,KU57,KU58)</f>
        <v>#VALUE!</v>
      </c>
      <c r="KV64" s="962" t="e">
        <f>[1]!bodsava(1,1,(KV56+1),[1]!qsn([1]!ml([1]!taqsha(1,1,1+KV56,KV57)),KV58)/30,KV57,KV58)</f>
        <v>#VALUE!</v>
      </c>
      <c r="KW64" s="962" t="e">
        <f>[1]!bodsava(1,1,(KW56+1),[1]!qsn([1]!ml([1]!taqsha(1,1,1+KW56,KW57)),KW58)/30,KW57,KW58)</f>
        <v>#VALUE!</v>
      </c>
      <c r="KX64" s="962" t="e">
        <f>[1]!bodsava(1,1,(KX56+1),[1]!qsn([1]!ml([1]!taqsha(1,1,1+KX56,KX57)),KX58)/30,KX57,KX58)</f>
        <v>#VALUE!</v>
      </c>
      <c r="KY64" s="962" t="e">
        <f>[1]!bodsava(1,1,(KY56+1),[1]!qsn([1]!ml([1]!taqsha(1,1,1+KY56,KY57)),KY58)/30,KY57,KY58)</f>
        <v>#VALUE!</v>
      </c>
      <c r="KZ64" s="962" t="e">
        <f>[1]!bodsava(1,1,(KZ56+1),[1]!qsn([1]!ml([1]!taqsha(1,1,1+KZ56,KZ57)),KZ58)/30,KZ57,KZ58)</f>
        <v>#VALUE!</v>
      </c>
      <c r="LA64" s="962" t="e">
        <f>[1]!bodsava(1,1,(LA56+1),[1]!qsn([1]!ml([1]!taqsha(1,1,1+LA56,LA57)),LA58)/30,LA57,LA58)</f>
        <v>#VALUE!</v>
      </c>
      <c r="LB64" s="962" t="e">
        <f>[1]!bodsava(1,1,(LB56+1),[1]!qsn([1]!ml([1]!taqsha(1,1,1+LB56,LB57)),LB58)/30,LB57,LB58)</f>
        <v>#VALUE!</v>
      </c>
      <c r="LC64" s="962" t="e">
        <f>[1]!bodsava(1,1,(LC56+1),[1]!qsn([1]!ml([1]!taqsha(1,1,1+LC56,LC57)),LC58)/30,LC57,LC58)</f>
        <v>#VALUE!</v>
      </c>
      <c r="LD64" s="962" t="e">
        <f>[1]!bodsava(1,1,(LD56+1),[1]!qsn([1]!ml([1]!taqsha(1,1,1+LD56,LD57)),LD58)/30,LD57,LD58)</f>
        <v>#VALUE!</v>
      </c>
      <c r="LE64" s="962" t="e">
        <f>[1]!bodsava(1,1,(LE56+1),[1]!qsn([1]!ml([1]!taqsha(1,1,1+LE56,LE57)),LE58)/30,LE57,LE58)</f>
        <v>#VALUE!</v>
      </c>
      <c r="LF64" s="962" t="e">
        <f>[1]!bodsava(1,1,(LF56+1),[1]!qsn([1]!ml([1]!taqsha(1,1,1+LF56,LF57)),LF58)/30,LF57,LF58)</f>
        <v>#VALUE!</v>
      </c>
      <c r="LG64" s="962" t="e">
        <f>[1]!bodsava(1,1,(LG56+1),[1]!qsn([1]!ml([1]!taqsha(1,1,1+LG56,LG57)),LG58)/30,LG57,LG58)</f>
        <v>#VALUE!</v>
      </c>
      <c r="LH64" s="962" t="e">
        <f>[1]!bodsava(1,1,(LH56+1),[1]!qsn([1]!ml([1]!taqsha(1,1,1+LH56,LH57)),LH58)/30,LH57,LH58)</f>
        <v>#VALUE!</v>
      </c>
      <c r="LI64" s="962" t="e">
        <f>[1]!bodsava(1,1,(LI56+1),[1]!qsn([1]!ml([1]!taqsha(1,1,1+LI56,LI57)),LI58)/30,LI57,LI58)</f>
        <v>#VALUE!</v>
      </c>
      <c r="LJ64" s="962" t="e">
        <f>[1]!bodsava(1,1,(LJ56+1),[1]!qsn([1]!ml([1]!taqsha(1,1,1+LJ56,LJ57)),LJ58)/30,LJ57,LJ58)</f>
        <v>#VALUE!</v>
      </c>
      <c r="LK64" s="962" t="e">
        <f>[1]!bodsava(1,1,(LK56+1),[1]!qsn([1]!ml([1]!taqsha(1,1,1+LK56,LK57)),LK58)/30,LK57,LK58)</f>
        <v>#VALUE!</v>
      </c>
      <c r="LL64" s="962" t="e">
        <f>[1]!bodsava(1,1,(LL56+1),[1]!qsn([1]!ml([1]!taqsha(1,1,1+LL56,LL57)),LL58)/30,LL57,LL58)</f>
        <v>#VALUE!</v>
      </c>
      <c r="LM64" s="962" t="e">
        <f>[1]!bodsava(1,1,(LM56+1),[1]!qsn([1]!ml([1]!taqsha(1,1,1+LM56,LM57)),LM58)/30,LM57,LM58)</f>
        <v>#VALUE!</v>
      </c>
      <c r="LN64" s="962" t="e">
        <f>[1]!bodsava(1,1,(LN56+1),[1]!qsn([1]!ml([1]!taqsha(1,1,1+LN56,LN57)),LN58)/30,LN57,LN58)</f>
        <v>#VALUE!</v>
      </c>
      <c r="LO64" s="962" t="e">
        <f>[1]!bodsava(1,1,(LO56+1),[1]!qsn([1]!ml([1]!taqsha(1,1,1+LO56,LO57)),LO58)/30,LO57,LO58)</f>
        <v>#VALUE!</v>
      </c>
      <c r="LP64" s="962" t="e">
        <f>[1]!bodsava(1,1,(LP56+1),[1]!qsn([1]!ml([1]!taqsha(1,1,1+LP56,LP57)),LP58)/30,LP57,LP58)</f>
        <v>#VALUE!</v>
      </c>
      <c r="LQ64" s="962" t="e">
        <f>[1]!bodsava(1,1,(LQ56+1),[1]!qsn([1]!ml([1]!taqsha(1,1,1+LQ56,LQ57)),LQ58)/30,LQ57,LQ58)</f>
        <v>#VALUE!</v>
      </c>
      <c r="LR64" s="962" t="e">
        <f>[1]!bodsava(1,1,(LR56+1),[1]!qsn([1]!ml([1]!taqsha(1,1,1+LR56,LR57)),LR58)/30,LR57,LR58)</f>
        <v>#VALUE!</v>
      </c>
      <c r="LS64" s="962" t="e">
        <f>[1]!bodsava(1,1,(LS56+1),[1]!qsn([1]!ml([1]!taqsha(1,1,1+LS56,LS57)),LS58)/30,LS57,LS58)</f>
        <v>#VALUE!</v>
      </c>
      <c r="LT64" s="962" t="e">
        <f>[1]!bodsava(1,1,(LT56+1),[1]!qsn([1]!ml([1]!taqsha(1,1,1+LT56,LT57)),LT58)/30,LT57,LT58)</f>
        <v>#VALUE!</v>
      </c>
      <c r="LU64" s="962" t="e">
        <f>[1]!bodsava(1,1,(LU56+1),[1]!qsn([1]!ml([1]!taqsha(1,1,1+LU56,LU57)),LU58)/30,LU57,LU58)</f>
        <v>#VALUE!</v>
      </c>
      <c r="LV64" s="962" t="e">
        <f>[1]!bodsava(1,1,(LV56+1),[1]!qsn([1]!ml([1]!taqsha(1,1,1+LV56,LV57)),LV58)/30,LV57,LV58)</f>
        <v>#VALUE!</v>
      </c>
      <c r="LW64" s="962" t="e">
        <f>[1]!bodsava(1,1,(LW56+1),[1]!qsn([1]!ml([1]!taqsha(1,1,1+LW56,LW57)),LW58)/30,LW57,LW58)</f>
        <v>#VALUE!</v>
      </c>
      <c r="LX64" s="962" t="e">
        <f>[1]!bodsava(1,1,(LX56+1),[1]!qsn([1]!ml([1]!taqsha(1,1,1+LX56,LX57)),LX58)/30,LX57,LX58)</f>
        <v>#VALUE!</v>
      </c>
      <c r="LY64" s="962" t="e">
        <f>[1]!bodsava(1,1,(LY56+1),[1]!qsn([1]!ml([1]!taqsha(1,1,1+LY56,LY57)),LY58)/30,LY57,LY58)</f>
        <v>#VALUE!</v>
      </c>
      <c r="LZ64" s="962" t="e">
        <f>[1]!bodsava(1,1,(LZ56+1),[1]!qsn([1]!ml([1]!taqsha(1,1,1+LZ56,LZ57)),LZ58)/30,LZ57,LZ58)</f>
        <v>#VALUE!</v>
      </c>
      <c r="MA64" s="962" t="e">
        <f>[1]!bodsava(1,1,(MA56+1),[1]!qsn([1]!ml([1]!taqsha(1,1,1+MA56,MA57)),MA58)/30,MA57,MA58)</f>
        <v>#VALUE!</v>
      </c>
      <c r="MB64" s="962" t="e">
        <f>[1]!bodsava(1,1,(MB56+1),[1]!qsn([1]!ml([1]!taqsha(1,1,1+MB56,MB57)),MB58)/30,MB57,MB58)</f>
        <v>#VALUE!</v>
      </c>
      <c r="MC64" s="962" t="e">
        <f>[1]!bodsava(1,1,(MC56+1),[1]!qsn([1]!ml([1]!taqsha(1,1,1+MC56,MC57)),MC58)/30,MC57,MC58)</f>
        <v>#VALUE!</v>
      </c>
      <c r="MD64" s="962" t="e">
        <f>[1]!bodsava(1,1,(MD56+1),[1]!qsn([1]!ml([1]!taqsha(1,1,1+MD56,MD57)),MD58)/30,MD57,MD58)</f>
        <v>#VALUE!</v>
      </c>
      <c r="ME64" s="962" t="e">
        <f>[1]!bodsava(1,1,(ME56+1),[1]!qsn([1]!ml([1]!taqsha(1,1,1+ME56,ME57)),ME58)/30,ME57,ME58)</f>
        <v>#VALUE!</v>
      </c>
      <c r="MF64" s="962" t="e">
        <f>[1]!bodsava(1,1,(MF56+1),[1]!qsn([1]!ml([1]!taqsha(1,1,1+MF56,MF57)),MF58)/30,MF57,MF58)</f>
        <v>#VALUE!</v>
      </c>
      <c r="MG64" s="962" t="e">
        <f>[1]!bodsava(1,1,(MG56+1),[1]!qsn([1]!ml([1]!taqsha(1,1,1+MG56,MG57)),MG58)/30,MG57,MG58)</f>
        <v>#VALUE!</v>
      </c>
      <c r="MH64" s="962" t="e">
        <f>[1]!bodsava(1,1,(MH56+1),[1]!qsn([1]!ml([1]!taqsha(1,1,1+MH56,MH57)),MH58)/30,MH57,MH58)</f>
        <v>#VALUE!</v>
      </c>
      <c r="MI64" s="962" t="e">
        <f>[1]!bodsava(1,1,(MI56+1),[1]!qsn([1]!ml([1]!taqsha(1,1,1+MI56,MI57)),MI58)/30,MI57,MI58)</f>
        <v>#VALUE!</v>
      </c>
      <c r="MJ64" s="962" t="e">
        <f>[1]!bodsava(1,1,(MJ56+1),[1]!qsn([1]!ml([1]!taqsha(1,1,1+MJ56,MJ57)),MJ58)/30,MJ57,MJ58)</f>
        <v>#VALUE!</v>
      </c>
      <c r="MK64" s="962" t="e">
        <f>[1]!bodsava(1,1,(MK56+1),[1]!qsn([1]!ml([1]!taqsha(1,1,1+MK56,MK57)),MK58)/30,MK57,MK58)</f>
        <v>#VALUE!</v>
      </c>
      <c r="ML64" s="962" t="e">
        <f>[1]!bodsava(1,1,(ML56+1),[1]!qsn([1]!ml([1]!taqsha(1,1,1+ML56,ML57)),ML58)/30,ML57,ML58)</f>
        <v>#VALUE!</v>
      </c>
      <c r="MM64" s="962" t="e">
        <f>[1]!bodsava(1,1,(MM56+1),[1]!qsn([1]!ml([1]!taqsha(1,1,1+MM56,MM57)),MM58)/30,MM57,MM58)</f>
        <v>#VALUE!</v>
      </c>
      <c r="MN64" s="962" t="e">
        <f>[1]!bodsava(1,1,(MN56+1),[1]!qsn([1]!ml([1]!taqsha(1,1,1+MN56,MN57)),MN58)/30,MN57,MN58)</f>
        <v>#VALUE!</v>
      </c>
      <c r="MO64" s="962" t="e">
        <f>[1]!bodsava(1,1,(MO56+1),[1]!qsn([1]!ml([1]!taqsha(1,1,1+MO56,MO57)),MO58)/30,MO57,MO58)</f>
        <v>#VALUE!</v>
      </c>
      <c r="MP64" s="962" t="e">
        <f>[1]!bodsava(1,1,(MP56+1),[1]!qsn([1]!ml([1]!taqsha(1,1,1+MP56,MP57)),MP58)/30,MP57,MP58)</f>
        <v>#VALUE!</v>
      </c>
      <c r="MQ64" s="962" t="e">
        <f>[1]!bodsava(1,1,(MQ56+1),[1]!qsn([1]!ml([1]!taqsha(1,1,1+MQ56,MQ57)),MQ58)/30,MQ57,MQ58)</f>
        <v>#VALUE!</v>
      </c>
      <c r="MR64" s="962" t="e">
        <f>[1]!bodsava(1,1,(MR56+1),[1]!qsn([1]!ml([1]!taqsha(1,1,1+MR56,MR57)),MR58)/30,MR57,MR58)</f>
        <v>#VALUE!</v>
      </c>
      <c r="MS64" s="962" t="e">
        <f>[1]!bodsava(1,1,(MS56+1),[1]!qsn([1]!ml([1]!taqsha(1,1,1+MS56,MS57)),MS58)/30,MS57,MS58)</f>
        <v>#VALUE!</v>
      </c>
      <c r="MT64" s="962" t="e">
        <f>[1]!bodsava(1,1,(MT56+1),[1]!qsn([1]!ml([1]!taqsha(1,1,1+MT56,MT57)),MT58)/30,MT57,MT58)</f>
        <v>#VALUE!</v>
      </c>
      <c r="MU64" s="962" t="e">
        <f>[1]!bodsava(1,1,(MU56+1),[1]!qsn([1]!ml([1]!taqsha(1,1,1+MU56,MU57)),MU58)/30,MU57,MU58)</f>
        <v>#VALUE!</v>
      </c>
      <c r="MV64" s="962" t="e">
        <f>[1]!bodsava(1,1,(MV56+1),[1]!qsn([1]!ml([1]!taqsha(1,1,1+MV56,MV57)),MV58)/30,MV57,MV58)</f>
        <v>#VALUE!</v>
      </c>
      <c r="MW64" s="962" t="e">
        <f>[1]!bodsava(1,1,(MW56+1),[1]!qsn([1]!ml([1]!taqsha(1,1,1+MW56,MW57)),MW58)/30,MW57,MW58)</f>
        <v>#VALUE!</v>
      </c>
      <c r="MX64" s="962" t="e">
        <f>[1]!bodsava(1,1,(MX56+1),[1]!qsn([1]!ml([1]!taqsha(1,1,1+MX56,MX57)),MX58)/30,MX57,MX58)</f>
        <v>#VALUE!</v>
      </c>
      <c r="MY64" s="962" t="e">
        <f>[1]!bodsava(1,1,(MY56+1),[1]!qsn([1]!ml([1]!taqsha(1,1,1+MY56,MY57)),MY58)/30,MY57,MY58)</f>
        <v>#VALUE!</v>
      </c>
      <c r="MZ64" s="962" t="e">
        <f>[1]!bodsava(1,1,(MZ56+1),[1]!qsn([1]!ml([1]!taqsha(1,1,1+MZ56,MZ57)),MZ58)/30,MZ57,MZ58)</f>
        <v>#VALUE!</v>
      </c>
      <c r="NA64" s="962" t="e">
        <f>[1]!bodsava(1,1,(NA56+1),[1]!qsn([1]!ml([1]!taqsha(1,1,1+NA56,NA57)),NA58)/30,NA57,NA58)</f>
        <v>#VALUE!</v>
      </c>
      <c r="NB64" s="962" t="e">
        <f>[1]!bodsava(1,1,(NB56+1),[1]!qsn([1]!ml([1]!taqsha(1,1,1+NB56,NB57)),NB58)/30,NB57,NB58)</f>
        <v>#VALUE!</v>
      </c>
      <c r="NC64" s="962" t="e">
        <f>[1]!bodsava(1,1,(NC56+1),[1]!qsn([1]!ml([1]!taqsha(1,1,1+NC56,NC57)),NC58)/30,NC57,NC58)</f>
        <v>#VALUE!</v>
      </c>
      <c r="ND64" s="962" t="e">
        <f>[1]!bodsava(1,1,(ND56+1),[1]!qsn([1]!ml([1]!taqsha(1,1,1+ND56,ND57)),ND58)/30,ND57,ND58)</f>
        <v>#VALUE!</v>
      </c>
      <c r="NE64" s="962" t="e">
        <f>[1]!bodsava(1,1,(NE56+1),[1]!qsn([1]!ml([1]!taqsha(1,1,1+NE56,NE57)),NE58)/30,NE57,NE58)</f>
        <v>#VALUE!</v>
      </c>
      <c r="NF64" s="962" t="e">
        <f>[1]!bodsava(1,1,(NF56+1),[1]!qsn([1]!ml([1]!taqsha(1,1,1+NF56,NF57)),NF58)/30,NF57,NF58)</f>
        <v>#VALUE!</v>
      </c>
      <c r="NG64" s="962" t="e">
        <f>[1]!bodsava(1,1,(NG56+1),[1]!qsn([1]!ml([1]!taqsha(1,1,1+NG56,NG57)),NG58)/30,NG57,NG58)</f>
        <v>#VALUE!</v>
      </c>
      <c r="NH64" s="962" t="e">
        <f>[1]!bodsava(1,1,(NH56+1),[1]!qsn([1]!ml([1]!taqsha(1,1,1+NH56,NH57)),NH58)/30,NH57,NH58)</f>
        <v>#VALUE!</v>
      </c>
      <c r="NI64" s="962" t="e">
        <f>[1]!bodsava(1,1,(NI56+1),[1]!qsn([1]!ml([1]!taqsha(1,1,1+NI56,NI57)),NI58)/30,NI57,NI58)</f>
        <v>#VALUE!</v>
      </c>
      <c r="NJ64" s="962" t="e">
        <f>[1]!bodsava(1,1,(NJ56+1),[1]!qsn([1]!ml([1]!taqsha(1,1,1+NJ56,NJ57)),NJ58)/30,NJ57,NJ58)</f>
        <v>#VALUE!</v>
      </c>
      <c r="NK64" s="962" t="e">
        <f>[1]!bodsava(1,1,(NK56+1),[1]!qsn([1]!ml([1]!taqsha(1,1,1+NK56,NK57)),NK58)/30,NK57,NK58)</f>
        <v>#VALUE!</v>
      </c>
      <c r="NL64" s="962" t="e">
        <f>[1]!bodsava(1,1,(NL56+1),[1]!qsn([1]!ml([1]!taqsha(1,1,1+NL56,NL57)),NL58)/30,NL57,NL58)</f>
        <v>#VALUE!</v>
      </c>
      <c r="NM64" s="962" t="e">
        <f>[1]!bodsava(1,1,(NM56+1),[1]!qsn([1]!ml([1]!taqsha(1,1,1+NM56,NM57)),NM58)/30,NM57,NM58)</f>
        <v>#VALUE!</v>
      </c>
      <c r="NN64" s="962" t="e">
        <f>[1]!bodsava(1,1,(NN56+1),[1]!qsn([1]!ml([1]!taqsha(1,1,1+NN56,NN57)),NN58)/30,NN57,NN58)</f>
        <v>#VALUE!</v>
      </c>
      <c r="NO64" s="962" t="e">
        <f>[1]!bodsava(1,1,(NO56+1),[1]!qsn([1]!ml([1]!taqsha(1,1,1+NO56,NO57)),NO58)/30,NO57,NO58)</f>
        <v>#VALUE!</v>
      </c>
      <c r="NP64" s="962" t="e">
        <f>[1]!bodsava(1,1,(NP56+1),[1]!qsn([1]!ml([1]!taqsha(1,1,1+NP56,NP57)),NP58)/30,NP57,NP58)</f>
        <v>#VALUE!</v>
      </c>
      <c r="NQ64" s="962" t="e">
        <f>[1]!bodsava(1,1,(NQ56+1),[1]!qsn([1]!ml([1]!taqsha(1,1,1+NQ56,NQ57)),NQ58)/30,NQ57,NQ58)</f>
        <v>#VALUE!</v>
      </c>
      <c r="NR64" s="962" t="e">
        <f>[1]!bodsava(1,1,(NR56+1),[1]!qsn([1]!ml([1]!taqsha(1,1,1+NR56,NR57)),NR58)/30,NR57,NR58)</f>
        <v>#VALUE!</v>
      </c>
      <c r="NS64" s="962" t="e">
        <f>[1]!bodsava(1,1,(NS56+1),[1]!qsn([1]!ml([1]!taqsha(1,1,1+NS56,NS57)),NS58)/30,NS57,NS58)</f>
        <v>#VALUE!</v>
      </c>
      <c r="NT64" s="962" t="e">
        <f>[1]!bodsava(1,1,(NT56+1),[1]!qsn([1]!ml([1]!taqsha(1,1,1+NT56,NT57)),NT58)/30,NT57,NT58)</f>
        <v>#VALUE!</v>
      </c>
      <c r="NU64" s="962" t="e">
        <f>[1]!bodsava(1,1,(NU56+1),[1]!qsn([1]!ml([1]!taqsha(1,1,1+NU56,NU57)),NU58)/30,NU57,NU58)</f>
        <v>#VALUE!</v>
      </c>
      <c r="NV64" s="962" t="e">
        <f>[1]!bodsava(1,1,(NV56+1),[1]!qsn([1]!ml([1]!taqsha(1,1,1+NV56,NV57)),NV58)/30,NV57,NV58)</f>
        <v>#VALUE!</v>
      </c>
      <c r="NW64" s="962" t="e">
        <f>[1]!bodsava(1,1,(NW56+1),[1]!qsn([1]!ml([1]!taqsha(1,1,1+NW56,NW57)),NW58)/30,NW57,NW58)</f>
        <v>#VALUE!</v>
      </c>
      <c r="NX64" s="962" t="e">
        <f>[1]!bodsava(1,1,(NX56+1),[1]!qsn([1]!ml([1]!taqsha(1,1,1+NX56,NX57)),NX58)/30,NX57,NX58)</f>
        <v>#VALUE!</v>
      </c>
      <c r="NY64" s="962" t="e">
        <f>[1]!bodsava(1,1,(NY56+1),[1]!qsn([1]!ml([1]!taqsha(1,1,1+NY56,NY57)),NY58)/30,NY57,NY58)</f>
        <v>#VALUE!</v>
      </c>
      <c r="NZ64" s="962" t="e">
        <f>[1]!bodsava(1,1,(NZ56+1),[1]!qsn([1]!ml([1]!taqsha(1,1,1+NZ56,NZ57)),NZ58)/30,NZ57,NZ58)</f>
        <v>#VALUE!</v>
      </c>
      <c r="OA64" s="962" t="e">
        <f>[1]!bodsava(1,1,(OA56+1),[1]!qsn([1]!ml([1]!taqsha(1,1,1+OA56,OA57)),OA58)/30,OA57,OA58)</f>
        <v>#VALUE!</v>
      </c>
      <c r="OB64" s="962" t="e">
        <f>[1]!bodsava(1,1,(OB56+1),[1]!qsn([1]!ml([1]!taqsha(1,1,1+OB56,OB57)),OB58)/30,OB57,OB58)</f>
        <v>#VALUE!</v>
      </c>
      <c r="OC64" s="962" t="e">
        <f>[1]!bodsava(1,1,(OC56+1),[1]!qsn([1]!ml([1]!taqsha(1,1,1+OC56,OC57)),OC58)/30,OC57,OC58)</f>
        <v>#VALUE!</v>
      </c>
      <c r="OD64" s="962" t="e">
        <f>[1]!bodsava(1,1,(OD56+1),[1]!qsn([1]!ml([1]!taqsha(1,1,1+OD56,OD57)),OD58)/30,OD57,OD58)</f>
        <v>#VALUE!</v>
      </c>
      <c r="OE64" s="962" t="e">
        <f>[1]!bodsava(1,1,(OE56+1),[1]!qsn([1]!ml([1]!taqsha(1,1,1+OE56,OE57)),OE58)/30,OE57,OE58)</f>
        <v>#VALUE!</v>
      </c>
      <c r="OF64" s="962" t="e">
        <f>[1]!bodsava(1,1,(OF56+1),[1]!qsn([1]!ml([1]!taqsha(1,1,1+OF56,OF57)),OF58)/30,OF57,OF58)</f>
        <v>#VALUE!</v>
      </c>
      <c r="OG64" s="962" t="e">
        <f>[1]!bodsava(1,1,(OG56+1),[1]!qsn([1]!ml([1]!taqsha(1,1,1+OG56,OG57)),OG58)/30,OG57,OG58)</f>
        <v>#VALUE!</v>
      </c>
      <c r="OH64" s="962" t="e">
        <f>[1]!bodsava(1,1,(OH56+1),[1]!qsn([1]!ml([1]!taqsha(1,1,1+OH56,OH57)),OH58)/30,OH57,OH58)</f>
        <v>#VALUE!</v>
      </c>
      <c r="OI64" s="962" t="e">
        <f>[1]!bodsava(1,1,(OI56+1),[1]!qsn([1]!ml([1]!taqsha(1,1,1+OI56,OI57)),OI58)/30,OI57,OI58)</f>
        <v>#VALUE!</v>
      </c>
      <c r="OJ64" s="962" t="e">
        <f>[1]!bodsava(1,1,(OJ56+1),[1]!qsn([1]!ml([1]!taqsha(1,1,1+OJ56,OJ57)),OJ58)/30,OJ57,OJ58)</f>
        <v>#VALUE!</v>
      </c>
      <c r="OK64" s="962" t="e">
        <f>[1]!bodsava(1,1,(OK56+1),[1]!qsn([1]!ml([1]!taqsha(1,1,1+OK56,OK57)),OK58)/30,OK57,OK58)</f>
        <v>#VALUE!</v>
      </c>
      <c r="OL64" s="962" t="e">
        <f>[1]!bodsava(1,1,(OL56+1),[1]!qsn([1]!ml([1]!taqsha(1,1,1+OL56,OL57)),OL58)/30,OL57,OL58)</f>
        <v>#VALUE!</v>
      </c>
      <c r="OM64" s="962" t="e">
        <f>[1]!bodsava(1,1,(OM56+1),[1]!qsn([1]!ml([1]!taqsha(1,1,1+OM56,OM57)),OM58)/30,OM57,OM58)</f>
        <v>#VALUE!</v>
      </c>
      <c r="ON64" s="962" t="e">
        <f>[1]!bodsava(1,1,(ON56+1),[1]!qsn([1]!ml([1]!taqsha(1,1,1+ON56,ON57)),ON58)/30,ON57,ON58)</f>
        <v>#VALUE!</v>
      </c>
      <c r="OO64" s="962" t="e">
        <f>[1]!bodsava(1,1,(OO56+1),[1]!qsn([1]!ml([1]!taqsha(1,1,1+OO56,OO57)),OO58)/30,OO57,OO58)</f>
        <v>#VALUE!</v>
      </c>
      <c r="OP64" s="962" t="e">
        <f>[1]!bodsava(1,1,(OP56+1),[1]!qsn([1]!ml([1]!taqsha(1,1,1+OP56,OP57)),OP58)/30,OP57,OP58)</f>
        <v>#VALUE!</v>
      </c>
      <c r="OQ64" s="962" t="e">
        <f>[1]!bodsava(1,1,(OQ56+1),[1]!qsn([1]!ml([1]!taqsha(1,1,1+OQ56,OQ57)),OQ58)/30,OQ57,OQ58)</f>
        <v>#VALUE!</v>
      </c>
      <c r="OR64" s="962" t="e">
        <f>[1]!bodsava(1,1,(OR56+1),[1]!qsn([1]!ml([1]!taqsha(1,1,1+OR56,OR57)),OR58)/30,OR57,OR58)</f>
        <v>#VALUE!</v>
      </c>
      <c r="OS64" s="962" t="e">
        <f>[1]!bodsava(1,1,(OS56+1),[1]!qsn([1]!ml([1]!taqsha(1,1,1+OS56,OS57)),OS58)/30,OS57,OS58)</f>
        <v>#VALUE!</v>
      </c>
      <c r="OT64" s="962" t="e">
        <f>[1]!bodsava(1,1,(OT56+1),[1]!qsn([1]!ml([1]!taqsha(1,1,1+OT56,OT57)),OT58)/30,OT57,OT58)</f>
        <v>#VALUE!</v>
      </c>
      <c r="OU64" s="962" t="e">
        <f>[1]!bodsava(1,1,(OU56+1),[1]!qsn([1]!ml([1]!taqsha(1,1,1+OU56,OU57)),OU58)/30,OU57,OU58)</f>
        <v>#VALUE!</v>
      </c>
      <c r="OV64" s="962" t="e">
        <f>[1]!bodsava(1,1,(OV56+1),[1]!qsn([1]!ml([1]!taqsha(1,1,1+OV56,OV57)),OV58)/30,OV57,OV58)</f>
        <v>#VALUE!</v>
      </c>
      <c r="OW64" s="962" t="e">
        <f>[1]!bodsava(1,1,(OW56+1),[1]!qsn([1]!ml([1]!taqsha(1,1,1+OW56,OW57)),OW58)/30,OW57,OW58)</f>
        <v>#VALUE!</v>
      </c>
      <c r="OX64" s="962" t="e">
        <f>[1]!bodsava(1,1,(OX56+1),[1]!qsn([1]!ml([1]!taqsha(1,1,1+OX56,OX57)),OX58)/30,OX57,OX58)</f>
        <v>#VALUE!</v>
      </c>
      <c r="OY64" s="962" t="e">
        <f>[1]!bodsava(1,1,(OY56+1),[1]!qsn([1]!ml([1]!taqsha(1,1,1+OY56,OY57)),OY58)/30,OY57,OY58)</f>
        <v>#VALUE!</v>
      </c>
      <c r="OZ64" s="962" t="e">
        <f>[1]!bodsava(1,1,(OZ56+1),[1]!qsn([1]!ml([1]!taqsha(1,1,1+OZ56,OZ57)),OZ58)/30,OZ57,OZ58)</f>
        <v>#VALUE!</v>
      </c>
      <c r="PA64" s="962" t="e">
        <f>[1]!bodsava(1,1,(PA56+1),[1]!qsn([1]!ml([1]!taqsha(1,1,1+PA56,PA57)),PA58)/30,PA57,PA58)</f>
        <v>#VALUE!</v>
      </c>
      <c r="PB64" s="962" t="e">
        <f>[1]!bodsava(1,1,(PB56+1),[1]!qsn([1]!ml([1]!taqsha(1,1,1+PB56,PB57)),PB58)/30,PB57,PB58)</f>
        <v>#VALUE!</v>
      </c>
      <c r="PC64" s="962" t="e">
        <f>[1]!bodsava(1,1,(PC56+1),[1]!qsn([1]!ml([1]!taqsha(1,1,1+PC56,PC57)),PC58)/30,PC57,PC58)</f>
        <v>#VALUE!</v>
      </c>
      <c r="PD64" s="962" t="e">
        <f>[1]!bodsava(1,1,(PD56+1),[1]!qsn([1]!ml([1]!taqsha(1,1,1+PD56,PD57)),PD58)/30,PD57,PD58)</f>
        <v>#VALUE!</v>
      </c>
      <c r="PE64" s="962" t="e">
        <f>[1]!bodsava(1,1,(PE56+1),[1]!qsn([1]!ml([1]!taqsha(1,1,1+PE56,PE57)),PE58)/30,PE57,PE58)</f>
        <v>#VALUE!</v>
      </c>
      <c r="PF64" s="962" t="e">
        <f>[1]!bodsava(1,1,(PF56+1),[1]!qsn([1]!ml([1]!taqsha(1,1,1+PF56,PF57)),PF58)/30,PF57,PF58)</f>
        <v>#VALUE!</v>
      </c>
      <c r="PG64" s="962" t="e">
        <f>[1]!bodsava(1,1,(PG56+1),[1]!qsn([1]!ml([1]!taqsha(1,1,1+PG56,PG57)),PG58)/30,PG57,PG58)</f>
        <v>#VALUE!</v>
      </c>
      <c r="PH64" s="962" t="e">
        <f>[1]!bodsava(1,1,(PH56+1),[1]!qsn([1]!ml([1]!taqsha(1,1,1+PH56,PH57)),PH58)/30,PH57,PH58)</f>
        <v>#VALUE!</v>
      </c>
      <c r="PI64" s="962" t="e">
        <f>[1]!bodsava(1,1,(PI56+1),[1]!qsn([1]!ml([1]!taqsha(1,1,1+PI56,PI57)),PI58)/30,PI57,PI58)</f>
        <v>#VALUE!</v>
      </c>
      <c r="PJ64" s="962" t="e">
        <f>[1]!bodsava(1,1,(PJ56+1),[1]!qsn([1]!ml([1]!taqsha(1,1,1+PJ56,PJ57)),PJ58)/30,PJ57,PJ58)</f>
        <v>#VALUE!</v>
      </c>
      <c r="PK64" s="962" t="e">
        <f>[1]!bodsava(1,1,(PK56+1),[1]!qsn([1]!ml([1]!taqsha(1,1,1+PK56,PK57)),PK58)/30,PK57,PK58)</f>
        <v>#VALUE!</v>
      </c>
      <c r="PL64" s="962" t="e">
        <f>[1]!bodsava(1,1,(PL56+1),[1]!qsn([1]!ml([1]!taqsha(1,1,1+PL56,PL57)),PL58)/30,PL57,PL58)</f>
        <v>#VALUE!</v>
      </c>
      <c r="PM64" s="962" t="e">
        <f>[1]!bodsava(1,1,(PM56+1),[1]!qsn([1]!ml([1]!taqsha(1,1,1+PM56,PM57)),PM58)/30,PM57,PM58)</f>
        <v>#VALUE!</v>
      </c>
      <c r="PN64" s="962" t="e">
        <f>[1]!bodsava(1,1,(PN56+1),[1]!qsn([1]!ml([1]!taqsha(1,1,1+PN56,PN57)),PN58)/30,PN57,PN58)</f>
        <v>#VALUE!</v>
      </c>
      <c r="PO64" s="962" t="e">
        <f>[1]!bodsava(1,1,(PO56+1),[1]!qsn([1]!ml([1]!taqsha(1,1,1+PO56,PO57)),PO58)/30,PO57,PO58)</f>
        <v>#VALUE!</v>
      </c>
      <c r="PP64" s="962" t="e">
        <f>[1]!bodsava(1,1,(PP56+1),[1]!qsn([1]!ml([1]!taqsha(1,1,1+PP56,PP57)),PP58)/30,PP57,PP58)</f>
        <v>#VALUE!</v>
      </c>
      <c r="PQ64" s="962" t="e">
        <f>[1]!bodsava(1,1,(PQ56+1),[1]!qsn([1]!ml([1]!taqsha(1,1,1+PQ56,PQ57)),PQ58)/30,PQ57,PQ58)</f>
        <v>#VALUE!</v>
      </c>
      <c r="PR64" s="962" t="e">
        <f>[1]!bodsava(1,1,(PR56+1),[1]!qsn([1]!ml([1]!taqsha(1,1,1+PR56,PR57)),PR58)/30,PR57,PR58)</f>
        <v>#VALUE!</v>
      </c>
      <c r="PS64" s="962" t="e">
        <f>[1]!bodsava(1,1,(PS56+1),[1]!qsn([1]!ml([1]!taqsha(1,1,1+PS56,PS57)),PS58)/30,PS57,PS58)</f>
        <v>#VALUE!</v>
      </c>
      <c r="PT64" s="962" t="e">
        <f>[1]!bodsava(1,1,(PT56+1),[1]!qsn([1]!ml([1]!taqsha(1,1,1+PT56,PT57)),PT58)/30,PT57,PT58)</f>
        <v>#VALUE!</v>
      </c>
      <c r="PU64" s="962" t="e">
        <f>[1]!bodsava(1,1,(PU56+1),[1]!qsn([1]!ml([1]!taqsha(1,1,1+PU56,PU57)),PU58)/30,PU57,PU58)</f>
        <v>#VALUE!</v>
      </c>
      <c r="PV64" s="962" t="e">
        <f>[1]!bodsava(1,1,(PV56+1),[1]!qsn([1]!ml([1]!taqsha(1,1,1+PV56,PV57)),PV58)/30,PV57,PV58)</f>
        <v>#VALUE!</v>
      </c>
      <c r="PW64" s="962" t="e">
        <f>[1]!bodsava(1,1,(PW56+1),[1]!qsn([1]!ml([1]!taqsha(1,1,1+PW56,PW57)),PW58)/30,PW57,PW58)</f>
        <v>#VALUE!</v>
      </c>
      <c r="PX64" s="962" t="e">
        <f>[1]!bodsava(1,1,(PX56+1),[1]!qsn([1]!ml([1]!taqsha(1,1,1+PX56,PX57)),PX58)/30,PX57,PX58)</f>
        <v>#VALUE!</v>
      </c>
      <c r="PY64" s="962" t="e">
        <f>[1]!bodsava(1,1,(PY56+1),[1]!qsn([1]!ml([1]!taqsha(1,1,1+PY56,PY57)),PY58)/30,PY57,PY58)</f>
        <v>#VALUE!</v>
      </c>
      <c r="PZ64" s="962" t="e">
        <f>[1]!bodsava(1,1,(PZ56+1),[1]!qsn([1]!ml([1]!taqsha(1,1,1+PZ56,PZ57)),PZ58)/30,PZ57,PZ58)</f>
        <v>#VALUE!</v>
      </c>
      <c r="QA64" s="962" t="e">
        <f>[1]!bodsava(1,1,(QA56+1),[1]!qsn([1]!ml([1]!taqsha(1,1,1+QA56,QA57)),QA58)/30,QA57,QA58)</f>
        <v>#VALUE!</v>
      </c>
      <c r="QB64" s="962" t="e">
        <f>[1]!bodsava(1,1,(QB56+1),[1]!qsn([1]!ml([1]!taqsha(1,1,1+QB56,QB57)),QB58)/30,QB57,QB58)</f>
        <v>#VALUE!</v>
      </c>
      <c r="QC64" s="962" t="e">
        <f>[1]!bodsava(1,1,(QC56+1),[1]!qsn([1]!ml([1]!taqsha(1,1,1+QC56,QC57)),QC58)/30,QC57,QC58)</f>
        <v>#VALUE!</v>
      </c>
      <c r="QD64" s="962" t="e">
        <f>[1]!bodsava(1,1,(QD56+1),[1]!qsn([1]!ml([1]!taqsha(1,1,1+QD56,QD57)),QD58)/30,QD57,QD58)</f>
        <v>#VALUE!</v>
      </c>
      <c r="QE64" s="962" t="e">
        <f>[1]!bodsava(1,1,(QE56+1),[1]!qsn([1]!ml([1]!taqsha(1,1,1+QE56,QE57)),QE58)/30,QE57,QE58)</f>
        <v>#VALUE!</v>
      </c>
      <c r="QF64" s="962" t="e">
        <f>[1]!bodsava(1,1,(QF56+1),[1]!qsn([1]!ml([1]!taqsha(1,1,1+QF56,QF57)),QF58)/30,QF57,QF58)</f>
        <v>#VALUE!</v>
      </c>
      <c r="QG64" s="962" t="e">
        <f>[1]!bodsava(1,1,(QG56+1),[1]!qsn([1]!ml([1]!taqsha(1,1,1+QG56,QG57)),QG58)/30,QG57,QG58)</f>
        <v>#VALUE!</v>
      </c>
      <c r="QH64" s="962" t="e">
        <f>[1]!bodsava(1,1,(QH56+1),[1]!qsn([1]!ml([1]!taqsha(1,1,1+QH56,QH57)),QH58)/30,QH57,QH58)</f>
        <v>#VALUE!</v>
      </c>
      <c r="QI64" s="962" t="e">
        <f>[1]!bodsava(1,1,(QI56+1),[1]!qsn([1]!ml([1]!taqsha(1,1,1+QI56,QI57)),QI58)/30,QI57,QI58)</f>
        <v>#VALUE!</v>
      </c>
      <c r="QJ64" s="962" t="e">
        <f>[1]!bodsava(1,1,(QJ56+1),[1]!qsn([1]!ml([1]!taqsha(1,1,1+QJ56,QJ57)),QJ58)/30,QJ57,QJ58)</f>
        <v>#VALUE!</v>
      </c>
      <c r="QK64" s="962" t="e">
        <f>[1]!bodsava(1,1,(QK56+1),[1]!qsn([1]!ml([1]!taqsha(1,1,1+QK56,QK57)),QK58)/30,QK57,QK58)</f>
        <v>#VALUE!</v>
      </c>
      <c r="QL64" s="962" t="e">
        <f>[1]!bodsava(1,1,(QL56+1),[1]!qsn([1]!ml([1]!taqsha(1,1,1+QL56,QL57)),QL58)/30,QL57,QL58)</f>
        <v>#VALUE!</v>
      </c>
      <c r="QM64" s="962" t="e">
        <f>[1]!bodsava(1,1,(QM56+1),[1]!qsn([1]!ml([1]!taqsha(1,1,1+QM56,QM57)),QM58)/30,QM57,QM58)</f>
        <v>#VALUE!</v>
      </c>
      <c r="QN64" s="962" t="e">
        <f>[1]!bodsava(1,1,(QN56+1),[1]!qsn([1]!ml([1]!taqsha(1,1,1+QN56,QN57)),QN58)/30,QN57,QN58)</f>
        <v>#VALUE!</v>
      </c>
      <c r="QO64" s="962" t="e">
        <f>[1]!bodsava(1,1,(QO56+1),[1]!qsn([1]!ml([1]!taqsha(1,1,1+QO56,QO57)),QO58)/30,QO57,QO58)</f>
        <v>#VALUE!</v>
      </c>
      <c r="QP64" s="962" t="e">
        <f>[1]!bodsava(1,1,(QP56+1),[1]!qsn([1]!ml([1]!taqsha(1,1,1+QP56,QP57)),QP58)/30,QP57,QP58)</f>
        <v>#VALUE!</v>
      </c>
      <c r="QQ64" s="962" t="e">
        <f>[1]!bodsava(1,1,(QQ56+1),[1]!qsn([1]!ml([1]!taqsha(1,1,1+QQ56,QQ57)),QQ58)/30,QQ57,QQ58)</f>
        <v>#VALUE!</v>
      </c>
      <c r="QR64" s="962" t="e">
        <f>[1]!bodsava(1,1,(QR56+1),[1]!qsn([1]!ml([1]!taqsha(1,1,1+QR56,QR57)),QR58)/30,QR57,QR58)</f>
        <v>#VALUE!</v>
      </c>
      <c r="QS64" s="962" t="e">
        <f>[1]!bodsava(1,1,(QS56+1),[1]!qsn([1]!ml([1]!taqsha(1,1,1+QS56,QS57)),QS58)/30,QS57,QS58)</f>
        <v>#VALUE!</v>
      </c>
      <c r="QT64" s="962" t="e">
        <f>[1]!bodsava(1,1,(QT56+1),[1]!qsn([1]!ml([1]!taqsha(1,1,1+QT56,QT57)),QT58)/30,QT57,QT58)</f>
        <v>#VALUE!</v>
      </c>
      <c r="QU64" s="962" t="e">
        <f>[1]!bodsava(1,1,(QU56+1),[1]!qsn([1]!ml([1]!taqsha(1,1,1+QU56,QU57)),QU58)/30,QU57,QU58)</f>
        <v>#VALUE!</v>
      </c>
      <c r="QV64" s="962" t="e">
        <f>[1]!bodsava(1,1,(QV56+1),[1]!qsn([1]!ml([1]!taqsha(1,1,1+QV56,QV57)),QV58)/30,QV57,QV58)</f>
        <v>#VALUE!</v>
      </c>
      <c r="QW64" s="962" t="e">
        <f>[1]!bodsava(1,1,(QW56+1),[1]!qsn([1]!ml([1]!taqsha(1,1,1+QW56,QW57)),QW58)/30,QW57,QW58)</f>
        <v>#VALUE!</v>
      </c>
      <c r="QX64" s="962" t="e">
        <f>[1]!bodsava(1,1,(QX56+1),[1]!qsn([1]!ml([1]!taqsha(1,1,1+QX56,QX57)),QX58)/30,QX57,QX58)</f>
        <v>#VALUE!</v>
      </c>
      <c r="QY64" s="962" t="e">
        <f>[1]!bodsava(1,1,(QY56+1),[1]!qsn([1]!ml([1]!taqsha(1,1,1+QY56,QY57)),QY58)/30,QY57,QY58)</f>
        <v>#VALUE!</v>
      </c>
      <c r="QZ64" s="962" t="e">
        <f>[1]!bodsava(1,1,(QZ56+1),[1]!qsn([1]!ml([1]!taqsha(1,1,1+QZ56,QZ57)),QZ58)/30,QZ57,QZ58)</f>
        <v>#VALUE!</v>
      </c>
      <c r="RA64" s="962" t="e">
        <f>[1]!bodsava(1,1,(RA56+1),[1]!qsn([1]!ml([1]!taqsha(1,1,1+RA56,RA57)),RA58)/30,RA57,RA58)</f>
        <v>#VALUE!</v>
      </c>
      <c r="RC64" s="797"/>
    </row>
    <row r="65" spans="2:471" ht="15.75" thickBot="1">
      <c r="B65" s="2" t="s">
        <v>44</v>
      </c>
      <c r="C65" s="2"/>
      <c r="D65" s="2"/>
      <c r="E65" s="2"/>
      <c r="F65" s="2"/>
      <c r="G65" s="2"/>
      <c r="H65" s="2"/>
      <c r="I65" s="2"/>
      <c r="J65" s="2"/>
      <c r="K65" s="2"/>
      <c r="L65" s="2"/>
      <c r="M65" s="2"/>
      <c r="N65" s="2"/>
      <c r="O65" s="2"/>
      <c r="P65" s="2"/>
      <c r="Q65" s="2">
        <v>1</v>
      </c>
      <c r="R65" s="2">
        <v>2</v>
      </c>
      <c r="S65" s="2">
        <v>3</v>
      </c>
      <c r="T65" s="2">
        <v>4</v>
      </c>
      <c r="U65" s="2">
        <v>5</v>
      </c>
      <c r="V65" s="2">
        <v>6</v>
      </c>
      <c r="W65" s="2">
        <v>7</v>
      </c>
      <c r="X65" s="2">
        <v>8</v>
      </c>
      <c r="Y65" s="2">
        <v>9</v>
      </c>
      <c r="Z65" s="2">
        <v>10</v>
      </c>
      <c r="AA65" s="2">
        <v>11</v>
      </c>
      <c r="AB65" s="2">
        <v>12</v>
      </c>
      <c r="AC65" s="2"/>
      <c r="DH65" s="797"/>
      <c r="DI65" s="797" t="s">
        <v>3543</v>
      </c>
      <c r="DJ65" s="964">
        <v>1</v>
      </c>
      <c r="DK65" s="965">
        <v>2</v>
      </c>
      <c r="DL65" s="965">
        <v>3</v>
      </c>
      <c r="DM65" s="965">
        <v>4</v>
      </c>
      <c r="DN65" s="964">
        <v>5</v>
      </c>
      <c r="DO65" s="965">
        <v>6</v>
      </c>
      <c r="DP65" s="965">
        <v>7</v>
      </c>
      <c r="DQ65" s="965">
        <v>8</v>
      </c>
      <c r="DR65" s="964">
        <v>9</v>
      </c>
      <c r="DS65" s="965">
        <v>10</v>
      </c>
      <c r="DT65" s="965">
        <v>11</v>
      </c>
      <c r="DU65" s="965">
        <v>12</v>
      </c>
      <c r="DV65" s="964">
        <v>13</v>
      </c>
      <c r="DW65" s="965">
        <v>14</v>
      </c>
      <c r="DX65" s="965">
        <v>15</v>
      </c>
      <c r="DY65" s="965">
        <v>16</v>
      </c>
      <c r="DZ65" s="964">
        <v>17</v>
      </c>
      <c r="EA65" s="965">
        <v>18</v>
      </c>
      <c r="EB65" s="965">
        <v>19</v>
      </c>
      <c r="EC65" s="965">
        <v>20</v>
      </c>
      <c r="ED65" s="964">
        <v>21</v>
      </c>
      <c r="EE65" s="965">
        <v>22</v>
      </c>
      <c r="EF65" s="965">
        <v>23</v>
      </c>
      <c r="EG65" s="965">
        <v>24</v>
      </c>
      <c r="EH65" s="964">
        <v>25</v>
      </c>
      <c r="EI65" s="965">
        <v>26</v>
      </c>
      <c r="EJ65" s="965">
        <v>27</v>
      </c>
      <c r="EK65" s="965">
        <v>28</v>
      </c>
      <c r="EL65" s="964">
        <v>29</v>
      </c>
      <c r="EM65" s="965">
        <v>30</v>
      </c>
      <c r="EN65" s="967">
        <v>1</v>
      </c>
      <c r="EO65" s="965">
        <v>2</v>
      </c>
      <c r="EP65" s="965">
        <v>3</v>
      </c>
      <c r="EQ65" s="965">
        <v>4</v>
      </c>
      <c r="ER65" s="964">
        <v>5</v>
      </c>
      <c r="ES65" s="965">
        <v>6</v>
      </c>
      <c r="ET65" s="965">
        <v>7</v>
      </c>
      <c r="EU65" s="965">
        <v>8</v>
      </c>
      <c r="EV65" s="964">
        <v>9</v>
      </c>
      <c r="EW65" s="965">
        <v>10</v>
      </c>
      <c r="EX65" s="965">
        <v>11</v>
      </c>
      <c r="EY65" s="965">
        <v>12</v>
      </c>
      <c r="EZ65" s="964">
        <v>13</v>
      </c>
      <c r="FA65" s="965">
        <v>14</v>
      </c>
      <c r="FB65" s="965">
        <v>15</v>
      </c>
      <c r="FC65" s="965">
        <v>16</v>
      </c>
      <c r="FD65" s="964">
        <v>17</v>
      </c>
      <c r="FE65" s="965">
        <v>18</v>
      </c>
      <c r="FF65" s="965">
        <v>19</v>
      </c>
      <c r="FG65" s="965">
        <v>20</v>
      </c>
      <c r="FH65" s="964">
        <v>21</v>
      </c>
      <c r="FI65" s="965">
        <v>22</v>
      </c>
      <c r="FJ65" s="965">
        <v>23</v>
      </c>
      <c r="FK65" s="965">
        <v>24</v>
      </c>
      <c r="FL65" s="964">
        <v>25</v>
      </c>
      <c r="FM65" s="965">
        <v>26</v>
      </c>
      <c r="FN65" s="965">
        <v>27</v>
      </c>
      <c r="FO65" s="965">
        <v>28</v>
      </c>
      <c r="FP65" s="964">
        <v>29</v>
      </c>
      <c r="FQ65" s="964">
        <v>1</v>
      </c>
      <c r="FR65" s="967">
        <f>FQ65+1</f>
        <v>2</v>
      </c>
      <c r="FS65" s="965">
        <f>FR65+1</f>
        <v>3</v>
      </c>
      <c r="FT65" s="965">
        <f t="shared" ref="FT65:GT66" si="414">FS65+1</f>
        <v>4</v>
      </c>
      <c r="FU65" s="965">
        <f t="shared" si="414"/>
        <v>5</v>
      </c>
      <c r="FV65" s="965">
        <f t="shared" si="414"/>
        <v>6</v>
      </c>
      <c r="FW65" s="965">
        <f t="shared" si="414"/>
        <v>7</v>
      </c>
      <c r="FX65" s="965">
        <f t="shared" si="414"/>
        <v>8</v>
      </c>
      <c r="FY65" s="965">
        <f t="shared" si="414"/>
        <v>9</v>
      </c>
      <c r="FZ65" s="965">
        <f t="shared" si="414"/>
        <v>10</v>
      </c>
      <c r="GA65" s="965">
        <f t="shared" si="414"/>
        <v>11</v>
      </c>
      <c r="GB65" s="965">
        <f t="shared" si="414"/>
        <v>12</v>
      </c>
      <c r="GC65" s="965">
        <f t="shared" si="414"/>
        <v>13</v>
      </c>
      <c r="GD65" s="965">
        <f t="shared" si="414"/>
        <v>14</v>
      </c>
      <c r="GE65" s="965">
        <f t="shared" si="414"/>
        <v>15</v>
      </c>
      <c r="GF65" s="965">
        <f t="shared" si="414"/>
        <v>16</v>
      </c>
      <c r="GG65" s="965">
        <f t="shared" si="414"/>
        <v>17</v>
      </c>
      <c r="GH65" s="965">
        <f t="shared" si="414"/>
        <v>18</v>
      </c>
      <c r="GI65" s="965">
        <f t="shared" si="414"/>
        <v>19</v>
      </c>
      <c r="GJ65" s="965">
        <f t="shared" si="414"/>
        <v>20</v>
      </c>
      <c r="GK65" s="965">
        <f t="shared" si="414"/>
        <v>21</v>
      </c>
      <c r="GL65" s="965">
        <f t="shared" si="414"/>
        <v>22</v>
      </c>
      <c r="GM65" s="965">
        <f t="shared" si="414"/>
        <v>23</v>
      </c>
      <c r="GN65" s="965">
        <f t="shared" si="414"/>
        <v>24</v>
      </c>
      <c r="GO65" s="965">
        <f t="shared" si="414"/>
        <v>25</v>
      </c>
      <c r="GP65" s="965">
        <f t="shared" si="414"/>
        <v>26</v>
      </c>
      <c r="GQ65" s="965">
        <f t="shared" si="414"/>
        <v>27</v>
      </c>
      <c r="GR65" s="965">
        <f t="shared" si="414"/>
        <v>28</v>
      </c>
      <c r="GS65" s="965">
        <f t="shared" si="414"/>
        <v>29</v>
      </c>
      <c r="GT65" s="965">
        <f t="shared" si="414"/>
        <v>30</v>
      </c>
      <c r="GU65" s="967">
        <v>1</v>
      </c>
      <c r="GV65" s="965">
        <v>2</v>
      </c>
      <c r="GW65" s="965">
        <v>3</v>
      </c>
      <c r="GX65" s="965">
        <v>4</v>
      </c>
      <c r="GY65" s="964">
        <v>5</v>
      </c>
      <c r="GZ65" s="965">
        <v>6</v>
      </c>
      <c r="HA65" s="965">
        <v>7</v>
      </c>
      <c r="HB65" s="965">
        <v>8</v>
      </c>
      <c r="HC65" s="964">
        <v>9</v>
      </c>
      <c r="HD65" s="965">
        <v>10</v>
      </c>
      <c r="HE65" s="965">
        <v>11</v>
      </c>
      <c r="HF65" s="965">
        <v>12</v>
      </c>
      <c r="HG65" s="964">
        <v>13</v>
      </c>
      <c r="HH65" s="965">
        <v>14</v>
      </c>
      <c r="HI65" s="965">
        <v>15</v>
      </c>
      <c r="HJ65" s="965">
        <v>16</v>
      </c>
      <c r="HK65" s="964">
        <v>17</v>
      </c>
      <c r="HL65" s="965">
        <v>18</v>
      </c>
      <c r="HM65" s="965">
        <v>19</v>
      </c>
      <c r="HN65" s="965">
        <v>20</v>
      </c>
      <c r="HO65" s="964">
        <v>21</v>
      </c>
      <c r="HP65" s="965">
        <v>22</v>
      </c>
      <c r="HQ65" s="965">
        <v>23</v>
      </c>
      <c r="HR65" s="965">
        <v>24</v>
      </c>
      <c r="HS65" s="964">
        <v>25</v>
      </c>
      <c r="HT65" s="965">
        <v>26</v>
      </c>
      <c r="HU65" s="965">
        <v>27</v>
      </c>
      <c r="HV65" s="965">
        <v>28</v>
      </c>
      <c r="HW65" s="964">
        <v>29</v>
      </c>
      <c r="HX65" s="964">
        <v>30</v>
      </c>
      <c r="HY65" s="967">
        <v>1</v>
      </c>
      <c r="HZ65" s="965">
        <v>2</v>
      </c>
      <c r="IA65" s="965">
        <v>3</v>
      </c>
      <c r="IB65" s="965">
        <v>4</v>
      </c>
      <c r="IC65" s="964">
        <v>5</v>
      </c>
      <c r="ID65" s="965">
        <v>6</v>
      </c>
      <c r="IE65" s="965">
        <v>7</v>
      </c>
      <c r="IF65" s="965">
        <v>8</v>
      </c>
      <c r="IG65" s="964">
        <v>9</v>
      </c>
      <c r="IH65" s="965">
        <v>10</v>
      </c>
      <c r="II65" s="965">
        <v>11</v>
      </c>
      <c r="IJ65" s="965">
        <v>12</v>
      </c>
      <c r="IK65" s="964">
        <v>13</v>
      </c>
      <c r="IL65" s="965">
        <v>14</v>
      </c>
      <c r="IM65" s="965">
        <v>15</v>
      </c>
      <c r="IN65" s="965">
        <v>16</v>
      </c>
      <c r="IO65" s="964">
        <v>17</v>
      </c>
      <c r="IP65" s="965">
        <v>18</v>
      </c>
      <c r="IQ65" s="965">
        <v>19</v>
      </c>
      <c r="IR65" s="965">
        <v>20</v>
      </c>
      <c r="IS65" s="964">
        <v>21</v>
      </c>
      <c r="IT65" s="965">
        <v>22</v>
      </c>
      <c r="IU65" s="965">
        <v>23</v>
      </c>
      <c r="IV65" s="965">
        <v>24</v>
      </c>
      <c r="IW65" s="964">
        <v>25</v>
      </c>
      <c r="IX65" s="965">
        <v>26</v>
      </c>
      <c r="IY65" s="965">
        <v>27</v>
      </c>
      <c r="IZ65" s="965">
        <v>28</v>
      </c>
      <c r="JA65" s="964">
        <v>29</v>
      </c>
      <c r="JB65" s="967">
        <v>30</v>
      </c>
      <c r="JC65" s="965">
        <v>1</v>
      </c>
      <c r="JD65" s="965">
        <f>JC65+1</f>
        <v>2</v>
      </c>
      <c r="JE65" s="965">
        <f t="shared" ref="JE65:KE66" si="415">JD65+1</f>
        <v>3</v>
      </c>
      <c r="JF65" s="965">
        <f t="shared" si="415"/>
        <v>4</v>
      </c>
      <c r="JG65" s="965">
        <f t="shared" si="415"/>
        <v>5</v>
      </c>
      <c r="JH65" s="965">
        <f t="shared" si="415"/>
        <v>6</v>
      </c>
      <c r="JI65" s="965">
        <f t="shared" si="415"/>
        <v>7</v>
      </c>
      <c r="JJ65" s="965">
        <f t="shared" si="415"/>
        <v>8</v>
      </c>
      <c r="JK65" s="965">
        <f t="shared" si="415"/>
        <v>9</v>
      </c>
      <c r="JL65" s="965">
        <f t="shared" si="415"/>
        <v>10</v>
      </c>
      <c r="JM65" s="965">
        <f t="shared" si="415"/>
        <v>11</v>
      </c>
      <c r="JN65" s="965">
        <f t="shared" si="415"/>
        <v>12</v>
      </c>
      <c r="JO65" s="965">
        <f t="shared" si="415"/>
        <v>13</v>
      </c>
      <c r="JP65" s="965">
        <f t="shared" si="415"/>
        <v>14</v>
      </c>
      <c r="JQ65" s="965">
        <f t="shared" si="415"/>
        <v>15</v>
      </c>
      <c r="JR65" s="965">
        <f t="shared" si="415"/>
        <v>16</v>
      </c>
      <c r="JS65" s="965">
        <f t="shared" si="415"/>
        <v>17</v>
      </c>
      <c r="JT65" s="965">
        <f t="shared" si="415"/>
        <v>18</v>
      </c>
      <c r="JU65" s="965">
        <f t="shared" si="415"/>
        <v>19</v>
      </c>
      <c r="JV65" s="965">
        <f t="shared" si="415"/>
        <v>20</v>
      </c>
      <c r="JW65" s="965">
        <f t="shared" si="415"/>
        <v>21</v>
      </c>
      <c r="JX65" s="965">
        <f t="shared" si="415"/>
        <v>22</v>
      </c>
      <c r="JY65" s="965">
        <f t="shared" si="415"/>
        <v>23</v>
      </c>
      <c r="JZ65" s="965">
        <f t="shared" si="415"/>
        <v>24</v>
      </c>
      <c r="KA65" s="965">
        <f t="shared" si="415"/>
        <v>25</v>
      </c>
      <c r="KB65" s="965">
        <f t="shared" si="415"/>
        <v>26</v>
      </c>
      <c r="KC65" s="965">
        <f t="shared" si="415"/>
        <v>27</v>
      </c>
      <c r="KD65" s="965">
        <f t="shared" si="415"/>
        <v>28</v>
      </c>
      <c r="KE65" s="965">
        <f t="shared" si="415"/>
        <v>29</v>
      </c>
      <c r="KF65" s="967">
        <v>1</v>
      </c>
      <c r="KG65" s="965">
        <v>2</v>
      </c>
      <c r="KH65" s="965">
        <v>3</v>
      </c>
      <c r="KI65" s="965">
        <v>4</v>
      </c>
      <c r="KJ65" s="964">
        <v>5</v>
      </c>
      <c r="KK65" s="965">
        <v>6</v>
      </c>
      <c r="KL65" s="965">
        <v>7</v>
      </c>
      <c r="KM65" s="965">
        <v>8</v>
      </c>
      <c r="KN65" s="964">
        <v>9</v>
      </c>
      <c r="KO65" s="965">
        <v>10</v>
      </c>
      <c r="KP65" s="965">
        <v>11</v>
      </c>
      <c r="KQ65" s="965">
        <v>12</v>
      </c>
      <c r="KR65" s="964">
        <v>13</v>
      </c>
      <c r="KS65" s="965">
        <v>14</v>
      </c>
      <c r="KT65" s="965">
        <v>15</v>
      </c>
      <c r="KU65" s="965">
        <v>16</v>
      </c>
      <c r="KV65" s="964">
        <v>17</v>
      </c>
      <c r="KW65" s="965">
        <v>18</v>
      </c>
      <c r="KX65" s="965">
        <v>19</v>
      </c>
      <c r="KY65" s="965">
        <v>20</v>
      </c>
      <c r="KZ65" s="964">
        <v>21</v>
      </c>
      <c r="LA65" s="965">
        <v>22</v>
      </c>
      <c r="LB65" s="965">
        <v>23</v>
      </c>
      <c r="LC65" s="965">
        <v>24</v>
      </c>
      <c r="LD65" s="964">
        <v>25</v>
      </c>
      <c r="LE65" s="965">
        <v>26</v>
      </c>
      <c r="LF65" s="965">
        <v>27</v>
      </c>
      <c r="LG65" s="965">
        <v>28</v>
      </c>
      <c r="LH65" s="964">
        <v>29</v>
      </c>
      <c r="LI65" s="967">
        <v>30</v>
      </c>
      <c r="LJ65" s="965">
        <v>1</v>
      </c>
      <c r="LK65" s="965">
        <f>LJ65+1</f>
        <v>2</v>
      </c>
      <c r="LL65" s="965">
        <f t="shared" ref="LL65:ML65" si="416">LK65+1</f>
        <v>3</v>
      </c>
      <c r="LM65" s="965">
        <f t="shared" si="416"/>
        <v>4</v>
      </c>
      <c r="LN65" s="965">
        <f t="shared" si="416"/>
        <v>5</v>
      </c>
      <c r="LO65" s="965">
        <f t="shared" si="416"/>
        <v>6</v>
      </c>
      <c r="LP65" s="965">
        <f t="shared" si="416"/>
        <v>7</v>
      </c>
      <c r="LQ65" s="965">
        <f t="shared" si="416"/>
        <v>8</v>
      </c>
      <c r="LR65" s="965">
        <f t="shared" si="416"/>
        <v>9</v>
      </c>
      <c r="LS65" s="965">
        <f t="shared" si="416"/>
        <v>10</v>
      </c>
      <c r="LT65" s="965">
        <f t="shared" si="416"/>
        <v>11</v>
      </c>
      <c r="LU65" s="965">
        <f t="shared" si="416"/>
        <v>12</v>
      </c>
      <c r="LV65" s="965">
        <f t="shared" si="416"/>
        <v>13</v>
      </c>
      <c r="LW65" s="965">
        <f t="shared" si="416"/>
        <v>14</v>
      </c>
      <c r="LX65" s="965">
        <f t="shared" si="416"/>
        <v>15</v>
      </c>
      <c r="LY65" s="965">
        <f t="shared" si="416"/>
        <v>16</v>
      </c>
      <c r="LZ65" s="965">
        <f t="shared" si="416"/>
        <v>17</v>
      </c>
      <c r="MA65" s="965">
        <f t="shared" si="416"/>
        <v>18</v>
      </c>
      <c r="MB65" s="965">
        <f t="shared" si="416"/>
        <v>19</v>
      </c>
      <c r="MC65" s="965">
        <f t="shared" si="416"/>
        <v>20</v>
      </c>
      <c r="MD65" s="965">
        <f t="shared" si="416"/>
        <v>21</v>
      </c>
      <c r="ME65" s="965">
        <f t="shared" si="416"/>
        <v>22</v>
      </c>
      <c r="MF65" s="965">
        <f t="shared" si="416"/>
        <v>23</v>
      </c>
      <c r="MG65" s="965">
        <f t="shared" si="416"/>
        <v>24</v>
      </c>
      <c r="MH65" s="965">
        <f t="shared" si="416"/>
        <v>25</v>
      </c>
      <c r="MI65" s="965">
        <f t="shared" si="416"/>
        <v>26</v>
      </c>
      <c r="MJ65" s="965">
        <f t="shared" si="416"/>
        <v>27</v>
      </c>
      <c r="MK65" s="965">
        <f t="shared" si="416"/>
        <v>28</v>
      </c>
      <c r="ML65" s="965">
        <f t="shared" si="416"/>
        <v>29</v>
      </c>
      <c r="MM65" s="967">
        <v>1</v>
      </c>
      <c r="MN65" s="965">
        <v>2</v>
      </c>
      <c r="MO65" s="965">
        <v>3</v>
      </c>
      <c r="MP65" s="965">
        <v>4</v>
      </c>
      <c r="MQ65" s="964">
        <v>5</v>
      </c>
      <c r="MR65" s="965">
        <v>6</v>
      </c>
      <c r="MS65" s="965">
        <v>7</v>
      </c>
      <c r="MT65" s="965">
        <v>8</v>
      </c>
      <c r="MU65" s="964">
        <v>9</v>
      </c>
      <c r="MV65" s="965">
        <v>10</v>
      </c>
      <c r="MW65" s="965">
        <v>11</v>
      </c>
      <c r="MX65" s="965">
        <v>12</v>
      </c>
      <c r="MY65" s="964">
        <v>13</v>
      </c>
      <c r="MZ65" s="965">
        <v>14</v>
      </c>
      <c r="NA65" s="965">
        <v>15</v>
      </c>
      <c r="NB65" s="965">
        <v>16</v>
      </c>
      <c r="NC65" s="964">
        <v>17</v>
      </c>
      <c r="ND65" s="965">
        <v>18</v>
      </c>
      <c r="NE65" s="965">
        <v>19</v>
      </c>
      <c r="NF65" s="965">
        <v>20</v>
      </c>
      <c r="NG65" s="964">
        <v>21</v>
      </c>
      <c r="NH65" s="965">
        <v>22</v>
      </c>
      <c r="NI65" s="965">
        <v>23</v>
      </c>
      <c r="NJ65" s="965">
        <v>24</v>
      </c>
      <c r="NK65" s="964">
        <v>25</v>
      </c>
      <c r="NL65" s="965">
        <v>26</v>
      </c>
      <c r="NM65" s="965">
        <v>27</v>
      </c>
      <c r="NN65" s="965">
        <v>28</v>
      </c>
      <c r="NO65" s="964">
        <v>29</v>
      </c>
      <c r="NP65" s="967">
        <v>30</v>
      </c>
      <c r="NQ65" s="965">
        <v>1</v>
      </c>
      <c r="NR65" s="965">
        <f>NQ65+1</f>
        <v>2</v>
      </c>
      <c r="NS65" s="965">
        <f t="shared" ref="NS65:OS65" si="417">NR65+1</f>
        <v>3</v>
      </c>
      <c r="NT65" s="965">
        <f t="shared" si="417"/>
        <v>4</v>
      </c>
      <c r="NU65" s="965">
        <f t="shared" si="417"/>
        <v>5</v>
      </c>
      <c r="NV65" s="965">
        <f t="shared" si="417"/>
        <v>6</v>
      </c>
      <c r="NW65" s="965">
        <f t="shared" si="417"/>
        <v>7</v>
      </c>
      <c r="NX65" s="965">
        <f t="shared" si="417"/>
        <v>8</v>
      </c>
      <c r="NY65" s="965">
        <f t="shared" si="417"/>
        <v>9</v>
      </c>
      <c r="NZ65" s="965">
        <f t="shared" si="417"/>
        <v>10</v>
      </c>
      <c r="OA65" s="965">
        <f t="shared" si="417"/>
        <v>11</v>
      </c>
      <c r="OB65" s="965">
        <f t="shared" si="417"/>
        <v>12</v>
      </c>
      <c r="OC65" s="965">
        <f t="shared" si="417"/>
        <v>13</v>
      </c>
      <c r="OD65" s="965">
        <f t="shared" si="417"/>
        <v>14</v>
      </c>
      <c r="OE65" s="965">
        <f t="shared" si="417"/>
        <v>15</v>
      </c>
      <c r="OF65" s="965">
        <f t="shared" si="417"/>
        <v>16</v>
      </c>
      <c r="OG65" s="965">
        <f t="shared" si="417"/>
        <v>17</v>
      </c>
      <c r="OH65" s="965">
        <f t="shared" si="417"/>
        <v>18</v>
      </c>
      <c r="OI65" s="965">
        <f t="shared" si="417"/>
        <v>19</v>
      </c>
      <c r="OJ65" s="965">
        <f t="shared" si="417"/>
        <v>20</v>
      </c>
      <c r="OK65" s="965">
        <f t="shared" si="417"/>
        <v>21</v>
      </c>
      <c r="OL65" s="965">
        <f t="shared" si="417"/>
        <v>22</v>
      </c>
      <c r="OM65" s="965">
        <f t="shared" si="417"/>
        <v>23</v>
      </c>
      <c r="ON65" s="965">
        <f t="shared" si="417"/>
        <v>24</v>
      </c>
      <c r="OO65" s="965">
        <f t="shared" si="417"/>
        <v>25</v>
      </c>
      <c r="OP65" s="965">
        <f t="shared" si="417"/>
        <v>26</v>
      </c>
      <c r="OQ65" s="965">
        <f t="shared" si="417"/>
        <v>27</v>
      </c>
      <c r="OR65" s="965">
        <f t="shared" si="417"/>
        <v>28</v>
      </c>
      <c r="OS65" s="965">
        <f t="shared" si="417"/>
        <v>29</v>
      </c>
      <c r="OT65" s="965">
        <v>1</v>
      </c>
      <c r="OU65" s="965">
        <f>OT65+1</f>
        <v>2</v>
      </c>
      <c r="OV65" s="965">
        <f t="shared" ref="OV65:PW66" si="418">OU65+1</f>
        <v>3</v>
      </c>
      <c r="OW65" s="965">
        <f t="shared" si="418"/>
        <v>4</v>
      </c>
      <c r="OX65" s="965">
        <f t="shared" si="418"/>
        <v>5</v>
      </c>
      <c r="OY65" s="965">
        <f t="shared" si="418"/>
        <v>6</v>
      </c>
      <c r="OZ65" s="965">
        <f t="shared" si="418"/>
        <v>7</v>
      </c>
      <c r="PA65" s="965">
        <f t="shared" si="418"/>
        <v>8</v>
      </c>
      <c r="PB65" s="965">
        <f t="shared" si="418"/>
        <v>9</v>
      </c>
      <c r="PC65" s="965">
        <f t="shared" si="418"/>
        <v>10</v>
      </c>
      <c r="PD65" s="965">
        <f t="shared" si="418"/>
        <v>11</v>
      </c>
      <c r="PE65" s="965">
        <f t="shared" si="418"/>
        <v>12</v>
      </c>
      <c r="PF65" s="965">
        <f t="shared" si="418"/>
        <v>13</v>
      </c>
      <c r="PG65" s="965">
        <f t="shared" si="418"/>
        <v>14</v>
      </c>
      <c r="PH65" s="965">
        <f t="shared" si="418"/>
        <v>15</v>
      </c>
      <c r="PI65" s="965">
        <f t="shared" si="418"/>
        <v>16</v>
      </c>
      <c r="PJ65" s="965">
        <f t="shared" si="418"/>
        <v>17</v>
      </c>
      <c r="PK65" s="965">
        <f t="shared" si="418"/>
        <v>18</v>
      </c>
      <c r="PL65" s="965">
        <f t="shared" si="418"/>
        <v>19</v>
      </c>
      <c r="PM65" s="965">
        <f t="shared" si="418"/>
        <v>20</v>
      </c>
      <c r="PN65" s="965">
        <f t="shared" si="418"/>
        <v>21</v>
      </c>
      <c r="PO65" s="965">
        <f t="shared" si="418"/>
        <v>22</v>
      </c>
      <c r="PP65" s="965">
        <f t="shared" si="418"/>
        <v>23</v>
      </c>
      <c r="PQ65" s="965">
        <f t="shared" si="418"/>
        <v>24</v>
      </c>
      <c r="PR65" s="965">
        <f t="shared" si="418"/>
        <v>25</v>
      </c>
      <c r="PS65" s="965">
        <f t="shared" si="418"/>
        <v>26</v>
      </c>
      <c r="PT65" s="965">
        <f t="shared" si="418"/>
        <v>27</v>
      </c>
      <c r="PU65" s="965">
        <f t="shared" si="418"/>
        <v>28</v>
      </c>
      <c r="PV65" s="965">
        <f t="shared" si="418"/>
        <v>29</v>
      </c>
      <c r="PW65" s="965">
        <f t="shared" si="418"/>
        <v>30</v>
      </c>
      <c r="PX65" s="965">
        <v>1</v>
      </c>
      <c r="PY65" s="965">
        <f>PX65+1</f>
        <v>2</v>
      </c>
      <c r="PZ65" s="965">
        <f t="shared" ref="PZ65:QZ65" si="419">PY65+1</f>
        <v>3</v>
      </c>
      <c r="QA65" s="965">
        <f t="shared" si="419"/>
        <v>4</v>
      </c>
      <c r="QB65" s="965">
        <f t="shared" si="419"/>
        <v>5</v>
      </c>
      <c r="QC65" s="965">
        <f t="shared" si="419"/>
        <v>6</v>
      </c>
      <c r="QD65" s="965">
        <f t="shared" si="419"/>
        <v>7</v>
      </c>
      <c r="QE65" s="965">
        <f t="shared" si="419"/>
        <v>8</v>
      </c>
      <c r="QF65" s="965">
        <f t="shared" si="419"/>
        <v>9</v>
      </c>
      <c r="QG65" s="965">
        <f t="shared" si="419"/>
        <v>10</v>
      </c>
      <c r="QH65" s="965">
        <f t="shared" si="419"/>
        <v>11</v>
      </c>
      <c r="QI65" s="965">
        <f t="shared" si="419"/>
        <v>12</v>
      </c>
      <c r="QJ65" s="965">
        <f t="shared" si="419"/>
        <v>13</v>
      </c>
      <c r="QK65" s="965">
        <f t="shared" si="419"/>
        <v>14</v>
      </c>
      <c r="QL65" s="965">
        <f t="shared" si="419"/>
        <v>15</v>
      </c>
      <c r="QM65" s="965">
        <f t="shared" si="419"/>
        <v>16</v>
      </c>
      <c r="QN65" s="965">
        <f t="shared" si="419"/>
        <v>17</v>
      </c>
      <c r="QO65" s="965">
        <f t="shared" si="419"/>
        <v>18</v>
      </c>
      <c r="QP65" s="965">
        <f t="shared" si="419"/>
        <v>19</v>
      </c>
      <c r="QQ65" s="965">
        <f t="shared" si="419"/>
        <v>20</v>
      </c>
      <c r="QR65" s="965">
        <f t="shared" si="419"/>
        <v>21</v>
      </c>
      <c r="QS65" s="965">
        <f t="shared" si="419"/>
        <v>22</v>
      </c>
      <c r="QT65" s="965">
        <f t="shared" si="419"/>
        <v>23</v>
      </c>
      <c r="QU65" s="965">
        <f t="shared" si="419"/>
        <v>24</v>
      </c>
      <c r="QV65" s="965">
        <f t="shared" si="419"/>
        <v>25</v>
      </c>
      <c r="QW65" s="965">
        <f t="shared" si="419"/>
        <v>26</v>
      </c>
      <c r="QX65" s="965">
        <f t="shared" si="419"/>
        <v>27</v>
      </c>
      <c r="QY65" s="965">
        <f t="shared" si="419"/>
        <v>28</v>
      </c>
      <c r="QZ65" s="965">
        <f t="shared" si="419"/>
        <v>29</v>
      </c>
      <c r="RA65" s="966">
        <v>1</v>
      </c>
      <c r="RB65" s="797" t="e">
        <f>IF(AND(QZ63&gt;=10,QZ64&gt;=10),354,355)</f>
        <v>#VALUE!</v>
      </c>
      <c r="RC65" s="797" t="e">
        <f t="shared" ref="RC65" si="420">IF(RB65=RB56,1,RC54+1)</f>
        <v>#VALUE!</v>
      </c>
    </row>
    <row r="66" spans="2:471" ht="15.75" thickBot="1">
      <c r="B66" s="2">
        <v>6</v>
      </c>
      <c r="C66" s="2" t="s">
        <v>2</v>
      </c>
      <c r="D66" s="2" t="s">
        <v>0</v>
      </c>
      <c r="E66" s="2"/>
      <c r="F66" s="2"/>
      <c r="G66" s="2"/>
      <c r="H66" s="2"/>
      <c r="I66" s="2"/>
      <c r="J66" s="2" t="s">
        <v>1</v>
      </c>
      <c r="K66" s="2"/>
      <c r="L66" s="2"/>
      <c r="M66" s="2"/>
      <c r="N66" s="2"/>
      <c r="O66" s="2"/>
      <c r="P66" s="2" t="s">
        <v>17</v>
      </c>
      <c r="Q66" s="2"/>
      <c r="R66" s="2"/>
      <c r="S66" s="2"/>
      <c r="T66" s="2"/>
      <c r="U66" s="2"/>
      <c r="V66" s="2"/>
      <c r="W66" s="2"/>
      <c r="X66" s="2"/>
      <c r="Y66" s="2"/>
      <c r="Z66" s="2"/>
      <c r="AA66" s="2"/>
      <c r="AB66" s="2"/>
      <c r="AC66" s="2"/>
      <c r="DH66" s="797"/>
      <c r="DI66" s="797"/>
      <c r="DJ66" s="797" t="e">
        <f>DJ67-RB56</f>
        <v>#VALUE!</v>
      </c>
      <c r="DK66" s="797" t="e">
        <f>DJ66+1</f>
        <v>#VALUE!</v>
      </c>
      <c r="DL66" s="797" t="e">
        <f t="shared" ref="DL66:FW66" si="421">DK66+1</f>
        <v>#VALUE!</v>
      </c>
      <c r="DM66" s="797" t="e">
        <f t="shared" si="421"/>
        <v>#VALUE!</v>
      </c>
      <c r="DN66" s="797" t="e">
        <f t="shared" si="421"/>
        <v>#VALUE!</v>
      </c>
      <c r="DO66" s="797" t="e">
        <f t="shared" si="421"/>
        <v>#VALUE!</v>
      </c>
      <c r="DP66" s="797" t="e">
        <f t="shared" si="421"/>
        <v>#VALUE!</v>
      </c>
      <c r="DQ66" s="797" t="e">
        <f t="shared" si="421"/>
        <v>#VALUE!</v>
      </c>
      <c r="DR66" s="797" t="e">
        <f t="shared" si="421"/>
        <v>#VALUE!</v>
      </c>
      <c r="DS66" s="797" t="e">
        <f t="shared" si="421"/>
        <v>#VALUE!</v>
      </c>
      <c r="DT66" s="797" t="e">
        <f t="shared" si="421"/>
        <v>#VALUE!</v>
      </c>
      <c r="DU66" s="797" t="e">
        <f t="shared" si="421"/>
        <v>#VALUE!</v>
      </c>
      <c r="DV66" s="797" t="e">
        <f t="shared" si="421"/>
        <v>#VALUE!</v>
      </c>
      <c r="DW66" s="797" t="e">
        <f t="shared" si="421"/>
        <v>#VALUE!</v>
      </c>
      <c r="DX66" s="797" t="e">
        <f t="shared" si="421"/>
        <v>#VALUE!</v>
      </c>
      <c r="DY66" s="797" t="e">
        <f t="shared" si="421"/>
        <v>#VALUE!</v>
      </c>
      <c r="DZ66" s="797" t="e">
        <f t="shared" si="421"/>
        <v>#VALUE!</v>
      </c>
      <c r="EA66" s="797" t="e">
        <f t="shared" si="421"/>
        <v>#VALUE!</v>
      </c>
      <c r="EB66" s="797" t="e">
        <f t="shared" si="421"/>
        <v>#VALUE!</v>
      </c>
      <c r="EC66" s="797" t="e">
        <f t="shared" si="421"/>
        <v>#VALUE!</v>
      </c>
      <c r="ED66" s="797" t="e">
        <f t="shared" si="421"/>
        <v>#VALUE!</v>
      </c>
      <c r="EE66" s="797" t="e">
        <f t="shared" si="421"/>
        <v>#VALUE!</v>
      </c>
      <c r="EF66" s="797" t="e">
        <f t="shared" si="421"/>
        <v>#VALUE!</v>
      </c>
      <c r="EG66" s="797" t="e">
        <f t="shared" si="421"/>
        <v>#VALUE!</v>
      </c>
      <c r="EH66" s="797" t="e">
        <f t="shared" si="421"/>
        <v>#VALUE!</v>
      </c>
      <c r="EI66" s="797" t="e">
        <f t="shared" si="421"/>
        <v>#VALUE!</v>
      </c>
      <c r="EJ66" s="797" t="e">
        <f t="shared" si="421"/>
        <v>#VALUE!</v>
      </c>
      <c r="EK66" s="797" t="e">
        <f t="shared" si="421"/>
        <v>#VALUE!</v>
      </c>
      <c r="EL66" s="797" t="e">
        <f t="shared" si="421"/>
        <v>#VALUE!</v>
      </c>
      <c r="EM66" s="797" t="e">
        <f t="shared" si="421"/>
        <v>#VALUE!</v>
      </c>
      <c r="EN66" s="797" t="e">
        <f t="shared" si="421"/>
        <v>#VALUE!</v>
      </c>
      <c r="EO66" s="797" t="e">
        <f t="shared" si="421"/>
        <v>#VALUE!</v>
      </c>
      <c r="EP66" s="797" t="e">
        <f t="shared" si="421"/>
        <v>#VALUE!</v>
      </c>
      <c r="EQ66" s="797" t="e">
        <f t="shared" si="421"/>
        <v>#VALUE!</v>
      </c>
      <c r="ER66" s="797" t="e">
        <f t="shared" si="421"/>
        <v>#VALUE!</v>
      </c>
      <c r="ES66" s="797" t="e">
        <f t="shared" si="421"/>
        <v>#VALUE!</v>
      </c>
      <c r="ET66" s="797" t="e">
        <f t="shared" si="421"/>
        <v>#VALUE!</v>
      </c>
      <c r="EU66" s="797" t="e">
        <f t="shared" si="421"/>
        <v>#VALUE!</v>
      </c>
      <c r="EV66" s="797" t="e">
        <f t="shared" si="421"/>
        <v>#VALUE!</v>
      </c>
      <c r="EW66" s="797" t="e">
        <f t="shared" si="421"/>
        <v>#VALUE!</v>
      </c>
      <c r="EX66" s="797" t="e">
        <f t="shared" si="421"/>
        <v>#VALUE!</v>
      </c>
      <c r="EY66" s="797" t="e">
        <f t="shared" si="421"/>
        <v>#VALUE!</v>
      </c>
      <c r="EZ66" s="797" t="e">
        <f t="shared" si="421"/>
        <v>#VALUE!</v>
      </c>
      <c r="FA66" s="797" t="e">
        <f t="shared" si="421"/>
        <v>#VALUE!</v>
      </c>
      <c r="FB66" s="797" t="e">
        <f t="shared" si="421"/>
        <v>#VALUE!</v>
      </c>
      <c r="FC66" s="797" t="e">
        <f t="shared" si="421"/>
        <v>#VALUE!</v>
      </c>
      <c r="FD66" s="797" t="e">
        <f t="shared" si="421"/>
        <v>#VALUE!</v>
      </c>
      <c r="FE66" s="797" t="e">
        <f t="shared" si="421"/>
        <v>#VALUE!</v>
      </c>
      <c r="FF66" s="797" t="e">
        <f t="shared" si="421"/>
        <v>#VALUE!</v>
      </c>
      <c r="FG66" s="797" t="e">
        <f t="shared" si="421"/>
        <v>#VALUE!</v>
      </c>
      <c r="FH66" s="797" t="e">
        <f t="shared" si="421"/>
        <v>#VALUE!</v>
      </c>
      <c r="FI66" s="797" t="e">
        <f t="shared" si="421"/>
        <v>#VALUE!</v>
      </c>
      <c r="FJ66" s="797" t="e">
        <f t="shared" si="421"/>
        <v>#VALUE!</v>
      </c>
      <c r="FK66" s="797" t="e">
        <f t="shared" si="421"/>
        <v>#VALUE!</v>
      </c>
      <c r="FL66" s="797" t="e">
        <f t="shared" si="421"/>
        <v>#VALUE!</v>
      </c>
      <c r="FM66" s="797" t="e">
        <f t="shared" si="421"/>
        <v>#VALUE!</v>
      </c>
      <c r="FN66" s="797" t="e">
        <f t="shared" si="421"/>
        <v>#VALUE!</v>
      </c>
      <c r="FO66" s="797" t="e">
        <f t="shared" si="421"/>
        <v>#VALUE!</v>
      </c>
      <c r="FP66" s="797" t="e">
        <f t="shared" si="421"/>
        <v>#VALUE!</v>
      </c>
      <c r="FQ66" s="797" t="e">
        <f t="shared" si="421"/>
        <v>#VALUE!</v>
      </c>
      <c r="FR66" s="797" t="e">
        <f t="shared" si="421"/>
        <v>#VALUE!</v>
      </c>
      <c r="FS66" s="797" t="e">
        <f t="shared" si="421"/>
        <v>#VALUE!</v>
      </c>
      <c r="FT66" s="797" t="e">
        <f t="shared" si="421"/>
        <v>#VALUE!</v>
      </c>
      <c r="FU66" s="797" t="e">
        <f t="shared" si="421"/>
        <v>#VALUE!</v>
      </c>
      <c r="FV66" s="797" t="e">
        <f t="shared" si="421"/>
        <v>#VALUE!</v>
      </c>
      <c r="FW66" s="797" t="e">
        <f t="shared" si="421"/>
        <v>#VALUE!</v>
      </c>
      <c r="FX66" s="797" t="e">
        <f t="shared" si="414"/>
        <v>#VALUE!</v>
      </c>
      <c r="FY66" s="797" t="e">
        <f t="shared" si="414"/>
        <v>#VALUE!</v>
      </c>
      <c r="FZ66" s="797" t="e">
        <f t="shared" si="414"/>
        <v>#VALUE!</v>
      </c>
      <c r="GA66" s="797" t="e">
        <f t="shared" si="414"/>
        <v>#VALUE!</v>
      </c>
      <c r="GB66" s="797" t="e">
        <f t="shared" si="414"/>
        <v>#VALUE!</v>
      </c>
      <c r="GC66" s="797" t="e">
        <f t="shared" si="414"/>
        <v>#VALUE!</v>
      </c>
      <c r="GD66" s="797" t="e">
        <f t="shared" si="414"/>
        <v>#VALUE!</v>
      </c>
      <c r="GE66" s="797" t="e">
        <f t="shared" si="414"/>
        <v>#VALUE!</v>
      </c>
      <c r="GF66" s="797" t="e">
        <f t="shared" si="414"/>
        <v>#VALUE!</v>
      </c>
      <c r="GG66" s="797" t="e">
        <f t="shared" si="414"/>
        <v>#VALUE!</v>
      </c>
      <c r="GH66" s="797" t="e">
        <f t="shared" si="414"/>
        <v>#VALUE!</v>
      </c>
      <c r="GI66" s="797" t="e">
        <f t="shared" si="414"/>
        <v>#VALUE!</v>
      </c>
      <c r="GJ66" s="797" t="e">
        <f t="shared" si="414"/>
        <v>#VALUE!</v>
      </c>
      <c r="GK66" s="797" t="e">
        <f t="shared" si="414"/>
        <v>#VALUE!</v>
      </c>
      <c r="GL66" s="797" t="e">
        <f t="shared" si="414"/>
        <v>#VALUE!</v>
      </c>
      <c r="GM66" s="797" t="e">
        <f t="shared" si="414"/>
        <v>#VALUE!</v>
      </c>
      <c r="GN66" s="797" t="e">
        <f t="shared" si="414"/>
        <v>#VALUE!</v>
      </c>
      <c r="GO66" s="797" t="e">
        <f t="shared" si="414"/>
        <v>#VALUE!</v>
      </c>
      <c r="GP66" s="797" t="e">
        <f t="shared" si="414"/>
        <v>#VALUE!</v>
      </c>
      <c r="GQ66" s="797" t="e">
        <f t="shared" si="414"/>
        <v>#VALUE!</v>
      </c>
      <c r="GR66" s="797" t="e">
        <f t="shared" si="414"/>
        <v>#VALUE!</v>
      </c>
      <c r="GS66" s="797" t="e">
        <f t="shared" si="414"/>
        <v>#VALUE!</v>
      </c>
      <c r="GT66" s="797" t="e">
        <f t="shared" si="414"/>
        <v>#VALUE!</v>
      </c>
      <c r="GU66" s="797" t="e">
        <f t="shared" ref="GU66:JF66" si="422">GT66+1</f>
        <v>#VALUE!</v>
      </c>
      <c r="GV66" s="797" t="e">
        <f t="shared" si="422"/>
        <v>#VALUE!</v>
      </c>
      <c r="GW66" s="797" t="e">
        <f t="shared" si="422"/>
        <v>#VALUE!</v>
      </c>
      <c r="GX66" s="797" t="e">
        <f t="shared" si="422"/>
        <v>#VALUE!</v>
      </c>
      <c r="GY66" s="797" t="e">
        <f t="shared" si="422"/>
        <v>#VALUE!</v>
      </c>
      <c r="GZ66" s="797" t="e">
        <f t="shared" si="422"/>
        <v>#VALUE!</v>
      </c>
      <c r="HA66" s="797" t="e">
        <f t="shared" si="422"/>
        <v>#VALUE!</v>
      </c>
      <c r="HB66" s="797" t="e">
        <f t="shared" si="422"/>
        <v>#VALUE!</v>
      </c>
      <c r="HC66" s="797" t="e">
        <f t="shared" si="422"/>
        <v>#VALUE!</v>
      </c>
      <c r="HD66" s="797" t="e">
        <f t="shared" si="422"/>
        <v>#VALUE!</v>
      </c>
      <c r="HE66" s="797" t="e">
        <f t="shared" si="422"/>
        <v>#VALUE!</v>
      </c>
      <c r="HF66" s="797" t="e">
        <f t="shared" si="422"/>
        <v>#VALUE!</v>
      </c>
      <c r="HG66" s="797" t="e">
        <f t="shared" si="422"/>
        <v>#VALUE!</v>
      </c>
      <c r="HH66" s="797" t="e">
        <f t="shared" si="422"/>
        <v>#VALUE!</v>
      </c>
      <c r="HI66" s="797" t="e">
        <f t="shared" si="422"/>
        <v>#VALUE!</v>
      </c>
      <c r="HJ66" s="797" t="e">
        <f t="shared" si="422"/>
        <v>#VALUE!</v>
      </c>
      <c r="HK66" s="797" t="e">
        <f t="shared" si="422"/>
        <v>#VALUE!</v>
      </c>
      <c r="HL66" s="797" t="e">
        <f t="shared" si="422"/>
        <v>#VALUE!</v>
      </c>
      <c r="HM66" s="797" t="e">
        <f t="shared" si="422"/>
        <v>#VALUE!</v>
      </c>
      <c r="HN66" s="797" t="e">
        <f t="shared" si="422"/>
        <v>#VALUE!</v>
      </c>
      <c r="HO66" s="797" t="e">
        <f t="shared" si="422"/>
        <v>#VALUE!</v>
      </c>
      <c r="HP66" s="797" t="e">
        <f t="shared" si="422"/>
        <v>#VALUE!</v>
      </c>
      <c r="HQ66" s="797" t="e">
        <f t="shared" si="422"/>
        <v>#VALUE!</v>
      </c>
      <c r="HR66" s="797" t="e">
        <f t="shared" si="422"/>
        <v>#VALUE!</v>
      </c>
      <c r="HS66" s="797" t="e">
        <f t="shared" si="422"/>
        <v>#VALUE!</v>
      </c>
      <c r="HT66" s="797" t="e">
        <f t="shared" si="422"/>
        <v>#VALUE!</v>
      </c>
      <c r="HU66" s="797" t="e">
        <f t="shared" si="422"/>
        <v>#VALUE!</v>
      </c>
      <c r="HV66" s="797" t="e">
        <f t="shared" si="422"/>
        <v>#VALUE!</v>
      </c>
      <c r="HW66" s="797" t="e">
        <f t="shared" si="422"/>
        <v>#VALUE!</v>
      </c>
      <c r="HX66" s="797" t="e">
        <f t="shared" si="422"/>
        <v>#VALUE!</v>
      </c>
      <c r="HY66" s="797" t="e">
        <f t="shared" si="422"/>
        <v>#VALUE!</v>
      </c>
      <c r="HZ66" s="797" t="e">
        <f t="shared" si="422"/>
        <v>#VALUE!</v>
      </c>
      <c r="IA66" s="797" t="e">
        <f t="shared" si="422"/>
        <v>#VALUE!</v>
      </c>
      <c r="IB66" s="797" t="e">
        <f t="shared" si="422"/>
        <v>#VALUE!</v>
      </c>
      <c r="IC66" s="797" t="e">
        <f t="shared" si="422"/>
        <v>#VALUE!</v>
      </c>
      <c r="ID66" s="797" t="e">
        <f t="shared" si="422"/>
        <v>#VALUE!</v>
      </c>
      <c r="IE66" s="797" t="e">
        <f t="shared" si="422"/>
        <v>#VALUE!</v>
      </c>
      <c r="IF66" s="797" t="e">
        <f t="shared" si="422"/>
        <v>#VALUE!</v>
      </c>
      <c r="IG66" s="797" t="e">
        <f t="shared" si="422"/>
        <v>#VALUE!</v>
      </c>
      <c r="IH66" s="797" t="e">
        <f t="shared" si="422"/>
        <v>#VALUE!</v>
      </c>
      <c r="II66" s="797" t="e">
        <f t="shared" si="422"/>
        <v>#VALUE!</v>
      </c>
      <c r="IJ66" s="797" t="e">
        <f t="shared" si="422"/>
        <v>#VALUE!</v>
      </c>
      <c r="IK66" s="797" t="e">
        <f t="shared" si="422"/>
        <v>#VALUE!</v>
      </c>
      <c r="IL66" s="797" t="e">
        <f t="shared" si="422"/>
        <v>#VALUE!</v>
      </c>
      <c r="IM66" s="797" t="e">
        <f t="shared" si="422"/>
        <v>#VALUE!</v>
      </c>
      <c r="IN66" s="797" t="e">
        <f t="shared" si="422"/>
        <v>#VALUE!</v>
      </c>
      <c r="IO66" s="797" t="e">
        <f t="shared" si="422"/>
        <v>#VALUE!</v>
      </c>
      <c r="IP66" s="797" t="e">
        <f t="shared" si="422"/>
        <v>#VALUE!</v>
      </c>
      <c r="IQ66" s="797" t="e">
        <f t="shared" si="422"/>
        <v>#VALUE!</v>
      </c>
      <c r="IR66" s="797" t="e">
        <f t="shared" si="422"/>
        <v>#VALUE!</v>
      </c>
      <c r="IS66" s="797" t="e">
        <f t="shared" si="422"/>
        <v>#VALUE!</v>
      </c>
      <c r="IT66" s="797" t="e">
        <f t="shared" si="422"/>
        <v>#VALUE!</v>
      </c>
      <c r="IU66" s="797" t="e">
        <f t="shared" si="422"/>
        <v>#VALUE!</v>
      </c>
      <c r="IV66" s="797" t="e">
        <f t="shared" si="422"/>
        <v>#VALUE!</v>
      </c>
      <c r="IW66" s="797" t="e">
        <f t="shared" si="422"/>
        <v>#VALUE!</v>
      </c>
      <c r="IX66" s="797" t="e">
        <f t="shared" si="422"/>
        <v>#VALUE!</v>
      </c>
      <c r="IY66" s="797" t="e">
        <f t="shared" si="422"/>
        <v>#VALUE!</v>
      </c>
      <c r="IZ66" s="797" t="e">
        <f t="shared" si="422"/>
        <v>#VALUE!</v>
      </c>
      <c r="JA66" s="797" t="e">
        <f t="shared" si="422"/>
        <v>#VALUE!</v>
      </c>
      <c r="JB66" s="797" t="e">
        <f t="shared" si="422"/>
        <v>#VALUE!</v>
      </c>
      <c r="JC66" s="797" t="e">
        <f t="shared" si="422"/>
        <v>#VALUE!</v>
      </c>
      <c r="JD66" s="797" t="e">
        <f t="shared" si="422"/>
        <v>#VALUE!</v>
      </c>
      <c r="JE66" s="797" t="e">
        <f t="shared" si="422"/>
        <v>#VALUE!</v>
      </c>
      <c r="JF66" s="797" t="e">
        <f t="shared" si="422"/>
        <v>#VALUE!</v>
      </c>
      <c r="JG66" s="797" t="e">
        <f t="shared" si="415"/>
        <v>#VALUE!</v>
      </c>
      <c r="JH66" s="797" t="e">
        <f t="shared" si="415"/>
        <v>#VALUE!</v>
      </c>
      <c r="JI66" s="797" t="e">
        <f t="shared" si="415"/>
        <v>#VALUE!</v>
      </c>
      <c r="JJ66" s="797" t="e">
        <f t="shared" si="415"/>
        <v>#VALUE!</v>
      </c>
      <c r="JK66" s="797" t="e">
        <f t="shared" si="415"/>
        <v>#VALUE!</v>
      </c>
      <c r="JL66" s="797" t="e">
        <f t="shared" si="415"/>
        <v>#VALUE!</v>
      </c>
      <c r="JM66" s="797" t="e">
        <f t="shared" si="415"/>
        <v>#VALUE!</v>
      </c>
      <c r="JN66" s="797" t="e">
        <f t="shared" si="415"/>
        <v>#VALUE!</v>
      </c>
      <c r="JO66" s="797" t="e">
        <f t="shared" si="415"/>
        <v>#VALUE!</v>
      </c>
      <c r="JP66" s="797" t="e">
        <f t="shared" si="415"/>
        <v>#VALUE!</v>
      </c>
      <c r="JQ66" s="797" t="e">
        <f t="shared" si="415"/>
        <v>#VALUE!</v>
      </c>
      <c r="JR66" s="797" t="e">
        <f t="shared" si="415"/>
        <v>#VALUE!</v>
      </c>
      <c r="JS66" s="797" t="e">
        <f t="shared" si="415"/>
        <v>#VALUE!</v>
      </c>
      <c r="JT66" s="797" t="e">
        <f t="shared" si="415"/>
        <v>#VALUE!</v>
      </c>
      <c r="JU66" s="797" t="e">
        <f t="shared" si="415"/>
        <v>#VALUE!</v>
      </c>
      <c r="JV66" s="797" t="e">
        <f t="shared" si="415"/>
        <v>#VALUE!</v>
      </c>
      <c r="JW66" s="797" t="e">
        <f t="shared" si="415"/>
        <v>#VALUE!</v>
      </c>
      <c r="JX66" s="797" t="e">
        <f t="shared" si="415"/>
        <v>#VALUE!</v>
      </c>
      <c r="JY66" s="797" t="e">
        <f t="shared" si="415"/>
        <v>#VALUE!</v>
      </c>
      <c r="JZ66" s="797" t="e">
        <f t="shared" si="415"/>
        <v>#VALUE!</v>
      </c>
      <c r="KA66" s="797" t="e">
        <f t="shared" si="415"/>
        <v>#VALUE!</v>
      </c>
      <c r="KB66" s="797" t="e">
        <f t="shared" si="415"/>
        <v>#VALUE!</v>
      </c>
      <c r="KC66" s="797" t="e">
        <f t="shared" si="415"/>
        <v>#VALUE!</v>
      </c>
      <c r="KD66" s="797" t="e">
        <f t="shared" si="415"/>
        <v>#VALUE!</v>
      </c>
      <c r="KE66" s="797" t="e">
        <f t="shared" si="415"/>
        <v>#VALUE!</v>
      </c>
      <c r="KF66" s="797" t="e">
        <f t="shared" ref="KF66:MQ66" si="423">KE66+1</f>
        <v>#VALUE!</v>
      </c>
      <c r="KG66" s="797" t="e">
        <f t="shared" si="423"/>
        <v>#VALUE!</v>
      </c>
      <c r="KH66" s="797" t="e">
        <f t="shared" si="423"/>
        <v>#VALUE!</v>
      </c>
      <c r="KI66" s="797" t="e">
        <f t="shared" si="423"/>
        <v>#VALUE!</v>
      </c>
      <c r="KJ66" s="797" t="e">
        <f t="shared" si="423"/>
        <v>#VALUE!</v>
      </c>
      <c r="KK66" s="797" t="e">
        <f t="shared" si="423"/>
        <v>#VALUE!</v>
      </c>
      <c r="KL66" s="797" t="e">
        <f t="shared" si="423"/>
        <v>#VALUE!</v>
      </c>
      <c r="KM66" s="797" t="e">
        <f t="shared" si="423"/>
        <v>#VALUE!</v>
      </c>
      <c r="KN66" s="797" t="e">
        <f t="shared" si="423"/>
        <v>#VALUE!</v>
      </c>
      <c r="KO66" s="797" t="e">
        <f t="shared" si="423"/>
        <v>#VALUE!</v>
      </c>
      <c r="KP66" s="797" t="e">
        <f t="shared" si="423"/>
        <v>#VALUE!</v>
      </c>
      <c r="KQ66" s="797" t="e">
        <f t="shared" si="423"/>
        <v>#VALUE!</v>
      </c>
      <c r="KR66" s="797" t="e">
        <f t="shared" si="423"/>
        <v>#VALUE!</v>
      </c>
      <c r="KS66" s="797" t="e">
        <f t="shared" si="423"/>
        <v>#VALUE!</v>
      </c>
      <c r="KT66" s="797" t="e">
        <f t="shared" si="423"/>
        <v>#VALUE!</v>
      </c>
      <c r="KU66" s="797" t="e">
        <f t="shared" si="423"/>
        <v>#VALUE!</v>
      </c>
      <c r="KV66" s="797" t="e">
        <f t="shared" si="423"/>
        <v>#VALUE!</v>
      </c>
      <c r="KW66" s="797" t="e">
        <f t="shared" si="423"/>
        <v>#VALUE!</v>
      </c>
      <c r="KX66" s="797" t="e">
        <f t="shared" si="423"/>
        <v>#VALUE!</v>
      </c>
      <c r="KY66" s="797" t="e">
        <f t="shared" si="423"/>
        <v>#VALUE!</v>
      </c>
      <c r="KZ66" s="797" t="e">
        <f t="shared" si="423"/>
        <v>#VALUE!</v>
      </c>
      <c r="LA66" s="797" t="e">
        <f t="shared" si="423"/>
        <v>#VALUE!</v>
      </c>
      <c r="LB66" s="797" t="e">
        <f t="shared" si="423"/>
        <v>#VALUE!</v>
      </c>
      <c r="LC66" s="797" t="e">
        <f t="shared" si="423"/>
        <v>#VALUE!</v>
      </c>
      <c r="LD66" s="797" t="e">
        <f t="shared" si="423"/>
        <v>#VALUE!</v>
      </c>
      <c r="LE66" s="797" t="e">
        <f t="shared" si="423"/>
        <v>#VALUE!</v>
      </c>
      <c r="LF66" s="797" t="e">
        <f t="shared" si="423"/>
        <v>#VALUE!</v>
      </c>
      <c r="LG66" s="797" t="e">
        <f t="shared" si="423"/>
        <v>#VALUE!</v>
      </c>
      <c r="LH66" s="797" t="e">
        <f t="shared" si="423"/>
        <v>#VALUE!</v>
      </c>
      <c r="LI66" s="797" t="e">
        <f t="shared" si="423"/>
        <v>#VALUE!</v>
      </c>
      <c r="LJ66" s="797" t="e">
        <f t="shared" si="423"/>
        <v>#VALUE!</v>
      </c>
      <c r="LK66" s="797" t="e">
        <f t="shared" si="423"/>
        <v>#VALUE!</v>
      </c>
      <c r="LL66" s="797" t="e">
        <f t="shared" si="423"/>
        <v>#VALUE!</v>
      </c>
      <c r="LM66" s="797" t="e">
        <f t="shared" si="423"/>
        <v>#VALUE!</v>
      </c>
      <c r="LN66" s="797" t="e">
        <f t="shared" si="423"/>
        <v>#VALUE!</v>
      </c>
      <c r="LO66" s="797" t="e">
        <f t="shared" si="423"/>
        <v>#VALUE!</v>
      </c>
      <c r="LP66" s="797" t="e">
        <f t="shared" si="423"/>
        <v>#VALUE!</v>
      </c>
      <c r="LQ66" s="797" t="e">
        <f t="shared" si="423"/>
        <v>#VALUE!</v>
      </c>
      <c r="LR66" s="797" t="e">
        <f t="shared" si="423"/>
        <v>#VALUE!</v>
      </c>
      <c r="LS66" s="797" t="e">
        <f t="shared" si="423"/>
        <v>#VALUE!</v>
      </c>
      <c r="LT66" s="797" t="e">
        <f t="shared" si="423"/>
        <v>#VALUE!</v>
      </c>
      <c r="LU66" s="797" t="e">
        <f t="shared" si="423"/>
        <v>#VALUE!</v>
      </c>
      <c r="LV66" s="797" t="e">
        <f t="shared" si="423"/>
        <v>#VALUE!</v>
      </c>
      <c r="LW66" s="797" t="e">
        <f t="shared" si="423"/>
        <v>#VALUE!</v>
      </c>
      <c r="LX66" s="797" t="e">
        <f t="shared" si="423"/>
        <v>#VALUE!</v>
      </c>
      <c r="LY66" s="797" t="e">
        <f t="shared" si="423"/>
        <v>#VALUE!</v>
      </c>
      <c r="LZ66" s="797" t="e">
        <f t="shared" si="423"/>
        <v>#VALUE!</v>
      </c>
      <c r="MA66" s="797" t="e">
        <f t="shared" si="423"/>
        <v>#VALUE!</v>
      </c>
      <c r="MB66" s="797" t="e">
        <f t="shared" si="423"/>
        <v>#VALUE!</v>
      </c>
      <c r="MC66" s="797" t="e">
        <f t="shared" si="423"/>
        <v>#VALUE!</v>
      </c>
      <c r="MD66" s="797" t="e">
        <f t="shared" si="423"/>
        <v>#VALUE!</v>
      </c>
      <c r="ME66" s="797" t="e">
        <f t="shared" si="423"/>
        <v>#VALUE!</v>
      </c>
      <c r="MF66" s="797" t="e">
        <f t="shared" si="423"/>
        <v>#VALUE!</v>
      </c>
      <c r="MG66" s="797" t="e">
        <f t="shared" si="423"/>
        <v>#VALUE!</v>
      </c>
      <c r="MH66" s="797" t="e">
        <f t="shared" si="423"/>
        <v>#VALUE!</v>
      </c>
      <c r="MI66" s="797" t="e">
        <f t="shared" si="423"/>
        <v>#VALUE!</v>
      </c>
      <c r="MJ66" s="797" t="e">
        <f t="shared" si="423"/>
        <v>#VALUE!</v>
      </c>
      <c r="MK66" s="797" t="e">
        <f t="shared" si="423"/>
        <v>#VALUE!</v>
      </c>
      <c r="ML66" s="797" t="e">
        <f t="shared" si="423"/>
        <v>#VALUE!</v>
      </c>
      <c r="MM66" s="797" t="e">
        <f t="shared" si="423"/>
        <v>#VALUE!</v>
      </c>
      <c r="MN66" s="797" t="e">
        <f t="shared" si="423"/>
        <v>#VALUE!</v>
      </c>
      <c r="MO66" s="797" t="e">
        <f t="shared" si="423"/>
        <v>#VALUE!</v>
      </c>
      <c r="MP66" s="797" t="e">
        <f t="shared" si="423"/>
        <v>#VALUE!</v>
      </c>
      <c r="MQ66" s="797" t="e">
        <f t="shared" si="423"/>
        <v>#VALUE!</v>
      </c>
      <c r="MR66" s="797" t="e">
        <f t="shared" ref="MR66:PC66" si="424">MQ66+1</f>
        <v>#VALUE!</v>
      </c>
      <c r="MS66" s="797" t="e">
        <f t="shared" si="424"/>
        <v>#VALUE!</v>
      </c>
      <c r="MT66" s="797" t="e">
        <f t="shared" si="424"/>
        <v>#VALUE!</v>
      </c>
      <c r="MU66" s="797" t="e">
        <f t="shared" si="424"/>
        <v>#VALUE!</v>
      </c>
      <c r="MV66" s="797" t="e">
        <f t="shared" si="424"/>
        <v>#VALUE!</v>
      </c>
      <c r="MW66" s="797" t="e">
        <f t="shared" si="424"/>
        <v>#VALUE!</v>
      </c>
      <c r="MX66" s="797" t="e">
        <f t="shared" si="424"/>
        <v>#VALUE!</v>
      </c>
      <c r="MY66" s="797" t="e">
        <f t="shared" si="424"/>
        <v>#VALUE!</v>
      </c>
      <c r="MZ66" s="797" t="e">
        <f t="shared" si="424"/>
        <v>#VALUE!</v>
      </c>
      <c r="NA66" s="797" t="e">
        <f t="shared" si="424"/>
        <v>#VALUE!</v>
      </c>
      <c r="NB66" s="797" t="e">
        <f t="shared" si="424"/>
        <v>#VALUE!</v>
      </c>
      <c r="NC66" s="797" t="e">
        <f t="shared" si="424"/>
        <v>#VALUE!</v>
      </c>
      <c r="ND66" s="797" t="e">
        <f t="shared" si="424"/>
        <v>#VALUE!</v>
      </c>
      <c r="NE66" s="797" t="e">
        <f t="shared" si="424"/>
        <v>#VALUE!</v>
      </c>
      <c r="NF66" s="797" t="e">
        <f t="shared" si="424"/>
        <v>#VALUE!</v>
      </c>
      <c r="NG66" s="797" t="e">
        <f t="shared" si="424"/>
        <v>#VALUE!</v>
      </c>
      <c r="NH66" s="797" t="e">
        <f t="shared" si="424"/>
        <v>#VALUE!</v>
      </c>
      <c r="NI66" s="797" t="e">
        <f t="shared" si="424"/>
        <v>#VALUE!</v>
      </c>
      <c r="NJ66" s="797" t="e">
        <f t="shared" si="424"/>
        <v>#VALUE!</v>
      </c>
      <c r="NK66" s="797" t="e">
        <f t="shared" si="424"/>
        <v>#VALUE!</v>
      </c>
      <c r="NL66" s="797" t="e">
        <f t="shared" si="424"/>
        <v>#VALUE!</v>
      </c>
      <c r="NM66" s="797" t="e">
        <f t="shared" si="424"/>
        <v>#VALUE!</v>
      </c>
      <c r="NN66" s="797" t="e">
        <f t="shared" si="424"/>
        <v>#VALUE!</v>
      </c>
      <c r="NO66" s="797" t="e">
        <f t="shared" si="424"/>
        <v>#VALUE!</v>
      </c>
      <c r="NP66" s="797" t="e">
        <f t="shared" si="424"/>
        <v>#VALUE!</v>
      </c>
      <c r="NQ66" s="797" t="e">
        <f t="shared" si="424"/>
        <v>#VALUE!</v>
      </c>
      <c r="NR66" s="797" t="e">
        <f t="shared" si="424"/>
        <v>#VALUE!</v>
      </c>
      <c r="NS66" s="797" t="e">
        <f t="shared" si="424"/>
        <v>#VALUE!</v>
      </c>
      <c r="NT66" s="797" t="e">
        <f t="shared" si="424"/>
        <v>#VALUE!</v>
      </c>
      <c r="NU66" s="797" t="e">
        <f t="shared" si="424"/>
        <v>#VALUE!</v>
      </c>
      <c r="NV66" s="797" t="e">
        <f t="shared" si="424"/>
        <v>#VALUE!</v>
      </c>
      <c r="NW66" s="797" t="e">
        <f t="shared" si="424"/>
        <v>#VALUE!</v>
      </c>
      <c r="NX66" s="797" t="e">
        <f t="shared" si="424"/>
        <v>#VALUE!</v>
      </c>
      <c r="NY66" s="797" t="e">
        <f t="shared" si="424"/>
        <v>#VALUE!</v>
      </c>
      <c r="NZ66" s="797" t="e">
        <f t="shared" si="424"/>
        <v>#VALUE!</v>
      </c>
      <c r="OA66" s="797" t="e">
        <f t="shared" si="424"/>
        <v>#VALUE!</v>
      </c>
      <c r="OB66" s="797" t="e">
        <f t="shared" si="424"/>
        <v>#VALUE!</v>
      </c>
      <c r="OC66" s="797" t="e">
        <f t="shared" si="424"/>
        <v>#VALUE!</v>
      </c>
      <c r="OD66" s="797" t="e">
        <f t="shared" si="424"/>
        <v>#VALUE!</v>
      </c>
      <c r="OE66" s="797" t="e">
        <f t="shared" si="424"/>
        <v>#VALUE!</v>
      </c>
      <c r="OF66" s="797" t="e">
        <f t="shared" si="424"/>
        <v>#VALUE!</v>
      </c>
      <c r="OG66" s="797" t="e">
        <f t="shared" si="424"/>
        <v>#VALUE!</v>
      </c>
      <c r="OH66" s="797" t="e">
        <f t="shared" si="424"/>
        <v>#VALUE!</v>
      </c>
      <c r="OI66" s="797" t="e">
        <f t="shared" si="424"/>
        <v>#VALUE!</v>
      </c>
      <c r="OJ66" s="797" t="e">
        <f t="shared" si="424"/>
        <v>#VALUE!</v>
      </c>
      <c r="OK66" s="797" t="e">
        <f t="shared" si="424"/>
        <v>#VALUE!</v>
      </c>
      <c r="OL66" s="797" t="e">
        <f t="shared" si="424"/>
        <v>#VALUE!</v>
      </c>
      <c r="OM66" s="797" t="e">
        <f t="shared" si="424"/>
        <v>#VALUE!</v>
      </c>
      <c r="ON66" s="797" t="e">
        <f t="shared" si="424"/>
        <v>#VALUE!</v>
      </c>
      <c r="OO66" s="797" t="e">
        <f t="shared" si="424"/>
        <v>#VALUE!</v>
      </c>
      <c r="OP66" s="797" t="e">
        <f t="shared" si="424"/>
        <v>#VALUE!</v>
      </c>
      <c r="OQ66" s="797" t="e">
        <f t="shared" si="424"/>
        <v>#VALUE!</v>
      </c>
      <c r="OR66" s="797" t="e">
        <f t="shared" si="424"/>
        <v>#VALUE!</v>
      </c>
      <c r="OS66" s="797" t="e">
        <f t="shared" si="424"/>
        <v>#VALUE!</v>
      </c>
      <c r="OT66" s="797" t="e">
        <f t="shared" si="424"/>
        <v>#VALUE!</v>
      </c>
      <c r="OU66" s="797" t="e">
        <f t="shared" si="424"/>
        <v>#VALUE!</v>
      </c>
      <c r="OV66" s="797" t="e">
        <f t="shared" si="424"/>
        <v>#VALUE!</v>
      </c>
      <c r="OW66" s="797" t="e">
        <f t="shared" si="424"/>
        <v>#VALUE!</v>
      </c>
      <c r="OX66" s="797" t="e">
        <f t="shared" si="424"/>
        <v>#VALUE!</v>
      </c>
      <c r="OY66" s="797" t="e">
        <f t="shared" si="424"/>
        <v>#VALUE!</v>
      </c>
      <c r="OZ66" s="797" t="e">
        <f t="shared" si="424"/>
        <v>#VALUE!</v>
      </c>
      <c r="PA66" s="797" t="e">
        <f t="shared" si="424"/>
        <v>#VALUE!</v>
      </c>
      <c r="PB66" s="797" t="e">
        <f t="shared" si="424"/>
        <v>#VALUE!</v>
      </c>
      <c r="PC66" s="797" t="e">
        <f t="shared" si="424"/>
        <v>#VALUE!</v>
      </c>
      <c r="PD66" s="797" t="e">
        <f t="shared" si="418"/>
        <v>#VALUE!</v>
      </c>
      <c r="PE66" s="797" t="e">
        <f t="shared" si="418"/>
        <v>#VALUE!</v>
      </c>
      <c r="PF66" s="797" t="e">
        <f t="shared" si="418"/>
        <v>#VALUE!</v>
      </c>
      <c r="PG66" s="797" t="e">
        <f t="shared" si="418"/>
        <v>#VALUE!</v>
      </c>
      <c r="PH66" s="797" t="e">
        <f t="shared" si="418"/>
        <v>#VALUE!</v>
      </c>
      <c r="PI66" s="797" t="e">
        <f t="shared" si="418"/>
        <v>#VALUE!</v>
      </c>
      <c r="PJ66" s="797" t="e">
        <f t="shared" si="418"/>
        <v>#VALUE!</v>
      </c>
      <c r="PK66" s="797" t="e">
        <f t="shared" si="418"/>
        <v>#VALUE!</v>
      </c>
      <c r="PL66" s="797" t="e">
        <f t="shared" si="418"/>
        <v>#VALUE!</v>
      </c>
      <c r="PM66" s="797" t="e">
        <f t="shared" si="418"/>
        <v>#VALUE!</v>
      </c>
      <c r="PN66" s="797" t="e">
        <f t="shared" si="418"/>
        <v>#VALUE!</v>
      </c>
      <c r="PO66" s="797" t="e">
        <f t="shared" si="418"/>
        <v>#VALUE!</v>
      </c>
      <c r="PP66" s="797" t="e">
        <f t="shared" si="418"/>
        <v>#VALUE!</v>
      </c>
      <c r="PQ66" s="797" t="e">
        <f t="shared" si="418"/>
        <v>#VALUE!</v>
      </c>
      <c r="PR66" s="797" t="e">
        <f t="shared" si="418"/>
        <v>#VALUE!</v>
      </c>
      <c r="PS66" s="797" t="e">
        <f t="shared" si="418"/>
        <v>#VALUE!</v>
      </c>
      <c r="PT66" s="797" t="e">
        <f t="shared" si="418"/>
        <v>#VALUE!</v>
      </c>
      <c r="PU66" s="797" t="e">
        <f t="shared" si="418"/>
        <v>#VALUE!</v>
      </c>
      <c r="PV66" s="797" t="e">
        <f t="shared" si="418"/>
        <v>#VALUE!</v>
      </c>
      <c r="PW66" s="797" t="e">
        <f t="shared" si="418"/>
        <v>#VALUE!</v>
      </c>
      <c r="PX66" s="797" t="e">
        <f t="shared" ref="PX66:QZ66" si="425">PW66+1</f>
        <v>#VALUE!</v>
      </c>
      <c r="PY66" s="797" t="e">
        <f t="shared" si="425"/>
        <v>#VALUE!</v>
      </c>
      <c r="PZ66" s="797" t="e">
        <f t="shared" si="425"/>
        <v>#VALUE!</v>
      </c>
      <c r="QA66" s="797" t="e">
        <f t="shared" si="425"/>
        <v>#VALUE!</v>
      </c>
      <c r="QB66" s="797" t="e">
        <f t="shared" si="425"/>
        <v>#VALUE!</v>
      </c>
      <c r="QC66" s="797" t="e">
        <f t="shared" si="425"/>
        <v>#VALUE!</v>
      </c>
      <c r="QD66" s="797" t="e">
        <f t="shared" si="425"/>
        <v>#VALUE!</v>
      </c>
      <c r="QE66" s="797" t="e">
        <f t="shared" si="425"/>
        <v>#VALUE!</v>
      </c>
      <c r="QF66" s="797" t="e">
        <f t="shared" si="425"/>
        <v>#VALUE!</v>
      </c>
      <c r="QG66" s="797" t="e">
        <f t="shared" si="425"/>
        <v>#VALUE!</v>
      </c>
      <c r="QH66" s="797" t="e">
        <f t="shared" si="425"/>
        <v>#VALUE!</v>
      </c>
      <c r="QI66" s="797" t="e">
        <f t="shared" si="425"/>
        <v>#VALUE!</v>
      </c>
      <c r="QJ66" s="797" t="e">
        <f t="shared" si="425"/>
        <v>#VALUE!</v>
      </c>
      <c r="QK66" s="797" t="e">
        <f t="shared" si="425"/>
        <v>#VALUE!</v>
      </c>
      <c r="QL66" s="797" t="e">
        <f t="shared" si="425"/>
        <v>#VALUE!</v>
      </c>
      <c r="QM66" s="797" t="e">
        <f t="shared" si="425"/>
        <v>#VALUE!</v>
      </c>
      <c r="QN66" s="797" t="e">
        <f t="shared" si="425"/>
        <v>#VALUE!</v>
      </c>
      <c r="QO66" s="797" t="e">
        <f t="shared" si="425"/>
        <v>#VALUE!</v>
      </c>
      <c r="QP66" s="797" t="e">
        <f t="shared" si="425"/>
        <v>#VALUE!</v>
      </c>
      <c r="QQ66" s="797" t="e">
        <f t="shared" si="425"/>
        <v>#VALUE!</v>
      </c>
      <c r="QR66" s="797" t="e">
        <f t="shared" si="425"/>
        <v>#VALUE!</v>
      </c>
      <c r="QS66" s="797" t="e">
        <f t="shared" si="425"/>
        <v>#VALUE!</v>
      </c>
      <c r="QT66" s="797" t="e">
        <f t="shared" si="425"/>
        <v>#VALUE!</v>
      </c>
      <c r="QU66" s="797" t="e">
        <f t="shared" si="425"/>
        <v>#VALUE!</v>
      </c>
      <c r="QV66" s="797" t="e">
        <f t="shared" si="425"/>
        <v>#VALUE!</v>
      </c>
      <c r="QW66" s="797" t="e">
        <f t="shared" si="425"/>
        <v>#VALUE!</v>
      </c>
      <c r="QX66" s="797" t="e">
        <f t="shared" si="425"/>
        <v>#VALUE!</v>
      </c>
      <c r="QY66" s="797" t="e">
        <f t="shared" si="425"/>
        <v>#VALUE!</v>
      </c>
      <c r="QZ66" s="797" t="e">
        <f t="shared" si="425"/>
        <v>#VALUE!</v>
      </c>
      <c r="RA66" s="797"/>
      <c r="RC66" s="797"/>
    </row>
    <row r="67" spans="2:471" ht="17.25">
      <c r="B67" s="2"/>
      <c r="C67" s="2"/>
      <c r="D67" s="2">
        <v>1893</v>
      </c>
      <c r="E67" s="2">
        <f>D67*0.25875338735</f>
        <v>489.82016225354994</v>
      </c>
      <c r="F67" s="2">
        <v>0.25344611630000002</v>
      </c>
      <c r="G67" s="2">
        <f>F67+E67</f>
        <v>490.07360836984992</v>
      </c>
      <c r="H67" s="2">
        <f>G67+D67</f>
        <v>2383.0736083698498</v>
      </c>
      <c r="I67" s="2">
        <f>INT(MOD(H67,7))</f>
        <v>3</v>
      </c>
      <c r="J67" s="2" t="str">
        <f>IF(I67=1,"شنبه",IF(I67=2,"یک شنبه",IF(I67=3,"دوشنبه",IF(I67=4,"سه شنبه",IF(I67=5,"چهار شنبه",IF(I67=6,"پنج شنبه",IF(I67=0,"جمعه")))))))</f>
        <v>دوشنبه</v>
      </c>
      <c r="K67" s="2"/>
      <c r="L67" s="2"/>
      <c r="M67" s="2"/>
      <c r="N67" s="2"/>
      <c r="O67" s="2"/>
      <c r="P67" s="2"/>
      <c r="Q67" s="2"/>
      <c r="R67" s="2"/>
      <c r="S67" s="2"/>
      <c r="T67" s="2"/>
      <c r="U67" s="2"/>
      <c r="V67" s="2"/>
      <c r="W67" s="2"/>
      <c r="X67" s="2"/>
      <c r="Y67" s="2"/>
      <c r="Z67" s="2"/>
      <c r="AA67" s="2"/>
      <c r="AB67" s="2"/>
      <c r="AC67" s="2"/>
      <c r="DH67" s="797">
        <v>8</v>
      </c>
      <c r="DI67" s="797" t="s">
        <v>3803</v>
      </c>
      <c r="DJ67" s="960" t="e">
        <f>RB56+1</f>
        <v>#VALUE!</v>
      </c>
      <c r="DK67" s="921" t="e">
        <f>DJ67+1</f>
        <v>#VALUE!</v>
      </c>
      <c r="DL67" s="921" t="e">
        <f t="shared" ref="DL67:FW67" si="426">DK67+1</f>
        <v>#VALUE!</v>
      </c>
      <c r="DM67" s="921" t="e">
        <f t="shared" si="426"/>
        <v>#VALUE!</v>
      </c>
      <c r="DN67" s="921" t="e">
        <f t="shared" si="426"/>
        <v>#VALUE!</v>
      </c>
      <c r="DO67" s="921" t="e">
        <f t="shared" si="426"/>
        <v>#VALUE!</v>
      </c>
      <c r="DP67" s="921" t="e">
        <f t="shared" si="426"/>
        <v>#VALUE!</v>
      </c>
      <c r="DQ67" s="921" t="e">
        <f t="shared" si="426"/>
        <v>#VALUE!</v>
      </c>
      <c r="DR67" s="921" t="e">
        <f t="shared" si="426"/>
        <v>#VALUE!</v>
      </c>
      <c r="DS67" s="921" t="e">
        <f t="shared" si="426"/>
        <v>#VALUE!</v>
      </c>
      <c r="DT67" s="921" t="e">
        <f t="shared" si="426"/>
        <v>#VALUE!</v>
      </c>
      <c r="DU67" s="921" t="e">
        <f t="shared" si="426"/>
        <v>#VALUE!</v>
      </c>
      <c r="DV67" s="921" t="e">
        <f t="shared" si="426"/>
        <v>#VALUE!</v>
      </c>
      <c r="DW67" s="921" t="e">
        <f t="shared" si="426"/>
        <v>#VALUE!</v>
      </c>
      <c r="DX67" s="921" t="e">
        <f t="shared" si="426"/>
        <v>#VALUE!</v>
      </c>
      <c r="DY67" s="921" t="e">
        <f t="shared" si="426"/>
        <v>#VALUE!</v>
      </c>
      <c r="DZ67" s="921" t="e">
        <f t="shared" si="426"/>
        <v>#VALUE!</v>
      </c>
      <c r="EA67" s="921" t="e">
        <f t="shared" si="426"/>
        <v>#VALUE!</v>
      </c>
      <c r="EB67" s="921" t="e">
        <f t="shared" si="426"/>
        <v>#VALUE!</v>
      </c>
      <c r="EC67" s="921" t="e">
        <f t="shared" si="426"/>
        <v>#VALUE!</v>
      </c>
      <c r="ED67" s="921" t="e">
        <f t="shared" si="426"/>
        <v>#VALUE!</v>
      </c>
      <c r="EE67" s="921" t="e">
        <f t="shared" si="426"/>
        <v>#VALUE!</v>
      </c>
      <c r="EF67" s="921" t="e">
        <f t="shared" si="426"/>
        <v>#VALUE!</v>
      </c>
      <c r="EG67" s="921" t="e">
        <f t="shared" si="426"/>
        <v>#VALUE!</v>
      </c>
      <c r="EH67" s="921" t="e">
        <f t="shared" si="426"/>
        <v>#VALUE!</v>
      </c>
      <c r="EI67" s="921" t="e">
        <f t="shared" si="426"/>
        <v>#VALUE!</v>
      </c>
      <c r="EJ67" s="921" t="e">
        <f t="shared" si="426"/>
        <v>#VALUE!</v>
      </c>
      <c r="EK67" s="921" t="e">
        <f t="shared" si="426"/>
        <v>#VALUE!</v>
      </c>
      <c r="EL67" s="921" t="e">
        <f t="shared" si="426"/>
        <v>#VALUE!</v>
      </c>
      <c r="EM67" s="921" t="e">
        <f t="shared" si="426"/>
        <v>#VALUE!</v>
      </c>
      <c r="EN67" s="921" t="e">
        <f t="shared" si="426"/>
        <v>#VALUE!</v>
      </c>
      <c r="EO67" s="921" t="e">
        <f t="shared" si="426"/>
        <v>#VALUE!</v>
      </c>
      <c r="EP67" s="921" t="e">
        <f t="shared" si="426"/>
        <v>#VALUE!</v>
      </c>
      <c r="EQ67" s="921" t="e">
        <f t="shared" si="426"/>
        <v>#VALUE!</v>
      </c>
      <c r="ER67" s="921" t="e">
        <f t="shared" si="426"/>
        <v>#VALUE!</v>
      </c>
      <c r="ES67" s="921" t="e">
        <f t="shared" si="426"/>
        <v>#VALUE!</v>
      </c>
      <c r="ET67" s="921" t="e">
        <f t="shared" si="426"/>
        <v>#VALUE!</v>
      </c>
      <c r="EU67" s="921" t="e">
        <f t="shared" si="426"/>
        <v>#VALUE!</v>
      </c>
      <c r="EV67" s="921" t="e">
        <f t="shared" si="426"/>
        <v>#VALUE!</v>
      </c>
      <c r="EW67" s="921" t="e">
        <f t="shared" si="426"/>
        <v>#VALUE!</v>
      </c>
      <c r="EX67" s="921" t="e">
        <f t="shared" si="426"/>
        <v>#VALUE!</v>
      </c>
      <c r="EY67" s="921" t="e">
        <f t="shared" si="426"/>
        <v>#VALUE!</v>
      </c>
      <c r="EZ67" s="921" t="e">
        <f t="shared" si="426"/>
        <v>#VALUE!</v>
      </c>
      <c r="FA67" s="921" t="e">
        <f t="shared" si="426"/>
        <v>#VALUE!</v>
      </c>
      <c r="FB67" s="921" t="e">
        <f t="shared" si="426"/>
        <v>#VALUE!</v>
      </c>
      <c r="FC67" s="921" t="e">
        <f t="shared" si="426"/>
        <v>#VALUE!</v>
      </c>
      <c r="FD67" s="921" t="e">
        <f t="shared" si="426"/>
        <v>#VALUE!</v>
      </c>
      <c r="FE67" s="921" t="e">
        <f t="shared" si="426"/>
        <v>#VALUE!</v>
      </c>
      <c r="FF67" s="921" t="e">
        <f t="shared" si="426"/>
        <v>#VALUE!</v>
      </c>
      <c r="FG67" s="921" t="e">
        <f t="shared" si="426"/>
        <v>#VALUE!</v>
      </c>
      <c r="FH67" s="921" t="e">
        <f t="shared" si="426"/>
        <v>#VALUE!</v>
      </c>
      <c r="FI67" s="921" t="e">
        <f t="shared" si="426"/>
        <v>#VALUE!</v>
      </c>
      <c r="FJ67" s="921" t="e">
        <f t="shared" si="426"/>
        <v>#VALUE!</v>
      </c>
      <c r="FK67" s="921" t="e">
        <f t="shared" si="426"/>
        <v>#VALUE!</v>
      </c>
      <c r="FL67" s="921" t="e">
        <f t="shared" si="426"/>
        <v>#VALUE!</v>
      </c>
      <c r="FM67" s="921" t="e">
        <f t="shared" si="426"/>
        <v>#VALUE!</v>
      </c>
      <c r="FN67" s="921" t="e">
        <f t="shared" si="426"/>
        <v>#VALUE!</v>
      </c>
      <c r="FO67" s="921" t="e">
        <f t="shared" si="426"/>
        <v>#VALUE!</v>
      </c>
      <c r="FP67" s="921" t="e">
        <f t="shared" si="426"/>
        <v>#VALUE!</v>
      </c>
      <c r="FQ67" s="921" t="e">
        <f t="shared" si="426"/>
        <v>#VALUE!</v>
      </c>
      <c r="FR67" s="921" t="e">
        <f t="shared" si="426"/>
        <v>#VALUE!</v>
      </c>
      <c r="FS67" s="921" t="e">
        <f t="shared" si="426"/>
        <v>#VALUE!</v>
      </c>
      <c r="FT67" s="921" t="e">
        <f t="shared" si="426"/>
        <v>#VALUE!</v>
      </c>
      <c r="FU67" s="921" t="e">
        <f t="shared" si="426"/>
        <v>#VALUE!</v>
      </c>
      <c r="FV67" s="921" t="e">
        <f t="shared" si="426"/>
        <v>#VALUE!</v>
      </c>
      <c r="FW67" s="921" t="e">
        <f t="shared" si="426"/>
        <v>#VALUE!</v>
      </c>
      <c r="FX67" s="921" t="e">
        <f t="shared" ref="FX67:II67" si="427">FW67+1</f>
        <v>#VALUE!</v>
      </c>
      <c r="FY67" s="921" t="e">
        <f t="shared" si="427"/>
        <v>#VALUE!</v>
      </c>
      <c r="FZ67" s="921" t="e">
        <f t="shared" si="427"/>
        <v>#VALUE!</v>
      </c>
      <c r="GA67" s="921" t="e">
        <f t="shared" si="427"/>
        <v>#VALUE!</v>
      </c>
      <c r="GB67" s="921" t="e">
        <f t="shared" si="427"/>
        <v>#VALUE!</v>
      </c>
      <c r="GC67" s="921" t="e">
        <f t="shared" si="427"/>
        <v>#VALUE!</v>
      </c>
      <c r="GD67" s="921" t="e">
        <f t="shared" si="427"/>
        <v>#VALUE!</v>
      </c>
      <c r="GE67" s="921" t="e">
        <f t="shared" si="427"/>
        <v>#VALUE!</v>
      </c>
      <c r="GF67" s="921" t="e">
        <f t="shared" si="427"/>
        <v>#VALUE!</v>
      </c>
      <c r="GG67" s="921" t="e">
        <f t="shared" si="427"/>
        <v>#VALUE!</v>
      </c>
      <c r="GH67" s="921" t="e">
        <f t="shared" si="427"/>
        <v>#VALUE!</v>
      </c>
      <c r="GI67" s="921" t="e">
        <f t="shared" si="427"/>
        <v>#VALUE!</v>
      </c>
      <c r="GJ67" s="921" t="e">
        <f t="shared" si="427"/>
        <v>#VALUE!</v>
      </c>
      <c r="GK67" s="921" t="e">
        <f t="shared" si="427"/>
        <v>#VALUE!</v>
      </c>
      <c r="GL67" s="921" t="e">
        <f t="shared" si="427"/>
        <v>#VALUE!</v>
      </c>
      <c r="GM67" s="921" t="e">
        <f t="shared" si="427"/>
        <v>#VALUE!</v>
      </c>
      <c r="GN67" s="921" t="e">
        <f t="shared" si="427"/>
        <v>#VALUE!</v>
      </c>
      <c r="GO67" s="921" t="e">
        <f t="shared" si="427"/>
        <v>#VALUE!</v>
      </c>
      <c r="GP67" s="921" t="e">
        <f t="shared" si="427"/>
        <v>#VALUE!</v>
      </c>
      <c r="GQ67" s="921" t="e">
        <f t="shared" si="427"/>
        <v>#VALUE!</v>
      </c>
      <c r="GR67" s="921" t="e">
        <f t="shared" si="427"/>
        <v>#VALUE!</v>
      </c>
      <c r="GS67" s="921" t="e">
        <f t="shared" si="427"/>
        <v>#VALUE!</v>
      </c>
      <c r="GT67" s="921" t="e">
        <f t="shared" si="427"/>
        <v>#VALUE!</v>
      </c>
      <c r="GU67" s="921" t="e">
        <f t="shared" si="427"/>
        <v>#VALUE!</v>
      </c>
      <c r="GV67" s="921" t="e">
        <f t="shared" si="427"/>
        <v>#VALUE!</v>
      </c>
      <c r="GW67" s="921" t="e">
        <f t="shared" si="427"/>
        <v>#VALUE!</v>
      </c>
      <c r="GX67" s="921" t="e">
        <f t="shared" si="427"/>
        <v>#VALUE!</v>
      </c>
      <c r="GY67" s="921" t="e">
        <f t="shared" si="427"/>
        <v>#VALUE!</v>
      </c>
      <c r="GZ67" s="921" t="e">
        <f t="shared" si="427"/>
        <v>#VALUE!</v>
      </c>
      <c r="HA67" s="921" t="e">
        <f t="shared" si="427"/>
        <v>#VALUE!</v>
      </c>
      <c r="HB67" s="921" t="e">
        <f t="shared" si="427"/>
        <v>#VALUE!</v>
      </c>
      <c r="HC67" s="921" t="e">
        <f t="shared" si="427"/>
        <v>#VALUE!</v>
      </c>
      <c r="HD67" s="921" t="e">
        <f t="shared" si="427"/>
        <v>#VALUE!</v>
      </c>
      <c r="HE67" s="921" t="e">
        <f t="shared" si="427"/>
        <v>#VALUE!</v>
      </c>
      <c r="HF67" s="921" t="e">
        <f t="shared" si="427"/>
        <v>#VALUE!</v>
      </c>
      <c r="HG67" s="921" t="e">
        <f t="shared" si="427"/>
        <v>#VALUE!</v>
      </c>
      <c r="HH67" s="921" t="e">
        <f t="shared" si="427"/>
        <v>#VALUE!</v>
      </c>
      <c r="HI67" s="921" t="e">
        <f t="shared" si="427"/>
        <v>#VALUE!</v>
      </c>
      <c r="HJ67" s="921" t="e">
        <f t="shared" si="427"/>
        <v>#VALUE!</v>
      </c>
      <c r="HK67" s="921" t="e">
        <f t="shared" si="427"/>
        <v>#VALUE!</v>
      </c>
      <c r="HL67" s="921" t="e">
        <f t="shared" si="427"/>
        <v>#VALUE!</v>
      </c>
      <c r="HM67" s="921" t="e">
        <f t="shared" si="427"/>
        <v>#VALUE!</v>
      </c>
      <c r="HN67" s="921" t="e">
        <f t="shared" si="427"/>
        <v>#VALUE!</v>
      </c>
      <c r="HO67" s="921" t="e">
        <f t="shared" si="427"/>
        <v>#VALUE!</v>
      </c>
      <c r="HP67" s="921" t="e">
        <f t="shared" si="427"/>
        <v>#VALUE!</v>
      </c>
      <c r="HQ67" s="921" t="e">
        <f t="shared" si="427"/>
        <v>#VALUE!</v>
      </c>
      <c r="HR67" s="921" t="e">
        <f t="shared" si="427"/>
        <v>#VALUE!</v>
      </c>
      <c r="HS67" s="921" t="e">
        <f t="shared" si="427"/>
        <v>#VALUE!</v>
      </c>
      <c r="HT67" s="921" t="e">
        <f t="shared" si="427"/>
        <v>#VALUE!</v>
      </c>
      <c r="HU67" s="921" t="e">
        <f t="shared" si="427"/>
        <v>#VALUE!</v>
      </c>
      <c r="HV67" s="921" t="e">
        <f t="shared" si="427"/>
        <v>#VALUE!</v>
      </c>
      <c r="HW67" s="921" t="e">
        <f t="shared" si="427"/>
        <v>#VALUE!</v>
      </c>
      <c r="HX67" s="921" t="e">
        <f t="shared" si="427"/>
        <v>#VALUE!</v>
      </c>
      <c r="HY67" s="921" t="e">
        <f t="shared" si="427"/>
        <v>#VALUE!</v>
      </c>
      <c r="HZ67" s="921" t="e">
        <f t="shared" si="427"/>
        <v>#VALUE!</v>
      </c>
      <c r="IA67" s="921" t="e">
        <f t="shared" si="427"/>
        <v>#VALUE!</v>
      </c>
      <c r="IB67" s="921" t="e">
        <f t="shared" si="427"/>
        <v>#VALUE!</v>
      </c>
      <c r="IC67" s="921" t="e">
        <f t="shared" si="427"/>
        <v>#VALUE!</v>
      </c>
      <c r="ID67" s="921" t="e">
        <f t="shared" si="427"/>
        <v>#VALUE!</v>
      </c>
      <c r="IE67" s="921" t="e">
        <f t="shared" si="427"/>
        <v>#VALUE!</v>
      </c>
      <c r="IF67" s="921" t="e">
        <f t="shared" si="427"/>
        <v>#VALUE!</v>
      </c>
      <c r="IG67" s="921" t="e">
        <f t="shared" si="427"/>
        <v>#VALUE!</v>
      </c>
      <c r="IH67" s="921" t="e">
        <f t="shared" si="427"/>
        <v>#VALUE!</v>
      </c>
      <c r="II67" s="921" t="e">
        <f t="shared" si="427"/>
        <v>#VALUE!</v>
      </c>
      <c r="IJ67" s="921" t="e">
        <f t="shared" ref="IJ67:KU67" si="428">II67+1</f>
        <v>#VALUE!</v>
      </c>
      <c r="IK67" s="921" t="e">
        <f t="shared" si="428"/>
        <v>#VALUE!</v>
      </c>
      <c r="IL67" s="921" t="e">
        <f t="shared" si="428"/>
        <v>#VALUE!</v>
      </c>
      <c r="IM67" s="921" t="e">
        <f t="shared" si="428"/>
        <v>#VALUE!</v>
      </c>
      <c r="IN67" s="921" t="e">
        <f t="shared" si="428"/>
        <v>#VALUE!</v>
      </c>
      <c r="IO67" s="921" t="e">
        <f t="shared" si="428"/>
        <v>#VALUE!</v>
      </c>
      <c r="IP67" s="921" t="e">
        <f t="shared" si="428"/>
        <v>#VALUE!</v>
      </c>
      <c r="IQ67" s="921" t="e">
        <f t="shared" si="428"/>
        <v>#VALUE!</v>
      </c>
      <c r="IR67" s="921" t="e">
        <f t="shared" si="428"/>
        <v>#VALUE!</v>
      </c>
      <c r="IS67" s="921" t="e">
        <f t="shared" si="428"/>
        <v>#VALUE!</v>
      </c>
      <c r="IT67" s="921" t="e">
        <f t="shared" si="428"/>
        <v>#VALUE!</v>
      </c>
      <c r="IU67" s="921" t="e">
        <f t="shared" si="428"/>
        <v>#VALUE!</v>
      </c>
      <c r="IV67" s="921" t="e">
        <f t="shared" si="428"/>
        <v>#VALUE!</v>
      </c>
      <c r="IW67" s="921" t="e">
        <f t="shared" si="428"/>
        <v>#VALUE!</v>
      </c>
      <c r="IX67" s="921" t="e">
        <f t="shared" si="428"/>
        <v>#VALUE!</v>
      </c>
      <c r="IY67" s="921" t="e">
        <f t="shared" si="428"/>
        <v>#VALUE!</v>
      </c>
      <c r="IZ67" s="921" t="e">
        <f t="shared" si="428"/>
        <v>#VALUE!</v>
      </c>
      <c r="JA67" s="921" t="e">
        <f t="shared" si="428"/>
        <v>#VALUE!</v>
      </c>
      <c r="JB67" s="921" t="e">
        <f t="shared" si="428"/>
        <v>#VALUE!</v>
      </c>
      <c r="JC67" s="921" t="e">
        <f t="shared" si="428"/>
        <v>#VALUE!</v>
      </c>
      <c r="JD67" s="921" t="e">
        <f t="shared" si="428"/>
        <v>#VALUE!</v>
      </c>
      <c r="JE67" s="921" t="e">
        <f t="shared" si="428"/>
        <v>#VALUE!</v>
      </c>
      <c r="JF67" s="921" t="e">
        <f t="shared" si="428"/>
        <v>#VALUE!</v>
      </c>
      <c r="JG67" s="921" t="e">
        <f t="shared" si="428"/>
        <v>#VALUE!</v>
      </c>
      <c r="JH67" s="921" t="e">
        <f t="shared" si="428"/>
        <v>#VALUE!</v>
      </c>
      <c r="JI67" s="921" t="e">
        <f t="shared" si="428"/>
        <v>#VALUE!</v>
      </c>
      <c r="JJ67" s="921" t="e">
        <f t="shared" si="428"/>
        <v>#VALUE!</v>
      </c>
      <c r="JK67" s="921" t="e">
        <f t="shared" si="428"/>
        <v>#VALUE!</v>
      </c>
      <c r="JL67" s="921" t="e">
        <f t="shared" si="428"/>
        <v>#VALUE!</v>
      </c>
      <c r="JM67" s="921" t="e">
        <f t="shared" si="428"/>
        <v>#VALUE!</v>
      </c>
      <c r="JN67" s="921" t="e">
        <f t="shared" si="428"/>
        <v>#VALUE!</v>
      </c>
      <c r="JO67" s="921" t="e">
        <f t="shared" si="428"/>
        <v>#VALUE!</v>
      </c>
      <c r="JP67" s="921" t="e">
        <f t="shared" si="428"/>
        <v>#VALUE!</v>
      </c>
      <c r="JQ67" s="921" t="e">
        <f t="shared" si="428"/>
        <v>#VALUE!</v>
      </c>
      <c r="JR67" s="921" t="e">
        <f t="shared" si="428"/>
        <v>#VALUE!</v>
      </c>
      <c r="JS67" s="921" t="e">
        <f t="shared" si="428"/>
        <v>#VALUE!</v>
      </c>
      <c r="JT67" s="921" t="e">
        <f t="shared" si="428"/>
        <v>#VALUE!</v>
      </c>
      <c r="JU67" s="921" t="e">
        <f t="shared" si="428"/>
        <v>#VALUE!</v>
      </c>
      <c r="JV67" s="921" t="e">
        <f t="shared" si="428"/>
        <v>#VALUE!</v>
      </c>
      <c r="JW67" s="921" t="e">
        <f t="shared" si="428"/>
        <v>#VALUE!</v>
      </c>
      <c r="JX67" s="921" t="e">
        <f t="shared" si="428"/>
        <v>#VALUE!</v>
      </c>
      <c r="JY67" s="921" t="e">
        <f t="shared" si="428"/>
        <v>#VALUE!</v>
      </c>
      <c r="JZ67" s="921" t="e">
        <f t="shared" si="428"/>
        <v>#VALUE!</v>
      </c>
      <c r="KA67" s="921" t="e">
        <f t="shared" si="428"/>
        <v>#VALUE!</v>
      </c>
      <c r="KB67" s="921" t="e">
        <f t="shared" si="428"/>
        <v>#VALUE!</v>
      </c>
      <c r="KC67" s="921" t="e">
        <f t="shared" si="428"/>
        <v>#VALUE!</v>
      </c>
      <c r="KD67" s="921" t="e">
        <f t="shared" si="428"/>
        <v>#VALUE!</v>
      </c>
      <c r="KE67" s="921" t="e">
        <f t="shared" si="428"/>
        <v>#VALUE!</v>
      </c>
      <c r="KF67" s="921" t="e">
        <f t="shared" si="428"/>
        <v>#VALUE!</v>
      </c>
      <c r="KG67" s="921" t="e">
        <f t="shared" si="428"/>
        <v>#VALUE!</v>
      </c>
      <c r="KH67" s="921" t="e">
        <f t="shared" si="428"/>
        <v>#VALUE!</v>
      </c>
      <c r="KI67" s="921" t="e">
        <f t="shared" si="428"/>
        <v>#VALUE!</v>
      </c>
      <c r="KJ67" s="921" t="e">
        <f t="shared" si="428"/>
        <v>#VALUE!</v>
      </c>
      <c r="KK67" s="921" t="e">
        <f t="shared" si="428"/>
        <v>#VALUE!</v>
      </c>
      <c r="KL67" s="921" t="e">
        <f t="shared" si="428"/>
        <v>#VALUE!</v>
      </c>
      <c r="KM67" s="921" t="e">
        <f t="shared" si="428"/>
        <v>#VALUE!</v>
      </c>
      <c r="KN67" s="921" t="e">
        <f t="shared" si="428"/>
        <v>#VALUE!</v>
      </c>
      <c r="KO67" s="921" t="e">
        <f t="shared" si="428"/>
        <v>#VALUE!</v>
      </c>
      <c r="KP67" s="921" t="e">
        <f t="shared" si="428"/>
        <v>#VALUE!</v>
      </c>
      <c r="KQ67" s="921" t="e">
        <f t="shared" si="428"/>
        <v>#VALUE!</v>
      </c>
      <c r="KR67" s="921" t="e">
        <f t="shared" si="428"/>
        <v>#VALUE!</v>
      </c>
      <c r="KS67" s="921" t="e">
        <f t="shared" si="428"/>
        <v>#VALUE!</v>
      </c>
      <c r="KT67" s="921" t="e">
        <f t="shared" si="428"/>
        <v>#VALUE!</v>
      </c>
      <c r="KU67" s="921" t="e">
        <f t="shared" si="428"/>
        <v>#VALUE!</v>
      </c>
      <c r="KV67" s="921" t="e">
        <f t="shared" ref="KV67:NG67" si="429">KU67+1</f>
        <v>#VALUE!</v>
      </c>
      <c r="KW67" s="921" t="e">
        <f t="shared" si="429"/>
        <v>#VALUE!</v>
      </c>
      <c r="KX67" s="921" t="e">
        <f t="shared" si="429"/>
        <v>#VALUE!</v>
      </c>
      <c r="KY67" s="921" t="e">
        <f t="shared" si="429"/>
        <v>#VALUE!</v>
      </c>
      <c r="KZ67" s="921" t="e">
        <f t="shared" si="429"/>
        <v>#VALUE!</v>
      </c>
      <c r="LA67" s="921" t="e">
        <f t="shared" si="429"/>
        <v>#VALUE!</v>
      </c>
      <c r="LB67" s="921" t="e">
        <f t="shared" si="429"/>
        <v>#VALUE!</v>
      </c>
      <c r="LC67" s="921" t="e">
        <f t="shared" si="429"/>
        <v>#VALUE!</v>
      </c>
      <c r="LD67" s="921" t="e">
        <f t="shared" si="429"/>
        <v>#VALUE!</v>
      </c>
      <c r="LE67" s="921" t="e">
        <f t="shared" si="429"/>
        <v>#VALUE!</v>
      </c>
      <c r="LF67" s="921" t="e">
        <f t="shared" si="429"/>
        <v>#VALUE!</v>
      </c>
      <c r="LG67" s="921" t="e">
        <f t="shared" si="429"/>
        <v>#VALUE!</v>
      </c>
      <c r="LH67" s="921" t="e">
        <f t="shared" si="429"/>
        <v>#VALUE!</v>
      </c>
      <c r="LI67" s="921" t="e">
        <f t="shared" si="429"/>
        <v>#VALUE!</v>
      </c>
      <c r="LJ67" s="921" t="e">
        <f t="shared" si="429"/>
        <v>#VALUE!</v>
      </c>
      <c r="LK67" s="921" t="e">
        <f t="shared" si="429"/>
        <v>#VALUE!</v>
      </c>
      <c r="LL67" s="921" t="e">
        <f t="shared" si="429"/>
        <v>#VALUE!</v>
      </c>
      <c r="LM67" s="921" t="e">
        <f t="shared" si="429"/>
        <v>#VALUE!</v>
      </c>
      <c r="LN67" s="921" t="e">
        <f t="shared" si="429"/>
        <v>#VALUE!</v>
      </c>
      <c r="LO67" s="921" t="e">
        <f t="shared" si="429"/>
        <v>#VALUE!</v>
      </c>
      <c r="LP67" s="921" t="e">
        <f t="shared" si="429"/>
        <v>#VALUE!</v>
      </c>
      <c r="LQ67" s="921" t="e">
        <f t="shared" si="429"/>
        <v>#VALUE!</v>
      </c>
      <c r="LR67" s="921" t="e">
        <f t="shared" si="429"/>
        <v>#VALUE!</v>
      </c>
      <c r="LS67" s="921" t="e">
        <f t="shared" si="429"/>
        <v>#VALUE!</v>
      </c>
      <c r="LT67" s="921" t="e">
        <f t="shared" si="429"/>
        <v>#VALUE!</v>
      </c>
      <c r="LU67" s="921" t="e">
        <f t="shared" si="429"/>
        <v>#VALUE!</v>
      </c>
      <c r="LV67" s="921" t="e">
        <f t="shared" si="429"/>
        <v>#VALUE!</v>
      </c>
      <c r="LW67" s="921" t="e">
        <f t="shared" si="429"/>
        <v>#VALUE!</v>
      </c>
      <c r="LX67" s="921" t="e">
        <f t="shared" si="429"/>
        <v>#VALUE!</v>
      </c>
      <c r="LY67" s="921" t="e">
        <f t="shared" si="429"/>
        <v>#VALUE!</v>
      </c>
      <c r="LZ67" s="921" t="e">
        <f t="shared" si="429"/>
        <v>#VALUE!</v>
      </c>
      <c r="MA67" s="921" t="e">
        <f t="shared" si="429"/>
        <v>#VALUE!</v>
      </c>
      <c r="MB67" s="921" t="e">
        <f t="shared" si="429"/>
        <v>#VALUE!</v>
      </c>
      <c r="MC67" s="921" t="e">
        <f t="shared" si="429"/>
        <v>#VALUE!</v>
      </c>
      <c r="MD67" s="921" t="e">
        <f t="shared" si="429"/>
        <v>#VALUE!</v>
      </c>
      <c r="ME67" s="921" t="e">
        <f t="shared" si="429"/>
        <v>#VALUE!</v>
      </c>
      <c r="MF67" s="921" t="e">
        <f t="shared" si="429"/>
        <v>#VALUE!</v>
      </c>
      <c r="MG67" s="921" t="e">
        <f t="shared" si="429"/>
        <v>#VALUE!</v>
      </c>
      <c r="MH67" s="921" t="e">
        <f t="shared" si="429"/>
        <v>#VALUE!</v>
      </c>
      <c r="MI67" s="921" t="e">
        <f t="shared" si="429"/>
        <v>#VALUE!</v>
      </c>
      <c r="MJ67" s="921" t="e">
        <f t="shared" si="429"/>
        <v>#VALUE!</v>
      </c>
      <c r="MK67" s="921" t="e">
        <f t="shared" si="429"/>
        <v>#VALUE!</v>
      </c>
      <c r="ML67" s="921" t="e">
        <f t="shared" si="429"/>
        <v>#VALUE!</v>
      </c>
      <c r="MM67" s="921" t="e">
        <f t="shared" si="429"/>
        <v>#VALUE!</v>
      </c>
      <c r="MN67" s="921" t="e">
        <f t="shared" si="429"/>
        <v>#VALUE!</v>
      </c>
      <c r="MO67" s="921" t="e">
        <f t="shared" si="429"/>
        <v>#VALUE!</v>
      </c>
      <c r="MP67" s="921" t="e">
        <f t="shared" si="429"/>
        <v>#VALUE!</v>
      </c>
      <c r="MQ67" s="921" t="e">
        <f t="shared" si="429"/>
        <v>#VALUE!</v>
      </c>
      <c r="MR67" s="921" t="e">
        <f t="shared" si="429"/>
        <v>#VALUE!</v>
      </c>
      <c r="MS67" s="921" t="e">
        <f t="shared" si="429"/>
        <v>#VALUE!</v>
      </c>
      <c r="MT67" s="921" t="e">
        <f t="shared" si="429"/>
        <v>#VALUE!</v>
      </c>
      <c r="MU67" s="921" t="e">
        <f t="shared" si="429"/>
        <v>#VALUE!</v>
      </c>
      <c r="MV67" s="921" t="e">
        <f t="shared" si="429"/>
        <v>#VALUE!</v>
      </c>
      <c r="MW67" s="921" t="e">
        <f t="shared" si="429"/>
        <v>#VALUE!</v>
      </c>
      <c r="MX67" s="921" t="e">
        <f t="shared" si="429"/>
        <v>#VALUE!</v>
      </c>
      <c r="MY67" s="921" t="e">
        <f t="shared" si="429"/>
        <v>#VALUE!</v>
      </c>
      <c r="MZ67" s="921" t="e">
        <f t="shared" si="429"/>
        <v>#VALUE!</v>
      </c>
      <c r="NA67" s="921" t="e">
        <f t="shared" si="429"/>
        <v>#VALUE!</v>
      </c>
      <c r="NB67" s="921" t="e">
        <f t="shared" si="429"/>
        <v>#VALUE!</v>
      </c>
      <c r="NC67" s="921" t="e">
        <f t="shared" si="429"/>
        <v>#VALUE!</v>
      </c>
      <c r="ND67" s="921" t="e">
        <f t="shared" si="429"/>
        <v>#VALUE!</v>
      </c>
      <c r="NE67" s="921" t="e">
        <f t="shared" si="429"/>
        <v>#VALUE!</v>
      </c>
      <c r="NF67" s="921" t="e">
        <f t="shared" si="429"/>
        <v>#VALUE!</v>
      </c>
      <c r="NG67" s="921" t="e">
        <f t="shared" si="429"/>
        <v>#VALUE!</v>
      </c>
      <c r="NH67" s="921" t="e">
        <f t="shared" ref="NH67:PS67" si="430">NG67+1</f>
        <v>#VALUE!</v>
      </c>
      <c r="NI67" s="921" t="e">
        <f t="shared" si="430"/>
        <v>#VALUE!</v>
      </c>
      <c r="NJ67" s="921" t="e">
        <f t="shared" si="430"/>
        <v>#VALUE!</v>
      </c>
      <c r="NK67" s="921" t="e">
        <f t="shared" si="430"/>
        <v>#VALUE!</v>
      </c>
      <c r="NL67" s="921" t="e">
        <f t="shared" si="430"/>
        <v>#VALUE!</v>
      </c>
      <c r="NM67" s="921" t="e">
        <f t="shared" si="430"/>
        <v>#VALUE!</v>
      </c>
      <c r="NN67" s="921" t="e">
        <f t="shared" si="430"/>
        <v>#VALUE!</v>
      </c>
      <c r="NO67" s="921" t="e">
        <f t="shared" si="430"/>
        <v>#VALUE!</v>
      </c>
      <c r="NP67" s="921" t="e">
        <f t="shared" si="430"/>
        <v>#VALUE!</v>
      </c>
      <c r="NQ67" s="921" t="e">
        <f t="shared" si="430"/>
        <v>#VALUE!</v>
      </c>
      <c r="NR67" s="921" t="e">
        <f t="shared" si="430"/>
        <v>#VALUE!</v>
      </c>
      <c r="NS67" s="921" t="e">
        <f t="shared" si="430"/>
        <v>#VALUE!</v>
      </c>
      <c r="NT67" s="921" t="e">
        <f t="shared" si="430"/>
        <v>#VALUE!</v>
      </c>
      <c r="NU67" s="921" t="e">
        <f t="shared" si="430"/>
        <v>#VALUE!</v>
      </c>
      <c r="NV67" s="921" t="e">
        <f t="shared" si="430"/>
        <v>#VALUE!</v>
      </c>
      <c r="NW67" s="921" t="e">
        <f t="shared" si="430"/>
        <v>#VALUE!</v>
      </c>
      <c r="NX67" s="921" t="e">
        <f t="shared" si="430"/>
        <v>#VALUE!</v>
      </c>
      <c r="NY67" s="921" t="e">
        <f t="shared" si="430"/>
        <v>#VALUE!</v>
      </c>
      <c r="NZ67" s="921" t="e">
        <f t="shared" si="430"/>
        <v>#VALUE!</v>
      </c>
      <c r="OA67" s="921" t="e">
        <f t="shared" si="430"/>
        <v>#VALUE!</v>
      </c>
      <c r="OB67" s="921" t="e">
        <f t="shared" si="430"/>
        <v>#VALUE!</v>
      </c>
      <c r="OC67" s="921" t="e">
        <f t="shared" si="430"/>
        <v>#VALUE!</v>
      </c>
      <c r="OD67" s="921" t="e">
        <f t="shared" si="430"/>
        <v>#VALUE!</v>
      </c>
      <c r="OE67" s="921" t="e">
        <f t="shared" si="430"/>
        <v>#VALUE!</v>
      </c>
      <c r="OF67" s="921" t="e">
        <f t="shared" si="430"/>
        <v>#VALUE!</v>
      </c>
      <c r="OG67" s="921" t="e">
        <f t="shared" si="430"/>
        <v>#VALUE!</v>
      </c>
      <c r="OH67" s="921" t="e">
        <f t="shared" si="430"/>
        <v>#VALUE!</v>
      </c>
      <c r="OI67" s="921" t="e">
        <f t="shared" si="430"/>
        <v>#VALUE!</v>
      </c>
      <c r="OJ67" s="921" t="e">
        <f t="shared" si="430"/>
        <v>#VALUE!</v>
      </c>
      <c r="OK67" s="921" t="e">
        <f t="shared" si="430"/>
        <v>#VALUE!</v>
      </c>
      <c r="OL67" s="921" t="e">
        <f t="shared" si="430"/>
        <v>#VALUE!</v>
      </c>
      <c r="OM67" s="921" t="e">
        <f t="shared" si="430"/>
        <v>#VALUE!</v>
      </c>
      <c r="ON67" s="921" t="e">
        <f t="shared" si="430"/>
        <v>#VALUE!</v>
      </c>
      <c r="OO67" s="921" t="e">
        <f t="shared" si="430"/>
        <v>#VALUE!</v>
      </c>
      <c r="OP67" s="921" t="e">
        <f t="shared" si="430"/>
        <v>#VALUE!</v>
      </c>
      <c r="OQ67" s="921" t="e">
        <f t="shared" si="430"/>
        <v>#VALUE!</v>
      </c>
      <c r="OR67" s="921" t="e">
        <f t="shared" si="430"/>
        <v>#VALUE!</v>
      </c>
      <c r="OS67" s="921" t="e">
        <f t="shared" si="430"/>
        <v>#VALUE!</v>
      </c>
      <c r="OT67" s="921" t="e">
        <f t="shared" si="430"/>
        <v>#VALUE!</v>
      </c>
      <c r="OU67" s="921" t="e">
        <f t="shared" si="430"/>
        <v>#VALUE!</v>
      </c>
      <c r="OV67" s="921" t="e">
        <f t="shared" si="430"/>
        <v>#VALUE!</v>
      </c>
      <c r="OW67" s="921" t="e">
        <f t="shared" si="430"/>
        <v>#VALUE!</v>
      </c>
      <c r="OX67" s="921" t="e">
        <f t="shared" si="430"/>
        <v>#VALUE!</v>
      </c>
      <c r="OY67" s="921" t="e">
        <f t="shared" si="430"/>
        <v>#VALUE!</v>
      </c>
      <c r="OZ67" s="921" t="e">
        <f t="shared" si="430"/>
        <v>#VALUE!</v>
      </c>
      <c r="PA67" s="921" t="e">
        <f t="shared" si="430"/>
        <v>#VALUE!</v>
      </c>
      <c r="PB67" s="921" t="e">
        <f t="shared" si="430"/>
        <v>#VALUE!</v>
      </c>
      <c r="PC67" s="921" t="e">
        <f t="shared" si="430"/>
        <v>#VALUE!</v>
      </c>
      <c r="PD67" s="921" t="e">
        <f t="shared" si="430"/>
        <v>#VALUE!</v>
      </c>
      <c r="PE67" s="921" t="e">
        <f t="shared" si="430"/>
        <v>#VALUE!</v>
      </c>
      <c r="PF67" s="921" t="e">
        <f t="shared" si="430"/>
        <v>#VALUE!</v>
      </c>
      <c r="PG67" s="921" t="e">
        <f t="shared" si="430"/>
        <v>#VALUE!</v>
      </c>
      <c r="PH67" s="921" t="e">
        <f t="shared" si="430"/>
        <v>#VALUE!</v>
      </c>
      <c r="PI67" s="921" t="e">
        <f t="shared" si="430"/>
        <v>#VALUE!</v>
      </c>
      <c r="PJ67" s="921" t="e">
        <f t="shared" si="430"/>
        <v>#VALUE!</v>
      </c>
      <c r="PK67" s="921" t="e">
        <f t="shared" si="430"/>
        <v>#VALUE!</v>
      </c>
      <c r="PL67" s="921" t="e">
        <f t="shared" si="430"/>
        <v>#VALUE!</v>
      </c>
      <c r="PM67" s="921" t="e">
        <f t="shared" si="430"/>
        <v>#VALUE!</v>
      </c>
      <c r="PN67" s="921" t="e">
        <f t="shared" si="430"/>
        <v>#VALUE!</v>
      </c>
      <c r="PO67" s="921" t="e">
        <f t="shared" si="430"/>
        <v>#VALUE!</v>
      </c>
      <c r="PP67" s="921" t="e">
        <f t="shared" si="430"/>
        <v>#VALUE!</v>
      </c>
      <c r="PQ67" s="921" t="e">
        <f t="shared" si="430"/>
        <v>#VALUE!</v>
      </c>
      <c r="PR67" s="921" t="e">
        <f t="shared" si="430"/>
        <v>#VALUE!</v>
      </c>
      <c r="PS67" s="921" t="e">
        <f t="shared" si="430"/>
        <v>#VALUE!</v>
      </c>
      <c r="PT67" s="921" t="e">
        <f t="shared" ref="PT67:RA67" si="431">PS67+1</f>
        <v>#VALUE!</v>
      </c>
      <c r="PU67" s="921" t="e">
        <f t="shared" si="431"/>
        <v>#VALUE!</v>
      </c>
      <c r="PV67" s="921" t="e">
        <f t="shared" si="431"/>
        <v>#VALUE!</v>
      </c>
      <c r="PW67" s="921" t="e">
        <f t="shared" si="431"/>
        <v>#VALUE!</v>
      </c>
      <c r="PX67" s="921" t="e">
        <f t="shared" si="431"/>
        <v>#VALUE!</v>
      </c>
      <c r="PY67" s="921" t="e">
        <f t="shared" si="431"/>
        <v>#VALUE!</v>
      </c>
      <c r="PZ67" s="921" t="e">
        <f t="shared" si="431"/>
        <v>#VALUE!</v>
      </c>
      <c r="QA67" s="921" t="e">
        <f t="shared" si="431"/>
        <v>#VALUE!</v>
      </c>
      <c r="QB67" s="921" t="e">
        <f t="shared" si="431"/>
        <v>#VALUE!</v>
      </c>
      <c r="QC67" s="921" t="e">
        <f t="shared" si="431"/>
        <v>#VALUE!</v>
      </c>
      <c r="QD67" s="921" t="e">
        <f t="shared" si="431"/>
        <v>#VALUE!</v>
      </c>
      <c r="QE67" s="921" t="e">
        <f t="shared" si="431"/>
        <v>#VALUE!</v>
      </c>
      <c r="QF67" s="921" t="e">
        <f t="shared" si="431"/>
        <v>#VALUE!</v>
      </c>
      <c r="QG67" s="921" t="e">
        <f t="shared" si="431"/>
        <v>#VALUE!</v>
      </c>
      <c r="QH67" s="921" t="e">
        <f t="shared" si="431"/>
        <v>#VALUE!</v>
      </c>
      <c r="QI67" s="921" t="e">
        <f t="shared" si="431"/>
        <v>#VALUE!</v>
      </c>
      <c r="QJ67" s="921" t="e">
        <f t="shared" si="431"/>
        <v>#VALUE!</v>
      </c>
      <c r="QK67" s="921" t="e">
        <f t="shared" si="431"/>
        <v>#VALUE!</v>
      </c>
      <c r="QL67" s="921" t="e">
        <f t="shared" si="431"/>
        <v>#VALUE!</v>
      </c>
      <c r="QM67" s="921" t="e">
        <f t="shared" si="431"/>
        <v>#VALUE!</v>
      </c>
      <c r="QN67" s="921" t="e">
        <f t="shared" si="431"/>
        <v>#VALUE!</v>
      </c>
      <c r="QO67" s="921" t="e">
        <f t="shared" si="431"/>
        <v>#VALUE!</v>
      </c>
      <c r="QP67" s="921" t="e">
        <f t="shared" si="431"/>
        <v>#VALUE!</v>
      </c>
      <c r="QQ67" s="921" t="e">
        <f t="shared" si="431"/>
        <v>#VALUE!</v>
      </c>
      <c r="QR67" s="921" t="e">
        <f t="shared" si="431"/>
        <v>#VALUE!</v>
      </c>
      <c r="QS67" s="921" t="e">
        <f t="shared" si="431"/>
        <v>#VALUE!</v>
      </c>
      <c r="QT67" s="921" t="e">
        <f t="shared" si="431"/>
        <v>#VALUE!</v>
      </c>
      <c r="QU67" s="921" t="e">
        <f t="shared" si="431"/>
        <v>#VALUE!</v>
      </c>
      <c r="QV67" s="921" t="e">
        <f t="shared" si="431"/>
        <v>#VALUE!</v>
      </c>
      <c r="QW67" s="921" t="e">
        <f t="shared" si="431"/>
        <v>#VALUE!</v>
      </c>
      <c r="QX67" s="921" t="e">
        <f t="shared" si="431"/>
        <v>#VALUE!</v>
      </c>
      <c r="QY67" s="921" t="e">
        <f t="shared" si="431"/>
        <v>#VALUE!</v>
      </c>
      <c r="QZ67" s="921" t="e">
        <f t="shared" si="431"/>
        <v>#VALUE!</v>
      </c>
      <c r="RA67" s="921" t="e">
        <f t="shared" si="431"/>
        <v>#VALUE!</v>
      </c>
      <c r="RB67" s="797" t="e">
        <f>IF(AND(QZ74&gt;=10,QZ75&gt;=10),QY67,QZ67)</f>
        <v>#VALUE!</v>
      </c>
      <c r="RC67" s="797"/>
    </row>
    <row r="68" spans="2:471" ht="17.25">
      <c r="B68" s="2" t="s">
        <v>44</v>
      </c>
      <c r="C68" s="2"/>
      <c r="D68" s="2"/>
      <c r="E68" s="2"/>
      <c r="F68" s="2"/>
      <c r="G68" s="2"/>
      <c r="H68" s="2"/>
      <c r="I68" s="2"/>
      <c r="J68" s="2"/>
      <c r="K68" s="2"/>
      <c r="L68" s="2"/>
      <c r="M68" s="2"/>
      <c r="N68" s="2"/>
      <c r="O68" s="2"/>
      <c r="P68" s="2"/>
      <c r="Q68" s="2">
        <v>1</v>
      </c>
      <c r="R68" s="2">
        <v>2</v>
      </c>
      <c r="S68" s="2">
        <v>3</v>
      </c>
      <c r="T68" s="2">
        <v>4</v>
      </c>
      <c r="U68" s="2">
        <v>5</v>
      </c>
      <c r="V68" s="2">
        <v>6</v>
      </c>
      <c r="W68" s="2">
        <v>7</v>
      </c>
      <c r="X68" s="2">
        <v>8</v>
      </c>
      <c r="Y68" s="2">
        <v>9</v>
      </c>
      <c r="Z68" s="2">
        <v>10</v>
      </c>
      <c r="AA68" s="2">
        <v>11</v>
      </c>
      <c r="AB68" s="2">
        <v>12</v>
      </c>
      <c r="AC68" s="2"/>
      <c r="DH68" s="797"/>
      <c r="DI68" s="797"/>
      <c r="DJ68" s="961">
        <f>[1]!mbtool(2,17,0,1)</f>
        <v>9.5138888888888884E-2</v>
      </c>
      <c r="DK68" s="962">
        <f>[1]!mbtool(2,17,0,1)</f>
        <v>9.5138888888888884E-2</v>
      </c>
      <c r="DL68" s="962">
        <f>[1]!mbtool(2,17,0,1)</f>
        <v>9.5138888888888884E-2</v>
      </c>
      <c r="DM68" s="962">
        <f>[1]!mbtool(2,17,0,1)</f>
        <v>9.5138888888888884E-2</v>
      </c>
      <c r="DN68" s="962">
        <f>[1]!mbtool(2,17,0,1)</f>
        <v>9.5138888888888884E-2</v>
      </c>
      <c r="DO68" s="962">
        <f>[1]!mbtool(2,17,0,1)</f>
        <v>9.5138888888888884E-2</v>
      </c>
      <c r="DP68" s="962">
        <f>[1]!mbtool(2,17,0,1)</f>
        <v>9.5138888888888884E-2</v>
      </c>
      <c r="DQ68" s="962">
        <f>[1]!mbtool(2,17,0,1)</f>
        <v>9.5138888888888884E-2</v>
      </c>
      <c r="DR68" s="962">
        <f>[1]!mbtool(2,17,0,1)</f>
        <v>9.5138888888888884E-2</v>
      </c>
      <c r="DS68" s="962">
        <f>[1]!mbtool(2,17,0,1)</f>
        <v>9.5138888888888884E-2</v>
      </c>
      <c r="DT68" s="962">
        <f>[1]!mbtool(2,17,0,1)</f>
        <v>9.5138888888888884E-2</v>
      </c>
      <c r="DU68" s="962">
        <f>[1]!mbtool(2,17,0,1)</f>
        <v>9.5138888888888884E-2</v>
      </c>
      <c r="DV68" s="962">
        <f>[1]!mbtool(2,17,0,1)</f>
        <v>9.5138888888888884E-2</v>
      </c>
      <c r="DW68" s="962">
        <f>[1]!mbtool(2,17,0,1)</f>
        <v>9.5138888888888884E-2</v>
      </c>
      <c r="DX68" s="962">
        <f>[1]!mbtool(2,17,0,1)</f>
        <v>9.5138888888888884E-2</v>
      </c>
      <c r="DY68" s="962">
        <f>[1]!mbtool(2,17,0,1)</f>
        <v>9.5138888888888884E-2</v>
      </c>
      <c r="DZ68" s="962">
        <f>[1]!mbtool(2,17,0,1)</f>
        <v>9.5138888888888884E-2</v>
      </c>
      <c r="EA68" s="962">
        <f>[1]!mbtool(2,17,0,1)</f>
        <v>9.5138888888888884E-2</v>
      </c>
      <c r="EB68" s="962">
        <f>[1]!mbtool(2,17,0,1)</f>
        <v>9.5138888888888884E-2</v>
      </c>
      <c r="EC68" s="962">
        <f>[1]!mbtool(2,17,0,1)</f>
        <v>9.5138888888888884E-2</v>
      </c>
      <c r="ED68" s="962">
        <f>[1]!mbtool(2,17,0,1)</f>
        <v>9.5138888888888884E-2</v>
      </c>
      <c r="EE68" s="962">
        <f>[1]!mbtool(2,17,0,1)</f>
        <v>9.5138888888888884E-2</v>
      </c>
      <c r="EF68" s="962">
        <f>[1]!mbtool(2,17,0,1)</f>
        <v>9.5138888888888884E-2</v>
      </c>
      <c r="EG68" s="962">
        <f>[1]!mbtool(2,17,0,1)</f>
        <v>9.5138888888888884E-2</v>
      </c>
      <c r="EH68" s="962">
        <f>[1]!mbtool(2,17,0,1)</f>
        <v>9.5138888888888884E-2</v>
      </c>
      <c r="EI68" s="962">
        <f>[1]!mbtool(2,17,0,1)</f>
        <v>9.5138888888888884E-2</v>
      </c>
      <c r="EJ68" s="962">
        <f>[1]!mbtool(2,17,0,1)</f>
        <v>9.5138888888888884E-2</v>
      </c>
      <c r="EK68" s="962">
        <f>[1]!mbtool(2,17,0,1)</f>
        <v>9.5138888888888884E-2</v>
      </c>
      <c r="EL68" s="962">
        <f>[1]!mbtool(2,17,0,1)</f>
        <v>9.5138888888888884E-2</v>
      </c>
      <c r="EM68" s="962">
        <f>[1]!mbtool(2,17,0,1)</f>
        <v>9.5138888888888884E-2</v>
      </c>
      <c r="EN68" s="962">
        <f>[1]!mbtool(2,17,0,1)</f>
        <v>9.5138888888888884E-2</v>
      </c>
      <c r="EO68" s="962">
        <f>[1]!mbtool(2,17,0,1)</f>
        <v>9.5138888888888884E-2</v>
      </c>
      <c r="EP68" s="962">
        <f>[1]!mbtool(2,17,0,1)</f>
        <v>9.5138888888888884E-2</v>
      </c>
      <c r="EQ68" s="962">
        <f>[1]!mbtool(2,17,0,1)</f>
        <v>9.5138888888888884E-2</v>
      </c>
      <c r="ER68" s="962">
        <f>[1]!mbtool(2,17,0,1)</f>
        <v>9.5138888888888884E-2</v>
      </c>
      <c r="ES68" s="962">
        <f>[1]!mbtool(2,17,0,1)</f>
        <v>9.5138888888888884E-2</v>
      </c>
      <c r="ET68" s="962">
        <f>[1]!mbtool(2,17,0,1)</f>
        <v>9.5138888888888884E-2</v>
      </c>
      <c r="EU68" s="962">
        <f>[1]!mbtool(2,17,0,1)</f>
        <v>9.5138888888888884E-2</v>
      </c>
      <c r="EV68" s="962">
        <f>[1]!mbtool(2,17,0,1)</f>
        <v>9.5138888888888884E-2</v>
      </c>
      <c r="EW68" s="962">
        <f>[1]!mbtool(2,17,0,1)</f>
        <v>9.5138888888888884E-2</v>
      </c>
      <c r="EX68" s="962">
        <f>[1]!mbtool(2,17,0,1)</f>
        <v>9.5138888888888884E-2</v>
      </c>
      <c r="EY68" s="962">
        <f>[1]!mbtool(2,17,0,1)</f>
        <v>9.5138888888888884E-2</v>
      </c>
      <c r="EZ68" s="962">
        <f>[1]!mbtool(2,17,0,1)</f>
        <v>9.5138888888888884E-2</v>
      </c>
      <c r="FA68" s="962">
        <f>[1]!mbtool(2,17,0,1)</f>
        <v>9.5138888888888884E-2</v>
      </c>
      <c r="FB68" s="962">
        <f>[1]!mbtool(2,17,0,1)</f>
        <v>9.5138888888888884E-2</v>
      </c>
      <c r="FC68" s="962">
        <f>[1]!mbtool(2,17,0,1)</f>
        <v>9.5138888888888884E-2</v>
      </c>
      <c r="FD68" s="962">
        <f>[1]!mbtool(2,17,0,1)</f>
        <v>9.5138888888888884E-2</v>
      </c>
      <c r="FE68" s="962">
        <f>[1]!mbtool(2,17,0,1)</f>
        <v>9.5138888888888884E-2</v>
      </c>
      <c r="FF68" s="962">
        <f>[1]!mbtool(2,17,0,1)</f>
        <v>9.5138888888888884E-2</v>
      </c>
      <c r="FG68" s="962">
        <f>[1]!mbtool(2,17,0,1)</f>
        <v>9.5138888888888884E-2</v>
      </c>
      <c r="FH68" s="962">
        <f>[1]!mbtool(2,17,0,1)</f>
        <v>9.5138888888888884E-2</v>
      </c>
      <c r="FI68" s="962">
        <f>[1]!mbtool(2,17,0,1)</f>
        <v>9.5138888888888884E-2</v>
      </c>
      <c r="FJ68" s="962">
        <f>[1]!mbtool(2,17,0,1)</f>
        <v>9.5138888888888884E-2</v>
      </c>
      <c r="FK68" s="962">
        <f>[1]!mbtool(2,17,0,1)</f>
        <v>9.5138888888888884E-2</v>
      </c>
      <c r="FL68" s="962">
        <f>[1]!mbtool(2,17,0,1)</f>
        <v>9.5138888888888884E-2</v>
      </c>
      <c r="FM68" s="962">
        <f>[1]!mbtool(2,17,0,1)</f>
        <v>9.5138888888888884E-2</v>
      </c>
      <c r="FN68" s="962">
        <f>[1]!mbtool(2,17,0,1)</f>
        <v>9.5138888888888884E-2</v>
      </c>
      <c r="FO68" s="962">
        <f>[1]!mbtool(2,17,0,1)</f>
        <v>9.5138888888888884E-2</v>
      </c>
      <c r="FP68" s="962">
        <f>[1]!mbtool(2,17,0,1)</f>
        <v>9.5138888888888884E-2</v>
      </c>
      <c r="FQ68" s="962">
        <f>[1]!mbtool(2,17,0,1)</f>
        <v>9.5138888888888884E-2</v>
      </c>
      <c r="FR68" s="962">
        <f>[1]!mbtool(2,17,0,1)</f>
        <v>9.5138888888888884E-2</v>
      </c>
      <c r="FS68" s="962">
        <f>[1]!mbtool(2,17,0,1)</f>
        <v>9.5138888888888884E-2</v>
      </c>
      <c r="FT68" s="962">
        <f>[1]!mbtool(2,17,0,1)</f>
        <v>9.5138888888888884E-2</v>
      </c>
      <c r="FU68" s="962">
        <f>[1]!mbtool(2,17,0,1)</f>
        <v>9.5138888888888884E-2</v>
      </c>
      <c r="FV68" s="962">
        <f>[1]!mbtool(2,17,0,1)</f>
        <v>9.5138888888888884E-2</v>
      </c>
      <c r="FW68" s="962">
        <f>[1]!mbtool(2,17,0,1)</f>
        <v>9.5138888888888884E-2</v>
      </c>
      <c r="FX68" s="962">
        <f>[1]!mbtool(2,17,0,1)</f>
        <v>9.5138888888888884E-2</v>
      </c>
      <c r="FY68" s="962">
        <f>[1]!mbtool(2,17,0,1)</f>
        <v>9.5138888888888884E-2</v>
      </c>
      <c r="FZ68" s="962">
        <f>[1]!mbtool(2,17,0,1)</f>
        <v>9.5138888888888884E-2</v>
      </c>
      <c r="GA68" s="962">
        <f>[1]!mbtool(2,17,0,1)</f>
        <v>9.5138888888888884E-2</v>
      </c>
      <c r="GB68" s="962">
        <f>[1]!mbtool(2,17,0,1)</f>
        <v>9.5138888888888884E-2</v>
      </c>
      <c r="GC68" s="962">
        <f>[1]!mbtool(2,17,0,1)</f>
        <v>9.5138888888888884E-2</v>
      </c>
      <c r="GD68" s="962">
        <f>[1]!mbtool(2,17,0,1)</f>
        <v>9.5138888888888884E-2</v>
      </c>
      <c r="GE68" s="962">
        <f>[1]!mbtool(2,17,0,1)</f>
        <v>9.5138888888888884E-2</v>
      </c>
      <c r="GF68" s="962">
        <f>[1]!mbtool(2,17,0,1)</f>
        <v>9.5138888888888884E-2</v>
      </c>
      <c r="GG68" s="962">
        <f>[1]!mbtool(2,17,0,1)</f>
        <v>9.5138888888888884E-2</v>
      </c>
      <c r="GH68" s="962">
        <f>[1]!mbtool(2,17,0,1)</f>
        <v>9.5138888888888884E-2</v>
      </c>
      <c r="GI68" s="962">
        <f>[1]!mbtool(2,17,0,1)</f>
        <v>9.5138888888888884E-2</v>
      </c>
      <c r="GJ68" s="962">
        <f>[1]!mbtool(2,17,0,1)</f>
        <v>9.5138888888888884E-2</v>
      </c>
      <c r="GK68" s="962">
        <f>[1]!mbtool(2,17,0,1)</f>
        <v>9.5138888888888884E-2</v>
      </c>
      <c r="GL68" s="962">
        <f>[1]!mbtool(2,17,0,1)</f>
        <v>9.5138888888888884E-2</v>
      </c>
      <c r="GM68" s="962">
        <f>[1]!mbtool(2,17,0,1)</f>
        <v>9.5138888888888884E-2</v>
      </c>
      <c r="GN68" s="962">
        <f>[1]!mbtool(2,17,0,1)</f>
        <v>9.5138888888888884E-2</v>
      </c>
      <c r="GO68" s="962">
        <f>[1]!mbtool(2,17,0,1)</f>
        <v>9.5138888888888884E-2</v>
      </c>
      <c r="GP68" s="962">
        <f>[1]!mbtool(2,17,0,1)</f>
        <v>9.5138888888888884E-2</v>
      </c>
      <c r="GQ68" s="962">
        <f>[1]!mbtool(2,17,0,1)</f>
        <v>9.5138888888888884E-2</v>
      </c>
      <c r="GR68" s="962">
        <f>[1]!mbtool(2,17,0,1)</f>
        <v>9.5138888888888884E-2</v>
      </c>
      <c r="GS68" s="962">
        <f>[1]!mbtool(2,17,0,1)</f>
        <v>9.5138888888888884E-2</v>
      </c>
      <c r="GT68" s="962">
        <f>[1]!mbtool(2,17,0,1)</f>
        <v>9.5138888888888884E-2</v>
      </c>
      <c r="GU68" s="962">
        <f>[1]!mbtool(2,17,0,1)</f>
        <v>9.5138888888888884E-2</v>
      </c>
      <c r="GV68" s="962">
        <f>[1]!mbtool(2,17,0,1)</f>
        <v>9.5138888888888884E-2</v>
      </c>
      <c r="GW68" s="962">
        <f>[1]!mbtool(2,17,0,1)</f>
        <v>9.5138888888888884E-2</v>
      </c>
      <c r="GX68" s="962">
        <f>[1]!mbtool(2,17,0,1)</f>
        <v>9.5138888888888884E-2</v>
      </c>
      <c r="GY68" s="962">
        <f>[1]!mbtool(2,17,0,1)</f>
        <v>9.5138888888888884E-2</v>
      </c>
      <c r="GZ68" s="962">
        <f>[1]!mbtool(2,17,0,1)</f>
        <v>9.5138888888888884E-2</v>
      </c>
      <c r="HA68" s="962">
        <f>[1]!mbtool(2,17,0,1)</f>
        <v>9.5138888888888884E-2</v>
      </c>
      <c r="HB68" s="962">
        <f>[1]!mbtool(2,17,0,1)</f>
        <v>9.5138888888888884E-2</v>
      </c>
      <c r="HC68" s="962">
        <f>[1]!mbtool(2,17,0,1)</f>
        <v>9.5138888888888884E-2</v>
      </c>
      <c r="HD68" s="962">
        <f>[1]!mbtool(2,17,0,1)</f>
        <v>9.5138888888888884E-2</v>
      </c>
      <c r="HE68" s="962">
        <f>[1]!mbtool(2,17,0,1)</f>
        <v>9.5138888888888884E-2</v>
      </c>
      <c r="HF68" s="962">
        <f>[1]!mbtool(2,17,0,1)</f>
        <v>9.5138888888888884E-2</v>
      </c>
      <c r="HG68" s="962">
        <f>[1]!mbtool(2,17,0,1)</f>
        <v>9.5138888888888884E-2</v>
      </c>
      <c r="HH68" s="962">
        <f>[1]!mbtool(2,17,0,1)</f>
        <v>9.5138888888888884E-2</v>
      </c>
      <c r="HI68" s="962">
        <f>[1]!mbtool(2,17,0,1)</f>
        <v>9.5138888888888884E-2</v>
      </c>
      <c r="HJ68" s="962">
        <f>[1]!mbtool(2,17,0,1)</f>
        <v>9.5138888888888884E-2</v>
      </c>
      <c r="HK68" s="962">
        <f>[1]!mbtool(2,17,0,1)</f>
        <v>9.5138888888888884E-2</v>
      </c>
      <c r="HL68" s="962">
        <f>[1]!mbtool(2,17,0,1)</f>
        <v>9.5138888888888884E-2</v>
      </c>
      <c r="HM68" s="962">
        <f>[1]!mbtool(2,17,0,1)</f>
        <v>9.5138888888888884E-2</v>
      </c>
      <c r="HN68" s="962">
        <f>[1]!mbtool(2,17,0,1)</f>
        <v>9.5138888888888884E-2</v>
      </c>
      <c r="HO68" s="962">
        <f>[1]!mbtool(2,17,0,1)</f>
        <v>9.5138888888888884E-2</v>
      </c>
      <c r="HP68" s="962">
        <f>[1]!mbtool(2,17,0,1)</f>
        <v>9.5138888888888884E-2</v>
      </c>
      <c r="HQ68" s="962">
        <f>[1]!mbtool(2,17,0,1)</f>
        <v>9.5138888888888884E-2</v>
      </c>
      <c r="HR68" s="962">
        <f>[1]!mbtool(2,17,0,1)</f>
        <v>9.5138888888888884E-2</v>
      </c>
      <c r="HS68" s="962">
        <f>[1]!mbtool(2,17,0,1)</f>
        <v>9.5138888888888884E-2</v>
      </c>
      <c r="HT68" s="962">
        <f>[1]!mbtool(2,17,0,1)</f>
        <v>9.5138888888888884E-2</v>
      </c>
      <c r="HU68" s="962">
        <f>[1]!mbtool(2,17,0,1)</f>
        <v>9.5138888888888884E-2</v>
      </c>
      <c r="HV68" s="962">
        <f>[1]!mbtool(2,17,0,1)</f>
        <v>9.5138888888888884E-2</v>
      </c>
      <c r="HW68" s="962">
        <f>[1]!mbtool(2,17,0,1)</f>
        <v>9.5138888888888884E-2</v>
      </c>
      <c r="HX68" s="962">
        <f>[1]!mbtool(2,17,0,1)</f>
        <v>9.5138888888888884E-2</v>
      </c>
      <c r="HY68" s="962">
        <f>[1]!mbtool(2,17,0,1)</f>
        <v>9.5138888888888884E-2</v>
      </c>
      <c r="HZ68" s="962">
        <f>[1]!mbtool(2,17,0,1)</f>
        <v>9.5138888888888884E-2</v>
      </c>
      <c r="IA68" s="962">
        <f>[1]!mbtool(2,17,0,1)</f>
        <v>9.5138888888888884E-2</v>
      </c>
      <c r="IB68" s="962">
        <f>[1]!mbtool(2,17,0,1)</f>
        <v>9.5138888888888884E-2</v>
      </c>
      <c r="IC68" s="962">
        <f>[1]!mbtool(2,17,0,1)</f>
        <v>9.5138888888888884E-2</v>
      </c>
      <c r="ID68" s="962">
        <f>[1]!mbtool(2,17,0,1)</f>
        <v>9.5138888888888884E-2</v>
      </c>
      <c r="IE68" s="962">
        <f>[1]!mbtool(2,17,0,1)</f>
        <v>9.5138888888888884E-2</v>
      </c>
      <c r="IF68" s="962">
        <f>[1]!mbtool(2,17,0,1)</f>
        <v>9.5138888888888884E-2</v>
      </c>
      <c r="IG68" s="962">
        <f>[1]!mbtool(2,17,0,1)</f>
        <v>9.5138888888888884E-2</v>
      </c>
      <c r="IH68" s="962">
        <f>[1]!mbtool(2,17,0,1)</f>
        <v>9.5138888888888884E-2</v>
      </c>
      <c r="II68" s="962">
        <f>[1]!mbtool(2,17,0,1)</f>
        <v>9.5138888888888884E-2</v>
      </c>
      <c r="IJ68" s="962">
        <f>[1]!mbtool(2,17,0,1)</f>
        <v>9.5138888888888884E-2</v>
      </c>
      <c r="IK68" s="962">
        <f>[1]!mbtool(2,17,0,1)</f>
        <v>9.5138888888888884E-2</v>
      </c>
      <c r="IL68" s="962">
        <f>[1]!mbtool(2,17,0,1)</f>
        <v>9.5138888888888884E-2</v>
      </c>
      <c r="IM68" s="962">
        <f>[1]!mbtool(2,17,0,1)</f>
        <v>9.5138888888888884E-2</v>
      </c>
      <c r="IN68" s="962">
        <f>[1]!mbtool(2,17,0,1)</f>
        <v>9.5138888888888884E-2</v>
      </c>
      <c r="IO68" s="962">
        <f>[1]!mbtool(2,17,0,1)</f>
        <v>9.5138888888888884E-2</v>
      </c>
      <c r="IP68" s="962">
        <f>[1]!mbtool(2,17,0,1)</f>
        <v>9.5138888888888884E-2</v>
      </c>
      <c r="IQ68" s="962">
        <f>[1]!mbtool(2,17,0,1)</f>
        <v>9.5138888888888884E-2</v>
      </c>
      <c r="IR68" s="962">
        <f>[1]!mbtool(2,17,0,1)</f>
        <v>9.5138888888888884E-2</v>
      </c>
      <c r="IS68" s="962">
        <f>[1]!mbtool(2,17,0,1)</f>
        <v>9.5138888888888884E-2</v>
      </c>
      <c r="IT68" s="962">
        <f>[1]!mbtool(2,17,0,1)</f>
        <v>9.5138888888888884E-2</v>
      </c>
      <c r="IU68" s="962">
        <f>[1]!mbtool(2,17,0,1)</f>
        <v>9.5138888888888884E-2</v>
      </c>
      <c r="IV68" s="962">
        <f>[1]!mbtool(2,17,0,1)</f>
        <v>9.5138888888888884E-2</v>
      </c>
      <c r="IW68" s="962">
        <f>[1]!mbtool(2,17,0,1)</f>
        <v>9.5138888888888884E-2</v>
      </c>
      <c r="IX68" s="962">
        <f>[1]!mbtool(2,17,0,1)</f>
        <v>9.5138888888888884E-2</v>
      </c>
      <c r="IY68" s="962">
        <f>[1]!mbtool(2,17,0,1)</f>
        <v>9.5138888888888884E-2</v>
      </c>
      <c r="IZ68" s="962">
        <f>[1]!mbtool(2,17,0,1)</f>
        <v>9.5138888888888884E-2</v>
      </c>
      <c r="JA68" s="962">
        <f>[1]!mbtool(2,17,0,1)</f>
        <v>9.5138888888888884E-2</v>
      </c>
      <c r="JB68" s="962">
        <f>[1]!mbtool(2,17,0,1)</f>
        <v>9.5138888888888884E-2</v>
      </c>
      <c r="JC68" s="962">
        <f>[1]!mbtool(2,17,0,1)</f>
        <v>9.5138888888888884E-2</v>
      </c>
      <c r="JD68" s="962">
        <f>[1]!mbtool(2,17,0,1)</f>
        <v>9.5138888888888884E-2</v>
      </c>
      <c r="JE68" s="962">
        <f>[1]!mbtool(2,17,0,1)</f>
        <v>9.5138888888888884E-2</v>
      </c>
      <c r="JF68" s="962">
        <f>[1]!mbtool(2,17,0,1)</f>
        <v>9.5138888888888884E-2</v>
      </c>
      <c r="JG68" s="962">
        <f>[1]!mbtool(2,17,0,1)</f>
        <v>9.5138888888888884E-2</v>
      </c>
      <c r="JH68" s="962">
        <f>[1]!mbtool(2,17,0,1)</f>
        <v>9.5138888888888884E-2</v>
      </c>
      <c r="JI68" s="962">
        <f>[1]!mbtool(2,17,0,1)</f>
        <v>9.5138888888888884E-2</v>
      </c>
      <c r="JJ68" s="962">
        <f>[1]!mbtool(2,17,0,1)</f>
        <v>9.5138888888888884E-2</v>
      </c>
      <c r="JK68" s="962">
        <f>[1]!mbtool(2,17,0,1)</f>
        <v>9.5138888888888884E-2</v>
      </c>
      <c r="JL68" s="962">
        <f>[1]!mbtool(2,17,0,1)</f>
        <v>9.5138888888888884E-2</v>
      </c>
      <c r="JM68" s="962">
        <f>[1]!mbtool(2,17,0,1)</f>
        <v>9.5138888888888884E-2</v>
      </c>
      <c r="JN68" s="962">
        <f>[1]!mbtool(2,17,0,1)</f>
        <v>9.5138888888888884E-2</v>
      </c>
      <c r="JO68" s="962">
        <f>[1]!mbtool(2,17,0,1)</f>
        <v>9.5138888888888884E-2</v>
      </c>
      <c r="JP68" s="962">
        <f>[1]!mbtool(2,17,0,1)</f>
        <v>9.5138888888888884E-2</v>
      </c>
      <c r="JQ68" s="962">
        <f>[1]!mbtool(2,17,0,1)</f>
        <v>9.5138888888888884E-2</v>
      </c>
      <c r="JR68" s="962">
        <f>[1]!mbtool(2,17,0,1)</f>
        <v>9.5138888888888884E-2</v>
      </c>
      <c r="JS68" s="962">
        <f>[1]!mbtool(2,17,0,1)</f>
        <v>9.5138888888888884E-2</v>
      </c>
      <c r="JT68" s="962">
        <f>[1]!mbtool(2,17,0,1)</f>
        <v>9.5138888888888884E-2</v>
      </c>
      <c r="JU68" s="962">
        <f>[1]!mbtool(2,17,0,1)</f>
        <v>9.5138888888888884E-2</v>
      </c>
      <c r="JV68" s="962">
        <f>[1]!mbtool(2,17,0,1)</f>
        <v>9.5138888888888884E-2</v>
      </c>
      <c r="JW68" s="962">
        <f>[1]!mbtool(2,17,0,1)</f>
        <v>9.5138888888888884E-2</v>
      </c>
      <c r="JX68" s="962">
        <f>[1]!mbtool(2,17,0,1)</f>
        <v>9.5138888888888884E-2</v>
      </c>
      <c r="JY68" s="962">
        <f>[1]!mbtool(2,17,0,1)</f>
        <v>9.5138888888888884E-2</v>
      </c>
      <c r="JZ68" s="962">
        <f>[1]!mbtool(2,17,0,1)</f>
        <v>9.5138888888888884E-2</v>
      </c>
      <c r="KA68" s="962">
        <f>[1]!mbtool(2,17,0,1)</f>
        <v>9.5138888888888884E-2</v>
      </c>
      <c r="KB68" s="962">
        <f>[1]!mbtool(2,17,0,1)</f>
        <v>9.5138888888888884E-2</v>
      </c>
      <c r="KC68" s="962">
        <f>[1]!mbtool(2,17,0,1)</f>
        <v>9.5138888888888884E-2</v>
      </c>
      <c r="KD68" s="962">
        <f>[1]!mbtool(2,17,0,1)</f>
        <v>9.5138888888888884E-2</v>
      </c>
      <c r="KE68" s="962">
        <f>[1]!mbtool(2,17,0,1)</f>
        <v>9.5138888888888884E-2</v>
      </c>
      <c r="KF68" s="962">
        <f>[1]!mbtool(2,17,0,1)</f>
        <v>9.5138888888888884E-2</v>
      </c>
      <c r="KG68" s="962">
        <f>[1]!mbtool(2,17,0,1)</f>
        <v>9.5138888888888884E-2</v>
      </c>
      <c r="KH68" s="962">
        <f>[1]!mbtool(2,17,0,1)</f>
        <v>9.5138888888888884E-2</v>
      </c>
      <c r="KI68" s="962">
        <f>[1]!mbtool(2,17,0,1)</f>
        <v>9.5138888888888884E-2</v>
      </c>
      <c r="KJ68" s="962">
        <f>[1]!mbtool(2,17,0,1)</f>
        <v>9.5138888888888884E-2</v>
      </c>
      <c r="KK68" s="962">
        <f>[1]!mbtool(2,17,0,1)</f>
        <v>9.5138888888888884E-2</v>
      </c>
      <c r="KL68" s="962">
        <f>[1]!mbtool(2,17,0,1)</f>
        <v>9.5138888888888884E-2</v>
      </c>
      <c r="KM68" s="962">
        <f>[1]!mbtool(2,17,0,1)</f>
        <v>9.5138888888888884E-2</v>
      </c>
      <c r="KN68" s="962">
        <f>[1]!mbtool(2,17,0,1)</f>
        <v>9.5138888888888884E-2</v>
      </c>
      <c r="KO68" s="962">
        <f>[1]!mbtool(2,17,0,1)</f>
        <v>9.5138888888888884E-2</v>
      </c>
      <c r="KP68" s="962">
        <f>[1]!mbtool(2,17,0,1)</f>
        <v>9.5138888888888884E-2</v>
      </c>
      <c r="KQ68" s="962">
        <f>[1]!mbtool(2,17,0,1)</f>
        <v>9.5138888888888884E-2</v>
      </c>
      <c r="KR68" s="962">
        <f>[1]!mbtool(2,17,0,1)</f>
        <v>9.5138888888888884E-2</v>
      </c>
      <c r="KS68" s="962">
        <f>[1]!mbtool(2,17,0,1)</f>
        <v>9.5138888888888884E-2</v>
      </c>
      <c r="KT68" s="962">
        <f>[1]!mbtool(2,17,0,1)</f>
        <v>9.5138888888888884E-2</v>
      </c>
      <c r="KU68" s="962">
        <f>[1]!mbtool(2,17,0,1)</f>
        <v>9.5138888888888884E-2</v>
      </c>
      <c r="KV68" s="962">
        <f>[1]!mbtool(2,17,0,1)</f>
        <v>9.5138888888888884E-2</v>
      </c>
      <c r="KW68" s="962">
        <f>[1]!mbtool(2,17,0,1)</f>
        <v>9.5138888888888884E-2</v>
      </c>
      <c r="KX68" s="962">
        <f>[1]!mbtool(2,17,0,1)</f>
        <v>9.5138888888888884E-2</v>
      </c>
      <c r="KY68" s="962">
        <f>[1]!mbtool(2,17,0,1)</f>
        <v>9.5138888888888884E-2</v>
      </c>
      <c r="KZ68" s="962">
        <f>[1]!mbtool(2,17,0,1)</f>
        <v>9.5138888888888884E-2</v>
      </c>
      <c r="LA68" s="962">
        <f>[1]!mbtool(2,17,0,1)</f>
        <v>9.5138888888888884E-2</v>
      </c>
      <c r="LB68" s="962">
        <f>[1]!mbtool(2,17,0,1)</f>
        <v>9.5138888888888884E-2</v>
      </c>
      <c r="LC68" s="962">
        <f>[1]!mbtool(2,17,0,1)</f>
        <v>9.5138888888888884E-2</v>
      </c>
      <c r="LD68" s="962">
        <f>[1]!mbtool(2,17,0,1)</f>
        <v>9.5138888888888884E-2</v>
      </c>
      <c r="LE68" s="962">
        <f>[1]!mbtool(2,17,0,1)</f>
        <v>9.5138888888888884E-2</v>
      </c>
      <c r="LF68" s="962">
        <f>[1]!mbtool(2,17,0,1)</f>
        <v>9.5138888888888884E-2</v>
      </c>
      <c r="LG68" s="962">
        <f>[1]!mbtool(2,17,0,1)</f>
        <v>9.5138888888888884E-2</v>
      </c>
      <c r="LH68" s="962">
        <f>[1]!mbtool(2,17,0,1)</f>
        <v>9.5138888888888884E-2</v>
      </c>
      <c r="LI68" s="962">
        <f>[1]!mbtool(2,17,0,1)</f>
        <v>9.5138888888888884E-2</v>
      </c>
      <c r="LJ68" s="962">
        <f>[1]!mbtool(2,17,0,1)</f>
        <v>9.5138888888888884E-2</v>
      </c>
      <c r="LK68" s="962">
        <f>[1]!mbtool(2,17,0,1)</f>
        <v>9.5138888888888884E-2</v>
      </c>
      <c r="LL68" s="962">
        <f>[1]!mbtool(2,17,0,1)</f>
        <v>9.5138888888888884E-2</v>
      </c>
      <c r="LM68" s="962">
        <f>[1]!mbtool(2,17,0,1)</f>
        <v>9.5138888888888884E-2</v>
      </c>
      <c r="LN68" s="962">
        <f>[1]!mbtool(2,17,0,1)</f>
        <v>9.5138888888888884E-2</v>
      </c>
      <c r="LO68" s="962">
        <f>[1]!mbtool(2,17,0,1)</f>
        <v>9.5138888888888884E-2</v>
      </c>
      <c r="LP68" s="962">
        <f>[1]!mbtool(2,17,0,1)</f>
        <v>9.5138888888888884E-2</v>
      </c>
      <c r="LQ68" s="962">
        <f>[1]!mbtool(2,17,0,1)</f>
        <v>9.5138888888888884E-2</v>
      </c>
      <c r="LR68" s="962">
        <f>[1]!mbtool(2,17,0,1)</f>
        <v>9.5138888888888884E-2</v>
      </c>
      <c r="LS68" s="962">
        <f>[1]!mbtool(2,17,0,1)</f>
        <v>9.5138888888888884E-2</v>
      </c>
      <c r="LT68" s="962">
        <f>[1]!mbtool(2,17,0,1)</f>
        <v>9.5138888888888884E-2</v>
      </c>
      <c r="LU68" s="962">
        <f>[1]!mbtool(2,17,0,1)</f>
        <v>9.5138888888888884E-2</v>
      </c>
      <c r="LV68" s="962">
        <f>[1]!mbtool(2,17,0,1)</f>
        <v>9.5138888888888884E-2</v>
      </c>
      <c r="LW68" s="962">
        <f>[1]!mbtool(2,17,0,1)</f>
        <v>9.5138888888888884E-2</v>
      </c>
      <c r="LX68" s="962">
        <f>[1]!mbtool(2,17,0,1)</f>
        <v>9.5138888888888884E-2</v>
      </c>
      <c r="LY68" s="962">
        <f>[1]!mbtool(2,17,0,1)</f>
        <v>9.5138888888888884E-2</v>
      </c>
      <c r="LZ68" s="962">
        <f>[1]!mbtool(2,17,0,1)</f>
        <v>9.5138888888888884E-2</v>
      </c>
      <c r="MA68" s="962">
        <f>[1]!mbtool(2,17,0,1)</f>
        <v>9.5138888888888884E-2</v>
      </c>
      <c r="MB68" s="962">
        <f>[1]!mbtool(2,17,0,1)</f>
        <v>9.5138888888888884E-2</v>
      </c>
      <c r="MC68" s="962">
        <f>[1]!mbtool(2,17,0,1)</f>
        <v>9.5138888888888884E-2</v>
      </c>
      <c r="MD68" s="962">
        <f>[1]!mbtool(2,17,0,1)</f>
        <v>9.5138888888888884E-2</v>
      </c>
      <c r="ME68" s="962">
        <f>[1]!mbtool(2,17,0,1)</f>
        <v>9.5138888888888884E-2</v>
      </c>
      <c r="MF68" s="962">
        <f>[1]!mbtool(2,17,0,1)</f>
        <v>9.5138888888888884E-2</v>
      </c>
      <c r="MG68" s="962">
        <f>[1]!mbtool(2,17,0,1)</f>
        <v>9.5138888888888884E-2</v>
      </c>
      <c r="MH68" s="962">
        <f>[1]!mbtool(2,17,0,1)</f>
        <v>9.5138888888888884E-2</v>
      </c>
      <c r="MI68" s="962">
        <f>[1]!mbtool(2,17,0,1)</f>
        <v>9.5138888888888884E-2</v>
      </c>
      <c r="MJ68" s="962">
        <f>[1]!mbtool(2,17,0,1)</f>
        <v>9.5138888888888884E-2</v>
      </c>
      <c r="MK68" s="962">
        <f>[1]!mbtool(2,17,0,1)</f>
        <v>9.5138888888888884E-2</v>
      </c>
      <c r="ML68" s="962">
        <f>[1]!mbtool(2,17,0,1)</f>
        <v>9.5138888888888884E-2</v>
      </c>
      <c r="MM68" s="962">
        <f>[1]!mbtool(2,17,0,1)</f>
        <v>9.5138888888888884E-2</v>
      </c>
      <c r="MN68" s="962">
        <f>[1]!mbtool(2,17,0,1)</f>
        <v>9.5138888888888884E-2</v>
      </c>
      <c r="MO68" s="962">
        <f>[1]!mbtool(2,17,0,1)</f>
        <v>9.5138888888888884E-2</v>
      </c>
      <c r="MP68" s="962">
        <f>[1]!mbtool(2,17,0,1)</f>
        <v>9.5138888888888884E-2</v>
      </c>
      <c r="MQ68" s="962">
        <f>[1]!mbtool(2,17,0,1)</f>
        <v>9.5138888888888884E-2</v>
      </c>
      <c r="MR68" s="962">
        <f>[1]!mbtool(2,17,0,1)</f>
        <v>9.5138888888888884E-2</v>
      </c>
      <c r="MS68" s="962">
        <f>[1]!mbtool(2,17,0,1)</f>
        <v>9.5138888888888884E-2</v>
      </c>
      <c r="MT68" s="962">
        <f>[1]!mbtool(2,17,0,1)</f>
        <v>9.5138888888888884E-2</v>
      </c>
      <c r="MU68" s="962">
        <f>[1]!mbtool(2,17,0,1)</f>
        <v>9.5138888888888884E-2</v>
      </c>
      <c r="MV68" s="962">
        <f>[1]!mbtool(2,17,0,1)</f>
        <v>9.5138888888888884E-2</v>
      </c>
      <c r="MW68" s="962">
        <f>[1]!mbtool(2,17,0,1)</f>
        <v>9.5138888888888884E-2</v>
      </c>
      <c r="MX68" s="962">
        <f>[1]!mbtool(2,17,0,1)</f>
        <v>9.5138888888888884E-2</v>
      </c>
      <c r="MY68" s="962">
        <f>[1]!mbtool(2,17,0,1)</f>
        <v>9.5138888888888884E-2</v>
      </c>
      <c r="MZ68" s="962">
        <f>[1]!mbtool(2,17,0,1)</f>
        <v>9.5138888888888884E-2</v>
      </c>
      <c r="NA68" s="962">
        <f>[1]!mbtool(2,17,0,1)</f>
        <v>9.5138888888888884E-2</v>
      </c>
      <c r="NB68" s="962">
        <f>[1]!mbtool(2,17,0,1)</f>
        <v>9.5138888888888884E-2</v>
      </c>
      <c r="NC68" s="962">
        <f>[1]!mbtool(2,17,0,1)</f>
        <v>9.5138888888888884E-2</v>
      </c>
      <c r="ND68" s="962">
        <f>[1]!mbtool(2,17,0,1)</f>
        <v>9.5138888888888884E-2</v>
      </c>
      <c r="NE68" s="962">
        <f>[1]!mbtool(2,17,0,1)</f>
        <v>9.5138888888888884E-2</v>
      </c>
      <c r="NF68" s="962">
        <f>[1]!mbtool(2,17,0,1)</f>
        <v>9.5138888888888884E-2</v>
      </c>
      <c r="NG68" s="962">
        <f>[1]!mbtool(2,17,0,1)</f>
        <v>9.5138888888888884E-2</v>
      </c>
      <c r="NH68" s="962">
        <f>[1]!mbtool(2,17,0,1)</f>
        <v>9.5138888888888884E-2</v>
      </c>
      <c r="NI68" s="962">
        <f>[1]!mbtool(2,17,0,1)</f>
        <v>9.5138888888888884E-2</v>
      </c>
      <c r="NJ68" s="962">
        <f>[1]!mbtool(2,17,0,1)</f>
        <v>9.5138888888888884E-2</v>
      </c>
      <c r="NK68" s="962">
        <f>[1]!mbtool(2,17,0,1)</f>
        <v>9.5138888888888884E-2</v>
      </c>
      <c r="NL68" s="962">
        <f>[1]!mbtool(2,17,0,1)</f>
        <v>9.5138888888888884E-2</v>
      </c>
      <c r="NM68" s="962">
        <f>[1]!mbtool(2,17,0,1)</f>
        <v>9.5138888888888884E-2</v>
      </c>
      <c r="NN68" s="962">
        <f>[1]!mbtool(2,17,0,1)</f>
        <v>9.5138888888888884E-2</v>
      </c>
      <c r="NO68" s="962">
        <f>[1]!mbtool(2,17,0,1)</f>
        <v>9.5138888888888884E-2</v>
      </c>
      <c r="NP68" s="962">
        <f>[1]!mbtool(2,17,0,1)</f>
        <v>9.5138888888888884E-2</v>
      </c>
      <c r="NQ68" s="962">
        <f>[1]!mbtool(2,17,0,1)</f>
        <v>9.5138888888888884E-2</v>
      </c>
      <c r="NR68" s="962">
        <f>[1]!mbtool(2,17,0,1)</f>
        <v>9.5138888888888884E-2</v>
      </c>
      <c r="NS68" s="962">
        <f>[1]!mbtool(2,17,0,1)</f>
        <v>9.5138888888888884E-2</v>
      </c>
      <c r="NT68" s="962">
        <f>[1]!mbtool(2,17,0,1)</f>
        <v>9.5138888888888884E-2</v>
      </c>
      <c r="NU68" s="962">
        <f>[1]!mbtool(2,17,0,1)</f>
        <v>9.5138888888888884E-2</v>
      </c>
      <c r="NV68" s="962">
        <f>[1]!mbtool(2,17,0,1)</f>
        <v>9.5138888888888884E-2</v>
      </c>
      <c r="NW68" s="962">
        <f>[1]!mbtool(2,17,0,1)</f>
        <v>9.5138888888888884E-2</v>
      </c>
      <c r="NX68" s="962">
        <f>[1]!mbtool(2,17,0,1)</f>
        <v>9.5138888888888884E-2</v>
      </c>
      <c r="NY68" s="962">
        <f>[1]!mbtool(2,17,0,1)</f>
        <v>9.5138888888888884E-2</v>
      </c>
      <c r="NZ68" s="962">
        <f>[1]!mbtool(2,17,0,1)</f>
        <v>9.5138888888888884E-2</v>
      </c>
      <c r="OA68" s="962">
        <f>[1]!mbtool(2,17,0,1)</f>
        <v>9.5138888888888884E-2</v>
      </c>
      <c r="OB68" s="962">
        <f>[1]!mbtool(2,17,0,1)</f>
        <v>9.5138888888888884E-2</v>
      </c>
      <c r="OC68" s="962">
        <f>[1]!mbtool(2,17,0,1)</f>
        <v>9.5138888888888884E-2</v>
      </c>
      <c r="OD68" s="962">
        <f>[1]!mbtool(2,17,0,1)</f>
        <v>9.5138888888888884E-2</v>
      </c>
      <c r="OE68" s="962">
        <f>[1]!mbtool(2,17,0,1)</f>
        <v>9.5138888888888884E-2</v>
      </c>
      <c r="OF68" s="962">
        <f>[1]!mbtool(2,17,0,1)</f>
        <v>9.5138888888888884E-2</v>
      </c>
      <c r="OG68" s="962">
        <f>[1]!mbtool(2,17,0,1)</f>
        <v>9.5138888888888884E-2</v>
      </c>
      <c r="OH68" s="962">
        <f>[1]!mbtool(2,17,0,1)</f>
        <v>9.5138888888888884E-2</v>
      </c>
      <c r="OI68" s="962">
        <f>[1]!mbtool(2,17,0,1)</f>
        <v>9.5138888888888884E-2</v>
      </c>
      <c r="OJ68" s="962">
        <f>[1]!mbtool(2,17,0,1)</f>
        <v>9.5138888888888884E-2</v>
      </c>
      <c r="OK68" s="962">
        <f>[1]!mbtool(2,17,0,1)</f>
        <v>9.5138888888888884E-2</v>
      </c>
      <c r="OL68" s="962">
        <f>[1]!mbtool(2,17,0,1)</f>
        <v>9.5138888888888884E-2</v>
      </c>
      <c r="OM68" s="962">
        <f>[1]!mbtool(2,17,0,1)</f>
        <v>9.5138888888888884E-2</v>
      </c>
      <c r="ON68" s="962">
        <f>[1]!mbtool(2,17,0,1)</f>
        <v>9.5138888888888884E-2</v>
      </c>
      <c r="OO68" s="962">
        <f>[1]!mbtool(2,17,0,1)</f>
        <v>9.5138888888888884E-2</v>
      </c>
      <c r="OP68" s="962">
        <f>[1]!mbtool(2,17,0,1)</f>
        <v>9.5138888888888884E-2</v>
      </c>
      <c r="OQ68" s="962">
        <f>[1]!mbtool(2,17,0,1)</f>
        <v>9.5138888888888884E-2</v>
      </c>
      <c r="OR68" s="962">
        <f>[1]!mbtool(2,17,0,1)</f>
        <v>9.5138888888888884E-2</v>
      </c>
      <c r="OS68" s="962">
        <f>[1]!mbtool(2,17,0,1)</f>
        <v>9.5138888888888884E-2</v>
      </c>
      <c r="OT68" s="962">
        <f>[1]!mbtool(2,17,0,1)</f>
        <v>9.5138888888888884E-2</v>
      </c>
      <c r="OU68" s="962">
        <f>[1]!mbtool(2,17,0,1)</f>
        <v>9.5138888888888884E-2</v>
      </c>
      <c r="OV68" s="962">
        <f>[1]!mbtool(2,17,0,1)</f>
        <v>9.5138888888888884E-2</v>
      </c>
      <c r="OW68" s="962">
        <f>[1]!mbtool(2,17,0,1)</f>
        <v>9.5138888888888884E-2</v>
      </c>
      <c r="OX68" s="962">
        <f>[1]!mbtool(2,17,0,1)</f>
        <v>9.5138888888888884E-2</v>
      </c>
      <c r="OY68" s="962">
        <f>[1]!mbtool(2,17,0,1)</f>
        <v>9.5138888888888884E-2</v>
      </c>
      <c r="OZ68" s="962">
        <f>[1]!mbtool(2,17,0,1)</f>
        <v>9.5138888888888884E-2</v>
      </c>
      <c r="PA68" s="962">
        <f>[1]!mbtool(2,17,0,1)</f>
        <v>9.5138888888888884E-2</v>
      </c>
      <c r="PB68" s="962">
        <f>[1]!mbtool(2,17,0,1)</f>
        <v>9.5138888888888884E-2</v>
      </c>
      <c r="PC68" s="962">
        <f>[1]!mbtool(2,17,0,1)</f>
        <v>9.5138888888888884E-2</v>
      </c>
      <c r="PD68" s="962">
        <f>[1]!mbtool(2,17,0,1)</f>
        <v>9.5138888888888884E-2</v>
      </c>
      <c r="PE68" s="962">
        <f>[1]!mbtool(2,17,0,1)</f>
        <v>9.5138888888888884E-2</v>
      </c>
      <c r="PF68" s="962">
        <f>[1]!mbtool(2,17,0,1)</f>
        <v>9.5138888888888884E-2</v>
      </c>
      <c r="PG68" s="962">
        <f>[1]!mbtool(2,17,0,1)</f>
        <v>9.5138888888888884E-2</v>
      </c>
      <c r="PH68" s="962">
        <f>[1]!mbtool(2,17,0,1)</f>
        <v>9.5138888888888884E-2</v>
      </c>
      <c r="PI68" s="962">
        <f>[1]!mbtool(2,17,0,1)</f>
        <v>9.5138888888888884E-2</v>
      </c>
      <c r="PJ68" s="962">
        <f>[1]!mbtool(2,17,0,1)</f>
        <v>9.5138888888888884E-2</v>
      </c>
      <c r="PK68" s="962">
        <f>[1]!mbtool(2,17,0,1)</f>
        <v>9.5138888888888884E-2</v>
      </c>
      <c r="PL68" s="962">
        <f>[1]!mbtool(2,17,0,1)</f>
        <v>9.5138888888888884E-2</v>
      </c>
      <c r="PM68" s="962">
        <f>[1]!mbtool(2,17,0,1)</f>
        <v>9.5138888888888884E-2</v>
      </c>
      <c r="PN68" s="962">
        <f>[1]!mbtool(2,17,0,1)</f>
        <v>9.5138888888888884E-2</v>
      </c>
      <c r="PO68" s="962">
        <f>[1]!mbtool(2,17,0,1)</f>
        <v>9.5138888888888884E-2</v>
      </c>
      <c r="PP68" s="962">
        <f>[1]!mbtool(2,17,0,1)</f>
        <v>9.5138888888888884E-2</v>
      </c>
      <c r="PQ68" s="962">
        <f>[1]!mbtool(2,17,0,1)</f>
        <v>9.5138888888888884E-2</v>
      </c>
      <c r="PR68" s="962">
        <f>[1]!mbtool(2,17,0,1)</f>
        <v>9.5138888888888884E-2</v>
      </c>
      <c r="PS68" s="962">
        <f>[1]!mbtool(2,17,0,1)</f>
        <v>9.5138888888888884E-2</v>
      </c>
      <c r="PT68" s="962">
        <f>[1]!mbtool(2,17,0,1)</f>
        <v>9.5138888888888884E-2</v>
      </c>
      <c r="PU68" s="962">
        <f>[1]!mbtool(2,17,0,1)</f>
        <v>9.5138888888888884E-2</v>
      </c>
      <c r="PV68" s="962">
        <f>[1]!mbtool(2,17,0,1)</f>
        <v>9.5138888888888884E-2</v>
      </c>
      <c r="PW68" s="962">
        <f>[1]!mbtool(2,17,0,1)</f>
        <v>9.5138888888888884E-2</v>
      </c>
      <c r="PX68" s="962">
        <f>[1]!mbtool(2,17,0,1)</f>
        <v>9.5138888888888884E-2</v>
      </c>
      <c r="PY68" s="962">
        <f>[1]!mbtool(2,17,0,1)</f>
        <v>9.5138888888888884E-2</v>
      </c>
      <c r="PZ68" s="962">
        <f>[1]!mbtool(2,17,0,1)</f>
        <v>9.5138888888888884E-2</v>
      </c>
      <c r="QA68" s="962">
        <f>[1]!mbtool(2,17,0,1)</f>
        <v>9.5138888888888884E-2</v>
      </c>
      <c r="QB68" s="962">
        <f>[1]!mbtool(2,17,0,1)</f>
        <v>9.5138888888888884E-2</v>
      </c>
      <c r="QC68" s="962">
        <f>[1]!mbtool(2,17,0,1)</f>
        <v>9.5138888888888884E-2</v>
      </c>
      <c r="QD68" s="962">
        <f>[1]!mbtool(2,17,0,1)</f>
        <v>9.5138888888888884E-2</v>
      </c>
      <c r="QE68" s="962">
        <f>[1]!mbtool(2,17,0,1)</f>
        <v>9.5138888888888884E-2</v>
      </c>
      <c r="QF68" s="962">
        <f>[1]!mbtool(2,17,0,1)</f>
        <v>9.5138888888888884E-2</v>
      </c>
      <c r="QG68" s="962">
        <f>[1]!mbtool(2,17,0,1)</f>
        <v>9.5138888888888884E-2</v>
      </c>
      <c r="QH68" s="962">
        <f>[1]!mbtool(2,17,0,1)</f>
        <v>9.5138888888888884E-2</v>
      </c>
      <c r="QI68" s="962">
        <f>[1]!mbtool(2,17,0,1)</f>
        <v>9.5138888888888884E-2</v>
      </c>
      <c r="QJ68" s="962">
        <f>[1]!mbtool(2,17,0,1)</f>
        <v>9.5138888888888884E-2</v>
      </c>
      <c r="QK68" s="962">
        <f>[1]!mbtool(2,17,0,1)</f>
        <v>9.5138888888888884E-2</v>
      </c>
      <c r="QL68" s="962">
        <f>[1]!mbtool(2,17,0,1)</f>
        <v>9.5138888888888884E-2</v>
      </c>
      <c r="QM68" s="962">
        <f>[1]!mbtool(2,17,0,1)</f>
        <v>9.5138888888888884E-2</v>
      </c>
      <c r="QN68" s="962">
        <f>[1]!mbtool(2,17,0,1)</f>
        <v>9.5138888888888884E-2</v>
      </c>
      <c r="QO68" s="962">
        <f>[1]!mbtool(2,17,0,1)</f>
        <v>9.5138888888888884E-2</v>
      </c>
      <c r="QP68" s="962">
        <f>[1]!mbtool(2,17,0,1)</f>
        <v>9.5138888888888884E-2</v>
      </c>
      <c r="QQ68" s="962">
        <f>[1]!mbtool(2,17,0,1)</f>
        <v>9.5138888888888884E-2</v>
      </c>
      <c r="QR68" s="962">
        <f>[1]!mbtool(2,17,0,1)</f>
        <v>9.5138888888888884E-2</v>
      </c>
      <c r="QS68" s="962">
        <f>[1]!mbtool(2,17,0,1)</f>
        <v>9.5138888888888884E-2</v>
      </c>
      <c r="QT68" s="962">
        <f>[1]!mbtool(2,17,0,1)</f>
        <v>9.5138888888888884E-2</v>
      </c>
      <c r="QU68" s="962">
        <f>[1]!mbtool(2,17,0,1)</f>
        <v>9.5138888888888884E-2</v>
      </c>
      <c r="QV68" s="962">
        <f>[1]!mbtool(2,17,0,1)</f>
        <v>9.5138888888888884E-2</v>
      </c>
      <c r="QW68" s="962">
        <f>[1]!mbtool(2,17,0,1)</f>
        <v>9.5138888888888884E-2</v>
      </c>
      <c r="QX68" s="962">
        <f>[1]!mbtool(2,17,0,1)</f>
        <v>9.5138888888888884E-2</v>
      </c>
      <c r="QY68" s="962">
        <f>[1]!mbtool(2,17,0,1)</f>
        <v>9.5138888888888884E-2</v>
      </c>
      <c r="QZ68" s="962">
        <f>[1]!mbtool(2,17,0,1)</f>
        <v>9.5138888888888884E-2</v>
      </c>
      <c r="RA68" s="963">
        <f>[1]!mbtool(2,17,0,1)</f>
        <v>9.5138888888888884E-2</v>
      </c>
      <c r="RC68" s="797"/>
    </row>
    <row r="69" spans="2:471" ht="17.25">
      <c r="B69" s="2">
        <v>7</v>
      </c>
      <c r="C69" s="2" t="s">
        <v>14</v>
      </c>
      <c r="D69" s="2"/>
      <c r="E69" s="2" t="s">
        <v>1</v>
      </c>
      <c r="F69" s="2"/>
      <c r="G69" s="2"/>
      <c r="H69" s="2"/>
      <c r="I69" s="2"/>
      <c r="J69" s="2"/>
      <c r="K69" s="2"/>
      <c r="L69" s="2"/>
      <c r="M69" s="2"/>
      <c r="N69" s="2"/>
      <c r="O69" s="2"/>
      <c r="P69" s="2"/>
      <c r="Q69" s="2"/>
      <c r="R69" s="2"/>
      <c r="S69" s="2"/>
      <c r="T69" s="2"/>
      <c r="U69" s="2"/>
      <c r="V69" s="2"/>
      <c r="W69" s="2"/>
      <c r="X69" s="2"/>
      <c r="Y69" s="2"/>
      <c r="Z69" s="2"/>
      <c r="AA69" s="2"/>
      <c r="AB69" s="2"/>
      <c r="AC69" s="2"/>
      <c r="DH69" s="797"/>
      <c r="DI69" s="797"/>
      <c r="DJ69" s="961">
        <f t="shared" ref="DJ69:FU69" si="432">35+(41/60)</f>
        <v>35.68333333333333</v>
      </c>
      <c r="DK69" s="962">
        <f t="shared" si="432"/>
        <v>35.68333333333333</v>
      </c>
      <c r="DL69" s="962">
        <f t="shared" si="432"/>
        <v>35.68333333333333</v>
      </c>
      <c r="DM69" s="962">
        <f t="shared" si="432"/>
        <v>35.68333333333333</v>
      </c>
      <c r="DN69" s="962">
        <f t="shared" si="432"/>
        <v>35.68333333333333</v>
      </c>
      <c r="DO69" s="962">
        <f t="shared" si="432"/>
        <v>35.68333333333333</v>
      </c>
      <c r="DP69" s="962">
        <f t="shared" si="432"/>
        <v>35.68333333333333</v>
      </c>
      <c r="DQ69" s="962">
        <f t="shared" si="432"/>
        <v>35.68333333333333</v>
      </c>
      <c r="DR69" s="962">
        <f t="shared" si="432"/>
        <v>35.68333333333333</v>
      </c>
      <c r="DS69" s="962">
        <f t="shared" si="432"/>
        <v>35.68333333333333</v>
      </c>
      <c r="DT69" s="962">
        <f t="shared" si="432"/>
        <v>35.68333333333333</v>
      </c>
      <c r="DU69" s="962">
        <f t="shared" si="432"/>
        <v>35.68333333333333</v>
      </c>
      <c r="DV69" s="962">
        <f t="shared" si="432"/>
        <v>35.68333333333333</v>
      </c>
      <c r="DW69" s="962">
        <f t="shared" si="432"/>
        <v>35.68333333333333</v>
      </c>
      <c r="DX69" s="962">
        <f t="shared" si="432"/>
        <v>35.68333333333333</v>
      </c>
      <c r="DY69" s="962">
        <f t="shared" si="432"/>
        <v>35.68333333333333</v>
      </c>
      <c r="DZ69" s="962">
        <f t="shared" si="432"/>
        <v>35.68333333333333</v>
      </c>
      <c r="EA69" s="962">
        <f t="shared" si="432"/>
        <v>35.68333333333333</v>
      </c>
      <c r="EB69" s="962">
        <f t="shared" si="432"/>
        <v>35.68333333333333</v>
      </c>
      <c r="EC69" s="962">
        <f t="shared" si="432"/>
        <v>35.68333333333333</v>
      </c>
      <c r="ED69" s="962">
        <f t="shared" si="432"/>
        <v>35.68333333333333</v>
      </c>
      <c r="EE69" s="962">
        <f t="shared" si="432"/>
        <v>35.68333333333333</v>
      </c>
      <c r="EF69" s="962">
        <f t="shared" si="432"/>
        <v>35.68333333333333</v>
      </c>
      <c r="EG69" s="962">
        <f t="shared" si="432"/>
        <v>35.68333333333333</v>
      </c>
      <c r="EH69" s="962">
        <f t="shared" si="432"/>
        <v>35.68333333333333</v>
      </c>
      <c r="EI69" s="962">
        <f t="shared" si="432"/>
        <v>35.68333333333333</v>
      </c>
      <c r="EJ69" s="962">
        <f t="shared" si="432"/>
        <v>35.68333333333333</v>
      </c>
      <c r="EK69" s="962">
        <f t="shared" si="432"/>
        <v>35.68333333333333</v>
      </c>
      <c r="EL69" s="962">
        <f t="shared" si="432"/>
        <v>35.68333333333333</v>
      </c>
      <c r="EM69" s="962">
        <f t="shared" si="432"/>
        <v>35.68333333333333</v>
      </c>
      <c r="EN69" s="962">
        <f t="shared" si="432"/>
        <v>35.68333333333333</v>
      </c>
      <c r="EO69" s="962">
        <f t="shared" si="432"/>
        <v>35.68333333333333</v>
      </c>
      <c r="EP69" s="962">
        <f t="shared" si="432"/>
        <v>35.68333333333333</v>
      </c>
      <c r="EQ69" s="962">
        <f t="shared" si="432"/>
        <v>35.68333333333333</v>
      </c>
      <c r="ER69" s="962">
        <f t="shared" si="432"/>
        <v>35.68333333333333</v>
      </c>
      <c r="ES69" s="962">
        <f t="shared" si="432"/>
        <v>35.68333333333333</v>
      </c>
      <c r="ET69" s="962">
        <f t="shared" si="432"/>
        <v>35.68333333333333</v>
      </c>
      <c r="EU69" s="962">
        <f t="shared" si="432"/>
        <v>35.68333333333333</v>
      </c>
      <c r="EV69" s="962">
        <f t="shared" si="432"/>
        <v>35.68333333333333</v>
      </c>
      <c r="EW69" s="962">
        <f t="shared" si="432"/>
        <v>35.68333333333333</v>
      </c>
      <c r="EX69" s="962">
        <f t="shared" si="432"/>
        <v>35.68333333333333</v>
      </c>
      <c r="EY69" s="962">
        <f t="shared" si="432"/>
        <v>35.68333333333333</v>
      </c>
      <c r="EZ69" s="962">
        <f t="shared" si="432"/>
        <v>35.68333333333333</v>
      </c>
      <c r="FA69" s="962">
        <f t="shared" si="432"/>
        <v>35.68333333333333</v>
      </c>
      <c r="FB69" s="962">
        <f t="shared" si="432"/>
        <v>35.68333333333333</v>
      </c>
      <c r="FC69" s="962">
        <f t="shared" si="432"/>
        <v>35.68333333333333</v>
      </c>
      <c r="FD69" s="962">
        <f t="shared" si="432"/>
        <v>35.68333333333333</v>
      </c>
      <c r="FE69" s="962">
        <f t="shared" si="432"/>
        <v>35.68333333333333</v>
      </c>
      <c r="FF69" s="962">
        <f t="shared" si="432"/>
        <v>35.68333333333333</v>
      </c>
      <c r="FG69" s="962">
        <f t="shared" si="432"/>
        <v>35.68333333333333</v>
      </c>
      <c r="FH69" s="962">
        <f t="shared" si="432"/>
        <v>35.68333333333333</v>
      </c>
      <c r="FI69" s="962">
        <f t="shared" si="432"/>
        <v>35.68333333333333</v>
      </c>
      <c r="FJ69" s="962">
        <f t="shared" si="432"/>
        <v>35.68333333333333</v>
      </c>
      <c r="FK69" s="962">
        <f t="shared" si="432"/>
        <v>35.68333333333333</v>
      </c>
      <c r="FL69" s="962">
        <f t="shared" si="432"/>
        <v>35.68333333333333</v>
      </c>
      <c r="FM69" s="962">
        <f t="shared" si="432"/>
        <v>35.68333333333333</v>
      </c>
      <c r="FN69" s="962">
        <f t="shared" si="432"/>
        <v>35.68333333333333</v>
      </c>
      <c r="FO69" s="962">
        <f t="shared" si="432"/>
        <v>35.68333333333333</v>
      </c>
      <c r="FP69" s="962">
        <f t="shared" si="432"/>
        <v>35.68333333333333</v>
      </c>
      <c r="FQ69" s="962">
        <f t="shared" si="432"/>
        <v>35.68333333333333</v>
      </c>
      <c r="FR69" s="962">
        <f t="shared" si="432"/>
        <v>35.68333333333333</v>
      </c>
      <c r="FS69" s="962">
        <f t="shared" si="432"/>
        <v>35.68333333333333</v>
      </c>
      <c r="FT69" s="962">
        <f t="shared" si="432"/>
        <v>35.68333333333333</v>
      </c>
      <c r="FU69" s="962">
        <f t="shared" si="432"/>
        <v>35.68333333333333</v>
      </c>
      <c r="FV69" s="962">
        <f t="shared" ref="FV69:IG69" si="433">35+(41/60)</f>
        <v>35.68333333333333</v>
      </c>
      <c r="FW69" s="962">
        <f t="shared" si="433"/>
        <v>35.68333333333333</v>
      </c>
      <c r="FX69" s="962">
        <f t="shared" si="433"/>
        <v>35.68333333333333</v>
      </c>
      <c r="FY69" s="962">
        <f t="shared" si="433"/>
        <v>35.68333333333333</v>
      </c>
      <c r="FZ69" s="962">
        <f t="shared" si="433"/>
        <v>35.68333333333333</v>
      </c>
      <c r="GA69" s="962">
        <f t="shared" si="433"/>
        <v>35.68333333333333</v>
      </c>
      <c r="GB69" s="962">
        <f t="shared" si="433"/>
        <v>35.68333333333333</v>
      </c>
      <c r="GC69" s="962">
        <f t="shared" si="433"/>
        <v>35.68333333333333</v>
      </c>
      <c r="GD69" s="962">
        <f t="shared" si="433"/>
        <v>35.68333333333333</v>
      </c>
      <c r="GE69" s="962">
        <f t="shared" si="433"/>
        <v>35.68333333333333</v>
      </c>
      <c r="GF69" s="962">
        <f t="shared" si="433"/>
        <v>35.68333333333333</v>
      </c>
      <c r="GG69" s="962">
        <f t="shared" si="433"/>
        <v>35.68333333333333</v>
      </c>
      <c r="GH69" s="962">
        <f t="shared" si="433"/>
        <v>35.68333333333333</v>
      </c>
      <c r="GI69" s="962">
        <f t="shared" si="433"/>
        <v>35.68333333333333</v>
      </c>
      <c r="GJ69" s="962">
        <f t="shared" si="433"/>
        <v>35.68333333333333</v>
      </c>
      <c r="GK69" s="962">
        <f t="shared" si="433"/>
        <v>35.68333333333333</v>
      </c>
      <c r="GL69" s="962">
        <f t="shared" si="433"/>
        <v>35.68333333333333</v>
      </c>
      <c r="GM69" s="962">
        <f t="shared" si="433"/>
        <v>35.68333333333333</v>
      </c>
      <c r="GN69" s="962">
        <f t="shared" si="433"/>
        <v>35.68333333333333</v>
      </c>
      <c r="GO69" s="962">
        <f t="shared" si="433"/>
        <v>35.68333333333333</v>
      </c>
      <c r="GP69" s="962">
        <f t="shared" si="433"/>
        <v>35.68333333333333</v>
      </c>
      <c r="GQ69" s="962">
        <f t="shared" si="433"/>
        <v>35.68333333333333</v>
      </c>
      <c r="GR69" s="962">
        <f t="shared" si="433"/>
        <v>35.68333333333333</v>
      </c>
      <c r="GS69" s="962">
        <f t="shared" si="433"/>
        <v>35.68333333333333</v>
      </c>
      <c r="GT69" s="962">
        <f t="shared" si="433"/>
        <v>35.68333333333333</v>
      </c>
      <c r="GU69" s="962">
        <f t="shared" si="433"/>
        <v>35.68333333333333</v>
      </c>
      <c r="GV69" s="962">
        <f t="shared" si="433"/>
        <v>35.68333333333333</v>
      </c>
      <c r="GW69" s="962">
        <f t="shared" si="433"/>
        <v>35.68333333333333</v>
      </c>
      <c r="GX69" s="962">
        <f t="shared" si="433"/>
        <v>35.68333333333333</v>
      </c>
      <c r="GY69" s="962">
        <f t="shared" si="433"/>
        <v>35.68333333333333</v>
      </c>
      <c r="GZ69" s="962">
        <f t="shared" si="433"/>
        <v>35.68333333333333</v>
      </c>
      <c r="HA69" s="962">
        <f t="shared" si="433"/>
        <v>35.68333333333333</v>
      </c>
      <c r="HB69" s="962">
        <f t="shared" si="433"/>
        <v>35.68333333333333</v>
      </c>
      <c r="HC69" s="962">
        <f t="shared" si="433"/>
        <v>35.68333333333333</v>
      </c>
      <c r="HD69" s="962">
        <f t="shared" si="433"/>
        <v>35.68333333333333</v>
      </c>
      <c r="HE69" s="962">
        <f t="shared" si="433"/>
        <v>35.68333333333333</v>
      </c>
      <c r="HF69" s="962">
        <f t="shared" si="433"/>
        <v>35.68333333333333</v>
      </c>
      <c r="HG69" s="962">
        <f t="shared" si="433"/>
        <v>35.68333333333333</v>
      </c>
      <c r="HH69" s="962">
        <f t="shared" si="433"/>
        <v>35.68333333333333</v>
      </c>
      <c r="HI69" s="962">
        <f t="shared" si="433"/>
        <v>35.68333333333333</v>
      </c>
      <c r="HJ69" s="962">
        <f t="shared" si="433"/>
        <v>35.68333333333333</v>
      </c>
      <c r="HK69" s="962">
        <f t="shared" si="433"/>
        <v>35.68333333333333</v>
      </c>
      <c r="HL69" s="962">
        <f t="shared" si="433"/>
        <v>35.68333333333333</v>
      </c>
      <c r="HM69" s="962">
        <f t="shared" si="433"/>
        <v>35.68333333333333</v>
      </c>
      <c r="HN69" s="962">
        <f t="shared" si="433"/>
        <v>35.68333333333333</v>
      </c>
      <c r="HO69" s="962">
        <f t="shared" si="433"/>
        <v>35.68333333333333</v>
      </c>
      <c r="HP69" s="962">
        <f t="shared" si="433"/>
        <v>35.68333333333333</v>
      </c>
      <c r="HQ69" s="962">
        <f t="shared" si="433"/>
        <v>35.68333333333333</v>
      </c>
      <c r="HR69" s="962">
        <f t="shared" si="433"/>
        <v>35.68333333333333</v>
      </c>
      <c r="HS69" s="962">
        <f t="shared" si="433"/>
        <v>35.68333333333333</v>
      </c>
      <c r="HT69" s="962">
        <f t="shared" si="433"/>
        <v>35.68333333333333</v>
      </c>
      <c r="HU69" s="962">
        <f t="shared" si="433"/>
        <v>35.68333333333333</v>
      </c>
      <c r="HV69" s="962">
        <f t="shared" si="433"/>
        <v>35.68333333333333</v>
      </c>
      <c r="HW69" s="962">
        <f t="shared" si="433"/>
        <v>35.68333333333333</v>
      </c>
      <c r="HX69" s="962">
        <f t="shared" si="433"/>
        <v>35.68333333333333</v>
      </c>
      <c r="HY69" s="962">
        <f t="shared" si="433"/>
        <v>35.68333333333333</v>
      </c>
      <c r="HZ69" s="962">
        <f t="shared" si="433"/>
        <v>35.68333333333333</v>
      </c>
      <c r="IA69" s="962">
        <f t="shared" si="433"/>
        <v>35.68333333333333</v>
      </c>
      <c r="IB69" s="962">
        <f t="shared" si="433"/>
        <v>35.68333333333333</v>
      </c>
      <c r="IC69" s="962">
        <f t="shared" si="433"/>
        <v>35.68333333333333</v>
      </c>
      <c r="ID69" s="962">
        <f t="shared" si="433"/>
        <v>35.68333333333333</v>
      </c>
      <c r="IE69" s="962">
        <f t="shared" si="433"/>
        <v>35.68333333333333</v>
      </c>
      <c r="IF69" s="962">
        <f t="shared" si="433"/>
        <v>35.68333333333333</v>
      </c>
      <c r="IG69" s="962">
        <f t="shared" si="433"/>
        <v>35.68333333333333</v>
      </c>
      <c r="IH69" s="962">
        <f t="shared" ref="IH69:KS69" si="434">35+(41/60)</f>
        <v>35.68333333333333</v>
      </c>
      <c r="II69" s="962">
        <f t="shared" si="434"/>
        <v>35.68333333333333</v>
      </c>
      <c r="IJ69" s="962">
        <f t="shared" si="434"/>
        <v>35.68333333333333</v>
      </c>
      <c r="IK69" s="962">
        <f t="shared" si="434"/>
        <v>35.68333333333333</v>
      </c>
      <c r="IL69" s="962">
        <f t="shared" si="434"/>
        <v>35.68333333333333</v>
      </c>
      <c r="IM69" s="962">
        <f t="shared" si="434"/>
        <v>35.68333333333333</v>
      </c>
      <c r="IN69" s="962">
        <f t="shared" si="434"/>
        <v>35.68333333333333</v>
      </c>
      <c r="IO69" s="962">
        <f t="shared" si="434"/>
        <v>35.68333333333333</v>
      </c>
      <c r="IP69" s="962">
        <f t="shared" si="434"/>
        <v>35.68333333333333</v>
      </c>
      <c r="IQ69" s="962">
        <f t="shared" si="434"/>
        <v>35.68333333333333</v>
      </c>
      <c r="IR69" s="962">
        <f t="shared" si="434"/>
        <v>35.68333333333333</v>
      </c>
      <c r="IS69" s="962">
        <f t="shared" si="434"/>
        <v>35.68333333333333</v>
      </c>
      <c r="IT69" s="962">
        <f t="shared" si="434"/>
        <v>35.68333333333333</v>
      </c>
      <c r="IU69" s="962">
        <f t="shared" si="434"/>
        <v>35.68333333333333</v>
      </c>
      <c r="IV69" s="962">
        <f t="shared" si="434"/>
        <v>35.68333333333333</v>
      </c>
      <c r="IW69" s="962">
        <f t="shared" si="434"/>
        <v>35.68333333333333</v>
      </c>
      <c r="IX69" s="962">
        <f t="shared" si="434"/>
        <v>35.68333333333333</v>
      </c>
      <c r="IY69" s="962">
        <f t="shared" si="434"/>
        <v>35.68333333333333</v>
      </c>
      <c r="IZ69" s="962">
        <f t="shared" si="434"/>
        <v>35.68333333333333</v>
      </c>
      <c r="JA69" s="962">
        <f t="shared" si="434"/>
        <v>35.68333333333333</v>
      </c>
      <c r="JB69" s="962">
        <f t="shared" si="434"/>
        <v>35.68333333333333</v>
      </c>
      <c r="JC69" s="962">
        <f t="shared" si="434"/>
        <v>35.68333333333333</v>
      </c>
      <c r="JD69" s="962">
        <f t="shared" si="434"/>
        <v>35.68333333333333</v>
      </c>
      <c r="JE69" s="962">
        <f t="shared" si="434"/>
        <v>35.68333333333333</v>
      </c>
      <c r="JF69" s="962">
        <f t="shared" si="434"/>
        <v>35.68333333333333</v>
      </c>
      <c r="JG69" s="962">
        <f t="shared" si="434"/>
        <v>35.68333333333333</v>
      </c>
      <c r="JH69" s="962">
        <f t="shared" si="434"/>
        <v>35.68333333333333</v>
      </c>
      <c r="JI69" s="962">
        <f t="shared" si="434"/>
        <v>35.68333333333333</v>
      </c>
      <c r="JJ69" s="962">
        <f t="shared" si="434"/>
        <v>35.68333333333333</v>
      </c>
      <c r="JK69" s="962">
        <f t="shared" si="434"/>
        <v>35.68333333333333</v>
      </c>
      <c r="JL69" s="962">
        <f t="shared" si="434"/>
        <v>35.68333333333333</v>
      </c>
      <c r="JM69" s="962">
        <f t="shared" si="434"/>
        <v>35.68333333333333</v>
      </c>
      <c r="JN69" s="962">
        <f t="shared" si="434"/>
        <v>35.68333333333333</v>
      </c>
      <c r="JO69" s="962">
        <f t="shared" si="434"/>
        <v>35.68333333333333</v>
      </c>
      <c r="JP69" s="962">
        <f t="shared" si="434"/>
        <v>35.68333333333333</v>
      </c>
      <c r="JQ69" s="962">
        <f t="shared" si="434"/>
        <v>35.68333333333333</v>
      </c>
      <c r="JR69" s="962">
        <f t="shared" si="434"/>
        <v>35.68333333333333</v>
      </c>
      <c r="JS69" s="962">
        <f t="shared" si="434"/>
        <v>35.68333333333333</v>
      </c>
      <c r="JT69" s="962">
        <f t="shared" si="434"/>
        <v>35.68333333333333</v>
      </c>
      <c r="JU69" s="962">
        <f t="shared" si="434"/>
        <v>35.68333333333333</v>
      </c>
      <c r="JV69" s="962">
        <f t="shared" si="434"/>
        <v>35.68333333333333</v>
      </c>
      <c r="JW69" s="962">
        <f t="shared" si="434"/>
        <v>35.68333333333333</v>
      </c>
      <c r="JX69" s="962">
        <f t="shared" si="434"/>
        <v>35.68333333333333</v>
      </c>
      <c r="JY69" s="962">
        <f t="shared" si="434"/>
        <v>35.68333333333333</v>
      </c>
      <c r="JZ69" s="962">
        <f t="shared" si="434"/>
        <v>35.68333333333333</v>
      </c>
      <c r="KA69" s="962">
        <f t="shared" si="434"/>
        <v>35.68333333333333</v>
      </c>
      <c r="KB69" s="962">
        <f t="shared" si="434"/>
        <v>35.68333333333333</v>
      </c>
      <c r="KC69" s="962">
        <f t="shared" si="434"/>
        <v>35.68333333333333</v>
      </c>
      <c r="KD69" s="962">
        <f t="shared" si="434"/>
        <v>35.68333333333333</v>
      </c>
      <c r="KE69" s="962">
        <f t="shared" si="434"/>
        <v>35.68333333333333</v>
      </c>
      <c r="KF69" s="962">
        <f t="shared" si="434"/>
        <v>35.68333333333333</v>
      </c>
      <c r="KG69" s="962">
        <f t="shared" si="434"/>
        <v>35.68333333333333</v>
      </c>
      <c r="KH69" s="962">
        <f t="shared" si="434"/>
        <v>35.68333333333333</v>
      </c>
      <c r="KI69" s="962">
        <f t="shared" si="434"/>
        <v>35.68333333333333</v>
      </c>
      <c r="KJ69" s="962">
        <f t="shared" si="434"/>
        <v>35.68333333333333</v>
      </c>
      <c r="KK69" s="962">
        <f t="shared" si="434"/>
        <v>35.68333333333333</v>
      </c>
      <c r="KL69" s="962">
        <f t="shared" si="434"/>
        <v>35.68333333333333</v>
      </c>
      <c r="KM69" s="962">
        <f t="shared" si="434"/>
        <v>35.68333333333333</v>
      </c>
      <c r="KN69" s="962">
        <f t="shared" si="434"/>
        <v>35.68333333333333</v>
      </c>
      <c r="KO69" s="962">
        <f t="shared" si="434"/>
        <v>35.68333333333333</v>
      </c>
      <c r="KP69" s="962">
        <f t="shared" si="434"/>
        <v>35.68333333333333</v>
      </c>
      <c r="KQ69" s="962">
        <f t="shared" si="434"/>
        <v>35.68333333333333</v>
      </c>
      <c r="KR69" s="962">
        <f t="shared" si="434"/>
        <v>35.68333333333333</v>
      </c>
      <c r="KS69" s="962">
        <f t="shared" si="434"/>
        <v>35.68333333333333</v>
      </c>
      <c r="KT69" s="962">
        <f t="shared" ref="KT69:NE69" si="435">35+(41/60)</f>
        <v>35.68333333333333</v>
      </c>
      <c r="KU69" s="962">
        <f t="shared" si="435"/>
        <v>35.68333333333333</v>
      </c>
      <c r="KV69" s="962">
        <f t="shared" si="435"/>
        <v>35.68333333333333</v>
      </c>
      <c r="KW69" s="962">
        <f t="shared" si="435"/>
        <v>35.68333333333333</v>
      </c>
      <c r="KX69" s="962">
        <f t="shared" si="435"/>
        <v>35.68333333333333</v>
      </c>
      <c r="KY69" s="962">
        <f t="shared" si="435"/>
        <v>35.68333333333333</v>
      </c>
      <c r="KZ69" s="962">
        <f t="shared" si="435"/>
        <v>35.68333333333333</v>
      </c>
      <c r="LA69" s="962">
        <f t="shared" si="435"/>
        <v>35.68333333333333</v>
      </c>
      <c r="LB69" s="962">
        <f t="shared" si="435"/>
        <v>35.68333333333333</v>
      </c>
      <c r="LC69" s="962">
        <f t="shared" si="435"/>
        <v>35.68333333333333</v>
      </c>
      <c r="LD69" s="962">
        <f t="shared" si="435"/>
        <v>35.68333333333333</v>
      </c>
      <c r="LE69" s="962">
        <f t="shared" si="435"/>
        <v>35.68333333333333</v>
      </c>
      <c r="LF69" s="962">
        <f t="shared" si="435"/>
        <v>35.68333333333333</v>
      </c>
      <c r="LG69" s="962">
        <f t="shared" si="435"/>
        <v>35.68333333333333</v>
      </c>
      <c r="LH69" s="962">
        <f t="shared" si="435"/>
        <v>35.68333333333333</v>
      </c>
      <c r="LI69" s="962">
        <f t="shared" si="435"/>
        <v>35.68333333333333</v>
      </c>
      <c r="LJ69" s="962">
        <f t="shared" si="435"/>
        <v>35.68333333333333</v>
      </c>
      <c r="LK69" s="962">
        <f t="shared" si="435"/>
        <v>35.68333333333333</v>
      </c>
      <c r="LL69" s="962">
        <f t="shared" si="435"/>
        <v>35.68333333333333</v>
      </c>
      <c r="LM69" s="962">
        <f t="shared" si="435"/>
        <v>35.68333333333333</v>
      </c>
      <c r="LN69" s="962">
        <f t="shared" si="435"/>
        <v>35.68333333333333</v>
      </c>
      <c r="LO69" s="962">
        <f t="shared" si="435"/>
        <v>35.68333333333333</v>
      </c>
      <c r="LP69" s="962">
        <f t="shared" si="435"/>
        <v>35.68333333333333</v>
      </c>
      <c r="LQ69" s="962">
        <f t="shared" si="435"/>
        <v>35.68333333333333</v>
      </c>
      <c r="LR69" s="962">
        <f t="shared" si="435"/>
        <v>35.68333333333333</v>
      </c>
      <c r="LS69" s="962">
        <f t="shared" si="435"/>
        <v>35.68333333333333</v>
      </c>
      <c r="LT69" s="962">
        <f t="shared" si="435"/>
        <v>35.68333333333333</v>
      </c>
      <c r="LU69" s="962">
        <f t="shared" si="435"/>
        <v>35.68333333333333</v>
      </c>
      <c r="LV69" s="962">
        <f t="shared" si="435"/>
        <v>35.68333333333333</v>
      </c>
      <c r="LW69" s="962">
        <f t="shared" si="435"/>
        <v>35.68333333333333</v>
      </c>
      <c r="LX69" s="962">
        <f t="shared" si="435"/>
        <v>35.68333333333333</v>
      </c>
      <c r="LY69" s="962">
        <f t="shared" si="435"/>
        <v>35.68333333333333</v>
      </c>
      <c r="LZ69" s="962">
        <f t="shared" si="435"/>
        <v>35.68333333333333</v>
      </c>
      <c r="MA69" s="962">
        <f t="shared" si="435"/>
        <v>35.68333333333333</v>
      </c>
      <c r="MB69" s="962">
        <f t="shared" si="435"/>
        <v>35.68333333333333</v>
      </c>
      <c r="MC69" s="962">
        <f t="shared" si="435"/>
        <v>35.68333333333333</v>
      </c>
      <c r="MD69" s="962">
        <f t="shared" si="435"/>
        <v>35.68333333333333</v>
      </c>
      <c r="ME69" s="962">
        <f t="shared" si="435"/>
        <v>35.68333333333333</v>
      </c>
      <c r="MF69" s="962">
        <f t="shared" si="435"/>
        <v>35.68333333333333</v>
      </c>
      <c r="MG69" s="962">
        <f t="shared" si="435"/>
        <v>35.68333333333333</v>
      </c>
      <c r="MH69" s="962">
        <f t="shared" si="435"/>
        <v>35.68333333333333</v>
      </c>
      <c r="MI69" s="962">
        <f t="shared" si="435"/>
        <v>35.68333333333333</v>
      </c>
      <c r="MJ69" s="962">
        <f t="shared" si="435"/>
        <v>35.68333333333333</v>
      </c>
      <c r="MK69" s="962">
        <f t="shared" si="435"/>
        <v>35.68333333333333</v>
      </c>
      <c r="ML69" s="962">
        <f t="shared" si="435"/>
        <v>35.68333333333333</v>
      </c>
      <c r="MM69" s="962">
        <f t="shared" si="435"/>
        <v>35.68333333333333</v>
      </c>
      <c r="MN69" s="962">
        <f t="shared" si="435"/>
        <v>35.68333333333333</v>
      </c>
      <c r="MO69" s="962">
        <f t="shared" si="435"/>
        <v>35.68333333333333</v>
      </c>
      <c r="MP69" s="962">
        <f t="shared" si="435"/>
        <v>35.68333333333333</v>
      </c>
      <c r="MQ69" s="962">
        <f t="shared" si="435"/>
        <v>35.68333333333333</v>
      </c>
      <c r="MR69" s="962">
        <f t="shared" si="435"/>
        <v>35.68333333333333</v>
      </c>
      <c r="MS69" s="962">
        <f t="shared" si="435"/>
        <v>35.68333333333333</v>
      </c>
      <c r="MT69" s="962">
        <f t="shared" si="435"/>
        <v>35.68333333333333</v>
      </c>
      <c r="MU69" s="962">
        <f t="shared" si="435"/>
        <v>35.68333333333333</v>
      </c>
      <c r="MV69" s="962">
        <f t="shared" si="435"/>
        <v>35.68333333333333</v>
      </c>
      <c r="MW69" s="962">
        <f t="shared" si="435"/>
        <v>35.68333333333333</v>
      </c>
      <c r="MX69" s="962">
        <f t="shared" si="435"/>
        <v>35.68333333333333</v>
      </c>
      <c r="MY69" s="962">
        <f t="shared" si="435"/>
        <v>35.68333333333333</v>
      </c>
      <c r="MZ69" s="962">
        <f t="shared" si="435"/>
        <v>35.68333333333333</v>
      </c>
      <c r="NA69" s="962">
        <f t="shared" si="435"/>
        <v>35.68333333333333</v>
      </c>
      <c r="NB69" s="962">
        <f t="shared" si="435"/>
        <v>35.68333333333333</v>
      </c>
      <c r="NC69" s="962">
        <f t="shared" si="435"/>
        <v>35.68333333333333</v>
      </c>
      <c r="ND69" s="962">
        <f t="shared" si="435"/>
        <v>35.68333333333333</v>
      </c>
      <c r="NE69" s="962">
        <f t="shared" si="435"/>
        <v>35.68333333333333</v>
      </c>
      <c r="NF69" s="962">
        <f t="shared" ref="NF69:PQ69" si="436">35+(41/60)</f>
        <v>35.68333333333333</v>
      </c>
      <c r="NG69" s="962">
        <f t="shared" si="436"/>
        <v>35.68333333333333</v>
      </c>
      <c r="NH69" s="962">
        <f t="shared" si="436"/>
        <v>35.68333333333333</v>
      </c>
      <c r="NI69" s="962">
        <f t="shared" si="436"/>
        <v>35.68333333333333</v>
      </c>
      <c r="NJ69" s="962">
        <f t="shared" si="436"/>
        <v>35.68333333333333</v>
      </c>
      <c r="NK69" s="962">
        <f t="shared" si="436"/>
        <v>35.68333333333333</v>
      </c>
      <c r="NL69" s="962">
        <f t="shared" si="436"/>
        <v>35.68333333333333</v>
      </c>
      <c r="NM69" s="962">
        <f t="shared" si="436"/>
        <v>35.68333333333333</v>
      </c>
      <c r="NN69" s="962">
        <f t="shared" si="436"/>
        <v>35.68333333333333</v>
      </c>
      <c r="NO69" s="962">
        <f t="shared" si="436"/>
        <v>35.68333333333333</v>
      </c>
      <c r="NP69" s="962">
        <f t="shared" si="436"/>
        <v>35.68333333333333</v>
      </c>
      <c r="NQ69" s="962">
        <f t="shared" si="436"/>
        <v>35.68333333333333</v>
      </c>
      <c r="NR69" s="962">
        <f t="shared" si="436"/>
        <v>35.68333333333333</v>
      </c>
      <c r="NS69" s="962">
        <f t="shared" si="436"/>
        <v>35.68333333333333</v>
      </c>
      <c r="NT69" s="962">
        <f t="shared" si="436"/>
        <v>35.68333333333333</v>
      </c>
      <c r="NU69" s="962">
        <f t="shared" si="436"/>
        <v>35.68333333333333</v>
      </c>
      <c r="NV69" s="962">
        <f t="shared" si="436"/>
        <v>35.68333333333333</v>
      </c>
      <c r="NW69" s="962">
        <f t="shared" si="436"/>
        <v>35.68333333333333</v>
      </c>
      <c r="NX69" s="962">
        <f t="shared" si="436"/>
        <v>35.68333333333333</v>
      </c>
      <c r="NY69" s="962">
        <f t="shared" si="436"/>
        <v>35.68333333333333</v>
      </c>
      <c r="NZ69" s="962">
        <f t="shared" si="436"/>
        <v>35.68333333333333</v>
      </c>
      <c r="OA69" s="962">
        <f t="shared" si="436"/>
        <v>35.68333333333333</v>
      </c>
      <c r="OB69" s="962">
        <f t="shared" si="436"/>
        <v>35.68333333333333</v>
      </c>
      <c r="OC69" s="962">
        <f t="shared" si="436"/>
        <v>35.68333333333333</v>
      </c>
      <c r="OD69" s="962">
        <f t="shared" si="436"/>
        <v>35.68333333333333</v>
      </c>
      <c r="OE69" s="962">
        <f t="shared" si="436"/>
        <v>35.68333333333333</v>
      </c>
      <c r="OF69" s="962">
        <f t="shared" si="436"/>
        <v>35.68333333333333</v>
      </c>
      <c r="OG69" s="962">
        <f t="shared" si="436"/>
        <v>35.68333333333333</v>
      </c>
      <c r="OH69" s="962">
        <f t="shared" si="436"/>
        <v>35.68333333333333</v>
      </c>
      <c r="OI69" s="962">
        <f t="shared" si="436"/>
        <v>35.68333333333333</v>
      </c>
      <c r="OJ69" s="962">
        <f t="shared" si="436"/>
        <v>35.68333333333333</v>
      </c>
      <c r="OK69" s="962">
        <f t="shared" si="436"/>
        <v>35.68333333333333</v>
      </c>
      <c r="OL69" s="962">
        <f t="shared" si="436"/>
        <v>35.68333333333333</v>
      </c>
      <c r="OM69" s="962">
        <f t="shared" si="436"/>
        <v>35.68333333333333</v>
      </c>
      <c r="ON69" s="962">
        <f t="shared" si="436"/>
        <v>35.68333333333333</v>
      </c>
      <c r="OO69" s="962">
        <f t="shared" si="436"/>
        <v>35.68333333333333</v>
      </c>
      <c r="OP69" s="962">
        <f t="shared" si="436"/>
        <v>35.68333333333333</v>
      </c>
      <c r="OQ69" s="962">
        <f t="shared" si="436"/>
        <v>35.68333333333333</v>
      </c>
      <c r="OR69" s="962">
        <f t="shared" si="436"/>
        <v>35.68333333333333</v>
      </c>
      <c r="OS69" s="962">
        <f t="shared" si="436"/>
        <v>35.68333333333333</v>
      </c>
      <c r="OT69" s="962">
        <f t="shared" si="436"/>
        <v>35.68333333333333</v>
      </c>
      <c r="OU69" s="962">
        <f t="shared" si="436"/>
        <v>35.68333333333333</v>
      </c>
      <c r="OV69" s="962">
        <f t="shared" si="436"/>
        <v>35.68333333333333</v>
      </c>
      <c r="OW69" s="962">
        <f t="shared" si="436"/>
        <v>35.68333333333333</v>
      </c>
      <c r="OX69" s="962">
        <f t="shared" si="436"/>
        <v>35.68333333333333</v>
      </c>
      <c r="OY69" s="962">
        <f t="shared" si="436"/>
        <v>35.68333333333333</v>
      </c>
      <c r="OZ69" s="962">
        <f t="shared" si="436"/>
        <v>35.68333333333333</v>
      </c>
      <c r="PA69" s="962">
        <f t="shared" si="436"/>
        <v>35.68333333333333</v>
      </c>
      <c r="PB69" s="962">
        <f t="shared" si="436"/>
        <v>35.68333333333333</v>
      </c>
      <c r="PC69" s="962">
        <f t="shared" si="436"/>
        <v>35.68333333333333</v>
      </c>
      <c r="PD69" s="962">
        <f t="shared" si="436"/>
        <v>35.68333333333333</v>
      </c>
      <c r="PE69" s="962">
        <f t="shared" si="436"/>
        <v>35.68333333333333</v>
      </c>
      <c r="PF69" s="962">
        <f t="shared" si="436"/>
        <v>35.68333333333333</v>
      </c>
      <c r="PG69" s="962">
        <f t="shared" si="436"/>
        <v>35.68333333333333</v>
      </c>
      <c r="PH69" s="962">
        <f t="shared" si="436"/>
        <v>35.68333333333333</v>
      </c>
      <c r="PI69" s="962">
        <f t="shared" si="436"/>
        <v>35.68333333333333</v>
      </c>
      <c r="PJ69" s="962">
        <f t="shared" si="436"/>
        <v>35.68333333333333</v>
      </c>
      <c r="PK69" s="962">
        <f t="shared" si="436"/>
        <v>35.68333333333333</v>
      </c>
      <c r="PL69" s="962">
        <f t="shared" si="436"/>
        <v>35.68333333333333</v>
      </c>
      <c r="PM69" s="962">
        <f t="shared" si="436"/>
        <v>35.68333333333333</v>
      </c>
      <c r="PN69" s="962">
        <f t="shared" si="436"/>
        <v>35.68333333333333</v>
      </c>
      <c r="PO69" s="962">
        <f t="shared" si="436"/>
        <v>35.68333333333333</v>
      </c>
      <c r="PP69" s="962">
        <f t="shared" si="436"/>
        <v>35.68333333333333</v>
      </c>
      <c r="PQ69" s="962">
        <f t="shared" si="436"/>
        <v>35.68333333333333</v>
      </c>
      <c r="PR69" s="962">
        <f t="shared" ref="PR69:RA69" si="437">35+(41/60)</f>
        <v>35.68333333333333</v>
      </c>
      <c r="PS69" s="962">
        <f t="shared" si="437"/>
        <v>35.68333333333333</v>
      </c>
      <c r="PT69" s="962">
        <f t="shared" si="437"/>
        <v>35.68333333333333</v>
      </c>
      <c r="PU69" s="962">
        <f t="shared" si="437"/>
        <v>35.68333333333333</v>
      </c>
      <c r="PV69" s="962">
        <f t="shared" si="437"/>
        <v>35.68333333333333</v>
      </c>
      <c r="PW69" s="962">
        <f t="shared" si="437"/>
        <v>35.68333333333333</v>
      </c>
      <c r="PX69" s="962">
        <f t="shared" si="437"/>
        <v>35.68333333333333</v>
      </c>
      <c r="PY69" s="962">
        <f t="shared" si="437"/>
        <v>35.68333333333333</v>
      </c>
      <c r="PZ69" s="962">
        <f t="shared" si="437"/>
        <v>35.68333333333333</v>
      </c>
      <c r="QA69" s="962">
        <f t="shared" si="437"/>
        <v>35.68333333333333</v>
      </c>
      <c r="QB69" s="962">
        <f t="shared" si="437"/>
        <v>35.68333333333333</v>
      </c>
      <c r="QC69" s="962">
        <f t="shared" si="437"/>
        <v>35.68333333333333</v>
      </c>
      <c r="QD69" s="962">
        <f t="shared" si="437"/>
        <v>35.68333333333333</v>
      </c>
      <c r="QE69" s="962">
        <f t="shared" si="437"/>
        <v>35.68333333333333</v>
      </c>
      <c r="QF69" s="962">
        <f t="shared" si="437"/>
        <v>35.68333333333333</v>
      </c>
      <c r="QG69" s="962">
        <f t="shared" si="437"/>
        <v>35.68333333333333</v>
      </c>
      <c r="QH69" s="962">
        <f t="shared" si="437"/>
        <v>35.68333333333333</v>
      </c>
      <c r="QI69" s="962">
        <f t="shared" si="437"/>
        <v>35.68333333333333</v>
      </c>
      <c r="QJ69" s="962">
        <f t="shared" si="437"/>
        <v>35.68333333333333</v>
      </c>
      <c r="QK69" s="962">
        <f t="shared" si="437"/>
        <v>35.68333333333333</v>
      </c>
      <c r="QL69" s="962">
        <f t="shared" si="437"/>
        <v>35.68333333333333</v>
      </c>
      <c r="QM69" s="962">
        <f t="shared" si="437"/>
        <v>35.68333333333333</v>
      </c>
      <c r="QN69" s="962">
        <f t="shared" si="437"/>
        <v>35.68333333333333</v>
      </c>
      <c r="QO69" s="962">
        <f t="shared" si="437"/>
        <v>35.68333333333333</v>
      </c>
      <c r="QP69" s="962">
        <f t="shared" si="437"/>
        <v>35.68333333333333</v>
      </c>
      <c r="QQ69" s="962">
        <f t="shared" si="437"/>
        <v>35.68333333333333</v>
      </c>
      <c r="QR69" s="962">
        <f t="shared" si="437"/>
        <v>35.68333333333333</v>
      </c>
      <c r="QS69" s="962">
        <f t="shared" si="437"/>
        <v>35.68333333333333</v>
      </c>
      <c r="QT69" s="962">
        <f t="shared" si="437"/>
        <v>35.68333333333333</v>
      </c>
      <c r="QU69" s="962">
        <f t="shared" si="437"/>
        <v>35.68333333333333</v>
      </c>
      <c r="QV69" s="962">
        <f t="shared" si="437"/>
        <v>35.68333333333333</v>
      </c>
      <c r="QW69" s="962">
        <f t="shared" si="437"/>
        <v>35.68333333333333</v>
      </c>
      <c r="QX69" s="962">
        <f t="shared" si="437"/>
        <v>35.68333333333333</v>
      </c>
      <c r="QY69" s="962">
        <f t="shared" si="437"/>
        <v>35.68333333333333</v>
      </c>
      <c r="QZ69" s="962">
        <f t="shared" si="437"/>
        <v>35.68333333333333</v>
      </c>
      <c r="RA69" s="963">
        <f t="shared" si="437"/>
        <v>35.68333333333333</v>
      </c>
      <c r="RC69" s="797"/>
    </row>
    <row r="70" spans="2:471" ht="17.25">
      <c r="B70" s="2"/>
      <c r="C70" s="2">
        <v>2025</v>
      </c>
      <c r="D70" s="2">
        <f>MOD(INT((C70-1)*365.25),7)</f>
        <v>3</v>
      </c>
      <c r="E70" s="2" t="str">
        <f>IF(D70=1,"دوشنبه",IF(D70=2,"سه شنبه",IF(D70=3,"چهارشنبه",IF(D70=4,"پنج شنبه",IF(D70=5,"جمعه",IF(D70=6,"شنبه",IF(D70=0,"یک شنبه")))))))</f>
        <v>چهارشنبه</v>
      </c>
      <c r="F70" s="2"/>
      <c r="G70" s="2"/>
      <c r="H70" s="2"/>
      <c r="I70" s="2"/>
      <c r="J70" s="2"/>
      <c r="K70" s="2"/>
      <c r="L70" s="2"/>
      <c r="M70" s="2"/>
      <c r="N70" s="2"/>
      <c r="O70" s="2"/>
      <c r="P70" s="2"/>
      <c r="Q70" s="2"/>
      <c r="R70" s="2"/>
      <c r="S70" s="2"/>
      <c r="T70" s="2"/>
      <c r="U70" s="2"/>
      <c r="V70" s="2"/>
      <c r="W70" s="2"/>
      <c r="X70" s="2"/>
      <c r="Y70" s="2"/>
      <c r="Z70" s="2"/>
      <c r="AA70" s="2"/>
      <c r="AB70" s="2"/>
      <c r="AC70" s="2"/>
      <c r="DH70" s="797"/>
      <c r="DI70" s="797" t="s">
        <v>3499</v>
      </c>
      <c r="DJ70" s="961" t="e">
        <f>[1]!qsn([1]!ml([1]!taqsha(1,1,[1]!roz(DJ67+1,0,0,0),DJ68)),DJ69)/30</f>
        <v>#VALUE!</v>
      </c>
      <c r="DK70" s="962" t="e">
        <f>[1]!qsn([1]!ml([1]!taqsha(1,1,[1]!roz(DK67+1,0,0,0),DK68)),DK69)/30</f>
        <v>#VALUE!</v>
      </c>
      <c r="DL70" s="962" t="e">
        <f>[1]!qsn([1]!ml([1]!taqsha(1,1,[1]!roz(DL67+1,0,0,0),DL68)),DL69)/30</f>
        <v>#VALUE!</v>
      </c>
      <c r="DM70" s="962" t="e">
        <f>[1]!qsn([1]!ml([1]!taqsha(1,1,[1]!roz(DM67+1,0,0,0),DM68)),DM69)/30</f>
        <v>#VALUE!</v>
      </c>
      <c r="DN70" s="962" t="e">
        <f>[1]!qsn([1]!ml([1]!taqsha(1,1,[1]!roz(DN67+1,0,0,0),DN68)),DN69)/30</f>
        <v>#VALUE!</v>
      </c>
      <c r="DO70" s="962" t="e">
        <f>[1]!qsn([1]!ml([1]!taqsha(1,1,[1]!roz(DO67+1,0,0,0),DO68)),DO69)/30</f>
        <v>#VALUE!</v>
      </c>
      <c r="DP70" s="962" t="e">
        <f>[1]!qsn([1]!ml([1]!taqsha(1,1,[1]!roz(DP67+1,0,0,0),DP68)),DP69)/30</f>
        <v>#VALUE!</v>
      </c>
      <c r="DQ70" s="962" t="e">
        <f>[1]!qsn([1]!ml([1]!taqsha(1,1,[1]!roz(DQ67+1,0,0,0),DQ68)),DQ69)/30</f>
        <v>#VALUE!</v>
      </c>
      <c r="DR70" s="962" t="e">
        <f>[1]!qsn([1]!ml([1]!taqsha(1,1,[1]!roz(DR67+1,0,0,0),DR68)),DR69)/30</f>
        <v>#VALUE!</v>
      </c>
      <c r="DS70" s="962" t="e">
        <f>[1]!qsn([1]!ml([1]!taqsha(1,1,[1]!roz(DS67+1,0,0,0),DS68)),DS69)/30</f>
        <v>#VALUE!</v>
      </c>
      <c r="DT70" s="962" t="e">
        <f>[1]!qsn([1]!ml([1]!taqsha(1,1,[1]!roz(DT67+1,0,0,0),DT68)),DT69)/30</f>
        <v>#VALUE!</v>
      </c>
      <c r="DU70" s="962" t="e">
        <f>[1]!qsn([1]!ml([1]!taqsha(1,1,[1]!roz(DU67+1,0,0,0),DU68)),DU69)/30</f>
        <v>#VALUE!</v>
      </c>
      <c r="DV70" s="962" t="e">
        <f>[1]!qsn([1]!ml([1]!taqsha(1,1,[1]!roz(DV67+1,0,0,0),DV68)),DV69)/30</f>
        <v>#VALUE!</v>
      </c>
      <c r="DW70" s="962" t="e">
        <f>[1]!qsn([1]!ml([1]!taqsha(1,1,[1]!roz(DW67+1,0,0,0),DW68)),DW69)/30</f>
        <v>#VALUE!</v>
      </c>
      <c r="DX70" s="962" t="e">
        <f>[1]!qsn([1]!ml([1]!taqsha(1,1,[1]!roz(DX67+1,0,0,0),DX68)),DX69)/30</f>
        <v>#VALUE!</v>
      </c>
      <c r="DY70" s="962" t="e">
        <f>[1]!qsn([1]!ml([1]!taqsha(1,1,[1]!roz(DY67+1,0,0,0),DY68)),DY69)/30</f>
        <v>#VALUE!</v>
      </c>
      <c r="DZ70" s="962" t="e">
        <f>[1]!qsn([1]!ml([1]!taqsha(1,1,[1]!roz(DZ67+1,0,0,0),DZ68)),DZ69)/30</f>
        <v>#VALUE!</v>
      </c>
      <c r="EA70" s="962" t="e">
        <f>[1]!qsn([1]!ml([1]!taqsha(1,1,[1]!roz(EA67+1,0,0,0),EA68)),EA69)/30</f>
        <v>#VALUE!</v>
      </c>
      <c r="EB70" s="962" t="e">
        <f>[1]!qsn([1]!ml([1]!taqsha(1,1,[1]!roz(EB67+1,0,0,0),EB68)),EB69)/30</f>
        <v>#VALUE!</v>
      </c>
      <c r="EC70" s="962" t="e">
        <f>[1]!qsn([1]!ml([1]!taqsha(1,1,[1]!roz(EC67+1,0,0,0),EC68)),EC69)/30</f>
        <v>#VALUE!</v>
      </c>
      <c r="ED70" s="962" t="e">
        <f>[1]!qsn([1]!ml([1]!taqsha(1,1,[1]!roz(ED67+1,0,0,0),ED68)),ED69)/30</f>
        <v>#VALUE!</v>
      </c>
      <c r="EE70" s="962" t="e">
        <f>[1]!qsn([1]!ml([1]!taqsha(1,1,[1]!roz(EE67+1,0,0,0),EE68)),EE69)/30</f>
        <v>#VALUE!</v>
      </c>
      <c r="EF70" s="962" t="e">
        <f>[1]!qsn([1]!ml([1]!taqsha(1,1,[1]!roz(EF67+1,0,0,0),EF68)),EF69)/30</f>
        <v>#VALUE!</v>
      </c>
      <c r="EG70" s="962" t="e">
        <f>[1]!qsn([1]!ml([1]!taqsha(1,1,[1]!roz(EG67+1,0,0,0),EG68)),EG69)/30</f>
        <v>#VALUE!</v>
      </c>
      <c r="EH70" s="962" t="e">
        <f>[1]!qsn([1]!ml([1]!taqsha(1,1,[1]!roz(EH67+1,0,0,0),EH68)),EH69)/30</f>
        <v>#VALUE!</v>
      </c>
      <c r="EI70" s="962" t="e">
        <f>[1]!qsn([1]!ml([1]!taqsha(1,1,[1]!roz(EI67+1,0,0,0),EI68)),EI69)/30</f>
        <v>#VALUE!</v>
      </c>
      <c r="EJ70" s="962" t="e">
        <f>[1]!qsn([1]!ml([1]!taqsha(1,1,[1]!roz(EJ67+1,0,0,0),EJ68)),EJ69)/30</f>
        <v>#VALUE!</v>
      </c>
      <c r="EK70" s="962" t="e">
        <f>[1]!qsn([1]!ml([1]!taqsha(1,1,[1]!roz(EK67+1,0,0,0),EK68)),EK69)/30</f>
        <v>#VALUE!</v>
      </c>
      <c r="EL70" s="962" t="e">
        <f>[1]!qsn([1]!ml([1]!taqsha(1,1,[1]!roz(EL67+1,0,0,0),EL68)),EL69)/30</f>
        <v>#VALUE!</v>
      </c>
      <c r="EM70" s="962" t="e">
        <f>[1]!qsn([1]!ml([1]!taqsha(1,1,[1]!roz(EM67+1,0,0,0),EM68)),EM69)/30</f>
        <v>#VALUE!</v>
      </c>
      <c r="EN70" s="962" t="e">
        <f>[1]!qsn([1]!ml([1]!taqsha(1,1,[1]!roz(EN67+1,0,0,0),EN68)),EN69)/30</f>
        <v>#VALUE!</v>
      </c>
      <c r="EO70" s="962" t="e">
        <f>[1]!qsn([1]!ml([1]!taqsha(1,1,[1]!roz(EO67+1,0,0,0),EO68)),EO69)/30</f>
        <v>#VALUE!</v>
      </c>
      <c r="EP70" s="962" t="e">
        <f>[1]!qsn([1]!ml([1]!taqsha(1,1,[1]!roz(EP67+1,0,0,0),EP68)),EP69)/30</f>
        <v>#VALUE!</v>
      </c>
      <c r="EQ70" s="962" t="e">
        <f>[1]!qsn([1]!ml([1]!taqsha(1,1,[1]!roz(EQ67+1,0,0,0),EQ68)),EQ69)/30</f>
        <v>#VALUE!</v>
      </c>
      <c r="ER70" s="962" t="e">
        <f>[1]!qsn([1]!ml([1]!taqsha(1,1,[1]!roz(ER67+1,0,0,0),ER68)),ER69)/30</f>
        <v>#VALUE!</v>
      </c>
      <c r="ES70" s="962" t="e">
        <f>[1]!qsn([1]!ml([1]!taqsha(1,1,[1]!roz(ES67+1,0,0,0),ES68)),ES69)/30</f>
        <v>#VALUE!</v>
      </c>
      <c r="ET70" s="962" t="e">
        <f>[1]!qsn([1]!ml([1]!taqsha(1,1,[1]!roz(ET67+1,0,0,0),ET68)),ET69)/30</f>
        <v>#VALUE!</v>
      </c>
      <c r="EU70" s="962" t="e">
        <f>[1]!qsn([1]!ml([1]!taqsha(1,1,[1]!roz(EU67+1,0,0,0),EU68)),EU69)/30</f>
        <v>#VALUE!</v>
      </c>
      <c r="EV70" s="962" t="e">
        <f>[1]!qsn([1]!ml([1]!taqsha(1,1,[1]!roz(EV67+1,0,0,0),EV68)),EV69)/30</f>
        <v>#VALUE!</v>
      </c>
      <c r="EW70" s="962" t="e">
        <f>[1]!qsn([1]!ml([1]!taqsha(1,1,[1]!roz(EW67+1,0,0,0),EW68)),EW69)/30</f>
        <v>#VALUE!</v>
      </c>
      <c r="EX70" s="962" t="e">
        <f>[1]!qsn([1]!ml([1]!taqsha(1,1,[1]!roz(EX67+1,0,0,0),EX68)),EX69)/30</f>
        <v>#VALUE!</v>
      </c>
      <c r="EY70" s="962" t="e">
        <f>[1]!qsn([1]!ml([1]!taqsha(1,1,[1]!roz(EY67+1,0,0,0),EY68)),EY69)/30</f>
        <v>#VALUE!</v>
      </c>
      <c r="EZ70" s="962" t="e">
        <f>[1]!qsn([1]!ml([1]!taqsha(1,1,[1]!roz(EZ67+1,0,0,0),EZ68)),EZ69)/30</f>
        <v>#VALUE!</v>
      </c>
      <c r="FA70" s="962" t="e">
        <f>[1]!qsn([1]!ml([1]!taqsha(1,1,[1]!roz(FA67+1,0,0,0),FA68)),FA69)/30</f>
        <v>#VALUE!</v>
      </c>
      <c r="FB70" s="962" t="e">
        <f>[1]!qsn([1]!ml([1]!taqsha(1,1,[1]!roz(FB67+1,0,0,0),FB68)),FB69)/30</f>
        <v>#VALUE!</v>
      </c>
      <c r="FC70" s="962" t="e">
        <f>[1]!qsn([1]!ml([1]!taqsha(1,1,[1]!roz(FC67+1,0,0,0),FC68)),FC69)/30</f>
        <v>#VALUE!</v>
      </c>
      <c r="FD70" s="962" t="e">
        <f>[1]!qsn([1]!ml([1]!taqsha(1,1,[1]!roz(FD67+1,0,0,0),FD68)),FD69)/30</f>
        <v>#VALUE!</v>
      </c>
      <c r="FE70" s="962" t="e">
        <f>[1]!qsn([1]!ml([1]!taqsha(1,1,[1]!roz(FE67+1,0,0,0),FE68)),FE69)/30</f>
        <v>#VALUE!</v>
      </c>
      <c r="FF70" s="962" t="e">
        <f>[1]!qsn([1]!ml([1]!taqsha(1,1,[1]!roz(FF67+1,0,0,0),FF68)),FF69)/30</f>
        <v>#VALUE!</v>
      </c>
      <c r="FG70" s="962" t="e">
        <f>[1]!qsn([1]!ml([1]!taqsha(1,1,[1]!roz(FG67+1,0,0,0),FG68)),FG69)/30</f>
        <v>#VALUE!</v>
      </c>
      <c r="FH70" s="962" t="e">
        <f>[1]!qsn([1]!ml([1]!taqsha(1,1,[1]!roz(FH67+1,0,0,0),FH68)),FH69)/30</f>
        <v>#VALUE!</v>
      </c>
      <c r="FI70" s="962" t="e">
        <f>[1]!qsn([1]!ml([1]!taqsha(1,1,[1]!roz(FI67+1,0,0,0),FI68)),FI69)/30</f>
        <v>#VALUE!</v>
      </c>
      <c r="FJ70" s="962" t="e">
        <f>[1]!qsn([1]!ml([1]!taqsha(1,1,[1]!roz(FJ67+1,0,0,0),FJ68)),FJ69)/30</f>
        <v>#VALUE!</v>
      </c>
      <c r="FK70" s="962" t="e">
        <f>[1]!qsn([1]!ml([1]!taqsha(1,1,[1]!roz(FK67+1,0,0,0),FK68)),FK69)/30</f>
        <v>#VALUE!</v>
      </c>
      <c r="FL70" s="962" t="e">
        <f>[1]!qsn([1]!ml([1]!taqsha(1,1,[1]!roz(FL67+1,0,0,0),FL68)),FL69)/30</f>
        <v>#VALUE!</v>
      </c>
      <c r="FM70" s="962" t="e">
        <f>[1]!qsn([1]!ml([1]!taqsha(1,1,[1]!roz(FM67+1,0,0,0),FM68)),FM69)/30</f>
        <v>#VALUE!</v>
      </c>
      <c r="FN70" s="962" t="e">
        <f>[1]!qsn([1]!ml([1]!taqsha(1,1,[1]!roz(FN67+1,0,0,0),FN68)),FN69)/30</f>
        <v>#VALUE!</v>
      </c>
      <c r="FO70" s="962" t="e">
        <f>[1]!qsn([1]!ml([1]!taqsha(1,1,[1]!roz(FO67+1,0,0,0),FO68)),FO69)/30</f>
        <v>#VALUE!</v>
      </c>
      <c r="FP70" s="962" t="e">
        <f>[1]!qsn([1]!ml([1]!taqsha(1,1,[1]!roz(FP67+1,0,0,0),FP68)),FP69)/30</f>
        <v>#VALUE!</v>
      </c>
      <c r="FQ70" s="962" t="e">
        <f>[1]!qsn([1]!ml([1]!taqsha(1,1,[1]!roz(FQ67+1,0,0,0),FQ68)),FQ69)/30</f>
        <v>#VALUE!</v>
      </c>
      <c r="FR70" s="962" t="e">
        <f>[1]!qsn([1]!ml([1]!taqsha(1,1,[1]!roz(FR67+1,0,0,0),FR68)),FR69)/30</f>
        <v>#VALUE!</v>
      </c>
      <c r="FS70" s="962" t="e">
        <f>[1]!qsn([1]!ml([1]!taqsha(1,1,[1]!roz(FS67+1,0,0,0),FS68)),FS69)/30</f>
        <v>#VALUE!</v>
      </c>
      <c r="FT70" s="962" t="e">
        <f>[1]!qsn([1]!ml([1]!taqsha(1,1,[1]!roz(FT67+1,0,0,0),FT68)),FT69)/30</f>
        <v>#VALUE!</v>
      </c>
      <c r="FU70" s="962" t="e">
        <f>[1]!qsn([1]!ml([1]!taqsha(1,1,[1]!roz(FU67+1,0,0,0),FU68)),FU69)/30</f>
        <v>#VALUE!</v>
      </c>
      <c r="FV70" s="962" t="e">
        <f>[1]!qsn([1]!ml([1]!taqsha(1,1,[1]!roz(FV67+1,0,0,0),FV68)),FV69)/30</f>
        <v>#VALUE!</v>
      </c>
      <c r="FW70" s="962" t="e">
        <f>[1]!qsn([1]!ml([1]!taqsha(1,1,[1]!roz(FW67+1,0,0,0),FW68)),FW69)/30</f>
        <v>#VALUE!</v>
      </c>
      <c r="FX70" s="962" t="e">
        <f>[1]!qsn([1]!ml([1]!taqsha(1,1,[1]!roz(FX67+1,0,0,0),FX68)),FX69)/30</f>
        <v>#VALUE!</v>
      </c>
      <c r="FY70" s="962" t="e">
        <f>[1]!qsn([1]!ml([1]!taqsha(1,1,[1]!roz(FY67+1,0,0,0),FY68)),FY69)/30</f>
        <v>#VALUE!</v>
      </c>
      <c r="FZ70" s="962" t="e">
        <f>[1]!qsn([1]!ml([1]!taqsha(1,1,[1]!roz(FZ67+1,0,0,0),FZ68)),FZ69)/30</f>
        <v>#VALUE!</v>
      </c>
      <c r="GA70" s="962" t="e">
        <f>[1]!qsn([1]!ml([1]!taqsha(1,1,[1]!roz(GA67+1,0,0,0),GA68)),GA69)/30</f>
        <v>#VALUE!</v>
      </c>
      <c r="GB70" s="962" t="e">
        <f>[1]!qsn([1]!ml([1]!taqsha(1,1,[1]!roz(GB67+1,0,0,0),GB68)),GB69)/30</f>
        <v>#VALUE!</v>
      </c>
      <c r="GC70" s="962" t="e">
        <f>[1]!qsn([1]!ml([1]!taqsha(1,1,[1]!roz(GC67+1,0,0,0),GC68)),GC69)/30</f>
        <v>#VALUE!</v>
      </c>
      <c r="GD70" s="962" t="e">
        <f>[1]!qsn([1]!ml([1]!taqsha(1,1,[1]!roz(GD67+1,0,0,0),GD68)),GD69)/30</f>
        <v>#VALUE!</v>
      </c>
      <c r="GE70" s="962" t="e">
        <f>[1]!qsn([1]!ml([1]!taqsha(1,1,[1]!roz(GE67+1,0,0,0),GE68)),GE69)/30</f>
        <v>#VALUE!</v>
      </c>
      <c r="GF70" s="962" t="e">
        <f>[1]!qsn([1]!ml([1]!taqsha(1,1,[1]!roz(GF67+1,0,0,0),GF68)),GF69)/30</f>
        <v>#VALUE!</v>
      </c>
      <c r="GG70" s="962" t="e">
        <f>[1]!qsn([1]!ml([1]!taqsha(1,1,[1]!roz(GG67+1,0,0,0),GG68)),GG69)/30</f>
        <v>#VALUE!</v>
      </c>
      <c r="GH70" s="962" t="e">
        <f>[1]!qsn([1]!ml([1]!taqsha(1,1,[1]!roz(GH67+1,0,0,0),GH68)),GH69)/30</f>
        <v>#VALUE!</v>
      </c>
      <c r="GI70" s="962" t="e">
        <f>[1]!qsn([1]!ml([1]!taqsha(1,1,[1]!roz(GI67+1,0,0,0),GI68)),GI69)/30</f>
        <v>#VALUE!</v>
      </c>
      <c r="GJ70" s="962" t="e">
        <f>[1]!qsn([1]!ml([1]!taqsha(1,1,[1]!roz(GJ67+1,0,0,0),GJ68)),GJ69)/30</f>
        <v>#VALUE!</v>
      </c>
      <c r="GK70" s="962" t="e">
        <f>[1]!qsn([1]!ml([1]!taqsha(1,1,[1]!roz(GK67+1,0,0,0),GK68)),GK69)/30</f>
        <v>#VALUE!</v>
      </c>
      <c r="GL70" s="962" t="e">
        <f>[1]!qsn([1]!ml([1]!taqsha(1,1,[1]!roz(GL67+1,0,0,0),GL68)),GL69)/30</f>
        <v>#VALUE!</v>
      </c>
      <c r="GM70" s="962" t="e">
        <f>[1]!qsn([1]!ml([1]!taqsha(1,1,[1]!roz(GM67+1,0,0,0),GM68)),GM69)/30</f>
        <v>#VALUE!</v>
      </c>
      <c r="GN70" s="962" t="e">
        <f>[1]!qsn([1]!ml([1]!taqsha(1,1,[1]!roz(GN67+1,0,0,0),GN68)),GN69)/30</f>
        <v>#VALUE!</v>
      </c>
      <c r="GO70" s="962" t="e">
        <f>[1]!qsn([1]!ml([1]!taqsha(1,1,[1]!roz(GO67+1,0,0,0),GO68)),GO69)/30</f>
        <v>#VALUE!</v>
      </c>
      <c r="GP70" s="962" t="e">
        <f>[1]!qsn([1]!ml([1]!taqsha(1,1,[1]!roz(GP67+1,0,0,0),GP68)),GP69)/30</f>
        <v>#VALUE!</v>
      </c>
      <c r="GQ70" s="962" t="e">
        <f>[1]!qsn([1]!ml([1]!taqsha(1,1,[1]!roz(GQ67+1,0,0,0),GQ68)),GQ69)/30</f>
        <v>#VALUE!</v>
      </c>
      <c r="GR70" s="962" t="e">
        <f>[1]!qsn([1]!ml([1]!taqsha(1,1,[1]!roz(GR67+1,0,0,0),GR68)),GR69)/30</f>
        <v>#VALUE!</v>
      </c>
      <c r="GS70" s="962" t="e">
        <f>[1]!qsn([1]!ml([1]!taqsha(1,1,[1]!roz(GS67+1,0,0,0),GS68)),GS69)/30</f>
        <v>#VALUE!</v>
      </c>
      <c r="GT70" s="962" t="e">
        <f>[1]!qsn([1]!ml([1]!taqsha(1,1,[1]!roz(GT67+1,0,0,0),GT68)),GT69)/30</f>
        <v>#VALUE!</v>
      </c>
      <c r="GU70" s="962" t="e">
        <f>[1]!qsn([1]!ml([1]!taqsha(1,1,[1]!roz(GU67+1,0,0,0),GU68)),GU69)/30</f>
        <v>#VALUE!</v>
      </c>
      <c r="GV70" s="962" t="e">
        <f>[1]!qsn([1]!ml([1]!taqsha(1,1,[1]!roz(GV67+1,0,0,0),GV68)),GV69)/30</f>
        <v>#VALUE!</v>
      </c>
      <c r="GW70" s="962" t="e">
        <f>[1]!qsn([1]!ml([1]!taqsha(1,1,[1]!roz(GW67+1,0,0,0),GW68)),GW69)/30</f>
        <v>#VALUE!</v>
      </c>
      <c r="GX70" s="962" t="e">
        <f>[1]!qsn([1]!ml([1]!taqsha(1,1,[1]!roz(GX67+1,0,0,0),GX68)),GX69)/30</f>
        <v>#VALUE!</v>
      </c>
      <c r="GY70" s="962" t="e">
        <f>[1]!qsn([1]!ml([1]!taqsha(1,1,[1]!roz(GY67+1,0,0,0),GY68)),GY69)/30</f>
        <v>#VALUE!</v>
      </c>
      <c r="GZ70" s="962" t="e">
        <f>[1]!qsn([1]!ml([1]!taqsha(1,1,[1]!roz(GZ67+1,0,0,0),GZ68)),GZ69)/30</f>
        <v>#VALUE!</v>
      </c>
      <c r="HA70" s="962" t="e">
        <f>[1]!qsn([1]!ml([1]!taqsha(1,1,[1]!roz(HA67+1,0,0,0),HA68)),HA69)/30</f>
        <v>#VALUE!</v>
      </c>
      <c r="HB70" s="962" t="e">
        <f>[1]!qsn([1]!ml([1]!taqsha(1,1,[1]!roz(HB67+1,0,0,0),HB68)),HB69)/30</f>
        <v>#VALUE!</v>
      </c>
      <c r="HC70" s="962" t="e">
        <f>[1]!qsn([1]!ml([1]!taqsha(1,1,[1]!roz(HC67+1,0,0,0),HC68)),HC69)/30</f>
        <v>#VALUE!</v>
      </c>
      <c r="HD70" s="962" t="e">
        <f>[1]!qsn([1]!ml([1]!taqsha(1,1,[1]!roz(HD67+1,0,0,0),HD68)),HD69)/30</f>
        <v>#VALUE!</v>
      </c>
      <c r="HE70" s="962" t="e">
        <f>[1]!qsn([1]!ml([1]!taqsha(1,1,[1]!roz(HE67+1,0,0,0),HE68)),HE69)/30</f>
        <v>#VALUE!</v>
      </c>
      <c r="HF70" s="962" t="e">
        <f>[1]!qsn([1]!ml([1]!taqsha(1,1,[1]!roz(HF67+1,0,0,0),HF68)),HF69)/30</f>
        <v>#VALUE!</v>
      </c>
      <c r="HG70" s="962" t="e">
        <f>[1]!qsn([1]!ml([1]!taqsha(1,1,[1]!roz(HG67+1,0,0,0),HG68)),HG69)/30</f>
        <v>#VALUE!</v>
      </c>
      <c r="HH70" s="962" t="e">
        <f>[1]!qsn([1]!ml([1]!taqsha(1,1,[1]!roz(HH67+1,0,0,0),HH68)),HH69)/30</f>
        <v>#VALUE!</v>
      </c>
      <c r="HI70" s="962" t="e">
        <f>[1]!qsn([1]!ml([1]!taqsha(1,1,[1]!roz(HI67+1,0,0,0),HI68)),HI69)/30</f>
        <v>#VALUE!</v>
      </c>
      <c r="HJ70" s="962" t="e">
        <f>[1]!qsn([1]!ml([1]!taqsha(1,1,[1]!roz(HJ67+1,0,0,0),HJ68)),HJ69)/30</f>
        <v>#VALUE!</v>
      </c>
      <c r="HK70" s="962" t="e">
        <f>[1]!qsn([1]!ml([1]!taqsha(1,1,[1]!roz(HK67+1,0,0,0),HK68)),HK69)/30</f>
        <v>#VALUE!</v>
      </c>
      <c r="HL70" s="962" t="e">
        <f>[1]!qsn([1]!ml([1]!taqsha(1,1,[1]!roz(HL67+1,0,0,0),HL68)),HL69)/30</f>
        <v>#VALUE!</v>
      </c>
      <c r="HM70" s="962" t="e">
        <f>[1]!qsn([1]!ml([1]!taqsha(1,1,[1]!roz(HM67+1,0,0,0),HM68)),HM69)/30</f>
        <v>#VALUE!</v>
      </c>
      <c r="HN70" s="962" t="e">
        <f>[1]!qsn([1]!ml([1]!taqsha(1,1,[1]!roz(HN67+1,0,0,0),HN68)),HN69)/30</f>
        <v>#VALUE!</v>
      </c>
      <c r="HO70" s="962" t="e">
        <f>[1]!qsn([1]!ml([1]!taqsha(1,1,[1]!roz(HO67+1,0,0,0),HO68)),HO69)/30</f>
        <v>#VALUE!</v>
      </c>
      <c r="HP70" s="962" t="e">
        <f>[1]!qsn([1]!ml([1]!taqsha(1,1,[1]!roz(HP67+1,0,0,0),HP68)),HP69)/30</f>
        <v>#VALUE!</v>
      </c>
      <c r="HQ70" s="962" t="e">
        <f>[1]!qsn([1]!ml([1]!taqsha(1,1,[1]!roz(HQ67+1,0,0,0),HQ68)),HQ69)/30</f>
        <v>#VALUE!</v>
      </c>
      <c r="HR70" s="962" t="e">
        <f>[1]!qsn([1]!ml([1]!taqsha(1,1,[1]!roz(HR67+1,0,0,0),HR68)),HR69)/30</f>
        <v>#VALUE!</v>
      </c>
      <c r="HS70" s="962" t="e">
        <f>[1]!qsn([1]!ml([1]!taqsha(1,1,[1]!roz(HS67+1,0,0,0),HS68)),HS69)/30</f>
        <v>#VALUE!</v>
      </c>
      <c r="HT70" s="962" t="e">
        <f>[1]!qsn([1]!ml([1]!taqsha(1,1,[1]!roz(HT67+1,0,0,0),HT68)),HT69)/30</f>
        <v>#VALUE!</v>
      </c>
      <c r="HU70" s="962" t="e">
        <f>[1]!qsn([1]!ml([1]!taqsha(1,1,[1]!roz(HU67+1,0,0,0),HU68)),HU69)/30</f>
        <v>#VALUE!</v>
      </c>
      <c r="HV70" s="962" t="e">
        <f>[1]!qsn([1]!ml([1]!taqsha(1,1,[1]!roz(HV67+1,0,0,0),HV68)),HV69)/30</f>
        <v>#VALUE!</v>
      </c>
      <c r="HW70" s="962" t="e">
        <f>[1]!qsn([1]!ml([1]!taqsha(1,1,[1]!roz(HW67+1,0,0,0),HW68)),HW69)/30</f>
        <v>#VALUE!</v>
      </c>
      <c r="HX70" s="962" t="e">
        <f>[1]!qsn([1]!ml([1]!taqsha(1,1,[1]!roz(HX67+1,0,0,0),HX68)),HX69)/30</f>
        <v>#VALUE!</v>
      </c>
      <c r="HY70" s="962" t="e">
        <f>[1]!qsn([1]!ml([1]!taqsha(1,1,[1]!roz(HY67+1,0,0,0),HY68)),HY69)/30</f>
        <v>#VALUE!</v>
      </c>
      <c r="HZ70" s="962" t="e">
        <f>[1]!qsn([1]!ml([1]!taqsha(1,1,[1]!roz(HZ67+1,0,0,0),HZ68)),HZ69)/30</f>
        <v>#VALUE!</v>
      </c>
      <c r="IA70" s="962" t="e">
        <f>[1]!qsn([1]!ml([1]!taqsha(1,1,[1]!roz(IA67+1,0,0,0),IA68)),IA69)/30</f>
        <v>#VALUE!</v>
      </c>
      <c r="IB70" s="962" t="e">
        <f>[1]!qsn([1]!ml([1]!taqsha(1,1,[1]!roz(IB67+1,0,0,0),IB68)),IB69)/30</f>
        <v>#VALUE!</v>
      </c>
      <c r="IC70" s="962" t="e">
        <f>[1]!qsn([1]!ml([1]!taqsha(1,1,[1]!roz(IC67+1,0,0,0),IC68)),IC69)/30</f>
        <v>#VALUE!</v>
      </c>
      <c r="ID70" s="962" t="e">
        <f>[1]!qsn([1]!ml([1]!taqsha(1,1,[1]!roz(ID67+1,0,0,0),ID68)),ID69)/30</f>
        <v>#VALUE!</v>
      </c>
      <c r="IE70" s="962" t="e">
        <f>[1]!qsn([1]!ml([1]!taqsha(1,1,[1]!roz(IE67+1,0,0,0),IE68)),IE69)/30</f>
        <v>#VALUE!</v>
      </c>
      <c r="IF70" s="962" t="e">
        <f>[1]!qsn([1]!ml([1]!taqsha(1,1,[1]!roz(IF67+1,0,0,0),IF68)),IF69)/30</f>
        <v>#VALUE!</v>
      </c>
      <c r="IG70" s="962" t="e">
        <f>[1]!qsn([1]!ml([1]!taqsha(1,1,[1]!roz(IG67+1,0,0,0),IG68)),IG69)/30</f>
        <v>#VALUE!</v>
      </c>
      <c r="IH70" s="962" t="e">
        <f>[1]!qsn([1]!ml([1]!taqsha(1,1,[1]!roz(IH67+1,0,0,0),IH68)),IH69)/30</f>
        <v>#VALUE!</v>
      </c>
      <c r="II70" s="962" t="e">
        <f>[1]!qsn([1]!ml([1]!taqsha(1,1,[1]!roz(II67+1,0,0,0),II68)),II69)/30</f>
        <v>#VALUE!</v>
      </c>
      <c r="IJ70" s="962" t="e">
        <f>[1]!qsn([1]!ml([1]!taqsha(1,1,[1]!roz(IJ67+1,0,0,0),IJ68)),IJ69)/30</f>
        <v>#VALUE!</v>
      </c>
      <c r="IK70" s="962" t="e">
        <f>[1]!qsn([1]!ml([1]!taqsha(1,1,[1]!roz(IK67+1,0,0,0),IK68)),IK69)/30</f>
        <v>#VALUE!</v>
      </c>
      <c r="IL70" s="962" t="e">
        <f>[1]!qsn([1]!ml([1]!taqsha(1,1,[1]!roz(IL67+1,0,0,0),IL68)),IL69)/30</f>
        <v>#VALUE!</v>
      </c>
      <c r="IM70" s="962" t="e">
        <f>[1]!qsn([1]!ml([1]!taqsha(1,1,[1]!roz(IM67+1,0,0,0),IM68)),IM69)/30</f>
        <v>#VALUE!</v>
      </c>
      <c r="IN70" s="962" t="e">
        <f>[1]!qsn([1]!ml([1]!taqsha(1,1,[1]!roz(IN67+1,0,0,0),IN68)),IN69)/30</f>
        <v>#VALUE!</v>
      </c>
      <c r="IO70" s="962" t="e">
        <f>[1]!qsn([1]!ml([1]!taqsha(1,1,[1]!roz(IO67+1,0,0,0),IO68)),IO69)/30</f>
        <v>#VALUE!</v>
      </c>
      <c r="IP70" s="962" t="e">
        <f>[1]!qsn([1]!ml([1]!taqsha(1,1,[1]!roz(IP67+1,0,0,0),IP68)),IP69)/30</f>
        <v>#VALUE!</v>
      </c>
      <c r="IQ70" s="962" t="e">
        <f>[1]!qsn([1]!ml([1]!taqsha(1,1,[1]!roz(IQ67+1,0,0,0),IQ68)),IQ69)/30</f>
        <v>#VALUE!</v>
      </c>
      <c r="IR70" s="962" t="e">
        <f>[1]!qsn([1]!ml([1]!taqsha(1,1,[1]!roz(IR67+1,0,0,0),IR68)),IR69)/30</f>
        <v>#VALUE!</v>
      </c>
      <c r="IS70" s="962" t="e">
        <f>[1]!qsn([1]!ml([1]!taqsha(1,1,[1]!roz(IS67+1,0,0,0),IS68)),IS69)/30</f>
        <v>#VALUE!</v>
      </c>
      <c r="IT70" s="962" t="e">
        <f>[1]!qsn([1]!ml([1]!taqsha(1,1,[1]!roz(IT67+1,0,0,0),IT68)),IT69)/30</f>
        <v>#VALUE!</v>
      </c>
      <c r="IU70" s="962" t="e">
        <f>[1]!qsn([1]!ml([1]!taqsha(1,1,[1]!roz(IU67+1,0,0,0),IU68)),IU69)/30</f>
        <v>#VALUE!</v>
      </c>
      <c r="IV70" s="962" t="e">
        <f>[1]!qsn([1]!ml([1]!taqsha(1,1,[1]!roz(IV67+1,0,0,0),IV68)),IV69)/30</f>
        <v>#VALUE!</v>
      </c>
      <c r="IW70" s="962" t="e">
        <f>[1]!qsn([1]!ml([1]!taqsha(1,1,[1]!roz(IW67+1,0,0,0),IW68)),IW69)/30</f>
        <v>#VALUE!</v>
      </c>
      <c r="IX70" s="962" t="e">
        <f>[1]!qsn([1]!ml([1]!taqsha(1,1,[1]!roz(IX67+1,0,0,0),IX68)),IX69)/30</f>
        <v>#VALUE!</v>
      </c>
      <c r="IY70" s="962" t="e">
        <f>[1]!qsn([1]!ml([1]!taqsha(1,1,[1]!roz(IY67+1,0,0,0),IY68)),IY69)/30</f>
        <v>#VALUE!</v>
      </c>
      <c r="IZ70" s="962" t="e">
        <f>[1]!qsn([1]!ml([1]!taqsha(1,1,[1]!roz(IZ67+1,0,0,0),IZ68)),IZ69)/30</f>
        <v>#VALUE!</v>
      </c>
      <c r="JA70" s="962" t="e">
        <f>[1]!qsn([1]!ml([1]!taqsha(1,1,[1]!roz(JA67+1,0,0,0),JA68)),JA69)/30</f>
        <v>#VALUE!</v>
      </c>
      <c r="JB70" s="962" t="e">
        <f>[1]!qsn([1]!ml([1]!taqsha(1,1,[1]!roz(JB67+1,0,0,0),JB68)),JB69)/30</f>
        <v>#VALUE!</v>
      </c>
      <c r="JC70" s="962" t="e">
        <f>[1]!qsn([1]!ml([1]!taqsha(1,1,[1]!roz(JC67+1,0,0,0),JC68)),JC69)/30</f>
        <v>#VALUE!</v>
      </c>
      <c r="JD70" s="962" t="e">
        <f>[1]!qsn([1]!ml([1]!taqsha(1,1,[1]!roz(JD67+1,0,0,0),JD68)),JD69)/30</f>
        <v>#VALUE!</v>
      </c>
      <c r="JE70" s="962" t="e">
        <f>[1]!qsn([1]!ml([1]!taqsha(1,1,[1]!roz(JE67+1,0,0,0),JE68)),JE69)/30</f>
        <v>#VALUE!</v>
      </c>
      <c r="JF70" s="962" t="e">
        <f>[1]!qsn([1]!ml([1]!taqsha(1,1,[1]!roz(JF67+1,0,0,0),JF68)),JF69)/30</f>
        <v>#VALUE!</v>
      </c>
      <c r="JG70" s="962" t="e">
        <f>[1]!qsn([1]!ml([1]!taqsha(1,1,[1]!roz(JG67+1,0,0,0),JG68)),JG69)/30</f>
        <v>#VALUE!</v>
      </c>
      <c r="JH70" s="962" t="e">
        <f>[1]!qsn([1]!ml([1]!taqsha(1,1,[1]!roz(JH67+1,0,0,0),JH68)),JH69)/30</f>
        <v>#VALUE!</v>
      </c>
      <c r="JI70" s="962" t="e">
        <f>[1]!qsn([1]!ml([1]!taqsha(1,1,[1]!roz(JI67+1,0,0,0),JI68)),JI69)/30</f>
        <v>#VALUE!</v>
      </c>
      <c r="JJ70" s="962" t="e">
        <f>[1]!qsn([1]!ml([1]!taqsha(1,1,[1]!roz(JJ67+1,0,0,0),JJ68)),JJ69)/30</f>
        <v>#VALUE!</v>
      </c>
      <c r="JK70" s="962" t="e">
        <f>[1]!qsn([1]!ml([1]!taqsha(1,1,[1]!roz(JK67+1,0,0,0),JK68)),JK69)/30</f>
        <v>#VALUE!</v>
      </c>
      <c r="JL70" s="962" t="e">
        <f>[1]!qsn([1]!ml([1]!taqsha(1,1,[1]!roz(JL67+1,0,0,0),JL68)),JL69)/30</f>
        <v>#VALUE!</v>
      </c>
      <c r="JM70" s="962" t="e">
        <f>[1]!qsn([1]!ml([1]!taqsha(1,1,[1]!roz(JM67+1,0,0,0),JM68)),JM69)/30</f>
        <v>#VALUE!</v>
      </c>
      <c r="JN70" s="962" t="e">
        <f>[1]!qsn([1]!ml([1]!taqsha(1,1,[1]!roz(JN67+1,0,0,0),JN68)),JN69)/30</f>
        <v>#VALUE!</v>
      </c>
      <c r="JO70" s="962" t="e">
        <f>[1]!qsn([1]!ml([1]!taqsha(1,1,[1]!roz(JO67+1,0,0,0),JO68)),JO69)/30</f>
        <v>#VALUE!</v>
      </c>
      <c r="JP70" s="962" t="e">
        <f>[1]!qsn([1]!ml([1]!taqsha(1,1,[1]!roz(JP67+1,0,0,0),JP68)),JP69)/30</f>
        <v>#VALUE!</v>
      </c>
      <c r="JQ70" s="962" t="e">
        <f>[1]!qsn([1]!ml([1]!taqsha(1,1,[1]!roz(JQ67+1,0,0,0),JQ68)),JQ69)/30</f>
        <v>#VALUE!</v>
      </c>
      <c r="JR70" s="962" t="e">
        <f>[1]!qsn([1]!ml([1]!taqsha(1,1,[1]!roz(JR67+1,0,0,0),JR68)),JR69)/30</f>
        <v>#VALUE!</v>
      </c>
      <c r="JS70" s="962" t="e">
        <f>[1]!qsn([1]!ml([1]!taqsha(1,1,[1]!roz(JS67+1,0,0,0),JS68)),JS69)/30</f>
        <v>#VALUE!</v>
      </c>
      <c r="JT70" s="962" t="e">
        <f>[1]!qsn([1]!ml([1]!taqsha(1,1,[1]!roz(JT67+1,0,0,0),JT68)),JT69)/30</f>
        <v>#VALUE!</v>
      </c>
      <c r="JU70" s="962" t="e">
        <f>[1]!qsn([1]!ml([1]!taqsha(1,1,[1]!roz(JU67+1,0,0,0),JU68)),JU69)/30</f>
        <v>#VALUE!</v>
      </c>
      <c r="JV70" s="962" t="e">
        <f>[1]!qsn([1]!ml([1]!taqsha(1,1,[1]!roz(JV67+1,0,0,0),JV68)),JV69)/30</f>
        <v>#VALUE!</v>
      </c>
      <c r="JW70" s="962" t="e">
        <f>[1]!qsn([1]!ml([1]!taqsha(1,1,[1]!roz(JW67+1,0,0,0),JW68)),JW69)/30</f>
        <v>#VALUE!</v>
      </c>
      <c r="JX70" s="962" t="e">
        <f>[1]!qsn([1]!ml([1]!taqsha(1,1,[1]!roz(JX67+1,0,0,0),JX68)),JX69)/30</f>
        <v>#VALUE!</v>
      </c>
      <c r="JY70" s="962" t="e">
        <f>[1]!qsn([1]!ml([1]!taqsha(1,1,[1]!roz(JY67+1,0,0,0),JY68)),JY69)/30</f>
        <v>#VALUE!</v>
      </c>
      <c r="JZ70" s="962" t="e">
        <f>[1]!qsn([1]!ml([1]!taqsha(1,1,[1]!roz(JZ67+1,0,0,0),JZ68)),JZ69)/30</f>
        <v>#VALUE!</v>
      </c>
      <c r="KA70" s="962" t="e">
        <f>[1]!qsn([1]!ml([1]!taqsha(1,1,[1]!roz(KA67+1,0,0,0),KA68)),KA69)/30</f>
        <v>#VALUE!</v>
      </c>
      <c r="KB70" s="962" t="e">
        <f>[1]!qsn([1]!ml([1]!taqsha(1,1,[1]!roz(KB67+1,0,0,0),KB68)),KB69)/30</f>
        <v>#VALUE!</v>
      </c>
      <c r="KC70" s="962" t="e">
        <f>[1]!qsn([1]!ml([1]!taqsha(1,1,[1]!roz(KC67+1,0,0,0),KC68)),KC69)/30</f>
        <v>#VALUE!</v>
      </c>
      <c r="KD70" s="962" t="e">
        <f>[1]!qsn([1]!ml([1]!taqsha(1,1,[1]!roz(KD67+1,0,0,0),KD68)),KD69)/30</f>
        <v>#VALUE!</v>
      </c>
      <c r="KE70" s="962" t="e">
        <f>[1]!qsn([1]!ml([1]!taqsha(1,1,[1]!roz(KE67+1,0,0,0),KE68)),KE69)/30</f>
        <v>#VALUE!</v>
      </c>
      <c r="KF70" s="962" t="e">
        <f>[1]!qsn([1]!ml([1]!taqsha(1,1,[1]!roz(KF67+1,0,0,0),KF68)),KF69)/30</f>
        <v>#VALUE!</v>
      </c>
      <c r="KG70" s="962" t="e">
        <f>[1]!qsn([1]!ml([1]!taqsha(1,1,[1]!roz(KG67+1,0,0,0),KG68)),KG69)/30</f>
        <v>#VALUE!</v>
      </c>
      <c r="KH70" s="962" t="e">
        <f>[1]!qsn([1]!ml([1]!taqsha(1,1,[1]!roz(KH67+1,0,0,0),KH68)),KH69)/30</f>
        <v>#VALUE!</v>
      </c>
      <c r="KI70" s="962" t="e">
        <f>[1]!qsn([1]!ml([1]!taqsha(1,1,[1]!roz(KI67+1,0,0,0),KI68)),KI69)/30</f>
        <v>#VALUE!</v>
      </c>
      <c r="KJ70" s="962" t="e">
        <f>[1]!qsn([1]!ml([1]!taqsha(1,1,[1]!roz(KJ67+1,0,0,0),KJ68)),KJ69)/30</f>
        <v>#VALUE!</v>
      </c>
      <c r="KK70" s="962" t="e">
        <f>[1]!qsn([1]!ml([1]!taqsha(1,1,[1]!roz(KK67+1,0,0,0),KK68)),KK69)/30</f>
        <v>#VALUE!</v>
      </c>
      <c r="KL70" s="962" t="e">
        <f>[1]!qsn([1]!ml([1]!taqsha(1,1,[1]!roz(KL67+1,0,0,0),KL68)),KL69)/30</f>
        <v>#VALUE!</v>
      </c>
      <c r="KM70" s="962" t="e">
        <f>[1]!qsn([1]!ml([1]!taqsha(1,1,[1]!roz(KM67+1,0,0,0),KM68)),KM69)/30</f>
        <v>#VALUE!</v>
      </c>
      <c r="KN70" s="962" t="e">
        <f>[1]!qsn([1]!ml([1]!taqsha(1,1,[1]!roz(KN67+1,0,0,0),KN68)),KN69)/30</f>
        <v>#VALUE!</v>
      </c>
      <c r="KO70" s="962" t="e">
        <f>[1]!qsn([1]!ml([1]!taqsha(1,1,[1]!roz(KO67+1,0,0,0),KO68)),KO69)/30</f>
        <v>#VALUE!</v>
      </c>
      <c r="KP70" s="962" t="e">
        <f>[1]!qsn([1]!ml([1]!taqsha(1,1,[1]!roz(KP67+1,0,0,0),KP68)),KP69)/30</f>
        <v>#VALUE!</v>
      </c>
      <c r="KQ70" s="962" t="e">
        <f>[1]!qsn([1]!ml([1]!taqsha(1,1,[1]!roz(KQ67+1,0,0,0),KQ68)),KQ69)/30</f>
        <v>#VALUE!</v>
      </c>
      <c r="KR70" s="962" t="e">
        <f>[1]!qsn([1]!ml([1]!taqsha(1,1,[1]!roz(KR67+1,0,0,0),KR68)),KR69)/30</f>
        <v>#VALUE!</v>
      </c>
      <c r="KS70" s="962" t="e">
        <f>[1]!qsn([1]!ml([1]!taqsha(1,1,[1]!roz(KS67+1,0,0,0),KS68)),KS69)/30</f>
        <v>#VALUE!</v>
      </c>
      <c r="KT70" s="962" t="e">
        <f>[1]!qsn([1]!ml([1]!taqsha(1,1,[1]!roz(KT67+1,0,0,0),KT68)),KT69)/30</f>
        <v>#VALUE!</v>
      </c>
      <c r="KU70" s="962" t="e">
        <f>[1]!qsn([1]!ml([1]!taqsha(1,1,[1]!roz(KU67+1,0,0,0),KU68)),KU69)/30</f>
        <v>#VALUE!</v>
      </c>
      <c r="KV70" s="962" t="e">
        <f>[1]!qsn([1]!ml([1]!taqsha(1,1,[1]!roz(KV67+1,0,0,0),KV68)),KV69)/30</f>
        <v>#VALUE!</v>
      </c>
      <c r="KW70" s="962" t="e">
        <f>[1]!qsn([1]!ml([1]!taqsha(1,1,[1]!roz(KW67+1,0,0,0),KW68)),KW69)/30</f>
        <v>#VALUE!</v>
      </c>
      <c r="KX70" s="962" t="e">
        <f>[1]!qsn([1]!ml([1]!taqsha(1,1,[1]!roz(KX67+1,0,0,0),KX68)),KX69)/30</f>
        <v>#VALUE!</v>
      </c>
      <c r="KY70" s="962" t="e">
        <f>[1]!qsn([1]!ml([1]!taqsha(1,1,[1]!roz(KY67+1,0,0,0),KY68)),KY69)/30</f>
        <v>#VALUE!</v>
      </c>
      <c r="KZ70" s="962" t="e">
        <f>[1]!qsn([1]!ml([1]!taqsha(1,1,[1]!roz(KZ67+1,0,0,0),KZ68)),KZ69)/30</f>
        <v>#VALUE!</v>
      </c>
      <c r="LA70" s="962" t="e">
        <f>[1]!qsn([1]!ml([1]!taqsha(1,1,[1]!roz(LA67+1,0,0,0),LA68)),LA69)/30</f>
        <v>#VALUE!</v>
      </c>
      <c r="LB70" s="962" t="e">
        <f>[1]!qsn([1]!ml([1]!taqsha(1,1,[1]!roz(LB67+1,0,0,0),LB68)),LB69)/30</f>
        <v>#VALUE!</v>
      </c>
      <c r="LC70" s="962" t="e">
        <f>[1]!qsn([1]!ml([1]!taqsha(1,1,[1]!roz(LC67+1,0,0,0),LC68)),LC69)/30</f>
        <v>#VALUE!</v>
      </c>
      <c r="LD70" s="962" t="e">
        <f>[1]!qsn([1]!ml([1]!taqsha(1,1,[1]!roz(LD67+1,0,0,0),LD68)),LD69)/30</f>
        <v>#VALUE!</v>
      </c>
      <c r="LE70" s="962" t="e">
        <f>[1]!qsn([1]!ml([1]!taqsha(1,1,[1]!roz(LE67+1,0,0,0),LE68)),LE69)/30</f>
        <v>#VALUE!</v>
      </c>
      <c r="LF70" s="962" t="e">
        <f>[1]!qsn([1]!ml([1]!taqsha(1,1,[1]!roz(LF67+1,0,0,0),LF68)),LF69)/30</f>
        <v>#VALUE!</v>
      </c>
      <c r="LG70" s="962" t="e">
        <f>[1]!qsn([1]!ml([1]!taqsha(1,1,[1]!roz(LG67+1,0,0,0),LG68)),LG69)/30</f>
        <v>#VALUE!</v>
      </c>
      <c r="LH70" s="962" t="e">
        <f>[1]!qsn([1]!ml([1]!taqsha(1,1,[1]!roz(LH67+1,0,0,0),LH68)),LH69)/30</f>
        <v>#VALUE!</v>
      </c>
      <c r="LI70" s="962" t="e">
        <f>[1]!qsn([1]!ml([1]!taqsha(1,1,[1]!roz(LI67+1,0,0,0),LI68)),LI69)/30</f>
        <v>#VALUE!</v>
      </c>
      <c r="LJ70" s="962" t="e">
        <f>[1]!qsn([1]!ml([1]!taqsha(1,1,[1]!roz(LJ67+1,0,0,0),LJ68)),LJ69)/30</f>
        <v>#VALUE!</v>
      </c>
      <c r="LK70" s="962" t="e">
        <f>[1]!qsn([1]!ml([1]!taqsha(1,1,[1]!roz(LK67+1,0,0,0),LK68)),LK69)/30</f>
        <v>#VALUE!</v>
      </c>
      <c r="LL70" s="962" t="e">
        <f>[1]!qsn([1]!ml([1]!taqsha(1,1,[1]!roz(LL67+1,0,0,0),LL68)),LL69)/30</f>
        <v>#VALUE!</v>
      </c>
      <c r="LM70" s="962" t="e">
        <f>[1]!qsn([1]!ml([1]!taqsha(1,1,[1]!roz(LM67+1,0,0,0),LM68)),LM69)/30</f>
        <v>#VALUE!</v>
      </c>
      <c r="LN70" s="962" t="e">
        <f>[1]!qsn([1]!ml([1]!taqsha(1,1,[1]!roz(LN67+1,0,0,0),LN68)),LN69)/30</f>
        <v>#VALUE!</v>
      </c>
      <c r="LO70" s="962" t="e">
        <f>[1]!qsn([1]!ml([1]!taqsha(1,1,[1]!roz(LO67+1,0,0,0),LO68)),LO69)/30</f>
        <v>#VALUE!</v>
      </c>
      <c r="LP70" s="962" t="e">
        <f>[1]!qsn([1]!ml([1]!taqsha(1,1,[1]!roz(LP67+1,0,0,0),LP68)),LP69)/30</f>
        <v>#VALUE!</v>
      </c>
      <c r="LQ70" s="962" t="e">
        <f>[1]!qsn([1]!ml([1]!taqsha(1,1,[1]!roz(LQ67+1,0,0,0),LQ68)),LQ69)/30</f>
        <v>#VALUE!</v>
      </c>
      <c r="LR70" s="962" t="e">
        <f>[1]!qsn([1]!ml([1]!taqsha(1,1,[1]!roz(LR67+1,0,0,0),LR68)),LR69)/30</f>
        <v>#VALUE!</v>
      </c>
      <c r="LS70" s="962" t="e">
        <f>[1]!qsn([1]!ml([1]!taqsha(1,1,[1]!roz(LS67+1,0,0,0),LS68)),LS69)/30</f>
        <v>#VALUE!</v>
      </c>
      <c r="LT70" s="962" t="e">
        <f>[1]!qsn([1]!ml([1]!taqsha(1,1,[1]!roz(LT67+1,0,0,0),LT68)),LT69)/30</f>
        <v>#VALUE!</v>
      </c>
      <c r="LU70" s="962" t="e">
        <f>[1]!qsn([1]!ml([1]!taqsha(1,1,[1]!roz(LU67+1,0,0,0),LU68)),LU69)/30</f>
        <v>#VALUE!</v>
      </c>
      <c r="LV70" s="962" t="e">
        <f>[1]!qsn([1]!ml([1]!taqsha(1,1,[1]!roz(LV67+1,0,0,0),LV68)),LV69)/30</f>
        <v>#VALUE!</v>
      </c>
      <c r="LW70" s="962" t="e">
        <f>[1]!qsn([1]!ml([1]!taqsha(1,1,[1]!roz(LW67+1,0,0,0),LW68)),LW69)/30</f>
        <v>#VALUE!</v>
      </c>
      <c r="LX70" s="962" t="e">
        <f>[1]!qsn([1]!ml([1]!taqsha(1,1,[1]!roz(LX67+1,0,0,0),LX68)),LX69)/30</f>
        <v>#VALUE!</v>
      </c>
      <c r="LY70" s="962" t="e">
        <f>[1]!qsn([1]!ml([1]!taqsha(1,1,[1]!roz(LY67+1,0,0,0),LY68)),LY69)/30</f>
        <v>#VALUE!</v>
      </c>
      <c r="LZ70" s="962" t="e">
        <f>[1]!qsn([1]!ml([1]!taqsha(1,1,[1]!roz(LZ67+1,0,0,0),LZ68)),LZ69)/30</f>
        <v>#VALUE!</v>
      </c>
      <c r="MA70" s="962" t="e">
        <f>[1]!qsn([1]!ml([1]!taqsha(1,1,[1]!roz(MA67+1,0,0,0),MA68)),MA69)/30</f>
        <v>#VALUE!</v>
      </c>
      <c r="MB70" s="962" t="e">
        <f>[1]!qsn([1]!ml([1]!taqsha(1,1,[1]!roz(MB67+1,0,0,0),MB68)),MB69)/30</f>
        <v>#VALUE!</v>
      </c>
      <c r="MC70" s="962" t="e">
        <f>[1]!qsn([1]!ml([1]!taqsha(1,1,[1]!roz(MC67+1,0,0,0),MC68)),MC69)/30</f>
        <v>#VALUE!</v>
      </c>
      <c r="MD70" s="962" t="e">
        <f>[1]!qsn([1]!ml([1]!taqsha(1,1,[1]!roz(MD67+1,0,0,0),MD68)),MD69)/30</f>
        <v>#VALUE!</v>
      </c>
      <c r="ME70" s="962" t="e">
        <f>[1]!qsn([1]!ml([1]!taqsha(1,1,[1]!roz(ME67+1,0,0,0),ME68)),ME69)/30</f>
        <v>#VALUE!</v>
      </c>
      <c r="MF70" s="962" t="e">
        <f>[1]!qsn([1]!ml([1]!taqsha(1,1,[1]!roz(MF67+1,0,0,0),MF68)),MF69)/30</f>
        <v>#VALUE!</v>
      </c>
      <c r="MG70" s="962" t="e">
        <f>[1]!qsn([1]!ml([1]!taqsha(1,1,[1]!roz(MG67+1,0,0,0),MG68)),MG69)/30</f>
        <v>#VALUE!</v>
      </c>
      <c r="MH70" s="962" t="e">
        <f>[1]!qsn([1]!ml([1]!taqsha(1,1,[1]!roz(MH67+1,0,0,0),MH68)),MH69)/30</f>
        <v>#VALUE!</v>
      </c>
      <c r="MI70" s="962" t="e">
        <f>[1]!qsn([1]!ml([1]!taqsha(1,1,[1]!roz(MI67+1,0,0,0),MI68)),MI69)/30</f>
        <v>#VALUE!</v>
      </c>
      <c r="MJ70" s="962" t="e">
        <f>[1]!qsn([1]!ml([1]!taqsha(1,1,[1]!roz(MJ67+1,0,0,0),MJ68)),MJ69)/30</f>
        <v>#VALUE!</v>
      </c>
      <c r="MK70" s="962" t="e">
        <f>[1]!qsn([1]!ml([1]!taqsha(1,1,[1]!roz(MK67+1,0,0,0),MK68)),MK69)/30</f>
        <v>#VALUE!</v>
      </c>
      <c r="ML70" s="962" t="e">
        <f>[1]!qsn([1]!ml([1]!taqsha(1,1,[1]!roz(ML67+1,0,0,0),ML68)),ML69)/30</f>
        <v>#VALUE!</v>
      </c>
      <c r="MM70" s="962" t="e">
        <f>[1]!qsn([1]!ml([1]!taqsha(1,1,[1]!roz(MM67+1,0,0,0),MM68)),MM69)/30</f>
        <v>#VALUE!</v>
      </c>
      <c r="MN70" s="962" t="e">
        <f>[1]!qsn([1]!ml([1]!taqsha(1,1,[1]!roz(MN67+1,0,0,0),MN68)),MN69)/30</f>
        <v>#VALUE!</v>
      </c>
      <c r="MO70" s="962" t="e">
        <f>[1]!qsn([1]!ml([1]!taqsha(1,1,[1]!roz(MO67+1,0,0,0),MO68)),MO69)/30</f>
        <v>#VALUE!</v>
      </c>
      <c r="MP70" s="962" t="e">
        <f>[1]!qsn([1]!ml([1]!taqsha(1,1,[1]!roz(MP67+1,0,0,0),MP68)),MP69)/30</f>
        <v>#VALUE!</v>
      </c>
      <c r="MQ70" s="962" t="e">
        <f>[1]!qsn([1]!ml([1]!taqsha(1,1,[1]!roz(MQ67+1,0,0,0),MQ68)),MQ69)/30</f>
        <v>#VALUE!</v>
      </c>
      <c r="MR70" s="962" t="e">
        <f>[1]!qsn([1]!ml([1]!taqsha(1,1,[1]!roz(MR67+1,0,0,0),MR68)),MR69)/30</f>
        <v>#VALUE!</v>
      </c>
      <c r="MS70" s="962" t="e">
        <f>[1]!qsn([1]!ml([1]!taqsha(1,1,[1]!roz(MS67+1,0,0,0),MS68)),MS69)/30</f>
        <v>#VALUE!</v>
      </c>
      <c r="MT70" s="962" t="e">
        <f>[1]!qsn([1]!ml([1]!taqsha(1,1,[1]!roz(MT67+1,0,0,0),MT68)),MT69)/30</f>
        <v>#VALUE!</v>
      </c>
      <c r="MU70" s="962" t="e">
        <f>[1]!qsn([1]!ml([1]!taqsha(1,1,[1]!roz(MU67+1,0,0,0),MU68)),MU69)/30</f>
        <v>#VALUE!</v>
      </c>
      <c r="MV70" s="962" t="e">
        <f>[1]!qsn([1]!ml([1]!taqsha(1,1,[1]!roz(MV67+1,0,0,0),MV68)),MV69)/30</f>
        <v>#VALUE!</v>
      </c>
      <c r="MW70" s="962" t="e">
        <f>[1]!qsn([1]!ml([1]!taqsha(1,1,[1]!roz(MW67+1,0,0,0),MW68)),MW69)/30</f>
        <v>#VALUE!</v>
      </c>
      <c r="MX70" s="962" t="e">
        <f>[1]!qsn([1]!ml([1]!taqsha(1,1,[1]!roz(MX67+1,0,0,0),MX68)),MX69)/30</f>
        <v>#VALUE!</v>
      </c>
      <c r="MY70" s="962" t="e">
        <f>[1]!qsn([1]!ml([1]!taqsha(1,1,[1]!roz(MY67+1,0,0,0),MY68)),MY69)/30</f>
        <v>#VALUE!</v>
      </c>
      <c r="MZ70" s="962" t="e">
        <f>[1]!qsn([1]!ml([1]!taqsha(1,1,[1]!roz(MZ67+1,0,0,0),MZ68)),MZ69)/30</f>
        <v>#VALUE!</v>
      </c>
      <c r="NA70" s="962" t="e">
        <f>[1]!qsn([1]!ml([1]!taqsha(1,1,[1]!roz(NA67+1,0,0,0),NA68)),NA69)/30</f>
        <v>#VALUE!</v>
      </c>
      <c r="NB70" s="962" t="e">
        <f>[1]!qsn([1]!ml([1]!taqsha(1,1,[1]!roz(NB67+1,0,0,0),NB68)),NB69)/30</f>
        <v>#VALUE!</v>
      </c>
      <c r="NC70" s="962" t="e">
        <f>[1]!qsn([1]!ml([1]!taqsha(1,1,[1]!roz(NC67+1,0,0,0),NC68)),NC69)/30</f>
        <v>#VALUE!</v>
      </c>
      <c r="ND70" s="962" t="e">
        <f>[1]!qsn([1]!ml([1]!taqsha(1,1,[1]!roz(ND67+1,0,0,0),ND68)),ND69)/30</f>
        <v>#VALUE!</v>
      </c>
      <c r="NE70" s="962" t="e">
        <f>[1]!qsn([1]!ml([1]!taqsha(1,1,[1]!roz(NE67+1,0,0,0),NE68)),NE69)/30</f>
        <v>#VALUE!</v>
      </c>
      <c r="NF70" s="962" t="e">
        <f>[1]!qsn([1]!ml([1]!taqsha(1,1,[1]!roz(NF67+1,0,0,0),NF68)),NF69)/30</f>
        <v>#VALUE!</v>
      </c>
      <c r="NG70" s="962" t="e">
        <f>[1]!qsn([1]!ml([1]!taqsha(1,1,[1]!roz(NG67+1,0,0,0),NG68)),NG69)/30</f>
        <v>#VALUE!</v>
      </c>
      <c r="NH70" s="962" t="e">
        <f>[1]!qsn([1]!ml([1]!taqsha(1,1,[1]!roz(NH67+1,0,0,0),NH68)),NH69)/30</f>
        <v>#VALUE!</v>
      </c>
      <c r="NI70" s="962" t="e">
        <f>[1]!qsn([1]!ml([1]!taqsha(1,1,[1]!roz(NI67+1,0,0,0),NI68)),NI69)/30</f>
        <v>#VALUE!</v>
      </c>
      <c r="NJ70" s="962" t="e">
        <f>[1]!qsn([1]!ml([1]!taqsha(1,1,[1]!roz(NJ67+1,0,0,0),NJ68)),NJ69)/30</f>
        <v>#VALUE!</v>
      </c>
      <c r="NK70" s="962" t="e">
        <f>[1]!qsn([1]!ml([1]!taqsha(1,1,[1]!roz(NK67+1,0,0,0),NK68)),NK69)/30</f>
        <v>#VALUE!</v>
      </c>
      <c r="NL70" s="962" t="e">
        <f>[1]!qsn([1]!ml([1]!taqsha(1,1,[1]!roz(NL67+1,0,0,0),NL68)),NL69)/30</f>
        <v>#VALUE!</v>
      </c>
      <c r="NM70" s="962" t="e">
        <f>[1]!qsn([1]!ml([1]!taqsha(1,1,[1]!roz(NM67+1,0,0,0),NM68)),NM69)/30</f>
        <v>#VALUE!</v>
      </c>
      <c r="NN70" s="962" t="e">
        <f>[1]!qsn([1]!ml([1]!taqsha(1,1,[1]!roz(NN67+1,0,0,0),NN68)),NN69)/30</f>
        <v>#VALUE!</v>
      </c>
      <c r="NO70" s="962" t="e">
        <f>[1]!qsn([1]!ml([1]!taqsha(1,1,[1]!roz(NO67+1,0,0,0),NO68)),NO69)/30</f>
        <v>#VALUE!</v>
      </c>
      <c r="NP70" s="962" t="e">
        <f>[1]!qsn([1]!ml([1]!taqsha(1,1,[1]!roz(NP67+1,0,0,0),NP68)),NP69)/30</f>
        <v>#VALUE!</v>
      </c>
      <c r="NQ70" s="962" t="e">
        <f>[1]!qsn([1]!ml([1]!taqsha(1,1,[1]!roz(NQ67+1,0,0,0),NQ68)),NQ69)/30</f>
        <v>#VALUE!</v>
      </c>
      <c r="NR70" s="962" t="e">
        <f>[1]!qsn([1]!ml([1]!taqsha(1,1,[1]!roz(NR67+1,0,0,0),NR68)),NR69)/30</f>
        <v>#VALUE!</v>
      </c>
      <c r="NS70" s="962" t="e">
        <f>[1]!qsn([1]!ml([1]!taqsha(1,1,[1]!roz(NS67+1,0,0,0),NS68)),NS69)/30</f>
        <v>#VALUE!</v>
      </c>
      <c r="NT70" s="962" t="e">
        <f>[1]!qsn([1]!ml([1]!taqsha(1,1,[1]!roz(NT67+1,0,0,0),NT68)),NT69)/30</f>
        <v>#VALUE!</v>
      </c>
      <c r="NU70" s="962" t="e">
        <f>[1]!qsn([1]!ml([1]!taqsha(1,1,[1]!roz(NU67+1,0,0,0),NU68)),NU69)/30</f>
        <v>#VALUE!</v>
      </c>
      <c r="NV70" s="962" t="e">
        <f>[1]!qsn([1]!ml([1]!taqsha(1,1,[1]!roz(NV67+1,0,0,0),NV68)),NV69)/30</f>
        <v>#VALUE!</v>
      </c>
      <c r="NW70" s="962" t="e">
        <f>[1]!qsn([1]!ml([1]!taqsha(1,1,[1]!roz(NW67+1,0,0,0),NW68)),NW69)/30</f>
        <v>#VALUE!</v>
      </c>
      <c r="NX70" s="962" t="e">
        <f>[1]!qsn([1]!ml([1]!taqsha(1,1,[1]!roz(NX67+1,0,0,0),NX68)),NX69)/30</f>
        <v>#VALUE!</v>
      </c>
      <c r="NY70" s="962" t="e">
        <f>[1]!qsn([1]!ml([1]!taqsha(1,1,[1]!roz(NY67+1,0,0,0),NY68)),NY69)/30</f>
        <v>#VALUE!</v>
      </c>
      <c r="NZ70" s="962" t="e">
        <f>[1]!qsn([1]!ml([1]!taqsha(1,1,[1]!roz(NZ67+1,0,0,0),NZ68)),NZ69)/30</f>
        <v>#VALUE!</v>
      </c>
      <c r="OA70" s="962" t="e">
        <f>[1]!qsn([1]!ml([1]!taqsha(1,1,[1]!roz(OA67+1,0,0,0),OA68)),OA69)/30</f>
        <v>#VALUE!</v>
      </c>
      <c r="OB70" s="962" t="e">
        <f>[1]!qsn([1]!ml([1]!taqsha(1,1,[1]!roz(OB67+1,0,0,0),OB68)),OB69)/30</f>
        <v>#VALUE!</v>
      </c>
      <c r="OC70" s="962" t="e">
        <f>[1]!qsn([1]!ml([1]!taqsha(1,1,[1]!roz(OC67+1,0,0,0),OC68)),OC69)/30</f>
        <v>#VALUE!</v>
      </c>
      <c r="OD70" s="962" t="e">
        <f>[1]!qsn([1]!ml([1]!taqsha(1,1,[1]!roz(OD67+1,0,0,0),OD68)),OD69)/30</f>
        <v>#VALUE!</v>
      </c>
      <c r="OE70" s="962" t="e">
        <f>[1]!qsn([1]!ml([1]!taqsha(1,1,[1]!roz(OE67+1,0,0,0),OE68)),OE69)/30</f>
        <v>#VALUE!</v>
      </c>
      <c r="OF70" s="962" t="e">
        <f>[1]!qsn([1]!ml([1]!taqsha(1,1,[1]!roz(OF67+1,0,0,0),OF68)),OF69)/30</f>
        <v>#VALUE!</v>
      </c>
      <c r="OG70" s="962" t="e">
        <f>[1]!qsn([1]!ml([1]!taqsha(1,1,[1]!roz(OG67+1,0,0,0),OG68)),OG69)/30</f>
        <v>#VALUE!</v>
      </c>
      <c r="OH70" s="962" t="e">
        <f>[1]!qsn([1]!ml([1]!taqsha(1,1,[1]!roz(OH67+1,0,0,0),OH68)),OH69)/30</f>
        <v>#VALUE!</v>
      </c>
      <c r="OI70" s="962" t="e">
        <f>[1]!qsn([1]!ml([1]!taqsha(1,1,[1]!roz(OI67+1,0,0,0),OI68)),OI69)/30</f>
        <v>#VALUE!</v>
      </c>
      <c r="OJ70" s="962" t="e">
        <f>[1]!qsn([1]!ml([1]!taqsha(1,1,[1]!roz(OJ67+1,0,0,0),OJ68)),OJ69)/30</f>
        <v>#VALUE!</v>
      </c>
      <c r="OK70" s="962" t="e">
        <f>[1]!qsn([1]!ml([1]!taqsha(1,1,[1]!roz(OK67+1,0,0,0),OK68)),OK69)/30</f>
        <v>#VALUE!</v>
      </c>
      <c r="OL70" s="962" t="e">
        <f>[1]!qsn([1]!ml([1]!taqsha(1,1,[1]!roz(OL67+1,0,0,0),OL68)),OL69)/30</f>
        <v>#VALUE!</v>
      </c>
      <c r="OM70" s="962" t="e">
        <f>[1]!qsn([1]!ml([1]!taqsha(1,1,[1]!roz(OM67+1,0,0,0),OM68)),OM69)/30</f>
        <v>#VALUE!</v>
      </c>
      <c r="ON70" s="962" t="e">
        <f>[1]!qsn([1]!ml([1]!taqsha(1,1,[1]!roz(ON67+1,0,0,0),ON68)),ON69)/30</f>
        <v>#VALUE!</v>
      </c>
      <c r="OO70" s="962" t="e">
        <f>[1]!qsn([1]!ml([1]!taqsha(1,1,[1]!roz(OO67+1,0,0,0),OO68)),OO69)/30</f>
        <v>#VALUE!</v>
      </c>
      <c r="OP70" s="962" t="e">
        <f>[1]!qsn([1]!ml([1]!taqsha(1,1,[1]!roz(OP67+1,0,0,0),OP68)),OP69)/30</f>
        <v>#VALUE!</v>
      </c>
      <c r="OQ70" s="962" t="e">
        <f>[1]!qsn([1]!ml([1]!taqsha(1,1,[1]!roz(OQ67+1,0,0,0),OQ68)),OQ69)/30</f>
        <v>#VALUE!</v>
      </c>
      <c r="OR70" s="962" t="e">
        <f>[1]!qsn([1]!ml([1]!taqsha(1,1,[1]!roz(OR67+1,0,0,0),OR68)),OR69)/30</f>
        <v>#VALUE!</v>
      </c>
      <c r="OS70" s="962" t="e">
        <f>[1]!qsn([1]!ml([1]!taqsha(1,1,[1]!roz(OS67+1,0,0,0),OS68)),OS69)/30</f>
        <v>#VALUE!</v>
      </c>
      <c r="OT70" s="962" t="e">
        <f>[1]!qsn([1]!ml([1]!taqsha(1,1,[1]!roz(OT67+1,0,0,0),OT68)),OT69)/30</f>
        <v>#VALUE!</v>
      </c>
      <c r="OU70" s="962" t="e">
        <f>[1]!qsn([1]!ml([1]!taqsha(1,1,[1]!roz(OU67+1,0,0,0),OU68)),OU69)/30</f>
        <v>#VALUE!</v>
      </c>
      <c r="OV70" s="962" t="e">
        <f>[1]!qsn([1]!ml([1]!taqsha(1,1,[1]!roz(OV67+1,0,0,0),OV68)),OV69)/30</f>
        <v>#VALUE!</v>
      </c>
      <c r="OW70" s="962" t="e">
        <f>[1]!qsn([1]!ml([1]!taqsha(1,1,[1]!roz(OW67+1,0,0,0),OW68)),OW69)/30</f>
        <v>#VALUE!</v>
      </c>
      <c r="OX70" s="962" t="e">
        <f>[1]!qsn([1]!ml([1]!taqsha(1,1,[1]!roz(OX67+1,0,0,0),OX68)),OX69)/30</f>
        <v>#VALUE!</v>
      </c>
      <c r="OY70" s="962" t="e">
        <f>[1]!qsn([1]!ml([1]!taqsha(1,1,[1]!roz(OY67+1,0,0,0),OY68)),OY69)/30</f>
        <v>#VALUE!</v>
      </c>
      <c r="OZ70" s="962" t="e">
        <f>[1]!qsn([1]!ml([1]!taqsha(1,1,[1]!roz(OZ67+1,0,0,0),OZ68)),OZ69)/30</f>
        <v>#VALUE!</v>
      </c>
      <c r="PA70" s="962" t="e">
        <f>[1]!qsn([1]!ml([1]!taqsha(1,1,[1]!roz(PA67+1,0,0,0),PA68)),PA69)/30</f>
        <v>#VALUE!</v>
      </c>
      <c r="PB70" s="962" t="e">
        <f>[1]!qsn([1]!ml([1]!taqsha(1,1,[1]!roz(PB67+1,0,0,0),PB68)),PB69)/30</f>
        <v>#VALUE!</v>
      </c>
      <c r="PC70" s="962" t="e">
        <f>[1]!qsn([1]!ml([1]!taqsha(1,1,[1]!roz(PC67+1,0,0,0),PC68)),PC69)/30</f>
        <v>#VALUE!</v>
      </c>
      <c r="PD70" s="962" t="e">
        <f>[1]!qsn([1]!ml([1]!taqsha(1,1,[1]!roz(PD67+1,0,0,0),PD68)),PD69)/30</f>
        <v>#VALUE!</v>
      </c>
      <c r="PE70" s="962" t="e">
        <f>[1]!qsn([1]!ml([1]!taqsha(1,1,[1]!roz(PE67+1,0,0,0),PE68)),PE69)/30</f>
        <v>#VALUE!</v>
      </c>
      <c r="PF70" s="962" t="e">
        <f>[1]!qsn([1]!ml([1]!taqsha(1,1,[1]!roz(PF67+1,0,0,0),PF68)),PF69)/30</f>
        <v>#VALUE!</v>
      </c>
      <c r="PG70" s="962" t="e">
        <f>[1]!qsn([1]!ml([1]!taqsha(1,1,[1]!roz(PG67+1,0,0,0),PG68)),PG69)/30</f>
        <v>#VALUE!</v>
      </c>
      <c r="PH70" s="962" t="e">
        <f>[1]!qsn([1]!ml([1]!taqsha(1,1,[1]!roz(PH67+1,0,0,0),PH68)),PH69)/30</f>
        <v>#VALUE!</v>
      </c>
      <c r="PI70" s="962" t="e">
        <f>[1]!qsn([1]!ml([1]!taqsha(1,1,[1]!roz(PI67+1,0,0,0),PI68)),PI69)/30</f>
        <v>#VALUE!</v>
      </c>
      <c r="PJ70" s="962" t="e">
        <f>[1]!qsn([1]!ml([1]!taqsha(1,1,[1]!roz(PJ67+1,0,0,0),PJ68)),PJ69)/30</f>
        <v>#VALUE!</v>
      </c>
      <c r="PK70" s="962" t="e">
        <f>[1]!qsn([1]!ml([1]!taqsha(1,1,[1]!roz(PK67+1,0,0,0),PK68)),PK69)/30</f>
        <v>#VALUE!</v>
      </c>
      <c r="PL70" s="962" t="e">
        <f>[1]!qsn([1]!ml([1]!taqsha(1,1,[1]!roz(PL67+1,0,0,0),PL68)),PL69)/30</f>
        <v>#VALUE!</v>
      </c>
      <c r="PM70" s="962" t="e">
        <f>[1]!qsn([1]!ml([1]!taqsha(1,1,[1]!roz(PM67+1,0,0,0),PM68)),PM69)/30</f>
        <v>#VALUE!</v>
      </c>
      <c r="PN70" s="962" t="e">
        <f>[1]!qsn([1]!ml([1]!taqsha(1,1,[1]!roz(PN67+1,0,0,0),PN68)),PN69)/30</f>
        <v>#VALUE!</v>
      </c>
      <c r="PO70" s="962" t="e">
        <f>[1]!qsn([1]!ml([1]!taqsha(1,1,[1]!roz(PO67+1,0,0,0),PO68)),PO69)/30</f>
        <v>#VALUE!</v>
      </c>
      <c r="PP70" s="962" t="e">
        <f>[1]!qsn([1]!ml([1]!taqsha(1,1,[1]!roz(PP67+1,0,0,0),PP68)),PP69)/30</f>
        <v>#VALUE!</v>
      </c>
      <c r="PQ70" s="962" t="e">
        <f>[1]!qsn([1]!ml([1]!taqsha(1,1,[1]!roz(PQ67+1,0,0,0),PQ68)),PQ69)/30</f>
        <v>#VALUE!</v>
      </c>
      <c r="PR70" s="962" t="e">
        <f>[1]!qsn([1]!ml([1]!taqsha(1,1,[1]!roz(PR67+1,0,0,0),PR68)),PR69)/30</f>
        <v>#VALUE!</v>
      </c>
      <c r="PS70" s="962" t="e">
        <f>[1]!qsn([1]!ml([1]!taqsha(1,1,[1]!roz(PS67+1,0,0,0),PS68)),PS69)/30</f>
        <v>#VALUE!</v>
      </c>
      <c r="PT70" s="962" t="e">
        <f>[1]!qsn([1]!ml([1]!taqsha(1,1,[1]!roz(PT67+1,0,0,0),PT68)),PT69)/30</f>
        <v>#VALUE!</v>
      </c>
      <c r="PU70" s="962" t="e">
        <f>[1]!qsn([1]!ml([1]!taqsha(1,1,[1]!roz(PU67+1,0,0,0),PU68)),PU69)/30</f>
        <v>#VALUE!</v>
      </c>
      <c r="PV70" s="962" t="e">
        <f>[1]!qsn([1]!ml([1]!taqsha(1,1,[1]!roz(PV67+1,0,0,0),PV68)),PV69)/30</f>
        <v>#VALUE!</v>
      </c>
      <c r="PW70" s="962" t="e">
        <f>[1]!qsn([1]!ml([1]!taqsha(1,1,[1]!roz(PW67+1,0,0,0),PW68)),PW69)/30</f>
        <v>#VALUE!</v>
      </c>
      <c r="PX70" s="962" t="e">
        <f>[1]!qsn([1]!ml([1]!taqsha(1,1,[1]!roz(PX67+1,0,0,0),PX68)),PX69)/30</f>
        <v>#VALUE!</v>
      </c>
      <c r="PY70" s="962" t="e">
        <f>[1]!qsn([1]!ml([1]!taqsha(1,1,[1]!roz(PY67+1,0,0,0),PY68)),PY69)/30</f>
        <v>#VALUE!</v>
      </c>
      <c r="PZ70" s="962" t="e">
        <f>[1]!qsn([1]!ml([1]!taqsha(1,1,[1]!roz(PZ67+1,0,0,0),PZ68)),PZ69)/30</f>
        <v>#VALUE!</v>
      </c>
      <c r="QA70" s="962" t="e">
        <f>[1]!qsn([1]!ml([1]!taqsha(1,1,[1]!roz(QA67+1,0,0,0),QA68)),QA69)/30</f>
        <v>#VALUE!</v>
      </c>
      <c r="QB70" s="962" t="e">
        <f>[1]!qsn([1]!ml([1]!taqsha(1,1,[1]!roz(QB67+1,0,0,0),QB68)),QB69)/30</f>
        <v>#VALUE!</v>
      </c>
      <c r="QC70" s="962" t="e">
        <f>[1]!qsn([1]!ml([1]!taqsha(1,1,[1]!roz(QC67+1,0,0,0),QC68)),QC69)/30</f>
        <v>#VALUE!</v>
      </c>
      <c r="QD70" s="962" t="e">
        <f>[1]!qsn([1]!ml([1]!taqsha(1,1,[1]!roz(QD67+1,0,0,0),QD68)),QD69)/30</f>
        <v>#VALUE!</v>
      </c>
      <c r="QE70" s="962" t="e">
        <f>[1]!qsn([1]!ml([1]!taqsha(1,1,[1]!roz(QE67+1,0,0,0),QE68)),QE69)/30</f>
        <v>#VALUE!</v>
      </c>
      <c r="QF70" s="962" t="e">
        <f>[1]!qsn([1]!ml([1]!taqsha(1,1,[1]!roz(QF67+1,0,0,0),QF68)),QF69)/30</f>
        <v>#VALUE!</v>
      </c>
      <c r="QG70" s="962" t="e">
        <f>[1]!qsn([1]!ml([1]!taqsha(1,1,[1]!roz(QG67+1,0,0,0),QG68)),QG69)/30</f>
        <v>#VALUE!</v>
      </c>
      <c r="QH70" s="962" t="e">
        <f>[1]!qsn([1]!ml([1]!taqsha(1,1,[1]!roz(QH67+1,0,0,0),QH68)),QH69)/30</f>
        <v>#VALUE!</v>
      </c>
      <c r="QI70" s="962" t="e">
        <f>[1]!qsn([1]!ml([1]!taqsha(1,1,[1]!roz(QI67+1,0,0,0),QI68)),QI69)/30</f>
        <v>#VALUE!</v>
      </c>
      <c r="QJ70" s="962" t="e">
        <f>[1]!qsn([1]!ml([1]!taqsha(1,1,[1]!roz(QJ67+1,0,0,0),QJ68)),QJ69)/30</f>
        <v>#VALUE!</v>
      </c>
      <c r="QK70" s="962" t="e">
        <f>[1]!qsn([1]!ml([1]!taqsha(1,1,[1]!roz(QK67+1,0,0,0),QK68)),QK69)/30</f>
        <v>#VALUE!</v>
      </c>
      <c r="QL70" s="962" t="e">
        <f>[1]!qsn([1]!ml([1]!taqsha(1,1,[1]!roz(QL67+1,0,0,0),QL68)),QL69)/30</f>
        <v>#VALUE!</v>
      </c>
      <c r="QM70" s="962" t="e">
        <f>[1]!qsn([1]!ml([1]!taqsha(1,1,[1]!roz(QM67+1,0,0,0),QM68)),QM69)/30</f>
        <v>#VALUE!</v>
      </c>
      <c r="QN70" s="962" t="e">
        <f>[1]!qsn([1]!ml([1]!taqsha(1,1,[1]!roz(QN67+1,0,0,0),QN68)),QN69)/30</f>
        <v>#VALUE!</v>
      </c>
      <c r="QO70" s="962" t="e">
        <f>[1]!qsn([1]!ml([1]!taqsha(1,1,[1]!roz(QO67+1,0,0,0),QO68)),QO69)/30</f>
        <v>#VALUE!</v>
      </c>
      <c r="QP70" s="962" t="e">
        <f>[1]!qsn([1]!ml([1]!taqsha(1,1,[1]!roz(QP67+1,0,0,0),QP68)),QP69)/30</f>
        <v>#VALUE!</v>
      </c>
      <c r="QQ70" s="962" t="e">
        <f>[1]!qsn([1]!ml([1]!taqsha(1,1,[1]!roz(QQ67+1,0,0,0),QQ68)),QQ69)/30</f>
        <v>#VALUE!</v>
      </c>
      <c r="QR70" s="962" t="e">
        <f>[1]!qsn([1]!ml([1]!taqsha(1,1,[1]!roz(QR67+1,0,0,0),QR68)),QR69)/30</f>
        <v>#VALUE!</v>
      </c>
      <c r="QS70" s="962" t="e">
        <f>[1]!qsn([1]!ml([1]!taqsha(1,1,[1]!roz(QS67+1,0,0,0),QS68)),QS69)/30</f>
        <v>#VALUE!</v>
      </c>
      <c r="QT70" s="962" t="e">
        <f>[1]!qsn([1]!ml([1]!taqsha(1,1,[1]!roz(QT67+1,0,0,0),QT68)),QT69)/30</f>
        <v>#VALUE!</v>
      </c>
      <c r="QU70" s="962" t="e">
        <f>[1]!qsn([1]!ml([1]!taqsha(1,1,[1]!roz(QU67+1,0,0,0),QU68)),QU69)/30</f>
        <v>#VALUE!</v>
      </c>
      <c r="QV70" s="962" t="e">
        <f>[1]!qsn([1]!ml([1]!taqsha(1,1,[1]!roz(QV67+1,0,0,0),QV68)),QV69)/30</f>
        <v>#VALUE!</v>
      </c>
      <c r="QW70" s="962" t="e">
        <f>[1]!qsn([1]!ml([1]!taqsha(1,1,[1]!roz(QW67+1,0,0,0),QW68)),QW69)/30</f>
        <v>#VALUE!</v>
      </c>
      <c r="QX70" s="962" t="e">
        <f>[1]!qsn([1]!ml([1]!taqsha(1,1,[1]!roz(QX67+1,0,0,0),QX68)),QX69)/30</f>
        <v>#VALUE!</v>
      </c>
      <c r="QY70" s="962" t="e">
        <f>[1]!qsn([1]!ml([1]!taqsha(1,1,[1]!roz(QY67+1,0,0,0),QY68)),QY69)/30</f>
        <v>#VALUE!</v>
      </c>
      <c r="QZ70" s="962" t="e">
        <f>[1]!qsn([1]!ml([1]!taqsha(1,1,[1]!roz(QZ67+1,0,0,0),QZ68)),QZ69)/30</f>
        <v>#VALUE!</v>
      </c>
      <c r="RA70" s="963" t="e">
        <f>[1]!qsn([1]!ml([1]!taqsha(1,1,[1]!roz(RA67+1,0,0,0),RA68)),RA69)/30</f>
        <v>#VALUE!</v>
      </c>
      <c r="RC70" s="797"/>
    </row>
    <row r="71" spans="2:471" ht="17.25">
      <c r="B71" s="2" t="s">
        <v>44</v>
      </c>
      <c r="C71" s="2"/>
      <c r="D71" s="2"/>
      <c r="E71" s="2"/>
      <c r="F71" s="2"/>
      <c r="G71" s="2"/>
      <c r="H71" s="2"/>
      <c r="I71" s="2"/>
      <c r="J71" s="2"/>
      <c r="K71" s="2"/>
      <c r="L71" s="2"/>
      <c r="M71" s="2"/>
      <c r="N71" s="2"/>
      <c r="O71" s="2"/>
      <c r="P71" s="2"/>
      <c r="Q71" s="2">
        <v>1</v>
      </c>
      <c r="R71" s="2">
        <v>2</v>
      </c>
      <c r="S71" s="2">
        <v>3</v>
      </c>
      <c r="T71" s="2">
        <v>4</v>
      </c>
      <c r="U71" s="2">
        <v>5</v>
      </c>
      <c r="V71" s="2">
        <v>6</v>
      </c>
      <c r="W71" s="2">
        <v>7</v>
      </c>
      <c r="X71" s="2">
        <v>8</v>
      </c>
      <c r="Y71" s="2">
        <v>9</v>
      </c>
      <c r="Z71" s="2">
        <v>10</v>
      </c>
      <c r="AA71" s="2">
        <v>11</v>
      </c>
      <c r="AB71" s="2">
        <v>12</v>
      </c>
      <c r="AC71" s="2"/>
      <c r="DH71" s="797"/>
      <c r="DI71" s="797" t="s">
        <v>378</v>
      </c>
      <c r="DJ71" s="961" t="e">
        <f>[1]!taqsh(1,1,[1]!roz(DJ67+1,DJ70,0,0),DJ68)</f>
        <v>#VALUE!</v>
      </c>
      <c r="DK71" s="962" t="e">
        <f>[1]!taqsh(1,1,[1]!roz(DK67+1,DK70,0,0),DK68)</f>
        <v>#VALUE!</v>
      </c>
      <c r="DL71" s="962" t="e">
        <f>[1]!taqsh(1,1,[1]!roz(DL67+1,DL70,0,0),DL68)</f>
        <v>#VALUE!</v>
      </c>
      <c r="DM71" s="962" t="e">
        <f>[1]!taqsh(1,1,[1]!roz(DM67+1,DM70,0,0),DM68)</f>
        <v>#VALUE!</v>
      </c>
      <c r="DN71" s="962" t="e">
        <f>[1]!taqsh(1,1,[1]!roz(DN67+1,DN70,0,0),DN68)</f>
        <v>#VALUE!</v>
      </c>
      <c r="DO71" s="962" t="e">
        <f>[1]!taqsh(1,1,[1]!roz(DO67+1,DO70,0,0),DO68)</f>
        <v>#VALUE!</v>
      </c>
      <c r="DP71" s="962" t="e">
        <f>[1]!taqsh(1,1,[1]!roz(DP67+1,DP70,0,0),DP68)</f>
        <v>#VALUE!</v>
      </c>
      <c r="DQ71" s="962" t="e">
        <f>[1]!taqsh(1,1,[1]!roz(DQ67+1,DQ70,0,0),DQ68)</f>
        <v>#VALUE!</v>
      </c>
      <c r="DR71" s="962" t="e">
        <f>[1]!taqsh(1,1,[1]!roz(DR67+1,DR70,0,0),DR68)</f>
        <v>#VALUE!</v>
      </c>
      <c r="DS71" s="962" t="e">
        <f>[1]!taqsh(1,1,[1]!roz(DS67+1,DS70,0,0),DS68)</f>
        <v>#VALUE!</v>
      </c>
      <c r="DT71" s="962" t="e">
        <f>[1]!taqsh(1,1,[1]!roz(DT67+1,DT70,0,0),DT68)</f>
        <v>#VALUE!</v>
      </c>
      <c r="DU71" s="962" t="e">
        <f>[1]!taqsh(1,1,[1]!roz(DU67+1,DU70,0,0),DU68)</f>
        <v>#VALUE!</v>
      </c>
      <c r="DV71" s="962" t="e">
        <f>[1]!taqsh(1,1,[1]!roz(DV67+1,DV70,0,0),DV68)</f>
        <v>#VALUE!</v>
      </c>
      <c r="DW71" s="962" t="e">
        <f>[1]!taqsh(1,1,[1]!roz(DW67+1,DW70,0,0),DW68)</f>
        <v>#VALUE!</v>
      </c>
      <c r="DX71" s="962" t="e">
        <f>[1]!taqsh(1,1,[1]!roz(DX67+1,DX70,0,0),DX68)</f>
        <v>#VALUE!</v>
      </c>
      <c r="DY71" s="962" t="e">
        <f>[1]!taqsh(1,1,[1]!roz(DY67+1,DY70,0,0),DY68)</f>
        <v>#VALUE!</v>
      </c>
      <c r="DZ71" s="962" t="e">
        <f>[1]!taqsh(1,1,[1]!roz(DZ67+1,DZ70,0,0),DZ68)</f>
        <v>#VALUE!</v>
      </c>
      <c r="EA71" s="962" t="e">
        <f>[1]!taqsh(1,1,[1]!roz(EA67+1,EA70,0,0),EA68)</f>
        <v>#VALUE!</v>
      </c>
      <c r="EB71" s="962" t="e">
        <f>[1]!taqsh(1,1,[1]!roz(EB67+1,EB70,0,0),EB68)</f>
        <v>#VALUE!</v>
      </c>
      <c r="EC71" s="962" t="e">
        <f>[1]!taqsh(1,1,[1]!roz(EC67+1,EC70,0,0),EC68)</f>
        <v>#VALUE!</v>
      </c>
      <c r="ED71" s="962" t="e">
        <f>[1]!taqsh(1,1,[1]!roz(ED67+1,ED70,0,0),ED68)</f>
        <v>#VALUE!</v>
      </c>
      <c r="EE71" s="962" t="e">
        <f>[1]!taqsh(1,1,[1]!roz(EE67+1,EE70,0,0),EE68)</f>
        <v>#VALUE!</v>
      </c>
      <c r="EF71" s="962" t="e">
        <f>[1]!taqsh(1,1,[1]!roz(EF67+1,EF70,0,0),EF68)</f>
        <v>#VALUE!</v>
      </c>
      <c r="EG71" s="962" t="e">
        <f>[1]!taqsh(1,1,[1]!roz(EG67+1,EG70,0,0),EG68)</f>
        <v>#VALUE!</v>
      </c>
      <c r="EH71" s="962" t="e">
        <f>[1]!taqsh(1,1,[1]!roz(EH67+1,EH70,0,0),EH68)</f>
        <v>#VALUE!</v>
      </c>
      <c r="EI71" s="962" t="e">
        <f>[1]!taqsh(1,1,[1]!roz(EI67+1,EI70,0,0),EI68)</f>
        <v>#VALUE!</v>
      </c>
      <c r="EJ71" s="962" t="e">
        <f>[1]!taqsh(1,1,[1]!roz(EJ67+1,EJ70,0,0),EJ68)</f>
        <v>#VALUE!</v>
      </c>
      <c r="EK71" s="962" t="e">
        <f>[1]!taqsh(1,1,[1]!roz(EK67+1,EK70,0,0),EK68)</f>
        <v>#VALUE!</v>
      </c>
      <c r="EL71" s="962" t="e">
        <f>[1]!taqsh(1,1,[1]!roz(EL67+1,EL70,0,0),EL68)</f>
        <v>#VALUE!</v>
      </c>
      <c r="EM71" s="962" t="e">
        <f>[1]!taqsh(1,1,[1]!roz(EM67+1,EM70,0,0),EM68)</f>
        <v>#VALUE!</v>
      </c>
      <c r="EN71" s="962" t="e">
        <f>[1]!taqsh(1,1,[1]!roz(EN67+1,EN70,0,0),EN68)</f>
        <v>#VALUE!</v>
      </c>
      <c r="EO71" s="962" t="e">
        <f>[1]!taqsh(1,1,[1]!roz(EO67+1,EO70,0,0),EO68)</f>
        <v>#VALUE!</v>
      </c>
      <c r="EP71" s="962" t="e">
        <f>[1]!taqsh(1,1,[1]!roz(EP67+1,EP70,0,0),EP68)</f>
        <v>#VALUE!</v>
      </c>
      <c r="EQ71" s="962" t="e">
        <f>[1]!taqsh(1,1,[1]!roz(EQ67+1,EQ70,0,0),EQ68)</f>
        <v>#VALUE!</v>
      </c>
      <c r="ER71" s="962" t="e">
        <f>[1]!taqsh(1,1,[1]!roz(ER67+1,ER70,0,0),ER68)</f>
        <v>#VALUE!</v>
      </c>
      <c r="ES71" s="962" t="e">
        <f>[1]!taqsh(1,1,[1]!roz(ES67+1,ES70,0,0),ES68)</f>
        <v>#VALUE!</v>
      </c>
      <c r="ET71" s="962" t="e">
        <f>[1]!taqsh(1,1,[1]!roz(ET67+1,ET70,0,0),ET68)</f>
        <v>#VALUE!</v>
      </c>
      <c r="EU71" s="962" t="e">
        <f>[1]!taqsh(1,1,[1]!roz(EU67+1,EU70,0,0),EU68)</f>
        <v>#VALUE!</v>
      </c>
      <c r="EV71" s="962" t="e">
        <f>[1]!taqsh(1,1,[1]!roz(EV67+1,EV70,0,0),EV68)</f>
        <v>#VALUE!</v>
      </c>
      <c r="EW71" s="962" t="e">
        <f>[1]!taqsh(1,1,[1]!roz(EW67+1,EW70,0,0),EW68)</f>
        <v>#VALUE!</v>
      </c>
      <c r="EX71" s="962" t="e">
        <f>[1]!taqsh(1,1,[1]!roz(EX67+1,EX70,0,0),EX68)</f>
        <v>#VALUE!</v>
      </c>
      <c r="EY71" s="962" t="e">
        <f>[1]!taqsh(1,1,[1]!roz(EY67+1,EY70,0,0),EY68)</f>
        <v>#VALUE!</v>
      </c>
      <c r="EZ71" s="962" t="e">
        <f>[1]!taqsh(1,1,[1]!roz(EZ67+1,EZ70,0,0),EZ68)</f>
        <v>#VALUE!</v>
      </c>
      <c r="FA71" s="962" t="e">
        <f>[1]!taqsh(1,1,[1]!roz(FA67+1,FA70,0,0),FA68)</f>
        <v>#VALUE!</v>
      </c>
      <c r="FB71" s="962" t="e">
        <f>[1]!taqsh(1,1,[1]!roz(FB67+1,FB70,0,0),FB68)</f>
        <v>#VALUE!</v>
      </c>
      <c r="FC71" s="962" t="e">
        <f>[1]!taqsh(1,1,[1]!roz(FC67+1,FC70,0,0),FC68)</f>
        <v>#VALUE!</v>
      </c>
      <c r="FD71" s="962" t="e">
        <f>[1]!taqsh(1,1,[1]!roz(FD67+1,FD70,0,0),FD68)</f>
        <v>#VALUE!</v>
      </c>
      <c r="FE71" s="962" t="e">
        <f>[1]!taqsh(1,1,[1]!roz(FE67+1,FE70,0,0),FE68)</f>
        <v>#VALUE!</v>
      </c>
      <c r="FF71" s="962" t="e">
        <f>[1]!taqsh(1,1,[1]!roz(FF67+1,FF70,0,0),FF68)</f>
        <v>#VALUE!</v>
      </c>
      <c r="FG71" s="962" t="e">
        <f>[1]!taqsh(1,1,[1]!roz(FG67+1,FG70,0,0),FG68)</f>
        <v>#VALUE!</v>
      </c>
      <c r="FH71" s="962" t="e">
        <f>[1]!taqsh(1,1,[1]!roz(FH67+1,FH70,0,0),FH68)</f>
        <v>#VALUE!</v>
      </c>
      <c r="FI71" s="962" t="e">
        <f>[1]!taqsh(1,1,[1]!roz(FI67+1,FI70,0,0),FI68)</f>
        <v>#VALUE!</v>
      </c>
      <c r="FJ71" s="962" t="e">
        <f>[1]!taqsh(1,1,[1]!roz(FJ67+1,FJ70,0,0),FJ68)</f>
        <v>#VALUE!</v>
      </c>
      <c r="FK71" s="962" t="e">
        <f>[1]!taqsh(1,1,[1]!roz(FK67+1,FK70,0,0),FK68)</f>
        <v>#VALUE!</v>
      </c>
      <c r="FL71" s="962" t="e">
        <f>[1]!taqsh(1,1,[1]!roz(FL67+1,FL70,0,0),FL68)</f>
        <v>#VALUE!</v>
      </c>
      <c r="FM71" s="962" t="e">
        <f>[1]!taqsh(1,1,[1]!roz(FM67+1,FM70,0,0),FM68)</f>
        <v>#VALUE!</v>
      </c>
      <c r="FN71" s="962" t="e">
        <f>[1]!taqsh(1,1,[1]!roz(FN67+1,FN70,0,0),FN68)</f>
        <v>#VALUE!</v>
      </c>
      <c r="FO71" s="962" t="e">
        <f>[1]!taqsh(1,1,[1]!roz(FO67+1,FO70,0,0),FO68)</f>
        <v>#VALUE!</v>
      </c>
      <c r="FP71" s="962" t="e">
        <f>[1]!taqsh(1,1,[1]!roz(FP67+1,FP70,0,0),FP68)</f>
        <v>#VALUE!</v>
      </c>
      <c r="FQ71" s="962" t="e">
        <f>[1]!taqsh(1,1,[1]!roz(FQ67+1,FQ70,0,0),FQ68)</f>
        <v>#VALUE!</v>
      </c>
      <c r="FR71" s="962" t="e">
        <f>[1]!taqsh(1,1,[1]!roz(FR67+1,FR70,0,0),FR68)</f>
        <v>#VALUE!</v>
      </c>
      <c r="FS71" s="962" t="e">
        <f>[1]!taqsh(1,1,[1]!roz(FS67+1,FS70,0,0),FS68)</f>
        <v>#VALUE!</v>
      </c>
      <c r="FT71" s="962" t="e">
        <f>[1]!taqsh(1,1,[1]!roz(FT67+1,FT70,0,0),FT68)</f>
        <v>#VALUE!</v>
      </c>
      <c r="FU71" s="962" t="e">
        <f>[1]!taqsh(1,1,[1]!roz(FU67+1,FU70,0,0),FU68)</f>
        <v>#VALUE!</v>
      </c>
      <c r="FV71" s="962" t="e">
        <f>[1]!taqsh(1,1,[1]!roz(FV67+1,FV70,0,0),FV68)</f>
        <v>#VALUE!</v>
      </c>
      <c r="FW71" s="962" t="e">
        <f>[1]!taqsh(1,1,[1]!roz(FW67+1,FW70,0,0),FW68)</f>
        <v>#VALUE!</v>
      </c>
      <c r="FX71" s="962" t="e">
        <f>[1]!taqsh(1,1,[1]!roz(FX67+1,FX70,0,0),FX68)</f>
        <v>#VALUE!</v>
      </c>
      <c r="FY71" s="962" t="e">
        <f>[1]!taqsh(1,1,[1]!roz(FY67+1,FY70,0,0),FY68)</f>
        <v>#VALUE!</v>
      </c>
      <c r="FZ71" s="962" t="e">
        <f>[1]!taqsh(1,1,[1]!roz(FZ67+1,FZ70,0,0),FZ68)</f>
        <v>#VALUE!</v>
      </c>
      <c r="GA71" s="962" t="e">
        <f>[1]!taqsh(1,1,[1]!roz(GA67+1,GA70,0,0),GA68)</f>
        <v>#VALUE!</v>
      </c>
      <c r="GB71" s="962" t="e">
        <f>[1]!taqsh(1,1,[1]!roz(GB67+1,GB70,0,0),GB68)</f>
        <v>#VALUE!</v>
      </c>
      <c r="GC71" s="962" t="e">
        <f>[1]!taqsh(1,1,[1]!roz(GC67+1,GC70,0,0),GC68)</f>
        <v>#VALUE!</v>
      </c>
      <c r="GD71" s="962" t="e">
        <f>[1]!taqsh(1,1,[1]!roz(GD67+1,GD70,0,0),GD68)</f>
        <v>#VALUE!</v>
      </c>
      <c r="GE71" s="962" t="e">
        <f>[1]!taqsh(1,1,[1]!roz(GE67+1,GE70,0,0),GE68)</f>
        <v>#VALUE!</v>
      </c>
      <c r="GF71" s="962" t="e">
        <f>[1]!taqsh(1,1,[1]!roz(GF67+1,GF70,0,0),GF68)</f>
        <v>#VALUE!</v>
      </c>
      <c r="GG71" s="962" t="e">
        <f>[1]!taqsh(1,1,[1]!roz(GG67+1,GG70,0,0),GG68)</f>
        <v>#VALUE!</v>
      </c>
      <c r="GH71" s="962" t="e">
        <f>[1]!taqsh(1,1,[1]!roz(GH67+1,GH70,0,0),GH68)</f>
        <v>#VALUE!</v>
      </c>
      <c r="GI71" s="962" t="e">
        <f>[1]!taqsh(1,1,[1]!roz(GI67+1,GI70,0,0),GI68)</f>
        <v>#VALUE!</v>
      </c>
      <c r="GJ71" s="962" t="e">
        <f>[1]!taqsh(1,1,[1]!roz(GJ67+1,GJ70,0,0),GJ68)</f>
        <v>#VALUE!</v>
      </c>
      <c r="GK71" s="962" t="e">
        <f>[1]!taqsh(1,1,[1]!roz(GK67+1,GK70,0,0),GK68)</f>
        <v>#VALUE!</v>
      </c>
      <c r="GL71" s="962" t="e">
        <f>[1]!taqsh(1,1,[1]!roz(GL67+1,GL70,0,0),GL68)</f>
        <v>#VALUE!</v>
      </c>
      <c r="GM71" s="962" t="e">
        <f>[1]!taqsh(1,1,[1]!roz(GM67+1,GM70,0,0),GM68)</f>
        <v>#VALUE!</v>
      </c>
      <c r="GN71" s="962" t="e">
        <f>[1]!taqsh(1,1,[1]!roz(GN67+1,GN70,0,0),GN68)</f>
        <v>#VALUE!</v>
      </c>
      <c r="GO71" s="962" t="e">
        <f>[1]!taqsh(1,1,[1]!roz(GO67+1,GO70,0,0),GO68)</f>
        <v>#VALUE!</v>
      </c>
      <c r="GP71" s="962" t="e">
        <f>[1]!taqsh(1,1,[1]!roz(GP67+1,GP70,0,0),GP68)</f>
        <v>#VALUE!</v>
      </c>
      <c r="GQ71" s="962" t="e">
        <f>[1]!taqsh(1,1,[1]!roz(GQ67+1,GQ70,0,0),GQ68)</f>
        <v>#VALUE!</v>
      </c>
      <c r="GR71" s="962" t="e">
        <f>[1]!taqsh(1,1,[1]!roz(GR67+1,GR70,0,0),GR68)</f>
        <v>#VALUE!</v>
      </c>
      <c r="GS71" s="962" t="e">
        <f>[1]!taqsh(1,1,[1]!roz(GS67+1,GS70,0,0),GS68)</f>
        <v>#VALUE!</v>
      </c>
      <c r="GT71" s="962" t="e">
        <f>[1]!taqsh(1,1,[1]!roz(GT67+1,GT70,0,0),GT68)</f>
        <v>#VALUE!</v>
      </c>
      <c r="GU71" s="962" t="e">
        <f>[1]!taqsh(1,1,[1]!roz(GU67+1,GU70,0,0),GU68)</f>
        <v>#VALUE!</v>
      </c>
      <c r="GV71" s="962" t="e">
        <f>[1]!taqsh(1,1,[1]!roz(GV67+1,GV70,0,0),GV68)</f>
        <v>#VALUE!</v>
      </c>
      <c r="GW71" s="962" t="e">
        <f>[1]!taqsh(1,1,[1]!roz(GW67+1,GW70,0,0),GW68)</f>
        <v>#VALUE!</v>
      </c>
      <c r="GX71" s="962" t="e">
        <f>[1]!taqsh(1,1,[1]!roz(GX67+1,GX70,0,0),GX68)</f>
        <v>#VALUE!</v>
      </c>
      <c r="GY71" s="962" t="e">
        <f>[1]!taqsh(1,1,[1]!roz(GY67+1,GY70,0,0),GY68)</f>
        <v>#VALUE!</v>
      </c>
      <c r="GZ71" s="962" t="e">
        <f>[1]!taqsh(1,1,[1]!roz(GZ67+1,GZ70,0,0),GZ68)</f>
        <v>#VALUE!</v>
      </c>
      <c r="HA71" s="962" t="e">
        <f>[1]!taqsh(1,1,[1]!roz(HA67+1,HA70,0,0),HA68)</f>
        <v>#VALUE!</v>
      </c>
      <c r="HB71" s="962" t="e">
        <f>[1]!taqsh(1,1,[1]!roz(HB67+1,HB70,0,0),HB68)</f>
        <v>#VALUE!</v>
      </c>
      <c r="HC71" s="962" t="e">
        <f>[1]!taqsh(1,1,[1]!roz(HC67+1,HC70,0,0),HC68)</f>
        <v>#VALUE!</v>
      </c>
      <c r="HD71" s="962" t="e">
        <f>[1]!taqsh(1,1,[1]!roz(HD67+1,HD70,0,0),HD68)</f>
        <v>#VALUE!</v>
      </c>
      <c r="HE71" s="962" t="e">
        <f>[1]!taqsh(1,1,[1]!roz(HE67+1,HE70,0,0),HE68)</f>
        <v>#VALUE!</v>
      </c>
      <c r="HF71" s="962" t="e">
        <f>[1]!taqsh(1,1,[1]!roz(HF67+1,HF70,0,0),HF68)</f>
        <v>#VALUE!</v>
      </c>
      <c r="HG71" s="962" t="e">
        <f>[1]!taqsh(1,1,[1]!roz(HG67+1,HG70,0,0),HG68)</f>
        <v>#VALUE!</v>
      </c>
      <c r="HH71" s="962" t="e">
        <f>[1]!taqsh(1,1,[1]!roz(HH67+1,HH70,0,0),HH68)</f>
        <v>#VALUE!</v>
      </c>
      <c r="HI71" s="962" t="e">
        <f>[1]!taqsh(1,1,[1]!roz(HI67+1,HI70,0,0),HI68)</f>
        <v>#VALUE!</v>
      </c>
      <c r="HJ71" s="962" t="e">
        <f>[1]!taqsh(1,1,[1]!roz(HJ67+1,HJ70,0,0),HJ68)</f>
        <v>#VALUE!</v>
      </c>
      <c r="HK71" s="962" t="e">
        <f>[1]!taqsh(1,1,[1]!roz(HK67+1,HK70,0,0),HK68)</f>
        <v>#VALUE!</v>
      </c>
      <c r="HL71" s="962" t="e">
        <f>[1]!taqsh(1,1,[1]!roz(HL67+1,HL70,0,0),HL68)</f>
        <v>#VALUE!</v>
      </c>
      <c r="HM71" s="962" t="e">
        <f>[1]!taqsh(1,1,[1]!roz(HM67+1,HM70,0,0),HM68)</f>
        <v>#VALUE!</v>
      </c>
      <c r="HN71" s="962" t="e">
        <f>[1]!taqsh(1,1,[1]!roz(HN67+1,HN70,0,0),HN68)</f>
        <v>#VALUE!</v>
      </c>
      <c r="HO71" s="962" t="e">
        <f>[1]!taqsh(1,1,[1]!roz(HO67+1,HO70,0,0),HO68)</f>
        <v>#VALUE!</v>
      </c>
      <c r="HP71" s="962" t="e">
        <f>[1]!taqsh(1,1,[1]!roz(HP67+1,HP70,0,0),HP68)</f>
        <v>#VALUE!</v>
      </c>
      <c r="HQ71" s="962" t="e">
        <f>[1]!taqsh(1,1,[1]!roz(HQ67+1,HQ70,0,0),HQ68)</f>
        <v>#VALUE!</v>
      </c>
      <c r="HR71" s="962" t="e">
        <f>[1]!taqsh(1,1,[1]!roz(HR67+1,HR70,0,0),HR68)</f>
        <v>#VALUE!</v>
      </c>
      <c r="HS71" s="962" t="e">
        <f>[1]!taqsh(1,1,[1]!roz(HS67+1,HS70,0,0),HS68)</f>
        <v>#VALUE!</v>
      </c>
      <c r="HT71" s="962" t="e">
        <f>[1]!taqsh(1,1,[1]!roz(HT67+1,HT70,0,0),HT68)</f>
        <v>#VALUE!</v>
      </c>
      <c r="HU71" s="962" t="e">
        <f>[1]!taqsh(1,1,[1]!roz(HU67+1,HU70,0,0),HU68)</f>
        <v>#VALUE!</v>
      </c>
      <c r="HV71" s="962" t="e">
        <f>[1]!taqsh(1,1,[1]!roz(HV67+1,HV70,0,0),HV68)</f>
        <v>#VALUE!</v>
      </c>
      <c r="HW71" s="962" t="e">
        <f>[1]!taqsh(1,1,[1]!roz(HW67+1,HW70,0,0),HW68)</f>
        <v>#VALUE!</v>
      </c>
      <c r="HX71" s="962" t="e">
        <f>[1]!taqsh(1,1,[1]!roz(HX67+1,HX70,0,0),HX68)</f>
        <v>#VALUE!</v>
      </c>
      <c r="HY71" s="962" t="e">
        <f>[1]!taqsh(1,1,[1]!roz(HY67+1,HY70,0,0),HY68)</f>
        <v>#VALUE!</v>
      </c>
      <c r="HZ71" s="962" t="e">
        <f>[1]!taqsh(1,1,[1]!roz(HZ67+1,HZ70,0,0),HZ68)</f>
        <v>#VALUE!</v>
      </c>
      <c r="IA71" s="962" t="e">
        <f>[1]!taqsh(1,1,[1]!roz(IA67+1,IA70,0,0),IA68)</f>
        <v>#VALUE!</v>
      </c>
      <c r="IB71" s="962" t="e">
        <f>[1]!taqsh(1,1,[1]!roz(IB67+1,IB70,0,0),IB68)</f>
        <v>#VALUE!</v>
      </c>
      <c r="IC71" s="962" t="e">
        <f>[1]!taqsh(1,1,[1]!roz(IC67+1,IC70,0,0),IC68)</f>
        <v>#VALUE!</v>
      </c>
      <c r="ID71" s="962" t="e">
        <f>[1]!taqsh(1,1,[1]!roz(ID67+1,ID70,0,0),ID68)</f>
        <v>#VALUE!</v>
      </c>
      <c r="IE71" s="962" t="e">
        <f>[1]!taqsh(1,1,[1]!roz(IE67+1,IE70,0,0),IE68)</f>
        <v>#VALUE!</v>
      </c>
      <c r="IF71" s="962" t="e">
        <f>[1]!taqsh(1,1,[1]!roz(IF67+1,IF70,0,0),IF68)</f>
        <v>#VALUE!</v>
      </c>
      <c r="IG71" s="962" t="e">
        <f>[1]!taqsh(1,1,[1]!roz(IG67+1,IG70,0,0),IG68)</f>
        <v>#VALUE!</v>
      </c>
      <c r="IH71" s="962" t="e">
        <f>[1]!taqsh(1,1,[1]!roz(IH67+1,IH70,0,0),IH68)</f>
        <v>#VALUE!</v>
      </c>
      <c r="II71" s="962" t="e">
        <f>[1]!taqsh(1,1,[1]!roz(II67+1,II70,0,0),II68)</f>
        <v>#VALUE!</v>
      </c>
      <c r="IJ71" s="962" t="e">
        <f>[1]!taqsh(1,1,[1]!roz(IJ67+1,IJ70,0,0),IJ68)</f>
        <v>#VALUE!</v>
      </c>
      <c r="IK71" s="962" t="e">
        <f>[1]!taqsh(1,1,[1]!roz(IK67+1,IK70,0,0),IK68)</f>
        <v>#VALUE!</v>
      </c>
      <c r="IL71" s="962" t="e">
        <f>[1]!taqsh(1,1,[1]!roz(IL67+1,IL70,0,0),IL68)</f>
        <v>#VALUE!</v>
      </c>
      <c r="IM71" s="962" t="e">
        <f>[1]!taqsh(1,1,[1]!roz(IM67+1,IM70,0,0),IM68)</f>
        <v>#VALUE!</v>
      </c>
      <c r="IN71" s="962" t="e">
        <f>[1]!taqsh(1,1,[1]!roz(IN67+1,IN70,0,0),IN68)</f>
        <v>#VALUE!</v>
      </c>
      <c r="IO71" s="962" t="e">
        <f>[1]!taqsh(1,1,[1]!roz(IO67+1,IO70,0,0),IO68)</f>
        <v>#VALUE!</v>
      </c>
      <c r="IP71" s="962" t="e">
        <f>[1]!taqsh(1,1,[1]!roz(IP67+1,IP70,0,0),IP68)</f>
        <v>#VALUE!</v>
      </c>
      <c r="IQ71" s="962" t="e">
        <f>[1]!taqsh(1,1,[1]!roz(IQ67+1,IQ70,0,0),IQ68)</f>
        <v>#VALUE!</v>
      </c>
      <c r="IR71" s="962" t="e">
        <f>[1]!taqsh(1,1,[1]!roz(IR67+1,IR70,0,0),IR68)</f>
        <v>#VALUE!</v>
      </c>
      <c r="IS71" s="962" t="e">
        <f>[1]!taqsh(1,1,[1]!roz(IS67+1,IS70,0,0),IS68)</f>
        <v>#VALUE!</v>
      </c>
      <c r="IT71" s="962" t="e">
        <f>[1]!taqsh(1,1,[1]!roz(IT67+1,IT70,0,0),IT68)</f>
        <v>#VALUE!</v>
      </c>
      <c r="IU71" s="962" t="e">
        <f>[1]!taqsh(1,1,[1]!roz(IU67+1,IU70,0,0),IU68)</f>
        <v>#VALUE!</v>
      </c>
      <c r="IV71" s="962" t="e">
        <f>[1]!taqsh(1,1,[1]!roz(IV67+1,IV70,0,0),IV68)</f>
        <v>#VALUE!</v>
      </c>
      <c r="IW71" s="962" t="e">
        <f>[1]!taqsh(1,1,[1]!roz(IW67+1,IW70,0,0),IW68)</f>
        <v>#VALUE!</v>
      </c>
      <c r="IX71" s="962" t="e">
        <f>[1]!taqsh(1,1,[1]!roz(IX67+1,IX70,0,0),IX68)</f>
        <v>#VALUE!</v>
      </c>
      <c r="IY71" s="962" t="e">
        <f>[1]!taqsh(1,1,[1]!roz(IY67+1,IY70,0,0),IY68)</f>
        <v>#VALUE!</v>
      </c>
      <c r="IZ71" s="962" t="e">
        <f>[1]!taqsh(1,1,[1]!roz(IZ67+1,IZ70,0,0),IZ68)</f>
        <v>#VALUE!</v>
      </c>
      <c r="JA71" s="962" t="e">
        <f>[1]!taqsh(1,1,[1]!roz(JA67+1,JA70,0,0),JA68)</f>
        <v>#VALUE!</v>
      </c>
      <c r="JB71" s="962" t="e">
        <f>[1]!taqsh(1,1,[1]!roz(JB67+1,JB70,0,0),JB68)</f>
        <v>#VALUE!</v>
      </c>
      <c r="JC71" s="962" t="e">
        <f>[1]!taqsh(1,1,[1]!roz(JC67+1,JC70,0,0),JC68)</f>
        <v>#VALUE!</v>
      </c>
      <c r="JD71" s="962" t="e">
        <f>[1]!taqsh(1,1,[1]!roz(JD67+1,JD70,0,0),JD68)</f>
        <v>#VALUE!</v>
      </c>
      <c r="JE71" s="962" t="e">
        <f>[1]!taqsh(1,1,[1]!roz(JE67+1,JE70,0,0),JE68)</f>
        <v>#VALUE!</v>
      </c>
      <c r="JF71" s="962" t="e">
        <f>[1]!taqsh(1,1,[1]!roz(JF67+1,JF70,0,0),JF68)</f>
        <v>#VALUE!</v>
      </c>
      <c r="JG71" s="962" t="e">
        <f>[1]!taqsh(1,1,[1]!roz(JG67+1,JG70,0,0),JG68)</f>
        <v>#VALUE!</v>
      </c>
      <c r="JH71" s="962" t="e">
        <f>[1]!taqsh(1,1,[1]!roz(JH67+1,JH70,0,0),JH68)</f>
        <v>#VALUE!</v>
      </c>
      <c r="JI71" s="962" t="e">
        <f>[1]!taqsh(1,1,[1]!roz(JI67+1,JI70,0,0),JI68)</f>
        <v>#VALUE!</v>
      </c>
      <c r="JJ71" s="962" t="e">
        <f>[1]!taqsh(1,1,[1]!roz(JJ67+1,JJ70,0,0),JJ68)</f>
        <v>#VALUE!</v>
      </c>
      <c r="JK71" s="962" t="e">
        <f>[1]!taqsh(1,1,[1]!roz(JK67+1,JK70,0,0),JK68)</f>
        <v>#VALUE!</v>
      </c>
      <c r="JL71" s="962" t="e">
        <f>[1]!taqsh(1,1,[1]!roz(JL67+1,JL70,0,0),JL68)</f>
        <v>#VALUE!</v>
      </c>
      <c r="JM71" s="962" t="e">
        <f>[1]!taqsh(1,1,[1]!roz(JM67+1,JM70,0,0),JM68)</f>
        <v>#VALUE!</v>
      </c>
      <c r="JN71" s="962" t="e">
        <f>[1]!taqsh(1,1,[1]!roz(JN67+1,JN70,0,0),JN68)</f>
        <v>#VALUE!</v>
      </c>
      <c r="JO71" s="962" t="e">
        <f>[1]!taqsh(1,1,[1]!roz(JO67+1,JO70,0,0),JO68)</f>
        <v>#VALUE!</v>
      </c>
      <c r="JP71" s="962" t="e">
        <f>[1]!taqsh(1,1,[1]!roz(JP67+1,JP70,0,0),JP68)</f>
        <v>#VALUE!</v>
      </c>
      <c r="JQ71" s="962" t="e">
        <f>[1]!taqsh(1,1,[1]!roz(JQ67+1,JQ70,0,0),JQ68)</f>
        <v>#VALUE!</v>
      </c>
      <c r="JR71" s="962" t="e">
        <f>[1]!taqsh(1,1,[1]!roz(JR67+1,JR70,0,0),JR68)</f>
        <v>#VALUE!</v>
      </c>
      <c r="JS71" s="962" t="e">
        <f>[1]!taqsh(1,1,[1]!roz(JS67+1,JS70,0,0),JS68)</f>
        <v>#VALUE!</v>
      </c>
      <c r="JT71" s="962" t="e">
        <f>[1]!taqsh(1,1,[1]!roz(JT67+1,JT70,0,0),JT68)</f>
        <v>#VALUE!</v>
      </c>
      <c r="JU71" s="962" t="e">
        <f>[1]!taqsh(1,1,[1]!roz(JU67+1,JU70,0,0),JU68)</f>
        <v>#VALUE!</v>
      </c>
      <c r="JV71" s="962" t="e">
        <f>[1]!taqsh(1,1,[1]!roz(JV67+1,JV70,0,0),JV68)</f>
        <v>#VALUE!</v>
      </c>
      <c r="JW71" s="962" t="e">
        <f>[1]!taqsh(1,1,[1]!roz(JW67+1,JW70,0,0),JW68)</f>
        <v>#VALUE!</v>
      </c>
      <c r="JX71" s="962" t="e">
        <f>[1]!taqsh(1,1,[1]!roz(JX67+1,JX70,0,0),JX68)</f>
        <v>#VALUE!</v>
      </c>
      <c r="JY71" s="962" t="e">
        <f>[1]!taqsh(1,1,[1]!roz(JY67+1,JY70,0,0),JY68)</f>
        <v>#VALUE!</v>
      </c>
      <c r="JZ71" s="962" t="e">
        <f>[1]!taqsh(1,1,[1]!roz(JZ67+1,JZ70,0,0),JZ68)</f>
        <v>#VALUE!</v>
      </c>
      <c r="KA71" s="962" t="e">
        <f>[1]!taqsh(1,1,[1]!roz(KA67+1,KA70,0,0),KA68)</f>
        <v>#VALUE!</v>
      </c>
      <c r="KB71" s="962" t="e">
        <f>[1]!taqsh(1,1,[1]!roz(KB67+1,KB70,0,0),KB68)</f>
        <v>#VALUE!</v>
      </c>
      <c r="KC71" s="962" t="e">
        <f>[1]!taqsh(1,1,[1]!roz(KC67+1,KC70,0,0),KC68)</f>
        <v>#VALUE!</v>
      </c>
      <c r="KD71" s="962" t="e">
        <f>[1]!taqsh(1,1,[1]!roz(KD67+1,KD70,0,0),KD68)</f>
        <v>#VALUE!</v>
      </c>
      <c r="KE71" s="962" t="e">
        <f>[1]!taqsh(1,1,[1]!roz(KE67+1,KE70,0,0),KE68)</f>
        <v>#VALUE!</v>
      </c>
      <c r="KF71" s="962" t="e">
        <f>[1]!taqsh(1,1,[1]!roz(KF67+1,KF70,0,0),KF68)</f>
        <v>#VALUE!</v>
      </c>
      <c r="KG71" s="962" t="e">
        <f>[1]!taqsh(1,1,[1]!roz(KG67+1,KG70,0,0),KG68)</f>
        <v>#VALUE!</v>
      </c>
      <c r="KH71" s="962" t="e">
        <f>[1]!taqsh(1,1,[1]!roz(KH67+1,KH70,0,0),KH68)</f>
        <v>#VALUE!</v>
      </c>
      <c r="KI71" s="962" t="e">
        <f>[1]!taqsh(1,1,[1]!roz(KI67+1,KI70,0,0),KI68)</f>
        <v>#VALUE!</v>
      </c>
      <c r="KJ71" s="962" t="e">
        <f>[1]!taqsh(1,1,[1]!roz(KJ67+1,KJ70,0,0),KJ68)</f>
        <v>#VALUE!</v>
      </c>
      <c r="KK71" s="962" t="e">
        <f>[1]!taqsh(1,1,[1]!roz(KK67+1,KK70,0,0),KK68)</f>
        <v>#VALUE!</v>
      </c>
      <c r="KL71" s="962" t="e">
        <f>[1]!taqsh(1,1,[1]!roz(KL67+1,KL70,0,0),KL68)</f>
        <v>#VALUE!</v>
      </c>
      <c r="KM71" s="962" t="e">
        <f>[1]!taqsh(1,1,[1]!roz(KM67+1,KM70,0,0),KM68)</f>
        <v>#VALUE!</v>
      </c>
      <c r="KN71" s="962" t="e">
        <f>[1]!taqsh(1,1,[1]!roz(KN67+1,KN70,0,0),KN68)</f>
        <v>#VALUE!</v>
      </c>
      <c r="KO71" s="962" t="e">
        <f>[1]!taqsh(1,1,[1]!roz(KO67+1,KO70,0,0),KO68)</f>
        <v>#VALUE!</v>
      </c>
      <c r="KP71" s="962" t="e">
        <f>[1]!taqsh(1,1,[1]!roz(KP67+1,KP70,0,0),KP68)</f>
        <v>#VALUE!</v>
      </c>
      <c r="KQ71" s="962" t="e">
        <f>[1]!taqsh(1,1,[1]!roz(KQ67+1,KQ70,0,0),KQ68)</f>
        <v>#VALUE!</v>
      </c>
      <c r="KR71" s="962" t="e">
        <f>[1]!taqsh(1,1,[1]!roz(KR67+1,KR70,0,0),KR68)</f>
        <v>#VALUE!</v>
      </c>
      <c r="KS71" s="962" t="e">
        <f>[1]!taqsh(1,1,[1]!roz(KS67+1,KS70,0,0),KS68)</f>
        <v>#VALUE!</v>
      </c>
      <c r="KT71" s="962" t="e">
        <f>[1]!taqsh(1,1,[1]!roz(KT67+1,KT70,0,0),KT68)</f>
        <v>#VALUE!</v>
      </c>
      <c r="KU71" s="962" t="e">
        <f>[1]!taqsh(1,1,[1]!roz(KU67+1,KU70,0,0),KU68)</f>
        <v>#VALUE!</v>
      </c>
      <c r="KV71" s="962" t="e">
        <f>[1]!taqsh(1,1,[1]!roz(KV67+1,KV70,0,0),KV68)</f>
        <v>#VALUE!</v>
      </c>
      <c r="KW71" s="962" t="e">
        <f>[1]!taqsh(1,1,[1]!roz(KW67+1,KW70,0,0),KW68)</f>
        <v>#VALUE!</v>
      </c>
      <c r="KX71" s="962" t="e">
        <f>[1]!taqsh(1,1,[1]!roz(KX67+1,KX70,0,0),KX68)</f>
        <v>#VALUE!</v>
      </c>
      <c r="KY71" s="962" t="e">
        <f>[1]!taqsh(1,1,[1]!roz(KY67+1,KY70,0,0),KY68)</f>
        <v>#VALUE!</v>
      </c>
      <c r="KZ71" s="962" t="e">
        <f>[1]!taqsh(1,1,[1]!roz(KZ67+1,KZ70,0,0),KZ68)</f>
        <v>#VALUE!</v>
      </c>
      <c r="LA71" s="962" t="e">
        <f>[1]!taqsh(1,1,[1]!roz(LA67+1,LA70,0,0),LA68)</f>
        <v>#VALUE!</v>
      </c>
      <c r="LB71" s="962" t="e">
        <f>[1]!taqsh(1,1,[1]!roz(LB67+1,LB70,0,0),LB68)</f>
        <v>#VALUE!</v>
      </c>
      <c r="LC71" s="962" t="e">
        <f>[1]!taqsh(1,1,[1]!roz(LC67+1,LC70,0,0),LC68)</f>
        <v>#VALUE!</v>
      </c>
      <c r="LD71" s="962" t="e">
        <f>[1]!taqsh(1,1,[1]!roz(LD67+1,LD70,0,0),LD68)</f>
        <v>#VALUE!</v>
      </c>
      <c r="LE71" s="962" t="e">
        <f>[1]!taqsh(1,1,[1]!roz(LE67+1,LE70,0,0),LE68)</f>
        <v>#VALUE!</v>
      </c>
      <c r="LF71" s="962" t="e">
        <f>[1]!taqsh(1,1,[1]!roz(LF67+1,LF70,0,0),LF68)</f>
        <v>#VALUE!</v>
      </c>
      <c r="LG71" s="962" t="e">
        <f>[1]!taqsh(1,1,[1]!roz(LG67+1,LG70,0,0),LG68)</f>
        <v>#VALUE!</v>
      </c>
      <c r="LH71" s="962" t="e">
        <f>[1]!taqsh(1,1,[1]!roz(LH67+1,LH70,0,0),LH68)</f>
        <v>#VALUE!</v>
      </c>
      <c r="LI71" s="962" t="e">
        <f>[1]!taqsh(1,1,[1]!roz(LI67+1,LI70,0,0),LI68)</f>
        <v>#VALUE!</v>
      </c>
      <c r="LJ71" s="962" t="e">
        <f>[1]!taqsh(1,1,[1]!roz(LJ67+1,LJ70,0,0),LJ68)</f>
        <v>#VALUE!</v>
      </c>
      <c r="LK71" s="962" t="e">
        <f>[1]!taqsh(1,1,[1]!roz(LK67+1,LK70,0,0),LK68)</f>
        <v>#VALUE!</v>
      </c>
      <c r="LL71" s="962" t="e">
        <f>[1]!taqsh(1,1,[1]!roz(LL67+1,LL70,0,0),LL68)</f>
        <v>#VALUE!</v>
      </c>
      <c r="LM71" s="962" t="e">
        <f>[1]!taqsh(1,1,[1]!roz(LM67+1,LM70,0,0),LM68)</f>
        <v>#VALUE!</v>
      </c>
      <c r="LN71" s="962" t="e">
        <f>[1]!taqsh(1,1,[1]!roz(LN67+1,LN70,0,0),LN68)</f>
        <v>#VALUE!</v>
      </c>
      <c r="LO71" s="962" t="e">
        <f>[1]!taqsh(1,1,[1]!roz(LO67+1,LO70,0,0),LO68)</f>
        <v>#VALUE!</v>
      </c>
      <c r="LP71" s="962" t="e">
        <f>[1]!taqsh(1,1,[1]!roz(LP67+1,LP70,0,0),LP68)</f>
        <v>#VALUE!</v>
      </c>
      <c r="LQ71" s="962" t="e">
        <f>[1]!taqsh(1,1,[1]!roz(LQ67+1,LQ70,0,0),LQ68)</f>
        <v>#VALUE!</v>
      </c>
      <c r="LR71" s="962" t="e">
        <f>[1]!taqsh(1,1,[1]!roz(LR67+1,LR70,0,0),LR68)</f>
        <v>#VALUE!</v>
      </c>
      <c r="LS71" s="962" t="e">
        <f>[1]!taqsh(1,1,[1]!roz(LS67+1,LS70,0,0),LS68)</f>
        <v>#VALUE!</v>
      </c>
      <c r="LT71" s="962" t="e">
        <f>[1]!taqsh(1,1,[1]!roz(LT67+1,LT70,0,0),LT68)</f>
        <v>#VALUE!</v>
      </c>
      <c r="LU71" s="962" t="e">
        <f>[1]!taqsh(1,1,[1]!roz(LU67+1,LU70,0,0),LU68)</f>
        <v>#VALUE!</v>
      </c>
      <c r="LV71" s="962" t="e">
        <f>[1]!taqsh(1,1,[1]!roz(LV67+1,LV70,0,0),LV68)</f>
        <v>#VALUE!</v>
      </c>
      <c r="LW71" s="962" t="e">
        <f>[1]!taqsh(1,1,[1]!roz(LW67+1,LW70,0,0),LW68)</f>
        <v>#VALUE!</v>
      </c>
      <c r="LX71" s="962" t="e">
        <f>[1]!taqsh(1,1,[1]!roz(LX67+1,LX70,0,0),LX68)</f>
        <v>#VALUE!</v>
      </c>
      <c r="LY71" s="962" t="e">
        <f>[1]!taqsh(1,1,[1]!roz(LY67+1,LY70,0,0),LY68)</f>
        <v>#VALUE!</v>
      </c>
      <c r="LZ71" s="962" t="e">
        <f>[1]!taqsh(1,1,[1]!roz(LZ67+1,LZ70,0,0),LZ68)</f>
        <v>#VALUE!</v>
      </c>
      <c r="MA71" s="962" t="e">
        <f>[1]!taqsh(1,1,[1]!roz(MA67+1,MA70,0,0),MA68)</f>
        <v>#VALUE!</v>
      </c>
      <c r="MB71" s="962" t="e">
        <f>[1]!taqsh(1,1,[1]!roz(MB67+1,MB70,0,0),MB68)</f>
        <v>#VALUE!</v>
      </c>
      <c r="MC71" s="962" t="e">
        <f>[1]!taqsh(1,1,[1]!roz(MC67+1,MC70,0,0),MC68)</f>
        <v>#VALUE!</v>
      </c>
      <c r="MD71" s="962" t="e">
        <f>[1]!taqsh(1,1,[1]!roz(MD67+1,MD70,0,0),MD68)</f>
        <v>#VALUE!</v>
      </c>
      <c r="ME71" s="962" t="e">
        <f>[1]!taqsh(1,1,[1]!roz(ME67+1,ME70,0,0),ME68)</f>
        <v>#VALUE!</v>
      </c>
      <c r="MF71" s="962" t="e">
        <f>[1]!taqsh(1,1,[1]!roz(MF67+1,MF70,0,0),MF68)</f>
        <v>#VALUE!</v>
      </c>
      <c r="MG71" s="962" t="e">
        <f>[1]!taqsh(1,1,[1]!roz(MG67+1,MG70,0,0),MG68)</f>
        <v>#VALUE!</v>
      </c>
      <c r="MH71" s="962" t="e">
        <f>[1]!taqsh(1,1,[1]!roz(MH67+1,MH70,0,0),MH68)</f>
        <v>#VALUE!</v>
      </c>
      <c r="MI71" s="962" t="e">
        <f>[1]!taqsh(1,1,[1]!roz(MI67+1,MI70,0,0),MI68)</f>
        <v>#VALUE!</v>
      </c>
      <c r="MJ71" s="962" t="e">
        <f>[1]!taqsh(1,1,[1]!roz(MJ67+1,MJ70,0,0),MJ68)</f>
        <v>#VALUE!</v>
      </c>
      <c r="MK71" s="962" t="e">
        <f>[1]!taqsh(1,1,[1]!roz(MK67+1,MK70,0,0),MK68)</f>
        <v>#VALUE!</v>
      </c>
      <c r="ML71" s="962" t="e">
        <f>[1]!taqsh(1,1,[1]!roz(ML67+1,ML70,0,0),ML68)</f>
        <v>#VALUE!</v>
      </c>
      <c r="MM71" s="962" t="e">
        <f>[1]!taqsh(1,1,[1]!roz(MM67+1,MM70,0,0),MM68)</f>
        <v>#VALUE!</v>
      </c>
      <c r="MN71" s="962" t="e">
        <f>[1]!taqsh(1,1,[1]!roz(MN67+1,MN70,0,0),MN68)</f>
        <v>#VALUE!</v>
      </c>
      <c r="MO71" s="962" t="e">
        <f>[1]!taqsh(1,1,[1]!roz(MO67+1,MO70,0,0),MO68)</f>
        <v>#VALUE!</v>
      </c>
      <c r="MP71" s="962" t="e">
        <f>[1]!taqsh(1,1,[1]!roz(MP67+1,MP70,0,0),MP68)</f>
        <v>#VALUE!</v>
      </c>
      <c r="MQ71" s="962" t="e">
        <f>[1]!taqsh(1,1,[1]!roz(MQ67+1,MQ70,0,0),MQ68)</f>
        <v>#VALUE!</v>
      </c>
      <c r="MR71" s="962" t="e">
        <f>[1]!taqsh(1,1,[1]!roz(MR67+1,MR70,0,0),MR68)</f>
        <v>#VALUE!</v>
      </c>
      <c r="MS71" s="962" t="e">
        <f>[1]!taqsh(1,1,[1]!roz(MS67+1,MS70,0,0),MS68)</f>
        <v>#VALUE!</v>
      </c>
      <c r="MT71" s="962" t="e">
        <f>[1]!taqsh(1,1,[1]!roz(MT67+1,MT70,0,0),MT68)</f>
        <v>#VALUE!</v>
      </c>
      <c r="MU71" s="962" t="e">
        <f>[1]!taqsh(1,1,[1]!roz(MU67+1,MU70,0,0),MU68)</f>
        <v>#VALUE!</v>
      </c>
      <c r="MV71" s="962" t="e">
        <f>[1]!taqsh(1,1,[1]!roz(MV67+1,MV70,0,0),MV68)</f>
        <v>#VALUE!</v>
      </c>
      <c r="MW71" s="962" t="e">
        <f>[1]!taqsh(1,1,[1]!roz(MW67+1,MW70,0,0),MW68)</f>
        <v>#VALUE!</v>
      </c>
      <c r="MX71" s="962" t="e">
        <f>[1]!taqsh(1,1,[1]!roz(MX67+1,MX70,0,0),MX68)</f>
        <v>#VALUE!</v>
      </c>
      <c r="MY71" s="962" t="e">
        <f>[1]!taqsh(1,1,[1]!roz(MY67+1,MY70,0,0),MY68)</f>
        <v>#VALUE!</v>
      </c>
      <c r="MZ71" s="962" t="e">
        <f>[1]!taqsh(1,1,[1]!roz(MZ67+1,MZ70,0,0),MZ68)</f>
        <v>#VALUE!</v>
      </c>
      <c r="NA71" s="962" t="e">
        <f>[1]!taqsh(1,1,[1]!roz(NA67+1,NA70,0,0),NA68)</f>
        <v>#VALUE!</v>
      </c>
      <c r="NB71" s="962" t="e">
        <f>[1]!taqsh(1,1,[1]!roz(NB67+1,NB70,0,0),NB68)</f>
        <v>#VALUE!</v>
      </c>
      <c r="NC71" s="962" t="e">
        <f>[1]!taqsh(1,1,[1]!roz(NC67+1,NC70,0,0),NC68)</f>
        <v>#VALUE!</v>
      </c>
      <c r="ND71" s="962" t="e">
        <f>[1]!taqsh(1,1,[1]!roz(ND67+1,ND70,0,0),ND68)</f>
        <v>#VALUE!</v>
      </c>
      <c r="NE71" s="962" t="e">
        <f>[1]!taqsh(1,1,[1]!roz(NE67+1,NE70,0,0),NE68)</f>
        <v>#VALUE!</v>
      </c>
      <c r="NF71" s="962" t="e">
        <f>[1]!taqsh(1,1,[1]!roz(NF67+1,NF70,0,0),NF68)</f>
        <v>#VALUE!</v>
      </c>
      <c r="NG71" s="962" t="e">
        <f>[1]!taqsh(1,1,[1]!roz(NG67+1,NG70,0,0),NG68)</f>
        <v>#VALUE!</v>
      </c>
      <c r="NH71" s="962" t="e">
        <f>[1]!taqsh(1,1,[1]!roz(NH67+1,NH70,0,0),NH68)</f>
        <v>#VALUE!</v>
      </c>
      <c r="NI71" s="962" t="e">
        <f>[1]!taqsh(1,1,[1]!roz(NI67+1,NI70,0,0),NI68)</f>
        <v>#VALUE!</v>
      </c>
      <c r="NJ71" s="962" t="e">
        <f>[1]!taqsh(1,1,[1]!roz(NJ67+1,NJ70,0,0),NJ68)</f>
        <v>#VALUE!</v>
      </c>
      <c r="NK71" s="962" t="e">
        <f>[1]!taqsh(1,1,[1]!roz(NK67+1,NK70,0,0),NK68)</f>
        <v>#VALUE!</v>
      </c>
      <c r="NL71" s="962" t="e">
        <f>[1]!taqsh(1,1,[1]!roz(NL67+1,NL70,0,0),NL68)</f>
        <v>#VALUE!</v>
      </c>
      <c r="NM71" s="962" t="e">
        <f>[1]!taqsh(1,1,[1]!roz(NM67+1,NM70,0,0),NM68)</f>
        <v>#VALUE!</v>
      </c>
      <c r="NN71" s="962" t="e">
        <f>[1]!taqsh(1,1,[1]!roz(NN67+1,NN70,0,0),NN68)</f>
        <v>#VALUE!</v>
      </c>
      <c r="NO71" s="962" t="e">
        <f>[1]!taqsh(1,1,[1]!roz(NO67+1,NO70,0,0),NO68)</f>
        <v>#VALUE!</v>
      </c>
      <c r="NP71" s="962" t="e">
        <f>[1]!taqsh(1,1,[1]!roz(NP67+1,NP70,0,0),NP68)</f>
        <v>#VALUE!</v>
      </c>
      <c r="NQ71" s="962" t="e">
        <f>[1]!taqsh(1,1,[1]!roz(NQ67+1,NQ70,0,0),NQ68)</f>
        <v>#VALUE!</v>
      </c>
      <c r="NR71" s="962" t="e">
        <f>[1]!taqsh(1,1,[1]!roz(NR67+1,NR70,0,0),NR68)</f>
        <v>#VALUE!</v>
      </c>
      <c r="NS71" s="962" t="e">
        <f>[1]!taqsh(1,1,[1]!roz(NS67+1,NS70,0,0),NS68)</f>
        <v>#VALUE!</v>
      </c>
      <c r="NT71" s="962" t="e">
        <f>[1]!taqsh(1,1,[1]!roz(NT67+1,NT70,0,0),NT68)</f>
        <v>#VALUE!</v>
      </c>
      <c r="NU71" s="962" t="e">
        <f>[1]!taqsh(1,1,[1]!roz(NU67+1,NU70,0,0),NU68)</f>
        <v>#VALUE!</v>
      </c>
      <c r="NV71" s="962" t="e">
        <f>[1]!taqsh(1,1,[1]!roz(NV67+1,NV70,0,0),NV68)</f>
        <v>#VALUE!</v>
      </c>
      <c r="NW71" s="962" t="e">
        <f>[1]!taqsh(1,1,[1]!roz(NW67+1,NW70,0,0),NW68)</f>
        <v>#VALUE!</v>
      </c>
      <c r="NX71" s="962" t="e">
        <f>[1]!taqsh(1,1,[1]!roz(NX67+1,NX70,0,0),NX68)</f>
        <v>#VALUE!</v>
      </c>
      <c r="NY71" s="962" t="e">
        <f>[1]!taqsh(1,1,[1]!roz(NY67+1,NY70,0,0),NY68)</f>
        <v>#VALUE!</v>
      </c>
      <c r="NZ71" s="962" t="e">
        <f>[1]!taqsh(1,1,[1]!roz(NZ67+1,NZ70,0,0),NZ68)</f>
        <v>#VALUE!</v>
      </c>
      <c r="OA71" s="962" t="e">
        <f>[1]!taqsh(1,1,[1]!roz(OA67+1,OA70,0,0),OA68)</f>
        <v>#VALUE!</v>
      </c>
      <c r="OB71" s="962" t="e">
        <f>[1]!taqsh(1,1,[1]!roz(OB67+1,OB70,0,0),OB68)</f>
        <v>#VALUE!</v>
      </c>
      <c r="OC71" s="962" t="e">
        <f>[1]!taqsh(1,1,[1]!roz(OC67+1,OC70,0,0),OC68)</f>
        <v>#VALUE!</v>
      </c>
      <c r="OD71" s="962" t="e">
        <f>[1]!taqsh(1,1,[1]!roz(OD67+1,OD70,0,0),OD68)</f>
        <v>#VALUE!</v>
      </c>
      <c r="OE71" s="962" t="e">
        <f>[1]!taqsh(1,1,[1]!roz(OE67+1,OE70,0,0),OE68)</f>
        <v>#VALUE!</v>
      </c>
      <c r="OF71" s="962" t="e">
        <f>[1]!taqsh(1,1,[1]!roz(OF67+1,OF70,0,0),OF68)</f>
        <v>#VALUE!</v>
      </c>
      <c r="OG71" s="962" t="e">
        <f>[1]!taqsh(1,1,[1]!roz(OG67+1,OG70,0,0),OG68)</f>
        <v>#VALUE!</v>
      </c>
      <c r="OH71" s="962" t="e">
        <f>[1]!taqsh(1,1,[1]!roz(OH67+1,OH70,0,0),OH68)</f>
        <v>#VALUE!</v>
      </c>
      <c r="OI71" s="962" t="e">
        <f>[1]!taqsh(1,1,[1]!roz(OI67+1,OI70,0,0),OI68)</f>
        <v>#VALUE!</v>
      </c>
      <c r="OJ71" s="962" t="e">
        <f>[1]!taqsh(1,1,[1]!roz(OJ67+1,OJ70,0,0),OJ68)</f>
        <v>#VALUE!</v>
      </c>
      <c r="OK71" s="962" t="e">
        <f>[1]!taqsh(1,1,[1]!roz(OK67+1,OK70,0,0),OK68)</f>
        <v>#VALUE!</v>
      </c>
      <c r="OL71" s="962" t="e">
        <f>[1]!taqsh(1,1,[1]!roz(OL67+1,OL70,0,0),OL68)</f>
        <v>#VALUE!</v>
      </c>
      <c r="OM71" s="962" t="e">
        <f>[1]!taqsh(1,1,[1]!roz(OM67+1,OM70,0,0),OM68)</f>
        <v>#VALUE!</v>
      </c>
      <c r="ON71" s="962" t="e">
        <f>[1]!taqsh(1,1,[1]!roz(ON67+1,ON70,0,0),ON68)</f>
        <v>#VALUE!</v>
      </c>
      <c r="OO71" s="962" t="e">
        <f>[1]!taqsh(1,1,[1]!roz(OO67+1,OO70,0,0),OO68)</f>
        <v>#VALUE!</v>
      </c>
      <c r="OP71" s="962" t="e">
        <f>[1]!taqsh(1,1,[1]!roz(OP67+1,OP70,0,0),OP68)</f>
        <v>#VALUE!</v>
      </c>
      <c r="OQ71" s="962" t="e">
        <f>[1]!taqsh(1,1,[1]!roz(OQ67+1,OQ70,0,0),OQ68)</f>
        <v>#VALUE!</v>
      </c>
      <c r="OR71" s="962" t="e">
        <f>[1]!taqsh(1,1,[1]!roz(OR67+1,OR70,0,0),OR68)</f>
        <v>#VALUE!</v>
      </c>
      <c r="OS71" s="962" t="e">
        <f>[1]!taqsh(1,1,[1]!roz(OS67+1,OS70,0,0),OS68)</f>
        <v>#VALUE!</v>
      </c>
      <c r="OT71" s="962" t="e">
        <f>[1]!taqsh(1,1,[1]!roz(OT67+1,OT70,0,0),OT68)</f>
        <v>#VALUE!</v>
      </c>
      <c r="OU71" s="962" t="e">
        <f>[1]!taqsh(1,1,[1]!roz(OU67+1,OU70,0,0),OU68)</f>
        <v>#VALUE!</v>
      </c>
      <c r="OV71" s="962" t="e">
        <f>[1]!taqsh(1,1,[1]!roz(OV67+1,OV70,0,0),OV68)</f>
        <v>#VALUE!</v>
      </c>
      <c r="OW71" s="962" t="e">
        <f>[1]!taqsh(1,1,[1]!roz(OW67+1,OW70,0,0),OW68)</f>
        <v>#VALUE!</v>
      </c>
      <c r="OX71" s="962" t="e">
        <f>[1]!taqsh(1,1,[1]!roz(OX67+1,OX70,0,0),OX68)</f>
        <v>#VALUE!</v>
      </c>
      <c r="OY71" s="962" t="e">
        <f>[1]!taqsh(1,1,[1]!roz(OY67+1,OY70,0,0),OY68)</f>
        <v>#VALUE!</v>
      </c>
      <c r="OZ71" s="962" t="e">
        <f>[1]!taqsh(1,1,[1]!roz(OZ67+1,OZ70,0,0),OZ68)</f>
        <v>#VALUE!</v>
      </c>
      <c r="PA71" s="962" t="e">
        <f>[1]!taqsh(1,1,[1]!roz(PA67+1,PA70,0,0),PA68)</f>
        <v>#VALUE!</v>
      </c>
      <c r="PB71" s="962" t="e">
        <f>[1]!taqsh(1,1,[1]!roz(PB67+1,PB70,0,0),PB68)</f>
        <v>#VALUE!</v>
      </c>
      <c r="PC71" s="962" t="e">
        <f>[1]!taqsh(1,1,[1]!roz(PC67+1,PC70,0,0),PC68)</f>
        <v>#VALUE!</v>
      </c>
      <c r="PD71" s="962" t="e">
        <f>[1]!taqsh(1,1,[1]!roz(PD67+1,PD70,0,0),PD68)</f>
        <v>#VALUE!</v>
      </c>
      <c r="PE71" s="962" t="e">
        <f>[1]!taqsh(1,1,[1]!roz(PE67+1,PE70,0,0),PE68)</f>
        <v>#VALUE!</v>
      </c>
      <c r="PF71" s="962" t="e">
        <f>[1]!taqsh(1,1,[1]!roz(PF67+1,PF70,0,0),PF68)</f>
        <v>#VALUE!</v>
      </c>
      <c r="PG71" s="962" t="e">
        <f>[1]!taqsh(1,1,[1]!roz(PG67+1,PG70,0,0),PG68)</f>
        <v>#VALUE!</v>
      </c>
      <c r="PH71" s="962" t="e">
        <f>[1]!taqsh(1,1,[1]!roz(PH67+1,PH70,0,0),PH68)</f>
        <v>#VALUE!</v>
      </c>
      <c r="PI71" s="962" t="e">
        <f>[1]!taqsh(1,1,[1]!roz(PI67+1,PI70,0,0),PI68)</f>
        <v>#VALUE!</v>
      </c>
      <c r="PJ71" s="962" t="e">
        <f>[1]!taqsh(1,1,[1]!roz(PJ67+1,PJ70,0,0),PJ68)</f>
        <v>#VALUE!</v>
      </c>
      <c r="PK71" s="962" t="e">
        <f>[1]!taqsh(1,1,[1]!roz(PK67+1,PK70,0,0),PK68)</f>
        <v>#VALUE!</v>
      </c>
      <c r="PL71" s="962" t="e">
        <f>[1]!taqsh(1,1,[1]!roz(PL67+1,PL70,0,0),PL68)</f>
        <v>#VALUE!</v>
      </c>
      <c r="PM71" s="962" t="e">
        <f>[1]!taqsh(1,1,[1]!roz(PM67+1,PM70,0,0),PM68)</f>
        <v>#VALUE!</v>
      </c>
      <c r="PN71" s="962" t="e">
        <f>[1]!taqsh(1,1,[1]!roz(PN67+1,PN70,0,0),PN68)</f>
        <v>#VALUE!</v>
      </c>
      <c r="PO71" s="962" t="e">
        <f>[1]!taqsh(1,1,[1]!roz(PO67+1,PO70,0,0),PO68)</f>
        <v>#VALUE!</v>
      </c>
      <c r="PP71" s="962" t="e">
        <f>[1]!taqsh(1,1,[1]!roz(PP67+1,PP70,0,0),PP68)</f>
        <v>#VALUE!</v>
      </c>
      <c r="PQ71" s="962" t="e">
        <f>[1]!taqsh(1,1,[1]!roz(PQ67+1,PQ70,0,0),PQ68)</f>
        <v>#VALUE!</v>
      </c>
      <c r="PR71" s="962" t="e">
        <f>[1]!taqsh(1,1,[1]!roz(PR67+1,PR70,0,0),PR68)</f>
        <v>#VALUE!</v>
      </c>
      <c r="PS71" s="962" t="e">
        <f>[1]!taqsh(1,1,[1]!roz(PS67+1,PS70,0,0),PS68)</f>
        <v>#VALUE!</v>
      </c>
      <c r="PT71" s="962" t="e">
        <f>[1]!taqsh(1,1,[1]!roz(PT67+1,PT70,0,0),PT68)</f>
        <v>#VALUE!</v>
      </c>
      <c r="PU71" s="962" t="e">
        <f>[1]!taqsh(1,1,[1]!roz(PU67+1,PU70,0,0),PU68)</f>
        <v>#VALUE!</v>
      </c>
      <c r="PV71" s="962" t="e">
        <f>[1]!taqsh(1,1,[1]!roz(PV67+1,PV70,0,0),PV68)</f>
        <v>#VALUE!</v>
      </c>
      <c r="PW71" s="962" t="e">
        <f>[1]!taqsh(1,1,[1]!roz(PW67+1,PW70,0,0),PW68)</f>
        <v>#VALUE!</v>
      </c>
      <c r="PX71" s="962" t="e">
        <f>[1]!taqsh(1,1,[1]!roz(PX67+1,PX70,0,0),PX68)</f>
        <v>#VALUE!</v>
      </c>
      <c r="PY71" s="962" t="e">
        <f>[1]!taqsh(1,1,[1]!roz(PY67+1,PY70,0,0),PY68)</f>
        <v>#VALUE!</v>
      </c>
      <c r="PZ71" s="962" t="e">
        <f>[1]!taqsh(1,1,[1]!roz(PZ67+1,PZ70,0,0),PZ68)</f>
        <v>#VALUE!</v>
      </c>
      <c r="QA71" s="962" t="e">
        <f>[1]!taqsh(1,1,[1]!roz(QA67+1,QA70,0,0),QA68)</f>
        <v>#VALUE!</v>
      </c>
      <c r="QB71" s="962" t="e">
        <f>[1]!taqsh(1,1,[1]!roz(QB67+1,QB70,0,0),QB68)</f>
        <v>#VALUE!</v>
      </c>
      <c r="QC71" s="962" t="e">
        <f>[1]!taqsh(1,1,[1]!roz(QC67+1,QC70,0,0),QC68)</f>
        <v>#VALUE!</v>
      </c>
      <c r="QD71" s="962" t="e">
        <f>[1]!taqsh(1,1,[1]!roz(QD67+1,QD70,0,0),QD68)</f>
        <v>#VALUE!</v>
      </c>
      <c r="QE71" s="962" t="e">
        <f>[1]!taqsh(1,1,[1]!roz(QE67+1,QE70,0,0),QE68)</f>
        <v>#VALUE!</v>
      </c>
      <c r="QF71" s="962" t="e">
        <f>[1]!taqsh(1,1,[1]!roz(QF67+1,QF70,0,0),QF68)</f>
        <v>#VALUE!</v>
      </c>
      <c r="QG71" s="962" t="e">
        <f>[1]!taqsh(1,1,[1]!roz(QG67+1,QG70,0,0),QG68)</f>
        <v>#VALUE!</v>
      </c>
      <c r="QH71" s="962" t="e">
        <f>[1]!taqsh(1,1,[1]!roz(QH67+1,QH70,0,0),QH68)</f>
        <v>#VALUE!</v>
      </c>
      <c r="QI71" s="962" t="e">
        <f>[1]!taqsh(1,1,[1]!roz(QI67+1,QI70,0,0),QI68)</f>
        <v>#VALUE!</v>
      </c>
      <c r="QJ71" s="962" t="e">
        <f>[1]!taqsh(1,1,[1]!roz(QJ67+1,QJ70,0,0),QJ68)</f>
        <v>#VALUE!</v>
      </c>
      <c r="QK71" s="962" t="e">
        <f>[1]!taqsh(1,1,[1]!roz(QK67+1,QK70,0,0),QK68)</f>
        <v>#VALUE!</v>
      </c>
      <c r="QL71" s="962" t="e">
        <f>[1]!taqsh(1,1,[1]!roz(QL67+1,QL70,0,0),QL68)</f>
        <v>#VALUE!</v>
      </c>
      <c r="QM71" s="962" t="e">
        <f>[1]!taqsh(1,1,[1]!roz(QM67+1,QM70,0,0),QM68)</f>
        <v>#VALUE!</v>
      </c>
      <c r="QN71" s="962" t="e">
        <f>[1]!taqsh(1,1,[1]!roz(QN67+1,QN70,0,0),QN68)</f>
        <v>#VALUE!</v>
      </c>
      <c r="QO71" s="962" t="e">
        <f>[1]!taqsh(1,1,[1]!roz(QO67+1,QO70,0,0),QO68)</f>
        <v>#VALUE!</v>
      </c>
      <c r="QP71" s="962" t="e">
        <f>[1]!taqsh(1,1,[1]!roz(QP67+1,QP70,0,0),QP68)</f>
        <v>#VALUE!</v>
      </c>
      <c r="QQ71" s="962" t="e">
        <f>[1]!taqsh(1,1,[1]!roz(QQ67+1,QQ70,0,0),QQ68)</f>
        <v>#VALUE!</v>
      </c>
      <c r="QR71" s="962" t="e">
        <f>[1]!taqsh(1,1,[1]!roz(QR67+1,QR70,0,0),QR68)</f>
        <v>#VALUE!</v>
      </c>
      <c r="QS71" s="962" t="e">
        <f>[1]!taqsh(1,1,[1]!roz(QS67+1,QS70,0,0),QS68)</f>
        <v>#VALUE!</v>
      </c>
      <c r="QT71" s="962" t="e">
        <f>[1]!taqsh(1,1,[1]!roz(QT67+1,QT70,0,0),QT68)</f>
        <v>#VALUE!</v>
      </c>
      <c r="QU71" s="962" t="e">
        <f>[1]!taqsh(1,1,[1]!roz(QU67+1,QU70,0,0),QU68)</f>
        <v>#VALUE!</v>
      </c>
      <c r="QV71" s="962" t="e">
        <f>[1]!taqsh(1,1,[1]!roz(QV67+1,QV70,0,0),QV68)</f>
        <v>#VALUE!</v>
      </c>
      <c r="QW71" s="962" t="e">
        <f>[1]!taqsh(1,1,[1]!roz(QW67+1,QW70,0,0),QW68)</f>
        <v>#VALUE!</v>
      </c>
      <c r="QX71" s="962" t="e">
        <f>[1]!taqsh(1,1,[1]!roz(QX67+1,QX70,0,0),QX68)</f>
        <v>#VALUE!</v>
      </c>
      <c r="QY71" s="962" t="e">
        <f>[1]!taqsh(1,1,[1]!roz(QY67+1,QY70,0,0),QY68)</f>
        <v>#VALUE!</v>
      </c>
      <c r="QZ71" s="962" t="e">
        <f>[1]!taqsh(1,1,[1]!roz(QZ67+1,QZ70,0,0),QZ68)</f>
        <v>#VALUE!</v>
      </c>
      <c r="RA71" s="963" t="e">
        <f>[1]!taqsh(1,1,[1]!roz(RA67+1,RA70,0,0),RA68)</f>
        <v>#VALUE!</v>
      </c>
      <c r="RC71" s="797"/>
    </row>
    <row r="72" spans="2:471" ht="17.25">
      <c r="B72" s="2">
        <v>4</v>
      </c>
      <c r="C72" s="2" t="s">
        <v>15</v>
      </c>
      <c r="D72" s="2"/>
      <c r="E72" s="2" t="s">
        <v>1</v>
      </c>
      <c r="F72" s="2"/>
      <c r="G72" s="2"/>
      <c r="H72" s="2"/>
      <c r="I72" s="2"/>
      <c r="J72" s="2"/>
      <c r="K72" s="2"/>
      <c r="L72" s="2"/>
      <c r="M72" s="2"/>
      <c r="N72" s="2"/>
      <c r="O72" s="2"/>
      <c r="P72" s="2"/>
      <c r="Q72" s="2" t="s">
        <v>32</v>
      </c>
      <c r="R72" s="2" t="s">
        <v>33</v>
      </c>
      <c r="S72" s="2" t="s">
        <v>34</v>
      </c>
      <c r="T72" s="2" t="s">
        <v>35</v>
      </c>
      <c r="U72" s="2" t="s">
        <v>36</v>
      </c>
      <c r="V72" s="2" t="s">
        <v>37</v>
      </c>
      <c r="W72" s="2" t="s">
        <v>38</v>
      </c>
      <c r="X72" s="2" t="s">
        <v>43</v>
      </c>
      <c r="Y72" s="2" t="s">
        <v>42</v>
      </c>
      <c r="Z72" s="2" t="s">
        <v>39</v>
      </c>
      <c r="AA72" s="2" t="s">
        <v>40</v>
      </c>
      <c r="AB72" s="2" t="s">
        <v>41</v>
      </c>
      <c r="AC72" s="2"/>
      <c r="DH72" s="797"/>
      <c r="DI72" s="797" t="s">
        <v>698</v>
      </c>
      <c r="DJ72" s="961" t="e">
        <f>[1]!taqq(1,1,[1]!roz(DJ67+1,DJ70,0,0),DJ68)</f>
        <v>#VALUE!</v>
      </c>
      <c r="DK72" s="962" t="e">
        <f>[1]!taqq(1,1,[1]!roz(DK67+1,DK70,0,0),DK68)</f>
        <v>#VALUE!</v>
      </c>
      <c r="DL72" s="962" t="e">
        <f>[1]!taqq(1,1,[1]!roz(DL67+1,DL70,0,0),DL68)</f>
        <v>#VALUE!</v>
      </c>
      <c r="DM72" s="962" t="e">
        <f>[1]!taqq(1,1,[1]!roz(DM67+1,DM70,0,0),DM68)</f>
        <v>#VALUE!</v>
      </c>
      <c r="DN72" s="962" t="e">
        <f>[1]!taqq(1,1,[1]!roz(DN67+1,DN70,0,0),DN68)</f>
        <v>#VALUE!</v>
      </c>
      <c r="DO72" s="962" t="e">
        <f>[1]!taqq(1,1,[1]!roz(DO67+1,DO70,0,0),DO68)</f>
        <v>#VALUE!</v>
      </c>
      <c r="DP72" s="962" t="e">
        <f>[1]!taqq(1,1,[1]!roz(DP67+1,DP70,0,0),DP68)</f>
        <v>#VALUE!</v>
      </c>
      <c r="DQ72" s="962" t="e">
        <f>[1]!taqq(1,1,[1]!roz(DQ67+1,DQ70,0,0),DQ68)</f>
        <v>#VALUE!</v>
      </c>
      <c r="DR72" s="962" t="e">
        <f>[1]!taqq(1,1,[1]!roz(DR67+1,DR70,0,0),DR68)</f>
        <v>#VALUE!</v>
      </c>
      <c r="DS72" s="962" t="e">
        <f>[1]!taqq(1,1,[1]!roz(DS67+1,DS70,0,0),DS68)</f>
        <v>#VALUE!</v>
      </c>
      <c r="DT72" s="962" t="e">
        <f>[1]!taqq(1,1,[1]!roz(DT67+1,DT70,0,0),DT68)</f>
        <v>#VALUE!</v>
      </c>
      <c r="DU72" s="962" t="e">
        <f>[1]!taqq(1,1,[1]!roz(DU67+1,DU70,0,0),DU68)</f>
        <v>#VALUE!</v>
      </c>
      <c r="DV72" s="962" t="e">
        <f>[1]!taqq(1,1,[1]!roz(DV67+1,DV70,0,0),DV68)</f>
        <v>#VALUE!</v>
      </c>
      <c r="DW72" s="962" t="e">
        <f>[1]!taqq(1,1,[1]!roz(DW67+1,DW70,0,0),DW68)</f>
        <v>#VALUE!</v>
      </c>
      <c r="DX72" s="962" t="e">
        <f>[1]!taqq(1,1,[1]!roz(DX67+1,DX70,0,0),DX68)</f>
        <v>#VALUE!</v>
      </c>
      <c r="DY72" s="962" t="e">
        <f>[1]!taqq(1,1,[1]!roz(DY67+1,DY70,0,0),DY68)</f>
        <v>#VALUE!</v>
      </c>
      <c r="DZ72" s="962" t="e">
        <f>[1]!taqq(1,1,[1]!roz(DZ67+1,DZ70,0,0),DZ68)</f>
        <v>#VALUE!</v>
      </c>
      <c r="EA72" s="962" t="e">
        <f>[1]!taqq(1,1,[1]!roz(EA67+1,EA70,0,0),EA68)</f>
        <v>#VALUE!</v>
      </c>
      <c r="EB72" s="962" t="e">
        <f>[1]!taqq(1,1,[1]!roz(EB67+1,EB70,0,0),EB68)</f>
        <v>#VALUE!</v>
      </c>
      <c r="EC72" s="962" t="e">
        <f>[1]!taqq(1,1,[1]!roz(EC67+1,EC70,0,0),EC68)</f>
        <v>#VALUE!</v>
      </c>
      <c r="ED72" s="962" t="e">
        <f>[1]!taqq(1,1,[1]!roz(ED67+1,ED70,0,0),ED68)</f>
        <v>#VALUE!</v>
      </c>
      <c r="EE72" s="962" t="e">
        <f>[1]!taqq(1,1,[1]!roz(EE67+1,EE70,0,0),EE68)</f>
        <v>#VALUE!</v>
      </c>
      <c r="EF72" s="962" t="e">
        <f>[1]!taqq(1,1,[1]!roz(EF67+1,EF70,0,0),EF68)</f>
        <v>#VALUE!</v>
      </c>
      <c r="EG72" s="962" t="e">
        <f>[1]!taqq(1,1,[1]!roz(EG67+1,EG70,0,0),EG68)</f>
        <v>#VALUE!</v>
      </c>
      <c r="EH72" s="962" t="e">
        <f>[1]!taqq(1,1,[1]!roz(EH67+1,EH70,0,0),EH68)</f>
        <v>#VALUE!</v>
      </c>
      <c r="EI72" s="962" t="e">
        <f>[1]!taqq(1,1,[1]!roz(EI67+1,EI70,0,0),EI68)</f>
        <v>#VALUE!</v>
      </c>
      <c r="EJ72" s="962" t="e">
        <f>[1]!taqq(1,1,[1]!roz(EJ67+1,EJ70,0,0),EJ68)</f>
        <v>#VALUE!</v>
      </c>
      <c r="EK72" s="962" t="e">
        <f>[1]!taqq(1,1,[1]!roz(EK67+1,EK70,0,0),EK68)</f>
        <v>#VALUE!</v>
      </c>
      <c r="EL72" s="962" t="e">
        <f>[1]!taqq(1,1,[1]!roz(EL67+1,EL70,0,0),EL68)</f>
        <v>#VALUE!</v>
      </c>
      <c r="EM72" s="962" t="e">
        <f>[1]!taqq(1,1,[1]!roz(EM67+1,EM70,0,0),EM68)</f>
        <v>#VALUE!</v>
      </c>
      <c r="EN72" s="962" t="e">
        <f>[1]!taqq(1,1,[1]!roz(EN67+1,EN70,0,0),EN68)</f>
        <v>#VALUE!</v>
      </c>
      <c r="EO72" s="962" t="e">
        <f>[1]!taqq(1,1,[1]!roz(EO67+1,EO70,0,0),EO68)</f>
        <v>#VALUE!</v>
      </c>
      <c r="EP72" s="962" t="e">
        <f>[1]!taqq(1,1,[1]!roz(EP67+1,EP70,0,0),EP68)</f>
        <v>#VALUE!</v>
      </c>
      <c r="EQ72" s="962" t="e">
        <f>[1]!taqq(1,1,[1]!roz(EQ67+1,EQ70,0,0),EQ68)</f>
        <v>#VALUE!</v>
      </c>
      <c r="ER72" s="962" t="e">
        <f>[1]!taqq(1,1,[1]!roz(ER67+1,ER70,0,0),ER68)</f>
        <v>#VALUE!</v>
      </c>
      <c r="ES72" s="962" t="e">
        <f>[1]!taqq(1,1,[1]!roz(ES67+1,ES70,0,0),ES68)</f>
        <v>#VALUE!</v>
      </c>
      <c r="ET72" s="962" t="e">
        <f>[1]!taqq(1,1,[1]!roz(ET67+1,ET70,0,0),ET68)</f>
        <v>#VALUE!</v>
      </c>
      <c r="EU72" s="962" t="e">
        <f>[1]!taqq(1,1,[1]!roz(EU67+1,EU70,0,0),EU68)</f>
        <v>#VALUE!</v>
      </c>
      <c r="EV72" s="962" t="e">
        <f>[1]!taqq(1,1,[1]!roz(EV67+1,EV70,0,0),EV68)</f>
        <v>#VALUE!</v>
      </c>
      <c r="EW72" s="962" t="e">
        <f>[1]!taqq(1,1,[1]!roz(EW67+1,EW70,0,0),EW68)</f>
        <v>#VALUE!</v>
      </c>
      <c r="EX72" s="962" t="e">
        <f>[1]!taqq(1,1,[1]!roz(EX67+1,EX70,0,0),EX68)</f>
        <v>#VALUE!</v>
      </c>
      <c r="EY72" s="962" t="e">
        <f>[1]!taqq(1,1,[1]!roz(EY67+1,EY70,0,0),EY68)</f>
        <v>#VALUE!</v>
      </c>
      <c r="EZ72" s="962" t="e">
        <f>[1]!taqq(1,1,[1]!roz(EZ67+1,EZ70,0,0),EZ68)</f>
        <v>#VALUE!</v>
      </c>
      <c r="FA72" s="962" t="e">
        <f>[1]!taqq(1,1,[1]!roz(FA67+1,FA70,0,0),FA68)</f>
        <v>#VALUE!</v>
      </c>
      <c r="FB72" s="962" t="e">
        <f>[1]!taqq(1,1,[1]!roz(FB67+1,FB70,0,0),FB68)</f>
        <v>#VALUE!</v>
      </c>
      <c r="FC72" s="962" t="e">
        <f>[1]!taqq(1,1,[1]!roz(FC67+1,FC70,0,0),FC68)</f>
        <v>#VALUE!</v>
      </c>
      <c r="FD72" s="962" t="e">
        <f>[1]!taqq(1,1,[1]!roz(FD67+1,FD70,0,0),FD68)</f>
        <v>#VALUE!</v>
      </c>
      <c r="FE72" s="962" t="e">
        <f>[1]!taqq(1,1,[1]!roz(FE67+1,FE70,0,0),FE68)</f>
        <v>#VALUE!</v>
      </c>
      <c r="FF72" s="962" t="e">
        <f>[1]!taqq(1,1,[1]!roz(FF67+1,FF70,0,0),FF68)</f>
        <v>#VALUE!</v>
      </c>
      <c r="FG72" s="962" t="e">
        <f>[1]!taqq(1,1,[1]!roz(FG67+1,FG70,0,0),FG68)</f>
        <v>#VALUE!</v>
      </c>
      <c r="FH72" s="962" t="e">
        <f>[1]!taqq(1,1,[1]!roz(FH67+1,FH70,0,0),FH68)</f>
        <v>#VALUE!</v>
      </c>
      <c r="FI72" s="962" t="e">
        <f>[1]!taqq(1,1,[1]!roz(FI67+1,FI70,0,0),FI68)</f>
        <v>#VALUE!</v>
      </c>
      <c r="FJ72" s="962" t="e">
        <f>[1]!taqq(1,1,[1]!roz(FJ67+1,FJ70,0,0),FJ68)</f>
        <v>#VALUE!</v>
      </c>
      <c r="FK72" s="962" t="e">
        <f>[1]!taqq(1,1,[1]!roz(FK67+1,FK70,0,0),FK68)</f>
        <v>#VALUE!</v>
      </c>
      <c r="FL72" s="962" t="e">
        <f>[1]!taqq(1,1,[1]!roz(FL67+1,FL70,0,0),FL68)</f>
        <v>#VALUE!</v>
      </c>
      <c r="FM72" s="962" t="e">
        <f>[1]!taqq(1,1,[1]!roz(FM67+1,FM70,0,0),FM68)</f>
        <v>#VALUE!</v>
      </c>
      <c r="FN72" s="962" t="e">
        <f>[1]!taqq(1,1,[1]!roz(FN67+1,FN70,0,0),FN68)</f>
        <v>#VALUE!</v>
      </c>
      <c r="FO72" s="962" t="e">
        <f>[1]!taqq(1,1,[1]!roz(FO67+1,FO70,0,0),FO68)</f>
        <v>#VALUE!</v>
      </c>
      <c r="FP72" s="962" t="e">
        <f>[1]!taqq(1,1,[1]!roz(FP67+1,FP70,0,0),FP68)</f>
        <v>#VALUE!</v>
      </c>
      <c r="FQ72" s="962" t="e">
        <f>[1]!taqq(1,1,[1]!roz(FQ67+1,FQ70,0,0),FQ68)</f>
        <v>#VALUE!</v>
      </c>
      <c r="FR72" s="962" t="e">
        <f>[1]!taqq(1,1,[1]!roz(FR67+1,FR70,0,0),FR68)</f>
        <v>#VALUE!</v>
      </c>
      <c r="FS72" s="962" t="e">
        <f>[1]!taqq(1,1,[1]!roz(FS67+1,FS70,0,0),FS68)</f>
        <v>#VALUE!</v>
      </c>
      <c r="FT72" s="962" t="e">
        <f>[1]!taqq(1,1,[1]!roz(FT67+1,FT70,0,0),FT68)</f>
        <v>#VALUE!</v>
      </c>
      <c r="FU72" s="962" t="e">
        <f>[1]!taqq(1,1,[1]!roz(FU67+1,FU70,0,0),FU68)</f>
        <v>#VALUE!</v>
      </c>
      <c r="FV72" s="962" t="e">
        <f>[1]!taqq(1,1,[1]!roz(FV67+1,FV70,0,0),FV68)</f>
        <v>#VALUE!</v>
      </c>
      <c r="FW72" s="962" t="e">
        <f>[1]!taqq(1,1,[1]!roz(FW67+1,FW70,0,0),FW68)</f>
        <v>#VALUE!</v>
      </c>
      <c r="FX72" s="962" t="e">
        <f>[1]!taqq(1,1,[1]!roz(FX67+1,FX70,0,0),FX68)</f>
        <v>#VALUE!</v>
      </c>
      <c r="FY72" s="962" t="e">
        <f>[1]!taqq(1,1,[1]!roz(FY67+1,FY70,0,0),FY68)</f>
        <v>#VALUE!</v>
      </c>
      <c r="FZ72" s="962" t="e">
        <f>[1]!taqq(1,1,[1]!roz(FZ67+1,FZ70,0,0),FZ68)</f>
        <v>#VALUE!</v>
      </c>
      <c r="GA72" s="962" t="e">
        <f>[1]!taqq(1,1,[1]!roz(GA67+1,GA70,0,0),GA68)</f>
        <v>#VALUE!</v>
      </c>
      <c r="GB72" s="962" t="e">
        <f>[1]!taqq(1,1,[1]!roz(GB67+1,GB70,0,0),GB68)</f>
        <v>#VALUE!</v>
      </c>
      <c r="GC72" s="962" t="e">
        <f>[1]!taqq(1,1,[1]!roz(GC67+1,GC70,0,0),GC68)</f>
        <v>#VALUE!</v>
      </c>
      <c r="GD72" s="962" t="e">
        <f>[1]!taqq(1,1,[1]!roz(GD67+1,GD70,0,0),GD68)</f>
        <v>#VALUE!</v>
      </c>
      <c r="GE72" s="962" t="e">
        <f>[1]!taqq(1,1,[1]!roz(GE67+1,GE70,0,0),GE68)</f>
        <v>#VALUE!</v>
      </c>
      <c r="GF72" s="962" t="e">
        <f>[1]!taqq(1,1,[1]!roz(GF67+1,GF70,0,0),GF68)</f>
        <v>#VALUE!</v>
      </c>
      <c r="GG72" s="962" t="e">
        <f>[1]!taqq(1,1,[1]!roz(GG67+1,GG70,0,0),GG68)</f>
        <v>#VALUE!</v>
      </c>
      <c r="GH72" s="962" t="e">
        <f>[1]!taqq(1,1,[1]!roz(GH67+1,GH70,0,0),GH68)</f>
        <v>#VALUE!</v>
      </c>
      <c r="GI72" s="962" t="e">
        <f>[1]!taqq(1,1,[1]!roz(GI67+1,GI70,0,0),GI68)</f>
        <v>#VALUE!</v>
      </c>
      <c r="GJ72" s="962" t="e">
        <f>[1]!taqq(1,1,[1]!roz(GJ67+1,GJ70,0,0),GJ68)</f>
        <v>#VALUE!</v>
      </c>
      <c r="GK72" s="962" t="e">
        <f>[1]!taqq(1,1,[1]!roz(GK67+1,GK70,0,0),GK68)</f>
        <v>#VALUE!</v>
      </c>
      <c r="GL72" s="962" t="e">
        <f>[1]!taqq(1,1,[1]!roz(GL67+1,GL70,0,0),GL68)</f>
        <v>#VALUE!</v>
      </c>
      <c r="GM72" s="962" t="e">
        <f>[1]!taqq(1,1,[1]!roz(GM67+1,GM70,0,0),GM68)</f>
        <v>#VALUE!</v>
      </c>
      <c r="GN72" s="962" t="e">
        <f>[1]!taqq(1,1,[1]!roz(GN67+1,GN70,0,0),GN68)</f>
        <v>#VALUE!</v>
      </c>
      <c r="GO72" s="962" t="e">
        <f>[1]!taqq(1,1,[1]!roz(GO67+1,GO70,0,0),GO68)</f>
        <v>#VALUE!</v>
      </c>
      <c r="GP72" s="962" t="e">
        <f>[1]!taqq(1,1,[1]!roz(GP67+1,GP70,0,0),GP68)</f>
        <v>#VALUE!</v>
      </c>
      <c r="GQ72" s="962" t="e">
        <f>[1]!taqq(1,1,[1]!roz(GQ67+1,GQ70,0,0),GQ68)</f>
        <v>#VALUE!</v>
      </c>
      <c r="GR72" s="962" t="e">
        <f>[1]!taqq(1,1,[1]!roz(GR67+1,GR70,0,0),GR68)</f>
        <v>#VALUE!</v>
      </c>
      <c r="GS72" s="962" t="e">
        <f>[1]!taqq(1,1,[1]!roz(GS67+1,GS70,0,0),GS68)</f>
        <v>#VALUE!</v>
      </c>
      <c r="GT72" s="962" t="e">
        <f>[1]!taqq(1,1,[1]!roz(GT67+1,GT70,0,0),GT68)</f>
        <v>#VALUE!</v>
      </c>
      <c r="GU72" s="962" t="e">
        <f>[1]!taqq(1,1,[1]!roz(GU67+1,GU70,0,0),GU68)</f>
        <v>#VALUE!</v>
      </c>
      <c r="GV72" s="962" t="e">
        <f>[1]!taqq(1,1,[1]!roz(GV67+1,GV70,0,0),GV68)</f>
        <v>#VALUE!</v>
      </c>
      <c r="GW72" s="962" t="e">
        <f>[1]!taqq(1,1,[1]!roz(GW67+1,GW70,0,0),GW68)</f>
        <v>#VALUE!</v>
      </c>
      <c r="GX72" s="962" t="e">
        <f>[1]!taqq(1,1,[1]!roz(GX67+1,GX70,0,0),GX68)</f>
        <v>#VALUE!</v>
      </c>
      <c r="GY72" s="962" t="e">
        <f>[1]!taqq(1,1,[1]!roz(GY67+1,GY70,0,0),GY68)</f>
        <v>#VALUE!</v>
      </c>
      <c r="GZ72" s="962" t="e">
        <f>[1]!taqq(1,1,[1]!roz(GZ67+1,GZ70,0,0),GZ68)</f>
        <v>#VALUE!</v>
      </c>
      <c r="HA72" s="962" t="e">
        <f>[1]!taqq(1,1,[1]!roz(HA67+1,HA70,0,0),HA68)</f>
        <v>#VALUE!</v>
      </c>
      <c r="HB72" s="962" t="e">
        <f>[1]!taqq(1,1,[1]!roz(HB67+1,HB70,0,0),HB68)</f>
        <v>#VALUE!</v>
      </c>
      <c r="HC72" s="962" t="e">
        <f>[1]!taqq(1,1,[1]!roz(HC67+1,HC70,0,0),HC68)</f>
        <v>#VALUE!</v>
      </c>
      <c r="HD72" s="962" t="e">
        <f>[1]!taqq(1,1,[1]!roz(HD67+1,HD70,0,0),HD68)</f>
        <v>#VALUE!</v>
      </c>
      <c r="HE72" s="962" t="e">
        <f>[1]!taqq(1,1,[1]!roz(HE67+1,HE70,0,0),HE68)</f>
        <v>#VALUE!</v>
      </c>
      <c r="HF72" s="962" t="e">
        <f>[1]!taqq(1,1,[1]!roz(HF67+1,HF70,0,0),HF68)</f>
        <v>#VALUE!</v>
      </c>
      <c r="HG72" s="962" t="e">
        <f>[1]!taqq(1,1,[1]!roz(HG67+1,HG70,0,0),HG68)</f>
        <v>#VALUE!</v>
      </c>
      <c r="HH72" s="962" t="e">
        <f>[1]!taqq(1,1,[1]!roz(HH67+1,HH70,0,0),HH68)</f>
        <v>#VALUE!</v>
      </c>
      <c r="HI72" s="962" t="e">
        <f>[1]!taqq(1,1,[1]!roz(HI67+1,HI70,0,0),HI68)</f>
        <v>#VALUE!</v>
      </c>
      <c r="HJ72" s="962" t="e">
        <f>[1]!taqq(1,1,[1]!roz(HJ67+1,HJ70,0,0),HJ68)</f>
        <v>#VALUE!</v>
      </c>
      <c r="HK72" s="962" t="e">
        <f>[1]!taqq(1,1,[1]!roz(HK67+1,HK70,0,0),HK68)</f>
        <v>#VALUE!</v>
      </c>
      <c r="HL72" s="962" t="e">
        <f>[1]!taqq(1,1,[1]!roz(HL67+1,HL70,0,0),HL68)</f>
        <v>#VALUE!</v>
      </c>
      <c r="HM72" s="962" t="e">
        <f>[1]!taqq(1,1,[1]!roz(HM67+1,HM70,0,0),HM68)</f>
        <v>#VALUE!</v>
      </c>
      <c r="HN72" s="962" t="e">
        <f>[1]!taqq(1,1,[1]!roz(HN67+1,HN70,0,0),HN68)</f>
        <v>#VALUE!</v>
      </c>
      <c r="HO72" s="962" t="e">
        <f>[1]!taqq(1,1,[1]!roz(HO67+1,HO70,0,0),HO68)</f>
        <v>#VALUE!</v>
      </c>
      <c r="HP72" s="962" t="e">
        <f>[1]!taqq(1,1,[1]!roz(HP67+1,HP70,0,0),HP68)</f>
        <v>#VALUE!</v>
      </c>
      <c r="HQ72" s="962" t="e">
        <f>[1]!taqq(1,1,[1]!roz(HQ67+1,HQ70,0,0),HQ68)</f>
        <v>#VALUE!</v>
      </c>
      <c r="HR72" s="962" t="e">
        <f>[1]!taqq(1,1,[1]!roz(HR67+1,HR70,0,0),HR68)</f>
        <v>#VALUE!</v>
      </c>
      <c r="HS72" s="962" t="e">
        <f>[1]!taqq(1,1,[1]!roz(HS67+1,HS70,0,0),HS68)</f>
        <v>#VALUE!</v>
      </c>
      <c r="HT72" s="962" t="e">
        <f>[1]!taqq(1,1,[1]!roz(HT67+1,HT70,0,0),HT68)</f>
        <v>#VALUE!</v>
      </c>
      <c r="HU72" s="962" t="e">
        <f>[1]!taqq(1,1,[1]!roz(HU67+1,HU70,0,0),HU68)</f>
        <v>#VALUE!</v>
      </c>
      <c r="HV72" s="962" t="e">
        <f>[1]!taqq(1,1,[1]!roz(HV67+1,HV70,0,0),HV68)</f>
        <v>#VALUE!</v>
      </c>
      <c r="HW72" s="962" t="e">
        <f>[1]!taqq(1,1,[1]!roz(HW67+1,HW70,0,0),HW68)</f>
        <v>#VALUE!</v>
      </c>
      <c r="HX72" s="962" t="e">
        <f>[1]!taqq(1,1,[1]!roz(HX67+1,HX70,0,0),HX68)</f>
        <v>#VALUE!</v>
      </c>
      <c r="HY72" s="962" t="e">
        <f>[1]!taqq(1,1,[1]!roz(HY67+1,HY70,0,0),HY68)</f>
        <v>#VALUE!</v>
      </c>
      <c r="HZ72" s="962" t="e">
        <f>[1]!taqq(1,1,[1]!roz(HZ67+1,HZ70,0,0),HZ68)</f>
        <v>#VALUE!</v>
      </c>
      <c r="IA72" s="962" t="e">
        <f>[1]!taqq(1,1,[1]!roz(IA67+1,IA70,0,0),IA68)</f>
        <v>#VALUE!</v>
      </c>
      <c r="IB72" s="962" t="e">
        <f>[1]!taqq(1,1,[1]!roz(IB67+1,IB70,0,0),IB68)</f>
        <v>#VALUE!</v>
      </c>
      <c r="IC72" s="962" t="e">
        <f>[1]!taqq(1,1,[1]!roz(IC67+1,IC70,0,0),IC68)</f>
        <v>#VALUE!</v>
      </c>
      <c r="ID72" s="962" t="e">
        <f>[1]!taqq(1,1,[1]!roz(ID67+1,ID70,0,0),ID68)</f>
        <v>#VALUE!</v>
      </c>
      <c r="IE72" s="962" t="e">
        <f>[1]!taqq(1,1,[1]!roz(IE67+1,IE70,0,0),IE68)</f>
        <v>#VALUE!</v>
      </c>
      <c r="IF72" s="962" t="e">
        <f>[1]!taqq(1,1,[1]!roz(IF67+1,IF70,0,0),IF68)</f>
        <v>#VALUE!</v>
      </c>
      <c r="IG72" s="962" t="e">
        <f>[1]!taqq(1,1,[1]!roz(IG67+1,IG70,0,0),IG68)</f>
        <v>#VALUE!</v>
      </c>
      <c r="IH72" s="962" t="e">
        <f>[1]!taqq(1,1,[1]!roz(IH67+1,IH70,0,0),IH68)</f>
        <v>#VALUE!</v>
      </c>
      <c r="II72" s="962" t="e">
        <f>[1]!taqq(1,1,[1]!roz(II67+1,II70,0,0),II68)</f>
        <v>#VALUE!</v>
      </c>
      <c r="IJ72" s="962" t="e">
        <f>[1]!taqq(1,1,[1]!roz(IJ67+1,IJ70,0,0),IJ68)</f>
        <v>#VALUE!</v>
      </c>
      <c r="IK72" s="962" t="e">
        <f>[1]!taqq(1,1,[1]!roz(IK67+1,IK70,0,0),IK68)</f>
        <v>#VALUE!</v>
      </c>
      <c r="IL72" s="962" t="e">
        <f>[1]!taqq(1,1,[1]!roz(IL67+1,IL70,0,0),IL68)</f>
        <v>#VALUE!</v>
      </c>
      <c r="IM72" s="962" t="e">
        <f>[1]!taqq(1,1,[1]!roz(IM67+1,IM70,0,0),IM68)</f>
        <v>#VALUE!</v>
      </c>
      <c r="IN72" s="962" t="e">
        <f>[1]!taqq(1,1,[1]!roz(IN67+1,IN70,0,0),IN68)</f>
        <v>#VALUE!</v>
      </c>
      <c r="IO72" s="962" t="e">
        <f>[1]!taqq(1,1,[1]!roz(IO67+1,IO70,0,0),IO68)</f>
        <v>#VALUE!</v>
      </c>
      <c r="IP72" s="962" t="e">
        <f>[1]!taqq(1,1,[1]!roz(IP67+1,IP70,0,0),IP68)</f>
        <v>#VALUE!</v>
      </c>
      <c r="IQ72" s="962" t="e">
        <f>[1]!taqq(1,1,[1]!roz(IQ67+1,IQ70,0,0),IQ68)</f>
        <v>#VALUE!</v>
      </c>
      <c r="IR72" s="962" t="e">
        <f>[1]!taqq(1,1,[1]!roz(IR67+1,IR70,0,0),IR68)</f>
        <v>#VALUE!</v>
      </c>
      <c r="IS72" s="962" t="e">
        <f>[1]!taqq(1,1,[1]!roz(IS67+1,IS70,0,0),IS68)</f>
        <v>#VALUE!</v>
      </c>
      <c r="IT72" s="962" t="e">
        <f>[1]!taqq(1,1,[1]!roz(IT67+1,IT70,0,0),IT68)</f>
        <v>#VALUE!</v>
      </c>
      <c r="IU72" s="962" t="e">
        <f>[1]!taqq(1,1,[1]!roz(IU67+1,IU70,0,0),IU68)</f>
        <v>#VALUE!</v>
      </c>
      <c r="IV72" s="962" t="e">
        <f>[1]!taqq(1,1,[1]!roz(IV67+1,IV70,0,0),IV68)</f>
        <v>#VALUE!</v>
      </c>
      <c r="IW72" s="962" t="e">
        <f>[1]!taqq(1,1,[1]!roz(IW67+1,IW70,0,0),IW68)</f>
        <v>#VALUE!</v>
      </c>
      <c r="IX72" s="962" t="e">
        <f>[1]!taqq(1,1,[1]!roz(IX67+1,IX70,0,0),IX68)</f>
        <v>#VALUE!</v>
      </c>
      <c r="IY72" s="962" t="e">
        <f>[1]!taqq(1,1,[1]!roz(IY67+1,IY70,0,0),IY68)</f>
        <v>#VALUE!</v>
      </c>
      <c r="IZ72" s="962" t="e">
        <f>[1]!taqq(1,1,[1]!roz(IZ67+1,IZ70,0,0),IZ68)</f>
        <v>#VALUE!</v>
      </c>
      <c r="JA72" s="962" t="e">
        <f>[1]!taqq(1,1,[1]!roz(JA67+1,JA70,0,0),JA68)</f>
        <v>#VALUE!</v>
      </c>
      <c r="JB72" s="962" t="e">
        <f>[1]!taqq(1,1,[1]!roz(JB67+1,JB70,0,0),JB68)</f>
        <v>#VALUE!</v>
      </c>
      <c r="JC72" s="962" t="e">
        <f>[1]!taqq(1,1,[1]!roz(JC67+1,JC70,0,0),JC68)</f>
        <v>#VALUE!</v>
      </c>
      <c r="JD72" s="962" t="e">
        <f>[1]!taqq(1,1,[1]!roz(JD67+1,JD70,0,0),JD68)</f>
        <v>#VALUE!</v>
      </c>
      <c r="JE72" s="962" t="e">
        <f>[1]!taqq(1,1,[1]!roz(JE67+1,JE70,0,0),JE68)</f>
        <v>#VALUE!</v>
      </c>
      <c r="JF72" s="962" t="e">
        <f>[1]!taqq(1,1,[1]!roz(JF67+1,JF70,0,0),JF68)</f>
        <v>#VALUE!</v>
      </c>
      <c r="JG72" s="962" t="e">
        <f>[1]!taqq(1,1,[1]!roz(JG67+1,JG70,0,0),JG68)</f>
        <v>#VALUE!</v>
      </c>
      <c r="JH72" s="962" t="e">
        <f>[1]!taqq(1,1,[1]!roz(JH67+1,JH70,0,0),JH68)</f>
        <v>#VALUE!</v>
      </c>
      <c r="JI72" s="962" t="e">
        <f>[1]!taqq(1,1,[1]!roz(JI67+1,JI70,0,0),JI68)</f>
        <v>#VALUE!</v>
      </c>
      <c r="JJ72" s="962" t="e">
        <f>[1]!taqq(1,1,[1]!roz(JJ67+1,JJ70,0,0),JJ68)</f>
        <v>#VALUE!</v>
      </c>
      <c r="JK72" s="962" t="e">
        <f>[1]!taqq(1,1,[1]!roz(JK67+1,JK70,0,0),JK68)</f>
        <v>#VALUE!</v>
      </c>
      <c r="JL72" s="962" t="e">
        <f>[1]!taqq(1,1,[1]!roz(JL67+1,JL70,0,0),JL68)</f>
        <v>#VALUE!</v>
      </c>
      <c r="JM72" s="962" t="e">
        <f>[1]!taqq(1,1,[1]!roz(JM67+1,JM70,0,0),JM68)</f>
        <v>#VALUE!</v>
      </c>
      <c r="JN72" s="962" t="e">
        <f>[1]!taqq(1,1,[1]!roz(JN67+1,JN70,0,0),JN68)</f>
        <v>#VALUE!</v>
      </c>
      <c r="JO72" s="962" t="e">
        <f>[1]!taqq(1,1,[1]!roz(JO67+1,JO70,0,0),JO68)</f>
        <v>#VALUE!</v>
      </c>
      <c r="JP72" s="962" t="e">
        <f>[1]!taqq(1,1,[1]!roz(JP67+1,JP70,0,0),JP68)</f>
        <v>#VALUE!</v>
      </c>
      <c r="JQ72" s="962" t="e">
        <f>[1]!taqq(1,1,[1]!roz(JQ67+1,JQ70,0,0),JQ68)</f>
        <v>#VALUE!</v>
      </c>
      <c r="JR72" s="962" t="e">
        <f>[1]!taqq(1,1,[1]!roz(JR67+1,JR70,0,0),JR68)</f>
        <v>#VALUE!</v>
      </c>
      <c r="JS72" s="962" t="e">
        <f>[1]!taqq(1,1,[1]!roz(JS67+1,JS70,0,0),JS68)</f>
        <v>#VALUE!</v>
      </c>
      <c r="JT72" s="962" t="e">
        <f>[1]!taqq(1,1,[1]!roz(JT67+1,JT70,0,0),JT68)</f>
        <v>#VALUE!</v>
      </c>
      <c r="JU72" s="962" t="e">
        <f>[1]!taqq(1,1,[1]!roz(JU67+1,JU70,0,0),JU68)</f>
        <v>#VALUE!</v>
      </c>
      <c r="JV72" s="962" t="e">
        <f>[1]!taqq(1,1,[1]!roz(JV67+1,JV70,0,0),JV68)</f>
        <v>#VALUE!</v>
      </c>
      <c r="JW72" s="962" t="e">
        <f>[1]!taqq(1,1,[1]!roz(JW67+1,JW70,0,0),JW68)</f>
        <v>#VALUE!</v>
      </c>
      <c r="JX72" s="962" t="e">
        <f>[1]!taqq(1,1,[1]!roz(JX67+1,JX70,0,0),JX68)</f>
        <v>#VALUE!</v>
      </c>
      <c r="JY72" s="962" t="e">
        <f>[1]!taqq(1,1,[1]!roz(JY67+1,JY70,0,0),JY68)</f>
        <v>#VALUE!</v>
      </c>
      <c r="JZ72" s="962" t="e">
        <f>[1]!taqq(1,1,[1]!roz(JZ67+1,JZ70,0,0),JZ68)</f>
        <v>#VALUE!</v>
      </c>
      <c r="KA72" s="962" t="e">
        <f>[1]!taqq(1,1,[1]!roz(KA67+1,KA70,0,0),KA68)</f>
        <v>#VALUE!</v>
      </c>
      <c r="KB72" s="962" t="e">
        <f>[1]!taqq(1,1,[1]!roz(KB67+1,KB70,0,0),KB68)</f>
        <v>#VALUE!</v>
      </c>
      <c r="KC72" s="962" t="e">
        <f>[1]!taqq(1,1,[1]!roz(KC67+1,KC70,0,0),KC68)</f>
        <v>#VALUE!</v>
      </c>
      <c r="KD72" s="962" t="e">
        <f>[1]!taqq(1,1,[1]!roz(KD67+1,KD70,0,0),KD68)</f>
        <v>#VALUE!</v>
      </c>
      <c r="KE72" s="962" t="e">
        <f>[1]!taqq(1,1,[1]!roz(KE67+1,KE70,0,0),KE68)</f>
        <v>#VALUE!</v>
      </c>
      <c r="KF72" s="962" t="e">
        <f>[1]!taqq(1,1,[1]!roz(KF67+1,KF70,0,0),KF68)</f>
        <v>#VALUE!</v>
      </c>
      <c r="KG72" s="962" t="e">
        <f>[1]!taqq(1,1,[1]!roz(KG67+1,KG70,0,0),KG68)</f>
        <v>#VALUE!</v>
      </c>
      <c r="KH72" s="962" t="e">
        <f>[1]!taqq(1,1,[1]!roz(KH67+1,KH70,0,0),KH68)</f>
        <v>#VALUE!</v>
      </c>
      <c r="KI72" s="962" t="e">
        <f>[1]!taqq(1,1,[1]!roz(KI67+1,KI70,0,0),KI68)</f>
        <v>#VALUE!</v>
      </c>
      <c r="KJ72" s="962" t="e">
        <f>[1]!taqq(1,1,[1]!roz(KJ67+1,KJ70,0,0),KJ68)</f>
        <v>#VALUE!</v>
      </c>
      <c r="KK72" s="962" t="e">
        <f>[1]!taqq(1,1,[1]!roz(KK67+1,KK70,0,0),KK68)</f>
        <v>#VALUE!</v>
      </c>
      <c r="KL72" s="962" t="e">
        <f>[1]!taqq(1,1,[1]!roz(KL67+1,KL70,0,0),KL68)</f>
        <v>#VALUE!</v>
      </c>
      <c r="KM72" s="962" t="e">
        <f>[1]!taqq(1,1,[1]!roz(KM67+1,KM70,0,0),KM68)</f>
        <v>#VALUE!</v>
      </c>
      <c r="KN72" s="962" t="e">
        <f>[1]!taqq(1,1,[1]!roz(KN67+1,KN70,0,0),KN68)</f>
        <v>#VALUE!</v>
      </c>
      <c r="KO72" s="962" t="e">
        <f>[1]!taqq(1,1,[1]!roz(KO67+1,KO70,0,0),KO68)</f>
        <v>#VALUE!</v>
      </c>
      <c r="KP72" s="962" t="e">
        <f>[1]!taqq(1,1,[1]!roz(KP67+1,KP70,0,0),KP68)</f>
        <v>#VALUE!</v>
      </c>
      <c r="KQ72" s="962" t="e">
        <f>[1]!taqq(1,1,[1]!roz(KQ67+1,KQ70,0,0),KQ68)</f>
        <v>#VALUE!</v>
      </c>
      <c r="KR72" s="962" t="e">
        <f>[1]!taqq(1,1,[1]!roz(KR67+1,KR70,0,0),KR68)</f>
        <v>#VALUE!</v>
      </c>
      <c r="KS72" s="962" t="e">
        <f>[1]!taqq(1,1,[1]!roz(KS67+1,KS70,0,0),KS68)</f>
        <v>#VALUE!</v>
      </c>
      <c r="KT72" s="962" t="e">
        <f>[1]!taqq(1,1,[1]!roz(KT67+1,KT70,0,0),KT68)</f>
        <v>#VALUE!</v>
      </c>
      <c r="KU72" s="962" t="e">
        <f>[1]!taqq(1,1,[1]!roz(KU67+1,KU70,0,0),KU68)</f>
        <v>#VALUE!</v>
      </c>
      <c r="KV72" s="962" t="e">
        <f>[1]!taqq(1,1,[1]!roz(KV67+1,KV70,0,0),KV68)</f>
        <v>#VALUE!</v>
      </c>
      <c r="KW72" s="962" t="e">
        <f>[1]!taqq(1,1,[1]!roz(KW67+1,KW70,0,0),KW68)</f>
        <v>#VALUE!</v>
      </c>
      <c r="KX72" s="962" t="e">
        <f>[1]!taqq(1,1,[1]!roz(KX67+1,KX70,0,0),KX68)</f>
        <v>#VALUE!</v>
      </c>
      <c r="KY72" s="962" t="e">
        <f>[1]!taqq(1,1,[1]!roz(KY67+1,KY70,0,0),KY68)</f>
        <v>#VALUE!</v>
      </c>
      <c r="KZ72" s="962" t="e">
        <f>[1]!taqq(1,1,[1]!roz(KZ67+1,KZ70,0,0),KZ68)</f>
        <v>#VALUE!</v>
      </c>
      <c r="LA72" s="962" t="e">
        <f>[1]!taqq(1,1,[1]!roz(LA67+1,LA70,0,0),LA68)</f>
        <v>#VALUE!</v>
      </c>
      <c r="LB72" s="962" t="e">
        <f>[1]!taqq(1,1,[1]!roz(LB67+1,LB70,0,0),LB68)</f>
        <v>#VALUE!</v>
      </c>
      <c r="LC72" s="962" t="e">
        <f>[1]!taqq(1,1,[1]!roz(LC67+1,LC70,0,0),LC68)</f>
        <v>#VALUE!</v>
      </c>
      <c r="LD72" s="962" t="e">
        <f>[1]!taqq(1,1,[1]!roz(LD67+1,LD70,0,0),LD68)</f>
        <v>#VALUE!</v>
      </c>
      <c r="LE72" s="962" t="e">
        <f>[1]!taqq(1,1,[1]!roz(LE67+1,LE70,0,0),LE68)</f>
        <v>#VALUE!</v>
      </c>
      <c r="LF72" s="962" t="e">
        <f>[1]!taqq(1,1,[1]!roz(LF67+1,LF70,0,0),LF68)</f>
        <v>#VALUE!</v>
      </c>
      <c r="LG72" s="962" t="e">
        <f>[1]!taqq(1,1,[1]!roz(LG67+1,LG70,0,0),LG68)</f>
        <v>#VALUE!</v>
      </c>
      <c r="LH72" s="962" t="e">
        <f>[1]!taqq(1,1,[1]!roz(LH67+1,LH70,0,0),LH68)</f>
        <v>#VALUE!</v>
      </c>
      <c r="LI72" s="962" t="e">
        <f>[1]!taqq(1,1,[1]!roz(LI67+1,LI70,0,0),LI68)</f>
        <v>#VALUE!</v>
      </c>
      <c r="LJ72" s="962" t="e">
        <f>[1]!taqq(1,1,[1]!roz(LJ67+1,LJ70,0,0),LJ68)</f>
        <v>#VALUE!</v>
      </c>
      <c r="LK72" s="962" t="e">
        <f>[1]!taqq(1,1,[1]!roz(LK67+1,LK70,0,0),LK68)</f>
        <v>#VALUE!</v>
      </c>
      <c r="LL72" s="962" t="e">
        <f>[1]!taqq(1,1,[1]!roz(LL67+1,LL70,0,0),LL68)</f>
        <v>#VALUE!</v>
      </c>
      <c r="LM72" s="962" t="e">
        <f>[1]!taqq(1,1,[1]!roz(LM67+1,LM70,0,0),LM68)</f>
        <v>#VALUE!</v>
      </c>
      <c r="LN72" s="962" t="e">
        <f>[1]!taqq(1,1,[1]!roz(LN67+1,LN70,0,0),LN68)</f>
        <v>#VALUE!</v>
      </c>
      <c r="LO72" s="962" t="e">
        <f>[1]!taqq(1,1,[1]!roz(LO67+1,LO70,0,0),LO68)</f>
        <v>#VALUE!</v>
      </c>
      <c r="LP72" s="962" t="e">
        <f>[1]!taqq(1,1,[1]!roz(LP67+1,LP70,0,0),LP68)</f>
        <v>#VALUE!</v>
      </c>
      <c r="LQ72" s="962" t="e">
        <f>[1]!taqq(1,1,[1]!roz(LQ67+1,LQ70,0,0),LQ68)</f>
        <v>#VALUE!</v>
      </c>
      <c r="LR72" s="962" t="e">
        <f>[1]!taqq(1,1,[1]!roz(LR67+1,LR70,0,0),LR68)</f>
        <v>#VALUE!</v>
      </c>
      <c r="LS72" s="962" t="e">
        <f>[1]!taqq(1,1,[1]!roz(LS67+1,LS70,0,0),LS68)</f>
        <v>#VALUE!</v>
      </c>
      <c r="LT72" s="962" t="e">
        <f>[1]!taqq(1,1,[1]!roz(LT67+1,LT70,0,0),LT68)</f>
        <v>#VALUE!</v>
      </c>
      <c r="LU72" s="962" t="e">
        <f>[1]!taqq(1,1,[1]!roz(LU67+1,LU70,0,0),LU68)</f>
        <v>#VALUE!</v>
      </c>
      <c r="LV72" s="962" t="e">
        <f>[1]!taqq(1,1,[1]!roz(LV67+1,LV70,0,0),LV68)</f>
        <v>#VALUE!</v>
      </c>
      <c r="LW72" s="962" t="e">
        <f>[1]!taqq(1,1,[1]!roz(LW67+1,LW70,0,0),LW68)</f>
        <v>#VALUE!</v>
      </c>
      <c r="LX72" s="962" t="e">
        <f>[1]!taqq(1,1,[1]!roz(LX67+1,LX70,0,0),LX68)</f>
        <v>#VALUE!</v>
      </c>
      <c r="LY72" s="962" t="e">
        <f>[1]!taqq(1,1,[1]!roz(LY67+1,LY70,0,0),LY68)</f>
        <v>#VALUE!</v>
      </c>
      <c r="LZ72" s="962" t="e">
        <f>[1]!taqq(1,1,[1]!roz(LZ67+1,LZ70,0,0),LZ68)</f>
        <v>#VALUE!</v>
      </c>
      <c r="MA72" s="962" t="e">
        <f>[1]!taqq(1,1,[1]!roz(MA67+1,MA70,0,0),MA68)</f>
        <v>#VALUE!</v>
      </c>
      <c r="MB72" s="962" t="e">
        <f>[1]!taqq(1,1,[1]!roz(MB67+1,MB70,0,0),MB68)</f>
        <v>#VALUE!</v>
      </c>
      <c r="MC72" s="962" t="e">
        <f>[1]!taqq(1,1,[1]!roz(MC67+1,MC70,0,0),MC68)</f>
        <v>#VALUE!</v>
      </c>
      <c r="MD72" s="962" t="e">
        <f>[1]!taqq(1,1,[1]!roz(MD67+1,MD70,0,0),MD68)</f>
        <v>#VALUE!</v>
      </c>
      <c r="ME72" s="962" t="e">
        <f>[1]!taqq(1,1,[1]!roz(ME67+1,ME70,0,0),ME68)</f>
        <v>#VALUE!</v>
      </c>
      <c r="MF72" s="962" t="e">
        <f>[1]!taqq(1,1,[1]!roz(MF67+1,MF70,0,0),MF68)</f>
        <v>#VALUE!</v>
      </c>
      <c r="MG72" s="962" t="e">
        <f>[1]!taqq(1,1,[1]!roz(MG67+1,MG70,0,0),MG68)</f>
        <v>#VALUE!</v>
      </c>
      <c r="MH72" s="962" t="e">
        <f>[1]!taqq(1,1,[1]!roz(MH67+1,MH70,0,0),MH68)</f>
        <v>#VALUE!</v>
      </c>
      <c r="MI72" s="962" t="e">
        <f>[1]!taqq(1,1,[1]!roz(MI67+1,MI70,0,0),MI68)</f>
        <v>#VALUE!</v>
      </c>
      <c r="MJ72" s="962" t="e">
        <f>[1]!taqq(1,1,[1]!roz(MJ67+1,MJ70,0,0),MJ68)</f>
        <v>#VALUE!</v>
      </c>
      <c r="MK72" s="962" t="e">
        <f>[1]!taqq(1,1,[1]!roz(MK67+1,MK70,0,0),MK68)</f>
        <v>#VALUE!</v>
      </c>
      <c r="ML72" s="962" t="e">
        <f>[1]!taqq(1,1,[1]!roz(ML67+1,ML70,0,0),ML68)</f>
        <v>#VALUE!</v>
      </c>
      <c r="MM72" s="962" t="e">
        <f>[1]!taqq(1,1,[1]!roz(MM67+1,MM70,0,0),MM68)</f>
        <v>#VALUE!</v>
      </c>
      <c r="MN72" s="962" t="e">
        <f>[1]!taqq(1,1,[1]!roz(MN67+1,MN70,0,0),MN68)</f>
        <v>#VALUE!</v>
      </c>
      <c r="MO72" s="962" t="e">
        <f>[1]!taqq(1,1,[1]!roz(MO67+1,MO70,0,0),MO68)</f>
        <v>#VALUE!</v>
      </c>
      <c r="MP72" s="962" t="e">
        <f>[1]!taqq(1,1,[1]!roz(MP67+1,MP70,0,0),MP68)</f>
        <v>#VALUE!</v>
      </c>
      <c r="MQ72" s="962" t="e">
        <f>[1]!taqq(1,1,[1]!roz(MQ67+1,MQ70,0,0),MQ68)</f>
        <v>#VALUE!</v>
      </c>
      <c r="MR72" s="962" t="e">
        <f>[1]!taqq(1,1,[1]!roz(MR67+1,MR70,0,0),MR68)</f>
        <v>#VALUE!</v>
      </c>
      <c r="MS72" s="962" t="e">
        <f>[1]!taqq(1,1,[1]!roz(MS67+1,MS70,0,0),MS68)</f>
        <v>#VALUE!</v>
      </c>
      <c r="MT72" s="962" t="e">
        <f>[1]!taqq(1,1,[1]!roz(MT67+1,MT70,0,0),MT68)</f>
        <v>#VALUE!</v>
      </c>
      <c r="MU72" s="962" t="e">
        <f>[1]!taqq(1,1,[1]!roz(MU67+1,MU70,0,0),MU68)</f>
        <v>#VALUE!</v>
      </c>
      <c r="MV72" s="962" t="e">
        <f>[1]!taqq(1,1,[1]!roz(MV67+1,MV70,0,0),MV68)</f>
        <v>#VALUE!</v>
      </c>
      <c r="MW72" s="962" t="e">
        <f>[1]!taqq(1,1,[1]!roz(MW67+1,MW70,0,0),MW68)</f>
        <v>#VALUE!</v>
      </c>
      <c r="MX72" s="962" t="e">
        <f>[1]!taqq(1,1,[1]!roz(MX67+1,MX70,0,0),MX68)</f>
        <v>#VALUE!</v>
      </c>
      <c r="MY72" s="962" t="e">
        <f>[1]!taqq(1,1,[1]!roz(MY67+1,MY70,0,0),MY68)</f>
        <v>#VALUE!</v>
      </c>
      <c r="MZ72" s="962" t="e">
        <f>[1]!taqq(1,1,[1]!roz(MZ67+1,MZ70,0,0),MZ68)</f>
        <v>#VALUE!</v>
      </c>
      <c r="NA72" s="962" t="e">
        <f>[1]!taqq(1,1,[1]!roz(NA67+1,NA70,0,0),NA68)</f>
        <v>#VALUE!</v>
      </c>
      <c r="NB72" s="962" t="e">
        <f>[1]!taqq(1,1,[1]!roz(NB67+1,NB70,0,0),NB68)</f>
        <v>#VALUE!</v>
      </c>
      <c r="NC72" s="962" t="e">
        <f>[1]!taqq(1,1,[1]!roz(NC67+1,NC70,0,0),NC68)</f>
        <v>#VALUE!</v>
      </c>
      <c r="ND72" s="962" t="e">
        <f>[1]!taqq(1,1,[1]!roz(ND67+1,ND70,0,0),ND68)</f>
        <v>#VALUE!</v>
      </c>
      <c r="NE72" s="962" t="e">
        <f>[1]!taqq(1,1,[1]!roz(NE67+1,NE70,0,0),NE68)</f>
        <v>#VALUE!</v>
      </c>
      <c r="NF72" s="962" t="e">
        <f>[1]!taqq(1,1,[1]!roz(NF67+1,NF70,0,0),NF68)</f>
        <v>#VALUE!</v>
      </c>
      <c r="NG72" s="962" t="e">
        <f>[1]!taqq(1,1,[1]!roz(NG67+1,NG70,0,0),NG68)</f>
        <v>#VALUE!</v>
      </c>
      <c r="NH72" s="962" t="e">
        <f>[1]!taqq(1,1,[1]!roz(NH67+1,NH70,0,0),NH68)</f>
        <v>#VALUE!</v>
      </c>
      <c r="NI72" s="962" t="e">
        <f>[1]!taqq(1,1,[1]!roz(NI67+1,NI70,0,0),NI68)</f>
        <v>#VALUE!</v>
      </c>
      <c r="NJ72" s="962" t="e">
        <f>[1]!taqq(1,1,[1]!roz(NJ67+1,NJ70,0,0),NJ68)</f>
        <v>#VALUE!</v>
      </c>
      <c r="NK72" s="962" t="e">
        <f>[1]!taqq(1,1,[1]!roz(NK67+1,NK70,0,0),NK68)</f>
        <v>#VALUE!</v>
      </c>
      <c r="NL72" s="962" t="e">
        <f>[1]!taqq(1,1,[1]!roz(NL67+1,NL70,0,0),NL68)</f>
        <v>#VALUE!</v>
      </c>
      <c r="NM72" s="962" t="e">
        <f>[1]!taqq(1,1,[1]!roz(NM67+1,NM70,0,0),NM68)</f>
        <v>#VALUE!</v>
      </c>
      <c r="NN72" s="962" t="e">
        <f>[1]!taqq(1,1,[1]!roz(NN67+1,NN70,0,0),NN68)</f>
        <v>#VALUE!</v>
      </c>
      <c r="NO72" s="962" t="e">
        <f>[1]!taqq(1,1,[1]!roz(NO67+1,NO70,0,0),NO68)</f>
        <v>#VALUE!</v>
      </c>
      <c r="NP72" s="962" t="e">
        <f>[1]!taqq(1,1,[1]!roz(NP67+1,NP70,0,0),NP68)</f>
        <v>#VALUE!</v>
      </c>
      <c r="NQ72" s="962" t="e">
        <f>[1]!taqq(1,1,[1]!roz(NQ67+1,NQ70,0,0),NQ68)</f>
        <v>#VALUE!</v>
      </c>
      <c r="NR72" s="962" t="e">
        <f>[1]!taqq(1,1,[1]!roz(NR67+1,NR70,0,0),NR68)</f>
        <v>#VALUE!</v>
      </c>
      <c r="NS72" s="962" t="e">
        <f>[1]!taqq(1,1,[1]!roz(NS67+1,NS70,0,0),NS68)</f>
        <v>#VALUE!</v>
      </c>
      <c r="NT72" s="962" t="e">
        <f>[1]!taqq(1,1,[1]!roz(NT67+1,NT70,0,0),NT68)</f>
        <v>#VALUE!</v>
      </c>
      <c r="NU72" s="962" t="e">
        <f>[1]!taqq(1,1,[1]!roz(NU67+1,NU70,0,0),NU68)</f>
        <v>#VALUE!</v>
      </c>
      <c r="NV72" s="962" t="e">
        <f>[1]!taqq(1,1,[1]!roz(NV67+1,NV70,0,0),NV68)</f>
        <v>#VALUE!</v>
      </c>
      <c r="NW72" s="962" t="e">
        <f>[1]!taqq(1,1,[1]!roz(NW67+1,NW70,0,0),NW68)</f>
        <v>#VALUE!</v>
      </c>
      <c r="NX72" s="962" t="e">
        <f>[1]!taqq(1,1,[1]!roz(NX67+1,NX70,0,0),NX68)</f>
        <v>#VALUE!</v>
      </c>
      <c r="NY72" s="962" t="e">
        <f>[1]!taqq(1,1,[1]!roz(NY67+1,NY70,0,0),NY68)</f>
        <v>#VALUE!</v>
      </c>
      <c r="NZ72" s="962" t="e">
        <f>[1]!taqq(1,1,[1]!roz(NZ67+1,NZ70,0,0),NZ68)</f>
        <v>#VALUE!</v>
      </c>
      <c r="OA72" s="962" t="e">
        <f>[1]!taqq(1,1,[1]!roz(OA67+1,OA70,0,0),OA68)</f>
        <v>#VALUE!</v>
      </c>
      <c r="OB72" s="962" t="e">
        <f>[1]!taqq(1,1,[1]!roz(OB67+1,OB70,0,0),OB68)</f>
        <v>#VALUE!</v>
      </c>
      <c r="OC72" s="962" t="e">
        <f>[1]!taqq(1,1,[1]!roz(OC67+1,OC70,0,0),OC68)</f>
        <v>#VALUE!</v>
      </c>
      <c r="OD72" s="962" t="e">
        <f>[1]!taqq(1,1,[1]!roz(OD67+1,OD70,0,0),OD68)</f>
        <v>#VALUE!</v>
      </c>
      <c r="OE72" s="962" t="e">
        <f>[1]!taqq(1,1,[1]!roz(OE67+1,OE70,0,0),OE68)</f>
        <v>#VALUE!</v>
      </c>
      <c r="OF72" s="962" t="e">
        <f>[1]!taqq(1,1,[1]!roz(OF67+1,OF70,0,0),OF68)</f>
        <v>#VALUE!</v>
      </c>
      <c r="OG72" s="962" t="e">
        <f>[1]!taqq(1,1,[1]!roz(OG67+1,OG70,0,0),OG68)</f>
        <v>#VALUE!</v>
      </c>
      <c r="OH72" s="962" t="e">
        <f>[1]!taqq(1,1,[1]!roz(OH67+1,OH70,0,0),OH68)</f>
        <v>#VALUE!</v>
      </c>
      <c r="OI72" s="962" t="e">
        <f>[1]!taqq(1,1,[1]!roz(OI67+1,OI70,0,0),OI68)</f>
        <v>#VALUE!</v>
      </c>
      <c r="OJ72" s="962" t="e">
        <f>[1]!taqq(1,1,[1]!roz(OJ67+1,OJ70,0,0),OJ68)</f>
        <v>#VALUE!</v>
      </c>
      <c r="OK72" s="962" t="e">
        <f>[1]!taqq(1,1,[1]!roz(OK67+1,OK70,0,0),OK68)</f>
        <v>#VALUE!</v>
      </c>
      <c r="OL72" s="962" t="e">
        <f>[1]!taqq(1,1,[1]!roz(OL67+1,OL70,0,0),OL68)</f>
        <v>#VALUE!</v>
      </c>
      <c r="OM72" s="962" t="e">
        <f>[1]!taqq(1,1,[1]!roz(OM67+1,OM70,0,0),OM68)</f>
        <v>#VALUE!</v>
      </c>
      <c r="ON72" s="962" t="e">
        <f>[1]!taqq(1,1,[1]!roz(ON67+1,ON70,0,0),ON68)</f>
        <v>#VALUE!</v>
      </c>
      <c r="OO72" s="962" t="e">
        <f>[1]!taqq(1,1,[1]!roz(OO67+1,OO70,0,0),OO68)</f>
        <v>#VALUE!</v>
      </c>
      <c r="OP72" s="962" t="e">
        <f>[1]!taqq(1,1,[1]!roz(OP67+1,OP70,0,0),OP68)</f>
        <v>#VALUE!</v>
      </c>
      <c r="OQ72" s="962" t="e">
        <f>[1]!taqq(1,1,[1]!roz(OQ67+1,OQ70,0,0),OQ68)</f>
        <v>#VALUE!</v>
      </c>
      <c r="OR72" s="962" t="e">
        <f>[1]!taqq(1,1,[1]!roz(OR67+1,OR70,0,0),OR68)</f>
        <v>#VALUE!</v>
      </c>
      <c r="OS72" s="962" t="e">
        <f>[1]!taqq(1,1,[1]!roz(OS67+1,OS70,0,0),OS68)</f>
        <v>#VALUE!</v>
      </c>
      <c r="OT72" s="962" t="e">
        <f>[1]!taqq(1,1,[1]!roz(OT67+1,OT70,0,0),OT68)</f>
        <v>#VALUE!</v>
      </c>
      <c r="OU72" s="962" t="e">
        <f>[1]!taqq(1,1,[1]!roz(OU67+1,OU70,0,0),OU68)</f>
        <v>#VALUE!</v>
      </c>
      <c r="OV72" s="962" t="e">
        <f>[1]!taqq(1,1,[1]!roz(OV67+1,OV70,0,0),OV68)</f>
        <v>#VALUE!</v>
      </c>
      <c r="OW72" s="962" t="e">
        <f>[1]!taqq(1,1,[1]!roz(OW67+1,OW70,0,0),OW68)</f>
        <v>#VALUE!</v>
      </c>
      <c r="OX72" s="962" t="e">
        <f>[1]!taqq(1,1,[1]!roz(OX67+1,OX70,0,0),OX68)</f>
        <v>#VALUE!</v>
      </c>
      <c r="OY72" s="962" t="e">
        <f>[1]!taqq(1,1,[1]!roz(OY67+1,OY70,0,0),OY68)</f>
        <v>#VALUE!</v>
      </c>
      <c r="OZ72" s="962" t="e">
        <f>[1]!taqq(1,1,[1]!roz(OZ67+1,OZ70,0,0),OZ68)</f>
        <v>#VALUE!</v>
      </c>
      <c r="PA72" s="962" t="e">
        <f>[1]!taqq(1,1,[1]!roz(PA67+1,PA70,0,0),PA68)</f>
        <v>#VALUE!</v>
      </c>
      <c r="PB72" s="962" t="e">
        <f>[1]!taqq(1,1,[1]!roz(PB67+1,PB70,0,0),PB68)</f>
        <v>#VALUE!</v>
      </c>
      <c r="PC72" s="962" t="e">
        <f>[1]!taqq(1,1,[1]!roz(PC67+1,PC70,0,0),PC68)</f>
        <v>#VALUE!</v>
      </c>
      <c r="PD72" s="962" t="e">
        <f>[1]!taqq(1,1,[1]!roz(PD67+1,PD70,0,0),PD68)</f>
        <v>#VALUE!</v>
      </c>
      <c r="PE72" s="962" t="e">
        <f>[1]!taqq(1,1,[1]!roz(PE67+1,PE70,0,0),PE68)</f>
        <v>#VALUE!</v>
      </c>
      <c r="PF72" s="962" t="e">
        <f>[1]!taqq(1,1,[1]!roz(PF67+1,PF70,0,0),PF68)</f>
        <v>#VALUE!</v>
      </c>
      <c r="PG72" s="962" t="e">
        <f>[1]!taqq(1,1,[1]!roz(PG67+1,PG70,0,0),PG68)</f>
        <v>#VALUE!</v>
      </c>
      <c r="PH72" s="962" t="e">
        <f>[1]!taqq(1,1,[1]!roz(PH67+1,PH70,0,0),PH68)</f>
        <v>#VALUE!</v>
      </c>
      <c r="PI72" s="962" t="e">
        <f>[1]!taqq(1,1,[1]!roz(PI67+1,PI70,0,0),PI68)</f>
        <v>#VALUE!</v>
      </c>
      <c r="PJ72" s="962" t="e">
        <f>[1]!taqq(1,1,[1]!roz(PJ67+1,PJ70,0,0),PJ68)</f>
        <v>#VALUE!</v>
      </c>
      <c r="PK72" s="962" t="e">
        <f>[1]!taqq(1,1,[1]!roz(PK67+1,PK70,0,0),PK68)</f>
        <v>#VALUE!</v>
      </c>
      <c r="PL72" s="962" t="e">
        <f>[1]!taqq(1,1,[1]!roz(PL67+1,PL70,0,0),PL68)</f>
        <v>#VALUE!</v>
      </c>
      <c r="PM72" s="962" t="e">
        <f>[1]!taqq(1,1,[1]!roz(PM67+1,PM70,0,0),PM68)</f>
        <v>#VALUE!</v>
      </c>
      <c r="PN72" s="962" t="e">
        <f>[1]!taqq(1,1,[1]!roz(PN67+1,PN70,0,0),PN68)</f>
        <v>#VALUE!</v>
      </c>
      <c r="PO72" s="962" t="e">
        <f>[1]!taqq(1,1,[1]!roz(PO67+1,PO70,0,0),PO68)</f>
        <v>#VALUE!</v>
      </c>
      <c r="PP72" s="962" t="e">
        <f>[1]!taqq(1,1,[1]!roz(PP67+1,PP70,0,0),PP68)</f>
        <v>#VALUE!</v>
      </c>
      <c r="PQ72" s="962" t="e">
        <f>[1]!taqq(1,1,[1]!roz(PQ67+1,PQ70,0,0),PQ68)</f>
        <v>#VALUE!</v>
      </c>
      <c r="PR72" s="962" t="e">
        <f>[1]!taqq(1,1,[1]!roz(PR67+1,PR70,0,0),PR68)</f>
        <v>#VALUE!</v>
      </c>
      <c r="PS72" s="962" t="e">
        <f>[1]!taqq(1,1,[1]!roz(PS67+1,PS70,0,0),PS68)</f>
        <v>#VALUE!</v>
      </c>
      <c r="PT72" s="962" t="e">
        <f>[1]!taqq(1,1,[1]!roz(PT67+1,PT70,0,0),PT68)</f>
        <v>#VALUE!</v>
      </c>
      <c r="PU72" s="962" t="e">
        <f>[1]!taqq(1,1,[1]!roz(PU67+1,PU70,0,0),PU68)</f>
        <v>#VALUE!</v>
      </c>
      <c r="PV72" s="962" t="e">
        <f>[1]!taqq(1,1,[1]!roz(PV67+1,PV70,0,0),PV68)</f>
        <v>#VALUE!</v>
      </c>
      <c r="PW72" s="962" t="e">
        <f>[1]!taqq(1,1,[1]!roz(PW67+1,PW70,0,0),PW68)</f>
        <v>#VALUE!</v>
      </c>
      <c r="PX72" s="962" t="e">
        <f>[1]!taqq(1,1,[1]!roz(PX67+1,PX70,0,0),PX68)</f>
        <v>#VALUE!</v>
      </c>
      <c r="PY72" s="962" t="e">
        <f>[1]!taqq(1,1,[1]!roz(PY67+1,PY70,0,0),PY68)</f>
        <v>#VALUE!</v>
      </c>
      <c r="PZ72" s="962" t="e">
        <f>[1]!taqq(1,1,[1]!roz(PZ67+1,PZ70,0,0),PZ68)</f>
        <v>#VALUE!</v>
      </c>
      <c r="QA72" s="962" t="e">
        <f>[1]!taqq(1,1,[1]!roz(QA67+1,QA70,0,0),QA68)</f>
        <v>#VALUE!</v>
      </c>
      <c r="QB72" s="962" t="e">
        <f>[1]!taqq(1,1,[1]!roz(QB67+1,QB70,0,0),QB68)</f>
        <v>#VALUE!</v>
      </c>
      <c r="QC72" s="962" t="e">
        <f>[1]!taqq(1,1,[1]!roz(QC67+1,QC70,0,0),QC68)</f>
        <v>#VALUE!</v>
      </c>
      <c r="QD72" s="962" t="e">
        <f>[1]!taqq(1,1,[1]!roz(QD67+1,QD70,0,0),QD68)</f>
        <v>#VALUE!</v>
      </c>
      <c r="QE72" s="962" t="e">
        <f>[1]!taqq(1,1,[1]!roz(QE67+1,QE70,0,0),QE68)</f>
        <v>#VALUE!</v>
      </c>
      <c r="QF72" s="962" t="e">
        <f>[1]!taqq(1,1,[1]!roz(QF67+1,QF70,0,0),QF68)</f>
        <v>#VALUE!</v>
      </c>
      <c r="QG72" s="962" t="e">
        <f>[1]!taqq(1,1,[1]!roz(QG67+1,QG70,0,0),QG68)</f>
        <v>#VALUE!</v>
      </c>
      <c r="QH72" s="962" t="e">
        <f>[1]!taqq(1,1,[1]!roz(QH67+1,QH70,0,0),QH68)</f>
        <v>#VALUE!</v>
      </c>
      <c r="QI72" s="962" t="e">
        <f>[1]!taqq(1,1,[1]!roz(QI67+1,QI70,0,0),QI68)</f>
        <v>#VALUE!</v>
      </c>
      <c r="QJ72" s="962" t="e">
        <f>[1]!taqq(1,1,[1]!roz(QJ67+1,QJ70,0,0),QJ68)</f>
        <v>#VALUE!</v>
      </c>
      <c r="QK72" s="962" t="e">
        <f>[1]!taqq(1,1,[1]!roz(QK67+1,QK70,0,0),QK68)</f>
        <v>#VALUE!</v>
      </c>
      <c r="QL72" s="962" t="e">
        <f>[1]!taqq(1,1,[1]!roz(QL67+1,QL70,0,0),QL68)</f>
        <v>#VALUE!</v>
      </c>
      <c r="QM72" s="962" t="e">
        <f>[1]!taqq(1,1,[1]!roz(QM67+1,QM70,0,0),QM68)</f>
        <v>#VALUE!</v>
      </c>
      <c r="QN72" s="962" t="e">
        <f>[1]!taqq(1,1,[1]!roz(QN67+1,QN70,0,0),QN68)</f>
        <v>#VALUE!</v>
      </c>
      <c r="QO72" s="962" t="e">
        <f>[1]!taqq(1,1,[1]!roz(QO67+1,QO70,0,0),QO68)</f>
        <v>#VALUE!</v>
      </c>
      <c r="QP72" s="962" t="e">
        <f>[1]!taqq(1,1,[1]!roz(QP67+1,QP70,0,0),QP68)</f>
        <v>#VALUE!</v>
      </c>
      <c r="QQ72" s="962" t="e">
        <f>[1]!taqq(1,1,[1]!roz(QQ67+1,QQ70,0,0),QQ68)</f>
        <v>#VALUE!</v>
      </c>
      <c r="QR72" s="962" t="e">
        <f>[1]!taqq(1,1,[1]!roz(QR67+1,QR70,0,0),QR68)</f>
        <v>#VALUE!</v>
      </c>
      <c r="QS72" s="962" t="e">
        <f>[1]!taqq(1,1,[1]!roz(QS67+1,QS70,0,0),QS68)</f>
        <v>#VALUE!</v>
      </c>
      <c r="QT72" s="962" t="e">
        <f>[1]!taqq(1,1,[1]!roz(QT67+1,QT70,0,0),QT68)</f>
        <v>#VALUE!</v>
      </c>
      <c r="QU72" s="962" t="e">
        <f>[1]!taqq(1,1,[1]!roz(QU67+1,QU70,0,0),QU68)</f>
        <v>#VALUE!</v>
      </c>
      <c r="QV72" s="962" t="e">
        <f>[1]!taqq(1,1,[1]!roz(QV67+1,QV70,0,0),QV68)</f>
        <v>#VALUE!</v>
      </c>
      <c r="QW72" s="962" t="e">
        <f>[1]!taqq(1,1,[1]!roz(QW67+1,QW70,0,0),QW68)</f>
        <v>#VALUE!</v>
      </c>
      <c r="QX72" s="962" t="e">
        <f>[1]!taqq(1,1,[1]!roz(QX67+1,QX70,0,0),QX68)</f>
        <v>#VALUE!</v>
      </c>
      <c r="QY72" s="962" t="e">
        <f>[1]!taqq(1,1,[1]!roz(QY67+1,QY70,0,0),QY68)</f>
        <v>#VALUE!</v>
      </c>
      <c r="QZ72" s="962" t="e">
        <f>[1]!taqq(1,1,[1]!roz(QZ67+1,QZ70,0,0),QZ68)</f>
        <v>#VALUE!</v>
      </c>
      <c r="RA72" s="963" t="e">
        <f>[1]!taqq(1,1,[1]!roz(RA67+1,RA70,0,0),RA68)</f>
        <v>#VALUE!</v>
      </c>
      <c r="RC72" s="797"/>
    </row>
    <row r="73" spans="2:471" ht="17.25">
      <c r="B73" s="2"/>
      <c r="C73" s="2">
        <v>2020</v>
      </c>
      <c r="D73" s="2">
        <f>MOD(INT((C73-1)*365.25),7)</f>
        <v>3</v>
      </c>
      <c r="E73" s="2" t="str">
        <f>IF(D73=1,"دوشنبه",IF(D73=2,"سه شنبه",IF(D73=3,"چهارشنبه",IF(D73=4,"پنج شنبه",IF(D73=5,"جمعه",IF(D73=6,"شنبه",IF(D73=0,"یک شنبه")))))))</f>
        <v>چهارشنبه</v>
      </c>
      <c r="F73" s="2">
        <f>MOD(C73,4)</f>
        <v>0</v>
      </c>
      <c r="G73" s="2"/>
      <c r="H73" s="2"/>
      <c r="I73" s="2"/>
      <c r="J73" s="2"/>
      <c r="K73" s="2"/>
      <c r="L73" s="2"/>
      <c r="M73" s="2"/>
      <c r="N73" s="2"/>
      <c r="O73" s="2"/>
      <c r="P73" s="2" t="s">
        <v>17</v>
      </c>
      <c r="Q73" s="2" t="str">
        <f>E73</f>
        <v>چهارشنبه</v>
      </c>
      <c r="R73" s="2" t="str">
        <f>IF(Q74=2,"جمعه",IF(Q74=3,"شنبه",IF(Q74=4,"یک شنبه",IF(Q74=5,"دو شنبه",IF(Q74=6,"سه شنبه",IF(Q74=0,"چهار شنبه","پنج شنبه"))))))</f>
        <v>شنبه</v>
      </c>
      <c r="S73" s="2" t="str">
        <f>IF(R74=2,"پنج شنبه",IF(R74=3,"جمعه",IF(R74=4,"شنبه",IF(R74=5,"یک شنبه",IF(R74=6,"دو شنبه",IF(R74=0,"سه شنبه","چهار شنبه"))))))</f>
        <v>دو شنبه</v>
      </c>
      <c r="T73" s="2" t="str">
        <f>IF(S74=2,"جمعه",IF(S74=3,"شنبه",IF(S74=4,"یک شنبه",IF(S74=5,"دو شنبه",IF(S74=6,"سه شنبه",IF(S74=0,"چهار شنبه","پنج شنبه"))))))</f>
        <v>پنج شنبه</v>
      </c>
      <c r="U73" s="2" t="str">
        <f>IF(T74=2,"جمعه",IF(T74=3,"شنبه",IF(T74=4,"یک شنبه",IF(T74=5,"دو شنبه",IF(T74=6,"سه شنبه",IF(T74=0,"چهار شنبه","پنج شنبه"))))))</f>
        <v>یک شنبه</v>
      </c>
      <c r="V73" s="2" t="str">
        <f>IF(V74=U74,U73,IF(U74=2,"چهار شنبه",IF(U74=3,"پنج شنبه",IF(U74=4,"جمعه",IF(U74=5," شنبه",IF(U74=6,"یک شنبه",IF(U74=0,"دو شنبه","سه شنبه")))))))</f>
        <v>یک شنبه</v>
      </c>
      <c r="W73" s="2" t="str">
        <f>IF(V74=2,"جمعه",IF(V74=3,"شنبه",IF(V74=4,"یک شنبه",IF(V74=5,"دو شنبه",IF(V74=6,"سه شنبه",IF(V74=0,"چهار شنبه","پنج شنبه"))))))</f>
        <v>چهار شنبه</v>
      </c>
      <c r="X73" s="2" t="str">
        <f>IF(W74=2,"پنج شنبه",IF(W74=3,"جمعه",IF(W74=4,"شنبه",IF(W74=5,"یک شنبه",IF(W74=6,"دو شنبه",IF(W74=0,"سه شنبه","چهار شنبه"))))))</f>
        <v>جمعه</v>
      </c>
      <c r="Y73" s="2" t="str">
        <f>IF(X74=2,"جمعه",IF(X74=3,"شنبه",IF(X74=4,"یک شنبه",IF(X74=5,"دو شنبه",IF(X74=6,"سه شنبه",IF(X74=0,"چهار شنبه","پنج شنبه"))))))</f>
        <v>دو شنبه</v>
      </c>
      <c r="Z73" s="2" t="str">
        <f>IF(Y74=2,"پنج شنبه",IF(Y74=3,"جمعه",IF(Y74=4,"شنبه",IF(Y74=5,"یک شنبه",IF(Y74=6,"دو شنبه",IF(Y74=0,"سه شنبه","چهار شنبه"))))))</f>
        <v>چهار شنبه</v>
      </c>
      <c r="AA73" s="2" t="str">
        <f>IF(Z74=2,"جمعه",IF(Z74=3,"شنبه",IF(Z74=4,"یک شنبه",IF(Z74=5,"دو شنبه",IF(Z74=6,"سه شنبه",IF(Z74=0,"چهار شنبه","پنج شنبه"))))))</f>
        <v>شنبه</v>
      </c>
      <c r="AB73" s="2" t="str">
        <f>IF(AA74=2,"جمعه",IF(AA74=3,"شنبه",IF(AA74=4,"یک شنبه",IF(AA74=5,"دو شنبه",IF(AA74=6,"سه شنبه",IF(AA74=0,"چهار شنبه","پنج شنبه"))))))</f>
        <v>سه شنبه</v>
      </c>
      <c r="AC73" s="2"/>
      <c r="DH73" s="797"/>
      <c r="DI73" s="797" t="s">
        <v>3489</v>
      </c>
      <c r="DJ73" s="961" t="e">
        <f>IF(DJ72-DJ71&gt;-180,DJ72-DJ71,DJ72-DJ71+360)</f>
        <v>#VALUE!</v>
      </c>
      <c r="DK73" s="962" t="e">
        <f>IF(DK72-DK71&gt;-180,DK72-DK71,DK72-DK71+360)</f>
        <v>#VALUE!</v>
      </c>
      <c r="DL73" s="962" t="e">
        <f>IF(DL72-DL71&gt;-180,DL72-DL71,DL72-DL71+360)</f>
        <v>#VALUE!</v>
      </c>
      <c r="DM73" s="962" t="e">
        <f t="shared" ref="DM73:FX73" si="438">IF(DM72-DM71&gt;-180,DM72-DM71,DM72-DM71+360)</f>
        <v>#VALUE!</v>
      </c>
      <c r="DN73" s="962" t="e">
        <f t="shared" si="438"/>
        <v>#VALUE!</v>
      </c>
      <c r="DO73" s="962" t="e">
        <f t="shared" si="438"/>
        <v>#VALUE!</v>
      </c>
      <c r="DP73" s="962" t="e">
        <f t="shared" si="438"/>
        <v>#VALUE!</v>
      </c>
      <c r="DQ73" s="962" t="e">
        <f t="shared" si="438"/>
        <v>#VALUE!</v>
      </c>
      <c r="DR73" s="962" t="e">
        <f t="shared" si="438"/>
        <v>#VALUE!</v>
      </c>
      <c r="DS73" s="962" t="e">
        <f t="shared" si="438"/>
        <v>#VALUE!</v>
      </c>
      <c r="DT73" s="962" t="e">
        <f t="shared" si="438"/>
        <v>#VALUE!</v>
      </c>
      <c r="DU73" s="962" t="e">
        <f t="shared" si="438"/>
        <v>#VALUE!</v>
      </c>
      <c r="DV73" s="962" t="e">
        <f t="shared" si="438"/>
        <v>#VALUE!</v>
      </c>
      <c r="DW73" s="962" t="e">
        <f t="shared" si="438"/>
        <v>#VALUE!</v>
      </c>
      <c r="DX73" s="962" t="e">
        <f t="shared" si="438"/>
        <v>#VALUE!</v>
      </c>
      <c r="DY73" s="962" t="e">
        <f t="shared" si="438"/>
        <v>#VALUE!</v>
      </c>
      <c r="DZ73" s="962" t="e">
        <f t="shared" si="438"/>
        <v>#VALUE!</v>
      </c>
      <c r="EA73" s="962" t="e">
        <f t="shared" si="438"/>
        <v>#VALUE!</v>
      </c>
      <c r="EB73" s="962" t="e">
        <f t="shared" si="438"/>
        <v>#VALUE!</v>
      </c>
      <c r="EC73" s="962" t="e">
        <f t="shared" si="438"/>
        <v>#VALUE!</v>
      </c>
      <c r="ED73" s="962" t="e">
        <f t="shared" si="438"/>
        <v>#VALUE!</v>
      </c>
      <c r="EE73" s="962" t="e">
        <f t="shared" si="438"/>
        <v>#VALUE!</v>
      </c>
      <c r="EF73" s="962" t="e">
        <f t="shared" si="438"/>
        <v>#VALUE!</v>
      </c>
      <c r="EG73" s="962" t="e">
        <f t="shared" si="438"/>
        <v>#VALUE!</v>
      </c>
      <c r="EH73" s="962" t="e">
        <f t="shared" si="438"/>
        <v>#VALUE!</v>
      </c>
      <c r="EI73" s="962" t="e">
        <f t="shared" si="438"/>
        <v>#VALUE!</v>
      </c>
      <c r="EJ73" s="962" t="e">
        <f t="shared" si="438"/>
        <v>#VALUE!</v>
      </c>
      <c r="EK73" s="962" t="e">
        <f t="shared" si="438"/>
        <v>#VALUE!</v>
      </c>
      <c r="EL73" s="962" t="e">
        <f t="shared" si="438"/>
        <v>#VALUE!</v>
      </c>
      <c r="EM73" s="962" t="e">
        <f t="shared" si="438"/>
        <v>#VALUE!</v>
      </c>
      <c r="EN73" s="962" t="e">
        <f t="shared" si="438"/>
        <v>#VALUE!</v>
      </c>
      <c r="EO73" s="962" t="e">
        <f t="shared" si="438"/>
        <v>#VALUE!</v>
      </c>
      <c r="EP73" s="962" t="e">
        <f t="shared" si="438"/>
        <v>#VALUE!</v>
      </c>
      <c r="EQ73" s="962" t="e">
        <f t="shared" si="438"/>
        <v>#VALUE!</v>
      </c>
      <c r="ER73" s="962" t="e">
        <f t="shared" si="438"/>
        <v>#VALUE!</v>
      </c>
      <c r="ES73" s="962" t="e">
        <f t="shared" si="438"/>
        <v>#VALUE!</v>
      </c>
      <c r="ET73" s="962" t="e">
        <f t="shared" si="438"/>
        <v>#VALUE!</v>
      </c>
      <c r="EU73" s="962" t="e">
        <f t="shared" si="438"/>
        <v>#VALUE!</v>
      </c>
      <c r="EV73" s="962" t="e">
        <f t="shared" si="438"/>
        <v>#VALUE!</v>
      </c>
      <c r="EW73" s="962" t="e">
        <f t="shared" si="438"/>
        <v>#VALUE!</v>
      </c>
      <c r="EX73" s="962" t="e">
        <f t="shared" si="438"/>
        <v>#VALUE!</v>
      </c>
      <c r="EY73" s="962" t="e">
        <f t="shared" si="438"/>
        <v>#VALUE!</v>
      </c>
      <c r="EZ73" s="962" t="e">
        <f t="shared" si="438"/>
        <v>#VALUE!</v>
      </c>
      <c r="FA73" s="962" t="e">
        <f t="shared" si="438"/>
        <v>#VALUE!</v>
      </c>
      <c r="FB73" s="962" t="e">
        <f t="shared" si="438"/>
        <v>#VALUE!</v>
      </c>
      <c r="FC73" s="962" t="e">
        <f t="shared" si="438"/>
        <v>#VALUE!</v>
      </c>
      <c r="FD73" s="962" t="e">
        <f t="shared" si="438"/>
        <v>#VALUE!</v>
      </c>
      <c r="FE73" s="962" t="e">
        <f t="shared" si="438"/>
        <v>#VALUE!</v>
      </c>
      <c r="FF73" s="962" t="e">
        <f t="shared" si="438"/>
        <v>#VALUE!</v>
      </c>
      <c r="FG73" s="962" t="e">
        <f t="shared" si="438"/>
        <v>#VALUE!</v>
      </c>
      <c r="FH73" s="962" t="e">
        <f t="shared" si="438"/>
        <v>#VALUE!</v>
      </c>
      <c r="FI73" s="962" t="e">
        <f t="shared" si="438"/>
        <v>#VALUE!</v>
      </c>
      <c r="FJ73" s="962" t="e">
        <f t="shared" si="438"/>
        <v>#VALUE!</v>
      </c>
      <c r="FK73" s="962" t="e">
        <f t="shared" si="438"/>
        <v>#VALUE!</v>
      </c>
      <c r="FL73" s="962" t="e">
        <f t="shared" si="438"/>
        <v>#VALUE!</v>
      </c>
      <c r="FM73" s="962" t="e">
        <f t="shared" si="438"/>
        <v>#VALUE!</v>
      </c>
      <c r="FN73" s="962" t="e">
        <f t="shared" si="438"/>
        <v>#VALUE!</v>
      </c>
      <c r="FO73" s="962" t="e">
        <f t="shared" si="438"/>
        <v>#VALUE!</v>
      </c>
      <c r="FP73" s="962" t="e">
        <f t="shared" si="438"/>
        <v>#VALUE!</v>
      </c>
      <c r="FQ73" s="962" t="e">
        <f t="shared" si="438"/>
        <v>#VALUE!</v>
      </c>
      <c r="FR73" s="962" t="e">
        <f t="shared" si="438"/>
        <v>#VALUE!</v>
      </c>
      <c r="FS73" s="962" t="e">
        <f t="shared" si="438"/>
        <v>#VALUE!</v>
      </c>
      <c r="FT73" s="962" t="e">
        <f t="shared" si="438"/>
        <v>#VALUE!</v>
      </c>
      <c r="FU73" s="962" t="e">
        <f t="shared" si="438"/>
        <v>#VALUE!</v>
      </c>
      <c r="FV73" s="962" t="e">
        <f t="shared" si="438"/>
        <v>#VALUE!</v>
      </c>
      <c r="FW73" s="962" t="e">
        <f t="shared" si="438"/>
        <v>#VALUE!</v>
      </c>
      <c r="FX73" s="962" t="e">
        <f t="shared" si="438"/>
        <v>#VALUE!</v>
      </c>
      <c r="FY73" s="962" t="e">
        <f t="shared" ref="FY73:IJ73" si="439">IF(FY72-FY71&gt;-180,FY72-FY71,FY72-FY71+360)</f>
        <v>#VALUE!</v>
      </c>
      <c r="FZ73" s="962" t="e">
        <f t="shared" si="439"/>
        <v>#VALUE!</v>
      </c>
      <c r="GA73" s="962" t="e">
        <f t="shared" si="439"/>
        <v>#VALUE!</v>
      </c>
      <c r="GB73" s="962" t="e">
        <f t="shared" si="439"/>
        <v>#VALUE!</v>
      </c>
      <c r="GC73" s="962" t="e">
        <f t="shared" si="439"/>
        <v>#VALUE!</v>
      </c>
      <c r="GD73" s="962" t="e">
        <f t="shared" si="439"/>
        <v>#VALUE!</v>
      </c>
      <c r="GE73" s="962" t="e">
        <f t="shared" si="439"/>
        <v>#VALUE!</v>
      </c>
      <c r="GF73" s="962" t="e">
        <f t="shared" si="439"/>
        <v>#VALUE!</v>
      </c>
      <c r="GG73" s="962" t="e">
        <f t="shared" si="439"/>
        <v>#VALUE!</v>
      </c>
      <c r="GH73" s="962" t="e">
        <f t="shared" si="439"/>
        <v>#VALUE!</v>
      </c>
      <c r="GI73" s="962" t="e">
        <f t="shared" si="439"/>
        <v>#VALUE!</v>
      </c>
      <c r="GJ73" s="962" t="e">
        <f t="shared" si="439"/>
        <v>#VALUE!</v>
      </c>
      <c r="GK73" s="962" t="e">
        <f t="shared" si="439"/>
        <v>#VALUE!</v>
      </c>
      <c r="GL73" s="962" t="e">
        <f t="shared" si="439"/>
        <v>#VALUE!</v>
      </c>
      <c r="GM73" s="962" t="e">
        <f t="shared" si="439"/>
        <v>#VALUE!</v>
      </c>
      <c r="GN73" s="962" t="e">
        <f t="shared" si="439"/>
        <v>#VALUE!</v>
      </c>
      <c r="GO73" s="962" t="e">
        <f t="shared" si="439"/>
        <v>#VALUE!</v>
      </c>
      <c r="GP73" s="962" t="e">
        <f t="shared" si="439"/>
        <v>#VALUE!</v>
      </c>
      <c r="GQ73" s="962" t="e">
        <f t="shared" si="439"/>
        <v>#VALUE!</v>
      </c>
      <c r="GR73" s="962" t="e">
        <f t="shared" si="439"/>
        <v>#VALUE!</v>
      </c>
      <c r="GS73" s="962" t="e">
        <f t="shared" si="439"/>
        <v>#VALUE!</v>
      </c>
      <c r="GT73" s="962" t="e">
        <f t="shared" si="439"/>
        <v>#VALUE!</v>
      </c>
      <c r="GU73" s="962" t="e">
        <f t="shared" si="439"/>
        <v>#VALUE!</v>
      </c>
      <c r="GV73" s="962" t="e">
        <f t="shared" si="439"/>
        <v>#VALUE!</v>
      </c>
      <c r="GW73" s="962" t="e">
        <f t="shared" si="439"/>
        <v>#VALUE!</v>
      </c>
      <c r="GX73" s="962" t="e">
        <f t="shared" si="439"/>
        <v>#VALUE!</v>
      </c>
      <c r="GY73" s="962" t="e">
        <f t="shared" si="439"/>
        <v>#VALUE!</v>
      </c>
      <c r="GZ73" s="962" t="e">
        <f t="shared" si="439"/>
        <v>#VALUE!</v>
      </c>
      <c r="HA73" s="962" t="e">
        <f t="shared" si="439"/>
        <v>#VALUE!</v>
      </c>
      <c r="HB73" s="962" t="e">
        <f t="shared" si="439"/>
        <v>#VALUE!</v>
      </c>
      <c r="HC73" s="962" t="e">
        <f t="shared" si="439"/>
        <v>#VALUE!</v>
      </c>
      <c r="HD73" s="962" t="e">
        <f t="shared" si="439"/>
        <v>#VALUE!</v>
      </c>
      <c r="HE73" s="962" t="e">
        <f t="shared" si="439"/>
        <v>#VALUE!</v>
      </c>
      <c r="HF73" s="962" t="e">
        <f t="shared" si="439"/>
        <v>#VALUE!</v>
      </c>
      <c r="HG73" s="962" t="e">
        <f t="shared" si="439"/>
        <v>#VALUE!</v>
      </c>
      <c r="HH73" s="962" t="e">
        <f t="shared" si="439"/>
        <v>#VALUE!</v>
      </c>
      <c r="HI73" s="962" t="e">
        <f t="shared" si="439"/>
        <v>#VALUE!</v>
      </c>
      <c r="HJ73" s="962" t="e">
        <f t="shared" si="439"/>
        <v>#VALUE!</v>
      </c>
      <c r="HK73" s="962" t="e">
        <f t="shared" si="439"/>
        <v>#VALUE!</v>
      </c>
      <c r="HL73" s="962" t="e">
        <f t="shared" si="439"/>
        <v>#VALUE!</v>
      </c>
      <c r="HM73" s="962" t="e">
        <f t="shared" si="439"/>
        <v>#VALUE!</v>
      </c>
      <c r="HN73" s="962" t="e">
        <f t="shared" si="439"/>
        <v>#VALUE!</v>
      </c>
      <c r="HO73" s="962" t="e">
        <f t="shared" si="439"/>
        <v>#VALUE!</v>
      </c>
      <c r="HP73" s="962" t="e">
        <f t="shared" si="439"/>
        <v>#VALUE!</v>
      </c>
      <c r="HQ73" s="962" t="e">
        <f t="shared" si="439"/>
        <v>#VALUE!</v>
      </c>
      <c r="HR73" s="962" t="e">
        <f t="shared" si="439"/>
        <v>#VALUE!</v>
      </c>
      <c r="HS73" s="962" t="e">
        <f t="shared" si="439"/>
        <v>#VALUE!</v>
      </c>
      <c r="HT73" s="962" t="e">
        <f t="shared" si="439"/>
        <v>#VALUE!</v>
      </c>
      <c r="HU73" s="962" t="e">
        <f t="shared" si="439"/>
        <v>#VALUE!</v>
      </c>
      <c r="HV73" s="962" t="e">
        <f t="shared" si="439"/>
        <v>#VALUE!</v>
      </c>
      <c r="HW73" s="962" t="e">
        <f t="shared" si="439"/>
        <v>#VALUE!</v>
      </c>
      <c r="HX73" s="962" t="e">
        <f t="shared" si="439"/>
        <v>#VALUE!</v>
      </c>
      <c r="HY73" s="962" t="e">
        <f t="shared" si="439"/>
        <v>#VALUE!</v>
      </c>
      <c r="HZ73" s="962" t="e">
        <f t="shared" si="439"/>
        <v>#VALUE!</v>
      </c>
      <c r="IA73" s="962" t="e">
        <f t="shared" si="439"/>
        <v>#VALUE!</v>
      </c>
      <c r="IB73" s="962" t="e">
        <f t="shared" si="439"/>
        <v>#VALUE!</v>
      </c>
      <c r="IC73" s="962" t="e">
        <f t="shared" si="439"/>
        <v>#VALUE!</v>
      </c>
      <c r="ID73" s="962" t="e">
        <f t="shared" si="439"/>
        <v>#VALUE!</v>
      </c>
      <c r="IE73" s="962" t="e">
        <f t="shared" si="439"/>
        <v>#VALUE!</v>
      </c>
      <c r="IF73" s="962" t="e">
        <f t="shared" si="439"/>
        <v>#VALUE!</v>
      </c>
      <c r="IG73" s="962" t="e">
        <f t="shared" si="439"/>
        <v>#VALUE!</v>
      </c>
      <c r="IH73" s="962" t="e">
        <f t="shared" si="439"/>
        <v>#VALUE!</v>
      </c>
      <c r="II73" s="962" t="e">
        <f t="shared" si="439"/>
        <v>#VALUE!</v>
      </c>
      <c r="IJ73" s="962" t="e">
        <f t="shared" si="439"/>
        <v>#VALUE!</v>
      </c>
      <c r="IK73" s="962" t="e">
        <f t="shared" ref="IK73:KV73" si="440">IF(IK72-IK71&gt;-180,IK72-IK71,IK72-IK71+360)</f>
        <v>#VALUE!</v>
      </c>
      <c r="IL73" s="962" t="e">
        <f t="shared" si="440"/>
        <v>#VALUE!</v>
      </c>
      <c r="IM73" s="962" t="e">
        <f t="shared" si="440"/>
        <v>#VALUE!</v>
      </c>
      <c r="IN73" s="962" t="e">
        <f t="shared" si="440"/>
        <v>#VALUE!</v>
      </c>
      <c r="IO73" s="962" t="e">
        <f t="shared" si="440"/>
        <v>#VALUE!</v>
      </c>
      <c r="IP73" s="962" t="e">
        <f t="shared" si="440"/>
        <v>#VALUE!</v>
      </c>
      <c r="IQ73" s="962" t="e">
        <f t="shared" si="440"/>
        <v>#VALUE!</v>
      </c>
      <c r="IR73" s="962" t="e">
        <f t="shared" si="440"/>
        <v>#VALUE!</v>
      </c>
      <c r="IS73" s="962" t="e">
        <f t="shared" si="440"/>
        <v>#VALUE!</v>
      </c>
      <c r="IT73" s="962" t="e">
        <f t="shared" si="440"/>
        <v>#VALUE!</v>
      </c>
      <c r="IU73" s="962" t="e">
        <f t="shared" si="440"/>
        <v>#VALUE!</v>
      </c>
      <c r="IV73" s="962" t="e">
        <f t="shared" si="440"/>
        <v>#VALUE!</v>
      </c>
      <c r="IW73" s="962" t="e">
        <f t="shared" si="440"/>
        <v>#VALUE!</v>
      </c>
      <c r="IX73" s="962" t="e">
        <f t="shared" si="440"/>
        <v>#VALUE!</v>
      </c>
      <c r="IY73" s="962" t="e">
        <f t="shared" si="440"/>
        <v>#VALUE!</v>
      </c>
      <c r="IZ73" s="962" t="e">
        <f t="shared" si="440"/>
        <v>#VALUE!</v>
      </c>
      <c r="JA73" s="962" t="e">
        <f t="shared" si="440"/>
        <v>#VALUE!</v>
      </c>
      <c r="JB73" s="962" t="e">
        <f t="shared" si="440"/>
        <v>#VALUE!</v>
      </c>
      <c r="JC73" s="962" t="e">
        <f t="shared" si="440"/>
        <v>#VALUE!</v>
      </c>
      <c r="JD73" s="962" t="e">
        <f t="shared" si="440"/>
        <v>#VALUE!</v>
      </c>
      <c r="JE73" s="962" t="e">
        <f t="shared" si="440"/>
        <v>#VALUE!</v>
      </c>
      <c r="JF73" s="962" t="e">
        <f t="shared" si="440"/>
        <v>#VALUE!</v>
      </c>
      <c r="JG73" s="962" t="e">
        <f t="shared" si="440"/>
        <v>#VALUE!</v>
      </c>
      <c r="JH73" s="962" t="e">
        <f t="shared" si="440"/>
        <v>#VALUE!</v>
      </c>
      <c r="JI73" s="962" t="e">
        <f t="shared" si="440"/>
        <v>#VALUE!</v>
      </c>
      <c r="JJ73" s="962" t="e">
        <f t="shared" si="440"/>
        <v>#VALUE!</v>
      </c>
      <c r="JK73" s="962" t="e">
        <f t="shared" si="440"/>
        <v>#VALUE!</v>
      </c>
      <c r="JL73" s="962" t="e">
        <f t="shared" si="440"/>
        <v>#VALUE!</v>
      </c>
      <c r="JM73" s="962" t="e">
        <f t="shared" si="440"/>
        <v>#VALUE!</v>
      </c>
      <c r="JN73" s="962" t="e">
        <f t="shared" si="440"/>
        <v>#VALUE!</v>
      </c>
      <c r="JO73" s="962" t="e">
        <f t="shared" si="440"/>
        <v>#VALUE!</v>
      </c>
      <c r="JP73" s="962" t="e">
        <f t="shared" si="440"/>
        <v>#VALUE!</v>
      </c>
      <c r="JQ73" s="962" t="e">
        <f t="shared" si="440"/>
        <v>#VALUE!</v>
      </c>
      <c r="JR73" s="962" t="e">
        <f t="shared" si="440"/>
        <v>#VALUE!</v>
      </c>
      <c r="JS73" s="962" t="e">
        <f t="shared" si="440"/>
        <v>#VALUE!</v>
      </c>
      <c r="JT73" s="962" t="e">
        <f t="shared" si="440"/>
        <v>#VALUE!</v>
      </c>
      <c r="JU73" s="962" t="e">
        <f t="shared" si="440"/>
        <v>#VALUE!</v>
      </c>
      <c r="JV73" s="962" t="e">
        <f t="shared" si="440"/>
        <v>#VALUE!</v>
      </c>
      <c r="JW73" s="962" t="e">
        <f t="shared" si="440"/>
        <v>#VALUE!</v>
      </c>
      <c r="JX73" s="962" t="e">
        <f t="shared" si="440"/>
        <v>#VALUE!</v>
      </c>
      <c r="JY73" s="962" t="e">
        <f t="shared" si="440"/>
        <v>#VALUE!</v>
      </c>
      <c r="JZ73" s="962" t="e">
        <f t="shared" si="440"/>
        <v>#VALUE!</v>
      </c>
      <c r="KA73" s="962" t="e">
        <f t="shared" si="440"/>
        <v>#VALUE!</v>
      </c>
      <c r="KB73" s="962" t="e">
        <f t="shared" si="440"/>
        <v>#VALUE!</v>
      </c>
      <c r="KC73" s="962" t="e">
        <f t="shared" si="440"/>
        <v>#VALUE!</v>
      </c>
      <c r="KD73" s="962" t="e">
        <f t="shared" si="440"/>
        <v>#VALUE!</v>
      </c>
      <c r="KE73" s="962" t="e">
        <f t="shared" si="440"/>
        <v>#VALUE!</v>
      </c>
      <c r="KF73" s="962" t="e">
        <f t="shared" si="440"/>
        <v>#VALUE!</v>
      </c>
      <c r="KG73" s="962" t="e">
        <f t="shared" si="440"/>
        <v>#VALUE!</v>
      </c>
      <c r="KH73" s="962" t="e">
        <f t="shared" si="440"/>
        <v>#VALUE!</v>
      </c>
      <c r="KI73" s="962" t="e">
        <f t="shared" si="440"/>
        <v>#VALUE!</v>
      </c>
      <c r="KJ73" s="962" t="e">
        <f t="shared" si="440"/>
        <v>#VALUE!</v>
      </c>
      <c r="KK73" s="962" t="e">
        <f t="shared" si="440"/>
        <v>#VALUE!</v>
      </c>
      <c r="KL73" s="962" t="e">
        <f t="shared" si="440"/>
        <v>#VALUE!</v>
      </c>
      <c r="KM73" s="962" t="e">
        <f t="shared" si="440"/>
        <v>#VALUE!</v>
      </c>
      <c r="KN73" s="962" t="e">
        <f t="shared" si="440"/>
        <v>#VALUE!</v>
      </c>
      <c r="KO73" s="962" t="e">
        <f t="shared" si="440"/>
        <v>#VALUE!</v>
      </c>
      <c r="KP73" s="962" t="e">
        <f t="shared" si="440"/>
        <v>#VALUE!</v>
      </c>
      <c r="KQ73" s="962" t="e">
        <f t="shared" si="440"/>
        <v>#VALUE!</v>
      </c>
      <c r="KR73" s="962" t="e">
        <f t="shared" si="440"/>
        <v>#VALUE!</v>
      </c>
      <c r="KS73" s="962" t="e">
        <f t="shared" si="440"/>
        <v>#VALUE!</v>
      </c>
      <c r="KT73" s="962" t="e">
        <f t="shared" si="440"/>
        <v>#VALUE!</v>
      </c>
      <c r="KU73" s="962" t="e">
        <f t="shared" si="440"/>
        <v>#VALUE!</v>
      </c>
      <c r="KV73" s="962" t="e">
        <f t="shared" si="440"/>
        <v>#VALUE!</v>
      </c>
      <c r="KW73" s="962" t="e">
        <f t="shared" ref="KW73:NH73" si="441">IF(KW72-KW71&gt;-180,KW72-KW71,KW72-KW71+360)</f>
        <v>#VALUE!</v>
      </c>
      <c r="KX73" s="962" t="e">
        <f t="shared" si="441"/>
        <v>#VALUE!</v>
      </c>
      <c r="KY73" s="962" t="e">
        <f t="shared" si="441"/>
        <v>#VALUE!</v>
      </c>
      <c r="KZ73" s="962" t="e">
        <f t="shared" si="441"/>
        <v>#VALUE!</v>
      </c>
      <c r="LA73" s="962" t="e">
        <f t="shared" si="441"/>
        <v>#VALUE!</v>
      </c>
      <c r="LB73" s="962" t="e">
        <f t="shared" si="441"/>
        <v>#VALUE!</v>
      </c>
      <c r="LC73" s="962" t="e">
        <f t="shared" si="441"/>
        <v>#VALUE!</v>
      </c>
      <c r="LD73" s="962" t="e">
        <f t="shared" si="441"/>
        <v>#VALUE!</v>
      </c>
      <c r="LE73" s="962" t="e">
        <f t="shared" si="441"/>
        <v>#VALUE!</v>
      </c>
      <c r="LF73" s="962" t="e">
        <f t="shared" si="441"/>
        <v>#VALUE!</v>
      </c>
      <c r="LG73" s="962" t="e">
        <f t="shared" si="441"/>
        <v>#VALUE!</v>
      </c>
      <c r="LH73" s="962" t="e">
        <f t="shared" si="441"/>
        <v>#VALUE!</v>
      </c>
      <c r="LI73" s="962" t="e">
        <f t="shared" si="441"/>
        <v>#VALUE!</v>
      </c>
      <c r="LJ73" s="962" t="e">
        <f t="shared" si="441"/>
        <v>#VALUE!</v>
      </c>
      <c r="LK73" s="962" t="e">
        <f t="shared" si="441"/>
        <v>#VALUE!</v>
      </c>
      <c r="LL73" s="962" t="e">
        <f t="shared" si="441"/>
        <v>#VALUE!</v>
      </c>
      <c r="LM73" s="962" t="e">
        <f t="shared" si="441"/>
        <v>#VALUE!</v>
      </c>
      <c r="LN73" s="962" t="e">
        <f t="shared" si="441"/>
        <v>#VALUE!</v>
      </c>
      <c r="LO73" s="962" t="e">
        <f t="shared" si="441"/>
        <v>#VALUE!</v>
      </c>
      <c r="LP73" s="962" t="e">
        <f t="shared" si="441"/>
        <v>#VALUE!</v>
      </c>
      <c r="LQ73" s="962" t="e">
        <f t="shared" si="441"/>
        <v>#VALUE!</v>
      </c>
      <c r="LR73" s="962" t="e">
        <f t="shared" si="441"/>
        <v>#VALUE!</v>
      </c>
      <c r="LS73" s="962" t="e">
        <f t="shared" si="441"/>
        <v>#VALUE!</v>
      </c>
      <c r="LT73" s="962" t="e">
        <f t="shared" si="441"/>
        <v>#VALUE!</v>
      </c>
      <c r="LU73" s="962" t="e">
        <f t="shared" si="441"/>
        <v>#VALUE!</v>
      </c>
      <c r="LV73" s="962" t="e">
        <f t="shared" si="441"/>
        <v>#VALUE!</v>
      </c>
      <c r="LW73" s="962" t="e">
        <f t="shared" si="441"/>
        <v>#VALUE!</v>
      </c>
      <c r="LX73" s="962" t="e">
        <f t="shared" si="441"/>
        <v>#VALUE!</v>
      </c>
      <c r="LY73" s="962" t="e">
        <f t="shared" si="441"/>
        <v>#VALUE!</v>
      </c>
      <c r="LZ73" s="962" t="e">
        <f t="shared" si="441"/>
        <v>#VALUE!</v>
      </c>
      <c r="MA73" s="962" t="e">
        <f t="shared" si="441"/>
        <v>#VALUE!</v>
      </c>
      <c r="MB73" s="962" t="e">
        <f t="shared" si="441"/>
        <v>#VALUE!</v>
      </c>
      <c r="MC73" s="962" t="e">
        <f t="shared" si="441"/>
        <v>#VALUE!</v>
      </c>
      <c r="MD73" s="962" t="e">
        <f t="shared" si="441"/>
        <v>#VALUE!</v>
      </c>
      <c r="ME73" s="962" t="e">
        <f t="shared" si="441"/>
        <v>#VALUE!</v>
      </c>
      <c r="MF73" s="962" t="e">
        <f t="shared" si="441"/>
        <v>#VALUE!</v>
      </c>
      <c r="MG73" s="962" t="e">
        <f t="shared" si="441"/>
        <v>#VALUE!</v>
      </c>
      <c r="MH73" s="962" t="e">
        <f t="shared" si="441"/>
        <v>#VALUE!</v>
      </c>
      <c r="MI73" s="962" t="e">
        <f t="shared" si="441"/>
        <v>#VALUE!</v>
      </c>
      <c r="MJ73" s="962" t="e">
        <f t="shared" si="441"/>
        <v>#VALUE!</v>
      </c>
      <c r="MK73" s="962" t="e">
        <f t="shared" si="441"/>
        <v>#VALUE!</v>
      </c>
      <c r="ML73" s="962" t="e">
        <f t="shared" si="441"/>
        <v>#VALUE!</v>
      </c>
      <c r="MM73" s="962" t="e">
        <f t="shared" si="441"/>
        <v>#VALUE!</v>
      </c>
      <c r="MN73" s="962" t="e">
        <f t="shared" si="441"/>
        <v>#VALUE!</v>
      </c>
      <c r="MO73" s="962" t="e">
        <f t="shared" si="441"/>
        <v>#VALUE!</v>
      </c>
      <c r="MP73" s="962" t="e">
        <f t="shared" si="441"/>
        <v>#VALUE!</v>
      </c>
      <c r="MQ73" s="962" t="e">
        <f t="shared" si="441"/>
        <v>#VALUE!</v>
      </c>
      <c r="MR73" s="962" t="e">
        <f t="shared" si="441"/>
        <v>#VALUE!</v>
      </c>
      <c r="MS73" s="962" t="e">
        <f t="shared" si="441"/>
        <v>#VALUE!</v>
      </c>
      <c r="MT73" s="962" t="e">
        <f t="shared" si="441"/>
        <v>#VALUE!</v>
      </c>
      <c r="MU73" s="962" t="e">
        <f t="shared" si="441"/>
        <v>#VALUE!</v>
      </c>
      <c r="MV73" s="962" t="e">
        <f t="shared" si="441"/>
        <v>#VALUE!</v>
      </c>
      <c r="MW73" s="962" t="e">
        <f t="shared" si="441"/>
        <v>#VALUE!</v>
      </c>
      <c r="MX73" s="962" t="e">
        <f t="shared" si="441"/>
        <v>#VALUE!</v>
      </c>
      <c r="MY73" s="962" t="e">
        <f t="shared" si="441"/>
        <v>#VALUE!</v>
      </c>
      <c r="MZ73" s="962" t="e">
        <f t="shared" si="441"/>
        <v>#VALUE!</v>
      </c>
      <c r="NA73" s="962" t="e">
        <f t="shared" si="441"/>
        <v>#VALUE!</v>
      </c>
      <c r="NB73" s="962" t="e">
        <f t="shared" si="441"/>
        <v>#VALUE!</v>
      </c>
      <c r="NC73" s="962" t="e">
        <f t="shared" si="441"/>
        <v>#VALUE!</v>
      </c>
      <c r="ND73" s="962" t="e">
        <f t="shared" si="441"/>
        <v>#VALUE!</v>
      </c>
      <c r="NE73" s="962" t="e">
        <f t="shared" si="441"/>
        <v>#VALUE!</v>
      </c>
      <c r="NF73" s="962" t="e">
        <f t="shared" si="441"/>
        <v>#VALUE!</v>
      </c>
      <c r="NG73" s="962" t="e">
        <f t="shared" si="441"/>
        <v>#VALUE!</v>
      </c>
      <c r="NH73" s="962" t="e">
        <f t="shared" si="441"/>
        <v>#VALUE!</v>
      </c>
      <c r="NI73" s="962" t="e">
        <f t="shared" ref="NI73:PT73" si="442">IF(NI72-NI71&gt;-180,NI72-NI71,NI72-NI71+360)</f>
        <v>#VALUE!</v>
      </c>
      <c r="NJ73" s="962" t="e">
        <f t="shared" si="442"/>
        <v>#VALUE!</v>
      </c>
      <c r="NK73" s="962" t="e">
        <f t="shared" si="442"/>
        <v>#VALUE!</v>
      </c>
      <c r="NL73" s="962" t="e">
        <f t="shared" si="442"/>
        <v>#VALUE!</v>
      </c>
      <c r="NM73" s="962" t="e">
        <f t="shared" si="442"/>
        <v>#VALUE!</v>
      </c>
      <c r="NN73" s="962" t="e">
        <f t="shared" si="442"/>
        <v>#VALUE!</v>
      </c>
      <c r="NO73" s="962" t="e">
        <f t="shared" si="442"/>
        <v>#VALUE!</v>
      </c>
      <c r="NP73" s="962" t="e">
        <f t="shared" si="442"/>
        <v>#VALUE!</v>
      </c>
      <c r="NQ73" s="962" t="e">
        <f t="shared" si="442"/>
        <v>#VALUE!</v>
      </c>
      <c r="NR73" s="962" t="e">
        <f t="shared" si="442"/>
        <v>#VALUE!</v>
      </c>
      <c r="NS73" s="962" t="e">
        <f t="shared" si="442"/>
        <v>#VALUE!</v>
      </c>
      <c r="NT73" s="962" t="e">
        <f t="shared" si="442"/>
        <v>#VALUE!</v>
      </c>
      <c r="NU73" s="962" t="e">
        <f t="shared" si="442"/>
        <v>#VALUE!</v>
      </c>
      <c r="NV73" s="962" t="e">
        <f t="shared" si="442"/>
        <v>#VALUE!</v>
      </c>
      <c r="NW73" s="962" t="e">
        <f t="shared" si="442"/>
        <v>#VALUE!</v>
      </c>
      <c r="NX73" s="962" t="e">
        <f t="shared" si="442"/>
        <v>#VALUE!</v>
      </c>
      <c r="NY73" s="962" t="e">
        <f t="shared" si="442"/>
        <v>#VALUE!</v>
      </c>
      <c r="NZ73" s="962" t="e">
        <f t="shared" si="442"/>
        <v>#VALUE!</v>
      </c>
      <c r="OA73" s="962" t="e">
        <f t="shared" si="442"/>
        <v>#VALUE!</v>
      </c>
      <c r="OB73" s="962" t="e">
        <f t="shared" si="442"/>
        <v>#VALUE!</v>
      </c>
      <c r="OC73" s="962" t="e">
        <f t="shared" si="442"/>
        <v>#VALUE!</v>
      </c>
      <c r="OD73" s="962" t="e">
        <f t="shared" si="442"/>
        <v>#VALUE!</v>
      </c>
      <c r="OE73" s="962" t="e">
        <f t="shared" si="442"/>
        <v>#VALUE!</v>
      </c>
      <c r="OF73" s="962" t="e">
        <f t="shared" si="442"/>
        <v>#VALUE!</v>
      </c>
      <c r="OG73" s="962" t="e">
        <f t="shared" si="442"/>
        <v>#VALUE!</v>
      </c>
      <c r="OH73" s="962" t="e">
        <f t="shared" si="442"/>
        <v>#VALUE!</v>
      </c>
      <c r="OI73" s="962" t="e">
        <f t="shared" si="442"/>
        <v>#VALUE!</v>
      </c>
      <c r="OJ73" s="962" t="e">
        <f t="shared" si="442"/>
        <v>#VALUE!</v>
      </c>
      <c r="OK73" s="962" t="e">
        <f t="shared" si="442"/>
        <v>#VALUE!</v>
      </c>
      <c r="OL73" s="962" t="e">
        <f t="shared" si="442"/>
        <v>#VALUE!</v>
      </c>
      <c r="OM73" s="962" t="e">
        <f t="shared" si="442"/>
        <v>#VALUE!</v>
      </c>
      <c r="ON73" s="962" t="e">
        <f t="shared" si="442"/>
        <v>#VALUE!</v>
      </c>
      <c r="OO73" s="962" t="e">
        <f t="shared" si="442"/>
        <v>#VALUE!</v>
      </c>
      <c r="OP73" s="962" t="e">
        <f t="shared" si="442"/>
        <v>#VALUE!</v>
      </c>
      <c r="OQ73" s="962" t="e">
        <f t="shared" si="442"/>
        <v>#VALUE!</v>
      </c>
      <c r="OR73" s="962" t="e">
        <f t="shared" si="442"/>
        <v>#VALUE!</v>
      </c>
      <c r="OS73" s="962" t="e">
        <f t="shared" si="442"/>
        <v>#VALUE!</v>
      </c>
      <c r="OT73" s="962" t="e">
        <f t="shared" si="442"/>
        <v>#VALUE!</v>
      </c>
      <c r="OU73" s="962" t="e">
        <f t="shared" si="442"/>
        <v>#VALUE!</v>
      </c>
      <c r="OV73" s="962" t="e">
        <f t="shared" si="442"/>
        <v>#VALUE!</v>
      </c>
      <c r="OW73" s="962" t="e">
        <f t="shared" si="442"/>
        <v>#VALUE!</v>
      </c>
      <c r="OX73" s="962" t="e">
        <f t="shared" si="442"/>
        <v>#VALUE!</v>
      </c>
      <c r="OY73" s="962" t="e">
        <f t="shared" si="442"/>
        <v>#VALUE!</v>
      </c>
      <c r="OZ73" s="962" t="e">
        <f t="shared" si="442"/>
        <v>#VALUE!</v>
      </c>
      <c r="PA73" s="962" t="e">
        <f t="shared" si="442"/>
        <v>#VALUE!</v>
      </c>
      <c r="PB73" s="962" t="e">
        <f t="shared" si="442"/>
        <v>#VALUE!</v>
      </c>
      <c r="PC73" s="962" t="e">
        <f t="shared" si="442"/>
        <v>#VALUE!</v>
      </c>
      <c r="PD73" s="962" t="e">
        <f t="shared" si="442"/>
        <v>#VALUE!</v>
      </c>
      <c r="PE73" s="962" t="e">
        <f t="shared" si="442"/>
        <v>#VALUE!</v>
      </c>
      <c r="PF73" s="962" t="e">
        <f t="shared" si="442"/>
        <v>#VALUE!</v>
      </c>
      <c r="PG73" s="962" t="e">
        <f t="shared" si="442"/>
        <v>#VALUE!</v>
      </c>
      <c r="PH73" s="962" t="e">
        <f t="shared" si="442"/>
        <v>#VALUE!</v>
      </c>
      <c r="PI73" s="962" t="e">
        <f t="shared" si="442"/>
        <v>#VALUE!</v>
      </c>
      <c r="PJ73" s="962" t="e">
        <f t="shared" si="442"/>
        <v>#VALUE!</v>
      </c>
      <c r="PK73" s="962" t="e">
        <f t="shared" si="442"/>
        <v>#VALUE!</v>
      </c>
      <c r="PL73" s="962" t="e">
        <f t="shared" si="442"/>
        <v>#VALUE!</v>
      </c>
      <c r="PM73" s="962" t="e">
        <f t="shared" si="442"/>
        <v>#VALUE!</v>
      </c>
      <c r="PN73" s="962" t="e">
        <f t="shared" si="442"/>
        <v>#VALUE!</v>
      </c>
      <c r="PO73" s="962" t="e">
        <f t="shared" si="442"/>
        <v>#VALUE!</v>
      </c>
      <c r="PP73" s="962" t="e">
        <f t="shared" si="442"/>
        <v>#VALUE!</v>
      </c>
      <c r="PQ73" s="962" t="e">
        <f t="shared" si="442"/>
        <v>#VALUE!</v>
      </c>
      <c r="PR73" s="962" t="e">
        <f t="shared" si="442"/>
        <v>#VALUE!</v>
      </c>
      <c r="PS73" s="962" t="e">
        <f t="shared" si="442"/>
        <v>#VALUE!</v>
      </c>
      <c r="PT73" s="962" t="e">
        <f t="shared" si="442"/>
        <v>#VALUE!</v>
      </c>
      <c r="PU73" s="962" t="e">
        <f t="shared" ref="PU73:RA73" si="443">IF(PU72-PU71&gt;-180,PU72-PU71,PU72-PU71+360)</f>
        <v>#VALUE!</v>
      </c>
      <c r="PV73" s="962" t="e">
        <f t="shared" si="443"/>
        <v>#VALUE!</v>
      </c>
      <c r="PW73" s="962" t="e">
        <f t="shared" si="443"/>
        <v>#VALUE!</v>
      </c>
      <c r="PX73" s="962" t="e">
        <f t="shared" si="443"/>
        <v>#VALUE!</v>
      </c>
      <c r="PY73" s="962" t="e">
        <f t="shared" si="443"/>
        <v>#VALUE!</v>
      </c>
      <c r="PZ73" s="962" t="e">
        <f t="shared" si="443"/>
        <v>#VALUE!</v>
      </c>
      <c r="QA73" s="962" t="e">
        <f t="shared" si="443"/>
        <v>#VALUE!</v>
      </c>
      <c r="QB73" s="962" t="e">
        <f t="shared" si="443"/>
        <v>#VALUE!</v>
      </c>
      <c r="QC73" s="962" t="e">
        <f t="shared" si="443"/>
        <v>#VALUE!</v>
      </c>
      <c r="QD73" s="962" t="e">
        <f t="shared" si="443"/>
        <v>#VALUE!</v>
      </c>
      <c r="QE73" s="962" t="e">
        <f t="shared" si="443"/>
        <v>#VALUE!</v>
      </c>
      <c r="QF73" s="962" t="e">
        <f t="shared" si="443"/>
        <v>#VALUE!</v>
      </c>
      <c r="QG73" s="962" t="e">
        <f t="shared" si="443"/>
        <v>#VALUE!</v>
      </c>
      <c r="QH73" s="962" t="e">
        <f t="shared" si="443"/>
        <v>#VALUE!</v>
      </c>
      <c r="QI73" s="962" t="e">
        <f t="shared" si="443"/>
        <v>#VALUE!</v>
      </c>
      <c r="QJ73" s="962" t="e">
        <f t="shared" si="443"/>
        <v>#VALUE!</v>
      </c>
      <c r="QK73" s="962" t="e">
        <f t="shared" si="443"/>
        <v>#VALUE!</v>
      </c>
      <c r="QL73" s="962" t="e">
        <f t="shared" si="443"/>
        <v>#VALUE!</v>
      </c>
      <c r="QM73" s="962" t="e">
        <f t="shared" si="443"/>
        <v>#VALUE!</v>
      </c>
      <c r="QN73" s="962" t="e">
        <f t="shared" si="443"/>
        <v>#VALUE!</v>
      </c>
      <c r="QO73" s="962" t="e">
        <f t="shared" si="443"/>
        <v>#VALUE!</v>
      </c>
      <c r="QP73" s="962" t="e">
        <f t="shared" si="443"/>
        <v>#VALUE!</v>
      </c>
      <c r="QQ73" s="962" t="e">
        <f t="shared" si="443"/>
        <v>#VALUE!</v>
      </c>
      <c r="QR73" s="962" t="e">
        <f t="shared" si="443"/>
        <v>#VALUE!</v>
      </c>
      <c r="QS73" s="962" t="e">
        <f t="shared" si="443"/>
        <v>#VALUE!</v>
      </c>
      <c r="QT73" s="962" t="e">
        <f t="shared" si="443"/>
        <v>#VALUE!</v>
      </c>
      <c r="QU73" s="962" t="e">
        <f t="shared" si="443"/>
        <v>#VALUE!</v>
      </c>
      <c r="QV73" s="962" t="e">
        <f t="shared" si="443"/>
        <v>#VALUE!</v>
      </c>
      <c r="QW73" s="962" t="e">
        <f t="shared" si="443"/>
        <v>#VALUE!</v>
      </c>
      <c r="QX73" s="962" t="e">
        <f t="shared" si="443"/>
        <v>#VALUE!</v>
      </c>
      <c r="QY73" s="962" t="e">
        <f t="shared" si="443"/>
        <v>#VALUE!</v>
      </c>
      <c r="QZ73" s="962" t="e">
        <f t="shared" si="443"/>
        <v>#VALUE!</v>
      </c>
      <c r="RA73" s="963" t="e">
        <f t="shared" si="443"/>
        <v>#VALUE!</v>
      </c>
      <c r="RC73" s="797"/>
    </row>
    <row r="74" spans="2:471" ht="17.25">
      <c r="B74" s="2"/>
      <c r="C74" s="2"/>
      <c r="D74" s="2"/>
      <c r="E74" s="2"/>
      <c r="F74" s="2"/>
      <c r="G74" s="2"/>
      <c r="H74" s="2"/>
      <c r="I74" s="2"/>
      <c r="J74" s="2"/>
      <c r="K74" s="2"/>
      <c r="L74" s="2"/>
      <c r="M74" s="2"/>
      <c r="N74" s="2"/>
      <c r="O74" s="2"/>
      <c r="P74" s="2"/>
      <c r="Q74" s="2">
        <f>MOD(INT((C73-1)*365.25),7)</f>
        <v>3</v>
      </c>
      <c r="R74" s="2">
        <f>MOD((Q74+3),7)</f>
        <v>6</v>
      </c>
      <c r="S74" s="2">
        <f>MOD((R74+2),7)</f>
        <v>1</v>
      </c>
      <c r="T74" s="2">
        <f>MOD((S74+3),7)</f>
        <v>4</v>
      </c>
      <c r="U74" s="2">
        <f>MOD((T74+3),7)</f>
        <v>0</v>
      </c>
      <c r="V74" s="2">
        <f>MOD((IF(F73=1,U74+1,U74+0)),7)</f>
        <v>0</v>
      </c>
      <c r="W74" s="2">
        <f>MOD((V74+3),7)</f>
        <v>3</v>
      </c>
      <c r="X74" s="2">
        <f>MOD((W74+2),7)</f>
        <v>5</v>
      </c>
      <c r="Y74" s="2">
        <f>MOD((X74+3),7)</f>
        <v>1</v>
      </c>
      <c r="Z74" s="2">
        <f>MOD((Y74+2),7)</f>
        <v>3</v>
      </c>
      <c r="AA74" s="2">
        <f>MOD((Z74+3),7)</f>
        <v>6</v>
      </c>
      <c r="AB74" s="2">
        <f>MOD((AA74+3),7)</f>
        <v>2</v>
      </c>
      <c r="AC74" s="2"/>
      <c r="DH74" s="797"/>
      <c r="DI74" s="797" t="s">
        <v>3802</v>
      </c>
      <c r="DJ74" s="959" t="e">
        <f>[1]!bodmoadal(1,1,(DJ67+1),[1]!qsn([1]!ml([1]!taqsha(1,1,1+DJ67,DJ68)),DJ69)/30,DJ68,DJ69)</f>
        <v>#VALUE!</v>
      </c>
      <c r="DK74" s="962" t="e">
        <f>[1]!bodmoadal(1,1,(DK67+1),[1]!qsn([1]!ml([1]!taqsha(1,1,1+DK67,DK68)),DK69)/30,DK68,DK69)</f>
        <v>#VALUE!</v>
      </c>
      <c r="DL74" s="962" t="e">
        <f>[1]!bodmoadal(1,1,(DL67+1),[1]!qsn([1]!ml([1]!taqsha(1,1,1+DL67,DL68)),DL69)/30,DL68,DL69)</f>
        <v>#VALUE!</v>
      </c>
      <c r="DM74" s="962" t="e">
        <f>[1]!bodmoadal(1,1,(DM67+1),[1]!qsn([1]!ml([1]!taqsha(1,1,1+DM67,DM68)),DM69)/30,DM68,DM69)</f>
        <v>#VALUE!</v>
      </c>
      <c r="DN74" s="962" t="e">
        <f>[1]!bodmoadal(1,1,(DN67+1),[1]!qsn([1]!ml([1]!taqsha(1,1,1+DN67,DN68)),DN69)/30,DN68,DN69)</f>
        <v>#VALUE!</v>
      </c>
      <c r="DO74" s="962" t="e">
        <f>[1]!bodmoadal(1,1,(DO67+1),[1]!qsn([1]!ml([1]!taqsha(1,1,1+DO67,DO68)),DO69)/30,DO68,DO69)</f>
        <v>#VALUE!</v>
      </c>
      <c r="DP74" s="962" t="e">
        <f>[1]!bodmoadal(1,1,(DP67+1),[1]!qsn([1]!ml([1]!taqsha(1,1,1+DP67,DP68)),DP69)/30,DP68,DP69)</f>
        <v>#VALUE!</v>
      </c>
      <c r="DQ74" s="962" t="e">
        <f>[1]!bodmoadal(1,1,(DQ67+1),[1]!qsn([1]!ml([1]!taqsha(1,1,1+DQ67,DQ68)),DQ69)/30,DQ68,DQ69)</f>
        <v>#VALUE!</v>
      </c>
      <c r="DR74" s="962" t="e">
        <f>[1]!bodmoadal(1,1,(DR67+1),[1]!qsn([1]!ml([1]!taqsha(1,1,1+DR67,DR68)),DR69)/30,DR68,DR69)</f>
        <v>#VALUE!</v>
      </c>
      <c r="DS74" s="962" t="e">
        <f>[1]!bodmoadal(1,1,(DS67+1),[1]!qsn([1]!ml([1]!taqsha(1,1,1+DS67,DS68)),DS69)/30,DS68,DS69)</f>
        <v>#VALUE!</v>
      </c>
      <c r="DT74" s="962" t="e">
        <f>[1]!bodmoadal(1,1,(DT67+1),[1]!qsn([1]!ml([1]!taqsha(1,1,1+DT67,DT68)),DT69)/30,DT68,DT69)</f>
        <v>#VALUE!</v>
      </c>
      <c r="DU74" s="962" t="e">
        <f>[1]!bodmoadal(1,1,(DU67+1),[1]!qsn([1]!ml([1]!taqsha(1,1,1+DU67,DU68)),DU69)/30,DU68,DU69)</f>
        <v>#VALUE!</v>
      </c>
      <c r="DV74" s="962" t="e">
        <f>[1]!bodmoadal(1,1,(DV67+1),[1]!qsn([1]!ml([1]!taqsha(1,1,1+DV67,DV68)),DV69)/30,DV68,DV69)</f>
        <v>#VALUE!</v>
      </c>
      <c r="DW74" s="962" t="e">
        <f>[1]!bodmoadal(1,1,(DW67+1),[1]!qsn([1]!ml([1]!taqsha(1,1,1+DW67,DW68)),DW69)/30,DW68,DW69)</f>
        <v>#VALUE!</v>
      </c>
      <c r="DX74" s="962" t="e">
        <f>[1]!bodmoadal(1,1,(DX67+1),[1]!qsn([1]!ml([1]!taqsha(1,1,1+DX67,DX68)),DX69)/30,DX68,DX69)</f>
        <v>#VALUE!</v>
      </c>
      <c r="DY74" s="962" t="e">
        <f>[1]!bodmoadal(1,1,(DY67+1),[1]!qsn([1]!ml([1]!taqsha(1,1,1+DY67,DY68)),DY69)/30,DY68,DY69)</f>
        <v>#VALUE!</v>
      </c>
      <c r="DZ74" s="962" t="e">
        <f>[1]!bodmoadal(1,1,(DZ67+1),[1]!qsn([1]!ml([1]!taqsha(1,1,1+DZ67,DZ68)),DZ69)/30,DZ68,DZ69)</f>
        <v>#VALUE!</v>
      </c>
      <c r="EA74" s="962" t="e">
        <f>[1]!bodmoadal(1,1,(EA67+1),[1]!qsn([1]!ml([1]!taqsha(1,1,1+EA67,EA68)),EA69)/30,EA68,EA69)</f>
        <v>#VALUE!</v>
      </c>
      <c r="EB74" s="962" t="e">
        <f>[1]!bodmoadal(1,1,(EB67+1),[1]!qsn([1]!ml([1]!taqsha(1,1,1+EB67,EB68)),EB69)/30,EB68,EB69)</f>
        <v>#VALUE!</v>
      </c>
      <c r="EC74" s="962" t="e">
        <f>[1]!bodmoadal(1,1,(EC67+1),[1]!qsn([1]!ml([1]!taqsha(1,1,1+EC67,EC68)),EC69)/30,EC68,EC69)</f>
        <v>#VALUE!</v>
      </c>
      <c r="ED74" s="962" t="e">
        <f>[1]!bodmoadal(1,1,(ED67+1),[1]!qsn([1]!ml([1]!taqsha(1,1,1+ED67,ED68)),ED69)/30,ED68,ED69)</f>
        <v>#VALUE!</v>
      </c>
      <c r="EE74" s="962" t="e">
        <f>[1]!bodmoadal(1,1,(EE67+1),[1]!qsn([1]!ml([1]!taqsha(1,1,1+EE67,EE68)),EE69)/30,EE68,EE69)</f>
        <v>#VALUE!</v>
      </c>
      <c r="EF74" s="962" t="e">
        <f>[1]!bodmoadal(1,1,(EF67+1),[1]!qsn([1]!ml([1]!taqsha(1,1,1+EF67,EF68)),EF69)/30,EF68,EF69)</f>
        <v>#VALUE!</v>
      </c>
      <c r="EG74" s="962" t="e">
        <f>[1]!bodmoadal(1,1,(EG67+1),[1]!qsn([1]!ml([1]!taqsha(1,1,1+EG67,EG68)),EG69)/30,EG68,EG69)</f>
        <v>#VALUE!</v>
      </c>
      <c r="EH74" s="962" t="e">
        <f>[1]!bodmoadal(1,1,(EH67+1),[1]!qsn([1]!ml([1]!taqsha(1,1,1+EH67,EH68)),EH69)/30,EH68,EH69)</f>
        <v>#VALUE!</v>
      </c>
      <c r="EI74" s="962" t="e">
        <f>[1]!bodmoadal(1,1,(EI67+1),[1]!qsn([1]!ml([1]!taqsha(1,1,1+EI67,EI68)),EI69)/30,EI68,EI69)</f>
        <v>#VALUE!</v>
      </c>
      <c r="EJ74" s="962" t="e">
        <f>[1]!bodmoadal(1,1,(EJ67+1),[1]!qsn([1]!ml([1]!taqsha(1,1,1+EJ67,EJ68)),EJ69)/30,EJ68,EJ69)</f>
        <v>#VALUE!</v>
      </c>
      <c r="EK74" s="962" t="e">
        <f>[1]!bodmoadal(1,1,(EK67+1),[1]!qsn([1]!ml([1]!taqsha(1,1,1+EK67,EK68)),EK69)/30,EK68,EK69)</f>
        <v>#VALUE!</v>
      </c>
      <c r="EL74" s="962" t="e">
        <f>[1]!bodmoadal(1,1,(EL67+1),[1]!qsn([1]!ml([1]!taqsha(1,1,1+EL67,EL68)),EL69)/30,EL68,EL69)</f>
        <v>#VALUE!</v>
      </c>
      <c r="EM74" s="962" t="e">
        <f>[1]!bodmoadal(1,1,(EM67+1),[1]!qsn([1]!ml([1]!taqsha(1,1,1+EM67,EM68)),EM69)/30,EM68,EM69)</f>
        <v>#VALUE!</v>
      </c>
      <c r="EN74" s="962" t="e">
        <f>[1]!bodmoadal(1,1,(EN67+1),[1]!qsn([1]!ml([1]!taqsha(1,1,1+EN67,EN68)),EN69)/30,EN68,EN69)</f>
        <v>#VALUE!</v>
      </c>
      <c r="EO74" s="962" t="e">
        <f>[1]!bodmoadal(1,1,(EO67+1),[1]!qsn([1]!ml([1]!taqsha(1,1,1+EO67,EO68)),EO69)/30,EO68,EO69)</f>
        <v>#VALUE!</v>
      </c>
      <c r="EP74" s="962" t="e">
        <f>[1]!bodmoadal(1,1,(EP67+1),[1]!qsn([1]!ml([1]!taqsha(1,1,1+EP67,EP68)),EP69)/30,EP68,EP69)</f>
        <v>#VALUE!</v>
      </c>
      <c r="EQ74" s="962" t="e">
        <f>[1]!bodmoadal(1,1,(EQ67+1),[1]!qsn([1]!ml([1]!taqsha(1,1,1+EQ67,EQ68)),EQ69)/30,EQ68,EQ69)</f>
        <v>#VALUE!</v>
      </c>
      <c r="ER74" s="962" t="e">
        <f>[1]!bodmoadal(1,1,(ER67+1),[1]!qsn([1]!ml([1]!taqsha(1,1,1+ER67,ER68)),ER69)/30,ER68,ER69)</f>
        <v>#VALUE!</v>
      </c>
      <c r="ES74" s="962" t="e">
        <f>[1]!bodmoadal(1,1,(ES67+1),[1]!qsn([1]!ml([1]!taqsha(1,1,1+ES67,ES68)),ES69)/30,ES68,ES69)</f>
        <v>#VALUE!</v>
      </c>
      <c r="ET74" s="962" t="e">
        <f>[1]!bodmoadal(1,1,(ET67+1),[1]!qsn([1]!ml([1]!taqsha(1,1,1+ET67,ET68)),ET69)/30,ET68,ET69)</f>
        <v>#VALUE!</v>
      </c>
      <c r="EU74" s="962" t="e">
        <f>[1]!bodmoadal(1,1,(EU67+1),[1]!qsn([1]!ml([1]!taqsha(1,1,1+EU67,EU68)),EU69)/30,EU68,EU69)</f>
        <v>#VALUE!</v>
      </c>
      <c r="EV74" s="962" t="e">
        <f>[1]!bodmoadal(1,1,(EV67+1),[1]!qsn([1]!ml([1]!taqsha(1,1,1+EV67,EV68)),EV69)/30,EV68,EV69)</f>
        <v>#VALUE!</v>
      </c>
      <c r="EW74" s="962" t="e">
        <f>[1]!bodmoadal(1,1,(EW67+1),[1]!qsn([1]!ml([1]!taqsha(1,1,1+EW67,EW68)),EW69)/30,EW68,EW69)</f>
        <v>#VALUE!</v>
      </c>
      <c r="EX74" s="962" t="e">
        <f>[1]!bodmoadal(1,1,(EX67+1),[1]!qsn([1]!ml([1]!taqsha(1,1,1+EX67,EX68)),EX69)/30,EX68,EX69)</f>
        <v>#VALUE!</v>
      </c>
      <c r="EY74" s="962" t="e">
        <f>[1]!bodmoadal(1,1,(EY67+1),[1]!qsn([1]!ml([1]!taqsha(1,1,1+EY67,EY68)),EY69)/30,EY68,EY69)</f>
        <v>#VALUE!</v>
      </c>
      <c r="EZ74" s="962" t="e">
        <f>[1]!bodmoadal(1,1,(EZ67+1),[1]!qsn([1]!ml([1]!taqsha(1,1,1+EZ67,EZ68)),EZ69)/30,EZ68,EZ69)</f>
        <v>#VALUE!</v>
      </c>
      <c r="FA74" s="962" t="e">
        <f>[1]!bodmoadal(1,1,(FA67+1),[1]!qsn([1]!ml([1]!taqsha(1,1,1+FA67,FA68)),FA69)/30,FA68,FA69)</f>
        <v>#VALUE!</v>
      </c>
      <c r="FB74" s="962" t="e">
        <f>[1]!bodmoadal(1,1,(FB67+1),[1]!qsn([1]!ml([1]!taqsha(1,1,1+FB67,FB68)),FB69)/30,FB68,FB69)</f>
        <v>#VALUE!</v>
      </c>
      <c r="FC74" s="962" t="e">
        <f>[1]!bodmoadal(1,1,(FC67+1),[1]!qsn([1]!ml([1]!taqsha(1,1,1+FC67,FC68)),FC69)/30,FC68,FC69)</f>
        <v>#VALUE!</v>
      </c>
      <c r="FD74" s="962" t="e">
        <f>[1]!bodmoadal(1,1,(FD67+1),[1]!qsn([1]!ml([1]!taqsha(1,1,1+FD67,FD68)),FD69)/30,FD68,FD69)</f>
        <v>#VALUE!</v>
      </c>
      <c r="FE74" s="962" t="e">
        <f>[1]!bodmoadal(1,1,(FE67+1),[1]!qsn([1]!ml([1]!taqsha(1,1,1+FE67,FE68)),FE69)/30,FE68,FE69)</f>
        <v>#VALUE!</v>
      </c>
      <c r="FF74" s="962" t="e">
        <f>[1]!bodmoadal(1,1,(FF67+1),[1]!qsn([1]!ml([1]!taqsha(1,1,1+FF67,FF68)),FF69)/30,FF68,FF69)</f>
        <v>#VALUE!</v>
      </c>
      <c r="FG74" s="962" t="e">
        <f>[1]!bodmoadal(1,1,(FG67+1),[1]!qsn([1]!ml([1]!taqsha(1,1,1+FG67,FG68)),FG69)/30,FG68,FG69)</f>
        <v>#VALUE!</v>
      </c>
      <c r="FH74" s="962" t="e">
        <f>[1]!bodmoadal(1,1,(FH67+1),[1]!qsn([1]!ml([1]!taqsha(1,1,1+FH67,FH68)),FH69)/30,FH68,FH69)</f>
        <v>#VALUE!</v>
      </c>
      <c r="FI74" s="962" t="e">
        <f>[1]!bodmoadal(1,1,(FI67+1),[1]!qsn([1]!ml([1]!taqsha(1,1,1+FI67,FI68)),FI69)/30,FI68,FI69)</f>
        <v>#VALUE!</v>
      </c>
      <c r="FJ74" s="962" t="e">
        <f>[1]!bodmoadal(1,1,(FJ67+1),[1]!qsn([1]!ml([1]!taqsha(1,1,1+FJ67,FJ68)),FJ69)/30,FJ68,FJ69)</f>
        <v>#VALUE!</v>
      </c>
      <c r="FK74" s="962" t="e">
        <f>[1]!bodmoadal(1,1,(FK67+1),[1]!qsn([1]!ml([1]!taqsha(1,1,1+FK67,FK68)),FK69)/30,FK68,FK69)</f>
        <v>#VALUE!</v>
      </c>
      <c r="FL74" s="962" t="e">
        <f>[1]!bodmoadal(1,1,(FL67+1),[1]!qsn([1]!ml([1]!taqsha(1,1,1+FL67,FL68)),FL69)/30,FL68,FL69)</f>
        <v>#VALUE!</v>
      </c>
      <c r="FM74" s="962" t="e">
        <f>[1]!bodmoadal(1,1,(FM67+1),[1]!qsn([1]!ml([1]!taqsha(1,1,1+FM67,FM68)),FM69)/30,FM68,FM69)</f>
        <v>#VALUE!</v>
      </c>
      <c r="FN74" s="962" t="e">
        <f>[1]!bodmoadal(1,1,(FN67+1),[1]!qsn([1]!ml([1]!taqsha(1,1,1+FN67,FN68)),FN69)/30,FN68,FN69)</f>
        <v>#VALUE!</v>
      </c>
      <c r="FO74" s="962" t="e">
        <f>[1]!bodmoadal(1,1,(FO67+1),[1]!qsn([1]!ml([1]!taqsha(1,1,1+FO67,FO68)),FO69)/30,FO68,FO69)</f>
        <v>#VALUE!</v>
      </c>
      <c r="FP74" s="962" t="e">
        <f>[1]!bodmoadal(1,1,(FP67+1),[1]!qsn([1]!ml([1]!taqsha(1,1,1+FP67,FP68)),FP69)/30,FP68,FP69)</f>
        <v>#VALUE!</v>
      </c>
      <c r="FQ74" s="962" t="e">
        <f>[1]!bodmoadal(1,1,(FQ67+1),[1]!qsn([1]!ml([1]!taqsha(1,1,1+FQ67,FQ68)),FQ69)/30,FQ68,FQ69)</f>
        <v>#VALUE!</v>
      </c>
      <c r="FR74" s="962" t="e">
        <f>[1]!bodmoadal(1,1,(FR67+1),[1]!qsn([1]!ml([1]!taqsha(1,1,1+FR67,FR68)),FR69)/30,FR68,FR69)</f>
        <v>#VALUE!</v>
      </c>
      <c r="FS74" s="962" t="e">
        <f>[1]!bodmoadal(1,1,(FS67+1),[1]!qsn([1]!ml([1]!taqsha(1,1,1+FS67,FS68)),FS69)/30,FS68,FS69)</f>
        <v>#VALUE!</v>
      </c>
      <c r="FT74" s="962" t="e">
        <f>[1]!bodmoadal(1,1,(FT67+1),[1]!qsn([1]!ml([1]!taqsha(1,1,1+FT67,FT68)),FT69)/30,FT68,FT69)</f>
        <v>#VALUE!</v>
      </c>
      <c r="FU74" s="962" t="e">
        <f>[1]!bodmoadal(1,1,(FU67+1),[1]!qsn([1]!ml([1]!taqsha(1,1,1+FU67,FU68)),FU69)/30,FU68,FU69)</f>
        <v>#VALUE!</v>
      </c>
      <c r="FV74" s="962" t="e">
        <f>[1]!bodmoadal(1,1,(FV67+1),[1]!qsn([1]!ml([1]!taqsha(1,1,1+FV67,FV68)),FV69)/30,FV68,FV69)</f>
        <v>#VALUE!</v>
      </c>
      <c r="FW74" s="962" t="e">
        <f>[1]!bodmoadal(1,1,(FW67+1),[1]!qsn([1]!ml([1]!taqsha(1,1,1+FW67,FW68)),FW69)/30,FW68,FW69)</f>
        <v>#VALUE!</v>
      </c>
      <c r="FX74" s="962" t="e">
        <f>[1]!bodmoadal(1,1,(FX67+1),[1]!qsn([1]!ml([1]!taqsha(1,1,1+FX67,FX68)),FX69)/30,FX68,FX69)</f>
        <v>#VALUE!</v>
      </c>
      <c r="FY74" s="962" t="e">
        <f>[1]!bodmoadal(1,1,(FY67+1),[1]!qsn([1]!ml([1]!taqsha(1,1,1+FY67,FY68)),FY69)/30,FY68,FY69)</f>
        <v>#VALUE!</v>
      </c>
      <c r="FZ74" s="962" t="e">
        <f>[1]!bodmoadal(1,1,(FZ67+1),[1]!qsn([1]!ml([1]!taqsha(1,1,1+FZ67,FZ68)),FZ69)/30,FZ68,FZ69)</f>
        <v>#VALUE!</v>
      </c>
      <c r="GA74" s="962" t="e">
        <f>[1]!bodmoadal(1,1,(GA67+1),[1]!qsn([1]!ml([1]!taqsha(1,1,1+GA67,GA68)),GA69)/30,GA68,GA69)</f>
        <v>#VALUE!</v>
      </c>
      <c r="GB74" s="962" t="e">
        <f>[1]!bodmoadal(1,1,(GB67+1),[1]!qsn([1]!ml([1]!taqsha(1,1,1+GB67,GB68)),GB69)/30,GB68,GB69)</f>
        <v>#VALUE!</v>
      </c>
      <c r="GC74" s="962" t="e">
        <f>[1]!bodmoadal(1,1,(GC67+1),[1]!qsn([1]!ml([1]!taqsha(1,1,1+GC67,GC68)),GC69)/30,GC68,GC69)</f>
        <v>#VALUE!</v>
      </c>
      <c r="GD74" s="962" t="e">
        <f>[1]!bodmoadal(1,1,(GD67+1),[1]!qsn([1]!ml([1]!taqsha(1,1,1+GD67,GD68)),GD69)/30,GD68,GD69)</f>
        <v>#VALUE!</v>
      </c>
      <c r="GE74" s="962" t="e">
        <f>[1]!bodmoadal(1,1,(GE67+1),[1]!qsn([1]!ml([1]!taqsha(1,1,1+GE67,GE68)),GE69)/30,GE68,GE69)</f>
        <v>#VALUE!</v>
      </c>
      <c r="GF74" s="962" t="e">
        <f>[1]!bodmoadal(1,1,(GF67+1),[1]!qsn([1]!ml([1]!taqsha(1,1,1+GF67,GF68)),GF69)/30,GF68,GF69)</f>
        <v>#VALUE!</v>
      </c>
      <c r="GG74" s="962" t="e">
        <f>[1]!bodmoadal(1,1,(GG67+1),[1]!qsn([1]!ml([1]!taqsha(1,1,1+GG67,GG68)),GG69)/30,GG68,GG69)</f>
        <v>#VALUE!</v>
      </c>
      <c r="GH74" s="962" t="e">
        <f>[1]!bodmoadal(1,1,(GH67+1),[1]!qsn([1]!ml([1]!taqsha(1,1,1+GH67,GH68)),GH69)/30,GH68,GH69)</f>
        <v>#VALUE!</v>
      </c>
      <c r="GI74" s="962" t="e">
        <f>[1]!bodmoadal(1,1,(GI67+1),[1]!qsn([1]!ml([1]!taqsha(1,1,1+GI67,GI68)),GI69)/30,GI68,GI69)</f>
        <v>#VALUE!</v>
      </c>
      <c r="GJ74" s="962" t="e">
        <f>[1]!bodmoadal(1,1,(GJ67+1),[1]!qsn([1]!ml([1]!taqsha(1,1,1+GJ67,GJ68)),GJ69)/30,GJ68,GJ69)</f>
        <v>#VALUE!</v>
      </c>
      <c r="GK74" s="962" t="e">
        <f>[1]!bodmoadal(1,1,(GK67+1),[1]!qsn([1]!ml([1]!taqsha(1,1,1+GK67,GK68)),GK69)/30,GK68,GK69)</f>
        <v>#VALUE!</v>
      </c>
      <c r="GL74" s="962" t="e">
        <f>[1]!bodmoadal(1,1,(GL67+1),[1]!qsn([1]!ml([1]!taqsha(1,1,1+GL67,GL68)),GL69)/30,GL68,GL69)</f>
        <v>#VALUE!</v>
      </c>
      <c r="GM74" s="962" t="e">
        <f>[1]!bodmoadal(1,1,(GM67+1),[1]!qsn([1]!ml([1]!taqsha(1,1,1+GM67,GM68)),GM69)/30,GM68,GM69)</f>
        <v>#VALUE!</v>
      </c>
      <c r="GN74" s="962" t="e">
        <f>[1]!bodmoadal(1,1,(GN67+1),[1]!qsn([1]!ml([1]!taqsha(1,1,1+GN67,GN68)),GN69)/30,GN68,GN69)</f>
        <v>#VALUE!</v>
      </c>
      <c r="GO74" s="962" t="e">
        <f>[1]!bodmoadal(1,1,(GO67+1),[1]!qsn([1]!ml([1]!taqsha(1,1,1+GO67,GO68)),GO69)/30,GO68,GO69)</f>
        <v>#VALUE!</v>
      </c>
      <c r="GP74" s="962" t="e">
        <f>[1]!bodmoadal(1,1,(GP67+1),[1]!qsn([1]!ml([1]!taqsha(1,1,1+GP67,GP68)),GP69)/30,GP68,GP69)</f>
        <v>#VALUE!</v>
      </c>
      <c r="GQ74" s="962" t="e">
        <f>[1]!bodmoadal(1,1,(GQ67+1),[1]!qsn([1]!ml([1]!taqsha(1,1,1+GQ67,GQ68)),GQ69)/30,GQ68,GQ69)</f>
        <v>#VALUE!</v>
      </c>
      <c r="GR74" s="962" t="e">
        <f>[1]!bodmoadal(1,1,(GR67+1),[1]!qsn([1]!ml([1]!taqsha(1,1,1+GR67,GR68)),GR69)/30,GR68,GR69)</f>
        <v>#VALUE!</v>
      </c>
      <c r="GS74" s="962" t="e">
        <f>[1]!bodmoadal(1,1,(GS67+1),[1]!qsn([1]!ml([1]!taqsha(1,1,1+GS67,GS68)),GS69)/30,GS68,GS69)</f>
        <v>#VALUE!</v>
      </c>
      <c r="GT74" s="962" t="e">
        <f>[1]!bodmoadal(1,1,(GT67+1),[1]!qsn([1]!ml([1]!taqsha(1,1,1+GT67,GT68)),GT69)/30,GT68,GT69)</f>
        <v>#VALUE!</v>
      </c>
      <c r="GU74" s="962" t="e">
        <f>[1]!bodmoadal(1,1,(GU67+1),[1]!qsn([1]!ml([1]!taqsha(1,1,1+GU67,GU68)),GU69)/30,GU68,GU69)</f>
        <v>#VALUE!</v>
      </c>
      <c r="GV74" s="962" t="e">
        <f>[1]!bodmoadal(1,1,(GV67+1),[1]!qsn([1]!ml([1]!taqsha(1,1,1+GV67,GV68)),GV69)/30,GV68,GV69)</f>
        <v>#VALUE!</v>
      </c>
      <c r="GW74" s="962" t="e">
        <f>[1]!bodmoadal(1,1,(GW67+1),[1]!qsn([1]!ml([1]!taqsha(1,1,1+GW67,GW68)),GW69)/30,GW68,GW69)</f>
        <v>#VALUE!</v>
      </c>
      <c r="GX74" s="962" t="e">
        <f>[1]!bodmoadal(1,1,(GX67+1),[1]!qsn([1]!ml([1]!taqsha(1,1,1+GX67,GX68)),GX69)/30,GX68,GX69)</f>
        <v>#VALUE!</v>
      </c>
      <c r="GY74" s="962" t="e">
        <f>[1]!bodmoadal(1,1,(GY67+1),[1]!qsn([1]!ml([1]!taqsha(1,1,1+GY67,GY68)),GY69)/30,GY68,GY69)</f>
        <v>#VALUE!</v>
      </c>
      <c r="GZ74" s="962" t="e">
        <f>[1]!bodmoadal(1,1,(GZ67+1),[1]!qsn([1]!ml([1]!taqsha(1,1,1+GZ67,GZ68)),GZ69)/30,GZ68,GZ69)</f>
        <v>#VALUE!</v>
      </c>
      <c r="HA74" s="962" t="e">
        <f>[1]!bodmoadal(1,1,(HA67+1),[1]!qsn([1]!ml([1]!taqsha(1,1,1+HA67,HA68)),HA69)/30,HA68,HA69)</f>
        <v>#VALUE!</v>
      </c>
      <c r="HB74" s="962" t="e">
        <f>[1]!bodmoadal(1,1,(HB67+1),[1]!qsn([1]!ml([1]!taqsha(1,1,1+HB67,HB68)),HB69)/30,HB68,HB69)</f>
        <v>#VALUE!</v>
      </c>
      <c r="HC74" s="962" t="e">
        <f>[1]!bodmoadal(1,1,(HC67+1),[1]!qsn([1]!ml([1]!taqsha(1,1,1+HC67,HC68)),HC69)/30,HC68,HC69)</f>
        <v>#VALUE!</v>
      </c>
      <c r="HD74" s="962" t="e">
        <f>[1]!bodmoadal(1,1,(HD67+1),[1]!qsn([1]!ml([1]!taqsha(1,1,1+HD67,HD68)),HD69)/30,HD68,HD69)</f>
        <v>#VALUE!</v>
      </c>
      <c r="HE74" s="962" t="e">
        <f>[1]!bodmoadal(1,1,(HE67+1),[1]!qsn([1]!ml([1]!taqsha(1,1,1+HE67,HE68)),HE69)/30,HE68,HE69)</f>
        <v>#VALUE!</v>
      </c>
      <c r="HF74" s="962" t="e">
        <f>[1]!bodmoadal(1,1,(HF67+1),[1]!qsn([1]!ml([1]!taqsha(1,1,1+HF67,HF68)),HF69)/30,HF68,HF69)</f>
        <v>#VALUE!</v>
      </c>
      <c r="HG74" s="962" t="e">
        <f>[1]!bodmoadal(1,1,(HG67+1),[1]!qsn([1]!ml([1]!taqsha(1,1,1+HG67,HG68)),HG69)/30,HG68,HG69)</f>
        <v>#VALUE!</v>
      </c>
      <c r="HH74" s="962" t="e">
        <f>[1]!bodmoadal(1,1,(HH67+1),[1]!qsn([1]!ml([1]!taqsha(1,1,1+HH67,HH68)),HH69)/30,HH68,HH69)</f>
        <v>#VALUE!</v>
      </c>
      <c r="HI74" s="962" t="e">
        <f>[1]!bodmoadal(1,1,(HI67+1),[1]!qsn([1]!ml([1]!taqsha(1,1,1+HI67,HI68)),HI69)/30,HI68,HI69)</f>
        <v>#VALUE!</v>
      </c>
      <c r="HJ74" s="962" t="e">
        <f>[1]!bodmoadal(1,1,(HJ67+1),[1]!qsn([1]!ml([1]!taqsha(1,1,1+HJ67,HJ68)),HJ69)/30,HJ68,HJ69)</f>
        <v>#VALUE!</v>
      </c>
      <c r="HK74" s="962" t="e">
        <f>[1]!bodmoadal(1,1,(HK67+1),[1]!qsn([1]!ml([1]!taqsha(1,1,1+HK67,HK68)),HK69)/30,HK68,HK69)</f>
        <v>#VALUE!</v>
      </c>
      <c r="HL74" s="962" t="e">
        <f>[1]!bodmoadal(1,1,(HL67+1),[1]!qsn([1]!ml([1]!taqsha(1,1,1+HL67,HL68)),HL69)/30,HL68,HL69)</f>
        <v>#VALUE!</v>
      </c>
      <c r="HM74" s="962" t="e">
        <f>[1]!bodmoadal(1,1,(HM67+1),[1]!qsn([1]!ml([1]!taqsha(1,1,1+HM67,HM68)),HM69)/30,HM68,HM69)</f>
        <v>#VALUE!</v>
      </c>
      <c r="HN74" s="962" t="e">
        <f>[1]!bodmoadal(1,1,(HN67+1),[1]!qsn([1]!ml([1]!taqsha(1,1,1+HN67,HN68)),HN69)/30,HN68,HN69)</f>
        <v>#VALUE!</v>
      </c>
      <c r="HO74" s="962" t="e">
        <f>[1]!bodmoadal(1,1,(HO67+1),[1]!qsn([1]!ml([1]!taqsha(1,1,1+HO67,HO68)),HO69)/30,HO68,HO69)</f>
        <v>#VALUE!</v>
      </c>
      <c r="HP74" s="962" t="e">
        <f>[1]!bodmoadal(1,1,(HP67+1),[1]!qsn([1]!ml([1]!taqsha(1,1,1+HP67,HP68)),HP69)/30,HP68,HP69)</f>
        <v>#VALUE!</v>
      </c>
      <c r="HQ74" s="962" t="e">
        <f>[1]!bodmoadal(1,1,(HQ67+1),[1]!qsn([1]!ml([1]!taqsha(1,1,1+HQ67,HQ68)),HQ69)/30,HQ68,HQ69)</f>
        <v>#VALUE!</v>
      </c>
      <c r="HR74" s="962" t="e">
        <f>[1]!bodmoadal(1,1,(HR67+1),[1]!qsn([1]!ml([1]!taqsha(1,1,1+HR67,HR68)),HR69)/30,HR68,HR69)</f>
        <v>#VALUE!</v>
      </c>
      <c r="HS74" s="962" t="e">
        <f>[1]!bodmoadal(1,1,(HS67+1),[1]!qsn([1]!ml([1]!taqsha(1,1,1+HS67,HS68)),HS69)/30,HS68,HS69)</f>
        <v>#VALUE!</v>
      </c>
      <c r="HT74" s="962" t="e">
        <f>[1]!bodmoadal(1,1,(HT67+1),[1]!qsn([1]!ml([1]!taqsha(1,1,1+HT67,HT68)),HT69)/30,HT68,HT69)</f>
        <v>#VALUE!</v>
      </c>
      <c r="HU74" s="962" t="e">
        <f>[1]!bodmoadal(1,1,(HU67+1),[1]!qsn([1]!ml([1]!taqsha(1,1,1+HU67,HU68)),HU69)/30,HU68,HU69)</f>
        <v>#VALUE!</v>
      </c>
      <c r="HV74" s="962" t="e">
        <f>[1]!bodmoadal(1,1,(HV67+1),[1]!qsn([1]!ml([1]!taqsha(1,1,1+HV67,HV68)),HV69)/30,HV68,HV69)</f>
        <v>#VALUE!</v>
      </c>
      <c r="HW74" s="962" t="e">
        <f>[1]!bodmoadal(1,1,(HW67+1),[1]!qsn([1]!ml([1]!taqsha(1,1,1+HW67,HW68)),HW69)/30,HW68,HW69)</f>
        <v>#VALUE!</v>
      </c>
      <c r="HX74" s="962" t="e">
        <f>[1]!bodmoadal(1,1,(HX67+1),[1]!qsn([1]!ml([1]!taqsha(1,1,1+HX67,HX68)),HX69)/30,HX68,HX69)</f>
        <v>#VALUE!</v>
      </c>
      <c r="HY74" s="962" t="e">
        <f>[1]!bodmoadal(1,1,(HY67+1),[1]!qsn([1]!ml([1]!taqsha(1,1,1+HY67,HY68)),HY69)/30,HY68,HY69)</f>
        <v>#VALUE!</v>
      </c>
      <c r="HZ74" s="962" t="e">
        <f>[1]!bodmoadal(1,1,(HZ67+1),[1]!qsn([1]!ml([1]!taqsha(1,1,1+HZ67,HZ68)),HZ69)/30,HZ68,HZ69)</f>
        <v>#VALUE!</v>
      </c>
      <c r="IA74" s="962" t="e">
        <f>[1]!bodmoadal(1,1,(IA67+1),[1]!qsn([1]!ml([1]!taqsha(1,1,1+IA67,IA68)),IA69)/30,IA68,IA69)</f>
        <v>#VALUE!</v>
      </c>
      <c r="IB74" s="962" t="e">
        <f>[1]!bodmoadal(1,1,(IB67+1),[1]!qsn([1]!ml([1]!taqsha(1,1,1+IB67,IB68)),IB69)/30,IB68,IB69)</f>
        <v>#VALUE!</v>
      </c>
      <c r="IC74" s="962" t="e">
        <f>[1]!bodmoadal(1,1,(IC67+1),[1]!qsn([1]!ml([1]!taqsha(1,1,1+IC67,IC68)),IC69)/30,IC68,IC69)</f>
        <v>#VALUE!</v>
      </c>
      <c r="ID74" s="962" t="e">
        <f>[1]!bodmoadal(1,1,(ID67+1),[1]!qsn([1]!ml([1]!taqsha(1,1,1+ID67,ID68)),ID69)/30,ID68,ID69)</f>
        <v>#VALUE!</v>
      </c>
      <c r="IE74" s="962" t="e">
        <f>[1]!bodmoadal(1,1,(IE67+1),[1]!qsn([1]!ml([1]!taqsha(1,1,1+IE67,IE68)),IE69)/30,IE68,IE69)</f>
        <v>#VALUE!</v>
      </c>
      <c r="IF74" s="962" t="e">
        <f>[1]!bodmoadal(1,1,(IF67+1),[1]!qsn([1]!ml([1]!taqsha(1,1,1+IF67,IF68)),IF69)/30,IF68,IF69)</f>
        <v>#VALUE!</v>
      </c>
      <c r="IG74" s="962" t="e">
        <f>[1]!bodmoadal(1,1,(IG67+1),[1]!qsn([1]!ml([1]!taqsha(1,1,1+IG67,IG68)),IG69)/30,IG68,IG69)</f>
        <v>#VALUE!</v>
      </c>
      <c r="IH74" s="962" t="e">
        <f>[1]!bodmoadal(1,1,(IH67+1),[1]!qsn([1]!ml([1]!taqsha(1,1,1+IH67,IH68)),IH69)/30,IH68,IH69)</f>
        <v>#VALUE!</v>
      </c>
      <c r="II74" s="962" t="e">
        <f>[1]!bodmoadal(1,1,(II67+1),[1]!qsn([1]!ml([1]!taqsha(1,1,1+II67,II68)),II69)/30,II68,II69)</f>
        <v>#VALUE!</v>
      </c>
      <c r="IJ74" s="962" t="e">
        <f>[1]!bodmoadal(1,1,(IJ67+1),[1]!qsn([1]!ml([1]!taqsha(1,1,1+IJ67,IJ68)),IJ69)/30,IJ68,IJ69)</f>
        <v>#VALUE!</v>
      </c>
      <c r="IK74" s="962" t="e">
        <f>[1]!bodmoadal(1,1,(IK67+1),[1]!qsn([1]!ml([1]!taqsha(1,1,1+IK67,IK68)),IK69)/30,IK68,IK69)</f>
        <v>#VALUE!</v>
      </c>
      <c r="IL74" s="962" t="e">
        <f>[1]!bodmoadal(1,1,(IL67+1),[1]!qsn([1]!ml([1]!taqsha(1,1,1+IL67,IL68)),IL69)/30,IL68,IL69)</f>
        <v>#VALUE!</v>
      </c>
      <c r="IM74" s="962" t="e">
        <f>[1]!bodmoadal(1,1,(IM67+1),[1]!qsn([1]!ml([1]!taqsha(1,1,1+IM67,IM68)),IM69)/30,IM68,IM69)</f>
        <v>#VALUE!</v>
      </c>
      <c r="IN74" s="962" t="e">
        <f>[1]!bodmoadal(1,1,(IN67+1),[1]!qsn([1]!ml([1]!taqsha(1,1,1+IN67,IN68)),IN69)/30,IN68,IN69)</f>
        <v>#VALUE!</v>
      </c>
      <c r="IO74" s="962" t="e">
        <f>[1]!bodmoadal(1,1,(IO67+1),[1]!qsn([1]!ml([1]!taqsha(1,1,1+IO67,IO68)),IO69)/30,IO68,IO69)</f>
        <v>#VALUE!</v>
      </c>
      <c r="IP74" s="962" t="e">
        <f>[1]!bodmoadal(1,1,(IP67+1),[1]!qsn([1]!ml([1]!taqsha(1,1,1+IP67,IP68)),IP69)/30,IP68,IP69)</f>
        <v>#VALUE!</v>
      </c>
      <c r="IQ74" s="962" t="e">
        <f>[1]!bodmoadal(1,1,(IQ67+1),[1]!qsn([1]!ml([1]!taqsha(1,1,1+IQ67,IQ68)),IQ69)/30,IQ68,IQ69)</f>
        <v>#VALUE!</v>
      </c>
      <c r="IR74" s="962" t="e">
        <f>[1]!bodmoadal(1,1,(IR67+1),[1]!qsn([1]!ml([1]!taqsha(1,1,1+IR67,IR68)),IR69)/30,IR68,IR69)</f>
        <v>#VALUE!</v>
      </c>
      <c r="IS74" s="962" t="e">
        <f>[1]!bodmoadal(1,1,(IS67+1),[1]!qsn([1]!ml([1]!taqsha(1,1,1+IS67,IS68)),IS69)/30,IS68,IS69)</f>
        <v>#VALUE!</v>
      </c>
      <c r="IT74" s="962" t="e">
        <f>[1]!bodmoadal(1,1,(IT67+1),[1]!qsn([1]!ml([1]!taqsha(1,1,1+IT67,IT68)),IT69)/30,IT68,IT69)</f>
        <v>#VALUE!</v>
      </c>
      <c r="IU74" s="962" t="e">
        <f>[1]!bodmoadal(1,1,(IU67+1),[1]!qsn([1]!ml([1]!taqsha(1,1,1+IU67,IU68)),IU69)/30,IU68,IU69)</f>
        <v>#VALUE!</v>
      </c>
      <c r="IV74" s="962" t="e">
        <f>[1]!bodmoadal(1,1,(IV67+1),[1]!qsn([1]!ml([1]!taqsha(1,1,1+IV67,IV68)),IV69)/30,IV68,IV69)</f>
        <v>#VALUE!</v>
      </c>
      <c r="IW74" s="962" t="e">
        <f>[1]!bodmoadal(1,1,(IW67+1),[1]!qsn([1]!ml([1]!taqsha(1,1,1+IW67,IW68)),IW69)/30,IW68,IW69)</f>
        <v>#VALUE!</v>
      </c>
      <c r="IX74" s="962" t="e">
        <f>[1]!bodmoadal(1,1,(IX67+1),[1]!qsn([1]!ml([1]!taqsha(1,1,1+IX67,IX68)),IX69)/30,IX68,IX69)</f>
        <v>#VALUE!</v>
      </c>
      <c r="IY74" s="962" t="e">
        <f>[1]!bodmoadal(1,1,(IY67+1),[1]!qsn([1]!ml([1]!taqsha(1,1,1+IY67,IY68)),IY69)/30,IY68,IY69)</f>
        <v>#VALUE!</v>
      </c>
      <c r="IZ74" s="962" t="e">
        <f>[1]!bodmoadal(1,1,(IZ67+1),[1]!qsn([1]!ml([1]!taqsha(1,1,1+IZ67,IZ68)),IZ69)/30,IZ68,IZ69)</f>
        <v>#VALUE!</v>
      </c>
      <c r="JA74" s="962" t="e">
        <f>[1]!bodmoadal(1,1,(JA67+1),[1]!qsn([1]!ml([1]!taqsha(1,1,1+JA67,JA68)),JA69)/30,JA68,JA69)</f>
        <v>#VALUE!</v>
      </c>
      <c r="JB74" s="962" t="e">
        <f>[1]!bodmoadal(1,1,(JB67+1),[1]!qsn([1]!ml([1]!taqsha(1,1,1+JB67,JB68)),JB69)/30,JB68,JB69)</f>
        <v>#VALUE!</v>
      </c>
      <c r="JC74" s="962" t="e">
        <f>[1]!bodmoadal(1,1,(JC67+1),[1]!qsn([1]!ml([1]!taqsha(1,1,1+JC67,JC68)),JC69)/30,JC68,JC69)</f>
        <v>#VALUE!</v>
      </c>
      <c r="JD74" s="962" t="e">
        <f>[1]!bodmoadal(1,1,(JD67+1),[1]!qsn([1]!ml([1]!taqsha(1,1,1+JD67,JD68)),JD69)/30,JD68,JD69)</f>
        <v>#VALUE!</v>
      </c>
      <c r="JE74" s="962" t="e">
        <f>[1]!bodmoadal(1,1,(JE67+1),[1]!qsn([1]!ml([1]!taqsha(1,1,1+JE67,JE68)),JE69)/30,JE68,JE69)</f>
        <v>#VALUE!</v>
      </c>
      <c r="JF74" s="962" t="e">
        <f>[1]!bodmoadal(1,1,(JF67+1),[1]!qsn([1]!ml([1]!taqsha(1,1,1+JF67,JF68)),JF69)/30,JF68,JF69)</f>
        <v>#VALUE!</v>
      </c>
      <c r="JG74" s="962" t="e">
        <f>[1]!bodmoadal(1,1,(JG67+1),[1]!qsn([1]!ml([1]!taqsha(1,1,1+JG67,JG68)),JG69)/30,JG68,JG69)</f>
        <v>#VALUE!</v>
      </c>
      <c r="JH74" s="962" t="e">
        <f>[1]!bodmoadal(1,1,(JH67+1),[1]!qsn([1]!ml([1]!taqsha(1,1,1+JH67,JH68)),JH69)/30,JH68,JH69)</f>
        <v>#VALUE!</v>
      </c>
      <c r="JI74" s="962" t="e">
        <f>[1]!bodmoadal(1,1,(JI67+1),[1]!qsn([1]!ml([1]!taqsha(1,1,1+JI67,JI68)),JI69)/30,JI68,JI69)</f>
        <v>#VALUE!</v>
      </c>
      <c r="JJ74" s="962" t="e">
        <f>[1]!bodmoadal(1,1,(JJ67+1),[1]!qsn([1]!ml([1]!taqsha(1,1,1+JJ67,JJ68)),JJ69)/30,JJ68,JJ69)</f>
        <v>#VALUE!</v>
      </c>
      <c r="JK74" s="962" t="e">
        <f>[1]!bodmoadal(1,1,(JK67+1),[1]!qsn([1]!ml([1]!taqsha(1,1,1+JK67,JK68)),JK69)/30,JK68,JK69)</f>
        <v>#VALUE!</v>
      </c>
      <c r="JL74" s="962" t="e">
        <f>[1]!bodmoadal(1,1,(JL67+1),[1]!qsn([1]!ml([1]!taqsha(1,1,1+JL67,JL68)),JL69)/30,JL68,JL69)</f>
        <v>#VALUE!</v>
      </c>
      <c r="JM74" s="962" t="e">
        <f>[1]!bodmoadal(1,1,(JM67+1),[1]!qsn([1]!ml([1]!taqsha(1,1,1+JM67,JM68)),JM69)/30,JM68,JM69)</f>
        <v>#VALUE!</v>
      </c>
      <c r="JN74" s="962" t="e">
        <f>[1]!bodmoadal(1,1,(JN67+1),[1]!qsn([1]!ml([1]!taqsha(1,1,1+JN67,JN68)),JN69)/30,JN68,JN69)</f>
        <v>#VALUE!</v>
      </c>
      <c r="JO74" s="962" t="e">
        <f>[1]!bodmoadal(1,1,(JO67+1),[1]!qsn([1]!ml([1]!taqsha(1,1,1+JO67,JO68)),JO69)/30,JO68,JO69)</f>
        <v>#VALUE!</v>
      </c>
      <c r="JP74" s="962" t="e">
        <f>[1]!bodmoadal(1,1,(JP67+1),[1]!qsn([1]!ml([1]!taqsha(1,1,1+JP67,JP68)),JP69)/30,JP68,JP69)</f>
        <v>#VALUE!</v>
      </c>
      <c r="JQ74" s="962" t="e">
        <f>[1]!bodmoadal(1,1,(JQ67+1),[1]!qsn([1]!ml([1]!taqsha(1,1,1+JQ67,JQ68)),JQ69)/30,JQ68,JQ69)</f>
        <v>#VALUE!</v>
      </c>
      <c r="JR74" s="962" t="e">
        <f>[1]!bodmoadal(1,1,(JR67+1),[1]!qsn([1]!ml([1]!taqsha(1,1,1+JR67,JR68)),JR69)/30,JR68,JR69)</f>
        <v>#VALUE!</v>
      </c>
      <c r="JS74" s="962" t="e">
        <f>[1]!bodmoadal(1,1,(JS67+1),[1]!qsn([1]!ml([1]!taqsha(1,1,1+JS67,JS68)),JS69)/30,JS68,JS69)</f>
        <v>#VALUE!</v>
      </c>
      <c r="JT74" s="962" t="e">
        <f>[1]!bodmoadal(1,1,(JT67+1),[1]!qsn([1]!ml([1]!taqsha(1,1,1+JT67,JT68)),JT69)/30,JT68,JT69)</f>
        <v>#VALUE!</v>
      </c>
      <c r="JU74" s="962" t="e">
        <f>[1]!bodmoadal(1,1,(JU67+1),[1]!qsn([1]!ml([1]!taqsha(1,1,1+JU67,JU68)),JU69)/30,JU68,JU69)</f>
        <v>#VALUE!</v>
      </c>
      <c r="JV74" s="962" t="e">
        <f>[1]!bodmoadal(1,1,(JV67+1),[1]!qsn([1]!ml([1]!taqsha(1,1,1+JV67,JV68)),JV69)/30,JV68,JV69)</f>
        <v>#VALUE!</v>
      </c>
      <c r="JW74" s="962" t="e">
        <f>[1]!bodmoadal(1,1,(JW67+1),[1]!qsn([1]!ml([1]!taqsha(1,1,1+JW67,JW68)),JW69)/30,JW68,JW69)</f>
        <v>#VALUE!</v>
      </c>
      <c r="JX74" s="962" t="e">
        <f>[1]!bodmoadal(1,1,(JX67+1),[1]!qsn([1]!ml([1]!taqsha(1,1,1+JX67,JX68)),JX69)/30,JX68,JX69)</f>
        <v>#VALUE!</v>
      </c>
      <c r="JY74" s="962" t="e">
        <f>[1]!bodmoadal(1,1,(JY67+1),[1]!qsn([1]!ml([1]!taqsha(1,1,1+JY67,JY68)),JY69)/30,JY68,JY69)</f>
        <v>#VALUE!</v>
      </c>
      <c r="JZ74" s="962" t="e">
        <f>[1]!bodmoadal(1,1,(JZ67+1),[1]!qsn([1]!ml([1]!taqsha(1,1,1+JZ67,JZ68)),JZ69)/30,JZ68,JZ69)</f>
        <v>#VALUE!</v>
      </c>
      <c r="KA74" s="962" t="e">
        <f>[1]!bodmoadal(1,1,(KA67+1),[1]!qsn([1]!ml([1]!taqsha(1,1,1+KA67,KA68)),KA69)/30,KA68,KA69)</f>
        <v>#VALUE!</v>
      </c>
      <c r="KB74" s="962" t="e">
        <f>[1]!bodmoadal(1,1,(KB67+1),[1]!qsn([1]!ml([1]!taqsha(1,1,1+KB67,KB68)),KB69)/30,KB68,KB69)</f>
        <v>#VALUE!</v>
      </c>
      <c r="KC74" s="962" t="e">
        <f>[1]!bodmoadal(1,1,(KC67+1),[1]!qsn([1]!ml([1]!taqsha(1,1,1+KC67,KC68)),KC69)/30,KC68,KC69)</f>
        <v>#VALUE!</v>
      </c>
      <c r="KD74" s="962" t="e">
        <f>[1]!bodmoadal(1,1,(KD67+1),[1]!qsn([1]!ml([1]!taqsha(1,1,1+KD67,KD68)),KD69)/30,KD68,KD69)</f>
        <v>#VALUE!</v>
      </c>
      <c r="KE74" s="962" t="e">
        <f>[1]!bodmoadal(1,1,(KE67+1),[1]!qsn([1]!ml([1]!taqsha(1,1,1+KE67,KE68)),KE69)/30,KE68,KE69)</f>
        <v>#VALUE!</v>
      </c>
      <c r="KF74" s="962" t="e">
        <f>[1]!bodmoadal(1,1,(KF67+1),[1]!qsn([1]!ml([1]!taqsha(1,1,1+KF67,KF68)),KF69)/30,KF68,KF69)</f>
        <v>#VALUE!</v>
      </c>
      <c r="KG74" s="962" t="e">
        <f>[1]!bodmoadal(1,1,(KG67+1),[1]!qsn([1]!ml([1]!taqsha(1,1,1+KG67,KG68)),KG69)/30,KG68,KG69)</f>
        <v>#VALUE!</v>
      </c>
      <c r="KH74" s="962" t="e">
        <f>[1]!bodmoadal(1,1,(KH67+1),[1]!qsn([1]!ml([1]!taqsha(1,1,1+KH67,KH68)),KH69)/30,KH68,KH69)</f>
        <v>#VALUE!</v>
      </c>
      <c r="KI74" s="962" t="e">
        <f>[1]!bodmoadal(1,1,(KI67+1),[1]!qsn([1]!ml([1]!taqsha(1,1,1+KI67,KI68)),KI69)/30,KI68,KI69)</f>
        <v>#VALUE!</v>
      </c>
      <c r="KJ74" s="962" t="e">
        <f>[1]!bodmoadal(1,1,(KJ67+1),[1]!qsn([1]!ml([1]!taqsha(1,1,1+KJ67,KJ68)),KJ69)/30,KJ68,KJ69)</f>
        <v>#VALUE!</v>
      </c>
      <c r="KK74" s="962" t="e">
        <f>[1]!bodmoadal(1,1,(KK67+1),[1]!qsn([1]!ml([1]!taqsha(1,1,1+KK67,KK68)),KK69)/30,KK68,KK69)</f>
        <v>#VALUE!</v>
      </c>
      <c r="KL74" s="962" t="e">
        <f>[1]!bodmoadal(1,1,(KL67+1),[1]!qsn([1]!ml([1]!taqsha(1,1,1+KL67,KL68)),KL69)/30,KL68,KL69)</f>
        <v>#VALUE!</v>
      </c>
      <c r="KM74" s="962" t="e">
        <f>[1]!bodmoadal(1,1,(KM67+1),[1]!qsn([1]!ml([1]!taqsha(1,1,1+KM67,KM68)),KM69)/30,KM68,KM69)</f>
        <v>#VALUE!</v>
      </c>
      <c r="KN74" s="962" t="e">
        <f>[1]!bodmoadal(1,1,(KN67+1),[1]!qsn([1]!ml([1]!taqsha(1,1,1+KN67,KN68)),KN69)/30,KN68,KN69)</f>
        <v>#VALUE!</v>
      </c>
      <c r="KO74" s="962" t="e">
        <f>[1]!bodmoadal(1,1,(KO67+1),[1]!qsn([1]!ml([1]!taqsha(1,1,1+KO67,KO68)),KO69)/30,KO68,KO69)</f>
        <v>#VALUE!</v>
      </c>
      <c r="KP74" s="962" t="e">
        <f>[1]!bodmoadal(1,1,(KP67+1),[1]!qsn([1]!ml([1]!taqsha(1,1,1+KP67,KP68)),KP69)/30,KP68,KP69)</f>
        <v>#VALUE!</v>
      </c>
      <c r="KQ74" s="962" t="e">
        <f>[1]!bodmoadal(1,1,(KQ67+1),[1]!qsn([1]!ml([1]!taqsha(1,1,1+KQ67,KQ68)),KQ69)/30,KQ68,KQ69)</f>
        <v>#VALUE!</v>
      </c>
      <c r="KR74" s="962" t="e">
        <f>[1]!bodmoadal(1,1,(KR67+1),[1]!qsn([1]!ml([1]!taqsha(1,1,1+KR67,KR68)),KR69)/30,KR68,KR69)</f>
        <v>#VALUE!</v>
      </c>
      <c r="KS74" s="962" t="e">
        <f>[1]!bodmoadal(1,1,(KS67+1),[1]!qsn([1]!ml([1]!taqsha(1,1,1+KS67,KS68)),KS69)/30,KS68,KS69)</f>
        <v>#VALUE!</v>
      </c>
      <c r="KT74" s="962" t="e">
        <f>[1]!bodmoadal(1,1,(KT67+1),[1]!qsn([1]!ml([1]!taqsha(1,1,1+KT67,KT68)),KT69)/30,KT68,KT69)</f>
        <v>#VALUE!</v>
      </c>
      <c r="KU74" s="962" t="e">
        <f>[1]!bodmoadal(1,1,(KU67+1),[1]!qsn([1]!ml([1]!taqsha(1,1,1+KU67,KU68)),KU69)/30,KU68,KU69)</f>
        <v>#VALUE!</v>
      </c>
      <c r="KV74" s="962" t="e">
        <f>[1]!bodmoadal(1,1,(KV67+1),[1]!qsn([1]!ml([1]!taqsha(1,1,1+KV67,KV68)),KV69)/30,KV68,KV69)</f>
        <v>#VALUE!</v>
      </c>
      <c r="KW74" s="962" t="e">
        <f>[1]!bodmoadal(1,1,(KW67+1),[1]!qsn([1]!ml([1]!taqsha(1,1,1+KW67,KW68)),KW69)/30,KW68,KW69)</f>
        <v>#VALUE!</v>
      </c>
      <c r="KX74" s="962" t="e">
        <f>[1]!bodmoadal(1,1,(KX67+1),[1]!qsn([1]!ml([1]!taqsha(1,1,1+KX67,KX68)),KX69)/30,KX68,KX69)</f>
        <v>#VALUE!</v>
      </c>
      <c r="KY74" s="962" t="e">
        <f>[1]!bodmoadal(1,1,(KY67+1),[1]!qsn([1]!ml([1]!taqsha(1,1,1+KY67,KY68)),KY69)/30,KY68,KY69)</f>
        <v>#VALUE!</v>
      </c>
      <c r="KZ74" s="962" t="e">
        <f>[1]!bodmoadal(1,1,(KZ67+1),[1]!qsn([1]!ml([1]!taqsha(1,1,1+KZ67,KZ68)),KZ69)/30,KZ68,KZ69)</f>
        <v>#VALUE!</v>
      </c>
      <c r="LA74" s="962" t="e">
        <f>[1]!bodmoadal(1,1,(LA67+1),[1]!qsn([1]!ml([1]!taqsha(1,1,1+LA67,LA68)),LA69)/30,LA68,LA69)</f>
        <v>#VALUE!</v>
      </c>
      <c r="LB74" s="962" t="e">
        <f>[1]!bodmoadal(1,1,(LB67+1),[1]!qsn([1]!ml([1]!taqsha(1,1,1+LB67,LB68)),LB69)/30,LB68,LB69)</f>
        <v>#VALUE!</v>
      </c>
      <c r="LC74" s="962" t="e">
        <f>[1]!bodmoadal(1,1,(LC67+1),[1]!qsn([1]!ml([1]!taqsha(1,1,1+LC67,LC68)),LC69)/30,LC68,LC69)</f>
        <v>#VALUE!</v>
      </c>
      <c r="LD74" s="962" t="e">
        <f>[1]!bodmoadal(1,1,(LD67+1),[1]!qsn([1]!ml([1]!taqsha(1,1,1+LD67,LD68)),LD69)/30,LD68,LD69)</f>
        <v>#VALUE!</v>
      </c>
      <c r="LE74" s="962" t="e">
        <f>[1]!bodmoadal(1,1,(LE67+1),[1]!qsn([1]!ml([1]!taqsha(1,1,1+LE67,LE68)),LE69)/30,LE68,LE69)</f>
        <v>#VALUE!</v>
      </c>
      <c r="LF74" s="962" t="e">
        <f>[1]!bodmoadal(1,1,(LF67+1),[1]!qsn([1]!ml([1]!taqsha(1,1,1+LF67,LF68)),LF69)/30,LF68,LF69)</f>
        <v>#VALUE!</v>
      </c>
      <c r="LG74" s="962" t="e">
        <f>[1]!bodmoadal(1,1,(LG67+1),[1]!qsn([1]!ml([1]!taqsha(1,1,1+LG67,LG68)),LG69)/30,LG68,LG69)</f>
        <v>#VALUE!</v>
      </c>
      <c r="LH74" s="962" t="e">
        <f>[1]!bodmoadal(1,1,(LH67+1),[1]!qsn([1]!ml([1]!taqsha(1,1,1+LH67,LH68)),LH69)/30,LH68,LH69)</f>
        <v>#VALUE!</v>
      </c>
      <c r="LI74" s="962" t="e">
        <f>[1]!bodmoadal(1,1,(LI67+1),[1]!qsn([1]!ml([1]!taqsha(1,1,1+LI67,LI68)),LI69)/30,LI68,LI69)</f>
        <v>#VALUE!</v>
      </c>
      <c r="LJ74" s="962" t="e">
        <f>[1]!bodmoadal(1,1,(LJ67+1),[1]!qsn([1]!ml([1]!taqsha(1,1,1+LJ67,LJ68)),LJ69)/30,LJ68,LJ69)</f>
        <v>#VALUE!</v>
      </c>
      <c r="LK74" s="962" t="e">
        <f>[1]!bodmoadal(1,1,(LK67+1),[1]!qsn([1]!ml([1]!taqsha(1,1,1+LK67,LK68)),LK69)/30,LK68,LK69)</f>
        <v>#VALUE!</v>
      </c>
      <c r="LL74" s="962" t="e">
        <f>[1]!bodmoadal(1,1,(LL67+1),[1]!qsn([1]!ml([1]!taqsha(1,1,1+LL67,LL68)),LL69)/30,LL68,LL69)</f>
        <v>#VALUE!</v>
      </c>
      <c r="LM74" s="962" t="e">
        <f>[1]!bodmoadal(1,1,(LM67+1),[1]!qsn([1]!ml([1]!taqsha(1,1,1+LM67,LM68)),LM69)/30,LM68,LM69)</f>
        <v>#VALUE!</v>
      </c>
      <c r="LN74" s="962" t="e">
        <f>[1]!bodmoadal(1,1,(LN67+1),[1]!qsn([1]!ml([1]!taqsha(1,1,1+LN67,LN68)),LN69)/30,LN68,LN69)</f>
        <v>#VALUE!</v>
      </c>
      <c r="LO74" s="962" t="e">
        <f>[1]!bodmoadal(1,1,(LO67+1),[1]!qsn([1]!ml([1]!taqsha(1,1,1+LO67,LO68)),LO69)/30,LO68,LO69)</f>
        <v>#VALUE!</v>
      </c>
      <c r="LP74" s="962" t="e">
        <f>[1]!bodmoadal(1,1,(LP67+1),[1]!qsn([1]!ml([1]!taqsha(1,1,1+LP67,LP68)),LP69)/30,LP68,LP69)</f>
        <v>#VALUE!</v>
      </c>
      <c r="LQ74" s="962" t="e">
        <f>[1]!bodmoadal(1,1,(LQ67+1),[1]!qsn([1]!ml([1]!taqsha(1,1,1+LQ67,LQ68)),LQ69)/30,LQ68,LQ69)</f>
        <v>#VALUE!</v>
      </c>
      <c r="LR74" s="962" t="e">
        <f>[1]!bodmoadal(1,1,(LR67+1),[1]!qsn([1]!ml([1]!taqsha(1,1,1+LR67,LR68)),LR69)/30,LR68,LR69)</f>
        <v>#VALUE!</v>
      </c>
      <c r="LS74" s="962" t="e">
        <f>[1]!bodmoadal(1,1,(LS67+1),[1]!qsn([1]!ml([1]!taqsha(1,1,1+LS67,LS68)),LS69)/30,LS68,LS69)</f>
        <v>#VALUE!</v>
      </c>
      <c r="LT74" s="962" t="e">
        <f>[1]!bodmoadal(1,1,(LT67+1),[1]!qsn([1]!ml([1]!taqsha(1,1,1+LT67,LT68)),LT69)/30,LT68,LT69)</f>
        <v>#VALUE!</v>
      </c>
      <c r="LU74" s="962" t="e">
        <f>[1]!bodmoadal(1,1,(LU67+1),[1]!qsn([1]!ml([1]!taqsha(1,1,1+LU67,LU68)),LU69)/30,LU68,LU69)</f>
        <v>#VALUE!</v>
      </c>
      <c r="LV74" s="962" t="e">
        <f>[1]!bodmoadal(1,1,(LV67+1),[1]!qsn([1]!ml([1]!taqsha(1,1,1+LV67,LV68)),LV69)/30,LV68,LV69)</f>
        <v>#VALUE!</v>
      </c>
      <c r="LW74" s="962" t="e">
        <f>[1]!bodmoadal(1,1,(LW67+1),[1]!qsn([1]!ml([1]!taqsha(1,1,1+LW67,LW68)),LW69)/30,LW68,LW69)</f>
        <v>#VALUE!</v>
      </c>
      <c r="LX74" s="962" t="e">
        <f>[1]!bodmoadal(1,1,(LX67+1),[1]!qsn([1]!ml([1]!taqsha(1,1,1+LX67,LX68)),LX69)/30,LX68,LX69)</f>
        <v>#VALUE!</v>
      </c>
      <c r="LY74" s="962" t="e">
        <f>[1]!bodmoadal(1,1,(LY67+1),[1]!qsn([1]!ml([1]!taqsha(1,1,1+LY67,LY68)),LY69)/30,LY68,LY69)</f>
        <v>#VALUE!</v>
      </c>
      <c r="LZ74" s="962" t="e">
        <f>[1]!bodmoadal(1,1,(LZ67+1),[1]!qsn([1]!ml([1]!taqsha(1,1,1+LZ67,LZ68)),LZ69)/30,LZ68,LZ69)</f>
        <v>#VALUE!</v>
      </c>
      <c r="MA74" s="962" t="e">
        <f>[1]!bodmoadal(1,1,(MA67+1),[1]!qsn([1]!ml([1]!taqsha(1,1,1+MA67,MA68)),MA69)/30,MA68,MA69)</f>
        <v>#VALUE!</v>
      </c>
      <c r="MB74" s="962" t="e">
        <f>[1]!bodmoadal(1,1,(MB67+1),[1]!qsn([1]!ml([1]!taqsha(1,1,1+MB67,MB68)),MB69)/30,MB68,MB69)</f>
        <v>#VALUE!</v>
      </c>
      <c r="MC74" s="962" t="e">
        <f>[1]!bodmoadal(1,1,(MC67+1),[1]!qsn([1]!ml([1]!taqsha(1,1,1+MC67,MC68)),MC69)/30,MC68,MC69)</f>
        <v>#VALUE!</v>
      </c>
      <c r="MD74" s="962" t="e">
        <f>[1]!bodmoadal(1,1,(MD67+1),[1]!qsn([1]!ml([1]!taqsha(1,1,1+MD67,MD68)),MD69)/30,MD68,MD69)</f>
        <v>#VALUE!</v>
      </c>
      <c r="ME74" s="962" t="e">
        <f>[1]!bodmoadal(1,1,(ME67+1),[1]!qsn([1]!ml([1]!taqsha(1,1,1+ME67,ME68)),ME69)/30,ME68,ME69)</f>
        <v>#VALUE!</v>
      </c>
      <c r="MF74" s="962" t="e">
        <f>[1]!bodmoadal(1,1,(MF67+1),[1]!qsn([1]!ml([1]!taqsha(1,1,1+MF67,MF68)),MF69)/30,MF68,MF69)</f>
        <v>#VALUE!</v>
      </c>
      <c r="MG74" s="962" t="e">
        <f>[1]!bodmoadal(1,1,(MG67+1),[1]!qsn([1]!ml([1]!taqsha(1,1,1+MG67,MG68)),MG69)/30,MG68,MG69)</f>
        <v>#VALUE!</v>
      </c>
      <c r="MH74" s="962" t="e">
        <f>[1]!bodmoadal(1,1,(MH67+1),[1]!qsn([1]!ml([1]!taqsha(1,1,1+MH67,MH68)),MH69)/30,MH68,MH69)</f>
        <v>#VALUE!</v>
      </c>
      <c r="MI74" s="962" t="e">
        <f>[1]!bodmoadal(1,1,(MI67+1),[1]!qsn([1]!ml([1]!taqsha(1,1,1+MI67,MI68)),MI69)/30,MI68,MI69)</f>
        <v>#VALUE!</v>
      </c>
      <c r="MJ74" s="962" t="e">
        <f>[1]!bodmoadal(1,1,(MJ67+1),[1]!qsn([1]!ml([1]!taqsha(1,1,1+MJ67,MJ68)),MJ69)/30,MJ68,MJ69)</f>
        <v>#VALUE!</v>
      </c>
      <c r="MK74" s="962" t="e">
        <f>[1]!bodmoadal(1,1,(MK67+1),[1]!qsn([1]!ml([1]!taqsha(1,1,1+MK67,MK68)),MK69)/30,MK68,MK69)</f>
        <v>#VALUE!</v>
      </c>
      <c r="ML74" s="962" t="e">
        <f>[1]!bodmoadal(1,1,(ML67+1),[1]!qsn([1]!ml([1]!taqsha(1,1,1+ML67,ML68)),ML69)/30,ML68,ML69)</f>
        <v>#VALUE!</v>
      </c>
      <c r="MM74" s="962" t="e">
        <f>[1]!bodmoadal(1,1,(MM67+1),[1]!qsn([1]!ml([1]!taqsha(1,1,1+MM67,MM68)),MM69)/30,MM68,MM69)</f>
        <v>#VALUE!</v>
      </c>
      <c r="MN74" s="962" t="e">
        <f>[1]!bodmoadal(1,1,(MN67+1),[1]!qsn([1]!ml([1]!taqsha(1,1,1+MN67,MN68)),MN69)/30,MN68,MN69)</f>
        <v>#VALUE!</v>
      </c>
      <c r="MO74" s="962" t="e">
        <f>[1]!bodmoadal(1,1,(MO67+1),[1]!qsn([1]!ml([1]!taqsha(1,1,1+MO67,MO68)),MO69)/30,MO68,MO69)</f>
        <v>#VALUE!</v>
      </c>
      <c r="MP74" s="962" t="e">
        <f>[1]!bodmoadal(1,1,(MP67+1),[1]!qsn([1]!ml([1]!taqsha(1,1,1+MP67,MP68)),MP69)/30,MP68,MP69)</f>
        <v>#VALUE!</v>
      </c>
      <c r="MQ74" s="962" t="e">
        <f>[1]!bodmoadal(1,1,(MQ67+1),[1]!qsn([1]!ml([1]!taqsha(1,1,1+MQ67,MQ68)),MQ69)/30,MQ68,MQ69)</f>
        <v>#VALUE!</v>
      </c>
      <c r="MR74" s="962" t="e">
        <f>[1]!bodmoadal(1,1,(MR67+1),[1]!qsn([1]!ml([1]!taqsha(1,1,1+MR67,MR68)),MR69)/30,MR68,MR69)</f>
        <v>#VALUE!</v>
      </c>
      <c r="MS74" s="962" t="e">
        <f>[1]!bodmoadal(1,1,(MS67+1),[1]!qsn([1]!ml([1]!taqsha(1,1,1+MS67,MS68)),MS69)/30,MS68,MS69)</f>
        <v>#VALUE!</v>
      </c>
      <c r="MT74" s="962" t="e">
        <f>[1]!bodmoadal(1,1,(MT67+1),[1]!qsn([1]!ml([1]!taqsha(1,1,1+MT67,MT68)),MT69)/30,MT68,MT69)</f>
        <v>#VALUE!</v>
      </c>
      <c r="MU74" s="962" t="e">
        <f>[1]!bodmoadal(1,1,(MU67+1),[1]!qsn([1]!ml([1]!taqsha(1,1,1+MU67,MU68)),MU69)/30,MU68,MU69)</f>
        <v>#VALUE!</v>
      </c>
      <c r="MV74" s="962" t="e">
        <f>[1]!bodmoadal(1,1,(MV67+1),[1]!qsn([1]!ml([1]!taqsha(1,1,1+MV67,MV68)),MV69)/30,MV68,MV69)</f>
        <v>#VALUE!</v>
      </c>
      <c r="MW74" s="962" t="e">
        <f>[1]!bodmoadal(1,1,(MW67+1),[1]!qsn([1]!ml([1]!taqsha(1,1,1+MW67,MW68)),MW69)/30,MW68,MW69)</f>
        <v>#VALUE!</v>
      </c>
      <c r="MX74" s="962" t="e">
        <f>[1]!bodmoadal(1,1,(MX67+1),[1]!qsn([1]!ml([1]!taqsha(1,1,1+MX67,MX68)),MX69)/30,MX68,MX69)</f>
        <v>#VALUE!</v>
      </c>
      <c r="MY74" s="962" t="e">
        <f>[1]!bodmoadal(1,1,(MY67+1),[1]!qsn([1]!ml([1]!taqsha(1,1,1+MY67,MY68)),MY69)/30,MY68,MY69)</f>
        <v>#VALUE!</v>
      </c>
      <c r="MZ74" s="962" t="e">
        <f>[1]!bodmoadal(1,1,(MZ67+1),[1]!qsn([1]!ml([1]!taqsha(1,1,1+MZ67,MZ68)),MZ69)/30,MZ68,MZ69)</f>
        <v>#VALUE!</v>
      </c>
      <c r="NA74" s="962" t="e">
        <f>[1]!bodmoadal(1,1,(NA67+1),[1]!qsn([1]!ml([1]!taqsha(1,1,1+NA67,NA68)),NA69)/30,NA68,NA69)</f>
        <v>#VALUE!</v>
      </c>
      <c r="NB74" s="962" t="e">
        <f>[1]!bodmoadal(1,1,(NB67+1),[1]!qsn([1]!ml([1]!taqsha(1,1,1+NB67,NB68)),NB69)/30,NB68,NB69)</f>
        <v>#VALUE!</v>
      </c>
      <c r="NC74" s="962" t="e">
        <f>[1]!bodmoadal(1,1,(NC67+1),[1]!qsn([1]!ml([1]!taqsha(1,1,1+NC67,NC68)),NC69)/30,NC68,NC69)</f>
        <v>#VALUE!</v>
      </c>
      <c r="ND74" s="962" t="e">
        <f>[1]!bodmoadal(1,1,(ND67+1),[1]!qsn([1]!ml([1]!taqsha(1,1,1+ND67,ND68)),ND69)/30,ND68,ND69)</f>
        <v>#VALUE!</v>
      </c>
      <c r="NE74" s="962" t="e">
        <f>[1]!bodmoadal(1,1,(NE67+1),[1]!qsn([1]!ml([1]!taqsha(1,1,1+NE67,NE68)),NE69)/30,NE68,NE69)</f>
        <v>#VALUE!</v>
      </c>
      <c r="NF74" s="962" t="e">
        <f>[1]!bodmoadal(1,1,(NF67+1),[1]!qsn([1]!ml([1]!taqsha(1,1,1+NF67,NF68)),NF69)/30,NF68,NF69)</f>
        <v>#VALUE!</v>
      </c>
      <c r="NG74" s="962" t="e">
        <f>[1]!bodmoadal(1,1,(NG67+1),[1]!qsn([1]!ml([1]!taqsha(1,1,1+NG67,NG68)),NG69)/30,NG68,NG69)</f>
        <v>#VALUE!</v>
      </c>
      <c r="NH74" s="962" t="e">
        <f>[1]!bodmoadal(1,1,(NH67+1),[1]!qsn([1]!ml([1]!taqsha(1,1,1+NH67,NH68)),NH69)/30,NH68,NH69)</f>
        <v>#VALUE!</v>
      </c>
      <c r="NI74" s="962" t="e">
        <f>[1]!bodmoadal(1,1,(NI67+1),[1]!qsn([1]!ml([1]!taqsha(1,1,1+NI67,NI68)),NI69)/30,NI68,NI69)</f>
        <v>#VALUE!</v>
      </c>
      <c r="NJ74" s="962" t="e">
        <f>[1]!bodmoadal(1,1,(NJ67+1),[1]!qsn([1]!ml([1]!taqsha(1,1,1+NJ67,NJ68)),NJ69)/30,NJ68,NJ69)</f>
        <v>#VALUE!</v>
      </c>
      <c r="NK74" s="962" t="e">
        <f>[1]!bodmoadal(1,1,(NK67+1),[1]!qsn([1]!ml([1]!taqsha(1,1,1+NK67,NK68)),NK69)/30,NK68,NK69)</f>
        <v>#VALUE!</v>
      </c>
      <c r="NL74" s="962" t="e">
        <f>[1]!bodmoadal(1,1,(NL67+1),[1]!qsn([1]!ml([1]!taqsha(1,1,1+NL67,NL68)),NL69)/30,NL68,NL69)</f>
        <v>#VALUE!</v>
      </c>
      <c r="NM74" s="962" t="e">
        <f>[1]!bodmoadal(1,1,(NM67+1),[1]!qsn([1]!ml([1]!taqsha(1,1,1+NM67,NM68)),NM69)/30,NM68,NM69)</f>
        <v>#VALUE!</v>
      </c>
      <c r="NN74" s="962" t="e">
        <f>[1]!bodmoadal(1,1,(NN67+1),[1]!qsn([1]!ml([1]!taqsha(1,1,1+NN67,NN68)),NN69)/30,NN68,NN69)</f>
        <v>#VALUE!</v>
      </c>
      <c r="NO74" s="962" t="e">
        <f>[1]!bodmoadal(1,1,(NO67+1),[1]!qsn([1]!ml([1]!taqsha(1,1,1+NO67,NO68)),NO69)/30,NO68,NO69)</f>
        <v>#VALUE!</v>
      </c>
      <c r="NP74" s="962" t="e">
        <f>[1]!bodmoadal(1,1,(NP67+1),[1]!qsn([1]!ml([1]!taqsha(1,1,1+NP67,NP68)),NP69)/30,NP68,NP69)</f>
        <v>#VALUE!</v>
      </c>
      <c r="NQ74" s="962" t="e">
        <f>[1]!bodmoadal(1,1,(NQ67+1),[1]!qsn([1]!ml([1]!taqsha(1,1,1+NQ67,NQ68)),NQ69)/30,NQ68,NQ69)</f>
        <v>#VALUE!</v>
      </c>
      <c r="NR74" s="962" t="e">
        <f>[1]!bodmoadal(1,1,(NR67+1),[1]!qsn([1]!ml([1]!taqsha(1,1,1+NR67,NR68)),NR69)/30,NR68,NR69)</f>
        <v>#VALUE!</v>
      </c>
      <c r="NS74" s="962" t="e">
        <f>[1]!bodmoadal(1,1,(NS67+1),[1]!qsn([1]!ml([1]!taqsha(1,1,1+NS67,NS68)),NS69)/30,NS68,NS69)</f>
        <v>#VALUE!</v>
      </c>
      <c r="NT74" s="962" t="e">
        <f>[1]!bodmoadal(1,1,(NT67+1),[1]!qsn([1]!ml([1]!taqsha(1,1,1+NT67,NT68)),NT69)/30,NT68,NT69)</f>
        <v>#VALUE!</v>
      </c>
      <c r="NU74" s="962" t="e">
        <f>[1]!bodmoadal(1,1,(NU67+1),[1]!qsn([1]!ml([1]!taqsha(1,1,1+NU67,NU68)),NU69)/30,NU68,NU69)</f>
        <v>#VALUE!</v>
      </c>
      <c r="NV74" s="962" t="e">
        <f>[1]!bodmoadal(1,1,(NV67+1),[1]!qsn([1]!ml([1]!taqsha(1,1,1+NV67,NV68)),NV69)/30,NV68,NV69)</f>
        <v>#VALUE!</v>
      </c>
      <c r="NW74" s="962" t="e">
        <f>[1]!bodmoadal(1,1,(NW67+1),[1]!qsn([1]!ml([1]!taqsha(1,1,1+NW67,NW68)),NW69)/30,NW68,NW69)</f>
        <v>#VALUE!</v>
      </c>
      <c r="NX74" s="962" t="e">
        <f>[1]!bodmoadal(1,1,(NX67+1),[1]!qsn([1]!ml([1]!taqsha(1,1,1+NX67,NX68)),NX69)/30,NX68,NX69)</f>
        <v>#VALUE!</v>
      </c>
      <c r="NY74" s="962" t="e">
        <f>[1]!bodmoadal(1,1,(NY67+1),[1]!qsn([1]!ml([1]!taqsha(1,1,1+NY67,NY68)),NY69)/30,NY68,NY69)</f>
        <v>#VALUE!</v>
      </c>
      <c r="NZ74" s="962" t="e">
        <f>[1]!bodmoadal(1,1,(NZ67+1),[1]!qsn([1]!ml([1]!taqsha(1,1,1+NZ67,NZ68)),NZ69)/30,NZ68,NZ69)</f>
        <v>#VALUE!</v>
      </c>
      <c r="OA74" s="962" t="e">
        <f>[1]!bodmoadal(1,1,(OA67+1),[1]!qsn([1]!ml([1]!taqsha(1,1,1+OA67,OA68)),OA69)/30,OA68,OA69)</f>
        <v>#VALUE!</v>
      </c>
      <c r="OB74" s="962" t="e">
        <f>[1]!bodmoadal(1,1,(OB67+1),[1]!qsn([1]!ml([1]!taqsha(1,1,1+OB67,OB68)),OB69)/30,OB68,OB69)</f>
        <v>#VALUE!</v>
      </c>
      <c r="OC74" s="962" t="e">
        <f>[1]!bodmoadal(1,1,(OC67+1),[1]!qsn([1]!ml([1]!taqsha(1,1,1+OC67,OC68)),OC69)/30,OC68,OC69)</f>
        <v>#VALUE!</v>
      </c>
      <c r="OD74" s="962" t="e">
        <f>[1]!bodmoadal(1,1,(OD67+1),[1]!qsn([1]!ml([1]!taqsha(1,1,1+OD67,OD68)),OD69)/30,OD68,OD69)</f>
        <v>#VALUE!</v>
      </c>
      <c r="OE74" s="962" t="e">
        <f>[1]!bodmoadal(1,1,(OE67+1),[1]!qsn([1]!ml([1]!taqsha(1,1,1+OE67,OE68)),OE69)/30,OE68,OE69)</f>
        <v>#VALUE!</v>
      </c>
      <c r="OF74" s="962" t="e">
        <f>[1]!bodmoadal(1,1,(OF67+1),[1]!qsn([1]!ml([1]!taqsha(1,1,1+OF67,OF68)),OF69)/30,OF68,OF69)</f>
        <v>#VALUE!</v>
      </c>
      <c r="OG74" s="962" t="e">
        <f>[1]!bodmoadal(1,1,(OG67+1),[1]!qsn([1]!ml([1]!taqsha(1,1,1+OG67,OG68)),OG69)/30,OG68,OG69)</f>
        <v>#VALUE!</v>
      </c>
      <c r="OH74" s="962" t="e">
        <f>[1]!bodmoadal(1,1,(OH67+1),[1]!qsn([1]!ml([1]!taqsha(1,1,1+OH67,OH68)),OH69)/30,OH68,OH69)</f>
        <v>#VALUE!</v>
      </c>
      <c r="OI74" s="962" t="e">
        <f>[1]!bodmoadal(1,1,(OI67+1),[1]!qsn([1]!ml([1]!taqsha(1,1,1+OI67,OI68)),OI69)/30,OI68,OI69)</f>
        <v>#VALUE!</v>
      </c>
      <c r="OJ74" s="962" t="e">
        <f>[1]!bodmoadal(1,1,(OJ67+1),[1]!qsn([1]!ml([1]!taqsha(1,1,1+OJ67,OJ68)),OJ69)/30,OJ68,OJ69)</f>
        <v>#VALUE!</v>
      </c>
      <c r="OK74" s="962" t="e">
        <f>[1]!bodmoadal(1,1,(OK67+1),[1]!qsn([1]!ml([1]!taqsha(1,1,1+OK67,OK68)),OK69)/30,OK68,OK69)</f>
        <v>#VALUE!</v>
      </c>
      <c r="OL74" s="962" t="e">
        <f>[1]!bodmoadal(1,1,(OL67+1),[1]!qsn([1]!ml([1]!taqsha(1,1,1+OL67,OL68)),OL69)/30,OL68,OL69)</f>
        <v>#VALUE!</v>
      </c>
      <c r="OM74" s="962" t="e">
        <f>[1]!bodmoadal(1,1,(OM67+1),[1]!qsn([1]!ml([1]!taqsha(1,1,1+OM67,OM68)),OM69)/30,OM68,OM69)</f>
        <v>#VALUE!</v>
      </c>
      <c r="ON74" s="962" t="e">
        <f>[1]!bodmoadal(1,1,(ON67+1),[1]!qsn([1]!ml([1]!taqsha(1,1,1+ON67,ON68)),ON69)/30,ON68,ON69)</f>
        <v>#VALUE!</v>
      </c>
      <c r="OO74" s="962" t="e">
        <f>[1]!bodmoadal(1,1,(OO67+1),[1]!qsn([1]!ml([1]!taqsha(1,1,1+OO67,OO68)),OO69)/30,OO68,OO69)</f>
        <v>#VALUE!</v>
      </c>
      <c r="OP74" s="962" t="e">
        <f>[1]!bodmoadal(1,1,(OP67+1),[1]!qsn([1]!ml([1]!taqsha(1,1,1+OP67,OP68)),OP69)/30,OP68,OP69)</f>
        <v>#VALUE!</v>
      </c>
      <c r="OQ74" s="962" t="e">
        <f>[1]!bodmoadal(1,1,(OQ67+1),[1]!qsn([1]!ml([1]!taqsha(1,1,1+OQ67,OQ68)),OQ69)/30,OQ68,OQ69)</f>
        <v>#VALUE!</v>
      </c>
      <c r="OR74" s="962" t="e">
        <f>[1]!bodmoadal(1,1,(OR67+1),[1]!qsn([1]!ml([1]!taqsha(1,1,1+OR67,OR68)),OR69)/30,OR68,OR69)</f>
        <v>#VALUE!</v>
      </c>
      <c r="OS74" s="962" t="e">
        <f>[1]!bodmoadal(1,1,(OS67+1),[1]!qsn([1]!ml([1]!taqsha(1,1,1+OS67,OS68)),OS69)/30,OS68,OS69)</f>
        <v>#VALUE!</v>
      </c>
      <c r="OT74" s="962" t="e">
        <f>[1]!bodmoadal(1,1,(OT67+1),[1]!qsn([1]!ml([1]!taqsha(1,1,1+OT67,OT68)),OT69)/30,OT68,OT69)</f>
        <v>#VALUE!</v>
      </c>
      <c r="OU74" s="962" t="e">
        <f>[1]!bodmoadal(1,1,(OU67+1),[1]!qsn([1]!ml([1]!taqsha(1,1,1+OU67,OU68)),OU69)/30,OU68,OU69)</f>
        <v>#VALUE!</v>
      </c>
      <c r="OV74" s="962" t="e">
        <f>[1]!bodmoadal(1,1,(OV67+1),[1]!qsn([1]!ml([1]!taqsha(1,1,1+OV67,OV68)),OV69)/30,OV68,OV69)</f>
        <v>#VALUE!</v>
      </c>
      <c r="OW74" s="962" t="e">
        <f>[1]!bodmoadal(1,1,(OW67+1),[1]!qsn([1]!ml([1]!taqsha(1,1,1+OW67,OW68)),OW69)/30,OW68,OW69)</f>
        <v>#VALUE!</v>
      </c>
      <c r="OX74" s="962" t="e">
        <f>[1]!bodmoadal(1,1,(OX67+1),[1]!qsn([1]!ml([1]!taqsha(1,1,1+OX67,OX68)),OX69)/30,OX68,OX69)</f>
        <v>#VALUE!</v>
      </c>
      <c r="OY74" s="962" t="e">
        <f>[1]!bodmoadal(1,1,(OY67+1),[1]!qsn([1]!ml([1]!taqsha(1,1,1+OY67,OY68)),OY69)/30,OY68,OY69)</f>
        <v>#VALUE!</v>
      </c>
      <c r="OZ74" s="962" t="e">
        <f>[1]!bodmoadal(1,1,(OZ67+1),[1]!qsn([1]!ml([1]!taqsha(1,1,1+OZ67,OZ68)),OZ69)/30,OZ68,OZ69)</f>
        <v>#VALUE!</v>
      </c>
      <c r="PA74" s="962" t="e">
        <f>[1]!bodmoadal(1,1,(PA67+1),[1]!qsn([1]!ml([1]!taqsha(1,1,1+PA67,PA68)),PA69)/30,PA68,PA69)</f>
        <v>#VALUE!</v>
      </c>
      <c r="PB74" s="962" t="e">
        <f>[1]!bodmoadal(1,1,(PB67+1),[1]!qsn([1]!ml([1]!taqsha(1,1,1+PB67,PB68)),PB69)/30,PB68,PB69)</f>
        <v>#VALUE!</v>
      </c>
      <c r="PC74" s="962" t="e">
        <f>[1]!bodmoadal(1,1,(PC67+1),[1]!qsn([1]!ml([1]!taqsha(1,1,1+PC67,PC68)),PC69)/30,PC68,PC69)</f>
        <v>#VALUE!</v>
      </c>
      <c r="PD74" s="962" t="e">
        <f>[1]!bodmoadal(1,1,(PD67+1),[1]!qsn([1]!ml([1]!taqsha(1,1,1+PD67,PD68)),PD69)/30,PD68,PD69)</f>
        <v>#VALUE!</v>
      </c>
      <c r="PE74" s="962" t="e">
        <f>[1]!bodmoadal(1,1,(PE67+1),[1]!qsn([1]!ml([1]!taqsha(1,1,1+PE67,PE68)),PE69)/30,PE68,PE69)</f>
        <v>#VALUE!</v>
      </c>
      <c r="PF74" s="962" t="e">
        <f>[1]!bodmoadal(1,1,(PF67+1),[1]!qsn([1]!ml([1]!taqsha(1,1,1+PF67,PF68)),PF69)/30,PF68,PF69)</f>
        <v>#VALUE!</v>
      </c>
      <c r="PG74" s="962" t="e">
        <f>[1]!bodmoadal(1,1,(PG67+1),[1]!qsn([1]!ml([1]!taqsha(1,1,1+PG67,PG68)),PG69)/30,PG68,PG69)</f>
        <v>#VALUE!</v>
      </c>
      <c r="PH74" s="962" t="e">
        <f>[1]!bodmoadal(1,1,(PH67+1),[1]!qsn([1]!ml([1]!taqsha(1,1,1+PH67,PH68)),PH69)/30,PH68,PH69)</f>
        <v>#VALUE!</v>
      </c>
      <c r="PI74" s="962" t="e">
        <f>[1]!bodmoadal(1,1,(PI67+1),[1]!qsn([1]!ml([1]!taqsha(1,1,1+PI67,PI68)),PI69)/30,PI68,PI69)</f>
        <v>#VALUE!</v>
      </c>
      <c r="PJ74" s="962" t="e">
        <f>[1]!bodmoadal(1,1,(PJ67+1),[1]!qsn([1]!ml([1]!taqsha(1,1,1+PJ67,PJ68)),PJ69)/30,PJ68,PJ69)</f>
        <v>#VALUE!</v>
      </c>
      <c r="PK74" s="962" t="e">
        <f>[1]!bodmoadal(1,1,(PK67+1),[1]!qsn([1]!ml([1]!taqsha(1,1,1+PK67,PK68)),PK69)/30,PK68,PK69)</f>
        <v>#VALUE!</v>
      </c>
      <c r="PL74" s="962" t="e">
        <f>[1]!bodmoadal(1,1,(PL67+1),[1]!qsn([1]!ml([1]!taqsha(1,1,1+PL67,PL68)),PL69)/30,PL68,PL69)</f>
        <v>#VALUE!</v>
      </c>
      <c r="PM74" s="962" t="e">
        <f>[1]!bodmoadal(1,1,(PM67+1),[1]!qsn([1]!ml([1]!taqsha(1,1,1+PM67,PM68)),PM69)/30,PM68,PM69)</f>
        <v>#VALUE!</v>
      </c>
      <c r="PN74" s="962" t="e">
        <f>[1]!bodmoadal(1,1,(PN67+1),[1]!qsn([1]!ml([1]!taqsha(1,1,1+PN67,PN68)),PN69)/30,PN68,PN69)</f>
        <v>#VALUE!</v>
      </c>
      <c r="PO74" s="962" t="e">
        <f>[1]!bodmoadal(1,1,(PO67+1),[1]!qsn([1]!ml([1]!taqsha(1,1,1+PO67,PO68)),PO69)/30,PO68,PO69)</f>
        <v>#VALUE!</v>
      </c>
      <c r="PP74" s="962" t="e">
        <f>[1]!bodmoadal(1,1,(PP67+1),[1]!qsn([1]!ml([1]!taqsha(1,1,1+PP67,PP68)),PP69)/30,PP68,PP69)</f>
        <v>#VALUE!</v>
      </c>
      <c r="PQ74" s="962" t="e">
        <f>[1]!bodmoadal(1,1,(PQ67+1),[1]!qsn([1]!ml([1]!taqsha(1,1,1+PQ67,PQ68)),PQ69)/30,PQ68,PQ69)</f>
        <v>#VALUE!</v>
      </c>
      <c r="PR74" s="962" t="e">
        <f>[1]!bodmoadal(1,1,(PR67+1),[1]!qsn([1]!ml([1]!taqsha(1,1,1+PR67,PR68)),PR69)/30,PR68,PR69)</f>
        <v>#VALUE!</v>
      </c>
      <c r="PS74" s="962" t="e">
        <f>[1]!bodmoadal(1,1,(PS67+1),[1]!qsn([1]!ml([1]!taqsha(1,1,1+PS67,PS68)),PS69)/30,PS68,PS69)</f>
        <v>#VALUE!</v>
      </c>
      <c r="PT74" s="962" t="e">
        <f>[1]!bodmoadal(1,1,(PT67+1),[1]!qsn([1]!ml([1]!taqsha(1,1,1+PT67,PT68)),PT69)/30,PT68,PT69)</f>
        <v>#VALUE!</v>
      </c>
      <c r="PU74" s="962" t="e">
        <f>[1]!bodmoadal(1,1,(PU67+1),[1]!qsn([1]!ml([1]!taqsha(1,1,1+PU67,PU68)),PU69)/30,PU68,PU69)</f>
        <v>#VALUE!</v>
      </c>
      <c r="PV74" s="962" t="e">
        <f>[1]!bodmoadal(1,1,(PV67+1),[1]!qsn([1]!ml([1]!taqsha(1,1,1+PV67,PV68)),PV69)/30,PV68,PV69)</f>
        <v>#VALUE!</v>
      </c>
      <c r="PW74" s="962" t="e">
        <f>[1]!bodmoadal(1,1,(PW67+1),[1]!qsn([1]!ml([1]!taqsha(1,1,1+PW67,PW68)),PW69)/30,PW68,PW69)</f>
        <v>#VALUE!</v>
      </c>
      <c r="PX74" s="962" t="e">
        <f>[1]!bodmoadal(1,1,(PX67+1),[1]!qsn([1]!ml([1]!taqsha(1,1,1+PX67,PX68)),PX69)/30,PX68,PX69)</f>
        <v>#VALUE!</v>
      </c>
      <c r="PY74" s="962" t="e">
        <f>[1]!bodmoadal(1,1,(PY67+1),[1]!qsn([1]!ml([1]!taqsha(1,1,1+PY67,PY68)),PY69)/30,PY68,PY69)</f>
        <v>#VALUE!</v>
      </c>
      <c r="PZ74" s="962" t="e">
        <f>[1]!bodmoadal(1,1,(PZ67+1),[1]!qsn([1]!ml([1]!taqsha(1,1,1+PZ67,PZ68)),PZ69)/30,PZ68,PZ69)</f>
        <v>#VALUE!</v>
      </c>
      <c r="QA74" s="962" t="e">
        <f>[1]!bodmoadal(1,1,(QA67+1),[1]!qsn([1]!ml([1]!taqsha(1,1,1+QA67,QA68)),QA69)/30,QA68,QA69)</f>
        <v>#VALUE!</v>
      </c>
      <c r="QB74" s="962" t="e">
        <f>[1]!bodmoadal(1,1,(QB67+1),[1]!qsn([1]!ml([1]!taqsha(1,1,1+QB67,QB68)),QB69)/30,QB68,QB69)</f>
        <v>#VALUE!</v>
      </c>
      <c r="QC74" s="962" t="e">
        <f>[1]!bodmoadal(1,1,(QC67+1),[1]!qsn([1]!ml([1]!taqsha(1,1,1+QC67,QC68)),QC69)/30,QC68,QC69)</f>
        <v>#VALUE!</v>
      </c>
      <c r="QD74" s="962" t="e">
        <f>[1]!bodmoadal(1,1,(QD67+1),[1]!qsn([1]!ml([1]!taqsha(1,1,1+QD67,QD68)),QD69)/30,QD68,QD69)</f>
        <v>#VALUE!</v>
      </c>
      <c r="QE74" s="962" t="e">
        <f>[1]!bodmoadal(1,1,(QE67+1),[1]!qsn([1]!ml([1]!taqsha(1,1,1+QE67,QE68)),QE69)/30,QE68,QE69)</f>
        <v>#VALUE!</v>
      </c>
      <c r="QF74" s="962" t="e">
        <f>[1]!bodmoadal(1,1,(QF67+1),[1]!qsn([1]!ml([1]!taqsha(1,1,1+QF67,QF68)),QF69)/30,QF68,QF69)</f>
        <v>#VALUE!</v>
      </c>
      <c r="QG74" s="962" t="e">
        <f>[1]!bodmoadal(1,1,(QG67+1),[1]!qsn([1]!ml([1]!taqsha(1,1,1+QG67,QG68)),QG69)/30,QG68,QG69)</f>
        <v>#VALUE!</v>
      </c>
      <c r="QH74" s="962" t="e">
        <f>[1]!bodmoadal(1,1,(QH67+1),[1]!qsn([1]!ml([1]!taqsha(1,1,1+QH67,QH68)),QH69)/30,QH68,QH69)</f>
        <v>#VALUE!</v>
      </c>
      <c r="QI74" s="962" t="e">
        <f>[1]!bodmoadal(1,1,(QI67+1),[1]!qsn([1]!ml([1]!taqsha(1,1,1+QI67,QI68)),QI69)/30,QI68,QI69)</f>
        <v>#VALUE!</v>
      </c>
      <c r="QJ74" s="962" t="e">
        <f>[1]!bodmoadal(1,1,(QJ67+1),[1]!qsn([1]!ml([1]!taqsha(1,1,1+QJ67,QJ68)),QJ69)/30,QJ68,QJ69)</f>
        <v>#VALUE!</v>
      </c>
      <c r="QK74" s="962" t="e">
        <f>[1]!bodmoadal(1,1,(QK67+1),[1]!qsn([1]!ml([1]!taqsha(1,1,1+QK67,QK68)),QK69)/30,QK68,QK69)</f>
        <v>#VALUE!</v>
      </c>
      <c r="QL74" s="962" t="e">
        <f>[1]!bodmoadal(1,1,(QL67+1),[1]!qsn([1]!ml([1]!taqsha(1,1,1+QL67,QL68)),QL69)/30,QL68,QL69)</f>
        <v>#VALUE!</v>
      </c>
      <c r="QM74" s="962" t="e">
        <f>[1]!bodmoadal(1,1,(QM67+1),[1]!qsn([1]!ml([1]!taqsha(1,1,1+QM67,QM68)),QM69)/30,QM68,QM69)</f>
        <v>#VALUE!</v>
      </c>
      <c r="QN74" s="962" t="e">
        <f>[1]!bodmoadal(1,1,(QN67+1),[1]!qsn([1]!ml([1]!taqsha(1,1,1+QN67,QN68)),QN69)/30,QN68,QN69)</f>
        <v>#VALUE!</v>
      </c>
      <c r="QO74" s="962" t="e">
        <f>[1]!bodmoadal(1,1,(QO67+1),[1]!qsn([1]!ml([1]!taqsha(1,1,1+QO67,QO68)),QO69)/30,QO68,QO69)</f>
        <v>#VALUE!</v>
      </c>
      <c r="QP74" s="962" t="e">
        <f>[1]!bodmoadal(1,1,(QP67+1),[1]!qsn([1]!ml([1]!taqsha(1,1,1+QP67,QP68)),QP69)/30,QP68,QP69)</f>
        <v>#VALUE!</v>
      </c>
      <c r="QQ74" s="962" t="e">
        <f>[1]!bodmoadal(1,1,(QQ67+1),[1]!qsn([1]!ml([1]!taqsha(1,1,1+QQ67,QQ68)),QQ69)/30,QQ68,QQ69)</f>
        <v>#VALUE!</v>
      </c>
      <c r="QR74" s="962" t="e">
        <f>[1]!bodmoadal(1,1,(QR67+1),[1]!qsn([1]!ml([1]!taqsha(1,1,1+QR67,QR68)),QR69)/30,QR68,QR69)</f>
        <v>#VALUE!</v>
      </c>
      <c r="QS74" s="962" t="e">
        <f>[1]!bodmoadal(1,1,(QS67+1),[1]!qsn([1]!ml([1]!taqsha(1,1,1+QS67,QS68)),QS69)/30,QS68,QS69)</f>
        <v>#VALUE!</v>
      </c>
      <c r="QT74" s="962" t="e">
        <f>[1]!bodmoadal(1,1,(QT67+1),[1]!qsn([1]!ml([1]!taqsha(1,1,1+QT67,QT68)),QT69)/30,QT68,QT69)</f>
        <v>#VALUE!</v>
      </c>
      <c r="QU74" s="962" t="e">
        <f>[1]!bodmoadal(1,1,(QU67+1),[1]!qsn([1]!ml([1]!taqsha(1,1,1+QU67,QU68)),QU69)/30,QU68,QU69)</f>
        <v>#VALUE!</v>
      </c>
      <c r="QV74" s="962" t="e">
        <f>[1]!bodmoadal(1,1,(QV67+1),[1]!qsn([1]!ml([1]!taqsha(1,1,1+QV67,QV68)),QV69)/30,QV68,QV69)</f>
        <v>#VALUE!</v>
      </c>
      <c r="QW74" s="962" t="e">
        <f>[1]!bodmoadal(1,1,(QW67+1),[1]!qsn([1]!ml([1]!taqsha(1,1,1+QW67,QW68)),QW69)/30,QW68,QW69)</f>
        <v>#VALUE!</v>
      </c>
      <c r="QX74" s="962" t="e">
        <f>[1]!bodmoadal(1,1,(QX67+1),[1]!qsn([1]!ml([1]!taqsha(1,1,1+QX67,QX68)),QX69)/30,QX68,QX69)</f>
        <v>#VALUE!</v>
      </c>
      <c r="QY74" s="962" t="e">
        <f>[1]!bodmoadal(1,1,(QY67+1),[1]!qsn([1]!ml([1]!taqsha(1,1,1+QY67,QY68)),QY69)/30,QY68,QY69)</f>
        <v>#VALUE!</v>
      </c>
      <c r="QZ74" s="962" t="e">
        <f>[1]!bodmoadal(1,1,(QZ67+1),[1]!qsn([1]!ml([1]!taqsha(1,1,1+QZ67,QZ68)),QZ69)/30,QZ68,QZ69)</f>
        <v>#VALUE!</v>
      </c>
      <c r="RA74" s="963" t="e">
        <f>[1]!bodmoadal(1,1,(RA67+1),[1]!qsn([1]!ml([1]!taqsha(1,1,1+RA67,RA68)),RA69)/30,RA68,RA69)</f>
        <v>#VALUE!</v>
      </c>
      <c r="RC74" s="797"/>
    </row>
    <row r="75" spans="2:471" ht="17.25">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DH75" s="797"/>
      <c r="DI75" s="797" t="s">
        <v>3552</v>
      </c>
      <c r="DJ75" s="959" t="e">
        <f>[1]!bodsava(1,1,(DJ67+1),[1]!qsn([1]!ml([1]!taqsha(1,1,1+DJ67,DJ68)),DJ69)/30,DJ68,DJ69)</f>
        <v>#VALUE!</v>
      </c>
      <c r="DK75" s="962" t="e">
        <f>[1]!bodsava(1,1,(DK67+1),[1]!qsn([1]!ml([1]!taqsha(1,1,1+DK67,DK68)),DK69)/30,DK68,DK69)</f>
        <v>#VALUE!</v>
      </c>
      <c r="DL75" s="962" t="e">
        <f>[1]!bodsava(1,1,(DL67+1),[1]!qsn([1]!ml([1]!taqsha(1,1,1+DL67,DL68)),DL69)/30,DL68,DL69)</f>
        <v>#VALUE!</v>
      </c>
      <c r="DM75" s="962" t="e">
        <f>[1]!bodsava(1,1,(DM67+1),[1]!qsn([1]!ml([1]!taqsha(1,1,1+DM67,DM68)),DM69)/30,DM68,DM69)</f>
        <v>#VALUE!</v>
      </c>
      <c r="DN75" s="962" t="e">
        <f>[1]!bodsava(1,1,(DN67+1),[1]!qsn([1]!ml([1]!taqsha(1,1,1+DN67,DN68)),DN69)/30,DN68,DN69)</f>
        <v>#VALUE!</v>
      </c>
      <c r="DO75" s="962" t="e">
        <f>[1]!bodsava(1,1,(DO67+1),[1]!qsn([1]!ml([1]!taqsha(1,1,1+DO67,DO68)),DO69)/30,DO68,DO69)</f>
        <v>#VALUE!</v>
      </c>
      <c r="DP75" s="962" t="e">
        <f>[1]!bodsava(1,1,(DP67+1),[1]!qsn([1]!ml([1]!taqsha(1,1,1+DP67,DP68)),DP69)/30,DP68,DP69)</f>
        <v>#VALUE!</v>
      </c>
      <c r="DQ75" s="962" t="e">
        <f>[1]!bodsava(1,1,(DQ67+1),[1]!qsn([1]!ml([1]!taqsha(1,1,1+DQ67,DQ68)),DQ69)/30,DQ68,DQ69)</f>
        <v>#VALUE!</v>
      </c>
      <c r="DR75" s="962" t="e">
        <f>[1]!bodsava(1,1,(DR67+1),[1]!qsn([1]!ml([1]!taqsha(1,1,1+DR67,DR68)),DR69)/30,DR68,DR69)</f>
        <v>#VALUE!</v>
      </c>
      <c r="DS75" s="962" t="e">
        <f>[1]!bodsava(1,1,(DS67+1),[1]!qsn([1]!ml([1]!taqsha(1,1,1+DS67,DS68)),DS69)/30,DS68,DS69)</f>
        <v>#VALUE!</v>
      </c>
      <c r="DT75" s="962" t="e">
        <f>[1]!bodsava(1,1,(DT67+1),[1]!qsn([1]!ml([1]!taqsha(1,1,1+DT67,DT68)),DT69)/30,DT68,DT69)</f>
        <v>#VALUE!</v>
      </c>
      <c r="DU75" s="962" t="e">
        <f>[1]!bodsava(1,1,(DU67+1),[1]!qsn([1]!ml([1]!taqsha(1,1,1+DU67,DU68)),DU69)/30,DU68,DU69)</f>
        <v>#VALUE!</v>
      </c>
      <c r="DV75" s="962" t="e">
        <f>[1]!bodsava(1,1,(DV67+1),[1]!qsn([1]!ml([1]!taqsha(1,1,1+DV67,DV68)),DV69)/30,DV68,DV69)</f>
        <v>#VALUE!</v>
      </c>
      <c r="DW75" s="962" t="e">
        <f>[1]!bodsava(1,1,(DW67+1),[1]!qsn([1]!ml([1]!taqsha(1,1,1+DW67,DW68)),DW69)/30,DW68,DW69)</f>
        <v>#VALUE!</v>
      </c>
      <c r="DX75" s="962" t="e">
        <f>[1]!bodsava(1,1,(DX67+1),[1]!qsn([1]!ml([1]!taqsha(1,1,1+DX67,DX68)),DX69)/30,DX68,DX69)</f>
        <v>#VALUE!</v>
      </c>
      <c r="DY75" s="962" t="e">
        <f>[1]!bodsava(1,1,(DY67+1),[1]!qsn([1]!ml([1]!taqsha(1,1,1+DY67,DY68)),DY69)/30,DY68,DY69)</f>
        <v>#VALUE!</v>
      </c>
      <c r="DZ75" s="962" t="e">
        <f>[1]!bodsava(1,1,(DZ67+1),[1]!qsn([1]!ml([1]!taqsha(1,1,1+DZ67,DZ68)),DZ69)/30,DZ68,DZ69)</f>
        <v>#VALUE!</v>
      </c>
      <c r="EA75" s="962" t="e">
        <f>[1]!bodsava(1,1,(EA67+1),[1]!qsn([1]!ml([1]!taqsha(1,1,1+EA67,EA68)),EA69)/30,EA68,EA69)</f>
        <v>#VALUE!</v>
      </c>
      <c r="EB75" s="962" t="e">
        <f>[1]!bodsava(1,1,(EB67+1),[1]!qsn([1]!ml([1]!taqsha(1,1,1+EB67,EB68)),EB69)/30,EB68,EB69)</f>
        <v>#VALUE!</v>
      </c>
      <c r="EC75" s="962" t="e">
        <f>[1]!bodsava(1,1,(EC67+1),[1]!qsn([1]!ml([1]!taqsha(1,1,1+EC67,EC68)),EC69)/30,EC68,EC69)</f>
        <v>#VALUE!</v>
      </c>
      <c r="ED75" s="962" t="e">
        <f>[1]!bodsava(1,1,(ED67+1),[1]!qsn([1]!ml([1]!taqsha(1,1,1+ED67,ED68)),ED69)/30,ED68,ED69)</f>
        <v>#VALUE!</v>
      </c>
      <c r="EE75" s="962" t="e">
        <f>[1]!bodsava(1,1,(EE67+1),[1]!qsn([1]!ml([1]!taqsha(1,1,1+EE67,EE68)),EE69)/30,EE68,EE69)</f>
        <v>#VALUE!</v>
      </c>
      <c r="EF75" s="962" t="e">
        <f>[1]!bodsava(1,1,(EF67+1),[1]!qsn([1]!ml([1]!taqsha(1,1,1+EF67,EF68)),EF69)/30,EF68,EF69)</f>
        <v>#VALUE!</v>
      </c>
      <c r="EG75" s="962" t="e">
        <f>[1]!bodsava(1,1,(EG67+1),[1]!qsn([1]!ml([1]!taqsha(1,1,1+EG67,EG68)),EG69)/30,EG68,EG69)</f>
        <v>#VALUE!</v>
      </c>
      <c r="EH75" s="962" t="e">
        <f>[1]!bodsava(1,1,(EH67+1),[1]!qsn([1]!ml([1]!taqsha(1,1,1+EH67,EH68)),EH69)/30,EH68,EH69)</f>
        <v>#VALUE!</v>
      </c>
      <c r="EI75" s="962" t="e">
        <f>[1]!bodsava(1,1,(EI67+1),[1]!qsn([1]!ml([1]!taqsha(1,1,1+EI67,EI68)),EI69)/30,EI68,EI69)</f>
        <v>#VALUE!</v>
      </c>
      <c r="EJ75" s="962" t="e">
        <f>[1]!bodsava(1,1,(EJ67+1),[1]!qsn([1]!ml([1]!taqsha(1,1,1+EJ67,EJ68)),EJ69)/30,EJ68,EJ69)</f>
        <v>#VALUE!</v>
      </c>
      <c r="EK75" s="962" t="e">
        <f>[1]!bodsava(1,1,(EK67+1),[1]!qsn([1]!ml([1]!taqsha(1,1,1+EK67,EK68)),EK69)/30,EK68,EK69)</f>
        <v>#VALUE!</v>
      </c>
      <c r="EL75" s="962" t="e">
        <f>[1]!bodsava(1,1,(EL67+1),[1]!qsn([1]!ml([1]!taqsha(1,1,1+EL67,EL68)),EL69)/30,EL68,EL69)</f>
        <v>#VALUE!</v>
      </c>
      <c r="EM75" s="962" t="e">
        <f>[1]!bodsava(1,1,(EM67+1),[1]!qsn([1]!ml([1]!taqsha(1,1,1+EM67,EM68)),EM69)/30,EM68,EM69)</f>
        <v>#VALUE!</v>
      </c>
      <c r="EN75" s="962" t="e">
        <f>[1]!bodsava(1,1,(EN67+1),[1]!qsn([1]!ml([1]!taqsha(1,1,1+EN67,EN68)),EN69)/30,EN68,EN69)</f>
        <v>#VALUE!</v>
      </c>
      <c r="EO75" s="962" t="e">
        <f>[1]!bodsava(1,1,(EO67+1),[1]!qsn([1]!ml([1]!taqsha(1,1,1+EO67,EO68)),EO69)/30,EO68,EO69)</f>
        <v>#VALUE!</v>
      </c>
      <c r="EP75" s="962" t="e">
        <f>[1]!bodsava(1,1,(EP67+1),[1]!qsn([1]!ml([1]!taqsha(1,1,1+EP67,EP68)),EP69)/30,EP68,EP69)</f>
        <v>#VALUE!</v>
      </c>
      <c r="EQ75" s="962" t="e">
        <f>[1]!bodsava(1,1,(EQ67+1),[1]!qsn([1]!ml([1]!taqsha(1,1,1+EQ67,EQ68)),EQ69)/30,EQ68,EQ69)</f>
        <v>#VALUE!</v>
      </c>
      <c r="ER75" s="962" t="e">
        <f>[1]!bodsava(1,1,(ER67+1),[1]!qsn([1]!ml([1]!taqsha(1,1,1+ER67,ER68)),ER69)/30,ER68,ER69)</f>
        <v>#VALUE!</v>
      </c>
      <c r="ES75" s="962" t="e">
        <f>[1]!bodsava(1,1,(ES67+1),[1]!qsn([1]!ml([1]!taqsha(1,1,1+ES67,ES68)),ES69)/30,ES68,ES69)</f>
        <v>#VALUE!</v>
      </c>
      <c r="ET75" s="962" t="e">
        <f>[1]!bodsava(1,1,(ET67+1),[1]!qsn([1]!ml([1]!taqsha(1,1,1+ET67,ET68)),ET69)/30,ET68,ET69)</f>
        <v>#VALUE!</v>
      </c>
      <c r="EU75" s="962" t="e">
        <f>[1]!bodsava(1,1,(EU67+1),[1]!qsn([1]!ml([1]!taqsha(1,1,1+EU67,EU68)),EU69)/30,EU68,EU69)</f>
        <v>#VALUE!</v>
      </c>
      <c r="EV75" s="962" t="e">
        <f>[1]!bodsava(1,1,(EV67+1),[1]!qsn([1]!ml([1]!taqsha(1,1,1+EV67,EV68)),EV69)/30,EV68,EV69)</f>
        <v>#VALUE!</v>
      </c>
      <c r="EW75" s="962" t="e">
        <f>[1]!bodsava(1,1,(EW67+1),[1]!qsn([1]!ml([1]!taqsha(1,1,1+EW67,EW68)),EW69)/30,EW68,EW69)</f>
        <v>#VALUE!</v>
      </c>
      <c r="EX75" s="962" t="e">
        <f>[1]!bodsava(1,1,(EX67+1),[1]!qsn([1]!ml([1]!taqsha(1,1,1+EX67,EX68)),EX69)/30,EX68,EX69)</f>
        <v>#VALUE!</v>
      </c>
      <c r="EY75" s="962" t="e">
        <f>[1]!bodsava(1,1,(EY67+1),[1]!qsn([1]!ml([1]!taqsha(1,1,1+EY67,EY68)),EY69)/30,EY68,EY69)</f>
        <v>#VALUE!</v>
      </c>
      <c r="EZ75" s="962" t="e">
        <f>[1]!bodsava(1,1,(EZ67+1),[1]!qsn([1]!ml([1]!taqsha(1,1,1+EZ67,EZ68)),EZ69)/30,EZ68,EZ69)</f>
        <v>#VALUE!</v>
      </c>
      <c r="FA75" s="962" t="e">
        <f>[1]!bodsava(1,1,(FA67+1),[1]!qsn([1]!ml([1]!taqsha(1,1,1+FA67,FA68)),FA69)/30,FA68,FA69)</f>
        <v>#VALUE!</v>
      </c>
      <c r="FB75" s="962" t="e">
        <f>[1]!bodsava(1,1,(FB67+1),[1]!qsn([1]!ml([1]!taqsha(1,1,1+FB67,FB68)),FB69)/30,FB68,FB69)</f>
        <v>#VALUE!</v>
      </c>
      <c r="FC75" s="962" t="e">
        <f>[1]!bodsava(1,1,(FC67+1),[1]!qsn([1]!ml([1]!taqsha(1,1,1+FC67,FC68)),FC69)/30,FC68,FC69)</f>
        <v>#VALUE!</v>
      </c>
      <c r="FD75" s="962" t="e">
        <f>[1]!bodsava(1,1,(FD67+1),[1]!qsn([1]!ml([1]!taqsha(1,1,1+FD67,FD68)),FD69)/30,FD68,FD69)</f>
        <v>#VALUE!</v>
      </c>
      <c r="FE75" s="962" t="e">
        <f>[1]!bodsava(1,1,(FE67+1),[1]!qsn([1]!ml([1]!taqsha(1,1,1+FE67,FE68)),FE69)/30,FE68,FE69)</f>
        <v>#VALUE!</v>
      </c>
      <c r="FF75" s="962" t="e">
        <f>[1]!bodsava(1,1,(FF67+1),[1]!qsn([1]!ml([1]!taqsha(1,1,1+FF67,FF68)),FF69)/30,FF68,FF69)</f>
        <v>#VALUE!</v>
      </c>
      <c r="FG75" s="962" t="e">
        <f>[1]!bodsava(1,1,(FG67+1),[1]!qsn([1]!ml([1]!taqsha(1,1,1+FG67,FG68)),FG69)/30,FG68,FG69)</f>
        <v>#VALUE!</v>
      </c>
      <c r="FH75" s="962" t="e">
        <f>[1]!bodsava(1,1,(FH67+1),[1]!qsn([1]!ml([1]!taqsha(1,1,1+FH67,FH68)),FH69)/30,FH68,FH69)</f>
        <v>#VALUE!</v>
      </c>
      <c r="FI75" s="962" t="e">
        <f>[1]!bodsava(1,1,(FI67+1),[1]!qsn([1]!ml([1]!taqsha(1,1,1+FI67,FI68)),FI69)/30,FI68,FI69)</f>
        <v>#VALUE!</v>
      </c>
      <c r="FJ75" s="962" t="e">
        <f>[1]!bodsava(1,1,(FJ67+1),[1]!qsn([1]!ml([1]!taqsha(1,1,1+FJ67,FJ68)),FJ69)/30,FJ68,FJ69)</f>
        <v>#VALUE!</v>
      </c>
      <c r="FK75" s="962" t="e">
        <f>[1]!bodsava(1,1,(FK67+1),[1]!qsn([1]!ml([1]!taqsha(1,1,1+FK67,FK68)),FK69)/30,FK68,FK69)</f>
        <v>#VALUE!</v>
      </c>
      <c r="FL75" s="962" t="e">
        <f>[1]!bodsava(1,1,(FL67+1),[1]!qsn([1]!ml([1]!taqsha(1,1,1+FL67,FL68)),FL69)/30,FL68,FL69)</f>
        <v>#VALUE!</v>
      </c>
      <c r="FM75" s="962" t="e">
        <f>[1]!bodsava(1,1,(FM67+1),[1]!qsn([1]!ml([1]!taqsha(1,1,1+FM67,FM68)),FM69)/30,FM68,FM69)</f>
        <v>#VALUE!</v>
      </c>
      <c r="FN75" s="962" t="e">
        <f>[1]!bodsava(1,1,(FN67+1),[1]!qsn([1]!ml([1]!taqsha(1,1,1+FN67,FN68)),FN69)/30,FN68,FN69)</f>
        <v>#VALUE!</v>
      </c>
      <c r="FO75" s="962" t="e">
        <f>[1]!bodsava(1,1,(FO67+1),[1]!qsn([1]!ml([1]!taqsha(1,1,1+FO67,FO68)),FO69)/30,FO68,FO69)</f>
        <v>#VALUE!</v>
      </c>
      <c r="FP75" s="962" t="e">
        <f>[1]!bodsava(1,1,(FP67+1),[1]!qsn([1]!ml([1]!taqsha(1,1,1+FP67,FP68)),FP69)/30,FP68,FP69)</f>
        <v>#VALUE!</v>
      </c>
      <c r="FQ75" s="962" t="e">
        <f>[1]!bodsava(1,1,(FQ67+1),[1]!qsn([1]!ml([1]!taqsha(1,1,1+FQ67,FQ68)),FQ69)/30,FQ68,FQ69)</f>
        <v>#VALUE!</v>
      </c>
      <c r="FR75" s="962" t="e">
        <f>[1]!bodsava(1,1,(FR67+1),[1]!qsn([1]!ml([1]!taqsha(1,1,1+FR67,FR68)),FR69)/30,FR68,FR69)</f>
        <v>#VALUE!</v>
      </c>
      <c r="FS75" s="962" t="e">
        <f>[1]!bodsava(1,1,(FS67+1),[1]!qsn([1]!ml([1]!taqsha(1,1,1+FS67,FS68)),FS69)/30,FS68,FS69)</f>
        <v>#VALUE!</v>
      </c>
      <c r="FT75" s="962" t="e">
        <f>[1]!bodsava(1,1,(FT67+1),[1]!qsn([1]!ml([1]!taqsha(1,1,1+FT67,FT68)),FT69)/30,FT68,FT69)</f>
        <v>#VALUE!</v>
      </c>
      <c r="FU75" s="962" t="e">
        <f>[1]!bodsava(1,1,(FU67+1),[1]!qsn([1]!ml([1]!taqsha(1,1,1+FU67,FU68)),FU69)/30,FU68,FU69)</f>
        <v>#VALUE!</v>
      </c>
      <c r="FV75" s="962" t="e">
        <f>[1]!bodsava(1,1,(FV67+1),[1]!qsn([1]!ml([1]!taqsha(1,1,1+FV67,FV68)),FV69)/30,FV68,FV69)</f>
        <v>#VALUE!</v>
      </c>
      <c r="FW75" s="962" t="e">
        <f>[1]!bodsava(1,1,(FW67+1),[1]!qsn([1]!ml([1]!taqsha(1,1,1+FW67,FW68)),FW69)/30,FW68,FW69)</f>
        <v>#VALUE!</v>
      </c>
      <c r="FX75" s="962" t="e">
        <f>[1]!bodsava(1,1,(FX67+1),[1]!qsn([1]!ml([1]!taqsha(1,1,1+FX67,FX68)),FX69)/30,FX68,FX69)</f>
        <v>#VALUE!</v>
      </c>
      <c r="FY75" s="962" t="e">
        <f>[1]!bodsava(1,1,(FY67+1),[1]!qsn([1]!ml([1]!taqsha(1,1,1+FY67,FY68)),FY69)/30,FY68,FY69)</f>
        <v>#VALUE!</v>
      </c>
      <c r="FZ75" s="962" t="e">
        <f>[1]!bodsava(1,1,(FZ67+1),[1]!qsn([1]!ml([1]!taqsha(1,1,1+FZ67,FZ68)),FZ69)/30,FZ68,FZ69)</f>
        <v>#VALUE!</v>
      </c>
      <c r="GA75" s="962" t="e">
        <f>[1]!bodsava(1,1,(GA67+1),[1]!qsn([1]!ml([1]!taqsha(1,1,1+GA67,GA68)),GA69)/30,GA68,GA69)</f>
        <v>#VALUE!</v>
      </c>
      <c r="GB75" s="962" t="e">
        <f>[1]!bodsava(1,1,(GB67+1),[1]!qsn([1]!ml([1]!taqsha(1,1,1+GB67,GB68)),GB69)/30,GB68,GB69)</f>
        <v>#VALUE!</v>
      </c>
      <c r="GC75" s="962" t="e">
        <f>[1]!bodsava(1,1,(GC67+1),[1]!qsn([1]!ml([1]!taqsha(1,1,1+GC67,GC68)),GC69)/30,GC68,GC69)</f>
        <v>#VALUE!</v>
      </c>
      <c r="GD75" s="962" t="e">
        <f>[1]!bodsava(1,1,(GD67+1),[1]!qsn([1]!ml([1]!taqsha(1,1,1+GD67,GD68)),GD69)/30,GD68,GD69)</f>
        <v>#VALUE!</v>
      </c>
      <c r="GE75" s="962" t="e">
        <f>[1]!bodsava(1,1,(GE67+1),[1]!qsn([1]!ml([1]!taqsha(1,1,1+GE67,GE68)),GE69)/30,GE68,GE69)</f>
        <v>#VALUE!</v>
      </c>
      <c r="GF75" s="962" t="e">
        <f>[1]!bodsava(1,1,(GF67+1),[1]!qsn([1]!ml([1]!taqsha(1,1,1+GF67,GF68)),GF69)/30,GF68,GF69)</f>
        <v>#VALUE!</v>
      </c>
      <c r="GG75" s="962" t="e">
        <f>[1]!bodsava(1,1,(GG67+1),[1]!qsn([1]!ml([1]!taqsha(1,1,1+GG67,GG68)),GG69)/30,GG68,GG69)</f>
        <v>#VALUE!</v>
      </c>
      <c r="GH75" s="962" t="e">
        <f>[1]!bodsava(1,1,(GH67+1),[1]!qsn([1]!ml([1]!taqsha(1,1,1+GH67,GH68)),GH69)/30,GH68,GH69)</f>
        <v>#VALUE!</v>
      </c>
      <c r="GI75" s="962" t="e">
        <f>[1]!bodsava(1,1,(GI67+1),[1]!qsn([1]!ml([1]!taqsha(1,1,1+GI67,GI68)),GI69)/30,GI68,GI69)</f>
        <v>#VALUE!</v>
      </c>
      <c r="GJ75" s="962" t="e">
        <f>[1]!bodsava(1,1,(GJ67+1),[1]!qsn([1]!ml([1]!taqsha(1,1,1+GJ67,GJ68)),GJ69)/30,GJ68,GJ69)</f>
        <v>#VALUE!</v>
      </c>
      <c r="GK75" s="962" t="e">
        <f>[1]!bodsava(1,1,(GK67+1),[1]!qsn([1]!ml([1]!taqsha(1,1,1+GK67,GK68)),GK69)/30,GK68,GK69)</f>
        <v>#VALUE!</v>
      </c>
      <c r="GL75" s="962" t="e">
        <f>[1]!bodsava(1,1,(GL67+1),[1]!qsn([1]!ml([1]!taqsha(1,1,1+GL67,GL68)),GL69)/30,GL68,GL69)</f>
        <v>#VALUE!</v>
      </c>
      <c r="GM75" s="962" t="e">
        <f>[1]!bodsava(1,1,(GM67+1),[1]!qsn([1]!ml([1]!taqsha(1,1,1+GM67,GM68)),GM69)/30,GM68,GM69)</f>
        <v>#VALUE!</v>
      </c>
      <c r="GN75" s="962" t="e">
        <f>[1]!bodsava(1,1,(GN67+1),[1]!qsn([1]!ml([1]!taqsha(1,1,1+GN67,GN68)),GN69)/30,GN68,GN69)</f>
        <v>#VALUE!</v>
      </c>
      <c r="GO75" s="962" t="e">
        <f>[1]!bodsava(1,1,(GO67+1),[1]!qsn([1]!ml([1]!taqsha(1,1,1+GO67,GO68)),GO69)/30,GO68,GO69)</f>
        <v>#VALUE!</v>
      </c>
      <c r="GP75" s="962" t="e">
        <f>[1]!bodsava(1,1,(GP67+1),[1]!qsn([1]!ml([1]!taqsha(1,1,1+GP67,GP68)),GP69)/30,GP68,GP69)</f>
        <v>#VALUE!</v>
      </c>
      <c r="GQ75" s="962" t="e">
        <f>[1]!bodsava(1,1,(GQ67+1),[1]!qsn([1]!ml([1]!taqsha(1,1,1+GQ67,GQ68)),GQ69)/30,GQ68,GQ69)</f>
        <v>#VALUE!</v>
      </c>
      <c r="GR75" s="962" t="e">
        <f>[1]!bodsava(1,1,(GR67+1),[1]!qsn([1]!ml([1]!taqsha(1,1,1+GR67,GR68)),GR69)/30,GR68,GR69)</f>
        <v>#VALUE!</v>
      </c>
      <c r="GS75" s="962" t="e">
        <f>[1]!bodsava(1,1,(GS67+1),[1]!qsn([1]!ml([1]!taqsha(1,1,1+GS67,GS68)),GS69)/30,GS68,GS69)</f>
        <v>#VALUE!</v>
      </c>
      <c r="GT75" s="962" t="e">
        <f>[1]!bodsava(1,1,(GT67+1),[1]!qsn([1]!ml([1]!taqsha(1,1,1+GT67,GT68)),GT69)/30,GT68,GT69)</f>
        <v>#VALUE!</v>
      </c>
      <c r="GU75" s="962" t="e">
        <f>[1]!bodsava(1,1,(GU67+1),[1]!qsn([1]!ml([1]!taqsha(1,1,1+GU67,GU68)),GU69)/30,GU68,GU69)</f>
        <v>#VALUE!</v>
      </c>
      <c r="GV75" s="962" t="e">
        <f>[1]!bodsava(1,1,(GV67+1),[1]!qsn([1]!ml([1]!taqsha(1,1,1+GV67,GV68)),GV69)/30,GV68,GV69)</f>
        <v>#VALUE!</v>
      </c>
      <c r="GW75" s="962" t="e">
        <f>[1]!bodsava(1,1,(GW67+1),[1]!qsn([1]!ml([1]!taqsha(1,1,1+GW67,GW68)),GW69)/30,GW68,GW69)</f>
        <v>#VALUE!</v>
      </c>
      <c r="GX75" s="962" t="e">
        <f>[1]!bodsava(1,1,(GX67+1),[1]!qsn([1]!ml([1]!taqsha(1,1,1+GX67,GX68)),GX69)/30,GX68,GX69)</f>
        <v>#VALUE!</v>
      </c>
      <c r="GY75" s="962" t="e">
        <f>[1]!bodsava(1,1,(GY67+1),[1]!qsn([1]!ml([1]!taqsha(1,1,1+GY67,GY68)),GY69)/30,GY68,GY69)</f>
        <v>#VALUE!</v>
      </c>
      <c r="GZ75" s="962" t="e">
        <f>[1]!bodsava(1,1,(GZ67+1),[1]!qsn([1]!ml([1]!taqsha(1,1,1+GZ67,GZ68)),GZ69)/30,GZ68,GZ69)</f>
        <v>#VALUE!</v>
      </c>
      <c r="HA75" s="962" t="e">
        <f>[1]!bodsava(1,1,(HA67+1),[1]!qsn([1]!ml([1]!taqsha(1,1,1+HA67,HA68)),HA69)/30,HA68,HA69)</f>
        <v>#VALUE!</v>
      </c>
      <c r="HB75" s="962" t="e">
        <f>[1]!bodsava(1,1,(HB67+1),[1]!qsn([1]!ml([1]!taqsha(1,1,1+HB67,HB68)),HB69)/30,HB68,HB69)</f>
        <v>#VALUE!</v>
      </c>
      <c r="HC75" s="962" t="e">
        <f>[1]!bodsava(1,1,(HC67+1),[1]!qsn([1]!ml([1]!taqsha(1,1,1+HC67,HC68)),HC69)/30,HC68,HC69)</f>
        <v>#VALUE!</v>
      </c>
      <c r="HD75" s="962" t="e">
        <f>[1]!bodsava(1,1,(HD67+1),[1]!qsn([1]!ml([1]!taqsha(1,1,1+HD67,HD68)),HD69)/30,HD68,HD69)</f>
        <v>#VALUE!</v>
      </c>
      <c r="HE75" s="962" t="e">
        <f>[1]!bodsava(1,1,(HE67+1),[1]!qsn([1]!ml([1]!taqsha(1,1,1+HE67,HE68)),HE69)/30,HE68,HE69)</f>
        <v>#VALUE!</v>
      </c>
      <c r="HF75" s="962" t="e">
        <f>[1]!bodsava(1,1,(HF67+1),[1]!qsn([1]!ml([1]!taqsha(1,1,1+HF67,HF68)),HF69)/30,HF68,HF69)</f>
        <v>#VALUE!</v>
      </c>
      <c r="HG75" s="962" t="e">
        <f>[1]!bodsava(1,1,(HG67+1),[1]!qsn([1]!ml([1]!taqsha(1,1,1+HG67,HG68)),HG69)/30,HG68,HG69)</f>
        <v>#VALUE!</v>
      </c>
      <c r="HH75" s="962" t="e">
        <f>[1]!bodsava(1,1,(HH67+1),[1]!qsn([1]!ml([1]!taqsha(1,1,1+HH67,HH68)),HH69)/30,HH68,HH69)</f>
        <v>#VALUE!</v>
      </c>
      <c r="HI75" s="962" t="e">
        <f>[1]!bodsava(1,1,(HI67+1),[1]!qsn([1]!ml([1]!taqsha(1,1,1+HI67,HI68)),HI69)/30,HI68,HI69)</f>
        <v>#VALUE!</v>
      </c>
      <c r="HJ75" s="962" t="e">
        <f>[1]!bodsava(1,1,(HJ67+1),[1]!qsn([1]!ml([1]!taqsha(1,1,1+HJ67,HJ68)),HJ69)/30,HJ68,HJ69)</f>
        <v>#VALUE!</v>
      </c>
      <c r="HK75" s="962" t="e">
        <f>[1]!bodsava(1,1,(HK67+1),[1]!qsn([1]!ml([1]!taqsha(1,1,1+HK67,HK68)),HK69)/30,HK68,HK69)</f>
        <v>#VALUE!</v>
      </c>
      <c r="HL75" s="962" t="e">
        <f>[1]!bodsava(1,1,(HL67+1),[1]!qsn([1]!ml([1]!taqsha(1,1,1+HL67,HL68)),HL69)/30,HL68,HL69)</f>
        <v>#VALUE!</v>
      </c>
      <c r="HM75" s="962" t="e">
        <f>[1]!bodsava(1,1,(HM67+1),[1]!qsn([1]!ml([1]!taqsha(1,1,1+HM67,HM68)),HM69)/30,HM68,HM69)</f>
        <v>#VALUE!</v>
      </c>
      <c r="HN75" s="962" t="e">
        <f>[1]!bodsava(1,1,(HN67+1),[1]!qsn([1]!ml([1]!taqsha(1,1,1+HN67,HN68)),HN69)/30,HN68,HN69)</f>
        <v>#VALUE!</v>
      </c>
      <c r="HO75" s="962" t="e">
        <f>[1]!bodsava(1,1,(HO67+1),[1]!qsn([1]!ml([1]!taqsha(1,1,1+HO67,HO68)),HO69)/30,HO68,HO69)</f>
        <v>#VALUE!</v>
      </c>
      <c r="HP75" s="962" t="e">
        <f>[1]!bodsava(1,1,(HP67+1),[1]!qsn([1]!ml([1]!taqsha(1,1,1+HP67,HP68)),HP69)/30,HP68,HP69)</f>
        <v>#VALUE!</v>
      </c>
      <c r="HQ75" s="962" t="e">
        <f>[1]!bodsava(1,1,(HQ67+1),[1]!qsn([1]!ml([1]!taqsha(1,1,1+HQ67,HQ68)),HQ69)/30,HQ68,HQ69)</f>
        <v>#VALUE!</v>
      </c>
      <c r="HR75" s="962" t="e">
        <f>[1]!bodsava(1,1,(HR67+1),[1]!qsn([1]!ml([1]!taqsha(1,1,1+HR67,HR68)),HR69)/30,HR68,HR69)</f>
        <v>#VALUE!</v>
      </c>
      <c r="HS75" s="962" t="e">
        <f>[1]!bodsava(1,1,(HS67+1),[1]!qsn([1]!ml([1]!taqsha(1,1,1+HS67,HS68)),HS69)/30,HS68,HS69)</f>
        <v>#VALUE!</v>
      </c>
      <c r="HT75" s="962" t="e">
        <f>[1]!bodsava(1,1,(HT67+1),[1]!qsn([1]!ml([1]!taqsha(1,1,1+HT67,HT68)),HT69)/30,HT68,HT69)</f>
        <v>#VALUE!</v>
      </c>
      <c r="HU75" s="962" t="e">
        <f>[1]!bodsava(1,1,(HU67+1),[1]!qsn([1]!ml([1]!taqsha(1,1,1+HU67,HU68)),HU69)/30,HU68,HU69)</f>
        <v>#VALUE!</v>
      </c>
      <c r="HV75" s="962" t="e">
        <f>[1]!bodsava(1,1,(HV67+1),[1]!qsn([1]!ml([1]!taqsha(1,1,1+HV67,HV68)),HV69)/30,HV68,HV69)</f>
        <v>#VALUE!</v>
      </c>
      <c r="HW75" s="962" t="e">
        <f>[1]!bodsava(1,1,(HW67+1),[1]!qsn([1]!ml([1]!taqsha(1,1,1+HW67,HW68)),HW69)/30,HW68,HW69)</f>
        <v>#VALUE!</v>
      </c>
      <c r="HX75" s="962" t="e">
        <f>[1]!bodsava(1,1,(HX67+1),[1]!qsn([1]!ml([1]!taqsha(1,1,1+HX67,HX68)),HX69)/30,HX68,HX69)</f>
        <v>#VALUE!</v>
      </c>
      <c r="HY75" s="962" t="e">
        <f>[1]!bodsava(1,1,(HY67+1),[1]!qsn([1]!ml([1]!taqsha(1,1,1+HY67,HY68)),HY69)/30,HY68,HY69)</f>
        <v>#VALUE!</v>
      </c>
      <c r="HZ75" s="962" t="e">
        <f>[1]!bodsava(1,1,(HZ67+1),[1]!qsn([1]!ml([1]!taqsha(1,1,1+HZ67,HZ68)),HZ69)/30,HZ68,HZ69)</f>
        <v>#VALUE!</v>
      </c>
      <c r="IA75" s="962" t="e">
        <f>[1]!bodsava(1,1,(IA67+1),[1]!qsn([1]!ml([1]!taqsha(1,1,1+IA67,IA68)),IA69)/30,IA68,IA69)</f>
        <v>#VALUE!</v>
      </c>
      <c r="IB75" s="962" t="e">
        <f>[1]!bodsava(1,1,(IB67+1),[1]!qsn([1]!ml([1]!taqsha(1,1,1+IB67,IB68)),IB69)/30,IB68,IB69)</f>
        <v>#VALUE!</v>
      </c>
      <c r="IC75" s="962" t="e">
        <f>[1]!bodsava(1,1,(IC67+1),[1]!qsn([1]!ml([1]!taqsha(1,1,1+IC67,IC68)),IC69)/30,IC68,IC69)</f>
        <v>#VALUE!</v>
      </c>
      <c r="ID75" s="962" t="e">
        <f>[1]!bodsava(1,1,(ID67+1),[1]!qsn([1]!ml([1]!taqsha(1,1,1+ID67,ID68)),ID69)/30,ID68,ID69)</f>
        <v>#VALUE!</v>
      </c>
      <c r="IE75" s="962" t="e">
        <f>[1]!bodsava(1,1,(IE67+1),[1]!qsn([1]!ml([1]!taqsha(1,1,1+IE67,IE68)),IE69)/30,IE68,IE69)</f>
        <v>#VALUE!</v>
      </c>
      <c r="IF75" s="962" t="e">
        <f>[1]!bodsava(1,1,(IF67+1),[1]!qsn([1]!ml([1]!taqsha(1,1,1+IF67,IF68)),IF69)/30,IF68,IF69)</f>
        <v>#VALUE!</v>
      </c>
      <c r="IG75" s="962" t="e">
        <f>[1]!bodsava(1,1,(IG67+1),[1]!qsn([1]!ml([1]!taqsha(1,1,1+IG67,IG68)),IG69)/30,IG68,IG69)</f>
        <v>#VALUE!</v>
      </c>
      <c r="IH75" s="962" t="e">
        <f>[1]!bodsava(1,1,(IH67+1),[1]!qsn([1]!ml([1]!taqsha(1,1,1+IH67,IH68)),IH69)/30,IH68,IH69)</f>
        <v>#VALUE!</v>
      </c>
      <c r="II75" s="962" t="e">
        <f>[1]!bodsava(1,1,(II67+1),[1]!qsn([1]!ml([1]!taqsha(1,1,1+II67,II68)),II69)/30,II68,II69)</f>
        <v>#VALUE!</v>
      </c>
      <c r="IJ75" s="962" t="e">
        <f>[1]!bodsava(1,1,(IJ67+1),[1]!qsn([1]!ml([1]!taqsha(1,1,1+IJ67,IJ68)),IJ69)/30,IJ68,IJ69)</f>
        <v>#VALUE!</v>
      </c>
      <c r="IK75" s="962" t="e">
        <f>[1]!bodsava(1,1,(IK67+1),[1]!qsn([1]!ml([1]!taqsha(1,1,1+IK67,IK68)),IK69)/30,IK68,IK69)</f>
        <v>#VALUE!</v>
      </c>
      <c r="IL75" s="962" t="e">
        <f>[1]!bodsava(1,1,(IL67+1),[1]!qsn([1]!ml([1]!taqsha(1,1,1+IL67,IL68)),IL69)/30,IL68,IL69)</f>
        <v>#VALUE!</v>
      </c>
      <c r="IM75" s="962" t="e">
        <f>[1]!bodsava(1,1,(IM67+1),[1]!qsn([1]!ml([1]!taqsha(1,1,1+IM67,IM68)),IM69)/30,IM68,IM69)</f>
        <v>#VALUE!</v>
      </c>
      <c r="IN75" s="962" t="e">
        <f>[1]!bodsava(1,1,(IN67+1),[1]!qsn([1]!ml([1]!taqsha(1,1,1+IN67,IN68)),IN69)/30,IN68,IN69)</f>
        <v>#VALUE!</v>
      </c>
      <c r="IO75" s="962" t="e">
        <f>[1]!bodsava(1,1,(IO67+1),[1]!qsn([1]!ml([1]!taqsha(1,1,1+IO67,IO68)),IO69)/30,IO68,IO69)</f>
        <v>#VALUE!</v>
      </c>
      <c r="IP75" s="962" t="e">
        <f>[1]!bodsava(1,1,(IP67+1),[1]!qsn([1]!ml([1]!taqsha(1,1,1+IP67,IP68)),IP69)/30,IP68,IP69)</f>
        <v>#VALUE!</v>
      </c>
      <c r="IQ75" s="962" t="e">
        <f>[1]!bodsava(1,1,(IQ67+1),[1]!qsn([1]!ml([1]!taqsha(1,1,1+IQ67,IQ68)),IQ69)/30,IQ68,IQ69)</f>
        <v>#VALUE!</v>
      </c>
      <c r="IR75" s="962" t="e">
        <f>[1]!bodsava(1,1,(IR67+1),[1]!qsn([1]!ml([1]!taqsha(1,1,1+IR67,IR68)),IR69)/30,IR68,IR69)</f>
        <v>#VALUE!</v>
      </c>
      <c r="IS75" s="962" t="e">
        <f>[1]!bodsava(1,1,(IS67+1),[1]!qsn([1]!ml([1]!taqsha(1,1,1+IS67,IS68)),IS69)/30,IS68,IS69)</f>
        <v>#VALUE!</v>
      </c>
      <c r="IT75" s="962" t="e">
        <f>[1]!bodsava(1,1,(IT67+1),[1]!qsn([1]!ml([1]!taqsha(1,1,1+IT67,IT68)),IT69)/30,IT68,IT69)</f>
        <v>#VALUE!</v>
      </c>
      <c r="IU75" s="962" t="e">
        <f>[1]!bodsava(1,1,(IU67+1),[1]!qsn([1]!ml([1]!taqsha(1,1,1+IU67,IU68)),IU69)/30,IU68,IU69)</f>
        <v>#VALUE!</v>
      </c>
      <c r="IV75" s="962" t="e">
        <f>[1]!bodsava(1,1,(IV67+1),[1]!qsn([1]!ml([1]!taqsha(1,1,1+IV67,IV68)),IV69)/30,IV68,IV69)</f>
        <v>#VALUE!</v>
      </c>
      <c r="IW75" s="962" t="e">
        <f>[1]!bodsava(1,1,(IW67+1),[1]!qsn([1]!ml([1]!taqsha(1,1,1+IW67,IW68)),IW69)/30,IW68,IW69)</f>
        <v>#VALUE!</v>
      </c>
      <c r="IX75" s="962" t="e">
        <f>[1]!bodsava(1,1,(IX67+1),[1]!qsn([1]!ml([1]!taqsha(1,1,1+IX67,IX68)),IX69)/30,IX68,IX69)</f>
        <v>#VALUE!</v>
      </c>
      <c r="IY75" s="962" t="e">
        <f>[1]!bodsava(1,1,(IY67+1),[1]!qsn([1]!ml([1]!taqsha(1,1,1+IY67,IY68)),IY69)/30,IY68,IY69)</f>
        <v>#VALUE!</v>
      </c>
      <c r="IZ75" s="962" t="e">
        <f>[1]!bodsava(1,1,(IZ67+1),[1]!qsn([1]!ml([1]!taqsha(1,1,1+IZ67,IZ68)),IZ69)/30,IZ68,IZ69)</f>
        <v>#VALUE!</v>
      </c>
      <c r="JA75" s="962" t="e">
        <f>[1]!bodsava(1,1,(JA67+1),[1]!qsn([1]!ml([1]!taqsha(1,1,1+JA67,JA68)),JA69)/30,JA68,JA69)</f>
        <v>#VALUE!</v>
      </c>
      <c r="JB75" s="962" t="e">
        <f>[1]!bodsava(1,1,(JB67+1),[1]!qsn([1]!ml([1]!taqsha(1,1,1+JB67,JB68)),JB69)/30,JB68,JB69)</f>
        <v>#VALUE!</v>
      </c>
      <c r="JC75" s="962" t="e">
        <f>[1]!bodsava(1,1,(JC67+1),[1]!qsn([1]!ml([1]!taqsha(1,1,1+JC67,JC68)),JC69)/30,JC68,JC69)</f>
        <v>#VALUE!</v>
      </c>
      <c r="JD75" s="962" t="e">
        <f>[1]!bodsava(1,1,(JD67+1),[1]!qsn([1]!ml([1]!taqsha(1,1,1+JD67,JD68)),JD69)/30,JD68,JD69)</f>
        <v>#VALUE!</v>
      </c>
      <c r="JE75" s="962" t="e">
        <f>[1]!bodsava(1,1,(JE67+1),[1]!qsn([1]!ml([1]!taqsha(1,1,1+JE67,JE68)),JE69)/30,JE68,JE69)</f>
        <v>#VALUE!</v>
      </c>
      <c r="JF75" s="962" t="e">
        <f>[1]!bodsava(1,1,(JF67+1),[1]!qsn([1]!ml([1]!taqsha(1,1,1+JF67,JF68)),JF69)/30,JF68,JF69)</f>
        <v>#VALUE!</v>
      </c>
      <c r="JG75" s="962" t="e">
        <f>[1]!bodsava(1,1,(JG67+1),[1]!qsn([1]!ml([1]!taqsha(1,1,1+JG67,JG68)),JG69)/30,JG68,JG69)</f>
        <v>#VALUE!</v>
      </c>
      <c r="JH75" s="962" t="e">
        <f>[1]!bodsava(1,1,(JH67+1),[1]!qsn([1]!ml([1]!taqsha(1,1,1+JH67,JH68)),JH69)/30,JH68,JH69)</f>
        <v>#VALUE!</v>
      </c>
      <c r="JI75" s="962" t="e">
        <f>[1]!bodsava(1,1,(JI67+1),[1]!qsn([1]!ml([1]!taqsha(1,1,1+JI67,JI68)),JI69)/30,JI68,JI69)</f>
        <v>#VALUE!</v>
      </c>
      <c r="JJ75" s="962" t="e">
        <f>[1]!bodsava(1,1,(JJ67+1),[1]!qsn([1]!ml([1]!taqsha(1,1,1+JJ67,JJ68)),JJ69)/30,JJ68,JJ69)</f>
        <v>#VALUE!</v>
      </c>
      <c r="JK75" s="962" t="e">
        <f>[1]!bodsava(1,1,(JK67+1),[1]!qsn([1]!ml([1]!taqsha(1,1,1+JK67,JK68)),JK69)/30,JK68,JK69)</f>
        <v>#VALUE!</v>
      </c>
      <c r="JL75" s="962" t="e">
        <f>[1]!bodsava(1,1,(JL67+1),[1]!qsn([1]!ml([1]!taqsha(1,1,1+JL67,JL68)),JL69)/30,JL68,JL69)</f>
        <v>#VALUE!</v>
      </c>
      <c r="JM75" s="962" t="e">
        <f>[1]!bodsava(1,1,(JM67+1),[1]!qsn([1]!ml([1]!taqsha(1,1,1+JM67,JM68)),JM69)/30,JM68,JM69)</f>
        <v>#VALUE!</v>
      </c>
      <c r="JN75" s="962" t="e">
        <f>[1]!bodsava(1,1,(JN67+1),[1]!qsn([1]!ml([1]!taqsha(1,1,1+JN67,JN68)),JN69)/30,JN68,JN69)</f>
        <v>#VALUE!</v>
      </c>
      <c r="JO75" s="962" t="e">
        <f>[1]!bodsava(1,1,(JO67+1),[1]!qsn([1]!ml([1]!taqsha(1,1,1+JO67,JO68)),JO69)/30,JO68,JO69)</f>
        <v>#VALUE!</v>
      </c>
      <c r="JP75" s="962" t="e">
        <f>[1]!bodsava(1,1,(JP67+1),[1]!qsn([1]!ml([1]!taqsha(1,1,1+JP67,JP68)),JP69)/30,JP68,JP69)</f>
        <v>#VALUE!</v>
      </c>
      <c r="JQ75" s="962" t="e">
        <f>[1]!bodsava(1,1,(JQ67+1),[1]!qsn([1]!ml([1]!taqsha(1,1,1+JQ67,JQ68)),JQ69)/30,JQ68,JQ69)</f>
        <v>#VALUE!</v>
      </c>
      <c r="JR75" s="962" t="e">
        <f>[1]!bodsava(1,1,(JR67+1),[1]!qsn([1]!ml([1]!taqsha(1,1,1+JR67,JR68)),JR69)/30,JR68,JR69)</f>
        <v>#VALUE!</v>
      </c>
      <c r="JS75" s="962" t="e">
        <f>[1]!bodsava(1,1,(JS67+1),[1]!qsn([1]!ml([1]!taqsha(1,1,1+JS67,JS68)),JS69)/30,JS68,JS69)</f>
        <v>#VALUE!</v>
      </c>
      <c r="JT75" s="962" t="e">
        <f>[1]!bodsava(1,1,(JT67+1),[1]!qsn([1]!ml([1]!taqsha(1,1,1+JT67,JT68)),JT69)/30,JT68,JT69)</f>
        <v>#VALUE!</v>
      </c>
      <c r="JU75" s="962" t="e">
        <f>[1]!bodsava(1,1,(JU67+1),[1]!qsn([1]!ml([1]!taqsha(1,1,1+JU67,JU68)),JU69)/30,JU68,JU69)</f>
        <v>#VALUE!</v>
      </c>
      <c r="JV75" s="962" t="e">
        <f>[1]!bodsava(1,1,(JV67+1),[1]!qsn([1]!ml([1]!taqsha(1,1,1+JV67,JV68)),JV69)/30,JV68,JV69)</f>
        <v>#VALUE!</v>
      </c>
      <c r="JW75" s="962" t="e">
        <f>[1]!bodsava(1,1,(JW67+1),[1]!qsn([1]!ml([1]!taqsha(1,1,1+JW67,JW68)),JW69)/30,JW68,JW69)</f>
        <v>#VALUE!</v>
      </c>
      <c r="JX75" s="962" t="e">
        <f>[1]!bodsava(1,1,(JX67+1),[1]!qsn([1]!ml([1]!taqsha(1,1,1+JX67,JX68)),JX69)/30,JX68,JX69)</f>
        <v>#VALUE!</v>
      </c>
      <c r="JY75" s="962" t="e">
        <f>[1]!bodsava(1,1,(JY67+1),[1]!qsn([1]!ml([1]!taqsha(1,1,1+JY67,JY68)),JY69)/30,JY68,JY69)</f>
        <v>#VALUE!</v>
      </c>
      <c r="JZ75" s="962" t="e">
        <f>[1]!bodsava(1,1,(JZ67+1),[1]!qsn([1]!ml([1]!taqsha(1,1,1+JZ67,JZ68)),JZ69)/30,JZ68,JZ69)</f>
        <v>#VALUE!</v>
      </c>
      <c r="KA75" s="962" t="e">
        <f>[1]!bodsava(1,1,(KA67+1),[1]!qsn([1]!ml([1]!taqsha(1,1,1+KA67,KA68)),KA69)/30,KA68,KA69)</f>
        <v>#VALUE!</v>
      </c>
      <c r="KB75" s="962" t="e">
        <f>[1]!bodsava(1,1,(KB67+1),[1]!qsn([1]!ml([1]!taqsha(1,1,1+KB67,KB68)),KB69)/30,KB68,KB69)</f>
        <v>#VALUE!</v>
      </c>
      <c r="KC75" s="962" t="e">
        <f>[1]!bodsava(1,1,(KC67+1),[1]!qsn([1]!ml([1]!taqsha(1,1,1+KC67,KC68)),KC69)/30,KC68,KC69)</f>
        <v>#VALUE!</v>
      </c>
      <c r="KD75" s="962" t="e">
        <f>[1]!bodsava(1,1,(KD67+1),[1]!qsn([1]!ml([1]!taqsha(1,1,1+KD67,KD68)),KD69)/30,KD68,KD69)</f>
        <v>#VALUE!</v>
      </c>
      <c r="KE75" s="962" t="e">
        <f>[1]!bodsava(1,1,(KE67+1),[1]!qsn([1]!ml([1]!taqsha(1,1,1+KE67,KE68)),KE69)/30,KE68,KE69)</f>
        <v>#VALUE!</v>
      </c>
      <c r="KF75" s="962" t="e">
        <f>[1]!bodsava(1,1,(KF67+1),[1]!qsn([1]!ml([1]!taqsha(1,1,1+KF67,KF68)),KF69)/30,KF68,KF69)</f>
        <v>#VALUE!</v>
      </c>
      <c r="KG75" s="962" t="e">
        <f>[1]!bodsava(1,1,(KG67+1),[1]!qsn([1]!ml([1]!taqsha(1,1,1+KG67,KG68)),KG69)/30,KG68,KG69)</f>
        <v>#VALUE!</v>
      </c>
      <c r="KH75" s="962" t="e">
        <f>[1]!bodsava(1,1,(KH67+1),[1]!qsn([1]!ml([1]!taqsha(1,1,1+KH67,KH68)),KH69)/30,KH68,KH69)</f>
        <v>#VALUE!</v>
      </c>
      <c r="KI75" s="962" t="e">
        <f>[1]!bodsava(1,1,(KI67+1),[1]!qsn([1]!ml([1]!taqsha(1,1,1+KI67,KI68)),KI69)/30,KI68,KI69)</f>
        <v>#VALUE!</v>
      </c>
      <c r="KJ75" s="962" t="e">
        <f>[1]!bodsava(1,1,(KJ67+1),[1]!qsn([1]!ml([1]!taqsha(1,1,1+KJ67,KJ68)),KJ69)/30,KJ68,KJ69)</f>
        <v>#VALUE!</v>
      </c>
      <c r="KK75" s="962" t="e">
        <f>[1]!bodsava(1,1,(KK67+1),[1]!qsn([1]!ml([1]!taqsha(1,1,1+KK67,KK68)),KK69)/30,KK68,KK69)</f>
        <v>#VALUE!</v>
      </c>
      <c r="KL75" s="962" t="e">
        <f>[1]!bodsava(1,1,(KL67+1),[1]!qsn([1]!ml([1]!taqsha(1,1,1+KL67,KL68)),KL69)/30,KL68,KL69)</f>
        <v>#VALUE!</v>
      </c>
      <c r="KM75" s="962" t="e">
        <f>[1]!bodsava(1,1,(KM67+1),[1]!qsn([1]!ml([1]!taqsha(1,1,1+KM67,KM68)),KM69)/30,KM68,KM69)</f>
        <v>#VALUE!</v>
      </c>
      <c r="KN75" s="962" t="e">
        <f>[1]!bodsava(1,1,(KN67+1),[1]!qsn([1]!ml([1]!taqsha(1,1,1+KN67,KN68)),KN69)/30,KN68,KN69)</f>
        <v>#VALUE!</v>
      </c>
      <c r="KO75" s="962" t="e">
        <f>[1]!bodsava(1,1,(KO67+1),[1]!qsn([1]!ml([1]!taqsha(1,1,1+KO67,KO68)),KO69)/30,KO68,KO69)</f>
        <v>#VALUE!</v>
      </c>
      <c r="KP75" s="962" t="e">
        <f>[1]!bodsava(1,1,(KP67+1),[1]!qsn([1]!ml([1]!taqsha(1,1,1+KP67,KP68)),KP69)/30,KP68,KP69)</f>
        <v>#VALUE!</v>
      </c>
      <c r="KQ75" s="962" t="e">
        <f>[1]!bodsava(1,1,(KQ67+1),[1]!qsn([1]!ml([1]!taqsha(1,1,1+KQ67,KQ68)),KQ69)/30,KQ68,KQ69)</f>
        <v>#VALUE!</v>
      </c>
      <c r="KR75" s="962" t="e">
        <f>[1]!bodsava(1,1,(KR67+1),[1]!qsn([1]!ml([1]!taqsha(1,1,1+KR67,KR68)),KR69)/30,KR68,KR69)</f>
        <v>#VALUE!</v>
      </c>
      <c r="KS75" s="962" t="e">
        <f>[1]!bodsava(1,1,(KS67+1),[1]!qsn([1]!ml([1]!taqsha(1,1,1+KS67,KS68)),KS69)/30,KS68,KS69)</f>
        <v>#VALUE!</v>
      </c>
      <c r="KT75" s="962" t="e">
        <f>[1]!bodsava(1,1,(KT67+1),[1]!qsn([1]!ml([1]!taqsha(1,1,1+KT67,KT68)),KT69)/30,KT68,KT69)</f>
        <v>#VALUE!</v>
      </c>
      <c r="KU75" s="962" t="e">
        <f>[1]!bodsava(1,1,(KU67+1),[1]!qsn([1]!ml([1]!taqsha(1,1,1+KU67,KU68)),KU69)/30,KU68,KU69)</f>
        <v>#VALUE!</v>
      </c>
      <c r="KV75" s="962" t="e">
        <f>[1]!bodsava(1,1,(KV67+1),[1]!qsn([1]!ml([1]!taqsha(1,1,1+KV67,KV68)),KV69)/30,KV68,KV69)</f>
        <v>#VALUE!</v>
      </c>
      <c r="KW75" s="962" t="e">
        <f>[1]!bodsava(1,1,(KW67+1),[1]!qsn([1]!ml([1]!taqsha(1,1,1+KW67,KW68)),KW69)/30,KW68,KW69)</f>
        <v>#VALUE!</v>
      </c>
      <c r="KX75" s="962" t="e">
        <f>[1]!bodsava(1,1,(KX67+1),[1]!qsn([1]!ml([1]!taqsha(1,1,1+KX67,KX68)),KX69)/30,KX68,KX69)</f>
        <v>#VALUE!</v>
      </c>
      <c r="KY75" s="962" t="e">
        <f>[1]!bodsava(1,1,(KY67+1),[1]!qsn([1]!ml([1]!taqsha(1,1,1+KY67,KY68)),KY69)/30,KY68,KY69)</f>
        <v>#VALUE!</v>
      </c>
      <c r="KZ75" s="962" t="e">
        <f>[1]!bodsava(1,1,(KZ67+1),[1]!qsn([1]!ml([1]!taqsha(1,1,1+KZ67,KZ68)),KZ69)/30,KZ68,KZ69)</f>
        <v>#VALUE!</v>
      </c>
      <c r="LA75" s="962" t="e">
        <f>[1]!bodsava(1,1,(LA67+1),[1]!qsn([1]!ml([1]!taqsha(1,1,1+LA67,LA68)),LA69)/30,LA68,LA69)</f>
        <v>#VALUE!</v>
      </c>
      <c r="LB75" s="962" t="e">
        <f>[1]!bodsava(1,1,(LB67+1),[1]!qsn([1]!ml([1]!taqsha(1,1,1+LB67,LB68)),LB69)/30,LB68,LB69)</f>
        <v>#VALUE!</v>
      </c>
      <c r="LC75" s="962" t="e">
        <f>[1]!bodsava(1,1,(LC67+1),[1]!qsn([1]!ml([1]!taqsha(1,1,1+LC67,LC68)),LC69)/30,LC68,LC69)</f>
        <v>#VALUE!</v>
      </c>
      <c r="LD75" s="962" t="e">
        <f>[1]!bodsava(1,1,(LD67+1),[1]!qsn([1]!ml([1]!taqsha(1,1,1+LD67,LD68)),LD69)/30,LD68,LD69)</f>
        <v>#VALUE!</v>
      </c>
      <c r="LE75" s="962" t="e">
        <f>[1]!bodsava(1,1,(LE67+1),[1]!qsn([1]!ml([1]!taqsha(1,1,1+LE67,LE68)),LE69)/30,LE68,LE69)</f>
        <v>#VALUE!</v>
      </c>
      <c r="LF75" s="962" t="e">
        <f>[1]!bodsava(1,1,(LF67+1),[1]!qsn([1]!ml([1]!taqsha(1,1,1+LF67,LF68)),LF69)/30,LF68,LF69)</f>
        <v>#VALUE!</v>
      </c>
      <c r="LG75" s="962" t="e">
        <f>[1]!bodsava(1,1,(LG67+1),[1]!qsn([1]!ml([1]!taqsha(1,1,1+LG67,LG68)),LG69)/30,LG68,LG69)</f>
        <v>#VALUE!</v>
      </c>
      <c r="LH75" s="962" t="e">
        <f>[1]!bodsava(1,1,(LH67+1),[1]!qsn([1]!ml([1]!taqsha(1,1,1+LH67,LH68)),LH69)/30,LH68,LH69)</f>
        <v>#VALUE!</v>
      </c>
      <c r="LI75" s="962" t="e">
        <f>[1]!bodsava(1,1,(LI67+1),[1]!qsn([1]!ml([1]!taqsha(1,1,1+LI67,LI68)),LI69)/30,LI68,LI69)</f>
        <v>#VALUE!</v>
      </c>
      <c r="LJ75" s="962" t="e">
        <f>[1]!bodsava(1,1,(LJ67+1),[1]!qsn([1]!ml([1]!taqsha(1,1,1+LJ67,LJ68)),LJ69)/30,LJ68,LJ69)</f>
        <v>#VALUE!</v>
      </c>
      <c r="LK75" s="962" t="e">
        <f>[1]!bodsava(1,1,(LK67+1),[1]!qsn([1]!ml([1]!taqsha(1,1,1+LK67,LK68)),LK69)/30,LK68,LK69)</f>
        <v>#VALUE!</v>
      </c>
      <c r="LL75" s="962" t="e">
        <f>[1]!bodsava(1,1,(LL67+1),[1]!qsn([1]!ml([1]!taqsha(1,1,1+LL67,LL68)),LL69)/30,LL68,LL69)</f>
        <v>#VALUE!</v>
      </c>
      <c r="LM75" s="962" t="e">
        <f>[1]!bodsava(1,1,(LM67+1),[1]!qsn([1]!ml([1]!taqsha(1,1,1+LM67,LM68)),LM69)/30,LM68,LM69)</f>
        <v>#VALUE!</v>
      </c>
      <c r="LN75" s="962" t="e">
        <f>[1]!bodsava(1,1,(LN67+1),[1]!qsn([1]!ml([1]!taqsha(1,1,1+LN67,LN68)),LN69)/30,LN68,LN69)</f>
        <v>#VALUE!</v>
      </c>
      <c r="LO75" s="962" t="e">
        <f>[1]!bodsava(1,1,(LO67+1),[1]!qsn([1]!ml([1]!taqsha(1,1,1+LO67,LO68)),LO69)/30,LO68,LO69)</f>
        <v>#VALUE!</v>
      </c>
      <c r="LP75" s="962" t="e">
        <f>[1]!bodsava(1,1,(LP67+1),[1]!qsn([1]!ml([1]!taqsha(1,1,1+LP67,LP68)),LP69)/30,LP68,LP69)</f>
        <v>#VALUE!</v>
      </c>
      <c r="LQ75" s="962" t="e">
        <f>[1]!bodsava(1,1,(LQ67+1),[1]!qsn([1]!ml([1]!taqsha(1,1,1+LQ67,LQ68)),LQ69)/30,LQ68,LQ69)</f>
        <v>#VALUE!</v>
      </c>
      <c r="LR75" s="962" t="e">
        <f>[1]!bodsava(1,1,(LR67+1),[1]!qsn([1]!ml([1]!taqsha(1,1,1+LR67,LR68)),LR69)/30,LR68,LR69)</f>
        <v>#VALUE!</v>
      </c>
      <c r="LS75" s="962" t="e">
        <f>[1]!bodsava(1,1,(LS67+1),[1]!qsn([1]!ml([1]!taqsha(1,1,1+LS67,LS68)),LS69)/30,LS68,LS69)</f>
        <v>#VALUE!</v>
      </c>
      <c r="LT75" s="962" t="e">
        <f>[1]!bodsava(1,1,(LT67+1),[1]!qsn([1]!ml([1]!taqsha(1,1,1+LT67,LT68)),LT69)/30,LT68,LT69)</f>
        <v>#VALUE!</v>
      </c>
      <c r="LU75" s="962" t="e">
        <f>[1]!bodsava(1,1,(LU67+1),[1]!qsn([1]!ml([1]!taqsha(1,1,1+LU67,LU68)),LU69)/30,LU68,LU69)</f>
        <v>#VALUE!</v>
      </c>
      <c r="LV75" s="962" t="e">
        <f>[1]!bodsava(1,1,(LV67+1),[1]!qsn([1]!ml([1]!taqsha(1,1,1+LV67,LV68)),LV69)/30,LV68,LV69)</f>
        <v>#VALUE!</v>
      </c>
      <c r="LW75" s="962" t="e">
        <f>[1]!bodsava(1,1,(LW67+1),[1]!qsn([1]!ml([1]!taqsha(1,1,1+LW67,LW68)),LW69)/30,LW68,LW69)</f>
        <v>#VALUE!</v>
      </c>
      <c r="LX75" s="962" t="e">
        <f>[1]!bodsava(1,1,(LX67+1),[1]!qsn([1]!ml([1]!taqsha(1,1,1+LX67,LX68)),LX69)/30,LX68,LX69)</f>
        <v>#VALUE!</v>
      </c>
      <c r="LY75" s="962" t="e">
        <f>[1]!bodsava(1,1,(LY67+1),[1]!qsn([1]!ml([1]!taqsha(1,1,1+LY67,LY68)),LY69)/30,LY68,LY69)</f>
        <v>#VALUE!</v>
      </c>
      <c r="LZ75" s="962" t="e">
        <f>[1]!bodsava(1,1,(LZ67+1),[1]!qsn([1]!ml([1]!taqsha(1,1,1+LZ67,LZ68)),LZ69)/30,LZ68,LZ69)</f>
        <v>#VALUE!</v>
      </c>
      <c r="MA75" s="962" t="e">
        <f>[1]!bodsava(1,1,(MA67+1),[1]!qsn([1]!ml([1]!taqsha(1,1,1+MA67,MA68)),MA69)/30,MA68,MA69)</f>
        <v>#VALUE!</v>
      </c>
      <c r="MB75" s="962" t="e">
        <f>[1]!bodsava(1,1,(MB67+1),[1]!qsn([1]!ml([1]!taqsha(1,1,1+MB67,MB68)),MB69)/30,MB68,MB69)</f>
        <v>#VALUE!</v>
      </c>
      <c r="MC75" s="962" t="e">
        <f>[1]!bodsava(1,1,(MC67+1),[1]!qsn([1]!ml([1]!taqsha(1,1,1+MC67,MC68)),MC69)/30,MC68,MC69)</f>
        <v>#VALUE!</v>
      </c>
      <c r="MD75" s="962" t="e">
        <f>[1]!bodsava(1,1,(MD67+1),[1]!qsn([1]!ml([1]!taqsha(1,1,1+MD67,MD68)),MD69)/30,MD68,MD69)</f>
        <v>#VALUE!</v>
      </c>
      <c r="ME75" s="962" t="e">
        <f>[1]!bodsava(1,1,(ME67+1),[1]!qsn([1]!ml([1]!taqsha(1,1,1+ME67,ME68)),ME69)/30,ME68,ME69)</f>
        <v>#VALUE!</v>
      </c>
      <c r="MF75" s="962" t="e">
        <f>[1]!bodsava(1,1,(MF67+1),[1]!qsn([1]!ml([1]!taqsha(1,1,1+MF67,MF68)),MF69)/30,MF68,MF69)</f>
        <v>#VALUE!</v>
      </c>
      <c r="MG75" s="962" t="e">
        <f>[1]!bodsava(1,1,(MG67+1),[1]!qsn([1]!ml([1]!taqsha(1,1,1+MG67,MG68)),MG69)/30,MG68,MG69)</f>
        <v>#VALUE!</v>
      </c>
      <c r="MH75" s="962" t="e">
        <f>[1]!bodsava(1,1,(MH67+1),[1]!qsn([1]!ml([1]!taqsha(1,1,1+MH67,MH68)),MH69)/30,MH68,MH69)</f>
        <v>#VALUE!</v>
      </c>
      <c r="MI75" s="962" t="e">
        <f>[1]!bodsava(1,1,(MI67+1),[1]!qsn([1]!ml([1]!taqsha(1,1,1+MI67,MI68)),MI69)/30,MI68,MI69)</f>
        <v>#VALUE!</v>
      </c>
      <c r="MJ75" s="962" t="e">
        <f>[1]!bodsava(1,1,(MJ67+1),[1]!qsn([1]!ml([1]!taqsha(1,1,1+MJ67,MJ68)),MJ69)/30,MJ68,MJ69)</f>
        <v>#VALUE!</v>
      </c>
      <c r="MK75" s="962" t="e">
        <f>[1]!bodsava(1,1,(MK67+1),[1]!qsn([1]!ml([1]!taqsha(1,1,1+MK67,MK68)),MK69)/30,MK68,MK69)</f>
        <v>#VALUE!</v>
      </c>
      <c r="ML75" s="962" t="e">
        <f>[1]!bodsava(1,1,(ML67+1),[1]!qsn([1]!ml([1]!taqsha(1,1,1+ML67,ML68)),ML69)/30,ML68,ML69)</f>
        <v>#VALUE!</v>
      </c>
      <c r="MM75" s="962" t="e">
        <f>[1]!bodsava(1,1,(MM67+1),[1]!qsn([1]!ml([1]!taqsha(1,1,1+MM67,MM68)),MM69)/30,MM68,MM69)</f>
        <v>#VALUE!</v>
      </c>
      <c r="MN75" s="962" t="e">
        <f>[1]!bodsava(1,1,(MN67+1),[1]!qsn([1]!ml([1]!taqsha(1,1,1+MN67,MN68)),MN69)/30,MN68,MN69)</f>
        <v>#VALUE!</v>
      </c>
      <c r="MO75" s="962" t="e">
        <f>[1]!bodsava(1,1,(MO67+1),[1]!qsn([1]!ml([1]!taqsha(1,1,1+MO67,MO68)),MO69)/30,MO68,MO69)</f>
        <v>#VALUE!</v>
      </c>
      <c r="MP75" s="962" t="e">
        <f>[1]!bodsava(1,1,(MP67+1),[1]!qsn([1]!ml([1]!taqsha(1,1,1+MP67,MP68)),MP69)/30,MP68,MP69)</f>
        <v>#VALUE!</v>
      </c>
      <c r="MQ75" s="962" t="e">
        <f>[1]!bodsava(1,1,(MQ67+1),[1]!qsn([1]!ml([1]!taqsha(1,1,1+MQ67,MQ68)),MQ69)/30,MQ68,MQ69)</f>
        <v>#VALUE!</v>
      </c>
      <c r="MR75" s="962" t="e">
        <f>[1]!bodsava(1,1,(MR67+1),[1]!qsn([1]!ml([1]!taqsha(1,1,1+MR67,MR68)),MR69)/30,MR68,MR69)</f>
        <v>#VALUE!</v>
      </c>
      <c r="MS75" s="962" t="e">
        <f>[1]!bodsava(1,1,(MS67+1),[1]!qsn([1]!ml([1]!taqsha(1,1,1+MS67,MS68)),MS69)/30,MS68,MS69)</f>
        <v>#VALUE!</v>
      </c>
      <c r="MT75" s="962" t="e">
        <f>[1]!bodsava(1,1,(MT67+1),[1]!qsn([1]!ml([1]!taqsha(1,1,1+MT67,MT68)),MT69)/30,MT68,MT69)</f>
        <v>#VALUE!</v>
      </c>
      <c r="MU75" s="962" t="e">
        <f>[1]!bodsava(1,1,(MU67+1),[1]!qsn([1]!ml([1]!taqsha(1,1,1+MU67,MU68)),MU69)/30,MU68,MU69)</f>
        <v>#VALUE!</v>
      </c>
      <c r="MV75" s="962" t="e">
        <f>[1]!bodsava(1,1,(MV67+1),[1]!qsn([1]!ml([1]!taqsha(1,1,1+MV67,MV68)),MV69)/30,MV68,MV69)</f>
        <v>#VALUE!</v>
      </c>
      <c r="MW75" s="962" t="e">
        <f>[1]!bodsava(1,1,(MW67+1),[1]!qsn([1]!ml([1]!taqsha(1,1,1+MW67,MW68)),MW69)/30,MW68,MW69)</f>
        <v>#VALUE!</v>
      </c>
      <c r="MX75" s="962" t="e">
        <f>[1]!bodsava(1,1,(MX67+1),[1]!qsn([1]!ml([1]!taqsha(1,1,1+MX67,MX68)),MX69)/30,MX68,MX69)</f>
        <v>#VALUE!</v>
      </c>
      <c r="MY75" s="962" t="e">
        <f>[1]!bodsava(1,1,(MY67+1),[1]!qsn([1]!ml([1]!taqsha(1,1,1+MY67,MY68)),MY69)/30,MY68,MY69)</f>
        <v>#VALUE!</v>
      </c>
      <c r="MZ75" s="962" t="e">
        <f>[1]!bodsava(1,1,(MZ67+1),[1]!qsn([1]!ml([1]!taqsha(1,1,1+MZ67,MZ68)),MZ69)/30,MZ68,MZ69)</f>
        <v>#VALUE!</v>
      </c>
      <c r="NA75" s="962" t="e">
        <f>[1]!bodsava(1,1,(NA67+1),[1]!qsn([1]!ml([1]!taqsha(1,1,1+NA67,NA68)),NA69)/30,NA68,NA69)</f>
        <v>#VALUE!</v>
      </c>
      <c r="NB75" s="962" t="e">
        <f>[1]!bodsava(1,1,(NB67+1),[1]!qsn([1]!ml([1]!taqsha(1,1,1+NB67,NB68)),NB69)/30,NB68,NB69)</f>
        <v>#VALUE!</v>
      </c>
      <c r="NC75" s="962" t="e">
        <f>[1]!bodsava(1,1,(NC67+1),[1]!qsn([1]!ml([1]!taqsha(1,1,1+NC67,NC68)),NC69)/30,NC68,NC69)</f>
        <v>#VALUE!</v>
      </c>
      <c r="ND75" s="962" t="e">
        <f>[1]!bodsava(1,1,(ND67+1),[1]!qsn([1]!ml([1]!taqsha(1,1,1+ND67,ND68)),ND69)/30,ND68,ND69)</f>
        <v>#VALUE!</v>
      </c>
      <c r="NE75" s="962" t="e">
        <f>[1]!bodsava(1,1,(NE67+1),[1]!qsn([1]!ml([1]!taqsha(1,1,1+NE67,NE68)),NE69)/30,NE68,NE69)</f>
        <v>#VALUE!</v>
      </c>
      <c r="NF75" s="962" t="e">
        <f>[1]!bodsava(1,1,(NF67+1),[1]!qsn([1]!ml([1]!taqsha(1,1,1+NF67,NF68)),NF69)/30,NF68,NF69)</f>
        <v>#VALUE!</v>
      </c>
      <c r="NG75" s="962" t="e">
        <f>[1]!bodsava(1,1,(NG67+1),[1]!qsn([1]!ml([1]!taqsha(1,1,1+NG67,NG68)),NG69)/30,NG68,NG69)</f>
        <v>#VALUE!</v>
      </c>
      <c r="NH75" s="962" t="e">
        <f>[1]!bodsava(1,1,(NH67+1),[1]!qsn([1]!ml([1]!taqsha(1,1,1+NH67,NH68)),NH69)/30,NH68,NH69)</f>
        <v>#VALUE!</v>
      </c>
      <c r="NI75" s="962" t="e">
        <f>[1]!bodsava(1,1,(NI67+1),[1]!qsn([1]!ml([1]!taqsha(1,1,1+NI67,NI68)),NI69)/30,NI68,NI69)</f>
        <v>#VALUE!</v>
      </c>
      <c r="NJ75" s="962" t="e">
        <f>[1]!bodsava(1,1,(NJ67+1),[1]!qsn([1]!ml([1]!taqsha(1,1,1+NJ67,NJ68)),NJ69)/30,NJ68,NJ69)</f>
        <v>#VALUE!</v>
      </c>
      <c r="NK75" s="962" t="e">
        <f>[1]!bodsava(1,1,(NK67+1),[1]!qsn([1]!ml([1]!taqsha(1,1,1+NK67,NK68)),NK69)/30,NK68,NK69)</f>
        <v>#VALUE!</v>
      </c>
      <c r="NL75" s="962" t="e">
        <f>[1]!bodsava(1,1,(NL67+1),[1]!qsn([1]!ml([1]!taqsha(1,1,1+NL67,NL68)),NL69)/30,NL68,NL69)</f>
        <v>#VALUE!</v>
      </c>
      <c r="NM75" s="962" t="e">
        <f>[1]!bodsava(1,1,(NM67+1),[1]!qsn([1]!ml([1]!taqsha(1,1,1+NM67,NM68)),NM69)/30,NM68,NM69)</f>
        <v>#VALUE!</v>
      </c>
      <c r="NN75" s="962" t="e">
        <f>[1]!bodsava(1,1,(NN67+1),[1]!qsn([1]!ml([1]!taqsha(1,1,1+NN67,NN68)),NN69)/30,NN68,NN69)</f>
        <v>#VALUE!</v>
      </c>
      <c r="NO75" s="962" t="e">
        <f>[1]!bodsava(1,1,(NO67+1),[1]!qsn([1]!ml([1]!taqsha(1,1,1+NO67,NO68)),NO69)/30,NO68,NO69)</f>
        <v>#VALUE!</v>
      </c>
      <c r="NP75" s="962" t="e">
        <f>[1]!bodsava(1,1,(NP67+1),[1]!qsn([1]!ml([1]!taqsha(1,1,1+NP67,NP68)),NP69)/30,NP68,NP69)</f>
        <v>#VALUE!</v>
      </c>
      <c r="NQ75" s="962" t="e">
        <f>[1]!bodsava(1,1,(NQ67+1),[1]!qsn([1]!ml([1]!taqsha(1,1,1+NQ67,NQ68)),NQ69)/30,NQ68,NQ69)</f>
        <v>#VALUE!</v>
      </c>
      <c r="NR75" s="962" t="e">
        <f>[1]!bodsava(1,1,(NR67+1),[1]!qsn([1]!ml([1]!taqsha(1,1,1+NR67,NR68)),NR69)/30,NR68,NR69)</f>
        <v>#VALUE!</v>
      </c>
      <c r="NS75" s="962" t="e">
        <f>[1]!bodsava(1,1,(NS67+1),[1]!qsn([1]!ml([1]!taqsha(1,1,1+NS67,NS68)),NS69)/30,NS68,NS69)</f>
        <v>#VALUE!</v>
      </c>
      <c r="NT75" s="962" t="e">
        <f>[1]!bodsava(1,1,(NT67+1),[1]!qsn([1]!ml([1]!taqsha(1,1,1+NT67,NT68)),NT69)/30,NT68,NT69)</f>
        <v>#VALUE!</v>
      </c>
      <c r="NU75" s="962" t="e">
        <f>[1]!bodsava(1,1,(NU67+1),[1]!qsn([1]!ml([1]!taqsha(1,1,1+NU67,NU68)),NU69)/30,NU68,NU69)</f>
        <v>#VALUE!</v>
      </c>
      <c r="NV75" s="962" t="e">
        <f>[1]!bodsava(1,1,(NV67+1),[1]!qsn([1]!ml([1]!taqsha(1,1,1+NV67,NV68)),NV69)/30,NV68,NV69)</f>
        <v>#VALUE!</v>
      </c>
      <c r="NW75" s="962" t="e">
        <f>[1]!bodsava(1,1,(NW67+1),[1]!qsn([1]!ml([1]!taqsha(1,1,1+NW67,NW68)),NW69)/30,NW68,NW69)</f>
        <v>#VALUE!</v>
      </c>
      <c r="NX75" s="962" t="e">
        <f>[1]!bodsava(1,1,(NX67+1),[1]!qsn([1]!ml([1]!taqsha(1,1,1+NX67,NX68)),NX69)/30,NX68,NX69)</f>
        <v>#VALUE!</v>
      </c>
      <c r="NY75" s="962" t="e">
        <f>[1]!bodsava(1,1,(NY67+1),[1]!qsn([1]!ml([1]!taqsha(1,1,1+NY67,NY68)),NY69)/30,NY68,NY69)</f>
        <v>#VALUE!</v>
      </c>
      <c r="NZ75" s="962" t="e">
        <f>[1]!bodsava(1,1,(NZ67+1),[1]!qsn([1]!ml([1]!taqsha(1,1,1+NZ67,NZ68)),NZ69)/30,NZ68,NZ69)</f>
        <v>#VALUE!</v>
      </c>
      <c r="OA75" s="962" t="e">
        <f>[1]!bodsava(1,1,(OA67+1),[1]!qsn([1]!ml([1]!taqsha(1,1,1+OA67,OA68)),OA69)/30,OA68,OA69)</f>
        <v>#VALUE!</v>
      </c>
      <c r="OB75" s="962" t="e">
        <f>[1]!bodsava(1,1,(OB67+1),[1]!qsn([1]!ml([1]!taqsha(1,1,1+OB67,OB68)),OB69)/30,OB68,OB69)</f>
        <v>#VALUE!</v>
      </c>
      <c r="OC75" s="962" t="e">
        <f>[1]!bodsava(1,1,(OC67+1),[1]!qsn([1]!ml([1]!taqsha(1,1,1+OC67,OC68)),OC69)/30,OC68,OC69)</f>
        <v>#VALUE!</v>
      </c>
      <c r="OD75" s="962" t="e">
        <f>[1]!bodsava(1,1,(OD67+1),[1]!qsn([1]!ml([1]!taqsha(1,1,1+OD67,OD68)),OD69)/30,OD68,OD69)</f>
        <v>#VALUE!</v>
      </c>
      <c r="OE75" s="962" t="e">
        <f>[1]!bodsava(1,1,(OE67+1),[1]!qsn([1]!ml([1]!taqsha(1,1,1+OE67,OE68)),OE69)/30,OE68,OE69)</f>
        <v>#VALUE!</v>
      </c>
      <c r="OF75" s="962" t="e">
        <f>[1]!bodsava(1,1,(OF67+1),[1]!qsn([1]!ml([1]!taqsha(1,1,1+OF67,OF68)),OF69)/30,OF68,OF69)</f>
        <v>#VALUE!</v>
      </c>
      <c r="OG75" s="962" t="e">
        <f>[1]!bodsava(1,1,(OG67+1),[1]!qsn([1]!ml([1]!taqsha(1,1,1+OG67,OG68)),OG69)/30,OG68,OG69)</f>
        <v>#VALUE!</v>
      </c>
      <c r="OH75" s="962" t="e">
        <f>[1]!bodsava(1,1,(OH67+1),[1]!qsn([1]!ml([1]!taqsha(1,1,1+OH67,OH68)),OH69)/30,OH68,OH69)</f>
        <v>#VALUE!</v>
      </c>
      <c r="OI75" s="962" t="e">
        <f>[1]!bodsava(1,1,(OI67+1),[1]!qsn([1]!ml([1]!taqsha(1,1,1+OI67,OI68)),OI69)/30,OI68,OI69)</f>
        <v>#VALUE!</v>
      </c>
      <c r="OJ75" s="962" t="e">
        <f>[1]!bodsava(1,1,(OJ67+1),[1]!qsn([1]!ml([1]!taqsha(1,1,1+OJ67,OJ68)),OJ69)/30,OJ68,OJ69)</f>
        <v>#VALUE!</v>
      </c>
      <c r="OK75" s="962" t="e">
        <f>[1]!bodsava(1,1,(OK67+1),[1]!qsn([1]!ml([1]!taqsha(1,1,1+OK67,OK68)),OK69)/30,OK68,OK69)</f>
        <v>#VALUE!</v>
      </c>
      <c r="OL75" s="962" t="e">
        <f>[1]!bodsava(1,1,(OL67+1),[1]!qsn([1]!ml([1]!taqsha(1,1,1+OL67,OL68)),OL69)/30,OL68,OL69)</f>
        <v>#VALUE!</v>
      </c>
      <c r="OM75" s="962" t="e">
        <f>[1]!bodsava(1,1,(OM67+1),[1]!qsn([1]!ml([1]!taqsha(1,1,1+OM67,OM68)),OM69)/30,OM68,OM69)</f>
        <v>#VALUE!</v>
      </c>
      <c r="ON75" s="962" t="e">
        <f>[1]!bodsava(1,1,(ON67+1),[1]!qsn([1]!ml([1]!taqsha(1,1,1+ON67,ON68)),ON69)/30,ON68,ON69)</f>
        <v>#VALUE!</v>
      </c>
      <c r="OO75" s="962" t="e">
        <f>[1]!bodsava(1,1,(OO67+1),[1]!qsn([1]!ml([1]!taqsha(1,1,1+OO67,OO68)),OO69)/30,OO68,OO69)</f>
        <v>#VALUE!</v>
      </c>
      <c r="OP75" s="962" t="e">
        <f>[1]!bodsava(1,1,(OP67+1),[1]!qsn([1]!ml([1]!taqsha(1,1,1+OP67,OP68)),OP69)/30,OP68,OP69)</f>
        <v>#VALUE!</v>
      </c>
      <c r="OQ75" s="962" t="e">
        <f>[1]!bodsava(1,1,(OQ67+1),[1]!qsn([1]!ml([1]!taqsha(1,1,1+OQ67,OQ68)),OQ69)/30,OQ68,OQ69)</f>
        <v>#VALUE!</v>
      </c>
      <c r="OR75" s="962" t="e">
        <f>[1]!bodsava(1,1,(OR67+1),[1]!qsn([1]!ml([1]!taqsha(1,1,1+OR67,OR68)),OR69)/30,OR68,OR69)</f>
        <v>#VALUE!</v>
      </c>
      <c r="OS75" s="962" t="e">
        <f>[1]!bodsava(1,1,(OS67+1),[1]!qsn([1]!ml([1]!taqsha(1,1,1+OS67,OS68)),OS69)/30,OS68,OS69)</f>
        <v>#VALUE!</v>
      </c>
      <c r="OT75" s="962" t="e">
        <f>[1]!bodsava(1,1,(OT67+1),[1]!qsn([1]!ml([1]!taqsha(1,1,1+OT67,OT68)),OT69)/30,OT68,OT69)</f>
        <v>#VALUE!</v>
      </c>
      <c r="OU75" s="962" t="e">
        <f>[1]!bodsava(1,1,(OU67+1),[1]!qsn([1]!ml([1]!taqsha(1,1,1+OU67,OU68)),OU69)/30,OU68,OU69)</f>
        <v>#VALUE!</v>
      </c>
      <c r="OV75" s="962" t="e">
        <f>[1]!bodsava(1,1,(OV67+1),[1]!qsn([1]!ml([1]!taqsha(1,1,1+OV67,OV68)),OV69)/30,OV68,OV69)</f>
        <v>#VALUE!</v>
      </c>
      <c r="OW75" s="962" t="e">
        <f>[1]!bodsava(1,1,(OW67+1),[1]!qsn([1]!ml([1]!taqsha(1,1,1+OW67,OW68)),OW69)/30,OW68,OW69)</f>
        <v>#VALUE!</v>
      </c>
      <c r="OX75" s="962" t="e">
        <f>[1]!bodsava(1,1,(OX67+1),[1]!qsn([1]!ml([1]!taqsha(1,1,1+OX67,OX68)),OX69)/30,OX68,OX69)</f>
        <v>#VALUE!</v>
      </c>
      <c r="OY75" s="962" t="e">
        <f>[1]!bodsava(1,1,(OY67+1),[1]!qsn([1]!ml([1]!taqsha(1,1,1+OY67,OY68)),OY69)/30,OY68,OY69)</f>
        <v>#VALUE!</v>
      </c>
      <c r="OZ75" s="962" t="e">
        <f>[1]!bodsava(1,1,(OZ67+1),[1]!qsn([1]!ml([1]!taqsha(1,1,1+OZ67,OZ68)),OZ69)/30,OZ68,OZ69)</f>
        <v>#VALUE!</v>
      </c>
      <c r="PA75" s="962" t="e">
        <f>[1]!bodsava(1,1,(PA67+1),[1]!qsn([1]!ml([1]!taqsha(1,1,1+PA67,PA68)),PA69)/30,PA68,PA69)</f>
        <v>#VALUE!</v>
      </c>
      <c r="PB75" s="962" t="e">
        <f>[1]!bodsava(1,1,(PB67+1),[1]!qsn([1]!ml([1]!taqsha(1,1,1+PB67,PB68)),PB69)/30,PB68,PB69)</f>
        <v>#VALUE!</v>
      </c>
      <c r="PC75" s="962" t="e">
        <f>[1]!bodsava(1,1,(PC67+1),[1]!qsn([1]!ml([1]!taqsha(1,1,1+PC67,PC68)),PC69)/30,PC68,PC69)</f>
        <v>#VALUE!</v>
      </c>
      <c r="PD75" s="962" t="e">
        <f>[1]!bodsava(1,1,(PD67+1),[1]!qsn([1]!ml([1]!taqsha(1,1,1+PD67,PD68)),PD69)/30,PD68,PD69)</f>
        <v>#VALUE!</v>
      </c>
      <c r="PE75" s="962" t="e">
        <f>[1]!bodsava(1,1,(PE67+1),[1]!qsn([1]!ml([1]!taqsha(1,1,1+PE67,PE68)),PE69)/30,PE68,PE69)</f>
        <v>#VALUE!</v>
      </c>
      <c r="PF75" s="962" t="e">
        <f>[1]!bodsava(1,1,(PF67+1),[1]!qsn([1]!ml([1]!taqsha(1,1,1+PF67,PF68)),PF69)/30,PF68,PF69)</f>
        <v>#VALUE!</v>
      </c>
      <c r="PG75" s="962" t="e">
        <f>[1]!bodsava(1,1,(PG67+1),[1]!qsn([1]!ml([1]!taqsha(1,1,1+PG67,PG68)),PG69)/30,PG68,PG69)</f>
        <v>#VALUE!</v>
      </c>
      <c r="PH75" s="962" t="e">
        <f>[1]!bodsava(1,1,(PH67+1),[1]!qsn([1]!ml([1]!taqsha(1,1,1+PH67,PH68)),PH69)/30,PH68,PH69)</f>
        <v>#VALUE!</v>
      </c>
      <c r="PI75" s="962" t="e">
        <f>[1]!bodsava(1,1,(PI67+1),[1]!qsn([1]!ml([1]!taqsha(1,1,1+PI67,PI68)),PI69)/30,PI68,PI69)</f>
        <v>#VALUE!</v>
      </c>
      <c r="PJ75" s="962" t="e">
        <f>[1]!bodsava(1,1,(PJ67+1),[1]!qsn([1]!ml([1]!taqsha(1,1,1+PJ67,PJ68)),PJ69)/30,PJ68,PJ69)</f>
        <v>#VALUE!</v>
      </c>
      <c r="PK75" s="962" t="e">
        <f>[1]!bodsava(1,1,(PK67+1),[1]!qsn([1]!ml([1]!taqsha(1,1,1+PK67,PK68)),PK69)/30,PK68,PK69)</f>
        <v>#VALUE!</v>
      </c>
      <c r="PL75" s="962" t="e">
        <f>[1]!bodsava(1,1,(PL67+1),[1]!qsn([1]!ml([1]!taqsha(1,1,1+PL67,PL68)),PL69)/30,PL68,PL69)</f>
        <v>#VALUE!</v>
      </c>
      <c r="PM75" s="962" t="e">
        <f>[1]!bodsava(1,1,(PM67+1),[1]!qsn([1]!ml([1]!taqsha(1,1,1+PM67,PM68)),PM69)/30,PM68,PM69)</f>
        <v>#VALUE!</v>
      </c>
      <c r="PN75" s="962" t="e">
        <f>[1]!bodsava(1,1,(PN67+1),[1]!qsn([1]!ml([1]!taqsha(1,1,1+PN67,PN68)),PN69)/30,PN68,PN69)</f>
        <v>#VALUE!</v>
      </c>
      <c r="PO75" s="962" t="e">
        <f>[1]!bodsava(1,1,(PO67+1),[1]!qsn([1]!ml([1]!taqsha(1,1,1+PO67,PO68)),PO69)/30,PO68,PO69)</f>
        <v>#VALUE!</v>
      </c>
      <c r="PP75" s="962" t="e">
        <f>[1]!bodsava(1,1,(PP67+1),[1]!qsn([1]!ml([1]!taqsha(1,1,1+PP67,PP68)),PP69)/30,PP68,PP69)</f>
        <v>#VALUE!</v>
      </c>
      <c r="PQ75" s="962" t="e">
        <f>[1]!bodsava(1,1,(PQ67+1),[1]!qsn([1]!ml([1]!taqsha(1,1,1+PQ67,PQ68)),PQ69)/30,PQ68,PQ69)</f>
        <v>#VALUE!</v>
      </c>
      <c r="PR75" s="962" t="e">
        <f>[1]!bodsava(1,1,(PR67+1),[1]!qsn([1]!ml([1]!taqsha(1,1,1+PR67,PR68)),PR69)/30,PR68,PR69)</f>
        <v>#VALUE!</v>
      </c>
      <c r="PS75" s="962" t="e">
        <f>[1]!bodsava(1,1,(PS67+1),[1]!qsn([1]!ml([1]!taqsha(1,1,1+PS67,PS68)),PS69)/30,PS68,PS69)</f>
        <v>#VALUE!</v>
      </c>
      <c r="PT75" s="962" t="e">
        <f>[1]!bodsava(1,1,(PT67+1),[1]!qsn([1]!ml([1]!taqsha(1,1,1+PT67,PT68)),PT69)/30,PT68,PT69)</f>
        <v>#VALUE!</v>
      </c>
      <c r="PU75" s="962" t="e">
        <f>[1]!bodsava(1,1,(PU67+1),[1]!qsn([1]!ml([1]!taqsha(1,1,1+PU67,PU68)),PU69)/30,PU68,PU69)</f>
        <v>#VALUE!</v>
      </c>
      <c r="PV75" s="962" t="e">
        <f>[1]!bodsava(1,1,(PV67+1),[1]!qsn([1]!ml([1]!taqsha(1,1,1+PV67,PV68)),PV69)/30,PV68,PV69)</f>
        <v>#VALUE!</v>
      </c>
      <c r="PW75" s="962" t="e">
        <f>[1]!bodsava(1,1,(PW67+1),[1]!qsn([1]!ml([1]!taqsha(1,1,1+PW67,PW68)),PW69)/30,PW68,PW69)</f>
        <v>#VALUE!</v>
      </c>
      <c r="PX75" s="962" t="e">
        <f>[1]!bodsava(1,1,(PX67+1),[1]!qsn([1]!ml([1]!taqsha(1,1,1+PX67,PX68)),PX69)/30,PX68,PX69)</f>
        <v>#VALUE!</v>
      </c>
      <c r="PY75" s="962" t="e">
        <f>[1]!bodsava(1,1,(PY67+1),[1]!qsn([1]!ml([1]!taqsha(1,1,1+PY67,PY68)),PY69)/30,PY68,PY69)</f>
        <v>#VALUE!</v>
      </c>
      <c r="PZ75" s="962" t="e">
        <f>[1]!bodsava(1,1,(PZ67+1),[1]!qsn([1]!ml([1]!taqsha(1,1,1+PZ67,PZ68)),PZ69)/30,PZ68,PZ69)</f>
        <v>#VALUE!</v>
      </c>
      <c r="QA75" s="962" t="e">
        <f>[1]!bodsava(1,1,(QA67+1),[1]!qsn([1]!ml([1]!taqsha(1,1,1+QA67,QA68)),QA69)/30,QA68,QA69)</f>
        <v>#VALUE!</v>
      </c>
      <c r="QB75" s="962" t="e">
        <f>[1]!bodsava(1,1,(QB67+1),[1]!qsn([1]!ml([1]!taqsha(1,1,1+QB67,QB68)),QB69)/30,QB68,QB69)</f>
        <v>#VALUE!</v>
      </c>
      <c r="QC75" s="962" t="e">
        <f>[1]!bodsava(1,1,(QC67+1),[1]!qsn([1]!ml([1]!taqsha(1,1,1+QC67,QC68)),QC69)/30,QC68,QC69)</f>
        <v>#VALUE!</v>
      </c>
      <c r="QD75" s="962" t="e">
        <f>[1]!bodsava(1,1,(QD67+1),[1]!qsn([1]!ml([1]!taqsha(1,1,1+QD67,QD68)),QD69)/30,QD68,QD69)</f>
        <v>#VALUE!</v>
      </c>
      <c r="QE75" s="962" t="e">
        <f>[1]!bodsava(1,1,(QE67+1),[1]!qsn([1]!ml([1]!taqsha(1,1,1+QE67,QE68)),QE69)/30,QE68,QE69)</f>
        <v>#VALUE!</v>
      </c>
      <c r="QF75" s="962" t="e">
        <f>[1]!bodsava(1,1,(QF67+1),[1]!qsn([1]!ml([1]!taqsha(1,1,1+QF67,QF68)),QF69)/30,QF68,QF69)</f>
        <v>#VALUE!</v>
      </c>
      <c r="QG75" s="962" t="e">
        <f>[1]!bodsava(1,1,(QG67+1),[1]!qsn([1]!ml([1]!taqsha(1,1,1+QG67,QG68)),QG69)/30,QG68,QG69)</f>
        <v>#VALUE!</v>
      </c>
      <c r="QH75" s="962" t="e">
        <f>[1]!bodsava(1,1,(QH67+1),[1]!qsn([1]!ml([1]!taqsha(1,1,1+QH67,QH68)),QH69)/30,QH68,QH69)</f>
        <v>#VALUE!</v>
      </c>
      <c r="QI75" s="962" t="e">
        <f>[1]!bodsava(1,1,(QI67+1),[1]!qsn([1]!ml([1]!taqsha(1,1,1+QI67,QI68)),QI69)/30,QI68,QI69)</f>
        <v>#VALUE!</v>
      </c>
      <c r="QJ75" s="962" t="e">
        <f>[1]!bodsava(1,1,(QJ67+1),[1]!qsn([1]!ml([1]!taqsha(1,1,1+QJ67,QJ68)),QJ69)/30,QJ68,QJ69)</f>
        <v>#VALUE!</v>
      </c>
      <c r="QK75" s="962" t="e">
        <f>[1]!bodsava(1,1,(QK67+1),[1]!qsn([1]!ml([1]!taqsha(1,1,1+QK67,QK68)),QK69)/30,QK68,QK69)</f>
        <v>#VALUE!</v>
      </c>
      <c r="QL75" s="962" t="e">
        <f>[1]!bodsava(1,1,(QL67+1),[1]!qsn([1]!ml([1]!taqsha(1,1,1+QL67,QL68)),QL69)/30,QL68,QL69)</f>
        <v>#VALUE!</v>
      </c>
      <c r="QM75" s="962" t="e">
        <f>[1]!bodsava(1,1,(QM67+1),[1]!qsn([1]!ml([1]!taqsha(1,1,1+QM67,QM68)),QM69)/30,QM68,QM69)</f>
        <v>#VALUE!</v>
      </c>
      <c r="QN75" s="962" t="e">
        <f>[1]!bodsava(1,1,(QN67+1),[1]!qsn([1]!ml([1]!taqsha(1,1,1+QN67,QN68)),QN69)/30,QN68,QN69)</f>
        <v>#VALUE!</v>
      </c>
      <c r="QO75" s="962" t="e">
        <f>[1]!bodsava(1,1,(QO67+1),[1]!qsn([1]!ml([1]!taqsha(1,1,1+QO67,QO68)),QO69)/30,QO68,QO69)</f>
        <v>#VALUE!</v>
      </c>
      <c r="QP75" s="962" t="e">
        <f>[1]!bodsava(1,1,(QP67+1),[1]!qsn([1]!ml([1]!taqsha(1,1,1+QP67,QP68)),QP69)/30,QP68,QP69)</f>
        <v>#VALUE!</v>
      </c>
      <c r="QQ75" s="962" t="e">
        <f>[1]!bodsava(1,1,(QQ67+1),[1]!qsn([1]!ml([1]!taqsha(1,1,1+QQ67,QQ68)),QQ69)/30,QQ68,QQ69)</f>
        <v>#VALUE!</v>
      </c>
      <c r="QR75" s="962" t="e">
        <f>[1]!bodsava(1,1,(QR67+1),[1]!qsn([1]!ml([1]!taqsha(1,1,1+QR67,QR68)),QR69)/30,QR68,QR69)</f>
        <v>#VALUE!</v>
      </c>
      <c r="QS75" s="962" t="e">
        <f>[1]!bodsava(1,1,(QS67+1),[1]!qsn([1]!ml([1]!taqsha(1,1,1+QS67,QS68)),QS69)/30,QS68,QS69)</f>
        <v>#VALUE!</v>
      </c>
      <c r="QT75" s="962" t="e">
        <f>[1]!bodsava(1,1,(QT67+1),[1]!qsn([1]!ml([1]!taqsha(1,1,1+QT67,QT68)),QT69)/30,QT68,QT69)</f>
        <v>#VALUE!</v>
      </c>
      <c r="QU75" s="962" t="e">
        <f>[1]!bodsava(1,1,(QU67+1),[1]!qsn([1]!ml([1]!taqsha(1,1,1+QU67,QU68)),QU69)/30,QU68,QU69)</f>
        <v>#VALUE!</v>
      </c>
      <c r="QV75" s="962" t="e">
        <f>[1]!bodsava(1,1,(QV67+1),[1]!qsn([1]!ml([1]!taqsha(1,1,1+QV67,QV68)),QV69)/30,QV68,QV69)</f>
        <v>#VALUE!</v>
      </c>
      <c r="QW75" s="962" t="e">
        <f>[1]!bodsava(1,1,(QW67+1),[1]!qsn([1]!ml([1]!taqsha(1,1,1+QW67,QW68)),QW69)/30,QW68,QW69)</f>
        <v>#VALUE!</v>
      </c>
      <c r="QX75" s="962" t="e">
        <f>[1]!bodsava(1,1,(QX67+1),[1]!qsn([1]!ml([1]!taqsha(1,1,1+QX67,QX68)),QX69)/30,QX68,QX69)</f>
        <v>#VALUE!</v>
      </c>
      <c r="QY75" s="962" t="e">
        <f>[1]!bodsava(1,1,(QY67+1),[1]!qsn([1]!ml([1]!taqsha(1,1,1+QY67,QY68)),QY69)/30,QY68,QY69)</f>
        <v>#VALUE!</v>
      </c>
      <c r="QZ75" s="962" t="e">
        <f>[1]!bodsava(1,1,(QZ67+1),[1]!qsn([1]!ml([1]!taqsha(1,1,1+QZ67,QZ68)),QZ69)/30,QZ68,QZ69)</f>
        <v>#VALUE!</v>
      </c>
      <c r="RA75" s="963" t="e">
        <f>[1]!bodsava(1,1,(RA67+1),[1]!qsn([1]!ml([1]!taqsha(1,1,1+RA67,RA68)),RA69)/30,RA68,RA69)</f>
        <v>#VALUE!</v>
      </c>
      <c r="RC75" s="797"/>
    </row>
    <row r="76" spans="2:471" ht="15.75" thickBot="1">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DH76" s="797"/>
      <c r="DI76" s="797" t="s">
        <v>3543</v>
      </c>
      <c r="DJ76" s="967">
        <v>1</v>
      </c>
      <c r="DK76" s="965">
        <v>2</v>
      </c>
      <c r="DL76" s="965">
        <v>3</v>
      </c>
      <c r="DM76" s="965">
        <v>4</v>
      </c>
      <c r="DN76" s="964">
        <v>5</v>
      </c>
      <c r="DO76" s="965">
        <v>6</v>
      </c>
      <c r="DP76" s="965">
        <v>7</v>
      </c>
      <c r="DQ76" s="965">
        <v>8</v>
      </c>
      <c r="DR76" s="964">
        <v>9</v>
      </c>
      <c r="DS76" s="965">
        <v>10</v>
      </c>
      <c r="DT76" s="965">
        <v>11</v>
      </c>
      <c r="DU76" s="965">
        <v>12</v>
      </c>
      <c r="DV76" s="964">
        <v>13</v>
      </c>
      <c r="DW76" s="965">
        <v>14</v>
      </c>
      <c r="DX76" s="965">
        <v>15</v>
      </c>
      <c r="DY76" s="965">
        <v>16</v>
      </c>
      <c r="DZ76" s="964">
        <v>17</v>
      </c>
      <c r="EA76" s="965">
        <v>18</v>
      </c>
      <c r="EB76" s="965">
        <v>19</v>
      </c>
      <c r="EC76" s="965">
        <v>20</v>
      </c>
      <c r="ED76" s="964">
        <v>21</v>
      </c>
      <c r="EE76" s="965">
        <v>22</v>
      </c>
      <c r="EF76" s="965">
        <v>23</v>
      </c>
      <c r="EG76" s="965">
        <v>24</v>
      </c>
      <c r="EH76" s="964">
        <v>25</v>
      </c>
      <c r="EI76" s="965">
        <v>26</v>
      </c>
      <c r="EJ76" s="965">
        <v>27</v>
      </c>
      <c r="EK76" s="965">
        <v>28</v>
      </c>
      <c r="EL76" s="964">
        <v>29</v>
      </c>
      <c r="EM76" s="965">
        <v>30</v>
      </c>
      <c r="EN76" s="967">
        <v>1</v>
      </c>
      <c r="EO76" s="965">
        <v>2</v>
      </c>
      <c r="EP76" s="965">
        <v>3</v>
      </c>
      <c r="EQ76" s="965">
        <v>4</v>
      </c>
      <c r="ER76" s="964">
        <v>5</v>
      </c>
      <c r="ES76" s="965">
        <v>6</v>
      </c>
      <c r="ET76" s="965">
        <v>7</v>
      </c>
      <c r="EU76" s="965">
        <v>8</v>
      </c>
      <c r="EV76" s="964">
        <v>9</v>
      </c>
      <c r="EW76" s="965">
        <v>10</v>
      </c>
      <c r="EX76" s="965">
        <v>11</v>
      </c>
      <c r="EY76" s="965">
        <v>12</v>
      </c>
      <c r="EZ76" s="964">
        <v>13</v>
      </c>
      <c r="FA76" s="965">
        <v>14</v>
      </c>
      <c r="FB76" s="965">
        <v>15</v>
      </c>
      <c r="FC76" s="965">
        <v>16</v>
      </c>
      <c r="FD76" s="964">
        <v>17</v>
      </c>
      <c r="FE76" s="965">
        <v>18</v>
      </c>
      <c r="FF76" s="965">
        <v>19</v>
      </c>
      <c r="FG76" s="965">
        <v>20</v>
      </c>
      <c r="FH76" s="964">
        <v>21</v>
      </c>
      <c r="FI76" s="965">
        <v>22</v>
      </c>
      <c r="FJ76" s="965">
        <v>23</v>
      </c>
      <c r="FK76" s="965">
        <v>24</v>
      </c>
      <c r="FL76" s="964">
        <v>25</v>
      </c>
      <c r="FM76" s="965">
        <v>26</v>
      </c>
      <c r="FN76" s="965">
        <v>27</v>
      </c>
      <c r="FO76" s="965">
        <v>28</v>
      </c>
      <c r="FP76" s="964">
        <v>29</v>
      </c>
      <c r="FQ76" s="964">
        <v>30</v>
      </c>
      <c r="FR76" s="967">
        <v>1</v>
      </c>
      <c r="FS76" s="965">
        <v>2</v>
      </c>
      <c r="FT76" s="965">
        <v>3</v>
      </c>
      <c r="FU76" s="965">
        <v>4</v>
      </c>
      <c r="FV76" s="964">
        <v>5</v>
      </c>
      <c r="FW76" s="965">
        <v>6</v>
      </c>
      <c r="FX76" s="965">
        <v>7</v>
      </c>
      <c r="FY76" s="965">
        <v>8</v>
      </c>
      <c r="FZ76" s="964">
        <v>9</v>
      </c>
      <c r="GA76" s="965">
        <v>10</v>
      </c>
      <c r="GB76" s="965">
        <v>11</v>
      </c>
      <c r="GC76" s="965">
        <v>12</v>
      </c>
      <c r="GD76" s="964">
        <v>13</v>
      </c>
      <c r="GE76" s="965">
        <v>14</v>
      </c>
      <c r="GF76" s="965">
        <v>15</v>
      </c>
      <c r="GG76" s="965">
        <v>16</v>
      </c>
      <c r="GH76" s="964">
        <v>17</v>
      </c>
      <c r="GI76" s="965">
        <v>18</v>
      </c>
      <c r="GJ76" s="965">
        <v>19</v>
      </c>
      <c r="GK76" s="965">
        <v>20</v>
      </c>
      <c r="GL76" s="964">
        <v>21</v>
      </c>
      <c r="GM76" s="965">
        <v>22</v>
      </c>
      <c r="GN76" s="965">
        <v>23</v>
      </c>
      <c r="GO76" s="965">
        <v>24</v>
      </c>
      <c r="GP76" s="964">
        <v>25</v>
      </c>
      <c r="GQ76" s="965">
        <v>26</v>
      </c>
      <c r="GR76" s="965">
        <v>27</v>
      </c>
      <c r="GS76" s="965">
        <v>28</v>
      </c>
      <c r="GT76" s="964">
        <v>29</v>
      </c>
      <c r="GU76" s="967">
        <v>1</v>
      </c>
      <c r="GV76" s="965">
        <v>2</v>
      </c>
      <c r="GW76" s="965">
        <v>3</v>
      </c>
      <c r="GX76" s="965">
        <v>4</v>
      </c>
      <c r="GY76" s="964">
        <v>5</v>
      </c>
      <c r="GZ76" s="965">
        <v>6</v>
      </c>
      <c r="HA76" s="965">
        <v>7</v>
      </c>
      <c r="HB76" s="965">
        <v>8</v>
      </c>
      <c r="HC76" s="964">
        <v>9</v>
      </c>
      <c r="HD76" s="965">
        <v>10</v>
      </c>
      <c r="HE76" s="965">
        <v>11</v>
      </c>
      <c r="HF76" s="965">
        <v>12</v>
      </c>
      <c r="HG76" s="964">
        <v>13</v>
      </c>
      <c r="HH76" s="965">
        <v>14</v>
      </c>
      <c r="HI76" s="965">
        <v>15</v>
      </c>
      <c r="HJ76" s="965">
        <v>16</v>
      </c>
      <c r="HK76" s="964">
        <v>17</v>
      </c>
      <c r="HL76" s="965">
        <v>18</v>
      </c>
      <c r="HM76" s="965">
        <v>19</v>
      </c>
      <c r="HN76" s="965">
        <v>20</v>
      </c>
      <c r="HO76" s="964">
        <v>21</v>
      </c>
      <c r="HP76" s="965">
        <v>22</v>
      </c>
      <c r="HQ76" s="965">
        <v>23</v>
      </c>
      <c r="HR76" s="965">
        <v>24</v>
      </c>
      <c r="HS76" s="964">
        <v>25</v>
      </c>
      <c r="HT76" s="965">
        <v>26</v>
      </c>
      <c r="HU76" s="965">
        <v>27</v>
      </c>
      <c r="HV76" s="965">
        <v>28</v>
      </c>
      <c r="HW76" s="964">
        <v>29</v>
      </c>
      <c r="HX76" s="964">
        <v>30</v>
      </c>
      <c r="HY76" s="967">
        <v>1</v>
      </c>
      <c r="HZ76" s="965">
        <v>2</v>
      </c>
      <c r="IA76" s="965">
        <v>3</v>
      </c>
      <c r="IB76" s="965">
        <v>4</v>
      </c>
      <c r="IC76" s="964">
        <v>5</v>
      </c>
      <c r="ID76" s="965">
        <v>6</v>
      </c>
      <c r="IE76" s="965">
        <v>7</v>
      </c>
      <c r="IF76" s="965">
        <v>8</v>
      </c>
      <c r="IG76" s="964">
        <v>9</v>
      </c>
      <c r="IH76" s="965">
        <v>10</v>
      </c>
      <c r="II76" s="965">
        <v>11</v>
      </c>
      <c r="IJ76" s="965">
        <v>12</v>
      </c>
      <c r="IK76" s="964">
        <v>13</v>
      </c>
      <c r="IL76" s="965">
        <v>14</v>
      </c>
      <c r="IM76" s="965">
        <v>15</v>
      </c>
      <c r="IN76" s="965">
        <v>16</v>
      </c>
      <c r="IO76" s="964">
        <v>17</v>
      </c>
      <c r="IP76" s="965">
        <v>18</v>
      </c>
      <c r="IQ76" s="965">
        <v>19</v>
      </c>
      <c r="IR76" s="965">
        <v>20</v>
      </c>
      <c r="IS76" s="964">
        <v>21</v>
      </c>
      <c r="IT76" s="965">
        <v>22</v>
      </c>
      <c r="IU76" s="965">
        <v>23</v>
      </c>
      <c r="IV76" s="965">
        <v>24</v>
      </c>
      <c r="IW76" s="964">
        <v>25</v>
      </c>
      <c r="IX76" s="965">
        <v>26</v>
      </c>
      <c r="IY76" s="965">
        <v>27</v>
      </c>
      <c r="IZ76" s="965">
        <v>28</v>
      </c>
      <c r="JA76" s="964">
        <v>29</v>
      </c>
      <c r="JB76" s="964">
        <v>30</v>
      </c>
      <c r="JC76" s="967">
        <v>1</v>
      </c>
      <c r="JD76" s="965">
        <v>2</v>
      </c>
      <c r="JE76" s="965">
        <v>3</v>
      </c>
      <c r="JF76" s="965">
        <v>4</v>
      </c>
      <c r="JG76" s="964">
        <v>5</v>
      </c>
      <c r="JH76" s="965">
        <v>6</v>
      </c>
      <c r="JI76" s="965">
        <v>7</v>
      </c>
      <c r="JJ76" s="965">
        <v>8</v>
      </c>
      <c r="JK76" s="964">
        <v>9</v>
      </c>
      <c r="JL76" s="965">
        <v>10</v>
      </c>
      <c r="JM76" s="965">
        <v>11</v>
      </c>
      <c r="JN76" s="965">
        <v>12</v>
      </c>
      <c r="JO76" s="964">
        <v>13</v>
      </c>
      <c r="JP76" s="965">
        <v>14</v>
      </c>
      <c r="JQ76" s="965">
        <v>15</v>
      </c>
      <c r="JR76" s="965">
        <v>16</v>
      </c>
      <c r="JS76" s="964">
        <v>17</v>
      </c>
      <c r="JT76" s="965">
        <v>18</v>
      </c>
      <c r="JU76" s="965">
        <v>19</v>
      </c>
      <c r="JV76" s="965">
        <v>20</v>
      </c>
      <c r="JW76" s="964">
        <v>21</v>
      </c>
      <c r="JX76" s="965">
        <v>22</v>
      </c>
      <c r="JY76" s="965">
        <v>23</v>
      </c>
      <c r="JZ76" s="965">
        <v>24</v>
      </c>
      <c r="KA76" s="964">
        <v>25</v>
      </c>
      <c r="KB76" s="965">
        <v>26</v>
      </c>
      <c r="KC76" s="965">
        <v>27</v>
      </c>
      <c r="KD76" s="965">
        <v>28</v>
      </c>
      <c r="KE76" s="964">
        <v>29</v>
      </c>
      <c r="KF76" s="965">
        <v>30</v>
      </c>
      <c r="KG76" s="973">
        <v>1</v>
      </c>
      <c r="KH76" s="965">
        <v>2</v>
      </c>
      <c r="KI76" s="965">
        <v>3</v>
      </c>
      <c r="KJ76" s="965">
        <v>4</v>
      </c>
      <c r="KK76" s="965">
        <v>5</v>
      </c>
      <c r="KL76" s="965">
        <v>6</v>
      </c>
      <c r="KM76" s="965">
        <v>7</v>
      </c>
      <c r="KN76" s="965">
        <v>8</v>
      </c>
      <c r="KO76" s="965">
        <v>9</v>
      </c>
      <c r="KP76" s="965">
        <v>10</v>
      </c>
      <c r="KQ76" s="965">
        <v>11</v>
      </c>
      <c r="KR76" s="965">
        <v>12</v>
      </c>
      <c r="KS76" s="965">
        <v>13</v>
      </c>
      <c r="KT76" s="965">
        <v>14</v>
      </c>
      <c r="KU76" s="965">
        <v>15</v>
      </c>
      <c r="KV76" s="965">
        <v>16</v>
      </c>
      <c r="KW76" s="965">
        <v>17</v>
      </c>
      <c r="KX76" s="965">
        <v>18</v>
      </c>
      <c r="KY76" s="965">
        <v>19</v>
      </c>
      <c r="KZ76" s="965">
        <v>20</v>
      </c>
      <c r="LA76" s="965">
        <v>21</v>
      </c>
      <c r="LB76" s="965">
        <v>22</v>
      </c>
      <c r="LC76" s="965">
        <v>23</v>
      </c>
      <c r="LD76" s="965">
        <v>24</v>
      </c>
      <c r="LE76" s="965">
        <v>25</v>
      </c>
      <c r="LF76" s="965">
        <v>26</v>
      </c>
      <c r="LG76" s="965">
        <v>27</v>
      </c>
      <c r="LH76" s="965">
        <v>28</v>
      </c>
      <c r="LI76" s="965">
        <v>29</v>
      </c>
      <c r="LJ76" s="973">
        <v>1</v>
      </c>
      <c r="LK76" s="965">
        <v>2</v>
      </c>
      <c r="LL76" s="965">
        <v>3</v>
      </c>
      <c r="LM76" s="964">
        <v>4</v>
      </c>
      <c r="LN76" s="965">
        <v>5</v>
      </c>
      <c r="LO76" s="965">
        <v>6</v>
      </c>
      <c r="LP76" s="964">
        <v>7</v>
      </c>
      <c r="LQ76" s="965">
        <v>8</v>
      </c>
      <c r="LR76" s="965">
        <v>9</v>
      </c>
      <c r="LS76" s="964">
        <v>10</v>
      </c>
      <c r="LT76" s="965">
        <v>11</v>
      </c>
      <c r="LU76" s="965">
        <v>12</v>
      </c>
      <c r="LV76" s="964">
        <v>13</v>
      </c>
      <c r="LW76" s="965">
        <v>14</v>
      </c>
      <c r="LX76" s="965">
        <v>15</v>
      </c>
      <c r="LY76" s="964">
        <v>16</v>
      </c>
      <c r="LZ76" s="965">
        <v>17</v>
      </c>
      <c r="MA76" s="965">
        <v>18</v>
      </c>
      <c r="MB76" s="964">
        <v>19</v>
      </c>
      <c r="MC76" s="965">
        <v>20</v>
      </c>
      <c r="MD76" s="965">
        <v>21</v>
      </c>
      <c r="ME76" s="964">
        <v>22</v>
      </c>
      <c r="MF76" s="965">
        <v>23</v>
      </c>
      <c r="MG76" s="965">
        <v>24</v>
      </c>
      <c r="MH76" s="964">
        <v>25</v>
      </c>
      <c r="MI76" s="965">
        <v>26</v>
      </c>
      <c r="MJ76" s="965">
        <v>27</v>
      </c>
      <c r="MK76" s="964">
        <v>28</v>
      </c>
      <c r="ML76" s="965">
        <v>29</v>
      </c>
      <c r="MM76" s="967">
        <v>1</v>
      </c>
      <c r="MN76" s="965">
        <v>2</v>
      </c>
      <c r="MO76" s="965">
        <v>3</v>
      </c>
      <c r="MP76" s="965">
        <v>4</v>
      </c>
      <c r="MQ76" s="964">
        <v>5</v>
      </c>
      <c r="MR76" s="965">
        <v>6</v>
      </c>
      <c r="MS76" s="965">
        <v>7</v>
      </c>
      <c r="MT76" s="965">
        <v>8</v>
      </c>
      <c r="MU76" s="964">
        <v>9</v>
      </c>
      <c r="MV76" s="965">
        <v>10</v>
      </c>
      <c r="MW76" s="965">
        <v>11</v>
      </c>
      <c r="MX76" s="965">
        <v>12</v>
      </c>
      <c r="MY76" s="964">
        <v>13</v>
      </c>
      <c r="MZ76" s="965">
        <v>14</v>
      </c>
      <c r="NA76" s="965">
        <v>15</v>
      </c>
      <c r="NB76" s="965">
        <v>16</v>
      </c>
      <c r="NC76" s="964">
        <v>17</v>
      </c>
      <c r="ND76" s="965">
        <v>18</v>
      </c>
      <c r="NE76" s="965">
        <v>19</v>
      </c>
      <c r="NF76" s="965">
        <v>20</v>
      </c>
      <c r="NG76" s="964">
        <v>21</v>
      </c>
      <c r="NH76" s="965">
        <v>22</v>
      </c>
      <c r="NI76" s="965">
        <v>23</v>
      </c>
      <c r="NJ76" s="965">
        <v>24</v>
      </c>
      <c r="NK76" s="964">
        <v>25</v>
      </c>
      <c r="NL76" s="965">
        <v>26</v>
      </c>
      <c r="NM76" s="965">
        <v>27</v>
      </c>
      <c r="NN76" s="965">
        <v>28</v>
      </c>
      <c r="NO76" s="964">
        <v>29</v>
      </c>
      <c r="NP76" s="964">
        <v>30</v>
      </c>
      <c r="NQ76" s="973">
        <v>1</v>
      </c>
      <c r="NR76" s="965">
        <v>2</v>
      </c>
      <c r="NS76" s="965">
        <v>3</v>
      </c>
      <c r="NT76" s="964">
        <v>4</v>
      </c>
      <c r="NU76" s="965">
        <v>5</v>
      </c>
      <c r="NV76" s="965">
        <v>6</v>
      </c>
      <c r="NW76" s="964">
        <v>7</v>
      </c>
      <c r="NX76" s="965">
        <v>8</v>
      </c>
      <c r="NY76" s="965">
        <v>9</v>
      </c>
      <c r="NZ76" s="964">
        <v>10</v>
      </c>
      <c r="OA76" s="965">
        <v>11</v>
      </c>
      <c r="OB76" s="965">
        <v>12</v>
      </c>
      <c r="OC76" s="964">
        <v>13</v>
      </c>
      <c r="OD76" s="965">
        <v>14</v>
      </c>
      <c r="OE76" s="965">
        <v>15</v>
      </c>
      <c r="OF76" s="964">
        <v>16</v>
      </c>
      <c r="OG76" s="965">
        <v>17</v>
      </c>
      <c r="OH76" s="965">
        <v>18</v>
      </c>
      <c r="OI76" s="964">
        <v>19</v>
      </c>
      <c r="OJ76" s="965">
        <v>20</v>
      </c>
      <c r="OK76" s="965">
        <v>21</v>
      </c>
      <c r="OL76" s="964">
        <v>22</v>
      </c>
      <c r="OM76" s="965">
        <v>23</v>
      </c>
      <c r="ON76" s="965">
        <v>24</v>
      </c>
      <c r="OO76" s="964">
        <v>25</v>
      </c>
      <c r="OP76" s="965">
        <v>26</v>
      </c>
      <c r="OQ76" s="965">
        <v>27</v>
      </c>
      <c r="OR76" s="964">
        <v>28</v>
      </c>
      <c r="OS76" s="965">
        <v>29</v>
      </c>
      <c r="OT76" s="973">
        <v>1</v>
      </c>
      <c r="OU76" s="965">
        <v>2</v>
      </c>
      <c r="OV76" s="965">
        <v>3</v>
      </c>
      <c r="OW76" s="964">
        <v>4</v>
      </c>
      <c r="OX76" s="965">
        <v>5</v>
      </c>
      <c r="OY76" s="965">
        <v>6</v>
      </c>
      <c r="OZ76" s="964">
        <v>7</v>
      </c>
      <c r="PA76" s="965">
        <v>8</v>
      </c>
      <c r="PB76" s="965">
        <v>9</v>
      </c>
      <c r="PC76" s="964">
        <v>10</v>
      </c>
      <c r="PD76" s="965">
        <v>11</v>
      </c>
      <c r="PE76" s="965">
        <v>12</v>
      </c>
      <c r="PF76" s="964">
        <v>13</v>
      </c>
      <c r="PG76" s="965">
        <v>14</v>
      </c>
      <c r="PH76" s="965">
        <v>15</v>
      </c>
      <c r="PI76" s="964">
        <v>16</v>
      </c>
      <c r="PJ76" s="965">
        <v>17</v>
      </c>
      <c r="PK76" s="965">
        <v>18</v>
      </c>
      <c r="PL76" s="964">
        <v>19</v>
      </c>
      <c r="PM76" s="965">
        <v>20</v>
      </c>
      <c r="PN76" s="965">
        <v>21</v>
      </c>
      <c r="PO76" s="964">
        <v>22</v>
      </c>
      <c r="PP76" s="965">
        <v>23</v>
      </c>
      <c r="PQ76" s="965">
        <v>24</v>
      </c>
      <c r="PR76" s="964">
        <v>25</v>
      </c>
      <c r="PS76" s="965">
        <v>26</v>
      </c>
      <c r="PT76" s="965">
        <v>27</v>
      </c>
      <c r="PU76" s="964">
        <v>28</v>
      </c>
      <c r="PV76" s="965">
        <v>29</v>
      </c>
      <c r="PW76" s="967">
        <v>1</v>
      </c>
      <c r="PX76" s="965">
        <v>2</v>
      </c>
      <c r="PY76" s="965">
        <v>3</v>
      </c>
      <c r="PZ76" s="965">
        <v>4</v>
      </c>
      <c r="QA76" s="964">
        <v>5</v>
      </c>
      <c r="QB76" s="965">
        <v>6</v>
      </c>
      <c r="QC76" s="965">
        <v>7</v>
      </c>
      <c r="QD76" s="965">
        <v>8</v>
      </c>
      <c r="QE76" s="964">
        <v>9</v>
      </c>
      <c r="QF76" s="965">
        <v>10</v>
      </c>
      <c r="QG76" s="965">
        <v>11</v>
      </c>
      <c r="QH76" s="965">
        <v>12</v>
      </c>
      <c r="QI76" s="964">
        <v>13</v>
      </c>
      <c r="QJ76" s="965">
        <v>14</v>
      </c>
      <c r="QK76" s="965">
        <v>15</v>
      </c>
      <c r="QL76" s="965">
        <v>16</v>
      </c>
      <c r="QM76" s="964">
        <v>17</v>
      </c>
      <c r="QN76" s="965">
        <v>18</v>
      </c>
      <c r="QO76" s="965">
        <v>19</v>
      </c>
      <c r="QP76" s="965">
        <v>20</v>
      </c>
      <c r="QQ76" s="964">
        <v>21</v>
      </c>
      <c r="QR76" s="965">
        <v>22</v>
      </c>
      <c r="QS76" s="965">
        <v>23</v>
      </c>
      <c r="QT76" s="965">
        <v>24</v>
      </c>
      <c r="QU76" s="964">
        <v>25</v>
      </c>
      <c r="QV76" s="965">
        <v>26</v>
      </c>
      <c r="QW76" s="965">
        <v>27</v>
      </c>
      <c r="QX76" s="965">
        <v>28</v>
      </c>
      <c r="QY76" s="964">
        <v>29</v>
      </c>
      <c r="QZ76" s="964">
        <v>30</v>
      </c>
      <c r="RA76" s="974">
        <v>1</v>
      </c>
      <c r="RB76" s="797" t="e">
        <f>IF(AND(QZ74&gt;=10,QZ75&gt;=10),354,355)</f>
        <v>#VALUE!</v>
      </c>
      <c r="RC76" s="797" t="e">
        <f t="shared" ref="RC76" si="444">IF(RB76=RB67,1,RC65+1)</f>
        <v>#VALUE!</v>
      </c>
    </row>
    <row r="77" spans="2:471" ht="15.75" thickBot="1">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DH77" s="797"/>
      <c r="DI77" s="797"/>
      <c r="DJ77" s="797" t="e">
        <f>DJ78-RB67</f>
        <v>#VALUE!</v>
      </c>
      <c r="DK77" s="797" t="e">
        <f>DJ77+1</f>
        <v>#VALUE!</v>
      </c>
      <c r="DL77" s="797" t="e">
        <f t="shared" ref="DL77:FW77" si="445">DK77+1</f>
        <v>#VALUE!</v>
      </c>
      <c r="DM77" s="797" t="e">
        <f t="shared" si="445"/>
        <v>#VALUE!</v>
      </c>
      <c r="DN77" s="797" t="e">
        <f t="shared" si="445"/>
        <v>#VALUE!</v>
      </c>
      <c r="DO77" s="797" t="e">
        <f t="shared" si="445"/>
        <v>#VALUE!</v>
      </c>
      <c r="DP77" s="797" t="e">
        <f t="shared" si="445"/>
        <v>#VALUE!</v>
      </c>
      <c r="DQ77" s="797" t="e">
        <f t="shared" si="445"/>
        <v>#VALUE!</v>
      </c>
      <c r="DR77" s="797" t="e">
        <f t="shared" si="445"/>
        <v>#VALUE!</v>
      </c>
      <c r="DS77" s="797" t="e">
        <f t="shared" si="445"/>
        <v>#VALUE!</v>
      </c>
      <c r="DT77" s="797" t="e">
        <f t="shared" si="445"/>
        <v>#VALUE!</v>
      </c>
      <c r="DU77" s="797" t="e">
        <f t="shared" si="445"/>
        <v>#VALUE!</v>
      </c>
      <c r="DV77" s="797" t="e">
        <f t="shared" si="445"/>
        <v>#VALUE!</v>
      </c>
      <c r="DW77" s="797" t="e">
        <f t="shared" si="445"/>
        <v>#VALUE!</v>
      </c>
      <c r="DX77" s="797" t="e">
        <f t="shared" si="445"/>
        <v>#VALUE!</v>
      </c>
      <c r="DY77" s="797" t="e">
        <f t="shared" si="445"/>
        <v>#VALUE!</v>
      </c>
      <c r="DZ77" s="797" t="e">
        <f t="shared" si="445"/>
        <v>#VALUE!</v>
      </c>
      <c r="EA77" s="797" t="e">
        <f t="shared" si="445"/>
        <v>#VALUE!</v>
      </c>
      <c r="EB77" s="797" t="e">
        <f t="shared" si="445"/>
        <v>#VALUE!</v>
      </c>
      <c r="EC77" s="797" t="e">
        <f t="shared" si="445"/>
        <v>#VALUE!</v>
      </c>
      <c r="ED77" s="797" t="e">
        <f t="shared" si="445"/>
        <v>#VALUE!</v>
      </c>
      <c r="EE77" s="797" t="e">
        <f t="shared" si="445"/>
        <v>#VALUE!</v>
      </c>
      <c r="EF77" s="797" t="e">
        <f t="shared" si="445"/>
        <v>#VALUE!</v>
      </c>
      <c r="EG77" s="797" t="e">
        <f t="shared" si="445"/>
        <v>#VALUE!</v>
      </c>
      <c r="EH77" s="797" t="e">
        <f t="shared" si="445"/>
        <v>#VALUE!</v>
      </c>
      <c r="EI77" s="797" t="e">
        <f t="shared" si="445"/>
        <v>#VALUE!</v>
      </c>
      <c r="EJ77" s="797" t="e">
        <f t="shared" si="445"/>
        <v>#VALUE!</v>
      </c>
      <c r="EK77" s="797" t="e">
        <f t="shared" si="445"/>
        <v>#VALUE!</v>
      </c>
      <c r="EL77" s="797" t="e">
        <f t="shared" si="445"/>
        <v>#VALUE!</v>
      </c>
      <c r="EM77" s="797" t="e">
        <f t="shared" si="445"/>
        <v>#VALUE!</v>
      </c>
      <c r="EN77" s="797" t="e">
        <f t="shared" si="445"/>
        <v>#VALUE!</v>
      </c>
      <c r="EO77" s="797" t="e">
        <f t="shared" si="445"/>
        <v>#VALUE!</v>
      </c>
      <c r="EP77" s="797" t="e">
        <f t="shared" si="445"/>
        <v>#VALUE!</v>
      </c>
      <c r="EQ77" s="797" t="e">
        <f t="shared" si="445"/>
        <v>#VALUE!</v>
      </c>
      <c r="ER77" s="797" t="e">
        <f t="shared" si="445"/>
        <v>#VALUE!</v>
      </c>
      <c r="ES77" s="797" t="e">
        <f t="shared" si="445"/>
        <v>#VALUE!</v>
      </c>
      <c r="ET77" s="797" t="e">
        <f t="shared" si="445"/>
        <v>#VALUE!</v>
      </c>
      <c r="EU77" s="797" t="e">
        <f t="shared" si="445"/>
        <v>#VALUE!</v>
      </c>
      <c r="EV77" s="797" t="e">
        <f t="shared" si="445"/>
        <v>#VALUE!</v>
      </c>
      <c r="EW77" s="797" t="e">
        <f t="shared" si="445"/>
        <v>#VALUE!</v>
      </c>
      <c r="EX77" s="797" t="e">
        <f t="shared" si="445"/>
        <v>#VALUE!</v>
      </c>
      <c r="EY77" s="797" t="e">
        <f t="shared" si="445"/>
        <v>#VALUE!</v>
      </c>
      <c r="EZ77" s="797" t="e">
        <f t="shared" si="445"/>
        <v>#VALUE!</v>
      </c>
      <c r="FA77" s="797" t="e">
        <f t="shared" si="445"/>
        <v>#VALUE!</v>
      </c>
      <c r="FB77" s="797" t="e">
        <f t="shared" si="445"/>
        <v>#VALUE!</v>
      </c>
      <c r="FC77" s="797" t="e">
        <f t="shared" si="445"/>
        <v>#VALUE!</v>
      </c>
      <c r="FD77" s="797" t="e">
        <f t="shared" si="445"/>
        <v>#VALUE!</v>
      </c>
      <c r="FE77" s="797" t="e">
        <f t="shared" si="445"/>
        <v>#VALUE!</v>
      </c>
      <c r="FF77" s="797" t="e">
        <f t="shared" si="445"/>
        <v>#VALUE!</v>
      </c>
      <c r="FG77" s="797" t="e">
        <f t="shared" si="445"/>
        <v>#VALUE!</v>
      </c>
      <c r="FH77" s="797" t="e">
        <f t="shared" si="445"/>
        <v>#VALUE!</v>
      </c>
      <c r="FI77" s="797" t="e">
        <f t="shared" si="445"/>
        <v>#VALUE!</v>
      </c>
      <c r="FJ77" s="797" t="e">
        <f t="shared" si="445"/>
        <v>#VALUE!</v>
      </c>
      <c r="FK77" s="797" t="e">
        <f t="shared" si="445"/>
        <v>#VALUE!</v>
      </c>
      <c r="FL77" s="797" t="e">
        <f t="shared" si="445"/>
        <v>#VALUE!</v>
      </c>
      <c r="FM77" s="797" t="e">
        <f t="shared" si="445"/>
        <v>#VALUE!</v>
      </c>
      <c r="FN77" s="797" t="e">
        <f t="shared" si="445"/>
        <v>#VALUE!</v>
      </c>
      <c r="FO77" s="797" t="e">
        <f t="shared" si="445"/>
        <v>#VALUE!</v>
      </c>
      <c r="FP77" s="797" t="e">
        <f t="shared" si="445"/>
        <v>#VALUE!</v>
      </c>
      <c r="FQ77" s="797" t="e">
        <f t="shared" si="445"/>
        <v>#VALUE!</v>
      </c>
      <c r="FR77" s="797" t="e">
        <f t="shared" si="445"/>
        <v>#VALUE!</v>
      </c>
      <c r="FS77" s="797" t="e">
        <f t="shared" si="445"/>
        <v>#VALUE!</v>
      </c>
      <c r="FT77" s="797" t="e">
        <f t="shared" si="445"/>
        <v>#VALUE!</v>
      </c>
      <c r="FU77" s="797" t="e">
        <f t="shared" si="445"/>
        <v>#VALUE!</v>
      </c>
      <c r="FV77" s="797" t="e">
        <f t="shared" si="445"/>
        <v>#VALUE!</v>
      </c>
      <c r="FW77" s="797" t="e">
        <f t="shared" si="445"/>
        <v>#VALUE!</v>
      </c>
      <c r="FX77" s="797" t="e">
        <f t="shared" ref="FX77:II77" si="446">FW77+1</f>
        <v>#VALUE!</v>
      </c>
      <c r="FY77" s="797" t="e">
        <f t="shared" si="446"/>
        <v>#VALUE!</v>
      </c>
      <c r="FZ77" s="797" t="e">
        <f t="shared" si="446"/>
        <v>#VALUE!</v>
      </c>
      <c r="GA77" s="797" t="e">
        <f t="shared" si="446"/>
        <v>#VALUE!</v>
      </c>
      <c r="GB77" s="797" t="e">
        <f t="shared" si="446"/>
        <v>#VALUE!</v>
      </c>
      <c r="GC77" s="797" t="e">
        <f t="shared" si="446"/>
        <v>#VALUE!</v>
      </c>
      <c r="GD77" s="797" t="e">
        <f t="shared" si="446"/>
        <v>#VALUE!</v>
      </c>
      <c r="GE77" s="797" t="e">
        <f t="shared" si="446"/>
        <v>#VALUE!</v>
      </c>
      <c r="GF77" s="797" t="e">
        <f t="shared" si="446"/>
        <v>#VALUE!</v>
      </c>
      <c r="GG77" s="797" t="e">
        <f t="shared" si="446"/>
        <v>#VALUE!</v>
      </c>
      <c r="GH77" s="797" t="e">
        <f t="shared" si="446"/>
        <v>#VALUE!</v>
      </c>
      <c r="GI77" s="797" t="e">
        <f t="shared" si="446"/>
        <v>#VALUE!</v>
      </c>
      <c r="GJ77" s="797" t="e">
        <f t="shared" si="446"/>
        <v>#VALUE!</v>
      </c>
      <c r="GK77" s="797" t="e">
        <f t="shared" si="446"/>
        <v>#VALUE!</v>
      </c>
      <c r="GL77" s="797" t="e">
        <f t="shared" si="446"/>
        <v>#VALUE!</v>
      </c>
      <c r="GM77" s="797" t="e">
        <f t="shared" si="446"/>
        <v>#VALUE!</v>
      </c>
      <c r="GN77" s="797" t="e">
        <f t="shared" si="446"/>
        <v>#VALUE!</v>
      </c>
      <c r="GO77" s="797" t="e">
        <f t="shared" si="446"/>
        <v>#VALUE!</v>
      </c>
      <c r="GP77" s="797" t="e">
        <f t="shared" si="446"/>
        <v>#VALUE!</v>
      </c>
      <c r="GQ77" s="797" t="e">
        <f t="shared" si="446"/>
        <v>#VALUE!</v>
      </c>
      <c r="GR77" s="797" t="e">
        <f t="shared" si="446"/>
        <v>#VALUE!</v>
      </c>
      <c r="GS77" s="797" t="e">
        <f t="shared" si="446"/>
        <v>#VALUE!</v>
      </c>
      <c r="GT77" s="797" t="e">
        <f t="shared" si="446"/>
        <v>#VALUE!</v>
      </c>
      <c r="GU77" s="797" t="e">
        <f t="shared" si="446"/>
        <v>#VALUE!</v>
      </c>
      <c r="GV77" s="797" t="e">
        <f t="shared" si="446"/>
        <v>#VALUE!</v>
      </c>
      <c r="GW77" s="797" t="e">
        <f t="shared" si="446"/>
        <v>#VALUE!</v>
      </c>
      <c r="GX77" s="797" t="e">
        <f t="shared" si="446"/>
        <v>#VALUE!</v>
      </c>
      <c r="GY77" s="797" t="e">
        <f t="shared" si="446"/>
        <v>#VALUE!</v>
      </c>
      <c r="GZ77" s="797" t="e">
        <f t="shared" si="446"/>
        <v>#VALUE!</v>
      </c>
      <c r="HA77" s="797" t="e">
        <f t="shared" si="446"/>
        <v>#VALUE!</v>
      </c>
      <c r="HB77" s="797" t="e">
        <f t="shared" si="446"/>
        <v>#VALUE!</v>
      </c>
      <c r="HC77" s="797" t="e">
        <f t="shared" si="446"/>
        <v>#VALUE!</v>
      </c>
      <c r="HD77" s="797" t="e">
        <f t="shared" si="446"/>
        <v>#VALUE!</v>
      </c>
      <c r="HE77" s="797" t="e">
        <f t="shared" si="446"/>
        <v>#VALUE!</v>
      </c>
      <c r="HF77" s="797" t="e">
        <f t="shared" si="446"/>
        <v>#VALUE!</v>
      </c>
      <c r="HG77" s="797" t="e">
        <f t="shared" si="446"/>
        <v>#VALUE!</v>
      </c>
      <c r="HH77" s="797" t="e">
        <f t="shared" si="446"/>
        <v>#VALUE!</v>
      </c>
      <c r="HI77" s="797" t="e">
        <f t="shared" si="446"/>
        <v>#VALUE!</v>
      </c>
      <c r="HJ77" s="797" t="e">
        <f t="shared" si="446"/>
        <v>#VALUE!</v>
      </c>
      <c r="HK77" s="797" t="e">
        <f t="shared" si="446"/>
        <v>#VALUE!</v>
      </c>
      <c r="HL77" s="797" t="e">
        <f t="shared" si="446"/>
        <v>#VALUE!</v>
      </c>
      <c r="HM77" s="797" t="e">
        <f t="shared" si="446"/>
        <v>#VALUE!</v>
      </c>
      <c r="HN77" s="797" t="e">
        <f t="shared" si="446"/>
        <v>#VALUE!</v>
      </c>
      <c r="HO77" s="797" t="e">
        <f t="shared" si="446"/>
        <v>#VALUE!</v>
      </c>
      <c r="HP77" s="797" t="e">
        <f t="shared" si="446"/>
        <v>#VALUE!</v>
      </c>
      <c r="HQ77" s="797" t="e">
        <f t="shared" si="446"/>
        <v>#VALUE!</v>
      </c>
      <c r="HR77" s="797" t="e">
        <f t="shared" si="446"/>
        <v>#VALUE!</v>
      </c>
      <c r="HS77" s="797" t="e">
        <f t="shared" si="446"/>
        <v>#VALUE!</v>
      </c>
      <c r="HT77" s="797" t="e">
        <f t="shared" si="446"/>
        <v>#VALUE!</v>
      </c>
      <c r="HU77" s="797" t="e">
        <f t="shared" si="446"/>
        <v>#VALUE!</v>
      </c>
      <c r="HV77" s="797" t="e">
        <f t="shared" si="446"/>
        <v>#VALUE!</v>
      </c>
      <c r="HW77" s="797" t="e">
        <f t="shared" si="446"/>
        <v>#VALUE!</v>
      </c>
      <c r="HX77" s="797" t="e">
        <f t="shared" si="446"/>
        <v>#VALUE!</v>
      </c>
      <c r="HY77" s="797" t="e">
        <f t="shared" si="446"/>
        <v>#VALUE!</v>
      </c>
      <c r="HZ77" s="797" t="e">
        <f t="shared" si="446"/>
        <v>#VALUE!</v>
      </c>
      <c r="IA77" s="797" t="e">
        <f t="shared" si="446"/>
        <v>#VALUE!</v>
      </c>
      <c r="IB77" s="797" t="e">
        <f t="shared" si="446"/>
        <v>#VALUE!</v>
      </c>
      <c r="IC77" s="797" t="e">
        <f t="shared" si="446"/>
        <v>#VALUE!</v>
      </c>
      <c r="ID77" s="797" t="e">
        <f t="shared" si="446"/>
        <v>#VALUE!</v>
      </c>
      <c r="IE77" s="797" t="e">
        <f t="shared" si="446"/>
        <v>#VALUE!</v>
      </c>
      <c r="IF77" s="797" t="e">
        <f t="shared" si="446"/>
        <v>#VALUE!</v>
      </c>
      <c r="IG77" s="797" t="e">
        <f t="shared" si="446"/>
        <v>#VALUE!</v>
      </c>
      <c r="IH77" s="797" t="e">
        <f t="shared" si="446"/>
        <v>#VALUE!</v>
      </c>
      <c r="II77" s="797" t="e">
        <f t="shared" si="446"/>
        <v>#VALUE!</v>
      </c>
      <c r="IJ77" s="797" t="e">
        <f t="shared" ref="IJ77:KU77" si="447">II77+1</f>
        <v>#VALUE!</v>
      </c>
      <c r="IK77" s="797" t="e">
        <f t="shared" si="447"/>
        <v>#VALUE!</v>
      </c>
      <c r="IL77" s="797" t="e">
        <f t="shared" si="447"/>
        <v>#VALUE!</v>
      </c>
      <c r="IM77" s="797" t="e">
        <f t="shared" si="447"/>
        <v>#VALUE!</v>
      </c>
      <c r="IN77" s="797" t="e">
        <f t="shared" si="447"/>
        <v>#VALUE!</v>
      </c>
      <c r="IO77" s="797" t="e">
        <f t="shared" si="447"/>
        <v>#VALUE!</v>
      </c>
      <c r="IP77" s="797" t="e">
        <f t="shared" si="447"/>
        <v>#VALUE!</v>
      </c>
      <c r="IQ77" s="797" t="e">
        <f t="shared" si="447"/>
        <v>#VALUE!</v>
      </c>
      <c r="IR77" s="797" t="e">
        <f t="shared" si="447"/>
        <v>#VALUE!</v>
      </c>
      <c r="IS77" s="797" t="e">
        <f t="shared" si="447"/>
        <v>#VALUE!</v>
      </c>
      <c r="IT77" s="797" t="e">
        <f t="shared" si="447"/>
        <v>#VALUE!</v>
      </c>
      <c r="IU77" s="797" t="e">
        <f t="shared" si="447"/>
        <v>#VALUE!</v>
      </c>
      <c r="IV77" s="797" t="e">
        <f t="shared" si="447"/>
        <v>#VALUE!</v>
      </c>
      <c r="IW77" s="797" t="e">
        <f t="shared" si="447"/>
        <v>#VALUE!</v>
      </c>
      <c r="IX77" s="797" t="e">
        <f t="shared" si="447"/>
        <v>#VALUE!</v>
      </c>
      <c r="IY77" s="797" t="e">
        <f t="shared" si="447"/>
        <v>#VALUE!</v>
      </c>
      <c r="IZ77" s="797" t="e">
        <f t="shared" si="447"/>
        <v>#VALUE!</v>
      </c>
      <c r="JA77" s="797" t="e">
        <f t="shared" si="447"/>
        <v>#VALUE!</v>
      </c>
      <c r="JB77" s="797" t="e">
        <f t="shared" si="447"/>
        <v>#VALUE!</v>
      </c>
      <c r="JC77" s="797" t="e">
        <f t="shared" si="447"/>
        <v>#VALUE!</v>
      </c>
      <c r="JD77" s="797" t="e">
        <f t="shared" si="447"/>
        <v>#VALUE!</v>
      </c>
      <c r="JE77" s="797" t="e">
        <f t="shared" si="447"/>
        <v>#VALUE!</v>
      </c>
      <c r="JF77" s="797" t="e">
        <f t="shared" si="447"/>
        <v>#VALUE!</v>
      </c>
      <c r="JG77" s="797" t="e">
        <f t="shared" si="447"/>
        <v>#VALUE!</v>
      </c>
      <c r="JH77" s="797" t="e">
        <f t="shared" si="447"/>
        <v>#VALUE!</v>
      </c>
      <c r="JI77" s="797" t="e">
        <f t="shared" si="447"/>
        <v>#VALUE!</v>
      </c>
      <c r="JJ77" s="797" t="e">
        <f t="shared" si="447"/>
        <v>#VALUE!</v>
      </c>
      <c r="JK77" s="797" t="e">
        <f t="shared" si="447"/>
        <v>#VALUE!</v>
      </c>
      <c r="JL77" s="797" t="e">
        <f t="shared" si="447"/>
        <v>#VALUE!</v>
      </c>
      <c r="JM77" s="797" t="e">
        <f t="shared" si="447"/>
        <v>#VALUE!</v>
      </c>
      <c r="JN77" s="797" t="e">
        <f t="shared" si="447"/>
        <v>#VALUE!</v>
      </c>
      <c r="JO77" s="797" t="e">
        <f t="shared" si="447"/>
        <v>#VALUE!</v>
      </c>
      <c r="JP77" s="797" t="e">
        <f t="shared" si="447"/>
        <v>#VALUE!</v>
      </c>
      <c r="JQ77" s="797" t="e">
        <f t="shared" si="447"/>
        <v>#VALUE!</v>
      </c>
      <c r="JR77" s="797" t="e">
        <f t="shared" si="447"/>
        <v>#VALUE!</v>
      </c>
      <c r="JS77" s="797" t="e">
        <f t="shared" si="447"/>
        <v>#VALUE!</v>
      </c>
      <c r="JT77" s="797" t="e">
        <f t="shared" si="447"/>
        <v>#VALUE!</v>
      </c>
      <c r="JU77" s="797" t="e">
        <f t="shared" si="447"/>
        <v>#VALUE!</v>
      </c>
      <c r="JV77" s="797" t="e">
        <f t="shared" si="447"/>
        <v>#VALUE!</v>
      </c>
      <c r="JW77" s="797" t="e">
        <f t="shared" si="447"/>
        <v>#VALUE!</v>
      </c>
      <c r="JX77" s="797" t="e">
        <f t="shared" si="447"/>
        <v>#VALUE!</v>
      </c>
      <c r="JY77" s="797" t="e">
        <f t="shared" si="447"/>
        <v>#VALUE!</v>
      </c>
      <c r="JZ77" s="797" t="e">
        <f t="shared" si="447"/>
        <v>#VALUE!</v>
      </c>
      <c r="KA77" s="797" t="e">
        <f t="shared" si="447"/>
        <v>#VALUE!</v>
      </c>
      <c r="KB77" s="797" t="e">
        <f t="shared" si="447"/>
        <v>#VALUE!</v>
      </c>
      <c r="KC77" s="797" t="e">
        <f t="shared" si="447"/>
        <v>#VALUE!</v>
      </c>
      <c r="KD77" s="797" t="e">
        <f t="shared" si="447"/>
        <v>#VALUE!</v>
      </c>
      <c r="KE77" s="797" t="e">
        <f t="shared" si="447"/>
        <v>#VALUE!</v>
      </c>
      <c r="KF77" s="797" t="e">
        <f t="shared" si="447"/>
        <v>#VALUE!</v>
      </c>
      <c r="KG77" s="797" t="e">
        <f t="shared" si="447"/>
        <v>#VALUE!</v>
      </c>
      <c r="KH77" s="797" t="e">
        <f t="shared" si="447"/>
        <v>#VALUE!</v>
      </c>
      <c r="KI77" s="797" t="e">
        <f t="shared" si="447"/>
        <v>#VALUE!</v>
      </c>
      <c r="KJ77" s="797" t="e">
        <f t="shared" si="447"/>
        <v>#VALUE!</v>
      </c>
      <c r="KK77" s="797" t="e">
        <f t="shared" si="447"/>
        <v>#VALUE!</v>
      </c>
      <c r="KL77" s="797" t="e">
        <f t="shared" si="447"/>
        <v>#VALUE!</v>
      </c>
      <c r="KM77" s="797" t="e">
        <f t="shared" si="447"/>
        <v>#VALUE!</v>
      </c>
      <c r="KN77" s="797" t="e">
        <f t="shared" si="447"/>
        <v>#VALUE!</v>
      </c>
      <c r="KO77" s="797" t="e">
        <f t="shared" si="447"/>
        <v>#VALUE!</v>
      </c>
      <c r="KP77" s="797" t="e">
        <f t="shared" si="447"/>
        <v>#VALUE!</v>
      </c>
      <c r="KQ77" s="797" t="e">
        <f t="shared" si="447"/>
        <v>#VALUE!</v>
      </c>
      <c r="KR77" s="797" t="e">
        <f t="shared" si="447"/>
        <v>#VALUE!</v>
      </c>
      <c r="KS77" s="797" t="e">
        <f t="shared" si="447"/>
        <v>#VALUE!</v>
      </c>
      <c r="KT77" s="797" t="e">
        <f t="shared" si="447"/>
        <v>#VALUE!</v>
      </c>
      <c r="KU77" s="797" t="e">
        <f t="shared" si="447"/>
        <v>#VALUE!</v>
      </c>
      <c r="KV77" s="797" t="e">
        <f t="shared" ref="KV77:NG77" si="448">KU77+1</f>
        <v>#VALUE!</v>
      </c>
      <c r="KW77" s="797" t="e">
        <f t="shared" si="448"/>
        <v>#VALUE!</v>
      </c>
      <c r="KX77" s="797" t="e">
        <f t="shared" si="448"/>
        <v>#VALUE!</v>
      </c>
      <c r="KY77" s="797" t="e">
        <f t="shared" si="448"/>
        <v>#VALUE!</v>
      </c>
      <c r="KZ77" s="797" t="e">
        <f t="shared" si="448"/>
        <v>#VALUE!</v>
      </c>
      <c r="LA77" s="797" t="e">
        <f t="shared" si="448"/>
        <v>#VALUE!</v>
      </c>
      <c r="LB77" s="797" t="e">
        <f t="shared" si="448"/>
        <v>#VALUE!</v>
      </c>
      <c r="LC77" s="797" t="e">
        <f t="shared" si="448"/>
        <v>#VALUE!</v>
      </c>
      <c r="LD77" s="797" t="e">
        <f t="shared" si="448"/>
        <v>#VALUE!</v>
      </c>
      <c r="LE77" s="797" t="e">
        <f t="shared" si="448"/>
        <v>#VALUE!</v>
      </c>
      <c r="LF77" s="797" t="e">
        <f t="shared" si="448"/>
        <v>#VALUE!</v>
      </c>
      <c r="LG77" s="797" t="e">
        <f t="shared" si="448"/>
        <v>#VALUE!</v>
      </c>
      <c r="LH77" s="797" t="e">
        <f t="shared" si="448"/>
        <v>#VALUE!</v>
      </c>
      <c r="LI77" s="797" t="e">
        <f t="shared" si="448"/>
        <v>#VALUE!</v>
      </c>
      <c r="LJ77" s="797" t="e">
        <f t="shared" si="448"/>
        <v>#VALUE!</v>
      </c>
      <c r="LK77" s="797" t="e">
        <f t="shared" si="448"/>
        <v>#VALUE!</v>
      </c>
      <c r="LL77" s="797" t="e">
        <f t="shared" si="448"/>
        <v>#VALUE!</v>
      </c>
      <c r="LM77" s="797" t="e">
        <f t="shared" si="448"/>
        <v>#VALUE!</v>
      </c>
      <c r="LN77" s="797" t="e">
        <f t="shared" si="448"/>
        <v>#VALUE!</v>
      </c>
      <c r="LO77" s="797" t="e">
        <f t="shared" si="448"/>
        <v>#VALUE!</v>
      </c>
      <c r="LP77" s="797" t="e">
        <f t="shared" si="448"/>
        <v>#VALUE!</v>
      </c>
      <c r="LQ77" s="797" t="e">
        <f t="shared" si="448"/>
        <v>#VALUE!</v>
      </c>
      <c r="LR77" s="797" t="e">
        <f t="shared" si="448"/>
        <v>#VALUE!</v>
      </c>
      <c r="LS77" s="797" t="e">
        <f t="shared" si="448"/>
        <v>#VALUE!</v>
      </c>
      <c r="LT77" s="797" t="e">
        <f t="shared" si="448"/>
        <v>#VALUE!</v>
      </c>
      <c r="LU77" s="797" t="e">
        <f t="shared" si="448"/>
        <v>#VALUE!</v>
      </c>
      <c r="LV77" s="797" t="e">
        <f t="shared" si="448"/>
        <v>#VALUE!</v>
      </c>
      <c r="LW77" s="797" t="e">
        <f t="shared" si="448"/>
        <v>#VALUE!</v>
      </c>
      <c r="LX77" s="797" t="e">
        <f t="shared" si="448"/>
        <v>#VALUE!</v>
      </c>
      <c r="LY77" s="797" t="e">
        <f t="shared" si="448"/>
        <v>#VALUE!</v>
      </c>
      <c r="LZ77" s="797" t="e">
        <f t="shared" si="448"/>
        <v>#VALUE!</v>
      </c>
      <c r="MA77" s="797" t="e">
        <f t="shared" si="448"/>
        <v>#VALUE!</v>
      </c>
      <c r="MB77" s="797" t="e">
        <f t="shared" si="448"/>
        <v>#VALUE!</v>
      </c>
      <c r="MC77" s="797" t="e">
        <f t="shared" si="448"/>
        <v>#VALUE!</v>
      </c>
      <c r="MD77" s="797" t="e">
        <f t="shared" si="448"/>
        <v>#VALUE!</v>
      </c>
      <c r="ME77" s="797" t="e">
        <f t="shared" si="448"/>
        <v>#VALUE!</v>
      </c>
      <c r="MF77" s="797" t="e">
        <f t="shared" si="448"/>
        <v>#VALUE!</v>
      </c>
      <c r="MG77" s="797" t="e">
        <f t="shared" si="448"/>
        <v>#VALUE!</v>
      </c>
      <c r="MH77" s="797" t="e">
        <f t="shared" si="448"/>
        <v>#VALUE!</v>
      </c>
      <c r="MI77" s="797" t="e">
        <f t="shared" si="448"/>
        <v>#VALUE!</v>
      </c>
      <c r="MJ77" s="797" t="e">
        <f t="shared" si="448"/>
        <v>#VALUE!</v>
      </c>
      <c r="MK77" s="797" t="e">
        <f t="shared" si="448"/>
        <v>#VALUE!</v>
      </c>
      <c r="ML77" s="797" t="e">
        <f t="shared" si="448"/>
        <v>#VALUE!</v>
      </c>
      <c r="MM77" s="797" t="e">
        <f t="shared" si="448"/>
        <v>#VALUE!</v>
      </c>
      <c r="MN77" s="797" t="e">
        <f t="shared" si="448"/>
        <v>#VALUE!</v>
      </c>
      <c r="MO77" s="797" t="e">
        <f t="shared" si="448"/>
        <v>#VALUE!</v>
      </c>
      <c r="MP77" s="797" t="e">
        <f t="shared" si="448"/>
        <v>#VALUE!</v>
      </c>
      <c r="MQ77" s="797" t="e">
        <f t="shared" si="448"/>
        <v>#VALUE!</v>
      </c>
      <c r="MR77" s="797" t="e">
        <f t="shared" si="448"/>
        <v>#VALUE!</v>
      </c>
      <c r="MS77" s="797" t="e">
        <f t="shared" si="448"/>
        <v>#VALUE!</v>
      </c>
      <c r="MT77" s="797" t="e">
        <f t="shared" si="448"/>
        <v>#VALUE!</v>
      </c>
      <c r="MU77" s="797" t="e">
        <f t="shared" si="448"/>
        <v>#VALUE!</v>
      </c>
      <c r="MV77" s="797" t="e">
        <f t="shared" si="448"/>
        <v>#VALUE!</v>
      </c>
      <c r="MW77" s="797" t="e">
        <f t="shared" si="448"/>
        <v>#VALUE!</v>
      </c>
      <c r="MX77" s="797" t="e">
        <f t="shared" si="448"/>
        <v>#VALUE!</v>
      </c>
      <c r="MY77" s="797" t="e">
        <f t="shared" si="448"/>
        <v>#VALUE!</v>
      </c>
      <c r="MZ77" s="797" t="e">
        <f t="shared" si="448"/>
        <v>#VALUE!</v>
      </c>
      <c r="NA77" s="797" t="e">
        <f t="shared" si="448"/>
        <v>#VALUE!</v>
      </c>
      <c r="NB77" s="797" t="e">
        <f t="shared" si="448"/>
        <v>#VALUE!</v>
      </c>
      <c r="NC77" s="797" t="e">
        <f t="shared" si="448"/>
        <v>#VALUE!</v>
      </c>
      <c r="ND77" s="797" t="e">
        <f t="shared" si="448"/>
        <v>#VALUE!</v>
      </c>
      <c r="NE77" s="797" t="e">
        <f t="shared" si="448"/>
        <v>#VALUE!</v>
      </c>
      <c r="NF77" s="797" t="e">
        <f t="shared" si="448"/>
        <v>#VALUE!</v>
      </c>
      <c r="NG77" s="797" t="e">
        <f t="shared" si="448"/>
        <v>#VALUE!</v>
      </c>
      <c r="NH77" s="797" t="e">
        <f t="shared" ref="NH77:PS77" si="449">NG77+1</f>
        <v>#VALUE!</v>
      </c>
      <c r="NI77" s="797" t="e">
        <f t="shared" si="449"/>
        <v>#VALUE!</v>
      </c>
      <c r="NJ77" s="797" t="e">
        <f t="shared" si="449"/>
        <v>#VALUE!</v>
      </c>
      <c r="NK77" s="797" t="e">
        <f t="shared" si="449"/>
        <v>#VALUE!</v>
      </c>
      <c r="NL77" s="797" t="e">
        <f t="shared" si="449"/>
        <v>#VALUE!</v>
      </c>
      <c r="NM77" s="797" t="e">
        <f t="shared" si="449"/>
        <v>#VALUE!</v>
      </c>
      <c r="NN77" s="797" t="e">
        <f t="shared" si="449"/>
        <v>#VALUE!</v>
      </c>
      <c r="NO77" s="797" t="e">
        <f t="shared" si="449"/>
        <v>#VALUE!</v>
      </c>
      <c r="NP77" s="797" t="e">
        <f t="shared" si="449"/>
        <v>#VALUE!</v>
      </c>
      <c r="NQ77" s="797" t="e">
        <f t="shared" si="449"/>
        <v>#VALUE!</v>
      </c>
      <c r="NR77" s="797" t="e">
        <f t="shared" si="449"/>
        <v>#VALUE!</v>
      </c>
      <c r="NS77" s="797" t="e">
        <f t="shared" si="449"/>
        <v>#VALUE!</v>
      </c>
      <c r="NT77" s="797" t="e">
        <f t="shared" si="449"/>
        <v>#VALUE!</v>
      </c>
      <c r="NU77" s="797" t="e">
        <f t="shared" si="449"/>
        <v>#VALUE!</v>
      </c>
      <c r="NV77" s="797" t="e">
        <f t="shared" si="449"/>
        <v>#VALUE!</v>
      </c>
      <c r="NW77" s="797" t="e">
        <f t="shared" si="449"/>
        <v>#VALUE!</v>
      </c>
      <c r="NX77" s="797" t="e">
        <f t="shared" si="449"/>
        <v>#VALUE!</v>
      </c>
      <c r="NY77" s="797" t="e">
        <f t="shared" si="449"/>
        <v>#VALUE!</v>
      </c>
      <c r="NZ77" s="797" t="e">
        <f t="shared" si="449"/>
        <v>#VALUE!</v>
      </c>
      <c r="OA77" s="797" t="e">
        <f t="shared" si="449"/>
        <v>#VALUE!</v>
      </c>
      <c r="OB77" s="797" t="e">
        <f t="shared" si="449"/>
        <v>#VALUE!</v>
      </c>
      <c r="OC77" s="797" t="e">
        <f t="shared" si="449"/>
        <v>#VALUE!</v>
      </c>
      <c r="OD77" s="797" t="e">
        <f t="shared" si="449"/>
        <v>#VALUE!</v>
      </c>
      <c r="OE77" s="797" t="e">
        <f t="shared" si="449"/>
        <v>#VALUE!</v>
      </c>
      <c r="OF77" s="797" t="e">
        <f t="shared" si="449"/>
        <v>#VALUE!</v>
      </c>
      <c r="OG77" s="797" t="e">
        <f t="shared" si="449"/>
        <v>#VALUE!</v>
      </c>
      <c r="OH77" s="797" t="e">
        <f t="shared" si="449"/>
        <v>#VALUE!</v>
      </c>
      <c r="OI77" s="797" t="e">
        <f t="shared" si="449"/>
        <v>#VALUE!</v>
      </c>
      <c r="OJ77" s="797" t="e">
        <f t="shared" si="449"/>
        <v>#VALUE!</v>
      </c>
      <c r="OK77" s="797" t="e">
        <f t="shared" si="449"/>
        <v>#VALUE!</v>
      </c>
      <c r="OL77" s="797" t="e">
        <f t="shared" si="449"/>
        <v>#VALUE!</v>
      </c>
      <c r="OM77" s="797" t="e">
        <f t="shared" si="449"/>
        <v>#VALUE!</v>
      </c>
      <c r="ON77" s="797" t="e">
        <f t="shared" si="449"/>
        <v>#VALUE!</v>
      </c>
      <c r="OO77" s="797" t="e">
        <f t="shared" si="449"/>
        <v>#VALUE!</v>
      </c>
      <c r="OP77" s="797" t="e">
        <f t="shared" si="449"/>
        <v>#VALUE!</v>
      </c>
      <c r="OQ77" s="797" t="e">
        <f t="shared" si="449"/>
        <v>#VALUE!</v>
      </c>
      <c r="OR77" s="797" t="e">
        <f t="shared" si="449"/>
        <v>#VALUE!</v>
      </c>
      <c r="OS77" s="797" t="e">
        <f t="shared" si="449"/>
        <v>#VALUE!</v>
      </c>
      <c r="OT77" s="797" t="e">
        <f t="shared" si="449"/>
        <v>#VALUE!</v>
      </c>
      <c r="OU77" s="797" t="e">
        <f t="shared" si="449"/>
        <v>#VALUE!</v>
      </c>
      <c r="OV77" s="797" t="e">
        <f t="shared" si="449"/>
        <v>#VALUE!</v>
      </c>
      <c r="OW77" s="797" t="e">
        <f t="shared" si="449"/>
        <v>#VALUE!</v>
      </c>
      <c r="OX77" s="797" t="e">
        <f t="shared" si="449"/>
        <v>#VALUE!</v>
      </c>
      <c r="OY77" s="797" t="e">
        <f t="shared" si="449"/>
        <v>#VALUE!</v>
      </c>
      <c r="OZ77" s="797" t="e">
        <f t="shared" si="449"/>
        <v>#VALUE!</v>
      </c>
      <c r="PA77" s="797" t="e">
        <f t="shared" si="449"/>
        <v>#VALUE!</v>
      </c>
      <c r="PB77" s="797" t="e">
        <f t="shared" si="449"/>
        <v>#VALUE!</v>
      </c>
      <c r="PC77" s="797" t="e">
        <f t="shared" si="449"/>
        <v>#VALUE!</v>
      </c>
      <c r="PD77" s="797" t="e">
        <f t="shared" si="449"/>
        <v>#VALUE!</v>
      </c>
      <c r="PE77" s="797" t="e">
        <f t="shared" si="449"/>
        <v>#VALUE!</v>
      </c>
      <c r="PF77" s="797" t="e">
        <f t="shared" si="449"/>
        <v>#VALUE!</v>
      </c>
      <c r="PG77" s="797" t="e">
        <f t="shared" si="449"/>
        <v>#VALUE!</v>
      </c>
      <c r="PH77" s="797" t="e">
        <f t="shared" si="449"/>
        <v>#VALUE!</v>
      </c>
      <c r="PI77" s="797" t="e">
        <f t="shared" si="449"/>
        <v>#VALUE!</v>
      </c>
      <c r="PJ77" s="797" t="e">
        <f t="shared" si="449"/>
        <v>#VALUE!</v>
      </c>
      <c r="PK77" s="797" t="e">
        <f t="shared" si="449"/>
        <v>#VALUE!</v>
      </c>
      <c r="PL77" s="797" t="e">
        <f t="shared" si="449"/>
        <v>#VALUE!</v>
      </c>
      <c r="PM77" s="797" t="e">
        <f t="shared" si="449"/>
        <v>#VALUE!</v>
      </c>
      <c r="PN77" s="797" t="e">
        <f t="shared" si="449"/>
        <v>#VALUE!</v>
      </c>
      <c r="PO77" s="797" t="e">
        <f t="shared" si="449"/>
        <v>#VALUE!</v>
      </c>
      <c r="PP77" s="797" t="e">
        <f t="shared" si="449"/>
        <v>#VALUE!</v>
      </c>
      <c r="PQ77" s="797" t="e">
        <f t="shared" si="449"/>
        <v>#VALUE!</v>
      </c>
      <c r="PR77" s="797" t="e">
        <f t="shared" si="449"/>
        <v>#VALUE!</v>
      </c>
      <c r="PS77" s="797" t="e">
        <f t="shared" si="449"/>
        <v>#VALUE!</v>
      </c>
      <c r="PT77" s="797" t="e">
        <f t="shared" ref="PT77:QZ77" si="450">PS77+1</f>
        <v>#VALUE!</v>
      </c>
      <c r="PU77" s="797" t="e">
        <f t="shared" si="450"/>
        <v>#VALUE!</v>
      </c>
      <c r="PV77" s="797" t="e">
        <f t="shared" si="450"/>
        <v>#VALUE!</v>
      </c>
      <c r="PW77" s="797" t="e">
        <f t="shared" si="450"/>
        <v>#VALUE!</v>
      </c>
      <c r="PX77" s="797" t="e">
        <f t="shared" si="450"/>
        <v>#VALUE!</v>
      </c>
      <c r="PY77" s="797" t="e">
        <f t="shared" si="450"/>
        <v>#VALUE!</v>
      </c>
      <c r="PZ77" s="797" t="e">
        <f t="shared" si="450"/>
        <v>#VALUE!</v>
      </c>
      <c r="QA77" s="797" t="e">
        <f t="shared" si="450"/>
        <v>#VALUE!</v>
      </c>
      <c r="QB77" s="797" t="e">
        <f t="shared" si="450"/>
        <v>#VALUE!</v>
      </c>
      <c r="QC77" s="797" t="e">
        <f t="shared" si="450"/>
        <v>#VALUE!</v>
      </c>
      <c r="QD77" s="797" t="e">
        <f t="shared" si="450"/>
        <v>#VALUE!</v>
      </c>
      <c r="QE77" s="797" t="e">
        <f t="shared" si="450"/>
        <v>#VALUE!</v>
      </c>
      <c r="QF77" s="797" t="e">
        <f t="shared" si="450"/>
        <v>#VALUE!</v>
      </c>
      <c r="QG77" s="797" t="e">
        <f t="shared" si="450"/>
        <v>#VALUE!</v>
      </c>
      <c r="QH77" s="797" t="e">
        <f t="shared" si="450"/>
        <v>#VALUE!</v>
      </c>
      <c r="QI77" s="797" t="e">
        <f t="shared" si="450"/>
        <v>#VALUE!</v>
      </c>
      <c r="QJ77" s="797" t="e">
        <f t="shared" si="450"/>
        <v>#VALUE!</v>
      </c>
      <c r="QK77" s="797" t="e">
        <f t="shared" si="450"/>
        <v>#VALUE!</v>
      </c>
      <c r="QL77" s="797" t="e">
        <f t="shared" si="450"/>
        <v>#VALUE!</v>
      </c>
      <c r="QM77" s="797" t="e">
        <f t="shared" si="450"/>
        <v>#VALUE!</v>
      </c>
      <c r="QN77" s="797" t="e">
        <f t="shared" si="450"/>
        <v>#VALUE!</v>
      </c>
      <c r="QO77" s="797" t="e">
        <f t="shared" si="450"/>
        <v>#VALUE!</v>
      </c>
      <c r="QP77" s="797" t="e">
        <f t="shared" si="450"/>
        <v>#VALUE!</v>
      </c>
      <c r="QQ77" s="797" t="e">
        <f t="shared" si="450"/>
        <v>#VALUE!</v>
      </c>
      <c r="QR77" s="797" t="e">
        <f t="shared" si="450"/>
        <v>#VALUE!</v>
      </c>
      <c r="QS77" s="797" t="e">
        <f t="shared" si="450"/>
        <v>#VALUE!</v>
      </c>
      <c r="QT77" s="797" t="e">
        <f t="shared" si="450"/>
        <v>#VALUE!</v>
      </c>
      <c r="QU77" s="797" t="e">
        <f t="shared" si="450"/>
        <v>#VALUE!</v>
      </c>
      <c r="QV77" s="797" t="e">
        <f t="shared" si="450"/>
        <v>#VALUE!</v>
      </c>
      <c r="QW77" s="797" t="e">
        <f t="shared" si="450"/>
        <v>#VALUE!</v>
      </c>
      <c r="QX77" s="797" t="e">
        <f t="shared" si="450"/>
        <v>#VALUE!</v>
      </c>
      <c r="QY77" s="797" t="e">
        <f t="shared" si="450"/>
        <v>#VALUE!</v>
      </c>
      <c r="QZ77" s="797" t="e">
        <f t="shared" si="450"/>
        <v>#VALUE!</v>
      </c>
      <c r="RA77" s="797"/>
      <c r="RC77" s="797"/>
    </row>
    <row r="78" spans="2:471" ht="17.25">
      <c r="B78" s="2" t="s">
        <v>44</v>
      </c>
      <c r="C78" s="2"/>
      <c r="D78" s="2"/>
      <c r="E78" s="2"/>
      <c r="F78" s="2"/>
      <c r="G78" s="2"/>
      <c r="H78" s="2"/>
      <c r="I78" s="2"/>
      <c r="J78" s="2"/>
      <c r="K78" s="2"/>
      <c r="L78" s="2"/>
      <c r="M78" s="2"/>
      <c r="N78" s="2"/>
      <c r="O78" s="2"/>
      <c r="P78" s="2"/>
      <c r="Q78" s="2">
        <v>1</v>
      </c>
      <c r="R78" s="2">
        <v>2</v>
      </c>
      <c r="S78" s="2">
        <v>3</v>
      </c>
      <c r="T78" s="2">
        <v>4</v>
      </c>
      <c r="U78" s="2">
        <v>5</v>
      </c>
      <c r="V78" s="2">
        <v>6</v>
      </c>
      <c r="W78" s="2">
        <v>7</v>
      </c>
      <c r="X78" s="2">
        <v>8</v>
      </c>
      <c r="Y78" s="2">
        <v>9</v>
      </c>
      <c r="Z78" s="2">
        <v>10</v>
      </c>
      <c r="AA78" s="2">
        <v>11</v>
      </c>
      <c r="AB78" s="2">
        <v>12</v>
      </c>
      <c r="AC78" s="2"/>
      <c r="DH78" s="797">
        <v>9</v>
      </c>
      <c r="DJ78" s="960" t="e">
        <f>RB67+1</f>
        <v>#VALUE!</v>
      </c>
      <c r="DK78" s="921" t="e">
        <f>DJ78+1</f>
        <v>#VALUE!</v>
      </c>
      <c r="DL78" s="921" t="e">
        <f t="shared" ref="DL78" si="451">DK78+1</f>
        <v>#VALUE!</v>
      </c>
      <c r="DM78" s="921" t="e">
        <f t="shared" ref="DM78" si="452">DL78+1</f>
        <v>#VALUE!</v>
      </c>
      <c r="DN78" s="921" t="e">
        <f t="shared" ref="DN78" si="453">DM78+1</f>
        <v>#VALUE!</v>
      </c>
      <c r="DO78" s="921" t="e">
        <f t="shared" ref="DO78" si="454">DN78+1</f>
        <v>#VALUE!</v>
      </c>
      <c r="DP78" s="921" t="e">
        <f t="shared" ref="DP78" si="455">DO78+1</f>
        <v>#VALUE!</v>
      </c>
      <c r="DQ78" s="921" t="e">
        <f t="shared" ref="DQ78" si="456">DP78+1</f>
        <v>#VALUE!</v>
      </c>
      <c r="DR78" s="921" t="e">
        <f t="shared" ref="DR78" si="457">DQ78+1</f>
        <v>#VALUE!</v>
      </c>
      <c r="DS78" s="921" t="e">
        <f t="shared" ref="DS78" si="458">DR78+1</f>
        <v>#VALUE!</v>
      </c>
      <c r="DT78" s="921" t="e">
        <f t="shared" ref="DT78" si="459">DS78+1</f>
        <v>#VALUE!</v>
      </c>
      <c r="DU78" s="921" t="e">
        <f t="shared" ref="DU78" si="460">DT78+1</f>
        <v>#VALUE!</v>
      </c>
      <c r="DV78" s="921" t="e">
        <f t="shared" ref="DV78" si="461">DU78+1</f>
        <v>#VALUE!</v>
      </c>
      <c r="DW78" s="921" t="e">
        <f t="shared" ref="DW78" si="462">DV78+1</f>
        <v>#VALUE!</v>
      </c>
      <c r="DX78" s="921" t="e">
        <f t="shared" ref="DX78" si="463">DW78+1</f>
        <v>#VALUE!</v>
      </c>
      <c r="DY78" s="921" t="e">
        <f t="shared" ref="DY78" si="464">DX78+1</f>
        <v>#VALUE!</v>
      </c>
      <c r="DZ78" s="921" t="e">
        <f t="shared" ref="DZ78" si="465">DY78+1</f>
        <v>#VALUE!</v>
      </c>
      <c r="EA78" s="921" t="e">
        <f t="shared" ref="EA78" si="466">DZ78+1</f>
        <v>#VALUE!</v>
      </c>
      <c r="EB78" s="921" t="e">
        <f t="shared" ref="EB78" si="467">EA78+1</f>
        <v>#VALUE!</v>
      </c>
      <c r="EC78" s="921" t="e">
        <f t="shared" ref="EC78" si="468">EB78+1</f>
        <v>#VALUE!</v>
      </c>
      <c r="ED78" s="921" t="e">
        <f t="shared" ref="ED78" si="469">EC78+1</f>
        <v>#VALUE!</v>
      </c>
      <c r="EE78" s="921" t="e">
        <f t="shared" ref="EE78" si="470">ED78+1</f>
        <v>#VALUE!</v>
      </c>
      <c r="EF78" s="921" t="e">
        <f t="shared" ref="EF78" si="471">EE78+1</f>
        <v>#VALUE!</v>
      </c>
      <c r="EG78" s="921" t="e">
        <f t="shared" ref="EG78" si="472">EF78+1</f>
        <v>#VALUE!</v>
      </c>
      <c r="EH78" s="921" t="e">
        <f t="shared" ref="EH78" si="473">EG78+1</f>
        <v>#VALUE!</v>
      </c>
      <c r="EI78" s="921" t="e">
        <f t="shared" ref="EI78" si="474">EH78+1</f>
        <v>#VALUE!</v>
      </c>
      <c r="EJ78" s="921" t="e">
        <f t="shared" ref="EJ78" si="475">EI78+1</f>
        <v>#VALUE!</v>
      </c>
      <c r="EK78" s="921" t="e">
        <f t="shared" ref="EK78" si="476">EJ78+1</f>
        <v>#VALUE!</v>
      </c>
      <c r="EL78" s="921" t="e">
        <f t="shared" ref="EL78" si="477">EK78+1</f>
        <v>#VALUE!</v>
      </c>
      <c r="EM78" s="921" t="e">
        <f t="shared" ref="EM78" si="478">EL78+1</f>
        <v>#VALUE!</v>
      </c>
      <c r="EN78" s="921" t="e">
        <f t="shared" ref="EN78" si="479">EM78+1</f>
        <v>#VALUE!</v>
      </c>
      <c r="EO78" s="921" t="e">
        <f t="shared" ref="EO78" si="480">EN78+1</f>
        <v>#VALUE!</v>
      </c>
      <c r="EP78" s="921" t="e">
        <f t="shared" ref="EP78" si="481">EO78+1</f>
        <v>#VALUE!</v>
      </c>
      <c r="EQ78" s="921" t="e">
        <f t="shared" ref="EQ78" si="482">EP78+1</f>
        <v>#VALUE!</v>
      </c>
      <c r="ER78" s="921" t="e">
        <f t="shared" ref="ER78" si="483">EQ78+1</f>
        <v>#VALUE!</v>
      </c>
      <c r="ES78" s="921" t="e">
        <f t="shared" ref="ES78" si="484">ER78+1</f>
        <v>#VALUE!</v>
      </c>
      <c r="ET78" s="921" t="e">
        <f t="shared" ref="ET78" si="485">ES78+1</f>
        <v>#VALUE!</v>
      </c>
      <c r="EU78" s="921" t="e">
        <f t="shared" ref="EU78" si="486">ET78+1</f>
        <v>#VALUE!</v>
      </c>
      <c r="EV78" s="921" t="e">
        <f t="shared" ref="EV78" si="487">EU78+1</f>
        <v>#VALUE!</v>
      </c>
      <c r="EW78" s="921" t="e">
        <f t="shared" ref="EW78" si="488">EV78+1</f>
        <v>#VALUE!</v>
      </c>
      <c r="EX78" s="921" t="e">
        <f t="shared" ref="EX78" si="489">EW78+1</f>
        <v>#VALUE!</v>
      </c>
      <c r="EY78" s="921" t="e">
        <f t="shared" ref="EY78" si="490">EX78+1</f>
        <v>#VALUE!</v>
      </c>
      <c r="EZ78" s="921" t="e">
        <f t="shared" ref="EZ78" si="491">EY78+1</f>
        <v>#VALUE!</v>
      </c>
      <c r="FA78" s="921" t="e">
        <f t="shared" ref="FA78" si="492">EZ78+1</f>
        <v>#VALUE!</v>
      </c>
      <c r="FB78" s="921" t="e">
        <f t="shared" ref="FB78" si="493">FA78+1</f>
        <v>#VALUE!</v>
      </c>
      <c r="FC78" s="921" t="e">
        <f t="shared" ref="FC78" si="494">FB78+1</f>
        <v>#VALUE!</v>
      </c>
      <c r="FD78" s="921" t="e">
        <f t="shared" ref="FD78" si="495">FC78+1</f>
        <v>#VALUE!</v>
      </c>
      <c r="FE78" s="921" t="e">
        <f t="shared" ref="FE78" si="496">FD78+1</f>
        <v>#VALUE!</v>
      </c>
      <c r="FF78" s="921" t="e">
        <f t="shared" ref="FF78" si="497">FE78+1</f>
        <v>#VALUE!</v>
      </c>
      <c r="FG78" s="921" t="e">
        <f t="shared" ref="FG78" si="498">FF78+1</f>
        <v>#VALUE!</v>
      </c>
      <c r="FH78" s="921" t="e">
        <f t="shared" ref="FH78" si="499">FG78+1</f>
        <v>#VALUE!</v>
      </c>
      <c r="FI78" s="921" t="e">
        <f t="shared" ref="FI78" si="500">FH78+1</f>
        <v>#VALUE!</v>
      </c>
      <c r="FJ78" s="921" t="e">
        <f t="shared" ref="FJ78" si="501">FI78+1</f>
        <v>#VALUE!</v>
      </c>
      <c r="FK78" s="921" t="e">
        <f t="shared" ref="FK78" si="502">FJ78+1</f>
        <v>#VALUE!</v>
      </c>
      <c r="FL78" s="921" t="e">
        <f t="shared" ref="FL78" si="503">FK78+1</f>
        <v>#VALUE!</v>
      </c>
      <c r="FM78" s="921" t="e">
        <f t="shared" ref="FM78" si="504">FL78+1</f>
        <v>#VALUE!</v>
      </c>
      <c r="FN78" s="921" t="e">
        <f t="shared" ref="FN78" si="505">FM78+1</f>
        <v>#VALUE!</v>
      </c>
      <c r="FO78" s="921" t="e">
        <f t="shared" ref="FO78" si="506">FN78+1</f>
        <v>#VALUE!</v>
      </c>
      <c r="FP78" s="921" t="e">
        <f t="shared" ref="FP78" si="507">FO78+1</f>
        <v>#VALUE!</v>
      </c>
      <c r="FQ78" s="921" t="e">
        <f t="shared" ref="FQ78" si="508">FP78+1</f>
        <v>#VALUE!</v>
      </c>
      <c r="FR78" s="921" t="e">
        <f t="shared" ref="FR78" si="509">FQ78+1</f>
        <v>#VALUE!</v>
      </c>
      <c r="FS78" s="921" t="e">
        <f t="shared" ref="FS78" si="510">FR78+1</f>
        <v>#VALUE!</v>
      </c>
      <c r="FT78" s="921" t="e">
        <f t="shared" ref="FT78" si="511">FS78+1</f>
        <v>#VALUE!</v>
      </c>
      <c r="FU78" s="921" t="e">
        <f t="shared" ref="FU78" si="512">FT78+1</f>
        <v>#VALUE!</v>
      </c>
      <c r="FV78" s="921" t="e">
        <f t="shared" ref="FV78" si="513">FU78+1</f>
        <v>#VALUE!</v>
      </c>
      <c r="FW78" s="921" t="e">
        <f t="shared" ref="FW78" si="514">FV78+1</f>
        <v>#VALUE!</v>
      </c>
      <c r="FX78" s="921" t="e">
        <f t="shared" ref="FX78" si="515">FW78+1</f>
        <v>#VALUE!</v>
      </c>
      <c r="FY78" s="921" t="e">
        <f t="shared" ref="FY78" si="516">FX78+1</f>
        <v>#VALUE!</v>
      </c>
      <c r="FZ78" s="921" t="e">
        <f t="shared" ref="FZ78" si="517">FY78+1</f>
        <v>#VALUE!</v>
      </c>
      <c r="GA78" s="921" t="e">
        <f t="shared" ref="GA78" si="518">FZ78+1</f>
        <v>#VALUE!</v>
      </c>
      <c r="GB78" s="921" t="e">
        <f t="shared" ref="GB78" si="519">GA78+1</f>
        <v>#VALUE!</v>
      </c>
      <c r="GC78" s="921" t="e">
        <f t="shared" ref="GC78" si="520">GB78+1</f>
        <v>#VALUE!</v>
      </c>
      <c r="GD78" s="921" t="e">
        <f t="shared" ref="GD78" si="521">GC78+1</f>
        <v>#VALUE!</v>
      </c>
      <c r="GE78" s="921" t="e">
        <f t="shared" ref="GE78" si="522">GD78+1</f>
        <v>#VALUE!</v>
      </c>
      <c r="GF78" s="921" t="e">
        <f t="shared" ref="GF78" si="523">GE78+1</f>
        <v>#VALUE!</v>
      </c>
      <c r="GG78" s="921" t="e">
        <f t="shared" ref="GG78" si="524">GF78+1</f>
        <v>#VALUE!</v>
      </c>
      <c r="GH78" s="921" t="e">
        <f t="shared" ref="GH78" si="525">GG78+1</f>
        <v>#VALUE!</v>
      </c>
      <c r="GI78" s="921" t="e">
        <f t="shared" ref="GI78" si="526">GH78+1</f>
        <v>#VALUE!</v>
      </c>
      <c r="GJ78" s="921" t="e">
        <f t="shared" ref="GJ78" si="527">GI78+1</f>
        <v>#VALUE!</v>
      </c>
      <c r="GK78" s="921" t="e">
        <f t="shared" ref="GK78" si="528">GJ78+1</f>
        <v>#VALUE!</v>
      </c>
      <c r="GL78" s="921" t="e">
        <f t="shared" ref="GL78" si="529">GK78+1</f>
        <v>#VALUE!</v>
      </c>
      <c r="GM78" s="921" t="e">
        <f t="shared" ref="GM78" si="530">GL78+1</f>
        <v>#VALUE!</v>
      </c>
      <c r="GN78" s="921" t="e">
        <f t="shared" ref="GN78" si="531">GM78+1</f>
        <v>#VALUE!</v>
      </c>
      <c r="GO78" s="921" t="e">
        <f t="shared" ref="GO78" si="532">GN78+1</f>
        <v>#VALUE!</v>
      </c>
      <c r="GP78" s="921" t="e">
        <f t="shared" ref="GP78" si="533">GO78+1</f>
        <v>#VALUE!</v>
      </c>
      <c r="GQ78" s="921" t="e">
        <f t="shared" ref="GQ78" si="534">GP78+1</f>
        <v>#VALUE!</v>
      </c>
      <c r="GR78" s="921" t="e">
        <f t="shared" ref="GR78" si="535">GQ78+1</f>
        <v>#VALUE!</v>
      </c>
      <c r="GS78" s="921" t="e">
        <f t="shared" ref="GS78" si="536">GR78+1</f>
        <v>#VALUE!</v>
      </c>
      <c r="GT78" s="921" t="e">
        <f t="shared" ref="GT78" si="537">GS78+1</f>
        <v>#VALUE!</v>
      </c>
      <c r="GU78" s="921" t="e">
        <f t="shared" ref="GU78" si="538">GT78+1</f>
        <v>#VALUE!</v>
      </c>
      <c r="GV78" s="921" t="e">
        <f t="shared" ref="GV78" si="539">GU78+1</f>
        <v>#VALUE!</v>
      </c>
      <c r="GW78" s="921" t="e">
        <f t="shared" ref="GW78" si="540">GV78+1</f>
        <v>#VALUE!</v>
      </c>
      <c r="GX78" s="921" t="e">
        <f t="shared" ref="GX78" si="541">GW78+1</f>
        <v>#VALUE!</v>
      </c>
      <c r="GY78" s="921" t="e">
        <f t="shared" ref="GY78" si="542">GX78+1</f>
        <v>#VALUE!</v>
      </c>
      <c r="GZ78" s="921" t="e">
        <f t="shared" ref="GZ78" si="543">GY78+1</f>
        <v>#VALUE!</v>
      </c>
      <c r="HA78" s="921" t="e">
        <f t="shared" ref="HA78" si="544">GZ78+1</f>
        <v>#VALUE!</v>
      </c>
      <c r="HB78" s="921" t="e">
        <f t="shared" ref="HB78" si="545">HA78+1</f>
        <v>#VALUE!</v>
      </c>
      <c r="HC78" s="921" t="e">
        <f t="shared" ref="HC78" si="546">HB78+1</f>
        <v>#VALUE!</v>
      </c>
      <c r="HD78" s="921" t="e">
        <f t="shared" ref="HD78" si="547">HC78+1</f>
        <v>#VALUE!</v>
      </c>
      <c r="HE78" s="921" t="e">
        <f t="shared" ref="HE78" si="548">HD78+1</f>
        <v>#VALUE!</v>
      </c>
      <c r="HF78" s="921" t="e">
        <f t="shared" ref="HF78" si="549">HE78+1</f>
        <v>#VALUE!</v>
      </c>
      <c r="HG78" s="921" t="e">
        <f t="shared" ref="HG78" si="550">HF78+1</f>
        <v>#VALUE!</v>
      </c>
      <c r="HH78" s="921" t="e">
        <f t="shared" ref="HH78" si="551">HG78+1</f>
        <v>#VALUE!</v>
      </c>
      <c r="HI78" s="921" t="e">
        <f t="shared" ref="HI78" si="552">HH78+1</f>
        <v>#VALUE!</v>
      </c>
      <c r="HJ78" s="921" t="e">
        <f t="shared" ref="HJ78" si="553">HI78+1</f>
        <v>#VALUE!</v>
      </c>
      <c r="HK78" s="921" t="e">
        <f t="shared" ref="HK78" si="554">HJ78+1</f>
        <v>#VALUE!</v>
      </c>
      <c r="HL78" s="921" t="e">
        <f t="shared" ref="HL78" si="555">HK78+1</f>
        <v>#VALUE!</v>
      </c>
      <c r="HM78" s="921" t="e">
        <f t="shared" ref="HM78" si="556">HL78+1</f>
        <v>#VALUE!</v>
      </c>
      <c r="HN78" s="921" t="e">
        <f t="shared" ref="HN78" si="557">HM78+1</f>
        <v>#VALUE!</v>
      </c>
      <c r="HO78" s="921" t="e">
        <f t="shared" ref="HO78" si="558">HN78+1</f>
        <v>#VALUE!</v>
      </c>
      <c r="HP78" s="921" t="e">
        <f t="shared" ref="HP78" si="559">HO78+1</f>
        <v>#VALUE!</v>
      </c>
      <c r="HQ78" s="921" t="e">
        <f t="shared" ref="HQ78" si="560">HP78+1</f>
        <v>#VALUE!</v>
      </c>
      <c r="HR78" s="921" t="e">
        <f t="shared" ref="HR78" si="561">HQ78+1</f>
        <v>#VALUE!</v>
      </c>
      <c r="HS78" s="921" t="e">
        <f t="shared" ref="HS78" si="562">HR78+1</f>
        <v>#VALUE!</v>
      </c>
      <c r="HT78" s="921" t="e">
        <f t="shared" ref="HT78" si="563">HS78+1</f>
        <v>#VALUE!</v>
      </c>
      <c r="HU78" s="921" t="e">
        <f t="shared" ref="HU78" si="564">HT78+1</f>
        <v>#VALUE!</v>
      </c>
      <c r="HV78" s="921" t="e">
        <f t="shared" ref="HV78" si="565">HU78+1</f>
        <v>#VALUE!</v>
      </c>
      <c r="HW78" s="921" t="e">
        <f t="shared" ref="HW78" si="566">HV78+1</f>
        <v>#VALUE!</v>
      </c>
      <c r="HX78" s="921" t="e">
        <f t="shared" ref="HX78" si="567">HW78+1</f>
        <v>#VALUE!</v>
      </c>
      <c r="HY78" s="921" t="e">
        <f t="shared" ref="HY78" si="568">HX78+1</f>
        <v>#VALUE!</v>
      </c>
      <c r="HZ78" s="921" t="e">
        <f t="shared" ref="HZ78" si="569">HY78+1</f>
        <v>#VALUE!</v>
      </c>
      <c r="IA78" s="921" t="e">
        <f t="shared" ref="IA78" si="570">HZ78+1</f>
        <v>#VALUE!</v>
      </c>
      <c r="IB78" s="921" t="e">
        <f t="shared" ref="IB78" si="571">IA78+1</f>
        <v>#VALUE!</v>
      </c>
      <c r="IC78" s="921" t="e">
        <f t="shared" ref="IC78" si="572">IB78+1</f>
        <v>#VALUE!</v>
      </c>
      <c r="ID78" s="921" t="e">
        <f t="shared" ref="ID78" si="573">IC78+1</f>
        <v>#VALUE!</v>
      </c>
      <c r="IE78" s="921" t="e">
        <f t="shared" ref="IE78" si="574">ID78+1</f>
        <v>#VALUE!</v>
      </c>
      <c r="IF78" s="921" t="e">
        <f t="shared" ref="IF78" si="575">IE78+1</f>
        <v>#VALUE!</v>
      </c>
      <c r="IG78" s="921" t="e">
        <f t="shared" ref="IG78" si="576">IF78+1</f>
        <v>#VALUE!</v>
      </c>
      <c r="IH78" s="921" t="e">
        <f t="shared" ref="IH78" si="577">IG78+1</f>
        <v>#VALUE!</v>
      </c>
      <c r="II78" s="921" t="e">
        <f t="shared" ref="II78" si="578">IH78+1</f>
        <v>#VALUE!</v>
      </c>
      <c r="IJ78" s="921" t="e">
        <f t="shared" ref="IJ78" si="579">II78+1</f>
        <v>#VALUE!</v>
      </c>
      <c r="IK78" s="921" t="e">
        <f t="shared" ref="IK78" si="580">IJ78+1</f>
        <v>#VALUE!</v>
      </c>
      <c r="IL78" s="921" t="e">
        <f t="shared" ref="IL78" si="581">IK78+1</f>
        <v>#VALUE!</v>
      </c>
      <c r="IM78" s="921" t="e">
        <f t="shared" ref="IM78" si="582">IL78+1</f>
        <v>#VALUE!</v>
      </c>
      <c r="IN78" s="921" t="e">
        <f t="shared" ref="IN78" si="583">IM78+1</f>
        <v>#VALUE!</v>
      </c>
      <c r="IO78" s="921" t="e">
        <f t="shared" ref="IO78" si="584">IN78+1</f>
        <v>#VALUE!</v>
      </c>
      <c r="IP78" s="921" t="e">
        <f t="shared" ref="IP78" si="585">IO78+1</f>
        <v>#VALUE!</v>
      </c>
      <c r="IQ78" s="921" t="e">
        <f t="shared" ref="IQ78" si="586">IP78+1</f>
        <v>#VALUE!</v>
      </c>
      <c r="IR78" s="921" t="e">
        <f t="shared" ref="IR78" si="587">IQ78+1</f>
        <v>#VALUE!</v>
      </c>
      <c r="IS78" s="921" t="e">
        <f t="shared" ref="IS78" si="588">IR78+1</f>
        <v>#VALUE!</v>
      </c>
      <c r="IT78" s="921" t="e">
        <f t="shared" ref="IT78" si="589">IS78+1</f>
        <v>#VALUE!</v>
      </c>
      <c r="IU78" s="921" t="e">
        <f t="shared" ref="IU78" si="590">IT78+1</f>
        <v>#VALUE!</v>
      </c>
      <c r="IV78" s="921" t="e">
        <f t="shared" ref="IV78" si="591">IU78+1</f>
        <v>#VALUE!</v>
      </c>
      <c r="IW78" s="921" t="e">
        <f t="shared" ref="IW78" si="592">IV78+1</f>
        <v>#VALUE!</v>
      </c>
      <c r="IX78" s="921" t="e">
        <f t="shared" ref="IX78" si="593">IW78+1</f>
        <v>#VALUE!</v>
      </c>
      <c r="IY78" s="921" t="e">
        <f t="shared" ref="IY78" si="594">IX78+1</f>
        <v>#VALUE!</v>
      </c>
      <c r="IZ78" s="921" t="e">
        <f t="shared" ref="IZ78" si="595">IY78+1</f>
        <v>#VALUE!</v>
      </c>
      <c r="JA78" s="921" t="e">
        <f t="shared" ref="JA78" si="596">IZ78+1</f>
        <v>#VALUE!</v>
      </c>
      <c r="JB78" s="921" t="e">
        <f t="shared" ref="JB78" si="597">JA78+1</f>
        <v>#VALUE!</v>
      </c>
      <c r="JC78" s="921" t="e">
        <f t="shared" ref="JC78" si="598">JB78+1</f>
        <v>#VALUE!</v>
      </c>
      <c r="JD78" s="921" t="e">
        <f t="shared" ref="JD78" si="599">JC78+1</f>
        <v>#VALUE!</v>
      </c>
      <c r="JE78" s="921" t="e">
        <f t="shared" ref="JE78" si="600">JD78+1</f>
        <v>#VALUE!</v>
      </c>
      <c r="JF78" s="921" t="e">
        <f t="shared" ref="JF78" si="601">JE78+1</f>
        <v>#VALUE!</v>
      </c>
      <c r="JG78" s="921" t="e">
        <f t="shared" ref="JG78" si="602">JF78+1</f>
        <v>#VALUE!</v>
      </c>
      <c r="JH78" s="921" t="e">
        <f t="shared" ref="JH78" si="603">JG78+1</f>
        <v>#VALUE!</v>
      </c>
      <c r="JI78" s="921" t="e">
        <f t="shared" ref="JI78" si="604">JH78+1</f>
        <v>#VALUE!</v>
      </c>
      <c r="JJ78" s="921" t="e">
        <f t="shared" ref="JJ78" si="605">JI78+1</f>
        <v>#VALUE!</v>
      </c>
      <c r="JK78" s="921" t="e">
        <f t="shared" ref="JK78" si="606">JJ78+1</f>
        <v>#VALUE!</v>
      </c>
      <c r="JL78" s="921" t="e">
        <f t="shared" ref="JL78" si="607">JK78+1</f>
        <v>#VALUE!</v>
      </c>
      <c r="JM78" s="921" t="e">
        <f t="shared" ref="JM78" si="608">JL78+1</f>
        <v>#VALUE!</v>
      </c>
      <c r="JN78" s="921" t="e">
        <f t="shared" ref="JN78" si="609">JM78+1</f>
        <v>#VALUE!</v>
      </c>
      <c r="JO78" s="921" t="e">
        <f t="shared" ref="JO78" si="610">JN78+1</f>
        <v>#VALUE!</v>
      </c>
      <c r="JP78" s="921" t="e">
        <f t="shared" ref="JP78" si="611">JO78+1</f>
        <v>#VALUE!</v>
      </c>
      <c r="JQ78" s="921" t="e">
        <f t="shared" ref="JQ78" si="612">JP78+1</f>
        <v>#VALUE!</v>
      </c>
      <c r="JR78" s="921" t="e">
        <f t="shared" ref="JR78" si="613">JQ78+1</f>
        <v>#VALUE!</v>
      </c>
      <c r="JS78" s="921" t="e">
        <f t="shared" ref="JS78" si="614">JR78+1</f>
        <v>#VALUE!</v>
      </c>
      <c r="JT78" s="921" t="e">
        <f t="shared" ref="JT78" si="615">JS78+1</f>
        <v>#VALUE!</v>
      </c>
      <c r="JU78" s="921" t="e">
        <f t="shared" ref="JU78" si="616">JT78+1</f>
        <v>#VALUE!</v>
      </c>
      <c r="JV78" s="921" t="e">
        <f t="shared" ref="JV78" si="617">JU78+1</f>
        <v>#VALUE!</v>
      </c>
      <c r="JW78" s="921" t="e">
        <f t="shared" ref="JW78" si="618">JV78+1</f>
        <v>#VALUE!</v>
      </c>
      <c r="JX78" s="921" t="e">
        <f t="shared" ref="JX78" si="619">JW78+1</f>
        <v>#VALUE!</v>
      </c>
      <c r="JY78" s="921" t="e">
        <f t="shared" ref="JY78" si="620">JX78+1</f>
        <v>#VALUE!</v>
      </c>
      <c r="JZ78" s="921" t="e">
        <f t="shared" ref="JZ78" si="621">JY78+1</f>
        <v>#VALUE!</v>
      </c>
      <c r="KA78" s="921" t="e">
        <f t="shared" ref="KA78" si="622">JZ78+1</f>
        <v>#VALUE!</v>
      </c>
      <c r="KB78" s="921" t="e">
        <f t="shared" ref="KB78" si="623">KA78+1</f>
        <v>#VALUE!</v>
      </c>
      <c r="KC78" s="921" t="e">
        <f t="shared" ref="KC78" si="624">KB78+1</f>
        <v>#VALUE!</v>
      </c>
      <c r="KD78" s="921" t="e">
        <f t="shared" ref="KD78" si="625">KC78+1</f>
        <v>#VALUE!</v>
      </c>
      <c r="KE78" s="921" t="e">
        <f t="shared" ref="KE78" si="626">KD78+1</f>
        <v>#VALUE!</v>
      </c>
      <c r="KF78" s="921" t="e">
        <f t="shared" ref="KF78" si="627">KE78+1</f>
        <v>#VALUE!</v>
      </c>
      <c r="KG78" s="921" t="e">
        <f t="shared" ref="KG78" si="628">KF78+1</f>
        <v>#VALUE!</v>
      </c>
      <c r="KH78" s="921" t="e">
        <f t="shared" ref="KH78" si="629">KG78+1</f>
        <v>#VALUE!</v>
      </c>
      <c r="KI78" s="921" t="e">
        <f t="shared" ref="KI78" si="630">KH78+1</f>
        <v>#VALUE!</v>
      </c>
      <c r="KJ78" s="921" t="e">
        <f t="shared" ref="KJ78" si="631">KI78+1</f>
        <v>#VALUE!</v>
      </c>
      <c r="KK78" s="921" t="e">
        <f t="shared" ref="KK78" si="632">KJ78+1</f>
        <v>#VALUE!</v>
      </c>
      <c r="KL78" s="921" t="e">
        <f t="shared" ref="KL78" si="633">KK78+1</f>
        <v>#VALUE!</v>
      </c>
      <c r="KM78" s="921" t="e">
        <f t="shared" ref="KM78" si="634">KL78+1</f>
        <v>#VALUE!</v>
      </c>
      <c r="KN78" s="921" t="e">
        <f t="shared" ref="KN78" si="635">KM78+1</f>
        <v>#VALUE!</v>
      </c>
      <c r="KO78" s="921" t="e">
        <f t="shared" ref="KO78" si="636">KN78+1</f>
        <v>#VALUE!</v>
      </c>
      <c r="KP78" s="921" t="e">
        <f t="shared" ref="KP78" si="637">KO78+1</f>
        <v>#VALUE!</v>
      </c>
      <c r="KQ78" s="921" t="e">
        <f t="shared" ref="KQ78" si="638">KP78+1</f>
        <v>#VALUE!</v>
      </c>
      <c r="KR78" s="921" t="e">
        <f t="shared" ref="KR78" si="639">KQ78+1</f>
        <v>#VALUE!</v>
      </c>
      <c r="KS78" s="921" t="e">
        <f t="shared" ref="KS78" si="640">KR78+1</f>
        <v>#VALUE!</v>
      </c>
      <c r="KT78" s="921" t="e">
        <f t="shared" ref="KT78" si="641">KS78+1</f>
        <v>#VALUE!</v>
      </c>
      <c r="KU78" s="921" t="e">
        <f t="shared" ref="KU78" si="642">KT78+1</f>
        <v>#VALUE!</v>
      </c>
      <c r="KV78" s="921" t="e">
        <f t="shared" ref="KV78" si="643">KU78+1</f>
        <v>#VALUE!</v>
      </c>
      <c r="KW78" s="921" t="e">
        <f t="shared" ref="KW78" si="644">KV78+1</f>
        <v>#VALUE!</v>
      </c>
      <c r="KX78" s="921" t="e">
        <f t="shared" ref="KX78" si="645">KW78+1</f>
        <v>#VALUE!</v>
      </c>
      <c r="KY78" s="921" t="e">
        <f t="shared" ref="KY78" si="646">KX78+1</f>
        <v>#VALUE!</v>
      </c>
      <c r="KZ78" s="921" t="e">
        <f t="shared" ref="KZ78" si="647">KY78+1</f>
        <v>#VALUE!</v>
      </c>
      <c r="LA78" s="921" t="e">
        <f t="shared" ref="LA78" si="648">KZ78+1</f>
        <v>#VALUE!</v>
      </c>
      <c r="LB78" s="921" t="e">
        <f t="shared" ref="LB78" si="649">LA78+1</f>
        <v>#VALUE!</v>
      </c>
      <c r="LC78" s="921" t="e">
        <f t="shared" ref="LC78" si="650">LB78+1</f>
        <v>#VALUE!</v>
      </c>
      <c r="LD78" s="921" t="e">
        <f t="shared" ref="LD78" si="651">LC78+1</f>
        <v>#VALUE!</v>
      </c>
      <c r="LE78" s="921" t="e">
        <f t="shared" ref="LE78" si="652">LD78+1</f>
        <v>#VALUE!</v>
      </c>
      <c r="LF78" s="921" t="e">
        <f t="shared" ref="LF78" si="653">LE78+1</f>
        <v>#VALUE!</v>
      </c>
      <c r="LG78" s="921" t="e">
        <f t="shared" ref="LG78" si="654">LF78+1</f>
        <v>#VALUE!</v>
      </c>
      <c r="LH78" s="921" t="e">
        <f t="shared" ref="LH78" si="655">LG78+1</f>
        <v>#VALUE!</v>
      </c>
      <c r="LI78" s="921" t="e">
        <f t="shared" ref="LI78" si="656">LH78+1</f>
        <v>#VALUE!</v>
      </c>
      <c r="LJ78" s="921" t="e">
        <f t="shared" ref="LJ78" si="657">LI78+1</f>
        <v>#VALUE!</v>
      </c>
      <c r="LK78" s="921" t="e">
        <f t="shared" ref="LK78" si="658">LJ78+1</f>
        <v>#VALUE!</v>
      </c>
      <c r="LL78" s="921" t="e">
        <f t="shared" ref="LL78" si="659">LK78+1</f>
        <v>#VALUE!</v>
      </c>
      <c r="LM78" s="921" t="e">
        <f t="shared" ref="LM78" si="660">LL78+1</f>
        <v>#VALUE!</v>
      </c>
      <c r="LN78" s="921" t="e">
        <f t="shared" ref="LN78" si="661">LM78+1</f>
        <v>#VALUE!</v>
      </c>
      <c r="LO78" s="921" t="e">
        <f t="shared" ref="LO78" si="662">LN78+1</f>
        <v>#VALUE!</v>
      </c>
      <c r="LP78" s="921" t="e">
        <f t="shared" ref="LP78" si="663">LO78+1</f>
        <v>#VALUE!</v>
      </c>
      <c r="LQ78" s="921" t="e">
        <f t="shared" ref="LQ78" si="664">LP78+1</f>
        <v>#VALUE!</v>
      </c>
      <c r="LR78" s="921" t="e">
        <f t="shared" ref="LR78" si="665">LQ78+1</f>
        <v>#VALUE!</v>
      </c>
      <c r="LS78" s="921" t="e">
        <f t="shared" ref="LS78" si="666">LR78+1</f>
        <v>#VALUE!</v>
      </c>
      <c r="LT78" s="921" t="e">
        <f t="shared" ref="LT78" si="667">LS78+1</f>
        <v>#VALUE!</v>
      </c>
      <c r="LU78" s="921" t="e">
        <f t="shared" ref="LU78" si="668">LT78+1</f>
        <v>#VALUE!</v>
      </c>
      <c r="LV78" s="921" t="e">
        <f t="shared" ref="LV78" si="669">LU78+1</f>
        <v>#VALUE!</v>
      </c>
      <c r="LW78" s="921" t="e">
        <f t="shared" ref="LW78" si="670">LV78+1</f>
        <v>#VALUE!</v>
      </c>
      <c r="LX78" s="921" t="e">
        <f t="shared" ref="LX78" si="671">LW78+1</f>
        <v>#VALUE!</v>
      </c>
      <c r="LY78" s="921" t="e">
        <f t="shared" ref="LY78" si="672">LX78+1</f>
        <v>#VALUE!</v>
      </c>
      <c r="LZ78" s="921" t="e">
        <f t="shared" ref="LZ78" si="673">LY78+1</f>
        <v>#VALUE!</v>
      </c>
      <c r="MA78" s="921" t="e">
        <f t="shared" ref="MA78" si="674">LZ78+1</f>
        <v>#VALUE!</v>
      </c>
      <c r="MB78" s="921" t="e">
        <f t="shared" ref="MB78" si="675">MA78+1</f>
        <v>#VALUE!</v>
      </c>
      <c r="MC78" s="921" t="e">
        <f t="shared" ref="MC78" si="676">MB78+1</f>
        <v>#VALUE!</v>
      </c>
      <c r="MD78" s="921" t="e">
        <f t="shared" ref="MD78" si="677">MC78+1</f>
        <v>#VALUE!</v>
      </c>
      <c r="ME78" s="921" t="e">
        <f t="shared" ref="ME78" si="678">MD78+1</f>
        <v>#VALUE!</v>
      </c>
      <c r="MF78" s="921" t="e">
        <f t="shared" ref="MF78" si="679">ME78+1</f>
        <v>#VALUE!</v>
      </c>
      <c r="MG78" s="921" t="e">
        <f t="shared" ref="MG78" si="680">MF78+1</f>
        <v>#VALUE!</v>
      </c>
      <c r="MH78" s="921" t="e">
        <f t="shared" ref="MH78" si="681">MG78+1</f>
        <v>#VALUE!</v>
      </c>
      <c r="MI78" s="921" t="e">
        <f t="shared" ref="MI78" si="682">MH78+1</f>
        <v>#VALUE!</v>
      </c>
      <c r="MJ78" s="921" t="e">
        <f t="shared" ref="MJ78" si="683">MI78+1</f>
        <v>#VALUE!</v>
      </c>
      <c r="MK78" s="921" t="e">
        <f t="shared" ref="MK78" si="684">MJ78+1</f>
        <v>#VALUE!</v>
      </c>
      <c r="ML78" s="921" t="e">
        <f t="shared" ref="ML78" si="685">MK78+1</f>
        <v>#VALUE!</v>
      </c>
      <c r="MM78" s="921" t="e">
        <f t="shared" ref="MM78" si="686">ML78+1</f>
        <v>#VALUE!</v>
      </c>
      <c r="MN78" s="921" t="e">
        <f t="shared" ref="MN78" si="687">MM78+1</f>
        <v>#VALUE!</v>
      </c>
      <c r="MO78" s="921" t="e">
        <f t="shared" ref="MO78" si="688">MN78+1</f>
        <v>#VALUE!</v>
      </c>
      <c r="MP78" s="921" t="e">
        <f t="shared" ref="MP78" si="689">MO78+1</f>
        <v>#VALUE!</v>
      </c>
      <c r="MQ78" s="921" t="e">
        <f t="shared" ref="MQ78" si="690">MP78+1</f>
        <v>#VALUE!</v>
      </c>
      <c r="MR78" s="921" t="e">
        <f t="shared" ref="MR78" si="691">MQ78+1</f>
        <v>#VALUE!</v>
      </c>
      <c r="MS78" s="921" t="e">
        <f t="shared" ref="MS78" si="692">MR78+1</f>
        <v>#VALUE!</v>
      </c>
      <c r="MT78" s="921" t="e">
        <f t="shared" ref="MT78" si="693">MS78+1</f>
        <v>#VALUE!</v>
      </c>
      <c r="MU78" s="921" t="e">
        <f t="shared" ref="MU78" si="694">MT78+1</f>
        <v>#VALUE!</v>
      </c>
      <c r="MV78" s="921" t="e">
        <f t="shared" ref="MV78" si="695">MU78+1</f>
        <v>#VALUE!</v>
      </c>
      <c r="MW78" s="921" t="e">
        <f t="shared" ref="MW78" si="696">MV78+1</f>
        <v>#VALUE!</v>
      </c>
      <c r="MX78" s="921" t="e">
        <f t="shared" ref="MX78" si="697">MW78+1</f>
        <v>#VALUE!</v>
      </c>
      <c r="MY78" s="921" t="e">
        <f t="shared" ref="MY78" si="698">MX78+1</f>
        <v>#VALUE!</v>
      </c>
      <c r="MZ78" s="921" t="e">
        <f t="shared" ref="MZ78" si="699">MY78+1</f>
        <v>#VALUE!</v>
      </c>
      <c r="NA78" s="921" t="e">
        <f t="shared" ref="NA78" si="700">MZ78+1</f>
        <v>#VALUE!</v>
      </c>
      <c r="NB78" s="921" t="e">
        <f t="shared" ref="NB78" si="701">NA78+1</f>
        <v>#VALUE!</v>
      </c>
      <c r="NC78" s="921" t="e">
        <f t="shared" ref="NC78" si="702">NB78+1</f>
        <v>#VALUE!</v>
      </c>
      <c r="ND78" s="921" t="e">
        <f t="shared" ref="ND78" si="703">NC78+1</f>
        <v>#VALUE!</v>
      </c>
      <c r="NE78" s="921" t="e">
        <f t="shared" ref="NE78" si="704">ND78+1</f>
        <v>#VALUE!</v>
      </c>
      <c r="NF78" s="921" t="e">
        <f t="shared" ref="NF78" si="705">NE78+1</f>
        <v>#VALUE!</v>
      </c>
      <c r="NG78" s="921" t="e">
        <f t="shared" ref="NG78" si="706">NF78+1</f>
        <v>#VALUE!</v>
      </c>
      <c r="NH78" s="921" t="e">
        <f t="shared" ref="NH78" si="707">NG78+1</f>
        <v>#VALUE!</v>
      </c>
      <c r="NI78" s="921" t="e">
        <f t="shared" ref="NI78" si="708">NH78+1</f>
        <v>#VALUE!</v>
      </c>
      <c r="NJ78" s="921" t="e">
        <f t="shared" ref="NJ78" si="709">NI78+1</f>
        <v>#VALUE!</v>
      </c>
      <c r="NK78" s="921" t="e">
        <f t="shared" ref="NK78" si="710">NJ78+1</f>
        <v>#VALUE!</v>
      </c>
      <c r="NL78" s="921" t="e">
        <f t="shared" ref="NL78" si="711">NK78+1</f>
        <v>#VALUE!</v>
      </c>
      <c r="NM78" s="921" t="e">
        <f t="shared" ref="NM78" si="712">NL78+1</f>
        <v>#VALUE!</v>
      </c>
      <c r="NN78" s="921" t="e">
        <f t="shared" ref="NN78" si="713">NM78+1</f>
        <v>#VALUE!</v>
      </c>
      <c r="NO78" s="921" t="e">
        <f t="shared" ref="NO78" si="714">NN78+1</f>
        <v>#VALUE!</v>
      </c>
      <c r="NP78" s="921" t="e">
        <f t="shared" ref="NP78" si="715">NO78+1</f>
        <v>#VALUE!</v>
      </c>
      <c r="NQ78" s="921" t="e">
        <f t="shared" ref="NQ78" si="716">NP78+1</f>
        <v>#VALUE!</v>
      </c>
      <c r="NR78" s="921" t="e">
        <f t="shared" ref="NR78" si="717">NQ78+1</f>
        <v>#VALUE!</v>
      </c>
      <c r="NS78" s="921" t="e">
        <f t="shared" ref="NS78" si="718">NR78+1</f>
        <v>#VALUE!</v>
      </c>
      <c r="NT78" s="921" t="e">
        <f t="shared" ref="NT78" si="719">NS78+1</f>
        <v>#VALUE!</v>
      </c>
      <c r="NU78" s="921" t="e">
        <f t="shared" ref="NU78" si="720">NT78+1</f>
        <v>#VALUE!</v>
      </c>
      <c r="NV78" s="921" t="e">
        <f t="shared" ref="NV78" si="721">NU78+1</f>
        <v>#VALUE!</v>
      </c>
      <c r="NW78" s="921" t="e">
        <f t="shared" ref="NW78" si="722">NV78+1</f>
        <v>#VALUE!</v>
      </c>
      <c r="NX78" s="921" t="e">
        <f t="shared" ref="NX78" si="723">NW78+1</f>
        <v>#VALUE!</v>
      </c>
      <c r="NY78" s="921" t="e">
        <f t="shared" ref="NY78" si="724">NX78+1</f>
        <v>#VALUE!</v>
      </c>
      <c r="NZ78" s="921" t="e">
        <f t="shared" ref="NZ78" si="725">NY78+1</f>
        <v>#VALUE!</v>
      </c>
      <c r="OA78" s="921" t="e">
        <f t="shared" ref="OA78" si="726">NZ78+1</f>
        <v>#VALUE!</v>
      </c>
      <c r="OB78" s="921" t="e">
        <f t="shared" ref="OB78" si="727">OA78+1</f>
        <v>#VALUE!</v>
      </c>
      <c r="OC78" s="921" t="e">
        <f t="shared" ref="OC78" si="728">OB78+1</f>
        <v>#VALUE!</v>
      </c>
      <c r="OD78" s="921" t="e">
        <f t="shared" ref="OD78" si="729">OC78+1</f>
        <v>#VALUE!</v>
      </c>
      <c r="OE78" s="921" t="e">
        <f t="shared" ref="OE78" si="730">OD78+1</f>
        <v>#VALUE!</v>
      </c>
      <c r="OF78" s="921" t="e">
        <f t="shared" ref="OF78" si="731">OE78+1</f>
        <v>#VALUE!</v>
      </c>
      <c r="OG78" s="921" t="e">
        <f t="shared" ref="OG78" si="732">OF78+1</f>
        <v>#VALUE!</v>
      </c>
      <c r="OH78" s="921" t="e">
        <f t="shared" ref="OH78" si="733">OG78+1</f>
        <v>#VALUE!</v>
      </c>
      <c r="OI78" s="921" t="e">
        <f t="shared" ref="OI78" si="734">OH78+1</f>
        <v>#VALUE!</v>
      </c>
      <c r="OJ78" s="921" t="e">
        <f t="shared" ref="OJ78" si="735">OI78+1</f>
        <v>#VALUE!</v>
      </c>
      <c r="OK78" s="921" t="e">
        <f t="shared" ref="OK78" si="736">OJ78+1</f>
        <v>#VALUE!</v>
      </c>
      <c r="OL78" s="921" t="e">
        <f t="shared" ref="OL78" si="737">OK78+1</f>
        <v>#VALUE!</v>
      </c>
      <c r="OM78" s="921" t="e">
        <f t="shared" ref="OM78" si="738">OL78+1</f>
        <v>#VALUE!</v>
      </c>
      <c r="ON78" s="921" t="e">
        <f t="shared" ref="ON78" si="739">OM78+1</f>
        <v>#VALUE!</v>
      </c>
      <c r="OO78" s="921" t="e">
        <f t="shared" ref="OO78" si="740">ON78+1</f>
        <v>#VALUE!</v>
      </c>
      <c r="OP78" s="921" t="e">
        <f t="shared" ref="OP78" si="741">OO78+1</f>
        <v>#VALUE!</v>
      </c>
      <c r="OQ78" s="921" t="e">
        <f t="shared" ref="OQ78" si="742">OP78+1</f>
        <v>#VALUE!</v>
      </c>
      <c r="OR78" s="921" t="e">
        <f t="shared" ref="OR78" si="743">OQ78+1</f>
        <v>#VALUE!</v>
      </c>
      <c r="OS78" s="921" t="e">
        <f t="shared" ref="OS78" si="744">OR78+1</f>
        <v>#VALUE!</v>
      </c>
      <c r="OT78" s="921" t="e">
        <f t="shared" ref="OT78" si="745">OS78+1</f>
        <v>#VALUE!</v>
      </c>
      <c r="OU78" s="921" t="e">
        <f t="shared" ref="OU78" si="746">OT78+1</f>
        <v>#VALUE!</v>
      </c>
      <c r="OV78" s="921" t="e">
        <f t="shared" ref="OV78" si="747">OU78+1</f>
        <v>#VALUE!</v>
      </c>
      <c r="OW78" s="921" t="e">
        <f t="shared" ref="OW78" si="748">OV78+1</f>
        <v>#VALUE!</v>
      </c>
      <c r="OX78" s="921" t="e">
        <f t="shared" ref="OX78" si="749">OW78+1</f>
        <v>#VALUE!</v>
      </c>
      <c r="OY78" s="921" t="e">
        <f t="shared" ref="OY78" si="750">OX78+1</f>
        <v>#VALUE!</v>
      </c>
      <c r="OZ78" s="921" t="e">
        <f t="shared" ref="OZ78" si="751">OY78+1</f>
        <v>#VALUE!</v>
      </c>
      <c r="PA78" s="921" t="e">
        <f t="shared" ref="PA78" si="752">OZ78+1</f>
        <v>#VALUE!</v>
      </c>
      <c r="PB78" s="921" t="e">
        <f t="shared" ref="PB78" si="753">PA78+1</f>
        <v>#VALUE!</v>
      </c>
      <c r="PC78" s="921" t="e">
        <f t="shared" ref="PC78" si="754">PB78+1</f>
        <v>#VALUE!</v>
      </c>
      <c r="PD78" s="921" t="e">
        <f t="shared" ref="PD78" si="755">PC78+1</f>
        <v>#VALUE!</v>
      </c>
      <c r="PE78" s="921" t="e">
        <f t="shared" ref="PE78" si="756">PD78+1</f>
        <v>#VALUE!</v>
      </c>
      <c r="PF78" s="921" t="e">
        <f t="shared" ref="PF78" si="757">PE78+1</f>
        <v>#VALUE!</v>
      </c>
      <c r="PG78" s="921" t="e">
        <f t="shared" ref="PG78" si="758">PF78+1</f>
        <v>#VALUE!</v>
      </c>
      <c r="PH78" s="921" t="e">
        <f t="shared" ref="PH78" si="759">PG78+1</f>
        <v>#VALUE!</v>
      </c>
      <c r="PI78" s="921" t="e">
        <f t="shared" ref="PI78" si="760">PH78+1</f>
        <v>#VALUE!</v>
      </c>
      <c r="PJ78" s="921" t="e">
        <f t="shared" ref="PJ78" si="761">PI78+1</f>
        <v>#VALUE!</v>
      </c>
      <c r="PK78" s="921" t="e">
        <f t="shared" ref="PK78" si="762">PJ78+1</f>
        <v>#VALUE!</v>
      </c>
      <c r="PL78" s="921" t="e">
        <f t="shared" ref="PL78" si="763">PK78+1</f>
        <v>#VALUE!</v>
      </c>
      <c r="PM78" s="921" t="e">
        <f t="shared" ref="PM78" si="764">PL78+1</f>
        <v>#VALUE!</v>
      </c>
      <c r="PN78" s="921" t="e">
        <f t="shared" ref="PN78" si="765">PM78+1</f>
        <v>#VALUE!</v>
      </c>
      <c r="PO78" s="921" t="e">
        <f t="shared" ref="PO78" si="766">PN78+1</f>
        <v>#VALUE!</v>
      </c>
      <c r="PP78" s="921" t="e">
        <f t="shared" ref="PP78" si="767">PO78+1</f>
        <v>#VALUE!</v>
      </c>
      <c r="PQ78" s="921" t="e">
        <f t="shared" ref="PQ78" si="768">PP78+1</f>
        <v>#VALUE!</v>
      </c>
      <c r="PR78" s="921" t="e">
        <f t="shared" ref="PR78" si="769">PQ78+1</f>
        <v>#VALUE!</v>
      </c>
      <c r="PS78" s="921" t="e">
        <f t="shared" ref="PS78" si="770">PR78+1</f>
        <v>#VALUE!</v>
      </c>
      <c r="PT78" s="921" t="e">
        <f t="shared" ref="PT78" si="771">PS78+1</f>
        <v>#VALUE!</v>
      </c>
      <c r="PU78" s="921" t="e">
        <f t="shared" ref="PU78" si="772">PT78+1</f>
        <v>#VALUE!</v>
      </c>
      <c r="PV78" s="921" t="e">
        <f t="shared" ref="PV78" si="773">PU78+1</f>
        <v>#VALUE!</v>
      </c>
      <c r="PW78" s="921" t="e">
        <f t="shared" ref="PW78" si="774">PV78+1</f>
        <v>#VALUE!</v>
      </c>
      <c r="PX78" s="921" t="e">
        <f t="shared" ref="PX78" si="775">PW78+1</f>
        <v>#VALUE!</v>
      </c>
      <c r="PY78" s="921" t="e">
        <f t="shared" ref="PY78" si="776">PX78+1</f>
        <v>#VALUE!</v>
      </c>
      <c r="PZ78" s="921" t="e">
        <f t="shared" ref="PZ78" si="777">PY78+1</f>
        <v>#VALUE!</v>
      </c>
      <c r="QA78" s="921" t="e">
        <f t="shared" ref="QA78" si="778">PZ78+1</f>
        <v>#VALUE!</v>
      </c>
      <c r="QB78" s="921" t="e">
        <f t="shared" ref="QB78" si="779">QA78+1</f>
        <v>#VALUE!</v>
      </c>
      <c r="QC78" s="921" t="e">
        <f t="shared" ref="QC78" si="780">QB78+1</f>
        <v>#VALUE!</v>
      </c>
      <c r="QD78" s="921" t="e">
        <f t="shared" ref="QD78" si="781">QC78+1</f>
        <v>#VALUE!</v>
      </c>
      <c r="QE78" s="921" t="e">
        <f t="shared" ref="QE78" si="782">QD78+1</f>
        <v>#VALUE!</v>
      </c>
      <c r="QF78" s="921" t="e">
        <f t="shared" ref="QF78" si="783">QE78+1</f>
        <v>#VALUE!</v>
      </c>
      <c r="QG78" s="921" t="e">
        <f t="shared" ref="QG78" si="784">QF78+1</f>
        <v>#VALUE!</v>
      </c>
      <c r="QH78" s="921" t="e">
        <f t="shared" ref="QH78" si="785">QG78+1</f>
        <v>#VALUE!</v>
      </c>
      <c r="QI78" s="921" t="e">
        <f t="shared" ref="QI78" si="786">QH78+1</f>
        <v>#VALUE!</v>
      </c>
      <c r="QJ78" s="921" t="e">
        <f t="shared" ref="QJ78" si="787">QI78+1</f>
        <v>#VALUE!</v>
      </c>
      <c r="QK78" s="921" t="e">
        <f t="shared" ref="QK78" si="788">QJ78+1</f>
        <v>#VALUE!</v>
      </c>
      <c r="QL78" s="921" t="e">
        <f t="shared" ref="QL78" si="789">QK78+1</f>
        <v>#VALUE!</v>
      </c>
      <c r="QM78" s="921" t="e">
        <f t="shared" ref="QM78" si="790">QL78+1</f>
        <v>#VALUE!</v>
      </c>
      <c r="QN78" s="921" t="e">
        <f t="shared" ref="QN78" si="791">QM78+1</f>
        <v>#VALUE!</v>
      </c>
      <c r="QO78" s="921" t="e">
        <f t="shared" ref="QO78" si="792">QN78+1</f>
        <v>#VALUE!</v>
      </c>
      <c r="QP78" s="921" t="e">
        <f t="shared" ref="QP78" si="793">QO78+1</f>
        <v>#VALUE!</v>
      </c>
      <c r="QQ78" s="921" t="e">
        <f t="shared" ref="QQ78" si="794">QP78+1</f>
        <v>#VALUE!</v>
      </c>
      <c r="QR78" s="921" t="e">
        <f t="shared" ref="QR78" si="795">QQ78+1</f>
        <v>#VALUE!</v>
      </c>
      <c r="QS78" s="921" t="e">
        <f t="shared" ref="QS78" si="796">QR78+1</f>
        <v>#VALUE!</v>
      </c>
      <c r="QT78" s="921" t="e">
        <f t="shared" ref="QT78" si="797">QS78+1</f>
        <v>#VALUE!</v>
      </c>
      <c r="QU78" s="921" t="e">
        <f t="shared" ref="QU78" si="798">QT78+1</f>
        <v>#VALUE!</v>
      </c>
      <c r="QV78" s="921" t="e">
        <f t="shared" ref="QV78" si="799">QU78+1</f>
        <v>#VALUE!</v>
      </c>
      <c r="QW78" s="921" t="e">
        <f t="shared" ref="QW78" si="800">QV78+1</f>
        <v>#VALUE!</v>
      </c>
      <c r="QX78" s="921" t="e">
        <f t="shared" ref="QX78" si="801">QW78+1</f>
        <v>#VALUE!</v>
      </c>
      <c r="QY78" s="921" t="e">
        <f t="shared" ref="QY78" si="802">QX78+1</f>
        <v>#VALUE!</v>
      </c>
      <c r="QZ78" s="921" t="e">
        <f t="shared" ref="QZ78" si="803">QY78+1</f>
        <v>#VALUE!</v>
      </c>
      <c r="RA78" s="921" t="e">
        <f t="shared" ref="RA78" si="804">QZ78+1</f>
        <v>#VALUE!</v>
      </c>
      <c r="RB78" s="797" t="e">
        <f>IF(AND(QZ85&gt;=10,QZ86&gt;=10),QY78,QZ78)</f>
        <v>#VALUE!</v>
      </c>
      <c r="RC78" s="797"/>
    </row>
    <row r="79" spans="2:471" ht="17.25">
      <c r="B79" s="2">
        <v>11</v>
      </c>
      <c r="C79" s="2" t="s">
        <v>11</v>
      </c>
      <c r="D79" s="2" t="s">
        <v>12</v>
      </c>
      <c r="E79" s="2" t="s">
        <v>13</v>
      </c>
      <c r="F79" s="2"/>
      <c r="G79" s="2"/>
      <c r="H79" s="2"/>
      <c r="I79" s="2"/>
      <c r="J79" s="2" t="s">
        <v>1</v>
      </c>
      <c r="K79" s="2"/>
      <c r="L79" s="2"/>
      <c r="M79" s="2"/>
      <c r="N79" s="2"/>
      <c r="O79" s="2"/>
      <c r="P79" s="2" t="s">
        <v>17</v>
      </c>
      <c r="Q79" s="2"/>
      <c r="R79" s="2"/>
      <c r="S79" s="2"/>
      <c r="T79" s="2"/>
      <c r="U79" s="2"/>
      <c r="V79" s="2"/>
      <c r="W79" s="2"/>
      <c r="X79" s="2"/>
      <c r="Y79" s="2"/>
      <c r="Z79" s="2"/>
      <c r="AA79" s="2"/>
      <c r="AB79" s="2"/>
      <c r="AC79" s="2"/>
      <c r="DH79" s="797"/>
      <c r="DJ79" s="961">
        <f>[1]!mbtool(2,17,0,1)</f>
        <v>9.5138888888888884E-2</v>
      </c>
      <c r="DK79" s="962">
        <f>[1]!mbtool(2,17,0,1)</f>
        <v>9.5138888888888884E-2</v>
      </c>
      <c r="DL79" s="962">
        <f>[1]!mbtool(2,17,0,1)</f>
        <v>9.5138888888888884E-2</v>
      </c>
      <c r="DM79" s="962">
        <f>[1]!mbtool(2,17,0,1)</f>
        <v>9.5138888888888884E-2</v>
      </c>
      <c r="DN79" s="962">
        <f>[1]!mbtool(2,17,0,1)</f>
        <v>9.5138888888888884E-2</v>
      </c>
      <c r="DO79" s="962">
        <f>[1]!mbtool(2,17,0,1)</f>
        <v>9.5138888888888884E-2</v>
      </c>
      <c r="DP79" s="962">
        <f>[1]!mbtool(2,17,0,1)</f>
        <v>9.5138888888888884E-2</v>
      </c>
      <c r="DQ79" s="962">
        <f>[1]!mbtool(2,17,0,1)</f>
        <v>9.5138888888888884E-2</v>
      </c>
      <c r="DR79" s="962">
        <f>[1]!mbtool(2,17,0,1)</f>
        <v>9.5138888888888884E-2</v>
      </c>
      <c r="DS79" s="962">
        <f>[1]!mbtool(2,17,0,1)</f>
        <v>9.5138888888888884E-2</v>
      </c>
      <c r="DT79" s="962">
        <f>[1]!mbtool(2,17,0,1)</f>
        <v>9.5138888888888884E-2</v>
      </c>
      <c r="DU79" s="962">
        <f>[1]!mbtool(2,17,0,1)</f>
        <v>9.5138888888888884E-2</v>
      </c>
      <c r="DV79" s="962">
        <f>[1]!mbtool(2,17,0,1)</f>
        <v>9.5138888888888884E-2</v>
      </c>
      <c r="DW79" s="962">
        <f>[1]!mbtool(2,17,0,1)</f>
        <v>9.5138888888888884E-2</v>
      </c>
      <c r="DX79" s="962">
        <f>[1]!mbtool(2,17,0,1)</f>
        <v>9.5138888888888884E-2</v>
      </c>
      <c r="DY79" s="962">
        <f>[1]!mbtool(2,17,0,1)</f>
        <v>9.5138888888888884E-2</v>
      </c>
      <c r="DZ79" s="962">
        <f>[1]!mbtool(2,17,0,1)</f>
        <v>9.5138888888888884E-2</v>
      </c>
      <c r="EA79" s="962">
        <f>[1]!mbtool(2,17,0,1)</f>
        <v>9.5138888888888884E-2</v>
      </c>
      <c r="EB79" s="962">
        <f>[1]!mbtool(2,17,0,1)</f>
        <v>9.5138888888888884E-2</v>
      </c>
      <c r="EC79" s="962">
        <f>[1]!mbtool(2,17,0,1)</f>
        <v>9.5138888888888884E-2</v>
      </c>
      <c r="ED79" s="962">
        <f>[1]!mbtool(2,17,0,1)</f>
        <v>9.5138888888888884E-2</v>
      </c>
      <c r="EE79" s="962">
        <f>[1]!mbtool(2,17,0,1)</f>
        <v>9.5138888888888884E-2</v>
      </c>
      <c r="EF79" s="962">
        <f>[1]!mbtool(2,17,0,1)</f>
        <v>9.5138888888888884E-2</v>
      </c>
      <c r="EG79" s="962">
        <f>[1]!mbtool(2,17,0,1)</f>
        <v>9.5138888888888884E-2</v>
      </c>
      <c r="EH79" s="962">
        <f>[1]!mbtool(2,17,0,1)</f>
        <v>9.5138888888888884E-2</v>
      </c>
      <c r="EI79" s="962">
        <f>[1]!mbtool(2,17,0,1)</f>
        <v>9.5138888888888884E-2</v>
      </c>
      <c r="EJ79" s="962">
        <f>[1]!mbtool(2,17,0,1)</f>
        <v>9.5138888888888884E-2</v>
      </c>
      <c r="EK79" s="962">
        <f>[1]!mbtool(2,17,0,1)</f>
        <v>9.5138888888888884E-2</v>
      </c>
      <c r="EL79" s="962">
        <f>[1]!mbtool(2,17,0,1)</f>
        <v>9.5138888888888884E-2</v>
      </c>
      <c r="EM79" s="962">
        <f>[1]!mbtool(2,17,0,1)</f>
        <v>9.5138888888888884E-2</v>
      </c>
      <c r="EN79" s="962">
        <f>[1]!mbtool(2,17,0,1)</f>
        <v>9.5138888888888884E-2</v>
      </c>
      <c r="EO79" s="962">
        <f>[1]!mbtool(2,17,0,1)</f>
        <v>9.5138888888888884E-2</v>
      </c>
      <c r="EP79" s="962">
        <f>[1]!mbtool(2,17,0,1)</f>
        <v>9.5138888888888884E-2</v>
      </c>
      <c r="EQ79" s="962">
        <f>[1]!mbtool(2,17,0,1)</f>
        <v>9.5138888888888884E-2</v>
      </c>
      <c r="ER79" s="962">
        <f>[1]!mbtool(2,17,0,1)</f>
        <v>9.5138888888888884E-2</v>
      </c>
      <c r="ES79" s="962">
        <f>[1]!mbtool(2,17,0,1)</f>
        <v>9.5138888888888884E-2</v>
      </c>
      <c r="ET79" s="962">
        <f>[1]!mbtool(2,17,0,1)</f>
        <v>9.5138888888888884E-2</v>
      </c>
      <c r="EU79" s="962">
        <f>[1]!mbtool(2,17,0,1)</f>
        <v>9.5138888888888884E-2</v>
      </c>
      <c r="EV79" s="962">
        <f>[1]!mbtool(2,17,0,1)</f>
        <v>9.5138888888888884E-2</v>
      </c>
      <c r="EW79" s="962">
        <f>[1]!mbtool(2,17,0,1)</f>
        <v>9.5138888888888884E-2</v>
      </c>
      <c r="EX79" s="962">
        <f>[1]!mbtool(2,17,0,1)</f>
        <v>9.5138888888888884E-2</v>
      </c>
      <c r="EY79" s="962">
        <f>[1]!mbtool(2,17,0,1)</f>
        <v>9.5138888888888884E-2</v>
      </c>
      <c r="EZ79" s="962">
        <f>[1]!mbtool(2,17,0,1)</f>
        <v>9.5138888888888884E-2</v>
      </c>
      <c r="FA79" s="962">
        <f>[1]!mbtool(2,17,0,1)</f>
        <v>9.5138888888888884E-2</v>
      </c>
      <c r="FB79" s="962">
        <f>[1]!mbtool(2,17,0,1)</f>
        <v>9.5138888888888884E-2</v>
      </c>
      <c r="FC79" s="962">
        <f>[1]!mbtool(2,17,0,1)</f>
        <v>9.5138888888888884E-2</v>
      </c>
      <c r="FD79" s="962">
        <f>[1]!mbtool(2,17,0,1)</f>
        <v>9.5138888888888884E-2</v>
      </c>
      <c r="FE79" s="962">
        <f>[1]!mbtool(2,17,0,1)</f>
        <v>9.5138888888888884E-2</v>
      </c>
      <c r="FF79" s="962">
        <f>[1]!mbtool(2,17,0,1)</f>
        <v>9.5138888888888884E-2</v>
      </c>
      <c r="FG79" s="962">
        <f>[1]!mbtool(2,17,0,1)</f>
        <v>9.5138888888888884E-2</v>
      </c>
      <c r="FH79" s="962">
        <f>[1]!mbtool(2,17,0,1)</f>
        <v>9.5138888888888884E-2</v>
      </c>
      <c r="FI79" s="962">
        <f>[1]!mbtool(2,17,0,1)</f>
        <v>9.5138888888888884E-2</v>
      </c>
      <c r="FJ79" s="962">
        <f>[1]!mbtool(2,17,0,1)</f>
        <v>9.5138888888888884E-2</v>
      </c>
      <c r="FK79" s="962">
        <f>[1]!mbtool(2,17,0,1)</f>
        <v>9.5138888888888884E-2</v>
      </c>
      <c r="FL79" s="962">
        <f>[1]!mbtool(2,17,0,1)</f>
        <v>9.5138888888888884E-2</v>
      </c>
      <c r="FM79" s="962">
        <f>[1]!mbtool(2,17,0,1)</f>
        <v>9.5138888888888884E-2</v>
      </c>
      <c r="FN79" s="962">
        <f>[1]!mbtool(2,17,0,1)</f>
        <v>9.5138888888888884E-2</v>
      </c>
      <c r="FO79" s="962">
        <f>[1]!mbtool(2,17,0,1)</f>
        <v>9.5138888888888884E-2</v>
      </c>
      <c r="FP79" s="962">
        <f>[1]!mbtool(2,17,0,1)</f>
        <v>9.5138888888888884E-2</v>
      </c>
      <c r="FQ79" s="962">
        <f>[1]!mbtool(2,17,0,1)</f>
        <v>9.5138888888888884E-2</v>
      </c>
      <c r="FR79" s="962">
        <f>[1]!mbtool(2,17,0,1)</f>
        <v>9.5138888888888884E-2</v>
      </c>
      <c r="FS79" s="962">
        <f>[1]!mbtool(2,17,0,1)</f>
        <v>9.5138888888888884E-2</v>
      </c>
      <c r="FT79" s="962">
        <f>[1]!mbtool(2,17,0,1)</f>
        <v>9.5138888888888884E-2</v>
      </c>
      <c r="FU79" s="962">
        <f>[1]!mbtool(2,17,0,1)</f>
        <v>9.5138888888888884E-2</v>
      </c>
      <c r="FV79" s="962">
        <f>[1]!mbtool(2,17,0,1)</f>
        <v>9.5138888888888884E-2</v>
      </c>
      <c r="FW79" s="962">
        <f>[1]!mbtool(2,17,0,1)</f>
        <v>9.5138888888888884E-2</v>
      </c>
      <c r="FX79" s="962">
        <f>[1]!mbtool(2,17,0,1)</f>
        <v>9.5138888888888884E-2</v>
      </c>
      <c r="FY79" s="962">
        <f>[1]!mbtool(2,17,0,1)</f>
        <v>9.5138888888888884E-2</v>
      </c>
      <c r="FZ79" s="962">
        <f>[1]!mbtool(2,17,0,1)</f>
        <v>9.5138888888888884E-2</v>
      </c>
      <c r="GA79" s="962">
        <f>[1]!mbtool(2,17,0,1)</f>
        <v>9.5138888888888884E-2</v>
      </c>
      <c r="GB79" s="962">
        <f>[1]!mbtool(2,17,0,1)</f>
        <v>9.5138888888888884E-2</v>
      </c>
      <c r="GC79" s="962">
        <f>[1]!mbtool(2,17,0,1)</f>
        <v>9.5138888888888884E-2</v>
      </c>
      <c r="GD79" s="962">
        <f>[1]!mbtool(2,17,0,1)</f>
        <v>9.5138888888888884E-2</v>
      </c>
      <c r="GE79" s="962">
        <f>[1]!mbtool(2,17,0,1)</f>
        <v>9.5138888888888884E-2</v>
      </c>
      <c r="GF79" s="962">
        <f>[1]!mbtool(2,17,0,1)</f>
        <v>9.5138888888888884E-2</v>
      </c>
      <c r="GG79" s="962">
        <f>[1]!mbtool(2,17,0,1)</f>
        <v>9.5138888888888884E-2</v>
      </c>
      <c r="GH79" s="962">
        <f>[1]!mbtool(2,17,0,1)</f>
        <v>9.5138888888888884E-2</v>
      </c>
      <c r="GI79" s="962">
        <f>[1]!mbtool(2,17,0,1)</f>
        <v>9.5138888888888884E-2</v>
      </c>
      <c r="GJ79" s="962">
        <f>[1]!mbtool(2,17,0,1)</f>
        <v>9.5138888888888884E-2</v>
      </c>
      <c r="GK79" s="962">
        <f>[1]!mbtool(2,17,0,1)</f>
        <v>9.5138888888888884E-2</v>
      </c>
      <c r="GL79" s="962">
        <f>[1]!mbtool(2,17,0,1)</f>
        <v>9.5138888888888884E-2</v>
      </c>
      <c r="GM79" s="962">
        <f>[1]!mbtool(2,17,0,1)</f>
        <v>9.5138888888888884E-2</v>
      </c>
      <c r="GN79" s="962">
        <f>[1]!mbtool(2,17,0,1)</f>
        <v>9.5138888888888884E-2</v>
      </c>
      <c r="GO79" s="962">
        <f>[1]!mbtool(2,17,0,1)</f>
        <v>9.5138888888888884E-2</v>
      </c>
      <c r="GP79" s="962">
        <f>[1]!mbtool(2,17,0,1)</f>
        <v>9.5138888888888884E-2</v>
      </c>
      <c r="GQ79" s="962">
        <f>[1]!mbtool(2,17,0,1)</f>
        <v>9.5138888888888884E-2</v>
      </c>
      <c r="GR79" s="962">
        <f>[1]!mbtool(2,17,0,1)</f>
        <v>9.5138888888888884E-2</v>
      </c>
      <c r="GS79" s="962">
        <f>[1]!mbtool(2,17,0,1)</f>
        <v>9.5138888888888884E-2</v>
      </c>
      <c r="GT79" s="962">
        <f>[1]!mbtool(2,17,0,1)</f>
        <v>9.5138888888888884E-2</v>
      </c>
      <c r="GU79" s="962">
        <f>[1]!mbtool(2,17,0,1)</f>
        <v>9.5138888888888884E-2</v>
      </c>
      <c r="GV79" s="962">
        <f>[1]!mbtool(2,17,0,1)</f>
        <v>9.5138888888888884E-2</v>
      </c>
      <c r="GW79" s="962">
        <f>[1]!mbtool(2,17,0,1)</f>
        <v>9.5138888888888884E-2</v>
      </c>
      <c r="GX79" s="962">
        <f>[1]!mbtool(2,17,0,1)</f>
        <v>9.5138888888888884E-2</v>
      </c>
      <c r="GY79" s="962">
        <f>[1]!mbtool(2,17,0,1)</f>
        <v>9.5138888888888884E-2</v>
      </c>
      <c r="GZ79" s="962">
        <f>[1]!mbtool(2,17,0,1)</f>
        <v>9.5138888888888884E-2</v>
      </c>
      <c r="HA79" s="962">
        <f>[1]!mbtool(2,17,0,1)</f>
        <v>9.5138888888888884E-2</v>
      </c>
      <c r="HB79" s="962">
        <f>[1]!mbtool(2,17,0,1)</f>
        <v>9.5138888888888884E-2</v>
      </c>
      <c r="HC79" s="962">
        <f>[1]!mbtool(2,17,0,1)</f>
        <v>9.5138888888888884E-2</v>
      </c>
      <c r="HD79" s="962">
        <f>[1]!mbtool(2,17,0,1)</f>
        <v>9.5138888888888884E-2</v>
      </c>
      <c r="HE79" s="962">
        <f>[1]!mbtool(2,17,0,1)</f>
        <v>9.5138888888888884E-2</v>
      </c>
      <c r="HF79" s="962">
        <f>[1]!mbtool(2,17,0,1)</f>
        <v>9.5138888888888884E-2</v>
      </c>
      <c r="HG79" s="962">
        <f>[1]!mbtool(2,17,0,1)</f>
        <v>9.5138888888888884E-2</v>
      </c>
      <c r="HH79" s="962">
        <f>[1]!mbtool(2,17,0,1)</f>
        <v>9.5138888888888884E-2</v>
      </c>
      <c r="HI79" s="962">
        <f>[1]!mbtool(2,17,0,1)</f>
        <v>9.5138888888888884E-2</v>
      </c>
      <c r="HJ79" s="962">
        <f>[1]!mbtool(2,17,0,1)</f>
        <v>9.5138888888888884E-2</v>
      </c>
      <c r="HK79" s="962">
        <f>[1]!mbtool(2,17,0,1)</f>
        <v>9.5138888888888884E-2</v>
      </c>
      <c r="HL79" s="962">
        <f>[1]!mbtool(2,17,0,1)</f>
        <v>9.5138888888888884E-2</v>
      </c>
      <c r="HM79" s="962">
        <f>[1]!mbtool(2,17,0,1)</f>
        <v>9.5138888888888884E-2</v>
      </c>
      <c r="HN79" s="962">
        <f>[1]!mbtool(2,17,0,1)</f>
        <v>9.5138888888888884E-2</v>
      </c>
      <c r="HO79" s="962">
        <f>[1]!mbtool(2,17,0,1)</f>
        <v>9.5138888888888884E-2</v>
      </c>
      <c r="HP79" s="962">
        <f>[1]!mbtool(2,17,0,1)</f>
        <v>9.5138888888888884E-2</v>
      </c>
      <c r="HQ79" s="962">
        <f>[1]!mbtool(2,17,0,1)</f>
        <v>9.5138888888888884E-2</v>
      </c>
      <c r="HR79" s="962">
        <f>[1]!mbtool(2,17,0,1)</f>
        <v>9.5138888888888884E-2</v>
      </c>
      <c r="HS79" s="962">
        <f>[1]!mbtool(2,17,0,1)</f>
        <v>9.5138888888888884E-2</v>
      </c>
      <c r="HT79" s="962">
        <f>[1]!mbtool(2,17,0,1)</f>
        <v>9.5138888888888884E-2</v>
      </c>
      <c r="HU79" s="962">
        <f>[1]!mbtool(2,17,0,1)</f>
        <v>9.5138888888888884E-2</v>
      </c>
      <c r="HV79" s="962">
        <f>[1]!mbtool(2,17,0,1)</f>
        <v>9.5138888888888884E-2</v>
      </c>
      <c r="HW79" s="962">
        <f>[1]!mbtool(2,17,0,1)</f>
        <v>9.5138888888888884E-2</v>
      </c>
      <c r="HX79" s="962">
        <f>[1]!mbtool(2,17,0,1)</f>
        <v>9.5138888888888884E-2</v>
      </c>
      <c r="HY79" s="962">
        <f>[1]!mbtool(2,17,0,1)</f>
        <v>9.5138888888888884E-2</v>
      </c>
      <c r="HZ79" s="962">
        <f>[1]!mbtool(2,17,0,1)</f>
        <v>9.5138888888888884E-2</v>
      </c>
      <c r="IA79" s="962">
        <f>[1]!mbtool(2,17,0,1)</f>
        <v>9.5138888888888884E-2</v>
      </c>
      <c r="IB79" s="962">
        <f>[1]!mbtool(2,17,0,1)</f>
        <v>9.5138888888888884E-2</v>
      </c>
      <c r="IC79" s="962">
        <f>[1]!mbtool(2,17,0,1)</f>
        <v>9.5138888888888884E-2</v>
      </c>
      <c r="ID79" s="962">
        <f>[1]!mbtool(2,17,0,1)</f>
        <v>9.5138888888888884E-2</v>
      </c>
      <c r="IE79" s="962">
        <f>[1]!mbtool(2,17,0,1)</f>
        <v>9.5138888888888884E-2</v>
      </c>
      <c r="IF79" s="962">
        <f>[1]!mbtool(2,17,0,1)</f>
        <v>9.5138888888888884E-2</v>
      </c>
      <c r="IG79" s="962">
        <f>[1]!mbtool(2,17,0,1)</f>
        <v>9.5138888888888884E-2</v>
      </c>
      <c r="IH79" s="962">
        <f>[1]!mbtool(2,17,0,1)</f>
        <v>9.5138888888888884E-2</v>
      </c>
      <c r="II79" s="962">
        <f>[1]!mbtool(2,17,0,1)</f>
        <v>9.5138888888888884E-2</v>
      </c>
      <c r="IJ79" s="962">
        <f>[1]!mbtool(2,17,0,1)</f>
        <v>9.5138888888888884E-2</v>
      </c>
      <c r="IK79" s="962">
        <f>[1]!mbtool(2,17,0,1)</f>
        <v>9.5138888888888884E-2</v>
      </c>
      <c r="IL79" s="962">
        <f>[1]!mbtool(2,17,0,1)</f>
        <v>9.5138888888888884E-2</v>
      </c>
      <c r="IM79" s="962">
        <f>[1]!mbtool(2,17,0,1)</f>
        <v>9.5138888888888884E-2</v>
      </c>
      <c r="IN79" s="962">
        <f>[1]!mbtool(2,17,0,1)</f>
        <v>9.5138888888888884E-2</v>
      </c>
      <c r="IO79" s="962">
        <f>[1]!mbtool(2,17,0,1)</f>
        <v>9.5138888888888884E-2</v>
      </c>
      <c r="IP79" s="962">
        <f>[1]!mbtool(2,17,0,1)</f>
        <v>9.5138888888888884E-2</v>
      </c>
      <c r="IQ79" s="962">
        <f>[1]!mbtool(2,17,0,1)</f>
        <v>9.5138888888888884E-2</v>
      </c>
      <c r="IR79" s="962">
        <f>[1]!mbtool(2,17,0,1)</f>
        <v>9.5138888888888884E-2</v>
      </c>
      <c r="IS79" s="962">
        <f>[1]!mbtool(2,17,0,1)</f>
        <v>9.5138888888888884E-2</v>
      </c>
      <c r="IT79" s="962">
        <f>[1]!mbtool(2,17,0,1)</f>
        <v>9.5138888888888884E-2</v>
      </c>
      <c r="IU79" s="962">
        <f>[1]!mbtool(2,17,0,1)</f>
        <v>9.5138888888888884E-2</v>
      </c>
      <c r="IV79" s="962">
        <f>[1]!mbtool(2,17,0,1)</f>
        <v>9.5138888888888884E-2</v>
      </c>
      <c r="IW79" s="962">
        <f>[1]!mbtool(2,17,0,1)</f>
        <v>9.5138888888888884E-2</v>
      </c>
      <c r="IX79" s="962">
        <f>[1]!mbtool(2,17,0,1)</f>
        <v>9.5138888888888884E-2</v>
      </c>
      <c r="IY79" s="962">
        <f>[1]!mbtool(2,17,0,1)</f>
        <v>9.5138888888888884E-2</v>
      </c>
      <c r="IZ79" s="962">
        <f>[1]!mbtool(2,17,0,1)</f>
        <v>9.5138888888888884E-2</v>
      </c>
      <c r="JA79" s="962">
        <f>[1]!mbtool(2,17,0,1)</f>
        <v>9.5138888888888884E-2</v>
      </c>
      <c r="JB79" s="962">
        <f>[1]!mbtool(2,17,0,1)</f>
        <v>9.5138888888888884E-2</v>
      </c>
      <c r="JC79" s="962">
        <f>[1]!mbtool(2,17,0,1)</f>
        <v>9.5138888888888884E-2</v>
      </c>
      <c r="JD79" s="962">
        <f>[1]!mbtool(2,17,0,1)</f>
        <v>9.5138888888888884E-2</v>
      </c>
      <c r="JE79" s="962">
        <f>[1]!mbtool(2,17,0,1)</f>
        <v>9.5138888888888884E-2</v>
      </c>
      <c r="JF79" s="962">
        <f>[1]!mbtool(2,17,0,1)</f>
        <v>9.5138888888888884E-2</v>
      </c>
      <c r="JG79" s="962">
        <f>[1]!mbtool(2,17,0,1)</f>
        <v>9.5138888888888884E-2</v>
      </c>
      <c r="JH79" s="962">
        <f>[1]!mbtool(2,17,0,1)</f>
        <v>9.5138888888888884E-2</v>
      </c>
      <c r="JI79" s="962">
        <f>[1]!mbtool(2,17,0,1)</f>
        <v>9.5138888888888884E-2</v>
      </c>
      <c r="JJ79" s="962">
        <f>[1]!mbtool(2,17,0,1)</f>
        <v>9.5138888888888884E-2</v>
      </c>
      <c r="JK79" s="962">
        <f>[1]!mbtool(2,17,0,1)</f>
        <v>9.5138888888888884E-2</v>
      </c>
      <c r="JL79" s="962">
        <f>[1]!mbtool(2,17,0,1)</f>
        <v>9.5138888888888884E-2</v>
      </c>
      <c r="JM79" s="962">
        <f>[1]!mbtool(2,17,0,1)</f>
        <v>9.5138888888888884E-2</v>
      </c>
      <c r="JN79" s="962">
        <f>[1]!mbtool(2,17,0,1)</f>
        <v>9.5138888888888884E-2</v>
      </c>
      <c r="JO79" s="962">
        <f>[1]!mbtool(2,17,0,1)</f>
        <v>9.5138888888888884E-2</v>
      </c>
      <c r="JP79" s="962">
        <f>[1]!mbtool(2,17,0,1)</f>
        <v>9.5138888888888884E-2</v>
      </c>
      <c r="JQ79" s="962">
        <f>[1]!mbtool(2,17,0,1)</f>
        <v>9.5138888888888884E-2</v>
      </c>
      <c r="JR79" s="962">
        <f>[1]!mbtool(2,17,0,1)</f>
        <v>9.5138888888888884E-2</v>
      </c>
      <c r="JS79" s="962">
        <f>[1]!mbtool(2,17,0,1)</f>
        <v>9.5138888888888884E-2</v>
      </c>
      <c r="JT79" s="962">
        <f>[1]!mbtool(2,17,0,1)</f>
        <v>9.5138888888888884E-2</v>
      </c>
      <c r="JU79" s="962">
        <f>[1]!mbtool(2,17,0,1)</f>
        <v>9.5138888888888884E-2</v>
      </c>
      <c r="JV79" s="962">
        <f>[1]!mbtool(2,17,0,1)</f>
        <v>9.5138888888888884E-2</v>
      </c>
      <c r="JW79" s="962">
        <f>[1]!mbtool(2,17,0,1)</f>
        <v>9.5138888888888884E-2</v>
      </c>
      <c r="JX79" s="962">
        <f>[1]!mbtool(2,17,0,1)</f>
        <v>9.5138888888888884E-2</v>
      </c>
      <c r="JY79" s="962">
        <f>[1]!mbtool(2,17,0,1)</f>
        <v>9.5138888888888884E-2</v>
      </c>
      <c r="JZ79" s="962">
        <f>[1]!mbtool(2,17,0,1)</f>
        <v>9.5138888888888884E-2</v>
      </c>
      <c r="KA79" s="962">
        <f>[1]!mbtool(2,17,0,1)</f>
        <v>9.5138888888888884E-2</v>
      </c>
      <c r="KB79" s="962">
        <f>[1]!mbtool(2,17,0,1)</f>
        <v>9.5138888888888884E-2</v>
      </c>
      <c r="KC79" s="962">
        <f>[1]!mbtool(2,17,0,1)</f>
        <v>9.5138888888888884E-2</v>
      </c>
      <c r="KD79" s="962">
        <f>[1]!mbtool(2,17,0,1)</f>
        <v>9.5138888888888884E-2</v>
      </c>
      <c r="KE79" s="962">
        <f>[1]!mbtool(2,17,0,1)</f>
        <v>9.5138888888888884E-2</v>
      </c>
      <c r="KF79" s="962">
        <f>[1]!mbtool(2,17,0,1)</f>
        <v>9.5138888888888884E-2</v>
      </c>
      <c r="KG79" s="962">
        <f>[1]!mbtool(2,17,0,1)</f>
        <v>9.5138888888888884E-2</v>
      </c>
      <c r="KH79" s="962">
        <f>[1]!mbtool(2,17,0,1)</f>
        <v>9.5138888888888884E-2</v>
      </c>
      <c r="KI79" s="962">
        <f>[1]!mbtool(2,17,0,1)</f>
        <v>9.5138888888888884E-2</v>
      </c>
      <c r="KJ79" s="962">
        <f>[1]!mbtool(2,17,0,1)</f>
        <v>9.5138888888888884E-2</v>
      </c>
      <c r="KK79" s="962">
        <f>[1]!mbtool(2,17,0,1)</f>
        <v>9.5138888888888884E-2</v>
      </c>
      <c r="KL79" s="962">
        <f>[1]!mbtool(2,17,0,1)</f>
        <v>9.5138888888888884E-2</v>
      </c>
      <c r="KM79" s="962">
        <f>[1]!mbtool(2,17,0,1)</f>
        <v>9.5138888888888884E-2</v>
      </c>
      <c r="KN79" s="962">
        <f>[1]!mbtool(2,17,0,1)</f>
        <v>9.5138888888888884E-2</v>
      </c>
      <c r="KO79" s="962">
        <f>[1]!mbtool(2,17,0,1)</f>
        <v>9.5138888888888884E-2</v>
      </c>
      <c r="KP79" s="962">
        <f>[1]!mbtool(2,17,0,1)</f>
        <v>9.5138888888888884E-2</v>
      </c>
      <c r="KQ79" s="962">
        <f>[1]!mbtool(2,17,0,1)</f>
        <v>9.5138888888888884E-2</v>
      </c>
      <c r="KR79" s="962">
        <f>[1]!mbtool(2,17,0,1)</f>
        <v>9.5138888888888884E-2</v>
      </c>
      <c r="KS79" s="962">
        <f>[1]!mbtool(2,17,0,1)</f>
        <v>9.5138888888888884E-2</v>
      </c>
      <c r="KT79" s="962">
        <f>[1]!mbtool(2,17,0,1)</f>
        <v>9.5138888888888884E-2</v>
      </c>
      <c r="KU79" s="962">
        <f>[1]!mbtool(2,17,0,1)</f>
        <v>9.5138888888888884E-2</v>
      </c>
      <c r="KV79" s="962">
        <f>[1]!mbtool(2,17,0,1)</f>
        <v>9.5138888888888884E-2</v>
      </c>
      <c r="KW79" s="962">
        <f>[1]!mbtool(2,17,0,1)</f>
        <v>9.5138888888888884E-2</v>
      </c>
      <c r="KX79" s="962">
        <f>[1]!mbtool(2,17,0,1)</f>
        <v>9.5138888888888884E-2</v>
      </c>
      <c r="KY79" s="962">
        <f>[1]!mbtool(2,17,0,1)</f>
        <v>9.5138888888888884E-2</v>
      </c>
      <c r="KZ79" s="962">
        <f>[1]!mbtool(2,17,0,1)</f>
        <v>9.5138888888888884E-2</v>
      </c>
      <c r="LA79" s="962">
        <f>[1]!mbtool(2,17,0,1)</f>
        <v>9.5138888888888884E-2</v>
      </c>
      <c r="LB79" s="962">
        <f>[1]!mbtool(2,17,0,1)</f>
        <v>9.5138888888888884E-2</v>
      </c>
      <c r="LC79" s="962">
        <f>[1]!mbtool(2,17,0,1)</f>
        <v>9.5138888888888884E-2</v>
      </c>
      <c r="LD79" s="962">
        <f>[1]!mbtool(2,17,0,1)</f>
        <v>9.5138888888888884E-2</v>
      </c>
      <c r="LE79" s="962">
        <f>[1]!mbtool(2,17,0,1)</f>
        <v>9.5138888888888884E-2</v>
      </c>
      <c r="LF79" s="962">
        <f>[1]!mbtool(2,17,0,1)</f>
        <v>9.5138888888888884E-2</v>
      </c>
      <c r="LG79" s="962">
        <f>[1]!mbtool(2,17,0,1)</f>
        <v>9.5138888888888884E-2</v>
      </c>
      <c r="LH79" s="962">
        <f>[1]!mbtool(2,17,0,1)</f>
        <v>9.5138888888888884E-2</v>
      </c>
      <c r="LI79" s="962">
        <f>[1]!mbtool(2,17,0,1)</f>
        <v>9.5138888888888884E-2</v>
      </c>
      <c r="LJ79" s="962">
        <f>[1]!mbtool(2,17,0,1)</f>
        <v>9.5138888888888884E-2</v>
      </c>
      <c r="LK79" s="962">
        <f>[1]!mbtool(2,17,0,1)</f>
        <v>9.5138888888888884E-2</v>
      </c>
      <c r="LL79" s="962">
        <f>[1]!mbtool(2,17,0,1)</f>
        <v>9.5138888888888884E-2</v>
      </c>
      <c r="LM79" s="962">
        <f>[1]!mbtool(2,17,0,1)</f>
        <v>9.5138888888888884E-2</v>
      </c>
      <c r="LN79" s="962">
        <f>[1]!mbtool(2,17,0,1)</f>
        <v>9.5138888888888884E-2</v>
      </c>
      <c r="LO79" s="962">
        <f>[1]!mbtool(2,17,0,1)</f>
        <v>9.5138888888888884E-2</v>
      </c>
      <c r="LP79" s="962">
        <f>[1]!mbtool(2,17,0,1)</f>
        <v>9.5138888888888884E-2</v>
      </c>
      <c r="LQ79" s="962">
        <f>[1]!mbtool(2,17,0,1)</f>
        <v>9.5138888888888884E-2</v>
      </c>
      <c r="LR79" s="962">
        <f>[1]!mbtool(2,17,0,1)</f>
        <v>9.5138888888888884E-2</v>
      </c>
      <c r="LS79" s="962">
        <f>[1]!mbtool(2,17,0,1)</f>
        <v>9.5138888888888884E-2</v>
      </c>
      <c r="LT79" s="962">
        <f>[1]!mbtool(2,17,0,1)</f>
        <v>9.5138888888888884E-2</v>
      </c>
      <c r="LU79" s="962">
        <f>[1]!mbtool(2,17,0,1)</f>
        <v>9.5138888888888884E-2</v>
      </c>
      <c r="LV79" s="962">
        <f>[1]!mbtool(2,17,0,1)</f>
        <v>9.5138888888888884E-2</v>
      </c>
      <c r="LW79" s="962">
        <f>[1]!mbtool(2,17,0,1)</f>
        <v>9.5138888888888884E-2</v>
      </c>
      <c r="LX79" s="962">
        <f>[1]!mbtool(2,17,0,1)</f>
        <v>9.5138888888888884E-2</v>
      </c>
      <c r="LY79" s="962">
        <f>[1]!mbtool(2,17,0,1)</f>
        <v>9.5138888888888884E-2</v>
      </c>
      <c r="LZ79" s="962">
        <f>[1]!mbtool(2,17,0,1)</f>
        <v>9.5138888888888884E-2</v>
      </c>
      <c r="MA79" s="962">
        <f>[1]!mbtool(2,17,0,1)</f>
        <v>9.5138888888888884E-2</v>
      </c>
      <c r="MB79" s="962">
        <f>[1]!mbtool(2,17,0,1)</f>
        <v>9.5138888888888884E-2</v>
      </c>
      <c r="MC79" s="962">
        <f>[1]!mbtool(2,17,0,1)</f>
        <v>9.5138888888888884E-2</v>
      </c>
      <c r="MD79" s="962">
        <f>[1]!mbtool(2,17,0,1)</f>
        <v>9.5138888888888884E-2</v>
      </c>
      <c r="ME79" s="962">
        <f>[1]!mbtool(2,17,0,1)</f>
        <v>9.5138888888888884E-2</v>
      </c>
      <c r="MF79" s="962">
        <f>[1]!mbtool(2,17,0,1)</f>
        <v>9.5138888888888884E-2</v>
      </c>
      <c r="MG79" s="962">
        <f>[1]!mbtool(2,17,0,1)</f>
        <v>9.5138888888888884E-2</v>
      </c>
      <c r="MH79" s="962">
        <f>[1]!mbtool(2,17,0,1)</f>
        <v>9.5138888888888884E-2</v>
      </c>
      <c r="MI79" s="962">
        <f>[1]!mbtool(2,17,0,1)</f>
        <v>9.5138888888888884E-2</v>
      </c>
      <c r="MJ79" s="962">
        <f>[1]!mbtool(2,17,0,1)</f>
        <v>9.5138888888888884E-2</v>
      </c>
      <c r="MK79" s="962">
        <f>[1]!mbtool(2,17,0,1)</f>
        <v>9.5138888888888884E-2</v>
      </c>
      <c r="ML79" s="962">
        <f>[1]!mbtool(2,17,0,1)</f>
        <v>9.5138888888888884E-2</v>
      </c>
      <c r="MM79" s="962">
        <f>[1]!mbtool(2,17,0,1)</f>
        <v>9.5138888888888884E-2</v>
      </c>
      <c r="MN79" s="962">
        <f>[1]!mbtool(2,17,0,1)</f>
        <v>9.5138888888888884E-2</v>
      </c>
      <c r="MO79" s="962">
        <f>[1]!mbtool(2,17,0,1)</f>
        <v>9.5138888888888884E-2</v>
      </c>
      <c r="MP79" s="962">
        <f>[1]!mbtool(2,17,0,1)</f>
        <v>9.5138888888888884E-2</v>
      </c>
      <c r="MQ79" s="962">
        <f>[1]!mbtool(2,17,0,1)</f>
        <v>9.5138888888888884E-2</v>
      </c>
      <c r="MR79" s="962">
        <f>[1]!mbtool(2,17,0,1)</f>
        <v>9.5138888888888884E-2</v>
      </c>
      <c r="MS79" s="962">
        <f>[1]!mbtool(2,17,0,1)</f>
        <v>9.5138888888888884E-2</v>
      </c>
      <c r="MT79" s="962">
        <f>[1]!mbtool(2,17,0,1)</f>
        <v>9.5138888888888884E-2</v>
      </c>
      <c r="MU79" s="962">
        <f>[1]!mbtool(2,17,0,1)</f>
        <v>9.5138888888888884E-2</v>
      </c>
      <c r="MV79" s="962">
        <f>[1]!mbtool(2,17,0,1)</f>
        <v>9.5138888888888884E-2</v>
      </c>
      <c r="MW79" s="962">
        <f>[1]!mbtool(2,17,0,1)</f>
        <v>9.5138888888888884E-2</v>
      </c>
      <c r="MX79" s="962">
        <f>[1]!mbtool(2,17,0,1)</f>
        <v>9.5138888888888884E-2</v>
      </c>
      <c r="MY79" s="962">
        <f>[1]!mbtool(2,17,0,1)</f>
        <v>9.5138888888888884E-2</v>
      </c>
      <c r="MZ79" s="962">
        <f>[1]!mbtool(2,17,0,1)</f>
        <v>9.5138888888888884E-2</v>
      </c>
      <c r="NA79" s="962">
        <f>[1]!mbtool(2,17,0,1)</f>
        <v>9.5138888888888884E-2</v>
      </c>
      <c r="NB79" s="962">
        <f>[1]!mbtool(2,17,0,1)</f>
        <v>9.5138888888888884E-2</v>
      </c>
      <c r="NC79" s="962">
        <f>[1]!mbtool(2,17,0,1)</f>
        <v>9.5138888888888884E-2</v>
      </c>
      <c r="ND79" s="962">
        <f>[1]!mbtool(2,17,0,1)</f>
        <v>9.5138888888888884E-2</v>
      </c>
      <c r="NE79" s="962">
        <f>[1]!mbtool(2,17,0,1)</f>
        <v>9.5138888888888884E-2</v>
      </c>
      <c r="NF79" s="962">
        <f>[1]!mbtool(2,17,0,1)</f>
        <v>9.5138888888888884E-2</v>
      </c>
      <c r="NG79" s="962">
        <f>[1]!mbtool(2,17,0,1)</f>
        <v>9.5138888888888884E-2</v>
      </c>
      <c r="NH79" s="962">
        <f>[1]!mbtool(2,17,0,1)</f>
        <v>9.5138888888888884E-2</v>
      </c>
      <c r="NI79" s="962">
        <f>[1]!mbtool(2,17,0,1)</f>
        <v>9.5138888888888884E-2</v>
      </c>
      <c r="NJ79" s="962">
        <f>[1]!mbtool(2,17,0,1)</f>
        <v>9.5138888888888884E-2</v>
      </c>
      <c r="NK79" s="962">
        <f>[1]!mbtool(2,17,0,1)</f>
        <v>9.5138888888888884E-2</v>
      </c>
      <c r="NL79" s="962">
        <f>[1]!mbtool(2,17,0,1)</f>
        <v>9.5138888888888884E-2</v>
      </c>
      <c r="NM79" s="962">
        <f>[1]!mbtool(2,17,0,1)</f>
        <v>9.5138888888888884E-2</v>
      </c>
      <c r="NN79" s="962">
        <f>[1]!mbtool(2,17,0,1)</f>
        <v>9.5138888888888884E-2</v>
      </c>
      <c r="NO79" s="962">
        <f>[1]!mbtool(2,17,0,1)</f>
        <v>9.5138888888888884E-2</v>
      </c>
      <c r="NP79" s="962">
        <f>[1]!mbtool(2,17,0,1)</f>
        <v>9.5138888888888884E-2</v>
      </c>
      <c r="NQ79" s="962">
        <f>[1]!mbtool(2,17,0,1)</f>
        <v>9.5138888888888884E-2</v>
      </c>
      <c r="NR79" s="962">
        <f>[1]!mbtool(2,17,0,1)</f>
        <v>9.5138888888888884E-2</v>
      </c>
      <c r="NS79" s="962">
        <f>[1]!mbtool(2,17,0,1)</f>
        <v>9.5138888888888884E-2</v>
      </c>
      <c r="NT79" s="962">
        <f>[1]!mbtool(2,17,0,1)</f>
        <v>9.5138888888888884E-2</v>
      </c>
      <c r="NU79" s="962">
        <f>[1]!mbtool(2,17,0,1)</f>
        <v>9.5138888888888884E-2</v>
      </c>
      <c r="NV79" s="962">
        <f>[1]!mbtool(2,17,0,1)</f>
        <v>9.5138888888888884E-2</v>
      </c>
      <c r="NW79" s="962">
        <f>[1]!mbtool(2,17,0,1)</f>
        <v>9.5138888888888884E-2</v>
      </c>
      <c r="NX79" s="962">
        <f>[1]!mbtool(2,17,0,1)</f>
        <v>9.5138888888888884E-2</v>
      </c>
      <c r="NY79" s="962">
        <f>[1]!mbtool(2,17,0,1)</f>
        <v>9.5138888888888884E-2</v>
      </c>
      <c r="NZ79" s="962">
        <f>[1]!mbtool(2,17,0,1)</f>
        <v>9.5138888888888884E-2</v>
      </c>
      <c r="OA79" s="962">
        <f>[1]!mbtool(2,17,0,1)</f>
        <v>9.5138888888888884E-2</v>
      </c>
      <c r="OB79" s="962">
        <f>[1]!mbtool(2,17,0,1)</f>
        <v>9.5138888888888884E-2</v>
      </c>
      <c r="OC79" s="962">
        <f>[1]!mbtool(2,17,0,1)</f>
        <v>9.5138888888888884E-2</v>
      </c>
      <c r="OD79" s="962">
        <f>[1]!mbtool(2,17,0,1)</f>
        <v>9.5138888888888884E-2</v>
      </c>
      <c r="OE79" s="962">
        <f>[1]!mbtool(2,17,0,1)</f>
        <v>9.5138888888888884E-2</v>
      </c>
      <c r="OF79" s="962">
        <f>[1]!mbtool(2,17,0,1)</f>
        <v>9.5138888888888884E-2</v>
      </c>
      <c r="OG79" s="962">
        <f>[1]!mbtool(2,17,0,1)</f>
        <v>9.5138888888888884E-2</v>
      </c>
      <c r="OH79" s="962">
        <f>[1]!mbtool(2,17,0,1)</f>
        <v>9.5138888888888884E-2</v>
      </c>
      <c r="OI79" s="962">
        <f>[1]!mbtool(2,17,0,1)</f>
        <v>9.5138888888888884E-2</v>
      </c>
      <c r="OJ79" s="962">
        <f>[1]!mbtool(2,17,0,1)</f>
        <v>9.5138888888888884E-2</v>
      </c>
      <c r="OK79" s="962">
        <f>[1]!mbtool(2,17,0,1)</f>
        <v>9.5138888888888884E-2</v>
      </c>
      <c r="OL79" s="962">
        <f>[1]!mbtool(2,17,0,1)</f>
        <v>9.5138888888888884E-2</v>
      </c>
      <c r="OM79" s="962">
        <f>[1]!mbtool(2,17,0,1)</f>
        <v>9.5138888888888884E-2</v>
      </c>
      <c r="ON79" s="962">
        <f>[1]!mbtool(2,17,0,1)</f>
        <v>9.5138888888888884E-2</v>
      </c>
      <c r="OO79" s="962">
        <f>[1]!mbtool(2,17,0,1)</f>
        <v>9.5138888888888884E-2</v>
      </c>
      <c r="OP79" s="962">
        <f>[1]!mbtool(2,17,0,1)</f>
        <v>9.5138888888888884E-2</v>
      </c>
      <c r="OQ79" s="962">
        <f>[1]!mbtool(2,17,0,1)</f>
        <v>9.5138888888888884E-2</v>
      </c>
      <c r="OR79" s="962">
        <f>[1]!mbtool(2,17,0,1)</f>
        <v>9.5138888888888884E-2</v>
      </c>
      <c r="OS79" s="962">
        <f>[1]!mbtool(2,17,0,1)</f>
        <v>9.5138888888888884E-2</v>
      </c>
      <c r="OT79" s="962">
        <f>[1]!mbtool(2,17,0,1)</f>
        <v>9.5138888888888884E-2</v>
      </c>
      <c r="OU79" s="962">
        <f>[1]!mbtool(2,17,0,1)</f>
        <v>9.5138888888888884E-2</v>
      </c>
      <c r="OV79" s="962">
        <f>[1]!mbtool(2,17,0,1)</f>
        <v>9.5138888888888884E-2</v>
      </c>
      <c r="OW79" s="962">
        <f>[1]!mbtool(2,17,0,1)</f>
        <v>9.5138888888888884E-2</v>
      </c>
      <c r="OX79" s="962">
        <f>[1]!mbtool(2,17,0,1)</f>
        <v>9.5138888888888884E-2</v>
      </c>
      <c r="OY79" s="962">
        <f>[1]!mbtool(2,17,0,1)</f>
        <v>9.5138888888888884E-2</v>
      </c>
      <c r="OZ79" s="962">
        <f>[1]!mbtool(2,17,0,1)</f>
        <v>9.5138888888888884E-2</v>
      </c>
      <c r="PA79" s="962">
        <f>[1]!mbtool(2,17,0,1)</f>
        <v>9.5138888888888884E-2</v>
      </c>
      <c r="PB79" s="962">
        <f>[1]!mbtool(2,17,0,1)</f>
        <v>9.5138888888888884E-2</v>
      </c>
      <c r="PC79" s="962">
        <f>[1]!mbtool(2,17,0,1)</f>
        <v>9.5138888888888884E-2</v>
      </c>
      <c r="PD79" s="962">
        <f>[1]!mbtool(2,17,0,1)</f>
        <v>9.5138888888888884E-2</v>
      </c>
      <c r="PE79" s="962">
        <f>[1]!mbtool(2,17,0,1)</f>
        <v>9.5138888888888884E-2</v>
      </c>
      <c r="PF79" s="962">
        <f>[1]!mbtool(2,17,0,1)</f>
        <v>9.5138888888888884E-2</v>
      </c>
      <c r="PG79" s="962">
        <f>[1]!mbtool(2,17,0,1)</f>
        <v>9.5138888888888884E-2</v>
      </c>
      <c r="PH79" s="962">
        <f>[1]!mbtool(2,17,0,1)</f>
        <v>9.5138888888888884E-2</v>
      </c>
      <c r="PI79" s="962">
        <f>[1]!mbtool(2,17,0,1)</f>
        <v>9.5138888888888884E-2</v>
      </c>
      <c r="PJ79" s="962">
        <f>[1]!mbtool(2,17,0,1)</f>
        <v>9.5138888888888884E-2</v>
      </c>
      <c r="PK79" s="962">
        <f>[1]!mbtool(2,17,0,1)</f>
        <v>9.5138888888888884E-2</v>
      </c>
      <c r="PL79" s="962">
        <f>[1]!mbtool(2,17,0,1)</f>
        <v>9.5138888888888884E-2</v>
      </c>
      <c r="PM79" s="962">
        <f>[1]!mbtool(2,17,0,1)</f>
        <v>9.5138888888888884E-2</v>
      </c>
      <c r="PN79" s="962">
        <f>[1]!mbtool(2,17,0,1)</f>
        <v>9.5138888888888884E-2</v>
      </c>
      <c r="PO79" s="962">
        <f>[1]!mbtool(2,17,0,1)</f>
        <v>9.5138888888888884E-2</v>
      </c>
      <c r="PP79" s="962">
        <f>[1]!mbtool(2,17,0,1)</f>
        <v>9.5138888888888884E-2</v>
      </c>
      <c r="PQ79" s="962">
        <f>[1]!mbtool(2,17,0,1)</f>
        <v>9.5138888888888884E-2</v>
      </c>
      <c r="PR79" s="962">
        <f>[1]!mbtool(2,17,0,1)</f>
        <v>9.5138888888888884E-2</v>
      </c>
      <c r="PS79" s="962">
        <f>[1]!mbtool(2,17,0,1)</f>
        <v>9.5138888888888884E-2</v>
      </c>
      <c r="PT79" s="962">
        <f>[1]!mbtool(2,17,0,1)</f>
        <v>9.5138888888888884E-2</v>
      </c>
      <c r="PU79" s="962">
        <f>[1]!mbtool(2,17,0,1)</f>
        <v>9.5138888888888884E-2</v>
      </c>
      <c r="PV79" s="962">
        <f>[1]!mbtool(2,17,0,1)</f>
        <v>9.5138888888888884E-2</v>
      </c>
      <c r="PW79" s="962">
        <f>[1]!mbtool(2,17,0,1)</f>
        <v>9.5138888888888884E-2</v>
      </c>
      <c r="PX79" s="962">
        <f>[1]!mbtool(2,17,0,1)</f>
        <v>9.5138888888888884E-2</v>
      </c>
      <c r="PY79" s="962">
        <f>[1]!mbtool(2,17,0,1)</f>
        <v>9.5138888888888884E-2</v>
      </c>
      <c r="PZ79" s="962">
        <f>[1]!mbtool(2,17,0,1)</f>
        <v>9.5138888888888884E-2</v>
      </c>
      <c r="QA79" s="962">
        <f>[1]!mbtool(2,17,0,1)</f>
        <v>9.5138888888888884E-2</v>
      </c>
      <c r="QB79" s="962">
        <f>[1]!mbtool(2,17,0,1)</f>
        <v>9.5138888888888884E-2</v>
      </c>
      <c r="QC79" s="962">
        <f>[1]!mbtool(2,17,0,1)</f>
        <v>9.5138888888888884E-2</v>
      </c>
      <c r="QD79" s="962">
        <f>[1]!mbtool(2,17,0,1)</f>
        <v>9.5138888888888884E-2</v>
      </c>
      <c r="QE79" s="962">
        <f>[1]!mbtool(2,17,0,1)</f>
        <v>9.5138888888888884E-2</v>
      </c>
      <c r="QF79" s="962">
        <f>[1]!mbtool(2,17,0,1)</f>
        <v>9.5138888888888884E-2</v>
      </c>
      <c r="QG79" s="962">
        <f>[1]!mbtool(2,17,0,1)</f>
        <v>9.5138888888888884E-2</v>
      </c>
      <c r="QH79" s="962">
        <f>[1]!mbtool(2,17,0,1)</f>
        <v>9.5138888888888884E-2</v>
      </c>
      <c r="QI79" s="962">
        <f>[1]!mbtool(2,17,0,1)</f>
        <v>9.5138888888888884E-2</v>
      </c>
      <c r="QJ79" s="962">
        <f>[1]!mbtool(2,17,0,1)</f>
        <v>9.5138888888888884E-2</v>
      </c>
      <c r="QK79" s="962">
        <f>[1]!mbtool(2,17,0,1)</f>
        <v>9.5138888888888884E-2</v>
      </c>
      <c r="QL79" s="962">
        <f>[1]!mbtool(2,17,0,1)</f>
        <v>9.5138888888888884E-2</v>
      </c>
      <c r="QM79" s="962">
        <f>[1]!mbtool(2,17,0,1)</f>
        <v>9.5138888888888884E-2</v>
      </c>
      <c r="QN79" s="962">
        <f>[1]!mbtool(2,17,0,1)</f>
        <v>9.5138888888888884E-2</v>
      </c>
      <c r="QO79" s="962">
        <f>[1]!mbtool(2,17,0,1)</f>
        <v>9.5138888888888884E-2</v>
      </c>
      <c r="QP79" s="962">
        <f>[1]!mbtool(2,17,0,1)</f>
        <v>9.5138888888888884E-2</v>
      </c>
      <c r="QQ79" s="962">
        <f>[1]!mbtool(2,17,0,1)</f>
        <v>9.5138888888888884E-2</v>
      </c>
      <c r="QR79" s="962">
        <f>[1]!mbtool(2,17,0,1)</f>
        <v>9.5138888888888884E-2</v>
      </c>
      <c r="QS79" s="962">
        <f>[1]!mbtool(2,17,0,1)</f>
        <v>9.5138888888888884E-2</v>
      </c>
      <c r="QT79" s="962">
        <f>[1]!mbtool(2,17,0,1)</f>
        <v>9.5138888888888884E-2</v>
      </c>
      <c r="QU79" s="962">
        <f>[1]!mbtool(2,17,0,1)</f>
        <v>9.5138888888888884E-2</v>
      </c>
      <c r="QV79" s="962">
        <f>[1]!mbtool(2,17,0,1)</f>
        <v>9.5138888888888884E-2</v>
      </c>
      <c r="QW79" s="962">
        <f>[1]!mbtool(2,17,0,1)</f>
        <v>9.5138888888888884E-2</v>
      </c>
      <c r="QX79" s="962">
        <f>[1]!mbtool(2,17,0,1)</f>
        <v>9.5138888888888884E-2</v>
      </c>
      <c r="QY79" s="962">
        <f>[1]!mbtool(2,17,0,1)</f>
        <v>9.5138888888888884E-2</v>
      </c>
      <c r="QZ79" s="962">
        <f>[1]!mbtool(2,17,0,1)</f>
        <v>9.5138888888888884E-2</v>
      </c>
      <c r="RA79" s="963">
        <f>[1]!mbtool(2,17,0,1)</f>
        <v>9.5138888888888884E-2</v>
      </c>
      <c r="RB79" s="797"/>
      <c r="RC79" s="797"/>
    </row>
    <row r="80" spans="2:471" ht="17.25">
      <c r="B80" s="2"/>
      <c r="C80" s="2">
        <v>1341</v>
      </c>
      <c r="D80" s="2">
        <v>0.24220026363</v>
      </c>
      <c r="E80" s="2">
        <v>0.18801231353</v>
      </c>
      <c r="F80" s="2">
        <f>((C80-1)*D80)+E80</f>
        <v>324.73636557773</v>
      </c>
      <c r="G80" s="2">
        <f>INT((F80-INT(F80))*60)</f>
        <v>44</v>
      </c>
      <c r="H80" s="2">
        <f>IF(G80&lt;=15,INT(F80)+C80,INT((F80)+1)+C80)</f>
        <v>1666</v>
      </c>
      <c r="I80" s="2">
        <f>MOD(H80,7)</f>
        <v>0</v>
      </c>
      <c r="J80" s="2" t="str">
        <f>IF(I80=1,"جمعه",IF(I80=0,"پنج شنبه",IF(I80=6,"چهارشنبه",IF(I80=5,"سه شنبه",IF(I80=4,"دو شنبه",IF(I80=3,"یک شنبه",IF(I80=2,"شنبه")))))))</f>
        <v>پنج شنبه</v>
      </c>
      <c r="K80" s="2"/>
      <c r="L80" s="2"/>
      <c r="M80" s="2"/>
      <c r="N80" s="2"/>
      <c r="O80" s="2"/>
      <c r="P80" s="2"/>
      <c r="Q80" s="2"/>
      <c r="R80" s="2"/>
      <c r="S80" s="2"/>
      <c r="T80" s="2"/>
      <c r="U80" s="2"/>
      <c r="V80" s="2"/>
      <c r="W80" s="2"/>
      <c r="X80" s="2"/>
      <c r="Y80" s="2"/>
      <c r="Z80" s="2"/>
      <c r="AA80" s="2"/>
      <c r="AB80" s="2"/>
      <c r="AC80" s="2"/>
      <c r="DH80" s="797"/>
      <c r="DJ80" s="961">
        <f t="shared" ref="DJ80:FU80" si="805">35+(41/60)</f>
        <v>35.68333333333333</v>
      </c>
      <c r="DK80" s="962">
        <f t="shared" si="805"/>
        <v>35.68333333333333</v>
      </c>
      <c r="DL80" s="962">
        <f t="shared" si="805"/>
        <v>35.68333333333333</v>
      </c>
      <c r="DM80" s="962">
        <f t="shared" si="805"/>
        <v>35.68333333333333</v>
      </c>
      <c r="DN80" s="962">
        <f t="shared" si="805"/>
        <v>35.68333333333333</v>
      </c>
      <c r="DO80" s="962">
        <f t="shared" si="805"/>
        <v>35.68333333333333</v>
      </c>
      <c r="DP80" s="962">
        <f t="shared" si="805"/>
        <v>35.68333333333333</v>
      </c>
      <c r="DQ80" s="962">
        <f t="shared" si="805"/>
        <v>35.68333333333333</v>
      </c>
      <c r="DR80" s="962">
        <f t="shared" si="805"/>
        <v>35.68333333333333</v>
      </c>
      <c r="DS80" s="962">
        <f t="shared" si="805"/>
        <v>35.68333333333333</v>
      </c>
      <c r="DT80" s="962">
        <f t="shared" si="805"/>
        <v>35.68333333333333</v>
      </c>
      <c r="DU80" s="962">
        <f t="shared" si="805"/>
        <v>35.68333333333333</v>
      </c>
      <c r="DV80" s="962">
        <f t="shared" si="805"/>
        <v>35.68333333333333</v>
      </c>
      <c r="DW80" s="962">
        <f t="shared" si="805"/>
        <v>35.68333333333333</v>
      </c>
      <c r="DX80" s="962">
        <f t="shared" si="805"/>
        <v>35.68333333333333</v>
      </c>
      <c r="DY80" s="962">
        <f t="shared" si="805"/>
        <v>35.68333333333333</v>
      </c>
      <c r="DZ80" s="962">
        <f t="shared" si="805"/>
        <v>35.68333333333333</v>
      </c>
      <c r="EA80" s="962">
        <f t="shared" si="805"/>
        <v>35.68333333333333</v>
      </c>
      <c r="EB80" s="962">
        <f t="shared" si="805"/>
        <v>35.68333333333333</v>
      </c>
      <c r="EC80" s="962">
        <f t="shared" si="805"/>
        <v>35.68333333333333</v>
      </c>
      <c r="ED80" s="962">
        <f t="shared" si="805"/>
        <v>35.68333333333333</v>
      </c>
      <c r="EE80" s="962">
        <f t="shared" si="805"/>
        <v>35.68333333333333</v>
      </c>
      <c r="EF80" s="962">
        <f t="shared" si="805"/>
        <v>35.68333333333333</v>
      </c>
      <c r="EG80" s="962">
        <f t="shared" si="805"/>
        <v>35.68333333333333</v>
      </c>
      <c r="EH80" s="962">
        <f t="shared" si="805"/>
        <v>35.68333333333333</v>
      </c>
      <c r="EI80" s="962">
        <f t="shared" si="805"/>
        <v>35.68333333333333</v>
      </c>
      <c r="EJ80" s="962">
        <f t="shared" si="805"/>
        <v>35.68333333333333</v>
      </c>
      <c r="EK80" s="962">
        <f t="shared" si="805"/>
        <v>35.68333333333333</v>
      </c>
      <c r="EL80" s="962">
        <f t="shared" si="805"/>
        <v>35.68333333333333</v>
      </c>
      <c r="EM80" s="962">
        <f t="shared" si="805"/>
        <v>35.68333333333333</v>
      </c>
      <c r="EN80" s="962">
        <f t="shared" si="805"/>
        <v>35.68333333333333</v>
      </c>
      <c r="EO80" s="962">
        <f t="shared" si="805"/>
        <v>35.68333333333333</v>
      </c>
      <c r="EP80" s="962">
        <f t="shared" si="805"/>
        <v>35.68333333333333</v>
      </c>
      <c r="EQ80" s="962">
        <f t="shared" si="805"/>
        <v>35.68333333333333</v>
      </c>
      <c r="ER80" s="962">
        <f t="shared" si="805"/>
        <v>35.68333333333333</v>
      </c>
      <c r="ES80" s="962">
        <f t="shared" si="805"/>
        <v>35.68333333333333</v>
      </c>
      <c r="ET80" s="962">
        <f t="shared" si="805"/>
        <v>35.68333333333333</v>
      </c>
      <c r="EU80" s="962">
        <f t="shared" si="805"/>
        <v>35.68333333333333</v>
      </c>
      <c r="EV80" s="962">
        <f t="shared" si="805"/>
        <v>35.68333333333333</v>
      </c>
      <c r="EW80" s="962">
        <f t="shared" si="805"/>
        <v>35.68333333333333</v>
      </c>
      <c r="EX80" s="962">
        <f t="shared" si="805"/>
        <v>35.68333333333333</v>
      </c>
      <c r="EY80" s="962">
        <f t="shared" si="805"/>
        <v>35.68333333333333</v>
      </c>
      <c r="EZ80" s="962">
        <f t="shared" si="805"/>
        <v>35.68333333333333</v>
      </c>
      <c r="FA80" s="962">
        <f t="shared" si="805"/>
        <v>35.68333333333333</v>
      </c>
      <c r="FB80" s="962">
        <f t="shared" si="805"/>
        <v>35.68333333333333</v>
      </c>
      <c r="FC80" s="962">
        <f t="shared" si="805"/>
        <v>35.68333333333333</v>
      </c>
      <c r="FD80" s="962">
        <f t="shared" si="805"/>
        <v>35.68333333333333</v>
      </c>
      <c r="FE80" s="962">
        <f t="shared" si="805"/>
        <v>35.68333333333333</v>
      </c>
      <c r="FF80" s="962">
        <f t="shared" si="805"/>
        <v>35.68333333333333</v>
      </c>
      <c r="FG80" s="962">
        <f t="shared" si="805"/>
        <v>35.68333333333333</v>
      </c>
      <c r="FH80" s="962">
        <f t="shared" si="805"/>
        <v>35.68333333333333</v>
      </c>
      <c r="FI80" s="962">
        <f t="shared" si="805"/>
        <v>35.68333333333333</v>
      </c>
      <c r="FJ80" s="962">
        <f t="shared" si="805"/>
        <v>35.68333333333333</v>
      </c>
      <c r="FK80" s="962">
        <f t="shared" si="805"/>
        <v>35.68333333333333</v>
      </c>
      <c r="FL80" s="962">
        <f t="shared" si="805"/>
        <v>35.68333333333333</v>
      </c>
      <c r="FM80" s="962">
        <f t="shared" si="805"/>
        <v>35.68333333333333</v>
      </c>
      <c r="FN80" s="962">
        <f t="shared" si="805"/>
        <v>35.68333333333333</v>
      </c>
      <c r="FO80" s="962">
        <f t="shared" si="805"/>
        <v>35.68333333333333</v>
      </c>
      <c r="FP80" s="962">
        <f t="shared" si="805"/>
        <v>35.68333333333333</v>
      </c>
      <c r="FQ80" s="962">
        <f t="shared" si="805"/>
        <v>35.68333333333333</v>
      </c>
      <c r="FR80" s="962">
        <f t="shared" si="805"/>
        <v>35.68333333333333</v>
      </c>
      <c r="FS80" s="962">
        <f t="shared" si="805"/>
        <v>35.68333333333333</v>
      </c>
      <c r="FT80" s="962">
        <f t="shared" si="805"/>
        <v>35.68333333333333</v>
      </c>
      <c r="FU80" s="962">
        <f t="shared" si="805"/>
        <v>35.68333333333333</v>
      </c>
      <c r="FV80" s="962">
        <f t="shared" ref="FV80:IG80" si="806">35+(41/60)</f>
        <v>35.68333333333333</v>
      </c>
      <c r="FW80" s="962">
        <f t="shared" si="806"/>
        <v>35.68333333333333</v>
      </c>
      <c r="FX80" s="962">
        <f t="shared" si="806"/>
        <v>35.68333333333333</v>
      </c>
      <c r="FY80" s="962">
        <f t="shared" si="806"/>
        <v>35.68333333333333</v>
      </c>
      <c r="FZ80" s="962">
        <f t="shared" si="806"/>
        <v>35.68333333333333</v>
      </c>
      <c r="GA80" s="962">
        <f t="shared" si="806"/>
        <v>35.68333333333333</v>
      </c>
      <c r="GB80" s="962">
        <f t="shared" si="806"/>
        <v>35.68333333333333</v>
      </c>
      <c r="GC80" s="962">
        <f t="shared" si="806"/>
        <v>35.68333333333333</v>
      </c>
      <c r="GD80" s="962">
        <f t="shared" si="806"/>
        <v>35.68333333333333</v>
      </c>
      <c r="GE80" s="962">
        <f t="shared" si="806"/>
        <v>35.68333333333333</v>
      </c>
      <c r="GF80" s="962">
        <f t="shared" si="806"/>
        <v>35.68333333333333</v>
      </c>
      <c r="GG80" s="962">
        <f t="shared" si="806"/>
        <v>35.68333333333333</v>
      </c>
      <c r="GH80" s="962">
        <f t="shared" si="806"/>
        <v>35.68333333333333</v>
      </c>
      <c r="GI80" s="962">
        <f t="shared" si="806"/>
        <v>35.68333333333333</v>
      </c>
      <c r="GJ80" s="962">
        <f t="shared" si="806"/>
        <v>35.68333333333333</v>
      </c>
      <c r="GK80" s="962">
        <f t="shared" si="806"/>
        <v>35.68333333333333</v>
      </c>
      <c r="GL80" s="962">
        <f t="shared" si="806"/>
        <v>35.68333333333333</v>
      </c>
      <c r="GM80" s="962">
        <f t="shared" si="806"/>
        <v>35.68333333333333</v>
      </c>
      <c r="GN80" s="962">
        <f t="shared" si="806"/>
        <v>35.68333333333333</v>
      </c>
      <c r="GO80" s="962">
        <f t="shared" si="806"/>
        <v>35.68333333333333</v>
      </c>
      <c r="GP80" s="962">
        <f t="shared" si="806"/>
        <v>35.68333333333333</v>
      </c>
      <c r="GQ80" s="962">
        <f t="shared" si="806"/>
        <v>35.68333333333333</v>
      </c>
      <c r="GR80" s="962">
        <f t="shared" si="806"/>
        <v>35.68333333333333</v>
      </c>
      <c r="GS80" s="962">
        <f t="shared" si="806"/>
        <v>35.68333333333333</v>
      </c>
      <c r="GT80" s="962">
        <f t="shared" si="806"/>
        <v>35.68333333333333</v>
      </c>
      <c r="GU80" s="962">
        <f t="shared" si="806"/>
        <v>35.68333333333333</v>
      </c>
      <c r="GV80" s="962">
        <f t="shared" si="806"/>
        <v>35.68333333333333</v>
      </c>
      <c r="GW80" s="962">
        <f t="shared" si="806"/>
        <v>35.68333333333333</v>
      </c>
      <c r="GX80" s="962">
        <f t="shared" si="806"/>
        <v>35.68333333333333</v>
      </c>
      <c r="GY80" s="962">
        <f t="shared" si="806"/>
        <v>35.68333333333333</v>
      </c>
      <c r="GZ80" s="962">
        <f t="shared" si="806"/>
        <v>35.68333333333333</v>
      </c>
      <c r="HA80" s="962">
        <f t="shared" si="806"/>
        <v>35.68333333333333</v>
      </c>
      <c r="HB80" s="962">
        <f t="shared" si="806"/>
        <v>35.68333333333333</v>
      </c>
      <c r="HC80" s="962">
        <f t="shared" si="806"/>
        <v>35.68333333333333</v>
      </c>
      <c r="HD80" s="962">
        <f t="shared" si="806"/>
        <v>35.68333333333333</v>
      </c>
      <c r="HE80" s="962">
        <f t="shared" si="806"/>
        <v>35.68333333333333</v>
      </c>
      <c r="HF80" s="962">
        <f t="shared" si="806"/>
        <v>35.68333333333333</v>
      </c>
      <c r="HG80" s="962">
        <f t="shared" si="806"/>
        <v>35.68333333333333</v>
      </c>
      <c r="HH80" s="962">
        <f t="shared" si="806"/>
        <v>35.68333333333333</v>
      </c>
      <c r="HI80" s="962">
        <f t="shared" si="806"/>
        <v>35.68333333333333</v>
      </c>
      <c r="HJ80" s="962">
        <f t="shared" si="806"/>
        <v>35.68333333333333</v>
      </c>
      <c r="HK80" s="962">
        <f t="shared" si="806"/>
        <v>35.68333333333333</v>
      </c>
      <c r="HL80" s="962">
        <f t="shared" si="806"/>
        <v>35.68333333333333</v>
      </c>
      <c r="HM80" s="962">
        <f t="shared" si="806"/>
        <v>35.68333333333333</v>
      </c>
      <c r="HN80" s="962">
        <f t="shared" si="806"/>
        <v>35.68333333333333</v>
      </c>
      <c r="HO80" s="962">
        <f t="shared" si="806"/>
        <v>35.68333333333333</v>
      </c>
      <c r="HP80" s="962">
        <f t="shared" si="806"/>
        <v>35.68333333333333</v>
      </c>
      <c r="HQ80" s="962">
        <f t="shared" si="806"/>
        <v>35.68333333333333</v>
      </c>
      <c r="HR80" s="962">
        <f t="shared" si="806"/>
        <v>35.68333333333333</v>
      </c>
      <c r="HS80" s="962">
        <f t="shared" si="806"/>
        <v>35.68333333333333</v>
      </c>
      <c r="HT80" s="962">
        <f t="shared" si="806"/>
        <v>35.68333333333333</v>
      </c>
      <c r="HU80" s="962">
        <f t="shared" si="806"/>
        <v>35.68333333333333</v>
      </c>
      <c r="HV80" s="962">
        <f t="shared" si="806"/>
        <v>35.68333333333333</v>
      </c>
      <c r="HW80" s="962">
        <f t="shared" si="806"/>
        <v>35.68333333333333</v>
      </c>
      <c r="HX80" s="962">
        <f t="shared" si="806"/>
        <v>35.68333333333333</v>
      </c>
      <c r="HY80" s="962">
        <f t="shared" si="806"/>
        <v>35.68333333333333</v>
      </c>
      <c r="HZ80" s="962">
        <f t="shared" si="806"/>
        <v>35.68333333333333</v>
      </c>
      <c r="IA80" s="962">
        <f t="shared" si="806"/>
        <v>35.68333333333333</v>
      </c>
      <c r="IB80" s="962">
        <f t="shared" si="806"/>
        <v>35.68333333333333</v>
      </c>
      <c r="IC80" s="962">
        <f t="shared" si="806"/>
        <v>35.68333333333333</v>
      </c>
      <c r="ID80" s="962">
        <f t="shared" si="806"/>
        <v>35.68333333333333</v>
      </c>
      <c r="IE80" s="962">
        <f t="shared" si="806"/>
        <v>35.68333333333333</v>
      </c>
      <c r="IF80" s="962">
        <f t="shared" si="806"/>
        <v>35.68333333333333</v>
      </c>
      <c r="IG80" s="962">
        <f t="shared" si="806"/>
        <v>35.68333333333333</v>
      </c>
      <c r="IH80" s="962">
        <f t="shared" ref="IH80:KS80" si="807">35+(41/60)</f>
        <v>35.68333333333333</v>
      </c>
      <c r="II80" s="962">
        <f t="shared" si="807"/>
        <v>35.68333333333333</v>
      </c>
      <c r="IJ80" s="962">
        <f t="shared" si="807"/>
        <v>35.68333333333333</v>
      </c>
      <c r="IK80" s="962">
        <f t="shared" si="807"/>
        <v>35.68333333333333</v>
      </c>
      <c r="IL80" s="962">
        <f t="shared" si="807"/>
        <v>35.68333333333333</v>
      </c>
      <c r="IM80" s="962">
        <f t="shared" si="807"/>
        <v>35.68333333333333</v>
      </c>
      <c r="IN80" s="962">
        <f t="shared" si="807"/>
        <v>35.68333333333333</v>
      </c>
      <c r="IO80" s="962">
        <f t="shared" si="807"/>
        <v>35.68333333333333</v>
      </c>
      <c r="IP80" s="962">
        <f t="shared" si="807"/>
        <v>35.68333333333333</v>
      </c>
      <c r="IQ80" s="962">
        <f t="shared" si="807"/>
        <v>35.68333333333333</v>
      </c>
      <c r="IR80" s="962">
        <f t="shared" si="807"/>
        <v>35.68333333333333</v>
      </c>
      <c r="IS80" s="962">
        <f t="shared" si="807"/>
        <v>35.68333333333333</v>
      </c>
      <c r="IT80" s="962">
        <f t="shared" si="807"/>
        <v>35.68333333333333</v>
      </c>
      <c r="IU80" s="962">
        <f t="shared" si="807"/>
        <v>35.68333333333333</v>
      </c>
      <c r="IV80" s="962">
        <f t="shared" si="807"/>
        <v>35.68333333333333</v>
      </c>
      <c r="IW80" s="962">
        <f t="shared" si="807"/>
        <v>35.68333333333333</v>
      </c>
      <c r="IX80" s="962">
        <f t="shared" si="807"/>
        <v>35.68333333333333</v>
      </c>
      <c r="IY80" s="962">
        <f t="shared" si="807"/>
        <v>35.68333333333333</v>
      </c>
      <c r="IZ80" s="962">
        <f t="shared" si="807"/>
        <v>35.68333333333333</v>
      </c>
      <c r="JA80" s="962">
        <f t="shared" si="807"/>
        <v>35.68333333333333</v>
      </c>
      <c r="JB80" s="962">
        <f t="shared" si="807"/>
        <v>35.68333333333333</v>
      </c>
      <c r="JC80" s="962">
        <f t="shared" si="807"/>
        <v>35.68333333333333</v>
      </c>
      <c r="JD80" s="962">
        <f t="shared" si="807"/>
        <v>35.68333333333333</v>
      </c>
      <c r="JE80" s="962">
        <f t="shared" si="807"/>
        <v>35.68333333333333</v>
      </c>
      <c r="JF80" s="962">
        <f t="shared" si="807"/>
        <v>35.68333333333333</v>
      </c>
      <c r="JG80" s="962">
        <f t="shared" si="807"/>
        <v>35.68333333333333</v>
      </c>
      <c r="JH80" s="962">
        <f t="shared" si="807"/>
        <v>35.68333333333333</v>
      </c>
      <c r="JI80" s="962">
        <f t="shared" si="807"/>
        <v>35.68333333333333</v>
      </c>
      <c r="JJ80" s="962">
        <f t="shared" si="807"/>
        <v>35.68333333333333</v>
      </c>
      <c r="JK80" s="962">
        <f t="shared" si="807"/>
        <v>35.68333333333333</v>
      </c>
      <c r="JL80" s="962">
        <f t="shared" si="807"/>
        <v>35.68333333333333</v>
      </c>
      <c r="JM80" s="962">
        <f t="shared" si="807"/>
        <v>35.68333333333333</v>
      </c>
      <c r="JN80" s="962">
        <f t="shared" si="807"/>
        <v>35.68333333333333</v>
      </c>
      <c r="JO80" s="962">
        <f t="shared" si="807"/>
        <v>35.68333333333333</v>
      </c>
      <c r="JP80" s="962">
        <f t="shared" si="807"/>
        <v>35.68333333333333</v>
      </c>
      <c r="JQ80" s="962">
        <f t="shared" si="807"/>
        <v>35.68333333333333</v>
      </c>
      <c r="JR80" s="962">
        <f t="shared" si="807"/>
        <v>35.68333333333333</v>
      </c>
      <c r="JS80" s="962">
        <f t="shared" si="807"/>
        <v>35.68333333333333</v>
      </c>
      <c r="JT80" s="962">
        <f t="shared" si="807"/>
        <v>35.68333333333333</v>
      </c>
      <c r="JU80" s="962">
        <f t="shared" si="807"/>
        <v>35.68333333333333</v>
      </c>
      <c r="JV80" s="962">
        <f t="shared" si="807"/>
        <v>35.68333333333333</v>
      </c>
      <c r="JW80" s="962">
        <f t="shared" si="807"/>
        <v>35.68333333333333</v>
      </c>
      <c r="JX80" s="962">
        <f t="shared" si="807"/>
        <v>35.68333333333333</v>
      </c>
      <c r="JY80" s="962">
        <f t="shared" si="807"/>
        <v>35.68333333333333</v>
      </c>
      <c r="JZ80" s="962">
        <f t="shared" si="807"/>
        <v>35.68333333333333</v>
      </c>
      <c r="KA80" s="962">
        <f t="shared" si="807"/>
        <v>35.68333333333333</v>
      </c>
      <c r="KB80" s="962">
        <f t="shared" si="807"/>
        <v>35.68333333333333</v>
      </c>
      <c r="KC80" s="962">
        <f t="shared" si="807"/>
        <v>35.68333333333333</v>
      </c>
      <c r="KD80" s="962">
        <f t="shared" si="807"/>
        <v>35.68333333333333</v>
      </c>
      <c r="KE80" s="962">
        <f t="shared" si="807"/>
        <v>35.68333333333333</v>
      </c>
      <c r="KF80" s="962">
        <f t="shared" si="807"/>
        <v>35.68333333333333</v>
      </c>
      <c r="KG80" s="962">
        <f t="shared" si="807"/>
        <v>35.68333333333333</v>
      </c>
      <c r="KH80" s="962">
        <f t="shared" si="807"/>
        <v>35.68333333333333</v>
      </c>
      <c r="KI80" s="962">
        <f t="shared" si="807"/>
        <v>35.68333333333333</v>
      </c>
      <c r="KJ80" s="962">
        <f t="shared" si="807"/>
        <v>35.68333333333333</v>
      </c>
      <c r="KK80" s="962">
        <f t="shared" si="807"/>
        <v>35.68333333333333</v>
      </c>
      <c r="KL80" s="962">
        <f t="shared" si="807"/>
        <v>35.68333333333333</v>
      </c>
      <c r="KM80" s="962">
        <f t="shared" si="807"/>
        <v>35.68333333333333</v>
      </c>
      <c r="KN80" s="962">
        <f t="shared" si="807"/>
        <v>35.68333333333333</v>
      </c>
      <c r="KO80" s="962">
        <f t="shared" si="807"/>
        <v>35.68333333333333</v>
      </c>
      <c r="KP80" s="962">
        <f t="shared" si="807"/>
        <v>35.68333333333333</v>
      </c>
      <c r="KQ80" s="962">
        <f t="shared" si="807"/>
        <v>35.68333333333333</v>
      </c>
      <c r="KR80" s="962">
        <f t="shared" si="807"/>
        <v>35.68333333333333</v>
      </c>
      <c r="KS80" s="962">
        <f t="shared" si="807"/>
        <v>35.68333333333333</v>
      </c>
      <c r="KT80" s="962">
        <f t="shared" ref="KT80:NE80" si="808">35+(41/60)</f>
        <v>35.68333333333333</v>
      </c>
      <c r="KU80" s="962">
        <f t="shared" si="808"/>
        <v>35.68333333333333</v>
      </c>
      <c r="KV80" s="962">
        <f t="shared" si="808"/>
        <v>35.68333333333333</v>
      </c>
      <c r="KW80" s="962">
        <f t="shared" si="808"/>
        <v>35.68333333333333</v>
      </c>
      <c r="KX80" s="962">
        <f t="shared" si="808"/>
        <v>35.68333333333333</v>
      </c>
      <c r="KY80" s="962">
        <f t="shared" si="808"/>
        <v>35.68333333333333</v>
      </c>
      <c r="KZ80" s="962">
        <f t="shared" si="808"/>
        <v>35.68333333333333</v>
      </c>
      <c r="LA80" s="962">
        <f t="shared" si="808"/>
        <v>35.68333333333333</v>
      </c>
      <c r="LB80" s="962">
        <f t="shared" si="808"/>
        <v>35.68333333333333</v>
      </c>
      <c r="LC80" s="962">
        <f t="shared" si="808"/>
        <v>35.68333333333333</v>
      </c>
      <c r="LD80" s="962">
        <f t="shared" si="808"/>
        <v>35.68333333333333</v>
      </c>
      <c r="LE80" s="962">
        <f t="shared" si="808"/>
        <v>35.68333333333333</v>
      </c>
      <c r="LF80" s="962">
        <f t="shared" si="808"/>
        <v>35.68333333333333</v>
      </c>
      <c r="LG80" s="962">
        <f t="shared" si="808"/>
        <v>35.68333333333333</v>
      </c>
      <c r="LH80" s="962">
        <f t="shared" si="808"/>
        <v>35.68333333333333</v>
      </c>
      <c r="LI80" s="962">
        <f t="shared" si="808"/>
        <v>35.68333333333333</v>
      </c>
      <c r="LJ80" s="962">
        <f t="shared" si="808"/>
        <v>35.68333333333333</v>
      </c>
      <c r="LK80" s="962">
        <f t="shared" si="808"/>
        <v>35.68333333333333</v>
      </c>
      <c r="LL80" s="962">
        <f t="shared" si="808"/>
        <v>35.68333333333333</v>
      </c>
      <c r="LM80" s="962">
        <f t="shared" si="808"/>
        <v>35.68333333333333</v>
      </c>
      <c r="LN80" s="962">
        <f t="shared" si="808"/>
        <v>35.68333333333333</v>
      </c>
      <c r="LO80" s="962">
        <f t="shared" si="808"/>
        <v>35.68333333333333</v>
      </c>
      <c r="LP80" s="962">
        <f t="shared" si="808"/>
        <v>35.68333333333333</v>
      </c>
      <c r="LQ80" s="962">
        <f t="shared" si="808"/>
        <v>35.68333333333333</v>
      </c>
      <c r="LR80" s="962">
        <f t="shared" si="808"/>
        <v>35.68333333333333</v>
      </c>
      <c r="LS80" s="962">
        <f t="shared" si="808"/>
        <v>35.68333333333333</v>
      </c>
      <c r="LT80" s="962">
        <f t="shared" si="808"/>
        <v>35.68333333333333</v>
      </c>
      <c r="LU80" s="962">
        <f t="shared" si="808"/>
        <v>35.68333333333333</v>
      </c>
      <c r="LV80" s="962">
        <f t="shared" si="808"/>
        <v>35.68333333333333</v>
      </c>
      <c r="LW80" s="962">
        <f t="shared" si="808"/>
        <v>35.68333333333333</v>
      </c>
      <c r="LX80" s="962">
        <f t="shared" si="808"/>
        <v>35.68333333333333</v>
      </c>
      <c r="LY80" s="962">
        <f t="shared" si="808"/>
        <v>35.68333333333333</v>
      </c>
      <c r="LZ80" s="962">
        <f t="shared" si="808"/>
        <v>35.68333333333333</v>
      </c>
      <c r="MA80" s="962">
        <f t="shared" si="808"/>
        <v>35.68333333333333</v>
      </c>
      <c r="MB80" s="962">
        <f t="shared" si="808"/>
        <v>35.68333333333333</v>
      </c>
      <c r="MC80" s="962">
        <f t="shared" si="808"/>
        <v>35.68333333333333</v>
      </c>
      <c r="MD80" s="962">
        <f t="shared" si="808"/>
        <v>35.68333333333333</v>
      </c>
      <c r="ME80" s="962">
        <f t="shared" si="808"/>
        <v>35.68333333333333</v>
      </c>
      <c r="MF80" s="962">
        <f t="shared" si="808"/>
        <v>35.68333333333333</v>
      </c>
      <c r="MG80" s="962">
        <f t="shared" si="808"/>
        <v>35.68333333333333</v>
      </c>
      <c r="MH80" s="962">
        <f t="shared" si="808"/>
        <v>35.68333333333333</v>
      </c>
      <c r="MI80" s="962">
        <f t="shared" si="808"/>
        <v>35.68333333333333</v>
      </c>
      <c r="MJ80" s="962">
        <f t="shared" si="808"/>
        <v>35.68333333333333</v>
      </c>
      <c r="MK80" s="962">
        <f t="shared" si="808"/>
        <v>35.68333333333333</v>
      </c>
      <c r="ML80" s="962">
        <f t="shared" si="808"/>
        <v>35.68333333333333</v>
      </c>
      <c r="MM80" s="962">
        <f t="shared" si="808"/>
        <v>35.68333333333333</v>
      </c>
      <c r="MN80" s="962">
        <f t="shared" si="808"/>
        <v>35.68333333333333</v>
      </c>
      <c r="MO80" s="962">
        <f t="shared" si="808"/>
        <v>35.68333333333333</v>
      </c>
      <c r="MP80" s="962">
        <f t="shared" si="808"/>
        <v>35.68333333333333</v>
      </c>
      <c r="MQ80" s="962">
        <f t="shared" si="808"/>
        <v>35.68333333333333</v>
      </c>
      <c r="MR80" s="962">
        <f t="shared" si="808"/>
        <v>35.68333333333333</v>
      </c>
      <c r="MS80" s="962">
        <f t="shared" si="808"/>
        <v>35.68333333333333</v>
      </c>
      <c r="MT80" s="962">
        <f t="shared" si="808"/>
        <v>35.68333333333333</v>
      </c>
      <c r="MU80" s="962">
        <f t="shared" si="808"/>
        <v>35.68333333333333</v>
      </c>
      <c r="MV80" s="962">
        <f t="shared" si="808"/>
        <v>35.68333333333333</v>
      </c>
      <c r="MW80" s="962">
        <f t="shared" si="808"/>
        <v>35.68333333333333</v>
      </c>
      <c r="MX80" s="962">
        <f t="shared" si="808"/>
        <v>35.68333333333333</v>
      </c>
      <c r="MY80" s="962">
        <f t="shared" si="808"/>
        <v>35.68333333333333</v>
      </c>
      <c r="MZ80" s="962">
        <f t="shared" si="808"/>
        <v>35.68333333333333</v>
      </c>
      <c r="NA80" s="962">
        <f t="shared" si="808"/>
        <v>35.68333333333333</v>
      </c>
      <c r="NB80" s="962">
        <f t="shared" si="808"/>
        <v>35.68333333333333</v>
      </c>
      <c r="NC80" s="962">
        <f t="shared" si="808"/>
        <v>35.68333333333333</v>
      </c>
      <c r="ND80" s="962">
        <f t="shared" si="808"/>
        <v>35.68333333333333</v>
      </c>
      <c r="NE80" s="962">
        <f t="shared" si="808"/>
        <v>35.68333333333333</v>
      </c>
      <c r="NF80" s="962">
        <f t="shared" ref="NF80:PQ80" si="809">35+(41/60)</f>
        <v>35.68333333333333</v>
      </c>
      <c r="NG80" s="962">
        <f t="shared" si="809"/>
        <v>35.68333333333333</v>
      </c>
      <c r="NH80" s="962">
        <f t="shared" si="809"/>
        <v>35.68333333333333</v>
      </c>
      <c r="NI80" s="962">
        <f t="shared" si="809"/>
        <v>35.68333333333333</v>
      </c>
      <c r="NJ80" s="962">
        <f t="shared" si="809"/>
        <v>35.68333333333333</v>
      </c>
      <c r="NK80" s="962">
        <f t="shared" si="809"/>
        <v>35.68333333333333</v>
      </c>
      <c r="NL80" s="962">
        <f t="shared" si="809"/>
        <v>35.68333333333333</v>
      </c>
      <c r="NM80" s="962">
        <f t="shared" si="809"/>
        <v>35.68333333333333</v>
      </c>
      <c r="NN80" s="962">
        <f t="shared" si="809"/>
        <v>35.68333333333333</v>
      </c>
      <c r="NO80" s="962">
        <f t="shared" si="809"/>
        <v>35.68333333333333</v>
      </c>
      <c r="NP80" s="962">
        <f t="shared" si="809"/>
        <v>35.68333333333333</v>
      </c>
      <c r="NQ80" s="962">
        <f t="shared" si="809"/>
        <v>35.68333333333333</v>
      </c>
      <c r="NR80" s="962">
        <f t="shared" si="809"/>
        <v>35.68333333333333</v>
      </c>
      <c r="NS80" s="962">
        <f t="shared" si="809"/>
        <v>35.68333333333333</v>
      </c>
      <c r="NT80" s="962">
        <f t="shared" si="809"/>
        <v>35.68333333333333</v>
      </c>
      <c r="NU80" s="962">
        <f t="shared" si="809"/>
        <v>35.68333333333333</v>
      </c>
      <c r="NV80" s="962">
        <f t="shared" si="809"/>
        <v>35.68333333333333</v>
      </c>
      <c r="NW80" s="962">
        <f t="shared" si="809"/>
        <v>35.68333333333333</v>
      </c>
      <c r="NX80" s="962">
        <f t="shared" si="809"/>
        <v>35.68333333333333</v>
      </c>
      <c r="NY80" s="962">
        <f t="shared" si="809"/>
        <v>35.68333333333333</v>
      </c>
      <c r="NZ80" s="962">
        <f t="shared" si="809"/>
        <v>35.68333333333333</v>
      </c>
      <c r="OA80" s="962">
        <f t="shared" si="809"/>
        <v>35.68333333333333</v>
      </c>
      <c r="OB80" s="962">
        <f t="shared" si="809"/>
        <v>35.68333333333333</v>
      </c>
      <c r="OC80" s="962">
        <f t="shared" si="809"/>
        <v>35.68333333333333</v>
      </c>
      <c r="OD80" s="962">
        <f t="shared" si="809"/>
        <v>35.68333333333333</v>
      </c>
      <c r="OE80" s="962">
        <f t="shared" si="809"/>
        <v>35.68333333333333</v>
      </c>
      <c r="OF80" s="962">
        <f t="shared" si="809"/>
        <v>35.68333333333333</v>
      </c>
      <c r="OG80" s="962">
        <f t="shared" si="809"/>
        <v>35.68333333333333</v>
      </c>
      <c r="OH80" s="962">
        <f t="shared" si="809"/>
        <v>35.68333333333333</v>
      </c>
      <c r="OI80" s="962">
        <f t="shared" si="809"/>
        <v>35.68333333333333</v>
      </c>
      <c r="OJ80" s="962">
        <f t="shared" si="809"/>
        <v>35.68333333333333</v>
      </c>
      <c r="OK80" s="962">
        <f t="shared" si="809"/>
        <v>35.68333333333333</v>
      </c>
      <c r="OL80" s="962">
        <f t="shared" si="809"/>
        <v>35.68333333333333</v>
      </c>
      <c r="OM80" s="962">
        <f t="shared" si="809"/>
        <v>35.68333333333333</v>
      </c>
      <c r="ON80" s="962">
        <f t="shared" si="809"/>
        <v>35.68333333333333</v>
      </c>
      <c r="OO80" s="962">
        <f t="shared" si="809"/>
        <v>35.68333333333333</v>
      </c>
      <c r="OP80" s="962">
        <f t="shared" si="809"/>
        <v>35.68333333333333</v>
      </c>
      <c r="OQ80" s="962">
        <f t="shared" si="809"/>
        <v>35.68333333333333</v>
      </c>
      <c r="OR80" s="962">
        <f t="shared" si="809"/>
        <v>35.68333333333333</v>
      </c>
      <c r="OS80" s="962">
        <f t="shared" si="809"/>
        <v>35.68333333333333</v>
      </c>
      <c r="OT80" s="962">
        <f t="shared" si="809"/>
        <v>35.68333333333333</v>
      </c>
      <c r="OU80" s="962">
        <f t="shared" si="809"/>
        <v>35.68333333333333</v>
      </c>
      <c r="OV80" s="962">
        <f t="shared" si="809"/>
        <v>35.68333333333333</v>
      </c>
      <c r="OW80" s="962">
        <f t="shared" si="809"/>
        <v>35.68333333333333</v>
      </c>
      <c r="OX80" s="962">
        <f t="shared" si="809"/>
        <v>35.68333333333333</v>
      </c>
      <c r="OY80" s="962">
        <f t="shared" si="809"/>
        <v>35.68333333333333</v>
      </c>
      <c r="OZ80" s="962">
        <f t="shared" si="809"/>
        <v>35.68333333333333</v>
      </c>
      <c r="PA80" s="962">
        <f t="shared" si="809"/>
        <v>35.68333333333333</v>
      </c>
      <c r="PB80" s="962">
        <f t="shared" si="809"/>
        <v>35.68333333333333</v>
      </c>
      <c r="PC80" s="962">
        <f t="shared" si="809"/>
        <v>35.68333333333333</v>
      </c>
      <c r="PD80" s="962">
        <f t="shared" si="809"/>
        <v>35.68333333333333</v>
      </c>
      <c r="PE80" s="962">
        <f t="shared" si="809"/>
        <v>35.68333333333333</v>
      </c>
      <c r="PF80" s="962">
        <f t="shared" si="809"/>
        <v>35.68333333333333</v>
      </c>
      <c r="PG80" s="962">
        <f t="shared" si="809"/>
        <v>35.68333333333333</v>
      </c>
      <c r="PH80" s="962">
        <f t="shared" si="809"/>
        <v>35.68333333333333</v>
      </c>
      <c r="PI80" s="962">
        <f t="shared" si="809"/>
        <v>35.68333333333333</v>
      </c>
      <c r="PJ80" s="962">
        <f t="shared" si="809"/>
        <v>35.68333333333333</v>
      </c>
      <c r="PK80" s="962">
        <f t="shared" si="809"/>
        <v>35.68333333333333</v>
      </c>
      <c r="PL80" s="962">
        <f t="shared" si="809"/>
        <v>35.68333333333333</v>
      </c>
      <c r="PM80" s="962">
        <f t="shared" si="809"/>
        <v>35.68333333333333</v>
      </c>
      <c r="PN80" s="962">
        <f t="shared" si="809"/>
        <v>35.68333333333333</v>
      </c>
      <c r="PO80" s="962">
        <f t="shared" si="809"/>
        <v>35.68333333333333</v>
      </c>
      <c r="PP80" s="962">
        <f t="shared" si="809"/>
        <v>35.68333333333333</v>
      </c>
      <c r="PQ80" s="962">
        <f t="shared" si="809"/>
        <v>35.68333333333333</v>
      </c>
      <c r="PR80" s="962">
        <f t="shared" ref="PR80:RA80" si="810">35+(41/60)</f>
        <v>35.68333333333333</v>
      </c>
      <c r="PS80" s="962">
        <f t="shared" si="810"/>
        <v>35.68333333333333</v>
      </c>
      <c r="PT80" s="962">
        <f t="shared" si="810"/>
        <v>35.68333333333333</v>
      </c>
      <c r="PU80" s="962">
        <f t="shared" si="810"/>
        <v>35.68333333333333</v>
      </c>
      <c r="PV80" s="962">
        <f t="shared" si="810"/>
        <v>35.68333333333333</v>
      </c>
      <c r="PW80" s="962">
        <f t="shared" si="810"/>
        <v>35.68333333333333</v>
      </c>
      <c r="PX80" s="962">
        <f t="shared" si="810"/>
        <v>35.68333333333333</v>
      </c>
      <c r="PY80" s="962">
        <f t="shared" si="810"/>
        <v>35.68333333333333</v>
      </c>
      <c r="PZ80" s="962">
        <f t="shared" si="810"/>
        <v>35.68333333333333</v>
      </c>
      <c r="QA80" s="962">
        <f t="shared" si="810"/>
        <v>35.68333333333333</v>
      </c>
      <c r="QB80" s="962">
        <f t="shared" si="810"/>
        <v>35.68333333333333</v>
      </c>
      <c r="QC80" s="962">
        <f t="shared" si="810"/>
        <v>35.68333333333333</v>
      </c>
      <c r="QD80" s="962">
        <f t="shared" si="810"/>
        <v>35.68333333333333</v>
      </c>
      <c r="QE80" s="962">
        <f t="shared" si="810"/>
        <v>35.68333333333333</v>
      </c>
      <c r="QF80" s="962">
        <f t="shared" si="810"/>
        <v>35.68333333333333</v>
      </c>
      <c r="QG80" s="962">
        <f t="shared" si="810"/>
        <v>35.68333333333333</v>
      </c>
      <c r="QH80" s="962">
        <f t="shared" si="810"/>
        <v>35.68333333333333</v>
      </c>
      <c r="QI80" s="962">
        <f t="shared" si="810"/>
        <v>35.68333333333333</v>
      </c>
      <c r="QJ80" s="962">
        <f t="shared" si="810"/>
        <v>35.68333333333333</v>
      </c>
      <c r="QK80" s="962">
        <f t="shared" si="810"/>
        <v>35.68333333333333</v>
      </c>
      <c r="QL80" s="962">
        <f t="shared" si="810"/>
        <v>35.68333333333333</v>
      </c>
      <c r="QM80" s="962">
        <f t="shared" si="810"/>
        <v>35.68333333333333</v>
      </c>
      <c r="QN80" s="962">
        <f t="shared" si="810"/>
        <v>35.68333333333333</v>
      </c>
      <c r="QO80" s="962">
        <f t="shared" si="810"/>
        <v>35.68333333333333</v>
      </c>
      <c r="QP80" s="962">
        <f t="shared" si="810"/>
        <v>35.68333333333333</v>
      </c>
      <c r="QQ80" s="962">
        <f t="shared" si="810"/>
        <v>35.68333333333333</v>
      </c>
      <c r="QR80" s="962">
        <f t="shared" si="810"/>
        <v>35.68333333333333</v>
      </c>
      <c r="QS80" s="962">
        <f t="shared" si="810"/>
        <v>35.68333333333333</v>
      </c>
      <c r="QT80" s="962">
        <f t="shared" si="810"/>
        <v>35.68333333333333</v>
      </c>
      <c r="QU80" s="962">
        <f t="shared" si="810"/>
        <v>35.68333333333333</v>
      </c>
      <c r="QV80" s="962">
        <f t="shared" si="810"/>
        <v>35.68333333333333</v>
      </c>
      <c r="QW80" s="962">
        <f t="shared" si="810"/>
        <v>35.68333333333333</v>
      </c>
      <c r="QX80" s="962">
        <f t="shared" si="810"/>
        <v>35.68333333333333</v>
      </c>
      <c r="QY80" s="962">
        <f t="shared" si="810"/>
        <v>35.68333333333333</v>
      </c>
      <c r="QZ80" s="962">
        <f t="shared" si="810"/>
        <v>35.68333333333333</v>
      </c>
      <c r="RA80" s="963">
        <f t="shared" si="810"/>
        <v>35.68333333333333</v>
      </c>
      <c r="RB80" s="797"/>
      <c r="RC80" s="797"/>
    </row>
    <row r="81" spans="2:471" ht="17.25">
      <c r="B81" s="2" t="s">
        <v>44</v>
      </c>
      <c r="C81" s="2"/>
      <c r="D81" s="2"/>
      <c r="E81" s="2"/>
      <c r="F81" s="2"/>
      <c r="G81" s="2"/>
      <c r="H81" s="2"/>
      <c r="I81" s="2"/>
      <c r="J81" s="2"/>
      <c r="K81" s="2"/>
      <c r="L81" s="2"/>
      <c r="M81" s="2"/>
      <c r="N81" s="2"/>
      <c r="O81" s="2"/>
      <c r="P81" s="2"/>
      <c r="Q81" s="2">
        <v>1</v>
      </c>
      <c r="R81" s="2">
        <v>2</v>
      </c>
      <c r="S81" s="2">
        <v>3</v>
      </c>
      <c r="T81" s="2">
        <v>4</v>
      </c>
      <c r="U81" s="2">
        <v>5</v>
      </c>
      <c r="V81" s="2">
        <v>6</v>
      </c>
      <c r="W81" s="2">
        <v>7</v>
      </c>
      <c r="X81" s="2">
        <v>8</v>
      </c>
      <c r="Y81" s="2">
        <v>9</v>
      </c>
      <c r="Z81" s="2">
        <v>10</v>
      </c>
      <c r="AA81" s="2">
        <v>11</v>
      </c>
      <c r="AB81" s="2">
        <v>12</v>
      </c>
      <c r="AC81" s="2"/>
      <c r="DH81" s="797"/>
      <c r="DJ81" s="961" t="e">
        <f>[1]!qsn([1]!ml([1]!taqsha(1,1,[1]!roz(DJ78+1,0,0,0),DJ79)),DJ80)/30</f>
        <v>#VALUE!</v>
      </c>
      <c r="DK81" s="962" t="e">
        <f>[1]!qsn([1]!ml([1]!taqsha(1,1,[1]!roz(DK78+1,0,0,0),DK79)),DK80)/30</f>
        <v>#VALUE!</v>
      </c>
      <c r="DL81" s="962" t="e">
        <f>[1]!qsn([1]!ml([1]!taqsha(1,1,[1]!roz(DL78+1,0,0,0),DL79)),DL80)/30</f>
        <v>#VALUE!</v>
      </c>
      <c r="DM81" s="962" t="e">
        <f>[1]!qsn([1]!ml([1]!taqsha(1,1,[1]!roz(DM78+1,0,0,0),DM79)),DM80)/30</f>
        <v>#VALUE!</v>
      </c>
      <c r="DN81" s="962" t="e">
        <f>[1]!qsn([1]!ml([1]!taqsha(1,1,[1]!roz(DN78+1,0,0,0),DN79)),DN80)/30</f>
        <v>#VALUE!</v>
      </c>
      <c r="DO81" s="962" t="e">
        <f>[1]!qsn([1]!ml([1]!taqsha(1,1,[1]!roz(DO78+1,0,0,0),DO79)),DO80)/30</f>
        <v>#VALUE!</v>
      </c>
      <c r="DP81" s="962" t="e">
        <f>[1]!qsn([1]!ml([1]!taqsha(1,1,[1]!roz(DP78+1,0,0,0),DP79)),DP80)/30</f>
        <v>#VALUE!</v>
      </c>
      <c r="DQ81" s="962" t="e">
        <f>[1]!qsn([1]!ml([1]!taqsha(1,1,[1]!roz(DQ78+1,0,0,0),DQ79)),DQ80)/30</f>
        <v>#VALUE!</v>
      </c>
      <c r="DR81" s="962" t="e">
        <f>[1]!qsn([1]!ml([1]!taqsha(1,1,[1]!roz(DR78+1,0,0,0),DR79)),DR80)/30</f>
        <v>#VALUE!</v>
      </c>
      <c r="DS81" s="962" t="e">
        <f>[1]!qsn([1]!ml([1]!taqsha(1,1,[1]!roz(DS78+1,0,0,0),DS79)),DS80)/30</f>
        <v>#VALUE!</v>
      </c>
      <c r="DT81" s="962" t="e">
        <f>[1]!qsn([1]!ml([1]!taqsha(1,1,[1]!roz(DT78+1,0,0,0),DT79)),DT80)/30</f>
        <v>#VALUE!</v>
      </c>
      <c r="DU81" s="962" t="e">
        <f>[1]!qsn([1]!ml([1]!taqsha(1,1,[1]!roz(DU78+1,0,0,0),DU79)),DU80)/30</f>
        <v>#VALUE!</v>
      </c>
      <c r="DV81" s="962" t="e">
        <f>[1]!qsn([1]!ml([1]!taqsha(1,1,[1]!roz(DV78+1,0,0,0),DV79)),DV80)/30</f>
        <v>#VALUE!</v>
      </c>
      <c r="DW81" s="962" t="e">
        <f>[1]!qsn([1]!ml([1]!taqsha(1,1,[1]!roz(DW78+1,0,0,0),DW79)),DW80)/30</f>
        <v>#VALUE!</v>
      </c>
      <c r="DX81" s="962" t="e">
        <f>[1]!qsn([1]!ml([1]!taqsha(1,1,[1]!roz(DX78+1,0,0,0),DX79)),DX80)/30</f>
        <v>#VALUE!</v>
      </c>
      <c r="DY81" s="962" t="e">
        <f>[1]!qsn([1]!ml([1]!taqsha(1,1,[1]!roz(DY78+1,0,0,0),DY79)),DY80)/30</f>
        <v>#VALUE!</v>
      </c>
      <c r="DZ81" s="962" t="e">
        <f>[1]!qsn([1]!ml([1]!taqsha(1,1,[1]!roz(DZ78+1,0,0,0),DZ79)),DZ80)/30</f>
        <v>#VALUE!</v>
      </c>
      <c r="EA81" s="962" t="e">
        <f>[1]!qsn([1]!ml([1]!taqsha(1,1,[1]!roz(EA78+1,0,0,0),EA79)),EA80)/30</f>
        <v>#VALUE!</v>
      </c>
      <c r="EB81" s="962" t="e">
        <f>[1]!qsn([1]!ml([1]!taqsha(1,1,[1]!roz(EB78+1,0,0,0),EB79)),EB80)/30</f>
        <v>#VALUE!</v>
      </c>
      <c r="EC81" s="962" t="e">
        <f>[1]!qsn([1]!ml([1]!taqsha(1,1,[1]!roz(EC78+1,0,0,0),EC79)),EC80)/30</f>
        <v>#VALUE!</v>
      </c>
      <c r="ED81" s="962" t="e">
        <f>[1]!qsn([1]!ml([1]!taqsha(1,1,[1]!roz(ED78+1,0,0,0),ED79)),ED80)/30</f>
        <v>#VALUE!</v>
      </c>
      <c r="EE81" s="962" t="e">
        <f>[1]!qsn([1]!ml([1]!taqsha(1,1,[1]!roz(EE78+1,0,0,0),EE79)),EE80)/30</f>
        <v>#VALUE!</v>
      </c>
      <c r="EF81" s="962" t="e">
        <f>[1]!qsn([1]!ml([1]!taqsha(1,1,[1]!roz(EF78+1,0,0,0),EF79)),EF80)/30</f>
        <v>#VALUE!</v>
      </c>
      <c r="EG81" s="962" t="e">
        <f>[1]!qsn([1]!ml([1]!taqsha(1,1,[1]!roz(EG78+1,0,0,0),EG79)),EG80)/30</f>
        <v>#VALUE!</v>
      </c>
      <c r="EH81" s="962" t="e">
        <f>[1]!qsn([1]!ml([1]!taqsha(1,1,[1]!roz(EH78+1,0,0,0),EH79)),EH80)/30</f>
        <v>#VALUE!</v>
      </c>
      <c r="EI81" s="962" t="e">
        <f>[1]!qsn([1]!ml([1]!taqsha(1,1,[1]!roz(EI78+1,0,0,0),EI79)),EI80)/30</f>
        <v>#VALUE!</v>
      </c>
      <c r="EJ81" s="962" t="e">
        <f>[1]!qsn([1]!ml([1]!taqsha(1,1,[1]!roz(EJ78+1,0,0,0),EJ79)),EJ80)/30</f>
        <v>#VALUE!</v>
      </c>
      <c r="EK81" s="962" t="e">
        <f>[1]!qsn([1]!ml([1]!taqsha(1,1,[1]!roz(EK78+1,0,0,0),EK79)),EK80)/30</f>
        <v>#VALUE!</v>
      </c>
      <c r="EL81" s="962" t="e">
        <f>[1]!qsn([1]!ml([1]!taqsha(1,1,[1]!roz(EL78+1,0,0,0),EL79)),EL80)/30</f>
        <v>#VALUE!</v>
      </c>
      <c r="EM81" s="962" t="e">
        <f>[1]!qsn([1]!ml([1]!taqsha(1,1,[1]!roz(EM78+1,0,0,0),EM79)),EM80)/30</f>
        <v>#VALUE!</v>
      </c>
      <c r="EN81" s="962" t="e">
        <f>[1]!qsn([1]!ml([1]!taqsha(1,1,[1]!roz(EN78+1,0,0,0),EN79)),EN80)/30</f>
        <v>#VALUE!</v>
      </c>
      <c r="EO81" s="962" t="e">
        <f>[1]!qsn([1]!ml([1]!taqsha(1,1,[1]!roz(EO78+1,0,0,0),EO79)),EO80)/30</f>
        <v>#VALUE!</v>
      </c>
      <c r="EP81" s="962" t="e">
        <f>[1]!qsn([1]!ml([1]!taqsha(1,1,[1]!roz(EP78+1,0,0,0),EP79)),EP80)/30</f>
        <v>#VALUE!</v>
      </c>
      <c r="EQ81" s="962" t="e">
        <f>[1]!qsn([1]!ml([1]!taqsha(1,1,[1]!roz(EQ78+1,0,0,0),EQ79)),EQ80)/30</f>
        <v>#VALUE!</v>
      </c>
      <c r="ER81" s="962" t="e">
        <f>[1]!qsn([1]!ml([1]!taqsha(1,1,[1]!roz(ER78+1,0,0,0),ER79)),ER80)/30</f>
        <v>#VALUE!</v>
      </c>
      <c r="ES81" s="962" t="e">
        <f>[1]!qsn([1]!ml([1]!taqsha(1,1,[1]!roz(ES78+1,0,0,0),ES79)),ES80)/30</f>
        <v>#VALUE!</v>
      </c>
      <c r="ET81" s="962" t="e">
        <f>[1]!qsn([1]!ml([1]!taqsha(1,1,[1]!roz(ET78+1,0,0,0),ET79)),ET80)/30</f>
        <v>#VALUE!</v>
      </c>
      <c r="EU81" s="962" t="e">
        <f>[1]!qsn([1]!ml([1]!taqsha(1,1,[1]!roz(EU78+1,0,0,0),EU79)),EU80)/30</f>
        <v>#VALUE!</v>
      </c>
      <c r="EV81" s="962" t="e">
        <f>[1]!qsn([1]!ml([1]!taqsha(1,1,[1]!roz(EV78+1,0,0,0),EV79)),EV80)/30</f>
        <v>#VALUE!</v>
      </c>
      <c r="EW81" s="962" t="e">
        <f>[1]!qsn([1]!ml([1]!taqsha(1,1,[1]!roz(EW78+1,0,0,0),EW79)),EW80)/30</f>
        <v>#VALUE!</v>
      </c>
      <c r="EX81" s="962" t="e">
        <f>[1]!qsn([1]!ml([1]!taqsha(1,1,[1]!roz(EX78+1,0,0,0),EX79)),EX80)/30</f>
        <v>#VALUE!</v>
      </c>
      <c r="EY81" s="962" t="e">
        <f>[1]!qsn([1]!ml([1]!taqsha(1,1,[1]!roz(EY78+1,0,0,0),EY79)),EY80)/30</f>
        <v>#VALUE!</v>
      </c>
      <c r="EZ81" s="962" t="e">
        <f>[1]!qsn([1]!ml([1]!taqsha(1,1,[1]!roz(EZ78+1,0,0,0),EZ79)),EZ80)/30</f>
        <v>#VALUE!</v>
      </c>
      <c r="FA81" s="962" t="e">
        <f>[1]!qsn([1]!ml([1]!taqsha(1,1,[1]!roz(FA78+1,0,0,0),FA79)),FA80)/30</f>
        <v>#VALUE!</v>
      </c>
      <c r="FB81" s="962" t="e">
        <f>[1]!qsn([1]!ml([1]!taqsha(1,1,[1]!roz(FB78+1,0,0,0),FB79)),FB80)/30</f>
        <v>#VALUE!</v>
      </c>
      <c r="FC81" s="962" t="e">
        <f>[1]!qsn([1]!ml([1]!taqsha(1,1,[1]!roz(FC78+1,0,0,0),FC79)),FC80)/30</f>
        <v>#VALUE!</v>
      </c>
      <c r="FD81" s="962" t="e">
        <f>[1]!qsn([1]!ml([1]!taqsha(1,1,[1]!roz(FD78+1,0,0,0),FD79)),FD80)/30</f>
        <v>#VALUE!</v>
      </c>
      <c r="FE81" s="962" t="e">
        <f>[1]!qsn([1]!ml([1]!taqsha(1,1,[1]!roz(FE78+1,0,0,0),FE79)),FE80)/30</f>
        <v>#VALUE!</v>
      </c>
      <c r="FF81" s="962" t="e">
        <f>[1]!qsn([1]!ml([1]!taqsha(1,1,[1]!roz(FF78+1,0,0,0),FF79)),FF80)/30</f>
        <v>#VALUE!</v>
      </c>
      <c r="FG81" s="962" t="e">
        <f>[1]!qsn([1]!ml([1]!taqsha(1,1,[1]!roz(FG78+1,0,0,0),FG79)),FG80)/30</f>
        <v>#VALUE!</v>
      </c>
      <c r="FH81" s="962" t="e">
        <f>[1]!qsn([1]!ml([1]!taqsha(1,1,[1]!roz(FH78+1,0,0,0),FH79)),FH80)/30</f>
        <v>#VALUE!</v>
      </c>
      <c r="FI81" s="962" t="e">
        <f>[1]!qsn([1]!ml([1]!taqsha(1,1,[1]!roz(FI78+1,0,0,0),FI79)),FI80)/30</f>
        <v>#VALUE!</v>
      </c>
      <c r="FJ81" s="962" t="e">
        <f>[1]!qsn([1]!ml([1]!taqsha(1,1,[1]!roz(FJ78+1,0,0,0),FJ79)),FJ80)/30</f>
        <v>#VALUE!</v>
      </c>
      <c r="FK81" s="962" t="e">
        <f>[1]!qsn([1]!ml([1]!taqsha(1,1,[1]!roz(FK78+1,0,0,0),FK79)),FK80)/30</f>
        <v>#VALUE!</v>
      </c>
      <c r="FL81" s="962" t="e">
        <f>[1]!qsn([1]!ml([1]!taqsha(1,1,[1]!roz(FL78+1,0,0,0),FL79)),FL80)/30</f>
        <v>#VALUE!</v>
      </c>
      <c r="FM81" s="962" t="e">
        <f>[1]!qsn([1]!ml([1]!taqsha(1,1,[1]!roz(FM78+1,0,0,0),FM79)),FM80)/30</f>
        <v>#VALUE!</v>
      </c>
      <c r="FN81" s="962" t="e">
        <f>[1]!qsn([1]!ml([1]!taqsha(1,1,[1]!roz(FN78+1,0,0,0),FN79)),FN80)/30</f>
        <v>#VALUE!</v>
      </c>
      <c r="FO81" s="962" t="e">
        <f>[1]!qsn([1]!ml([1]!taqsha(1,1,[1]!roz(FO78+1,0,0,0),FO79)),FO80)/30</f>
        <v>#VALUE!</v>
      </c>
      <c r="FP81" s="962" t="e">
        <f>[1]!qsn([1]!ml([1]!taqsha(1,1,[1]!roz(FP78+1,0,0,0),FP79)),FP80)/30</f>
        <v>#VALUE!</v>
      </c>
      <c r="FQ81" s="962" t="e">
        <f>[1]!qsn([1]!ml([1]!taqsha(1,1,[1]!roz(FQ78+1,0,0,0),FQ79)),FQ80)/30</f>
        <v>#VALUE!</v>
      </c>
      <c r="FR81" s="962" t="e">
        <f>[1]!qsn([1]!ml([1]!taqsha(1,1,[1]!roz(FR78+1,0,0,0),FR79)),FR80)/30</f>
        <v>#VALUE!</v>
      </c>
      <c r="FS81" s="962" t="e">
        <f>[1]!qsn([1]!ml([1]!taqsha(1,1,[1]!roz(FS78+1,0,0,0),FS79)),FS80)/30</f>
        <v>#VALUE!</v>
      </c>
      <c r="FT81" s="962" t="e">
        <f>[1]!qsn([1]!ml([1]!taqsha(1,1,[1]!roz(FT78+1,0,0,0),FT79)),FT80)/30</f>
        <v>#VALUE!</v>
      </c>
      <c r="FU81" s="962" t="e">
        <f>[1]!qsn([1]!ml([1]!taqsha(1,1,[1]!roz(FU78+1,0,0,0),FU79)),FU80)/30</f>
        <v>#VALUE!</v>
      </c>
      <c r="FV81" s="962" t="e">
        <f>[1]!qsn([1]!ml([1]!taqsha(1,1,[1]!roz(FV78+1,0,0,0),FV79)),FV80)/30</f>
        <v>#VALUE!</v>
      </c>
      <c r="FW81" s="962" t="e">
        <f>[1]!qsn([1]!ml([1]!taqsha(1,1,[1]!roz(FW78+1,0,0,0),FW79)),FW80)/30</f>
        <v>#VALUE!</v>
      </c>
      <c r="FX81" s="962" t="e">
        <f>[1]!qsn([1]!ml([1]!taqsha(1,1,[1]!roz(FX78+1,0,0,0),FX79)),FX80)/30</f>
        <v>#VALUE!</v>
      </c>
      <c r="FY81" s="962" t="e">
        <f>[1]!qsn([1]!ml([1]!taqsha(1,1,[1]!roz(FY78+1,0,0,0),FY79)),FY80)/30</f>
        <v>#VALUE!</v>
      </c>
      <c r="FZ81" s="962" t="e">
        <f>[1]!qsn([1]!ml([1]!taqsha(1,1,[1]!roz(FZ78+1,0,0,0),FZ79)),FZ80)/30</f>
        <v>#VALUE!</v>
      </c>
      <c r="GA81" s="962" t="e">
        <f>[1]!qsn([1]!ml([1]!taqsha(1,1,[1]!roz(GA78+1,0,0,0),GA79)),GA80)/30</f>
        <v>#VALUE!</v>
      </c>
      <c r="GB81" s="962" t="e">
        <f>[1]!qsn([1]!ml([1]!taqsha(1,1,[1]!roz(GB78+1,0,0,0),GB79)),GB80)/30</f>
        <v>#VALUE!</v>
      </c>
      <c r="GC81" s="962" t="e">
        <f>[1]!qsn([1]!ml([1]!taqsha(1,1,[1]!roz(GC78+1,0,0,0),GC79)),GC80)/30</f>
        <v>#VALUE!</v>
      </c>
      <c r="GD81" s="962" t="e">
        <f>[1]!qsn([1]!ml([1]!taqsha(1,1,[1]!roz(GD78+1,0,0,0),GD79)),GD80)/30</f>
        <v>#VALUE!</v>
      </c>
      <c r="GE81" s="962" t="e">
        <f>[1]!qsn([1]!ml([1]!taqsha(1,1,[1]!roz(GE78+1,0,0,0),GE79)),GE80)/30</f>
        <v>#VALUE!</v>
      </c>
      <c r="GF81" s="962" t="e">
        <f>[1]!qsn([1]!ml([1]!taqsha(1,1,[1]!roz(GF78+1,0,0,0),GF79)),GF80)/30</f>
        <v>#VALUE!</v>
      </c>
      <c r="GG81" s="962" t="e">
        <f>[1]!qsn([1]!ml([1]!taqsha(1,1,[1]!roz(GG78+1,0,0,0),GG79)),GG80)/30</f>
        <v>#VALUE!</v>
      </c>
      <c r="GH81" s="962" t="e">
        <f>[1]!qsn([1]!ml([1]!taqsha(1,1,[1]!roz(GH78+1,0,0,0),GH79)),GH80)/30</f>
        <v>#VALUE!</v>
      </c>
      <c r="GI81" s="962" t="e">
        <f>[1]!qsn([1]!ml([1]!taqsha(1,1,[1]!roz(GI78+1,0,0,0),GI79)),GI80)/30</f>
        <v>#VALUE!</v>
      </c>
      <c r="GJ81" s="962" t="e">
        <f>[1]!qsn([1]!ml([1]!taqsha(1,1,[1]!roz(GJ78+1,0,0,0),GJ79)),GJ80)/30</f>
        <v>#VALUE!</v>
      </c>
      <c r="GK81" s="962" t="e">
        <f>[1]!qsn([1]!ml([1]!taqsha(1,1,[1]!roz(GK78+1,0,0,0),GK79)),GK80)/30</f>
        <v>#VALUE!</v>
      </c>
      <c r="GL81" s="962" t="e">
        <f>[1]!qsn([1]!ml([1]!taqsha(1,1,[1]!roz(GL78+1,0,0,0),GL79)),GL80)/30</f>
        <v>#VALUE!</v>
      </c>
      <c r="GM81" s="962" t="e">
        <f>[1]!qsn([1]!ml([1]!taqsha(1,1,[1]!roz(GM78+1,0,0,0),GM79)),GM80)/30</f>
        <v>#VALUE!</v>
      </c>
      <c r="GN81" s="962" t="e">
        <f>[1]!qsn([1]!ml([1]!taqsha(1,1,[1]!roz(GN78+1,0,0,0),GN79)),GN80)/30</f>
        <v>#VALUE!</v>
      </c>
      <c r="GO81" s="962" t="e">
        <f>[1]!qsn([1]!ml([1]!taqsha(1,1,[1]!roz(GO78+1,0,0,0),GO79)),GO80)/30</f>
        <v>#VALUE!</v>
      </c>
      <c r="GP81" s="962" t="e">
        <f>[1]!qsn([1]!ml([1]!taqsha(1,1,[1]!roz(GP78+1,0,0,0),GP79)),GP80)/30</f>
        <v>#VALUE!</v>
      </c>
      <c r="GQ81" s="962" t="e">
        <f>[1]!qsn([1]!ml([1]!taqsha(1,1,[1]!roz(GQ78+1,0,0,0),GQ79)),GQ80)/30</f>
        <v>#VALUE!</v>
      </c>
      <c r="GR81" s="962" t="e">
        <f>[1]!qsn([1]!ml([1]!taqsha(1,1,[1]!roz(GR78+1,0,0,0),GR79)),GR80)/30</f>
        <v>#VALUE!</v>
      </c>
      <c r="GS81" s="962" t="e">
        <f>[1]!qsn([1]!ml([1]!taqsha(1,1,[1]!roz(GS78+1,0,0,0),GS79)),GS80)/30</f>
        <v>#VALUE!</v>
      </c>
      <c r="GT81" s="962" t="e">
        <f>[1]!qsn([1]!ml([1]!taqsha(1,1,[1]!roz(GT78+1,0,0,0),GT79)),GT80)/30</f>
        <v>#VALUE!</v>
      </c>
      <c r="GU81" s="962" t="e">
        <f>[1]!qsn([1]!ml([1]!taqsha(1,1,[1]!roz(GU78+1,0,0,0),GU79)),GU80)/30</f>
        <v>#VALUE!</v>
      </c>
      <c r="GV81" s="962" t="e">
        <f>[1]!qsn([1]!ml([1]!taqsha(1,1,[1]!roz(GV78+1,0,0,0),GV79)),GV80)/30</f>
        <v>#VALUE!</v>
      </c>
      <c r="GW81" s="962" t="e">
        <f>[1]!qsn([1]!ml([1]!taqsha(1,1,[1]!roz(GW78+1,0,0,0),GW79)),GW80)/30</f>
        <v>#VALUE!</v>
      </c>
      <c r="GX81" s="962" t="e">
        <f>[1]!qsn([1]!ml([1]!taqsha(1,1,[1]!roz(GX78+1,0,0,0),GX79)),GX80)/30</f>
        <v>#VALUE!</v>
      </c>
      <c r="GY81" s="962" t="e">
        <f>[1]!qsn([1]!ml([1]!taqsha(1,1,[1]!roz(GY78+1,0,0,0),GY79)),GY80)/30</f>
        <v>#VALUE!</v>
      </c>
      <c r="GZ81" s="962" t="e">
        <f>[1]!qsn([1]!ml([1]!taqsha(1,1,[1]!roz(GZ78+1,0,0,0),GZ79)),GZ80)/30</f>
        <v>#VALUE!</v>
      </c>
      <c r="HA81" s="962" t="e">
        <f>[1]!qsn([1]!ml([1]!taqsha(1,1,[1]!roz(HA78+1,0,0,0),HA79)),HA80)/30</f>
        <v>#VALUE!</v>
      </c>
      <c r="HB81" s="962" t="e">
        <f>[1]!qsn([1]!ml([1]!taqsha(1,1,[1]!roz(HB78+1,0,0,0),HB79)),HB80)/30</f>
        <v>#VALUE!</v>
      </c>
      <c r="HC81" s="962" t="e">
        <f>[1]!qsn([1]!ml([1]!taqsha(1,1,[1]!roz(HC78+1,0,0,0),HC79)),HC80)/30</f>
        <v>#VALUE!</v>
      </c>
      <c r="HD81" s="962" t="e">
        <f>[1]!qsn([1]!ml([1]!taqsha(1,1,[1]!roz(HD78+1,0,0,0),HD79)),HD80)/30</f>
        <v>#VALUE!</v>
      </c>
      <c r="HE81" s="962" t="e">
        <f>[1]!qsn([1]!ml([1]!taqsha(1,1,[1]!roz(HE78+1,0,0,0),HE79)),HE80)/30</f>
        <v>#VALUE!</v>
      </c>
      <c r="HF81" s="962" t="e">
        <f>[1]!qsn([1]!ml([1]!taqsha(1,1,[1]!roz(HF78+1,0,0,0),HF79)),HF80)/30</f>
        <v>#VALUE!</v>
      </c>
      <c r="HG81" s="962" t="e">
        <f>[1]!qsn([1]!ml([1]!taqsha(1,1,[1]!roz(HG78+1,0,0,0),HG79)),HG80)/30</f>
        <v>#VALUE!</v>
      </c>
      <c r="HH81" s="962" t="e">
        <f>[1]!qsn([1]!ml([1]!taqsha(1,1,[1]!roz(HH78+1,0,0,0),HH79)),HH80)/30</f>
        <v>#VALUE!</v>
      </c>
      <c r="HI81" s="962" t="e">
        <f>[1]!qsn([1]!ml([1]!taqsha(1,1,[1]!roz(HI78+1,0,0,0),HI79)),HI80)/30</f>
        <v>#VALUE!</v>
      </c>
      <c r="HJ81" s="962" t="e">
        <f>[1]!qsn([1]!ml([1]!taqsha(1,1,[1]!roz(HJ78+1,0,0,0),HJ79)),HJ80)/30</f>
        <v>#VALUE!</v>
      </c>
      <c r="HK81" s="962" t="e">
        <f>[1]!qsn([1]!ml([1]!taqsha(1,1,[1]!roz(HK78+1,0,0,0),HK79)),HK80)/30</f>
        <v>#VALUE!</v>
      </c>
      <c r="HL81" s="962" t="e">
        <f>[1]!qsn([1]!ml([1]!taqsha(1,1,[1]!roz(HL78+1,0,0,0),HL79)),HL80)/30</f>
        <v>#VALUE!</v>
      </c>
      <c r="HM81" s="962" t="e">
        <f>[1]!qsn([1]!ml([1]!taqsha(1,1,[1]!roz(HM78+1,0,0,0),HM79)),HM80)/30</f>
        <v>#VALUE!</v>
      </c>
      <c r="HN81" s="962" t="e">
        <f>[1]!qsn([1]!ml([1]!taqsha(1,1,[1]!roz(HN78+1,0,0,0),HN79)),HN80)/30</f>
        <v>#VALUE!</v>
      </c>
      <c r="HO81" s="962" t="e">
        <f>[1]!qsn([1]!ml([1]!taqsha(1,1,[1]!roz(HO78+1,0,0,0),HO79)),HO80)/30</f>
        <v>#VALUE!</v>
      </c>
      <c r="HP81" s="962" t="e">
        <f>[1]!qsn([1]!ml([1]!taqsha(1,1,[1]!roz(HP78+1,0,0,0),HP79)),HP80)/30</f>
        <v>#VALUE!</v>
      </c>
      <c r="HQ81" s="962" t="e">
        <f>[1]!qsn([1]!ml([1]!taqsha(1,1,[1]!roz(HQ78+1,0,0,0),HQ79)),HQ80)/30</f>
        <v>#VALUE!</v>
      </c>
      <c r="HR81" s="962" t="e">
        <f>[1]!qsn([1]!ml([1]!taqsha(1,1,[1]!roz(HR78+1,0,0,0),HR79)),HR80)/30</f>
        <v>#VALUE!</v>
      </c>
      <c r="HS81" s="962" t="e">
        <f>[1]!qsn([1]!ml([1]!taqsha(1,1,[1]!roz(HS78+1,0,0,0),HS79)),HS80)/30</f>
        <v>#VALUE!</v>
      </c>
      <c r="HT81" s="962" t="e">
        <f>[1]!qsn([1]!ml([1]!taqsha(1,1,[1]!roz(HT78+1,0,0,0),HT79)),HT80)/30</f>
        <v>#VALUE!</v>
      </c>
      <c r="HU81" s="962" t="e">
        <f>[1]!qsn([1]!ml([1]!taqsha(1,1,[1]!roz(HU78+1,0,0,0),HU79)),HU80)/30</f>
        <v>#VALUE!</v>
      </c>
      <c r="HV81" s="962" t="e">
        <f>[1]!qsn([1]!ml([1]!taqsha(1,1,[1]!roz(HV78+1,0,0,0),HV79)),HV80)/30</f>
        <v>#VALUE!</v>
      </c>
      <c r="HW81" s="962" t="e">
        <f>[1]!qsn([1]!ml([1]!taqsha(1,1,[1]!roz(HW78+1,0,0,0),HW79)),HW80)/30</f>
        <v>#VALUE!</v>
      </c>
      <c r="HX81" s="962" t="e">
        <f>[1]!qsn([1]!ml([1]!taqsha(1,1,[1]!roz(HX78+1,0,0,0),HX79)),HX80)/30</f>
        <v>#VALUE!</v>
      </c>
      <c r="HY81" s="962" t="e">
        <f>[1]!qsn([1]!ml([1]!taqsha(1,1,[1]!roz(HY78+1,0,0,0),HY79)),HY80)/30</f>
        <v>#VALUE!</v>
      </c>
      <c r="HZ81" s="962" t="e">
        <f>[1]!qsn([1]!ml([1]!taqsha(1,1,[1]!roz(HZ78+1,0,0,0),HZ79)),HZ80)/30</f>
        <v>#VALUE!</v>
      </c>
      <c r="IA81" s="962" t="e">
        <f>[1]!qsn([1]!ml([1]!taqsha(1,1,[1]!roz(IA78+1,0,0,0),IA79)),IA80)/30</f>
        <v>#VALUE!</v>
      </c>
      <c r="IB81" s="962" t="e">
        <f>[1]!qsn([1]!ml([1]!taqsha(1,1,[1]!roz(IB78+1,0,0,0),IB79)),IB80)/30</f>
        <v>#VALUE!</v>
      </c>
      <c r="IC81" s="962" t="e">
        <f>[1]!qsn([1]!ml([1]!taqsha(1,1,[1]!roz(IC78+1,0,0,0),IC79)),IC80)/30</f>
        <v>#VALUE!</v>
      </c>
      <c r="ID81" s="962" t="e">
        <f>[1]!qsn([1]!ml([1]!taqsha(1,1,[1]!roz(ID78+1,0,0,0),ID79)),ID80)/30</f>
        <v>#VALUE!</v>
      </c>
      <c r="IE81" s="962" t="e">
        <f>[1]!qsn([1]!ml([1]!taqsha(1,1,[1]!roz(IE78+1,0,0,0),IE79)),IE80)/30</f>
        <v>#VALUE!</v>
      </c>
      <c r="IF81" s="962" t="e">
        <f>[1]!qsn([1]!ml([1]!taqsha(1,1,[1]!roz(IF78+1,0,0,0),IF79)),IF80)/30</f>
        <v>#VALUE!</v>
      </c>
      <c r="IG81" s="962" t="e">
        <f>[1]!qsn([1]!ml([1]!taqsha(1,1,[1]!roz(IG78+1,0,0,0),IG79)),IG80)/30</f>
        <v>#VALUE!</v>
      </c>
      <c r="IH81" s="962" t="e">
        <f>[1]!qsn([1]!ml([1]!taqsha(1,1,[1]!roz(IH78+1,0,0,0),IH79)),IH80)/30</f>
        <v>#VALUE!</v>
      </c>
      <c r="II81" s="962" t="e">
        <f>[1]!qsn([1]!ml([1]!taqsha(1,1,[1]!roz(II78+1,0,0,0),II79)),II80)/30</f>
        <v>#VALUE!</v>
      </c>
      <c r="IJ81" s="962" t="e">
        <f>[1]!qsn([1]!ml([1]!taqsha(1,1,[1]!roz(IJ78+1,0,0,0),IJ79)),IJ80)/30</f>
        <v>#VALUE!</v>
      </c>
      <c r="IK81" s="962" t="e">
        <f>[1]!qsn([1]!ml([1]!taqsha(1,1,[1]!roz(IK78+1,0,0,0),IK79)),IK80)/30</f>
        <v>#VALUE!</v>
      </c>
      <c r="IL81" s="962" t="e">
        <f>[1]!qsn([1]!ml([1]!taqsha(1,1,[1]!roz(IL78+1,0,0,0),IL79)),IL80)/30</f>
        <v>#VALUE!</v>
      </c>
      <c r="IM81" s="962" t="e">
        <f>[1]!qsn([1]!ml([1]!taqsha(1,1,[1]!roz(IM78+1,0,0,0),IM79)),IM80)/30</f>
        <v>#VALUE!</v>
      </c>
      <c r="IN81" s="962" t="e">
        <f>[1]!qsn([1]!ml([1]!taqsha(1,1,[1]!roz(IN78+1,0,0,0),IN79)),IN80)/30</f>
        <v>#VALUE!</v>
      </c>
      <c r="IO81" s="962" t="e">
        <f>[1]!qsn([1]!ml([1]!taqsha(1,1,[1]!roz(IO78+1,0,0,0),IO79)),IO80)/30</f>
        <v>#VALUE!</v>
      </c>
      <c r="IP81" s="962" t="e">
        <f>[1]!qsn([1]!ml([1]!taqsha(1,1,[1]!roz(IP78+1,0,0,0),IP79)),IP80)/30</f>
        <v>#VALUE!</v>
      </c>
      <c r="IQ81" s="962" t="e">
        <f>[1]!qsn([1]!ml([1]!taqsha(1,1,[1]!roz(IQ78+1,0,0,0),IQ79)),IQ80)/30</f>
        <v>#VALUE!</v>
      </c>
      <c r="IR81" s="962" t="e">
        <f>[1]!qsn([1]!ml([1]!taqsha(1,1,[1]!roz(IR78+1,0,0,0),IR79)),IR80)/30</f>
        <v>#VALUE!</v>
      </c>
      <c r="IS81" s="962" t="e">
        <f>[1]!qsn([1]!ml([1]!taqsha(1,1,[1]!roz(IS78+1,0,0,0),IS79)),IS80)/30</f>
        <v>#VALUE!</v>
      </c>
      <c r="IT81" s="962" t="e">
        <f>[1]!qsn([1]!ml([1]!taqsha(1,1,[1]!roz(IT78+1,0,0,0),IT79)),IT80)/30</f>
        <v>#VALUE!</v>
      </c>
      <c r="IU81" s="962" t="e">
        <f>[1]!qsn([1]!ml([1]!taqsha(1,1,[1]!roz(IU78+1,0,0,0),IU79)),IU80)/30</f>
        <v>#VALUE!</v>
      </c>
      <c r="IV81" s="962" t="e">
        <f>[1]!qsn([1]!ml([1]!taqsha(1,1,[1]!roz(IV78+1,0,0,0),IV79)),IV80)/30</f>
        <v>#VALUE!</v>
      </c>
      <c r="IW81" s="962" t="e">
        <f>[1]!qsn([1]!ml([1]!taqsha(1,1,[1]!roz(IW78+1,0,0,0),IW79)),IW80)/30</f>
        <v>#VALUE!</v>
      </c>
      <c r="IX81" s="962" t="e">
        <f>[1]!qsn([1]!ml([1]!taqsha(1,1,[1]!roz(IX78+1,0,0,0),IX79)),IX80)/30</f>
        <v>#VALUE!</v>
      </c>
      <c r="IY81" s="962" t="e">
        <f>[1]!qsn([1]!ml([1]!taqsha(1,1,[1]!roz(IY78+1,0,0,0),IY79)),IY80)/30</f>
        <v>#VALUE!</v>
      </c>
      <c r="IZ81" s="962" t="e">
        <f>[1]!qsn([1]!ml([1]!taqsha(1,1,[1]!roz(IZ78+1,0,0,0),IZ79)),IZ80)/30</f>
        <v>#VALUE!</v>
      </c>
      <c r="JA81" s="962" t="e">
        <f>[1]!qsn([1]!ml([1]!taqsha(1,1,[1]!roz(JA78+1,0,0,0),JA79)),JA80)/30</f>
        <v>#VALUE!</v>
      </c>
      <c r="JB81" s="962" t="e">
        <f>[1]!qsn([1]!ml([1]!taqsha(1,1,[1]!roz(JB78+1,0,0,0),JB79)),JB80)/30</f>
        <v>#VALUE!</v>
      </c>
      <c r="JC81" s="962" t="e">
        <f>[1]!qsn([1]!ml([1]!taqsha(1,1,[1]!roz(JC78+1,0,0,0),JC79)),JC80)/30</f>
        <v>#VALUE!</v>
      </c>
      <c r="JD81" s="962" t="e">
        <f>[1]!qsn([1]!ml([1]!taqsha(1,1,[1]!roz(JD78+1,0,0,0),JD79)),JD80)/30</f>
        <v>#VALUE!</v>
      </c>
      <c r="JE81" s="962" t="e">
        <f>[1]!qsn([1]!ml([1]!taqsha(1,1,[1]!roz(JE78+1,0,0,0),JE79)),JE80)/30</f>
        <v>#VALUE!</v>
      </c>
      <c r="JF81" s="962" t="e">
        <f>[1]!qsn([1]!ml([1]!taqsha(1,1,[1]!roz(JF78+1,0,0,0),JF79)),JF80)/30</f>
        <v>#VALUE!</v>
      </c>
      <c r="JG81" s="962" t="e">
        <f>[1]!qsn([1]!ml([1]!taqsha(1,1,[1]!roz(JG78+1,0,0,0),JG79)),JG80)/30</f>
        <v>#VALUE!</v>
      </c>
      <c r="JH81" s="962" t="e">
        <f>[1]!qsn([1]!ml([1]!taqsha(1,1,[1]!roz(JH78+1,0,0,0),JH79)),JH80)/30</f>
        <v>#VALUE!</v>
      </c>
      <c r="JI81" s="962" t="e">
        <f>[1]!qsn([1]!ml([1]!taqsha(1,1,[1]!roz(JI78+1,0,0,0),JI79)),JI80)/30</f>
        <v>#VALUE!</v>
      </c>
      <c r="JJ81" s="962" t="e">
        <f>[1]!qsn([1]!ml([1]!taqsha(1,1,[1]!roz(JJ78+1,0,0,0),JJ79)),JJ80)/30</f>
        <v>#VALUE!</v>
      </c>
      <c r="JK81" s="962" t="e">
        <f>[1]!qsn([1]!ml([1]!taqsha(1,1,[1]!roz(JK78+1,0,0,0),JK79)),JK80)/30</f>
        <v>#VALUE!</v>
      </c>
      <c r="JL81" s="962" t="e">
        <f>[1]!qsn([1]!ml([1]!taqsha(1,1,[1]!roz(JL78+1,0,0,0),JL79)),JL80)/30</f>
        <v>#VALUE!</v>
      </c>
      <c r="JM81" s="962" t="e">
        <f>[1]!qsn([1]!ml([1]!taqsha(1,1,[1]!roz(JM78+1,0,0,0),JM79)),JM80)/30</f>
        <v>#VALUE!</v>
      </c>
      <c r="JN81" s="962" t="e">
        <f>[1]!qsn([1]!ml([1]!taqsha(1,1,[1]!roz(JN78+1,0,0,0),JN79)),JN80)/30</f>
        <v>#VALUE!</v>
      </c>
      <c r="JO81" s="962" t="e">
        <f>[1]!qsn([1]!ml([1]!taqsha(1,1,[1]!roz(JO78+1,0,0,0),JO79)),JO80)/30</f>
        <v>#VALUE!</v>
      </c>
      <c r="JP81" s="962" t="e">
        <f>[1]!qsn([1]!ml([1]!taqsha(1,1,[1]!roz(JP78+1,0,0,0),JP79)),JP80)/30</f>
        <v>#VALUE!</v>
      </c>
      <c r="JQ81" s="962" t="e">
        <f>[1]!qsn([1]!ml([1]!taqsha(1,1,[1]!roz(JQ78+1,0,0,0),JQ79)),JQ80)/30</f>
        <v>#VALUE!</v>
      </c>
      <c r="JR81" s="962" t="e">
        <f>[1]!qsn([1]!ml([1]!taqsha(1,1,[1]!roz(JR78+1,0,0,0),JR79)),JR80)/30</f>
        <v>#VALUE!</v>
      </c>
      <c r="JS81" s="962" t="e">
        <f>[1]!qsn([1]!ml([1]!taqsha(1,1,[1]!roz(JS78+1,0,0,0),JS79)),JS80)/30</f>
        <v>#VALUE!</v>
      </c>
      <c r="JT81" s="962" t="e">
        <f>[1]!qsn([1]!ml([1]!taqsha(1,1,[1]!roz(JT78+1,0,0,0),JT79)),JT80)/30</f>
        <v>#VALUE!</v>
      </c>
      <c r="JU81" s="962" t="e">
        <f>[1]!qsn([1]!ml([1]!taqsha(1,1,[1]!roz(JU78+1,0,0,0),JU79)),JU80)/30</f>
        <v>#VALUE!</v>
      </c>
      <c r="JV81" s="962" t="e">
        <f>[1]!qsn([1]!ml([1]!taqsha(1,1,[1]!roz(JV78+1,0,0,0),JV79)),JV80)/30</f>
        <v>#VALUE!</v>
      </c>
      <c r="JW81" s="962" t="e">
        <f>[1]!qsn([1]!ml([1]!taqsha(1,1,[1]!roz(JW78+1,0,0,0),JW79)),JW80)/30</f>
        <v>#VALUE!</v>
      </c>
      <c r="JX81" s="962" t="e">
        <f>[1]!qsn([1]!ml([1]!taqsha(1,1,[1]!roz(JX78+1,0,0,0),JX79)),JX80)/30</f>
        <v>#VALUE!</v>
      </c>
      <c r="JY81" s="962" t="e">
        <f>[1]!qsn([1]!ml([1]!taqsha(1,1,[1]!roz(JY78+1,0,0,0),JY79)),JY80)/30</f>
        <v>#VALUE!</v>
      </c>
      <c r="JZ81" s="962" t="e">
        <f>[1]!qsn([1]!ml([1]!taqsha(1,1,[1]!roz(JZ78+1,0,0,0),JZ79)),JZ80)/30</f>
        <v>#VALUE!</v>
      </c>
      <c r="KA81" s="962" t="e">
        <f>[1]!qsn([1]!ml([1]!taqsha(1,1,[1]!roz(KA78+1,0,0,0),KA79)),KA80)/30</f>
        <v>#VALUE!</v>
      </c>
      <c r="KB81" s="962" t="e">
        <f>[1]!qsn([1]!ml([1]!taqsha(1,1,[1]!roz(KB78+1,0,0,0),KB79)),KB80)/30</f>
        <v>#VALUE!</v>
      </c>
      <c r="KC81" s="962" t="e">
        <f>[1]!qsn([1]!ml([1]!taqsha(1,1,[1]!roz(KC78+1,0,0,0),KC79)),KC80)/30</f>
        <v>#VALUE!</v>
      </c>
      <c r="KD81" s="962" t="e">
        <f>[1]!qsn([1]!ml([1]!taqsha(1,1,[1]!roz(KD78+1,0,0,0),KD79)),KD80)/30</f>
        <v>#VALUE!</v>
      </c>
      <c r="KE81" s="962" t="e">
        <f>[1]!qsn([1]!ml([1]!taqsha(1,1,[1]!roz(KE78+1,0,0,0),KE79)),KE80)/30</f>
        <v>#VALUE!</v>
      </c>
      <c r="KF81" s="962" t="e">
        <f>[1]!qsn([1]!ml([1]!taqsha(1,1,[1]!roz(KF78+1,0,0,0),KF79)),KF80)/30</f>
        <v>#VALUE!</v>
      </c>
      <c r="KG81" s="962" t="e">
        <f>[1]!qsn([1]!ml([1]!taqsha(1,1,[1]!roz(KG78+1,0,0,0),KG79)),KG80)/30</f>
        <v>#VALUE!</v>
      </c>
      <c r="KH81" s="962" t="e">
        <f>[1]!qsn([1]!ml([1]!taqsha(1,1,[1]!roz(KH78+1,0,0,0),KH79)),KH80)/30</f>
        <v>#VALUE!</v>
      </c>
      <c r="KI81" s="962" t="e">
        <f>[1]!qsn([1]!ml([1]!taqsha(1,1,[1]!roz(KI78+1,0,0,0),KI79)),KI80)/30</f>
        <v>#VALUE!</v>
      </c>
      <c r="KJ81" s="962" t="e">
        <f>[1]!qsn([1]!ml([1]!taqsha(1,1,[1]!roz(KJ78+1,0,0,0),KJ79)),KJ80)/30</f>
        <v>#VALUE!</v>
      </c>
      <c r="KK81" s="962" t="e">
        <f>[1]!qsn([1]!ml([1]!taqsha(1,1,[1]!roz(KK78+1,0,0,0),KK79)),KK80)/30</f>
        <v>#VALUE!</v>
      </c>
      <c r="KL81" s="962" t="e">
        <f>[1]!qsn([1]!ml([1]!taqsha(1,1,[1]!roz(KL78+1,0,0,0),KL79)),KL80)/30</f>
        <v>#VALUE!</v>
      </c>
      <c r="KM81" s="962" t="e">
        <f>[1]!qsn([1]!ml([1]!taqsha(1,1,[1]!roz(KM78+1,0,0,0),KM79)),KM80)/30</f>
        <v>#VALUE!</v>
      </c>
      <c r="KN81" s="962" t="e">
        <f>[1]!qsn([1]!ml([1]!taqsha(1,1,[1]!roz(KN78+1,0,0,0),KN79)),KN80)/30</f>
        <v>#VALUE!</v>
      </c>
      <c r="KO81" s="962" t="e">
        <f>[1]!qsn([1]!ml([1]!taqsha(1,1,[1]!roz(KO78+1,0,0,0),KO79)),KO80)/30</f>
        <v>#VALUE!</v>
      </c>
      <c r="KP81" s="962" t="e">
        <f>[1]!qsn([1]!ml([1]!taqsha(1,1,[1]!roz(KP78+1,0,0,0),KP79)),KP80)/30</f>
        <v>#VALUE!</v>
      </c>
      <c r="KQ81" s="962" t="e">
        <f>[1]!qsn([1]!ml([1]!taqsha(1,1,[1]!roz(KQ78+1,0,0,0),KQ79)),KQ80)/30</f>
        <v>#VALUE!</v>
      </c>
      <c r="KR81" s="962" t="e">
        <f>[1]!qsn([1]!ml([1]!taqsha(1,1,[1]!roz(KR78+1,0,0,0),KR79)),KR80)/30</f>
        <v>#VALUE!</v>
      </c>
      <c r="KS81" s="962" t="e">
        <f>[1]!qsn([1]!ml([1]!taqsha(1,1,[1]!roz(KS78+1,0,0,0),KS79)),KS80)/30</f>
        <v>#VALUE!</v>
      </c>
      <c r="KT81" s="962" t="e">
        <f>[1]!qsn([1]!ml([1]!taqsha(1,1,[1]!roz(KT78+1,0,0,0),KT79)),KT80)/30</f>
        <v>#VALUE!</v>
      </c>
      <c r="KU81" s="962" t="e">
        <f>[1]!qsn([1]!ml([1]!taqsha(1,1,[1]!roz(KU78+1,0,0,0),KU79)),KU80)/30</f>
        <v>#VALUE!</v>
      </c>
      <c r="KV81" s="962" t="e">
        <f>[1]!qsn([1]!ml([1]!taqsha(1,1,[1]!roz(KV78+1,0,0,0),KV79)),KV80)/30</f>
        <v>#VALUE!</v>
      </c>
      <c r="KW81" s="962" t="e">
        <f>[1]!qsn([1]!ml([1]!taqsha(1,1,[1]!roz(KW78+1,0,0,0),KW79)),KW80)/30</f>
        <v>#VALUE!</v>
      </c>
      <c r="KX81" s="962" t="e">
        <f>[1]!qsn([1]!ml([1]!taqsha(1,1,[1]!roz(KX78+1,0,0,0),KX79)),KX80)/30</f>
        <v>#VALUE!</v>
      </c>
      <c r="KY81" s="962" t="e">
        <f>[1]!qsn([1]!ml([1]!taqsha(1,1,[1]!roz(KY78+1,0,0,0),KY79)),KY80)/30</f>
        <v>#VALUE!</v>
      </c>
      <c r="KZ81" s="962" t="e">
        <f>[1]!qsn([1]!ml([1]!taqsha(1,1,[1]!roz(KZ78+1,0,0,0),KZ79)),KZ80)/30</f>
        <v>#VALUE!</v>
      </c>
      <c r="LA81" s="962" t="e">
        <f>[1]!qsn([1]!ml([1]!taqsha(1,1,[1]!roz(LA78+1,0,0,0),LA79)),LA80)/30</f>
        <v>#VALUE!</v>
      </c>
      <c r="LB81" s="962" t="e">
        <f>[1]!qsn([1]!ml([1]!taqsha(1,1,[1]!roz(LB78+1,0,0,0),LB79)),LB80)/30</f>
        <v>#VALUE!</v>
      </c>
      <c r="LC81" s="962" t="e">
        <f>[1]!qsn([1]!ml([1]!taqsha(1,1,[1]!roz(LC78+1,0,0,0),LC79)),LC80)/30</f>
        <v>#VALUE!</v>
      </c>
      <c r="LD81" s="962" t="e">
        <f>[1]!qsn([1]!ml([1]!taqsha(1,1,[1]!roz(LD78+1,0,0,0),LD79)),LD80)/30</f>
        <v>#VALUE!</v>
      </c>
      <c r="LE81" s="962" t="e">
        <f>[1]!qsn([1]!ml([1]!taqsha(1,1,[1]!roz(LE78+1,0,0,0),LE79)),LE80)/30</f>
        <v>#VALUE!</v>
      </c>
      <c r="LF81" s="962" t="e">
        <f>[1]!qsn([1]!ml([1]!taqsha(1,1,[1]!roz(LF78+1,0,0,0),LF79)),LF80)/30</f>
        <v>#VALUE!</v>
      </c>
      <c r="LG81" s="962" t="e">
        <f>[1]!qsn([1]!ml([1]!taqsha(1,1,[1]!roz(LG78+1,0,0,0),LG79)),LG80)/30</f>
        <v>#VALUE!</v>
      </c>
      <c r="LH81" s="962" t="e">
        <f>[1]!qsn([1]!ml([1]!taqsha(1,1,[1]!roz(LH78+1,0,0,0),LH79)),LH80)/30</f>
        <v>#VALUE!</v>
      </c>
      <c r="LI81" s="962" t="e">
        <f>[1]!qsn([1]!ml([1]!taqsha(1,1,[1]!roz(LI78+1,0,0,0),LI79)),LI80)/30</f>
        <v>#VALUE!</v>
      </c>
      <c r="LJ81" s="962" t="e">
        <f>[1]!qsn([1]!ml([1]!taqsha(1,1,[1]!roz(LJ78+1,0,0,0),LJ79)),LJ80)/30</f>
        <v>#VALUE!</v>
      </c>
      <c r="LK81" s="962" t="e">
        <f>[1]!qsn([1]!ml([1]!taqsha(1,1,[1]!roz(LK78+1,0,0,0),LK79)),LK80)/30</f>
        <v>#VALUE!</v>
      </c>
      <c r="LL81" s="962" t="e">
        <f>[1]!qsn([1]!ml([1]!taqsha(1,1,[1]!roz(LL78+1,0,0,0),LL79)),LL80)/30</f>
        <v>#VALUE!</v>
      </c>
      <c r="LM81" s="962" t="e">
        <f>[1]!qsn([1]!ml([1]!taqsha(1,1,[1]!roz(LM78+1,0,0,0),LM79)),LM80)/30</f>
        <v>#VALUE!</v>
      </c>
      <c r="LN81" s="962" t="e">
        <f>[1]!qsn([1]!ml([1]!taqsha(1,1,[1]!roz(LN78+1,0,0,0),LN79)),LN80)/30</f>
        <v>#VALUE!</v>
      </c>
      <c r="LO81" s="962" t="e">
        <f>[1]!qsn([1]!ml([1]!taqsha(1,1,[1]!roz(LO78+1,0,0,0),LO79)),LO80)/30</f>
        <v>#VALUE!</v>
      </c>
      <c r="LP81" s="962" t="e">
        <f>[1]!qsn([1]!ml([1]!taqsha(1,1,[1]!roz(LP78+1,0,0,0),LP79)),LP80)/30</f>
        <v>#VALUE!</v>
      </c>
      <c r="LQ81" s="962" t="e">
        <f>[1]!qsn([1]!ml([1]!taqsha(1,1,[1]!roz(LQ78+1,0,0,0),LQ79)),LQ80)/30</f>
        <v>#VALUE!</v>
      </c>
      <c r="LR81" s="962" t="e">
        <f>[1]!qsn([1]!ml([1]!taqsha(1,1,[1]!roz(LR78+1,0,0,0),LR79)),LR80)/30</f>
        <v>#VALUE!</v>
      </c>
      <c r="LS81" s="962" t="e">
        <f>[1]!qsn([1]!ml([1]!taqsha(1,1,[1]!roz(LS78+1,0,0,0),LS79)),LS80)/30</f>
        <v>#VALUE!</v>
      </c>
      <c r="LT81" s="962" t="e">
        <f>[1]!qsn([1]!ml([1]!taqsha(1,1,[1]!roz(LT78+1,0,0,0),LT79)),LT80)/30</f>
        <v>#VALUE!</v>
      </c>
      <c r="LU81" s="962" t="e">
        <f>[1]!qsn([1]!ml([1]!taqsha(1,1,[1]!roz(LU78+1,0,0,0),LU79)),LU80)/30</f>
        <v>#VALUE!</v>
      </c>
      <c r="LV81" s="962" t="e">
        <f>[1]!qsn([1]!ml([1]!taqsha(1,1,[1]!roz(LV78+1,0,0,0),LV79)),LV80)/30</f>
        <v>#VALUE!</v>
      </c>
      <c r="LW81" s="962" t="e">
        <f>[1]!qsn([1]!ml([1]!taqsha(1,1,[1]!roz(LW78+1,0,0,0),LW79)),LW80)/30</f>
        <v>#VALUE!</v>
      </c>
      <c r="LX81" s="962" t="e">
        <f>[1]!qsn([1]!ml([1]!taqsha(1,1,[1]!roz(LX78+1,0,0,0),LX79)),LX80)/30</f>
        <v>#VALUE!</v>
      </c>
      <c r="LY81" s="962" t="e">
        <f>[1]!qsn([1]!ml([1]!taqsha(1,1,[1]!roz(LY78+1,0,0,0),LY79)),LY80)/30</f>
        <v>#VALUE!</v>
      </c>
      <c r="LZ81" s="962" t="e">
        <f>[1]!qsn([1]!ml([1]!taqsha(1,1,[1]!roz(LZ78+1,0,0,0),LZ79)),LZ80)/30</f>
        <v>#VALUE!</v>
      </c>
      <c r="MA81" s="962" t="e">
        <f>[1]!qsn([1]!ml([1]!taqsha(1,1,[1]!roz(MA78+1,0,0,0),MA79)),MA80)/30</f>
        <v>#VALUE!</v>
      </c>
      <c r="MB81" s="962" t="e">
        <f>[1]!qsn([1]!ml([1]!taqsha(1,1,[1]!roz(MB78+1,0,0,0),MB79)),MB80)/30</f>
        <v>#VALUE!</v>
      </c>
      <c r="MC81" s="962" t="e">
        <f>[1]!qsn([1]!ml([1]!taqsha(1,1,[1]!roz(MC78+1,0,0,0),MC79)),MC80)/30</f>
        <v>#VALUE!</v>
      </c>
      <c r="MD81" s="962" t="e">
        <f>[1]!qsn([1]!ml([1]!taqsha(1,1,[1]!roz(MD78+1,0,0,0),MD79)),MD80)/30</f>
        <v>#VALUE!</v>
      </c>
      <c r="ME81" s="962" t="e">
        <f>[1]!qsn([1]!ml([1]!taqsha(1,1,[1]!roz(ME78+1,0,0,0),ME79)),ME80)/30</f>
        <v>#VALUE!</v>
      </c>
      <c r="MF81" s="962" t="e">
        <f>[1]!qsn([1]!ml([1]!taqsha(1,1,[1]!roz(MF78+1,0,0,0),MF79)),MF80)/30</f>
        <v>#VALUE!</v>
      </c>
      <c r="MG81" s="962" t="e">
        <f>[1]!qsn([1]!ml([1]!taqsha(1,1,[1]!roz(MG78+1,0,0,0),MG79)),MG80)/30</f>
        <v>#VALUE!</v>
      </c>
      <c r="MH81" s="962" t="e">
        <f>[1]!qsn([1]!ml([1]!taqsha(1,1,[1]!roz(MH78+1,0,0,0),MH79)),MH80)/30</f>
        <v>#VALUE!</v>
      </c>
      <c r="MI81" s="962" t="e">
        <f>[1]!qsn([1]!ml([1]!taqsha(1,1,[1]!roz(MI78+1,0,0,0),MI79)),MI80)/30</f>
        <v>#VALUE!</v>
      </c>
      <c r="MJ81" s="962" t="e">
        <f>[1]!qsn([1]!ml([1]!taqsha(1,1,[1]!roz(MJ78+1,0,0,0),MJ79)),MJ80)/30</f>
        <v>#VALUE!</v>
      </c>
      <c r="MK81" s="962" t="e">
        <f>[1]!qsn([1]!ml([1]!taqsha(1,1,[1]!roz(MK78+1,0,0,0),MK79)),MK80)/30</f>
        <v>#VALUE!</v>
      </c>
      <c r="ML81" s="962" t="e">
        <f>[1]!qsn([1]!ml([1]!taqsha(1,1,[1]!roz(ML78+1,0,0,0),ML79)),ML80)/30</f>
        <v>#VALUE!</v>
      </c>
      <c r="MM81" s="962" t="e">
        <f>[1]!qsn([1]!ml([1]!taqsha(1,1,[1]!roz(MM78+1,0,0,0),MM79)),MM80)/30</f>
        <v>#VALUE!</v>
      </c>
      <c r="MN81" s="962" t="e">
        <f>[1]!qsn([1]!ml([1]!taqsha(1,1,[1]!roz(MN78+1,0,0,0),MN79)),MN80)/30</f>
        <v>#VALUE!</v>
      </c>
      <c r="MO81" s="962" t="e">
        <f>[1]!qsn([1]!ml([1]!taqsha(1,1,[1]!roz(MO78+1,0,0,0),MO79)),MO80)/30</f>
        <v>#VALUE!</v>
      </c>
      <c r="MP81" s="962" t="e">
        <f>[1]!qsn([1]!ml([1]!taqsha(1,1,[1]!roz(MP78+1,0,0,0),MP79)),MP80)/30</f>
        <v>#VALUE!</v>
      </c>
      <c r="MQ81" s="962" t="e">
        <f>[1]!qsn([1]!ml([1]!taqsha(1,1,[1]!roz(MQ78+1,0,0,0),MQ79)),MQ80)/30</f>
        <v>#VALUE!</v>
      </c>
      <c r="MR81" s="962" t="e">
        <f>[1]!qsn([1]!ml([1]!taqsha(1,1,[1]!roz(MR78+1,0,0,0),MR79)),MR80)/30</f>
        <v>#VALUE!</v>
      </c>
      <c r="MS81" s="962" t="e">
        <f>[1]!qsn([1]!ml([1]!taqsha(1,1,[1]!roz(MS78+1,0,0,0),MS79)),MS80)/30</f>
        <v>#VALUE!</v>
      </c>
      <c r="MT81" s="962" t="e">
        <f>[1]!qsn([1]!ml([1]!taqsha(1,1,[1]!roz(MT78+1,0,0,0),MT79)),MT80)/30</f>
        <v>#VALUE!</v>
      </c>
      <c r="MU81" s="962" t="e">
        <f>[1]!qsn([1]!ml([1]!taqsha(1,1,[1]!roz(MU78+1,0,0,0),MU79)),MU80)/30</f>
        <v>#VALUE!</v>
      </c>
      <c r="MV81" s="962" t="e">
        <f>[1]!qsn([1]!ml([1]!taqsha(1,1,[1]!roz(MV78+1,0,0,0),MV79)),MV80)/30</f>
        <v>#VALUE!</v>
      </c>
      <c r="MW81" s="962" t="e">
        <f>[1]!qsn([1]!ml([1]!taqsha(1,1,[1]!roz(MW78+1,0,0,0),MW79)),MW80)/30</f>
        <v>#VALUE!</v>
      </c>
      <c r="MX81" s="962" t="e">
        <f>[1]!qsn([1]!ml([1]!taqsha(1,1,[1]!roz(MX78+1,0,0,0),MX79)),MX80)/30</f>
        <v>#VALUE!</v>
      </c>
      <c r="MY81" s="962" t="e">
        <f>[1]!qsn([1]!ml([1]!taqsha(1,1,[1]!roz(MY78+1,0,0,0),MY79)),MY80)/30</f>
        <v>#VALUE!</v>
      </c>
      <c r="MZ81" s="962" t="e">
        <f>[1]!qsn([1]!ml([1]!taqsha(1,1,[1]!roz(MZ78+1,0,0,0),MZ79)),MZ80)/30</f>
        <v>#VALUE!</v>
      </c>
      <c r="NA81" s="962" t="e">
        <f>[1]!qsn([1]!ml([1]!taqsha(1,1,[1]!roz(NA78+1,0,0,0),NA79)),NA80)/30</f>
        <v>#VALUE!</v>
      </c>
      <c r="NB81" s="962" t="e">
        <f>[1]!qsn([1]!ml([1]!taqsha(1,1,[1]!roz(NB78+1,0,0,0),NB79)),NB80)/30</f>
        <v>#VALUE!</v>
      </c>
      <c r="NC81" s="962" t="e">
        <f>[1]!qsn([1]!ml([1]!taqsha(1,1,[1]!roz(NC78+1,0,0,0),NC79)),NC80)/30</f>
        <v>#VALUE!</v>
      </c>
      <c r="ND81" s="962" t="e">
        <f>[1]!qsn([1]!ml([1]!taqsha(1,1,[1]!roz(ND78+1,0,0,0),ND79)),ND80)/30</f>
        <v>#VALUE!</v>
      </c>
      <c r="NE81" s="962" t="e">
        <f>[1]!qsn([1]!ml([1]!taqsha(1,1,[1]!roz(NE78+1,0,0,0),NE79)),NE80)/30</f>
        <v>#VALUE!</v>
      </c>
      <c r="NF81" s="962" t="e">
        <f>[1]!qsn([1]!ml([1]!taqsha(1,1,[1]!roz(NF78+1,0,0,0),NF79)),NF80)/30</f>
        <v>#VALUE!</v>
      </c>
      <c r="NG81" s="962" t="e">
        <f>[1]!qsn([1]!ml([1]!taqsha(1,1,[1]!roz(NG78+1,0,0,0),NG79)),NG80)/30</f>
        <v>#VALUE!</v>
      </c>
      <c r="NH81" s="962" t="e">
        <f>[1]!qsn([1]!ml([1]!taqsha(1,1,[1]!roz(NH78+1,0,0,0),NH79)),NH80)/30</f>
        <v>#VALUE!</v>
      </c>
      <c r="NI81" s="962" t="e">
        <f>[1]!qsn([1]!ml([1]!taqsha(1,1,[1]!roz(NI78+1,0,0,0),NI79)),NI80)/30</f>
        <v>#VALUE!</v>
      </c>
      <c r="NJ81" s="962" t="e">
        <f>[1]!qsn([1]!ml([1]!taqsha(1,1,[1]!roz(NJ78+1,0,0,0),NJ79)),NJ80)/30</f>
        <v>#VALUE!</v>
      </c>
      <c r="NK81" s="962" t="e">
        <f>[1]!qsn([1]!ml([1]!taqsha(1,1,[1]!roz(NK78+1,0,0,0),NK79)),NK80)/30</f>
        <v>#VALUE!</v>
      </c>
      <c r="NL81" s="962" t="e">
        <f>[1]!qsn([1]!ml([1]!taqsha(1,1,[1]!roz(NL78+1,0,0,0),NL79)),NL80)/30</f>
        <v>#VALUE!</v>
      </c>
      <c r="NM81" s="962" t="e">
        <f>[1]!qsn([1]!ml([1]!taqsha(1,1,[1]!roz(NM78+1,0,0,0),NM79)),NM80)/30</f>
        <v>#VALUE!</v>
      </c>
      <c r="NN81" s="962" t="e">
        <f>[1]!qsn([1]!ml([1]!taqsha(1,1,[1]!roz(NN78+1,0,0,0),NN79)),NN80)/30</f>
        <v>#VALUE!</v>
      </c>
      <c r="NO81" s="962" t="e">
        <f>[1]!qsn([1]!ml([1]!taqsha(1,1,[1]!roz(NO78+1,0,0,0),NO79)),NO80)/30</f>
        <v>#VALUE!</v>
      </c>
      <c r="NP81" s="962" t="e">
        <f>[1]!qsn([1]!ml([1]!taqsha(1,1,[1]!roz(NP78+1,0,0,0),NP79)),NP80)/30</f>
        <v>#VALUE!</v>
      </c>
      <c r="NQ81" s="962" t="e">
        <f>[1]!qsn([1]!ml([1]!taqsha(1,1,[1]!roz(NQ78+1,0,0,0),NQ79)),NQ80)/30</f>
        <v>#VALUE!</v>
      </c>
      <c r="NR81" s="962" t="e">
        <f>[1]!qsn([1]!ml([1]!taqsha(1,1,[1]!roz(NR78+1,0,0,0),NR79)),NR80)/30</f>
        <v>#VALUE!</v>
      </c>
      <c r="NS81" s="962" t="e">
        <f>[1]!qsn([1]!ml([1]!taqsha(1,1,[1]!roz(NS78+1,0,0,0),NS79)),NS80)/30</f>
        <v>#VALUE!</v>
      </c>
      <c r="NT81" s="962" t="e">
        <f>[1]!qsn([1]!ml([1]!taqsha(1,1,[1]!roz(NT78+1,0,0,0),NT79)),NT80)/30</f>
        <v>#VALUE!</v>
      </c>
      <c r="NU81" s="962" t="e">
        <f>[1]!qsn([1]!ml([1]!taqsha(1,1,[1]!roz(NU78+1,0,0,0),NU79)),NU80)/30</f>
        <v>#VALUE!</v>
      </c>
      <c r="NV81" s="962" t="e">
        <f>[1]!qsn([1]!ml([1]!taqsha(1,1,[1]!roz(NV78+1,0,0,0),NV79)),NV80)/30</f>
        <v>#VALUE!</v>
      </c>
      <c r="NW81" s="962" t="e">
        <f>[1]!qsn([1]!ml([1]!taqsha(1,1,[1]!roz(NW78+1,0,0,0),NW79)),NW80)/30</f>
        <v>#VALUE!</v>
      </c>
      <c r="NX81" s="962" t="e">
        <f>[1]!qsn([1]!ml([1]!taqsha(1,1,[1]!roz(NX78+1,0,0,0),NX79)),NX80)/30</f>
        <v>#VALUE!</v>
      </c>
      <c r="NY81" s="962" t="e">
        <f>[1]!qsn([1]!ml([1]!taqsha(1,1,[1]!roz(NY78+1,0,0,0),NY79)),NY80)/30</f>
        <v>#VALUE!</v>
      </c>
      <c r="NZ81" s="962" t="e">
        <f>[1]!qsn([1]!ml([1]!taqsha(1,1,[1]!roz(NZ78+1,0,0,0),NZ79)),NZ80)/30</f>
        <v>#VALUE!</v>
      </c>
      <c r="OA81" s="962" t="e">
        <f>[1]!qsn([1]!ml([1]!taqsha(1,1,[1]!roz(OA78+1,0,0,0),OA79)),OA80)/30</f>
        <v>#VALUE!</v>
      </c>
      <c r="OB81" s="962" t="e">
        <f>[1]!qsn([1]!ml([1]!taqsha(1,1,[1]!roz(OB78+1,0,0,0),OB79)),OB80)/30</f>
        <v>#VALUE!</v>
      </c>
      <c r="OC81" s="962" t="e">
        <f>[1]!qsn([1]!ml([1]!taqsha(1,1,[1]!roz(OC78+1,0,0,0),OC79)),OC80)/30</f>
        <v>#VALUE!</v>
      </c>
      <c r="OD81" s="962" t="e">
        <f>[1]!qsn([1]!ml([1]!taqsha(1,1,[1]!roz(OD78+1,0,0,0),OD79)),OD80)/30</f>
        <v>#VALUE!</v>
      </c>
      <c r="OE81" s="962" t="e">
        <f>[1]!qsn([1]!ml([1]!taqsha(1,1,[1]!roz(OE78+1,0,0,0),OE79)),OE80)/30</f>
        <v>#VALUE!</v>
      </c>
      <c r="OF81" s="962" t="e">
        <f>[1]!qsn([1]!ml([1]!taqsha(1,1,[1]!roz(OF78+1,0,0,0),OF79)),OF80)/30</f>
        <v>#VALUE!</v>
      </c>
      <c r="OG81" s="962" t="e">
        <f>[1]!qsn([1]!ml([1]!taqsha(1,1,[1]!roz(OG78+1,0,0,0),OG79)),OG80)/30</f>
        <v>#VALUE!</v>
      </c>
      <c r="OH81" s="962" t="e">
        <f>[1]!qsn([1]!ml([1]!taqsha(1,1,[1]!roz(OH78+1,0,0,0),OH79)),OH80)/30</f>
        <v>#VALUE!</v>
      </c>
      <c r="OI81" s="962" t="e">
        <f>[1]!qsn([1]!ml([1]!taqsha(1,1,[1]!roz(OI78+1,0,0,0),OI79)),OI80)/30</f>
        <v>#VALUE!</v>
      </c>
      <c r="OJ81" s="962" t="e">
        <f>[1]!qsn([1]!ml([1]!taqsha(1,1,[1]!roz(OJ78+1,0,0,0),OJ79)),OJ80)/30</f>
        <v>#VALUE!</v>
      </c>
      <c r="OK81" s="962" t="e">
        <f>[1]!qsn([1]!ml([1]!taqsha(1,1,[1]!roz(OK78+1,0,0,0),OK79)),OK80)/30</f>
        <v>#VALUE!</v>
      </c>
      <c r="OL81" s="962" t="e">
        <f>[1]!qsn([1]!ml([1]!taqsha(1,1,[1]!roz(OL78+1,0,0,0),OL79)),OL80)/30</f>
        <v>#VALUE!</v>
      </c>
      <c r="OM81" s="962" t="e">
        <f>[1]!qsn([1]!ml([1]!taqsha(1,1,[1]!roz(OM78+1,0,0,0),OM79)),OM80)/30</f>
        <v>#VALUE!</v>
      </c>
      <c r="ON81" s="962" t="e">
        <f>[1]!qsn([1]!ml([1]!taqsha(1,1,[1]!roz(ON78+1,0,0,0),ON79)),ON80)/30</f>
        <v>#VALUE!</v>
      </c>
      <c r="OO81" s="962" t="e">
        <f>[1]!qsn([1]!ml([1]!taqsha(1,1,[1]!roz(OO78+1,0,0,0),OO79)),OO80)/30</f>
        <v>#VALUE!</v>
      </c>
      <c r="OP81" s="962" t="e">
        <f>[1]!qsn([1]!ml([1]!taqsha(1,1,[1]!roz(OP78+1,0,0,0),OP79)),OP80)/30</f>
        <v>#VALUE!</v>
      </c>
      <c r="OQ81" s="962" t="e">
        <f>[1]!qsn([1]!ml([1]!taqsha(1,1,[1]!roz(OQ78+1,0,0,0),OQ79)),OQ80)/30</f>
        <v>#VALUE!</v>
      </c>
      <c r="OR81" s="962" t="e">
        <f>[1]!qsn([1]!ml([1]!taqsha(1,1,[1]!roz(OR78+1,0,0,0),OR79)),OR80)/30</f>
        <v>#VALUE!</v>
      </c>
      <c r="OS81" s="962" t="e">
        <f>[1]!qsn([1]!ml([1]!taqsha(1,1,[1]!roz(OS78+1,0,0,0),OS79)),OS80)/30</f>
        <v>#VALUE!</v>
      </c>
      <c r="OT81" s="962" t="e">
        <f>[1]!qsn([1]!ml([1]!taqsha(1,1,[1]!roz(OT78+1,0,0,0),OT79)),OT80)/30</f>
        <v>#VALUE!</v>
      </c>
      <c r="OU81" s="962" t="e">
        <f>[1]!qsn([1]!ml([1]!taqsha(1,1,[1]!roz(OU78+1,0,0,0),OU79)),OU80)/30</f>
        <v>#VALUE!</v>
      </c>
      <c r="OV81" s="962" t="e">
        <f>[1]!qsn([1]!ml([1]!taqsha(1,1,[1]!roz(OV78+1,0,0,0),OV79)),OV80)/30</f>
        <v>#VALUE!</v>
      </c>
      <c r="OW81" s="962" t="e">
        <f>[1]!qsn([1]!ml([1]!taqsha(1,1,[1]!roz(OW78+1,0,0,0),OW79)),OW80)/30</f>
        <v>#VALUE!</v>
      </c>
      <c r="OX81" s="962" t="e">
        <f>[1]!qsn([1]!ml([1]!taqsha(1,1,[1]!roz(OX78+1,0,0,0),OX79)),OX80)/30</f>
        <v>#VALUE!</v>
      </c>
      <c r="OY81" s="962" t="e">
        <f>[1]!qsn([1]!ml([1]!taqsha(1,1,[1]!roz(OY78+1,0,0,0),OY79)),OY80)/30</f>
        <v>#VALUE!</v>
      </c>
      <c r="OZ81" s="962" t="e">
        <f>[1]!qsn([1]!ml([1]!taqsha(1,1,[1]!roz(OZ78+1,0,0,0),OZ79)),OZ80)/30</f>
        <v>#VALUE!</v>
      </c>
      <c r="PA81" s="962" t="e">
        <f>[1]!qsn([1]!ml([1]!taqsha(1,1,[1]!roz(PA78+1,0,0,0),PA79)),PA80)/30</f>
        <v>#VALUE!</v>
      </c>
      <c r="PB81" s="962" t="e">
        <f>[1]!qsn([1]!ml([1]!taqsha(1,1,[1]!roz(PB78+1,0,0,0),PB79)),PB80)/30</f>
        <v>#VALUE!</v>
      </c>
      <c r="PC81" s="962" t="e">
        <f>[1]!qsn([1]!ml([1]!taqsha(1,1,[1]!roz(PC78+1,0,0,0),PC79)),PC80)/30</f>
        <v>#VALUE!</v>
      </c>
      <c r="PD81" s="962" t="e">
        <f>[1]!qsn([1]!ml([1]!taqsha(1,1,[1]!roz(PD78+1,0,0,0),PD79)),PD80)/30</f>
        <v>#VALUE!</v>
      </c>
      <c r="PE81" s="962" t="e">
        <f>[1]!qsn([1]!ml([1]!taqsha(1,1,[1]!roz(PE78+1,0,0,0),PE79)),PE80)/30</f>
        <v>#VALUE!</v>
      </c>
      <c r="PF81" s="962" t="e">
        <f>[1]!qsn([1]!ml([1]!taqsha(1,1,[1]!roz(PF78+1,0,0,0),PF79)),PF80)/30</f>
        <v>#VALUE!</v>
      </c>
      <c r="PG81" s="962" t="e">
        <f>[1]!qsn([1]!ml([1]!taqsha(1,1,[1]!roz(PG78+1,0,0,0),PG79)),PG80)/30</f>
        <v>#VALUE!</v>
      </c>
      <c r="PH81" s="962" t="e">
        <f>[1]!qsn([1]!ml([1]!taqsha(1,1,[1]!roz(PH78+1,0,0,0),PH79)),PH80)/30</f>
        <v>#VALUE!</v>
      </c>
      <c r="PI81" s="962" t="e">
        <f>[1]!qsn([1]!ml([1]!taqsha(1,1,[1]!roz(PI78+1,0,0,0),PI79)),PI80)/30</f>
        <v>#VALUE!</v>
      </c>
      <c r="PJ81" s="962" t="e">
        <f>[1]!qsn([1]!ml([1]!taqsha(1,1,[1]!roz(PJ78+1,0,0,0),PJ79)),PJ80)/30</f>
        <v>#VALUE!</v>
      </c>
      <c r="PK81" s="962" t="e">
        <f>[1]!qsn([1]!ml([1]!taqsha(1,1,[1]!roz(PK78+1,0,0,0),PK79)),PK80)/30</f>
        <v>#VALUE!</v>
      </c>
      <c r="PL81" s="962" t="e">
        <f>[1]!qsn([1]!ml([1]!taqsha(1,1,[1]!roz(PL78+1,0,0,0),PL79)),PL80)/30</f>
        <v>#VALUE!</v>
      </c>
      <c r="PM81" s="962" t="e">
        <f>[1]!qsn([1]!ml([1]!taqsha(1,1,[1]!roz(PM78+1,0,0,0),PM79)),PM80)/30</f>
        <v>#VALUE!</v>
      </c>
      <c r="PN81" s="962" t="e">
        <f>[1]!qsn([1]!ml([1]!taqsha(1,1,[1]!roz(PN78+1,0,0,0),PN79)),PN80)/30</f>
        <v>#VALUE!</v>
      </c>
      <c r="PO81" s="962" t="e">
        <f>[1]!qsn([1]!ml([1]!taqsha(1,1,[1]!roz(PO78+1,0,0,0),PO79)),PO80)/30</f>
        <v>#VALUE!</v>
      </c>
      <c r="PP81" s="962" t="e">
        <f>[1]!qsn([1]!ml([1]!taqsha(1,1,[1]!roz(PP78+1,0,0,0),PP79)),PP80)/30</f>
        <v>#VALUE!</v>
      </c>
      <c r="PQ81" s="962" t="e">
        <f>[1]!qsn([1]!ml([1]!taqsha(1,1,[1]!roz(PQ78+1,0,0,0),PQ79)),PQ80)/30</f>
        <v>#VALUE!</v>
      </c>
      <c r="PR81" s="962" t="e">
        <f>[1]!qsn([1]!ml([1]!taqsha(1,1,[1]!roz(PR78+1,0,0,0),PR79)),PR80)/30</f>
        <v>#VALUE!</v>
      </c>
      <c r="PS81" s="962" t="e">
        <f>[1]!qsn([1]!ml([1]!taqsha(1,1,[1]!roz(PS78+1,0,0,0),PS79)),PS80)/30</f>
        <v>#VALUE!</v>
      </c>
      <c r="PT81" s="962" t="e">
        <f>[1]!qsn([1]!ml([1]!taqsha(1,1,[1]!roz(PT78+1,0,0,0),PT79)),PT80)/30</f>
        <v>#VALUE!</v>
      </c>
      <c r="PU81" s="962" t="e">
        <f>[1]!qsn([1]!ml([1]!taqsha(1,1,[1]!roz(PU78+1,0,0,0),PU79)),PU80)/30</f>
        <v>#VALUE!</v>
      </c>
      <c r="PV81" s="962" t="e">
        <f>[1]!qsn([1]!ml([1]!taqsha(1,1,[1]!roz(PV78+1,0,0,0),PV79)),PV80)/30</f>
        <v>#VALUE!</v>
      </c>
      <c r="PW81" s="962" t="e">
        <f>[1]!qsn([1]!ml([1]!taqsha(1,1,[1]!roz(PW78+1,0,0,0),PW79)),PW80)/30</f>
        <v>#VALUE!</v>
      </c>
      <c r="PX81" s="962" t="e">
        <f>[1]!qsn([1]!ml([1]!taqsha(1,1,[1]!roz(PX78+1,0,0,0),PX79)),PX80)/30</f>
        <v>#VALUE!</v>
      </c>
      <c r="PY81" s="962" t="e">
        <f>[1]!qsn([1]!ml([1]!taqsha(1,1,[1]!roz(PY78+1,0,0,0),PY79)),PY80)/30</f>
        <v>#VALUE!</v>
      </c>
      <c r="PZ81" s="962" t="e">
        <f>[1]!qsn([1]!ml([1]!taqsha(1,1,[1]!roz(PZ78+1,0,0,0),PZ79)),PZ80)/30</f>
        <v>#VALUE!</v>
      </c>
      <c r="QA81" s="962" t="e">
        <f>[1]!qsn([1]!ml([1]!taqsha(1,1,[1]!roz(QA78+1,0,0,0),QA79)),QA80)/30</f>
        <v>#VALUE!</v>
      </c>
      <c r="QB81" s="962" t="e">
        <f>[1]!qsn([1]!ml([1]!taqsha(1,1,[1]!roz(QB78+1,0,0,0),QB79)),QB80)/30</f>
        <v>#VALUE!</v>
      </c>
      <c r="QC81" s="962" t="e">
        <f>[1]!qsn([1]!ml([1]!taqsha(1,1,[1]!roz(QC78+1,0,0,0),QC79)),QC80)/30</f>
        <v>#VALUE!</v>
      </c>
      <c r="QD81" s="962" t="e">
        <f>[1]!qsn([1]!ml([1]!taqsha(1,1,[1]!roz(QD78+1,0,0,0),QD79)),QD80)/30</f>
        <v>#VALUE!</v>
      </c>
      <c r="QE81" s="962" t="e">
        <f>[1]!qsn([1]!ml([1]!taqsha(1,1,[1]!roz(QE78+1,0,0,0),QE79)),QE80)/30</f>
        <v>#VALUE!</v>
      </c>
      <c r="QF81" s="962" t="e">
        <f>[1]!qsn([1]!ml([1]!taqsha(1,1,[1]!roz(QF78+1,0,0,0),QF79)),QF80)/30</f>
        <v>#VALUE!</v>
      </c>
      <c r="QG81" s="962" t="e">
        <f>[1]!qsn([1]!ml([1]!taqsha(1,1,[1]!roz(QG78+1,0,0,0),QG79)),QG80)/30</f>
        <v>#VALUE!</v>
      </c>
      <c r="QH81" s="962" t="e">
        <f>[1]!qsn([1]!ml([1]!taqsha(1,1,[1]!roz(QH78+1,0,0,0),QH79)),QH80)/30</f>
        <v>#VALUE!</v>
      </c>
      <c r="QI81" s="962" t="e">
        <f>[1]!qsn([1]!ml([1]!taqsha(1,1,[1]!roz(QI78+1,0,0,0),QI79)),QI80)/30</f>
        <v>#VALUE!</v>
      </c>
      <c r="QJ81" s="962" t="e">
        <f>[1]!qsn([1]!ml([1]!taqsha(1,1,[1]!roz(QJ78+1,0,0,0),QJ79)),QJ80)/30</f>
        <v>#VALUE!</v>
      </c>
      <c r="QK81" s="962" t="e">
        <f>[1]!qsn([1]!ml([1]!taqsha(1,1,[1]!roz(QK78+1,0,0,0),QK79)),QK80)/30</f>
        <v>#VALUE!</v>
      </c>
      <c r="QL81" s="962" t="e">
        <f>[1]!qsn([1]!ml([1]!taqsha(1,1,[1]!roz(QL78+1,0,0,0),QL79)),QL80)/30</f>
        <v>#VALUE!</v>
      </c>
      <c r="QM81" s="962" t="e">
        <f>[1]!qsn([1]!ml([1]!taqsha(1,1,[1]!roz(QM78+1,0,0,0),QM79)),QM80)/30</f>
        <v>#VALUE!</v>
      </c>
      <c r="QN81" s="962" t="e">
        <f>[1]!qsn([1]!ml([1]!taqsha(1,1,[1]!roz(QN78+1,0,0,0),QN79)),QN80)/30</f>
        <v>#VALUE!</v>
      </c>
      <c r="QO81" s="962" t="e">
        <f>[1]!qsn([1]!ml([1]!taqsha(1,1,[1]!roz(QO78+1,0,0,0),QO79)),QO80)/30</f>
        <v>#VALUE!</v>
      </c>
      <c r="QP81" s="962" t="e">
        <f>[1]!qsn([1]!ml([1]!taqsha(1,1,[1]!roz(QP78+1,0,0,0),QP79)),QP80)/30</f>
        <v>#VALUE!</v>
      </c>
      <c r="QQ81" s="962" t="e">
        <f>[1]!qsn([1]!ml([1]!taqsha(1,1,[1]!roz(QQ78+1,0,0,0),QQ79)),QQ80)/30</f>
        <v>#VALUE!</v>
      </c>
      <c r="QR81" s="962" t="e">
        <f>[1]!qsn([1]!ml([1]!taqsha(1,1,[1]!roz(QR78+1,0,0,0),QR79)),QR80)/30</f>
        <v>#VALUE!</v>
      </c>
      <c r="QS81" s="962" t="e">
        <f>[1]!qsn([1]!ml([1]!taqsha(1,1,[1]!roz(QS78+1,0,0,0),QS79)),QS80)/30</f>
        <v>#VALUE!</v>
      </c>
      <c r="QT81" s="962" t="e">
        <f>[1]!qsn([1]!ml([1]!taqsha(1,1,[1]!roz(QT78+1,0,0,0),QT79)),QT80)/30</f>
        <v>#VALUE!</v>
      </c>
      <c r="QU81" s="962" t="e">
        <f>[1]!qsn([1]!ml([1]!taqsha(1,1,[1]!roz(QU78+1,0,0,0),QU79)),QU80)/30</f>
        <v>#VALUE!</v>
      </c>
      <c r="QV81" s="962" t="e">
        <f>[1]!qsn([1]!ml([1]!taqsha(1,1,[1]!roz(QV78+1,0,0,0),QV79)),QV80)/30</f>
        <v>#VALUE!</v>
      </c>
      <c r="QW81" s="962" t="e">
        <f>[1]!qsn([1]!ml([1]!taqsha(1,1,[1]!roz(QW78+1,0,0,0),QW79)),QW80)/30</f>
        <v>#VALUE!</v>
      </c>
      <c r="QX81" s="962" t="e">
        <f>[1]!qsn([1]!ml([1]!taqsha(1,1,[1]!roz(QX78+1,0,0,0),QX79)),QX80)/30</f>
        <v>#VALUE!</v>
      </c>
      <c r="QY81" s="962" t="e">
        <f>[1]!qsn([1]!ml([1]!taqsha(1,1,[1]!roz(QY78+1,0,0,0),QY79)),QY80)/30</f>
        <v>#VALUE!</v>
      </c>
      <c r="QZ81" s="962" t="e">
        <f>[1]!qsn([1]!ml([1]!taqsha(1,1,[1]!roz(QZ78+1,0,0,0),QZ79)),QZ80)/30</f>
        <v>#VALUE!</v>
      </c>
      <c r="RA81" s="963" t="e">
        <f>[1]!qsn([1]!ml([1]!taqsha(1,1,[1]!roz(RA78+1,0,0,0),RA79)),RA80)/30</f>
        <v>#VALUE!</v>
      </c>
      <c r="RB81" s="797"/>
      <c r="RC81" s="797"/>
    </row>
    <row r="82" spans="2:471" ht="17.25">
      <c r="B82" s="2">
        <v>3</v>
      </c>
      <c r="C82" s="2" t="s">
        <v>16</v>
      </c>
      <c r="D82" s="2"/>
      <c r="E82" s="2" t="s">
        <v>1</v>
      </c>
      <c r="F82" s="2"/>
      <c r="G82" s="2"/>
      <c r="H82" s="2"/>
      <c r="I82" s="2"/>
      <c r="J82" s="2"/>
      <c r="K82" s="2"/>
      <c r="L82" s="2"/>
      <c r="M82" s="2"/>
      <c r="N82" s="2"/>
      <c r="O82" s="2"/>
      <c r="P82" s="2"/>
      <c r="Q82" s="2" t="s">
        <v>47</v>
      </c>
      <c r="R82" s="2" t="s">
        <v>48</v>
      </c>
      <c r="S82" s="2" t="s">
        <v>49</v>
      </c>
      <c r="T82" s="2" t="s">
        <v>50</v>
      </c>
      <c r="U82" s="2" t="s">
        <v>51</v>
      </c>
      <c r="V82" s="2" t="s">
        <v>52</v>
      </c>
      <c r="W82" s="2" t="s">
        <v>53</v>
      </c>
      <c r="X82" s="2" t="s">
        <v>54</v>
      </c>
      <c r="Y82" s="2" t="s">
        <v>55</v>
      </c>
      <c r="Z82" s="2" t="s">
        <v>56</v>
      </c>
      <c r="AA82" s="2" t="s">
        <v>57</v>
      </c>
      <c r="AB82" s="2" t="s">
        <v>58</v>
      </c>
      <c r="AC82" s="2"/>
      <c r="DH82" s="797"/>
      <c r="DJ82" s="961" t="e">
        <f>[1]!taqsh(1,1,[1]!roz(DJ78+1,DJ81,0,0),DJ79)</f>
        <v>#VALUE!</v>
      </c>
      <c r="DK82" s="962" t="e">
        <f>[1]!taqsh(1,1,[1]!roz(DK78+1,DK81,0,0),DK79)</f>
        <v>#VALUE!</v>
      </c>
      <c r="DL82" s="962" t="e">
        <f>[1]!taqsh(1,1,[1]!roz(DL78+1,DL81,0,0),DL79)</f>
        <v>#VALUE!</v>
      </c>
      <c r="DM82" s="962" t="e">
        <f>[1]!taqsh(1,1,[1]!roz(DM78+1,DM81,0,0),DM79)</f>
        <v>#VALUE!</v>
      </c>
      <c r="DN82" s="962" t="e">
        <f>[1]!taqsh(1,1,[1]!roz(DN78+1,DN81,0,0),DN79)</f>
        <v>#VALUE!</v>
      </c>
      <c r="DO82" s="962" t="e">
        <f>[1]!taqsh(1,1,[1]!roz(DO78+1,DO81,0,0),DO79)</f>
        <v>#VALUE!</v>
      </c>
      <c r="DP82" s="962" t="e">
        <f>[1]!taqsh(1,1,[1]!roz(DP78+1,DP81,0,0),DP79)</f>
        <v>#VALUE!</v>
      </c>
      <c r="DQ82" s="962" t="e">
        <f>[1]!taqsh(1,1,[1]!roz(DQ78+1,DQ81,0,0),DQ79)</f>
        <v>#VALUE!</v>
      </c>
      <c r="DR82" s="962" t="e">
        <f>[1]!taqsh(1,1,[1]!roz(DR78+1,DR81,0,0),DR79)</f>
        <v>#VALUE!</v>
      </c>
      <c r="DS82" s="962" t="e">
        <f>[1]!taqsh(1,1,[1]!roz(DS78+1,DS81,0,0),DS79)</f>
        <v>#VALUE!</v>
      </c>
      <c r="DT82" s="962" t="e">
        <f>[1]!taqsh(1,1,[1]!roz(DT78+1,DT81,0,0),DT79)</f>
        <v>#VALUE!</v>
      </c>
      <c r="DU82" s="962" t="e">
        <f>[1]!taqsh(1,1,[1]!roz(DU78+1,DU81,0,0),DU79)</f>
        <v>#VALUE!</v>
      </c>
      <c r="DV82" s="962" t="e">
        <f>[1]!taqsh(1,1,[1]!roz(DV78+1,DV81,0,0),DV79)</f>
        <v>#VALUE!</v>
      </c>
      <c r="DW82" s="962" t="e">
        <f>[1]!taqsh(1,1,[1]!roz(DW78+1,DW81,0,0),DW79)</f>
        <v>#VALUE!</v>
      </c>
      <c r="DX82" s="962" t="e">
        <f>[1]!taqsh(1,1,[1]!roz(DX78+1,DX81,0,0),DX79)</f>
        <v>#VALUE!</v>
      </c>
      <c r="DY82" s="962" t="e">
        <f>[1]!taqsh(1,1,[1]!roz(DY78+1,DY81,0,0),DY79)</f>
        <v>#VALUE!</v>
      </c>
      <c r="DZ82" s="962" t="e">
        <f>[1]!taqsh(1,1,[1]!roz(DZ78+1,DZ81,0,0),DZ79)</f>
        <v>#VALUE!</v>
      </c>
      <c r="EA82" s="962" t="e">
        <f>[1]!taqsh(1,1,[1]!roz(EA78+1,EA81,0,0),EA79)</f>
        <v>#VALUE!</v>
      </c>
      <c r="EB82" s="962" t="e">
        <f>[1]!taqsh(1,1,[1]!roz(EB78+1,EB81,0,0),EB79)</f>
        <v>#VALUE!</v>
      </c>
      <c r="EC82" s="962" t="e">
        <f>[1]!taqsh(1,1,[1]!roz(EC78+1,EC81,0,0),EC79)</f>
        <v>#VALUE!</v>
      </c>
      <c r="ED82" s="962" t="e">
        <f>[1]!taqsh(1,1,[1]!roz(ED78+1,ED81,0,0),ED79)</f>
        <v>#VALUE!</v>
      </c>
      <c r="EE82" s="962" t="e">
        <f>[1]!taqsh(1,1,[1]!roz(EE78+1,EE81,0,0),EE79)</f>
        <v>#VALUE!</v>
      </c>
      <c r="EF82" s="962" t="e">
        <f>[1]!taqsh(1,1,[1]!roz(EF78+1,EF81,0,0),EF79)</f>
        <v>#VALUE!</v>
      </c>
      <c r="EG82" s="962" t="e">
        <f>[1]!taqsh(1,1,[1]!roz(EG78+1,EG81,0,0),EG79)</f>
        <v>#VALUE!</v>
      </c>
      <c r="EH82" s="962" t="e">
        <f>[1]!taqsh(1,1,[1]!roz(EH78+1,EH81,0,0),EH79)</f>
        <v>#VALUE!</v>
      </c>
      <c r="EI82" s="962" t="e">
        <f>[1]!taqsh(1,1,[1]!roz(EI78+1,EI81,0,0),EI79)</f>
        <v>#VALUE!</v>
      </c>
      <c r="EJ82" s="962" t="e">
        <f>[1]!taqsh(1,1,[1]!roz(EJ78+1,EJ81,0,0),EJ79)</f>
        <v>#VALUE!</v>
      </c>
      <c r="EK82" s="962" t="e">
        <f>[1]!taqsh(1,1,[1]!roz(EK78+1,EK81,0,0),EK79)</f>
        <v>#VALUE!</v>
      </c>
      <c r="EL82" s="962" t="e">
        <f>[1]!taqsh(1,1,[1]!roz(EL78+1,EL81,0,0),EL79)</f>
        <v>#VALUE!</v>
      </c>
      <c r="EM82" s="962" t="e">
        <f>[1]!taqsh(1,1,[1]!roz(EM78+1,EM81,0,0),EM79)</f>
        <v>#VALUE!</v>
      </c>
      <c r="EN82" s="962" t="e">
        <f>[1]!taqsh(1,1,[1]!roz(EN78+1,EN81,0,0),EN79)</f>
        <v>#VALUE!</v>
      </c>
      <c r="EO82" s="962" t="e">
        <f>[1]!taqsh(1,1,[1]!roz(EO78+1,EO81,0,0),EO79)</f>
        <v>#VALUE!</v>
      </c>
      <c r="EP82" s="962" t="e">
        <f>[1]!taqsh(1,1,[1]!roz(EP78+1,EP81,0,0),EP79)</f>
        <v>#VALUE!</v>
      </c>
      <c r="EQ82" s="962" t="e">
        <f>[1]!taqsh(1,1,[1]!roz(EQ78+1,EQ81,0,0),EQ79)</f>
        <v>#VALUE!</v>
      </c>
      <c r="ER82" s="962" t="e">
        <f>[1]!taqsh(1,1,[1]!roz(ER78+1,ER81,0,0),ER79)</f>
        <v>#VALUE!</v>
      </c>
      <c r="ES82" s="962" t="e">
        <f>[1]!taqsh(1,1,[1]!roz(ES78+1,ES81,0,0),ES79)</f>
        <v>#VALUE!</v>
      </c>
      <c r="ET82" s="962" t="e">
        <f>[1]!taqsh(1,1,[1]!roz(ET78+1,ET81,0,0),ET79)</f>
        <v>#VALUE!</v>
      </c>
      <c r="EU82" s="962" t="e">
        <f>[1]!taqsh(1,1,[1]!roz(EU78+1,EU81,0,0),EU79)</f>
        <v>#VALUE!</v>
      </c>
      <c r="EV82" s="962" t="e">
        <f>[1]!taqsh(1,1,[1]!roz(EV78+1,EV81,0,0),EV79)</f>
        <v>#VALUE!</v>
      </c>
      <c r="EW82" s="962" t="e">
        <f>[1]!taqsh(1,1,[1]!roz(EW78+1,EW81,0,0),EW79)</f>
        <v>#VALUE!</v>
      </c>
      <c r="EX82" s="962" t="e">
        <f>[1]!taqsh(1,1,[1]!roz(EX78+1,EX81,0,0),EX79)</f>
        <v>#VALUE!</v>
      </c>
      <c r="EY82" s="962" t="e">
        <f>[1]!taqsh(1,1,[1]!roz(EY78+1,EY81,0,0),EY79)</f>
        <v>#VALUE!</v>
      </c>
      <c r="EZ82" s="962" t="e">
        <f>[1]!taqsh(1,1,[1]!roz(EZ78+1,EZ81,0,0),EZ79)</f>
        <v>#VALUE!</v>
      </c>
      <c r="FA82" s="962" t="e">
        <f>[1]!taqsh(1,1,[1]!roz(FA78+1,FA81,0,0),FA79)</f>
        <v>#VALUE!</v>
      </c>
      <c r="FB82" s="962" t="e">
        <f>[1]!taqsh(1,1,[1]!roz(FB78+1,FB81,0,0),FB79)</f>
        <v>#VALUE!</v>
      </c>
      <c r="FC82" s="962" t="e">
        <f>[1]!taqsh(1,1,[1]!roz(FC78+1,FC81,0,0),FC79)</f>
        <v>#VALUE!</v>
      </c>
      <c r="FD82" s="962" t="e">
        <f>[1]!taqsh(1,1,[1]!roz(FD78+1,FD81,0,0),FD79)</f>
        <v>#VALUE!</v>
      </c>
      <c r="FE82" s="962" t="e">
        <f>[1]!taqsh(1,1,[1]!roz(FE78+1,FE81,0,0),FE79)</f>
        <v>#VALUE!</v>
      </c>
      <c r="FF82" s="962" t="e">
        <f>[1]!taqsh(1,1,[1]!roz(FF78+1,FF81,0,0),FF79)</f>
        <v>#VALUE!</v>
      </c>
      <c r="FG82" s="962" t="e">
        <f>[1]!taqsh(1,1,[1]!roz(FG78+1,FG81,0,0),FG79)</f>
        <v>#VALUE!</v>
      </c>
      <c r="FH82" s="962" t="e">
        <f>[1]!taqsh(1,1,[1]!roz(FH78+1,FH81,0,0),FH79)</f>
        <v>#VALUE!</v>
      </c>
      <c r="FI82" s="962" t="e">
        <f>[1]!taqsh(1,1,[1]!roz(FI78+1,FI81,0,0),FI79)</f>
        <v>#VALUE!</v>
      </c>
      <c r="FJ82" s="962" t="e">
        <f>[1]!taqsh(1,1,[1]!roz(FJ78+1,FJ81,0,0),FJ79)</f>
        <v>#VALUE!</v>
      </c>
      <c r="FK82" s="962" t="e">
        <f>[1]!taqsh(1,1,[1]!roz(FK78+1,FK81,0,0),FK79)</f>
        <v>#VALUE!</v>
      </c>
      <c r="FL82" s="962" t="e">
        <f>[1]!taqsh(1,1,[1]!roz(FL78+1,FL81,0,0),FL79)</f>
        <v>#VALUE!</v>
      </c>
      <c r="FM82" s="962" t="e">
        <f>[1]!taqsh(1,1,[1]!roz(FM78+1,FM81,0,0),FM79)</f>
        <v>#VALUE!</v>
      </c>
      <c r="FN82" s="962" t="e">
        <f>[1]!taqsh(1,1,[1]!roz(FN78+1,FN81,0,0),FN79)</f>
        <v>#VALUE!</v>
      </c>
      <c r="FO82" s="962" t="e">
        <f>[1]!taqsh(1,1,[1]!roz(FO78+1,FO81,0,0),FO79)</f>
        <v>#VALUE!</v>
      </c>
      <c r="FP82" s="962" t="e">
        <f>[1]!taqsh(1,1,[1]!roz(FP78+1,FP81,0,0),FP79)</f>
        <v>#VALUE!</v>
      </c>
      <c r="FQ82" s="962" t="e">
        <f>[1]!taqsh(1,1,[1]!roz(FQ78+1,FQ81,0,0),FQ79)</f>
        <v>#VALUE!</v>
      </c>
      <c r="FR82" s="962" t="e">
        <f>[1]!taqsh(1,1,[1]!roz(FR78+1,FR81,0,0),FR79)</f>
        <v>#VALUE!</v>
      </c>
      <c r="FS82" s="962" t="e">
        <f>[1]!taqsh(1,1,[1]!roz(FS78+1,FS81,0,0),FS79)</f>
        <v>#VALUE!</v>
      </c>
      <c r="FT82" s="962" t="e">
        <f>[1]!taqsh(1,1,[1]!roz(FT78+1,FT81,0,0),FT79)</f>
        <v>#VALUE!</v>
      </c>
      <c r="FU82" s="962" t="e">
        <f>[1]!taqsh(1,1,[1]!roz(FU78+1,FU81,0,0),FU79)</f>
        <v>#VALUE!</v>
      </c>
      <c r="FV82" s="962" t="e">
        <f>[1]!taqsh(1,1,[1]!roz(FV78+1,FV81,0,0),FV79)</f>
        <v>#VALUE!</v>
      </c>
      <c r="FW82" s="962" t="e">
        <f>[1]!taqsh(1,1,[1]!roz(FW78+1,FW81,0,0),FW79)</f>
        <v>#VALUE!</v>
      </c>
      <c r="FX82" s="962" t="e">
        <f>[1]!taqsh(1,1,[1]!roz(FX78+1,FX81,0,0),FX79)</f>
        <v>#VALUE!</v>
      </c>
      <c r="FY82" s="962" t="e">
        <f>[1]!taqsh(1,1,[1]!roz(FY78+1,FY81,0,0),FY79)</f>
        <v>#VALUE!</v>
      </c>
      <c r="FZ82" s="962" t="e">
        <f>[1]!taqsh(1,1,[1]!roz(FZ78+1,FZ81,0,0),FZ79)</f>
        <v>#VALUE!</v>
      </c>
      <c r="GA82" s="962" t="e">
        <f>[1]!taqsh(1,1,[1]!roz(GA78+1,GA81,0,0),GA79)</f>
        <v>#VALUE!</v>
      </c>
      <c r="GB82" s="962" t="e">
        <f>[1]!taqsh(1,1,[1]!roz(GB78+1,GB81,0,0),GB79)</f>
        <v>#VALUE!</v>
      </c>
      <c r="GC82" s="962" t="e">
        <f>[1]!taqsh(1,1,[1]!roz(GC78+1,GC81,0,0),GC79)</f>
        <v>#VALUE!</v>
      </c>
      <c r="GD82" s="962" t="e">
        <f>[1]!taqsh(1,1,[1]!roz(GD78+1,GD81,0,0),GD79)</f>
        <v>#VALUE!</v>
      </c>
      <c r="GE82" s="962" t="e">
        <f>[1]!taqsh(1,1,[1]!roz(GE78+1,GE81,0,0),GE79)</f>
        <v>#VALUE!</v>
      </c>
      <c r="GF82" s="962" t="e">
        <f>[1]!taqsh(1,1,[1]!roz(GF78+1,GF81,0,0),GF79)</f>
        <v>#VALUE!</v>
      </c>
      <c r="GG82" s="962" t="e">
        <f>[1]!taqsh(1,1,[1]!roz(GG78+1,GG81,0,0),GG79)</f>
        <v>#VALUE!</v>
      </c>
      <c r="GH82" s="962" t="e">
        <f>[1]!taqsh(1,1,[1]!roz(GH78+1,GH81,0,0),GH79)</f>
        <v>#VALUE!</v>
      </c>
      <c r="GI82" s="962" t="e">
        <f>[1]!taqsh(1,1,[1]!roz(GI78+1,GI81,0,0),GI79)</f>
        <v>#VALUE!</v>
      </c>
      <c r="GJ82" s="962" t="e">
        <f>[1]!taqsh(1,1,[1]!roz(GJ78+1,GJ81,0,0),GJ79)</f>
        <v>#VALUE!</v>
      </c>
      <c r="GK82" s="962" t="e">
        <f>[1]!taqsh(1,1,[1]!roz(GK78+1,GK81,0,0),GK79)</f>
        <v>#VALUE!</v>
      </c>
      <c r="GL82" s="962" t="e">
        <f>[1]!taqsh(1,1,[1]!roz(GL78+1,GL81,0,0),GL79)</f>
        <v>#VALUE!</v>
      </c>
      <c r="GM82" s="962" t="e">
        <f>[1]!taqsh(1,1,[1]!roz(GM78+1,GM81,0,0),GM79)</f>
        <v>#VALUE!</v>
      </c>
      <c r="GN82" s="962" t="e">
        <f>[1]!taqsh(1,1,[1]!roz(GN78+1,GN81,0,0),GN79)</f>
        <v>#VALUE!</v>
      </c>
      <c r="GO82" s="962" t="e">
        <f>[1]!taqsh(1,1,[1]!roz(GO78+1,GO81,0,0),GO79)</f>
        <v>#VALUE!</v>
      </c>
      <c r="GP82" s="962" t="e">
        <f>[1]!taqsh(1,1,[1]!roz(GP78+1,GP81,0,0),GP79)</f>
        <v>#VALUE!</v>
      </c>
      <c r="GQ82" s="962" t="e">
        <f>[1]!taqsh(1,1,[1]!roz(GQ78+1,GQ81,0,0),GQ79)</f>
        <v>#VALUE!</v>
      </c>
      <c r="GR82" s="962" t="e">
        <f>[1]!taqsh(1,1,[1]!roz(GR78+1,GR81,0,0),GR79)</f>
        <v>#VALUE!</v>
      </c>
      <c r="GS82" s="962" t="e">
        <f>[1]!taqsh(1,1,[1]!roz(GS78+1,GS81,0,0),GS79)</f>
        <v>#VALUE!</v>
      </c>
      <c r="GT82" s="962" t="e">
        <f>[1]!taqsh(1,1,[1]!roz(GT78+1,GT81,0,0),GT79)</f>
        <v>#VALUE!</v>
      </c>
      <c r="GU82" s="962" t="e">
        <f>[1]!taqsh(1,1,[1]!roz(GU78+1,GU81,0,0),GU79)</f>
        <v>#VALUE!</v>
      </c>
      <c r="GV82" s="962" t="e">
        <f>[1]!taqsh(1,1,[1]!roz(GV78+1,GV81,0,0),GV79)</f>
        <v>#VALUE!</v>
      </c>
      <c r="GW82" s="962" t="e">
        <f>[1]!taqsh(1,1,[1]!roz(GW78+1,GW81,0,0),GW79)</f>
        <v>#VALUE!</v>
      </c>
      <c r="GX82" s="962" t="e">
        <f>[1]!taqsh(1,1,[1]!roz(GX78+1,GX81,0,0),GX79)</f>
        <v>#VALUE!</v>
      </c>
      <c r="GY82" s="962" t="e">
        <f>[1]!taqsh(1,1,[1]!roz(GY78+1,GY81,0,0),GY79)</f>
        <v>#VALUE!</v>
      </c>
      <c r="GZ82" s="962" t="e">
        <f>[1]!taqsh(1,1,[1]!roz(GZ78+1,GZ81,0,0),GZ79)</f>
        <v>#VALUE!</v>
      </c>
      <c r="HA82" s="962" t="e">
        <f>[1]!taqsh(1,1,[1]!roz(HA78+1,HA81,0,0),HA79)</f>
        <v>#VALUE!</v>
      </c>
      <c r="HB82" s="962" t="e">
        <f>[1]!taqsh(1,1,[1]!roz(HB78+1,HB81,0,0),HB79)</f>
        <v>#VALUE!</v>
      </c>
      <c r="HC82" s="962" t="e">
        <f>[1]!taqsh(1,1,[1]!roz(HC78+1,HC81,0,0),HC79)</f>
        <v>#VALUE!</v>
      </c>
      <c r="HD82" s="962" t="e">
        <f>[1]!taqsh(1,1,[1]!roz(HD78+1,HD81,0,0),HD79)</f>
        <v>#VALUE!</v>
      </c>
      <c r="HE82" s="962" t="e">
        <f>[1]!taqsh(1,1,[1]!roz(HE78+1,HE81,0,0),HE79)</f>
        <v>#VALUE!</v>
      </c>
      <c r="HF82" s="962" t="e">
        <f>[1]!taqsh(1,1,[1]!roz(HF78+1,HF81,0,0),HF79)</f>
        <v>#VALUE!</v>
      </c>
      <c r="HG82" s="962" t="e">
        <f>[1]!taqsh(1,1,[1]!roz(HG78+1,HG81,0,0),HG79)</f>
        <v>#VALUE!</v>
      </c>
      <c r="HH82" s="962" t="e">
        <f>[1]!taqsh(1,1,[1]!roz(HH78+1,HH81,0,0),HH79)</f>
        <v>#VALUE!</v>
      </c>
      <c r="HI82" s="962" t="e">
        <f>[1]!taqsh(1,1,[1]!roz(HI78+1,HI81,0,0),HI79)</f>
        <v>#VALUE!</v>
      </c>
      <c r="HJ82" s="962" t="e">
        <f>[1]!taqsh(1,1,[1]!roz(HJ78+1,HJ81,0,0),HJ79)</f>
        <v>#VALUE!</v>
      </c>
      <c r="HK82" s="962" t="e">
        <f>[1]!taqsh(1,1,[1]!roz(HK78+1,HK81,0,0),HK79)</f>
        <v>#VALUE!</v>
      </c>
      <c r="HL82" s="962" t="e">
        <f>[1]!taqsh(1,1,[1]!roz(HL78+1,HL81,0,0),HL79)</f>
        <v>#VALUE!</v>
      </c>
      <c r="HM82" s="962" t="e">
        <f>[1]!taqsh(1,1,[1]!roz(HM78+1,HM81,0,0),HM79)</f>
        <v>#VALUE!</v>
      </c>
      <c r="HN82" s="962" t="e">
        <f>[1]!taqsh(1,1,[1]!roz(HN78+1,HN81,0,0),HN79)</f>
        <v>#VALUE!</v>
      </c>
      <c r="HO82" s="962" t="e">
        <f>[1]!taqsh(1,1,[1]!roz(HO78+1,HO81,0,0),HO79)</f>
        <v>#VALUE!</v>
      </c>
      <c r="HP82" s="962" t="e">
        <f>[1]!taqsh(1,1,[1]!roz(HP78+1,HP81,0,0),HP79)</f>
        <v>#VALUE!</v>
      </c>
      <c r="HQ82" s="962" t="e">
        <f>[1]!taqsh(1,1,[1]!roz(HQ78+1,HQ81,0,0),HQ79)</f>
        <v>#VALUE!</v>
      </c>
      <c r="HR82" s="962" t="e">
        <f>[1]!taqsh(1,1,[1]!roz(HR78+1,HR81,0,0),HR79)</f>
        <v>#VALUE!</v>
      </c>
      <c r="HS82" s="962" t="e">
        <f>[1]!taqsh(1,1,[1]!roz(HS78+1,HS81,0,0),HS79)</f>
        <v>#VALUE!</v>
      </c>
      <c r="HT82" s="962" t="e">
        <f>[1]!taqsh(1,1,[1]!roz(HT78+1,HT81,0,0),HT79)</f>
        <v>#VALUE!</v>
      </c>
      <c r="HU82" s="962" t="e">
        <f>[1]!taqsh(1,1,[1]!roz(HU78+1,HU81,0,0),HU79)</f>
        <v>#VALUE!</v>
      </c>
      <c r="HV82" s="962" t="e">
        <f>[1]!taqsh(1,1,[1]!roz(HV78+1,HV81,0,0),HV79)</f>
        <v>#VALUE!</v>
      </c>
      <c r="HW82" s="962" t="e">
        <f>[1]!taqsh(1,1,[1]!roz(HW78+1,HW81,0,0),HW79)</f>
        <v>#VALUE!</v>
      </c>
      <c r="HX82" s="962" t="e">
        <f>[1]!taqsh(1,1,[1]!roz(HX78+1,HX81,0,0),HX79)</f>
        <v>#VALUE!</v>
      </c>
      <c r="HY82" s="962" t="e">
        <f>[1]!taqsh(1,1,[1]!roz(HY78+1,HY81,0,0),HY79)</f>
        <v>#VALUE!</v>
      </c>
      <c r="HZ82" s="962" t="e">
        <f>[1]!taqsh(1,1,[1]!roz(HZ78+1,HZ81,0,0),HZ79)</f>
        <v>#VALUE!</v>
      </c>
      <c r="IA82" s="962" t="e">
        <f>[1]!taqsh(1,1,[1]!roz(IA78+1,IA81,0,0),IA79)</f>
        <v>#VALUE!</v>
      </c>
      <c r="IB82" s="962" t="e">
        <f>[1]!taqsh(1,1,[1]!roz(IB78+1,IB81,0,0),IB79)</f>
        <v>#VALUE!</v>
      </c>
      <c r="IC82" s="962" t="e">
        <f>[1]!taqsh(1,1,[1]!roz(IC78+1,IC81,0,0),IC79)</f>
        <v>#VALUE!</v>
      </c>
      <c r="ID82" s="962" t="e">
        <f>[1]!taqsh(1,1,[1]!roz(ID78+1,ID81,0,0),ID79)</f>
        <v>#VALUE!</v>
      </c>
      <c r="IE82" s="962" t="e">
        <f>[1]!taqsh(1,1,[1]!roz(IE78+1,IE81,0,0),IE79)</f>
        <v>#VALUE!</v>
      </c>
      <c r="IF82" s="962" t="e">
        <f>[1]!taqsh(1,1,[1]!roz(IF78+1,IF81,0,0),IF79)</f>
        <v>#VALUE!</v>
      </c>
      <c r="IG82" s="962" t="e">
        <f>[1]!taqsh(1,1,[1]!roz(IG78+1,IG81,0,0),IG79)</f>
        <v>#VALUE!</v>
      </c>
      <c r="IH82" s="962" t="e">
        <f>[1]!taqsh(1,1,[1]!roz(IH78+1,IH81,0,0),IH79)</f>
        <v>#VALUE!</v>
      </c>
      <c r="II82" s="962" t="e">
        <f>[1]!taqsh(1,1,[1]!roz(II78+1,II81,0,0),II79)</f>
        <v>#VALUE!</v>
      </c>
      <c r="IJ82" s="962" t="e">
        <f>[1]!taqsh(1,1,[1]!roz(IJ78+1,IJ81,0,0),IJ79)</f>
        <v>#VALUE!</v>
      </c>
      <c r="IK82" s="962" t="e">
        <f>[1]!taqsh(1,1,[1]!roz(IK78+1,IK81,0,0),IK79)</f>
        <v>#VALUE!</v>
      </c>
      <c r="IL82" s="962" t="e">
        <f>[1]!taqsh(1,1,[1]!roz(IL78+1,IL81,0,0),IL79)</f>
        <v>#VALUE!</v>
      </c>
      <c r="IM82" s="962" t="e">
        <f>[1]!taqsh(1,1,[1]!roz(IM78+1,IM81,0,0),IM79)</f>
        <v>#VALUE!</v>
      </c>
      <c r="IN82" s="962" t="e">
        <f>[1]!taqsh(1,1,[1]!roz(IN78+1,IN81,0,0),IN79)</f>
        <v>#VALUE!</v>
      </c>
      <c r="IO82" s="962" t="e">
        <f>[1]!taqsh(1,1,[1]!roz(IO78+1,IO81,0,0),IO79)</f>
        <v>#VALUE!</v>
      </c>
      <c r="IP82" s="962" t="e">
        <f>[1]!taqsh(1,1,[1]!roz(IP78+1,IP81,0,0),IP79)</f>
        <v>#VALUE!</v>
      </c>
      <c r="IQ82" s="962" t="e">
        <f>[1]!taqsh(1,1,[1]!roz(IQ78+1,IQ81,0,0),IQ79)</f>
        <v>#VALUE!</v>
      </c>
      <c r="IR82" s="962" t="e">
        <f>[1]!taqsh(1,1,[1]!roz(IR78+1,IR81,0,0),IR79)</f>
        <v>#VALUE!</v>
      </c>
      <c r="IS82" s="962" t="e">
        <f>[1]!taqsh(1,1,[1]!roz(IS78+1,IS81,0,0),IS79)</f>
        <v>#VALUE!</v>
      </c>
      <c r="IT82" s="962" t="e">
        <f>[1]!taqsh(1,1,[1]!roz(IT78+1,IT81,0,0),IT79)</f>
        <v>#VALUE!</v>
      </c>
      <c r="IU82" s="962" t="e">
        <f>[1]!taqsh(1,1,[1]!roz(IU78+1,IU81,0,0),IU79)</f>
        <v>#VALUE!</v>
      </c>
      <c r="IV82" s="962" t="e">
        <f>[1]!taqsh(1,1,[1]!roz(IV78+1,IV81,0,0),IV79)</f>
        <v>#VALUE!</v>
      </c>
      <c r="IW82" s="962" t="e">
        <f>[1]!taqsh(1,1,[1]!roz(IW78+1,IW81,0,0),IW79)</f>
        <v>#VALUE!</v>
      </c>
      <c r="IX82" s="962" t="e">
        <f>[1]!taqsh(1,1,[1]!roz(IX78+1,IX81,0,0),IX79)</f>
        <v>#VALUE!</v>
      </c>
      <c r="IY82" s="962" t="e">
        <f>[1]!taqsh(1,1,[1]!roz(IY78+1,IY81,0,0),IY79)</f>
        <v>#VALUE!</v>
      </c>
      <c r="IZ82" s="962" t="e">
        <f>[1]!taqsh(1,1,[1]!roz(IZ78+1,IZ81,0,0),IZ79)</f>
        <v>#VALUE!</v>
      </c>
      <c r="JA82" s="962" t="e">
        <f>[1]!taqsh(1,1,[1]!roz(JA78+1,JA81,0,0),JA79)</f>
        <v>#VALUE!</v>
      </c>
      <c r="JB82" s="962" t="e">
        <f>[1]!taqsh(1,1,[1]!roz(JB78+1,JB81,0,0),JB79)</f>
        <v>#VALUE!</v>
      </c>
      <c r="JC82" s="962" t="e">
        <f>[1]!taqsh(1,1,[1]!roz(JC78+1,JC81,0,0),JC79)</f>
        <v>#VALUE!</v>
      </c>
      <c r="JD82" s="962" t="e">
        <f>[1]!taqsh(1,1,[1]!roz(JD78+1,JD81,0,0),JD79)</f>
        <v>#VALUE!</v>
      </c>
      <c r="JE82" s="962" t="e">
        <f>[1]!taqsh(1,1,[1]!roz(JE78+1,JE81,0,0),JE79)</f>
        <v>#VALUE!</v>
      </c>
      <c r="JF82" s="962" t="e">
        <f>[1]!taqsh(1,1,[1]!roz(JF78+1,JF81,0,0),JF79)</f>
        <v>#VALUE!</v>
      </c>
      <c r="JG82" s="962" t="e">
        <f>[1]!taqsh(1,1,[1]!roz(JG78+1,JG81,0,0),JG79)</f>
        <v>#VALUE!</v>
      </c>
      <c r="JH82" s="962" t="e">
        <f>[1]!taqsh(1,1,[1]!roz(JH78+1,JH81,0,0),JH79)</f>
        <v>#VALUE!</v>
      </c>
      <c r="JI82" s="962" t="e">
        <f>[1]!taqsh(1,1,[1]!roz(JI78+1,JI81,0,0),JI79)</f>
        <v>#VALUE!</v>
      </c>
      <c r="JJ82" s="962" t="e">
        <f>[1]!taqsh(1,1,[1]!roz(JJ78+1,JJ81,0,0),JJ79)</f>
        <v>#VALUE!</v>
      </c>
      <c r="JK82" s="962" t="e">
        <f>[1]!taqsh(1,1,[1]!roz(JK78+1,JK81,0,0),JK79)</f>
        <v>#VALUE!</v>
      </c>
      <c r="JL82" s="962" t="e">
        <f>[1]!taqsh(1,1,[1]!roz(JL78+1,JL81,0,0),JL79)</f>
        <v>#VALUE!</v>
      </c>
      <c r="JM82" s="962" t="e">
        <f>[1]!taqsh(1,1,[1]!roz(JM78+1,JM81,0,0),JM79)</f>
        <v>#VALUE!</v>
      </c>
      <c r="JN82" s="962" t="e">
        <f>[1]!taqsh(1,1,[1]!roz(JN78+1,JN81,0,0),JN79)</f>
        <v>#VALUE!</v>
      </c>
      <c r="JO82" s="962" t="e">
        <f>[1]!taqsh(1,1,[1]!roz(JO78+1,JO81,0,0),JO79)</f>
        <v>#VALUE!</v>
      </c>
      <c r="JP82" s="962" t="e">
        <f>[1]!taqsh(1,1,[1]!roz(JP78+1,JP81,0,0),JP79)</f>
        <v>#VALUE!</v>
      </c>
      <c r="JQ82" s="962" t="e">
        <f>[1]!taqsh(1,1,[1]!roz(JQ78+1,JQ81,0,0),JQ79)</f>
        <v>#VALUE!</v>
      </c>
      <c r="JR82" s="962" t="e">
        <f>[1]!taqsh(1,1,[1]!roz(JR78+1,JR81,0,0),JR79)</f>
        <v>#VALUE!</v>
      </c>
      <c r="JS82" s="962" t="e">
        <f>[1]!taqsh(1,1,[1]!roz(JS78+1,JS81,0,0),JS79)</f>
        <v>#VALUE!</v>
      </c>
      <c r="JT82" s="962" t="e">
        <f>[1]!taqsh(1,1,[1]!roz(JT78+1,JT81,0,0),JT79)</f>
        <v>#VALUE!</v>
      </c>
      <c r="JU82" s="962" t="e">
        <f>[1]!taqsh(1,1,[1]!roz(JU78+1,JU81,0,0),JU79)</f>
        <v>#VALUE!</v>
      </c>
      <c r="JV82" s="962" t="e">
        <f>[1]!taqsh(1,1,[1]!roz(JV78+1,JV81,0,0),JV79)</f>
        <v>#VALUE!</v>
      </c>
      <c r="JW82" s="962" t="e">
        <f>[1]!taqsh(1,1,[1]!roz(JW78+1,JW81,0,0),JW79)</f>
        <v>#VALUE!</v>
      </c>
      <c r="JX82" s="962" t="e">
        <f>[1]!taqsh(1,1,[1]!roz(JX78+1,JX81,0,0),JX79)</f>
        <v>#VALUE!</v>
      </c>
      <c r="JY82" s="962" t="e">
        <f>[1]!taqsh(1,1,[1]!roz(JY78+1,JY81,0,0),JY79)</f>
        <v>#VALUE!</v>
      </c>
      <c r="JZ82" s="962" t="e">
        <f>[1]!taqsh(1,1,[1]!roz(JZ78+1,JZ81,0,0),JZ79)</f>
        <v>#VALUE!</v>
      </c>
      <c r="KA82" s="962" t="e">
        <f>[1]!taqsh(1,1,[1]!roz(KA78+1,KA81,0,0),KA79)</f>
        <v>#VALUE!</v>
      </c>
      <c r="KB82" s="962" t="e">
        <f>[1]!taqsh(1,1,[1]!roz(KB78+1,KB81,0,0),KB79)</f>
        <v>#VALUE!</v>
      </c>
      <c r="KC82" s="962" t="e">
        <f>[1]!taqsh(1,1,[1]!roz(KC78+1,KC81,0,0),KC79)</f>
        <v>#VALUE!</v>
      </c>
      <c r="KD82" s="962" t="e">
        <f>[1]!taqsh(1,1,[1]!roz(KD78+1,KD81,0,0),KD79)</f>
        <v>#VALUE!</v>
      </c>
      <c r="KE82" s="962" t="e">
        <f>[1]!taqsh(1,1,[1]!roz(KE78+1,KE81,0,0),KE79)</f>
        <v>#VALUE!</v>
      </c>
      <c r="KF82" s="962" t="e">
        <f>[1]!taqsh(1,1,[1]!roz(KF78+1,KF81,0,0),KF79)</f>
        <v>#VALUE!</v>
      </c>
      <c r="KG82" s="962" t="e">
        <f>[1]!taqsh(1,1,[1]!roz(KG78+1,KG81,0,0),KG79)</f>
        <v>#VALUE!</v>
      </c>
      <c r="KH82" s="962" t="e">
        <f>[1]!taqsh(1,1,[1]!roz(KH78+1,KH81,0,0),KH79)</f>
        <v>#VALUE!</v>
      </c>
      <c r="KI82" s="962" t="e">
        <f>[1]!taqsh(1,1,[1]!roz(KI78+1,KI81,0,0),KI79)</f>
        <v>#VALUE!</v>
      </c>
      <c r="KJ82" s="962" t="e">
        <f>[1]!taqsh(1,1,[1]!roz(KJ78+1,KJ81,0,0),KJ79)</f>
        <v>#VALUE!</v>
      </c>
      <c r="KK82" s="962" t="e">
        <f>[1]!taqsh(1,1,[1]!roz(KK78+1,KK81,0,0),KK79)</f>
        <v>#VALUE!</v>
      </c>
      <c r="KL82" s="962" t="e">
        <f>[1]!taqsh(1,1,[1]!roz(KL78+1,KL81,0,0),KL79)</f>
        <v>#VALUE!</v>
      </c>
      <c r="KM82" s="962" t="e">
        <f>[1]!taqsh(1,1,[1]!roz(KM78+1,KM81,0,0),KM79)</f>
        <v>#VALUE!</v>
      </c>
      <c r="KN82" s="962" t="e">
        <f>[1]!taqsh(1,1,[1]!roz(KN78+1,KN81,0,0),KN79)</f>
        <v>#VALUE!</v>
      </c>
      <c r="KO82" s="962" t="e">
        <f>[1]!taqsh(1,1,[1]!roz(KO78+1,KO81,0,0),KO79)</f>
        <v>#VALUE!</v>
      </c>
      <c r="KP82" s="962" t="e">
        <f>[1]!taqsh(1,1,[1]!roz(KP78+1,KP81,0,0),KP79)</f>
        <v>#VALUE!</v>
      </c>
      <c r="KQ82" s="962" t="e">
        <f>[1]!taqsh(1,1,[1]!roz(KQ78+1,KQ81,0,0),KQ79)</f>
        <v>#VALUE!</v>
      </c>
      <c r="KR82" s="962" t="e">
        <f>[1]!taqsh(1,1,[1]!roz(KR78+1,KR81,0,0),KR79)</f>
        <v>#VALUE!</v>
      </c>
      <c r="KS82" s="962" t="e">
        <f>[1]!taqsh(1,1,[1]!roz(KS78+1,KS81,0,0),KS79)</f>
        <v>#VALUE!</v>
      </c>
      <c r="KT82" s="962" t="e">
        <f>[1]!taqsh(1,1,[1]!roz(KT78+1,KT81,0,0),KT79)</f>
        <v>#VALUE!</v>
      </c>
      <c r="KU82" s="962" t="e">
        <f>[1]!taqsh(1,1,[1]!roz(KU78+1,KU81,0,0),KU79)</f>
        <v>#VALUE!</v>
      </c>
      <c r="KV82" s="962" t="e">
        <f>[1]!taqsh(1,1,[1]!roz(KV78+1,KV81,0,0),KV79)</f>
        <v>#VALUE!</v>
      </c>
      <c r="KW82" s="962" t="e">
        <f>[1]!taqsh(1,1,[1]!roz(KW78+1,KW81,0,0),KW79)</f>
        <v>#VALUE!</v>
      </c>
      <c r="KX82" s="962" t="e">
        <f>[1]!taqsh(1,1,[1]!roz(KX78+1,KX81,0,0),KX79)</f>
        <v>#VALUE!</v>
      </c>
      <c r="KY82" s="962" t="e">
        <f>[1]!taqsh(1,1,[1]!roz(KY78+1,KY81,0,0),KY79)</f>
        <v>#VALUE!</v>
      </c>
      <c r="KZ82" s="962" t="e">
        <f>[1]!taqsh(1,1,[1]!roz(KZ78+1,KZ81,0,0),KZ79)</f>
        <v>#VALUE!</v>
      </c>
      <c r="LA82" s="962" t="e">
        <f>[1]!taqsh(1,1,[1]!roz(LA78+1,LA81,0,0),LA79)</f>
        <v>#VALUE!</v>
      </c>
      <c r="LB82" s="962" t="e">
        <f>[1]!taqsh(1,1,[1]!roz(LB78+1,LB81,0,0),LB79)</f>
        <v>#VALUE!</v>
      </c>
      <c r="LC82" s="962" t="e">
        <f>[1]!taqsh(1,1,[1]!roz(LC78+1,LC81,0,0),LC79)</f>
        <v>#VALUE!</v>
      </c>
      <c r="LD82" s="962" t="e">
        <f>[1]!taqsh(1,1,[1]!roz(LD78+1,LD81,0,0),LD79)</f>
        <v>#VALUE!</v>
      </c>
      <c r="LE82" s="962" t="e">
        <f>[1]!taqsh(1,1,[1]!roz(LE78+1,LE81,0,0),LE79)</f>
        <v>#VALUE!</v>
      </c>
      <c r="LF82" s="962" t="e">
        <f>[1]!taqsh(1,1,[1]!roz(LF78+1,LF81,0,0),LF79)</f>
        <v>#VALUE!</v>
      </c>
      <c r="LG82" s="962" t="e">
        <f>[1]!taqsh(1,1,[1]!roz(LG78+1,LG81,0,0),LG79)</f>
        <v>#VALUE!</v>
      </c>
      <c r="LH82" s="962" t="e">
        <f>[1]!taqsh(1,1,[1]!roz(LH78+1,LH81,0,0),LH79)</f>
        <v>#VALUE!</v>
      </c>
      <c r="LI82" s="962" t="e">
        <f>[1]!taqsh(1,1,[1]!roz(LI78+1,LI81,0,0),LI79)</f>
        <v>#VALUE!</v>
      </c>
      <c r="LJ82" s="962" t="e">
        <f>[1]!taqsh(1,1,[1]!roz(LJ78+1,LJ81,0,0),LJ79)</f>
        <v>#VALUE!</v>
      </c>
      <c r="LK82" s="962" t="e">
        <f>[1]!taqsh(1,1,[1]!roz(LK78+1,LK81,0,0),LK79)</f>
        <v>#VALUE!</v>
      </c>
      <c r="LL82" s="962" t="e">
        <f>[1]!taqsh(1,1,[1]!roz(LL78+1,LL81,0,0),LL79)</f>
        <v>#VALUE!</v>
      </c>
      <c r="LM82" s="962" t="e">
        <f>[1]!taqsh(1,1,[1]!roz(LM78+1,LM81,0,0),LM79)</f>
        <v>#VALUE!</v>
      </c>
      <c r="LN82" s="962" t="e">
        <f>[1]!taqsh(1,1,[1]!roz(LN78+1,LN81,0,0),LN79)</f>
        <v>#VALUE!</v>
      </c>
      <c r="LO82" s="962" t="e">
        <f>[1]!taqsh(1,1,[1]!roz(LO78+1,LO81,0,0),LO79)</f>
        <v>#VALUE!</v>
      </c>
      <c r="LP82" s="962" t="e">
        <f>[1]!taqsh(1,1,[1]!roz(LP78+1,LP81,0,0),LP79)</f>
        <v>#VALUE!</v>
      </c>
      <c r="LQ82" s="962" t="e">
        <f>[1]!taqsh(1,1,[1]!roz(LQ78+1,LQ81,0,0),LQ79)</f>
        <v>#VALUE!</v>
      </c>
      <c r="LR82" s="962" t="e">
        <f>[1]!taqsh(1,1,[1]!roz(LR78+1,LR81,0,0),LR79)</f>
        <v>#VALUE!</v>
      </c>
      <c r="LS82" s="962" t="e">
        <f>[1]!taqsh(1,1,[1]!roz(LS78+1,LS81,0,0),LS79)</f>
        <v>#VALUE!</v>
      </c>
      <c r="LT82" s="962" t="e">
        <f>[1]!taqsh(1,1,[1]!roz(LT78+1,LT81,0,0),LT79)</f>
        <v>#VALUE!</v>
      </c>
      <c r="LU82" s="962" t="e">
        <f>[1]!taqsh(1,1,[1]!roz(LU78+1,LU81,0,0),LU79)</f>
        <v>#VALUE!</v>
      </c>
      <c r="LV82" s="962" t="e">
        <f>[1]!taqsh(1,1,[1]!roz(LV78+1,LV81,0,0),LV79)</f>
        <v>#VALUE!</v>
      </c>
      <c r="LW82" s="962" t="e">
        <f>[1]!taqsh(1,1,[1]!roz(LW78+1,LW81,0,0),LW79)</f>
        <v>#VALUE!</v>
      </c>
      <c r="LX82" s="962" t="e">
        <f>[1]!taqsh(1,1,[1]!roz(LX78+1,LX81,0,0),LX79)</f>
        <v>#VALUE!</v>
      </c>
      <c r="LY82" s="962" t="e">
        <f>[1]!taqsh(1,1,[1]!roz(LY78+1,LY81,0,0),LY79)</f>
        <v>#VALUE!</v>
      </c>
      <c r="LZ82" s="962" t="e">
        <f>[1]!taqsh(1,1,[1]!roz(LZ78+1,LZ81,0,0),LZ79)</f>
        <v>#VALUE!</v>
      </c>
      <c r="MA82" s="962" t="e">
        <f>[1]!taqsh(1,1,[1]!roz(MA78+1,MA81,0,0),MA79)</f>
        <v>#VALUE!</v>
      </c>
      <c r="MB82" s="962" t="e">
        <f>[1]!taqsh(1,1,[1]!roz(MB78+1,MB81,0,0),MB79)</f>
        <v>#VALUE!</v>
      </c>
      <c r="MC82" s="962" t="e">
        <f>[1]!taqsh(1,1,[1]!roz(MC78+1,MC81,0,0),MC79)</f>
        <v>#VALUE!</v>
      </c>
      <c r="MD82" s="962" t="e">
        <f>[1]!taqsh(1,1,[1]!roz(MD78+1,MD81,0,0),MD79)</f>
        <v>#VALUE!</v>
      </c>
      <c r="ME82" s="962" t="e">
        <f>[1]!taqsh(1,1,[1]!roz(ME78+1,ME81,0,0),ME79)</f>
        <v>#VALUE!</v>
      </c>
      <c r="MF82" s="962" t="e">
        <f>[1]!taqsh(1,1,[1]!roz(MF78+1,MF81,0,0),MF79)</f>
        <v>#VALUE!</v>
      </c>
      <c r="MG82" s="962" t="e">
        <f>[1]!taqsh(1,1,[1]!roz(MG78+1,MG81,0,0),MG79)</f>
        <v>#VALUE!</v>
      </c>
      <c r="MH82" s="962" t="e">
        <f>[1]!taqsh(1,1,[1]!roz(MH78+1,MH81,0,0),MH79)</f>
        <v>#VALUE!</v>
      </c>
      <c r="MI82" s="962" t="e">
        <f>[1]!taqsh(1,1,[1]!roz(MI78+1,MI81,0,0),MI79)</f>
        <v>#VALUE!</v>
      </c>
      <c r="MJ82" s="962" t="e">
        <f>[1]!taqsh(1,1,[1]!roz(MJ78+1,MJ81,0,0),MJ79)</f>
        <v>#VALUE!</v>
      </c>
      <c r="MK82" s="962" t="e">
        <f>[1]!taqsh(1,1,[1]!roz(MK78+1,MK81,0,0),MK79)</f>
        <v>#VALUE!</v>
      </c>
      <c r="ML82" s="962" t="e">
        <f>[1]!taqsh(1,1,[1]!roz(ML78+1,ML81,0,0),ML79)</f>
        <v>#VALUE!</v>
      </c>
      <c r="MM82" s="962" t="e">
        <f>[1]!taqsh(1,1,[1]!roz(MM78+1,MM81,0,0),MM79)</f>
        <v>#VALUE!</v>
      </c>
      <c r="MN82" s="962" t="e">
        <f>[1]!taqsh(1,1,[1]!roz(MN78+1,MN81,0,0),MN79)</f>
        <v>#VALUE!</v>
      </c>
      <c r="MO82" s="962" t="e">
        <f>[1]!taqsh(1,1,[1]!roz(MO78+1,MO81,0,0),MO79)</f>
        <v>#VALUE!</v>
      </c>
      <c r="MP82" s="962" t="e">
        <f>[1]!taqsh(1,1,[1]!roz(MP78+1,MP81,0,0),MP79)</f>
        <v>#VALUE!</v>
      </c>
      <c r="MQ82" s="962" t="e">
        <f>[1]!taqsh(1,1,[1]!roz(MQ78+1,MQ81,0,0),MQ79)</f>
        <v>#VALUE!</v>
      </c>
      <c r="MR82" s="962" t="e">
        <f>[1]!taqsh(1,1,[1]!roz(MR78+1,MR81,0,0),MR79)</f>
        <v>#VALUE!</v>
      </c>
      <c r="MS82" s="962" t="e">
        <f>[1]!taqsh(1,1,[1]!roz(MS78+1,MS81,0,0),MS79)</f>
        <v>#VALUE!</v>
      </c>
      <c r="MT82" s="962" t="e">
        <f>[1]!taqsh(1,1,[1]!roz(MT78+1,MT81,0,0),MT79)</f>
        <v>#VALUE!</v>
      </c>
      <c r="MU82" s="962" t="e">
        <f>[1]!taqsh(1,1,[1]!roz(MU78+1,MU81,0,0),MU79)</f>
        <v>#VALUE!</v>
      </c>
      <c r="MV82" s="962" t="e">
        <f>[1]!taqsh(1,1,[1]!roz(MV78+1,MV81,0,0),MV79)</f>
        <v>#VALUE!</v>
      </c>
      <c r="MW82" s="962" t="e">
        <f>[1]!taqsh(1,1,[1]!roz(MW78+1,MW81,0,0),MW79)</f>
        <v>#VALUE!</v>
      </c>
      <c r="MX82" s="962" t="e">
        <f>[1]!taqsh(1,1,[1]!roz(MX78+1,MX81,0,0),MX79)</f>
        <v>#VALUE!</v>
      </c>
      <c r="MY82" s="962" t="e">
        <f>[1]!taqsh(1,1,[1]!roz(MY78+1,MY81,0,0),MY79)</f>
        <v>#VALUE!</v>
      </c>
      <c r="MZ82" s="962" t="e">
        <f>[1]!taqsh(1,1,[1]!roz(MZ78+1,MZ81,0,0),MZ79)</f>
        <v>#VALUE!</v>
      </c>
      <c r="NA82" s="962" t="e">
        <f>[1]!taqsh(1,1,[1]!roz(NA78+1,NA81,0,0),NA79)</f>
        <v>#VALUE!</v>
      </c>
      <c r="NB82" s="962" t="e">
        <f>[1]!taqsh(1,1,[1]!roz(NB78+1,NB81,0,0),NB79)</f>
        <v>#VALUE!</v>
      </c>
      <c r="NC82" s="962" t="e">
        <f>[1]!taqsh(1,1,[1]!roz(NC78+1,NC81,0,0),NC79)</f>
        <v>#VALUE!</v>
      </c>
      <c r="ND82" s="962" t="e">
        <f>[1]!taqsh(1,1,[1]!roz(ND78+1,ND81,0,0),ND79)</f>
        <v>#VALUE!</v>
      </c>
      <c r="NE82" s="962" t="e">
        <f>[1]!taqsh(1,1,[1]!roz(NE78+1,NE81,0,0),NE79)</f>
        <v>#VALUE!</v>
      </c>
      <c r="NF82" s="962" t="e">
        <f>[1]!taqsh(1,1,[1]!roz(NF78+1,NF81,0,0),NF79)</f>
        <v>#VALUE!</v>
      </c>
      <c r="NG82" s="962" t="e">
        <f>[1]!taqsh(1,1,[1]!roz(NG78+1,NG81,0,0),NG79)</f>
        <v>#VALUE!</v>
      </c>
      <c r="NH82" s="962" t="e">
        <f>[1]!taqsh(1,1,[1]!roz(NH78+1,NH81,0,0),NH79)</f>
        <v>#VALUE!</v>
      </c>
      <c r="NI82" s="962" t="e">
        <f>[1]!taqsh(1,1,[1]!roz(NI78+1,NI81,0,0),NI79)</f>
        <v>#VALUE!</v>
      </c>
      <c r="NJ82" s="962" t="e">
        <f>[1]!taqsh(1,1,[1]!roz(NJ78+1,NJ81,0,0),NJ79)</f>
        <v>#VALUE!</v>
      </c>
      <c r="NK82" s="962" t="e">
        <f>[1]!taqsh(1,1,[1]!roz(NK78+1,NK81,0,0),NK79)</f>
        <v>#VALUE!</v>
      </c>
      <c r="NL82" s="962" t="e">
        <f>[1]!taqsh(1,1,[1]!roz(NL78+1,NL81,0,0),NL79)</f>
        <v>#VALUE!</v>
      </c>
      <c r="NM82" s="962" t="e">
        <f>[1]!taqsh(1,1,[1]!roz(NM78+1,NM81,0,0),NM79)</f>
        <v>#VALUE!</v>
      </c>
      <c r="NN82" s="962" t="e">
        <f>[1]!taqsh(1,1,[1]!roz(NN78+1,NN81,0,0),NN79)</f>
        <v>#VALUE!</v>
      </c>
      <c r="NO82" s="962" t="e">
        <f>[1]!taqsh(1,1,[1]!roz(NO78+1,NO81,0,0),NO79)</f>
        <v>#VALUE!</v>
      </c>
      <c r="NP82" s="962" t="e">
        <f>[1]!taqsh(1,1,[1]!roz(NP78+1,NP81,0,0),NP79)</f>
        <v>#VALUE!</v>
      </c>
      <c r="NQ82" s="962" t="e">
        <f>[1]!taqsh(1,1,[1]!roz(NQ78+1,NQ81,0,0),NQ79)</f>
        <v>#VALUE!</v>
      </c>
      <c r="NR82" s="962" t="e">
        <f>[1]!taqsh(1,1,[1]!roz(NR78+1,NR81,0,0),NR79)</f>
        <v>#VALUE!</v>
      </c>
      <c r="NS82" s="962" t="e">
        <f>[1]!taqsh(1,1,[1]!roz(NS78+1,NS81,0,0),NS79)</f>
        <v>#VALUE!</v>
      </c>
      <c r="NT82" s="962" t="e">
        <f>[1]!taqsh(1,1,[1]!roz(NT78+1,NT81,0,0),NT79)</f>
        <v>#VALUE!</v>
      </c>
      <c r="NU82" s="962" t="e">
        <f>[1]!taqsh(1,1,[1]!roz(NU78+1,NU81,0,0),NU79)</f>
        <v>#VALUE!</v>
      </c>
      <c r="NV82" s="962" t="e">
        <f>[1]!taqsh(1,1,[1]!roz(NV78+1,NV81,0,0),NV79)</f>
        <v>#VALUE!</v>
      </c>
      <c r="NW82" s="962" t="e">
        <f>[1]!taqsh(1,1,[1]!roz(NW78+1,NW81,0,0),NW79)</f>
        <v>#VALUE!</v>
      </c>
      <c r="NX82" s="962" t="e">
        <f>[1]!taqsh(1,1,[1]!roz(NX78+1,NX81,0,0),NX79)</f>
        <v>#VALUE!</v>
      </c>
      <c r="NY82" s="962" t="e">
        <f>[1]!taqsh(1,1,[1]!roz(NY78+1,NY81,0,0),NY79)</f>
        <v>#VALUE!</v>
      </c>
      <c r="NZ82" s="962" t="e">
        <f>[1]!taqsh(1,1,[1]!roz(NZ78+1,NZ81,0,0),NZ79)</f>
        <v>#VALUE!</v>
      </c>
      <c r="OA82" s="962" t="e">
        <f>[1]!taqsh(1,1,[1]!roz(OA78+1,OA81,0,0),OA79)</f>
        <v>#VALUE!</v>
      </c>
      <c r="OB82" s="962" t="e">
        <f>[1]!taqsh(1,1,[1]!roz(OB78+1,OB81,0,0),OB79)</f>
        <v>#VALUE!</v>
      </c>
      <c r="OC82" s="962" t="e">
        <f>[1]!taqsh(1,1,[1]!roz(OC78+1,OC81,0,0),OC79)</f>
        <v>#VALUE!</v>
      </c>
      <c r="OD82" s="962" t="e">
        <f>[1]!taqsh(1,1,[1]!roz(OD78+1,OD81,0,0),OD79)</f>
        <v>#VALUE!</v>
      </c>
      <c r="OE82" s="962" t="e">
        <f>[1]!taqsh(1,1,[1]!roz(OE78+1,OE81,0,0),OE79)</f>
        <v>#VALUE!</v>
      </c>
      <c r="OF82" s="962" t="e">
        <f>[1]!taqsh(1,1,[1]!roz(OF78+1,OF81,0,0),OF79)</f>
        <v>#VALUE!</v>
      </c>
      <c r="OG82" s="962" t="e">
        <f>[1]!taqsh(1,1,[1]!roz(OG78+1,OG81,0,0),OG79)</f>
        <v>#VALUE!</v>
      </c>
      <c r="OH82" s="962" t="e">
        <f>[1]!taqsh(1,1,[1]!roz(OH78+1,OH81,0,0),OH79)</f>
        <v>#VALUE!</v>
      </c>
      <c r="OI82" s="962" t="e">
        <f>[1]!taqsh(1,1,[1]!roz(OI78+1,OI81,0,0),OI79)</f>
        <v>#VALUE!</v>
      </c>
      <c r="OJ82" s="962" t="e">
        <f>[1]!taqsh(1,1,[1]!roz(OJ78+1,OJ81,0,0),OJ79)</f>
        <v>#VALUE!</v>
      </c>
      <c r="OK82" s="962" t="e">
        <f>[1]!taqsh(1,1,[1]!roz(OK78+1,OK81,0,0),OK79)</f>
        <v>#VALUE!</v>
      </c>
      <c r="OL82" s="962" t="e">
        <f>[1]!taqsh(1,1,[1]!roz(OL78+1,OL81,0,0),OL79)</f>
        <v>#VALUE!</v>
      </c>
      <c r="OM82" s="962" t="e">
        <f>[1]!taqsh(1,1,[1]!roz(OM78+1,OM81,0,0),OM79)</f>
        <v>#VALUE!</v>
      </c>
      <c r="ON82" s="962" t="e">
        <f>[1]!taqsh(1,1,[1]!roz(ON78+1,ON81,0,0),ON79)</f>
        <v>#VALUE!</v>
      </c>
      <c r="OO82" s="962" t="e">
        <f>[1]!taqsh(1,1,[1]!roz(OO78+1,OO81,0,0),OO79)</f>
        <v>#VALUE!</v>
      </c>
      <c r="OP82" s="962" t="e">
        <f>[1]!taqsh(1,1,[1]!roz(OP78+1,OP81,0,0),OP79)</f>
        <v>#VALUE!</v>
      </c>
      <c r="OQ82" s="962" t="e">
        <f>[1]!taqsh(1,1,[1]!roz(OQ78+1,OQ81,0,0),OQ79)</f>
        <v>#VALUE!</v>
      </c>
      <c r="OR82" s="962" t="e">
        <f>[1]!taqsh(1,1,[1]!roz(OR78+1,OR81,0,0),OR79)</f>
        <v>#VALUE!</v>
      </c>
      <c r="OS82" s="962" t="e">
        <f>[1]!taqsh(1,1,[1]!roz(OS78+1,OS81,0,0),OS79)</f>
        <v>#VALUE!</v>
      </c>
      <c r="OT82" s="962" t="e">
        <f>[1]!taqsh(1,1,[1]!roz(OT78+1,OT81,0,0),OT79)</f>
        <v>#VALUE!</v>
      </c>
      <c r="OU82" s="962" t="e">
        <f>[1]!taqsh(1,1,[1]!roz(OU78+1,OU81,0,0),OU79)</f>
        <v>#VALUE!</v>
      </c>
      <c r="OV82" s="962" t="e">
        <f>[1]!taqsh(1,1,[1]!roz(OV78+1,OV81,0,0),OV79)</f>
        <v>#VALUE!</v>
      </c>
      <c r="OW82" s="962" t="e">
        <f>[1]!taqsh(1,1,[1]!roz(OW78+1,OW81,0,0),OW79)</f>
        <v>#VALUE!</v>
      </c>
      <c r="OX82" s="962" t="e">
        <f>[1]!taqsh(1,1,[1]!roz(OX78+1,OX81,0,0),OX79)</f>
        <v>#VALUE!</v>
      </c>
      <c r="OY82" s="962" t="e">
        <f>[1]!taqsh(1,1,[1]!roz(OY78+1,OY81,0,0),OY79)</f>
        <v>#VALUE!</v>
      </c>
      <c r="OZ82" s="962" t="e">
        <f>[1]!taqsh(1,1,[1]!roz(OZ78+1,OZ81,0,0),OZ79)</f>
        <v>#VALUE!</v>
      </c>
      <c r="PA82" s="962" t="e">
        <f>[1]!taqsh(1,1,[1]!roz(PA78+1,PA81,0,0),PA79)</f>
        <v>#VALUE!</v>
      </c>
      <c r="PB82" s="962" t="e">
        <f>[1]!taqsh(1,1,[1]!roz(PB78+1,PB81,0,0),PB79)</f>
        <v>#VALUE!</v>
      </c>
      <c r="PC82" s="962" t="e">
        <f>[1]!taqsh(1,1,[1]!roz(PC78+1,PC81,0,0),PC79)</f>
        <v>#VALUE!</v>
      </c>
      <c r="PD82" s="962" t="e">
        <f>[1]!taqsh(1,1,[1]!roz(PD78+1,PD81,0,0),PD79)</f>
        <v>#VALUE!</v>
      </c>
      <c r="PE82" s="962" t="e">
        <f>[1]!taqsh(1,1,[1]!roz(PE78+1,PE81,0,0),PE79)</f>
        <v>#VALUE!</v>
      </c>
      <c r="PF82" s="962" t="e">
        <f>[1]!taqsh(1,1,[1]!roz(PF78+1,PF81,0,0),PF79)</f>
        <v>#VALUE!</v>
      </c>
      <c r="PG82" s="962" t="e">
        <f>[1]!taqsh(1,1,[1]!roz(PG78+1,PG81,0,0),PG79)</f>
        <v>#VALUE!</v>
      </c>
      <c r="PH82" s="962" t="e">
        <f>[1]!taqsh(1,1,[1]!roz(PH78+1,PH81,0,0),PH79)</f>
        <v>#VALUE!</v>
      </c>
      <c r="PI82" s="962" t="e">
        <f>[1]!taqsh(1,1,[1]!roz(PI78+1,PI81,0,0),PI79)</f>
        <v>#VALUE!</v>
      </c>
      <c r="PJ82" s="962" t="e">
        <f>[1]!taqsh(1,1,[1]!roz(PJ78+1,PJ81,0,0),PJ79)</f>
        <v>#VALUE!</v>
      </c>
      <c r="PK82" s="962" t="e">
        <f>[1]!taqsh(1,1,[1]!roz(PK78+1,PK81,0,0),PK79)</f>
        <v>#VALUE!</v>
      </c>
      <c r="PL82" s="962" t="e">
        <f>[1]!taqsh(1,1,[1]!roz(PL78+1,PL81,0,0),PL79)</f>
        <v>#VALUE!</v>
      </c>
      <c r="PM82" s="962" t="e">
        <f>[1]!taqsh(1,1,[1]!roz(PM78+1,PM81,0,0),PM79)</f>
        <v>#VALUE!</v>
      </c>
      <c r="PN82" s="962" t="e">
        <f>[1]!taqsh(1,1,[1]!roz(PN78+1,PN81,0,0),PN79)</f>
        <v>#VALUE!</v>
      </c>
      <c r="PO82" s="962" t="e">
        <f>[1]!taqsh(1,1,[1]!roz(PO78+1,PO81,0,0),PO79)</f>
        <v>#VALUE!</v>
      </c>
      <c r="PP82" s="962" t="e">
        <f>[1]!taqsh(1,1,[1]!roz(PP78+1,PP81,0,0),PP79)</f>
        <v>#VALUE!</v>
      </c>
      <c r="PQ82" s="962" t="e">
        <f>[1]!taqsh(1,1,[1]!roz(PQ78+1,PQ81,0,0),PQ79)</f>
        <v>#VALUE!</v>
      </c>
      <c r="PR82" s="962" t="e">
        <f>[1]!taqsh(1,1,[1]!roz(PR78+1,PR81,0,0),PR79)</f>
        <v>#VALUE!</v>
      </c>
      <c r="PS82" s="962" t="e">
        <f>[1]!taqsh(1,1,[1]!roz(PS78+1,PS81,0,0),PS79)</f>
        <v>#VALUE!</v>
      </c>
      <c r="PT82" s="962" t="e">
        <f>[1]!taqsh(1,1,[1]!roz(PT78+1,PT81,0,0),PT79)</f>
        <v>#VALUE!</v>
      </c>
      <c r="PU82" s="962" t="e">
        <f>[1]!taqsh(1,1,[1]!roz(PU78+1,PU81,0,0),PU79)</f>
        <v>#VALUE!</v>
      </c>
      <c r="PV82" s="962" t="e">
        <f>[1]!taqsh(1,1,[1]!roz(PV78+1,PV81,0,0),PV79)</f>
        <v>#VALUE!</v>
      </c>
      <c r="PW82" s="962" t="e">
        <f>[1]!taqsh(1,1,[1]!roz(PW78+1,PW81,0,0),PW79)</f>
        <v>#VALUE!</v>
      </c>
      <c r="PX82" s="962" t="e">
        <f>[1]!taqsh(1,1,[1]!roz(PX78+1,PX81,0,0),PX79)</f>
        <v>#VALUE!</v>
      </c>
      <c r="PY82" s="962" t="e">
        <f>[1]!taqsh(1,1,[1]!roz(PY78+1,PY81,0,0),PY79)</f>
        <v>#VALUE!</v>
      </c>
      <c r="PZ82" s="962" t="e">
        <f>[1]!taqsh(1,1,[1]!roz(PZ78+1,PZ81,0,0),PZ79)</f>
        <v>#VALUE!</v>
      </c>
      <c r="QA82" s="962" t="e">
        <f>[1]!taqsh(1,1,[1]!roz(QA78+1,QA81,0,0),QA79)</f>
        <v>#VALUE!</v>
      </c>
      <c r="QB82" s="962" t="e">
        <f>[1]!taqsh(1,1,[1]!roz(QB78+1,QB81,0,0),QB79)</f>
        <v>#VALUE!</v>
      </c>
      <c r="QC82" s="962" t="e">
        <f>[1]!taqsh(1,1,[1]!roz(QC78+1,QC81,0,0),QC79)</f>
        <v>#VALUE!</v>
      </c>
      <c r="QD82" s="962" t="e">
        <f>[1]!taqsh(1,1,[1]!roz(QD78+1,QD81,0,0),QD79)</f>
        <v>#VALUE!</v>
      </c>
      <c r="QE82" s="962" t="e">
        <f>[1]!taqsh(1,1,[1]!roz(QE78+1,QE81,0,0),QE79)</f>
        <v>#VALUE!</v>
      </c>
      <c r="QF82" s="962" t="e">
        <f>[1]!taqsh(1,1,[1]!roz(QF78+1,QF81,0,0),QF79)</f>
        <v>#VALUE!</v>
      </c>
      <c r="QG82" s="962" t="e">
        <f>[1]!taqsh(1,1,[1]!roz(QG78+1,QG81,0,0),QG79)</f>
        <v>#VALUE!</v>
      </c>
      <c r="QH82" s="962" t="e">
        <f>[1]!taqsh(1,1,[1]!roz(QH78+1,QH81,0,0),QH79)</f>
        <v>#VALUE!</v>
      </c>
      <c r="QI82" s="962" t="e">
        <f>[1]!taqsh(1,1,[1]!roz(QI78+1,QI81,0,0),QI79)</f>
        <v>#VALUE!</v>
      </c>
      <c r="QJ82" s="962" t="e">
        <f>[1]!taqsh(1,1,[1]!roz(QJ78+1,QJ81,0,0),QJ79)</f>
        <v>#VALUE!</v>
      </c>
      <c r="QK82" s="962" t="e">
        <f>[1]!taqsh(1,1,[1]!roz(QK78+1,QK81,0,0),QK79)</f>
        <v>#VALUE!</v>
      </c>
      <c r="QL82" s="962" t="e">
        <f>[1]!taqsh(1,1,[1]!roz(QL78+1,QL81,0,0),QL79)</f>
        <v>#VALUE!</v>
      </c>
      <c r="QM82" s="962" t="e">
        <f>[1]!taqsh(1,1,[1]!roz(QM78+1,QM81,0,0),QM79)</f>
        <v>#VALUE!</v>
      </c>
      <c r="QN82" s="962" t="e">
        <f>[1]!taqsh(1,1,[1]!roz(QN78+1,QN81,0,0),QN79)</f>
        <v>#VALUE!</v>
      </c>
      <c r="QO82" s="962" t="e">
        <f>[1]!taqsh(1,1,[1]!roz(QO78+1,QO81,0,0),QO79)</f>
        <v>#VALUE!</v>
      </c>
      <c r="QP82" s="962" t="e">
        <f>[1]!taqsh(1,1,[1]!roz(QP78+1,QP81,0,0),QP79)</f>
        <v>#VALUE!</v>
      </c>
      <c r="QQ82" s="962" t="e">
        <f>[1]!taqsh(1,1,[1]!roz(QQ78+1,QQ81,0,0),QQ79)</f>
        <v>#VALUE!</v>
      </c>
      <c r="QR82" s="962" t="e">
        <f>[1]!taqsh(1,1,[1]!roz(QR78+1,QR81,0,0),QR79)</f>
        <v>#VALUE!</v>
      </c>
      <c r="QS82" s="962" t="e">
        <f>[1]!taqsh(1,1,[1]!roz(QS78+1,QS81,0,0),QS79)</f>
        <v>#VALUE!</v>
      </c>
      <c r="QT82" s="962" t="e">
        <f>[1]!taqsh(1,1,[1]!roz(QT78+1,QT81,0,0),QT79)</f>
        <v>#VALUE!</v>
      </c>
      <c r="QU82" s="962" t="e">
        <f>[1]!taqsh(1,1,[1]!roz(QU78+1,QU81,0,0),QU79)</f>
        <v>#VALUE!</v>
      </c>
      <c r="QV82" s="962" t="e">
        <f>[1]!taqsh(1,1,[1]!roz(QV78+1,QV81,0,0),QV79)</f>
        <v>#VALUE!</v>
      </c>
      <c r="QW82" s="962" t="e">
        <f>[1]!taqsh(1,1,[1]!roz(QW78+1,QW81,0,0),QW79)</f>
        <v>#VALUE!</v>
      </c>
      <c r="QX82" s="962" t="e">
        <f>[1]!taqsh(1,1,[1]!roz(QX78+1,QX81,0,0),QX79)</f>
        <v>#VALUE!</v>
      </c>
      <c r="QY82" s="962" t="e">
        <f>[1]!taqsh(1,1,[1]!roz(QY78+1,QY81,0,0),QY79)</f>
        <v>#VALUE!</v>
      </c>
      <c r="QZ82" s="962" t="e">
        <f>[1]!taqsh(1,1,[1]!roz(QZ78+1,QZ81,0,0),QZ79)</f>
        <v>#VALUE!</v>
      </c>
      <c r="RA82" s="963" t="e">
        <f>[1]!taqsh(1,1,[1]!roz(RA78+1,RA81,0,0),RA79)</f>
        <v>#VALUE!</v>
      </c>
      <c r="RB82" s="797"/>
      <c r="RC82" s="797"/>
    </row>
    <row r="83" spans="2:471" ht="17.25">
      <c r="B83" s="2"/>
      <c r="C83" s="2">
        <v>1</v>
      </c>
      <c r="D83" s="2">
        <f>MOD(C83,7)</f>
        <v>1</v>
      </c>
      <c r="E83" s="2" t="str">
        <f>IF(D83=3,"جمعه",IF(D83=2,"پنج شنبه",IF(D83=1,"چهارشنبه",IF(D83=0,"سه شنبه",IF(D83=6,"دو شنبه",IF(D83=5,"یک شنبه","شنبه"))))))</f>
        <v>چهارشنبه</v>
      </c>
      <c r="F83" s="2"/>
      <c r="G83" s="2"/>
      <c r="H83" s="2"/>
      <c r="I83" s="2"/>
      <c r="J83" s="2"/>
      <c r="K83" s="2"/>
      <c r="L83" s="2"/>
      <c r="M83" s="2"/>
      <c r="N83" s="2"/>
      <c r="O83" s="2"/>
      <c r="P83" s="2" t="s">
        <v>17</v>
      </c>
      <c r="Q83" s="2"/>
      <c r="R83" s="2"/>
      <c r="S83" s="2"/>
      <c r="T83" s="2"/>
      <c r="U83" s="2"/>
      <c r="V83" s="2"/>
      <c r="W83" s="2"/>
      <c r="X83" s="2"/>
      <c r="Y83" s="2"/>
      <c r="Z83" s="2"/>
      <c r="AA83" s="2"/>
      <c r="AB83" s="2"/>
      <c r="AC83" s="2"/>
      <c r="DH83" s="797"/>
      <c r="DJ83" s="961" t="e">
        <f>[1]!taqq(1,1,[1]!roz(DJ78+1,DJ81,0,0),DJ79)</f>
        <v>#VALUE!</v>
      </c>
      <c r="DK83" s="962" t="e">
        <f>[1]!taqq(1,1,[1]!roz(DK78+1,DK81,0,0),DK79)</f>
        <v>#VALUE!</v>
      </c>
      <c r="DL83" s="962" t="e">
        <f>[1]!taqq(1,1,[1]!roz(DL78+1,DL81,0,0),DL79)</f>
        <v>#VALUE!</v>
      </c>
      <c r="DM83" s="962" t="e">
        <f>[1]!taqq(1,1,[1]!roz(DM78+1,DM81,0,0),DM79)</f>
        <v>#VALUE!</v>
      </c>
      <c r="DN83" s="962" t="e">
        <f>[1]!taqq(1,1,[1]!roz(DN78+1,DN81,0,0),DN79)</f>
        <v>#VALUE!</v>
      </c>
      <c r="DO83" s="962" t="e">
        <f>[1]!taqq(1,1,[1]!roz(DO78+1,DO81,0,0),DO79)</f>
        <v>#VALUE!</v>
      </c>
      <c r="DP83" s="962" t="e">
        <f>[1]!taqq(1,1,[1]!roz(DP78+1,DP81,0,0),DP79)</f>
        <v>#VALUE!</v>
      </c>
      <c r="DQ83" s="962" t="e">
        <f>[1]!taqq(1,1,[1]!roz(DQ78+1,DQ81,0,0),DQ79)</f>
        <v>#VALUE!</v>
      </c>
      <c r="DR83" s="962" t="e">
        <f>[1]!taqq(1,1,[1]!roz(DR78+1,DR81,0,0),DR79)</f>
        <v>#VALUE!</v>
      </c>
      <c r="DS83" s="962" t="e">
        <f>[1]!taqq(1,1,[1]!roz(DS78+1,DS81,0,0),DS79)</f>
        <v>#VALUE!</v>
      </c>
      <c r="DT83" s="962" t="e">
        <f>[1]!taqq(1,1,[1]!roz(DT78+1,DT81,0,0),DT79)</f>
        <v>#VALUE!</v>
      </c>
      <c r="DU83" s="962" t="e">
        <f>[1]!taqq(1,1,[1]!roz(DU78+1,DU81,0,0),DU79)</f>
        <v>#VALUE!</v>
      </c>
      <c r="DV83" s="962" t="e">
        <f>[1]!taqq(1,1,[1]!roz(DV78+1,DV81,0,0),DV79)</f>
        <v>#VALUE!</v>
      </c>
      <c r="DW83" s="962" t="e">
        <f>[1]!taqq(1,1,[1]!roz(DW78+1,DW81,0,0),DW79)</f>
        <v>#VALUE!</v>
      </c>
      <c r="DX83" s="962" t="e">
        <f>[1]!taqq(1,1,[1]!roz(DX78+1,DX81,0,0),DX79)</f>
        <v>#VALUE!</v>
      </c>
      <c r="DY83" s="962" t="e">
        <f>[1]!taqq(1,1,[1]!roz(DY78+1,DY81,0,0),DY79)</f>
        <v>#VALUE!</v>
      </c>
      <c r="DZ83" s="962" t="e">
        <f>[1]!taqq(1,1,[1]!roz(DZ78+1,DZ81,0,0),DZ79)</f>
        <v>#VALUE!</v>
      </c>
      <c r="EA83" s="962" t="e">
        <f>[1]!taqq(1,1,[1]!roz(EA78+1,EA81,0,0),EA79)</f>
        <v>#VALUE!</v>
      </c>
      <c r="EB83" s="962" t="e">
        <f>[1]!taqq(1,1,[1]!roz(EB78+1,EB81,0,0),EB79)</f>
        <v>#VALUE!</v>
      </c>
      <c r="EC83" s="962" t="e">
        <f>[1]!taqq(1,1,[1]!roz(EC78+1,EC81,0,0),EC79)</f>
        <v>#VALUE!</v>
      </c>
      <c r="ED83" s="962" t="e">
        <f>[1]!taqq(1,1,[1]!roz(ED78+1,ED81,0,0),ED79)</f>
        <v>#VALUE!</v>
      </c>
      <c r="EE83" s="962" t="e">
        <f>[1]!taqq(1,1,[1]!roz(EE78+1,EE81,0,0),EE79)</f>
        <v>#VALUE!</v>
      </c>
      <c r="EF83" s="962" t="e">
        <f>[1]!taqq(1,1,[1]!roz(EF78+1,EF81,0,0),EF79)</f>
        <v>#VALUE!</v>
      </c>
      <c r="EG83" s="962" t="e">
        <f>[1]!taqq(1,1,[1]!roz(EG78+1,EG81,0,0),EG79)</f>
        <v>#VALUE!</v>
      </c>
      <c r="EH83" s="962" t="e">
        <f>[1]!taqq(1,1,[1]!roz(EH78+1,EH81,0,0),EH79)</f>
        <v>#VALUE!</v>
      </c>
      <c r="EI83" s="962" t="e">
        <f>[1]!taqq(1,1,[1]!roz(EI78+1,EI81,0,0),EI79)</f>
        <v>#VALUE!</v>
      </c>
      <c r="EJ83" s="962" t="e">
        <f>[1]!taqq(1,1,[1]!roz(EJ78+1,EJ81,0,0),EJ79)</f>
        <v>#VALUE!</v>
      </c>
      <c r="EK83" s="962" t="e">
        <f>[1]!taqq(1,1,[1]!roz(EK78+1,EK81,0,0),EK79)</f>
        <v>#VALUE!</v>
      </c>
      <c r="EL83" s="962" t="e">
        <f>[1]!taqq(1,1,[1]!roz(EL78+1,EL81,0,0),EL79)</f>
        <v>#VALUE!</v>
      </c>
      <c r="EM83" s="962" t="e">
        <f>[1]!taqq(1,1,[1]!roz(EM78+1,EM81,0,0),EM79)</f>
        <v>#VALUE!</v>
      </c>
      <c r="EN83" s="962" t="e">
        <f>[1]!taqq(1,1,[1]!roz(EN78+1,EN81,0,0),EN79)</f>
        <v>#VALUE!</v>
      </c>
      <c r="EO83" s="962" t="e">
        <f>[1]!taqq(1,1,[1]!roz(EO78+1,EO81,0,0),EO79)</f>
        <v>#VALUE!</v>
      </c>
      <c r="EP83" s="962" t="e">
        <f>[1]!taqq(1,1,[1]!roz(EP78+1,EP81,0,0),EP79)</f>
        <v>#VALUE!</v>
      </c>
      <c r="EQ83" s="962" t="e">
        <f>[1]!taqq(1,1,[1]!roz(EQ78+1,EQ81,0,0),EQ79)</f>
        <v>#VALUE!</v>
      </c>
      <c r="ER83" s="962" t="e">
        <f>[1]!taqq(1,1,[1]!roz(ER78+1,ER81,0,0),ER79)</f>
        <v>#VALUE!</v>
      </c>
      <c r="ES83" s="962" t="e">
        <f>[1]!taqq(1,1,[1]!roz(ES78+1,ES81,0,0),ES79)</f>
        <v>#VALUE!</v>
      </c>
      <c r="ET83" s="962" t="e">
        <f>[1]!taqq(1,1,[1]!roz(ET78+1,ET81,0,0),ET79)</f>
        <v>#VALUE!</v>
      </c>
      <c r="EU83" s="962" t="e">
        <f>[1]!taqq(1,1,[1]!roz(EU78+1,EU81,0,0),EU79)</f>
        <v>#VALUE!</v>
      </c>
      <c r="EV83" s="962" t="e">
        <f>[1]!taqq(1,1,[1]!roz(EV78+1,EV81,0,0),EV79)</f>
        <v>#VALUE!</v>
      </c>
      <c r="EW83" s="962" t="e">
        <f>[1]!taqq(1,1,[1]!roz(EW78+1,EW81,0,0),EW79)</f>
        <v>#VALUE!</v>
      </c>
      <c r="EX83" s="962" t="e">
        <f>[1]!taqq(1,1,[1]!roz(EX78+1,EX81,0,0),EX79)</f>
        <v>#VALUE!</v>
      </c>
      <c r="EY83" s="962" t="e">
        <f>[1]!taqq(1,1,[1]!roz(EY78+1,EY81,0,0),EY79)</f>
        <v>#VALUE!</v>
      </c>
      <c r="EZ83" s="962" t="e">
        <f>[1]!taqq(1,1,[1]!roz(EZ78+1,EZ81,0,0),EZ79)</f>
        <v>#VALUE!</v>
      </c>
      <c r="FA83" s="962" t="e">
        <f>[1]!taqq(1,1,[1]!roz(FA78+1,FA81,0,0),FA79)</f>
        <v>#VALUE!</v>
      </c>
      <c r="FB83" s="962" t="e">
        <f>[1]!taqq(1,1,[1]!roz(FB78+1,FB81,0,0),FB79)</f>
        <v>#VALUE!</v>
      </c>
      <c r="FC83" s="962" t="e">
        <f>[1]!taqq(1,1,[1]!roz(FC78+1,FC81,0,0),FC79)</f>
        <v>#VALUE!</v>
      </c>
      <c r="FD83" s="962" t="e">
        <f>[1]!taqq(1,1,[1]!roz(FD78+1,FD81,0,0),FD79)</f>
        <v>#VALUE!</v>
      </c>
      <c r="FE83" s="962" t="e">
        <f>[1]!taqq(1,1,[1]!roz(FE78+1,FE81,0,0),FE79)</f>
        <v>#VALUE!</v>
      </c>
      <c r="FF83" s="962" t="e">
        <f>[1]!taqq(1,1,[1]!roz(FF78+1,FF81,0,0),FF79)</f>
        <v>#VALUE!</v>
      </c>
      <c r="FG83" s="962" t="e">
        <f>[1]!taqq(1,1,[1]!roz(FG78+1,FG81,0,0),FG79)</f>
        <v>#VALUE!</v>
      </c>
      <c r="FH83" s="962" t="e">
        <f>[1]!taqq(1,1,[1]!roz(FH78+1,FH81,0,0),FH79)</f>
        <v>#VALUE!</v>
      </c>
      <c r="FI83" s="962" t="e">
        <f>[1]!taqq(1,1,[1]!roz(FI78+1,FI81,0,0),FI79)</f>
        <v>#VALUE!</v>
      </c>
      <c r="FJ83" s="962" t="e">
        <f>[1]!taqq(1,1,[1]!roz(FJ78+1,FJ81,0,0),FJ79)</f>
        <v>#VALUE!</v>
      </c>
      <c r="FK83" s="962" t="e">
        <f>[1]!taqq(1,1,[1]!roz(FK78+1,FK81,0,0),FK79)</f>
        <v>#VALUE!</v>
      </c>
      <c r="FL83" s="962" t="e">
        <f>[1]!taqq(1,1,[1]!roz(FL78+1,FL81,0,0),FL79)</f>
        <v>#VALUE!</v>
      </c>
      <c r="FM83" s="962" t="e">
        <f>[1]!taqq(1,1,[1]!roz(FM78+1,FM81,0,0),FM79)</f>
        <v>#VALUE!</v>
      </c>
      <c r="FN83" s="962" t="e">
        <f>[1]!taqq(1,1,[1]!roz(FN78+1,FN81,0,0),FN79)</f>
        <v>#VALUE!</v>
      </c>
      <c r="FO83" s="962" t="e">
        <f>[1]!taqq(1,1,[1]!roz(FO78+1,FO81,0,0),FO79)</f>
        <v>#VALUE!</v>
      </c>
      <c r="FP83" s="962" t="e">
        <f>[1]!taqq(1,1,[1]!roz(FP78+1,FP81,0,0),FP79)</f>
        <v>#VALUE!</v>
      </c>
      <c r="FQ83" s="962" t="e">
        <f>[1]!taqq(1,1,[1]!roz(FQ78+1,FQ81,0,0),FQ79)</f>
        <v>#VALUE!</v>
      </c>
      <c r="FR83" s="962" t="e">
        <f>[1]!taqq(1,1,[1]!roz(FR78+1,FR81,0,0),FR79)</f>
        <v>#VALUE!</v>
      </c>
      <c r="FS83" s="962" t="e">
        <f>[1]!taqq(1,1,[1]!roz(FS78+1,FS81,0,0),FS79)</f>
        <v>#VALUE!</v>
      </c>
      <c r="FT83" s="962" t="e">
        <f>[1]!taqq(1,1,[1]!roz(FT78+1,FT81,0,0),FT79)</f>
        <v>#VALUE!</v>
      </c>
      <c r="FU83" s="962" t="e">
        <f>[1]!taqq(1,1,[1]!roz(FU78+1,FU81,0,0),FU79)</f>
        <v>#VALUE!</v>
      </c>
      <c r="FV83" s="962" t="e">
        <f>[1]!taqq(1,1,[1]!roz(FV78+1,FV81,0,0),FV79)</f>
        <v>#VALUE!</v>
      </c>
      <c r="FW83" s="962" t="e">
        <f>[1]!taqq(1,1,[1]!roz(FW78+1,FW81,0,0),FW79)</f>
        <v>#VALUE!</v>
      </c>
      <c r="FX83" s="962" t="e">
        <f>[1]!taqq(1,1,[1]!roz(FX78+1,FX81,0,0),FX79)</f>
        <v>#VALUE!</v>
      </c>
      <c r="FY83" s="962" t="e">
        <f>[1]!taqq(1,1,[1]!roz(FY78+1,FY81,0,0),FY79)</f>
        <v>#VALUE!</v>
      </c>
      <c r="FZ83" s="962" t="e">
        <f>[1]!taqq(1,1,[1]!roz(FZ78+1,FZ81,0,0),FZ79)</f>
        <v>#VALUE!</v>
      </c>
      <c r="GA83" s="962" t="e">
        <f>[1]!taqq(1,1,[1]!roz(GA78+1,GA81,0,0),GA79)</f>
        <v>#VALUE!</v>
      </c>
      <c r="GB83" s="962" t="e">
        <f>[1]!taqq(1,1,[1]!roz(GB78+1,GB81,0,0),GB79)</f>
        <v>#VALUE!</v>
      </c>
      <c r="GC83" s="962" t="e">
        <f>[1]!taqq(1,1,[1]!roz(GC78+1,GC81,0,0),GC79)</f>
        <v>#VALUE!</v>
      </c>
      <c r="GD83" s="962" t="e">
        <f>[1]!taqq(1,1,[1]!roz(GD78+1,GD81,0,0),GD79)</f>
        <v>#VALUE!</v>
      </c>
      <c r="GE83" s="962" t="e">
        <f>[1]!taqq(1,1,[1]!roz(GE78+1,GE81,0,0),GE79)</f>
        <v>#VALUE!</v>
      </c>
      <c r="GF83" s="962" t="e">
        <f>[1]!taqq(1,1,[1]!roz(GF78+1,GF81,0,0),GF79)</f>
        <v>#VALUE!</v>
      </c>
      <c r="GG83" s="962" t="e">
        <f>[1]!taqq(1,1,[1]!roz(GG78+1,GG81,0,0),GG79)</f>
        <v>#VALUE!</v>
      </c>
      <c r="GH83" s="962" t="e">
        <f>[1]!taqq(1,1,[1]!roz(GH78+1,GH81,0,0),GH79)</f>
        <v>#VALUE!</v>
      </c>
      <c r="GI83" s="962" t="e">
        <f>[1]!taqq(1,1,[1]!roz(GI78+1,GI81,0,0),GI79)</f>
        <v>#VALUE!</v>
      </c>
      <c r="GJ83" s="962" t="e">
        <f>[1]!taqq(1,1,[1]!roz(GJ78+1,GJ81,0,0),GJ79)</f>
        <v>#VALUE!</v>
      </c>
      <c r="GK83" s="962" t="e">
        <f>[1]!taqq(1,1,[1]!roz(GK78+1,GK81,0,0),GK79)</f>
        <v>#VALUE!</v>
      </c>
      <c r="GL83" s="962" t="e">
        <f>[1]!taqq(1,1,[1]!roz(GL78+1,GL81,0,0),GL79)</f>
        <v>#VALUE!</v>
      </c>
      <c r="GM83" s="962" t="e">
        <f>[1]!taqq(1,1,[1]!roz(GM78+1,GM81,0,0),GM79)</f>
        <v>#VALUE!</v>
      </c>
      <c r="GN83" s="962" t="e">
        <f>[1]!taqq(1,1,[1]!roz(GN78+1,GN81,0,0),GN79)</f>
        <v>#VALUE!</v>
      </c>
      <c r="GO83" s="962" t="e">
        <f>[1]!taqq(1,1,[1]!roz(GO78+1,GO81,0,0),GO79)</f>
        <v>#VALUE!</v>
      </c>
      <c r="GP83" s="962" t="e">
        <f>[1]!taqq(1,1,[1]!roz(GP78+1,GP81,0,0),GP79)</f>
        <v>#VALUE!</v>
      </c>
      <c r="GQ83" s="962" t="e">
        <f>[1]!taqq(1,1,[1]!roz(GQ78+1,GQ81,0,0),GQ79)</f>
        <v>#VALUE!</v>
      </c>
      <c r="GR83" s="962" t="e">
        <f>[1]!taqq(1,1,[1]!roz(GR78+1,GR81,0,0),GR79)</f>
        <v>#VALUE!</v>
      </c>
      <c r="GS83" s="962" t="e">
        <f>[1]!taqq(1,1,[1]!roz(GS78+1,GS81,0,0),GS79)</f>
        <v>#VALUE!</v>
      </c>
      <c r="GT83" s="962" t="e">
        <f>[1]!taqq(1,1,[1]!roz(GT78+1,GT81,0,0),GT79)</f>
        <v>#VALUE!</v>
      </c>
      <c r="GU83" s="962" t="e">
        <f>[1]!taqq(1,1,[1]!roz(GU78+1,GU81,0,0),GU79)</f>
        <v>#VALUE!</v>
      </c>
      <c r="GV83" s="962" t="e">
        <f>[1]!taqq(1,1,[1]!roz(GV78+1,GV81,0,0),GV79)</f>
        <v>#VALUE!</v>
      </c>
      <c r="GW83" s="962" t="e">
        <f>[1]!taqq(1,1,[1]!roz(GW78+1,GW81,0,0),GW79)</f>
        <v>#VALUE!</v>
      </c>
      <c r="GX83" s="962" t="e">
        <f>[1]!taqq(1,1,[1]!roz(GX78+1,GX81,0,0),GX79)</f>
        <v>#VALUE!</v>
      </c>
      <c r="GY83" s="962" t="e">
        <f>[1]!taqq(1,1,[1]!roz(GY78+1,GY81,0,0),GY79)</f>
        <v>#VALUE!</v>
      </c>
      <c r="GZ83" s="962" t="e">
        <f>[1]!taqq(1,1,[1]!roz(GZ78+1,GZ81,0,0),GZ79)</f>
        <v>#VALUE!</v>
      </c>
      <c r="HA83" s="962" t="e">
        <f>[1]!taqq(1,1,[1]!roz(HA78+1,HA81,0,0),HA79)</f>
        <v>#VALUE!</v>
      </c>
      <c r="HB83" s="962" t="e">
        <f>[1]!taqq(1,1,[1]!roz(HB78+1,HB81,0,0),HB79)</f>
        <v>#VALUE!</v>
      </c>
      <c r="HC83" s="962" t="e">
        <f>[1]!taqq(1,1,[1]!roz(HC78+1,HC81,0,0),HC79)</f>
        <v>#VALUE!</v>
      </c>
      <c r="HD83" s="962" t="e">
        <f>[1]!taqq(1,1,[1]!roz(HD78+1,HD81,0,0),HD79)</f>
        <v>#VALUE!</v>
      </c>
      <c r="HE83" s="962" t="e">
        <f>[1]!taqq(1,1,[1]!roz(HE78+1,HE81,0,0),HE79)</f>
        <v>#VALUE!</v>
      </c>
      <c r="HF83" s="962" t="e">
        <f>[1]!taqq(1,1,[1]!roz(HF78+1,HF81,0,0),HF79)</f>
        <v>#VALUE!</v>
      </c>
      <c r="HG83" s="962" t="e">
        <f>[1]!taqq(1,1,[1]!roz(HG78+1,HG81,0,0),HG79)</f>
        <v>#VALUE!</v>
      </c>
      <c r="HH83" s="962" t="e">
        <f>[1]!taqq(1,1,[1]!roz(HH78+1,HH81,0,0),HH79)</f>
        <v>#VALUE!</v>
      </c>
      <c r="HI83" s="962" t="e">
        <f>[1]!taqq(1,1,[1]!roz(HI78+1,HI81,0,0),HI79)</f>
        <v>#VALUE!</v>
      </c>
      <c r="HJ83" s="962" t="e">
        <f>[1]!taqq(1,1,[1]!roz(HJ78+1,HJ81,0,0),HJ79)</f>
        <v>#VALUE!</v>
      </c>
      <c r="HK83" s="962" t="e">
        <f>[1]!taqq(1,1,[1]!roz(HK78+1,HK81,0,0),HK79)</f>
        <v>#VALUE!</v>
      </c>
      <c r="HL83" s="962" t="e">
        <f>[1]!taqq(1,1,[1]!roz(HL78+1,HL81,0,0),HL79)</f>
        <v>#VALUE!</v>
      </c>
      <c r="HM83" s="962" t="e">
        <f>[1]!taqq(1,1,[1]!roz(HM78+1,HM81,0,0),HM79)</f>
        <v>#VALUE!</v>
      </c>
      <c r="HN83" s="962" t="e">
        <f>[1]!taqq(1,1,[1]!roz(HN78+1,HN81,0,0),HN79)</f>
        <v>#VALUE!</v>
      </c>
      <c r="HO83" s="962" t="e">
        <f>[1]!taqq(1,1,[1]!roz(HO78+1,HO81,0,0),HO79)</f>
        <v>#VALUE!</v>
      </c>
      <c r="HP83" s="962" t="e">
        <f>[1]!taqq(1,1,[1]!roz(HP78+1,HP81,0,0),HP79)</f>
        <v>#VALUE!</v>
      </c>
      <c r="HQ83" s="962" t="e">
        <f>[1]!taqq(1,1,[1]!roz(HQ78+1,HQ81,0,0),HQ79)</f>
        <v>#VALUE!</v>
      </c>
      <c r="HR83" s="962" t="e">
        <f>[1]!taqq(1,1,[1]!roz(HR78+1,HR81,0,0),HR79)</f>
        <v>#VALUE!</v>
      </c>
      <c r="HS83" s="962" t="e">
        <f>[1]!taqq(1,1,[1]!roz(HS78+1,HS81,0,0),HS79)</f>
        <v>#VALUE!</v>
      </c>
      <c r="HT83" s="962" t="e">
        <f>[1]!taqq(1,1,[1]!roz(HT78+1,HT81,0,0),HT79)</f>
        <v>#VALUE!</v>
      </c>
      <c r="HU83" s="962" t="e">
        <f>[1]!taqq(1,1,[1]!roz(HU78+1,HU81,0,0),HU79)</f>
        <v>#VALUE!</v>
      </c>
      <c r="HV83" s="962" t="e">
        <f>[1]!taqq(1,1,[1]!roz(HV78+1,HV81,0,0),HV79)</f>
        <v>#VALUE!</v>
      </c>
      <c r="HW83" s="962" t="e">
        <f>[1]!taqq(1,1,[1]!roz(HW78+1,HW81,0,0),HW79)</f>
        <v>#VALUE!</v>
      </c>
      <c r="HX83" s="962" t="e">
        <f>[1]!taqq(1,1,[1]!roz(HX78+1,HX81,0,0),HX79)</f>
        <v>#VALUE!</v>
      </c>
      <c r="HY83" s="962" t="e">
        <f>[1]!taqq(1,1,[1]!roz(HY78+1,HY81,0,0),HY79)</f>
        <v>#VALUE!</v>
      </c>
      <c r="HZ83" s="962" t="e">
        <f>[1]!taqq(1,1,[1]!roz(HZ78+1,HZ81,0,0),HZ79)</f>
        <v>#VALUE!</v>
      </c>
      <c r="IA83" s="962" t="e">
        <f>[1]!taqq(1,1,[1]!roz(IA78+1,IA81,0,0),IA79)</f>
        <v>#VALUE!</v>
      </c>
      <c r="IB83" s="962" t="e">
        <f>[1]!taqq(1,1,[1]!roz(IB78+1,IB81,0,0),IB79)</f>
        <v>#VALUE!</v>
      </c>
      <c r="IC83" s="962" t="e">
        <f>[1]!taqq(1,1,[1]!roz(IC78+1,IC81,0,0),IC79)</f>
        <v>#VALUE!</v>
      </c>
      <c r="ID83" s="962" t="e">
        <f>[1]!taqq(1,1,[1]!roz(ID78+1,ID81,0,0),ID79)</f>
        <v>#VALUE!</v>
      </c>
      <c r="IE83" s="962" t="e">
        <f>[1]!taqq(1,1,[1]!roz(IE78+1,IE81,0,0),IE79)</f>
        <v>#VALUE!</v>
      </c>
      <c r="IF83" s="962" t="e">
        <f>[1]!taqq(1,1,[1]!roz(IF78+1,IF81,0,0),IF79)</f>
        <v>#VALUE!</v>
      </c>
      <c r="IG83" s="962" t="e">
        <f>[1]!taqq(1,1,[1]!roz(IG78+1,IG81,0,0),IG79)</f>
        <v>#VALUE!</v>
      </c>
      <c r="IH83" s="962" t="e">
        <f>[1]!taqq(1,1,[1]!roz(IH78+1,IH81,0,0),IH79)</f>
        <v>#VALUE!</v>
      </c>
      <c r="II83" s="962" t="e">
        <f>[1]!taqq(1,1,[1]!roz(II78+1,II81,0,0),II79)</f>
        <v>#VALUE!</v>
      </c>
      <c r="IJ83" s="962" t="e">
        <f>[1]!taqq(1,1,[1]!roz(IJ78+1,IJ81,0,0),IJ79)</f>
        <v>#VALUE!</v>
      </c>
      <c r="IK83" s="962" t="e">
        <f>[1]!taqq(1,1,[1]!roz(IK78+1,IK81,0,0),IK79)</f>
        <v>#VALUE!</v>
      </c>
      <c r="IL83" s="962" t="e">
        <f>[1]!taqq(1,1,[1]!roz(IL78+1,IL81,0,0),IL79)</f>
        <v>#VALUE!</v>
      </c>
      <c r="IM83" s="962" t="e">
        <f>[1]!taqq(1,1,[1]!roz(IM78+1,IM81,0,0),IM79)</f>
        <v>#VALUE!</v>
      </c>
      <c r="IN83" s="962" t="e">
        <f>[1]!taqq(1,1,[1]!roz(IN78+1,IN81,0,0),IN79)</f>
        <v>#VALUE!</v>
      </c>
      <c r="IO83" s="962" t="e">
        <f>[1]!taqq(1,1,[1]!roz(IO78+1,IO81,0,0),IO79)</f>
        <v>#VALUE!</v>
      </c>
      <c r="IP83" s="962" t="e">
        <f>[1]!taqq(1,1,[1]!roz(IP78+1,IP81,0,0),IP79)</f>
        <v>#VALUE!</v>
      </c>
      <c r="IQ83" s="962" t="e">
        <f>[1]!taqq(1,1,[1]!roz(IQ78+1,IQ81,0,0),IQ79)</f>
        <v>#VALUE!</v>
      </c>
      <c r="IR83" s="962" t="e">
        <f>[1]!taqq(1,1,[1]!roz(IR78+1,IR81,0,0),IR79)</f>
        <v>#VALUE!</v>
      </c>
      <c r="IS83" s="962" t="e">
        <f>[1]!taqq(1,1,[1]!roz(IS78+1,IS81,0,0),IS79)</f>
        <v>#VALUE!</v>
      </c>
      <c r="IT83" s="962" t="e">
        <f>[1]!taqq(1,1,[1]!roz(IT78+1,IT81,0,0),IT79)</f>
        <v>#VALUE!</v>
      </c>
      <c r="IU83" s="962" t="e">
        <f>[1]!taqq(1,1,[1]!roz(IU78+1,IU81,0,0),IU79)</f>
        <v>#VALUE!</v>
      </c>
      <c r="IV83" s="962" t="e">
        <f>[1]!taqq(1,1,[1]!roz(IV78+1,IV81,0,0),IV79)</f>
        <v>#VALUE!</v>
      </c>
      <c r="IW83" s="962" t="e">
        <f>[1]!taqq(1,1,[1]!roz(IW78+1,IW81,0,0),IW79)</f>
        <v>#VALUE!</v>
      </c>
      <c r="IX83" s="962" t="e">
        <f>[1]!taqq(1,1,[1]!roz(IX78+1,IX81,0,0),IX79)</f>
        <v>#VALUE!</v>
      </c>
      <c r="IY83" s="962" t="e">
        <f>[1]!taqq(1,1,[1]!roz(IY78+1,IY81,0,0),IY79)</f>
        <v>#VALUE!</v>
      </c>
      <c r="IZ83" s="962" t="e">
        <f>[1]!taqq(1,1,[1]!roz(IZ78+1,IZ81,0,0),IZ79)</f>
        <v>#VALUE!</v>
      </c>
      <c r="JA83" s="962" t="e">
        <f>[1]!taqq(1,1,[1]!roz(JA78+1,JA81,0,0),JA79)</f>
        <v>#VALUE!</v>
      </c>
      <c r="JB83" s="962" t="e">
        <f>[1]!taqq(1,1,[1]!roz(JB78+1,JB81,0,0),JB79)</f>
        <v>#VALUE!</v>
      </c>
      <c r="JC83" s="962" t="e">
        <f>[1]!taqq(1,1,[1]!roz(JC78+1,JC81,0,0),JC79)</f>
        <v>#VALUE!</v>
      </c>
      <c r="JD83" s="962" t="e">
        <f>[1]!taqq(1,1,[1]!roz(JD78+1,JD81,0,0),JD79)</f>
        <v>#VALUE!</v>
      </c>
      <c r="JE83" s="962" t="e">
        <f>[1]!taqq(1,1,[1]!roz(JE78+1,JE81,0,0),JE79)</f>
        <v>#VALUE!</v>
      </c>
      <c r="JF83" s="962" t="e">
        <f>[1]!taqq(1,1,[1]!roz(JF78+1,JF81,0,0),JF79)</f>
        <v>#VALUE!</v>
      </c>
      <c r="JG83" s="962" t="e">
        <f>[1]!taqq(1,1,[1]!roz(JG78+1,JG81,0,0),JG79)</f>
        <v>#VALUE!</v>
      </c>
      <c r="JH83" s="962" t="e">
        <f>[1]!taqq(1,1,[1]!roz(JH78+1,JH81,0,0),JH79)</f>
        <v>#VALUE!</v>
      </c>
      <c r="JI83" s="962" t="e">
        <f>[1]!taqq(1,1,[1]!roz(JI78+1,JI81,0,0),JI79)</f>
        <v>#VALUE!</v>
      </c>
      <c r="JJ83" s="962" t="e">
        <f>[1]!taqq(1,1,[1]!roz(JJ78+1,JJ81,0,0),JJ79)</f>
        <v>#VALUE!</v>
      </c>
      <c r="JK83" s="962" t="e">
        <f>[1]!taqq(1,1,[1]!roz(JK78+1,JK81,0,0),JK79)</f>
        <v>#VALUE!</v>
      </c>
      <c r="JL83" s="962" t="e">
        <f>[1]!taqq(1,1,[1]!roz(JL78+1,JL81,0,0),JL79)</f>
        <v>#VALUE!</v>
      </c>
      <c r="JM83" s="962" t="e">
        <f>[1]!taqq(1,1,[1]!roz(JM78+1,JM81,0,0),JM79)</f>
        <v>#VALUE!</v>
      </c>
      <c r="JN83" s="962" t="e">
        <f>[1]!taqq(1,1,[1]!roz(JN78+1,JN81,0,0),JN79)</f>
        <v>#VALUE!</v>
      </c>
      <c r="JO83" s="962" t="e">
        <f>[1]!taqq(1,1,[1]!roz(JO78+1,JO81,0,0),JO79)</f>
        <v>#VALUE!</v>
      </c>
      <c r="JP83" s="962" t="e">
        <f>[1]!taqq(1,1,[1]!roz(JP78+1,JP81,0,0),JP79)</f>
        <v>#VALUE!</v>
      </c>
      <c r="JQ83" s="962" t="e">
        <f>[1]!taqq(1,1,[1]!roz(JQ78+1,JQ81,0,0),JQ79)</f>
        <v>#VALUE!</v>
      </c>
      <c r="JR83" s="962" t="e">
        <f>[1]!taqq(1,1,[1]!roz(JR78+1,JR81,0,0),JR79)</f>
        <v>#VALUE!</v>
      </c>
      <c r="JS83" s="962" t="e">
        <f>[1]!taqq(1,1,[1]!roz(JS78+1,JS81,0,0),JS79)</f>
        <v>#VALUE!</v>
      </c>
      <c r="JT83" s="962" t="e">
        <f>[1]!taqq(1,1,[1]!roz(JT78+1,JT81,0,0),JT79)</f>
        <v>#VALUE!</v>
      </c>
      <c r="JU83" s="962" t="e">
        <f>[1]!taqq(1,1,[1]!roz(JU78+1,JU81,0,0),JU79)</f>
        <v>#VALUE!</v>
      </c>
      <c r="JV83" s="962" t="e">
        <f>[1]!taqq(1,1,[1]!roz(JV78+1,JV81,0,0),JV79)</f>
        <v>#VALUE!</v>
      </c>
      <c r="JW83" s="962" t="e">
        <f>[1]!taqq(1,1,[1]!roz(JW78+1,JW81,0,0),JW79)</f>
        <v>#VALUE!</v>
      </c>
      <c r="JX83" s="962" t="e">
        <f>[1]!taqq(1,1,[1]!roz(JX78+1,JX81,0,0),JX79)</f>
        <v>#VALUE!</v>
      </c>
      <c r="JY83" s="962" t="e">
        <f>[1]!taqq(1,1,[1]!roz(JY78+1,JY81,0,0),JY79)</f>
        <v>#VALUE!</v>
      </c>
      <c r="JZ83" s="962" t="e">
        <f>[1]!taqq(1,1,[1]!roz(JZ78+1,JZ81,0,0),JZ79)</f>
        <v>#VALUE!</v>
      </c>
      <c r="KA83" s="962" t="e">
        <f>[1]!taqq(1,1,[1]!roz(KA78+1,KA81,0,0),KA79)</f>
        <v>#VALUE!</v>
      </c>
      <c r="KB83" s="962" t="e">
        <f>[1]!taqq(1,1,[1]!roz(KB78+1,KB81,0,0),KB79)</f>
        <v>#VALUE!</v>
      </c>
      <c r="KC83" s="962" t="e">
        <f>[1]!taqq(1,1,[1]!roz(KC78+1,KC81,0,0),KC79)</f>
        <v>#VALUE!</v>
      </c>
      <c r="KD83" s="962" t="e">
        <f>[1]!taqq(1,1,[1]!roz(KD78+1,KD81,0,0),KD79)</f>
        <v>#VALUE!</v>
      </c>
      <c r="KE83" s="962" t="e">
        <f>[1]!taqq(1,1,[1]!roz(KE78+1,KE81,0,0),KE79)</f>
        <v>#VALUE!</v>
      </c>
      <c r="KF83" s="962" t="e">
        <f>[1]!taqq(1,1,[1]!roz(KF78+1,KF81,0,0),KF79)</f>
        <v>#VALUE!</v>
      </c>
      <c r="KG83" s="962" t="e">
        <f>[1]!taqq(1,1,[1]!roz(KG78+1,KG81,0,0),KG79)</f>
        <v>#VALUE!</v>
      </c>
      <c r="KH83" s="962" t="e">
        <f>[1]!taqq(1,1,[1]!roz(KH78+1,KH81,0,0),KH79)</f>
        <v>#VALUE!</v>
      </c>
      <c r="KI83" s="962" t="e">
        <f>[1]!taqq(1,1,[1]!roz(KI78+1,KI81,0,0),KI79)</f>
        <v>#VALUE!</v>
      </c>
      <c r="KJ83" s="962" t="e">
        <f>[1]!taqq(1,1,[1]!roz(KJ78+1,KJ81,0,0),KJ79)</f>
        <v>#VALUE!</v>
      </c>
      <c r="KK83" s="962" t="e">
        <f>[1]!taqq(1,1,[1]!roz(KK78+1,KK81,0,0),KK79)</f>
        <v>#VALUE!</v>
      </c>
      <c r="KL83" s="962" t="e">
        <f>[1]!taqq(1,1,[1]!roz(KL78+1,KL81,0,0),KL79)</f>
        <v>#VALUE!</v>
      </c>
      <c r="KM83" s="962" t="e">
        <f>[1]!taqq(1,1,[1]!roz(KM78+1,KM81,0,0),KM79)</f>
        <v>#VALUE!</v>
      </c>
      <c r="KN83" s="962" t="e">
        <f>[1]!taqq(1,1,[1]!roz(KN78+1,KN81,0,0),KN79)</f>
        <v>#VALUE!</v>
      </c>
      <c r="KO83" s="962" t="e">
        <f>[1]!taqq(1,1,[1]!roz(KO78+1,KO81,0,0),KO79)</f>
        <v>#VALUE!</v>
      </c>
      <c r="KP83" s="962" t="e">
        <f>[1]!taqq(1,1,[1]!roz(KP78+1,KP81,0,0),KP79)</f>
        <v>#VALUE!</v>
      </c>
      <c r="KQ83" s="962" t="e">
        <f>[1]!taqq(1,1,[1]!roz(KQ78+1,KQ81,0,0),KQ79)</f>
        <v>#VALUE!</v>
      </c>
      <c r="KR83" s="962" t="e">
        <f>[1]!taqq(1,1,[1]!roz(KR78+1,KR81,0,0),KR79)</f>
        <v>#VALUE!</v>
      </c>
      <c r="KS83" s="962" t="e">
        <f>[1]!taqq(1,1,[1]!roz(KS78+1,KS81,0,0),KS79)</f>
        <v>#VALUE!</v>
      </c>
      <c r="KT83" s="962" t="e">
        <f>[1]!taqq(1,1,[1]!roz(KT78+1,KT81,0,0),KT79)</f>
        <v>#VALUE!</v>
      </c>
      <c r="KU83" s="962" t="e">
        <f>[1]!taqq(1,1,[1]!roz(KU78+1,KU81,0,0),KU79)</f>
        <v>#VALUE!</v>
      </c>
      <c r="KV83" s="962" t="e">
        <f>[1]!taqq(1,1,[1]!roz(KV78+1,KV81,0,0),KV79)</f>
        <v>#VALUE!</v>
      </c>
      <c r="KW83" s="962" t="e">
        <f>[1]!taqq(1,1,[1]!roz(KW78+1,KW81,0,0),KW79)</f>
        <v>#VALUE!</v>
      </c>
      <c r="KX83" s="962" t="e">
        <f>[1]!taqq(1,1,[1]!roz(KX78+1,KX81,0,0),KX79)</f>
        <v>#VALUE!</v>
      </c>
      <c r="KY83" s="962" t="e">
        <f>[1]!taqq(1,1,[1]!roz(KY78+1,KY81,0,0),KY79)</f>
        <v>#VALUE!</v>
      </c>
      <c r="KZ83" s="962" t="e">
        <f>[1]!taqq(1,1,[1]!roz(KZ78+1,KZ81,0,0),KZ79)</f>
        <v>#VALUE!</v>
      </c>
      <c r="LA83" s="962" t="e">
        <f>[1]!taqq(1,1,[1]!roz(LA78+1,LA81,0,0),LA79)</f>
        <v>#VALUE!</v>
      </c>
      <c r="LB83" s="962" t="e">
        <f>[1]!taqq(1,1,[1]!roz(LB78+1,LB81,0,0),LB79)</f>
        <v>#VALUE!</v>
      </c>
      <c r="LC83" s="962" t="e">
        <f>[1]!taqq(1,1,[1]!roz(LC78+1,LC81,0,0),LC79)</f>
        <v>#VALUE!</v>
      </c>
      <c r="LD83" s="962" t="e">
        <f>[1]!taqq(1,1,[1]!roz(LD78+1,LD81,0,0),LD79)</f>
        <v>#VALUE!</v>
      </c>
      <c r="LE83" s="962" t="e">
        <f>[1]!taqq(1,1,[1]!roz(LE78+1,LE81,0,0),LE79)</f>
        <v>#VALUE!</v>
      </c>
      <c r="LF83" s="962" t="e">
        <f>[1]!taqq(1,1,[1]!roz(LF78+1,LF81,0,0),LF79)</f>
        <v>#VALUE!</v>
      </c>
      <c r="LG83" s="962" t="e">
        <f>[1]!taqq(1,1,[1]!roz(LG78+1,LG81,0,0),LG79)</f>
        <v>#VALUE!</v>
      </c>
      <c r="LH83" s="962" t="e">
        <f>[1]!taqq(1,1,[1]!roz(LH78+1,LH81,0,0),LH79)</f>
        <v>#VALUE!</v>
      </c>
      <c r="LI83" s="962" t="e">
        <f>[1]!taqq(1,1,[1]!roz(LI78+1,LI81,0,0),LI79)</f>
        <v>#VALUE!</v>
      </c>
      <c r="LJ83" s="962" t="e">
        <f>[1]!taqq(1,1,[1]!roz(LJ78+1,LJ81,0,0),LJ79)</f>
        <v>#VALUE!</v>
      </c>
      <c r="LK83" s="962" t="e">
        <f>[1]!taqq(1,1,[1]!roz(LK78+1,LK81,0,0),LK79)</f>
        <v>#VALUE!</v>
      </c>
      <c r="LL83" s="962" t="e">
        <f>[1]!taqq(1,1,[1]!roz(LL78+1,LL81,0,0),LL79)</f>
        <v>#VALUE!</v>
      </c>
      <c r="LM83" s="962" t="e">
        <f>[1]!taqq(1,1,[1]!roz(LM78+1,LM81,0,0),LM79)</f>
        <v>#VALUE!</v>
      </c>
      <c r="LN83" s="962" t="e">
        <f>[1]!taqq(1,1,[1]!roz(LN78+1,LN81,0,0),LN79)</f>
        <v>#VALUE!</v>
      </c>
      <c r="LO83" s="962" t="e">
        <f>[1]!taqq(1,1,[1]!roz(LO78+1,LO81,0,0),LO79)</f>
        <v>#VALUE!</v>
      </c>
      <c r="LP83" s="962" t="e">
        <f>[1]!taqq(1,1,[1]!roz(LP78+1,LP81,0,0),LP79)</f>
        <v>#VALUE!</v>
      </c>
      <c r="LQ83" s="962" t="e">
        <f>[1]!taqq(1,1,[1]!roz(LQ78+1,LQ81,0,0),LQ79)</f>
        <v>#VALUE!</v>
      </c>
      <c r="LR83" s="962" t="e">
        <f>[1]!taqq(1,1,[1]!roz(LR78+1,LR81,0,0),LR79)</f>
        <v>#VALUE!</v>
      </c>
      <c r="LS83" s="962" t="e">
        <f>[1]!taqq(1,1,[1]!roz(LS78+1,LS81,0,0),LS79)</f>
        <v>#VALUE!</v>
      </c>
      <c r="LT83" s="962" t="e">
        <f>[1]!taqq(1,1,[1]!roz(LT78+1,LT81,0,0),LT79)</f>
        <v>#VALUE!</v>
      </c>
      <c r="LU83" s="962" t="e">
        <f>[1]!taqq(1,1,[1]!roz(LU78+1,LU81,0,0),LU79)</f>
        <v>#VALUE!</v>
      </c>
      <c r="LV83" s="962" t="e">
        <f>[1]!taqq(1,1,[1]!roz(LV78+1,LV81,0,0),LV79)</f>
        <v>#VALUE!</v>
      </c>
      <c r="LW83" s="962" t="e">
        <f>[1]!taqq(1,1,[1]!roz(LW78+1,LW81,0,0),LW79)</f>
        <v>#VALUE!</v>
      </c>
      <c r="LX83" s="962" t="e">
        <f>[1]!taqq(1,1,[1]!roz(LX78+1,LX81,0,0),LX79)</f>
        <v>#VALUE!</v>
      </c>
      <c r="LY83" s="962" t="e">
        <f>[1]!taqq(1,1,[1]!roz(LY78+1,LY81,0,0),LY79)</f>
        <v>#VALUE!</v>
      </c>
      <c r="LZ83" s="962" t="e">
        <f>[1]!taqq(1,1,[1]!roz(LZ78+1,LZ81,0,0),LZ79)</f>
        <v>#VALUE!</v>
      </c>
      <c r="MA83" s="962" t="e">
        <f>[1]!taqq(1,1,[1]!roz(MA78+1,MA81,0,0),MA79)</f>
        <v>#VALUE!</v>
      </c>
      <c r="MB83" s="962" t="e">
        <f>[1]!taqq(1,1,[1]!roz(MB78+1,MB81,0,0),MB79)</f>
        <v>#VALUE!</v>
      </c>
      <c r="MC83" s="962" t="e">
        <f>[1]!taqq(1,1,[1]!roz(MC78+1,MC81,0,0),MC79)</f>
        <v>#VALUE!</v>
      </c>
      <c r="MD83" s="962" t="e">
        <f>[1]!taqq(1,1,[1]!roz(MD78+1,MD81,0,0),MD79)</f>
        <v>#VALUE!</v>
      </c>
      <c r="ME83" s="962" t="e">
        <f>[1]!taqq(1,1,[1]!roz(ME78+1,ME81,0,0),ME79)</f>
        <v>#VALUE!</v>
      </c>
      <c r="MF83" s="962" t="e">
        <f>[1]!taqq(1,1,[1]!roz(MF78+1,MF81,0,0),MF79)</f>
        <v>#VALUE!</v>
      </c>
      <c r="MG83" s="962" t="e">
        <f>[1]!taqq(1,1,[1]!roz(MG78+1,MG81,0,0),MG79)</f>
        <v>#VALUE!</v>
      </c>
      <c r="MH83" s="962" t="e">
        <f>[1]!taqq(1,1,[1]!roz(MH78+1,MH81,0,0),MH79)</f>
        <v>#VALUE!</v>
      </c>
      <c r="MI83" s="962" t="e">
        <f>[1]!taqq(1,1,[1]!roz(MI78+1,MI81,0,0),MI79)</f>
        <v>#VALUE!</v>
      </c>
      <c r="MJ83" s="962" t="e">
        <f>[1]!taqq(1,1,[1]!roz(MJ78+1,MJ81,0,0),MJ79)</f>
        <v>#VALUE!</v>
      </c>
      <c r="MK83" s="962" t="e">
        <f>[1]!taqq(1,1,[1]!roz(MK78+1,MK81,0,0),MK79)</f>
        <v>#VALUE!</v>
      </c>
      <c r="ML83" s="962" t="e">
        <f>[1]!taqq(1,1,[1]!roz(ML78+1,ML81,0,0),ML79)</f>
        <v>#VALUE!</v>
      </c>
      <c r="MM83" s="962" t="e">
        <f>[1]!taqq(1,1,[1]!roz(MM78+1,MM81,0,0),MM79)</f>
        <v>#VALUE!</v>
      </c>
      <c r="MN83" s="962" t="e">
        <f>[1]!taqq(1,1,[1]!roz(MN78+1,MN81,0,0),MN79)</f>
        <v>#VALUE!</v>
      </c>
      <c r="MO83" s="962" t="e">
        <f>[1]!taqq(1,1,[1]!roz(MO78+1,MO81,0,0),MO79)</f>
        <v>#VALUE!</v>
      </c>
      <c r="MP83" s="962" t="e">
        <f>[1]!taqq(1,1,[1]!roz(MP78+1,MP81,0,0),MP79)</f>
        <v>#VALUE!</v>
      </c>
      <c r="MQ83" s="962" t="e">
        <f>[1]!taqq(1,1,[1]!roz(MQ78+1,MQ81,0,0),MQ79)</f>
        <v>#VALUE!</v>
      </c>
      <c r="MR83" s="962" t="e">
        <f>[1]!taqq(1,1,[1]!roz(MR78+1,MR81,0,0),MR79)</f>
        <v>#VALUE!</v>
      </c>
      <c r="MS83" s="962" t="e">
        <f>[1]!taqq(1,1,[1]!roz(MS78+1,MS81,0,0),MS79)</f>
        <v>#VALUE!</v>
      </c>
      <c r="MT83" s="962" t="e">
        <f>[1]!taqq(1,1,[1]!roz(MT78+1,MT81,0,0),MT79)</f>
        <v>#VALUE!</v>
      </c>
      <c r="MU83" s="962" t="e">
        <f>[1]!taqq(1,1,[1]!roz(MU78+1,MU81,0,0),MU79)</f>
        <v>#VALUE!</v>
      </c>
      <c r="MV83" s="962" t="e">
        <f>[1]!taqq(1,1,[1]!roz(MV78+1,MV81,0,0),MV79)</f>
        <v>#VALUE!</v>
      </c>
      <c r="MW83" s="962" t="e">
        <f>[1]!taqq(1,1,[1]!roz(MW78+1,MW81,0,0),MW79)</f>
        <v>#VALUE!</v>
      </c>
      <c r="MX83" s="962" t="e">
        <f>[1]!taqq(1,1,[1]!roz(MX78+1,MX81,0,0),MX79)</f>
        <v>#VALUE!</v>
      </c>
      <c r="MY83" s="962" t="e">
        <f>[1]!taqq(1,1,[1]!roz(MY78+1,MY81,0,0),MY79)</f>
        <v>#VALUE!</v>
      </c>
      <c r="MZ83" s="962" t="e">
        <f>[1]!taqq(1,1,[1]!roz(MZ78+1,MZ81,0,0),MZ79)</f>
        <v>#VALUE!</v>
      </c>
      <c r="NA83" s="962" t="e">
        <f>[1]!taqq(1,1,[1]!roz(NA78+1,NA81,0,0),NA79)</f>
        <v>#VALUE!</v>
      </c>
      <c r="NB83" s="962" t="e">
        <f>[1]!taqq(1,1,[1]!roz(NB78+1,NB81,0,0),NB79)</f>
        <v>#VALUE!</v>
      </c>
      <c r="NC83" s="962" t="e">
        <f>[1]!taqq(1,1,[1]!roz(NC78+1,NC81,0,0),NC79)</f>
        <v>#VALUE!</v>
      </c>
      <c r="ND83" s="962" t="e">
        <f>[1]!taqq(1,1,[1]!roz(ND78+1,ND81,0,0),ND79)</f>
        <v>#VALUE!</v>
      </c>
      <c r="NE83" s="962" t="e">
        <f>[1]!taqq(1,1,[1]!roz(NE78+1,NE81,0,0),NE79)</f>
        <v>#VALUE!</v>
      </c>
      <c r="NF83" s="962" t="e">
        <f>[1]!taqq(1,1,[1]!roz(NF78+1,NF81,0,0),NF79)</f>
        <v>#VALUE!</v>
      </c>
      <c r="NG83" s="962" t="e">
        <f>[1]!taqq(1,1,[1]!roz(NG78+1,NG81,0,0),NG79)</f>
        <v>#VALUE!</v>
      </c>
      <c r="NH83" s="962" t="e">
        <f>[1]!taqq(1,1,[1]!roz(NH78+1,NH81,0,0),NH79)</f>
        <v>#VALUE!</v>
      </c>
      <c r="NI83" s="962" t="e">
        <f>[1]!taqq(1,1,[1]!roz(NI78+1,NI81,0,0),NI79)</f>
        <v>#VALUE!</v>
      </c>
      <c r="NJ83" s="962" t="e">
        <f>[1]!taqq(1,1,[1]!roz(NJ78+1,NJ81,0,0),NJ79)</f>
        <v>#VALUE!</v>
      </c>
      <c r="NK83" s="962" t="e">
        <f>[1]!taqq(1,1,[1]!roz(NK78+1,NK81,0,0),NK79)</f>
        <v>#VALUE!</v>
      </c>
      <c r="NL83" s="962" t="e">
        <f>[1]!taqq(1,1,[1]!roz(NL78+1,NL81,0,0),NL79)</f>
        <v>#VALUE!</v>
      </c>
      <c r="NM83" s="962" t="e">
        <f>[1]!taqq(1,1,[1]!roz(NM78+1,NM81,0,0),NM79)</f>
        <v>#VALUE!</v>
      </c>
      <c r="NN83" s="962" t="e">
        <f>[1]!taqq(1,1,[1]!roz(NN78+1,NN81,0,0),NN79)</f>
        <v>#VALUE!</v>
      </c>
      <c r="NO83" s="962" t="e">
        <f>[1]!taqq(1,1,[1]!roz(NO78+1,NO81,0,0),NO79)</f>
        <v>#VALUE!</v>
      </c>
      <c r="NP83" s="962" t="e">
        <f>[1]!taqq(1,1,[1]!roz(NP78+1,NP81,0,0),NP79)</f>
        <v>#VALUE!</v>
      </c>
      <c r="NQ83" s="962" t="e">
        <f>[1]!taqq(1,1,[1]!roz(NQ78+1,NQ81,0,0),NQ79)</f>
        <v>#VALUE!</v>
      </c>
      <c r="NR83" s="962" t="e">
        <f>[1]!taqq(1,1,[1]!roz(NR78+1,NR81,0,0),NR79)</f>
        <v>#VALUE!</v>
      </c>
      <c r="NS83" s="962" t="e">
        <f>[1]!taqq(1,1,[1]!roz(NS78+1,NS81,0,0),NS79)</f>
        <v>#VALUE!</v>
      </c>
      <c r="NT83" s="962" t="e">
        <f>[1]!taqq(1,1,[1]!roz(NT78+1,NT81,0,0),NT79)</f>
        <v>#VALUE!</v>
      </c>
      <c r="NU83" s="962" t="e">
        <f>[1]!taqq(1,1,[1]!roz(NU78+1,NU81,0,0),NU79)</f>
        <v>#VALUE!</v>
      </c>
      <c r="NV83" s="962" t="e">
        <f>[1]!taqq(1,1,[1]!roz(NV78+1,NV81,0,0),NV79)</f>
        <v>#VALUE!</v>
      </c>
      <c r="NW83" s="962" t="e">
        <f>[1]!taqq(1,1,[1]!roz(NW78+1,NW81,0,0),NW79)</f>
        <v>#VALUE!</v>
      </c>
      <c r="NX83" s="962" t="e">
        <f>[1]!taqq(1,1,[1]!roz(NX78+1,NX81,0,0),NX79)</f>
        <v>#VALUE!</v>
      </c>
      <c r="NY83" s="962" t="e">
        <f>[1]!taqq(1,1,[1]!roz(NY78+1,NY81,0,0),NY79)</f>
        <v>#VALUE!</v>
      </c>
      <c r="NZ83" s="962" t="e">
        <f>[1]!taqq(1,1,[1]!roz(NZ78+1,NZ81,0,0),NZ79)</f>
        <v>#VALUE!</v>
      </c>
      <c r="OA83" s="962" t="e">
        <f>[1]!taqq(1,1,[1]!roz(OA78+1,OA81,0,0),OA79)</f>
        <v>#VALUE!</v>
      </c>
      <c r="OB83" s="962" t="e">
        <f>[1]!taqq(1,1,[1]!roz(OB78+1,OB81,0,0),OB79)</f>
        <v>#VALUE!</v>
      </c>
      <c r="OC83" s="962" t="e">
        <f>[1]!taqq(1,1,[1]!roz(OC78+1,OC81,0,0),OC79)</f>
        <v>#VALUE!</v>
      </c>
      <c r="OD83" s="962" t="e">
        <f>[1]!taqq(1,1,[1]!roz(OD78+1,OD81,0,0),OD79)</f>
        <v>#VALUE!</v>
      </c>
      <c r="OE83" s="962" t="e">
        <f>[1]!taqq(1,1,[1]!roz(OE78+1,OE81,0,0),OE79)</f>
        <v>#VALUE!</v>
      </c>
      <c r="OF83" s="962" t="e">
        <f>[1]!taqq(1,1,[1]!roz(OF78+1,OF81,0,0),OF79)</f>
        <v>#VALUE!</v>
      </c>
      <c r="OG83" s="962" t="e">
        <f>[1]!taqq(1,1,[1]!roz(OG78+1,OG81,0,0),OG79)</f>
        <v>#VALUE!</v>
      </c>
      <c r="OH83" s="962" t="e">
        <f>[1]!taqq(1,1,[1]!roz(OH78+1,OH81,0,0),OH79)</f>
        <v>#VALUE!</v>
      </c>
      <c r="OI83" s="962" t="e">
        <f>[1]!taqq(1,1,[1]!roz(OI78+1,OI81,0,0),OI79)</f>
        <v>#VALUE!</v>
      </c>
      <c r="OJ83" s="962" t="e">
        <f>[1]!taqq(1,1,[1]!roz(OJ78+1,OJ81,0,0),OJ79)</f>
        <v>#VALUE!</v>
      </c>
      <c r="OK83" s="962" t="e">
        <f>[1]!taqq(1,1,[1]!roz(OK78+1,OK81,0,0),OK79)</f>
        <v>#VALUE!</v>
      </c>
      <c r="OL83" s="962" t="e">
        <f>[1]!taqq(1,1,[1]!roz(OL78+1,OL81,0,0),OL79)</f>
        <v>#VALUE!</v>
      </c>
      <c r="OM83" s="962" t="e">
        <f>[1]!taqq(1,1,[1]!roz(OM78+1,OM81,0,0),OM79)</f>
        <v>#VALUE!</v>
      </c>
      <c r="ON83" s="962" t="e">
        <f>[1]!taqq(1,1,[1]!roz(ON78+1,ON81,0,0),ON79)</f>
        <v>#VALUE!</v>
      </c>
      <c r="OO83" s="962" t="e">
        <f>[1]!taqq(1,1,[1]!roz(OO78+1,OO81,0,0),OO79)</f>
        <v>#VALUE!</v>
      </c>
      <c r="OP83" s="962" t="e">
        <f>[1]!taqq(1,1,[1]!roz(OP78+1,OP81,0,0),OP79)</f>
        <v>#VALUE!</v>
      </c>
      <c r="OQ83" s="962" t="e">
        <f>[1]!taqq(1,1,[1]!roz(OQ78+1,OQ81,0,0),OQ79)</f>
        <v>#VALUE!</v>
      </c>
      <c r="OR83" s="962" t="e">
        <f>[1]!taqq(1,1,[1]!roz(OR78+1,OR81,0,0),OR79)</f>
        <v>#VALUE!</v>
      </c>
      <c r="OS83" s="962" t="e">
        <f>[1]!taqq(1,1,[1]!roz(OS78+1,OS81,0,0),OS79)</f>
        <v>#VALUE!</v>
      </c>
      <c r="OT83" s="962" t="e">
        <f>[1]!taqq(1,1,[1]!roz(OT78+1,OT81,0,0),OT79)</f>
        <v>#VALUE!</v>
      </c>
      <c r="OU83" s="962" t="e">
        <f>[1]!taqq(1,1,[1]!roz(OU78+1,OU81,0,0),OU79)</f>
        <v>#VALUE!</v>
      </c>
      <c r="OV83" s="962" t="e">
        <f>[1]!taqq(1,1,[1]!roz(OV78+1,OV81,0,0),OV79)</f>
        <v>#VALUE!</v>
      </c>
      <c r="OW83" s="962" t="e">
        <f>[1]!taqq(1,1,[1]!roz(OW78+1,OW81,0,0),OW79)</f>
        <v>#VALUE!</v>
      </c>
      <c r="OX83" s="962" t="e">
        <f>[1]!taqq(1,1,[1]!roz(OX78+1,OX81,0,0),OX79)</f>
        <v>#VALUE!</v>
      </c>
      <c r="OY83" s="962" t="e">
        <f>[1]!taqq(1,1,[1]!roz(OY78+1,OY81,0,0),OY79)</f>
        <v>#VALUE!</v>
      </c>
      <c r="OZ83" s="962" t="e">
        <f>[1]!taqq(1,1,[1]!roz(OZ78+1,OZ81,0,0),OZ79)</f>
        <v>#VALUE!</v>
      </c>
      <c r="PA83" s="962" t="e">
        <f>[1]!taqq(1,1,[1]!roz(PA78+1,PA81,0,0),PA79)</f>
        <v>#VALUE!</v>
      </c>
      <c r="PB83" s="962" t="e">
        <f>[1]!taqq(1,1,[1]!roz(PB78+1,PB81,0,0),PB79)</f>
        <v>#VALUE!</v>
      </c>
      <c r="PC83" s="962" t="e">
        <f>[1]!taqq(1,1,[1]!roz(PC78+1,PC81,0,0),PC79)</f>
        <v>#VALUE!</v>
      </c>
      <c r="PD83" s="962" t="e">
        <f>[1]!taqq(1,1,[1]!roz(PD78+1,PD81,0,0),PD79)</f>
        <v>#VALUE!</v>
      </c>
      <c r="PE83" s="962" t="e">
        <f>[1]!taqq(1,1,[1]!roz(PE78+1,PE81,0,0),PE79)</f>
        <v>#VALUE!</v>
      </c>
      <c r="PF83" s="962" t="e">
        <f>[1]!taqq(1,1,[1]!roz(PF78+1,PF81,0,0),PF79)</f>
        <v>#VALUE!</v>
      </c>
      <c r="PG83" s="962" t="e">
        <f>[1]!taqq(1,1,[1]!roz(PG78+1,PG81,0,0),PG79)</f>
        <v>#VALUE!</v>
      </c>
      <c r="PH83" s="962" t="e">
        <f>[1]!taqq(1,1,[1]!roz(PH78+1,PH81,0,0),PH79)</f>
        <v>#VALUE!</v>
      </c>
      <c r="PI83" s="962" t="e">
        <f>[1]!taqq(1,1,[1]!roz(PI78+1,PI81,0,0),PI79)</f>
        <v>#VALUE!</v>
      </c>
      <c r="PJ83" s="962" t="e">
        <f>[1]!taqq(1,1,[1]!roz(PJ78+1,PJ81,0,0),PJ79)</f>
        <v>#VALUE!</v>
      </c>
      <c r="PK83" s="962" t="e">
        <f>[1]!taqq(1,1,[1]!roz(PK78+1,PK81,0,0),PK79)</f>
        <v>#VALUE!</v>
      </c>
      <c r="PL83" s="962" t="e">
        <f>[1]!taqq(1,1,[1]!roz(PL78+1,PL81,0,0),PL79)</f>
        <v>#VALUE!</v>
      </c>
      <c r="PM83" s="962" t="e">
        <f>[1]!taqq(1,1,[1]!roz(PM78+1,PM81,0,0),PM79)</f>
        <v>#VALUE!</v>
      </c>
      <c r="PN83" s="962" t="e">
        <f>[1]!taqq(1,1,[1]!roz(PN78+1,PN81,0,0),PN79)</f>
        <v>#VALUE!</v>
      </c>
      <c r="PO83" s="962" t="e">
        <f>[1]!taqq(1,1,[1]!roz(PO78+1,PO81,0,0),PO79)</f>
        <v>#VALUE!</v>
      </c>
      <c r="PP83" s="962" t="e">
        <f>[1]!taqq(1,1,[1]!roz(PP78+1,PP81,0,0),PP79)</f>
        <v>#VALUE!</v>
      </c>
      <c r="PQ83" s="962" t="e">
        <f>[1]!taqq(1,1,[1]!roz(PQ78+1,PQ81,0,0),PQ79)</f>
        <v>#VALUE!</v>
      </c>
      <c r="PR83" s="962" t="e">
        <f>[1]!taqq(1,1,[1]!roz(PR78+1,PR81,0,0),PR79)</f>
        <v>#VALUE!</v>
      </c>
      <c r="PS83" s="962" t="e">
        <f>[1]!taqq(1,1,[1]!roz(PS78+1,PS81,0,0),PS79)</f>
        <v>#VALUE!</v>
      </c>
      <c r="PT83" s="962" t="e">
        <f>[1]!taqq(1,1,[1]!roz(PT78+1,PT81,0,0),PT79)</f>
        <v>#VALUE!</v>
      </c>
      <c r="PU83" s="962" t="e">
        <f>[1]!taqq(1,1,[1]!roz(PU78+1,PU81,0,0),PU79)</f>
        <v>#VALUE!</v>
      </c>
      <c r="PV83" s="962" t="e">
        <f>[1]!taqq(1,1,[1]!roz(PV78+1,PV81,0,0),PV79)</f>
        <v>#VALUE!</v>
      </c>
      <c r="PW83" s="962" t="e">
        <f>[1]!taqq(1,1,[1]!roz(PW78+1,PW81,0,0),PW79)</f>
        <v>#VALUE!</v>
      </c>
      <c r="PX83" s="962" t="e">
        <f>[1]!taqq(1,1,[1]!roz(PX78+1,PX81,0,0),PX79)</f>
        <v>#VALUE!</v>
      </c>
      <c r="PY83" s="962" t="e">
        <f>[1]!taqq(1,1,[1]!roz(PY78+1,PY81,0,0),PY79)</f>
        <v>#VALUE!</v>
      </c>
      <c r="PZ83" s="962" t="e">
        <f>[1]!taqq(1,1,[1]!roz(PZ78+1,PZ81,0,0),PZ79)</f>
        <v>#VALUE!</v>
      </c>
      <c r="QA83" s="962" t="e">
        <f>[1]!taqq(1,1,[1]!roz(QA78+1,QA81,0,0),QA79)</f>
        <v>#VALUE!</v>
      </c>
      <c r="QB83" s="962" t="e">
        <f>[1]!taqq(1,1,[1]!roz(QB78+1,QB81,0,0),QB79)</f>
        <v>#VALUE!</v>
      </c>
      <c r="QC83" s="962" t="e">
        <f>[1]!taqq(1,1,[1]!roz(QC78+1,QC81,0,0),QC79)</f>
        <v>#VALUE!</v>
      </c>
      <c r="QD83" s="962" t="e">
        <f>[1]!taqq(1,1,[1]!roz(QD78+1,QD81,0,0),QD79)</f>
        <v>#VALUE!</v>
      </c>
      <c r="QE83" s="962" t="e">
        <f>[1]!taqq(1,1,[1]!roz(QE78+1,QE81,0,0),QE79)</f>
        <v>#VALUE!</v>
      </c>
      <c r="QF83" s="962" t="e">
        <f>[1]!taqq(1,1,[1]!roz(QF78+1,QF81,0,0),QF79)</f>
        <v>#VALUE!</v>
      </c>
      <c r="QG83" s="962" t="e">
        <f>[1]!taqq(1,1,[1]!roz(QG78+1,QG81,0,0),QG79)</f>
        <v>#VALUE!</v>
      </c>
      <c r="QH83" s="962" t="e">
        <f>[1]!taqq(1,1,[1]!roz(QH78+1,QH81,0,0),QH79)</f>
        <v>#VALUE!</v>
      </c>
      <c r="QI83" s="962" t="e">
        <f>[1]!taqq(1,1,[1]!roz(QI78+1,QI81,0,0),QI79)</f>
        <v>#VALUE!</v>
      </c>
      <c r="QJ83" s="962" t="e">
        <f>[1]!taqq(1,1,[1]!roz(QJ78+1,QJ81,0,0),QJ79)</f>
        <v>#VALUE!</v>
      </c>
      <c r="QK83" s="962" t="e">
        <f>[1]!taqq(1,1,[1]!roz(QK78+1,QK81,0,0),QK79)</f>
        <v>#VALUE!</v>
      </c>
      <c r="QL83" s="962" t="e">
        <f>[1]!taqq(1,1,[1]!roz(QL78+1,QL81,0,0),QL79)</f>
        <v>#VALUE!</v>
      </c>
      <c r="QM83" s="962" t="e">
        <f>[1]!taqq(1,1,[1]!roz(QM78+1,QM81,0,0),QM79)</f>
        <v>#VALUE!</v>
      </c>
      <c r="QN83" s="962" t="e">
        <f>[1]!taqq(1,1,[1]!roz(QN78+1,QN81,0,0),QN79)</f>
        <v>#VALUE!</v>
      </c>
      <c r="QO83" s="962" t="e">
        <f>[1]!taqq(1,1,[1]!roz(QO78+1,QO81,0,0),QO79)</f>
        <v>#VALUE!</v>
      </c>
      <c r="QP83" s="962" t="e">
        <f>[1]!taqq(1,1,[1]!roz(QP78+1,QP81,0,0),QP79)</f>
        <v>#VALUE!</v>
      </c>
      <c r="QQ83" s="962" t="e">
        <f>[1]!taqq(1,1,[1]!roz(QQ78+1,QQ81,0,0),QQ79)</f>
        <v>#VALUE!</v>
      </c>
      <c r="QR83" s="962" t="e">
        <f>[1]!taqq(1,1,[1]!roz(QR78+1,QR81,0,0),QR79)</f>
        <v>#VALUE!</v>
      </c>
      <c r="QS83" s="962" t="e">
        <f>[1]!taqq(1,1,[1]!roz(QS78+1,QS81,0,0),QS79)</f>
        <v>#VALUE!</v>
      </c>
      <c r="QT83" s="962" t="e">
        <f>[1]!taqq(1,1,[1]!roz(QT78+1,QT81,0,0),QT79)</f>
        <v>#VALUE!</v>
      </c>
      <c r="QU83" s="962" t="e">
        <f>[1]!taqq(1,1,[1]!roz(QU78+1,QU81,0,0),QU79)</f>
        <v>#VALUE!</v>
      </c>
      <c r="QV83" s="962" t="e">
        <f>[1]!taqq(1,1,[1]!roz(QV78+1,QV81,0,0),QV79)</f>
        <v>#VALUE!</v>
      </c>
      <c r="QW83" s="962" t="e">
        <f>[1]!taqq(1,1,[1]!roz(QW78+1,QW81,0,0),QW79)</f>
        <v>#VALUE!</v>
      </c>
      <c r="QX83" s="962" t="e">
        <f>[1]!taqq(1,1,[1]!roz(QX78+1,QX81,0,0),QX79)</f>
        <v>#VALUE!</v>
      </c>
      <c r="QY83" s="962" t="e">
        <f>[1]!taqq(1,1,[1]!roz(QY78+1,QY81,0,0),QY79)</f>
        <v>#VALUE!</v>
      </c>
      <c r="QZ83" s="962" t="e">
        <f>[1]!taqq(1,1,[1]!roz(QZ78+1,QZ81,0,0),QZ79)</f>
        <v>#VALUE!</v>
      </c>
      <c r="RA83" s="963" t="e">
        <f>[1]!taqq(1,1,[1]!roz(RA78+1,RA81,0,0),RA79)</f>
        <v>#VALUE!</v>
      </c>
      <c r="RB83" s="797"/>
      <c r="RC83" s="797"/>
    </row>
    <row r="84" spans="2:471" ht="17.25">
      <c r="B84" s="2" t="s">
        <v>44</v>
      </c>
      <c r="C84" s="2"/>
      <c r="D84" s="2"/>
      <c r="E84" s="2"/>
      <c r="F84" s="2"/>
      <c r="G84" s="2"/>
      <c r="H84" s="2"/>
      <c r="I84" s="2"/>
      <c r="J84" s="2"/>
      <c r="K84" s="2"/>
      <c r="L84" s="2"/>
      <c r="M84" s="2"/>
      <c r="N84" s="2"/>
      <c r="O84" s="2"/>
      <c r="P84" s="2"/>
      <c r="Q84" s="2">
        <v>1</v>
      </c>
      <c r="R84" s="2">
        <v>2</v>
      </c>
      <c r="S84" s="2">
        <v>3</v>
      </c>
      <c r="T84" s="2">
        <v>4</v>
      </c>
      <c r="U84" s="2">
        <v>5</v>
      </c>
      <c r="V84" s="2">
        <v>6</v>
      </c>
      <c r="W84" s="2">
        <v>7</v>
      </c>
      <c r="X84" s="2">
        <v>8</v>
      </c>
      <c r="Y84" s="2">
        <v>9</v>
      </c>
      <c r="Z84" s="2">
        <v>10</v>
      </c>
      <c r="AA84" s="2">
        <v>11</v>
      </c>
      <c r="AB84" s="2">
        <v>12</v>
      </c>
      <c r="AC84" s="2">
        <v>13</v>
      </c>
      <c r="DH84" s="797"/>
      <c r="DJ84" s="961" t="e">
        <f>IF(DJ83-DJ82&gt;-180,DJ83-DJ82,DJ83-DJ82+360)</f>
        <v>#VALUE!</v>
      </c>
      <c r="DK84" s="962" t="e">
        <f>IF(DK83-DK82&gt;-180,DK83-DK82,DK83-DK82+360)</f>
        <v>#VALUE!</v>
      </c>
      <c r="DL84" s="962" t="e">
        <f>IF(DL83-DL82&gt;-180,DL83-DL82,DL83-DL82+360)</f>
        <v>#VALUE!</v>
      </c>
      <c r="DM84" s="962" t="e">
        <f t="shared" ref="DM84:FX84" si="811">IF(DM83-DM82&gt;-180,DM83-DM82,DM83-DM82+360)</f>
        <v>#VALUE!</v>
      </c>
      <c r="DN84" s="962" t="e">
        <f t="shared" si="811"/>
        <v>#VALUE!</v>
      </c>
      <c r="DO84" s="962" t="e">
        <f t="shared" si="811"/>
        <v>#VALUE!</v>
      </c>
      <c r="DP84" s="962" t="e">
        <f t="shared" si="811"/>
        <v>#VALUE!</v>
      </c>
      <c r="DQ84" s="962" t="e">
        <f t="shared" si="811"/>
        <v>#VALUE!</v>
      </c>
      <c r="DR84" s="962" t="e">
        <f t="shared" si="811"/>
        <v>#VALUE!</v>
      </c>
      <c r="DS84" s="962" t="e">
        <f t="shared" si="811"/>
        <v>#VALUE!</v>
      </c>
      <c r="DT84" s="962" t="e">
        <f t="shared" si="811"/>
        <v>#VALUE!</v>
      </c>
      <c r="DU84" s="962" t="e">
        <f t="shared" si="811"/>
        <v>#VALUE!</v>
      </c>
      <c r="DV84" s="962" t="e">
        <f t="shared" si="811"/>
        <v>#VALUE!</v>
      </c>
      <c r="DW84" s="962" t="e">
        <f t="shared" si="811"/>
        <v>#VALUE!</v>
      </c>
      <c r="DX84" s="962" t="e">
        <f t="shared" si="811"/>
        <v>#VALUE!</v>
      </c>
      <c r="DY84" s="962" t="e">
        <f t="shared" si="811"/>
        <v>#VALUE!</v>
      </c>
      <c r="DZ84" s="962" t="e">
        <f t="shared" si="811"/>
        <v>#VALUE!</v>
      </c>
      <c r="EA84" s="962" t="e">
        <f t="shared" si="811"/>
        <v>#VALUE!</v>
      </c>
      <c r="EB84" s="962" t="e">
        <f t="shared" si="811"/>
        <v>#VALUE!</v>
      </c>
      <c r="EC84" s="962" t="e">
        <f t="shared" si="811"/>
        <v>#VALUE!</v>
      </c>
      <c r="ED84" s="962" t="e">
        <f t="shared" si="811"/>
        <v>#VALUE!</v>
      </c>
      <c r="EE84" s="962" t="e">
        <f t="shared" si="811"/>
        <v>#VALUE!</v>
      </c>
      <c r="EF84" s="962" t="e">
        <f t="shared" si="811"/>
        <v>#VALUE!</v>
      </c>
      <c r="EG84" s="962" t="e">
        <f t="shared" si="811"/>
        <v>#VALUE!</v>
      </c>
      <c r="EH84" s="962" t="e">
        <f t="shared" si="811"/>
        <v>#VALUE!</v>
      </c>
      <c r="EI84" s="962" t="e">
        <f t="shared" si="811"/>
        <v>#VALUE!</v>
      </c>
      <c r="EJ84" s="962" t="e">
        <f t="shared" si="811"/>
        <v>#VALUE!</v>
      </c>
      <c r="EK84" s="962" t="e">
        <f t="shared" si="811"/>
        <v>#VALUE!</v>
      </c>
      <c r="EL84" s="962" t="e">
        <f t="shared" si="811"/>
        <v>#VALUE!</v>
      </c>
      <c r="EM84" s="962" t="e">
        <f t="shared" si="811"/>
        <v>#VALUE!</v>
      </c>
      <c r="EN84" s="962" t="e">
        <f t="shared" si="811"/>
        <v>#VALUE!</v>
      </c>
      <c r="EO84" s="962" t="e">
        <f t="shared" si="811"/>
        <v>#VALUE!</v>
      </c>
      <c r="EP84" s="962" t="e">
        <f t="shared" si="811"/>
        <v>#VALUE!</v>
      </c>
      <c r="EQ84" s="962" t="e">
        <f t="shared" si="811"/>
        <v>#VALUE!</v>
      </c>
      <c r="ER84" s="962" t="e">
        <f t="shared" si="811"/>
        <v>#VALUE!</v>
      </c>
      <c r="ES84" s="962" t="e">
        <f t="shared" si="811"/>
        <v>#VALUE!</v>
      </c>
      <c r="ET84" s="962" t="e">
        <f t="shared" si="811"/>
        <v>#VALUE!</v>
      </c>
      <c r="EU84" s="962" t="e">
        <f t="shared" si="811"/>
        <v>#VALUE!</v>
      </c>
      <c r="EV84" s="962" t="e">
        <f t="shared" si="811"/>
        <v>#VALUE!</v>
      </c>
      <c r="EW84" s="962" t="e">
        <f t="shared" si="811"/>
        <v>#VALUE!</v>
      </c>
      <c r="EX84" s="962" t="e">
        <f t="shared" si="811"/>
        <v>#VALUE!</v>
      </c>
      <c r="EY84" s="962" t="e">
        <f t="shared" si="811"/>
        <v>#VALUE!</v>
      </c>
      <c r="EZ84" s="962" t="e">
        <f t="shared" si="811"/>
        <v>#VALUE!</v>
      </c>
      <c r="FA84" s="962" t="e">
        <f t="shared" si="811"/>
        <v>#VALUE!</v>
      </c>
      <c r="FB84" s="962" t="e">
        <f t="shared" si="811"/>
        <v>#VALUE!</v>
      </c>
      <c r="FC84" s="962" t="e">
        <f t="shared" si="811"/>
        <v>#VALUE!</v>
      </c>
      <c r="FD84" s="962" t="e">
        <f t="shared" si="811"/>
        <v>#VALUE!</v>
      </c>
      <c r="FE84" s="962" t="e">
        <f t="shared" si="811"/>
        <v>#VALUE!</v>
      </c>
      <c r="FF84" s="962" t="e">
        <f t="shared" si="811"/>
        <v>#VALUE!</v>
      </c>
      <c r="FG84" s="962" t="e">
        <f t="shared" si="811"/>
        <v>#VALUE!</v>
      </c>
      <c r="FH84" s="962" t="e">
        <f t="shared" si="811"/>
        <v>#VALUE!</v>
      </c>
      <c r="FI84" s="962" t="e">
        <f t="shared" si="811"/>
        <v>#VALUE!</v>
      </c>
      <c r="FJ84" s="962" t="e">
        <f t="shared" si="811"/>
        <v>#VALUE!</v>
      </c>
      <c r="FK84" s="962" t="e">
        <f t="shared" si="811"/>
        <v>#VALUE!</v>
      </c>
      <c r="FL84" s="962" t="e">
        <f t="shared" si="811"/>
        <v>#VALUE!</v>
      </c>
      <c r="FM84" s="962" t="e">
        <f t="shared" si="811"/>
        <v>#VALUE!</v>
      </c>
      <c r="FN84" s="962" t="e">
        <f t="shared" si="811"/>
        <v>#VALUE!</v>
      </c>
      <c r="FO84" s="962" t="e">
        <f t="shared" si="811"/>
        <v>#VALUE!</v>
      </c>
      <c r="FP84" s="962" t="e">
        <f t="shared" si="811"/>
        <v>#VALUE!</v>
      </c>
      <c r="FQ84" s="962" t="e">
        <f t="shared" si="811"/>
        <v>#VALUE!</v>
      </c>
      <c r="FR84" s="962" t="e">
        <f t="shared" si="811"/>
        <v>#VALUE!</v>
      </c>
      <c r="FS84" s="962" t="e">
        <f t="shared" si="811"/>
        <v>#VALUE!</v>
      </c>
      <c r="FT84" s="962" t="e">
        <f t="shared" si="811"/>
        <v>#VALUE!</v>
      </c>
      <c r="FU84" s="962" t="e">
        <f t="shared" si="811"/>
        <v>#VALUE!</v>
      </c>
      <c r="FV84" s="962" t="e">
        <f t="shared" si="811"/>
        <v>#VALUE!</v>
      </c>
      <c r="FW84" s="962" t="e">
        <f t="shared" si="811"/>
        <v>#VALUE!</v>
      </c>
      <c r="FX84" s="962" t="e">
        <f t="shared" si="811"/>
        <v>#VALUE!</v>
      </c>
      <c r="FY84" s="962" t="e">
        <f t="shared" ref="FY84:IJ84" si="812">IF(FY83-FY82&gt;-180,FY83-FY82,FY83-FY82+360)</f>
        <v>#VALUE!</v>
      </c>
      <c r="FZ84" s="962" t="e">
        <f t="shared" si="812"/>
        <v>#VALUE!</v>
      </c>
      <c r="GA84" s="962" t="e">
        <f t="shared" si="812"/>
        <v>#VALUE!</v>
      </c>
      <c r="GB84" s="962" t="e">
        <f t="shared" si="812"/>
        <v>#VALUE!</v>
      </c>
      <c r="GC84" s="962" t="e">
        <f t="shared" si="812"/>
        <v>#VALUE!</v>
      </c>
      <c r="GD84" s="962" t="e">
        <f t="shared" si="812"/>
        <v>#VALUE!</v>
      </c>
      <c r="GE84" s="962" t="e">
        <f t="shared" si="812"/>
        <v>#VALUE!</v>
      </c>
      <c r="GF84" s="962" t="e">
        <f t="shared" si="812"/>
        <v>#VALUE!</v>
      </c>
      <c r="GG84" s="962" t="e">
        <f t="shared" si="812"/>
        <v>#VALUE!</v>
      </c>
      <c r="GH84" s="962" t="e">
        <f t="shared" si="812"/>
        <v>#VALUE!</v>
      </c>
      <c r="GI84" s="962" t="e">
        <f t="shared" si="812"/>
        <v>#VALUE!</v>
      </c>
      <c r="GJ84" s="962" t="e">
        <f t="shared" si="812"/>
        <v>#VALUE!</v>
      </c>
      <c r="GK84" s="962" t="e">
        <f t="shared" si="812"/>
        <v>#VALUE!</v>
      </c>
      <c r="GL84" s="962" t="e">
        <f t="shared" si="812"/>
        <v>#VALUE!</v>
      </c>
      <c r="GM84" s="962" t="e">
        <f t="shared" si="812"/>
        <v>#VALUE!</v>
      </c>
      <c r="GN84" s="962" t="e">
        <f t="shared" si="812"/>
        <v>#VALUE!</v>
      </c>
      <c r="GO84" s="962" t="e">
        <f t="shared" si="812"/>
        <v>#VALUE!</v>
      </c>
      <c r="GP84" s="962" t="e">
        <f t="shared" si="812"/>
        <v>#VALUE!</v>
      </c>
      <c r="GQ84" s="962" t="e">
        <f t="shared" si="812"/>
        <v>#VALUE!</v>
      </c>
      <c r="GR84" s="962" t="e">
        <f t="shared" si="812"/>
        <v>#VALUE!</v>
      </c>
      <c r="GS84" s="962" t="e">
        <f t="shared" si="812"/>
        <v>#VALUE!</v>
      </c>
      <c r="GT84" s="962" t="e">
        <f t="shared" si="812"/>
        <v>#VALUE!</v>
      </c>
      <c r="GU84" s="962" t="e">
        <f t="shared" si="812"/>
        <v>#VALUE!</v>
      </c>
      <c r="GV84" s="962" t="e">
        <f t="shared" si="812"/>
        <v>#VALUE!</v>
      </c>
      <c r="GW84" s="962" t="e">
        <f t="shared" si="812"/>
        <v>#VALUE!</v>
      </c>
      <c r="GX84" s="962" t="e">
        <f t="shared" si="812"/>
        <v>#VALUE!</v>
      </c>
      <c r="GY84" s="962" t="e">
        <f t="shared" si="812"/>
        <v>#VALUE!</v>
      </c>
      <c r="GZ84" s="962" t="e">
        <f t="shared" si="812"/>
        <v>#VALUE!</v>
      </c>
      <c r="HA84" s="962" t="e">
        <f t="shared" si="812"/>
        <v>#VALUE!</v>
      </c>
      <c r="HB84" s="962" t="e">
        <f t="shared" si="812"/>
        <v>#VALUE!</v>
      </c>
      <c r="HC84" s="962" t="e">
        <f t="shared" si="812"/>
        <v>#VALUE!</v>
      </c>
      <c r="HD84" s="962" t="e">
        <f t="shared" si="812"/>
        <v>#VALUE!</v>
      </c>
      <c r="HE84" s="962" t="e">
        <f t="shared" si="812"/>
        <v>#VALUE!</v>
      </c>
      <c r="HF84" s="962" t="e">
        <f t="shared" si="812"/>
        <v>#VALUE!</v>
      </c>
      <c r="HG84" s="962" t="e">
        <f t="shared" si="812"/>
        <v>#VALUE!</v>
      </c>
      <c r="HH84" s="962" t="e">
        <f t="shared" si="812"/>
        <v>#VALUE!</v>
      </c>
      <c r="HI84" s="962" t="e">
        <f t="shared" si="812"/>
        <v>#VALUE!</v>
      </c>
      <c r="HJ84" s="962" t="e">
        <f t="shared" si="812"/>
        <v>#VALUE!</v>
      </c>
      <c r="HK84" s="962" t="e">
        <f t="shared" si="812"/>
        <v>#VALUE!</v>
      </c>
      <c r="HL84" s="962" t="e">
        <f t="shared" si="812"/>
        <v>#VALUE!</v>
      </c>
      <c r="HM84" s="962" t="e">
        <f t="shared" si="812"/>
        <v>#VALUE!</v>
      </c>
      <c r="HN84" s="962" t="e">
        <f t="shared" si="812"/>
        <v>#VALUE!</v>
      </c>
      <c r="HO84" s="962" t="e">
        <f t="shared" si="812"/>
        <v>#VALUE!</v>
      </c>
      <c r="HP84" s="962" t="e">
        <f t="shared" si="812"/>
        <v>#VALUE!</v>
      </c>
      <c r="HQ84" s="962" t="e">
        <f t="shared" si="812"/>
        <v>#VALUE!</v>
      </c>
      <c r="HR84" s="962" t="e">
        <f t="shared" si="812"/>
        <v>#VALUE!</v>
      </c>
      <c r="HS84" s="962" t="e">
        <f t="shared" si="812"/>
        <v>#VALUE!</v>
      </c>
      <c r="HT84" s="962" t="e">
        <f t="shared" si="812"/>
        <v>#VALUE!</v>
      </c>
      <c r="HU84" s="962" t="e">
        <f t="shared" si="812"/>
        <v>#VALUE!</v>
      </c>
      <c r="HV84" s="962" t="e">
        <f t="shared" si="812"/>
        <v>#VALUE!</v>
      </c>
      <c r="HW84" s="962" t="e">
        <f t="shared" si="812"/>
        <v>#VALUE!</v>
      </c>
      <c r="HX84" s="962" t="e">
        <f t="shared" si="812"/>
        <v>#VALUE!</v>
      </c>
      <c r="HY84" s="962" t="e">
        <f t="shared" si="812"/>
        <v>#VALUE!</v>
      </c>
      <c r="HZ84" s="962" t="e">
        <f t="shared" si="812"/>
        <v>#VALUE!</v>
      </c>
      <c r="IA84" s="962" t="e">
        <f t="shared" si="812"/>
        <v>#VALUE!</v>
      </c>
      <c r="IB84" s="962" t="e">
        <f t="shared" si="812"/>
        <v>#VALUE!</v>
      </c>
      <c r="IC84" s="962" t="e">
        <f t="shared" si="812"/>
        <v>#VALUE!</v>
      </c>
      <c r="ID84" s="962" t="e">
        <f t="shared" si="812"/>
        <v>#VALUE!</v>
      </c>
      <c r="IE84" s="962" t="e">
        <f t="shared" si="812"/>
        <v>#VALUE!</v>
      </c>
      <c r="IF84" s="962" t="e">
        <f t="shared" si="812"/>
        <v>#VALUE!</v>
      </c>
      <c r="IG84" s="962" t="e">
        <f t="shared" si="812"/>
        <v>#VALUE!</v>
      </c>
      <c r="IH84" s="962" t="e">
        <f t="shared" si="812"/>
        <v>#VALUE!</v>
      </c>
      <c r="II84" s="962" t="e">
        <f t="shared" si="812"/>
        <v>#VALUE!</v>
      </c>
      <c r="IJ84" s="962" t="e">
        <f t="shared" si="812"/>
        <v>#VALUE!</v>
      </c>
      <c r="IK84" s="962" t="e">
        <f t="shared" ref="IK84:KV84" si="813">IF(IK83-IK82&gt;-180,IK83-IK82,IK83-IK82+360)</f>
        <v>#VALUE!</v>
      </c>
      <c r="IL84" s="962" t="e">
        <f t="shared" si="813"/>
        <v>#VALUE!</v>
      </c>
      <c r="IM84" s="962" t="e">
        <f t="shared" si="813"/>
        <v>#VALUE!</v>
      </c>
      <c r="IN84" s="962" t="e">
        <f t="shared" si="813"/>
        <v>#VALUE!</v>
      </c>
      <c r="IO84" s="962" t="e">
        <f t="shared" si="813"/>
        <v>#VALUE!</v>
      </c>
      <c r="IP84" s="962" t="e">
        <f t="shared" si="813"/>
        <v>#VALUE!</v>
      </c>
      <c r="IQ84" s="962" t="e">
        <f t="shared" si="813"/>
        <v>#VALUE!</v>
      </c>
      <c r="IR84" s="962" t="e">
        <f t="shared" si="813"/>
        <v>#VALUE!</v>
      </c>
      <c r="IS84" s="962" t="e">
        <f t="shared" si="813"/>
        <v>#VALUE!</v>
      </c>
      <c r="IT84" s="962" t="e">
        <f t="shared" si="813"/>
        <v>#VALUE!</v>
      </c>
      <c r="IU84" s="962" t="e">
        <f t="shared" si="813"/>
        <v>#VALUE!</v>
      </c>
      <c r="IV84" s="962" t="e">
        <f t="shared" si="813"/>
        <v>#VALUE!</v>
      </c>
      <c r="IW84" s="962" t="e">
        <f t="shared" si="813"/>
        <v>#VALUE!</v>
      </c>
      <c r="IX84" s="962" t="e">
        <f t="shared" si="813"/>
        <v>#VALUE!</v>
      </c>
      <c r="IY84" s="962" t="e">
        <f t="shared" si="813"/>
        <v>#VALUE!</v>
      </c>
      <c r="IZ84" s="962" t="e">
        <f t="shared" si="813"/>
        <v>#VALUE!</v>
      </c>
      <c r="JA84" s="962" t="e">
        <f t="shared" si="813"/>
        <v>#VALUE!</v>
      </c>
      <c r="JB84" s="962" t="e">
        <f t="shared" si="813"/>
        <v>#VALUE!</v>
      </c>
      <c r="JC84" s="962" t="e">
        <f t="shared" si="813"/>
        <v>#VALUE!</v>
      </c>
      <c r="JD84" s="962" t="e">
        <f t="shared" si="813"/>
        <v>#VALUE!</v>
      </c>
      <c r="JE84" s="962" t="e">
        <f t="shared" si="813"/>
        <v>#VALUE!</v>
      </c>
      <c r="JF84" s="962" t="e">
        <f t="shared" si="813"/>
        <v>#VALUE!</v>
      </c>
      <c r="JG84" s="962" t="e">
        <f t="shared" si="813"/>
        <v>#VALUE!</v>
      </c>
      <c r="JH84" s="962" t="e">
        <f t="shared" si="813"/>
        <v>#VALUE!</v>
      </c>
      <c r="JI84" s="962" t="e">
        <f t="shared" si="813"/>
        <v>#VALUE!</v>
      </c>
      <c r="JJ84" s="962" t="e">
        <f t="shared" si="813"/>
        <v>#VALUE!</v>
      </c>
      <c r="JK84" s="962" t="e">
        <f t="shared" si="813"/>
        <v>#VALUE!</v>
      </c>
      <c r="JL84" s="962" t="e">
        <f t="shared" si="813"/>
        <v>#VALUE!</v>
      </c>
      <c r="JM84" s="962" t="e">
        <f t="shared" si="813"/>
        <v>#VALUE!</v>
      </c>
      <c r="JN84" s="962" t="e">
        <f t="shared" si="813"/>
        <v>#VALUE!</v>
      </c>
      <c r="JO84" s="962" t="e">
        <f t="shared" si="813"/>
        <v>#VALUE!</v>
      </c>
      <c r="JP84" s="962" t="e">
        <f t="shared" si="813"/>
        <v>#VALUE!</v>
      </c>
      <c r="JQ84" s="962" t="e">
        <f t="shared" si="813"/>
        <v>#VALUE!</v>
      </c>
      <c r="JR84" s="962" t="e">
        <f t="shared" si="813"/>
        <v>#VALUE!</v>
      </c>
      <c r="JS84" s="962" t="e">
        <f t="shared" si="813"/>
        <v>#VALUE!</v>
      </c>
      <c r="JT84" s="962" t="e">
        <f t="shared" si="813"/>
        <v>#VALUE!</v>
      </c>
      <c r="JU84" s="962" t="e">
        <f t="shared" si="813"/>
        <v>#VALUE!</v>
      </c>
      <c r="JV84" s="962" t="e">
        <f t="shared" si="813"/>
        <v>#VALUE!</v>
      </c>
      <c r="JW84" s="962" t="e">
        <f t="shared" si="813"/>
        <v>#VALUE!</v>
      </c>
      <c r="JX84" s="962" t="e">
        <f t="shared" si="813"/>
        <v>#VALUE!</v>
      </c>
      <c r="JY84" s="962" t="e">
        <f t="shared" si="813"/>
        <v>#VALUE!</v>
      </c>
      <c r="JZ84" s="962" t="e">
        <f t="shared" si="813"/>
        <v>#VALUE!</v>
      </c>
      <c r="KA84" s="962" t="e">
        <f t="shared" si="813"/>
        <v>#VALUE!</v>
      </c>
      <c r="KB84" s="962" t="e">
        <f t="shared" si="813"/>
        <v>#VALUE!</v>
      </c>
      <c r="KC84" s="962" t="e">
        <f t="shared" si="813"/>
        <v>#VALUE!</v>
      </c>
      <c r="KD84" s="962" t="e">
        <f t="shared" si="813"/>
        <v>#VALUE!</v>
      </c>
      <c r="KE84" s="962" t="e">
        <f t="shared" si="813"/>
        <v>#VALUE!</v>
      </c>
      <c r="KF84" s="962" t="e">
        <f t="shared" si="813"/>
        <v>#VALUE!</v>
      </c>
      <c r="KG84" s="962" t="e">
        <f t="shared" si="813"/>
        <v>#VALUE!</v>
      </c>
      <c r="KH84" s="962" t="e">
        <f t="shared" si="813"/>
        <v>#VALUE!</v>
      </c>
      <c r="KI84" s="962" t="e">
        <f t="shared" si="813"/>
        <v>#VALUE!</v>
      </c>
      <c r="KJ84" s="962" t="e">
        <f t="shared" si="813"/>
        <v>#VALUE!</v>
      </c>
      <c r="KK84" s="962" t="e">
        <f t="shared" si="813"/>
        <v>#VALUE!</v>
      </c>
      <c r="KL84" s="962" t="e">
        <f t="shared" si="813"/>
        <v>#VALUE!</v>
      </c>
      <c r="KM84" s="962" t="e">
        <f t="shared" si="813"/>
        <v>#VALUE!</v>
      </c>
      <c r="KN84" s="962" t="e">
        <f t="shared" si="813"/>
        <v>#VALUE!</v>
      </c>
      <c r="KO84" s="962" t="e">
        <f t="shared" si="813"/>
        <v>#VALUE!</v>
      </c>
      <c r="KP84" s="962" t="e">
        <f t="shared" si="813"/>
        <v>#VALUE!</v>
      </c>
      <c r="KQ84" s="962" t="e">
        <f t="shared" si="813"/>
        <v>#VALUE!</v>
      </c>
      <c r="KR84" s="962" t="e">
        <f t="shared" si="813"/>
        <v>#VALUE!</v>
      </c>
      <c r="KS84" s="962" t="e">
        <f t="shared" si="813"/>
        <v>#VALUE!</v>
      </c>
      <c r="KT84" s="962" t="e">
        <f t="shared" si="813"/>
        <v>#VALUE!</v>
      </c>
      <c r="KU84" s="962" t="e">
        <f t="shared" si="813"/>
        <v>#VALUE!</v>
      </c>
      <c r="KV84" s="962" t="e">
        <f t="shared" si="813"/>
        <v>#VALUE!</v>
      </c>
      <c r="KW84" s="962" t="e">
        <f t="shared" ref="KW84:NH84" si="814">IF(KW83-KW82&gt;-180,KW83-KW82,KW83-KW82+360)</f>
        <v>#VALUE!</v>
      </c>
      <c r="KX84" s="962" t="e">
        <f t="shared" si="814"/>
        <v>#VALUE!</v>
      </c>
      <c r="KY84" s="962" t="e">
        <f t="shared" si="814"/>
        <v>#VALUE!</v>
      </c>
      <c r="KZ84" s="962" t="e">
        <f t="shared" si="814"/>
        <v>#VALUE!</v>
      </c>
      <c r="LA84" s="962" t="e">
        <f t="shared" si="814"/>
        <v>#VALUE!</v>
      </c>
      <c r="LB84" s="962" t="e">
        <f t="shared" si="814"/>
        <v>#VALUE!</v>
      </c>
      <c r="LC84" s="962" t="e">
        <f t="shared" si="814"/>
        <v>#VALUE!</v>
      </c>
      <c r="LD84" s="962" t="e">
        <f t="shared" si="814"/>
        <v>#VALUE!</v>
      </c>
      <c r="LE84" s="962" t="e">
        <f t="shared" si="814"/>
        <v>#VALUE!</v>
      </c>
      <c r="LF84" s="962" t="e">
        <f t="shared" si="814"/>
        <v>#VALUE!</v>
      </c>
      <c r="LG84" s="962" t="e">
        <f t="shared" si="814"/>
        <v>#VALUE!</v>
      </c>
      <c r="LH84" s="962" t="e">
        <f t="shared" si="814"/>
        <v>#VALUE!</v>
      </c>
      <c r="LI84" s="962" t="e">
        <f t="shared" si="814"/>
        <v>#VALUE!</v>
      </c>
      <c r="LJ84" s="962" t="e">
        <f t="shared" si="814"/>
        <v>#VALUE!</v>
      </c>
      <c r="LK84" s="962" t="e">
        <f t="shared" si="814"/>
        <v>#VALUE!</v>
      </c>
      <c r="LL84" s="962" t="e">
        <f t="shared" si="814"/>
        <v>#VALUE!</v>
      </c>
      <c r="LM84" s="962" t="e">
        <f t="shared" si="814"/>
        <v>#VALUE!</v>
      </c>
      <c r="LN84" s="962" t="e">
        <f t="shared" si="814"/>
        <v>#VALUE!</v>
      </c>
      <c r="LO84" s="962" t="e">
        <f t="shared" si="814"/>
        <v>#VALUE!</v>
      </c>
      <c r="LP84" s="962" t="e">
        <f t="shared" si="814"/>
        <v>#VALUE!</v>
      </c>
      <c r="LQ84" s="962" t="e">
        <f t="shared" si="814"/>
        <v>#VALUE!</v>
      </c>
      <c r="LR84" s="962" t="e">
        <f t="shared" si="814"/>
        <v>#VALUE!</v>
      </c>
      <c r="LS84" s="962" t="e">
        <f t="shared" si="814"/>
        <v>#VALUE!</v>
      </c>
      <c r="LT84" s="962" t="e">
        <f t="shared" si="814"/>
        <v>#VALUE!</v>
      </c>
      <c r="LU84" s="962" t="e">
        <f t="shared" si="814"/>
        <v>#VALUE!</v>
      </c>
      <c r="LV84" s="962" t="e">
        <f t="shared" si="814"/>
        <v>#VALUE!</v>
      </c>
      <c r="LW84" s="962" t="e">
        <f t="shared" si="814"/>
        <v>#VALUE!</v>
      </c>
      <c r="LX84" s="962" t="e">
        <f t="shared" si="814"/>
        <v>#VALUE!</v>
      </c>
      <c r="LY84" s="962" t="e">
        <f t="shared" si="814"/>
        <v>#VALUE!</v>
      </c>
      <c r="LZ84" s="962" t="e">
        <f t="shared" si="814"/>
        <v>#VALUE!</v>
      </c>
      <c r="MA84" s="962" t="e">
        <f t="shared" si="814"/>
        <v>#VALUE!</v>
      </c>
      <c r="MB84" s="962" t="e">
        <f t="shared" si="814"/>
        <v>#VALUE!</v>
      </c>
      <c r="MC84" s="962" t="e">
        <f t="shared" si="814"/>
        <v>#VALUE!</v>
      </c>
      <c r="MD84" s="962" t="e">
        <f t="shared" si="814"/>
        <v>#VALUE!</v>
      </c>
      <c r="ME84" s="962" t="e">
        <f t="shared" si="814"/>
        <v>#VALUE!</v>
      </c>
      <c r="MF84" s="962" t="e">
        <f t="shared" si="814"/>
        <v>#VALUE!</v>
      </c>
      <c r="MG84" s="962" t="e">
        <f t="shared" si="814"/>
        <v>#VALUE!</v>
      </c>
      <c r="MH84" s="962" t="e">
        <f t="shared" si="814"/>
        <v>#VALUE!</v>
      </c>
      <c r="MI84" s="962" t="e">
        <f t="shared" si="814"/>
        <v>#VALUE!</v>
      </c>
      <c r="MJ84" s="962" t="e">
        <f t="shared" si="814"/>
        <v>#VALUE!</v>
      </c>
      <c r="MK84" s="962" t="e">
        <f t="shared" si="814"/>
        <v>#VALUE!</v>
      </c>
      <c r="ML84" s="962" t="e">
        <f t="shared" si="814"/>
        <v>#VALUE!</v>
      </c>
      <c r="MM84" s="962" t="e">
        <f t="shared" si="814"/>
        <v>#VALUE!</v>
      </c>
      <c r="MN84" s="962" t="e">
        <f t="shared" si="814"/>
        <v>#VALUE!</v>
      </c>
      <c r="MO84" s="962" t="e">
        <f t="shared" si="814"/>
        <v>#VALUE!</v>
      </c>
      <c r="MP84" s="962" t="e">
        <f t="shared" si="814"/>
        <v>#VALUE!</v>
      </c>
      <c r="MQ84" s="962" t="e">
        <f t="shared" si="814"/>
        <v>#VALUE!</v>
      </c>
      <c r="MR84" s="962" t="e">
        <f t="shared" si="814"/>
        <v>#VALUE!</v>
      </c>
      <c r="MS84" s="962" t="e">
        <f t="shared" si="814"/>
        <v>#VALUE!</v>
      </c>
      <c r="MT84" s="962" t="e">
        <f t="shared" si="814"/>
        <v>#VALUE!</v>
      </c>
      <c r="MU84" s="962" t="e">
        <f t="shared" si="814"/>
        <v>#VALUE!</v>
      </c>
      <c r="MV84" s="962" t="e">
        <f t="shared" si="814"/>
        <v>#VALUE!</v>
      </c>
      <c r="MW84" s="962" t="e">
        <f t="shared" si="814"/>
        <v>#VALUE!</v>
      </c>
      <c r="MX84" s="962" t="e">
        <f t="shared" si="814"/>
        <v>#VALUE!</v>
      </c>
      <c r="MY84" s="962" t="e">
        <f t="shared" si="814"/>
        <v>#VALUE!</v>
      </c>
      <c r="MZ84" s="962" t="e">
        <f t="shared" si="814"/>
        <v>#VALUE!</v>
      </c>
      <c r="NA84" s="962" t="e">
        <f t="shared" si="814"/>
        <v>#VALUE!</v>
      </c>
      <c r="NB84" s="962" t="e">
        <f t="shared" si="814"/>
        <v>#VALUE!</v>
      </c>
      <c r="NC84" s="962" t="e">
        <f t="shared" si="814"/>
        <v>#VALUE!</v>
      </c>
      <c r="ND84" s="962" t="e">
        <f t="shared" si="814"/>
        <v>#VALUE!</v>
      </c>
      <c r="NE84" s="962" t="e">
        <f t="shared" si="814"/>
        <v>#VALUE!</v>
      </c>
      <c r="NF84" s="962" t="e">
        <f t="shared" si="814"/>
        <v>#VALUE!</v>
      </c>
      <c r="NG84" s="962" t="e">
        <f t="shared" si="814"/>
        <v>#VALUE!</v>
      </c>
      <c r="NH84" s="962" t="e">
        <f t="shared" si="814"/>
        <v>#VALUE!</v>
      </c>
      <c r="NI84" s="962" t="e">
        <f t="shared" ref="NI84:PT84" si="815">IF(NI83-NI82&gt;-180,NI83-NI82,NI83-NI82+360)</f>
        <v>#VALUE!</v>
      </c>
      <c r="NJ84" s="962" t="e">
        <f t="shared" si="815"/>
        <v>#VALUE!</v>
      </c>
      <c r="NK84" s="962" t="e">
        <f t="shared" si="815"/>
        <v>#VALUE!</v>
      </c>
      <c r="NL84" s="962" t="e">
        <f t="shared" si="815"/>
        <v>#VALUE!</v>
      </c>
      <c r="NM84" s="962" t="e">
        <f t="shared" si="815"/>
        <v>#VALUE!</v>
      </c>
      <c r="NN84" s="962" t="e">
        <f t="shared" si="815"/>
        <v>#VALUE!</v>
      </c>
      <c r="NO84" s="962" t="e">
        <f t="shared" si="815"/>
        <v>#VALUE!</v>
      </c>
      <c r="NP84" s="962" t="e">
        <f t="shared" si="815"/>
        <v>#VALUE!</v>
      </c>
      <c r="NQ84" s="962" t="e">
        <f t="shared" si="815"/>
        <v>#VALUE!</v>
      </c>
      <c r="NR84" s="962" t="e">
        <f t="shared" si="815"/>
        <v>#VALUE!</v>
      </c>
      <c r="NS84" s="962" t="e">
        <f t="shared" si="815"/>
        <v>#VALUE!</v>
      </c>
      <c r="NT84" s="962" t="e">
        <f t="shared" si="815"/>
        <v>#VALUE!</v>
      </c>
      <c r="NU84" s="962" t="e">
        <f t="shared" si="815"/>
        <v>#VALUE!</v>
      </c>
      <c r="NV84" s="962" t="e">
        <f t="shared" si="815"/>
        <v>#VALUE!</v>
      </c>
      <c r="NW84" s="962" t="e">
        <f t="shared" si="815"/>
        <v>#VALUE!</v>
      </c>
      <c r="NX84" s="962" t="e">
        <f t="shared" si="815"/>
        <v>#VALUE!</v>
      </c>
      <c r="NY84" s="962" t="e">
        <f t="shared" si="815"/>
        <v>#VALUE!</v>
      </c>
      <c r="NZ84" s="962" t="e">
        <f t="shared" si="815"/>
        <v>#VALUE!</v>
      </c>
      <c r="OA84" s="962" t="e">
        <f t="shared" si="815"/>
        <v>#VALUE!</v>
      </c>
      <c r="OB84" s="962" t="e">
        <f t="shared" si="815"/>
        <v>#VALUE!</v>
      </c>
      <c r="OC84" s="962" t="e">
        <f t="shared" si="815"/>
        <v>#VALUE!</v>
      </c>
      <c r="OD84" s="962" t="e">
        <f t="shared" si="815"/>
        <v>#VALUE!</v>
      </c>
      <c r="OE84" s="962" t="e">
        <f t="shared" si="815"/>
        <v>#VALUE!</v>
      </c>
      <c r="OF84" s="962" t="e">
        <f t="shared" si="815"/>
        <v>#VALUE!</v>
      </c>
      <c r="OG84" s="962" t="e">
        <f t="shared" si="815"/>
        <v>#VALUE!</v>
      </c>
      <c r="OH84" s="962" t="e">
        <f t="shared" si="815"/>
        <v>#VALUE!</v>
      </c>
      <c r="OI84" s="962" t="e">
        <f t="shared" si="815"/>
        <v>#VALUE!</v>
      </c>
      <c r="OJ84" s="962" t="e">
        <f t="shared" si="815"/>
        <v>#VALUE!</v>
      </c>
      <c r="OK84" s="962" t="e">
        <f t="shared" si="815"/>
        <v>#VALUE!</v>
      </c>
      <c r="OL84" s="962" t="e">
        <f t="shared" si="815"/>
        <v>#VALUE!</v>
      </c>
      <c r="OM84" s="962" t="e">
        <f t="shared" si="815"/>
        <v>#VALUE!</v>
      </c>
      <c r="ON84" s="962" t="e">
        <f t="shared" si="815"/>
        <v>#VALUE!</v>
      </c>
      <c r="OO84" s="962" t="e">
        <f t="shared" si="815"/>
        <v>#VALUE!</v>
      </c>
      <c r="OP84" s="962" t="e">
        <f t="shared" si="815"/>
        <v>#VALUE!</v>
      </c>
      <c r="OQ84" s="962" t="e">
        <f t="shared" si="815"/>
        <v>#VALUE!</v>
      </c>
      <c r="OR84" s="962" t="e">
        <f t="shared" si="815"/>
        <v>#VALUE!</v>
      </c>
      <c r="OS84" s="962" t="e">
        <f t="shared" si="815"/>
        <v>#VALUE!</v>
      </c>
      <c r="OT84" s="962" t="e">
        <f t="shared" si="815"/>
        <v>#VALUE!</v>
      </c>
      <c r="OU84" s="962" t="e">
        <f t="shared" si="815"/>
        <v>#VALUE!</v>
      </c>
      <c r="OV84" s="962" t="e">
        <f t="shared" si="815"/>
        <v>#VALUE!</v>
      </c>
      <c r="OW84" s="962" t="e">
        <f t="shared" si="815"/>
        <v>#VALUE!</v>
      </c>
      <c r="OX84" s="962" t="e">
        <f t="shared" si="815"/>
        <v>#VALUE!</v>
      </c>
      <c r="OY84" s="962" t="e">
        <f t="shared" si="815"/>
        <v>#VALUE!</v>
      </c>
      <c r="OZ84" s="962" t="e">
        <f t="shared" si="815"/>
        <v>#VALUE!</v>
      </c>
      <c r="PA84" s="962" t="e">
        <f t="shared" si="815"/>
        <v>#VALUE!</v>
      </c>
      <c r="PB84" s="962" t="e">
        <f t="shared" si="815"/>
        <v>#VALUE!</v>
      </c>
      <c r="PC84" s="962" t="e">
        <f t="shared" si="815"/>
        <v>#VALUE!</v>
      </c>
      <c r="PD84" s="962" t="e">
        <f t="shared" si="815"/>
        <v>#VALUE!</v>
      </c>
      <c r="PE84" s="962" t="e">
        <f t="shared" si="815"/>
        <v>#VALUE!</v>
      </c>
      <c r="PF84" s="962" t="e">
        <f t="shared" si="815"/>
        <v>#VALUE!</v>
      </c>
      <c r="PG84" s="962" t="e">
        <f t="shared" si="815"/>
        <v>#VALUE!</v>
      </c>
      <c r="PH84" s="962" t="e">
        <f t="shared" si="815"/>
        <v>#VALUE!</v>
      </c>
      <c r="PI84" s="962" t="e">
        <f t="shared" si="815"/>
        <v>#VALUE!</v>
      </c>
      <c r="PJ84" s="962" t="e">
        <f t="shared" si="815"/>
        <v>#VALUE!</v>
      </c>
      <c r="PK84" s="962" t="e">
        <f t="shared" si="815"/>
        <v>#VALUE!</v>
      </c>
      <c r="PL84" s="962" t="e">
        <f t="shared" si="815"/>
        <v>#VALUE!</v>
      </c>
      <c r="PM84" s="962" t="e">
        <f t="shared" si="815"/>
        <v>#VALUE!</v>
      </c>
      <c r="PN84" s="962" t="e">
        <f t="shared" si="815"/>
        <v>#VALUE!</v>
      </c>
      <c r="PO84" s="962" t="e">
        <f t="shared" si="815"/>
        <v>#VALUE!</v>
      </c>
      <c r="PP84" s="962" t="e">
        <f t="shared" si="815"/>
        <v>#VALUE!</v>
      </c>
      <c r="PQ84" s="962" t="e">
        <f t="shared" si="815"/>
        <v>#VALUE!</v>
      </c>
      <c r="PR84" s="962" t="e">
        <f t="shared" si="815"/>
        <v>#VALUE!</v>
      </c>
      <c r="PS84" s="962" t="e">
        <f t="shared" si="815"/>
        <v>#VALUE!</v>
      </c>
      <c r="PT84" s="962" t="e">
        <f t="shared" si="815"/>
        <v>#VALUE!</v>
      </c>
      <c r="PU84" s="962" t="e">
        <f t="shared" ref="PU84:RA84" si="816">IF(PU83-PU82&gt;-180,PU83-PU82,PU83-PU82+360)</f>
        <v>#VALUE!</v>
      </c>
      <c r="PV84" s="962" t="e">
        <f t="shared" si="816"/>
        <v>#VALUE!</v>
      </c>
      <c r="PW84" s="962" t="e">
        <f t="shared" si="816"/>
        <v>#VALUE!</v>
      </c>
      <c r="PX84" s="962" t="e">
        <f t="shared" si="816"/>
        <v>#VALUE!</v>
      </c>
      <c r="PY84" s="962" t="e">
        <f t="shared" si="816"/>
        <v>#VALUE!</v>
      </c>
      <c r="PZ84" s="962" t="e">
        <f t="shared" si="816"/>
        <v>#VALUE!</v>
      </c>
      <c r="QA84" s="962" t="e">
        <f t="shared" si="816"/>
        <v>#VALUE!</v>
      </c>
      <c r="QB84" s="962" t="e">
        <f t="shared" si="816"/>
        <v>#VALUE!</v>
      </c>
      <c r="QC84" s="962" t="e">
        <f t="shared" si="816"/>
        <v>#VALUE!</v>
      </c>
      <c r="QD84" s="962" t="e">
        <f t="shared" si="816"/>
        <v>#VALUE!</v>
      </c>
      <c r="QE84" s="962" t="e">
        <f t="shared" si="816"/>
        <v>#VALUE!</v>
      </c>
      <c r="QF84" s="962" t="e">
        <f t="shared" si="816"/>
        <v>#VALUE!</v>
      </c>
      <c r="QG84" s="962" t="e">
        <f t="shared" si="816"/>
        <v>#VALUE!</v>
      </c>
      <c r="QH84" s="962" t="e">
        <f t="shared" si="816"/>
        <v>#VALUE!</v>
      </c>
      <c r="QI84" s="962" t="e">
        <f t="shared" si="816"/>
        <v>#VALUE!</v>
      </c>
      <c r="QJ84" s="962" t="e">
        <f t="shared" si="816"/>
        <v>#VALUE!</v>
      </c>
      <c r="QK84" s="962" t="e">
        <f t="shared" si="816"/>
        <v>#VALUE!</v>
      </c>
      <c r="QL84" s="962" t="e">
        <f t="shared" si="816"/>
        <v>#VALUE!</v>
      </c>
      <c r="QM84" s="962" t="e">
        <f t="shared" si="816"/>
        <v>#VALUE!</v>
      </c>
      <c r="QN84" s="962" t="e">
        <f t="shared" si="816"/>
        <v>#VALUE!</v>
      </c>
      <c r="QO84" s="962" t="e">
        <f t="shared" si="816"/>
        <v>#VALUE!</v>
      </c>
      <c r="QP84" s="962" t="e">
        <f t="shared" si="816"/>
        <v>#VALUE!</v>
      </c>
      <c r="QQ84" s="962" t="e">
        <f t="shared" si="816"/>
        <v>#VALUE!</v>
      </c>
      <c r="QR84" s="962" t="e">
        <f t="shared" si="816"/>
        <v>#VALUE!</v>
      </c>
      <c r="QS84" s="962" t="e">
        <f t="shared" si="816"/>
        <v>#VALUE!</v>
      </c>
      <c r="QT84" s="962" t="e">
        <f t="shared" si="816"/>
        <v>#VALUE!</v>
      </c>
      <c r="QU84" s="962" t="e">
        <f t="shared" si="816"/>
        <v>#VALUE!</v>
      </c>
      <c r="QV84" s="962" t="e">
        <f t="shared" si="816"/>
        <v>#VALUE!</v>
      </c>
      <c r="QW84" s="962" t="e">
        <f t="shared" si="816"/>
        <v>#VALUE!</v>
      </c>
      <c r="QX84" s="962" t="e">
        <f t="shared" si="816"/>
        <v>#VALUE!</v>
      </c>
      <c r="QY84" s="962" t="e">
        <f t="shared" si="816"/>
        <v>#VALUE!</v>
      </c>
      <c r="QZ84" s="962" t="e">
        <f t="shared" si="816"/>
        <v>#VALUE!</v>
      </c>
      <c r="RA84" s="963" t="e">
        <f t="shared" si="816"/>
        <v>#VALUE!</v>
      </c>
      <c r="RB84" s="797"/>
      <c r="RC84" s="797"/>
    </row>
    <row r="85" spans="2:471" ht="17.25">
      <c r="B85" s="2">
        <v>10</v>
      </c>
      <c r="C85" s="2" t="s">
        <v>18</v>
      </c>
      <c r="D85" s="2"/>
      <c r="E85" s="2" t="s">
        <v>1</v>
      </c>
      <c r="F85" s="2"/>
      <c r="G85" s="2"/>
      <c r="H85" s="2"/>
      <c r="I85" s="2"/>
      <c r="J85" s="2"/>
      <c r="K85" s="2"/>
      <c r="L85" s="2"/>
      <c r="M85" s="2"/>
      <c r="N85" s="2"/>
      <c r="O85" s="2"/>
      <c r="P85" s="2"/>
      <c r="Q85" s="2" t="s">
        <v>19</v>
      </c>
      <c r="R85" s="2" t="s">
        <v>20</v>
      </c>
      <c r="S85" s="2" t="s">
        <v>22</v>
      </c>
      <c r="T85" s="2" t="s">
        <v>21</v>
      </c>
      <c r="U85" s="2" t="s">
        <v>23</v>
      </c>
      <c r="V85" s="2" t="s">
        <v>24</v>
      </c>
      <c r="W85" s="2" t="s">
        <v>25</v>
      </c>
      <c r="X85" s="2" t="s">
        <v>26</v>
      </c>
      <c r="Y85" s="2" t="s">
        <v>27</v>
      </c>
      <c r="Z85" s="2" t="s">
        <v>28</v>
      </c>
      <c r="AA85" s="2" t="s">
        <v>29</v>
      </c>
      <c r="AB85" s="2" t="s">
        <v>30</v>
      </c>
      <c r="AC85" s="2" t="s">
        <v>31</v>
      </c>
      <c r="DH85" s="797"/>
      <c r="DJ85" s="959" t="e">
        <f>[1]!bodmoadal(1,1,(DJ78+1),[1]!qsn([1]!ml([1]!taqsha(1,1,1+DJ78,DJ79)),DJ80)/30,DJ79,DJ80)</f>
        <v>#VALUE!</v>
      </c>
      <c r="DK85" s="962" t="e">
        <f>[1]!bodmoadal(1,1,(DK78+1),[1]!qsn([1]!ml([1]!taqsha(1,1,1+DK78,DK79)),DK80)/30,DK79,DK80)</f>
        <v>#VALUE!</v>
      </c>
      <c r="DL85" s="962" t="e">
        <f>[1]!bodmoadal(1,1,(DL78+1),[1]!qsn([1]!ml([1]!taqsha(1,1,1+DL78,DL79)),DL80)/30,DL79,DL80)</f>
        <v>#VALUE!</v>
      </c>
      <c r="DM85" s="962" t="e">
        <f>[1]!bodmoadal(1,1,(DM78+1),[1]!qsn([1]!ml([1]!taqsha(1,1,1+DM78,DM79)),DM80)/30,DM79,DM80)</f>
        <v>#VALUE!</v>
      </c>
      <c r="DN85" s="962" t="e">
        <f>[1]!bodmoadal(1,1,(DN78+1),[1]!qsn([1]!ml([1]!taqsha(1,1,1+DN78,DN79)),DN80)/30,DN79,DN80)</f>
        <v>#VALUE!</v>
      </c>
      <c r="DO85" s="962" t="e">
        <f>[1]!bodmoadal(1,1,(DO78+1),[1]!qsn([1]!ml([1]!taqsha(1,1,1+DO78,DO79)),DO80)/30,DO79,DO80)</f>
        <v>#VALUE!</v>
      </c>
      <c r="DP85" s="962" t="e">
        <f>[1]!bodmoadal(1,1,(DP78+1),[1]!qsn([1]!ml([1]!taqsha(1,1,1+DP78,DP79)),DP80)/30,DP79,DP80)</f>
        <v>#VALUE!</v>
      </c>
      <c r="DQ85" s="962" t="e">
        <f>[1]!bodmoadal(1,1,(DQ78+1),[1]!qsn([1]!ml([1]!taqsha(1,1,1+DQ78,DQ79)),DQ80)/30,DQ79,DQ80)</f>
        <v>#VALUE!</v>
      </c>
      <c r="DR85" s="962" t="e">
        <f>[1]!bodmoadal(1,1,(DR78+1),[1]!qsn([1]!ml([1]!taqsha(1,1,1+DR78,DR79)),DR80)/30,DR79,DR80)</f>
        <v>#VALUE!</v>
      </c>
      <c r="DS85" s="962" t="e">
        <f>[1]!bodmoadal(1,1,(DS78+1),[1]!qsn([1]!ml([1]!taqsha(1,1,1+DS78,DS79)),DS80)/30,DS79,DS80)</f>
        <v>#VALUE!</v>
      </c>
      <c r="DT85" s="962" t="e">
        <f>[1]!bodmoadal(1,1,(DT78+1),[1]!qsn([1]!ml([1]!taqsha(1,1,1+DT78,DT79)),DT80)/30,DT79,DT80)</f>
        <v>#VALUE!</v>
      </c>
      <c r="DU85" s="962" t="e">
        <f>[1]!bodmoadal(1,1,(DU78+1),[1]!qsn([1]!ml([1]!taqsha(1,1,1+DU78,DU79)),DU80)/30,DU79,DU80)</f>
        <v>#VALUE!</v>
      </c>
      <c r="DV85" s="962" t="e">
        <f>[1]!bodmoadal(1,1,(DV78+1),[1]!qsn([1]!ml([1]!taqsha(1,1,1+DV78,DV79)),DV80)/30,DV79,DV80)</f>
        <v>#VALUE!</v>
      </c>
      <c r="DW85" s="962" t="e">
        <f>[1]!bodmoadal(1,1,(DW78+1),[1]!qsn([1]!ml([1]!taqsha(1,1,1+DW78,DW79)),DW80)/30,DW79,DW80)</f>
        <v>#VALUE!</v>
      </c>
      <c r="DX85" s="962" t="e">
        <f>[1]!bodmoadal(1,1,(DX78+1),[1]!qsn([1]!ml([1]!taqsha(1,1,1+DX78,DX79)),DX80)/30,DX79,DX80)</f>
        <v>#VALUE!</v>
      </c>
      <c r="DY85" s="962" t="e">
        <f>[1]!bodmoadal(1,1,(DY78+1),[1]!qsn([1]!ml([1]!taqsha(1,1,1+DY78,DY79)),DY80)/30,DY79,DY80)</f>
        <v>#VALUE!</v>
      </c>
      <c r="DZ85" s="962" t="e">
        <f>[1]!bodmoadal(1,1,(DZ78+1),[1]!qsn([1]!ml([1]!taqsha(1,1,1+DZ78,DZ79)),DZ80)/30,DZ79,DZ80)</f>
        <v>#VALUE!</v>
      </c>
      <c r="EA85" s="962" t="e">
        <f>[1]!bodmoadal(1,1,(EA78+1),[1]!qsn([1]!ml([1]!taqsha(1,1,1+EA78,EA79)),EA80)/30,EA79,EA80)</f>
        <v>#VALUE!</v>
      </c>
      <c r="EB85" s="962" t="e">
        <f>[1]!bodmoadal(1,1,(EB78+1),[1]!qsn([1]!ml([1]!taqsha(1,1,1+EB78,EB79)),EB80)/30,EB79,EB80)</f>
        <v>#VALUE!</v>
      </c>
      <c r="EC85" s="962" t="e">
        <f>[1]!bodmoadal(1,1,(EC78+1),[1]!qsn([1]!ml([1]!taqsha(1,1,1+EC78,EC79)),EC80)/30,EC79,EC80)</f>
        <v>#VALUE!</v>
      </c>
      <c r="ED85" s="962" t="e">
        <f>[1]!bodmoadal(1,1,(ED78+1),[1]!qsn([1]!ml([1]!taqsha(1,1,1+ED78,ED79)),ED80)/30,ED79,ED80)</f>
        <v>#VALUE!</v>
      </c>
      <c r="EE85" s="962" t="e">
        <f>[1]!bodmoadal(1,1,(EE78+1),[1]!qsn([1]!ml([1]!taqsha(1,1,1+EE78,EE79)),EE80)/30,EE79,EE80)</f>
        <v>#VALUE!</v>
      </c>
      <c r="EF85" s="962" t="e">
        <f>[1]!bodmoadal(1,1,(EF78+1),[1]!qsn([1]!ml([1]!taqsha(1,1,1+EF78,EF79)),EF80)/30,EF79,EF80)</f>
        <v>#VALUE!</v>
      </c>
      <c r="EG85" s="962" t="e">
        <f>[1]!bodmoadal(1,1,(EG78+1),[1]!qsn([1]!ml([1]!taqsha(1,1,1+EG78,EG79)),EG80)/30,EG79,EG80)</f>
        <v>#VALUE!</v>
      </c>
      <c r="EH85" s="962" t="e">
        <f>[1]!bodmoadal(1,1,(EH78+1),[1]!qsn([1]!ml([1]!taqsha(1,1,1+EH78,EH79)),EH80)/30,EH79,EH80)</f>
        <v>#VALUE!</v>
      </c>
      <c r="EI85" s="962" t="e">
        <f>[1]!bodmoadal(1,1,(EI78+1),[1]!qsn([1]!ml([1]!taqsha(1,1,1+EI78,EI79)),EI80)/30,EI79,EI80)</f>
        <v>#VALUE!</v>
      </c>
      <c r="EJ85" s="962" t="e">
        <f>[1]!bodmoadal(1,1,(EJ78+1),[1]!qsn([1]!ml([1]!taqsha(1,1,1+EJ78,EJ79)),EJ80)/30,EJ79,EJ80)</f>
        <v>#VALUE!</v>
      </c>
      <c r="EK85" s="962" t="e">
        <f>[1]!bodmoadal(1,1,(EK78+1),[1]!qsn([1]!ml([1]!taqsha(1,1,1+EK78,EK79)),EK80)/30,EK79,EK80)</f>
        <v>#VALUE!</v>
      </c>
      <c r="EL85" s="962" t="e">
        <f>[1]!bodmoadal(1,1,(EL78+1),[1]!qsn([1]!ml([1]!taqsha(1,1,1+EL78,EL79)),EL80)/30,EL79,EL80)</f>
        <v>#VALUE!</v>
      </c>
      <c r="EM85" s="962" t="e">
        <f>[1]!bodmoadal(1,1,(EM78+1),[1]!qsn([1]!ml([1]!taqsha(1,1,1+EM78,EM79)),EM80)/30,EM79,EM80)</f>
        <v>#VALUE!</v>
      </c>
      <c r="EN85" s="962" t="e">
        <f>[1]!bodmoadal(1,1,(EN78+1),[1]!qsn([1]!ml([1]!taqsha(1,1,1+EN78,EN79)),EN80)/30,EN79,EN80)</f>
        <v>#VALUE!</v>
      </c>
      <c r="EO85" s="962" t="e">
        <f>[1]!bodmoadal(1,1,(EO78+1),[1]!qsn([1]!ml([1]!taqsha(1,1,1+EO78,EO79)),EO80)/30,EO79,EO80)</f>
        <v>#VALUE!</v>
      </c>
      <c r="EP85" s="962" t="e">
        <f>[1]!bodmoadal(1,1,(EP78+1),[1]!qsn([1]!ml([1]!taqsha(1,1,1+EP78,EP79)),EP80)/30,EP79,EP80)</f>
        <v>#VALUE!</v>
      </c>
      <c r="EQ85" s="962" t="e">
        <f>[1]!bodmoadal(1,1,(EQ78+1),[1]!qsn([1]!ml([1]!taqsha(1,1,1+EQ78,EQ79)),EQ80)/30,EQ79,EQ80)</f>
        <v>#VALUE!</v>
      </c>
      <c r="ER85" s="962" t="e">
        <f>[1]!bodmoadal(1,1,(ER78+1),[1]!qsn([1]!ml([1]!taqsha(1,1,1+ER78,ER79)),ER80)/30,ER79,ER80)</f>
        <v>#VALUE!</v>
      </c>
      <c r="ES85" s="962" t="e">
        <f>[1]!bodmoadal(1,1,(ES78+1),[1]!qsn([1]!ml([1]!taqsha(1,1,1+ES78,ES79)),ES80)/30,ES79,ES80)</f>
        <v>#VALUE!</v>
      </c>
      <c r="ET85" s="962" t="e">
        <f>[1]!bodmoadal(1,1,(ET78+1),[1]!qsn([1]!ml([1]!taqsha(1,1,1+ET78,ET79)),ET80)/30,ET79,ET80)</f>
        <v>#VALUE!</v>
      </c>
      <c r="EU85" s="962" t="e">
        <f>[1]!bodmoadal(1,1,(EU78+1),[1]!qsn([1]!ml([1]!taqsha(1,1,1+EU78,EU79)),EU80)/30,EU79,EU80)</f>
        <v>#VALUE!</v>
      </c>
      <c r="EV85" s="962" t="e">
        <f>[1]!bodmoadal(1,1,(EV78+1),[1]!qsn([1]!ml([1]!taqsha(1,1,1+EV78,EV79)),EV80)/30,EV79,EV80)</f>
        <v>#VALUE!</v>
      </c>
      <c r="EW85" s="962" t="e">
        <f>[1]!bodmoadal(1,1,(EW78+1),[1]!qsn([1]!ml([1]!taqsha(1,1,1+EW78,EW79)),EW80)/30,EW79,EW80)</f>
        <v>#VALUE!</v>
      </c>
      <c r="EX85" s="962" t="e">
        <f>[1]!bodmoadal(1,1,(EX78+1),[1]!qsn([1]!ml([1]!taqsha(1,1,1+EX78,EX79)),EX80)/30,EX79,EX80)</f>
        <v>#VALUE!</v>
      </c>
      <c r="EY85" s="962" t="e">
        <f>[1]!bodmoadal(1,1,(EY78+1),[1]!qsn([1]!ml([1]!taqsha(1,1,1+EY78,EY79)),EY80)/30,EY79,EY80)</f>
        <v>#VALUE!</v>
      </c>
      <c r="EZ85" s="962" t="e">
        <f>[1]!bodmoadal(1,1,(EZ78+1),[1]!qsn([1]!ml([1]!taqsha(1,1,1+EZ78,EZ79)),EZ80)/30,EZ79,EZ80)</f>
        <v>#VALUE!</v>
      </c>
      <c r="FA85" s="962" t="e">
        <f>[1]!bodmoadal(1,1,(FA78+1),[1]!qsn([1]!ml([1]!taqsha(1,1,1+FA78,FA79)),FA80)/30,FA79,FA80)</f>
        <v>#VALUE!</v>
      </c>
      <c r="FB85" s="962" t="e">
        <f>[1]!bodmoadal(1,1,(FB78+1),[1]!qsn([1]!ml([1]!taqsha(1,1,1+FB78,FB79)),FB80)/30,FB79,FB80)</f>
        <v>#VALUE!</v>
      </c>
      <c r="FC85" s="962" t="e">
        <f>[1]!bodmoadal(1,1,(FC78+1),[1]!qsn([1]!ml([1]!taqsha(1,1,1+FC78,FC79)),FC80)/30,FC79,FC80)</f>
        <v>#VALUE!</v>
      </c>
      <c r="FD85" s="962" t="e">
        <f>[1]!bodmoadal(1,1,(FD78+1),[1]!qsn([1]!ml([1]!taqsha(1,1,1+FD78,FD79)),FD80)/30,FD79,FD80)</f>
        <v>#VALUE!</v>
      </c>
      <c r="FE85" s="962" t="e">
        <f>[1]!bodmoadal(1,1,(FE78+1),[1]!qsn([1]!ml([1]!taqsha(1,1,1+FE78,FE79)),FE80)/30,FE79,FE80)</f>
        <v>#VALUE!</v>
      </c>
      <c r="FF85" s="962" t="e">
        <f>[1]!bodmoadal(1,1,(FF78+1),[1]!qsn([1]!ml([1]!taqsha(1,1,1+FF78,FF79)),FF80)/30,FF79,FF80)</f>
        <v>#VALUE!</v>
      </c>
      <c r="FG85" s="962" t="e">
        <f>[1]!bodmoadal(1,1,(FG78+1),[1]!qsn([1]!ml([1]!taqsha(1,1,1+FG78,FG79)),FG80)/30,FG79,FG80)</f>
        <v>#VALUE!</v>
      </c>
      <c r="FH85" s="962" t="e">
        <f>[1]!bodmoadal(1,1,(FH78+1),[1]!qsn([1]!ml([1]!taqsha(1,1,1+FH78,FH79)),FH80)/30,FH79,FH80)</f>
        <v>#VALUE!</v>
      </c>
      <c r="FI85" s="962" t="e">
        <f>[1]!bodmoadal(1,1,(FI78+1),[1]!qsn([1]!ml([1]!taqsha(1,1,1+FI78,FI79)),FI80)/30,FI79,FI80)</f>
        <v>#VALUE!</v>
      </c>
      <c r="FJ85" s="962" t="e">
        <f>[1]!bodmoadal(1,1,(FJ78+1),[1]!qsn([1]!ml([1]!taqsha(1,1,1+FJ78,FJ79)),FJ80)/30,FJ79,FJ80)</f>
        <v>#VALUE!</v>
      </c>
      <c r="FK85" s="962" t="e">
        <f>[1]!bodmoadal(1,1,(FK78+1),[1]!qsn([1]!ml([1]!taqsha(1,1,1+FK78,FK79)),FK80)/30,FK79,FK80)</f>
        <v>#VALUE!</v>
      </c>
      <c r="FL85" s="962" t="e">
        <f>[1]!bodmoadal(1,1,(FL78+1),[1]!qsn([1]!ml([1]!taqsha(1,1,1+FL78,FL79)),FL80)/30,FL79,FL80)</f>
        <v>#VALUE!</v>
      </c>
      <c r="FM85" s="962" t="e">
        <f>[1]!bodmoadal(1,1,(FM78+1),[1]!qsn([1]!ml([1]!taqsha(1,1,1+FM78,FM79)),FM80)/30,FM79,FM80)</f>
        <v>#VALUE!</v>
      </c>
      <c r="FN85" s="962" t="e">
        <f>[1]!bodmoadal(1,1,(FN78+1),[1]!qsn([1]!ml([1]!taqsha(1,1,1+FN78,FN79)),FN80)/30,FN79,FN80)</f>
        <v>#VALUE!</v>
      </c>
      <c r="FO85" s="962" t="e">
        <f>[1]!bodmoadal(1,1,(FO78+1),[1]!qsn([1]!ml([1]!taqsha(1,1,1+FO78,FO79)),FO80)/30,FO79,FO80)</f>
        <v>#VALUE!</v>
      </c>
      <c r="FP85" s="962" t="e">
        <f>[1]!bodmoadal(1,1,(FP78+1),[1]!qsn([1]!ml([1]!taqsha(1,1,1+FP78,FP79)),FP80)/30,FP79,FP80)</f>
        <v>#VALUE!</v>
      </c>
      <c r="FQ85" s="962" t="e">
        <f>[1]!bodmoadal(1,1,(FQ78+1),[1]!qsn([1]!ml([1]!taqsha(1,1,1+FQ78,FQ79)),FQ80)/30,FQ79,FQ80)</f>
        <v>#VALUE!</v>
      </c>
      <c r="FR85" s="962" t="e">
        <f>[1]!bodmoadal(1,1,(FR78+1),[1]!qsn([1]!ml([1]!taqsha(1,1,1+FR78,FR79)),FR80)/30,FR79,FR80)</f>
        <v>#VALUE!</v>
      </c>
      <c r="FS85" s="962" t="e">
        <f>[1]!bodmoadal(1,1,(FS78+1),[1]!qsn([1]!ml([1]!taqsha(1,1,1+FS78,FS79)),FS80)/30,FS79,FS80)</f>
        <v>#VALUE!</v>
      </c>
      <c r="FT85" s="962" t="e">
        <f>[1]!bodmoadal(1,1,(FT78+1),[1]!qsn([1]!ml([1]!taqsha(1,1,1+FT78,FT79)),FT80)/30,FT79,FT80)</f>
        <v>#VALUE!</v>
      </c>
      <c r="FU85" s="962" t="e">
        <f>[1]!bodmoadal(1,1,(FU78+1),[1]!qsn([1]!ml([1]!taqsha(1,1,1+FU78,FU79)),FU80)/30,FU79,FU80)</f>
        <v>#VALUE!</v>
      </c>
      <c r="FV85" s="962" t="e">
        <f>[1]!bodmoadal(1,1,(FV78+1),[1]!qsn([1]!ml([1]!taqsha(1,1,1+FV78,FV79)),FV80)/30,FV79,FV80)</f>
        <v>#VALUE!</v>
      </c>
      <c r="FW85" s="962" t="e">
        <f>[1]!bodmoadal(1,1,(FW78+1),[1]!qsn([1]!ml([1]!taqsha(1,1,1+FW78,FW79)),FW80)/30,FW79,FW80)</f>
        <v>#VALUE!</v>
      </c>
      <c r="FX85" s="962" t="e">
        <f>[1]!bodmoadal(1,1,(FX78+1),[1]!qsn([1]!ml([1]!taqsha(1,1,1+FX78,FX79)),FX80)/30,FX79,FX80)</f>
        <v>#VALUE!</v>
      </c>
      <c r="FY85" s="962" t="e">
        <f>[1]!bodmoadal(1,1,(FY78+1),[1]!qsn([1]!ml([1]!taqsha(1,1,1+FY78,FY79)),FY80)/30,FY79,FY80)</f>
        <v>#VALUE!</v>
      </c>
      <c r="FZ85" s="962" t="e">
        <f>[1]!bodmoadal(1,1,(FZ78+1),[1]!qsn([1]!ml([1]!taqsha(1,1,1+FZ78,FZ79)),FZ80)/30,FZ79,FZ80)</f>
        <v>#VALUE!</v>
      </c>
      <c r="GA85" s="962" t="e">
        <f>[1]!bodmoadal(1,1,(GA78+1),[1]!qsn([1]!ml([1]!taqsha(1,1,1+GA78,GA79)),GA80)/30,GA79,GA80)</f>
        <v>#VALUE!</v>
      </c>
      <c r="GB85" s="962" t="e">
        <f>[1]!bodmoadal(1,1,(GB78+1),[1]!qsn([1]!ml([1]!taqsha(1,1,1+GB78,GB79)),GB80)/30,GB79,GB80)</f>
        <v>#VALUE!</v>
      </c>
      <c r="GC85" s="962" t="e">
        <f>[1]!bodmoadal(1,1,(GC78+1),[1]!qsn([1]!ml([1]!taqsha(1,1,1+GC78,GC79)),GC80)/30,GC79,GC80)</f>
        <v>#VALUE!</v>
      </c>
      <c r="GD85" s="962" t="e">
        <f>[1]!bodmoadal(1,1,(GD78+1),[1]!qsn([1]!ml([1]!taqsha(1,1,1+GD78,GD79)),GD80)/30,GD79,GD80)</f>
        <v>#VALUE!</v>
      </c>
      <c r="GE85" s="962" t="e">
        <f>[1]!bodmoadal(1,1,(GE78+1),[1]!qsn([1]!ml([1]!taqsha(1,1,1+GE78,GE79)),GE80)/30,GE79,GE80)</f>
        <v>#VALUE!</v>
      </c>
      <c r="GF85" s="962" t="e">
        <f>[1]!bodmoadal(1,1,(GF78+1),[1]!qsn([1]!ml([1]!taqsha(1,1,1+GF78,GF79)),GF80)/30,GF79,GF80)</f>
        <v>#VALUE!</v>
      </c>
      <c r="GG85" s="962" t="e">
        <f>[1]!bodmoadal(1,1,(GG78+1),[1]!qsn([1]!ml([1]!taqsha(1,1,1+GG78,GG79)),GG80)/30,GG79,GG80)</f>
        <v>#VALUE!</v>
      </c>
      <c r="GH85" s="962" t="e">
        <f>[1]!bodmoadal(1,1,(GH78+1),[1]!qsn([1]!ml([1]!taqsha(1,1,1+GH78,GH79)),GH80)/30,GH79,GH80)</f>
        <v>#VALUE!</v>
      </c>
      <c r="GI85" s="962" t="e">
        <f>[1]!bodmoadal(1,1,(GI78+1),[1]!qsn([1]!ml([1]!taqsha(1,1,1+GI78,GI79)),GI80)/30,GI79,GI80)</f>
        <v>#VALUE!</v>
      </c>
      <c r="GJ85" s="962" t="e">
        <f>[1]!bodmoadal(1,1,(GJ78+1),[1]!qsn([1]!ml([1]!taqsha(1,1,1+GJ78,GJ79)),GJ80)/30,GJ79,GJ80)</f>
        <v>#VALUE!</v>
      </c>
      <c r="GK85" s="962" t="e">
        <f>[1]!bodmoadal(1,1,(GK78+1),[1]!qsn([1]!ml([1]!taqsha(1,1,1+GK78,GK79)),GK80)/30,GK79,GK80)</f>
        <v>#VALUE!</v>
      </c>
      <c r="GL85" s="962" t="e">
        <f>[1]!bodmoadal(1,1,(GL78+1),[1]!qsn([1]!ml([1]!taqsha(1,1,1+GL78,GL79)),GL80)/30,GL79,GL80)</f>
        <v>#VALUE!</v>
      </c>
      <c r="GM85" s="962" t="e">
        <f>[1]!bodmoadal(1,1,(GM78+1),[1]!qsn([1]!ml([1]!taqsha(1,1,1+GM78,GM79)),GM80)/30,GM79,GM80)</f>
        <v>#VALUE!</v>
      </c>
      <c r="GN85" s="962" t="e">
        <f>[1]!bodmoadal(1,1,(GN78+1),[1]!qsn([1]!ml([1]!taqsha(1,1,1+GN78,GN79)),GN80)/30,GN79,GN80)</f>
        <v>#VALUE!</v>
      </c>
      <c r="GO85" s="962" t="e">
        <f>[1]!bodmoadal(1,1,(GO78+1),[1]!qsn([1]!ml([1]!taqsha(1,1,1+GO78,GO79)),GO80)/30,GO79,GO80)</f>
        <v>#VALUE!</v>
      </c>
      <c r="GP85" s="962" t="e">
        <f>[1]!bodmoadal(1,1,(GP78+1),[1]!qsn([1]!ml([1]!taqsha(1,1,1+GP78,GP79)),GP80)/30,GP79,GP80)</f>
        <v>#VALUE!</v>
      </c>
      <c r="GQ85" s="962" t="e">
        <f>[1]!bodmoadal(1,1,(GQ78+1),[1]!qsn([1]!ml([1]!taqsha(1,1,1+GQ78,GQ79)),GQ80)/30,GQ79,GQ80)</f>
        <v>#VALUE!</v>
      </c>
      <c r="GR85" s="962" t="e">
        <f>[1]!bodmoadal(1,1,(GR78+1),[1]!qsn([1]!ml([1]!taqsha(1,1,1+GR78,GR79)),GR80)/30,GR79,GR80)</f>
        <v>#VALUE!</v>
      </c>
      <c r="GS85" s="962" t="e">
        <f>[1]!bodmoadal(1,1,(GS78+1),[1]!qsn([1]!ml([1]!taqsha(1,1,1+GS78,GS79)),GS80)/30,GS79,GS80)</f>
        <v>#VALUE!</v>
      </c>
      <c r="GT85" s="962" t="e">
        <f>[1]!bodmoadal(1,1,(GT78+1),[1]!qsn([1]!ml([1]!taqsha(1,1,1+GT78,GT79)),GT80)/30,GT79,GT80)</f>
        <v>#VALUE!</v>
      </c>
      <c r="GU85" s="962" t="e">
        <f>[1]!bodmoadal(1,1,(GU78+1),[1]!qsn([1]!ml([1]!taqsha(1,1,1+GU78,GU79)),GU80)/30,GU79,GU80)</f>
        <v>#VALUE!</v>
      </c>
      <c r="GV85" s="962" t="e">
        <f>[1]!bodmoadal(1,1,(GV78+1),[1]!qsn([1]!ml([1]!taqsha(1,1,1+GV78,GV79)),GV80)/30,GV79,GV80)</f>
        <v>#VALUE!</v>
      </c>
      <c r="GW85" s="962" t="e">
        <f>[1]!bodmoadal(1,1,(GW78+1),[1]!qsn([1]!ml([1]!taqsha(1,1,1+GW78,GW79)),GW80)/30,GW79,GW80)</f>
        <v>#VALUE!</v>
      </c>
      <c r="GX85" s="962" t="e">
        <f>[1]!bodmoadal(1,1,(GX78+1),[1]!qsn([1]!ml([1]!taqsha(1,1,1+GX78,GX79)),GX80)/30,GX79,GX80)</f>
        <v>#VALUE!</v>
      </c>
      <c r="GY85" s="962" t="e">
        <f>[1]!bodmoadal(1,1,(GY78+1),[1]!qsn([1]!ml([1]!taqsha(1,1,1+GY78,GY79)),GY80)/30,GY79,GY80)</f>
        <v>#VALUE!</v>
      </c>
      <c r="GZ85" s="962" t="e">
        <f>[1]!bodmoadal(1,1,(GZ78+1),[1]!qsn([1]!ml([1]!taqsha(1,1,1+GZ78,GZ79)),GZ80)/30,GZ79,GZ80)</f>
        <v>#VALUE!</v>
      </c>
      <c r="HA85" s="962" t="e">
        <f>[1]!bodmoadal(1,1,(HA78+1),[1]!qsn([1]!ml([1]!taqsha(1,1,1+HA78,HA79)),HA80)/30,HA79,HA80)</f>
        <v>#VALUE!</v>
      </c>
      <c r="HB85" s="962" t="e">
        <f>[1]!bodmoadal(1,1,(HB78+1),[1]!qsn([1]!ml([1]!taqsha(1,1,1+HB78,HB79)),HB80)/30,HB79,HB80)</f>
        <v>#VALUE!</v>
      </c>
      <c r="HC85" s="962" t="e">
        <f>[1]!bodmoadal(1,1,(HC78+1),[1]!qsn([1]!ml([1]!taqsha(1,1,1+HC78,HC79)),HC80)/30,HC79,HC80)</f>
        <v>#VALUE!</v>
      </c>
      <c r="HD85" s="962" t="e">
        <f>[1]!bodmoadal(1,1,(HD78+1),[1]!qsn([1]!ml([1]!taqsha(1,1,1+HD78,HD79)),HD80)/30,HD79,HD80)</f>
        <v>#VALUE!</v>
      </c>
      <c r="HE85" s="962" t="e">
        <f>[1]!bodmoadal(1,1,(HE78+1),[1]!qsn([1]!ml([1]!taqsha(1,1,1+HE78,HE79)),HE80)/30,HE79,HE80)</f>
        <v>#VALUE!</v>
      </c>
      <c r="HF85" s="962" t="e">
        <f>[1]!bodmoadal(1,1,(HF78+1),[1]!qsn([1]!ml([1]!taqsha(1,1,1+HF78,HF79)),HF80)/30,HF79,HF80)</f>
        <v>#VALUE!</v>
      </c>
      <c r="HG85" s="962" t="e">
        <f>[1]!bodmoadal(1,1,(HG78+1),[1]!qsn([1]!ml([1]!taqsha(1,1,1+HG78,HG79)),HG80)/30,HG79,HG80)</f>
        <v>#VALUE!</v>
      </c>
      <c r="HH85" s="962" t="e">
        <f>[1]!bodmoadal(1,1,(HH78+1),[1]!qsn([1]!ml([1]!taqsha(1,1,1+HH78,HH79)),HH80)/30,HH79,HH80)</f>
        <v>#VALUE!</v>
      </c>
      <c r="HI85" s="962" t="e">
        <f>[1]!bodmoadal(1,1,(HI78+1),[1]!qsn([1]!ml([1]!taqsha(1,1,1+HI78,HI79)),HI80)/30,HI79,HI80)</f>
        <v>#VALUE!</v>
      </c>
      <c r="HJ85" s="962" t="e">
        <f>[1]!bodmoadal(1,1,(HJ78+1),[1]!qsn([1]!ml([1]!taqsha(1,1,1+HJ78,HJ79)),HJ80)/30,HJ79,HJ80)</f>
        <v>#VALUE!</v>
      </c>
      <c r="HK85" s="962" t="e">
        <f>[1]!bodmoadal(1,1,(HK78+1),[1]!qsn([1]!ml([1]!taqsha(1,1,1+HK78,HK79)),HK80)/30,HK79,HK80)</f>
        <v>#VALUE!</v>
      </c>
      <c r="HL85" s="962" t="e">
        <f>[1]!bodmoadal(1,1,(HL78+1),[1]!qsn([1]!ml([1]!taqsha(1,1,1+HL78,HL79)),HL80)/30,HL79,HL80)</f>
        <v>#VALUE!</v>
      </c>
      <c r="HM85" s="962" t="e">
        <f>[1]!bodmoadal(1,1,(HM78+1),[1]!qsn([1]!ml([1]!taqsha(1,1,1+HM78,HM79)),HM80)/30,HM79,HM80)</f>
        <v>#VALUE!</v>
      </c>
      <c r="HN85" s="962" t="e">
        <f>[1]!bodmoadal(1,1,(HN78+1),[1]!qsn([1]!ml([1]!taqsha(1,1,1+HN78,HN79)),HN80)/30,HN79,HN80)</f>
        <v>#VALUE!</v>
      </c>
      <c r="HO85" s="962" t="e">
        <f>[1]!bodmoadal(1,1,(HO78+1),[1]!qsn([1]!ml([1]!taqsha(1,1,1+HO78,HO79)),HO80)/30,HO79,HO80)</f>
        <v>#VALUE!</v>
      </c>
      <c r="HP85" s="962" t="e">
        <f>[1]!bodmoadal(1,1,(HP78+1),[1]!qsn([1]!ml([1]!taqsha(1,1,1+HP78,HP79)),HP80)/30,HP79,HP80)</f>
        <v>#VALUE!</v>
      </c>
      <c r="HQ85" s="962" t="e">
        <f>[1]!bodmoadal(1,1,(HQ78+1),[1]!qsn([1]!ml([1]!taqsha(1,1,1+HQ78,HQ79)),HQ80)/30,HQ79,HQ80)</f>
        <v>#VALUE!</v>
      </c>
      <c r="HR85" s="962" t="e">
        <f>[1]!bodmoadal(1,1,(HR78+1),[1]!qsn([1]!ml([1]!taqsha(1,1,1+HR78,HR79)),HR80)/30,HR79,HR80)</f>
        <v>#VALUE!</v>
      </c>
      <c r="HS85" s="962" t="e">
        <f>[1]!bodmoadal(1,1,(HS78+1),[1]!qsn([1]!ml([1]!taqsha(1,1,1+HS78,HS79)),HS80)/30,HS79,HS80)</f>
        <v>#VALUE!</v>
      </c>
      <c r="HT85" s="962" t="e">
        <f>[1]!bodmoadal(1,1,(HT78+1),[1]!qsn([1]!ml([1]!taqsha(1,1,1+HT78,HT79)),HT80)/30,HT79,HT80)</f>
        <v>#VALUE!</v>
      </c>
      <c r="HU85" s="962" t="e">
        <f>[1]!bodmoadal(1,1,(HU78+1),[1]!qsn([1]!ml([1]!taqsha(1,1,1+HU78,HU79)),HU80)/30,HU79,HU80)</f>
        <v>#VALUE!</v>
      </c>
      <c r="HV85" s="962" t="e">
        <f>[1]!bodmoadal(1,1,(HV78+1),[1]!qsn([1]!ml([1]!taqsha(1,1,1+HV78,HV79)),HV80)/30,HV79,HV80)</f>
        <v>#VALUE!</v>
      </c>
      <c r="HW85" s="962" t="e">
        <f>[1]!bodmoadal(1,1,(HW78+1),[1]!qsn([1]!ml([1]!taqsha(1,1,1+HW78,HW79)),HW80)/30,HW79,HW80)</f>
        <v>#VALUE!</v>
      </c>
      <c r="HX85" s="962" t="e">
        <f>[1]!bodmoadal(1,1,(HX78+1),[1]!qsn([1]!ml([1]!taqsha(1,1,1+HX78,HX79)),HX80)/30,HX79,HX80)</f>
        <v>#VALUE!</v>
      </c>
      <c r="HY85" s="962" t="e">
        <f>[1]!bodmoadal(1,1,(HY78+1),[1]!qsn([1]!ml([1]!taqsha(1,1,1+HY78,HY79)),HY80)/30,HY79,HY80)</f>
        <v>#VALUE!</v>
      </c>
      <c r="HZ85" s="962" t="e">
        <f>[1]!bodmoadal(1,1,(HZ78+1),[1]!qsn([1]!ml([1]!taqsha(1,1,1+HZ78,HZ79)),HZ80)/30,HZ79,HZ80)</f>
        <v>#VALUE!</v>
      </c>
      <c r="IA85" s="962" t="e">
        <f>[1]!bodmoadal(1,1,(IA78+1),[1]!qsn([1]!ml([1]!taqsha(1,1,1+IA78,IA79)),IA80)/30,IA79,IA80)</f>
        <v>#VALUE!</v>
      </c>
      <c r="IB85" s="962" t="e">
        <f>[1]!bodmoadal(1,1,(IB78+1),[1]!qsn([1]!ml([1]!taqsha(1,1,1+IB78,IB79)),IB80)/30,IB79,IB80)</f>
        <v>#VALUE!</v>
      </c>
      <c r="IC85" s="962" t="e">
        <f>[1]!bodmoadal(1,1,(IC78+1),[1]!qsn([1]!ml([1]!taqsha(1,1,1+IC78,IC79)),IC80)/30,IC79,IC80)</f>
        <v>#VALUE!</v>
      </c>
      <c r="ID85" s="962" t="e">
        <f>[1]!bodmoadal(1,1,(ID78+1),[1]!qsn([1]!ml([1]!taqsha(1,1,1+ID78,ID79)),ID80)/30,ID79,ID80)</f>
        <v>#VALUE!</v>
      </c>
      <c r="IE85" s="962" t="e">
        <f>[1]!bodmoadal(1,1,(IE78+1),[1]!qsn([1]!ml([1]!taqsha(1,1,1+IE78,IE79)),IE80)/30,IE79,IE80)</f>
        <v>#VALUE!</v>
      </c>
      <c r="IF85" s="962" t="e">
        <f>[1]!bodmoadal(1,1,(IF78+1),[1]!qsn([1]!ml([1]!taqsha(1,1,1+IF78,IF79)),IF80)/30,IF79,IF80)</f>
        <v>#VALUE!</v>
      </c>
      <c r="IG85" s="962" t="e">
        <f>[1]!bodmoadal(1,1,(IG78+1),[1]!qsn([1]!ml([1]!taqsha(1,1,1+IG78,IG79)),IG80)/30,IG79,IG80)</f>
        <v>#VALUE!</v>
      </c>
      <c r="IH85" s="962" t="e">
        <f>[1]!bodmoadal(1,1,(IH78+1),[1]!qsn([1]!ml([1]!taqsha(1,1,1+IH78,IH79)),IH80)/30,IH79,IH80)</f>
        <v>#VALUE!</v>
      </c>
      <c r="II85" s="962" t="e">
        <f>[1]!bodmoadal(1,1,(II78+1),[1]!qsn([1]!ml([1]!taqsha(1,1,1+II78,II79)),II80)/30,II79,II80)</f>
        <v>#VALUE!</v>
      </c>
      <c r="IJ85" s="962" t="e">
        <f>[1]!bodmoadal(1,1,(IJ78+1),[1]!qsn([1]!ml([1]!taqsha(1,1,1+IJ78,IJ79)),IJ80)/30,IJ79,IJ80)</f>
        <v>#VALUE!</v>
      </c>
      <c r="IK85" s="962" t="e">
        <f>[1]!bodmoadal(1,1,(IK78+1),[1]!qsn([1]!ml([1]!taqsha(1,1,1+IK78,IK79)),IK80)/30,IK79,IK80)</f>
        <v>#VALUE!</v>
      </c>
      <c r="IL85" s="962" t="e">
        <f>[1]!bodmoadal(1,1,(IL78+1),[1]!qsn([1]!ml([1]!taqsha(1,1,1+IL78,IL79)),IL80)/30,IL79,IL80)</f>
        <v>#VALUE!</v>
      </c>
      <c r="IM85" s="962" t="e">
        <f>[1]!bodmoadal(1,1,(IM78+1),[1]!qsn([1]!ml([1]!taqsha(1,1,1+IM78,IM79)),IM80)/30,IM79,IM80)</f>
        <v>#VALUE!</v>
      </c>
      <c r="IN85" s="962" t="e">
        <f>[1]!bodmoadal(1,1,(IN78+1),[1]!qsn([1]!ml([1]!taqsha(1,1,1+IN78,IN79)),IN80)/30,IN79,IN80)</f>
        <v>#VALUE!</v>
      </c>
      <c r="IO85" s="962" t="e">
        <f>[1]!bodmoadal(1,1,(IO78+1),[1]!qsn([1]!ml([1]!taqsha(1,1,1+IO78,IO79)),IO80)/30,IO79,IO80)</f>
        <v>#VALUE!</v>
      </c>
      <c r="IP85" s="962" t="e">
        <f>[1]!bodmoadal(1,1,(IP78+1),[1]!qsn([1]!ml([1]!taqsha(1,1,1+IP78,IP79)),IP80)/30,IP79,IP80)</f>
        <v>#VALUE!</v>
      </c>
      <c r="IQ85" s="962" t="e">
        <f>[1]!bodmoadal(1,1,(IQ78+1),[1]!qsn([1]!ml([1]!taqsha(1,1,1+IQ78,IQ79)),IQ80)/30,IQ79,IQ80)</f>
        <v>#VALUE!</v>
      </c>
      <c r="IR85" s="962" t="e">
        <f>[1]!bodmoadal(1,1,(IR78+1),[1]!qsn([1]!ml([1]!taqsha(1,1,1+IR78,IR79)),IR80)/30,IR79,IR80)</f>
        <v>#VALUE!</v>
      </c>
      <c r="IS85" s="962" t="e">
        <f>[1]!bodmoadal(1,1,(IS78+1),[1]!qsn([1]!ml([1]!taqsha(1,1,1+IS78,IS79)),IS80)/30,IS79,IS80)</f>
        <v>#VALUE!</v>
      </c>
      <c r="IT85" s="962" t="e">
        <f>[1]!bodmoadal(1,1,(IT78+1),[1]!qsn([1]!ml([1]!taqsha(1,1,1+IT78,IT79)),IT80)/30,IT79,IT80)</f>
        <v>#VALUE!</v>
      </c>
      <c r="IU85" s="962" t="e">
        <f>[1]!bodmoadal(1,1,(IU78+1),[1]!qsn([1]!ml([1]!taqsha(1,1,1+IU78,IU79)),IU80)/30,IU79,IU80)</f>
        <v>#VALUE!</v>
      </c>
      <c r="IV85" s="962" t="e">
        <f>[1]!bodmoadal(1,1,(IV78+1),[1]!qsn([1]!ml([1]!taqsha(1,1,1+IV78,IV79)),IV80)/30,IV79,IV80)</f>
        <v>#VALUE!</v>
      </c>
      <c r="IW85" s="962" t="e">
        <f>[1]!bodmoadal(1,1,(IW78+1),[1]!qsn([1]!ml([1]!taqsha(1,1,1+IW78,IW79)),IW80)/30,IW79,IW80)</f>
        <v>#VALUE!</v>
      </c>
      <c r="IX85" s="962" t="e">
        <f>[1]!bodmoadal(1,1,(IX78+1),[1]!qsn([1]!ml([1]!taqsha(1,1,1+IX78,IX79)),IX80)/30,IX79,IX80)</f>
        <v>#VALUE!</v>
      </c>
      <c r="IY85" s="962" t="e">
        <f>[1]!bodmoadal(1,1,(IY78+1),[1]!qsn([1]!ml([1]!taqsha(1,1,1+IY78,IY79)),IY80)/30,IY79,IY80)</f>
        <v>#VALUE!</v>
      </c>
      <c r="IZ85" s="962" t="e">
        <f>[1]!bodmoadal(1,1,(IZ78+1),[1]!qsn([1]!ml([1]!taqsha(1,1,1+IZ78,IZ79)),IZ80)/30,IZ79,IZ80)</f>
        <v>#VALUE!</v>
      </c>
      <c r="JA85" s="962" t="e">
        <f>[1]!bodmoadal(1,1,(JA78+1),[1]!qsn([1]!ml([1]!taqsha(1,1,1+JA78,JA79)),JA80)/30,JA79,JA80)</f>
        <v>#VALUE!</v>
      </c>
      <c r="JB85" s="962" t="e">
        <f>[1]!bodmoadal(1,1,(JB78+1),[1]!qsn([1]!ml([1]!taqsha(1,1,1+JB78,JB79)),JB80)/30,JB79,JB80)</f>
        <v>#VALUE!</v>
      </c>
      <c r="JC85" s="962" t="e">
        <f>[1]!bodmoadal(1,1,(JC78+1),[1]!qsn([1]!ml([1]!taqsha(1,1,1+JC78,JC79)),JC80)/30,JC79,JC80)</f>
        <v>#VALUE!</v>
      </c>
      <c r="JD85" s="962" t="e">
        <f>[1]!bodmoadal(1,1,(JD78+1),[1]!qsn([1]!ml([1]!taqsha(1,1,1+JD78,JD79)),JD80)/30,JD79,JD80)</f>
        <v>#VALUE!</v>
      </c>
      <c r="JE85" s="962" t="e">
        <f>[1]!bodmoadal(1,1,(JE78+1),[1]!qsn([1]!ml([1]!taqsha(1,1,1+JE78,JE79)),JE80)/30,JE79,JE80)</f>
        <v>#VALUE!</v>
      </c>
      <c r="JF85" s="962" t="e">
        <f>[1]!bodmoadal(1,1,(JF78+1),[1]!qsn([1]!ml([1]!taqsha(1,1,1+JF78,JF79)),JF80)/30,JF79,JF80)</f>
        <v>#VALUE!</v>
      </c>
      <c r="JG85" s="962" t="e">
        <f>[1]!bodmoadal(1,1,(JG78+1),[1]!qsn([1]!ml([1]!taqsha(1,1,1+JG78,JG79)),JG80)/30,JG79,JG80)</f>
        <v>#VALUE!</v>
      </c>
      <c r="JH85" s="962" t="e">
        <f>[1]!bodmoadal(1,1,(JH78+1),[1]!qsn([1]!ml([1]!taqsha(1,1,1+JH78,JH79)),JH80)/30,JH79,JH80)</f>
        <v>#VALUE!</v>
      </c>
      <c r="JI85" s="962" t="e">
        <f>[1]!bodmoadal(1,1,(JI78+1),[1]!qsn([1]!ml([1]!taqsha(1,1,1+JI78,JI79)),JI80)/30,JI79,JI80)</f>
        <v>#VALUE!</v>
      </c>
      <c r="JJ85" s="962" t="e">
        <f>[1]!bodmoadal(1,1,(JJ78+1),[1]!qsn([1]!ml([1]!taqsha(1,1,1+JJ78,JJ79)),JJ80)/30,JJ79,JJ80)</f>
        <v>#VALUE!</v>
      </c>
      <c r="JK85" s="962" t="e">
        <f>[1]!bodmoadal(1,1,(JK78+1),[1]!qsn([1]!ml([1]!taqsha(1,1,1+JK78,JK79)),JK80)/30,JK79,JK80)</f>
        <v>#VALUE!</v>
      </c>
      <c r="JL85" s="962" t="e">
        <f>[1]!bodmoadal(1,1,(JL78+1),[1]!qsn([1]!ml([1]!taqsha(1,1,1+JL78,JL79)),JL80)/30,JL79,JL80)</f>
        <v>#VALUE!</v>
      </c>
      <c r="JM85" s="962" t="e">
        <f>[1]!bodmoadal(1,1,(JM78+1),[1]!qsn([1]!ml([1]!taqsha(1,1,1+JM78,JM79)),JM80)/30,JM79,JM80)</f>
        <v>#VALUE!</v>
      </c>
      <c r="JN85" s="962" t="e">
        <f>[1]!bodmoadal(1,1,(JN78+1),[1]!qsn([1]!ml([1]!taqsha(1,1,1+JN78,JN79)),JN80)/30,JN79,JN80)</f>
        <v>#VALUE!</v>
      </c>
      <c r="JO85" s="962" t="e">
        <f>[1]!bodmoadal(1,1,(JO78+1),[1]!qsn([1]!ml([1]!taqsha(1,1,1+JO78,JO79)),JO80)/30,JO79,JO80)</f>
        <v>#VALUE!</v>
      </c>
      <c r="JP85" s="962" t="e">
        <f>[1]!bodmoadal(1,1,(JP78+1),[1]!qsn([1]!ml([1]!taqsha(1,1,1+JP78,JP79)),JP80)/30,JP79,JP80)</f>
        <v>#VALUE!</v>
      </c>
      <c r="JQ85" s="962" t="e">
        <f>[1]!bodmoadal(1,1,(JQ78+1),[1]!qsn([1]!ml([1]!taqsha(1,1,1+JQ78,JQ79)),JQ80)/30,JQ79,JQ80)</f>
        <v>#VALUE!</v>
      </c>
      <c r="JR85" s="962" t="e">
        <f>[1]!bodmoadal(1,1,(JR78+1),[1]!qsn([1]!ml([1]!taqsha(1,1,1+JR78,JR79)),JR80)/30,JR79,JR80)</f>
        <v>#VALUE!</v>
      </c>
      <c r="JS85" s="962" t="e">
        <f>[1]!bodmoadal(1,1,(JS78+1),[1]!qsn([1]!ml([1]!taqsha(1,1,1+JS78,JS79)),JS80)/30,JS79,JS80)</f>
        <v>#VALUE!</v>
      </c>
      <c r="JT85" s="962" t="e">
        <f>[1]!bodmoadal(1,1,(JT78+1),[1]!qsn([1]!ml([1]!taqsha(1,1,1+JT78,JT79)),JT80)/30,JT79,JT80)</f>
        <v>#VALUE!</v>
      </c>
      <c r="JU85" s="962" t="e">
        <f>[1]!bodmoadal(1,1,(JU78+1),[1]!qsn([1]!ml([1]!taqsha(1,1,1+JU78,JU79)),JU80)/30,JU79,JU80)</f>
        <v>#VALUE!</v>
      </c>
      <c r="JV85" s="962" t="e">
        <f>[1]!bodmoadal(1,1,(JV78+1),[1]!qsn([1]!ml([1]!taqsha(1,1,1+JV78,JV79)),JV80)/30,JV79,JV80)</f>
        <v>#VALUE!</v>
      </c>
      <c r="JW85" s="962" t="e">
        <f>[1]!bodmoadal(1,1,(JW78+1),[1]!qsn([1]!ml([1]!taqsha(1,1,1+JW78,JW79)),JW80)/30,JW79,JW80)</f>
        <v>#VALUE!</v>
      </c>
      <c r="JX85" s="962" t="e">
        <f>[1]!bodmoadal(1,1,(JX78+1),[1]!qsn([1]!ml([1]!taqsha(1,1,1+JX78,JX79)),JX80)/30,JX79,JX80)</f>
        <v>#VALUE!</v>
      </c>
      <c r="JY85" s="962" t="e">
        <f>[1]!bodmoadal(1,1,(JY78+1),[1]!qsn([1]!ml([1]!taqsha(1,1,1+JY78,JY79)),JY80)/30,JY79,JY80)</f>
        <v>#VALUE!</v>
      </c>
      <c r="JZ85" s="962" t="e">
        <f>[1]!bodmoadal(1,1,(JZ78+1),[1]!qsn([1]!ml([1]!taqsha(1,1,1+JZ78,JZ79)),JZ80)/30,JZ79,JZ80)</f>
        <v>#VALUE!</v>
      </c>
      <c r="KA85" s="962" t="e">
        <f>[1]!bodmoadal(1,1,(KA78+1),[1]!qsn([1]!ml([1]!taqsha(1,1,1+KA78,KA79)),KA80)/30,KA79,KA80)</f>
        <v>#VALUE!</v>
      </c>
      <c r="KB85" s="962" t="e">
        <f>[1]!bodmoadal(1,1,(KB78+1),[1]!qsn([1]!ml([1]!taqsha(1,1,1+KB78,KB79)),KB80)/30,KB79,KB80)</f>
        <v>#VALUE!</v>
      </c>
      <c r="KC85" s="962" t="e">
        <f>[1]!bodmoadal(1,1,(KC78+1),[1]!qsn([1]!ml([1]!taqsha(1,1,1+KC78,KC79)),KC80)/30,KC79,KC80)</f>
        <v>#VALUE!</v>
      </c>
      <c r="KD85" s="962" t="e">
        <f>[1]!bodmoadal(1,1,(KD78+1),[1]!qsn([1]!ml([1]!taqsha(1,1,1+KD78,KD79)),KD80)/30,KD79,KD80)</f>
        <v>#VALUE!</v>
      </c>
      <c r="KE85" s="962" t="e">
        <f>[1]!bodmoadal(1,1,(KE78+1),[1]!qsn([1]!ml([1]!taqsha(1,1,1+KE78,KE79)),KE80)/30,KE79,KE80)</f>
        <v>#VALUE!</v>
      </c>
      <c r="KF85" s="962" t="e">
        <f>[1]!bodmoadal(1,1,(KF78+1),[1]!qsn([1]!ml([1]!taqsha(1,1,1+KF78,KF79)),KF80)/30,KF79,KF80)</f>
        <v>#VALUE!</v>
      </c>
      <c r="KG85" s="962" t="e">
        <f>[1]!bodmoadal(1,1,(KG78+1),[1]!qsn([1]!ml([1]!taqsha(1,1,1+KG78,KG79)),KG80)/30,KG79,KG80)</f>
        <v>#VALUE!</v>
      </c>
      <c r="KH85" s="962" t="e">
        <f>[1]!bodmoadal(1,1,(KH78+1),[1]!qsn([1]!ml([1]!taqsha(1,1,1+KH78,KH79)),KH80)/30,KH79,KH80)</f>
        <v>#VALUE!</v>
      </c>
      <c r="KI85" s="962" t="e">
        <f>[1]!bodmoadal(1,1,(KI78+1),[1]!qsn([1]!ml([1]!taqsha(1,1,1+KI78,KI79)),KI80)/30,KI79,KI80)</f>
        <v>#VALUE!</v>
      </c>
      <c r="KJ85" s="962" t="e">
        <f>[1]!bodmoadal(1,1,(KJ78+1),[1]!qsn([1]!ml([1]!taqsha(1,1,1+KJ78,KJ79)),KJ80)/30,KJ79,KJ80)</f>
        <v>#VALUE!</v>
      </c>
      <c r="KK85" s="962" t="e">
        <f>[1]!bodmoadal(1,1,(KK78+1),[1]!qsn([1]!ml([1]!taqsha(1,1,1+KK78,KK79)),KK80)/30,KK79,KK80)</f>
        <v>#VALUE!</v>
      </c>
      <c r="KL85" s="962" t="e">
        <f>[1]!bodmoadal(1,1,(KL78+1),[1]!qsn([1]!ml([1]!taqsha(1,1,1+KL78,KL79)),KL80)/30,KL79,KL80)</f>
        <v>#VALUE!</v>
      </c>
      <c r="KM85" s="962" t="e">
        <f>[1]!bodmoadal(1,1,(KM78+1),[1]!qsn([1]!ml([1]!taqsha(1,1,1+KM78,KM79)),KM80)/30,KM79,KM80)</f>
        <v>#VALUE!</v>
      </c>
      <c r="KN85" s="962" t="e">
        <f>[1]!bodmoadal(1,1,(KN78+1),[1]!qsn([1]!ml([1]!taqsha(1,1,1+KN78,KN79)),KN80)/30,KN79,KN80)</f>
        <v>#VALUE!</v>
      </c>
      <c r="KO85" s="962" t="e">
        <f>[1]!bodmoadal(1,1,(KO78+1),[1]!qsn([1]!ml([1]!taqsha(1,1,1+KO78,KO79)),KO80)/30,KO79,KO80)</f>
        <v>#VALUE!</v>
      </c>
      <c r="KP85" s="962" t="e">
        <f>[1]!bodmoadal(1,1,(KP78+1),[1]!qsn([1]!ml([1]!taqsha(1,1,1+KP78,KP79)),KP80)/30,KP79,KP80)</f>
        <v>#VALUE!</v>
      </c>
      <c r="KQ85" s="962" t="e">
        <f>[1]!bodmoadal(1,1,(KQ78+1),[1]!qsn([1]!ml([1]!taqsha(1,1,1+KQ78,KQ79)),KQ80)/30,KQ79,KQ80)</f>
        <v>#VALUE!</v>
      </c>
      <c r="KR85" s="962" t="e">
        <f>[1]!bodmoadal(1,1,(KR78+1),[1]!qsn([1]!ml([1]!taqsha(1,1,1+KR78,KR79)),KR80)/30,KR79,KR80)</f>
        <v>#VALUE!</v>
      </c>
      <c r="KS85" s="962" t="e">
        <f>[1]!bodmoadal(1,1,(KS78+1),[1]!qsn([1]!ml([1]!taqsha(1,1,1+KS78,KS79)),KS80)/30,KS79,KS80)</f>
        <v>#VALUE!</v>
      </c>
      <c r="KT85" s="962" t="e">
        <f>[1]!bodmoadal(1,1,(KT78+1),[1]!qsn([1]!ml([1]!taqsha(1,1,1+KT78,KT79)),KT80)/30,KT79,KT80)</f>
        <v>#VALUE!</v>
      </c>
      <c r="KU85" s="962" t="e">
        <f>[1]!bodmoadal(1,1,(KU78+1),[1]!qsn([1]!ml([1]!taqsha(1,1,1+KU78,KU79)),KU80)/30,KU79,KU80)</f>
        <v>#VALUE!</v>
      </c>
      <c r="KV85" s="962" t="e">
        <f>[1]!bodmoadal(1,1,(KV78+1),[1]!qsn([1]!ml([1]!taqsha(1,1,1+KV78,KV79)),KV80)/30,KV79,KV80)</f>
        <v>#VALUE!</v>
      </c>
      <c r="KW85" s="962" t="e">
        <f>[1]!bodmoadal(1,1,(KW78+1),[1]!qsn([1]!ml([1]!taqsha(1,1,1+KW78,KW79)),KW80)/30,KW79,KW80)</f>
        <v>#VALUE!</v>
      </c>
      <c r="KX85" s="962" t="e">
        <f>[1]!bodmoadal(1,1,(KX78+1),[1]!qsn([1]!ml([1]!taqsha(1,1,1+KX78,KX79)),KX80)/30,KX79,KX80)</f>
        <v>#VALUE!</v>
      </c>
      <c r="KY85" s="962" t="e">
        <f>[1]!bodmoadal(1,1,(KY78+1),[1]!qsn([1]!ml([1]!taqsha(1,1,1+KY78,KY79)),KY80)/30,KY79,KY80)</f>
        <v>#VALUE!</v>
      </c>
      <c r="KZ85" s="962" t="e">
        <f>[1]!bodmoadal(1,1,(KZ78+1),[1]!qsn([1]!ml([1]!taqsha(1,1,1+KZ78,KZ79)),KZ80)/30,KZ79,KZ80)</f>
        <v>#VALUE!</v>
      </c>
      <c r="LA85" s="962" t="e">
        <f>[1]!bodmoadal(1,1,(LA78+1),[1]!qsn([1]!ml([1]!taqsha(1,1,1+LA78,LA79)),LA80)/30,LA79,LA80)</f>
        <v>#VALUE!</v>
      </c>
      <c r="LB85" s="962" t="e">
        <f>[1]!bodmoadal(1,1,(LB78+1),[1]!qsn([1]!ml([1]!taqsha(1,1,1+LB78,LB79)),LB80)/30,LB79,LB80)</f>
        <v>#VALUE!</v>
      </c>
      <c r="LC85" s="962" t="e">
        <f>[1]!bodmoadal(1,1,(LC78+1),[1]!qsn([1]!ml([1]!taqsha(1,1,1+LC78,LC79)),LC80)/30,LC79,LC80)</f>
        <v>#VALUE!</v>
      </c>
      <c r="LD85" s="962" t="e">
        <f>[1]!bodmoadal(1,1,(LD78+1),[1]!qsn([1]!ml([1]!taqsha(1,1,1+LD78,LD79)),LD80)/30,LD79,LD80)</f>
        <v>#VALUE!</v>
      </c>
      <c r="LE85" s="962" t="e">
        <f>[1]!bodmoadal(1,1,(LE78+1),[1]!qsn([1]!ml([1]!taqsha(1,1,1+LE78,LE79)),LE80)/30,LE79,LE80)</f>
        <v>#VALUE!</v>
      </c>
      <c r="LF85" s="962" t="e">
        <f>[1]!bodmoadal(1,1,(LF78+1),[1]!qsn([1]!ml([1]!taqsha(1,1,1+LF78,LF79)),LF80)/30,LF79,LF80)</f>
        <v>#VALUE!</v>
      </c>
      <c r="LG85" s="962" t="e">
        <f>[1]!bodmoadal(1,1,(LG78+1),[1]!qsn([1]!ml([1]!taqsha(1,1,1+LG78,LG79)),LG80)/30,LG79,LG80)</f>
        <v>#VALUE!</v>
      </c>
      <c r="LH85" s="962" t="e">
        <f>[1]!bodmoadal(1,1,(LH78+1),[1]!qsn([1]!ml([1]!taqsha(1,1,1+LH78,LH79)),LH80)/30,LH79,LH80)</f>
        <v>#VALUE!</v>
      </c>
      <c r="LI85" s="962" t="e">
        <f>[1]!bodmoadal(1,1,(LI78+1),[1]!qsn([1]!ml([1]!taqsha(1,1,1+LI78,LI79)),LI80)/30,LI79,LI80)</f>
        <v>#VALUE!</v>
      </c>
      <c r="LJ85" s="962" t="e">
        <f>[1]!bodmoadal(1,1,(LJ78+1),[1]!qsn([1]!ml([1]!taqsha(1,1,1+LJ78,LJ79)),LJ80)/30,LJ79,LJ80)</f>
        <v>#VALUE!</v>
      </c>
      <c r="LK85" s="962" t="e">
        <f>[1]!bodmoadal(1,1,(LK78+1),[1]!qsn([1]!ml([1]!taqsha(1,1,1+LK78,LK79)),LK80)/30,LK79,LK80)</f>
        <v>#VALUE!</v>
      </c>
      <c r="LL85" s="962" t="e">
        <f>[1]!bodmoadal(1,1,(LL78+1),[1]!qsn([1]!ml([1]!taqsha(1,1,1+LL78,LL79)),LL80)/30,LL79,LL80)</f>
        <v>#VALUE!</v>
      </c>
      <c r="LM85" s="962" t="e">
        <f>[1]!bodmoadal(1,1,(LM78+1),[1]!qsn([1]!ml([1]!taqsha(1,1,1+LM78,LM79)),LM80)/30,LM79,LM80)</f>
        <v>#VALUE!</v>
      </c>
      <c r="LN85" s="962" t="e">
        <f>[1]!bodmoadal(1,1,(LN78+1),[1]!qsn([1]!ml([1]!taqsha(1,1,1+LN78,LN79)),LN80)/30,LN79,LN80)</f>
        <v>#VALUE!</v>
      </c>
      <c r="LO85" s="962" t="e">
        <f>[1]!bodmoadal(1,1,(LO78+1),[1]!qsn([1]!ml([1]!taqsha(1,1,1+LO78,LO79)),LO80)/30,LO79,LO80)</f>
        <v>#VALUE!</v>
      </c>
      <c r="LP85" s="962" t="e">
        <f>[1]!bodmoadal(1,1,(LP78+1),[1]!qsn([1]!ml([1]!taqsha(1,1,1+LP78,LP79)),LP80)/30,LP79,LP80)</f>
        <v>#VALUE!</v>
      </c>
      <c r="LQ85" s="962" t="e">
        <f>[1]!bodmoadal(1,1,(LQ78+1),[1]!qsn([1]!ml([1]!taqsha(1,1,1+LQ78,LQ79)),LQ80)/30,LQ79,LQ80)</f>
        <v>#VALUE!</v>
      </c>
      <c r="LR85" s="962" t="e">
        <f>[1]!bodmoadal(1,1,(LR78+1),[1]!qsn([1]!ml([1]!taqsha(1,1,1+LR78,LR79)),LR80)/30,LR79,LR80)</f>
        <v>#VALUE!</v>
      </c>
      <c r="LS85" s="962" t="e">
        <f>[1]!bodmoadal(1,1,(LS78+1),[1]!qsn([1]!ml([1]!taqsha(1,1,1+LS78,LS79)),LS80)/30,LS79,LS80)</f>
        <v>#VALUE!</v>
      </c>
      <c r="LT85" s="962" t="e">
        <f>[1]!bodmoadal(1,1,(LT78+1),[1]!qsn([1]!ml([1]!taqsha(1,1,1+LT78,LT79)),LT80)/30,LT79,LT80)</f>
        <v>#VALUE!</v>
      </c>
      <c r="LU85" s="962" t="e">
        <f>[1]!bodmoadal(1,1,(LU78+1),[1]!qsn([1]!ml([1]!taqsha(1,1,1+LU78,LU79)),LU80)/30,LU79,LU80)</f>
        <v>#VALUE!</v>
      </c>
      <c r="LV85" s="962" t="e">
        <f>[1]!bodmoadal(1,1,(LV78+1),[1]!qsn([1]!ml([1]!taqsha(1,1,1+LV78,LV79)),LV80)/30,LV79,LV80)</f>
        <v>#VALUE!</v>
      </c>
      <c r="LW85" s="962" t="e">
        <f>[1]!bodmoadal(1,1,(LW78+1),[1]!qsn([1]!ml([1]!taqsha(1,1,1+LW78,LW79)),LW80)/30,LW79,LW80)</f>
        <v>#VALUE!</v>
      </c>
      <c r="LX85" s="962" t="e">
        <f>[1]!bodmoadal(1,1,(LX78+1),[1]!qsn([1]!ml([1]!taqsha(1,1,1+LX78,LX79)),LX80)/30,LX79,LX80)</f>
        <v>#VALUE!</v>
      </c>
      <c r="LY85" s="962" t="e">
        <f>[1]!bodmoadal(1,1,(LY78+1),[1]!qsn([1]!ml([1]!taqsha(1,1,1+LY78,LY79)),LY80)/30,LY79,LY80)</f>
        <v>#VALUE!</v>
      </c>
      <c r="LZ85" s="962" t="e">
        <f>[1]!bodmoadal(1,1,(LZ78+1),[1]!qsn([1]!ml([1]!taqsha(1,1,1+LZ78,LZ79)),LZ80)/30,LZ79,LZ80)</f>
        <v>#VALUE!</v>
      </c>
      <c r="MA85" s="962" t="e">
        <f>[1]!bodmoadal(1,1,(MA78+1),[1]!qsn([1]!ml([1]!taqsha(1,1,1+MA78,MA79)),MA80)/30,MA79,MA80)</f>
        <v>#VALUE!</v>
      </c>
      <c r="MB85" s="962" t="e">
        <f>[1]!bodmoadal(1,1,(MB78+1),[1]!qsn([1]!ml([1]!taqsha(1,1,1+MB78,MB79)),MB80)/30,MB79,MB80)</f>
        <v>#VALUE!</v>
      </c>
      <c r="MC85" s="962" t="e">
        <f>[1]!bodmoadal(1,1,(MC78+1),[1]!qsn([1]!ml([1]!taqsha(1,1,1+MC78,MC79)),MC80)/30,MC79,MC80)</f>
        <v>#VALUE!</v>
      </c>
      <c r="MD85" s="962" t="e">
        <f>[1]!bodmoadal(1,1,(MD78+1),[1]!qsn([1]!ml([1]!taqsha(1,1,1+MD78,MD79)),MD80)/30,MD79,MD80)</f>
        <v>#VALUE!</v>
      </c>
      <c r="ME85" s="962" t="e">
        <f>[1]!bodmoadal(1,1,(ME78+1),[1]!qsn([1]!ml([1]!taqsha(1,1,1+ME78,ME79)),ME80)/30,ME79,ME80)</f>
        <v>#VALUE!</v>
      </c>
      <c r="MF85" s="962" t="e">
        <f>[1]!bodmoadal(1,1,(MF78+1),[1]!qsn([1]!ml([1]!taqsha(1,1,1+MF78,MF79)),MF80)/30,MF79,MF80)</f>
        <v>#VALUE!</v>
      </c>
      <c r="MG85" s="962" t="e">
        <f>[1]!bodmoadal(1,1,(MG78+1),[1]!qsn([1]!ml([1]!taqsha(1,1,1+MG78,MG79)),MG80)/30,MG79,MG80)</f>
        <v>#VALUE!</v>
      </c>
      <c r="MH85" s="962" t="e">
        <f>[1]!bodmoadal(1,1,(MH78+1),[1]!qsn([1]!ml([1]!taqsha(1,1,1+MH78,MH79)),MH80)/30,MH79,MH80)</f>
        <v>#VALUE!</v>
      </c>
      <c r="MI85" s="962" t="e">
        <f>[1]!bodmoadal(1,1,(MI78+1),[1]!qsn([1]!ml([1]!taqsha(1,1,1+MI78,MI79)),MI80)/30,MI79,MI80)</f>
        <v>#VALUE!</v>
      </c>
      <c r="MJ85" s="962" t="e">
        <f>[1]!bodmoadal(1,1,(MJ78+1),[1]!qsn([1]!ml([1]!taqsha(1,1,1+MJ78,MJ79)),MJ80)/30,MJ79,MJ80)</f>
        <v>#VALUE!</v>
      </c>
      <c r="MK85" s="962" t="e">
        <f>[1]!bodmoadal(1,1,(MK78+1),[1]!qsn([1]!ml([1]!taqsha(1,1,1+MK78,MK79)),MK80)/30,MK79,MK80)</f>
        <v>#VALUE!</v>
      </c>
      <c r="ML85" s="962" t="e">
        <f>[1]!bodmoadal(1,1,(ML78+1),[1]!qsn([1]!ml([1]!taqsha(1,1,1+ML78,ML79)),ML80)/30,ML79,ML80)</f>
        <v>#VALUE!</v>
      </c>
      <c r="MM85" s="962" t="e">
        <f>[1]!bodmoadal(1,1,(MM78+1),[1]!qsn([1]!ml([1]!taqsha(1,1,1+MM78,MM79)),MM80)/30,MM79,MM80)</f>
        <v>#VALUE!</v>
      </c>
      <c r="MN85" s="962" t="e">
        <f>[1]!bodmoadal(1,1,(MN78+1),[1]!qsn([1]!ml([1]!taqsha(1,1,1+MN78,MN79)),MN80)/30,MN79,MN80)</f>
        <v>#VALUE!</v>
      </c>
      <c r="MO85" s="962" t="e">
        <f>[1]!bodmoadal(1,1,(MO78+1),[1]!qsn([1]!ml([1]!taqsha(1,1,1+MO78,MO79)),MO80)/30,MO79,MO80)</f>
        <v>#VALUE!</v>
      </c>
      <c r="MP85" s="962" t="e">
        <f>[1]!bodmoadal(1,1,(MP78+1),[1]!qsn([1]!ml([1]!taqsha(1,1,1+MP78,MP79)),MP80)/30,MP79,MP80)</f>
        <v>#VALUE!</v>
      </c>
      <c r="MQ85" s="962" t="e">
        <f>[1]!bodmoadal(1,1,(MQ78+1),[1]!qsn([1]!ml([1]!taqsha(1,1,1+MQ78,MQ79)),MQ80)/30,MQ79,MQ80)</f>
        <v>#VALUE!</v>
      </c>
      <c r="MR85" s="962" t="e">
        <f>[1]!bodmoadal(1,1,(MR78+1),[1]!qsn([1]!ml([1]!taqsha(1,1,1+MR78,MR79)),MR80)/30,MR79,MR80)</f>
        <v>#VALUE!</v>
      </c>
      <c r="MS85" s="962" t="e">
        <f>[1]!bodmoadal(1,1,(MS78+1),[1]!qsn([1]!ml([1]!taqsha(1,1,1+MS78,MS79)),MS80)/30,MS79,MS80)</f>
        <v>#VALUE!</v>
      </c>
      <c r="MT85" s="962" t="e">
        <f>[1]!bodmoadal(1,1,(MT78+1),[1]!qsn([1]!ml([1]!taqsha(1,1,1+MT78,MT79)),MT80)/30,MT79,MT80)</f>
        <v>#VALUE!</v>
      </c>
      <c r="MU85" s="962" t="e">
        <f>[1]!bodmoadal(1,1,(MU78+1),[1]!qsn([1]!ml([1]!taqsha(1,1,1+MU78,MU79)),MU80)/30,MU79,MU80)</f>
        <v>#VALUE!</v>
      </c>
      <c r="MV85" s="962" t="e">
        <f>[1]!bodmoadal(1,1,(MV78+1),[1]!qsn([1]!ml([1]!taqsha(1,1,1+MV78,MV79)),MV80)/30,MV79,MV80)</f>
        <v>#VALUE!</v>
      </c>
      <c r="MW85" s="962" t="e">
        <f>[1]!bodmoadal(1,1,(MW78+1),[1]!qsn([1]!ml([1]!taqsha(1,1,1+MW78,MW79)),MW80)/30,MW79,MW80)</f>
        <v>#VALUE!</v>
      </c>
      <c r="MX85" s="962" t="e">
        <f>[1]!bodmoadal(1,1,(MX78+1),[1]!qsn([1]!ml([1]!taqsha(1,1,1+MX78,MX79)),MX80)/30,MX79,MX80)</f>
        <v>#VALUE!</v>
      </c>
      <c r="MY85" s="962" t="e">
        <f>[1]!bodmoadal(1,1,(MY78+1),[1]!qsn([1]!ml([1]!taqsha(1,1,1+MY78,MY79)),MY80)/30,MY79,MY80)</f>
        <v>#VALUE!</v>
      </c>
      <c r="MZ85" s="962" t="e">
        <f>[1]!bodmoadal(1,1,(MZ78+1),[1]!qsn([1]!ml([1]!taqsha(1,1,1+MZ78,MZ79)),MZ80)/30,MZ79,MZ80)</f>
        <v>#VALUE!</v>
      </c>
      <c r="NA85" s="962" t="e">
        <f>[1]!bodmoadal(1,1,(NA78+1),[1]!qsn([1]!ml([1]!taqsha(1,1,1+NA78,NA79)),NA80)/30,NA79,NA80)</f>
        <v>#VALUE!</v>
      </c>
      <c r="NB85" s="962" t="e">
        <f>[1]!bodmoadal(1,1,(NB78+1),[1]!qsn([1]!ml([1]!taqsha(1,1,1+NB78,NB79)),NB80)/30,NB79,NB80)</f>
        <v>#VALUE!</v>
      </c>
      <c r="NC85" s="962" t="e">
        <f>[1]!bodmoadal(1,1,(NC78+1),[1]!qsn([1]!ml([1]!taqsha(1,1,1+NC78,NC79)),NC80)/30,NC79,NC80)</f>
        <v>#VALUE!</v>
      </c>
      <c r="ND85" s="962" t="e">
        <f>[1]!bodmoadal(1,1,(ND78+1),[1]!qsn([1]!ml([1]!taqsha(1,1,1+ND78,ND79)),ND80)/30,ND79,ND80)</f>
        <v>#VALUE!</v>
      </c>
      <c r="NE85" s="962" t="e">
        <f>[1]!bodmoadal(1,1,(NE78+1),[1]!qsn([1]!ml([1]!taqsha(1,1,1+NE78,NE79)),NE80)/30,NE79,NE80)</f>
        <v>#VALUE!</v>
      </c>
      <c r="NF85" s="962" t="e">
        <f>[1]!bodmoadal(1,1,(NF78+1),[1]!qsn([1]!ml([1]!taqsha(1,1,1+NF78,NF79)),NF80)/30,NF79,NF80)</f>
        <v>#VALUE!</v>
      </c>
      <c r="NG85" s="962" t="e">
        <f>[1]!bodmoadal(1,1,(NG78+1),[1]!qsn([1]!ml([1]!taqsha(1,1,1+NG78,NG79)),NG80)/30,NG79,NG80)</f>
        <v>#VALUE!</v>
      </c>
      <c r="NH85" s="962" t="e">
        <f>[1]!bodmoadal(1,1,(NH78+1),[1]!qsn([1]!ml([1]!taqsha(1,1,1+NH78,NH79)),NH80)/30,NH79,NH80)</f>
        <v>#VALUE!</v>
      </c>
      <c r="NI85" s="962" t="e">
        <f>[1]!bodmoadal(1,1,(NI78+1),[1]!qsn([1]!ml([1]!taqsha(1,1,1+NI78,NI79)),NI80)/30,NI79,NI80)</f>
        <v>#VALUE!</v>
      </c>
      <c r="NJ85" s="962" t="e">
        <f>[1]!bodmoadal(1,1,(NJ78+1),[1]!qsn([1]!ml([1]!taqsha(1,1,1+NJ78,NJ79)),NJ80)/30,NJ79,NJ80)</f>
        <v>#VALUE!</v>
      </c>
      <c r="NK85" s="962" t="e">
        <f>[1]!bodmoadal(1,1,(NK78+1),[1]!qsn([1]!ml([1]!taqsha(1,1,1+NK78,NK79)),NK80)/30,NK79,NK80)</f>
        <v>#VALUE!</v>
      </c>
      <c r="NL85" s="962" t="e">
        <f>[1]!bodmoadal(1,1,(NL78+1),[1]!qsn([1]!ml([1]!taqsha(1,1,1+NL78,NL79)),NL80)/30,NL79,NL80)</f>
        <v>#VALUE!</v>
      </c>
      <c r="NM85" s="962" t="e">
        <f>[1]!bodmoadal(1,1,(NM78+1),[1]!qsn([1]!ml([1]!taqsha(1,1,1+NM78,NM79)),NM80)/30,NM79,NM80)</f>
        <v>#VALUE!</v>
      </c>
      <c r="NN85" s="962" t="e">
        <f>[1]!bodmoadal(1,1,(NN78+1),[1]!qsn([1]!ml([1]!taqsha(1,1,1+NN78,NN79)),NN80)/30,NN79,NN80)</f>
        <v>#VALUE!</v>
      </c>
      <c r="NO85" s="962" t="e">
        <f>[1]!bodmoadal(1,1,(NO78+1),[1]!qsn([1]!ml([1]!taqsha(1,1,1+NO78,NO79)),NO80)/30,NO79,NO80)</f>
        <v>#VALUE!</v>
      </c>
      <c r="NP85" s="962" t="e">
        <f>[1]!bodmoadal(1,1,(NP78+1),[1]!qsn([1]!ml([1]!taqsha(1,1,1+NP78,NP79)),NP80)/30,NP79,NP80)</f>
        <v>#VALUE!</v>
      </c>
      <c r="NQ85" s="962" t="e">
        <f>[1]!bodmoadal(1,1,(NQ78+1),[1]!qsn([1]!ml([1]!taqsha(1,1,1+NQ78,NQ79)),NQ80)/30,NQ79,NQ80)</f>
        <v>#VALUE!</v>
      </c>
      <c r="NR85" s="962" t="e">
        <f>[1]!bodmoadal(1,1,(NR78+1),[1]!qsn([1]!ml([1]!taqsha(1,1,1+NR78,NR79)),NR80)/30,NR79,NR80)</f>
        <v>#VALUE!</v>
      </c>
      <c r="NS85" s="962" t="e">
        <f>[1]!bodmoadal(1,1,(NS78+1),[1]!qsn([1]!ml([1]!taqsha(1,1,1+NS78,NS79)),NS80)/30,NS79,NS80)</f>
        <v>#VALUE!</v>
      </c>
      <c r="NT85" s="962" t="e">
        <f>[1]!bodmoadal(1,1,(NT78+1),[1]!qsn([1]!ml([1]!taqsha(1,1,1+NT78,NT79)),NT80)/30,NT79,NT80)</f>
        <v>#VALUE!</v>
      </c>
      <c r="NU85" s="962" t="e">
        <f>[1]!bodmoadal(1,1,(NU78+1),[1]!qsn([1]!ml([1]!taqsha(1,1,1+NU78,NU79)),NU80)/30,NU79,NU80)</f>
        <v>#VALUE!</v>
      </c>
      <c r="NV85" s="962" t="e">
        <f>[1]!bodmoadal(1,1,(NV78+1),[1]!qsn([1]!ml([1]!taqsha(1,1,1+NV78,NV79)),NV80)/30,NV79,NV80)</f>
        <v>#VALUE!</v>
      </c>
      <c r="NW85" s="962" t="e">
        <f>[1]!bodmoadal(1,1,(NW78+1),[1]!qsn([1]!ml([1]!taqsha(1,1,1+NW78,NW79)),NW80)/30,NW79,NW80)</f>
        <v>#VALUE!</v>
      </c>
      <c r="NX85" s="962" t="e">
        <f>[1]!bodmoadal(1,1,(NX78+1),[1]!qsn([1]!ml([1]!taqsha(1,1,1+NX78,NX79)),NX80)/30,NX79,NX80)</f>
        <v>#VALUE!</v>
      </c>
      <c r="NY85" s="962" t="e">
        <f>[1]!bodmoadal(1,1,(NY78+1),[1]!qsn([1]!ml([1]!taqsha(1,1,1+NY78,NY79)),NY80)/30,NY79,NY80)</f>
        <v>#VALUE!</v>
      </c>
      <c r="NZ85" s="962" t="e">
        <f>[1]!bodmoadal(1,1,(NZ78+1),[1]!qsn([1]!ml([1]!taqsha(1,1,1+NZ78,NZ79)),NZ80)/30,NZ79,NZ80)</f>
        <v>#VALUE!</v>
      </c>
      <c r="OA85" s="962" t="e">
        <f>[1]!bodmoadal(1,1,(OA78+1),[1]!qsn([1]!ml([1]!taqsha(1,1,1+OA78,OA79)),OA80)/30,OA79,OA80)</f>
        <v>#VALUE!</v>
      </c>
      <c r="OB85" s="962" t="e">
        <f>[1]!bodmoadal(1,1,(OB78+1),[1]!qsn([1]!ml([1]!taqsha(1,1,1+OB78,OB79)),OB80)/30,OB79,OB80)</f>
        <v>#VALUE!</v>
      </c>
      <c r="OC85" s="962" t="e">
        <f>[1]!bodmoadal(1,1,(OC78+1),[1]!qsn([1]!ml([1]!taqsha(1,1,1+OC78,OC79)),OC80)/30,OC79,OC80)</f>
        <v>#VALUE!</v>
      </c>
      <c r="OD85" s="962" t="e">
        <f>[1]!bodmoadal(1,1,(OD78+1),[1]!qsn([1]!ml([1]!taqsha(1,1,1+OD78,OD79)),OD80)/30,OD79,OD80)</f>
        <v>#VALUE!</v>
      </c>
      <c r="OE85" s="962" t="e">
        <f>[1]!bodmoadal(1,1,(OE78+1),[1]!qsn([1]!ml([1]!taqsha(1,1,1+OE78,OE79)),OE80)/30,OE79,OE80)</f>
        <v>#VALUE!</v>
      </c>
      <c r="OF85" s="962" t="e">
        <f>[1]!bodmoadal(1,1,(OF78+1),[1]!qsn([1]!ml([1]!taqsha(1,1,1+OF78,OF79)),OF80)/30,OF79,OF80)</f>
        <v>#VALUE!</v>
      </c>
      <c r="OG85" s="962" t="e">
        <f>[1]!bodmoadal(1,1,(OG78+1),[1]!qsn([1]!ml([1]!taqsha(1,1,1+OG78,OG79)),OG80)/30,OG79,OG80)</f>
        <v>#VALUE!</v>
      </c>
      <c r="OH85" s="962" t="e">
        <f>[1]!bodmoadal(1,1,(OH78+1),[1]!qsn([1]!ml([1]!taqsha(1,1,1+OH78,OH79)),OH80)/30,OH79,OH80)</f>
        <v>#VALUE!</v>
      </c>
      <c r="OI85" s="962" t="e">
        <f>[1]!bodmoadal(1,1,(OI78+1),[1]!qsn([1]!ml([1]!taqsha(1,1,1+OI78,OI79)),OI80)/30,OI79,OI80)</f>
        <v>#VALUE!</v>
      </c>
      <c r="OJ85" s="962" t="e">
        <f>[1]!bodmoadal(1,1,(OJ78+1),[1]!qsn([1]!ml([1]!taqsha(1,1,1+OJ78,OJ79)),OJ80)/30,OJ79,OJ80)</f>
        <v>#VALUE!</v>
      </c>
      <c r="OK85" s="962" t="e">
        <f>[1]!bodmoadal(1,1,(OK78+1),[1]!qsn([1]!ml([1]!taqsha(1,1,1+OK78,OK79)),OK80)/30,OK79,OK80)</f>
        <v>#VALUE!</v>
      </c>
      <c r="OL85" s="962" t="e">
        <f>[1]!bodmoadal(1,1,(OL78+1),[1]!qsn([1]!ml([1]!taqsha(1,1,1+OL78,OL79)),OL80)/30,OL79,OL80)</f>
        <v>#VALUE!</v>
      </c>
      <c r="OM85" s="962" t="e">
        <f>[1]!bodmoadal(1,1,(OM78+1),[1]!qsn([1]!ml([1]!taqsha(1,1,1+OM78,OM79)),OM80)/30,OM79,OM80)</f>
        <v>#VALUE!</v>
      </c>
      <c r="ON85" s="962" t="e">
        <f>[1]!bodmoadal(1,1,(ON78+1),[1]!qsn([1]!ml([1]!taqsha(1,1,1+ON78,ON79)),ON80)/30,ON79,ON80)</f>
        <v>#VALUE!</v>
      </c>
      <c r="OO85" s="962" t="e">
        <f>[1]!bodmoadal(1,1,(OO78+1),[1]!qsn([1]!ml([1]!taqsha(1,1,1+OO78,OO79)),OO80)/30,OO79,OO80)</f>
        <v>#VALUE!</v>
      </c>
      <c r="OP85" s="962" t="e">
        <f>[1]!bodmoadal(1,1,(OP78+1),[1]!qsn([1]!ml([1]!taqsha(1,1,1+OP78,OP79)),OP80)/30,OP79,OP80)</f>
        <v>#VALUE!</v>
      </c>
      <c r="OQ85" s="962" t="e">
        <f>[1]!bodmoadal(1,1,(OQ78+1),[1]!qsn([1]!ml([1]!taqsha(1,1,1+OQ78,OQ79)),OQ80)/30,OQ79,OQ80)</f>
        <v>#VALUE!</v>
      </c>
      <c r="OR85" s="962" t="e">
        <f>[1]!bodmoadal(1,1,(OR78+1),[1]!qsn([1]!ml([1]!taqsha(1,1,1+OR78,OR79)),OR80)/30,OR79,OR80)</f>
        <v>#VALUE!</v>
      </c>
      <c r="OS85" s="962" t="e">
        <f>[1]!bodmoadal(1,1,(OS78+1),[1]!qsn([1]!ml([1]!taqsha(1,1,1+OS78,OS79)),OS80)/30,OS79,OS80)</f>
        <v>#VALUE!</v>
      </c>
      <c r="OT85" s="962" t="e">
        <f>[1]!bodmoadal(1,1,(OT78+1),[1]!qsn([1]!ml([1]!taqsha(1,1,1+OT78,OT79)),OT80)/30,OT79,OT80)</f>
        <v>#VALUE!</v>
      </c>
      <c r="OU85" s="962" t="e">
        <f>[1]!bodmoadal(1,1,(OU78+1),[1]!qsn([1]!ml([1]!taqsha(1,1,1+OU78,OU79)),OU80)/30,OU79,OU80)</f>
        <v>#VALUE!</v>
      </c>
      <c r="OV85" s="962" t="e">
        <f>[1]!bodmoadal(1,1,(OV78+1),[1]!qsn([1]!ml([1]!taqsha(1,1,1+OV78,OV79)),OV80)/30,OV79,OV80)</f>
        <v>#VALUE!</v>
      </c>
      <c r="OW85" s="962" t="e">
        <f>[1]!bodmoadal(1,1,(OW78+1),[1]!qsn([1]!ml([1]!taqsha(1,1,1+OW78,OW79)),OW80)/30,OW79,OW80)</f>
        <v>#VALUE!</v>
      </c>
      <c r="OX85" s="962" t="e">
        <f>[1]!bodmoadal(1,1,(OX78+1),[1]!qsn([1]!ml([1]!taqsha(1,1,1+OX78,OX79)),OX80)/30,OX79,OX80)</f>
        <v>#VALUE!</v>
      </c>
      <c r="OY85" s="962" t="e">
        <f>[1]!bodmoadal(1,1,(OY78+1),[1]!qsn([1]!ml([1]!taqsha(1,1,1+OY78,OY79)),OY80)/30,OY79,OY80)</f>
        <v>#VALUE!</v>
      </c>
      <c r="OZ85" s="962" t="e">
        <f>[1]!bodmoadal(1,1,(OZ78+1),[1]!qsn([1]!ml([1]!taqsha(1,1,1+OZ78,OZ79)),OZ80)/30,OZ79,OZ80)</f>
        <v>#VALUE!</v>
      </c>
      <c r="PA85" s="962" t="e">
        <f>[1]!bodmoadal(1,1,(PA78+1),[1]!qsn([1]!ml([1]!taqsha(1,1,1+PA78,PA79)),PA80)/30,PA79,PA80)</f>
        <v>#VALUE!</v>
      </c>
      <c r="PB85" s="962" t="e">
        <f>[1]!bodmoadal(1,1,(PB78+1),[1]!qsn([1]!ml([1]!taqsha(1,1,1+PB78,PB79)),PB80)/30,PB79,PB80)</f>
        <v>#VALUE!</v>
      </c>
      <c r="PC85" s="962" t="e">
        <f>[1]!bodmoadal(1,1,(PC78+1),[1]!qsn([1]!ml([1]!taqsha(1,1,1+PC78,PC79)),PC80)/30,PC79,PC80)</f>
        <v>#VALUE!</v>
      </c>
      <c r="PD85" s="962" t="e">
        <f>[1]!bodmoadal(1,1,(PD78+1),[1]!qsn([1]!ml([1]!taqsha(1,1,1+PD78,PD79)),PD80)/30,PD79,PD80)</f>
        <v>#VALUE!</v>
      </c>
      <c r="PE85" s="962" t="e">
        <f>[1]!bodmoadal(1,1,(PE78+1),[1]!qsn([1]!ml([1]!taqsha(1,1,1+PE78,PE79)),PE80)/30,PE79,PE80)</f>
        <v>#VALUE!</v>
      </c>
      <c r="PF85" s="962" t="e">
        <f>[1]!bodmoadal(1,1,(PF78+1),[1]!qsn([1]!ml([1]!taqsha(1,1,1+PF78,PF79)),PF80)/30,PF79,PF80)</f>
        <v>#VALUE!</v>
      </c>
      <c r="PG85" s="962" t="e">
        <f>[1]!bodmoadal(1,1,(PG78+1),[1]!qsn([1]!ml([1]!taqsha(1,1,1+PG78,PG79)),PG80)/30,PG79,PG80)</f>
        <v>#VALUE!</v>
      </c>
      <c r="PH85" s="962" t="e">
        <f>[1]!bodmoadal(1,1,(PH78+1),[1]!qsn([1]!ml([1]!taqsha(1,1,1+PH78,PH79)),PH80)/30,PH79,PH80)</f>
        <v>#VALUE!</v>
      </c>
      <c r="PI85" s="962" t="e">
        <f>[1]!bodmoadal(1,1,(PI78+1),[1]!qsn([1]!ml([1]!taqsha(1,1,1+PI78,PI79)),PI80)/30,PI79,PI80)</f>
        <v>#VALUE!</v>
      </c>
      <c r="PJ85" s="962" t="e">
        <f>[1]!bodmoadal(1,1,(PJ78+1),[1]!qsn([1]!ml([1]!taqsha(1,1,1+PJ78,PJ79)),PJ80)/30,PJ79,PJ80)</f>
        <v>#VALUE!</v>
      </c>
      <c r="PK85" s="962" t="e">
        <f>[1]!bodmoadal(1,1,(PK78+1),[1]!qsn([1]!ml([1]!taqsha(1,1,1+PK78,PK79)),PK80)/30,PK79,PK80)</f>
        <v>#VALUE!</v>
      </c>
      <c r="PL85" s="962" t="e">
        <f>[1]!bodmoadal(1,1,(PL78+1),[1]!qsn([1]!ml([1]!taqsha(1,1,1+PL78,PL79)),PL80)/30,PL79,PL80)</f>
        <v>#VALUE!</v>
      </c>
      <c r="PM85" s="962" t="e">
        <f>[1]!bodmoadal(1,1,(PM78+1),[1]!qsn([1]!ml([1]!taqsha(1,1,1+PM78,PM79)),PM80)/30,PM79,PM80)</f>
        <v>#VALUE!</v>
      </c>
      <c r="PN85" s="962" t="e">
        <f>[1]!bodmoadal(1,1,(PN78+1),[1]!qsn([1]!ml([1]!taqsha(1,1,1+PN78,PN79)),PN80)/30,PN79,PN80)</f>
        <v>#VALUE!</v>
      </c>
      <c r="PO85" s="962" t="e">
        <f>[1]!bodmoadal(1,1,(PO78+1),[1]!qsn([1]!ml([1]!taqsha(1,1,1+PO78,PO79)),PO80)/30,PO79,PO80)</f>
        <v>#VALUE!</v>
      </c>
      <c r="PP85" s="962" t="e">
        <f>[1]!bodmoadal(1,1,(PP78+1),[1]!qsn([1]!ml([1]!taqsha(1,1,1+PP78,PP79)),PP80)/30,PP79,PP80)</f>
        <v>#VALUE!</v>
      </c>
      <c r="PQ85" s="962" t="e">
        <f>[1]!bodmoadal(1,1,(PQ78+1),[1]!qsn([1]!ml([1]!taqsha(1,1,1+PQ78,PQ79)),PQ80)/30,PQ79,PQ80)</f>
        <v>#VALUE!</v>
      </c>
      <c r="PR85" s="962" t="e">
        <f>[1]!bodmoadal(1,1,(PR78+1),[1]!qsn([1]!ml([1]!taqsha(1,1,1+PR78,PR79)),PR80)/30,PR79,PR80)</f>
        <v>#VALUE!</v>
      </c>
      <c r="PS85" s="962" t="e">
        <f>[1]!bodmoadal(1,1,(PS78+1),[1]!qsn([1]!ml([1]!taqsha(1,1,1+PS78,PS79)),PS80)/30,PS79,PS80)</f>
        <v>#VALUE!</v>
      </c>
      <c r="PT85" s="962" t="e">
        <f>[1]!bodmoadal(1,1,(PT78+1),[1]!qsn([1]!ml([1]!taqsha(1,1,1+PT78,PT79)),PT80)/30,PT79,PT80)</f>
        <v>#VALUE!</v>
      </c>
      <c r="PU85" s="962" t="e">
        <f>[1]!bodmoadal(1,1,(PU78+1),[1]!qsn([1]!ml([1]!taqsha(1,1,1+PU78,PU79)),PU80)/30,PU79,PU80)</f>
        <v>#VALUE!</v>
      </c>
      <c r="PV85" s="962" t="e">
        <f>[1]!bodmoadal(1,1,(PV78+1),[1]!qsn([1]!ml([1]!taqsha(1,1,1+PV78,PV79)),PV80)/30,PV79,PV80)</f>
        <v>#VALUE!</v>
      </c>
      <c r="PW85" s="962" t="e">
        <f>[1]!bodmoadal(1,1,(PW78+1),[1]!qsn([1]!ml([1]!taqsha(1,1,1+PW78,PW79)),PW80)/30,PW79,PW80)</f>
        <v>#VALUE!</v>
      </c>
      <c r="PX85" s="962" t="e">
        <f>[1]!bodmoadal(1,1,(PX78+1),[1]!qsn([1]!ml([1]!taqsha(1,1,1+PX78,PX79)),PX80)/30,PX79,PX80)</f>
        <v>#VALUE!</v>
      </c>
      <c r="PY85" s="962" t="e">
        <f>[1]!bodmoadal(1,1,(PY78+1),[1]!qsn([1]!ml([1]!taqsha(1,1,1+PY78,PY79)),PY80)/30,PY79,PY80)</f>
        <v>#VALUE!</v>
      </c>
      <c r="PZ85" s="962" t="e">
        <f>[1]!bodmoadal(1,1,(PZ78+1),[1]!qsn([1]!ml([1]!taqsha(1,1,1+PZ78,PZ79)),PZ80)/30,PZ79,PZ80)</f>
        <v>#VALUE!</v>
      </c>
      <c r="QA85" s="962" t="e">
        <f>[1]!bodmoadal(1,1,(QA78+1),[1]!qsn([1]!ml([1]!taqsha(1,1,1+QA78,QA79)),QA80)/30,QA79,QA80)</f>
        <v>#VALUE!</v>
      </c>
      <c r="QB85" s="962" t="e">
        <f>[1]!bodmoadal(1,1,(QB78+1),[1]!qsn([1]!ml([1]!taqsha(1,1,1+QB78,QB79)),QB80)/30,QB79,QB80)</f>
        <v>#VALUE!</v>
      </c>
      <c r="QC85" s="962" t="e">
        <f>[1]!bodmoadal(1,1,(QC78+1),[1]!qsn([1]!ml([1]!taqsha(1,1,1+QC78,QC79)),QC80)/30,QC79,QC80)</f>
        <v>#VALUE!</v>
      </c>
      <c r="QD85" s="962" t="e">
        <f>[1]!bodmoadal(1,1,(QD78+1),[1]!qsn([1]!ml([1]!taqsha(1,1,1+QD78,QD79)),QD80)/30,QD79,QD80)</f>
        <v>#VALUE!</v>
      </c>
      <c r="QE85" s="962" t="e">
        <f>[1]!bodmoadal(1,1,(QE78+1),[1]!qsn([1]!ml([1]!taqsha(1,1,1+QE78,QE79)),QE80)/30,QE79,QE80)</f>
        <v>#VALUE!</v>
      </c>
      <c r="QF85" s="962" t="e">
        <f>[1]!bodmoadal(1,1,(QF78+1),[1]!qsn([1]!ml([1]!taqsha(1,1,1+QF78,QF79)),QF80)/30,QF79,QF80)</f>
        <v>#VALUE!</v>
      </c>
      <c r="QG85" s="962" t="e">
        <f>[1]!bodmoadal(1,1,(QG78+1),[1]!qsn([1]!ml([1]!taqsha(1,1,1+QG78,QG79)),QG80)/30,QG79,QG80)</f>
        <v>#VALUE!</v>
      </c>
      <c r="QH85" s="962" t="e">
        <f>[1]!bodmoadal(1,1,(QH78+1),[1]!qsn([1]!ml([1]!taqsha(1,1,1+QH78,QH79)),QH80)/30,QH79,QH80)</f>
        <v>#VALUE!</v>
      </c>
      <c r="QI85" s="962" t="e">
        <f>[1]!bodmoadal(1,1,(QI78+1),[1]!qsn([1]!ml([1]!taqsha(1,1,1+QI78,QI79)),QI80)/30,QI79,QI80)</f>
        <v>#VALUE!</v>
      </c>
      <c r="QJ85" s="962" t="e">
        <f>[1]!bodmoadal(1,1,(QJ78+1),[1]!qsn([1]!ml([1]!taqsha(1,1,1+QJ78,QJ79)),QJ80)/30,QJ79,QJ80)</f>
        <v>#VALUE!</v>
      </c>
      <c r="QK85" s="962" t="e">
        <f>[1]!bodmoadal(1,1,(QK78+1),[1]!qsn([1]!ml([1]!taqsha(1,1,1+QK78,QK79)),QK80)/30,QK79,QK80)</f>
        <v>#VALUE!</v>
      </c>
      <c r="QL85" s="962" t="e">
        <f>[1]!bodmoadal(1,1,(QL78+1),[1]!qsn([1]!ml([1]!taqsha(1,1,1+QL78,QL79)),QL80)/30,QL79,QL80)</f>
        <v>#VALUE!</v>
      </c>
      <c r="QM85" s="962" t="e">
        <f>[1]!bodmoadal(1,1,(QM78+1),[1]!qsn([1]!ml([1]!taqsha(1,1,1+QM78,QM79)),QM80)/30,QM79,QM80)</f>
        <v>#VALUE!</v>
      </c>
      <c r="QN85" s="962" t="e">
        <f>[1]!bodmoadal(1,1,(QN78+1),[1]!qsn([1]!ml([1]!taqsha(1,1,1+QN78,QN79)),QN80)/30,QN79,QN80)</f>
        <v>#VALUE!</v>
      </c>
      <c r="QO85" s="962" t="e">
        <f>[1]!bodmoadal(1,1,(QO78+1),[1]!qsn([1]!ml([1]!taqsha(1,1,1+QO78,QO79)),QO80)/30,QO79,QO80)</f>
        <v>#VALUE!</v>
      </c>
      <c r="QP85" s="962" t="e">
        <f>[1]!bodmoadal(1,1,(QP78+1),[1]!qsn([1]!ml([1]!taqsha(1,1,1+QP78,QP79)),QP80)/30,QP79,QP80)</f>
        <v>#VALUE!</v>
      </c>
      <c r="QQ85" s="962" t="e">
        <f>[1]!bodmoadal(1,1,(QQ78+1),[1]!qsn([1]!ml([1]!taqsha(1,1,1+QQ78,QQ79)),QQ80)/30,QQ79,QQ80)</f>
        <v>#VALUE!</v>
      </c>
      <c r="QR85" s="962" t="e">
        <f>[1]!bodmoadal(1,1,(QR78+1),[1]!qsn([1]!ml([1]!taqsha(1,1,1+QR78,QR79)),QR80)/30,QR79,QR80)</f>
        <v>#VALUE!</v>
      </c>
      <c r="QS85" s="962" t="e">
        <f>[1]!bodmoadal(1,1,(QS78+1),[1]!qsn([1]!ml([1]!taqsha(1,1,1+QS78,QS79)),QS80)/30,QS79,QS80)</f>
        <v>#VALUE!</v>
      </c>
      <c r="QT85" s="962" t="e">
        <f>[1]!bodmoadal(1,1,(QT78+1),[1]!qsn([1]!ml([1]!taqsha(1,1,1+QT78,QT79)),QT80)/30,QT79,QT80)</f>
        <v>#VALUE!</v>
      </c>
      <c r="QU85" s="962" t="e">
        <f>[1]!bodmoadal(1,1,(QU78+1),[1]!qsn([1]!ml([1]!taqsha(1,1,1+QU78,QU79)),QU80)/30,QU79,QU80)</f>
        <v>#VALUE!</v>
      </c>
      <c r="QV85" s="962" t="e">
        <f>[1]!bodmoadal(1,1,(QV78+1),[1]!qsn([1]!ml([1]!taqsha(1,1,1+QV78,QV79)),QV80)/30,QV79,QV80)</f>
        <v>#VALUE!</v>
      </c>
      <c r="QW85" s="962" t="e">
        <f>[1]!bodmoadal(1,1,(QW78+1),[1]!qsn([1]!ml([1]!taqsha(1,1,1+QW78,QW79)),QW80)/30,QW79,QW80)</f>
        <v>#VALUE!</v>
      </c>
      <c r="QX85" s="962" t="e">
        <f>[1]!bodmoadal(1,1,(QX78+1),[1]!qsn([1]!ml([1]!taqsha(1,1,1+QX78,QX79)),QX80)/30,QX79,QX80)</f>
        <v>#VALUE!</v>
      </c>
      <c r="QY85" s="962" t="e">
        <f>[1]!bodmoadal(1,1,(QY78+1),[1]!qsn([1]!ml([1]!taqsha(1,1,1+QY78,QY79)),QY80)/30,QY79,QY80)</f>
        <v>#VALUE!</v>
      </c>
      <c r="QZ85" s="962" t="e">
        <f>[1]!bodmoadal(1,1,(QZ78+1),[1]!qsn([1]!ml([1]!taqsha(1,1,1+QZ78,QZ79)),QZ80)/30,QZ79,QZ80)</f>
        <v>#VALUE!</v>
      </c>
      <c r="RA85" s="963" t="e">
        <f>[1]!bodmoadal(1,1,(RA78+1),[1]!qsn([1]!ml([1]!taqsha(1,1,1+RA78,RA79)),RA80)/30,RA79,RA80)</f>
        <v>#VALUE!</v>
      </c>
      <c r="RB85" s="797"/>
      <c r="RC85" s="797"/>
    </row>
    <row r="86" spans="2:471" ht="17.25">
      <c r="B86" s="2"/>
      <c r="C86" s="2">
        <v>1204</v>
      </c>
      <c r="D86" s="2">
        <f>MOD(C86,7)</f>
        <v>0</v>
      </c>
      <c r="E86" s="2" t="str">
        <f>IF(D86=4,"جمعه",IF(D86=3,"پنج شنبه",IF(D86=2,"چهارشنبه",IF(D86=1,"سه شنبه",IF(D86=0,"دو شنبه",IF(D86=6,"یک شنبه","شنبه"))))))</f>
        <v>دو شنبه</v>
      </c>
      <c r="F86" s="2"/>
      <c r="G86" s="2"/>
      <c r="H86" s="2" t="s">
        <v>59</v>
      </c>
      <c r="I86" s="2"/>
      <c r="J86" s="2"/>
      <c r="K86" s="2"/>
      <c r="L86" s="2"/>
      <c r="M86" s="2"/>
      <c r="N86" s="2"/>
      <c r="O86" s="2"/>
      <c r="P86" s="2" t="s">
        <v>17</v>
      </c>
      <c r="Q86" s="2" t="str">
        <f t="shared" ref="Q86:AC86" si="817">IF(Q87=3,"جمعه",IF(Q87=2,"پنج شنبه",IF(Q87=1,"چهارشنبه",IF(Q87=0,"سه شنبه",IF(Q87=6,"دو شنبه",IF(Q87=5,"یک شنبه","شنبه"))))))</f>
        <v>چهارشنبه</v>
      </c>
      <c r="R86" s="2" t="str">
        <f t="shared" si="817"/>
        <v>شنبه</v>
      </c>
      <c r="S86" s="2" t="str">
        <f t="shared" si="817"/>
        <v>یک شنبه</v>
      </c>
      <c r="T86" s="2" t="str">
        <f t="shared" si="817"/>
        <v>سه شنبه</v>
      </c>
      <c r="U86" s="2" t="str">
        <f t="shared" si="817"/>
        <v>پنج شنبه</v>
      </c>
      <c r="V86" s="2" t="str">
        <f t="shared" si="817"/>
        <v>شنبه</v>
      </c>
      <c r="W86" s="2" t="str">
        <f t="shared" si="817"/>
        <v>دو شنبه</v>
      </c>
      <c r="X86" s="2" t="str">
        <f t="shared" si="817"/>
        <v>چهارشنبه</v>
      </c>
      <c r="Y86" s="2" t="str">
        <f t="shared" si="817"/>
        <v>جمعه</v>
      </c>
      <c r="Z86" s="2" t="str">
        <f t="shared" si="817"/>
        <v>یک شنبه</v>
      </c>
      <c r="AA86" s="2" t="str">
        <f t="shared" si="817"/>
        <v>سه شنبه</v>
      </c>
      <c r="AB86" s="2" t="str">
        <f t="shared" si="817"/>
        <v>پنج شنبه</v>
      </c>
      <c r="AC86" s="2" t="str">
        <f t="shared" si="817"/>
        <v>شنبه</v>
      </c>
      <c r="DH86" s="797"/>
      <c r="DJ86" s="959" t="e">
        <f>[1]!bodsava(1,1,(DJ78+1),[1]!qsn([1]!ml([1]!taqsha(1,1,1+DJ78,DJ79)),DJ80)/30,DJ79,DJ80)</f>
        <v>#VALUE!</v>
      </c>
      <c r="DK86" s="962" t="e">
        <f>[1]!bodsava(1,1,(DK78+1),[1]!qsn([1]!ml([1]!taqsha(1,1,1+DK78,DK79)),DK80)/30,DK79,DK80)</f>
        <v>#VALUE!</v>
      </c>
      <c r="DL86" s="962" t="e">
        <f>[1]!bodsava(1,1,(DL78+1),[1]!qsn([1]!ml([1]!taqsha(1,1,1+DL78,DL79)),DL80)/30,DL79,DL80)</f>
        <v>#VALUE!</v>
      </c>
      <c r="DM86" s="962" t="e">
        <f>[1]!bodsava(1,1,(DM78+1),[1]!qsn([1]!ml([1]!taqsha(1,1,1+DM78,DM79)),DM80)/30,DM79,DM80)</f>
        <v>#VALUE!</v>
      </c>
      <c r="DN86" s="962" t="e">
        <f>[1]!bodsava(1,1,(DN78+1),[1]!qsn([1]!ml([1]!taqsha(1,1,1+DN78,DN79)),DN80)/30,DN79,DN80)</f>
        <v>#VALUE!</v>
      </c>
      <c r="DO86" s="962" t="e">
        <f>[1]!bodsava(1,1,(DO78+1),[1]!qsn([1]!ml([1]!taqsha(1,1,1+DO78,DO79)),DO80)/30,DO79,DO80)</f>
        <v>#VALUE!</v>
      </c>
      <c r="DP86" s="962" t="e">
        <f>[1]!bodsava(1,1,(DP78+1),[1]!qsn([1]!ml([1]!taqsha(1,1,1+DP78,DP79)),DP80)/30,DP79,DP80)</f>
        <v>#VALUE!</v>
      </c>
      <c r="DQ86" s="962" t="e">
        <f>[1]!bodsava(1,1,(DQ78+1),[1]!qsn([1]!ml([1]!taqsha(1,1,1+DQ78,DQ79)),DQ80)/30,DQ79,DQ80)</f>
        <v>#VALUE!</v>
      </c>
      <c r="DR86" s="962" t="e">
        <f>[1]!bodsava(1,1,(DR78+1),[1]!qsn([1]!ml([1]!taqsha(1,1,1+DR78,DR79)),DR80)/30,DR79,DR80)</f>
        <v>#VALUE!</v>
      </c>
      <c r="DS86" s="962" t="e">
        <f>[1]!bodsava(1,1,(DS78+1),[1]!qsn([1]!ml([1]!taqsha(1,1,1+DS78,DS79)),DS80)/30,DS79,DS80)</f>
        <v>#VALUE!</v>
      </c>
      <c r="DT86" s="962" t="e">
        <f>[1]!bodsava(1,1,(DT78+1),[1]!qsn([1]!ml([1]!taqsha(1,1,1+DT78,DT79)),DT80)/30,DT79,DT80)</f>
        <v>#VALUE!</v>
      </c>
      <c r="DU86" s="962" t="e">
        <f>[1]!bodsava(1,1,(DU78+1),[1]!qsn([1]!ml([1]!taqsha(1,1,1+DU78,DU79)),DU80)/30,DU79,DU80)</f>
        <v>#VALUE!</v>
      </c>
      <c r="DV86" s="962" t="e">
        <f>[1]!bodsava(1,1,(DV78+1),[1]!qsn([1]!ml([1]!taqsha(1,1,1+DV78,DV79)),DV80)/30,DV79,DV80)</f>
        <v>#VALUE!</v>
      </c>
      <c r="DW86" s="962" t="e">
        <f>[1]!bodsava(1,1,(DW78+1),[1]!qsn([1]!ml([1]!taqsha(1,1,1+DW78,DW79)),DW80)/30,DW79,DW80)</f>
        <v>#VALUE!</v>
      </c>
      <c r="DX86" s="962" t="e">
        <f>[1]!bodsava(1,1,(DX78+1),[1]!qsn([1]!ml([1]!taqsha(1,1,1+DX78,DX79)),DX80)/30,DX79,DX80)</f>
        <v>#VALUE!</v>
      </c>
      <c r="DY86" s="962" t="e">
        <f>[1]!bodsava(1,1,(DY78+1),[1]!qsn([1]!ml([1]!taqsha(1,1,1+DY78,DY79)),DY80)/30,DY79,DY80)</f>
        <v>#VALUE!</v>
      </c>
      <c r="DZ86" s="962" t="e">
        <f>[1]!bodsava(1,1,(DZ78+1),[1]!qsn([1]!ml([1]!taqsha(1,1,1+DZ78,DZ79)),DZ80)/30,DZ79,DZ80)</f>
        <v>#VALUE!</v>
      </c>
      <c r="EA86" s="962" t="e">
        <f>[1]!bodsava(1,1,(EA78+1),[1]!qsn([1]!ml([1]!taqsha(1,1,1+EA78,EA79)),EA80)/30,EA79,EA80)</f>
        <v>#VALUE!</v>
      </c>
      <c r="EB86" s="962" t="e">
        <f>[1]!bodsava(1,1,(EB78+1),[1]!qsn([1]!ml([1]!taqsha(1,1,1+EB78,EB79)),EB80)/30,EB79,EB80)</f>
        <v>#VALUE!</v>
      </c>
      <c r="EC86" s="962" t="e">
        <f>[1]!bodsava(1,1,(EC78+1),[1]!qsn([1]!ml([1]!taqsha(1,1,1+EC78,EC79)),EC80)/30,EC79,EC80)</f>
        <v>#VALUE!</v>
      </c>
      <c r="ED86" s="962" t="e">
        <f>[1]!bodsava(1,1,(ED78+1),[1]!qsn([1]!ml([1]!taqsha(1,1,1+ED78,ED79)),ED80)/30,ED79,ED80)</f>
        <v>#VALUE!</v>
      </c>
      <c r="EE86" s="962" t="e">
        <f>[1]!bodsava(1,1,(EE78+1),[1]!qsn([1]!ml([1]!taqsha(1,1,1+EE78,EE79)),EE80)/30,EE79,EE80)</f>
        <v>#VALUE!</v>
      </c>
      <c r="EF86" s="962" t="e">
        <f>[1]!bodsava(1,1,(EF78+1),[1]!qsn([1]!ml([1]!taqsha(1,1,1+EF78,EF79)),EF80)/30,EF79,EF80)</f>
        <v>#VALUE!</v>
      </c>
      <c r="EG86" s="962" t="e">
        <f>[1]!bodsava(1,1,(EG78+1),[1]!qsn([1]!ml([1]!taqsha(1,1,1+EG78,EG79)),EG80)/30,EG79,EG80)</f>
        <v>#VALUE!</v>
      </c>
      <c r="EH86" s="962" t="e">
        <f>[1]!bodsava(1,1,(EH78+1),[1]!qsn([1]!ml([1]!taqsha(1,1,1+EH78,EH79)),EH80)/30,EH79,EH80)</f>
        <v>#VALUE!</v>
      </c>
      <c r="EI86" s="962" t="e">
        <f>[1]!bodsava(1,1,(EI78+1),[1]!qsn([1]!ml([1]!taqsha(1,1,1+EI78,EI79)),EI80)/30,EI79,EI80)</f>
        <v>#VALUE!</v>
      </c>
      <c r="EJ86" s="962" t="e">
        <f>[1]!bodsava(1,1,(EJ78+1),[1]!qsn([1]!ml([1]!taqsha(1,1,1+EJ78,EJ79)),EJ80)/30,EJ79,EJ80)</f>
        <v>#VALUE!</v>
      </c>
      <c r="EK86" s="962" t="e">
        <f>[1]!bodsava(1,1,(EK78+1),[1]!qsn([1]!ml([1]!taqsha(1,1,1+EK78,EK79)),EK80)/30,EK79,EK80)</f>
        <v>#VALUE!</v>
      </c>
      <c r="EL86" s="962" t="e">
        <f>[1]!bodsava(1,1,(EL78+1),[1]!qsn([1]!ml([1]!taqsha(1,1,1+EL78,EL79)),EL80)/30,EL79,EL80)</f>
        <v>#VALUE!</v>
      </c>
      <c r="EM86" s="962" t="e">
        <f>[1]!bodsava(1,1,(EM78+1),[1]!qsn([1]!ml([1]!taqsha(1,1,1+EM78,EM79)),EM80)/30,EM79,EM80)</f>
        <v>#VALUE!</v>
      </c>
      <c r="EN86" s="962" t="e">
        <f>[1]!bodsava(1,1,(EN78+1),[1]!qsn([1]!ml([1]!taqsha(1,1,1+EN78,EN79)),EN80)/30,EN79,EN80)</f>
        <v>#VALUE!</v>
      </c>
      <c r="EO86" s="962" t="e">
        <f>[1]!bodsava(1,1,(EO78+1),[1]!qsn([1]!ml([1]!taqsha(1,1,1+EO78,EO79)),EO80)/30,EO79,EO80)</f>
        <v>#VALUE!</v>
      </c>
      <c r="EP86" s="962" t="e">
        <f>[1]!bodsava(1,1,(EP78+1),[1]!qsn([1]!ml([1]!taqsha(1,1,1+EP78,EP79)),EP80)/30,EP79,EP80)</f>
        <v>#VALUE!</v>
      </c>
      <c r="EQ86" s="962" t="e">
        <f>[1]!bodsava(1,1,(EQ78+1),[1]!qsn([1]!ml([1]!taqsha(1,1,1+EQ78,EQ79)),EQ80)/30,EQ79,EQ80)</f>
        <v>#VALUE!</v>
      </c>
      <c r="ER86" s="962" t="e">
        <f>[1]!bodsava(1,1,(ER78+1),[1]!qsn([1]!ml([1]!taqsha(1,1,1+ER78,ER79)),ER80)/30,ER79,ER80)</f>
        <v>#VALUE!</v>
      </c>
      <c r="ES86" s="962" t="e">
        <f>[1]!bodsava(1,1,(ES78+1),[1]!qsn([1]!ml([1]!taqsha(1,1,1+ES78,ES79)),ES80)/30,ES79,ES80)</f>
        <v>#VALUE!</v>
      </c>
      <c r="ET86" s="962" t="e">
        <f>[1]!bodsava(1,1,(ET78+1),[1]!qsn([1]!ml([1]!taqsha(1,1,1+ET78,ET79)),ET80)/30,ET79,ET80)</f>
        <v>#VALUE!</v>
      </c>
      <c r="EU86" s="962" t="e">
        <f>[1]!bodsava(1,1,(EU78+1),[1]!qsn([1]!ml([1]!taqsha(1,1,1+EU78,EU79)),EU80)/30,EU79,EU80)</f>
        <v>#VALUE!</v>
      </c>
      <c r="EV86" s="962" t="e">
        <f>[1]!bodsava(1,1,(EV78+1),[1]!qsn([1]!ml([1]!taqsha(1,1,1+EV78,EV79)),EV80)/30,EV79,EV80)</f>
        <v>#VALUE!</v>
      </c>
      <c r="EW86" s="962" t="e">
        <f>[1]!bodsava(1,1,(EW78+1),[1]!qsn([1]!ml([1]!taqsha(1,1,1+EW78,EW79)),EW80)/30,EW79,EW80)</f>
        <v>#VALUE!</v>
      </c>
      <c r="EX86" s="962" t="e">
        <f>[1]!bodsava(1,1,(EX78+1),[1]!qsn([1]!ml([1]!taqsha(1,1,1+EX78,EX79)),EX80)/30,EX79,EX80)</f>
        <v>#VALUE!</v>
      </c>
      <c r="EY86" s="962" t="e">
        <f>[1]!bodsava(1,1,(EY78+1),[1]!qsn([1]!ml([1]!taqsha(1,1,1+EY78,EY79)),EY80)/30,EY79,EY80)</f>
        <v>#VALUE!</v>
      </c>
      <c r="EZ86" s="962" t="e">
        <f>[1]!bodsava(1,1,(EZ78+1),[1]!qsn([1]!ml([1]!taqsha(1,1,1+EZ78,EZ79)),EZ80)/30,EZ79,EZ80)</f>
        <v>#VALUE!</v>
      </c>
      <c r="FA86" s="962" t="e">
        <f>[1]!bodsava(1,1,(FA78+1),[1]!qsn([1]!ml([1]!taqsha(1,1,1+FA78,FA79)),FA80)/30,FA79,FA80)</f>
        <v>#VALUE!</v>
      </c>
      <c r="FB86" s="962" t="e">
        <f>[1]!bodsava(1,1,(FB78+1),[1]!qsn([1]!ml([1]!taqsha(1,1,1+FB78,FB79)),FB80)/30,FB79,FB80)</f>
        <v>#VALUE!</v>
      </c>
      <c r="FC86" s="962" t="e">
        <f>[1]!bodsava(1,1,(FC78+1),[1]!qsn([1]!ml([1]!taqsha(1,1,1+FC78,FC79)),FC80)/30,FC79,FC80)</f>
        <v>#VALUE!</v>
      </c>
      <c r="FD86" s="962" t="e">
        <f>[1]!bodsava(1,1,(FD78+1),[1]!qsn([1]!ml([1]!taqsha(1,1,1+FD78,FD79)),FD80)/30,FD79,FD80)</f>
        <v>#VALUE!</v>
      </c>
      <c r="FE86" s="962" t="e">
        <f>[1]!bodsava(1,1,(FE78+1),[1]!qsn([1]!ml([1]!taqsha(1,1,1+FE78,FE79)),FE80)/30,FE79,FE80)</f>
        <v>#VALUE!</v>
      </c>
      <c r="FF86" s="962" t="e">
        <f>[1]!bodsava(1,1,(FF78+1),[1]!qsn([1]!ml([1]!taqsha(1,1,1+FF78,FF79)),FF80)/30,FF79,FF80)</f>
        <v>#VALUE!</v>
      </c>
      <c r="FG86" s="962" t="e">
        <f>[1]!bodsava(1,1,(FG78+1),[1]!qsn([1]!ml([1]!taqsha(1,1,1+FG78,FG79)),FG80)/30,FG79,FG80)</f>
        <v>#VALUE!</v>
      </c>
      <c r="FH86" s="962" t="e">
        <f>[1]!bodsava(1,1,(FH78+1),[1]!qsn([1]!ml([1]!taqsha(1,1,1+FH78,FH79)),FH80)/30,FH79,FH80)</f>
        <v>#VALUE!</v>
      </c>
      <c r="FI86" s="962" t="e">
        <f>[1]!bodsava(1,1,(FI78+1),[1]!qsn([1]!ml([1]!taqsha(1,1,1+FI78,FI79)),FI80)/30,FI79,FI80)</f>
        <v>#VALUE!</v>
      </c>
      <c r="FJ86" s="962" t="e">
        <f>[1]!bodsava(1,1,(FJ78+1),[1]!qsn([1]!ml([1]!taqsha(1,1,1+FJ78,FJ79)),FJ80)/30,FJ79,FJ80)</f>
        <v>#VALUE!</v>
      </c>
      <c r="FK86" s="962" t="e">
        <f>[1]!bodsava(1,1,(FK78+1),[1]!qsn([1]!ml([1]!taqsha(1,1,1+FK78,FK79)),FK80)/30,FK79,FK80)</f>
        <v>#VALUE!</v>
      </c>
      <c r="FL86" s="962" t="e">
        <f>[1]!bodsava(1,1,(FL78+1),[1]!qsn([1]!ml([1]!taqsha(1,1,1+FL78,FL79)),FL80)/30,FL79,FL80)</f>
        <v>#VALUE!</v>
      </c>
      <c r="FM86" s="962" t="e">
        <f>[1]!bodsava(1,1,(FM78+1),[1]!qsn([1]!ml([1]!taqsha(1,1,1+FM78,FM79)),FM80)/30,FM79,FM80)</f>
        <v>#VALUE!</v>
      </c>
      <c r="FN86" s="962" t="e">
        <f>[1]!bodsava(1,1,(FN78+1),[1]!qsn([1]!ml([1]!taqsha(1,1,1+FN78,FN79)),FN80)/30,FN79,FN80)</f>
        <v>#VALUE!</v>
      </c>
      <c r="FO86" s="962" t="e">
        <f>[1]!bodsava(1,1,(FO78+1),[1]!qsn([1]!ml([1]!taqsha(1,1,1+FO78,FO79)),FO80)/30,FO79,FO80)</f>
        <v>#VALUE!</v>
      </c>
      <c r="FP86" s="962" t="e">
        <f>[1]!bodsava(1,1,(FP78+1),[1]!qsn([1]!ml([1]!taqsha(1,1,1+FP78,FP79)),FP80)/30,FP79,FP80)</f>
        <v>#VALUE!</v>
      </c>
      <c r="FQ86" s="962" t="e">
        <f>[1]!bodsava(1,1,(FQ78+1),[1]!qsn([1]!ml([1]!taqsha(1,1,1+FQ78,FQ79)),FQ80)/30,FQ79,FQ80)</f>
        <v>#VALUE!</v>
      </c>
      <c r="FR86" s="962" t="e">
        <f>[1]!bodsava(1,1,(FR78+1),[1]!qsn([1]!ml([1]!taqsha(1,1,1+FR78,FR79)),FR80)/30,FR79,FR80)</f>
        <v>#VALUE!</v>
      </c>
      <c r="FS86" s="962" t="e">
        <f>[1]!bodsava(1,1,(FS78+1),[1]!qsn([1]!ml([1]!taqsha(1,1,1+FS78,FS79)),FS80)/30,FS79,FS80)</f>
        <v>#VALUE!</v>
      </c>
      <c r="FT86" s="962" t="e">
        <f>[1]!bodsava(1,1,(FT78+1),[1]!qsn([1]!ml([1]!taqsha(1,1,1+FT78,FT79)),FT80)/30,FT79,FT80)</f>
        <v>#VALUE!</v>
      </c>
      <c r="FU86" s="962" t="e">
        <f>[1]!bodsava(1,1,(FU78+1),[1]!qsn([1]!ml([1]!taqsha(1,1,1+FU78,FU79)),FU80)/30,FU79,FU80)</f>
        <v>#VALUE!</v>
      </c>
      <c r="FV86" s="962" t="e">
        <f>[1]!bodsava(1,1,(FV78+1),[1]!qsn([1]!ml([1]!taqsha(1,1,1+FV78,FV79)),FV80)/30,FV79,FV80)</f>
        <v>#VALUE!</v>
      </c>
      <c r="FW86" s="962" t="e">
        <f>[1]!bodsava(1,1,(FW78+1),[1]!qsn([1]!ml([1]!taqsha(1,1,1+FW78,FW79)),FW80)/30,FW79,FW80)</f>
        <v>#VALUE!</v>
      </c>
      <c r="FX86" s="962" t="e">
        <f>[1]!bodsava(1,1,(FX78+1),[1]!qsn([1]!ml([1]!taqsha(1,1,1+FX78,FX79)),FX80)/30,FX79,FX80)</f>
        <v>#VALUE!</v>
      </c>
      <c r="FY86" s="962" t="e">
        <f>[1]!bodsava(1,1,(FY78+1),[1]!qsn([1]!ml([1]!taqsha(1,1,1+FY78,FY79)),FY80)/30,FY79,FY80)</f>
        <v>#VALUE!</v>
      </c>
      <c r="FZ86" s="962" t="e">
        <f>[1]!bodsava(1,1,(FZ78+1),[1]!qsn([1]!ml([1]!taqsha(1,1,1+FZ78,FZ79)),FZ80)/30,FZ79,FZ80)</f>
        <v>#VALUE!</v>
      </c>
      <c r="GA86" s="962" t="e">
        <f>[1]!bodsava(1,1,(GA78+1),[1]!qsn([1]!ml([1]!taqsha(1,1,1+GA78,GA79)),GA80)/30,GA79,GA80)</f>
        <v>#VALUE!</v>
      </c>
      <c r="GB86" s="962" t="e">
        <f>[1]!bodsava(1,1,(GB78+1),[1]!qsn([1]!ml([1]!taqsha(1,1,1+GB78,GB79)),GB80)/30,GB79,GB80)</f>
        <v>#VALUE!</v>
      </c>
      <c r="GC86" s="962" t="e">
        <f>[1]!bodsava(1,1,(GC78+1),[1]!qsn([1]!ml([1]!taqsha(1,1,1+GC78,GC79)),GC80)/30,GC79,GC80)</f>
        <v>#VALUE!</v>
      </c>
      <c r="GD86" s="962" t="e">
        <f>[1]!bodsava(1,1,(GD78+1),[1]!qsn([1]!ml([1]!taqsha(1,1,1+GD78,GD79)),GD80)/30,GD79,GD80)</f>
        <v>#VALUE!</v>
      </c>
      <c r="GE86" s="962" t="e">
        <f>[1]!bodsava(1,1,(GE78+1),[1]!qsn([1]!ml([1]!taqsha(1,1,1+GE78,GE79)),GE80)/30,GE79,GE80)</f>
        <v>#VALUE!</v>
      </c>
      <c r="GF86" s="962" t="e">
        <f>[1]!bodsava(1,1,(GF78+1),[1]!qsn([1]!ml([1]!taqsha(1,1,1+GF78,GF79)),GF80)/30,GF79,GF80)</f>
        <v>#VALUE!</v>
      </c>
      <c r="GG86" s="962" t="e">
        <f>[1]!bodsava(1,1,(GG78+1),[1]!qsn([1]!ml([1]!taqsha(1,1,1+GG78,GG79)),GG80)/30,GG79,GG80)</f>
        <v>#VALUE!</v>
      </c>
      <c r="GH86" s="962" t="e">
        <f>[1]!bodsava(1,1,(GH78+1),[1]!qsn([1]!ml([1]!taqsha(1,1,1+GH78,GH79)),GH80)/30,GH79,GH80)</f>
        <v>#VALUE!</v>
      </c>
      <c r="GI86" s="962" t="e">
        <f>[1]!bodsava(1,1,(GI78+1),[1]!qsn([1]!ml([1]!taqsha(1,1,1+GI78,GI79)),GI80)/30,GI79,GI80)</f>
        <v>#VALUE!</v>
      </c>
      <c r="GJ86" s="962" t="e">
        <f>[1]!bodsava(1,1,(GJ78+1),[1]!qsn([1]!ml([1]!taqsha(1,1,1+GJ78,GJ79)),GJ80)/30,GJ79,GJ80)</f>
        <v>#VALUE!</v>
      </c>
      <c r="GK86" s="962" t="e">
        <f>[1]!bodsava(1,1,(GK78+1),[1]!qsn([1]!ml([1]!taqsha(1,1,1+GK78,GK79)),GK80)/30,GK79,GK80)</f>
        <v>#VALUE!</v>
      </c>
      <c r="GL86" s="962" t="e">
        <f>[1]!bodsava(1,1,(GL78+1),[1]!qsn([1]!ml([1]!taqsha(1,1,1+GL78,GL79)),GL80)/30,GL79,GL80)</f>
        <v>#VALUE!</v>
      </c>
      <c r="GM86" s="962" t="e">
        <f>[1]!bodsava(1,1,(GM78+1),[1]!qsn([1]!ml([1]!taqsha(1,1,1+GM78,GM79)),GM80)/30,GM79,GM80)</f>
        <v>#VALUE!</v>
      </c>
      <c r="GN86" s="962" t="e">
        <f>[1]!bodsava(1,1,(GN78+1),[1]!qsn([1]!ml([1]!taqsha(1,1,1+GN78,GN79)),GN80)/30,GN79,GN80)</f>
        <v>#VALUE!</v>
      </c>
      <c r="GO86" s="962" t="e">
        <f>[1]!bodsava(1,1,(GO78+1),[1]!qsn([1]!ml([1]!taqsha(1,1,1+GO78,GO79)),GO80)/30,GO79,GO80)</f>
        <v>#VALUE!</v>
      </c>
      <c r="GP86" s="962" t="e">
        <f>[1]!bodsava(1,1,(GP78+1),[1]!qsn([1]!ml([1]!taqsha(1,1,1+GP78,GP79)),GP80)/30,GP79,GP80)</f>
        <v>#VALUE!</v>
      </c>
      <c r="GQ86" s="962" t="e">
        <f>[1]!bodsava(1,1,(GQ78+1),[1]!qsn([1]!ml([1]!taqsha(1,1,1+GQ78,GQ79)),GQ80)/30,GQ79,GQ80)</f>
        <v>#VALUE!</v>
      </c>
      <c r="GR86" s="962" t="e">
        <f>[1]!bodsava(1,1,(GR78+1),[1]!qsn([1]!ml([1]!taqsha(1,1,1+GR78,GR79)),GR80)/30,GR79,GR80)</f>
        <v>#VALUE!</v>
      </c>
      <c r="GS86" s="962" t="e">
        <f>[1]!bodsava(1,1,(GS78+1),[1]!qsn([1]!ml([1]!taqsha(1,1,1+GS78,GS79)),GS80)/30,GS79,GS80)</f>
        <v>#VALUE!</v>
      </c>
      <c r="GT86" s="962" t="e">
        <f>[1]!bodsava(1,1,(GT78+1),[1]!qsn([1]!ml([1]!taqsha(1,1,1+GT78,GT79)),GT80)/30,GT79,GT80)</f>
        <v>#VALUE!</v>
      </c>
      <c r="GU86" s="962" t="e">
        <f>[1]!bodsava(1,1,(GU78+1),[1]!qsn([1]!ml([1]!taqsha(1,1,1+GU78,GU79)),GU80)/30,GU79,GU80)</f>
        <v>#VALUE!</v>
      </c>
      <c r="GV86" s="962" t="e">
        <f>[1]!bodsava(1,1,(GV78+1),[1]!qsn([1]!ml([1]!taqsha(1,1,1+GV78,GV79)),GV80)/30,GV79,GV80)</f>
        <v>#VALUE!</v>
      </c>
      <c r="GW86" s="962" t="e">
        <f>[1]!bodsava(1,1,(GW78+1),[1]!qsn([1]!ml([1]!taqsha(1,1,1+GW78,GW79)),GW80)/30,GW79,GW80)</f>
        <v>#VALUE!</v>
      </c>
      <c r="GX86" s="962" t="e">
        <f>[1]!bodsava(1,1,(GX78+1),[1]!qsn([1]!ml([1]!taqsha(1,1,1+GX78,GX79)),GX80)/30,GX79,GX80)</f>
        <v>#VALUE!</v>
      </c>
      <c r="GY86" s="962" t="e">
        <f>[1]!bodsava(1,1,(GY78+1),[1]!qsn([1]!ml([1]!taqsha(1,1,1+GY78,GY79)),GY80)/30,GY79,GY80)</f>
        <v>#VALUE!</v>
      </c>
      <c r="GZ86" s="962" t="e">
        <f>[1]!bodsava(1,1,(GZ78+1),[1]!qsn([1]!ml([1]!taqsha(1,1,1+GZ78,GZ79)),GZ80)/30,GZ79,GZ80)</f>
        <v>#VALUE!</v>
      </c>
      <c r="HA86" s="962" t="e">
        <f>[1]!bodsava(1,1,(HA78+1),[1]!qsn([1]!ml([1]!taqsha(1,1,1+HA78,HA79)),HA80)/30,HA79,HA80)</f>
        <v>#VALUE!</v>
      </c>
      <c r="HB86" s="962" t="e">
        <f>[1]!bodsava(1,1,(HB78+1),[1]!qsn([1]!ml([1]!taqsha(1,1,1+HB78,HB79)),HB80)/30,HB79,HB80)</f>
        <v>#VALUE!</v>
      </c>
      <c r="HC86" s="962" t="e">
        <f>[1]!bodsava(1,1,(HC78+1),[1]!qsn([1]!ml([1]!taqsha(1,1,1+HC78,HC79)),HC80)/30,HC79,HC80)</f>
        <v>#VALUE!</v>
      </c>
      <c r="HD86" s="962" t="e">
        <f>[1]!bodsava(1,1,(HD78+1),[1]!qsn([1]!ml([1]!taqsha(1,1,1+HD78,HD79)),HD80)/30,HD79,HD80)</f>
        <v>#VALUE!</v>
      </c>
      <c r="HE86" s="962" t="e">
        <f>[1]!bodsava(1,1,(HE78+1),[1]!qsn([1]!ml([1]!taqsha(1,1,1+HE78,HE79)),HE80)/30,HE79,HE80)</f>
        <v>#VALUE!</v>
      </c>
      <c r="HF86" s="962" t="e">
        <f>[1]!bodsava(1,1,(HF78+1),[1]!qsn([1]!ml([1]!taqsha(1,1,1+HF78,HF79)),HF80)/30,HF79,HF80)</f>
        <v>#VALUE!</v>
      </c>
      <c r="HG86" s="962" t="e">
        <f>[1]!bodsava(1,1,(HG78+1),[1]!qsn([1]!ml([1]!taqsha(1,1,1+HG78,HG79)),HG80)/30,HG79,HG80)</f>
        <v>#VALUE!</v>
      </c>
      <c r="HH86" s="962" t="e">
        <f>[1]!bodsava(1,1,(HH78+1),[1]!qsn([1]!ml([1]!taqsha(1,1,1+HH78,HH79)),HH80)/30,HH79,HH80)</f>
        <v>#VALUE!</v>
      </c>
      <c r="HI86" s="962" t="e">
        <f>[1]!bodsava(1,1,(HI78+1),[1]!qsn([1]!ml([1]!taqsha(1,1,1+HI78,HI79)),HI80)/30,HI79,HI80)</f>
        <v>#VALUE!</v>
      </c>
      <c r="HJ86" s="962" t="e">
        <f>[1]!bodsava(1,1,(HJ78+1),[1]!qsn([1]!ml([1]!taqsha(1,1,1+HJ78,HJ79)),HJ80)/30,HJ79,HJ80)</f>
        <v>#VALUE!</v>
      </c>
      <c r="HK86" s="962" t="e">
        <f>[1]!bodsava(1,1,(HK78+1),[1]!qsn([1]!ml([1]!taqsha(1,1,1+HK78,HK79)),HK80)/30,HK79,HK80)</f>
        <v>#VALUE!</v>
      </c>
      <c r="HL86" s="962" t="e">
        <f>[1]!bodsava(1,1,(HL78+1),[1]!qsn([1]!ml([1]!taqsha(1,1,1+HL78,HL79)),HL80)/30,HL79,HL80)</f>
        <v>#VALUE!</v>
      </c>
      <c r="HM86" s="962" t="e">
        <f>[1]!bodsava(1,1,(HM78+1),[1]!qsn([1]!ml([1]!taqsha(1,1,1+HM78,HM79)),HM80)/30,HM79,HM80)</f>
        <v>#VALUE!</v>
      </c>
      <c r="HN86" s="962" t="e">
        <f>[1]!bodsava(1,1,(HN78+1),[1]!qsn([1]!ml([1]!taqsha(1,1,1+HN78,HN79)),HN80)/30,HN79,HN80)</f>
        <v>#VALUE!</v>
      </c>
      <c r="HO86" s="962" t="e">
        <f>[1]!bodsava(1,1,(HO78+1),[1]!qsn([1]!ml([1]!taqsha(1,1,1+HO78,HO79)),HO80)/30,HO79,HO80)</f>
        <v>#VALUE!</v>
      </c>
      <c r="HP86" s="962" t="e">
        <f>[1]!bodsava(1,1,(HP78+1),[1]!qsn([1]!ml([1]!taqsha(1,1,1+HP78,HP79)),HP80)/30,HP79,HP80)</f>
        <v>#VALUE!</v>
      </c>
      <c r="HQ86" s="962" t="e">
        <f>[1]!bodsava(1,1,(HQ78+1),[1]!qsn([1]!ml([1]!taqsha(1,1,1+HQ78,HQ79)),HQ80)/30,HQ79,HQ80)</f>
        <v>#VALUE!</v>
      </c>
      <c r="HR86" s="962" t="e">
        <f>[1]!bodsava(1,1,(HR78+1),[1]!qsn([1]!ml([1]!taqsha(1,1,1+HR78,HR79)),HR80)/30,HR79,HR80)</f>
        <v>#VALUE!</v>
      </c>
      <c r="HS86" s="962" t="e">
        <f>[1]!bodsava(1,1,(HS78+1),[1]!qsn([1]!ml([1]!taqsha(1,1,1+HS78,HS79)),HS80)/30,HS79,HS80)</f>
        <v>#VALUE!</v>
      </c>
      <c r="HT86" s="962" t="e">
        <f>[1]!bodsava(1,1,(HT78+1),[1]!qsn([1]!ml([1]!taqsha(1,1,1+HT78,HT79)),HT80)/30,HT79,HT80)</f>
        <v>#VALUE!</v>
      </c>
      <c r="HU86" s="962" t="e">
        <f>[1]!bodsava(1,1,(HU78+1),[1]!qsn([1]!ml([1]!taqsha(1,1,1+HU78,HU79)),HU80)/30,HU79,HU80)</f>
        <v>#VALUE!</v>
      </c>
      <c r="HV86" s="962" t="e">
        <f>[1]!bodsava(1,1,(HV78+1),[1]!qsn([1]!ml([1]!taqsha(1,1,1+HV78,HV79)),HV80)/30,HV79,HV80)</f>
        <v>#VALUE!</v>
      </c>
      <c r="HW86" s="962" t="e">
        <f>[1]!bodsava(1,1,(HW78+1),[1]!qsn([1]!ml([1]!taqsha(1,1,1+HW78,HW79)),HW80)/30,HW79,HW80)</f>
        <v>#VALUE!</v>
      </c>
      <c r="HX86" s="962" t="e">
        <f>[1]!bodsava(1,1,(HX78+1),[1]!qsn([1]!ml([1]!taqsha(1,1,1+HX78,HX79)),HX80)/30,HX79,HX80)</f>
        <v>#VALUE!</v>
      </c>
      <c r="HY86" s="962" t="e">
        <f>[1]!bodsava(1,1,(HY78+1),[1]!qsn([1]!ml([1]!taqsha(1,1,1+HY78,HY79)),HY80)/30,HY79,HY80)</f>
        <v>#VALUE!</v>
      </c>
      <c r="HZ86" s="962" t="e">
        <f>[1]!bodsava(1,1,(HZ78+1),[1]!qsn([1]!ml([1]!taqsha(1,1,1+HZ78,HZ79)),HZ80)/30,HZ79,HZ80)</f>
        <v>#VALUE!</v>
      </c>
      <c r="IA86" s="962" t="e">
        <f>[1]!bodsava(1,1,(IA78+1),[1]!qsn([1]!ml([1]!taqsha(1,1,1+IA78,IA79)),IA80)/30,IA79,IA80)</f>
        <v>#VALUE!</v>
      </c>
      <c r="IB86" s="962" t="e">
        <f>[1]!bodsava(1,1,(IB78+1),[1]!qsn([1]!ml([1]!taqsha(1,1,1+IB78,IB79)),IB80)/30,IB79,IB80)</f>
        <v>#VALUE!</v>
      </c>
      <c r="IC86" s="962" t="e">
        <f>[1]!bodsava(1,1,(IC78+1),[1]!qsn([1]!ml([1]!taqsha(1,1,1+IC78,IC79)),IC80)/30,IC79,IC80)</f>
        <v>#VALUE!</v>
      </c>
      <c r="ID86" s="962" t="e">
        <f>[1]!bodsava(1,1,(ID78+1),[1]!qsn([1]!ml([1]!taqsha(1,1,1+ID78,ID79)),ID80)/30,ID79,ID80)</f>
        <v>#VALUE!</v>
      </c>
      <c r="IE86" s="962" t="e">
        <f>[1]!bodsava(1,1,(IE78+1),[1]!qsn([1]!ml([1]!taqsha(1,1,1+IE78,IE79)),IE80)/30,IE79,IE80)</f>
        <v>#VALUE!</v>
      </c>
      <c r="IF86" s="962" t="e">
        <f>[1]!bodsava(1,1,(IF78+1),[1]!qsn([1]!ml([1]!taqsha(1,1,1+IF78,IF79)),IF80)/30,IF79,IF80)</f>
        <v>#VALUE!</v>
      </c>
      <c r="IG86" s="962" t="e">
        <f>[1]!bodsava(1,1,(IG78+1),[1]!qsn([1]!ml([1]!taqsha(1,1,1+IG78,IG79)),IG80)/30,IG79,IG80)</f>
        <v>#VALUE!</v>
      </c>
      <c r="IH86" s="962" t="e">
        <f>[1]!bodsava(1,1,(IH78+1),[1]!qsn([1]!ml([1]!taqsha(1,1,1+IH78,IH79)),IH80)/30,IH79,IH80)</f>
        <v>#VALUE!</v>
      </c>
      <c r="II86" s="962" t="e">
        <f>[1]!bodsava(1,1,(II78+1),[1]!qsn([1]!ml([1]!taqsha(1,1,1+II78,II79)),II80)/30,II79,II80)</f>
        <v>#VALUE!</v>
      </c>
      <c r="IJ86" s="962" t="e">
        <f>[1]!bodsava(1,1,(IJ78+1),[1]!qsn([1]!ml([1]!taqsha(1,1,1+IJ78,IJ79)),IJ80)/30,IJ79,IJ80)</f>
        <v>#VALUE!</v>
      </c>
      <c r="IK86" s="962" t="e">
        <f>[1]!bodsava(1,1,(IK78+1),[1]!qsn([1]!ml([1]!taqsha(1,1,1+IK78,IK79)),IK80)/30,IK79,IK80)</f>
        <v>#VALUE!</v>
      </c>
      <c r="IL86" s="962" t="e">
        <f>[1]!bodsava(1,1,(IL78+1),[1]!qsn([1]!ml([1]!taqsha(1,1,1+IL78,IL79)),IL80)/30,IL79,IL80)</f>
        <v>#VALUE!</v>
      </c>
      <c r="IM86" s="962" t="e">
        <f>[1]!bodsava(1,1,(IM78+1),[1]!qsn([1]!ml([1]!taqsha(1,1,1+IM78,IM79)),IM80)/30,IM79,IM80)</f>
        <v>#VALUE!</v>
      </c>
      <c r="IN86" s="962" t="e">
        <f>[1]!bodsava(1,1,(IN78+1),[1]!qsn([1]!ml([1]!taqsha(1,1,1+IN78,IN79)),IN80)/30,IN79,IN80)</f>
        <v>#VALUE!</v>
      </c>
      <c r="IO86" s="962" t="e">
        <f>[1]!bodsava(1,1,(IO78+1),[1]!qsn([1]!ml([1]!taqsha(1,1,1+IO78,IO79)),IO80)/30,IO79,IO80)</f>
        <v>#VALUE!</v>
      </c>
      <c r="IP86" s="962" t="e">
        <f>[1]!bodsava(1,1,(IP78+1),[1]!qsn([1]!ml([1]!taqsha(1,1,1+IP78,IP79)),IP80)/30,IP79,IP80)</f>
        <v>#VALUE!</v>
      </c>
      <c r="IQ86" s="962" t="e">
        <f>[1]!bodsava(1,1,(IQ78+1),[1]!qsn([1]!ml([1]!taqsha(1,1,1+IQ78,IQ79)),IQ80)/30,IQ79,IQ80)</f>
        <v>#VALUE!</v>
      </c>
      <c r="IR86" s="962" t="e">
        <f>[1]!bodsava(1,1,(IR78+1),[1]!qsn([1]!ml([1]!taqsha(1,1,1+IR78,IR79)),IR80)/30,IR79,IR80)</f>
        <v>#VALUE!</v>
      </c>
      <c r="IS86" s="962" t="e">
        <f>[1]!bodsava(1,1,(IS78+1),[1]!qsn([1]!ml([1]!taqsha(1,1,1+IS78,IS79)),IS80)/30,IS79,IS80)</f>
        <v>#VALUE!</v>
      </c>
      <c r="IT86" s="962" t="e">
        <f>[1]!bodsava(1,1,(IT78+1),[1]!qsn([1]!ml([1]!taqsha(1,1,1+IT78,IT79)),IT80)/30,IT79,IT80)</f>
        <v>#VALUE!</v>
      </c>
      <c r="IU86" s="962" t="e">
        <f>[1]!bodsava(1,1,(IU78+1),[1]!qsn([1]!ml([1]!taqsha(1,1,1+IU78,IU79)),IU80)/30,IU79,IU80)</f>
        <v>#VALUE!</v>
      </c>
      <c r="IV86" s="962" t="e">
        <f>[1]!bodsava(1,1,(IV78+1),[1]!qsn([1]!ml([1]!taqsha(1,1,1+IV78,IV79)),IV80)/30,IV79,IV80)</f>
        <v>#VALUE!</v>
      </c>
      <c r="IW86" s="962" t="e">
        <f>[1]!bodsava(1,1,(IW78+1),[1]!qsn([1]!ml([1]!taqsha(1,1,1+IW78,IW79)),IW80)/30,IW79,IW80)</f>
        <v>#VALUE!</v>
      </c>
      <c r="IX86" s="962" t="e">
        <f>[1]!bodsava(1,1,(IX78+1),[1]!qsn([1]!ml([1]!taqsha(1,1,1+IX78,IX79)),IX80)/30,IX79,IX80)</f>
        <v>#VALUE!</v>
      </c>
      <c r="IY86" s="962" t="e">
        <f>[1]!bodsava(1,1,(IY78+1),[1]!qsn([1]!ml([1]!taqsha(1,1,1+IY78,IY79)),IY80)/30,IY79,IY80)</f>
        <v>#VALUE!</v>
      </c>
      <c r="IZ86" s="962" t="e">
        <f>[1]!bodsava(1,1,(IZ78+1),[1]!qsn([1]!ml([1]!taqsha(1,1,1+IZ78,IZ79)),IZ80)/30,IZ79,IZ80)</f>
        <v>#VALUE!</v>
      </c>
      <c r="JA86" s="962" t="e">
        <f>[1]!bodsava(1,1,(JA78+1),[1]!qsn([1]!ml([1]!taqsha(1,1,1+JA78,JA79)),JA80)/30,JA79,JA80)</f>
        <v>#VALUE!</v>
      </c>
      <c r="JB86" s="962" t="e">
        <f>[1]!bodsava(1,1,(JB78+1),[1]!qsn([1]!ml([1]!taqsha(1,1,1+JB78,JB79)),JB80)/30,JB79,JB80)</f>
        <v>#VALUE!</v>
      </c>
      <c r="JC86" s="962" t="e">
        <f>[1]!bodsava(1,1,(JC78+1),[1]!qsn([1]!ml([1]!taqsha(1,1,1+JC78,JC79)),JC80)/30,JC79,JC80)</f>
        <v>#VALUE!</v>
      </c>
      <c r="JD86" s="962" t="e">
        <f>[1]!bodsava(1,1,(JD78+1),[1]!qsn([1]!ml([1]!taqsha(1,1,1+JD78,JD79)),JD80)/30,JD79,JD80)</f>
        <v>#VALUE!</v>
      </c>
      <c r="JE86" s="962" t="e">
        <f>[1]!bodsava(1,1,(JE78+1),[1]!qsn([1]!ml([1]!taqsha(1,1,1+JE78,JE79)),JE80)/30,JE79,JE80)</f>
        <v>#VALUE!</v>
      </c>
      <c r="JF86" s="962" t="e">
        <f>[1]!bodsava(1,1,(JF78+1),[1]!qsn([1]!ml([1]!taqsha(1,1,1+JF78,JF79)),JF80)/30,JF79,JF80)</f>
        <v>#VALUE!</v>
      </c>
      <c r="JG86" s="962" t="e">
        <f>[1]!bodsava(1,1,(JG78+1),[1]!qsn([1]!ml([1]!taqsha(1,1,1+JG78,JG79)),JG80)/30,JG79,JG80)</f>
        <v>#VALUE!</v>
      </c>
      <c r="JH86" s="962" t="e">
        <f>[1]!bodsava(1,1,(JH78+1),[1]!qsn([1]!ml([1]!taqsha(1,1,1+JH78,JH79)),JH80)/30,JH79,JH80)</f>
        <v>#VALUE!</v>
      </c>
      <c r="JI86" s="962" t="e">
        <f>[1]!bodsava(1,1,(JI78+1),[1]!qsn([1]!ml([1]!taqsha(1,1,1+JI78,JI79)),JI80)/30,JI79,JI80)</f>
        <v>#VALUE!</v>
      </c>
      <c r="JJ86" s="962" t="e">
        <f>[1]!bodsava(1,1,(JJ78+1),[1]!qsn([1]!ml([1]!taqsha(1,1,1+JJ78,JJ79)),JJ80)/30,JJ79,JJ80)</f>
        <v>#VALUE!</v>
      </c>
      <c r="JK86" s="962" t="e">
        <f>[1]!bodsava(1,1,(JK78+1),[1]!qsn([1]!ml([1]!taqsha(1,1,1+JK78,JK79)),JK80)/30,JK79,JK80)</f>
        <v>#VALUE!</v>
      </c>
      <c r="JL86" s="962" t="e">
        <f>[1]!bodsava(1,1,(JL78+1),[1]!qsn([1]!ml([1]!taqsha(1,1,1+JL78,JL79)),JL80)/30,JL79,JL80)</f>
        <v>#VALUE!</v>
      </c>
      <c r="JM86" s="962" t="e">
        <f>[1]!bodsava(1,1,(JM78+1),[1]!qsn([1]!ml([1]!taqsha(1,1,1+JM78,JM79)),JM80)/30,JM79,JM80)</f>
        <v>#VALUE!</v>
      </c>
      <c r="JN86" s="962" t="e">
        <f>[1]!bodsava(1,1,(JN78+1),[1]!qsn([1]!ml([1]!taqsha(1,1,1+JN78,JN79)),JN80)/30,JN79,JN80)</f>
        <v>#VALUE!</v>
      </c>
      <c r="JO86" s="962" t="e">
        <f>[1]!bodsava(1,1,(JO78+1),[1]!qsn([1]!ml([1]!taqsha(1,1,1+JO78,JO79)),JO80)/30,JO79,JO80)</f>
        <v>#VALUE!</v>
      </c>
      <c r="JP86" s="962" t="e">
        <f>[1]!bodsava(1,1,(JP78+1),[1]!qsn([1]!ml([1]!taqsha(1,1,1+JP78,JP79)),JP80)/30,JP79,JP80)</f>
        <v>#VALUE!</v>
      </c>
      <c r="JQ86" s="962" t="e">
        <f>[1]!bodsava(1,1,(JQ78+1),[1]!qsn([1]!ml([1]!taqsha(1,1,1+JQ78,JQ79)),JQ80)/30,JQ79,JQ80)</f>
        <v>#VALUE!</v>
      </c>
      <c r="JR86" s="962" t="e">
        <f>[1]!bodsava(1,1,(JR78+1),[1]!qsn([1]!ml([1]!taqsha(1,1,1+JR78,JR79)),JR80)/30,JR79,JR80)</f>
        <v>#VALUE!</v>
      </c>
      <c r="JS86" s="962" t="e">
        <f>[1]!bodsava(1,1,(JS78+1),[1]!qsn([1]!ml([1]!taqsha(1,1,1+JS78,JS79)),JS80)/30,JS79,JS80)</f>
        <v>#VALUE!</v>
      </c>
      <c r="JT86" s="962" t="e">
        <f>[1]!bodsava(1,1,(JT78+1),[1]!qsn([1]!ml([1]!taqsha(1,1,1+JT78,JT79)),JT80)/30,JT79,JT80)</f>
        <v>#VALUE!</v>
      </c>
      <c r="JU86" s="962" t="e">
        <f>[1]!bodsava(1,1,(JU78+1),[1]!qsn([1]!ml([1]!taqsha(1,1,1+JU78,JU79)),JU80)/30,JU79,JU80)</f>
        <v>#VALUE!</v>
      </c>
      <c r="JV86" s="962" t="e">
        <f>[1]!bodsava(1,1,(JV78+1),[1]!qsn([1]!ml([1]!taqsha(1,1,1+JV78,JV79)),JV80)/30,JV79,JV80)</f>
        <v>#VALUE!</v>
      </c>
      <c r="JW86" s="962" t="e">
        <f>[1]!bodsava(1,1,(JW78+1),[1]!qsn([1]!ml([1]!taqsha(1,1,1+JW78,JW79)),JW80)/30,JW79,JW80)</f>
        <v>#VALUE!</v>
      </c>
      <c r="JX86" s="962" t="e">
        <f>[1]!bodsava(1,1,(JX78+1),[1]!qsn([1]!ml([1]!taqsha(1,1,1+JX78,JX79)),JX80)/30,JX79,JX80)</f>
        <v>#VALUE!</v>
      </c>
      <c r="JY86" s="962" t="e">
        <f>[1]!bodsava(1,1,(JY78+1),[1]!qsn([1]!ml([1]!taqsha(1,1,1+JY78,JY79)),JY80)/30,JY79,JY80)</f>
        <v>#VALUE!</v>
      </c>
      <c r="JZ86" s="962" t="e">
        <f>[1]!bodsava(1,1,(JZ78+1),[1]!qsn([1]!ml([1]!taqsha(1,1,1+JZ78,JZ79)),JZ80)/30,JZ79,JZ80)</f>
        <v>#VALUE!</v>
      </c>
      <c r="KA86" s="962" t="e">
        <f>[1]!bodsava(1,1,(KA78+1),[1]!qsn([1]!ml([1]!taqsha(1,1,1+KA78,KA79)),KA80)/30,KA79,KA80)</f>
        <v>#VALUE!</v>
      </c>
      <c r="KB86" s="962" t="e">
        <f>[1]!bodsava(1,1,(KB78+1),[1]!qsn([1]!ml([1]!taqsha(1,1,1+KB78,KB79)),KB80)/30,KB79,KB80)</f>
        <v>#VALUE!</v>
      </c>
      <c r="KC86" s="962" t="e">
        <f>[1]!bodsava(1,1,(KC78+1),[1]!qsn([1]!ml([1]!taqsha(1,1,1+KC78,KC79)),KC80)/30,KC79,KC80)</f>
        <v>#VALUE!</v>
      </c>
      <c r="KD86" s="962" t="e">
        <f>[1]!bodsava(1,1,(KD78+1),[1]!qsn([1]!ml([1]!taqsha(1,1,1+KD78,KD79)),KD80)/30,KD79,KD80)</f>
        <v>#VALUE!</v>
      </c>
      <c r="KE86" s="962" t="e">
        <f>[1]!bodsava(1,1,(KE78+1),[1]!qsn([1]!ml([1]!taqsha(1,1,1+KE78,KE79)),KE80)/30,KE79,KE80)</f>
        <v>#VALUE!</v>
      </c>
      <c r="KF86" s="962" t="e">
        <f>[1]!bodsava(1,1,(KF78+1),[1]!qsn([1]!ml([1]!taqsha(1,1,1+KF78,KF79)),KF80)/30,KF79,KF80)</f>
        <v>#VALUE!</v>
      </c>
      <c r="KG86" s="962" t="e">
        <f>[1]!bodsava(1,1,(KG78+1),[1]!qsn([1]!ml([1]!taqsha(1,1,1+KG78,KG79)),KG80)/30,KG79,KG80)</f>
        <v>#VALUE!</v>
      </c>
      <c r="KH86" s="962" t="e">
        <f>[1]!bodsava(1,1,(KH78+1),[1]!qsn([1]!ml([1]!taqsha(1,1,1+KH78,KH79)),KH80)/30,KH79,KH80)</f>
        <v>#VALUE!</v>
      </c>
      <c r="KI86" s="962" t="e">
        <f>[1]!bodsava(1,1,(KI78+1),[1]!qsn([1]!ml([1]!taqsha(1,1,1+KI78,KI79)),KI80)/30,KI79,KI80)</f>
        <v>#VALUE!</v>
      </c>
      <c r="KJ86" s="962" t="e">
        <f>[1]!bodsava(1,1,(KJ78+1),[1]!qsn([1]!ml([1]!taqsha(1,1,1+KJ78,KJ79)),KJ80)/30,KJ79,KJ80)</f>
        <v>#VALUE!</v>
      </c>
      <c r="KK86" s="962" t="e">
        <f>[1]!bodsava(1,1,(KK78+1),[1]!qsn([1]!ml([1]!taqsha(1,1,1+KK78,KK79)),KK80)/30,KK79,KK80)</f>
        <v>#VALUE!</v>
      </c>
      <c r="KL86" s="962" t="e">
        <f>[1]!bodsava(1,1,(KL78+1),[1]!qsn([1]!ml([1]!taqsha(1,1,1+KL78,KL79)),KL80)/30,KL79,KL80)</f>
        <v>#VALUE!</v>
      </c>
      <c r="KM86" s="962" t="e">
        <f>[1]!bodsava(1,1,(KM78+1),[1]!qsn([1]!ml([1]!taqsha(1,1,1+KM78,KM79)),KM80)/30,KM79,KM80)</f>
        <v>#VALUE!</v>
      </c>
      <c r="KN86" s="962" t="e">
        <f>[1]!bodsava(1,1,(KN78+1),[1]!qsn([1]!ml([1]!taqsha(1,1,1+KN78,KN79)),KN80)/30,KN79,KN80)</f>
        <v>#VALUE!</v>
      </c>
      <c r="KO86" s="962" t="e">
        <f>[1]!bodsava(1,1,(KO78+1),[1]!qsn([1]!ml([1]!taqsha(1,1,1+KO78,KO79)),KO80)/30,KO79,KO80)</f>
        <v>#VALUE!</v>
      </c>
      <c r="KP86" s="962" t="e">
        <f>[1]!bodsava(1,1,(KP78+1),[1]!qsn([1]!ml([1]!taqsha(1,1,1+KP78,KP79)),KP80)/30,KP79,KP80)</f>
        <v>#VALUE!</v>
      </c>
      <c r="KQ86" s="962" t="e">
        <f>[1]!bodsava(1,1,(KQ78+1),[1]!qsn([1]!ml([1]!taqsha(1,1,1+KQ78,KQ79)),KQ80)/30,KQ79,KQ80)</f>
        <v>#VALUE!</v>
      </c>
      <c r="KR86" s="962" t="e">
        <f>[1]!bodsava(1,1,(KR78+1),[1]!qsn([1]!ml([1]!taqsha(1,1,1+KR78,KR79)),KR80)/30,KR79,KR80)</f>
        <v>#VALUE!</v>
      </c>
      <c r="KS86" s="962" t="e">
        <f>[1]!bodsava(1,1,(KS78+1),[1]!qsn([1]!ml([1]!taqsha(1,1,1+KS78,KS79)),KS80)/30,KS79,KS80)</f>
        <v>#VALUE!</v>
      </c>
      <c r="KT86" s="962" t="e">
        <f>[1]!bodsava(1,1,(KT78+1),[1]!qsn([1]!ml([1]!taqsha(1,1,1+KT78,KT79)),KT80)/30,KT79,KT80)</f>
        <v>#VALUE!</v>
      </c>
      <c r="KU86" s="962" t="e">
        <f>[1]!bodsava(1,1,(KU78+1),[1]!qsn([1]!ml([1]!taqsha(1,1,1+KU78,KU79)),KU80)/30,KU79,KU80)</f>
        <v>#VALUE!</v>
      </c>
      <c r="KV86" s="962" t="e">
        <f>[1]!bodsava(1,1,(KV78+1),[1]!qsn([1]!ml([1]!taqsha(1,1,1+KV78,KV79)),KV80)/30,KV79,KV80)</f>
        <v>#VALUE!</v>
      </c>
      <c r="KW86" s="962" t="e">
        <f>[1]!bodsava(1,1,(KW78+1),[1]!qsn([1]!ml([1]!taqsha(1,1,1+KW78,KW79)),KW80)/30,KW79,KW80)</f>
        <v>#VALUE!</v>
      </c>
      <c r="KX86" s="962" t="e">
        <f>[1]!bodsava(1,1,(KX78+1),[1]!qsn([1]!ml([1]!taqsha(1,1,1+KX78,KX79)),KX80)/30,KX79,KX80)</f>
        <v>#VALUE!</v>
      </c>
      <c r="KY86" s="962" t="e">
        <f>[1]!bodsava(1,1,(KY78+1),[1]!qsn([1]!ml([1]!taqsha(1,1,1+KY78,KY79)),KY80)/30,KY79,KY80)</f>
        <v>#VALUE!</v>
      </c>
      <c r="KZ86" s="962" t="e">
        <f>[1]!bodsava(1,1,(KZ78+1),[1]!qsn([1]!ml([1]!taqsha(1,1,1+KZ78,KZ79)),KZ80)/30,KZ79,KZ80)</f>
        <v>#VALUE!</v>
      </c>
      <c r="LA86" s="962" t="e">
        <f>[1]!bodsava(1,1,(LA78+1),[1]!qsn([1]!ml([1]!taqsha(1,1,1+LA78,LA79)),LA80)/30,LA79,LA80)</f>
        <v>#VALUE!</v>
      </c>
      <c r="LB86" s="962" t="e">
        <f>[1]!bodsava(1,1,(LB78+1),[1]!qsn([1]!ml([1]!taqsha(1,1,1+LB78,LB79)),LB80)/30,LB79,LB80)</f>
        <v>#VALUE!</v>
      </c>
      <c r="LC86" s="962" t="e">
        <f>[1]!bodsava(1,1,(LC78+1),[1]!qsn([1]!ml([1]!taqsha(1,1,1+LC78,LC79)),LC80)/30,LC79,LC80)</f>
        <v>#VALUE!</v>
      </c>
      <c r="LD86" s="962" t="e">
        <f>[1]!bodsava(1,1,(LD78+1),[1]!qsn([1]!ml([1]!taqsha(1,1,1+LD78,LD79)),LD80)/30,LD79,LD80)</f>
        <v>#VALUE!</v>
      </c>
      <c r="LE86" s="962" t="e">
        <f>[1]!bodsava(1,1,(LE78+1),[1]!qsn([1]!ml([1]!taqsha(1,1,1+LE78,LE79)),LE80)/30,LE79,LE80)</f>
        <v>#VALUE!</v>
      </c>
      <c r="LF86" s="962" t="e">
        <f>[1]!bodsava(1,1,(LF78+1),[1]!qsn([1]!ml([1]!taqsha(1,1,1+LF78,LF79)),LF80)/30,LF79,LF80)</f>
        <v>#VALUE!</v>
      </c>
      <c r="LG86" s="962" t="e">
        <f>[1]!bodsava(1,1,(LG78+1),[1]!qsn([1]!ml([1]!taqsha(1,1,1+LG78,LG79)),LG80)/30,LG79,LG80)</f>
        <v>#VALUE!</v>
      </c>
      <c r="LH86" s="962" t="e">
        <f>[1]!bodsava(1,1,(LH78+1),[1]!qsn([1]!ml([1]!taqsha(1,1,1+LH78,LH79)),LH80)/30,LH79,LH80)</f>
        <v>#VALUE!</v>
      </c>
      <c r="LI86" s="962" t="e">
        <f>[1]!bodsava(1,1,(LI78+1),[1]!qsn([1]!ml([1]!taqsha(1,1,1+LI78,LI79)),LI80)/30,LI79,LI80)</f>
        <v>#VALUE!</v>
      </c>
      <c r="LJ86" s="962" t="e">
        <f>[1]!bodsava(1,1,(LJ78+1),[1]!qsn([1]!ml([1]!taqsha(1,1,1+LJ78,LJ79)),LJ80)/30,LJ79,LJ80)</f>
        <v>#VALUE!</v>
      </c>
      <c r="LK86" s="962" t="e">
        <f>[1]!bodsava(1,1,(LK78+1),[1]!qsn([1]!ml([1]!taqsha(1,1,1+LK78,LK79)),LK80)/30,LK79,LK80)</f>
        <v>#VALUE!</v>
      </c>
      <c r="LL86" s="962" t="e">
        <f>[1]!bodsava(1,1,(LL78+1),[1]!qsn([1]!ml([1]!taqsha(1,1,1+LL78,LL79)),LL80)/30,LL79,LL80)</f>
        <v>#VALUE!</v>
      </c>
      <c r="LM86" s="962" t="e">
        <f>[1]!bodsava(1,1,(LM78+1),[1]!qsn([1]!ml([1]!taqsha(1,1,1+LM78,LM79)),LM80)/30,LM79,LM80)</f>
        <v>#VALUE!</v>
      </c>
      <c r="LN86" s="962" t="e">
        <f>[1]!bodsava(1,1,(LN78+1),[1]!qsn([1]!ml([1]!taqsha(1,1,1+LN78,LN79)),LN80)/30,LN79,LN80)</f>
        <v>#VALUE!</v>
      </c>
      <c r="LO86" s="962" t="e">
        <f>[1]!bodsava(1,1,(LO78+1),[1]!qsn([1]!ml([1]!taqsha(1,1,1+LO78,LO79)),LO80)/30,LO79,LO80)</f>
        <v>#VALUE!</v>
      </c>
      <c r="LP86" s="962" t="e">
        <f>[1]!bodsava(1,1,(LP78+1),[1]!qsn([1]!ml([1]!taqsha(1,1,1+LP78,LP79)),LP80)/30,LP79,LP80)</f>
        <v>#VALUE!</v>
      </c>
      <c r="LQ86" s="962" t="e">
        <f>[1]!bodsava(1,1,(LQ78+1),[1]!qsn([1]!ml([1]!taqsha(1,1,1+LQ78,LQ79)),LQ80)/30,LQ79,LQ80)</f>
        <v>#VALUE!</v>
      </c>
      <c r="LR86" s="962" t="e">
        <f>[1]!bodsava(1,1,(LR78+1),[1]!qsn([1]!ml([1]!taqsha(1,1,1+LR78,LR79)),LR80)/30,LR79,LR80)</f>
        <v>#VALUE!</v>
      </c>
      <c r="LS86" s="962" t="e">
        <f>[1]!bodsava(1,1,(LS78+1),[1]!qsn([1]!ml([1]!taqsha(1,1,1+LS78,LS79)),LS80)/30,LS79,LS80)</f>
        <v>#VALUE!</v>
      </c>
      <c r="LT86" s="962" t="e">
        <f>[1]!bodsava(1,1,(LT78+1),[1]!qsn([1]!ml([1]!taqsha(1,1,1+LT78,LT79)),LT80)/30,LT79,LT80)</f>
        <v>#VALUE!</v>
      </c>
      <c r="LU86" s="962" t="e">
        <f>[1]!bodsava(1,1,(LU78+1),[1]!qsn([1]!ml([1]!taqsha(1,1,1+LU78,LU79)),LU80)/30,LU79,LU80)</f>
        <v>#VALUE!</v>
      </c>
      <c r="LV86" s="962" t="e">
        <f>[1]!bodsava(1,1,(LV78+1),[1]!qsn([1]!ml([1]!taqsha(1,1,1+LV78,LV79)),LV80)/30,LV79,LV80)</f>
        <v>#VALUE!</v>
      </c>
      <c r="LW86" s="962" t="e">
        <f>[1]!bodsava(1,1,(LW78+1),[1]!qsn([1]!ml([1]!taqsha(1,1,1+LW78,LW79)),LW80)/30,LW79,LW80)</f>
        <v>#VALUE!</v>
      </c>
      <c r="LX86" s="962" t="e">
        <f>[1]!bodsava(1,1,(LX78+1),[1]!qsn([1]!ml([1]!taqsha(1,1,1+LX78,LX79)),LX80)/30,LX79,LX80)</f>
        <v>#VALUE!</v>
      </c>
      <c r="LY86" s="962" t="e">
        <f>[1]!bodsava(1,1,(LY78+1),[1]!qsn([1]!ml([1]!taqsha(1,1,1+LY78,LY79)),LY80)/30,LY79,LY80)</f>
        <v>#VALUE!</v>
      </c>
      <c r="LZ86" s="962" t="e">
        <f>[1]!bodsava(1,1,(LZ78+1),[1]!qsn([1]!ml([1]!taqsha(1,1,1+LZ78,LZ79)),LZ80)/30,LZ79,LZ80)</f>
        <v>#VALUE!</v>
      </c>
      <c r="MA86" s="962" t="e">
        <f>[1]!bodsava(1,1,(MA78+1),[1]!qsn([1]!ml([1]!taqsha(1,1,1+MA78,MA79)),MA80)/30,MA79,MA80)</f>
        <v>#VALUE!</v>
      </c>
      <c r="MB86" s="962" t="e">
        <f>[1]!bodsava(1,1,(MB78+1),[1]!qsn([1]!ml([1]!taqsha(1,1,1+MB78,MB79)),MB80)/30,MB79,MB80)</f>
        <v>#VALUE!</v>
      </c>
      <c r="MC86" s="962" t="e">
        <f>[1]!bodsava(1,1,(MC78+1),[1]!qsn([1]!ml([1]!taqsha(1,1,1+MC78,MC79)),MC80)/30,MC79,MC80)</f>
        <v>#VALUE!</v>
      </c>
      <c r="MD86" s="962" t="e">
        <f>[1]!bodsava(1,1,(MD78+1),[1]!qsn([1]!ml([1]!taqsha(1,1,1+MD78,MD79)),MD80)/30,MD79,MD80)</f>
        <v>#VALUE!</v>
      </c>
      <c r="ME86" s="962" t="e">
        <f>[1]!bodsava(1,1,(ME78+1),[1]!qsn([1]!ml([1]!taqsha(1,1,1+ME78,ME79)),ME80)/30,ME79,ME80)</f>
        <v>#VALUE!</v>
      </c>
      <c r="MF86" s="962" t="e">
        <f>[1]!bodsava(1,1,(MF78+1),[1]!qsn([1]!ml([1]!taqsha(1,1,1+MF78,MF79)),MF80)/30,MF79,MF80)</f>
        <v>#VALUE!</v>
      </c>
      <c r="MG86" s="962" t="e">
        <f>[1]!bodsava(1,1,(MG78+1),[1]!qsn([1]!ml([1]!taqsha(1,1,1+MG78,MG79)),MG80)/30,MG79,MG80)</f>
        <v>#VALUE!</v>
      </c>
      <c r="MH86" s="962" t="e">
        <f>[1]!bodsava(1,1,(MH78+1),[1]!qsn([1]!ml([1]!taqsha(1,1,1+MH78,MH79)),MH80)/30,MH79,MH80)</f>
        <v>#VALUE!</v>
      </c>
      <c r="MI86" s="962" t="e">
        <f>[1]!bodsava(1,1,(MI78+1),[1]!qsn([1]!ml([1]!taqsha(1,1,1+MI78,MI79)),MI80)/30,MI79,MI80)</f>
        <v>#VALUE!</v>
      </c>
      <c r="MJ86" s="962" t="e">
        <f>[1]!bodsava(1,1,(MJ78+1),[1]!qsn([1]!ml([1]!taqsha(1,1,1+MJ78,MJ79)),MJ80)/30,MJ79,MJ80)</f>
        <v>#VALUE!</v>
      </c>
      <c r="MK86" s="962" t="e">
        <f>[1]!bodsava(1,1,(MK78+1),[1]!qsn([1]!ml([1]!taqsha(1,1,1+MK78,MK79)),MK80)/30,MK79,MK80)</f>
        <v>#VALUE!</v>
      </c>
      <c r="ML86" s="962" t="e">
        <f>[1]!bodsava(1,1,(ML78+1),[1]!qsn([1]!ml([1]!taqsha(1,1,1+ML78,ML79)),ML80)/30,ML79,ML80)</f>
        <v>#VALUE!</v>
      </c>
      <c r="MM86" s="962" t="e">
        <f>[1]!bodsava(1,1,(MM78+1),[1]!qsn([1]!ml([1]!taqsha(1,1,1+MM78,MM79)),MM80)/30,MM79,MM80)</f>
        <v>#VALUE!</v>
      </c>
      <c r="MN86" s="962" t="e">
        <f>[1]!bodsava(1,1,(MN78+1),[1]!qsn([1]!ml([1]!taqsha(1,1,1+MN78,MN79)),MN80)/30,MN79,MN80)</f>
        <v>#VALUE!</v>
      </c>
      <c r="MO86" s="962" t="e">
        <f>[1]!bodsava(1,1,(MO78+1),[1]!qsn([1]!ml([1]!taqsha(1,1,1+MO78,MO79)),MO80)/30,MO79,MO80)</f>
        <v>#VALUE!</v>
      </c>
      <c r="MP86" s="962" t="e">
        <f>[1]!bodsava(1,1,(MP78+1),[1]!qsn([1]!ml([1]!taqsha(1,1,1+MP78,MP79)),MP80)/30,MP79,MP80)</f>
        <v>#VALUE!</v>
      </c>
      <c r="MQ86" s="962" t="e">
        <f>[1]!bodsava(1,1,(MQ78+1),[1]!qsn([1]!ml([1]!taqsha(1,1,1+MQ78,MQ79)),MQ80)/30,MQ79,MQ80)</f>
        <v>#VALUE!</v>
      </c>
      <c r="MR86" s="962" t="e">
        <f>[1]!bodsava(1,1,(MR78+1),[1]!qsn([1]!ml([1]!taqsha(1,1,1+MR78,MR79)),MR80)/30,MR79,MR80)</f>
        <v>#VALUE!</v>
      </c>
      <c r="MS86" s="962" t="e">
        <f>[1]!bodsava(1,1,(MS78+1),[1]!qsn([1]!ml([1]!taqsha(1,1,1+MS78,MS79)),MS80)/30,MS79,MS80)</f>
        <v>#VALUE!</v>
      </c>
      <c r="MT86" s="962" t="e">
        <f>[1]!bodsava(1,1,(MT78+1),[1]!qsn([1]!ml([1]!taqsha(1,1,1+MT78,MT79)),MT80)/30,MT79,MT80)</f>
        <v>#VALUE!</v>
      </c>
      <c r="MU86" s="962" t="e">
        <f>[1]!bodsava(1,1,(MU78+1),[1]!qsn([1]!ml([1]!taqsha(1,1,1+MU78,MU79)),MU80)/30,MU79,MU80)</f>
        <v>#VALUE!</v>
      </c>
      <c r="MV86" s="962" t="e">
        <f>[1]!bodsava(1,1,(MV78+1),[1]!qsn([1]!ml([1]!taqsha(1,1,1+MV78,MV79)),MV80)/30,MV79,MV80)</f>
        <v>#VALUE!</v>
      </c>
      <c r="MW86" s="962" t="e">
        <f>[1]!bodsava(1,1,(MW78+1),[1]!qsn([1]!ml([1]!taqsha(1,1,1+MW78,MW79)),MW80)/30,MW79,MW80)</f>
        <v>#VALUE!</v>
      </c>
      <c r="MX86" s="962" t="e">
        <f>[1]!bodsava(1,1,(MX78+1),[1]!qsn([1]!ml([1]!taqsha(1,1,1+MX78,MX79)),MX80)/30,MX79,MX80)</f>
        <v>#VALUE!</v>
      </c>
      <c r="MY86" s="962" t="e">
        <f>[1]!bodsava(1,1,(MY78+1),[1]!qsn([1]!ml([1]!taqsha(1,1,1+MY78,MY79)),MY80)/30,MY79,MY80)</f>
        <v>#VALUE!</v>
      </c>
      <c r="MZ86" s="962" t="e">
        <f>[1]!bodsava(1,1,(MZ78+1),[1]!qsn([1]!ml([1]!taqsha(1,1,1+MZ78,MZ79)),MZ80)/30,MZ79,MZ80)</f>
        <v>#VALUE!</v>
      </c>
      <c r="NA86" s="962" t="e">
        <f>[1]!bodsava(1,1,(NA78+1),[1]!qsn([1]!ml([1]!taqsha(1,1,1+NA78,NA79)),NA80)/30,NA79,NA80)</f>
        <v>#VALUE!</v>
      </c>
      <c r="NB86" s="962" t="e">
        <f>[1]!bodsava(1,1,(NB78+1),[1]!qsn([1]!ml([1]!taqsha(1,1,1+NB78,NB79)),NB80)/30,NB79,NB80)</f>
        <v>#VALUE!</v>
      </c>
      <c r="NC86" s="962" t="e">
        <f>[1]!bodsava(1,1,(NC78+1),[1]!qsn([1]!ml([1]!taqsha(1,1,1+NC78,NC79)),NC80)/30,NC79,NC80)</f>
        <v>#VALUE!</v>
      </c>
      <c r="ND86" s="962" t="e">
        <f>[1]!bodsava(1,1,(ND78+1),[1]!qsn([1]!ml([1]!taqsha(1,1,1+ND78,ND79)),ND80)/30,ND79,ND80)</f>
        <v>#VALUE!</v>
      </c>
      <c r="NE86" s="962" t="e">
        <f>[1]!bodsava(1,1,(NE78+1),[1]!qsn([1]!ml([1]!taqsha(1,1,1+NE78,NE79)),NE80)/30,NE79,NE80)</f>
        <v>#VALUE!</v>
      </c>
      <c r="NF86" s="962" t="e">
        <f>[1]!bodsava(1,1,(NF78+1),[1]!qsn([1]!ml([1]!taqsha(1,1,1+NF78,NF79)),NF80)/30,NF79,NF80)</f>
        <v>#VALUE!</v>
      </c>
      <c r="NG86" s="962" t="e">
        <f>[1]!bodsava(1,1,(NG78+1),[1]!qsn([1]!ml([1]!taqsha(1,1,1+NG78,NG79)),NG80)/30,NG79,NG80)</f>
        <v>#VALUE!</v>
      </c>
      <c r="NH86" s="962" t="e">
        <f>[1]!bodsava(1,1,(NH78+1),[1]!qsn([1]!ml([1]!taqsha(1,1,1+NH78,NH79)),NH80)/30,NH79,NH80)</f>
        <v>#VALUE!</v>
      </c>
      <c r="NI86" s="962" t="e">
        <f>[1]!bodsava(1,1,(NI78+1),[1]!qsn([1]!ml([1]!taqsha(1,1,1+NI78,NI79)),NI80)/30,NI79,NI80)</f>
        <v>#VALUE!</v>
      </c>
      <c r="NJ86" s="962" t="e">
        <f>[1]!bodsava(1,1,(NJ78+1),[1]!qsn([1]!ml([1]!taqsha(1,1,1+NJ78,NJ79)),NJ80)/30,NJ79,NJ80)</f>
        <v>#VALUE!</v>
      </c>
      <c r="NK86" s="962" t="e">
        <f>[1]!bodsava(1,1,(NK78+1),[1]!qsn([1]!ml([1]!taqsha(1,1,1+NK78,NK79)),NK80)/30,NK79,NK80)</f>
        <v>#VALUE!</v>
      </c>
      <c r="NL86" s="962" t="e">
        <f>[1]!bodsava(1,1,(NL78+1),[1]!qsn([1]!ml([1]!taqsha(1,1,1+NL78,NL79)),NL80)/30,NL79,NL80)</f>
        <v>#VALUE!</v>
      </c>
      <c r="NM86" s="962" t="e">
        <f>[1]!bodsava(1,1,(NM78+1),[1]!qsn([1]!ml([1]!taqsha(1,1,1+NM78,NM79)),NM80)/30,NM79,NM80)</f>
        <v>#VALUE!</v>
      </c>
      <c r="NN86" s="962" t="e">
        <f>[1]!bodsava(1,1,(NN78+1),[1]!qsn([1]!ml([1]!taqsha(1,1,1+NN78,NN79)),NN80)/30,NN79,NN80)</f>
        <v>#VALUE!</v>
      </c>
      <c r="NO86" s="962" t="e">
        <f>[1]!bodsava(1,1,(NO78+1),[1]!qsn([1]!ml([1]!taqsha(1,1,1+NO78,NO79)),NO80)/30,NO79,NO80)</f>
        <v>#VALUE!</v>
      </c>
      <c r="NP86" s="962" t="e">
        <f>[1]!bodsava(1,1,(NP78+1),[1]!qsn([1]!ml([1]!taqsha(1,1,1+NP78,NP79)),NP80)/30,NP79,NP80)</f>
        <v>#VALUE!</v>
      </c>
      <c r="NQ86" s="962" t="e">
        <f>[1]!bodsava(1,1,(NQ78+1),[1]!qsn([1]!ml([1]!taqsha(1,1,1+NQ78,NQ79)),NQ80)/30,NQ79,NQ80)</f>
        <v>#VALUE!</v>
      </c>
      <c r="NR86" s="962" t="e">
        <f>[1]!bodsava(1,1,(NR78+1),[1]!qsn([1]!ml([1]!taqsha(1,1,1+NR78,NR79)),NR80)/30,NR79,NR80)</f>
        <v>#VALUE!</v>
      </c>
      <c r="NS86" s="962" t="e">
        <f>[1]!bodsava(1,1,(NS78+1),[1]!qsn([1]!ml([1]!taqsha(1,1,1+NS78,NS79)),NS80)/30,NS79,NS80)</f>
        <v>#VALUE!</v>
      </c>
      <c r="NT86" s="962" t="e">
        <f>[1]!bodsava(1,1,(NT78+1),[1]!qsn([1]!ml([1]!taqsha(1,1,1+NT78,NT79)),NT80)/30,NT79,NT80)</f>
        <v>#VALUE!</v>
      </c>
      <c r="NU86" s="962" t="e">
        <f>[1]!bodsava(1,1,(NU78+1),[1]!qsn([1]!ml([1]!taqsha(1,1,1+NU78,NU79)),NU80)/30,NU79,NU80)</f>
        <v>#VALUE!</v>
      </c>
      <c r="NV86" s="962" t="e">
        <f>[1]!bodsava(1,1,(NV78+1),[1]!qsn([1]!ml([1]!taqsha(1,1,1+NV78,NV79)),NV80)/30,NV79,NV80)</f>
        <v>#VALUE!</v>
      </c>
      <c r="NW86" s="962" t="e">
        <f>[1]!bodsava(1,1,(NW78+1),[1]!qsn([1]!ml([1]!taqsha(1,1,1+NW78,NW79)),NW80)/30,NW79,NW80)</f>
        <v>#VALUE!</v>
      </c>
      <c r="NX86" s="962" t="e">
        <f>[1]!bodsava(1,1,(NX78+1),[1]!qsn([1]!ml([1]!taqsha(1,1,1+NX78,NX79)),NX80)/30,NX79,NX80)</f>
        <v>#VALUE!</v>
      </c>
      <c r="NY86" s="962" t="e">
        <f>[1]!bodsava(1,1,(NY78+1),[1]!qsn([1]!ml([1]!taqsha(1,1,1+NY78,NY79)),NY80)/30,NY79,NY80)</f>
        <v>#VALUE!</v>
      </c>
      <c r="NZ86" s="962" t="e">
        <f>[1]!bodsava(1,1,(NZ78+1),[1]!qsn([1]!ml([1]!taqsha(1,1,1+NZ78,NZ79)),NZ80)/30,NZ79,NZ80)</f>
        <v>#VALUE!</v>
      </c>
      <c r="OA86" s="962" t="e">
        <f>[1]!bodsava(1,1,(OA78+1),[1]!qsn([1]!ml([1]!taqsha(1,1,1+OA78,OA79)),OA80)/30,OA79,OA80)</f>
        <v>#VALUE!</v>
      </c>
      <c r="OB86" s="962" t="e">
        <f>[1]!bodsava(1,1,(OB78+1),[1]!qsn([1]!ml([1]!taqsha(1,1,1+OB78,OB79)),OB80)/30,OB79,OB80)</f>
        <v>#VALUE!</v>
      </c>
      <c r="OC86" s="962" t="e">
        <f>[1]!bodsava(1,1,(OC78+1),[1]!qsn([1]!ml([1]!taqsha(1,1,1+OC78,OC79)),OC80)/30,OC79,OC80)</f>
        <v>#VALUE!</v>
      </c>
      <c r="OD86" s="962" t="e">
        <f>[1]!bodsava(1,1,(OD78+1),[1]!qsn([1]!ml([1]!taqsha(1,1,1+OD78,OD79)),OD80)/30,OD79,OD80)</f>
        <v>#VALUE!</v>
      </c>
      <c r="OE86" s="962" t="e">
        <f>[1]!bodsava(1,1,(OE78+1),[1]!qsn([1]!ml([1]!taqsha(1,1,1+OE78,OE79)),OE80)/30,OE79,OE80)</f>
        <v>#VALUE!</v>
      </c>
      <c r="OF86" s="962" t="e">
        <f>[1]!bodsava(1,1,(OF78+1),[1]!qsn([1]!ml([1]!taqsha(1,1,1+OF78,OF79)),OF80)/30,OF79,OF80)</f>
        <v>#VALUE!</v>
      </c>
      <c r="OG86" s="962" t="e">
        <f>[1]!bodsava(1,1,(OG78+1),[1]!qsn([1]!ml([1]!taqsha(1,1,1+OG78,OG79)),OG80)/30,OG79,OG80)</f>
        <v>#VALUE!</v>
      </c>
      <c r="OH86" s="962" t="e">
        <f>[1]!bodsava(1,1,(OH78+1),[1]!qsn([1]!ml([1]!taqsha(1,1,1+OH78,OH79)),OH80)/30,OH79,OH80)</f>
        <v>#VALUE!</v>
      </c>
      <c r="OI86" s="962" t="e">
        <f>[1]!bodsava(1,1,(OI78+1),[1]!qsn([1]!ml([1]!taqsha(1,1,1+OI78,OI79)),OI80)/30,OI79,OI80)</f>
        <v>#VALUE!</v>
      </c>
      <c r="OJ86" s="962" t="e">
        <f>[1]!bodsava(1,1,(OJ78+1),[1]!qsn([1]!ml([1]!taqsha(1,1,1+OJ78,OJ79)),OJ80)/30,OJ79,OJ80)</f>
        <v>#VALUE!</v>
      </c>
      <c r="OK86" s="962" t="e">
        <f>[1]!bodsava(1,1,(OK78+1),[1]!qsn([1]!ml([1]!taqsha(1,1,1+OK78,OK79)),OK80)/30,OK79,OK80)</f>
        <v>#VALUE!</v>
      </c>
      <c r="OL86" s="962" t="e">
        <f>[1]!bodsava(1,1,(OL78+1),[1]!qsn([1]!ml([1]!taqsha(1,1,1+OL78,OL79)),OL80)/30,OL79,OL80)</f>
        <v>#VALUE!</v>
      </c>
      <c r="OM86" s="962" t="e">
        <f>[1]!bodsava(1,1,(OM78+1),[1]!qsn([1]!ml([1]!taqsha(1,1,1+OM78,OM79)),OM80)/30,OM79,OM80)</f>
        <v>#VALUE!</v>
      </c>
      <c r="ON86" s="962" t="e">
        <f>[1]!bodsava(1,1,(ON78+1),[1]!qsn([1]!ml([1]!taqsha(1,1,1+ON78,ON79)),ON80)/30,ON79,ON80)</f>
        <v>#VALUE!</v>
      </c>
      <c r="OO86" s="962" t="e">
        <f>[1]!bodsava(1,1,(OO78+1),[1]!qsn([1]!ml([1]!taqsha(1,1,1+OO78,OO79)),OO80)/30,OO79,OO80)</f>
        <v>#VALUE!</v>
      </c>
      <c r="OP86" s="962" t="e">
        <f>[1]!bodsava(1,1,(OP78+1),[1]!qsn([1]!ml([1]!taqsha(1,1,1+OP78,OP79)),OP80)/30,OP79,OP80)</f>
        <v>#VALUE!</v>
      </c>
      <c r="OQ86" s="962" t="e">
        <f>[1]!bodsava(1,1,(OQ78+1),[1]!qsn([1]!ml([1]!taqsha(1,1,1+OQ78,OQ79)),OQ80)/30,OQ79,OQ80)</f>
        <v>#VALUE!</v>
      </c>
      <c r="OR86" s="962" t="e">
        <f>[1]!bodsava(1,1,(OR78+1),[1]!qsn([1]!ml([1]!taqsha(1,1,1+OR78,OR79)),OR80)/30,OR79,OR80)</f>
        <v>#VALUE!</v>
      </c>
      <c r="OS86" s="962" t="e">
        <f>[1]!bodsava(1,1,(OS78+1),[1]!qsn([1]!ml([1]!taqsha(1,1,1+OS78,OS79)),OS80)/30,OS79,OS80)</f>
        <v>#VALUE!</v>
      </c>
      <c r="OT86" s="962" t="e">
        <f>[1]!bodsava(1,1,(OT78+1),[1]!qsn([1]!ml([1]!taqsha(1,1,1+OT78,OT79)),OT80)/30,OT79,OT80)</f>
        <v>#VALUE!</v>
      </c>
      <c r="OU86" s="962" t="e">
        <f>[1]!bodsava(1,1,(OU78+1),[1]!qsn([1]!ml([1]!taqsha(1,1,1+OU78,OU79)),OU80)/30,OU79,OU80)</f>
        <v>#VALUE!</v>
      </c>
      <c r="OV86" s="962" t="e">
        <f>[1]!bodsava(1,1,(OV78+1),[1]!qsn([1]!ml([1]!taqsha(1,1,1+OV78,OV79)),OV80)/30,OV79,OV80)</f>
        <v>#VALUE!</v>
      </c>
      <c r="OW86" s="962" t="e">
        <f>[1]!bodsava(1,1,(OW78+1),[1]!qsn([1]!ml([1]!taqsha(1,1,1+OW78,OW79)),OW80)/30,OW79,OW80)</f>
        <v>#VALUE!</v>
      </c>
      <c r="OX86" s="962" t="e">
        <f>[1]!bodsava(1,1,(OX78+1),[1]!qsn([1]!ml([1]!taqsha(1,1,1+OX78,OX79)),OX80)/30,OX79,OX80)</f>
        <v>#VALUE!</v>
      </c>
      <c r="OY86" s="962" t="e">
        <f>[1]!bodsava(1,1,(OY78+1),[1]!qsn([1]!ml([1]!taqsha(1,1,1+OY78,OY79)),OY80)/30,OY79,OY80)</f>
        <v>#VALUE!</v>
      </c>
      <c r="OZ86" s="962" t="e">
        <f>[1]!bodsava(1,1,(OZ78+1),[1]!qsn([1]!ml([1]!taqsha(1,1,1+OZ78,OZ79)),OZ80)/30,OZ79,OZ80)</f>
        <v>#VALUE!</v>
      </c>
      <c r="PA86" s="962" t="e">
        <f>[1]!bodsava(1,1,(PA78+1),[1]!qsn([1]!ml([1]!taqsha(1,1,1+PA78,PA79)),PA80)/30,PA79,PA80)</f>
        <v>#VALUE!</v>
      </c>
      <c r="PB86" s="962" t="e">
        <f>[1]!bodsava(1,1,(PB78+1),[1]!qsn([1]!ml([1]!taqsha(1,1,1+PB78,PB79)),PB80)/30,PB79,PB80)</f>
        <v>#VALUE!</v>
      </c>
      <c r="PC86" s="962" t="e">
        <f>[1]!bodsava(1,1,(PC78+1),[1]!qsn([1]!ml([1]!taqsha(1,1,1+PC78,PC79)),PC80)/30,PC79,PC80)</f>
        <v>#VALUE!</v>
      </c>
      <c r="PD86" s="962" t="e">
        <f>[1]!bodsava(1,1,(PD78+1),[1]!qsn([1]!ml([1]!taqsha(1,1,1+PD78,PD79)),PD80)/30,PD79,PD80)</f>
        <v>#VALUE!</v>
      </c>
      <c r="PE86" s="962" t="e">
        <f>[1]!bodsava(1,1,(PE78+1),[1]!qsn([1]!ml([1]!taqsha(1,1,1+PE78,PE79)),PE80)/30,PE79,PE80)</f>
        <v>#VALUE!</v>
      </c>
      <c r="PF86" s="962" t="e">
        <f>[1]!bodsava(1,1,(PF78+1),[1]!qsn([1]!ml([1]!taqsha(1,1,1+PF78,PF79)),PF80)/30,PF79,PF80)</f>
        <v>#VALUE!</v>
      </c>
      <c r="PG86" s="962" t="e">
        <f>[1]!bodsava(1,1,(PG78+1),[1]!qsn([1]!ml([1]!taqsha(1,1,1+PG78,PG79)),PG80)/30,PG79,PG80)</f>
        <v>#VALUE!</v>
      </c>
      <c r="PH86" s="962" t="e">
        <f>[1]!bodsava(1,1,(PH78+1),[1]!qsn([1]!ml([1]!taqsha(1,1,1+PH78,PH79)),PH80)/30,PH79,PH80)</f>
        <v>#VALUE!</v>
      </c>
      <c r="PI86" s="962" t="e">
        <f>[1]!bodsava(1,1,(PI78+1),[1]!qsn([1]!ml([1]!taqsha(1,1,1+PI78,PI79)),PI80)/30,PI79,PI80)</f>
        <v>#VALUE!</v>
      </c>
      <c r="PJ86" s="962" t="e">
        <f>[1]!bodsava(1,1,(PJ78+1),[1]!qsn([1]!ml([1]!taqsha(1,1,1+PJ78,PJ79)),PJ80)/30,PJ79,PJ80)</f>
        <v>#VALUE!</v>
      </c>
      <c r="PK86" s="962" t="e">
        <f>[1]!bodsava(1,1,(PK78+1),[1]!qsn([1]!ml([1]!taqsha(1,1,1+PK78,PK79)),PK80)/30,PK79,PK80)</f>
        <v>#VALUE!</v>
      </c>
      <c r="PL86" s="962" t="e">
        <f>[1]!bodsava(1,1,(PL78+1),[1]!qsn([1]!ml([1]!taqsha(1,1,1+PL78,PL79)),PL80)/30,PL79,PL80)</f>
        <v>#VALUE!</v>
      </c>
      <c r="PM86" s="962" t="e">
        <f>[1]!bodsava(1,1,(PM78+1),[1]!qsn([1]!ml([1]!taqsha(1,1,1+PM78,PM79)),PM80)/30,PM79,PM80)</f>
        <v>#VALUE!</v>
      </c>
      <c r="PN86" s="962" t="e">
        <f>[1]!bodsava(1,1,(PN78+1),[1]!qsn([1]!ml([1]!taqsha(1,1,1+PN78,PN79)),PN80)/30,PN79,PN80)</f>
        <v>#VALUE!</v>
      </c>
      <c r="PO86" s="962" t="e">
        <f>[1]!bodsava(1,1,(PO78+1),[1]!qsn([1]!ml([1]!taqsha(1,1,1+PO78,PO79)),PO80)/30,PO79,PO80)</f>
        <v>#VALUE!</v>
      </c>
      <c r="PP86" s="962" t="e">
        <f>[1]!bodsava(1,1,(PP78+1),[1]!qsn([1]!ml([1]!taqsha(1,1,1+PP78,PP79)),PP80)/30,PP79,PP80)</f>
        <v>#VALUE!</v>
      </c>
      <c r="PQ86" s="962" t="e">
        <f>[1]!bodsava(1,1,(PQ78+1),[1]!qsn([1]!ml([1]!taqsha(1,1,1+PQ78,PQ79)),PQ80)/30,PQ79,PQ80)</f>
        <v>#VALUE!</v>
      </c>
      <c r="PR86" s="962" t="e">
        <f>[1]!bodsava(1,1,(PR78+1),[1]!qsn([1]!ml([1]!taqsha(1,1,1+PR78,PR79)),PR80)/30,PR79,PR80)</f>
        <v>#VALUE!</v>
      </c>
      <c r="PS86" s="962" t="e">
        <f>[1]!bodsava(1,1,(PS78+1),[1]!qsn([1]!ml([1]!taqsha(1,1,1+PS78,PS79)),PS80)/30,PS79,PS80)</f>
        <v>#VALUE!</v>
      </c>
      <c r="PT86" s="962" t="e">
        <f>[1]!bodsava(1,1,(PT78+1),[1]!qsn([1]!ml([1]!taqsha(1,1,1+PT78,PT79)),PT80)/30,PT79,PT80)</f>
        <v>#VALUE!</v>
      </c>
      <c r="PU86" s="962" t="e">
        <f>[1]!bodsava(1,1,(PU78+1),[1]!qsn([1]!ml([1]!taqsha(1,1,1+PU78,PU79)),PU80)/30,PU79,PU80)</f>
        <v>#VALUE!</v>
      </c>
      <c r="PV86" s="962" t="e">
        <f>[1]!bodsava(1,1,(PV78+1),[1]!qsn([1]!ml([1]!taqsha(1,1,1+PV78,PV79)),PV80)/30,PV79,PV80)</f>
        <v>#VALUE!</v>
      </c>
      <c r="PW86" s="962" t="e">
        <f>[1]!bodsava(1,1,(PW78+1),[1]!qsn([1]!ml([1]!taqsha(1,1,1+PW78,PW79)),PW80)/30,PW79,PW80)</f>
        <v>#VALUE!</v>
      </c>
      <c r="PX86" s="962" t="e">
        <f>[1]!bodsava(1,1,(PX78+1),[1]!qsn([1]!ml([1]!taqsha(1,1,1+PX78,PX79)),PX80)/30,PX79,PX80)</f>
        <v>#VALUE!</v>
      </c>
      <c r="PY86" s="962" t="e">
        <f>[1]!bodsava(1,1,(PY78+1),[1]!qsn([1]!ml([1]!taqsha(1,1,1+PY78,PY79)),PY80)/30,PY79,PY80)</f>
        <v>#VALUE!</v>
      </c>
      <c r="PZ86" s="962" t="e">
        <f>[1]!bodsava(1,1,(PZ78+1),[1]!qsn([1]!ml([1]!taqsha(1,1,1+PZ78,PZ79)),PZ80)/30,PZ79,PZ80)</f>
        <v>#VALUE!</v>
      </c>
      <c r="QA86" s="962" t="e">
        <f>[1]!bodsava(1,1,(QA78+1),[1]!qsn([1]!ml([1]!taqsha(1,1,1+QA78,QA79)),QA80)/30,QA79,QA80)</f>
        <v>#VALUE!</v>
      </c>
      <c r="QB86" s="962" t="e">
        <f>[1]!bodsava(1,1,(QB78+1),[1]!qsn([1]!ml([1]!taqsha(1,1,1+QB78,QB79)),QB80)/30,QB79,QB80)</f>
        <v>#VALUE!</v>
      </c>
      <c r="QC86" s="962" t="e">
        <f>[1]!bodsava(1,1,(QC78+1),[1]!qsn([1]!ml([1]!taqsha(1,1,1+QC78,QC79)),QC80)/30,QC79,QC80)</f>
        <v>#VALUE!</v>
      </c>
      <c r="QD86" s="962" t="e">
        <f>[1]!bodsava(1,1,(QD78+1),[1]!qsn([1]!ml([1]!taqsha(1,1,1+QD78,QD79)),QD80)/30,QD79,QD80)</f>
        <v>#VALUE!</v>
      </c>
      <c r="QE86" s="962" t="e">
        <f>[1]!bodsava(1,1,(QE78+1),[1]!qsn([1]!ml([1]!taqsha(1,1,1+QE78,QE79)),QE80)/30,QE79,QE80)</f>
        <v>#VALUE!</v>
      </c>
      <c r="QF86" s="962" t="e">
        <f>[1]!bodsava(1,1,(QF78+1),[1]!qsn([1]!ml([1]!taqsha(1,1,1+QF78,QF79)),QF80)/30,QF79,QF80)</f>
        <v>#VALUE!</v>
      </c>
      <c r="QG86" s="962" t="e">
        <f>[1]!bodsava(1,1,(QG78+1),[1]!qsn([1]!ml([1]!taqsha(1,1,1+QG78,QG79)),QG80)/30,QG79,QG80)</f>
        <v>#VALUE!</v>
      </c>
      <c r="QH86" s="962" t="e">
        <f>[1]!bodsava(1,1,(QH78+1),[1]!qsn([1]!ml([1]!taqsha(1,1,1+QH78,QH79)),QH80)/30,QH79,QH80)</f>
        <v>#VALUE!</v>
      </c>
      <c r="QI86" s="962" t="e">
        <f>[1]!bodsava(1,1,(QI78+1),[1]!qsn([1]!ml([1]!taqsha(1,1,1+QI78,QI79)),QI80)/30,QI79,QI80)</f>
        <v>#VALUE!</v>
      </c>
      <c r="QJ86" s="962" t="e">
        <f>[1]!bodsava(1,1,(QJ78+1),[1]!qsn([1]!ml([1]!taqsha(1,1,1+QJ78,QJ79)),QJ80)/30,QJ79,QJ80)</f>
        <v>#VALUE!</v>
      </c>
      <c r="QK86" s="962" t="e">
        <f>[1]!bodsava(1,1,(QK78+1),[1]!qsn([1]!ml([1]!taqsha(1,1,1+QK78,QK79)),QK80)/30,QK79,QK80)</f>
        <v>#VALUE!</v>
      </c>
      <c r="QL86" s="962" t="e">
        <f>[1]!bodsava(1,1,(QL78+1),[1]!qsn([1]!ml([1]!taqsha(1,1,1+QL78,QL79)),QL80)/30,QL79,QL80)</f>
        <v>#VALUE!</v>
      </c>
      <c r="QM86" s="962" t="e">
        <f>[1]!bodsava(1,1,(QM78+1),[1]!qsn([1]!ml([1]!taqsha(1,1,1+QM78,QM79)),QM80)/30,QM79,QM80)</f>
        <v>#VALUE!</v>
      </c>
      <c r="QN86" s="962" t="e">
        <f>[1]!bodsava(1,1,(QN78+1),[1]!qsn([1]!ml([1]!taqsha(1,1,1+QN78,QN79)),QN80)/30,QN79,QN80)</f>
        <v>#VALUE!</v>
      </c>
      <c r="QO86" s="962" t="e">
        <f>[1]!bodsava(1,1,(QO78+1),[1]!qsn([1]!ml([1]!taqsha(1,1,1+QO78,QO79)),QO80)/30,QO79,QO80)</f>
        <v>#VALUE!</v>
      </c>
      <c r="QP86" s="962" t="e">
        <f>[1]!bodsava(1,1,(QP78+1),[1]!qsn([1]!ml([1]!taqsha(1,1,1+QP78,QP79)),QP80)/30,QP79,QP80)</f>
        <v>#VALUE!</v>
      </c>
      <c r="QQ86" s="962" t="e">
        <f>[1]!bodsava(1,1,(QQ78+1),[1]!qsn([1]!ml([1]!taqsha(1,1,1+QQ78,QQ79)),QQ80)/30,QQ79,QQ80)</f>
        <v>#VALUE!</v>
      </c>
      <c r="QR86" s="962" t="e">
        <f>[1]!bodsava(1,1,(QR78+1),[1]!qsn([1]!ml([1]!taqsha(1,1,1+QR78,QR79)),QR80)/30,QR79,QR80)</f>
        <v>#VALUE!</v>
      </c>
      <c r="QS86" s="962" t="e">
        <f>[1]!bodsava(1,1,(QS78+1),[1]!qsn([1]!ml([1]!taqsha(1,1,1+QS78,QS79)),QS80)/30,QS79,QS80)</f>
        <v>#VALUE!</v>
      </c>
      <c r="QT86" s="962" t="e">
        <f>[1]!bodsava(1,1,(QT78+1),[1]!qsn([1]!ml([1]!taqsha(1,1,1+QT78,QT79)),QT80)/30,QT79,QT80)</f>
        <v>#VALUE!</v>
      </c>
      <c r="QU86" s="962" t="e">
        <f>[1]!bodsava(1,1,(QU78+1),[1]!qsn([1]!ml([1]!taqsha(1,1,1+QU78,QU79)),QU80)/30,QU79,QU80)</f>
        <v>#VALUE!</v>
      </c>
      <c r="QV86" s="962" t="e">
        <f>[1]!bodsava(1,1,(QV78+1),[1]!qsn([1]!ml([1]!taqsha(1,1,1+QV78,QV79)),QV80)/30,QV79,QV80)</f>
        <v>#VALUE!</v>
      </c>
      <c r="QW86" s="962" t="e">
        <f>[1]!bodsava(1,1,(QW78+1),[1]!qsn([1]!ml([1]!taqsha(1,1,1+QW78,QW79)),QW80)/30,QW79,QW80)</f>
        <v>#VALUE!</v>
      </c>
      <c r="QX86" s="962" t="e">
        <f>[1]!bodsava(1,1,(QX78+1),[1]!qsn([1]!ml([1]!taqsha(1,1,1+QX78,QX79)),QX80)/30,QX79,QX80)</f>
        <v>#VALUE!</v>
      </c>
      <c r="QY86" s="962" t="e">
        <f>[1]!bodsava(1,1,(QY78+1),[1]!qsn([1]!ml([1]!taqsha(1,1,1+QY78,QY79)),QY80)/30,QY79,QY80)</f>
        <v>#VALUE!</v>
      </c>
      <c r="QZ86" s="962" t="e">
        <f>[1]!bodsava(1,1,(QZ78+1),[1]!qsn([1]!ml([1]!taqsha(1,1,1+QZ78,QZ79)),QZ80)/30,QZ79,QZ80)</f>
        <v>#VALUE!</v>
      </c>
      <c r="RA86" s="963" t="e">
        <f>[1]!bodsava(1,1,(RA78+1),[1]!qsn([1]!ml([1]!taqsha(1,1,1+RA78,RA79)),RA80)/30,RA79,RA80)</f>
        <v>#VALUE!</v>
      </c>
      <c r="RB86" s="797"/>
      <c r="RC86" s="797"/>
    </row>
    <row r="87" spans="2:471" ht="15.75" thickBot="1">
      <c r="B87" s="2"/>
      <c r="C87" s="2"/>
      <c r="D87" s="2"/>
      <c r="E87" s="2"/>
      <c r="F87" s="2"/>
      <c r="G87" s="2"/>
      <c r="H87" s="2"/>
      <c r="I87" s="2"/>
      <c r="J87" s="2"/>
      <c r="K87" s="2"/>
      <c r="L87" s="2"/>
      <c r="M87" s="2"/>
      <c r="N87" s="2"/>
      <c r="O87" s="2"/>
      <c r="P87" s="2"/>
      <c r="Q87" s="2">
        <f>IF(((Q84*2)-1)&lt;7,(Q84*2)-1,MOD((Q84*2)-1,7))</f>
        <v>1</v>
      </c>
      <c r="R87" s="2">
        <f>IF(((R84*2)-1)&lt;7,(R84*2)-1,MOD((R84*2)-1,7))+Q87</f>
        <v>4</v>
      </c>
      <c r="S87" s="2">
        <f t="shared" ref="S87:AC87" si="818">IF(((S84*2)-1)&lt;7,(S84*2)-1,MOD((S84*2)-1,7))</f>
        <v>5</v>
      </c>
      <c r="T87" s="2">
        <f t="shared" si="818"/>
        <v>0</v>
      </c>
      <c r="U87" s="2">
        <f t="shared" si="818"/>
        <v>2</v>
      </c>
      <c r="V87" s="2">
        <f t="shared" si="818"/>
        <v>4</v>
      </c>
      <c r="W87" s="2">
        <f t="shared" si="818"/>
        <v>6</v>
      </c>
      <c r="X87" s="2">
        <f t="shared" si="818"/>
        <v>1</v>
      </c>
      <c r="Y87" s="2">
        <f t="shared" si="818"/>
        <v>3</v>
      </c>
      <c r="Z87" s="2">
        <f t="shared" si="818"/>
        <v>5</v>
      </c>
      <c r="AA87" s="2">
        <f t="shared" si="818"/>
        <v>0</v>
      </c>
      <c r="AB87" s="2">
        <f t="shared" si="818"/>
        <v>2</v>
      </c>
      <c r="AC87" s="2">
        <f t="shared" si="818"/>
        <v>4</v>
      </c>
      <c r="DH87" s="797"/>
      <c r="DJ87" s="967">
        <v>1</v>
      </c>
      <c r="DK87" s="965">
        <v>2</v>
      </c>
      <c r="DL87" s="965">
        <v>3</v>
      </c>
      <c r="DM87" s="965">
        <v>4</v>
      </c>
      <c r="DN87" s="964">
        <v>5</v>
      </c>
      <c r="DO87" s="965">
        <v>6</v>
      </c>
      <c r="DP87" s="965">
        <v>7</v>
      </c>
      <c r="DQ87" s="965">
        <v>8</v>
      </c>
      <c r="DR87" s="964">
        <v>9</v>
      </c>
      <c r="DS87" s="965">
        <v>10</v>
      </c>
      <c r="DT87" s="965">
        <v>11</v>
      </c>
      <c r="DU87" s="965">
        <v>12</v>
      </c>
      <c r="DV87" s="964">
        <v>13</v>
      </c>
      <c r="DW87" s="965">
        <v>14</v>
      </c>
      <c r="DX87" s="965">
        <v>15</v>
      </c>
      <c r="DY87" s="965">
        <v>16</v>
      </c>
      <c r="DZ87" s="964">
        <v>17</v>
      </c>
      <c r="EA87" s="965">
        <v>18</v>
      </c>
      <c r="EB87" s="965">
        <v>19</v>
      </c>
      <c r="EC87" s="965">
        <v>20</v>
      </c>
      <c r="ED87" s="964">
        <v>21</v>
      </c>
      <c r="EE87" s="965">
        <v>22</v>
      </c>
      <c r="EF87" s="965">
        <v>23</v>
      </c>
      <c r="EG87" s="965">
        <v>24</v>
      </c>
      <c r="EH87" s="964">
        <v>25</v>
      </c>
      <c r="EI87" s="965">
        <v>26</v>
      </c>
      <c r="EJ87" s="965">
        <v>27</v>
      </c>
      <c r="EK87" s="965">
        <v>28</v>
      </c>
      <c r="EL87" s="964">
        <v>29</v>
      </c>
      <c r="EM87" s="965">
        <v>30</v>
      </c>
      <c r="EN87" s="967">
        <v>1</v>
      </c>
      <c r="EO87" s="965">
        <v>2</v>
      </c>
      <c r="EP87" s="965">
        <v>3</v>
      </c>
      <c r="EQ87" s="965">
        <v>4</v>
      </c>
      <c r="ER87" s="964">
        <v>5</v>
      </c>
      <c r="ES87" s="965">
        <v>6</v>
      </c>
      <c r="ET87" s="965">
        <v>7</v>
      </c>
      <c r="EU87" s="965">
        <v>8</v>
      </c>
      <c r="EV87" s="964">
        <v>9</v>
      </c>
      <c r="EW87" s="965">
        <v>10</v>
      </c>
      <c r="EX87" s="965">
        <v>11</v>
      </c>
      <c r="EY87" s="965">
        <v>12</v>
      </c>
      <c r="EZ87" s="964">
        <v>13</v>
      </c>
      <c r="FA87" s="965">
        <v>14</v>
      </c>
      <c r="FB87" s="965">
        <v>15</v>
      </c>
      <c r="FC87" s="965">
        <v>16</v>
      </c>
      <c r="FD87" s="964">
        <v>17</v>
      </c>
      <c r="FE87" s="965">
        <v>18</v>
      </c>
      <c r="FF87" s="965">
        <v>19</v>
      </c>
      <c r="FG87" s="965">
        <v>20</v>
      </c>
      <c r="FH87" s="964">
        <v>21</v>
      </c>
      <c r="FI87" s="965">
        <v>22</v>
      </c>
      <c r="FJ87" s="965">
        <v>23</v>
      </c>
      <c r="FK87" s="965">
        <v>24</v>
      </c>
      <c r="FL87" s="964">
        <v>25</v>
      </c>
      <c r="FM87" s="965">
        <v>26</v>
      </c>
      <c r="FN87" s="965">
        <v>27</v>
      </c>
      <c r="FO87" s="965">
        <v>28</v>
      </c>
      <c r="FP87" s="964">
        <v>29</v>
      </c>
      <c r="FQ87" s="964">
        <v>30</v>
      </c>
      <c r="FR87" s="967">
        <v>1</v>
      </c>
      <c r="FS87" s="965">
        <v>2</v>
      </c>
      <c r="FT87" s="965">
        <v>3</v>
      </c>
      <c r="FU87" s="965">
        <v>4</v>
      </c>
      <c r="FV87" s="964">
        <v>5</v>
      </c>
      <c r="FW87" s="965">
        <v>6</v>
      </c>
      <c r="FX87" s="965">
        <v>7</v>
      </c>
      <c r="FY87" s="965">
        <v>8</v>
      </c>
      <c r="FZ87" s="964">
        <v>9</v>
      </c>
      <c r="GA87" s="965">
        <v>10</v>
      </c>
      <c r="GB87" s="965">
        <v>11</v>
      </c>
      <c r="GC87" s="965">
        <v>12</v>
      </c>
      <c r="GD87" s="964">
        <v>13</v>
      </c>
      <c r="GE87" s="965">
        <v>14</v>
      </c>
      <c r="GF87" s="965">
        <v>15</v>
      </c>
      <c r="GG87" s="965">
        <v>16</v>
      </c>
      <c r="GH87" s="964">
        <v>17</v>
      </c>
      <c r="GI87" s="965">
        <v>18</v>
      </c>
      <c r="GJ87" s="965">
        <v>19</v>
      </c>
      <c r="GK87" s="965">
        <v>20</v>
      </c>
      <c r="GL87" s="964">
        <v>21</v>
      </c>
      <c r="GM87" s="965">
        <v>22</v>
      </c>
      <c r="GN87" s="965">
        <v>23</v>
      </c>
      <c r="GO87" s="965">
        <v>24</v>
      </c>
      <c r="GP87" s="964">
        <v>25</v>
      </c>
      <c r="GQ87" s="965">
        <v>26</v>
      </c>
      <c r="GR87" s="965">
        <v>27</v>
      </c>
      <c r="GS87" s="965">
        <v>28</v>
      </c>
      <c r="GT87" s="964">
        <v>29</v>
      </c>
      <c r="GU87" s="967">
        <v>1</v>
      </c>
      <c r="GV87" s="965">
        <v>2</v>
      </c>
      <c r="GW87" s="965">
        <v>3</v>
      </c>
      <c r="GX87" s="965">
        <v>4</v>
      </c>
      <c r="GY87" s="964">
        <v>5</v>
      </c>
      <c r="GZ87" s="965">
        <v>6</v>
      </c>
      <c r="HA87" s="965">
        <v>7</v>
      </c>
      <c r="HB87" s="965">
        <v>8</v>
      </c>
      <c r="HC87" s="964">
        <v>9</v>
      </c>
      <c r="HD87" s="965">
        <v>10</v>
      </c>
      <c r="HE87" s="965">
        <v>11</v>
      </c>
      <c r="HF87" s="965">
        <v>12</v>
      </c>
      <c r="HG87" s="964">
        <v>13</v>
      </c>
      <c r="HH87" s="965">
        <v>14</v>
      </c>
      <c r="HI87" s="965">
        <v>15</v>
      </c>
      <c r="HJ87" s="965">
        <v>16</v>
      </c>
      <c r="HK87" s="964">
        <v>17</v>
      </c>
      <c r="HL87" s="965">
        <v>18</v>
      </c>
      <c r="HM87" s="965">
        <v>19</v>
      </c>
      <c r="HN87" s="965">
        <v>20</v>
      </c>
      <c r="HO87" s="964">
        <v>21</v>
      </c>
      <c r="HP87" s="965">
        <v>22</v>
      </c>
      <c r="HQ87" s="965">
        <v>23</v>
      </c>
      <c r="HR87" s="965">
        <v>24</v>
      </c>
      <c r="HS87" s="964">
        <v>25</v>
      </c>
      <c r="HT87" s="965">
        <v>26</v>
      </c>
      <c r="HU87" s="965">
        <v>27</v>
      </c>
      <c r="HV87" s="965">
        <v>28</v>
      </c>
      <c r="HW87" s="964">
        <v>29</v>
      </c>
      <c r="HX87" s="964">
        <v>30</v>
      </c>
      <c r="HY87" s="967">
        <v>1</v>
      </c>
      <c r="HZ87" s="965">
        <v>2</v>
      </c>
      <c r="IA87" s="965">
        <v>3</v>
      </c>
      <c r="IB87" s="965">
        <v>4</v>
      </c>
      <c r="IC87" s="964">
        <v>5</v>
      </c>
      <c r="ID87" s="965">
        <v>6</v>
      </c>
      <c r="IE87" s="965">
        <v>7</v>
      </c>
      <c r="IF87" s="965">
        <v>8</v>
      </c>
      <c r="IG87" s="964">
        <v>9</v>
      </c>
      <c r="IH87" s="965">
        <v>10</v>
      </c>
      <c r="II87" s="965">
        <v>11</v>
      </c>
      <c r="IJ87" s="965">
        <v>12</v>
      </c>
      <c r="IK87" s="964">
        <v>13</v>
      </c>
      <c r="IL87" s="965">
        <v>14</v>
      </c>
      <c r="IM87" s="965">
        <v>15</v>
      </c>
      <c r="IN87" s="965">
        <v>16</v>
      </c>
      <c r="IO87" s="964">
        <v>17</v>
      </c>
      <c r="IP87" s="965">
        <v>18</v>
      </c>
      <c r="IQ87" s="965">
        <v>19</v>
      </c>
      <c r="IR87" s="965">
        <v>20</v>
      </c>
      <c r="IS87" s="964">
        <v>21</v>
      </c>
      <c r="IT87" s="965">
        <v>22</v>
      </c>
      <c r="IU87" s="965">
        <v>23</v>
      </c>
      <c r="IV87" s="965">
        <v>24</v>
      </c>
      <c r="IW87" s="964">
        <v>25</v>
      </c>
      <c r="IX87" s="965">
        <v>26</v>
      </c>
      <c r="IY87" s="965">
        <v>27</v>
      </c>
      <c r="IZ87" s="965">
        <v>28</v>
      </c>
      <c r="JA87" s="964">
        <v>29</v>
      </c>
      <c r="JB87" s="964">
        <v>30</v>
      </c>
      <c r="JC87" s="967">
        <v>1</v>
      </c>
      <c r="JD87" s="965">
        <v>2</v>
      </c>
      <c r="JE87" s="965">
        <v>3</v>
      </c>
      <c r="JF87" s="965">
        <v>4</v>
      </c>
      <c r="JG87" s="964">
        <v>5</v>
      </c>
      <c r="JH87" s="965">
        <v>6</v>
      </c>
      <c r="JI87" s="965">
        <v>7</v>
      </c>
      <c r="JJ87" s="965">
        <v>8</v>
      </c>
      <c r="JK87" s="964">
        <v>9</v>
      </c>
      <c r="JL87" s="965">
        <v>10</v>
      </c>
      <c r="JM87" s="965">
        <v>11</v>
      </c>
      <c r="JN87" s="965">
        <v>12</v>
      </c>
      <c r="JO87" s="964">
        <v>13</v>
      </c>
      <c r="JP87" s="965">
        <v>14</v>
      </c>
      <c r="JQ87" s="965">
        <v>15</v>
      </c>
      <c r="JR87" s="965">
        <v>16</v>
      </c>
      <c r="JS87" s="964">
        <v>17</v>
      </c>
      <c r="JT87" s="965">
        <v>18</v>
      </c>
      <c r="JU87" s="965">
        <v>19</v>
      </c>
      <c r="JV87" s="965">
        <v>20</v>
      </c>
      <c r="JW87" s="964">
        <v>21</v>
      </c>
      <c r="JX87" s="965">
        <v>22</v>
      </c>
      <c r="JY87" s="965">
        <v>23</v>
      </c>
      <c r="JZ87" s="965">
        <v>24</v>
      </c>
      <c r="KA87" s="964">
        <v>25</v>
      </c>
      <c r="KB87" s="965">
        <v>26</v>
      </c>
      <c r="KC87" s="965">
        <v>27</v>
      </c>
      <c r="KD87" s="965">
        <v>28</v>
      </c>
      <c r="KE87" s="964">
        <v>29</v>
      </c>
      <c r="KF87" s="965">
        <v>30</v>
      </c>
      <c r="KG87" s="973">
        <v>1</v>
      </c>
      <c r="KH87" s="965">
        <v>2</v>
      </c>
      <c r="KI87" s="965">
        <v>3</v>
      </c>
      <c r="KJ87" s="965">
        <v>4</v>
      </c>
      <c r="KK87" s="965">
        <v>5</v>
      </c>
      <c r="KL87" s="965">
        <v>6</v>
      </c>
      <c r="KM87" s="965">
        <v>7</v>
      </c>
      <c r="KN87" s="965">
        <v>8</v>
      </c>
      <c r="KO87" s="965">
        <v>9</v>
      </c>
      <c r="KP87" s="965">
        <v>10</v>
      </c>
      <c r="KQ87" s="965">
        <v>11</v>
      </c>
      <c r="KR87" s="965">
        <v>12</v>
      </c>
      <c r="KS87" s="965">
        <v>13</v>
      </c>
      <c r="KT87" s="965">
        <v>14</v>
      </c>
      <c r="KU87" s="965">
        <v>15</v>
      </c>
      <c r="KV87" s="965">
        <v>16</v>
      </c>
      <c r="KW87" s="965">
        <v>17</v>
      </c>
      <c r="KX87" s="965">
        <v>18</v>
      </c>
      <c r="KY87" s="965">
        <v>19</v>
      </c>
      <c r="KZ87" s="965">
        <v>20</v>
      </c>
      <c r="LA87" s="965">
        <v>21</v>
      </c>
      <c r="LB87" s="965">
        <v>22</v>
      </c>
      <c r="LC87" s="965">
        <v>23</v>
      </c>
      <c r="LD87" s="965">
        <v>24</v>
      </c>
      <c r="LE87" s="965">
        <v>25</v>
      </c>
      <c r="LF87" s="965">
        <v>26</v>
      </c>
      <c r="LG87" s="965">
        <v>27</v>
      </c>
      <c r="LH87" s="965">
        <v>28</v>
      </c>
      <c r="LI87" s="965">
        <v>29</v>
      </c>
      <c r="LJ87" s="973">
        <v>1</v>
      </c>
      <c r="LK87" s="965">
        <v>2</v>
      </c>
      <c r="LL87" s="965">
        <v>3</v>
      </c>
      <c r="LM87" s="964">
        <v>4</v>
      </c>
      <c r="LN87" s="965">
        <v>5</v>
      </c>
      <c r="LO87" s="965">
        <v>6</v>
      </c>
      <c r="LP87" s="964">
        <v>7</v>
      </c>
      <c r="LQ87" s="965">
        <v>8</v>
      </c>
      <c r="LR87" s="965">
        <v>9</v>
      </c>
      <c r="LS87" s="964">
        <v>10</v>
      </c>
      <c r="LT87" s="965">
        <v>11</v>
      </c>
      <c r="LU87" s="965">
        <v>12</v>
      </c>
      <c r="LV87" s="964">
        <v>13</v>
      </c>
      <c r="LW87" s="965">
        <v>14</v>
      </c>
      <c r="LX87" s="965">
        <v>15</v>
      </c>
      <c r="LY87" s="964">
        <v>16</v>
      </c>
      <c r="LZ87" s="965">
        <v>17</v>
      </c>
      <c r="MA87" s="965">
        <v>18</v>
      </c>
      <c r="MB87" s="964">
        <v>19</v>
      </c>
      <c r="MC87" s="965">
        <v>20</v>
      </c>
      <c r="MD87" s="965">
        <v>21</v>
      </c>
      <c r="ME87" s="964">
        <v>22</v>
      </c>
      <c r="MF87" s="965">
        <v>23</v>
      </c>
      <c r="MG87" s="965">
        <v>24</v>
      </c>
      <c r="MH87" s="964">
        <v>25</v>
      </c>
      <c r="MI87" s="965">
        <v>26</v>
      </c>
      <c r="MJ87" s="965">
        <v>27</v>
      </c>
      <c r="MK87" s="964">
        <v>28</v>
      </c>
      <c r="ML87" s="965">
        <v>29</v>
      </c>
      <c r="MM87" s="967">
        <v>1</v>
      </c>
      <c r="MN87" s="965">
        <v>2</v>
      </c>
      <c r="MO87" s="965">
        <v>3</v>
      </c>
      <c r="MP87" s="965">
        <v>4</v>
      </c>
      <c r="MQ87" s="964">
        <v>5</v>
      </c>
      <c r="MR87" s="965">
        <v>6</v>
      </c>
      <c r="MS87" s="965">
        <v>7</v>
      </c>
      <c r="MT87" s="965">
        <v>8</v>
      </c>
      <c r="MU87" s="964">
        <v>9</v>
      </c>
      <c r="MV87" s="965">
        <v>10</v>
      </c>
      <c r="MW87" s="965">
        <v>11</v>
      </c>
      <c r="MX87" s="965">
        <v>12</v>
      </c>
      <c r="MY87" s="964">
        <v>13</v>
      </c>
      <c r="MZ87" s="965">
        <v>14</v>
      </c>
      <c r="NA87" s="965">
        <v>15</v>
      </c>
      <c r="NB87" s="965">
        <v>16</v>
      </c>
      <c r="NC87" s="964">
        <v>17</v>
      </c>
      <c r="ND87" s="965">
        <v>18</v>
      </c>
      <c r="NE87" s="965">
        <v>19</v>
      </c>
      <c r="NF87" s="965">
        <v>20</v>
      </c>
      <c r="NG87" s="964">
        <v>21</v>
      </c>
      <c r="NH87" s="965">
        <v>22</v>
      </c>
      <c r="NI87" s="965">
        <v>23</v>
      </c>
      <c r="NJ87" s="965">
        <v>24</v>
      </c>
      <c r="NK87" s="964">
        <v>25</v>
      </c>
      <c r="NL87" s="965">
        <v>26</v>
      </c>
      <c r="NM87" s="965">
        <v>27</v>
      </c>
      <c r="NN87" s="965">
        <v>28</v>
      </c>
      <c r="NO87" s="964">
        <v>29</v>
      </c>
      <c r="NP87" s="964">
        <v>30</v>
      </c>
      <c r="NQ87" s="973">
        <v>1</v>
      </c>
      <c r="NR87" s="965">
        <v>2</v>
      </c>
      <c r="NS87" s="965">
        <v>3</v>
      </c>
      <c r="NT87" s="964">
        <v>4</v>
      </c>
      <c r="NU87" s="965">
        <v>5</v>
      </c>
      <c r="NV87" s="965">
        <v>6</v>
      </c>
      <c r="NW87" s="964">
        <v>7</v>
      </c>
      <c r="NX87" s="965">
        <v>8</v>
      </c>
      <c r="NY87" s="965">
        <v>9</v>
      </c>
      <c r="NZ87" s="964">
        <v>10</v>
      </c>
      <c r="OA87" s="965">
        <v>11</v>
      </c>
      <c r="OB87" s="965">
        <v>12</v>
      </c>
      <c r="OC87" s="964">
        <v>13</v>
      </c>
      <c r="OD87" s="965">
        <v>14</v>
      </c>
      <c r="OE87" s="965">
        <v>15</v>
      </c>
      <c r="OF87" s="964">
        <v>16</v>
      </c>
      <c r="OG87" s="965">
        <v>17</v>
      </c>
      <c r="OH87" s="965">
        <v>18</v>
      </c>
      <c r="OI87" s="964">
        <v>19</v>
      </c>
      <c r="OJ87" s="965">
        <v>20</v>
      </c>
      <c r="OK87" s="965">
        <v>21</v>
      </c>
      <c r="OL87" s="964">
        <v>22</v>
      </c>
      <c r="OM87" s="965">
        <v>23</v>
      </c>
      <c r="ON87" s="965">
        <v>24</v>
      </c>
      <c r="OO87" s="964">
        <v>25</v>
      </c>
      <c r="OP87" s="965">
        <v>26</v>
      </c>
      <c r="OQ87" s="965">
        <v>27</v>
      </c>
      <c r="OR87" s="964">
        <v>28</v>
      </c>
      <c r="OS87" s="965">
        <v>29</v>
      </c>
      <c r="OT87" s="973">
        <v>1</v>
      </c>
      <c r="OU87" s="965">
        <v>2</v>
      </c>
      <c r="OV87" s="965">
        <v>3</v>
      </c>
      <c r="OW87" s="964">
        <v>4</v>
      </c>
      <c r="OX87" s="965">
        <v>5</v>
      </c>
      <c r="OY87" s="965">
        <v>6</v>
      </c>
      <c r="OZ87" s="964">
        <v>7</v>
      </c>
      <c r="PA87" s="965">
        <v>8</v>
      </c>
      <c r="PB87" s="965">
        <v>9</v>
      </c>
      <c r="PC87" s="964">
        <v>10</v>
      </c>
      <c r="PD87" s="965">
        <v>11</v>
      </c>
      <c r="PE87" s="965">
        <v>12</v>
      </c>
      <c r="PF87" s="964">
        <v>13</v>
      </c>
      <c r="PG87" s="965">
        <v>14</v>
      </c>
      <c r="PH87" s="965">
        <v>15</v>
      </c>
      <c r="PI87" s="964">
        <v>16</v>
      </c>
      <c r="PJ87" s="965">
        <v>17</v>
      </c>
      <c r="PK87" s="965">
        <v>18</v>
      </c>
      <c r="PL87" s="964">
        <v>19</v>
      </c>
      <c r="PM87" s="965">
        <v>20</v>
      </c>
      <c r="PN87" s="965">
        <v>21</v>
      </c>
      <c r="PO87" s="964">
        <v>22</v>
      </c>
      <c r="PP87" s="965">
        <v>23</v>
      </c>
      <c r="PQ87" s="965">
        <v>24</v>
      </c>
      <c r="PR87" s="964">
        <v>25</v>
      </c>
      <c r="PS87" s="965">
        <v>26</v>
      </c>
      <c r="PT87" s="965">
        <v>27</v>
      </c>
      <c r="PU87" s="964">
        <v>28</v>
      </c>
      <c r="PV87" s="965">
        <v>29</v>
      </c>
      <c r="PW87" s="967">
        <v>1</v>
      </c>
      <c r="PX87" s="965">
        <v>2</v>
      </c>
      <c r="PY87" s="965">
        <v>3</v>
      </c>
      <c r="PZ87" s="965">
        <v>4</v>
      </c>
      <c r="QA87" s="964">
        <v>5</v>
      </c>
      <c r="QB87" s="965">
        <v>6</v>
      </c>
      <c r="QC87" s="965">
        <v>7</v>
      </c>
      <c r="QD87" s="965">
        <v>8</v>
      </c>
      <c r="QE87" s="964">
        <v>9</v>
      </c>
      <c r="QF87" s="965">
        <v>10</v>
      </c>
      <c r="QG87" s="965">
        <v>11</v>
      </c>
      <c r="QH87" s="965">
        <v>12</v>
      </c>
      <c r="QI87" s="964">
        <v>13</v>
      </c>
      <c r="QJ87" s="965">
        <v>14</v>
      </c>
      <c r="QK87" s="965">
        <v>15</v>
      </c>
      <c r="QL87" s="965">
        <v>16</v>
      </c>
      <c r="QM87" s="964">
        <v>17</v>
      </c>
      <c r="QN87" s="965">
        <v>18</v>
      </c>
      <c r="QO87" s="965">
        <v>19</v>
      </c>
      <c r="QP87" s="965">
        <v>20</v>
      </c>
      <c r="QQ87" s="964">
        <v>21</v>
      </c>
      <c r="QR87" s="965">
        <v>22</v>
      </c>
      <c r="QS87" s="965">
        <v>23</v>
      </c>
      <c r="QT87" s="965">
        <v>24</v>
      </c>
      <c r="QU87" s="964">
        <v>25</v>
      </c>
      <c r="QV87" s="965">
        <v>26</v>
      </c>
      <c r="QW87" s="965">
        <v>27</v>
      </c>
      <c r="QX87" s="965">
        <v>28</v>
      </c>
      <c r="QY87" s="964">
        <v>29</v>
      </c>
      <c r="QZ87" s="964">
        <v>30</v>
      </c>
      <c r="RA87" s="974">
        <v>1</v>
      </c>
      <c r="RB87" s="797" t="e">
        <f>IF(AND(QZ85&gt;=10,QZ86&gt;=10),354,355)</f>
        <v>#VALUE!</v>
      </c>
      <c r="RC87" s="797" t="e">
        <f t="shared" ref="RC87" si="819">IF(RB87=RB78,1,RC76+1)</f>
        <v>#VALUE!</v>
      </c>
    </row>
    <row r="88" spans="2:471" ht="15.75" thickBot="1">
      <c r="B88" s="2"/>
      <c r="C88" s="2"/>
      <c r="D88" s="2"/>
      <c r="E88" s="2"/>
      <c r="F88" s="2"/>
      <c r="G88" s="2"/>
      <c r="H88" s="2"/>
      <c r="I88" s="2"/>
      <c r="J88" s="2"/>
      <c r="K88" s="2"/>
      <c r="L88" s="2"/>
      <c r="M88" s="2"/>
      <c r="N88" s="2"/>
      <c r="O88" s="2"/>
      <c r="P88" s="2"/>
      <c r="Q88" s="2"/>
      <c r="R88" s="2">
        <f>MOD(((R84*2)-1),7)-1+Q87</f>
        <v>3</v>
      </c>
      <c r="S88" s="2">
        <f>MOD(((S84*2)-1),7)-1+Q87</f>
        <v>5</v>
      </c>
      <c r="T88" s="2">
        <f>MOD(((T84*2)-1),7)-1+Q87</f>
        <v>0</v>
      </c>
      <c r="U88" s="2">
        <f>MOD(((U84*2)-1),7)-1+Q87</f>
        <v>2</v>
      </c>
      <c r="V88" s="2">
        <f>MOD(((V84*2)-1),7)-1+Q87</f>
        <v>4</v>
      </c>
      <c r="W88" s="2">
        <f>MOD(((W84*2)-1),7)-1+Q87</f>
        <v>6</v>
      </c>
      <c r="X88" s="2">
        <f>MOD(((X84*2)-1),7)-1+Q87</f>
        <v>1</v>
      </c>
      <c r="Y88" s="2">
        <f>MOD(((Y84*2)-1),7)-1+X87</f>
        <v>3</v>
      </c>
      <c r="Z88" s="2">
        <f>MOD(((Z84*2)-1),7)-1+Q87</f>
        <v>5</v>
      </c>
      <c r="AA88" s="2">
        <f>MOD(((AA84*2)-1),7)-1+Q87</f>
        <v>0</v>
      </c>
      <c r="AB88" s="2">
        <f>MOD(((AB84*2)-1),7)-1+Q87</f>
        <v>2</v>
      </c>
      <c r="AC88" s="2">
        <f>MOD(((AC84*2)-1),7)-1+Q87</f>
        <v>4</v>
      </c>
      <c r="DH88" s="797"/>
      <c r="DJ88" s="797" t="e">
        <f>DJ89-RB78</f>
        <v>#VALUE!</v>
      </c>
      <c r="DK88" s="797" t="e">
        <f>DJ88+1</f>
        <v>#VALUE!</v>
      </c>
      <c r="DL88" s="797" t="e">
        <f t="shared" ref="DL88:FW88" si="820">DK88+1</f>
        <v>#VALUE!</v>
      </c>
      <c r="DM88" s="797" t="e">
        <f t="shared" si="820"/>
        <v>#VALUE!</v>
      </c>
      <c r="DN88" s="797" t="e">
        <f t="shared" si="820"/>
        <v>#VALUE!</v>
      </c>
      <c r="DO88" s="797" t="e">
        <f t="shared" si="820"/>
        <v>#VALUE!</v>
      </c>
      <c r="DP88" s="797" t="e">
        <f t="shared" si="820"/>
        <v>#VALUE!</v>
      </c>
      <c r="DQ88" s="797" t="e">
        <f t="shared" si="820"/>
        <v>#VALUE!</v>
      </c>
      <c r="DR88" s="797" t="e">
        <f t="shared" si="820"/>
        <v>#VALUE!</v>
      </c>
      <c r="DS88" s="797" t="e">
        <f t="shared" si="820"/>
        <v>#VALUE!</v>
      </c>
      <c r="DT88" s="797" t="e">
        <f t="shared" si="820"/>
        <v>#VALUE!</v>
      </c>
      <c r="DU88" s="797" t="e">
        <f t="shared" si="820"/>
        <v>#VALUE!</v>
      </c>
      <c r="DV88" s="797" t="e">
        <f t="shared" si="820"/>
        <v>#VALUE!</v>
      </c>
      <c r="DW88" s="797" t="e">
        <f t="shared" si="820"/>
        <v>#VALUE!</v>
      </c>
      <c r="DX88" s="797" t="e">
        <f t="shared" si="820"/>
        <v>#VALUE!</v>
      </c>
      <c r="DY88" s="797" t="e">
        <f t="shared" si="820"/>
        <v>#VALUE!</v>
      </c>
      <c r="DZ88" s="797" t="e">
        <f t="shared" si="820"/>
        <v>#VALUE!</v>
      </c>
      <c r="EA88" s="797" t="e">
        <f t="shared" si="820"/>
        <v>#VALUE!</v>
      </c>
      <c r="EB88" s="797" t="e">
        <f t="shared" si="820"/>
        <v>#VALUE!</v>
      </c>
      <c r="EC88" s="797" t="e">
        <f t="shared" si="820"/>
        <v>#VALUE!</v>
      </c>
      <c r="ED88" s="797" t="e">
        <f t="shared" si="820"/>
        <v>#VALUE!</v>
      </c>
      <c r="EE88" s="797" t="e">
        <f t="shared" si="820"/>
        <v>#VALUE!</v>
      </c>
      <c r="EF88" s="797" t="e">
        <f t="shared" si="820"/>
        <v>#VALUE!</v>
      </c>
      <c r="EG88" s="797" t="e">
        <f t="shared" si="820"/>
        <v>#VALUE!</v>
      </c>
      <c r="EH88" s="797" t="e">
        <f t="shared" si="820"/>
        <v>#VALUE!</v>
      </c>
      <c r="EI88" s="797" t="e">
        <f t="shared" si="820"/>
        <v>#VALUE!</v>
      </c>
      <c r="EJ88" s="797" t="e">
        <f t="shared" si="820"/>
        <v>#VALUE!</v>
      </c>
      <c r="EK88" s="797" t="e">
        <f t="shared" si="820"/>
        <v>#VALUE!</v>
      </c>
      <c r="EL88" s="797" t="e">
        <f t="shared" si="820"/>
        <v>#VALUE!</v>
      </c>
      <c r="EM88" s="797" t="e">
        <f t="shared" si="820"/>
        <v>#VALUE!</v>
      </c>
      <c r="EN88" s="797" t="e">
        <f t="shared" si="820"/>
        <v>#VALUE!</v>
      </c>
      <c r="EO88" s="797" t="e">
        <f t="shared" si="820"/>
        <v>#VALUE!</v>
      </c>
      <c r="EP88" s="797" t="e">
        <f t="shared" si="820"/>
        <v>#VALUE!</v>
      </c>
      <c r="EQ88" s="797" t="e">
        <f t="shared" si="820"/>
        <v>#VALUE!</v>
      </c>
      <c r="ER88" s="797" t="e">
        <f t="shared" si="820"/>
        <v>#VALUE!</v>
      </c>
      <c r="ES88" s="797" t="e">
        <f t="shared" si="820"/>
        <v>#VALUE!</v>
      </c>
      <c r="ET88" s="797" t="e">
        <f t="shared" si="820"/>
        <v>#VALUE!</v>
      </c>
      <c r="EU88" s="797" t="e">
        <f t="shared" si="820"/>
        <v>#VALUE!</v>
      </c>
      <c r="EV88" s="797" t="e">
        <f t="shared" si="820"/>
        <v>#VALUE!</v>
      </c>
      <c r="EW88" s="797" t="e">
        <f t="shared" si="820"/>
        <v>#VALUE!</v>
      </c>
      <c r="EX88" s="797" t="e">
        <f t="shared" si="820"/>
        <v>#VALUE!</v>
      </c>
      <c r="EY88" s="797" t="e">
        <f t="shared" si="820"/>
        <v>#VALUE!</v>
      </c>
      <c r="EZ88" s="797" t="e">
        <f t="shared" si="820"/>
        <v>#VALUE!</v>
      </c>
      <c r="FA88" s="797" t="e">
        <f t="shared" si="820"/>
        <v>#VALUE!</v>
      </c>
      <c r="FB88" s="797" t="e">
        <f t="shared" si="820"/>
        <v>#VALUE!</v>
      </c>
      <c r="FC88" s="797" t="e">
        <f t="shared" si="820"/>
        <v>#VALUE!</v>
      </c>
      <c r="FD88" s="797" t="e">
        <f t="shared" si="820"/>
        <v>#VALUE!</v>
      </c>
      <c r="FE88" s="797" t="e">
        <f t="shared" si="820"/>
        <v>#VALUE!</v>
      </c>
      <c r="FF88" s="797" t="e">
        <f t="shared" si="820"/>
        <v>#VALUE!</v>
      </c>
      <c r="FG88" s="797" t="e">
        <f t="shared" si="820"/>
        <v>#VALUE!</v>
      </c>
      <c r="FH88" s="797" t="e">
        <f t="shared" si="820"/>
        <v>#VALUE!</v>
      </c>
      <c r="FI88" s="797" t="e">
        <f t="shared" si="820"/>
        <v>#VALUE!</v>
      </c>
      <c r="FJ88" s="797" t="e">
        <f t="shared" si="820"/>
        <v>#VALUE!</v>
      </c>
      <c r="FK88" s="797" t="e">
        <f t="shared" si="820"/>
        <v>#VALUE!</v>
      </c>
      <c r="FL88" s="797" t="e">
        <f t="shared" si="820"/>
        <v>#VALUE!</v>
      </c>
      <c r="FM88" s="797" t="e">
        <f t="shared" si="820"/>
        <v>#VALUE!</v>
      </c>
      <c r="FN88" s="797" t="e">
        <f t="shared" si="820"/>
        <v>#VALUE!</v>
      </c>
      <c r="FO88" s="797" t="e">
        <f t="shared" si="820"/>
        <v>#VALUE!</v>
      </c>
      <c r="FP88" s="797" t="e">
        <f t="shared" si="820"/>
        <v>#VALUE!</v>
      </c>
      <c r="FQ88" s="797" t="e">
        <f t="shared" si="820"/>
        <v>#VALUE!</v>
      </c>
      <c r="FR88" s="797" t="e">
        <f t="shared" si="820"/>
        <v>#VALUE!</v>
      </c>
      <c r="FS88" s="797" t="e">
        <f t="shared" si="820"/>
        <v>#VALUE!</v>
      </c>
      <c r="FT88" s="797" t="e">
        <f t="shared" si="820"/>
        <v>#VALUE!</v>
      </c>
      <c r="FU88" s="797" t="e">
        <f t="shared" si="820"/>
        <v>#VALUE!</v>
      </c>
      <c r="FV88" s="797" t="e">
        <f t="shared" si="820"/>
        <v>#VALUE!</v>
      </c>
      <c r="FW88" s="797" t="e">
        <f t="shared" si="820"/>
        <v>#VALUE!</v>
      </c>
      <c r="FX88" s="797" t="e">
        <f t="shared" ref="FX88:II88" si="821">FW88+1</f>
        <v>#VALUE!</v>
      </c>
      <c r="FY88" s="797" t="e">
        <f t="shared" si="821"/>
        <v>#VALUE!</v>
      </c>
      <c r="FZ88" s="797" t="e">
        <f t="shared" si="821"/>
        <v>#VALUE!</v>
      </c>
      <c r="GA88" s="797" t="e">
        <f t="shared" si="821"/>
        <v>#VALUE!</v>
      </c>
      <c r="GB88" s="797" t="e">
        <f t="shared" si="821"/>
        <v>#VALUE!</v>
      </c>
      <c r="GC88" s="797" t="e">
        <f t="shared" si="821"/>
        <v>#VALUE!</v>
      </c>
      <c r="GD88" s="797" t="e">
        <f t="shared" si="821"/>
        <v>#VALUE!</v>
      </c>
      <c r="GE88" s="797" t="e">
        <f t="shared" si="821"/>
        <v>#VALUE!</v>
      </c>
      <c r="GF88" s="797" t="e">
        <f t="shared" si="821"/>
        <v>#VALUE!</v>
      </c>
      <c r="GG88" s="797" t="e">
        <f t="shared" si="821"/>
        <v>#VALUE!</v>
      </c>
      <c r="GH88" s="797" t="e">
        <f t="shared" si="821"/>
        <v>#VALUE!</v>
      </c>
      <c r="GI88" s="797" t="e">
        <f t="shared" si="821"/>
        <v>#VALUE!</v>
      </c>
      <c r="GJ88" s="797" t="e">
        <f t="shared" si="821"/>
        <v>#VALUE!</v>
      </c>
      <c r="GK88" s="797" t="e">
        <f t="shared" si="821"/>
        <v>#VALUE!</v>
      </c>
      <c r="GL88" s="797" t="e">
        <f t="shared" si="821"/>
        <v>#VALUE!</v>
      </c>
      <c r="GM88" s="797" t="e">
        <f t="shared" si="821"/>
        <v>#VALUE!</v>
      </c>
      <c r="GN88" s="797" t="e">
        <f t="shared" si="821"/>
        <v>#VALUE!</v>
      </c>
      <c r="GO88" s="797" t="e">
        <f t="shared" si="821"/>
        <v>#VALUE!</v>
      </c>
      <c r="GP88" s="797" t="e">
        <f t="shared" si="821"/>
        <v>#VALUE!</v>
      </c>
      <c r="GQ88" s="797" t="e">
        <f t="shared" si="821"/>
        <v>#VALUE!</v>
      </c>
      <c r="GR88" s="797" t="e">
        <f t="shared" si="821"/>
        <v>#VALUE!</v>
      </c>
      <c r="GS88" s="797" t="e">
        <f t="shared" si="821"/>
        <v>#VALUE!</v>
      </c>
      <c r="GT88" s="797" t="e">
        <f t="shared" si="821"/>
        <v>#VALUE!</v>
      </c>
      <c r="GU88" s="797" t="e">
        <f t="shared" si="821"/>
        <v>#VALUE!</v>
      </c>
      <c r="GV88" s="797" t="e">
        <f t="shared" si="821"/>
        <v>#VALUE!</v>
      </c>
      <c r="GW88" s="797" t="e">
        <f t="shared" si="821"/>
        <v>#VALUE!</v>
      </c>
      <c r="GX88" s="797" t="e">
        <f t="shared" si="821"/>
        <v>#VALUE!</v>
      </c>
      <c r="GY88" s="797" t="e">
        <f t="shared" si="821"/>
        <v>#VALUE!</v>
      </c>
      <c r="GZ88" s="797" t="e">
        <f t="shared" si="821"/>
        <v>#VALUE!</v>
      </c>
      <c r="HA88" s="797" t="e">
        <f t="shared" si="821"/>
        <v>#VALUE!</v>
      </c>
      <c r="HB88" s="797" t="e">
        <f t="shared" si="821"/>
        <v>#VALUE!</v>
      </c>
      <c r="HC88" s="797" t="e">
        <f t="shared" si="821"/>
        <v>#VALUE!</v>
      </c>
      <c r="HD88" s="797" t="e">
        <f t="shared" si="821"/>
        <v>#VALUE!</v>
      </c>
      <c r="HE88" s="797" t="e">
        <f t="shared" si="821"/>
        <v>#VALUE!</v>
      </c>
      <c r="HF88" s="797" t="e">
        <f t="shared" si="821"/>
        <v>#VALUE!</v>
      </c>
      <c r="HG88" s="797" t="e">
        <f t="shared" si="821"/>
        <v>#VALUE!</v>
      </c>
      <c r="HH88" s="797" t="e">
        <f t="shared" si="821"/>
        <v>#VALUE!</v>
      </c>
      <c r="HI88" s="797" t="e">
        <f t="shared" si="821"/>
        <v>#VALUE!</v>
      </c>
      <c r="HJ88" s="797" t="e">
        <f t="shared" si="821"/>
        <v>#VALUE!</v>
      </c>
      <c r="HK88" s="797" t="e">
        <f t="shared" si="821"/>
        <v>#VALUE!</v>
      </c>
      <c r="HL88" s="797" t="e">
        <f t="shared" si="821"/>
        <v>#VALUE!</v>
      </c>
      <c r="HM88" s="797" t="e">
        <f t="shared" si="821"/>
        <v>#VALUE!</v>
      </c>
      <c r="HN88" s="797" t="e">
        <f t="shared" si="821"/>
        <v>#VALUE!</v>
      </c>
      <c r="HO88" s="797" t="e">
        <f t="shared" si="821"/>
        <v>#VALUE!</v>
      </c>
      <c r="HP88" s="797" t="e">
        <f t="shared" si="821"/>
        <v>#VALUE!</v>
      </c>
      <c r="HQ88" s="797" t="e">
        <f t="shared" si="821"/>
        <v>#VALUE!</v>
      </c>
      <c r="HR88" s="797" t="e">
        <f t="shared" si="821"/>
        <v>#VALUE!</v>
      </c>
      <c r="HS88" s="797" t="e">
        <f t="shared" si="821"/>
        <v>#VALUE!</v>
      </c>
      <c r="HT88" s="797" t="e">
        <f t="shared" si="821"/>
        <v>#VALUE!</v>
      </c>
      <c r="HU88" s="797" t="e">
        <f t="shared" si="821"/>
        <v>#VALUE!</v>
      </c>
      <c r="HV88" s="797" t="e">
        <f t="shared" si="821"/>
        <v>#VALUE!</v>
      </c>
      <c r="HW88" s="797" t="e">
        <f t="shared" si="821"/>
        <v>#VALUE!</v>
      </c>
      <c r="HX88" s="797" t="e">
        <f t="shared" si="821"/>
        <v>#VALUE!</v>
      </c>
      <c r="HY88" s="797" t="e">
        <f t="shared" si="821"/>
        <v>#VALUE!</v>
      </c>
      <c r="HZ88" s="797" t="e">
        <f t="shared" si="821"/>
        <v>#VALUE!</v>
      </c>
      <c r="IA88" s="797" t="e">
        <f t="shared" si="821"/>
        <v>#VALUE!</v>
      </c>
      <c r="IB88" s="797" t="e">
        <f t="shared" si="821"/>
        <v>#VALUE!</v>
      </c>
      <c r="IC88" s="797" t="e">
        <f t="shared" si="821"/>
        <v>#VALUE!</v>
      </c>
      <c r="ID88" s="797" t="e">
        <f t="shared" si="821"/>
        <v>#VALUE!</v>
      </c>
      <c r="IE88" s="797" t="e">
        <f t="shared" si="821"/>
        <v>#VALUE!</v>
      </c>
      <c r="IF88" s="797" t="e">
        <f t="shared" si="821"/>
        <v>#VALUE!</v>
      </c>
      <c r="IG88" s="797" t="e">
        <f t="shared" si="821"/>
        <v>#VALUE!</v>
      </c>
      <c r="IH88" s="797" t="e">
        <f t="shared" si="821"/>
        <v>#VALUE!</v>
      </c>
      <c r="II88" s="797" t="e">
        <f t="shared" si="821"/>
        <v>#VALUE!</v>
      </c>
      <c r="IJ88" s="797" t="e">
        <f t="shared" ref="IJ88:KU88" si="822">II88+1</f>
        <v>#VALUE!</v>
      </c>
      <c r="IK88" s="797" t="e">
        <f t="shared" si="822"/>
        <v>#VALUE!</v>
      </c>
      <c r="IL88" s="797" t="e">
        <f t="shared" si="822"/>
        <v>#VALUE!</v>
      </c>
      <c r="IM88" s="797" t="e">
        <f t="shared" si="822"/>
        <v>#VALUE!</v>
      </c>
      <c r="IN88" s="797" t="e">
        <f t="shared" si="822"/>
        <v>#VALUE!</v>
      </c>
      <c r="IO88" s="797" t="e">
        <f t="shared" si="822"/>
        <v>#VALUE!</v>
      </c>
      <c r="IP88" s="797" t="e">
        <f t="shared" si="822"/>
        <v>#VALUE!</v>
      </c>
      <c r="IQ88" s="797" t="e">
        <f t="shared" si="822"/>
        <v>#VALUE!</v>
      </c>
      <c r="IR88" s="797" t="e">
        <f t="shared" si="822"/>
        <v>#VALUE!</v>
      </c>
      <c r="IS88" s="797" t="e">
        <f t="shared" si="822"/>
        <v>#VALUE!</v>
      </c>
      <c r="IT88" s="797" t="e">
        <f t="shared" si="822"/>
        <v>#VALUE!</v>
      </c>
      <c r="IU88" s="797" t="e">
        <f t="shared" si="822"/>
        <v>#VALUE!</v>
      </c>
      <c r="IV88" s="797" t="e">
        <f t="shared" si="822"/>
        <v>#VALUE!</v>
      </c>
      <c r="IW88" s="797" t="e">
        <f t="shared" si="822"/>
        <v>#VALUE!</v>
      </c>
      <c r="IX88" s="797" t="e">
        <f t="shared" si="822"/>
        <v>#VALUE!</v>
      </c>
      <c r="IY88" s="797" t="e">
        <f t="shared" si="822"/>
        <v>#VALUE!</v>
      </c>
      <c r="IZ88" s="797" t="e">
        <f t="shared" si="822"/>
        <v>#VALUE!</v>
      </c>
      <c r="JA88" s="797" t="e">
        <f t="shared" si="822"/>
        <v>#VALUE!</v>
      </c>
      <c r="JB88" s="797" t="e">
        <f t="shared" si="822"/>
        <v>#VALUE!</v>
      </c>
      <c r="JC88" s="797" t="e">
        <f t="shared" si="822"/>
        <v>#VALUE!</v>
      </c>
      <c r="JD88" s="797" t="e">
        <f t="shared" si="822"/>
        <v>#VALUE!</v>
      </c>
      <c r="JE88" s="797" t="e">
        <f t="shared" si="822"/>
        <v>#VALUE!</v>
      </c>
      <c r="JF88" s="797" t="e">
        <f t="shared" si="822"/>
        <v>#VALUE!</v>
      </c>
      <c r="JG88" s="797" t="e">
        <f t="shared" si="822"/>
        <v>#VALUE!</v>
      </c>
      <c r="JH88" s="797" t="e">
        <f t="shared" si="822"/>
        <v>#VALUE!</v>
      </c>
      <c r="JI88" s="797" t="e">
        <f t="shared" si="822"/>
        <v>#VALUE!</v>
      </c>
      <c r="JJ88" s="797" t="e">
        <f t="shared" si="822"/>
        <v>#VALUE!</v>
      </c>
      <c r="JK88" s="797" t="e">
        <f t="shared" si="822"/>
        <v>#VALUE!</v>
      </c>
      <c r="JL88" s="797" t="e">
        <f t="shared" si="822"/>
        <v>#VALUE!</v>
      </c>
      <c r="JM88" s="797" t="e">
        <f t="shared" si="822"/>
        <v>#VALUE!</v>
      </c>
      <c r="JN88" s="797" t="e">
        <f t="shared" si="822"/>
        <v>#VALUE!</v>
      </c>
      <c r="JO88" s="797" t="e">
        <f t="shared" si="822"/>
        <v>#VALUE!</v>
      </c>
      <c r="JP88" s="797" t="e">
        <f t="shared" si="822"/>
        <v>#VALUE!</v>
      </c>
      <c r="JQ88" s="797" t="e">
        <f t="shared" si="822"/>
        <v>#VALUE!</v>
      </c>
      <c r="JR88" s="797" t="e">
        <f t="shared" si="822"/>
        <v>#VALUE!</v>
      </c>
      <c r="JS88" s="797" t="e">
        <f t="shared" si="822"/>
        <v>#VALUE!</v>
      </c>
      <c r="JT88" s="797" t="e">
        <f t="shared" si="822"/>
        <v>#VALUE!</v>
      </c>
      <c r="JU88" s="797" t="e">
        <f t="shared" si="822"/>
        <v>#VALUE!</v>
      </c>
      <c r="JV88" s="797" t="e">
        <f t="shared" si="822"/>
        <v>#VALUE!</v>
      </c>
      <c r="JW88" s="797" t="e">
        <f t="shared" si="822"/>
        <v>#VALUE!</v>
      </c>
      <c r="JX88" s="797" t="e">
        <f t="shared" si="822"/>
        <v>#VALUE!</v>
      </c>
      <c r="JY88" s="797" t="e">
        <f t="shared" si="822"/>
        <v>#VALUE!</v>
      </c>
      <c r="JZ88" s="797" t="e">
        <f t="shared" si="822"/>
        <v>#VALUE!</v>
      </c>
      <c r="KA88" s="797" t="e">
        <f t="shared" si="822"/>
        <v>#VALUE!</v>
      </c>
      <c r="KB88" s="797" t="e">
        <f t="shared" si="822"/>
        <v>#VALUE!</v>
      </c>
      <c r="KC88" s="797" t="e">
        <f t="shared" si="822"/>
        <v>#VALUE!</v>
      </c>
      <c r="KD88" s="797" t="e">
        <f t="shared" si="822"/>
        <v>#VALUE!</v>
      </c>
      <c r="KE88" s="797" t="e">
        <f t="shared" si="822"/>
        <v>#VALUE!</v>
      </c>
      <c r="KF88" s="797" t="e">
        <f t="shared" si="822"/>
        <v>#VALUE!</v>
      </c>
      <c r="KG88" s="797" t="e">
        <f t="shared" si="822"/>
        <v>#VALUE!</v>
      </c>
      <c r="KH88" s="797" t="e">
        <f t="shared" si="822"/>
        <v>#VALUE!</v>
      </c>
      <c r="KI88" s="797" t="e">
        <f t="shared" si="822"/>
        <v>#VALUE!</v>
      </c>
      <c r="KJ88" s="797" t="e">
        <f t="shared" si="822"/>
        <v>#VALUE!</v>
      </c>
      <c r="KK88" s="797" t="e">
        <f t="shared" si="822"/>
        <v>#VALUE!</v>
      </c>
      <c r="KL88" s="797" t="e">
        <f t="shared" si="822"/>
        <v>#VALUE!</v>
      </c>
      <c r="KM88" s="797" t="e">
        <f t="shared" si="822"/>
        <v>#VALUE!</v>
      </c>
      <c r="KN88" s="797" t="e">
        <f t="shared" si="822"/>
        <v>#VALUE!</v>
      </c>
      <c r="KO88" s="797" t="e">
        <f t="shared" si="822"/>
        <v>#VALUE!</v>
      </c>
      <c r="KP88" s="797" t="e">
        <f t="shared" si="822"/>
        <v>#VALUE!</v>
      </c>
      <c r="KQ88" s="797" t="e">
        <f t="shared" si="822"/>
        <v>#VALUE!</v>
      </c>
      <c r="KR88" s="797" t="e">
        <f t="shared" si="822"/>
        <v>#VALUE!</v>
      </c>
      <c r="KS88" s="797" t="e">
        <f t="shared" si="822"/>
        <v>#VALUE!</v>
      </c>
      <c r="KT88" s="797" t="e">
        <f t="shared" si="822"/>
        <v>#VALUE!</v>
      </c>
      <c r="KU88" s="797" t="e">
        <f t="shared" si="822"/>
        <v>#VALUE!</v>
      </c>
      <c r="KV88" s="797" t="e">
        <f t="shared" ref="KV88:NG88" si="823">KU88+1</f>
        <v>#VALUE!</v>
      </c>
      <c r="KW88" s="797" t="e">
        <f t="shared" si="823"/>
        <v>#VALUE!</v>
      </c>
      <c r="KX88" s="797" t="e">
        <f t="shared" si="823"/>
        <v>#VALUE!</v>
      </c>
      <c r="KY88" s="797" t="e">
        <f t="shared" si="823"/>
        <v>#VALUE!</v>
      </c>
      <c r="KZ88" s="797" t="e">
        <f t="shared" si="823"/>
        <v>#VALUE!</v>
      </c>
      <c r="LA88" s="797" t="e">
        <f t="shared" si="823"/>
        <v>#VALUE!</v>
      </c>
      <c r="LB88" s="797" t="e">
        <f t="shared" si="823"/>
        <v>#VALUE!</v>
      </c>
      <c r="LC88" s="797" t="e">
        <f t="shared" si="823"/>
        <v>#VALUE!</v>
      </c>
      <c r="LD88" s="797" t="e">
        <f t="shared" si="823"/>
        <v>#VALUE!</v>
      </c>
      <c r="LE88" s="797" t="e">
        <f t="shared" si="823"/>
        <v>#VALUE!</v>
      </c>
      <c r="LF88" s="797" t="e">
        <f t="shared" si="823"/>
        <v>#VALUE!</v>
      </c>
      <c r="LG88" s="797" t="e">
        <f t="shared" si="823"/>
        <v>#VALUE!</v>
      </c>
      <c r="LH88" s="797" t="e">
        <f t="shared" si="823"/>
        <v>#VALUE!</v>
      </c>
      <c r="LI88" s="797" t="e">
        <f t="shared" si="823"/>
        <v>#VALUE!</v>
      </c>
      <c r="LJ88" s="797" t="e">
        <f t="shared" si="823"/>
        <v>#VALUE!</v>
      </c>
      <c r="LK88" s="797" t="e">
        <f t="shared" si="823"/>
        <v>#VALUE!</v>
      </c>
      <c r="LL88" s="797" t="e">
        <f t="shared" si="823"/>
        <v>#VALUE!</v>
      </c>
      <c r="LM88" s="797" t="e">
        <f t="shared" si="823"/>
        <v>#VALUE!</v>
      </c>
      <c r="LN88" s="797" t="e">
        <f t="shared" si="823"/>
        <v>#VALUE!</v>
      </c>
      <c r="LO88" s="797" t="e">
        <f t="shared" si="823"/>
        <v>#VALUE!</v>
      </c>
      <c r="LP88" s="797" t="e">
        <f t="shared" si="823"/>
        <v>#VALUE!</v>
      </c>
      <c r="LQ88" s="797" t="e">
        <f t="shared" si="823"/>
        <v>#VALUE!</v>
      </c>
      <c r="LR88" s="797" t="e">
        <f t="shared" si="823"/>
        <v>#VALUE!</v>
      </c>
      <c r="LS88" s="797" t="e">
        <f t="shared" si="823"/>
        <v>#VALUE!</v>
      </c>
      <c r="LT88" s="797" t="e">
        <f t="shared" si="823"/>
        <v>#VALUE!</v>
      </c>
      <c r="LU88" s="797" t="e">
        <f t="shared" si="823"/>
        <v>#VALUE!</v>
      </c>
      <c r="LV88" s="797" t="e">
        <f t="shared" si="823"/>
        <v>#VALUE!</v>
      </c>
      <c r="LW88" s="797" t="e">
        <f t="shared" si="823"/>
        <v>#VALUE!</v>
      </c>
      <c r="LX88" s="797" t="e">
        <f t="shared" si="823"/>
        <v>#VALUE!</v>
      </c>
      <c r="LY88" s="797" t="e">
        <f t="shared" si="823"/>
        <v>#VALUE!</v>
      </c>
      <c r="LZ88" s="797" t="e">
        <f t="shared" si="823"/>
        <v>#VALUE!</v>
      </c>
      <c r="MA88" s="797" t="e">
        <f t="shared" si="823"/>
        <v>#VALUE!</v>
      </c>
      <c r="MB88" s="797" t="e">
        <f t="shared" si="823"/>
        <v>#VALUE!</v>
      </c>
      <c r="MC88" s="797" t="e">
        <f t="shared" si="823"/>
        <v>#VALUE!</v>
      </c>
      <c r="MD88" s="797" t="e">
        <f t="shared" si="823"/>
        <v>#VALUE!</v>
      </c>
      <c r="ME88" s="797" t="e">
        <f t="shared" si="823"/>
        <v>#VALUE!</v>
      </c>
      <c r="MF88" s="797" t="e">
        <f t="shared" si="823"/>
        <v>#VALUE!</v>
      </c>
      <c r="MG88" s="797" t="e">
        <f t="shared" si="823"/>
        <v>#VALUE!</v>
      </c>
      <c r="MH88" s="797" t="e">
        <f t="shared" si="823"/>
        <v>#VALUE!</v>
      </c>
      <c r="MI88" s="797" t="e">
        <f t="shared" si="823"/>
        <v>#VALUE!</v>
      </c>
      <c r="MJ88" s="797" t="e">
        <f t="shared" si="823"/>
        <v>#VALUE!</v>
      </c>
      <c r="MK88" s="797" t="e">
        <f t="shared" si="823"/>
        <v>#VALUE!</v>
      </c>
      <c r="ML88" s="797" t="e">
        <f t="shared" si="823"/>
        <v>#VALUE!</v>
      </c>
      <c r="MM88" s="797" t="e">
        <f t="shared" si="823"/>
        <v>#VALUE!</v>
      </c>
      <c r="MN88" s="797" t="e">
        <f t="shared" si="823"/>
        <v>#VALUE!</v>
      </c>
      <c r="MO88" s="797" t="e">
        <f t="shared" si="823"/>
        <v>#VALUE!</v>
      </c>
      <c r="MP88" s="797" t="e">
        <f t="shared" si="823"/>
        <v>#VALUE!</v>
      </c>
      <c r="MQ88" s="797" t="e">
        <f t="shared" si="823"/>
        <v>#VALUE!</v>
      </c>
      <c r="MR88" s="797" t="e">
        <f t="shared" si="823"/>
        <v>#VALUE!</v>
      </c>
      <c r="MS88" s="797" t="e">
        <f t="shared" si="823"/>
        <v>#VALUE!</v>
      </c>
      <c r="MT88" s="797" t="e">
        <f t="shared" si="823"/>
        <v>#VALUE!</v>
      </c>
      <c r="MU88" s="797" t="e">
        <f t="shared" si="823"/>
        <v>#VALUE!</v>
      </c>
      <c r="MV88" s="797" t="e">
        <f t="shared" si="823"/>
        <v>#VALUE!</v>
      </c>
      <c r="MW88" s="797" t="e">
        <f t="shared" si="823"/>
        <v>#VALUE!</v>
      </c>
      <c r="MX88" s="797" t="e">
        <f t="shared" si="823"/>
        <v>#VALUE!</v>
      </c>
      <c r="MY88" s="797" t="e">
        <f t="shared" si="823"/>
        <v>#VALUE!</v>
      </c>
      <c r="MZ88" s="797" t="e">
        <f t="shared" si="823"/>
        <v>#VALUE!</v>
      </c>
      <c r="NA88" s="797" t="e">
        <f t="shared" si="823"/>
        <v>#VALUE!</v>
      </c>
      <c r="NB88" s="797" t="e">
        <f t="shared" si="823"/>
        <v>#VALUE!</v>
      </c>
      <c r="NC88" s="797" t="e">
        <f t="shared" si="823"/>
        <v>#VALUE!</v>
      </c>
      <c r="ND88" s="797" t="e">
        <f t="shared" si="823"/>
        <v>#VALUE!</v>
      </c>
      <c r="NE88" s="797" t="e">
        <f t="shared" si="823"/>
        <v>#VALUE!</v>
      </c>
      <c r="NF88" s="797" t="e">
        <f t="shared" si="823"/>
        <v>#VALUE!</v>
      </c>
      <c r="NG88" s="797" t="e">
        <f t="shared" si="823"/>
        <v>#VALUE!</v>
      </c>
      <c r="NH88" s="797" t="e">
        <f t="shared" ref="NH88:PS88" si="824">NG88+1</f>
        <v>#VALUE!</v>
      </c>
      <c r="NI88" s="797" t="e">
        <f t="shared" si="824"/>
        <v>#VALUE!</v>
      </c>
      <c r="NJ88" s="797" t="e">
        <f t="shared" si="824"/>
        <v>#VALUE!</v>
      </c>
      <c r="NK88" s="797" t="e">
        <f t="shared" si="824"/>
        <v>#VALUE!</v>
      </c>
      <c r="NL88" s="797" t="e">
        <f t="shared" si="824"/>
        <v>#VALUE!</v>
      </c>
      <c r="NM88" s="797" t="e">
        <f t="shared" si="824"/>
        <v>#VALUE!</v>
      </c>
      <c r="NN88" s="797" t="e">
        <f t="shared" si="824"/>
        <v>#VALUE!</v>
      </c>
      <c r="NO88" s="797" t="e">
        <f t="shared" si="824"/>
        <v>#VALUE!</v>
      </c>
      <c r="NP88" s="797" t="e">
        <f t="shared" si="824"/>
        <v>#VALUE!</v>
      </c>
      <c r="NQ88" s="797" t="e">
        <f t="shared" si="824"/>
        <v>#VALUE!</v>
      </c>
      <c r="NR88" s="797" t="e">
        <f t="shared" si="824"/>
        <v>#VALUE!</v>
      </c>
      <c r="NS88" s="797" t="e">
        <f t="shared" si="824"/>
        <v>#VALUE!</v>
      </c>
      <c r="NT88" s="797" t="e">
        <f t="shared" si="824"/>
        <v>#VALUE!</v>
      </c>
      <c r="NU88" s="797" t="e">
        <f t="shared" si="824"/>
        <v>#VALUE!</v>
      </c>
      <c r="NV88" s="797" t="e">
        <f t="shared" si="824"/>
        <v>#VALUE!</v>
      </c>
      <c r="NW88" s="797" t="e">
        <f t="shared" si="824"/>
        <v>#VALUE!</v>
      </c>
      <c r="NX88" s="797" t="e">
        <f t="shared" si="824"/>
        <v>#VALUE!</v>
      </c>
      <c r="NY88" s="797" t="e">
        <f t="shared" si="824"/>
        <v>#VALUE!</v>
      </c>
      <c r="NZ88" s="797" t="e">
        <f t="shared" si="824"/>
        <v>#VALUE!</v>
      </c>
      <c r="OA88" s="797" t="e">
        <f t="shared" si="824"/>
        <v>#VALUE!</v>
      </c>
      <c r="OB88" s="797" t="e">
        <f t="shared" si="824"/>
        <v>#VALUE!</v>
      </c>
      <c r="OC88" s="797" t="e">
        <f t="shared" si="824"/>
        <v>#VALUE!</v>
      </c>
      <c r="OD88" s="797" t="e">
        <f t="shared" si="824"/>
        <v>#VALUE!</v>
      </c>
      <c r="OE88" s="797" t="e">
        <f t="shared" si="824"/>
        <v>#VALUE!</v>
      </c>
      <c r="OF88" s="797" t="e">
        <f t="shared" si="824"/>
        <v>#VALUE!</v>
      </c>
      <c r="OG88" s="797" t="e">
        <f t="shared" si="824"/>
        <v>#VALUE!</v>
      </c>
      <c r="OH88" s="797" t="e">
        <f t="shared" si="824"/>
        <v>#VALUE!</v>
      </c>
      <c r="OI88" s="797" t="e">
        <f t="shared" si="824"/>
        <v>#VALUE!</v>
      </c>
      <c r="OJ88" s="797" t="e">
        <f t="shared" si="824"/>
        <v>#VALUE!</v>
      </c>
      <c r="OK88" s="797" t="e">
        <f t="shared" si="824"/>
        <v>#VALUE!</v>
      </c>
      <c r="OL88" s="797" t="e">
        <f t="shared" si="824"/>
        <v>#VALUE!</v>
      </c>
      <c r="OM88" s="797" t="e">
        <f t="shared" si="824"/>
        <v>#VALUE!</v>
      </c>
      <c r="ON88" s="797" t="e">
        <f t="shared" si="824"/>
        <v>#VALUE!</v>
      </c>
      <c r="OO88" s="797" t="e">
        <f t="shared" si="824"/>
        <v>#VALUE!</v>
      </c>
      <c r="OP88" s="797" t="e">
        <f t="shared" si="824"/>
        <v>#VALUE!</v>
      </c>
      <c r="OQ88" s="797" t="e">
        <f t="shared" si="824"/>
        <v>#VALUE!</v>
      </c>
      <c r="OR88" s="797" t="e">
        <f t="shared" si="824"/>
        <v>#VALUE!</v>
      </c>
      <c r="OS88" s="797" t="e">
        <f t="shared" si="824"/>
        <v>#VALUE!</v>
      </c>
      <c r="OT88" s="797" t="e">
        <f t="shared" si="824"/>
        <v>#VALUE!</v>
      </c>
      <c r="OU88" s="797" t="e">
        <f t="shared" si="824"/>
        <v>#VALUE!</v>
      </c>
      <c r="OV88" s="797" t="e">
        <f t="shared" si="824"/>
        <v>#VALUE!</v>
      </c>
      <c r="OW88" s="797" t="e">
        <f t="shared" si="824"/>
        <v>#VALUE!</v>
      </c>
      <c r="OX88" s="797" t="e">
        <f t="shared" si="824"/>
        <v>#VALUE!</v>
      </c>
      <c r="OY88" s="797" t="e">
        <f t="shared" si="824"/>
        <v>#VALUE!</v>
      </c>
      <c r="OZ88" s="797" t="e">
        <f t="shared" si="824"/>
        <v>#VALUE!</v>
      </c>
      <c r="PA88" s="797" t="e">
        <f t="shared" si="824"/>
        <v>#VALUE!</v>
      </c>
      <c r="PB88" s="797" t="e">
        <f t="shared" si="824"/>
        <v>#VALUE!</v>
      </c>
      <c r="PC88" s="797" t="e">
        <f t="shared" si="824"/>
        <v>#VALUE!</v>
      </c>
      <c r="PD88" s="797" t="e">
        <f t="shared" si="824"/>
        <v>#VALUE!</v>
      </c>
      <c r="PE88" s="797" t="e">
        <f t="shared" si="824"/>
        <v>#VALUE!</v>
      </c>
      <c r="PF88" s="797" t="e">
        <f t="shared" si="824"/>
        <v>#VALUE!</v>
      </c>
      <c r="PG88" s="797" t="e">
        <f t="shared" si="824"/>
        <v>#VALUE!</v>
      </c>
      <c r="PH88" s="797" t="e">
        <f t="shared" si="824"/>
        <v>#VALUE!</v>
      </c>
      <c r="PI88" s="797" t="e">
        <f t="shared" si="824"/>
        <v>#VALUE!</v>
      </c>
      <c r="PJ88" s="797" t="e">
        <f t="shared" si="824"/>
        <v>#VALUE!</v>
      </c>
      <c r="PK88" s="797" t="e">
        <f t="shared" si="824"/>
        <v>#VALUE!</v>
      </c>
      <c r="PL88" s="797" t="e">
        <f t="shared" si="824"/>
        <v>#VALUE!</v>
      </c>
      <c r="PM88" s="797" t="e">
        <f t="shared" si="824"/>
        <v>#VALUE!</v>
      </c>
      <c r="PN88" s="797" t="e">
        <f t="shared" si="824"/>
        <v>#VALUE!</v>
      </c>
      <c r="PO88" s="797" t="e">
        <f t="shared" si="824"/>
        <v>#VALUE!</v>
      </c>
      <c r="PP88" s="797" t="e">
        <f t="shared" si="824"/>
        <v>#VALUE!</v>
      </c>
      <c r="PQ88" s="797" t="e">
        <f t="shared" si="824"/>
        <v>#VALUE!</v>
      </c>
      <c r="PR88" s="797" t="e">
        <f t="shared" si="824"/>
        <v>#VALUE!</v>
      </c>
      <c r="PS88" s="797" t="e">
        <f t="shared" si="824"/>
        <v>#VALUE!</v>
      </c>
      <c r="PT88" s="797" t="e">
        <f t="shared" ref="PT88:QZ88" si="825">PS88+1</f>
        <v>#VALUE!</v>
      </c>
      <c r="PU88" s="797" t="e">
        <f t="shared" si="825"/>
        <v>#VALUE!</v>
      </c>
      <c r="PV88" s="797" t="e">
        <f t="shared" si="825"/>
        <v>#VALUE!</v>
      </c>
      <c r="PW88" s="797" t="e">
        <f t="shared" si="825"/>
        <v>#VALUE!</v>
      </c>
      <c r="PX88" s="797" t="e">
        <f t="shared" si="825"/>
        <v>#VALUE!</v>
      </c>
      <c r="PY88" s="797" t="e">
        <f t="shared" si="825"/>
        <v>#VALUE!</v>
      </c>
      <c r="PZ88" s="797" t="e">
        <f t="shared" si="825"/>
        <v>#VALUE!</v>
      </c>
      <c r="QA88" s="797" t="e">
        <f t="shared" si="825"/>
        <v>#VALUE!</v>
      </c>
      <c r="QB88" s="797" t="e">
        <f t="shared" si="825"/>
        <v>#VALUE!</v>
      </c>
      <c r="QC88" s="797" t="e">
        <f t="shared" si="825"/>
        <v>#VALUE!</v>
      </c>
      <c r="QD88" s="797" t="e">
        <f t="shared" si="825"/>
        <v>#VALUE!</v>
      </c>
      <c r="QE88" s="797" t="e">
        <f t="shared" si="825"/>
        <v>#VALUE!</v>
      </c>
      <c r="QF88" s="797" t="e">
        <f t="shared" si="825"/>
        <v>#VALUE!</v>
      </c>
      <c r="QG88" s="797" t="e">
        <f t="shared" si="825"/>
        <v>#VALUE!</v>
      </c>
      <c r="QH88" s="797" t="e">
        <f t="shared" si="825"/>
        <v>#VALUE!</v>
      </c>
      <c r="QI88" s="797" t="e">
        <f t="shared" si="825"/>
        <v>#VALUE!</v>
      </c>
      <c r="QJ88" s="797" t="e">
        <f t="shared" si="825"/>
        <v>#VALUE!</v>
      </c>
      <c r="QK88" s="797" t="e">
        <f t="shared" si="825"/>
        <v>#VALUE!</v>
      </c>
      <c r="QL88" s="797" t="e">
        <f t="shared" si="825"/>
        <v>#VALUE!</v>
      </c>
      <c r="QM88" s="797" t="e">
        <f t="shared" si="825"/>
        <v>#VALUE!</v>
      </c>
      <c r="QN88" s="797" t="e">
        <f t="shared" si="825"/>
        <v>#VALUE!</v>
      </c>
      <c r="QO88" s="797" t="e">
        <f t="shared" si="825"/>
        <v>#VALUE!</v>
      </c>
      <c r="QP88" s="797" t="e">
        <f t="shared" si="825"/>
        <v>#VALUE!</v>
      </c>
      <c r="QQ88" s="797" t="e">
        <f t="shared" si="825"/>
        <v>#VALUE!</v>
      </c>
      <c r="QR88" s="797" t="e">
        <f t="shared" si="825"/>
        <v>#VALUE!</v>
      </c>
      <c r="QS88" s="797" t="e">
        <f t="shared" si="825"/>
        <v>#VALUE!</v>
      </c>
      <c r="QT88" s="797" t="e">
        <f t="shared" si="825"/>
        <v>#VALUE!</v>
      </c>
      <c r="QU88" s="797" t="e">
        <f t="shared" si="825"/>
        <v>#VALUE!</v>
      </c>
      <c r="QV88" s="797" t="e">
        <f t="shared" si="825"/>
        <v>#VALUE!</v>
      </c>
      <c r="QW88" s="797" t="e">
        <f t="shared" si="825"/>
        <v>#VALUE!</v>
      </c>
      <c r="QX88" s="797" t="e">
        <f t="shared" si="825"/>
        <v>#VALUE!</v>
      </c>
      <c r="QY88" s="797" t="e">
        <f t="shared" si="825"/>
        <v>#VALUE!</v>
      </c>
      <c r="QZ88" s="797" t="e">
        <f t="shared" si="825"/>
        <v>#VALUE!</v>
      </c>
      <c r="RA88" s="797"/>
      <c r="RB88" s="797"/>
      <c r="RC88" s="797"/>
    </row>
    <row r="89" spans="2:471" ht="17.25">
      <c r="DH89" s="797">
        <v>10</v>
      </c>
      <c r="DJ89" s="960" t="e">
        <f>RB78+1</f>
        <v>#VALUE!</v>
      </c>
      <c r="DK89" s="921" t="e">
        <f>DJ89+1</f>
        <v>#VALUE!</v>
      </c>
      <c r="DL89" s="921" t="e">
        <f t="shared" ref="DL89" si="826">DK89+1</f>
        <v>#VALUE!</v>
      </c>
      <c r="DM89" s="921" t="e">
        <f t="shared" ref="DM89" si="827">DL89+1</f>
        <v>#VALUE!</v>
      </c>
      <c r="DN89" s="921" t="e">
        <f t="shared" ref="DN89" si="828">DM89+1</f>
        <v>#VALUE!</v>
      </c>
      <c r="DO89" s="921" t="e">
        <f t="shared" ref="DO89" si="829">DN89+1</f>
        <v>#VALUE!</v>
      </c>
      <c r="DP89" s="921" t="e">
        <f t="shared" ref="DP89" si="830">DO89+1</f>
        <v>#VALUE!</v>
      </c>
      <c r="DQ89" s="921" t="e">
        <f t="shared" ref="DQ89" si="831">DP89+1</f>
        <v>#VALUE!</v>
      </c>
      <c r="DR89" s="921" t="e">
        <f t="shared" ref="DR89" si="832">DQ89+1</f>
        <v>#VALUE!</v>
      </c>
      <c r="DS89" s="921" t="e">
        <f t="shared" ref="DS89" si="833">DR89+1</f>
        <v>#VALUE!</v>
      </c>
      <c r="DT89" s="921" t="e">
        <f t="shared" ref="DT89" si="834">DS89+1</f>
        <v>#VALUE!</v>
      </c>
      <c r="DU89" s="921" t="e">
        <f t="shared" ref="DU89" si="835">DT89+1</f>
        <v>#VALUE!</v>
      </c>
      <c r="DV89" s="921" t="e">
        <f t="shared" ref="DV89" si="836">DU89+1</f>
        <v>#VALUE!</v>
      </c>
      <c r="DW89" s="921" t="e">
        <f t="shared" ref="DW89" si="837">DV89+1</f>
        <v>#VALUE!</v>
      </c>
      <c r="DX89" s="921" t="e">
        <f t="shared" ref="DX89" si="838">DW89+1</f>
        <v>#VALUE!</v>
      </c>
      <c r="DY89" s="921" t="e">
        <f t="shared" ref="DY89" si="839">DX89+1</f>
        <v>#VALUE!</v>
      </c>
      <c r="DZ89" s="921" t="e">
        <f t="shared" ref="DZ89" si="840">DY89+1</f>
        <v>#VALUE!</v>
      </c>
      <c r="EA89" s="921" t="e">
        <f t="shared" ref="EA89" si="841">DZ89+1</f>
        <v>#VALUE!</v>
      </c>
      <c r="EB89" s="921" t="e">
        <f t="shared" ref="EB89" si="842">EA89+1</f>
        <v>#VALUE!</v>
      </c>
      <c r="EC89" s="921" t="e">
        <f t="shared" ref="EC89" si="843">EB89+1</f>
        <v>#VALUE!</v>
      </c>
      <c r="ED89" s="921" t="e">
        <f t="shared" ref="ED89" si="844">EC89+1</f>
        <v>#VALUE!</v>
      </c>
      <c r="EE89" s="921" t="e">
        <f t="shared" ref="EE89" si="845">ED89+1</f>
        <v>#VALUE!</v>
      </c>
      <c r="EF89" s="921" t="e">
        <f t="shared" ref="EF89" si="846">EE89+1</f>
        <v>#VALUE!</v>
      </c>
      <c r="EG89" s="921" t="e">
        <f t="shared" ref="EG89" si="847">EF89+1</f>
        <v>#VALUE!</v>
      </c>
      <c r="EH89" s="921" t="e">
        <f t="shared" ref="EH89" si="848">EG89+1</f>
        <v>#VALUE!</v>
      </c>
      <c r="EI89" s="921" t="e">
        <f t="shared" ref="EI89" si="849">EH89+1</f>
        <v>#VALUE!</v>
      </c>
      <c r="EJ89" s="921" t="e">
        <f t="shared" ref="EJ89" si="850">EI89+1</f>
        <v>#VALUE!</v>
      </c>
      <c r="EK89" s="921" t="e">
        <f t="shared" ref="EK89" si="851">EJ89+1</f>
        <v>#VALUE!</v>
      </c>
      <c r="EL89" s="921" t="e">
        <f t="shared" ref="EL89" si="852">EK89+1</f>
        <v>#VALUE!</v>
      </c>
      <c r="EM89" s="921" t="e">
        <f t="shared" ref="EM89" si="853">EL89+1</f>
        <v>#VALUE!</v>
      </c>
      <c r="EN89" s="921" t="e">
        <f t="shared" ref="EN89" si="854">EM89+1</f>
        <v>#VALUE!</v>
      </c>
      <c r="EO89" s="921" t="e">
        <f t="shared" ref="EO89" si="855">EN89+1</f>
        <v>#VALUE!</v>
      </c>
      <c r="EP89" s="921" t="e">
        <f t="shared" ref="EP89" si="856">EO89+1</f>
        <v>#VALUE!</v>
      </c>
      <c r="EQ89" s="921" t="e">
        <f t="shared" ref="EQ89" si="857">EP89+1</f>
        <v>#VALUE!</v>
      </c>
      <c r="ER89" s="921" t="e">
        <f t="shared" ref="ER89" si="858">EQ89+1</f>
        <v>#VALUE!</v>
      </c>
      <c r="ES89" s="921" t="e">
        <f t="shared" ref="ES89" si="859">ER89+1</f>
        <v>#VALUE!</v>
      </c>
      <c r="ET89" s="921" t="e">
        <f t="shared" ref="ET89" si="860">ES89+1</f>
        <v>#VALUE!</v>
      </c>
      <c r="EU89" s="921" t="e">
        <f t="shared" ref="EU89" si="861">ET89+1</f>
        <v>#VALUE!</v>
      </c>
      <c r="EV89" s="921" t="e">
        <f t="shared" ref="EV89" si="862">EU89+1</f>
        <v>#VALUE!</v>
      </c>
      <c r="EW89" s="921" t="e">
        <f t="shared" ref="EW89" si="863">EV89+1</f>
        <v>#VALUE!</v>
      </c>
      <c r="EX89" s="921" t="e">
        <f t="shared" ref="EX89" si="864">EW89+1</f>
        <v>#VALUE!</v>
      </c>
      <c r="EY89" s="921" t="e">
        <f t="shared" ref="EY89" si="865">EX89+1</f>
        <v>#VALUE!</v>
      </c>
      <c r="EZ89" s="921" t="e">
        <f t="shared" ref="EZ89" si="866">EY89+1</f>
        <v>#VALUE!</v>
      </c>
      <c r="FA89" s="921" t="e">
        <f t="shared" ref="FA89" si="867">EZ89+1</f>
        <v>#VALUE!</v>
      </c>
      <c r="FB89" s="921" t="e">
        <f t="shared" ref="FB89" si="868">FA89+1</f>
        <v>#VALUE!</v>
      </c>
      <c r="FC89" s="921" t="e">
        <f t="shared" ref="FC89" si="869">FB89+1</f>
        <v>#VALUE!</v>
      </c>
      <c r="FD89" s="921" t="e">
        <f t="shared" ref="FD89" si="870">FC89+1</f>
        <v>#VALUE!</v>
      </c>
      <c r="FE89" s="921" t="e">
        <f t="shared" ref="FE89" si="871">FD89+1</f>
        <v>#VALUE!</v>
      </c>
      <c r="FF89" s="921" t="e">
        <f t="shared" ref="FF89" si="872">FE89+1</f>
        <v>#VALUE!</v>
      </c>
      <c r="FG89" s="921" t="e">
        <f t="shared" ref="FG89" si="873">FF89+1</f>
        <v>#VALUE!</v>
      </c>
      <c r="FH89" s="921" t="e">
        <f t="shared" ref="FH89" si="874">FG89+1</f>
        <v>#VALUE!</v>
      </c>
      <c r="FI89" s="921" t="e">
        <f t="shared" ref="FI89" si="875">FH89+1</f>
        <v>#VALUE!</v>
      </c>
      <c r="FJ89" s="921" t="e">
        <f t="shared" ref="FJ89" si="876">FI89+1</f>
        <v>#VALUE!</v>
      </c>
      <c r="FK89" s="921" t="e">
        <f t="shared" ref="FK89" si="877">FJ89+1</f>
        <v>#VALUE!</v>
      </c>
      <c r="FL89" s="921" t="e">
        <f t="shared" ref="FL89" si="878">FK89+1</f>
        <v>#VALUE!</v>
      </c>
      <c r="FM89" s="921" t="e">
        <f t="shared" ref="FM89" si="879">FL89+1</f>
        <v>#VALUE!</v>
      </c>
      <c r="FN89" s="921" t="e">
        <f t="shared" ref="FN89" si="880">FM89+1</f>
        <v>#VALUE!</v>
      </c>
      <c r="FO89" s="921" t="e">
        <f t="shared" ref="FO89" si="881">FN89+1</f>
        <v>#VALUE!</v>
      </c>
      <c r="FP89" s="921" t="e">
        <f t="shared" ref="FP89" si="882">FO89+1</f>
        <v>#VALUE!</v>
      </c>
      <c r="FQ89" s="921" t="e">
        <f t="shared" ref="FQ89" si="883">FP89+1</f>
        <v>#VALUE!</v>
      </c>
      <c r="FR89" s="921" t="e">
        <f t="shared" ref="FR89" si="884">FQ89+1</f>
        <v>#VALUE!</v>
      </c>
      <c r="FS89" s="921" t="e">
        <f t="shared" ref="FS89" si="885">FR89+1</f>
        <v>#VALUE!</v>
      </c>
      <c r="FT89" s="921" t="e">
        <f t="shared" ref="FT89" si="886">FS89+1</f>
        <v>#VALUE!</v>
      </c>
      <c r="FU89" s="921" t="e">
        <f t="shared" ref="FU89" si="887">FT89+1</f>
        <v>#VALUE!</v>
      </c>
      <c r="FV89" s="921" t="e">
        <f t="shared" ref="FV89" si="888">FU89+1</f>
        <v>#VALUE!</v>
      </c>
      <c r="FW89" s="921" t="e">
        <f t="shared" ref="FW89" si="889">FV89+1</f>
        <v>#VALUE!</v>
      </c>
      <c r="FX89" s="921" t="e">
        <f t="shared" ref="FX89" si="890">FW89+1</f>
        <v>#VALUE!</v>
      </c>
      <c r="FY89" s="921" t="e">
        <f t="shared" ref="FY89" si="891">FX89+1</f>
        <v>#VALUE!</v>
      </c>
      <c r="FZ89" s="921" t="e">
        <f t="shared" ref="FZ89" si="892">FY89+1</f>
        <v>#VALUE!</v>
      </c>
      <c r="GA89" s="921" t="e">
        <f t="shared" ref="GA89" si="893">FZ89+1</f>
        <v>#VALUE!</v>
      </c>
      <c r="GB89" s="921" t="e">
        <f t="shared" ref="GB89" si="894">GA89+1</f>
        <v>#VALUE!</v>
      </c>
      <c r="GC89" s="921" t="e">
        <f t="shared" ref="GC89" si="895">GB89+1</f>
        <v>#VALUE!</v>
      </c>
      <c r="GD89" s="921" t="e">
        <f t="shared" ref="GD89" si="896">GC89+1</f>
        <v>#VALUE!</v>
      </c>
      <c r="GE89" s="921" t="e">
        <f t="shared" ref="GE89" si="897">GD89+1</f>
        <v>#VALUE!</v>
      </c>
      <c r="GF89" s="921" t="e">
        <f t="shared" ref="GF89" si="898">GE89+1</f>
        <v>#VALUE!</v>
      </c>
      <c r="GG89" s="921" t="e">
        <f t="shared" ref="GG89" si="899">GF89+1</f>
        <v>#VALUE!</v>
      </c>
      <c r="GH89" s="921" t="e">
        <f t="shared" ref="GH89" si="900">GG89+1</f>
        <v>#VALUE!</v>
      </c>
      <c r="GI89" s="921" t="e">
        <f t="shared" ref="GI89" si="901">GH89+1</f>
        <v>#VALUE!</v>
      </c>
      <c r="GJ89" s="921" t="e">
        <f t="shared" ref="GJ89" si="902">GI89+1</f>
        <v>#VALUE!</v>
      </c>
      <c r="GK89" s="921" t="e">
        <f t="shared" ref="GK89" si="903">GJ89+1</f>
        <v>#VALUE!</v>
      </c>
      <c r="GL89" s="921" t="e">
        <f t="shared" ref="GL89" si="904">GK89+1</f>
        <v>#VALUE!</v>
      </c>
      <c r="GM89" s="921" t="e">
        <f t="shared" ref="GM89" si="905">GL89+1</f>
        <v>#VALUE!</v>
      </c>
      <c r="GN89" s="921" t="e">
        <f t="shared" ref="GN89" si="906">GM89+1</f>
        <v>#VALUE!</v>
      </c>
      <c r="GO89" s="921" t="e">
        <f t="shared" ref="GO89" si="907">GN89+1</f>
        <v>#VALUE!</v>
      </c>
      <c r="GP89" s="921" t="e">
        <f t="shared" ref="GP89" si="908">GO89+1</f>
        <v>#VALUE!</v>
      </c>
      <c r="GQ89" s="921" t="e">
        <f t="shared" ref="GQ89" si="909">GP89+1</f>
        <v>#VALUE!</v>
      </c>
      <c r="GR89" s="921" t="e">
        <f t="shared" ref="GR89" si="910">GQ89+1</f>
        <v>#VALUE!</v>
      </c>
      <c r="GS89" s="921" t="e">
        <f t="shared" ref="GS89" si="911">GR89+1</f>
        <v>#VALUE!</v>
      </c>
      <c r="GT89" s="921" t="e">
        <f t="shared" ref="GT89" si="912">GS89+1</f>
        <v>#VALUE!</v>
      </c>
      <c r="GU89" s="921" t="e">
        <f t="shared" ref="GU89" si="913">GT89+1</f>
        <v>#VALUE!</v>
      </c>
      <c r="GV89" s="921" t="e">
        <f t="shared" ref="GV89" si="914">GU89+1</f>
        <v>#VALUE!</v>
      </c>
      <c r="GW89" s="921" t="e">
        <f t="shared" ref="GW89" si="915">GV89+1</f>
        <v>#VALUE!</v>
      </c>
      <c r="GX89" s="921" t="e">
        <f t="shared" ref="GX89" si="916">GW89+1</f>
        <v>#VALUE!</v>
      </c>
      <c r="GY89" s="921" t="e">
        <f t="shared" ref="GY89" si="917">GX89+1</f>
        <v>#VALUE!</v>
      </c>
      <c r="GZ89" s="921" t="e">
        <f t="shared" ref="GZ89" si="918">GY89+1</f>
        <v>#VALUE!</v>
      </c>
      <c r="HA89" s="921" t="e">
        <f t="shared" ref="HA89" si="919">GZ89+1</f>
        <v>#VALUE!</v>
      </c>
      <c r="HB89" s="921" t="e">
        <f t="shared" ref="HB89" si="920">HA89+1</f>
        <v>#VALUE!</v>
      </c>
      <c r="HC89" s="921" t="e">
        <f t="shared" ref="HC89" si="921">HB89+1</f>
        <v>#VALUE!</v>
      </c>
      <c r="HD89" s="921" t="e">
        <f t="shared" ref="HD89" si="922">HC89+1</f>
        <v>#VALUE!</v>
      </c>
      <c r="HE89" s="921" t="e">
        <f t="shared" ref="HE89" si="923">HD89+1</f>
        <v>#VALUE!</v>
      </c>
      <c r="HF89" s="921" t="e">
        <f t="shared" ref="HF89" si="924">HE89+1</f>
        <v>#VALUE!</v>
      </c>
      <c r="HG89" s="921" t="e">
        <f t="shared" ref="HG89" si="925">HF89+1</f>
        <v>#VALUE!</v>
      </c>
      <c r="HH89" s="921" t="e">
        <f t="shared" ref="HH89" si="926">HG89+1</f>
        <v>#VALUE!</v>
      </c>
      <c r="HI89" s="921" t="e">
        <f t="shared" ref="HI89" si="927">HH89+1</f>
        <v>#VALUE!</v>
      </c>
      <c r="HJ89" s="921" t="e">
        <f t="shared" ref="HJ89" si="928">HI89+1</f>
        <v>#VALUE!</v>
      </c>
      <c r="HK89" s="921" t="e">
        <f t="shared" ref="HK89" si="929">HJ89+1</f>
        <v>#VALUE!</v>
      </c>
      <c r="HL89" s="921" t="e">
        <f t="shared" ref="HL89" si="930">HK89+1</f>
        <v>#VALUE!</v>
      </c>
      <c r="HM89" s="921" t="e">
        <f t="shared" ref="HM89" si="931">HL89+1</f>
        <v>#VALUE!</v>
      </c>
      <c r="HN89" s="921" t="e">
        <f t="shared" ref="HN89" si="932">HM89+1</f>
        <v>#VALUE!</v>
      </c>
      <c r="HO89" s="921" t="e">
        <f t="shared" ref="HO89" si="933">HN89+1</f>
        <v>#VALUE!</v>
      </c>
      <c r="HP89" s="921" t="e">
        <f t="shared" ref="HP89" si="934">HO89+1</f>
        <v>#VALUE!</v>
      </c>
      <c r="HQ89" s="921" t="e">
        <f t="shared" ref="HQ89" si="935">HP89+1</f>
        <v>#VALUE!</v>
      </c>
      <c r="HR89" s="921" t="e">
        <f t="shared" ref="HR89" si="936">HQ89+1</f>
        <v>#VALUE!</v>
      </c>
      <c r="HS89" s="921" t="e">
        <f t="shared" ref="HS89" si="937">HR89+1</f>
        <v>#VALUE!</v>
      </c>
      <c r="HT89" s="921" t="e">
        <f t="shared" ref="HT89" si="938">HS89+1</f>
        <v>#VALUE!</v>
      </c>
      <c r="HU89" s="921" t="e">
        <f t="shared" ref="HU89" si="939">HT89+1</f>
        <v>#VALUE!</v>
      </c>
      <c r="HV89" s="921" t="e">
        <f t="shared" ref="HV89" si="940">HU89+1</f>
        <v>#VALUE!</v>
      </c>
      <c r="HW89" s="921" t="e">
        <f t="shared" ref="HW89" si="941">HV89+1</f>
        <v>#VALUE!</v>
      </c>
      <c r="HX89" s="921" t="e">
        <f t="shared" ref="HX89" si="942">HW89+1</f>
        <v>#VALUE!</v>
      </c>
      <c r="HY89" s="921" t="e">
        <f t="shared" ref="HY89" si="943">HX89+1</f>
        <v>#VALUE!</v>
      </c>
      <c r="HZ89" s="921" t="e">
        <f t="shared" ref="HZ89" si="944">HY89+1</f>
        <v>#VALUE!</v>
      </c>
      <c r="IA89" s="921" t="e">
        <f t="shared" ref="IA89" si="945">HZ89+1</f>
        <v>#VALUE!</v>
      </c>
      <c r="IB89" s="921" t="e">
        <f t="shared" ref="IB89" si="946">IA89+1</f>
        <v>#VALUE!</v>
      </c>
      <c r="IC89" s="921" t="e">
        <f t="shared" ref="IC89" si="947">IB89+1</f>
        <v>#VALUE!</v>
      </c>
      <c r="ID89" s="921" t="e">
        <f t="shared" ref="ID89" si="948">IC89+1</f>
        <v>#VALUE!</v>
      </c>
      <c r="IE89" s="921" t="e">
        <f t="shared" ref="IE89" si="949">ID89+1</f>
        <v>#VALUE!</v>
      </c>
      <c r="IF89" s="921" t="e">
        <f t="shared" ref="IF89" si="950">IE89+1</f>
        <v>#VALUE!</v>
      </c>
      <c r="IG89" s="921" t="e">
        <f t="shared" ref="IG89" si="951">IF89+1</f>
        <v>#VALUE!</v>
      </c>
      <c r="IH89" s="921" t="e">
        <f t="shared" ref="IH89" si="952">IG89+1</f>
        <v>#VALUE!</v>
      </c>
      <c r="II89" s="921" t="e">
        <f t="shared" ref="II89" si="953">IH89+1</f>
        <v>#VALUE!</v>
      </c>
      <c r="IJ89" s="921" t="e">
        <f t="shared" ref="IJ89" si="954">II89+1</f>
        <v>#VALUE!</v>
      </c>
      <c r="IK89" s="921" t="e">
        <f t="shared" ref="IK89" si="955">IJ89+1</f>
        <v>#VALUE!</v>
      </c>
      <c r="IL89" s="921" t="e">
        <f t="shared" ref="IL89" si="956">IK89+1</f>
        <v>#VALUE!</v>
      </c>
      <c r="IM89" s="921" t="e">
        <f t="shared" ref="IM89" si="957">IL89+1</f>
        <v>#VALUE!</v>
      </c>
      <c r="IN89" s="921" t="e">
        <f t="shared" ref="IN89" si="958">IM89+1</f>
        <v>#VALUE!</v>
      </c>
      <c r="IO89" s="921" t="e">
        <f t="shared" ref="IO89" si="959">IN89+1</f>
        <v>#VALUE!</v>
      </c>
      <c r="IP89" s="921" t="e">
        <f t="shared" ref="IP89" si="960">IO89+1</f>
        <v>#VALUE!</v>
      </c>
      <c r="IQ89" s="921" t="e">
        <f t="shared" ref="IQ89" si="961">IP89+1</f>
        <v>#VALUE!</v>
      </c>
      <c r="IR89" s="921" t="e">
        <f t="shared" ref="IR89" si="962">IQ89+1</f>
        <v>#VALUE!</v>
      </c>
      <c r="IS89" s="921" t="e">
        <f t="shared" ref="IS89" si="963">IR89+1</f>
        <v>#VALUE!</v>
      </c>
      <c r="IT89" s="921" t="e">
        <f t="shared" ref="IT89" si="964">IS89+1</f>
        <v>#VALUE!</v>
      </c>
      <c r="IU89" s="921" t="e">
        <f t="shared" ref="IU89" si="965">IT89+1</f>
        <v>#VALUE!</v>
      </c>
      <c r="IV89" s="921" t="e">
        <f t="shared" ref="IV89" si="966">IU89+1</f>
        <v>#VALUE!</v>
      </c>
      <c r="IW89" s="921" t="e">
        <f t="shared" ref="IW89" si="967">IV89+1</f>
        <v>#VALUE!</v>
      </c>
      <c r="IX89" s="921" t="e">
        <f t="shared" ref="IX89" si="968">IW89+1</f>
        <v>#VALUE!</v>
      </c>
      <c r="IY89" s="921" t="e">
        <f t="shared" ref="IY89" si="969">IX89+1</f>
        <v>#VALUE!</v>
      </c>
      <c r="IZ89" s="921" t="e">
        <f t="shared" ref="IZ89" si="970">IY89+1</f>
        <v>#VALUE!</v>
      </c>
      <c r="JA89" s="921" t="e">
        <f t="shared" ref="JA89" si="971">IZ89+1</f>
        <v>#VALUE!</v>
      </c>
      <c r="JB89" s="921" t="e">
        <f t="shared" ref="JB89" si="972">JA89+1</f>
        <v>#VALUE!</v>
      </c>
      <c r="JC89" s="921" t="e">
        <f t="shared" ref="JC89" si="973">JB89+1</f>
        <v>#VALUE!</v>
      </c>
      <c r="JD89" s="921" t="e">
        <f t="shared" ref="JD89" si="974">JC89+1</f>
        <v>#VALUE!</v>
      </c>
      <c r="JE89" s="921" t="e">
        <f t="shared" ref="JE89" si="975">JD89+1</f>
        <v>#VALUE!</v>
      </c>
      <c r="JF89" s="921" t="e">
        <f t="shared" ref="JF89" si="976">JE89+1</f>
        <v>#VALUE!</v>
      </c>
      <c r="JG89" s="921" t="e">
        <f t="shared" ref="JG89" si="977">JF89+1</f>
        <v>#VALUE!</v>
      </c>
      <c r="JH89" s="921" t="e">
        <f t="shared" ref="JH89" si="978">JG89+1</f>
        <v>#VALUE!</v>
      </c>
      <c r="JI89" s="921" t="e">
        <f t="shared" ref="JI89" si="979">JH89+1</f>
        <v>#VALUE!</v>
      </c>
      <c r="JJ89" s="921" t="e">
        <f t="shared" ref="JJ89" si="980">JI89+1</f>
        <v>#VALUE!</v>
      </c>
      <c r="JK89" s="921" t="e">
        <f t="shared" ref="JK89" si="981">JJ89+1</f>
        <v>#VALUE!</v>
      </c>
      <c r="JL89" s="921" t="e">
        <f t="shared" ref="JL89" si="982">JK89+1</f>
        <v>#VALUE!</v>
      </c>
      <c r="JM89" s="921" t="e">
        <f t="shared" ref="JM89" si="983">JL89+1</f>
        <v>#VALUE!</v>
      </c>
      <c r="JN89" s="921" t="e">
        <f t="shared" ref="JN89" si="984">JM89+1</f>
        <v>#VALUE!</v>
      </c>
      <c r="JO89" s="921" t="e">
        <f t="shared" ref="JO89" si="985">JN89+1</f>
        <v>#VALUE!</v>
      </c>
      <c r="JP89" s="921" t="e">
        <f t="shared" ref="JP89" si="986">JO89+1</f>
        <v>#VALUE!</v>
      </c>
      <c r="JQ89" s="921" t="e">
        <f t="shared" ref="JQ89" si="987">JP89+1</f>
        <v>#VALUE!</v>
      </c>
      <c r="JR89" s="921" t="e">
        <f t="shared" ref="JR89" si="988">JQ89+1</f>
        <v>#VALUE!</v>
      </c>
      <c r="JS89" s="921" t="e">
        <f t="shared" ref="JS89" si="989">JR89+1</f>
        <v>#VALUE!</v>
      </c>
      <c r="JT89" s="921" t="e">
        <f t="shared" ref="JT89" si="990">JS89+1</f>
        <v>#VALUE!</v>
      </c>
      <c r="JU89" s="921" t="e">
        <f t="shared" ref="JU89" si="991">JT89+1</f>
        <v>#VALUE!</v>
      </c>
      <c r="JV89" s="921" t="e">
        <f t="shared" ref="JV89" si="992">JU89+1</f>
        <v>#VALUE!</v>
      </c>
      <c r="JW89" s="921" t="e">
        <f t="shared" ref="JW89" si="993">JV89+1</f>
        <v>#VALUE!</v>
      </c>
      <c r="JX89" s="921" t="e">
        <f t="shared" ref="JX89" si="994">JW89+1</f>
        <v>#VALUE!</v>
      </c>
      <c r="JY89" s="921" t="e">
        <f t="shared" ref="JY89" si="995">JX89+1</f>
        <v>#VALUE!</v>
      </c>
      <c r="JZ89" s="921" t="e">
        <f t="shared" ref="JZ89" si="996">JY89+1</f>
        <v>#VALUE!</v>
      </c>
      <c r="KA89" s="921" t="e">
        <f t="shared" ref="KA89" si="997">JZ89+1</f>
        <v>#VALUE!</v>
      </c>
      <c r="KB89" s="921" t="e">
        <f t="shared" ref="KB89" si="998">KA89+1</f>
        <v>#VALUE!</v>
      </c>
      <c r="KC89" s="921" t="e">
        <f t="shared" ref="KC89" si="999">KB89+1</f>
        <v>#VALUE!</v>
      </c>
      <c r="KD89" s="921" t="e">
        <f t="shared" ref="KD89" si="1000">KC89+1</f>
        <v>#VALUE!</v>
      </c>
      <c r="KE89" s="921" t="e">
        <f t="shared" ref="KE89" si="1001">KD89+1</f>
        <v>#VALUE!</v>
      </c>
      <c r="KF89" s="921" t="e">
        <f t="shared" ref="KF89" si="1002">KE89+1</f>
        <v>#VALUE!</v>
      </c>
      <c r="KG89" s="921" t="e">
        <f t="shared" ref="KG89" si="1003">KF89+1</f>
        <v>#VALUE!</v>
      </c>
      <c r="KH89" s="921" t="e">
        <f t="shared" ref="KH89" si="1004">KG89+1</f>
        <v>#VALUE!</v>
      </c>
      <c r="KI89" s="921" t="e">
        <f t="shared" ref="KI89" si="1005">KH89+1</f>
        <v>#VALUE!</v>
      </c>
      <c r="KJ89" s="921" t="e">
        <f t="shared" ref="KJ89" si="1006">KI89+1</f>
        <v>#VALUE!</v>
      </c>
      <c r="KK89" s="921" t="e">
        <f t="shared" ref="KK89" si="1007">KJ89+1</f>
        <v>#VALUE!</v>
      </c>
      <c r="KL89" s="921" t="e">
        <f t="shared" ref="KL89" si="1008">KK89+1</f>
        <v>#VALUE!</v>
      </c>
      <c r="KM89" s="921" t="e">
        <f t="shared" ref="KM89" si="1009">KL89+1</f>
        <v>#VALUE!</v>
      </c>
      <c r="KN89" s="921" t="e">
        <f t="shared" ref="KN89" si="1010">KM89+1</f>
        <v>#VALUE!</v>
      </c>
      <c r="KO89" s="921" t="e">
        <f t="shared" ref="KO89" si="1011">KN89+1</f>
        <v>#VALUE!</v>
      </c>
      <c r="KP89" s="921" t="e">
        <f t="shared" ref="KP89" si="1012">KO89+1</f>
        <v>#VALUE!</v>
      </c>
      <c r="KQ89" s="921" t="e">
        <f t="shared" ref="KQ89" si="1013">KP89+1</f>
        <v>#VALUE!</v>
      </c>
      <c r="KR89" s="921" t="e">
        <f t="shared" ref="KR89" si="1014">KQ89+1</f>
        <v>#VALUE!</v>
      </c>
      <c r="KS89" s="921" t="e">
        <f t="shared" ref="KS89" si="1015">KR89+1</f>
        <v>#VALUE!</v>
      </c>
      <c r="KT89" s="921" t="e">
        <f t="shared" ref="KT89" si="1016">KS89+1</f>
        <v>#VALUE!</v>
      </c>
      <c r="KU89" s="921" t="e">
        <f t="shared" ref="KU89" si="1017">KT89+1</f>
        <v>#VALUE!</v>
      </c>
      <c r="KV89" s="921" t="e">
        <f t="shared" ref="KV89" si="1018">KU89+1</f>
        <v>#VALUE!</v>
      </c>
      <c r="KW89" s="921" t="e">
        <f t="shared" ref="KW89" si="1019">KV89+1</f>
        <v>#VALUE!</v>
      </c>
      <c r="KX89" s="921" t="e">
        <f t="shared" ref="KX89" si="1020">KW89+1</f>
        <v>#VALUE!</v>
      </c>
      <c r="KY89" s="921" t="e">
        <f t="shared" ref="KY89" si="1021">KX89+1</f>
        <v>#VALUE!</v>
      </c>
      <c r="KZ89" s="921" t="e">
        <f t="shared" ref="KZ89" si="1022">KY89+1</f>
        <v>#VALUE!</v>
      </c>
      <c r="LA89" s="921" t="e">
        <f t="shared" ref="LA89" si="1023">KZ89+1</f>
        <v>#VALUE!</v>
      </c>
      <c r="LB89" s="921" t="e">
        <f t="shared" ref="LB89" si="1024">LA89+1</f>
        <v>#VALUE!</v>
      </c>
      <c r="LC89" s="921" t="e">
        <f t="shared" ref="LC89" si="1025">LB89+1</f>
        <v>#VALUE!</v>
      </c>
      <c r="LD89" s="921" t="e">
        <f t="shared" ref="LD89" si="1026">LC89+1</f>
        <v>#VALUE!</v>
      </c>
      <c r="LE89" s="921" t="e">
        <f t="shared" ref="LE89" si="1027">LD89+1</f>
        <v>#VALUE!</v>
      </c>
      <c r="LF89" s="921" t="e">
        <f t="shared" ref="LF89" si="1028">LE89+1</f>
        <v>#VALUE!</v>
      </c>
      <c r="LG89" s="921" t="e">
        <f t="shared" ref="LG89" si="1029">LF89+1</f>
        <v>#VALUE!</v>
      </c>
      <c r="LH89" s="921" t="e">
        <f t="shared" ref="LH89" si="1030">LG89+1</f>
        <v>#VALUE!</v>
      </c>
      <c r="LI89" s="921" t="e">
        <f t="shared" ref="LI89" si="1031">LH89+1</f>
        <v>#VALUE!</v>
      </c>
      <c r="LJ89" s="921" t="e">
        <f t="shared" ref="LJ89" si="1032">LI89+1</f>
        <v>#VALUE!</v>
      </c>
      <c r="LK89" s="921" t="e">
        <f t="shared" ref="LK89" si="1033">LJ89+1</f>
        <v>#VALUE!</v>
      </c>
      <c r="LL89" s="921" t="e">
        <f t="shared" ref="LL89" si="1034">LK89+1</f>
        <v>#VALUE!</v>
      </c>
      <c r="LM89" s="921" t="e">
        <f t="shared" ref="LM89" si="1035">LL89+1</f>
        <v>#VALUE!</v>
      </c>
      <c r="LN89" s="921" t="e">
        <f t="shared" ref="LN89" si="1036">LM89+1</f>
        <v>#VALUE!</v>
      </c>
      <c r="LO89" s="921" t="e">
        <f t="shared" ref="LO89" si="1037">LN89+1</f>
        <v>#VALUE!</v>
      </c>
      <c r="LP89" s="921" t="e">
        <f t="shared" ref="LP89" si="1038">LO89+1</f>
        <v>#VALUE!</v>
      </c>
      <c r="LQ89" s="921" t="e">
        <f t="shared" ref="LQ89" si="1039">LP89+1</f>
        <v>#VALUE!</v>
      </c>
      <c r="LR89" s="921" t="e">
        <f t="shared" ref="LR89" si="1040">LQ89+1</f>
        <v>#VALUE!</v>
      </c>
      <c r="LS89" s="921" t="e">
        <f t="shared" ref="LS89" si="1041">LR89+1</f>
        <v>#VALUE!</v>
      </c>
      <c r="LT89" s="921" t="e">
        <f t="shared" ref="LT89" si="1042">LS89+1</f>
        <v>#VALUE!</v>
      </c>
      <c r="LU89" s="921" t="e">
        <f t="shared" ref="LU89" si="1043">LT89+1</f>
        <v>#VALUE!</v>
      </c>
      <c r="LV89" s="921" t="e">
        <f t="shared" ref="LV89" si="1044">LU89+1</f>
        <v>#VALUE!</v>
      </c>
      <c r="LW89" s="921" t="e">
        <f t="shared" ref="LW89" si="1045">LV89+1</f>
        <v>#VALUE!</v>
      </c>
      <c r="LX89" s="921" t="e">
        <f t="shared" ref="LX89" si="1046">LW89+1</f>
        <v>#VALUE!</v>
      </c>
      <c r="LY89" s="921" t="e">
        <f t="shared" ref="LY89" si="1047">LX89+1</f>
        <v>#VALUE!</v>
      </c>
      <c r="LZ89" s="921" t="e">
        <f t="shared" ref="LZ89" si="1048">LY89+1</f>
        <v>#VALUE!</v>
      </c>
      <c r="MA89" s="921" t="e">
        <f t="shared" ref="MA89" si="1049">LZ89+1</f>
        <v>#VALUE!</v>
      </c>
      <c r="MB89" s="921" t="e">
        <f t="shared" ref="MB89" si="1050">MA89+1</f>
        <v>#VALUE!</v>
      </c>
      <c r="MC89" s="921" t="e">
        <f t="shared" ref="MC89" si="1051">MB89+1</f>
        <v>#VALUE!</v>
      </c>
      <c r="MD89" s="921" t="e">
        <f t="shared" ref="MD89" si="1052">MC89+1</f>
        <v>#VALUE!</v>
      </c>
      <c r="ME89" s="921" t="e">
        <f t="shared" ref="ME89" si="1053">MD89+1</f>
        <v>#VALUE!</v>
      </c>
      <c r="MF89" s="921" t="e">
        <f t="shared" ref="MF89" si="1054">ME89+1</f>
        <v>#VALUE!</v>
      </c>
      <c r="MG89" s="921" t="e">
        <f t="shared" ref="MG89" si="1055">MF89+1</f>
        <v>#VALUE!</v>
      </c>
      <c r="MH89" s="921" t="e">
        <f t="shared" ref="MH89" si="1056">MG89+1</f>
        <v>#VALUE!</v>
      </c>
      <c r="MI89" s="921" t="e">
        <f t="shared" ref="MI89" si="1057">MH89+1</f>
        <v>#VALUE!</v>
      </c>
      <c r="MJ89" s="921" t="e">
        <f t="shared" ref="MJ89" si="1058">MI89+1</f>
        <v>#VALUE!</v>
      </c>
      <c r="MK89" s="921" t="e">
        <f t="shared" ref="MK89" si="1059">MJ89+1</f>
        <v>#VALUE!</v>
      </c>
      <c r="ML89" s="921" t="e">
        <f t="shared" ref="ML89" si="1060">MK89+1</f>
        <v>#VALUE!</v>
      </c>
      <c r="MM89" s="921" t="e">
        <f t="shared" ref="MM89" si="1061">ML89+1</f>
        <v>#VALUE!</v>
      </c>
      <c r="MN89" s="921" t="e">
        <f t="shared" ref="MN89" si="1062">MM89+1</f>
        <v>#VALUE!</v>
      </c>
      <c r="MO89" s="921" t="e">
        <f t="shared" ref="MO89" si="1063">MN89+1</f>
        <v>#VALUE!</v>
      </c>
      <c r="MP89" s="921" t="e">
        <f t="shared" ref="MP89" si="1064">MO89+1</f>
        <v>#VALUE!</v>
      </c>
      <c r="MQ89" s="921" t="e">
        <f t="shared" ref="MQ89" si="1065">MP89+1</f>
        <v>#VALUE!</v>
      </c>
      <c r="MR89" s="921" t="e">
        <f t="shared" ref="MR89" si="1066">MQ89+1</f>
        <v>#VALUE!</v>
      </c>
      <c r="MS89" s="921" t="e">
        <f t="shared" ref="MS89" si="1067">MR89+1</f>
        <v>#VALUE!</v>
      </c>
      <c r="MT89" s="921" t="e">
        <f t="shared" ref="MT89" si="1068">MS89+1</f>
        <v>#VALUE!</v>
      </c>
      <c r="MU89" s="921" t="e">
        <f t="shared" ref="MU89" si="1069">MT89+1</f>
        <v>#VALUE!</v>
      </c>
      <c r="MV89" s="921" t="e">
        <f t="shared" ref="MV89" si="1070">MU89+1</f>
        <v>#VALUE!</v>
      </c>
      <c r="MW89" s="921" t="e">
        <f t="shared" ref="MW89" si="1071">MV89+1</f>
        <v>#VALUE!</v>
      </c>
      <c r="MX89" s="921" t="e">
        <f t="shared" ref="MX89" si="1072">MW89+1</f>
        <v>#VALUE!</v>
      </c>
      <c r="MY89" s="921" t="e">
        <f t="shared" ref="MY89" si="1073">MX89+1</f>
        <v>#VALUE!</v>
      </c>
      <c r="MZ89" s="921" t="e">
        <f t="shared" ref="MZ89" si="1074">MY89+1</f>
        <v>#VALUE!</v>
      </c>
      <c r="NA89" s="921" t="e">
        <f t="shared" ref="NA89" si="1075">MZ89+1</f>
        <v>#VALUE!</v>
      </c>
      <c r="NB89" s="921" t="e">
        <f t="shared" ref="NB89" si="1076">NA89+1</f>
        <v>#VALUE!</v>
      </c>
      <c r="NC89" s="921" t="e">
        <f t="shared" ref="NC89" si="1077">NB89+1</f>
        <v>#VALUE!</v>
      </c>
      <c r="ND89" s="921" t="e">
        <f t="shared" ref="ND89" si="1078">NC89+1</f>
        <v>#VALUE!</v>
      </c>
      <c r="NE89" s="921" t="e">
        <f t="shared" ref="NE89" si="1079">ND89+1</f>
        <v>#VALUE!</v>
      </c>
      <c r="NF89" s="921" t="e">
        <f t="shared" ref="NF89" si="1080">NE89+1</f>
        <v>#VALUE!</v>
      </c>
      <c r="NG89" s="921" t="e">
        <f t="shared" ref="NG89" si="1081">NF89+1</f>
        <v>#VALUE!</v>
      </c>
      <c r="NH89" s="921" t="e">
        <f t="shared" ref="NH89" si="1082">NG89+1</f>
        <v>#VALUE!</v>
      </c>
      <c r="NI89" s="921" t="e">
        <f t="shared" ref="NI89" si="1083">NH89+1</f>
        <v>#VALUE!</v>
      </c>
      <c r="NJ89" s="921" t="e">
        <f t="shared" ref="NJ89" si="1084">NI89+1</f>
        <v>#VALUE!</v>
      </c>
      <c r="NK89" s="921" t="e">
        <f t="shared" ref="NK89" si="1085">NJ89+1</f>
        <v>#VALUE!</v>
      </c>
      <c r="NL89" s="921" t="e">
        <f t="shared" ref="NL89" si="1086">NK89+1</f>
        <v>#VALUE!</v>
      </c>
      <c r="NM89" s="921" t="e">
        <f t="shared" ref="NM89" si="1087">NL89+1</f>
        <v>#VALUE!</v>
      </c>
      <c r="NN89" s="921" t="e">
        <f t="shared" ref="NN89" si="1088">NM89+1</f>
        <v>#VALUE!</v>
      </c>
      <c r="NO89" s="921" t="e">
        <f t="shared" ref="NO89" si="1089">NN89+1</f>
        <v>#VALUE!</v>
      </c>
      <c r="NP89" s="921" t="e">
        <f t="shared" ref="NP89" si="1090">NO89+1</f>
        <v>#VALUE!</v>
      </c>
      <c r="NQ89" s="921" t="e">
        <f t="shared" ref="NQ89" si="1091">NP89+1</f>
        <v>#VALUE!</v>
      </c>
      <c r="NR89" s="921" t="e">
        <f t="shared" ref="NR89" si="1092">NQ89+1</f>
        <v>#VALUE!</v>
      </c>
      <c r="NS89" s="921" t="e">
        <f t="shared" ref="NS89" si="1093">NR89+1</f>
        <v>#VALUE!</v>
      </c>
      <c r="NT89" s="921" t="e">
        <f t="shared" ref="NT89" si="1094">NS89+1</f>
        <v>#VALUE!</v>
      </c>
      <c r="NU89" s="921" t="e">
        <f t="shared" ref="NU89" si="1095">NT89+1</f>
        <v>#VALUE!</v>
      </c>
      <c r="NV89" s="921" t="e">
        <f t="shared" ref="NV89" si="1096">NU89+1</f>
        <v>#VALUE!</v>
      </c>
      <c r="NW89" s="921" t="e">
        <f t="shared" ref="NW89" si="1097">NV89+1</f>
        <v>#VALUE!</v>
      </c>
      <c r="NX89" s="921" t="e">
        <f t="shared" ref="NX89" si="1098">NW89+1</f>
        <v>#VALUE!</v>
      </c>
      <c r="NY89" s="921" t="e">
        <f t="shared" ref="NY89" si="1099">NX89+1</f>
        <v>#VALUE!</v>
      </c>
      <c r="NZ89" s="921" t="e">
        <f t="shared" ref="NZ89" si="1100">NY89+1</f>
        <v>#VALUE!</v>
      </c>
      <c r="OA89" s="921" t="e">
        <f t="shared" ref="OA89" si="1101">NZ89+1</f>
        <v>#VALUE!</v>
      </c>
      <c r="OB89" s="921" t="e">
        <f t="shared" ref="OB89" si="1102">OA89+1</f>
        <v>#VALUE!</v>
      </c>
      <c r="OC89" s="921" t="e">
        <f t="shared" ref="OC89" si="1103">OB89+1</f>
        <v>#VALUE!</v>
      </c>
      <c r="OD89" s="921" t="e">
        <f t="shared" ref="OD89" si="1104">OC89+1</f>
        <v>#VALUE!</v>
      </c>
      <c r="OE89" s="921" t="e">
        <f t="shared" ref="OE89" si="1105">OD89+1</f>
        <v>#VALUE!</v>
      </c>
      <c r="OF89" s="921" t="e">
        <f t="shared" ref="OF89" si="1106">OE89+1</f>
        <v>#VALUE!</v>
      </c>
      <c r="OG89" s="921" t="e">
        <f t="shared" ref="OG89" si="1107">OF89+1</f>
        <v>#VALUE!</v>
      </c>
      <c r="OH89" s="921" t="e">
        <f t="shared" ref="OH89" si="1108">OG89+1</f>
        <v>#VALUE!</v>
      </c>
      <c r="OI89" s="921" t="e">
        <f t="shared" ref="OI89" si="1109">OH89+1</f>
        <v>#VALUE!</v>
      </c>
      <c r="OJ89" s="921" t="e">
        <f t="shared" ref="OJ89" si="1110">OI89+1</f>
        <v>#VALUE!</v>
      </c>
      <c r="OK89" s="921" t="e">
        <f t="shared" ref="OK89" si="1111">OJ89+1</f>
        <v>#VALUE!</v>
      </c>
      <c r="OL89" s="921" t="e">
        <f t="shared" ref="OL89" si="1112">OK89+1</f>
        <v>#VALUE!</v>
      </c>
      <c r="OM89" s="921" t="e">
        <f t="shared" ref="OM89" si="1113">OL89+1</f>
        <v>#VALUE!</v>
      </c>
      <c r="ON89" s="921" t="e">
        <f t="shared" ref="ON89" si="1114">OM89+1</f>
        <v>#VALUE!</v>
      </c>
      <c r="OO89" s="921" t="e">
        <f t="shared" ref="OO89" si="1115">ON89+1</f>
        <v>#VALUE!</v>
      </c>
      <c r="OP89" s="921" t="e">
        <f t="shared" ref="OP89" si="1116">OO89+1</f>
        <v>#VALUE!</v>
      </c>
      <c r="OQ89" s="921" t="e">
        <f t="shared" ref="OQ89" si="1117">OP89+1</f>
        <v>#VALUE!</v>
      </c>
      <c r="OR89" s="921" t="e">
        <f t="shared" ref="OR89" si="1118">OQ89+1</f>
        <v>#VALUE!</v>
      </c>
      <c r="OS89" s="921" t="e">
        <f t="shared" ref="OS89" si="1119">OR89+1</f>
        <v>#VALUE!</v>
      </c>
      <c r="OT89" s="921" t="e">
        <f t="shared" ref="OT89" si="1120">OS89+1</f>
        <v>#VALUE!</v>
      </c>
      <c r="OU89" s="921" t="e">
        <f t="shared" ref="OU89" si="1121">OT89+1</f>
        <v>#VALUE!</v>
      </c>
      <c r="OV89" s="921" t="e">
        <f t="shared" ref="OV89" si="1122">OU89+1</f>
        <v>#VALUE!</v>
      </c>
      <c r="OW89" s="921" t="e">
        <f t="shared" ref="OW89" si="1123">OV89+1</f>
        <v>#VALUE!</v>
      </c>
      <c r="OX89" s="921" t="e">
        <f t="shared" ref="OX89" si="1124">OW89+1</f>
        <v>#VALUE!</v>
      </c>
      <c r="OY89" s="921" t="e">
        <f t="shared" ref="OY89" si="1125">OX89+1</f>
        <v>#VALUE!</v>
      </c>
      <c r="OZ89" s="921" t="e">
        <f t="shared" ref="OZ89" si="1126">OY89+1</f>
        <v>#VALUE!</v>
      </c>
      <c r="PA89" s="921" t="e">
        <f t="shared" ref="PA89" si="1127">OZ89+1</f>
        <v>#VALUE!</v>
      </c>
      <c r="PB89" s="921" t="e">
        <f t="shared" ref="PB89" si="1128">PA89+1</f>
        <v>#VALUE!</v>
      </c>
      <c r="PC89" s="921" t="e">
        <f t="shared" ref="PC89" si="1129">PB89+1</f>
        <v>#VALUE!</v>
      </c>
      <c r="PD89" s="921" t="e">
        <f t="shared" ref="PD89" si="1130">PC89+1</f>
        <v>#VALUE!</v>
      </c>
      <c r="PE89" s="921" t="e">
        <f t="shared" ref="PE89" si="1131">PD89+1</f>
        <v>#VALUE!</v>
      </c>
      <c r="PF89" s="921" t="e">
        <f t="shared" ref="PF89" si="1132">PE89+1</f>
        <v>#VALUE!</v>
      </c>
      <c r="PG89" s="921" t="e">
        <f t="shared" ref="PG89" si="1133">PF89+1</f>
        <v>#VALUE!</v>
      </c>
      <c r="PH89" s="921" t="e">
        <f t="shared" ref="PH89" si="1134">PG89+1</f>
        <v>#VALUE!</v>
      </c>
      <c r="PI89" s="921" t="e">
        <f t="shared" ref="PI89" si="1135">PH89+1</f>
        <v>#VALUE!</v>
      </c>
      <c r="PJ89" s="921" t="e">
        <f t="shared" ref="PJ89" si="1136">PI89+1</f>
        <v>#VALUE!</v>
      </c>
      <c r="PK89" s="921" t="e">
        <f t="shared" ref="PK89" si="1137">PJ89+1</f>
        <v>#VALUE!</v>
      </c>
      <c r="PL89" s="921" t="e">
        <f t="shared" ref="PL89" si="1138">PK89+1</f>
        <v>#VALUE!</v>
      </c>
      <c r="PM89" s="921" t="e">
        <f t="shared" ref="PM89" si="1139">PL89+1</f>
        <v>#VALUE!</v>
      </c>
      <c r="PN89" s="921" t="e">
        <f t="shared" ref="PN89" si="1140">PM89+1</f>
        <v>#VALUE!</v>
      </c>
      <c r="PO89" s="921" t="e">
        <f t="shared" ref="PO89" si="1141">PN89+1</f>
        <v>#VALUE!</v>
      </c>
      <c r="PP89" s="921" t="e">
        <f t="shared" ref="PP89" si="1142">PO89+1</f>
        <v>#VALUE!</v>
      </c>
      <c r="PQ89" s="921" t="e">
        <f t="shared" ref="PQ89" si="1143">PP89+1</f>
        <v>#VALUE!</v>
      </c>
      <c r="PR89" s="921" t="e">
        <f t="shared" ref="PR89" si="1144">PQ89+1</f>
        <v>#VALUE!</v>
      </c>
      <c r="PS89" s="921" t="e">
        <f t="shared" ref="PS89" si="1145">PR89+1</f>
        <v>#VALUE!</v>
      </c>
      <c r="PT89" s="921" t="e">
        <f t="shared" ref="PT89" si="1146">PS89+1</f>
        <v>#VALUE!</v>
      </c>
      <c r="PU89" s="921" t="e">
        <f t="shared" ref="PU89" si="1147">PT89+1</f>
        <v>#VALUE!</v>
      </c>
      <c r="PV89" s="921" t="e">
        <f t="shared" ref="PV89" si="1148">PU89+1</f>
        <v>#VALUE!</v>
      </c>
      <c r="PW89" s="921" t="e">
        <f t="shared" ref="PW89" si="1149">PV89+1</f>
        <v>#VALUE!</v>
      </c>
      <c r="PX89" s="921" t="e">
        <f t="shared" ref="PX89" si="1150">PW89+1</f>
        <v>#VALUE!</v>
      </c>
      <c r="PY89" s="921" t="e">
        <f t="shared" ref="PY89" si="1151">PX89+1</f>
        <v>#VALUE!</v>
      </c>
      <c r="PZ89" s="921" t="e">
        <f t="shared" ref="PZ89" si="1152">PY89+1</f>
        <v>#VALUE!</v>
      </c>
      <c r="QA89" s="921" t="e">
        <f t="shared" ref="QA89" si="1153">PZ89+1</f>
        <v>#VALUE!</v>
      </c>
      <c r="QB89" s="921" t="e">
        <f t="shared" ref="QB89" si="1154">QA89+1</f>
        <v>#VALUE!</v>
      </c>
      <c r="QC89" s="921" t="e">
        <f t="shared" ref="QC89" si="1155">QB89+1</f>
        <v>#VALUE!</v>
      </c>
      <c r="QD89" s="921" t="e">
        <f t="shared" ref="QD89" si="1156">QC89+1</f>
        <v>#VALUE!</v>
      </c>
      <c r="QE89" s="921" t="e">
        <f t="shared" ref="QE89" si="1157">QD89+1</f>
        <v>#VALUE!</v>
      </c>
      <c r="QF89" s="921" t="e">
        <f t="shared" ref="QF89" si="1158">QE89+1</f>
        <v>#VALUE!</v>
      </c>
      <c r="QG89" s="921" t="e">
        <f t="shared" ref="QG89" si="1159">QF89+1</f>
        <v>#VALUE!</v>
      </c>
      <c r="QH89" s="921" t="e">
        <f t="shared" ref="QH89" si="1160">QG89+1</f>
        <v>#VALUE!</v>
      </c>
      <c r="QI89" s="921" t="e">
        <f t="shared" ref="QI89" si="1161">QH89+1</f>
        <v>#VALUE!</v>
      </c>
      <c r="QJ89" s="921" t="e">
        <f t="shared" ref="QJ89" si="1162">QI89+1</f>
        <v>#VALUE!</v>
      </c>
      <c r="QK89" s="921" t="e">
        <f t="shared" ref="QK89" si="1163">QJ89+1</f>
        <v>#VALUE!</v>
      </c>
      <c r="QL89" s="921" t="e">
        <f t="shared" ref="QL89" si="1164">QK89+1</f>
        <v>#VALUE!</v>
      </c>
      <c r="QM89" s="921" t="e">
        <f t="shared" ref="QM89" si="1165">QL89+1</f>
        <v>#VALUE!</v>
      </c>
      <c r="QN89" s="921" t="e">
        <f t="shared" ref="QN89" si="1166">QM89+1</f>
        <v>#VALUE!</v>
      </c>
      <c r="QO89" s="921" t="e">
        <f t="shared" ref="QO89" si="1167">QN89+1</f>
        <v>#VALUE!</v>
      </c>
      <c r="QP89" s="921" t="e">
        <f t="shared" ref="QP89" si="1168">QO89+1</f>
        <v>#VALUE!</v>
      </c>
      <c r="QQ89" s="921" t="e">
        <f t="shared" ref="QQ89" si="1169">QP89+1</f>
        <v>#VALUE!</v>
      </c>
      <c r="QR89" s="921" t="e">
        <f t="shared" ref="QR89" si="1170">QQ89+1</f>
        <v>#VALUE!</v>
      </c>
      <c r="QS89" s="921" t="e">
        <f t="shared" ref="QS89" si="1171">QR89+1</f>
        <v>#VALUE!</v>
      </c>
      <c r="QT89" s="921" t="e">
        <f t="shared" ref="QT89" si="1172">QS89+1</f>
        <v>#VALUE!</v>
      </c>
      <c r="QU89" s="921" t="e">
        <f t="shared" ref="QU89" si="1173">QT89+1</f>
        <v>#VALUE!</v>
      </c>
      <c r="QV89" s="921" t="e">
        <f t="shared" ref="QV89" si="1174">QU89+1</f>
        <v>#VALUE!</v>
      </c>
      <c r="QW89" s="921" t="e">
        <f t="shared" ref="QW89" si="1175">QV89+1</f>
        <v>#VALUE!</v>
      </c>
      <c r="QX89" s="921" t="e">
        <f t="shared" ref="QX89" si="1176">QW89+1</f>
        <v>#VALUE!</v>
      </c>
      <c r="QY89" s="921" t="e">
        <f t="shared" ref="QY89" si="1177">QX89+1</f>
        <v>#VALUE!</v>
      </c>
      <c r="QZ89" s="921" t="e">
        <f t="shared" ref="QZ89" si="1178">QY89+1</f>
        <v>#VALUE!</v>
      </c>
      <c r="RA89" s="921" t="e">
        <f t="shared" ref="RA89" si="1179">QZ89+1</f>
        <v>#VALUE!</v>
      </c>
      <c r="RB89" s="797" t="e">
        <f>IF(AND(QZ96&gt;=10,QZ97&gt;=10),QY89,QZ89)</f>
        <v>#VALUE!</v>
      </c>
      <c r="RC89" s="797"/>
    </row>
    <row r="90" spans="2:471" ht="17.25">
      <c r="B90" s="3" t="s">
        <v>45</v>
      </c>
      <c r="C90" s="3"/>
      <c r="D90" s="3"/>
      <c r="E90" s="3"/>
      <c r="F90" s="3"/>
      <c r="G90" s="3"/>
      <c r="H90" s="3"/>
      <c r="I90" s="3"/>
      <c r="J90" s="3"/>
      <c r="K90" s="3"/>
      <c r="L90" s="3"/>
      <c r="M90" s="3"/>
      <c r="N90" s="3"/>
      <c r="O90" s="3"/>
      <c r="P90" s="3"/>
      <c r="Q90" s="7">
        <v>1</v>
      </c>
      <c r="R90" s="7">
        <v>2</v>
      </c>
      <c r="S90" s="7">
        <v>3</v>
      </c>
      <c r="T90" s="7">
        <v>4</v>
      </c>
      <c r="U90" s="7">
        <v>5</v>
      </c>
      <c r="V90" s="7">
        <v>6</v>
      </c>
      <c r="W90" s="7">
        <v>7</v>
      </c>
      <c r="X90" s="7">
        <v>8</v>
      </c>
      <c r="Y90" s="7">
        <v>9</v>
      </c>
      <c r="Z90" s="7">
        <v>10</v>
      </c>
      <c r="AA90" s="7">
        <v>11</v>
      </c>
      <c r="AB90" s="7">
        <v>12</v>
      </c>
      <c r="DH90" s="797"/>
      <c r="DJ90" s="961">
        <f>[1]!mbtool(2,17,0,1)</f>
        <v>9.5138888888888884E-2</v>
      </c>
      <c r="DK90" s="962">
        <f>[1]!mbtool(2,17,0,1)</f>
        <v>9.5138888888888884E-2</v>
      </c>
      <c r="DL90" s="962">
        <f>[1]!mbtool(2,17,0,1)</f>
        <v>9.5138888888888884E-2</v>
      </c>
      <c r="DM90" s="962">
        <f>[1]!mbtool(2,17,0,1)</f>
        <v>9.5138888888888884E-2</v>
      </c>
      <c r="DN90" s="962">
        <f>[1]!mbtool(2,17,0,1)</f>
        <v>9.5138888888888884E-2</v>
      </c>
      <c r="DO90" s="962">
        <f>[1]!mbtool(2,17,0,1)</f>
        <v>9.5138888888888884E-2</v>
      </c>
      <c r="DP90" s="962">
        <f>[1]!mbtool(2,17,0,1)</f>
        <v>9.5138888888888884E-2</v>
      </c>
      <c r="DQ90" s="962">
        <f>[1]!mbtool(2,17,0,1)</f>
        <v>9.5138888888888884E-2</v>
      </c>
      <c r="DR90" s="962">
        <f>[1]!mbtool(2,17,0,1)</f>
        <v>9.5138888888888884E-2</v>
      </c>
      <c r="DS90" s="962">
        <f>[1]!mbtool(2,17,0,1)</f>
        <v>9.5138888888888884E-2</v>
      </c>
      <c r="DT90" s="962">
        <f>[1]!mbtool(2,17,0,1)</f>
        <v>9.5138888888888884E-2</v>
      </c>
      <c r="DU90" s="962">
        <f>[1]!mbtool(2,17,0,1)</f>
        <v>9.5138888888888884E-2</v>
      </c>
      <c r="DV90" s="962">
        <f>[1]!mbtool(2,17,0,1)</f>
        <v>9.5138888888888884E-2</v>
      </c>
      <c r="DW90" s="962">
        <f>[1]!mbtool(2,17,0,1)</f>
        <v>9.5138888888888884E-2</v>
      </c>
      <c r="DX90" s="962">
        <f>[1]!mbtool(2,17,0,1)</f>
        <v>9.5138888888888884E-2</v>
      </c>
      <c r="DY90" s="962">
        <f>[1]!mbtool(2,17,0,1)</f>
        <v>9.5138888888888884E-2</v>
      </c>
      <c r="DZ90" s="962">
        <f>[1]!mbtool(2,17,0,1)</f>
        <v>9.5138888888888884E-2</v>
      </c>
      <c r="EA90" s="962">
        <f>[1]!mbtool(2,17,0,1)</f>
        <v>9.5138888888888884E-2</v>
      </c>
      <c r="EB90" s="962">
        <f>[1]!mbtool(2,17,0,1)</f>
        <v>9.5138888888888884E-2</v>
      </c>
      <c r="EC90" s="962">
        <f>[1]!mbtool(2,17,0,1)</f>
        <v>9.5138888888888884E-2</v>
      </c>
      <c r="ED90" s="962">
        <f>[1]!mbtool(2,17,0,1)</f>
        <v>9.5138888888888884E-2</v>
      </c>
      <c r="EE90" s="962">
        <f>[1]!mbtool(2,17,0,1)</f>
        <v>9.5138888888888884E-2</v>
      </c>
      <c r="EF90" s="962">
        <f>[1]!mbtool(2,17,0,1)</f>
        <v>9.5138888888888884E-2</v>
      </c>
      <c r="EG90" s="962">
        <f>[1]!mbtool(2,17,0,1)</f>
        <v>9.5138888888888884E-2</v>
      </c>
      <c r="EH90" s="962">
        <f>[1]!mbtool(2,17,0,1)</f>
        <v>9.5138888888888884E-2</v>
      </c>
      <c r="EI90" s="962">
        <f>[1]!mbtool(2,17,0,1)</f>
        <v>9.5138888888888884E-2</v>
      </c>
      <c r="EJ90" s="962">
        <f>[1]!mbtool(2,17,0,1)</f>
        <v>9.5138888888888884E-2</v>
      </c>
      <c r="EK90" s="962">
        <f>[1]!mbtool(2,17,0,1)</f>
        <v>9.5138888888888884E-2</v>
      </c>
      <c r="EL90" s="962">
        <f>[1]!mbtool(2,17,0,1)</f>
        <v>9.5138888888888884E-2</v>
      </c>
      <c r="EM90" s="962">
        <f>[1]!mbtool(2,17,0,1)</f>
        <v>9.5138888888888884E-2</v>
      </c>
      <c r="EN90" s="962">
        <f>[1]!mbtool(2,17,0,1)</f>
        <v>9.5138888888888884E-2</v>
      </c>
      <c r="EO90" s="962">
        <f>[1]!mbtool(2,17,0,1)</f>
        <v>9.5138888888888884E-2</v>
      </c>
      <c r="EP90" s="962">
        <f>[1]!mbtool(2,17,0,1)</f>
        <v>9.5138888888888884E-2</v>
      </c>
      <c r="EQ90" s="962">
        <f>[1]!mbtool(2,17,0,1)</f>
        <v>9.5138888888888884E-2</v>
      </c>
      <c r="ER90" s="962">
        <f>[1]!mbtool(2,17,0,1)</f>
        <v>9.5138888888888884E-2</v>
      </c>
      <c r="ES90" s="962">
        <f>[1]!mbtool(2,17,0,1)</f>
        <v>9.5138888888888884E-2</v>
      </c>
      <c r="ET90" s="962">
        <f>[1]!mbtool(2,17,0,1)</f>
        <v>9.5138888888888884E-2</v>
      </c>
      <c r="EU90" s="962">
        <f>[1]!mbtool(2,17,0,1)</f>
        <v>9.5138888888888884E-2</v>
      </c>
      <c r="EV90" s="962">
        <f>[1]!mbtool(2,17,0,1)</f>
        <v>9.5138888888888884E-2</v>
      </c>
      <c r="EW90" s="962">
        <f>[1]!mbtool(2,17,0,1)</f>
        <v>9.5138888888888884E-2</v>
      </c>
      <c r="EX90" s="962">
        <f>[1]!mbtool(2,17,0,1)</f>
        <v>9.5138888888888884E-2</v>
      </c>
      <c r="EY90" s="962">
        <f>[1]!mbtool(2,17,0,1)</f>
        <v>9.5138888888888884E-2</v>
      </c>
      <c r="EZ90" s="962">
        <f>[1]!mbtool(2,17,0,1)</f>
        <v>9.5138888888888884E-2</v>
      </c>
      <c r="FA90" s="962">
        <f>[1]!mbtool(2,17,0,1)</f>
        <v>9.5138888888888884E-2</v>
      </c>
      <c r="FB90" s="962">
        <f>[1]!mbtool(2,17,0,1)</f>
        <v>9.5138888888888884E-2</v>
      </c>
      <c r="FC90" s="962">
        <f>[1]!mbtool(2,17,0,1)</f>
        <v>9.5138888888888884E-2</v>
      </c>
      <c r="FD90" s="962">
        <f>[1]!mbtool(2,17,0,1)</f>
        <v>9.5138888888888884E-2</v>
      </c>
      <c r="FE90" s="962">
        <f>[1]!mbtool(2,17,0,1)</f>
        <v>9.5138888888888884E-2</v>
      </c>
      <c r="FF90" s="962">
        <f>[1]!mbtool(2,17,0,1)</f>
        <v>9.5138888888888884E-2</v>
      </c>
      <c r="FG90" s="962">
        <f>[1]!mbtool(2,17,0,1)</f>
        <v>9.5138888888888884E-2</v>
      </c>
      <c r="FH90" s="962">
        <f>[1]!mbtool(2,17,0,1)</f>
        <v>9.5138888888888884E-2</v>
      </c>
      <c r="FI90" s="962">
        <f>[1]!mbtool(2,17,0,1)</f>
        <v>9.5138888888888884E-2</v>
      </c>
      <c r="FJ90" s="962">
        <f>[1]!mbtool(2,17,0,1)</f>
        <v>9.5138888888888884E-2</v>
      </c>
      <c r="FK90" s="962">
        <f>[1]!mbtool(2,17,0,1)</f>
        <v>9.5138888888888884E-2</v>
      </c>
      <c r="FL90" s="962">
        <f>[1]!mbtool(2,17,0,1)</f>
        <v>9.5138888888888884E-2</v>
      </c>
      <c r="FM90" s="962">
        <f>[1]!mbtool(2,17,0,1)</f>
        <v>9.5138888888888884E-2</v>
      </c>
      <c r="FN90" s="962">
        <f>[1]!mbtool(2,17,0,1)</f>
        <v>9.5138888888888884E-2</v>
      </c>
      <c r="FO90" s="962">
        <f>[1]!mbtool(2,17,0,1)</f>
        <v>9.5138888888888884E-2</v>
      </c>
      <c r="FP90" s="962">
        <f>[1]!mbtool(2,17,0,1)</f>
        <v>9.5138888888888884E-2</v>
      </c>
      <c r="FQ90" s="962">
        <f>[1]!mbtool(2,17,0,1)</f>
        <v>9.5138888888888884E-2</v>
      </c>
      <c r="FR90" s="962">
        <f>[1]!mbtool(2,17,0,1)</f>
        <v>9.5138888888888884E-2</v>
      </c>
      <c r="FS90" s="962">
        <f>[1]!mbtool(2,17,0,1)</f>
        <v>9.5138888888888884E-2</v>
      </c>
      <c r="FT90" s="962">
        <f>[1]!mbtool(2,17,0,1)</f>
        <v>9.5138888888888884E-2</v>
      </c>
      <c r="FU90" s="962">
        <f>[1]!mbtool(2,17,0,1)</f>
        <v>9.5138888888888884E-2</v>
      </c>
      <c r="FV90" s="962">
        <f>[1]!mbtool(2,17,0,1)</f>
        <v>9.5138888888888884E-2</v>
      </c>
      <c r="FW90" s="962">
        <f>[1]!mbtool(2,17,0,1)</f>
        <v>9.5138888888888884E-2</v>
      </c>
      <c r="FX90" s="962">
        <f>[1]!mbtool(2,17,0,1)</f>
        <v>9.5138888888888884E-2</v>
      </c>
      <c r="FY90" s="962">
        <f>[1]!mbtool(2,17,0,1)</f>
        <v>9.5138888888888884E-2</v>
      </c>
      <c r="FZ90" s="962">
        <f>[1]!mbtool(2,17,0,1)</f>
        <v>9.5138888888888884E-2</v>
      </c>
      <c r="GA90" s="962">
        <f>[1]!mbtool(2,17,0,1)</f>
        <v>9.5138888888888884E-2</v>
      </c>
      <c r="GB90" s="962">
        <f>[1]!mbtool(2,17,0,1)</f>
        <v>9.5138888888888884E-2</v>
      </c>
      <c r="GC90" s="962">
        <f>[1]!mbtool(2,17,0,1)</f>
        <v>9.5138888888888884E-2</v>
      </c>
      <c r="GD90" s="962">
        <f>[1]!mbtool(2,17,0,1)</f>
        <v>9.5138888888888884E-2</v>
      </c>
      <c r="GE90" s="962">
        <f>[1]!mbtool(2,17,0,1)</f>
        <v>9.5138888888888884E-2</v>
      </c>
      <c r="GF90" s="962">
        <f>[1]!mbtool(2,17,0,1)</f>
        <v>9.5138888888888884E-2</v>
      </c>
      <c r="GG90" s="962">
        <f>[1]!mbtool(2,17,0,1)</f>
        <v>9.5138888888888884E-2</v>
      </c>
      <c r="GH90" s="962">
        <f>[1]!mbtool(2,17,0,1)</f>
        <v>9.5138888888888884E-2</v>
      </c>
      <c r="GI90" s="962">
        <f>[1]!mbtool(2,17,0,1)</f>
        <v>9.5138888888888884E-2</v>
      </c>
      <c r="GJ90" s="962">
        <f>[1]!mbtool(2,17,0,1)</f>
        <v>9.5138888888888884E-2</v>
      </c>
      <c r="GK90" s="962">
        <f>[1]!mbtool(2,17,0,1)</f>
        <v>9.5138888888888884E-2</v>
      </c>
      <c r="GL90" s="962">
        <f>[1]!mbtool(2,17,0,1)</f>
        <v>9.5138888888888884E-2</v>
      </c>
      <c r="GM90" s="962">
        <f>[1]!mbtool(2,17,0,1)</f>
        <v>9.5138888888888884E-2</v>
      </c>
      <c r="GN90" s="962">
        <f>[1]!mbtool(2,17,0,1)</f>
        <v>9.5138888888888884E-2</v>
      </c>
      <c r="GO90" s="962">
        <f>[1]!mbtool(2,17,0,1)</f>
        <v>9.5138888888888884E-2</v>
      </c>
      <c r="GP90" s="962">
        <f>[1]!mbtool(2,17,0,1)</f>
        <v>9.5138888888888884E-2</v>
      </c>
      <c r="GQ90" s="962">
        <f>[1]!mbtool(2,17,0,1)</f>
        <v>9.5138888888888884E-2</v>
      </c>
      <c r="GR90" s="962">
        <f>[1]!mbtool(2,17,0,1)</f>
        <v>9.5138888888888884E-2</v>
      </c>
      <c r="GS90" s="962">
        <f>[1]!mbtool(2,17,0,1)</f>
        <v>9.5138888888888884E-2</v>
      </c>
      <c r="GT90" s="962">
        <f>[1]!mbtool(2,17,0,1)</f>
        <v>9.5138888888888884E-2</v>
      </c>
      <c r="GU90" s="962">
        <f>[1]!mbtool(2,17,0,1)</f>
        <v>9.5138888888888884E-2</v>
      </c>
      <c r="GV90" s="962">
        <f>[1]!mbtool(2,17,0,1)</f>
        <v>9.5138888888888884E-2</v>
      </c>
      <c r="GW90" s="962">
        <f>[1]!mbtool(2,17,0,1)</f>
        <v>9.5138888888888884E-2</v>
      </c>
      <c r="GX90" s="962">
        <f>[1]!mbtool(2,17,0,1)</f>
        <v>9.5138888888888884E-2</v>
      </c>
      <c r="GY90" s="962">
        <f>[1]!mbtool(2,17,0,1)</f>
        <v>9.5138888888888884E-2</v>
      </c>
      <c r="GZ90" s="962">
        <f>[1]!mbtool(2,17,0,1)</f>
        <v>9.5138888888888884E-2</v>
      </c>
      <c r="HA90" s="962">
        <f>[1]!mbtool(2,17,0,1)</f>
        <v>9.5138888888888884E-2</v>
      </c>
      <c r="HB90" s="962">
        <f>[1]!mbtool(2,17,0,1)</f>
        <v>9.5138888888888884E-2</v>
      </c>
      <c r="HC90" s="962">
        <f>[1]!mbtool(2,17,0,1)</f>
        <v>9.5138888888888884E-2</v>
      </c>
      <c r="HD90" s="962">
        <f>[1]!mbtool(2,17,0,1)</f>
        <v>9.5138888888888884E-2</v>
      </c>
      <c r="HE90" s="962">
        <f>[1]!mbtool(2,17,0,1)</f>
        <v>9.5138888888888884E-2</v>
      </c>
      <c r="HF90" s="962">
        <f>[1]!mbtool(2,17,0,1)</f>
        <v>9.5138888888888884E-2</v>
      </c>
      <c r="HG90" s="962">
        <f>[1]!mbtool(2,17,0,1)</f>
        <v>9.5138888888888884E-2</v>
      </c>
      <c r="HH90" s="962">
        <f>[1]!mbtool(2,17,0,1)</f>
        <v>9.5138888888888884E-2</v>
      </c>
      <c r="HI90" s="962">
        <f>[1]!mbtool(2,17,0,1)</f>
        <v>9.5138888888888884E-2</v>
      </c>
      <c r="HJ90" s="962">
        <f>[1]!mbtool(2,17,0,1)</f>
        <v>9.5138888888888884E-2</v>
      </c>
      <c r="HK90" s="962">
        <f>[1]!mbtool(2,17,0,1)</f>
        <v>9.5138888888888884E-2</v>
      </c>
      <c r="HL90" s="962">
        <f>[1]!mbtool(2,17,0,1)</f>
        <v>9.5138888888888884E-2</v>
      </c>
      <c r="HM90" s="962">
        <f>[1]!mbtool(2,17,0,1)</f>
        <v>9.5138888888888884E-2</v>
      </c>
      <c r="HN90" s="962">
        <f>[1]!mbtool(2,17,0,1)</f>
        <v>9.5138888888888884E-2</v>
      </c>
      <c r="HO90" s="962">
        <f>[1]!mbtool(2,17,0,1)</f>
        <v>9.5138888888888884E-2</v>
      </c>
      <c r="HP90" s="962">
        <f>[1]!mbtool(2,17,0,1)</f>
        <v>9.5138888888888884E-2</v>
      </c>
      <c r="HQ90" s="962">
        <f>[1]!mbtool(2,17,0,1)</f>
        <v>9.5138888888888884E-2</v>
      </c>
      <c r="HR90" s="962">
        <f>[1]!mbtool(2,17,0,1)</f>
        <v>9.5138888888888884E-2</v>
      </c>
      <c r="HS90" s="962">
        <f>[1]!mbtool(2,17,0,1)</f>
        <v>9.5138888888888884E-2</v>
      </c>
      <c r="HT90" s="962">
        <f>[1]!mbtool(2,17,0,1)</f>
        <v>9.5138888888888884E-2</v>
      </c>
      <c r="HU90" s="962">
        <f>[1]!mbtool(2,17,0,1)</f>
        <v>9.5138888888888884E-2</v>
      </c>
      <c r="HV90" s="962">
        <f>[1]!mbtool(2,17,0,1)</f>
        <v>9.5138888888888884E-2</v>
      </c>
      <c r="HW90" s="962">
        <f>[1]!mbtool(2,17,0,1)</f>
        <v>9.5138888888888884E-2</v>
      </c>
      <c r="HX90" s="962">
        <f>[1]!mbtool(2,17,0,1)</f>
        <v>9.5138888888888884E-2</v>
      </c>
      <c r="HY90" s="962">
        <f>[1]!mbtool(2,17,0,1)</f>
        <v>9.5138888888888884E-2</v>
      </c>
      <c r="HZ90" s="962">
        <f>[1]!mbtool(2,17,0,1)</f>
        <v>9.5138888888888884E-2</v>
      </c>
      <c r="IA90" s="962">
        <f>[1]!mbtool(2,17,0,1)</f>
        <v>9.5138888888888884E-2</v>
      </c>
      <c r="IB90" s="962">
        <f>[1]!mbtool(2,17,0,1)</f>
        <v>9.5138888888888884E-2</v>
      </c>
      <c r="IC90" s="962">
        <f>[1]!mbtool(2,17,0,1)</f>
        <v>9.5138888888888884E-2</v>
      </c>
      <c r="ID90" s="962">
        <f>[1]!mbtool(2,17,0,1)</f>
        <v>9.5138888888888884E-2</v>
      </c>
      <c r="IE90" s="962">
        <f>[1]!mbtool(2,17,0,1)</f>
        <v>9.5138888888888884E-2</v>
      </c>
      <c r="IF90" s="962">
        <f>[1]!mbtool(2,17,0,1)</f>
        <v>9.5138888888888884E-2</v>
      </c>
      <c r="IG90" s="962">
        <f>[1]!mbtool(2,17,0,1)</f>
        <v>9.5138888888888884E-2</v>
      </c>
      <c r="IH90" s="962">
        <f>[1]!mbtool(2,17,0,1)</f>
        <v>9.5138888888888884E-2</v>
      </c>
      <c r="II90" s="962">
        <f>[1]!mbtool(2,17,0,1)</f>
        <v>9.5138888888888884E-2</v>
      </c>
      <c r="IJ90" s="962">
        <f>[1]!mbtool(2,17,0,1)</f>
        <v>9.5138888888888884E-2</v>
      </c>
      <c r="IK90" s="962">
        <f>[1]!mbtool(2,17,0,1)</f>
        <v>9.5138888888888884E-2</v>
      </c>
      <c r="IL90" s="962">
        <f>[1]!mbtool(2,17,0,1)</f>
        <v>9.5138888888888884E-2</v>
      </c>
      <c r="IM90" s="962">
        <f>[1]!mbtool(2,17,0,1)</f>
        <v>9.5138888888888884E-2</v>
      </c>
      <c r="IN90" s="962">
        <f>[1]!mbtool(2,17,0,1)</f>
        <v>9.5138888888888884E-2</v>
      </c>
      <c r="IO90" s="962">
        <f>[1]!mbtool(2,17,0,1)</f>
        <v>9.5138888888888884E-2</v>
      </c>
      <c r="IP90" s="962">
        <f>[1]!mbtool(2,17,0,1)</f>
        <v>9.5138888888888884E-2</v>
      </c>
      <c r="IQ90" s="962">
        <f>[1]!mbtool(2,17,0,1)</f>
        <v>9.5138888888888884E-2</v>
      </c>
      <c r="IR90" s="962">
        <f>[1]!mbtool(2,17,0,1)</f>
        <v>9.5138888888888884E-2</v>
      </c>
      <c r="IS90" s="962">
        <f>[1]!mbtool(2,17,0,1)</f>
        <v>9.5138888888888884E-2</v>
      </c>
      <c r="IT90" s="962">
        <f>[1]!mbtool(2,17,0,1)</f>
        <v>9.5138888888888884E-2</v>
      </c>
      <c r="IU90" s="962">
        <f>[1]!mbtool(2,17,0,1)</f>
        <v>9.5138888888888884E-2</v>
      </c>
      <c r="IV90" s="962">
        <f>[1]!mbtool(2,17,0,1)</f>
        <v>9.5138888888888884E-2</v>
      </c>
      <c r="IW90" s="962">
        <f>[1]!mbtool(2,17,0,1)</f>
        <v>9.5138888888888884E-2</v>
      </c>
      <c r="IX90" s="962">
        <f>[1]!mbtool(2,17,0,1)</f>
        <v>9.5138888888888884E-2</v>
      </c>
      <c r="IY90" s="962">
        <f>[1]!mbtool(2,17,0,1)</f>
        <v>9.5138888888888884E-2</v>
      </c>
      <c r="IZ90" s="962">
        <f>[1]!mbtool(2,17,0,1)</f>
        <v>9.5138888888888884E-2</v>
      </c>
      <c r="JA90" s="962">
        <f>[1]!mbtool(2,17,0,1)</f>
        <v>9.5138888888888884E-2</v>
      </c>
      <c r="JB90" s="962">
        <f>[1]!mbtool(2,17,0,1)</f>
        <v>9.5138888888888884E-2</v>
      </c>
      <c r="JC90" s="962">
        <f>[1]!mbtool(2,17,0,1)</f>
        <v>9.5138888888888884E-2</v>
      </c>
      <c r="JD90" s="962">
        <f>[1]!mbtool(2,17,0,1)</f>
        <v>9.5138888888888884E-2</v>
      </c>
      <c r="JE90" s="962">
        <f>[1]!mbtool(2,17,0,1)</f>
        <v>9.5138888888888884E-2</v>
      </c>
      <c r="JF90" s="962">
        <f>[1]!mbtool(2,17,0,1)</f>
        <v>9.5138888888888884E-2</v>
      </c>
      <c r="JG90" s="962">
        <f>[1]!mbtool(2,17,0,1)</f>
        <v>9.5138888888888884E-2</v>
      </c>
      <c r="JH90" s="962">
        <f>[1]!mbtool(2,17,0,1)</f>
        <v>9.5138888888888884E-2</v>
      </c>
      <c r="JI90" s="962">
        <f>[1]!mbtool(2,17,0,1)</f>
        <v>9.5138888888888884E-2</v>
      </c>
      <c r="JJ90" s="962">
        <f>[1]!mbtool(2,17,0,1)</f>
        <v>9.5138888888888884E-2</v>
      </c>
      <c r="JK90" s="962">
        <f>[1]!mbtool(2,17,0,1)</f>
        <v>9.5138888888888884E-2</v>
      </c>
      <c r="JL90" s="962">
        <f>[1]!mbtool(2,17,0,1)</f>
        <v>9.5138888888888884E-2</v>
      </c>
      <c r="JM90" s="962">
        <f>[1]!mbtool(2,17,0,1)</f>
        <v>9.5138888888888884E-2</v>
      </c>
      <c r="JN90" s="962">
        <f>[1]!mbtool(2,17,0,1)</f>
        <v>9.5138888888888884E-2</v>
      </c>
      <c r="JO90" s="962">
        <f>[1]!mbtool(2,17,0,1)</f>
        <v>9.5138888888888884E-2</v>
      </c>
      <c r="JP90" s="962">
        <f>[1]!mbtool(2,17,0,1)</f>
        <v>9.5138888888888884E-2</v>
      </c>
      <c r="JQ90" s="962">
        <f>[1]!mbtool(2,17,0,1)</f>
        <v>9.5138888888888884E-2</v>
      </c>
      <c r="JR90" s="962">
        <f>[1]!mbtool(2,17,0,1)</f>
        <v>9.5138888888888884E-2</v>
      </c>
      <c r="JS90" s="962">
        <f>[1]!mbtool(2,17,0,1)</f>
        <v>9.5138888888888884E-2</v>
      </c>
      <c r="JT90" s="962">
        <f>[1]!mbtool(2,17,0,1)</f>
        <v>9.5138888888888884E-2</v>
      </c>
      <c r="JU90" s="962">
        <f>[1]!mbtool(2,17,0,1)</f>
        <v>9.5138888888888884E-2</v>
      </c>
      <c r="JV90" s="962">
        <f>[1]!mbtool(2,17,0,1)</f>
        <v>9.5138888888888884E-2</v>
      </c>
      <c r="JW90" s="962">
        <f>[1]!mbtool(2,17,0,1)</f>
        <v>9.5138888888888884E-2</v>
      </c>
      <c r="JX90" s="962">
        <f>[1]!mbtool(2,17,0,1)</f>
        <v>9.5138888888888884E-2</v>
      </c>
      <c r="JY90" s="962">
        <f>[1]!mbtool(2,17,0,1)</f>
        <v>9.5138888888888884E-2</v>
      </c>
      <c r="JZ90" s="962">
        <f>[1]!mbtool(2,17,0,1)</f>
        <v>9.5138888888888884E-2</v>
      </c>
      <c r="KA90" s="962">
        <f>[1]!mbtool(2,17,0,1)</f>
        <v>9.5138888888888884E-2</v>
      </c>
      <c r="KB90" s="962">
        <f>[1]!mbtool(2,17,0,1)</f>
        <v>9.5138888888888884E-2</v>
      </c>
      <c r="KC90" s="962">
        <f>[1]!mbtool(2,17,0,1)</f>
        <v>9.5138888888888884E-2</v>
      </c>
      <c r="KD90" s="962">
        <f>[1]!mbtool(2,17,0,1)</f>
        <v>9.5138888888888884E-2</v>
      </c>
      <c r="KE90" s="962">
        <f>[1]!mbtool(2,17,0,1)</f>
        <v>9.5138888888888884E-2</v>
      </c>
      <c r="KF90" s="962">
        <f>[1]!mbtool(2,17,0,1)</f>
        <v>9.5138888888888884E-2</v>
      </c>
      <c r="KG90" s="962">
        <f>[1]!mbtool(2,17,0,1)</f>
        <v>9.5138888888888884E-2</v>
      </c>
      <c r="KH90" s="962">
        <f>[1]!mbtool(2,17,0,1)</f>
        <v>9.5138888888888884E-2</v>
      </c>
      <c r="KI90" s="962">
        <f>[1]!mbtool(2,17,0,1)</f>
        <v>9.5138888888888884E-2</v>
      </c>
      <c r="KJ90" s="962">
        <f>[1]!mbtool(2,17,0,1)</f>
        <v>9.5138888888888884E-2</v>
      </c>
      <c r="KK90" s="962">
        <f>[1]!mbtool(2,17,0,1)</f>
        <v>9.5138888888888884E-2</v>
      </c>
      <c r="KL90" s="962">
        <f>[1]!mbtool(2,17,0,1)</f>
        <v>9.5138888888888884E-2</v>
      </c>
      <c r="KM90" s="962">
        <f>[1]!mbtool(2,17,0,1)</f>
        <v>9.5138888888888884E-2</v>
      </c>
      <c r="KN90" s="962">
        <f>[1]!mbtool(2,17,0,1)</f>
        <v>9.5138888888888884E-2</v>
      </c>
      <c r="KO90" s="962">
        <f>[1]!mbtool(2,17,0,1)</f>
        <v>9.5138888888888884E-2</v>
      </c>
      <c r="KP90" s="962">
        <f>[1]!mbtool(2,17,0,1)</f>
        <v>9.5138888888888884E-2</v>
      </c>
      <c r="KQ90" s="962">
        <f>[1]!mbtool(2,17,0,1)</f>
        <v>9.5138888888888884E-2</v>
      </c>
      <c r="KR90" s="962">
        <f>[1]!mbtool(2,17,0,1)</f>
        <v>9.5138888888888884E-2</v>
      </c>
      <c r="KS90" s="962">
        <f>[1]!mbtool(2,17,0,1)</f>
        <v>9.5138888888888884E-2</v>
      </c>
      <c r="KT90" s="962">
        <f>[1]!mbtool(2,17,0,1)</f>
        <v>9.5138888888888884E-2</v>
      </c>
      <c r="KU90" s="962">
        <f>[1]!mbtool(2,17,0,1)</f>
        <v>9.5138888888888884E-2</v>
      </c>
      <c r="KV90" s="962">
        <f>[1]!mbtool(2,17,0,1)</f>
        <v>9.5138888888888884E-2</v>
      </c>
      <c r="KW90" s="962">
        <f>[1]!mbtool(2,17,0,1)</f>
        <v>9.5138888888888884E-2</v>
      </c>
      <c r="KX90" s="962">
        <f>[1]!mbtool(2,17,0,1)</f>
        <v>9.5138888888888884E-2</v>
      </c>
      <c r="KY90" s="962">
        <f>[1]!mbtool(2,17,0,1)</f>
        <v>9.5138888888888884E-2</v>
      </c>
      <c r="KZ90" s="962">
        <f>[1]!mbtool(2,17,0,1)</f>
        <v>9.5138888888888884E-2</v>
      </c>
      <c r="LA90" s="962">
        <f>[1]!mbtool(2,17,0,1)</f>
        <v>9.5138888888888884E-2</v>
      </c>
      <c r="LB90" s="962">
        <f>[1]!mbtool(2,17,0,1)</f>
        <v>9.5138888888888884E-2</v>
      </c>
      <c r="LC90" s="962">
        <f>[1]!mbtool(2,17,0,1)</f>
        <v>9.5138888888888884E-2</v>
      </c>
      <c r="LD90" s="962">
        <f>[1]!mbtool(2,17,0,1)</f>
        <v>9.5138888888888884E-2</v>
      </c>
      <c r="LE90" s="962">
        <f>[1]!mbtool(2,17,0,1)</f>
        <v>9.5138888888888884E-2</v>
      </c>
      <c r="LF90" s="962">
        <f>[1]!mbtool(2,17,0,1)</f>
        <v>9.5138888888888884E-2</v>
      </c>
      <c r="LG90" s="962">
        <f>[1]!mbtool(2,17,0,1)</f>
        <v>9.5138888888888884E-2</v>
      </c>
      <c r="LH90" s="962">
        <f>[1]!mbtool(2,17,0,1)</f>
        <v>9.5138888888888884E-2</v>
      </c>
      <c r="LI90" s="962">
        <f>[1]!mbtool(2,17,0,1)</f>
        <v>9.5138888888888884E-2</v>
      </c>
      <c r="LJ90" s="962">
        <f>[1]!mbtool(2,17,0,1)</f>
        <v>9.5138888888888884E-2</v>
      </c>
      <c r="LK90" s="962">
        <f>[1]!mbtool(2,17,0,1)</f>
        <v>9.5138888888888884E-2</v>
      </c>
      <c r="LL90" s="962">
        <f>[1]!mbtool(2,17,0,1)</f>
        <v>9.5138888888888884E-2</v>
      </c>
      <c r="LM90" s="962">
        <f>[1]!mbtool(2,17,0,1)</f>
        <v>9.5138888888888884E-2</v>
      </c>
      <c r="LN90" s="962">
        <f>[1]!mbtool(2,17,0,1)</f>
        <v>9.5138888888888884E-2</v>
      </c>
      <c r="LO90" s="962">
        <f>[1]!mbtool(2,17,0,1)</f>
        <v>9.5138888888888884E-2</v>
      </c>
      <c r="LP90" s="962">
        <f>[1]!mbtool(2,17,0,1)</f>
        <v>9.5138888888888884E-2</v>
      </c>
      <c r="LQ90" s="962">
        <f>[1]!mbtool(2,17,0,1)</f>
        <v>9.5138888888888884E-2</v>
      </c>
      <c r="LR90" s="962">
        <f>[1]!mbtool(2,17,0,1)</f>
        <v>9.5138888888888884E-2</v>
      </c>
      <c r="LS90" s="962">
        <f>[1]!mbtool(2,17,0,1)</f>
        <v>9.5138888888888884E-2</v>
      </c>
      <c r="LT90" s="962">
        <f>[1]!mbtool(2,17,0,1)</f>
        <v>9.5138888888888884E-2</v>
      </c>
      <c r="LU90" s="962">
        <f>[1]!mbtool(2,17,0,1)</f>
        <v>9.5138888888888884E-2</v>
      </c>
      <c r="LV90" s="962">
        <f>[1]!mbtool(2,17,0,1)</f>
        <v>9.5138888888888884E-2</v>
      </c>
      <c r="LW90" s="962">
        <f>[1]!mbtool(2,17,0,1)</f>
        <v>9.5138888888888884E-2</v>
      </c>
      <c r="LX90" s="962">
        <f>[1]!mbtool(2,17,0,1)</f>
        <v>9.5138888888888884E-2</v>
      </c>
      <c r="LY90" s="962">
        <f>[1]!mbtool(2,17,0,1)</f>
        <v>9.5138888888888884E-2</v>
      </c>
      <c r="LZ90" s="962">
        <f>[1]!mbtool(2,17,0,1)</f>
        <v>9.5138888888888884E-2</v>
      </c>
      <c r="MA90" s="962">
        <f>[1]!mbtool(2,17,0,1)</f>
        <v>9.5138888888888884E-2</v>
      </c>
      <c r="MB90" s="962">
        <f>[1]!mbtool(2,17,0,1)</f>
        <v>9.5138888888888884E-2</v>
      </c>
      <c r="MC90" s="962">
        <f>[1]!mbtool(2,17,0,1)</f>
        <v>9.5138888888888884E-2</v>
      </c>
      <c r="MD90" s="962">
        <f>[1]!mbtool(2,17,0,1)</f>
        <v>9.5138888888888884E-2</v>
      </c>
      <c r="ME90" s="962">
        <f>[1]!mbtool(2,17,0,1)</f>
        <v>9.5138888888888884E-2</v>
      </c>
      <c r="MF90" s="962">
        <f>[1]!mbtool(2,17,0,1)</f>
        <v>9.5138888888888884E-2</v>
      </c>
      <c r="MG90" s="962">
        <f>[1]!mbtool(2,17,0,1)</f>
        <v>9.5138888888888884E-2</v>
      </c>
      <c r="MH90" s="962">
        <f>[1]!mbtool(2,17,0,1)</f>
        <v>9.5138888888888884E-2</v>
      </c>
      <c r="MI90" s="962">
        <f>[1]!mbtool(2,17,0,1)</f>
        <v>9.5138888888888884E-2</v>
      </c>
      <c r="MJ90" s="962">
        <f>[1]!mbtool(2,17,0,1)</f>
        <v>9.5138888888888884E-2</v>
      </c>
      <c r="MK90" s="962">
        <f>[1]!mbtool(2,17,0,1)</f>
        <v>9.5138888888888884E-2</v>
      </c>
      <c r="ML90" s="962">
        <f>[1]!mbtool(2,17,0,1)</f>
        <v>9.5138888888888884E-2</v>
      </c>
      <c r="MM90" s="962">
        <f>[1]!mbtool(2,17,0,1)</f>
        <v>9.5138888888888884E-2</v>
      </c>
      <c r="MN90" s="962">
        <f>[1]!mbtool(2,17,0,1)</f>
        <v>9.5138888888888884E-2</v>
      </c>
      <c r="MO90" s="962">
        <f>[1]!mbtool(2,17,0,1)</f>
        <v>9.5138888888888884E-2</v>
      </c>
      <c r="MP90" s="962">
        <f>[1]!mbtool(2,17,0,1)</f>
        <v>9.5138888888888884E-2</v>
      </c>
      <c r="MQ90" s="962">
        <f>[1]!mbtool(2,17,0,1)</f>
        <v>9.5138888888888884E-2</v>
      </c>
      <c r="MR90" s="962">
        <f>[1]!mbtool(2,17,0,1)</f>
        <v>9.5138888888888884E-2</v>
      </c>
      <c r="MS90" s="962">
        <f>[1]!mbtool(2,17,0,1)</f>
        <v>9.5138888888888884E-2</v>
      </c>
      <c r="MT90" s="962">
        <f>[1]!mbtool(2,17,0,1)</f>
        <v>9.5138888888888884E-2</v>
      </c>
      <c r="MU90" s="962">
        <f>[1]!mbtool(2,17,0,1)</f>
        <v>9.5138888888888884E-2</v>
      </c>
      <c r="MV90" s="962">
        <f>[1]!mbtool(2,17,0,1)</f>
        <v>9.5138888888888884E-2</v>
      </c>
      <c r="MW90" s="962">
        <f>[1]!mbtool(2,17,0,1)</f>
        <v>9.5138888888888884E-2</v>
      </c>
      <c r="MX90" s="962">
        <f>[1]!mbtool(2,17,0,1)</f>
        <v>9.5138888888888884E-2</v>
      </c>
      <c r="MY90" s="962">
        <f>[1]!mbtool(2,17,0,1)</f>
        <v>9.5138888888888884E-2</v>
      </c>
      <c r="MZ90" s="962">
        <f>[1]!mbtool(2,17,0,1)</f>
        <v>9.5138888888888884E-2</v>
      </c>
      <c r="NA90" s="962">
        <f>[1]!mbtool(2,17,0,1)</f>
        <v>9.5138888888888884E-2</v>
      </c>
      <c r="NB90" s="962">
        <f>[1]!mbtool(2,17,0,1)</f>
        <v>9.5138888888888884E-2</v>
      </c>
      <c r="NC90" s="962">
        <f>[1]!mbtool(2,17,0,1)</f>
        <v>9.5138888888888884E-2</v>
      </c>
      <c r="ND90" s="962">
        <f>[1]!mbtool(2,17,0,1)</f>
        <v>9.5138888888888884E-2</v>
      </c>
      <c r="NE90" s="962">
        <f>[1]!mbtool(2,17,0,1)</f>
        <v>9.5138888888888884E-2</v>
      </c>
      <c r="NF90" s="962">
        <f>[1]!mbtool(2,17,0,1)</f>
        <v>9.5138888888888884E-2</v>
      </c>
      <c r="NG90" s="962">
        <f>[1]!mbtool(2,17,0,1)</f>
        <v>9.5138888888888884E-2</v>
      </c>
      <c r="NH90" s="962">
        <f>[1]!mbtool(2,17,0,1)</f>
        <v>9.5138888888888884E-2</v>
      </c>
      <c r="NI90" s="962">
        <f>[1]!mbtool(2,17,0,1)</f>
        <v>9.5138888888888884E-2</v>
      </c>
      <c r="NJ90" s="962">
        <f>[1]!mbtool(2,17,0,1)</f>
        <v>9.5138888888888884E-2</v>
      </c>
      <c r="NK90" s="962">
        <f>[1]!mbtool(2,17,0,1)</f>
        <v>9.5138888888888884E-2</v>
      </c>
      <c r="NL90" s="962">
        <f>[1]!mbtool(2,17,0,1)</f>
        <v>9.5138888888888884E-2</v>
      </c>
      <c r="NM90" s="962">
        <f>[1]!mbtool(2,17,0,1)</f>
        <v>9.5138888888888884E-2</v>
      </c>
      <c r="NN90" s="962">
        <f>[1]!mbtool(2,17,0,1)</f>
        <v>9.5138888888888884E-2</v>
      </c>
      <c r="NO90" s="962">
        <f>[1]!mbtool(2,17,0,1)</f>
        <v>9.5138888888888884E-2</v>
      </c>
      <c r="NP90" s="962">
        <f>[1]!mbtool(2,17,0,1)</f>
        <v>9.5138888888888884E-2</v>
      </c>
      <c r="NQ90" s="962">
        <f>[1]!mbtool(2,17,0,1)</f>
        <v>9.5138888888888884E-2</v>
      </c>
      <c r="NR90" s="962">
        <f>[1]!mbtool(2,17,0,1)</f>
        <v>9.5138888888888884E-2</v>
      </c>
      <c r="NS90" s="962">
        <f>[1]!mbtool(2,17,0,1)</f>
        <v>9.5138888888888884E-2</v>
      </c>
      <c r="NT90" s="962">
        <f>[1]!mbtool(2,17,0,1)</f>
        <v>9.5138888888888884E-2</v>
      </c>
      <c r="NU90" s="962">
        <f>[1]!mbtool(2,17,0,1)</f>
        <v>9.5138888888888884E-2</v>
      </c>
      <c r="NV90" s="962">
        <f>[1]!mbtool(2,17,0,1)</f>
        <v>9.5138888888888884E-2</v>
      </c>
      <c r="NW90" s="962">
        <f>[1]!mbtool(2,17,0,1)</f>
        <v>9.5138888888888884E-2</v>
      </c>
      <c r="NX90" s="962">
        <f>[1]!mbtool(2,17,0,1)</f>
        <v>9.5138888888888884E-2</v>
      </c>
      <c r="NY90" s="962">
        <f>[1]!mbtool(2,17,0,1)</f>
        <v>9.5138888888888884E-2</v>
      </c>
      <c r="NZ90" s="962">
        <f>[1]!mbtool(2,17,0,1)</f>
        <v>9.5138888888888884E-2</v>
      </c>
      <c r="OA90" s="962">
        <f>[1]!mbtool(2,17,0,1)</f>
        <v>9.5138888888888884E-2</v>
      </c>
      <c r="OB90" s="962">
        <f>[1]!mbtool(2,17,0,1)</f>
        <v>9.5138888888888884E-2</v>
      </c>
      <c r="OC90" s="962">
        <f>[1]!mbtool(2,17,0,1)</f>
        <v>9.5138888888888884E-2</v>
      </c>
      <c r="OD90" s="962">
        <f>[1]!mbtool(2,17,0,1)</f>
        <v>9.5138888888888884E-2</v>
      </c>
      <c r="OE90" s="962">
        <f>[1]!mbtool(2,17,0,1)</f>
        <v>9.5138888888888884E-2</v>
      </c>
      <c r="OF90" s="962">
        <f>[1]!mbtool(2,17,0,1)</f>
        <v>9.5138888888888884E-2</v>
      </c>
      <c r="OG90" s="962">
        <f>[1]!mbtool(2,17,0,1)</f>
        <v>9.5138888888888884E-2</v>
      </c>
      <c r="OH90" s="962">
        <f>[1]!mbtool(2,17,0,1)</f>
        <v>9.5138888888888884E-2</v>
      </c>
      <c r="OI90" s="962">
        <f>[1]!mbtool(2,17,0,1)</f>
        <v>9.5138888888888884E-2</v>
      </c>
      <c r="OJ90" s="962">
        <f>[1]!mbtool(2,17,0,1)</f>
        <v>9.5138888888888884E-2</v>
      </c>
      <c r="OK90" s="962">
        <f>[1]!mbtool(2,17,0,1)</f>
        <v>9.5138888888888884E-2</v>
      </c>
      <c r="OL90" s="962">
        <f>[1]!mbtool(2,17,0,1)</f>
        <v>9.5138888888888884E-2</v>
      </c>
      <c r="OM90" s="962">
        <f>[1]!mbtool(2,17,0,1)</f>
        <v>9.5138888888888884E-2</v>
      </c>
      <c r="ON90" s="962">
        <f>[1]!mbtool(2,17,0,1)</f>
        <v>9.5138888888888884E-2</v>
      </c>
      <c r="OO90" s="962">
        <f>[1]!mbtool(2,17,0,1)</f>
        <v>9.5138888888888884E-2</v>
      </c>
      <c r="OP90" s="962">
        <f>[1]!mbtool(2,17,0,1)</f>
        <v>9.5138888888888884E-2</v>
      </c>
      <c r="OQ90" s="962">
        <f>[1]!mbtool(2,17,0,1)</f>
        <v>9.5138888888888884E-2</v>
      </c>
      <c r="OR90" s="962">
        <f>[1]!mbtool(2,17,0,1)</f>
        <v>9.5138888888888884E-2</v>
      </c>
      <c r="OS90" s="962">
        <f>[1]!mbtool(2,17,0,1)</f>
        <v>9.5138888888888884E-2</v>
      </c>
      <c r="OT90" s="962">
        <f>[1]!mbtool(2,17,0,1)</f>
        <v>9.5138888888888884E-2</v>
      </c>
      <c r="OU90" s="962">
        <f>[1]!mbtool(2,17,0,1)</f>
        <v>9.5138888888888884E-2</v>
      </c>
      <c r="OV90" s="962">
        <f>[1]!mbtool(2,17,0,1)</f>
        <v>9.5138888888888884E-2</v>
      </c>
      <c r="OW90" s="962">
        <f>[1]!mbtool(2,17,0,1)</f>
        <v>9.5138888888888884E-2</v>
      </c>
      <c r="OX90" s="962">
        <f>[1]!mbtool(2,17,0,1)</f>
        <v>9.5138888888888884E-2</v>
      </c>
      <c r="OY90" s="962">
        <f>[1]!mbtool(2,17,0,1)</f>
        <v>9.5138888888888884E-2</v>
      </c>
      <c r="OZ90" s="962">
        <f>[1]!mbtool(2,17,0,1)</f>
        <v>9.5138888888888884E-2</v>
      </c>
      <c r="PA90" s="962">
        <f>[1]!mbtool(2,17,0,1)</f>
        <v>9.5138888888888884E-2</v>
      </c>
      <c r="PB90" s="962">
        <f>[1]!mbtool(2,17,0,1)</f>
        <v>9.5138888888888884E-2</v>
      </c>
      <c r="PC90" s="962">
        <f>[1]!mbtool(2,17,0,1)</f>
        <v>9.5138888888888884E-2</v>
      </c>
      <c r="PD90" s="962">
        <f>[1]!mbtool(2,17,0,1)</f>
        <v>9.5138888888888884E-2</v>
      </c>
      <c r="PE90" s="962">
        <f>[1]!mbtool(2,17,0,1)</f>
        <v>9.5138888888888884E-2</v>
      </c>
      <c r="PF90" s="962">
        <f>[1]!mbtool(2,17,0,1)</f>
        <v>9.5138888888888884E-2</v>
      </c>
      <c r="PG90" s="962">
        <f>[1]!mbtool(2,17,0,1)</f>
        <v>9.5138888888888884E-2</v>
      </c>
      <c r="PH90" s="962">
        <f>[1]!mbtool(2,17,0,1)</f>
        <v>9.5138888888888884E-2</v>
      </c>
      <c r="PI90" s="962">
        <f>[1]!mbtool(2,17,0,1)</f>
        <v>9.5138888888888884E-2</v>
      </c>
      <c r="PJ90" s="962">
        <f>[1]!mbtool(2,17,0,1)</f>
        <v>9.5138888888888884E-2</v>
      </c>
      <c r="PK90" s="962">
        <f>[1]!mbtool(2,17,0,1)</f>
        <v>9.5138888888888884E-2</v>
      </c>
      <c r="PL90" s="962">
        <f>[1]!mbtool(2,17,0,1)</f>
        <v>9.5138888888888884E-2</v>
      </c>
      <c r="PM90" s="962">
        <f>[1]!mbtool(2,17,0,1)</f>
        <v>9.5138888888888884E-2</v>
      </c>
      <c r="PN90" s="962">
        <f>[1]!mbtool(2,17,0,1)</f>
        <v>9.5138888888888884E-2</v>
      </c>
      <c r="PO90" s="962">
        <f>[1]!mbtool(2,17,0,1)</f>
        <v>9.5138888888888884E-2</v>
      </c>
      <c r="PP90" s="962">
        <f>[1]!mbtool(2,17,0,1)</f>
        <v>9.5138888888888884E-2</v>
      </c>
      <c r="PQ90" s="962">
        <f>[1]!mbtool(2,17,0,1)</f>
        <v>9.5138888888888884E-2</v>
      </c>
      <c r="PR90" s="962">
        <f>[1]!mbtool(2,17,0,1)</f>
        <v>9.5138888888888884E-2</v>
      </c>
      <c r="PS90" s="962">
        <f>[1]!mbtool(2,17,0,1)</f>
        <v>9.5138888888888884E-2</v>
      </c>
      <c r="PT90" s="962">
        <f>[1]!mbtool(2,17,0,1)</f>
        <v>9.5138888888888884E-2</v>
      </c>
      <c r="PU90" s="962">
        <f>[1]!mbtool(2,17,0,1)</f>
        <v>9.5138888888888884E-2</v>
      </c>
      <c r="PV90" s="962">
        <f>[1]!mbtool(2,17,0,1)</f>
        <v>9.5138888888888884E-2</v>
      </c>
      <c r="PW90" s="962">
        <f>[1]!mbtool(2,17,0,1)</f>
        <v>9.5138888888888884E-2</v>
      </c>
      <c r="PX90" s="962">
        <f>[1]!mbtool(2,17,0,1)</f>
        <v>9.5138888888888884E-2</v>
      </c>
      <c r="PY90" s="962">
        <f>[1]!mbtool(2,17,0,1)</f>
        <v>9.5138888888888884E-2</v>
      </c>
      <c r="PZ90" s="962">
        <f>[1]!mbtool(2,17,0,1)</f>
        <v>9.5138888888888884E-2</v>
      </c>
      <c r="QA90" s="962">
        <f>[1]!mbtool(2,17,0,1)</f>
        <v>9.5138888888888884E-2</v>
      </c>
      <c r="QB90" s="962">
        <f>[1]!mbtool(2,17,0,1)</f>
        <v>9.5138888888888884E-2</v>
      </c>
      <c r="QC90" s="962">
        <f>[1]!mbtool(2,17,0,1)</f>
        <v>9.5138888888888884E-2</v>
      </c>
      <c r="QD90" s="962">
        <f>[1]!mbtool(2,17,0,1)</f>
        <v>9.5138888888888884E-2</v>
      </c>
      <c r="QE90" s="962">
        <f>[1]!mbtool(2,17,0,1)</f>
        <v>9.5138888888888884E-2</v>
      </c>
      <c r="QF90" s="962">
        <f>[1]!mbtool(2,17,0,1)</f>
        <v>9.5138888888888884E-2</v>
      </c>
      <c r="QG90" s="962">
        <f>[1]!mbtool(2,17,0,1)</f>
        <v>9.5138888888888884E-2</v>
      </c>
      <c r="QH90" s="962">
        <f>[1]!mbtool(2,17,0,1)</f>
        <v>9.5138888888888884E-2</v>
      </c>
      <c r="QI90" s="962">
        <f>[1]!mbtool(2,17,0,1)</f>
        <v>9.5138888888888884E-2</v>
      </c>
      <c r="QJ90" s="962">
        <f>[1]!mbtool(2,17,0,1)</f>
        <v>9.5138888888888884E-2</v>
      </c>
      <c r="QK90" s="962">
        <f>[1]!mbtool(2,17,0,1)</f>
        <v>9.5138888888888884E-2</v>
      </c>
      <c r="QL90" s="962">
        <f>[1]!mbtool(2,17,0,1)</f>
        <v>9.5138888888888884E-2</v>
      </c>
      <c r="QM90" s="962">
        <f>[1]!mbtool(2,17,0,1)</f>
        <v>9.5138888888888884E-2</v>
      </c>
      <c r="QN90" s="962">
        <f>[1]!mbtool(2,17,0,1)</f>
        <v>9.5138888888888884E-2</v>
      </c>
      <c r="QO90" s="962">
        <f>[1]!mbtool(2,17,0,1)</f>
        <v>9.5138888888888884E-2</v>
      </c>
      <c r="QP90" s="962">
        <f>[1]!mbtool(2,17,0,1)</f>
        <v>9.5138888888888884E-2</v>
      </c>
      <c r="QQ90" s="962">
        <f>[1]!mbtool(2,17,0,1)</f>
        <v>9.5138888888888884E-2</v>
      </c>
      <c r="QR90" s="962">
        <f>[1]!mbtool(2,17,0,1)</f>
        <v>9.5138888888888884E-2</v>
      </c>
      <c r="QS90" s="962">
        <f>[1]!mbtool(2,17,0,1)</f>
        <v>9.5138888888888884E-2</v>
      </c>
      <c r="QT90" s="962">
        <f>[1]!mbtool(2,17,0,1)</f>
        <v>9.5138888888888884E-2</v>
      </c>
      <c r="QU90" s="962">
        <f>[1]!mbtool(2,17,0,1)</f>
        <v>9.5138888888888884E-2</v>
      </c>
      <c r="QV90" s="962">
        <f>[1]!mbtool(2,17,0,1)</f>
        <v>9.5138888888888884E-2</v>
      </c>
      <c r="QW90" s="962">
        <f>[1]!mbtool(2,17,0,1)</f>
        <v>9.5138888888888884E-2</v>
      </c>
      <c r="QX90" s="962">
        <f>[1]!mbtool(2,17,0,1)</f>
        <v>9.5138888888888884E-2</v>
      </c>
      <c r="QY90" s="962">
        <f>[1]!mbtool(2,17,0,1)</f>
        <v>9.5138888888888884E-2</v>
      </c>
      <c r="QZ90" s="962">
        <f>[1]!mbtool(2,17,0,1)</f>
        <v>9.5138888888888884E-2</v>
      </c>
      <c r="RA90" s="963">
        <f>[1]!mbtool(2,17,0,1)</f>
        <v>9.5138888888888884E-2</v>
      </c>
      <c r="RB90" s="797"/>
      <c r="RC90" s="797"/>
    </row>
    <row r="91" spans="2:471" ht="17.25">
      <c r="B91" s="3">
        <v>9</v>
      </c>
      <c r="C91" s="3" t="s">
        <v>46</v>
      </c>
      <c r="D91" s="3" t="s">
        <v>77</v>
      </c>
      <c r="E91" s="3"/>
      <c r="F91" s="3"/>
      <c r="G91" s="3"/>
      <c r="H91" s="3" t="s">
        <v>78</v>
      </c>
      <c r="I91" s="3" t="s">
        <v>79</v>
      </c>
      <c r="J91" s="3"/>
      <c r="K91" s="3"/>
      <c r="L91" s="3"/>
      <c r="M91" s="3" t="s">
        <v>64</v>
      </c>
      <c r="N91" s="3"/>
      <c r="O91" s="3"/>
      <c r="P91" s="3"/>
      <c r="Q91" s="3" t="s">
        <v>65</v>
      </c>
      <c r="R91" s="3" t="s">
        <v>66</v>
      </c>
      <c r="S91" s="3" t="s">
        <v>67</v>
      </c>
      <c r="T91" s="3" t="s">
        <v>68</v>
      </c>
      <c r="U91" s="3" t="s">
        <v>69</v>
      </c>
      <c r="V91" s="3" t="s">
        <v>70</v>
      </c>
      <c r="W91" s="3" t="s">
        <v>71</v>
      </c>
      <c r="X91" s="3" t="s">
        <v>72</v>
      </c>
      <c r="Y91" s="3" t="s">
        <v>73</v>
      </c>
      <c r="Z91" s="3" t="s">
        <v>74</v>
      </c>
      <c r="AA91" s="3" t="s">
        <v>75</v>
      </c>
      <c r="AB91" s="3" t="s">
        <v>76</v>
      </c>
      <c r="DH91" s="797"/>
      <c r="DJ91" s="961">
        <f t="shared" ref="DJ91:FU91" si="1180">35+(41/60)</f>
        <v>35.68333333333333</v>
      </c>
      <c r="DK91" s="962">
        <f t="shared" si="1180"/>
        <v>35.68333333333333</v>
      </c>
      <c r="DL91" s="962">
        <f t="shared" si="1180"/>
        <v>35.68333333333333</v>
      </c>
      <c r="DM91" s="962">
        <f t="shared" si="1180"/>
        <v>35.68333333333333</v>
      </c>
      <c r="DN91" s="962">
        <f t="shared" si="1180"/>
        <v>35.68333333333333</v>
      </c>
      <c r="DO91" s="962">
        <f t="shared" si="1180"/>
        <v>35.68333333333333</v>
      </c>
      <c r="DP91" s="962">
        <f t="shared" si="1180"/>
        <v>35.68333333333333</v>
      </c>
      <c r="DQ91" s="962">
        <f t="shared" si="1180"/>
        <v>35.68333333333333</v>
      </c>
      <c r="DR91" s="962">
        <f t="shared" si="1180"/>
        <v>35.68333333333333</v>
      </c>
      <c r="DS91" s="962">
        <f t="shared" si="1180"/>
        <v>35.68333333333333</v>
      </c>
      <c r="DT91" s="962">
        <f t="shared" si="1180"/>
        <v>35.68333333333333</v>
      </c>
      <c r="DU91" s="962">
        <f t="shared" si="1180"/>
        <v>35.68333333333333</v>
      </c>
      <c r="DV91" s="962">
        <f t="shared" si="1180"/>
        <v>35.68333333333333</v>
      </c>
      <c r="DW91" s="962">
        <f t="shared" si="1180"/>
        <v>35.68333333333333</v>
      </c>
      <c r="DX91" s="962">
        <f t="shared" si="1180"/>
        <v>35.68333333333333</v>
      </c>
      <c r="DY91" s="962">
        <f t="shared" si="1180"/>
        <v>35.68333333333333</v>
      </c>
      <c r="DZ91" s="962">
        <f t="shared" si="1180"/>
        <v>35.68333333333333</v>
      </c>
      <c r="EA91" s="962">
        <f t="shared" si="1180"/>
        <v>35.68333333333333</v>
      </c>
      <c r="EB91" s="962">
        <f t="shared" si="1180"/>
        <v>35.68333333333333</v>
      </c>
      <c r="EC91" s="962">
        <f t="shared" si="1180"/>
        <v>35.68333333333333</v>
      </c>
      <c r="ED91" s="962">
        <f t="shared" si="1180"/>
        <v>35.68333333333333</v>
      </c>
      <c r="EE91" s="962">
        <f t="shared" si="1180"/>
        <v>35.68333333333333</v>
      </c>
      <c r="EF91" s="962">
        <f t="shared" si="1180"/>
        <v>35.68333333333333</v>
      </c>
      <c r="EG91" s="962">
        <f t="shared" si="1180"/>
        <v>35.68333333333333</v>
      </c>
      <c r="EH91" s="962">
        <f t="shared" si="1180"/>
        <v>35.68333333333333</v>
      </c>
      <c r="EI91" s="962">
        <f t="shared" si="1180"/>
        <v>35.68333333333333</v>
      </c>
      <c r="EJ91" s="962">
        <f t="shared" si="1180"/>
        <v>35.68333333333333</v>
      </c>
      <c r="EK91" s="962">
        <f t="shared" si="1180"/>
        <v>35.68333333333333</v>
      </c>
      <c r="EL91" s="962">
        <f t="shared" si="1180"/>
        <v>35.68333333333333</v>
      </c>
      <c r="EM91" s="962">
        <f t="shared" si="1180"/>
        <v>35.68333333333333</v>
      </c>
      <c r="EN91" s="962">
        <f t="shared" si="1180"/>
        <v>35.68333333333333</v>
      </c>
      <c r="EO91" s="962">
        <f t="shared" si="1180"/>
        <v>35.68333333333333</v>
      </c>
      <c r="EP91" s="962">
        <f t="shared" si="1180"/>
        <v>35.68333333333333</v>
      </c>
      <c r="EQ91" s="962">
        <f t="shared" si="1180"/>
        <v>35.68333333333333</v>
      </c>
      <c r="ER91" s="962">
        <f t="shared" si="1180"/>
        <v>35.68333333333333</v>
      </c>
      <c r="ES91" s="962">
        <f t="shared" si="1180"/>
        <v>35.68333333333333</v>
      </c>
      <c r="ET91" s="962">
        <f t="shared" si="1180"/>
        <v>35.68333333333333</v>
      </c>
      <c r="EU91" s="962">
        <f t="shared" si="1180"/>
        <v>35.68333333333333</v>
      </c>
      <c r="EV91" s="962">
        <f t="shared" si="1180"/>
        <v>35.68333333333333</v>
      </c>
      <c r="EW91" s="962">
        <f t="shared" si="1180"/>
        <v>35.68333333333333</v>
      </c>
      <c r="EX91" s="962">
        <f t="shared" si="1180"/>
        <v>35.68333333333333</v>
      </c>
      <c r="EY91" s="962">
        <f t="shared" si="1180"/>
        <v>35.68333333333333</v>
      </c>
      <c r="EZ91" s="962">
        <f t="shared" si="1180"/>
        <v>35.68333333333333</v>
      </c>
      <c r="FA91" s="962">
        <f t="shared" si="1180"/>
        <v>35.68333333333333</v>
      </c>
      <c r="FB91" s="962">
        <f t="shared" si="1180"/>
        <v>35.68333333333333</v>
      </c>
      <c r="FC91" s="962">
        <f t="shared" si="1180"/>
        <v>35.68333333333333</v>
      </c>
      <c r="FD91" s="962">
        <f t="shared" si="1180"/>
        <v>35.68333333333333</v>
      </c>
      <c r="FE91" s="962">
        <f t="shared" si="1180"/>
        <v>35.68333333333333</v>
      </c>
      <c r="FF91" s="962">
        <f t="shared" si="1180"/>
        <v>35.68333333333333</v>
      </c>
      <c r="FG91" s="962">
        <f t="shared" si="1180"/>
        <v>35.68333333333333</v>
      </c>
      <c r="FH91" s="962">
        <f t="shared" si="1180"/>
        <v>35.68333333333333</v>
      </c>
      <c r="FI91" s="962">
        <f t="shared" si="1180"/>
        <v>35.68333333333333</v>
      </c>
      <c r="FJ91" s="962">
        <f t="shared" si="1180"/>
        <v>35.68333333333333</v>
      </c>
      <c r="FK91" s="962">
        <f t="shared" si="1180"/>
        <v>35.68333333333333</v>
      </c>
      <c r="FL91" s="962">
        <f t="shared" si="1180"/>
        <v>35.68333333333333</v>
      </c>
      <c r="FM91" s="962">
        <f t="shared" si="1180"/>
        <v>35.68333333333333</v>
      </c>
      <c r="FN91" s="962">
        <f t="shared" si="1180"/>
        <v>35.68333333333333</v>
      </c>
      <c r="FO91" s="962">
        <f t="shared" si="1180"/>
        <v>35.68333333333333</v>
      </c>
      <c r="FP91" s="962">
        <f t="shared" si="1180"/>
        <v>35.68333333333333</v>
      </c>
      <c r="FQ91" s="962">
        <f t="shared" si="1180"/>
        <v>35.68333333333333</v>
      </c>
      <c r="FR91" s="962">
        <f t="shared" si="1180"/>
        <v>35.68333333333333</v>
      </c>
      <c r="FS91" s="962">
        <f t="shared" si="1180"/>
        <v>35.68333333333333</v>
      </c>
      <c r="FT91" s="962">
        <f t="shared" si="1180"/>
        <v>35.68333333333333</v>
      </c>
      <c r="FU91" s="962">
        <f t="shared" si="1180"/>
        <v>35.68333333333333</v>
      </c>
      <c r="FV91" s="962">
        <f t="shared" ref="FV91:IG91" si="1181">35+(41/60)</f>
        <v>35.68333333333333</v>
      </c>
      <c r="FW91" s="962">
        <f t="shared" si="1181"/>
        <v>35.68333333333333</v>
      </c>
      <c r="FX91" s="962">
        <f t="shared" si="1181"/>
        <v>35.68333333333333</v>
      </c>
      <c r="FY91" s="962">
        <f t="shared" si="1181"/>
        <v>35.68333333333333</v>
      </c>
      <c r="FZ91" s="962">
        <f t="shared" si="1181"/>
        <v>35.68333333333333</v>
      </c>
      <c r="GA91" s="962">
        <f t="shared" si="1181"/>
        <v>35.68333333333333</v>
      </c>
      <c r="GB91" s="962">
        <f t="shared" si="1181"/>
        <v>35.68333333333333</v>
      </c>
      <c r="GC91" s="962">
        <f t="shared" si="1181"/>
        <v>35.68333333333333</v>
      </c>
      <c r="GD91" s="962">
        <f t="shared" si="1181"/>
        <v>35.68333333333333</v>
      </c>
      <c r="GE91" s="962">
        <f t="shared" si="1181"/>
        <v>35.68333333333333</v>
      </c>
      <c r="GF91" s="962">
        <f t="shared" si="1181"/>
        <v>35.68333333333333</v>
      </c>
      <c r="GG91" s="962">
        <f t="shared" si="1181"/>
        <v>35.68333333333333</v>
      </c>
      <c r="GH91" s="962">
        <f t="shared" si="1181"/>
        <v>35.68333333333333</v>
      </c>
      <c r="GI91" s="962">
        <f t="shared" si="1181"/>
        <v>35.68333333333333</v>
      </c>
      <c r="GJ91" s="962">
        <f t="shared" si="1181"/>
        <v>35.68333333333333</v>
      </c>
      <c r="GK91" s="962">
        <f t="shared" si="1181"/>
        <v>35.68333333333333</v>
      </c>
      <c r="GL91" s="962">
        <f t="shared" si="1181"/>
        <v>35.68333333333333</v>
      </c>
      <c r="GM91" s="962">
        <f t="shared" si="1181"/>
        <v>35.68333333333333</v>
      </c>
      <c r="GN91" s="962">
        <f t="shared" si="1181"/>
        <v>35.68333333333333</v>
      </c>
      <c r="GO91" s="962">
        <f t="shared" si="1181"/>
        <v>35.68333333333333</v>
      </c>
      <c r="GP91" s="962">
        <f t="shared" si="1181"/>
        <v>35.68333333333333</v>
      </c>
      <c r="GQ91" s="962">
        <f t="shared" si="1181"/>
        <v>35.68333333333333</v>
      </c>
      <c r="GR91" s="962">
        <f t="shared" si="1181"/>
        <v>35.68333333333333</v>
      </c>
      <c r="GS91" s="962">
        <f t="shared" si="1181"/>
        <v>35.68333333333333</v>
      </c>
      <c r="GT91" s="962">
        <f t="shared" si="1181"/>
        <v>35.68333333333333</v>
      </c>
      <c r="GU91" s="962">
        <f t="shared" si="1181"/>
        <v>35.68333333333333</v>
      </c>
      <c r="GV91" s="962">
        <f t="shared" si="1181"/>
        <v>35.68333333333333</v>
      </c>
      <c r="GW91" s="962">
        <f t="shared" si="1181"/>
        <v>35.68333333333333</v>
      </c>
      <c r="GX91" s="962">
        <f t="shared" si="1181"/>
        <v>35.68333333333333</v>
      </c>
      <c r="GY91" s="962">
        <f t="shared" si="1181"/>
        <v>35.68333333333333</v>
      </c>
      <c r="GZ91" s="962">
        <f t="shared" si="1181"/>
        <v>35.68333333333333</v>
      </c>
      <c r="HA91" s="962">
        <f t="shared" si="1181"/>
        <v>35.68333333333333</v>
      </c>
      <c r="HB91" s="962">
        <f t="shared" si="1181"/>
        <v>35.68333333333333</v>
      </c>
      <c r="HC91" s="962">
        <f t="shared" si="1181"/>
        <v>35.68333333333333</v>
      </c>
      <c r="HD91" s="962">
        <f t="shared" si="1181"/>
        <v>35.68333333333333</v>
      </c>
      <c r="HE91" s="962">
        <f t="shared" si="1181"/>
        <v>35.68333333333333</v>
      </c>
      <c r="HF91" s="962">
        <f t="shared" si="1181"/>
        <v>35.68333333333333</v>
      </c>
      <c r="HG91" s="962">
        <f t="shared" si="1181"/>
        <v>35.68333333333333</v>
      </c>
      <c r="HH91" s="962">
        <f t="shared" si="1181"/>
        <v>35.68333333333333</v>
      </c>
      <c r="HI91" s="962">
        <f t="shared" si="1181"/>
        <v>35.68333333333333</v>
      </c>
      <c r="HJ91" s="962">
        <f t="shared" si="1181"/>
        <v>35.68333333333333</v>
      </c>
      <c r="HK91" s="962">
        <f t="shared" si="1181"/>
        <v>35.68333333333333</v>
      </c>
      <c r="HL91" s="962">
        <f t="shared" si="1181"/>
        <v>35.68333333333333</v>
      </c>
      <c r="HM91" s="962">
        <f t="shared" si="1181"/>
        <v>35.68333333333333</v>
      </c>
      <c r="HN91" s="962">
        <f t="shared" si="1181"/>
        <v>35.68333333333333</v>
      </c>
      <c r="HO91" s="962">
        <f t="shared" si="1181"/>
        <v>35.68333333333333</v>
      </c>
      <c r="HP91" s="962">
        <f t="shared" si="1181"/>
        <v>35.68333333333333</v>
      </c>
      <c r="HQ91" s="962">
        <f t="shared" si="1181"/>
        <v>35.68333333333333</v>
      </c>
      <c r="HR91" s="962">
        <f t="shared" si="1181"/>
        <v>35.68333333333333</v>
      </c>
      <c r="HS91" s="962">
        <f t="shared" si="1181"/>
        <v>35.68333333333333</v>
      </c>
      <c r="HT91" s="962">
        <f t="shared" si="1181"/>
        <v>35.68333333333333</v>
      </c>
      <c r="HU91" s="962">
        <f t="shared" si="1181"/>
        <v>35.68333333333333</v>
      </c>
      <c r="HV91" s="962">
        <f t="shared" si="1181"/>
        <v>35.68333333333333</v>
      </c>
      <c r="HW91" s="962">
        <f t="shared" si="1181"/>
        <v>35.68333333333333</v>
      </c>
      <c r="HX91" s="962">
        <f t="shared" si="1181"/>
        <v>35.68333333333333</v>
      </c>
      <c r="HY91" s="962">
        <f t="shared" si="1181"/>
        <v>35.68333333333333</v>
      </c>
      <c r="HZ91" s="962">
        <f t="shared" si="1181"/>
        <v>35.68333333333333</v>
      </c>
      <c r="IA91" s="962">
        <f t="shared" si="1181"/>
        <v>35.68333333333333</v>
      </c>
      <c r="IB91" s="962">
        <f t="shared" si="1181"/>
        <v>35.68333333333333</v>
      </c>
      <c r="IC91" s="962">
        <f t="shared" si="1181"/>
        <v>35.68333333333333</v>
      </c>
      <c r="ID91" s="962">
        <f t="shared" si="1181"/>
        <v>35.68333333333333</v>
      </c>
      <c r="IE91" s="962">
        <f t="shared" si="1181"/>
        <v>35.68333333333333</v>
      </c>
      <c r="IF91" s="962">
        <f t="shared" si="1181"/>
        <v>35.68333333333333</v>
      </c>
      <c r="IG91" s="962">
        <f t="shared" si="1181"/>
        <v>35.68333333333333</v>
      </c>
      <c r="IH91" s="962">
        <f t="shared" ref="IH91:KS91" si="1182">35+(41/60)</f>
        <v>35.68333333333333</v>
      </c>
      <c r="II91" s="962">
        <f t="shared" si="1182"/>
        <v>35.68333333333333</v>
      </c>
      <c r="IJ91" s="962">
        <f t="shared" si="1182"/>
        <v>35.68333333333333</v>
      </c>
      <c r="IK91" s="962">
        <f t="shared" si="1182"/>
        <v>35.68333333333333</v>
      </c>
      <c r="IL91" s="962">
        <f t="shared" si="1182"/>
        <v>35.68333333333333</v>
      </c>
      <c r="IM91" s="962">
        <f t="shared" si="1182"/>
        <v>35.68333333333333</v>
      </c>
      <c r="IN91" s="962">
        <f t="shared" si="1182"/>
        <v>35.68333333333333</v>
      </c>
      <c r="IO91" s="962">
        <f t="shared" si="1182"/>
        <v>35.68333333333333</v>
      </c>
      <c r="IP91" s="962">
        <f t="shared" si="1182"/>
        <v>35.68333333333333</v>
      </c>
      <c r="IQ91" s="962">
        <f t="shared" si="1182"/>
        <v>35.68333333333333</v>
      </c>
      <c r="IR91" s="962">
        <f t="shared" si="1182"/>
        <v>35.68333333333333</v>
      </c>
      <c r="IS91" s="962">
        <f t="shared" si="1182"/>
        <v>35.68333333333333</v>
      </c>
      <c r="IT91" s="962">
        <f t="shared" si="1182"/>
        <v>35.68333333333333</v>
      </c>
      <c r="IU91" s="962">
        <f t="shared" si="1182"/>
        <v>35.68333333333333</v>
      </c>
      <c r="IV91" s="962">
        <f t="shared" si="1182"/>
        <v>35.68333333333333</v>
      </c>
      <c r="IW91" s="962">
        <f t="shared" si="1182"/>
        <v>35.68333333333333</v>
      </c>
      <c r="IX91" s="962">
        <f t="shared" si="1182"/>
        <v>35.68333333333333</v>
      </c>
      <c r="IY91" s="962">
        <f t="shared" si="1182"/>
        <v>35.68333333333333</v>
      </c>
      <c r="IZ91" s="962">
        <f t="shared" si="1182"/>
        <v>35.68333333333333</v>
      </c>
      <c r="JA91" s="962">
        <f t="shared" si="1182"/>
        <v>35.68333333333333</v>
      </c>
      <c r="JB91" s="962">
        <f t="shared" si="1182"/>
        <v>35.68333333333333</v>
      </c>
      <c r="JC91" s="962">
        <f t="shared" si="1182"/>
        <v>35.68333333333333</v>
      </c>
      <c r="JD91" s="962">
        <f t="shared" si="1182"/>
        <v>35.68333333333333</v>
      </c>
      <c r="JE91" s="962">
        <f t="shared" si="1182"/>
        <v>35.68333333333333</v>
      </c>
      <c r="JF91" s="962">
        <f t="shared" si="1182"/>
        <v>35.68333333333333</v>
      </c>
      <c r="JG91" s="962">
        <f t="shared" si="1182"/>
        <v>35.68333333333333</v>
      </c>
      <c r="JH91" s="962">
        <f t="shared" si="1182"/>
        <v>35.68333333333333</v>
      </c>
      <c r="JI91" s="962">
        <f t="shared" si="1182"/>
        <v>35.68333333333333</v>
      </c>
      <c r="JJ91" s="962">
        <f t="shared" si="1182"/>
        <v>35.68333333333333</v>
      </c>
      <c r="JK91" s="962">
        <f t="shared" si="1182"/>
        <v>35.68333333333333</v>
      </c>
      <c r="JL91" s="962">
        <f t="shared" si="1182"/>
        <v>35.68333333333333</v>
      </c>
      <c r="JM91" s="962">
        <f t="shared" si="1182"/>
        <v>35.68333333333333</v>
      </c>
      <c r="JN91" s="962">
        <f t="shared" si="1182"/>
        <v>35.68333333333333</v>
      </c>
      <c r="JO91" s="962">
        <f t="shared" si="1182"/>
        <v>35.68333333333333</v>
      </c>
      <c r="JP91" s="962">
        <f t="shared" si="1182"/>
        <v>35.68333333333333</v>
      </c>
      <c r="JQ91" s="962">
        <f t="shared" si="1182"/>
        <v>35.68333333333333</v>
      </c>
      <c r="JR91" s="962">
        <f t="shared" si="1182"/>
        <v>35.68333333333333</v>
      </c>
      <c r="JS91" s="962">
        <f t="shared" si="1182"/>
        <v>35.68333333333333</v>
      </c>
      <c r="JT91" s="962">
        <f t="shared" si="1182"/>
        <v>35.68333333333333</v>
      </c>
      <c r="JU91" s="962">
        <f t="shared" si="1182"/>
        <v>35.68333333333333</v>
      </c>
      <c r="JV91" s="962">
        <f t="shared" si="1182"/>
        <v>35.68333333333333</v>
      </c>
      <c r="JW91" s="962">
        <f t="shared" si="1182"/>
        <v>35.68333333333333</v>
      </c>
      <c r="JX91" s="962">
        <f t="shared" si="1182"/>
        <v>35.68333333333333</v>
      </c>
      <c r="JY91" s="962">
        <f t="shared" si="1182"/>
        <v>35.68333333333333</v>
      </c>
      <c r="JZ91" s="962">
        <f t="shared" si="1182"/>
        <v>35.68333333333333</v>
      </c>
      <c r="KA91" s="962">
        <f t="shared" si="1182"/>
        <v>35.68333333333333</v>
      </c>
      <c r="KB91" s="962">
        <f t="shared" si="1182"/>
        <v>35.68333333333333</v>
      </c>
      <c r="KC91" s="962">
        <f t="shared" si="1182"/>
        <v>35.68333333333333</v>
      </c>
      <c r="KD91" s="962">
        <f t="shared" si="1182"/>
        <v>35.68333333333333</v>
      </c>
      <c r="KE91" s="962">
        <f t="shared" si="1182"/>
        <v>35.68333333333333</v>
      </c>
      <c r="KF91" s="962">
        <f t="shared" si="1182"/>
        <v>35.68333333333333</v>
      </c>
      <c r="KG91" s="962">
        <f t="shared" si="1182"/>
        <v>35.68333333333333</v>
      </c>
      <c r="KH91" s="962">
        <f t="shared" si="1182"/>
        <v>35.68333333333333</v>
      </c>
      <c r="KI91" s="962">
        <f t="shared" si="1182"/>
        <v>35.68333333333333</v>
      </c>
      <c r="KJ91" s="962">
        <f t="shared" si="1182"/>
        <v>35.68333333333333</v>
      </c>
      <c r="KK91" s="962">
        <f t="shared" si="1182"/>
        <v>35.68333333333333</v>
      </c>
      <c r="KL91" s="962">
        <f t="shared" si="1182"/>
        <v>35.68333333333333</v>
      </c>
      <c r="KM91" s="962">
        <f t="shared" si="1182"/>
        <v>35.68333333333333</v>
      </c>
      <c r="KN91" s="962">
        <f t="shared" si="1182"/>
        <v>35.68333333333333</v>
      </c>
      <c r="KO91" s="962">
        <f t="shared" si="1182"/>
        <v>35.68333333333333</v>
      </c>
      <c r="KP91" s="962">
        <f t="shared" si="1182"/>
        <v>35.68333333333333</v>
      </c>
      <c r="KQ91" s="962">
        <f t="shared" si="1182"/>
        <v>35.68333333333333</v>
      </c>
      <c r="KR91" s="962">
        <f t="shared" si="1182"/>
        <v>35.68333333333333</v>
      </c>
      <c r="KS91" s="962">
        <f t="shared" si="1182"/>
        <v>35.68333333333333</v>
      </c>
      <c r="KT91" s="962">
        <f t="shared" ref="KT91:NE91" si="1183">35+(41/60)</f>
        <v>35.68333333333333</v>
      </c>
      <c r="KU91" s="962">
        <f t="shared" si="1183"/>
        <v>35.68333333333333</v>
      </c>
      <c r="KV91" s="962">
        <f t="shared" si="1183"/>
        <v>35.68333333333333</v>
      </c>
      <c r="KW91" s="962">
        <f t="shared" si="1183"/>
        <v>35.68333333333333</v>
      </c>
      <c r="KX91" s="962">
        <f t="shared" si="1183"/>
        <v>35.68333333333333</v>
      </c>
      <c r="KY91" s="962">
        <f t="shared" si="1183"/>
        <v>35.68333333333333</v>
      </c>
      <c r="KZ91" s="962">
        <f t="shared" si="1183"/>
        <v>35.68333333333333</v>
      </c>
      <c r="LA91" s="962">
        <f t="shared" si="1183"/>
        <v>35.68333333333333</v>
      </c>
      <c r="LB91" s="962">
        <f t="shared" si="1183"/>
        <v>35.68333333333333</v>
      </c>
      <c r="LC91" s="962">
        <f t="shared" si="1183"/>
        <v>35.68333333333333</v>
      </c>
      <c r="LD91" s="962">
        <f t="shared" si="1183"/>
        <v>35.68333333333333</v>
      </c>
      <c r="LE91" s="962">
        <f t="shared" si="1183"/>
        <v>35.68333333333333</v>
      </c>
      <c r="LF91" s="962">
        <f t="shared" si="1183"/>
        <v>35.68333333333333</v>
      </c>
      <c r="LG91" s="962">
        <f t="shared" si="1183"/>
        <v>35.68333333333333</v>
      </c>
      <c r="LH91" s="962">
        <f t="shared" si="1183"/>
        <v>35.68333333333333</v>
      </c>
      <c r="LI91" s="962">
        <f t="shared" si="1183"/>
        <v>35.68333333333333</v>
      </c>
      <c r="LJ91" s="962">
        <f t="shared" si="1183"/>
        <v>35.68333333333333</v>
      </c>
      <c r="LK91" s="962">
        <f t="shared" si="1183"/>
        <v>35.68333333333333</v>
      </c>
      <c r="LL91" s="962">
        <f t="shared" si="1183"/>
        <v>35.68333333333333</v>
      </c>
      <c r="LM91" s="962">
        <f t="shared" si="1183"/>
        <v>35.68333333333333</v>
      </c>
      <c r="LN91" s="962">
        <f t="shared" si="1183"/>
        <v>35.68333333333333</v>
      </c>
      <c r="LO91" s="962">
        <f t="shared" si="1183"/>
        <v>35.68333333333333</v>
      </c>
      <c r="LP91" s="962">
        <f t="shared" si="1183"/>
        <v>35.68333333333333</v>
      </c>
      <c r="LQ91" s="962">
        <f t="shared" si="1183"/>
        <v>35.68333333333333</v>
      </c>
      <c r="LR91" s="962">
        <f t="shared" si="1183"/>
        <v>35.68333333333333</v>
      </c>
      <c r="LS91" s="962">
        <f t="shared" si="1183"/>
        <v>35.68333333333333</v>
      </c>
      <c r="LT91" s="962">
        <f t="shared" si="1183"/>
        <v>35.68333333333333</v>
      </c>
      <c r="LU91" s="962">
        <f t="shared" si="1183"/>
        <v>35.68333333333333</v>
      </c>
      <c r="LV91" s="962">
        <f t="shared" si="1183"/>
        <v>35.68333333333333</v>
      </c>
      <c r="LW91" s="962">
        <f t="shared" si="1183"/>
        <v>35.68333333333333</v>
      </c>
      <c r="LX91" s="962">
        <f t="shared" si="1183"/>
        <v>35.68333333333333</v>
      </c>
      <c r="LY91" s="962">
        <f t="shared" si="1183"/>
        <v>35.68333333333333</v>
      </c>
      <c r="LZ91" s="962">
        <f t="shared" si="1183"/>
        <v>35.68333333333333</v>
      </c>
      <c r="MA91" s="962">
        <f t="shared" si="1183"/>
        <v>35.68333333333333</v>
      </c>
      <c r="MB91" s="962">
        <f t="shared" si="1183"/>
        <v>35.68333333333333</v>
      </c>
      <c r="MC91" s="962">
        <f t="shared" si="1183"/>
        <v>35.68333333333333</v>
      </c>
      <c r="MD91" s="962">
        <f t="shared" si="1183"/>
        <v>35.68333333333333</v>
      </c>
      <c r="ME91" s="962">
        <f t="shared" si="1183"/>
        <v>35.68333333333333</v>
      </c>
      <c r="MF91" s="962">
        <f t="shared" si="1183"/>
        <v>35.68333333333333</v>
      </c>
      <c r="MG91" s="962">
        <f t="shared" si="1183"/>
        <v>35.68333333333333</v>
      </c>
      <c r="MH91" s="962">
        <f t="shared" si="1183"/>
        <v>35.68333333333333</v>
      </c>
      <c r="MI91" s="962">
        <f t="shared" si="1183"/>
        <v>35.68333333333333</v>
      </c>
      <c r="MJ91" s="962">
        <f t="shared" si="1183"/>
        <v>35.68333333333333</v>
      </c>
      <c r="MK91" s="962">
        <f t="shared" si="1183"/>
        <v>35.68333333333333</v>
      </c>
      <c r="ML91" s="962">
        <f t="shared" si="1183"/>
        <v>35.68333333333333</v>
      </c>
      <c r="MM91" s="962">
        <f t="shared" si="1183"/>
        <v>35.68333333333333</v>
      </c>
      <c r="MN91" s="962">
        <f t="shared" si="1183"/>
        <v>35.68333333333333</v>
      </c>
      <c r="MO91" s="962">
        <f t="shared" si="1183"/>
        <v>35.68333333333333</v>
      </c>
      <c r="MP91" s="962">
        <f t="shared" si="1183"/>
        <v>35.68333333333333</v>
      </c>
      <c r="MQ91" s="962">
        <f t="shared" si="1183"/>
        <v>35.68333333333333</v>
      </c>
      <c r="MR91" s="962">
        <f t="shared" si="1183"/>
        <v>35.68333333333333</v>
      </c>
      <c r="MS91" s="962">
        <f t="shared" si="1183"/>
        <v>35.68333333333333</v>
      </c>
      <c r="MT91" s="962">
        <f t="shared" si="1183"/>
        <v>35.68333333333333</v>
      </c>
      <c r="MU91" s="962">
        <f t="shared" si="1183"/>
        <v>35.68333333333333</v>
      </c>
      <c r="MV91" s="962">
        <f t="shared" si="1183"/>
        <v>35.68333333333333</v>
      </c>
      <c r="MW91" s="962">
        <f t="shared" si="1183"/>
        <v>35.68333333333333</v>
      </c>
      <c r="MX91" s="962">
        <f t="shared" si="1183"/>
        <v>35.68333333333333</v>
      </c>
      <c r="MY91" s="962">
        <f t="shared" si="1183"/>
        <v>35.68333333333333</v>
      </c>
      <c r="MZ91" s="962">
        <f t="shared" si="1183"/>
        <v>35.68333333333333</v>
      </c>
      <c r="NA91" s="962">
        <f t="shared" si="1183"/>
        <v>35.68333333333333</v>
      </c>
      <c r="NB91" s="962">
        <f t="shared" si="1183"/>
        <v>35.68333333333333</v>
      </c>
      <c r="NC91" s="962">
        <f t="shared" si="1183"/>
        <v>35.68333333333333</v>
      </c>
      <c r="ND91" s="962">
        <f t="shared" si="1183"/>
        <v>35.68333333333333</v>
      </c>
      <c r="NE91" s="962">
        <f t="shared" si="1183"/>
        <v>35.68333333333333</v>
      </c>
      <c r="NF91" s="962">
        <f t="shared" ref="NF91:PQ91" si="1184">35+(41/60)</f>
        <v>35.68333333333333</v>
      </c>
      <c r="NG91" s="962">
        <f t="shared" si="1184"/>
        <v>35.68333333333333</v>
      </c>
      <c r="NH91" s="962">
        <f t="shared" si="1184"/>
        <v>35.68333333333333</v>
      </c>
      <c r="NI91" s="962">
        <f t="shared" si="1184"/>
        <v>35.68333333333333</v>
      </c>
      <c r="NJ91" s="962">
        <f t="shared" si="1184"/>
        <v>35.68333333333333</v>
      </c>
      <c r="NK91" s="962">
        <f t="shared" si="1184"/>
        <v>35.68333333333333</v>
      </c>
      <c r="NL91" s="962">
        <f t="shared" si="1184"/>
        <v>35.68333333333333</v>
      </c>
      <c r="NM91" s="962">
        <f t="shared" si="1184"/>
        <v>35.68333333333333</v>
      </c>
      <c r="NN91" s="962">
        <f t="shared" si="1184"/>
        <v>35.68333333333333</v>
      </c>
      <c r="NO91" s="962">
        <f t="shared" si="1184"/>
        <v>35.68333333333333</v>
      </c>
      <c r="NP91" s="962">
        <f t="shared" si="1184"/>
        <v>35.68333333333333</v>
      </c>
      <c r="NQ91" s="962">
        <f t="shared" si="1184"/>
        <v>35.68333333333333</v>
      </c>
      <c r="NR91" s="962">
        <f t="shared" si="1184"/>
        <v>35.68333333333333</v>
      </c>
      <c r="NS91" s="962">
        <f t="shared" si="1184"/>
        <v>35.68333333333333</v>
      </c>
      <c r="NT91" s="962">
        <f t="shared" si="1184"/>
        <v>35.68333333333333</v>
      </c>
      <c r="NU91" s="962">
        <f t="shared" si="1184"/>
        <v>35.68333333333333</v>
      </c>
      <c r="NV91" s="962">
        <f t="shared" si="1184"/>
        <v>35.68333333333333</v>
      </c>
      <c r="NW91" s="962">
        <f t="shared" si="1184"/>
        <v>35.68333333333333</v>
      </c>
      <c r="NX91" s="962">
        <f t="shared" si="1184"/>
        <v>35.68333333333333</v>
      </c>
      <c r="NY91" s="962">
        <f t="shared" si="1184"/>
        <v>35.68333333333333</v>
      </c>
      <c r="NZ91" s="962">
        <f t="shared" si="1184"/>
        <v>35.68333333333333</v>
      </c>
      <c r="OA91" s="962">
        <f t="shared" si="1184"/>
        <v>35.68333333333333</v>
      </c>
      <c r="OB91" s="962">
        <f t="shared" si="1184"/>
        <v>35.68333333333333</v>
      </c>
      <c r="OC91" s="962">
        <f t="shared" si="1184"/>
        <v>35.68333333333333</v>
      </c>
      <c r="OD91" s="962">
        <f t="shared" si="1184"/>
        <v>35.68333333333333</v>
      </c>
      <c r="OE91" s="962">
        <f t="shared" si="1184"/>
        <v>35.68333333333333</v>
      </c>
      <c r="OF91" s="962">
        <f t="shared" si="1184"/>
        <v>35.68333333333333</v>
      </c>
      <c r="OG91" s="962">
        <f t="shared" si="1184"/>
        <v>35.68333333333333</v>
      </c>
      <c r="OH91" s="962">
        <f t="shared" si="1184"/>
        <v>35.68333333333333</v>
      </c>
      <c r="OI91" s="962">
        <f t="shared" si="1184"/>
        <v>35.68333333333333</v>
      </c>
      <c r="OJ91" s="962">
        <f t="shared" si="1184"/>
        <v>35.68333333333333</v>
      </c>
      <c r="OK91" s="962">
        <f t="shared" si="1184"/>
        <v>35.68333333333333</v>
      </c>
      <c r="OL91" s="962">
        <f t="shared" si="1184"/>
        <v>35.68333333333333</v>
      </c>
      <c r="OM91" s="962">
        <f t="shared" si="1184"/>
        <v>35.68333333333333</v>
      </c>
      <c r="ON91" s="962">
        <f t="shared" si="1184"/>
        <v>35.68333333333333</v>
      </c>
      <c r="OO91" s="962">
        <f t="shared" si="1184"/>
        <v>35.68333333333333</v>
      </c>
      <c r="OP91" s="962">
        <f t="shared" si="1184"/>
        <v>35.68333333333333</v>
      </c>
      <c r="OQ91" s="962">
        <f t="shared" si="1184"/>
        <v>35.68333333333333</v>
      </c>
      <c r="OR91" s="962">
        <f t="shared" si="1184"/>
        <v>35.68333333333333</v>
      </c>
      <c r="OS91" s="962">
        <f t="shared" si="1184"/>
        <v>35.68333333333333</v>
      </c>
      <c r="OT91" s="962">
        <f t="shared" si="1184"/>
        <v>35.68333333333333</v>
      </c>
      <c r="OU91" s="962">
        <f t="shared" si="1184"/>
        <v>35.68333333333333</v>
      </c>
      <c r="OV91" s="962">
        <f t="shared" si="1184"/>
        <v>35.68333333333333</v>
      </c>
      <c r="OW91" s="962">
        <f t="shared" si="1184"/>
        <v>35.68333333333333</v>
      </c>
      <c r="OX91" s="962">
        <f t="shared" si="1184"/>
        <v>35.68333333333333</v>
      </c>
      <c r="OY91" s="962">
        <f t="shared" si="1184"/>
        <v>35.68333333333333</v>
      </c>
      <c r="OZ91" s="962">
        <f t="shared" si="1184"/>
        <v>35.68333333333333</v>
      </c>
      <c r="PA91" s="962">
        <f t="shared" si="1184"/>
        <v>35.68333333333333</v>
      </c>
      <c r="PB91" s="962">
        <f t="shared" si="1184"/>
        <v>35.68333333333333</v>
      </c>
      <c r="PC91" s="962">
        <f t="shared" si="1184"/>
        <v>35.68333333333333</v>
      </c>
      <c r="PD91" s="962">
        <f t="shared" si="1184"/>
        <v>35.68333333333333</v>
      </c>
      <c r="PE91" s="962">
        <f t="shared" si="1184"/>
        <v>35.68333333333333</v>
      </c>
      <c r="PF91" s="962">
        <f t="shared" si="1184"/>
        <v>35.68333333333333</v>
      </c>
      <c r="PG91" s="962">
        <f t="shared" si="1184"/>
        <v>35.68333333333333</v>
      </c>
      <c r="PH91" s="962">
        <f t="shared" si="1184"/>
        <v>35.68333333333333</v>
      </c>
      <c r="PI91" s="962">
        <f t="shared" si="1184"/>
        <v>35.68333333333333</v>
      </c>
      <c r="PJ91" s="962">
        <f t="shared" si="1184"/>
        <v>35.68333333333333</v>
      </c>
      <c r="PK91" s="962">
        <f t="shared" si="1184"/>
        <v>35.68333333333333</v>
      </c>
      <c r="PL91" s="962">
        <f t="shared" si="1184"/>
        <v>35.68333333333333</v>
      </c>
      <c r="PM91" s="962">
        <f t="shared" si="1184"/>
        <v>35.68333333333333</v>
      </c>
      <c r="PN91" s="962">
        <f t="shared" si="1184"/>
        <v>35.68333333333333</v>
      </c>
      <c r="PO91" s="962">
        <f t="shared" si="1184"/>
        <v>35.68333333333333</v>
      </c>
      <c r="PP91" s="962">
        <f t="shared" si="1184"/>
        <v>35.68333333333333</v>
      </c>
      <c r="PQ91" s="962">
        <f t="shared" si="1184"/>
        <v>35.68333333333333</v>
      </c>
      <c r="PR91" s="962">
        <f t="shared" ref="PR91:RA91" si="1185">35+(41/60)</f>
        <v>35.68333333333333</v>
      </c>
      <c r="PS91" s="962">
        <f t="shared" si="1185"/>
        <v>35.68333333333333</v>
      </c>
      <c r="PT91" s="962">
        <f t="shared" si="1185"/>
        <v>35.68333333333333</v>
      </c>
      <c r="PU91" s="962">
        <f t="shared" si="1185"/>
        <v>35.68333333333333</v>
      </c>
      <c r="PV91" s="962">
        <f t="shared" si="1185"/>
        <v>35.68333333333333</v>
      </c>
      <c r="PW91" s="962">
        <f t="shared" si="1185"/>
        <v>35.68333333333333</v>
      </c>
      <c r="PX91" s="962">
        <f t="shared" si="1185"/>
        <v>35.68333333333333</v>
      </c>
      <c r="PY91" s="962">
        <f t="shared" si="1185"/>
        <v>35.68333333333333</v>
      </c>
      <c r="PZ91" s="962">
        <f t="shared" si="1185"/>
        <v>35.68333333333333</v>
      </c>
      <c r="QA91" s="962">
        <f t="shared" si="1185"/>
        <v>35.68333333333333</v>
      </c>
      <c r="QB91" s="962">
        <f t="shared" si="1185"/>
        <v>35.68333333333333</v>
      </c>
      <c r="QC91" s="962">
        <f t="shared" si="1185"/>
        <v>35.68333333333333</v>
      </c>
      <c r="QD91" s="962">
        <f t="shared" si="1185"/>
        <v>35.68333333333333</v>
      </c>
      <c r="QE91" s="962">
        <f t="shared" si="1185"/>
        <v>35.68333333333333</v>
      </c>
      <c r="QF91" s="962">
        <f t="shared" si="1185"/>
        <v>35.68333333333333</v>
      </c>
      <c r="QG91" s="962">
        <f t="shared" si="1185"/>
        <v>35.68333333333333</v>
      </c>
      <c r="QH91" s="962">
        <f t="shared" si="1185"/>
        <v>35.68333333333333</v>
      </c>
      <c r="QI91" s="962">
        <f t="shared" si="1185"/>
        <v>35.68333333333333</v>
      </c>
      <c r="QJ91" s="962">
        <f t="shared" si="1185"/>
        <v>35.68333333333333</v>
      </c>
      <c r="QK91" s="962">
        <f t="shared" si="1185"/>
        <v>35.68333333333333</v>
      </c>
      <c r="QL91" s="962">
        <f t="shared" si="1185"/>
        <v>35.68333333333333</v>
      </c>
      <c r="QM91" s="962">
        <f t="shared" si="1185"/>
        <v>35.68333333333333</v>
      </c>
      <c r="QN91" s="962">
        <f t="shared" si="1185"/>
        <v>35.68333333333333</v>
      </c>
      <c r="QO91" s="962">
        <f t="shared" si="1185"/>
        <v>35.68333333333333</v>
      </c>
      <c r="QP91" s="962">
        <f t="shared" si="1185"/>
        <v>35.68333333333333</v>
      </c>
      <c r="QQ91" s="962">
        <f t="shared" si="1185"/>
        <v>35.68333333333333</v>
      </c>
      <c r="QR91" s="962">
        <f t="shared" si="1185"/>
        <v>35.68333333333333</v>
      </c>
      <c r="QS91" s="962">
        <f t="shared" si="1185"/>
        <v>35.68333333333333</v>
      </c>
      <c r="QT91" s="962">
        <f t="shared" si="1185"/>
        <v>35.68333333333333</v>
      </c>
      <c r="QU91" s="962">
        <f t="shared" si="1185"/>
        <v>35.68333333333333</v>
      </c>
      <c r="QV91" s="962">
        <f t="shared" si="1185"/>
        <v>35.68333333333333</v>
      </c>
      <c r="QW91" s="962">
        <f t="shared" si="1185"/>
        <v>35.68333333333333</v>
      </c>
      <c r="QX91" s="962">
        <f t="shared" si="1185"/>
        <v>35.68333333333333</v>
      </c>
      <c r="QY91" s="962">
        <f t="shared" si="1185"/>
        <v>35.68333333333333</v>
      </c>
      <c r="QZ91" s="962">
        <f t="shared" si="1185"/>
        <v>35.68333333333333</v>
      </c>
      <c r="RA91" s="963">
        <f t="shared" si="1185"/>
        <v>35.68333333333333</v>
      </c>
      <c r="RB91" s="797"/>
      <c r="RC91" s="797"/>
    </row>
    <row r="92" spans="2:471" ht="17.25">
      <c r="B92" s="3"/>
      <c r="C92" s="3">
        <v>1250</v>
      </c>
      <c r="D92" s="3">
        <v>354.36709259258998</v>
      </c>
      <c r="E92" s="3">
        <f>INT(MOD(C92,30))</f>
        <v>20</v>
      </c>
      <c r="F92" s="3" t="str">
        <f>IF(OR(E92=2,E92=5,E92=7,E92=10,E92=13,E92=15,E92=18,E92=21,E92=24,E92=26,E92=29),"کبیسه","غیر کبیسه")</f>
        <v>غیر کبیسه</v>
      </c>
      <c r="G92" s="3">
        <f>INT(MOD(C92,210))</f>
        <v>200</v>
      </c>
      <c r="H92" s="3">
        <f>INT(G92/30)*30</f>
        <v>180</v>
      </c>
      <c r="I92" s="3">
        <f>MOD(MOD(G92,180),30)</f>
        <v>20</v>
      </c>
      <c r="J92" s="3">
        <f>IF(H92=0,5,IF(H92=30,3,IF(H92=60,1,IF(H92=90,6,IF(H92=120,4,IF(H92=150,2,7))))))</f>
        <v>7</v>
      </c>
      <c r="K92" s="3">
        <f>IF(OR(I92=1,I92=9,I92=17,I92=25),J92,IF(OR(I92=2,I92=10,I92=18,I92=26),J92+4,IF(OR(I92=3,I92=11,I92=19,I92=24,I92=27),J92+2,IF(OR(I92=4,I92=12,I92=20,I92=28),J92+6,IF(OR(I92=5,I92=8,I92=13,I92=16,I92=21,I92=29),J92+3,IF(OR(I92=6,I92=14,I92=22,I92=30),J92+1,J92+5))))))</f>
        <v>13</v>
      </c>
      <c r="L92" s="9">
        <f>MOD(K92,7)</f>
        <v>6</v>
      </c>
      <c r="M92" s="9" t="str">
        <f>IF(L92=2,"دوشنبه",IF(L92=3,"سه شنبه",IF(L92=4,"چهارشنبه",IF(L92=5,"پنج شنبه",IF(L92=6,"جمعه",IF(L92=0,"شنبه","یک شنبه"))))))</f>
        <v>جمعه</v>
      </c>
      <c r="N92" s="3"/>
      <c r="O92" s="3"/>
      <c r="P92" s="3" t="s">
        <v>17</v>
      </c>
      <c r="Q92" s="3" t="str">
        <f>M92</f>
        <v>جمعه</v>
      </c>
      <c r="R92" s="3" t="str">
        <f t="shared" ref="R92:AB92" si="1186">IF(R93=2,"دوشنبه",IF(R93=3,"سه شنبه",IF(R93=4,"چهارشنبه",IF(R93=5,"پنج شنبه",IF(R93=6,"جمعه",IF(R93=0,"شنبه","یک شنبه"))))))</f>
        <v>یک شنبه</v>
      </c>
      <c r="S92" s="3" t="str">
        <f t="shared" si="1186"/>
        <v>دوشنبه</v>
      </c>
      <c r="T92" s="3" t="str">
        <f t="shared" si="1186"/>
        <v>چهارشنبه</v>
      </c>
      <c r="U92" s="3" t="str">
        <f t="shared" si="1186"/>
        <v>پنج شنبه</v>
      </c>
      <c r="V92" s="3" t="str">
        <f t="shared" si="1186"/>
        <v>شنبه</v>
      </c>
      <c r="W92" s="3" t="str">
        <f t="shared" si="1186"/>
        <v>یک شنبه</v>
      </c>
      <c r="X92" s="3" t="str">
        <f t="shared" si="1186"/>
        <v>سه شنبه</v>
      </c>
      <c r="Y92" s="3" t="str">
        <f t="shared" si="1186"/>
        <v>چهارشنبه</v>
      </c>
      <c r="Z92" s="3" t="str">
        <f t="shared" si="1186"/>
        <v>جمعه</v>
      </c>
      <c r="AA92" s="3" t="str">
        <f t="shared" si="1186"/>
        <v>شنبه</v>
      </c>
      <c r="AB92" s="3" t="str">
        <f t="shared" si="1186"/>
        <v>دوشنبه</v>
      </c>
      <c r="DH92" s="797"/>
      <c r="DJ92" s="961" t="e">
        <f>[1]!qsn([1]!ml([1]!taqsha(1,1,[1]!roz(DJ89+1,0,0,0),DJ90)),DJ91)/30</f>
        <v>#VALUE!</v>
      </c>
      <c r="DK92" s="962" t="e">
        <f>[1]!qsn([1]!ml([1]!taqsha(1,1,[1]!roz(DK89+1,0,0,0),DK90)),DK91)/30</f>
        <v>#VALUE!</v>
      </c>
      <c r="DL92" s="962" t="e">
        <f>[1]!qsn([1]!ml([1]!taqsha(1,1,[1]!roz(DL89+1,0,0,0),DL90)),DL91)/30</f>
        <v>#VALUE!</v>
      </c>
      <c r="DM92" s="962" t="e">
        <f>[1]!qsn([1]!ml([1]!taqsha(1,1,[1]!roz(DM89+1,0,0,0),DM90)),DM91)/30</f>
        <v>#VALUE!</v>
      </c>
      <c r="DN92" s="962" t="e">
        <f>[1]!qsn([1]!ml([1]!taqsha(1,1,[1]!roz(DN89+1,0,0,0),DN90)),DN91)/30</f>
        <v>#VALUE!</v>
      </c>
      <c r="DO92" s="962" t="e">
        <f>[1]!qsn([1]!ml([1]!taqsha(1,1,[1]!roz(DO89+1,0,0,0),DO90)),DO91)/30</f>
        <v>#VALUE!</v>
      </c>
      <c r="DP92" s="962" t="e">
        <f>[1]!qsn([1]!ml([1]!taqsha(1,1,[1]!roz(DP89+1,0,0,0),DP90)),DP91)/30</f>
        <v>#VALUE!</v>
      </c>
      <c r="DQ92" s="962" t="e">
        <f>[1]!qsn([1]!ml([1]!taqsha(1,1,[1]!roz(DQ89+1,0,0,0),DQ90)),DQ91)/30</f>
        <v>#VALUE!</v>
      </c>
      <c r="DR92" s="962" t="e">
        <f>[1]!qsn([1]!ml([1]!taqsha(1,1,[1]!roz(DR89+1,0,0,0),DR90)),DR91)/30</f>
        <v>#VALUE!</v>
      </c>
      <c r="DS92" s="962" t="e">
        <f>[1]!qsn([1]!ml([1]!taqsha(1,1,[1]!roz(DS89+1,0,0,0),DS90)),DS91)/30</f>
        <v>#VALUE!</v>
      </c>
      <c r="DT92" s="962" t="e">
        <f>[1]!qsn([1]!ml([1]!taqsha(1,1,[1]!roz(DT89+1,0,0,0),DT90)),DT91)/30</f>
        <v>#VALUE!</v>
      </c>
      <c r="DU92" s="962" t="e">
        <f>[1]!qsn([1]!ml([1]!taqsha(1,1,[1]!roz(DU89+1,0,0,0),DU90)),DU91)/30</f>
        <v>#VALUE!</v>
      </c>
      <c r="DV92" s="962" t="e">
        <f>[1]!qsn([1]!ml([1]!taqsha(1,1,[1]!roz(DV89+1,0,0,0),DV90)),DV91)/30</f>
        <v>#VALUE!</v>
      </c>
      <c r="DW92" s="962" t="e">
        <f>[1]!qsn([1]!ml([1]!taqsha(1,1,[1]!roz(DW89+1,0,0,0),DW90)),DW91)/30</f>
        <v>#VALUE!</v>
      </c>
      <c r="DX92" s="962" t="e">
        <f>[1]!qsn([1]!ml([1]!taqsha(1,1,[1]!roz(DX89+1,0,0,0),DX90)),DX91)/30</f>
        <v>#VALUE!</v>
      </c>
      <c r="DY92" s="962" t="e">
        <f>[1]!qsn([1]!ml([1]!taqsha(1,1,[1]!roz(DY89+1,0,0,0),DY90)),DY91)/30</f>
        <v>#VALUE!</v>
      </c>
      <c r="DZ92" s="962" t="e">
        <f>[1]!qsn([1]!ml([1]!taqsha(1,1,[1]!roz(DZ89+1,0,0,0),DZ90)),DZ91)/30</f>
        <v>#VALUE!</v>
      </c>
      <c r="EA92" s="962" t="e">
        <f>[1]!qsn([1]!ml([1]!taqsha(1,1,[1]!roz(EA89+1,0,0,0),EA90)),EA91)/30</f>
        <v>#VALUE!</v>
      </c>
      <c r="EB92" s="962" t="e">
        <f>[1]!qsn([1]!ml([1]!taqsha(1,1,[1]!roz(EB89+1,0,0,0),EB90)),EB91)/30</f>
        <v>#VALUE!</v>
      </c>
      <c r="EC92" s="962" t="e">
        <f>[1]!qsn([1]!ml([1]!taqsha(1,1,[1]!roz(EC89+1,0,0,0),EC90)),EC91)/30</f>
        <v>#VALUE!</v>
      </c>
      <c r="ED92" s="962" t="e">
        <f>[1]!qsn([1]!ml([1]!taqsha(1,1,[1]!roz(ED89+1,0,0,0),ED90)),ED91)/30</f>
        <v>#VALUE!</v>
      </c>
      <c r="EE92" s="962" t="e">
        <f>[1]!qsn([1]!ml([1]!taqsha(1,1,[1]!roz(EE89+1,0,0,0),EE90)),EE91)/30</f>
        <v>#VALUE!</v>
      </c>
      <c r="EF92" s="962" t="e">
        <f>[1]!qsn([1]!ml([1]!taqsha(1,1,[1]!roz(EF89+1,0,0,0),EF90)),EF91)/30</f>
        <v>#VALUE!</v>
      </c>
      <c r="EG92" s="962" t="e">
        <f>[1]!qsn([1]!ml([1]!taqsha(1,1,[1]!roz(EG89+1,0,0,0),EG90)),EG91)/30</f>
        <v>#VALUE!</v>
      </c>
      <c r="EH92" s="962" t="e">
        <f>[1]!qsn([1]!ml([1]!taqsha(1,1,[1]!roz(EH89+1,0,0,0),EH90)),EH91)/30</f>
        <v>#VALUE!</v>
      </c>
      <c r="EI92" s="962" t="e">
        <f>[1]!qsn([1]!ml([1]!taqsha(1,1,[1]!roz(EI89+1,0,0,0),EI90)),EI91)/30</f>
        <v>#VALUE!</v>
      </c>
      <c r="EJ92" s="962" t="e">
        <f>[1]!qsn([1]!ml([1]!taqsha(1,1,[1]!roz(EJ89+1,0,0,0),EJ90)),EJ91)/30</f>
        <v>#VALUE!</v>
      </c>
      <c r="EK92" s="962" t="e">
        <f>[1]!qsn([1]!ml([1]!taqsha(1,1,[1]!roz(EK89+1,0,0,0),EK90)),EK91)/30</f>
        <v>#VALUE!</v>
      </c>
      <c r="EL92" s="962" t="e">
        <f>[1]!qsn([1]!ml([1]!taqsha(1,1,[1]!roz(EL89+1,0,0,0),EL90)),EL91)/30</f>
        <v>#VALUE!</v>
      </c>
      <c r="EM92" s="962" t="e">
        <f>[1]!qsn([1]!ml([1]!taqsha(1,1,[1]!roz(EM89+1,0,0,0),EM90)),EM91)/30</f>
        <v>#VALUE!</v>
      </c>
      <c r="EN92" s="962" t="e">
        <f>[1]!qsn([1]!ml([1]!taqsha(1,1,[1]!roz(EN89+1,0,0,0),EN90)),EN91)/30</f>
        <v>#VALUE!</v>
      </c>
      <c r="EO92" s="962" t="e">
        <f>[1]!qsn([1]!ml([1]!taqsha(1,1,[1]!roz(EO89+1,0,0,0),EO90)),EO91)/30</f>
        <v>#VALUE!</v>
      </c>
      <c r="EP92" s="962" t="e">
        <f>[1]!qsn([1]!ml([1]!taqsha(1,1,[1]!roz(EP89+1,0,0,0),EP90)),EP91)/30</f>
        <v>#VALUE!</v>
      </c>
      <c r="EQ92" s="962" t="e">
        <f>[1]!qsn([1]!ml([1]!taqsha(1,1,[1]!roz(EQ89+1,0,0,0),EQ90)),EQ91)/30</f>
        <v>#VALUE!</v>
      </c>
      <c r="ER92" s="962" t="e">
        <f>[1]!qsn([1]!ml([1]!taqsha(1,1,[1]!roz(ER89+1,0,0,0),ER90)),ER91)/30</f>
        <v>#VALUE!</v>
      </c>
      <c r="ES92" s="962" t="e">
        <f>[1]!qsn([1]!ml([1]!taqsha(1,1,[1]!roz(ES89+1,0,0,0),ES90)),ES91)/30</f>
        <v>#VALUE!</v>
      </c>
      <c r="ET92" s="962" t="e">
        <f>[1]!qsn([1]!ml([1]!taqsha(1,1,[1]!roz(ET89+1,0,0,0),ET90)),ET91)/30</f>
        <v>#VALUE!</v>
      </c>
      <c r="EU92" s="962" t="e">
        <f>[1]!qsn([1]!ml([1]!taqsha(1,1,[1]!roz(EU89+1,0,0,0),EU90)),EU91)/30</f>
        <v>#VALUE!</v>
      </c>
      <c r="EV92" s="962" t="e">
        <f>[1]!qsn([1]!ml([1]!taqsha(1,1,[1]!roz(EV89+1,0,0,0),EV90)),EV91)/30</f>
        <v>#VALUE!</v>
      </c>
      <c r="EW92" s="962" t="e">
        <f>[1]!qsn([1]!ml([1]!taqsha(1,1,[1]!roz(EW89+1,0,0,0),EW90)),EW91)/30</f>
        <v>#VALUE!</v>
      </c>
      <c r="EX92" s="962" t="e">
        <f>[1]!qsn([1]!ml([1]!taqsha(1,1,[1]!roz(EX89+1,0,0,0),EX90)),EX91)/30</f>
        <v>#VALUE!</v>
      </c>
      <c r="EY92" s="962" t="e">
        <f>[1]!qsn([1]!ml([1]!taqsha(1,1,[1]!roz(EY89+1,0,0,0),EY90)),EY91)/30</f>
        <v>#VALUE!</v>
      </c>
      <c r="EZ92" s="962" t="e">
        <f>[1]!qsn([1]!ml([1]!taqsha(1,1,[1]!roz(EZ89+1,0,0,0),EZ90)),EZ91)/30</f>
        <v>#VALUE!</v>
      </c>
      <c r="FA92" s="962" t="e">
        <f>[1]!qsn([1]!ml([1]!taqsha(1,1,[1]!roz(FA89+1,0,0,0),FA90)),FA91)/30</f>
        <v>#VALUE!</v>
      </c>
      <c r="FB92" s="962" t="e">
        <f>[1]!qsn([1]!ml([1]!taqsha(1,1,[1]!roz(FB89+1,0,0,0),FB90)),FB91)/30</f>
        <v>#VALUE!</v>
      </c>
      <c r="FC92" s="962" t="e">
        <f>[1]!qsn([1]!ml([1]!taqsha(1,1,[1]!roz(FC89+1,0,0,0),FC90)),FC91)/30</f>
        <v>#VALUE!</v>
      </c>
      <c r="FD92" s="962" t="e">
        <f>[1]!qsn([1]!ml([1]!taqsha(1,1,[1]!roz(FD89+1,0,0,0),FD90)),FD91)/30</f>
        <v>#VALUE!</v>
      </c>
      <c r="FE92" s="962" t="e">
        <f>[1]!qsn([1]!ml([1]!taqsha(1,1,[1]!roz(FE89+1,0,0,0),FE90)),FE91)/30</f>
        <v>#VALUE!</v>
      </c>
      <c r="FF92" s="962" t="e">
        <f>[1]!qsn([1]!ml([1]!taqsha(1,1,[1]!roz(FF89+1,0,0,0),FF90)),FF91)/30</f>
        <v>#VALUE!</v>
      </c>
      <c r="FG92" s="962" t="e">
        <f>[1]!qsn([1]!ml([1]!taqsha(1,1,[1]!roz(FG89+1,0,0,0),FG90)),FG91)/30</f>
        <v>#VALUE!</v>
      </c>
      <c r="FH92" s="962" t="e">
        <f>[1]!qsn([1]!ml([1]!taqsha(1,1,[1]!roz(FH89+1,0,0,0),FH90)),FH91)/30</f>
        <v>#VALUE!</v>
      </c>
      <c r="FI92" s="962" t="e">
        <f>[1]!qsn([1]!ml([1]!taqsha(1,1,[1]!roz(FI89+1,0,0,0),FI90)),FI91)/30</f>
        <v>#VALUE!</v>
      </c>
      <c r="FJ92" s="962" t="e">
        <f>[1]!qsn([1]!ml([1]!taqsha(1,1,[1]!roz(FJ89+1,0,0,0),FJ90)),FJ91)/30</f>
        <v>#VALUE!</v>
      </c>
      <c r="FK92" s="962" t="e">
        <f>[1]!qsn([1]!ml([1]!taqsha(1,1,[1]!roz(FK89+1,0,0,0),FK90)),FK91)/30</f>
        <v>#VALUE!</v>
      </c>
      <c r="FL92" s="962" t="e">
        <f>[1]!qsn([1]!ml([1]!taqsha(1,1,[1]!roz(FL89+1,0,0,0),FL90)),FL91)/30</f>
        <v>#VALUE!</v>
      </c>
      <c r="FM92" s="962" t="e">
        <f>[1]!qsn([1]!ml([1]!taqsha(1,1,[1]!roz(FM89+1,0,0,0),FM90)),FM91)/30</f>
        <v>#VALUE!</v>
      </c>
      <c r="FN92" s="962" t="e">
        <f>[1]!qsn([1]!ml([1]!taqsha(1,1,[1]!roz(FN89+1,0,0,0),FN90)),FN91)/30</f>
        <v>#VALUE!</v>
      </c>
      <c r="FO92" s="962" t="e">
        <f>[1]!qsn([1]!ml([1]!taqsha(1,1,[1]!roz(FO89+1,0,0,0),FO90)),FO91)/30</f>
        <v>#VALUE!</v>
      </c>
      <c r="FP92" s="962" t="e">
        <f>[1]!qsn([1]!ml([1]!taqsha(1,1,[1]!roz(FP89+1,0,0,0),FP90)),FP91)/30</f>
        <v>#VALUE!</v>
      </c>
      <c r="FQ92" s="962" t="e">
        <f>[1]!qsn([1]!ml([1]!taqsha(1,1,[1]!roz(FQ89+1,0,0,0),FQ90)),FQ91)/30</f>
        <v>#VALUE!</v>
      </c>
      <c r="FR92" s="962" t="e">
        <f>[1]!qsn([1]!ml([1]!taqsha(1,1,[1]!roz(FR89+1,0,0,0),FR90)),FR91)/30</f>
        <v>#VALUE!</v>
      </c>
      <c r="FS92" s="962" t="e">
        <f>[1]!qsn([1]!ml([1]!taqsha(1,1,[1]!roz(FS89+1,0,0,0),FS90)),FS91)/30</f>
        <v>#VALUE!</v>
      </c>
      <c r="FT92" s="962" t="e">
        <f>[1]!qsn([1]!ml([1]!taqsha(1,1,[1]!roz(FT89+1,0,0,0),FT90)),FT91)/30</f>
        <v>#VALUE!</v>
      </c>
      <c r="FU92" s="962" t="e">
        <f>[1]!qsn([1]!ml([1]!taqsha(1,1,[1]!roz(FU89+1,0,0,0),FU90)),FU91)/30</f>
        <v>#VALUE!</v>
      </c>
      <c r="FV92" s="962" t="e">
        <f>[1]!qsn([1]!ml([1]!taqsha(1,1,[1]!roz(FV89+1,0,0,0),FV90)),FV91)/30</f>
        <v>#VALUE!</v>
      </c>
      <c r="FW92" s="962" t="e">
        <f>[1]!qsn([1]!ml([1]!taqsha(1,1,[1]!roz(FW89+1,0,0,0),FW90)),FW91)/30</f>
        <v>#VALUE!</v>
      </c>
      <c r="FX92" s="962" t="e">
        <f>[1]!qsn([1]!ml([1]!taqsha(1,1,[1]!roz(FX89+1,0,0,0),FX90)),FX91)/30</f>
        <v>#VALUE!</v>
      </c>
      <c r="FY92" s="962" t="e">
        <f>[1]!qsn([1]!ml([1]!taqsha(1,1,[1]!roz(FY89+1,0,0,0),FY90)),FY91)/30</f>
        <v>#VALUE!</v>
      </c>
      <c r="FZ92" s="962" t="e">
        <f>[1]!qsn([1]!ml([1]!taqsha(1,1,[1]!roz(FZ89+1,0,0,0),FZ90)),FZ91)/30</f>
        <v>#VALUE!</v>
      </c>
      <c r="GA92" s="962" t="e">
        <f>[1]!qsn([1]!ml([1]!taqsha(1,1,[1]!roz(GA89+1,0,0,0),GA90)),GA91)/30</f>
        <v>#VALUE!</v>
      </c>
      <c r="GB92" s="962" t="e">
        <f>[1]!qsn([1]!ml([1]!taqsha(1,1,[1]!roz(GB89+1,0,0,0),GB90)),GB91)/30</f>
        <v>#VALUE!</v>
      </c>
      <c r="GC92" s="962" t="e">
        <f>[1]!qsn([1]!ml([1]!taqsha(1,1,[1]!roz(GC89+1,0,0,0),GC90)),GC91)/30</f>
        <v>#VALUE!</v>
      </c>
      <c r="GD92" s="962" t="e">
        <f>[1]!qsn([1]!ml([1]!taqsha(1,1,[1]!roz(GD89+1,0,0,0),GD90)),GD91)/30</f>
        <v>#VALUE!</v>
      </c>
      <c r="GE92" s="962" t="e">
        <f>[1]!qsn([1]!ml([1]!taqsha(1,1,[1]!roz(GE89+1,0,0,0),GE90)),GE91)/30</f>
        <v>#VALUE!</v>
      </c>
      <c r="GF92" s="962" t="e">
        <f>[1]!qsn([1]!ml([1]!taqsha(1,1,[1]!roz(GF89+1,0,0,0),GF90)),GF91)/30</f>
        <v>#VALUE!</v>
      </c>
      <c r="GG92" s="962" t="e">
        <f>[1]!qsn([1]!ml([1]!taqsha(1,1,[1]!roz(GG89+1,0,0,0),GG90)),GG91)/30</f>
        <v>#VALUE!</v>
      </c>
      <c r="GH92" s="962" t="e">
        <f>[1]!qsn([1]!ml([1]!taqsha(1,1,[1]!roz(GH89+1,0,0,0),GH90)),GH91)/30</f>
        <v>#VALUE!</v>
      </c>
      <c r="GI92" s="962" t="e">
        <f>[1]!qsn([1]!ml([1]!taqsha(1,1,[1]!roz(GI89+1,0,0,0),GI90)),GI91)/30</f>
        <v>#VALUE!</v>
      </c>
      <c r="GJ92" s="962" t="e">
        <f>[1]!qsn([1]!ml([1]!taqsha(1,1,[1]!roz(GJ89+1,0,0,0),GJ90)),GJ91)/30</f>
        <v>#VALUE!</v>
      </c>
      <c r="GK92" s="962" t="e">
        <f>[1]!qsn([1]!ml([1]!taqsha(1,1,[1]!roz(GK89+1,0,0,0),GK90)),GK91)/30</f>
        <v>#VALUE!</v>
      </c>
      <c r="GL92" s="962" t="e">
        <f>[1]!qsn([1]!ml([1]!taqsha(1,1,[1]!roz(GL89+1,0,0,0),GL90)),GL91)/30</f>
        <v>#VALUE!</v>
      </c>
      <c r="GM92" s="962" t="e">
        <f>[1]!qsn([1]!ml([1]!taqsha(1,1,[1]!roz(GM89+1,0,0,0),GM90)),GM91)/30</f>
        <v>#VALUE!</v>
      </c>
      <c r="GN92" s="962" t="e">
        <f>[1]!qsn([1]!ml([1]!taqsha(1,1,[1]!roz(GN89+1,0,0,0),GN90)),GN91)/30</f>
        <v>#VALUE!</v>
      </c>
      <c r="GO92" s="962" t="e">
        <f>[1]!qsn([1]!ml([1]!taqsha(1,1,[1]!roz(GO89+1,0,0,0),GO90)),GO91)/30</f>
        <v>#VALUE!</v>
      </c>
      <c r="GP92" s="962" t="e">
        <f>[1]!qsn([1]!ml([1]!taqsha(1,1,[1]!roz(GP89+1,0,0,0),GP90)),GP91)/30</f>
        <v>#VALUE!</v>
      </c>
      <c r="GQ92" s="962" t="e">
        <f>[1]!qsn([1]!ml([1]!taqsha(1,1,[1]!roz(GQ89+1,0,0,0),GQ90)),GQ91)/30</f>
        <v>#VALUE!</v>
      </c>
      <c r="GR92" s="962" t="e">
        <f>[1]!qsn([1]!ml([1]!taqsha(1,1,[1]!roz(GR89+1,0,0,0),GR90)),GR91)/30</f>
        <v>#VALUE!</v>
      </c>
      <c r="GS92" s="962" t="e">
        <f>[1]!qsn([1]!ml([1]!taqsha(1,1,[1]!roz(GS89+1,0,0,0),GS90)),GS91)/30</f>
        <v>#VALUE!</v>
      </c>
      <c r="GT92" s="962" t="e">
        <f>[1]!qsn([1]!ml([1]!taqsha(1,1,[1]!roz(GT89+1,0,0,0),GT90)),GT91)/30</f>
        <v>#VALUE!</v>
      </c>
      <c r="GU92" s="962" t="e">
        <f>[1]!qsn([1]!ml([1]!taqsha(1,1,[1]!roz(GU89+1,0,0,0),GU90)),GU91)/30</f>
        <v>#VALUE!</v>
      </c>
      <c r="GV92" s="962" t="e">
        <f>[1]!qsn([1]!ml([1]!taqsha(1,1,[1]!roz(GV89+1,0,0,0),GV90)),GV91)/30</f>
        <v>#VALUE!</v>
      </c>
      <c r="GW92" s="962" t="e">
        <f>[1]!qsn([1]!ml([1]!taqsha(1,1,[1]!roz(GW89+1,0,0,0),GW90)),GW91)/30</f>
        <v>#VALUE!</v>
      </c>
      <c r="GX92" s="962" t="e">
        <f>[1]!qsn([1]!ml([1]!taqsha(1,1,[1]!roz(GX89+1,0,0,0),GX90)),GX91)/30</f>
        <v>#VALUE!</v>
      </c>
      <c r="GY92" s="962" t="e">
        <f>[1]!qsn([1]!ml([1]!taqsha(1,1,[1]!roz(GY89+1,0,0,0),GY90)),GY91)/30</f>
        <v>#VALUE!</v>
      </c>
      <c r="GZ92" s="962" t="e">
        <f>[1]!qsn([1]!ml([1]!taqsha(1,1,[1]!roz(GZ89+1,0,0,0),GZ90)),GZ91)/30</f>
        <v>#VALUE!</v>
      </c>
      <c r="HA92" s="962" t="e">
        <f>[1]!qsn([1]!ml([1]!taqsha(1,1,[1]!roz(HA89+1,0,0,0),HA90)),HA91)/30</f>
        <v>#VALUE!</v>
      </c>
      <c r="HB92" s="962" t="e">
        <f>[1]!qsn([1]!ml([1]!taqsha(1,1,[1]!roz(HB89+1,0,0,0),HB90)),HB91)/30</f>
        <v>#VALUE!</v>
      </c>
      <c r="HC92" s="962" t="e">
        <f>[1]!qsn([1]!ml([1]!taqsha(1,1,[1]!roz(HC89+1,0,0,0),HC90)),HC91)/30</f>
        <v>#VALUE!</v>
      </c>
      <c r="HD92" s="962" t="e">
        <f>[1]!qsn([1]!ml([1]!taqsha(1,1,[1]!roz(HD89+1,0,0,0),HD90)),HD91)/30</f>
        <v>#VALUE!</v>
      </c>
      <c r="HE92" s="962" t="e">
        <f>[1]!qsn([1]!ml([1]!taqsha(1,1,[1]!roz(HE89+1,0,0,0),HE90)),HE91)/30</f>
        <v>#VALUE!</v>
      </c>
      <c r="HF92" s="962" t="e">
        <f>[1]!qsn([1]!ml([1]!taqsha(1,1,[1]!roz(HF89+1,0,0,0),HF90)),HF91)/30</f>
        <v>#VALUE!</v>
      </c>
      <c r="HG92" s="962" t="e">
        <f>[1]!qsn([1]!ml([1]!taqsha(1,1,[1]!roz(HG89+1,0,0,0),HG90)),HG91)/30</f>
        <v>#VALUE!</v>
      </c>
      <c r="HH92" s="962" t="e">
        <f>[1]!qsn([1]!ml([1]!taqsha(1,1,[1]!roz(HH89+1,0,0,0),HH90)),HH91)/30</f>
        <v>#VALUE!</v>
      </c>
      <c r="HI92" s="962" t="e">
        <f>[1]!qsn([1]!ml([1]!taqsha(1,1,[1]!roz(HI89+1,0,0,0),HI90)),HI91)/30</f>
        <v>#VALUE!</v>
      </c>
      <c r="HJ92" s="962" t="e">
        <f>[1]!qsn([1]!ml([1]!taqsha(1,1,[1]!roz(HJ89+1,0,0,0),HJ90)),HJ91)/30</f>
        <v>#VALUE!</v>
      </c>
      <c r="HK92" s="962" t="e">
        <f>[1]!qsn([1]!ml([1]!taqsha(1,1,[1]!roz(HK89+1,0,0,0),HK90)),HK91)/30</f>
        <v>#VALUE!</v>
      </c>
      <c r="HL92" s="962" t="e">
        <f>[1]!qsn([1]!ml([1]!taqsha(1,1,[1]!roz(HL89+1,0,0,0),HL90)),HL91)/30</f>
        <v>#VALUE!</v>
      </c>
      <c r="HM92" s="962" t="e">
        <f>[1]!qsn([1]!ml([1]!taqsha(1,1,[1]!roz(HM89+1,0,0,0),HM90)),HM91)/30</f>
        <v>#VALUE!</v>
      </c>
      <c r="HN92" s="962" t="e">
        <f>[1]!qsn([1]!ml([1]!taqsha(1,1,[1]!roz(HN89+1,0,0,0),HN90)),HN91)/30</f>
        <v>#VALUE!</v>
      </c>
      <c r="HO92" s="962" t="e">
        <f>[1]!qsn([1]!ml([1]!taqsha(1,1,[1]!roz(HO89+1,0,0,0),HO90)),HO91)/30</f>
        <v>#VALUE!</v>
      </c>
      <c r="HP92" s="962" t="e">
        <f>[1]!qsn([1]!ml([1]!taqsha(1,1,[1]!roz(HP89+1,0,0,0),HP90)),HP91)/30</f>
        <v>#VALUE!</v>
      </c>
      <c r="HQ92" s="962" t="e">
        <f>[1]!qsn([1]!ml([1]!taqsha(1,1,[1]!roz(HQ89+1,0,0,0),HQ90)),HQ91)/30</f>
        <v>#VALUE!</v>
      </c>
      <c r="HR92" s="962" t="e">
        <f>[1]!qsn([1]!ml([1]!taqsha(1,1,[1]!roz(HR89+1,0,0,0),HR90)),HR91)/30</f>
        <v>#VALUE!</v>
      </c>
      <c r="HS92" s="962" t="e">
        <f>[1]!qsn([1]!ml([1]!taqsha(1,1,[1]!roz(HS89+1,0,0,0),HS90)),HS91)/30</f>
        <v>#VALUE!</v>
      </c>
      <c r="HT92" s="962" t="e">
        <f>[1]!qsn([1]!ml([1]!taqsha(1,1,[1]!roz(HT89+1,0,0,0),HT90)),HT91)/30</f>
        <v>#VALUE!</v>
      </c>
      <c r="HU92" s="962" t="e">
        <f>[1]!qsn([1]!ml([1]!taqsha(1,1,[1]!roz(HU89+1,0,0,0),HU90)),HU91)/30</f>
        <v>#VALUE!</v>
      </c>
      <c r="HV92" s="962" t="e">
        <f>[1]!qsn([1]!ml([1]!taqsha(1,1,[1]!roz(HV89+1,0,0,0),HV90)),HV91)/30</f>
        <v>#VALUE!</v>
      </c>
      <c r="HW92" s="962" t="e">
        <f>[1]!qsn([1]!ml([1]!taqsha(1,1,[1]!roz(HW89+1,0,0,0),HW90)),HW91)/30</f>
        <v>#VALUE!</v>
      </c>
      <c r="HX92" s="962" t="e">
        <f>[1]!qsn([1]!ml([1]!taqsha(1,1,[1]!roz(HX89+1,0,0,0),HX90)),HX91)/30</f>
        <v>#VALUE!</v>
      </c>
      <c r="HY92" s="962" t="e">
        <f>[1]!qsn([1]!ml([1]!taqsha(1,1,[1]!roz(HY89+1,0,0,0),HY90)),HY91)/30</f>
        <v>#VALUE!</v>
      </c>
      <c r="HZ92" s="962" t="e">
        <f>[1]!qsn([1]!ml([1]!taqsha(1,1,[1]!roz(HZ89+1,0,0,0),HZ90)),HZ91)/30</f>
        <v>#VALUE!</v>
      </c>
      <c r="IA92" s="962" t="e">
        <f>[1]!qsn([1]!ml([1]!taqsha(1,1,[1]!roz(IA89+1,0,0,0),IA90)),IA91)/30</f>
        <v>#VALUE!</v>
      </c>
      <c r="IB92" s="962" t="e">
        <f>[1]!qsn([1]!ml([1]!taqsha(1,1,[1]!roz(IB89+1,0,0,0),IB90)),IB91)/30</f>
        <v>#VALUE!</v>
      </c>
      <c r="IC92" s="962" t="e">
        <f>[1]!qsn([1]!ml([1]!taqsha(1,1,[1]!roz(IC89+1,0,0,0),IC90)),IC91)/30</f>
        <v>#VALUE!</v>
      </c>
      <c r="ID92" s="962" t="e">
        <f>[1]!qsn([1]!ml([1]!taqsha(1,1,[1]!roz(ID89+1,0,0,0),ID90)),ID91)/30</f>
        <v>#VALUE!</v>
      </c>
      <c r="IE92" s="962" t="e">
        <f>[1]!qsn([1]!ml([1]!taqsha(1,1,[1]!roz(IE89+1,0,0,0),IE90)),IE91)/30</f>
        <v>#VALUE!</v>
      </c>
      <c r="IF92" s="962" t="e">
        <f>[1]!qsn([1]!ml([1]!taqsha(1,1,[1]!roz(IF89+1,0,0,0),IF90)),IF91)/30</f>
        <v>#VALUE!</v>
      </c>
      <c r="IG92" s="962" t="e">
        <f>[1]!qsn([1]!ml([1]!taqsha(1,1,[1]!roz(IG89+1,0,0,0),IG90)),IG91)/30</f>
        <v>#VALUE!</v>
      </c>
      <c r="IH92" s="962" t="e">
        <f>[1]!qsn([1]!ml([1]!taqsha(1,1,[1]!roz(IH89+1,0,0,0),IH90)),IH91)/30</f>
        <v>#VALUE!</v>
      </c>
      <c r="II92" s="962" t="e">
        <f>[1]!qsn([1]!ml([1]!taqsha(1,1,[1]!roz(II89+1,0,0,0),II90)),II91)/30</f>
        <v>#VALUE!</v>
      </c>
      <c r="IJ92" s="962" t="e">
        <f>[1]!qsn([1]!ml([1]!taqsha(1,1,[1]!roz(IJ89+1,0,0,0),IJ90)),IJ91)/30</f>
        <v>#VALUE!</v>
      </c>
      <c r="IK92" s="962" t="e">
        <f>[1]!qsn([1]!ml([1]!taqsha(1,1,[1]!roz(IK89+1,0,0,0),IK90)),IK91)/30</f>
        <v>#VALUE!</v>
      </c>
      <c r="IL92" s="962" t="e">
        <f>[1]!qsn([1]!ml([1]!taqsha(1,1,[1]!roz(IL89+1,0,0,0),IL90)),IL91)/30</f>
        <v>#VALUE!</v>
      </c>
      <c r="IM92" s="962" t="e">
        <f>[1]!qsn([1]!ml([1]!taqsha(1,1,[1]!roz(IM89+1,0,0,0),IM90)),IM91)/30</f>
        <v>#VALUE!</v>
      </c>
      <c r="IN92" s="962" t="e">
        <f>[1]!qsn([1]!ml([1]!taqsha(1,1,[1]!roz(IN89+1,0,0,0),IN90)),IN91)/30</f>
        <v>#VALUE!</v>
      </c>
      <c r="IO92" s="962" t="e">
        <f>[1]!qsn([1]!ml([1]!taqsha(1,1,[1]!roz(IO89+1,0,0,0),IO90)),IO91)/30</f>
        <v>#VALUE!</v>
      </c>
      <c r="IP92" s="962" t="e">
        <f>[1]!qsn([1]!ml([1]!taqsha(1,1,[1]!roz(IP89+1,0,0,0),IP90)),IP91)/30</f>
        <v>#VALUE!</v>
      </c>
      <c r="IQ92" s="962" t="e">
        <f>[1]!qsn([1]!ml([1]!taqsha(1,1,[1]!roz(IQ89+1,0,0,0),IQ90)),IQ91)/30</f>
        <v>#VALUE!</v>
      </c>
      <c r="IR92" s="962" t="e">
        <f>[1]!qsn([1]!ml([1]!taqsha(1,1,[1]!roz(IR89+1,0,0,0),IR90)),IR91)/30</f>
        <v>#VALUE!</v>
      </c>
      <c r="IS92" s="962" t="e">
        <f>[1]!qsn([1]!ml([1]!taqsha(1,1,[1]!roz(IS89+1,0,0,0),IS90)),IS91)/30</f>
        <v>#VALUE!</v>
      </c>
      <c r="IT92" s="962" t="e">
        <f>[1]!qsn([1]!ml([1]!taqsha(1,1,[1]!roz(IT89+1,0,0,0),IT90)),IT91)/30</f>
        <v>#VALUE!</v>
      </c>
      <c r="IU92" s="962" t="e">
        <f>[1]!qsn([1]!ml([1]!taqsha(1,1,[1]!roz(IU89+1,0,0,0),IU90)),IU91)/30</f>
        <v>#VALUE!</v>
      </c>
      <c r="IV92" s="962" t="e">
        <f>[1]!qsn([1]!ml([1]!taqsha(1,1,[1]!roz(IV89+1,0,0,0),IV90)),IV91)/30</f>
        <v>#VALUE!</v>
      </c>
      <c r="IW92" s="962" t="e">
        <f>[1]!qsn([1]!ml([1]!taqsha(1,1,[1]!roz(IW89+1,0,0,0),IW90)),IW91)/30</f>
        <v>#VALUE!</v>
      </c>
      <c r="IX92" s="962" t="e">
        <f>[1]!qsn([1]!ml([1]!taqsha(1,1,[1]!roz(IX89+1,0,0,0),IX90)),IX91)/30</f>
        <v>#VALUE!</v>
      </c>
      <c r="IY92" s="962" t="e">
        <f>[1]!qsn([1]!ml([1]!taqsha(1,1,[1]!roz(IY89+1,0,0,0),IY90)),IY91)/30</f>
        <v>#VALUE!</v>
      </c>
      <c r="IZ92" s="962" t="e">
        <f>[1]!qsn([1]!ml([1]!taqsha(1,1,[1]!roz(IZ89+1,0,0,0),IZ90)),IZ91)/30</f>
        <v>#VALUE!</v>
      </c>
      <c r="JA92" s="962" t="e">
        <f>[1]!qsn([1]!ml([1]!taqsha(1,1,[1]!roz(JA89+1,0,0,0),JA90)),JA91)/30</f>
        <v>#VALUE!</v>
      </c>
      <c r="JB92" s="962" t="e">
        <f>[1]!qsn([1]!ml([1]!taqsha(1,1,[1]!roz(JB89+1,0,0,0),JB90)),JB91)/30</f>
        <v>#VALUE!</v>
      </c>
      <c r="JC92" s="962" t="e">
        <f>[1]!qsn([1]!ml([1]!taqsha(1,1,[1]!roz(JC89+1,0,0,0),JC90)),JC91)/30</f>
        <v>#VALUE!</v>
      </c>
      <c r="JD92" s="962" t="e">
        <f>[1]!qsn([1]!ml([1]!taqsha(1,1,[1]!roz(JD89+1,0,0,0),JD90)),JD91)/30</f>
        <v>#VALUE!</v>
      </c>
      <c r="JE92" s="962" t="e">
        <f>[1]!qsn([1]!ml([1]!taqsha(1,1,[1]!roz(JE89+1,0,0,0),JE90)),JE91)/30</f>
        <v>#VALUE!</v>
      </c>
      <c r="JF92" s="962" t="e">
        <f>[1]!qsn([1]!ml([1]!taqsha(1,1,[1]!roz(JF89+1,0,0,0),JF90)),JF91)/30</f>
        <v>#VALUE!</v>
      </c>
      <c r="JG92" s="962" t="e">
        <f>[1]!qsn([1]!ml([1]!taqsha(1,1,[1]!roz(JG89+1,0,0,0),JG90)),JG91)/30</f>
        <v>#VALUE!</v>
      </c>
      <c r="JH92" s="962" t="e">
        <f>[1]!qsn([1]!ml([1]!taqsha(1,1,[1]!roz(JH89+1,0,0,0),JH90)),JH91)/30</f>
        <v>#VALUE!</v>
      </c>
      <c r="JI92" s="962" t="e">
        <f>[1]!qsn([1]!ml([1]!taqsha(1,1,[1]!roz(JI89+1,0,0,0),JI90)),JI91)/30</f>
        <v>#VALUE!</v>
      </c>
      <c r="JJ92" s="962" t="e">
        <f>[1]!qsn([1]!ml([1]!taqsha(1,1,[1]!roz(JJ89+1,0,0,0),JJ90)),JJ91)/30</f>
        <v>#VALUE!</v>
      </c>
      <c r="JK92" s="962" t="e">
        <f>[1]!qsn([1]!ml([1]!taqsha(1,1,[1]!roz(JK89+1,0,0,0),JK90)),JK91)/30</f>
        <v>#VALUE!</v>
      </c>
      <c r="JL92" s="962" t="e">
        <f>[1]!qsn([1]!ml([1]!taqsha(1,1,[1]!roz(JL89+1,0,0,0),JL90)),JL91)/30</f>
        <v>#VALUE!</v>
      </c>
      <c r="JM92" s="962" t="e">
        <f>[1]!qsn([1]!ml([1]!taqsha(1,1,[1]!roz(JM89+1,0,0,0),JM90)),JM91)/30</f>
        <v>#VALUE!</v>
      </c>
      <c r="JN92" s="962" t="e">
        <f>[1]!qsn([1]!ml([1]!taqsha(1,1,[1]!roz(JN89+1,0,0,0),JN90)),JN91)/30</f>
        <v>#VALUE!</v>
      </c>
      <c r="JO92" s="962" t="e">
        <f>[1]!qsn([1]!ml([1]!taqsha(1,1,[1]!roz(JO89+1,0,0,0),JO90)),JO91)/30</f>
        <v>#VALUE!</v>
      </c>
      <c r="JP92" s="962" t="e">
        <f>[1]!qsn([1]!ml([1]!taqsha(1,1,[1]!roz(JP89+1,0,0,0),JP90)),JP91)/30</f>
        <v>#VALUE!</v>
      </c>
      <c r="JQ92" s="962" t="e">
        <f>[1]!qsn([1]!ml([1]!taqsha(1,1,[1]!roz(JQ89+1,0,0,0),JQ90)),JQ91)/30</f>
        <v>#VALUE!</v>
      </c>
      <c r="JR92" s="962" t="e">
        <f>[1]!qsn([1]!ml([1]!taqsha(1,1,[1]!roz(JR89+1,0,0,0),JR90)),JR91)/30</f>
        <v>#VALUE!</v>
      </c>
      <c r="JS92" s="962" t="e">
        <f>[1]!qsn([1]!ml([1]!taqsha(1,1,[1]!roz(JS89+1,0,0,0),JS90)),JS91)/30</f>
        <v>#VALUE!</v>
      </c>
      <c r="JT92" s="962" t="e">
        <f>[1]!qsn([1]!ml([1]!taqsha(1,1,[1]!roz(JT89+1,0,0,0),JT90)),JT91)/30</f>
        <v>#VALUE!</v>
      </c>
      <c r="JU92" s="962" t="e">
        <f>[1]!qsn([1]!ml([1]!taqsha(1,1,[1]!roz(JU89+1,0,0,0),JU90)),JU91)/30</f>
        <v>#VALUE!</v>
      </c>
      <c r="JV92" s="962" t="e">
        <f>[1]!qsn([1]!ml([1]!taqsha(1,1,[1]!roz(JV89+1,0,0,0),JV90)),JV91)/30</f>
        <v>#VALUE!</v>
      </c>
      <c r="JW92" s="962" t="e">
        <f>[1]!qsn([1]!ml([1]!taqsha(1,1,[1]!roz(JW89+1,0,0,0),JW90)),JW91)/30</f>
        <v>#VALUE!</v>
      </c>
      <c r="JX92" s="962" t="e">
        <f>[1]!qsn([1]!ml([1]!taqsha(1,1,[1]!roz(JX89+1,0,0,0),JX90)),JX91)/30</f>
        <v>#VALUE!</v>
      </c>
      <c r="JY92" s="962" t="e">
        <f>[1]!qsn([1]!ml([1]!taqsha(1,1,[1]!roz(JY89+1,0,0,0),JY90)),JY91)/30</f>
        <v>#VALUE!</v>
      </c>
      <c r="JZ92" s="962" t="e">
        <f>[1]!qsn([1]!ml([1]!taqsha(1,1,[1]!roz(JZ89+1,0,0,0),JZ90)),JZ91)/30</f>
        <v>#VALUE!</v>
      </c>
      <c r="KA92" s="962" t="e">
        <f>[1]!qsn([1]!ml([1]!taqsha(1,1,[1]!roz(KA89+1,0,0,0),KA90)),KA91)/30</f>
        <v>#VALUE!</v>
      </c>
      <c r="KB92" s="962" t="e">
        <f>[1]!qsn([1]!ml([1]!taqsha(1,1,[1]!roz(KB89+1,0,0,0),KB90)),KB91)/30</f>
        <v>#VALUE!</v>
      </c>
      <c r="KC92" s="962" t="e">
        <f>[1]!qsn([1]!ml([1]!taqsha(1,1,[1]!roz(KC89+1,0,0,0),KC90)),KC91)/30</f>
        <v>#VALUE!</v>
      </c>
      <c r="KD92" s="962" t="e">
        <f>[1]!qsn([1]!ml([1]!taqsha(1,1,[1]!roz(KD89+1,0,0,0),KD90)),KD91)/30</f>
        <v>#VALUE!</v>
      </c>
      <c r="KE92" s="962" t="e">
        <f>[1]!qsn([1]!ml([1]!taqsha(1,1,[1]!roz(KE89+1,0,0,0),KE90)),KE91)/30</f>
        <v>#VALUE!</v>
      </c>
      <c r="KF92" s="962" t="e">
        <f>[1]!qsn([1]!ml([1]!taqsha(1,1,[1]!roz(KF89+1,0,0,0),KF90)),KF91)/30</f>
        <v>#VALUE!</v>
      </c>
      <c r="KG92" s="962" t="e">
        <f>[1]!qsn([1]!ml([1]!taqsha(1,1,[1]!roz(KG89+1,0,0,0),KG90)),KG91)/30</f>
        <v>#VALUE!</v>
      </c>
      <c r="KH92" s="962" t="e">
        <f>[1]!qsn([1]!ml([1]!taqsha(1,1,[1]!roz(KH89+1,0,0,0),KH90)),KH91)/30</f>
        <v>#VALUE!</v>
      </c>
      <c r="KI92" s="962" t="e">
        <f>[1]!qsn([1]!ml([1]!taqsha(1,1,[1]!roz(KI89+1,0,0,0),KI90)),KI91)/30</f>
        <v>#VALUE!</v>
      </c>
      <c r="KJ92" s="962" t="e">
        <f>[1]!qsn([1]!ml([1]!taqsha(1,1,[1]!roz(KJ89+1,0,0,0),KJ90)),KJ91)/30</f>
        <v>#VALUE!</v>
      </c>
      <c r="KK92" s="962" t="e">
        <f>[1]!qsn([1]!ml([1]!taqsha(1,1,[1]!roz(KK89+1,0,0,0),KK90)),KK91)/30</f>
        <v>#VALUE!</v>
      </c>
      <c r="KL92" s="962" t="e">
        <f>[1]!qsn([1]!ml([1]!taqsha(1,1,[1]!roz(KL89+1,0,0,0),KL90)),KL91)/30</f>
        <v>#VALUE!</v>
      </c>
      <c r="KM92" s="962" t="e">
        <f>[1]!qsn([1]!ml([1]!taqsha(1,1,[1]!roz(KM89+1,0,0,0),KM90)),KM91)/30</f>
        <v>#VALUE!</v>
      </c>
      <c r="KN92" s="962" t="e">
        <f>[1]!qsn([1]!ml([1]!taqsha(1,1,[1]!roz(KN89+1,0,0,0),KN90)),KN91)/30</f>
        <v>#VALUE!</v>
      </c>
      <c r="KO92" s="962" t="e">
        <f>[1]!qsn([1]!ml([1]!taqsha(1,1,[1]!roz(KO89+1,0,0,0),KO90)),KO91)/30</f>
        <v>#VALUE!</v>
      </c>
      <c r="KP92" s="962" t="e">
        <f>[1]!qsn([1]!ml([1]!taqsha(1,1,[1]!roz(KP89+1,0,0,0),KP90)),KP91)/30</f>
        <v>#VALUE!</v>
      </c>
      <c r="KQ92" s="962" t="e">
        <f>[1]!qsn([1]!ml([1]!taqsha(1,1,[1]!roz(KQ89+1,0,0,0),KQ90)),KQ91)/30</f>
        <v>#VALUE!</v>
      </c>
      <c r="KR92" s="962" t="e">
        <f>[1]!qsn([1]!ml([1]!taqsha(1,1,[1]!roz(KR89+1,0,0,0),KR90)),KR91)/30</f>
        <v>#VALUE!</v>
      </c>
      <c r="KS92" s="962" t="e">
        <f>[1]!qsn([1]!ml([1]!taqsha(1,1,[1]!roz(KS89+1,0,0,0),KS90)),KS91)/30</f>
        <v>#VALUE!</v>
      </c>
      <c r="KT92" s="962" t="e">
        <f>[1]!qsn([1]!ml([1]!taqsha(1,1,[1]!roz(KT89+1,0,0,0),KT90)),KT91)/30</f>
        <v>#VALUE!</v>
      </c>
      <c r="KU92" s="962" t="e">
        <f>[1]!qsn([1]!ml([1]!taqsha(1,1,[1]!roz(KU89+1,0,0,0),KU90)),KU91)/30</f>
        <v>#VALUE!</v>
      </c>
      <c r="KV92" s="962" t="e">
        <f>[1]!qsn([1]!ml([1]!taqsha(1,1,[1]!roz(KV89+1,0,0,0),KV90)),KV91)/30</f>
        <v>#VALUE!</v>
      </c>
      <c r="KW92" s="962" t="e">
        <f>[1]!qsn([1]!ml([1]!taqsha(1,1,[1]!roz(KW89+1,0,0,0),KW90)),KW91)/30</f>
        <v>#VALUE!</v>
      </c>
      <c r="KX92" s="962" t="e">
        <f>[1]!qsn([1]!ml([1]!taqsha(1,1,[1]!roz(KX89+1,0,0,0),KX90)),KX91)/30</f>
        <v>#VALUE!</v>
      </c>
      <c r="KY92" s="962" t="e">
        <f>[1]!qsn([1]!ml([1]!taqsha(1,1,[1]!roz(KY89+1,0,0,0),KY90)),KY91)/30</f>
        <v>#VALUE!</v>
      </c>
      <c r="KZ92" s="962" t="e">
        <f>[1]!qsn([1]!ml([1]!taqsha(1,1,[1]!roz(KZ89+1,0,0,0),KZ90)),KZ91)/30</f>
        <v>#VALUE!</v>
      </c>
      <c r="LA92" s="962" t="e">
        <f>[1]!qsn([1]!ml([1]!taqsha(1,1,[1]!roz(LA89+1,0,0,0),LA90)),LA91)/30</f>
        <v>#VALUE!</v>
      </c>
      <c r="LB92" s="962" t="e">
        <f>[1]!qsn([1]!ml([1]!taqsha(1,1,[1]!roz(LB89+1,0,0,0),LB90)),LB91)/30</f>
        <v>#VALUE!</v>
      </c>
      <c r="LC92" s="962" t="e">
        <f>[1]!qsn([1]!ml([1]!taqsha(1,1,[1]!roz(LC89+1,0,0,0),LC90)),LC91)/30</f>
        <v>#VALUE!</v>
      </c>
      <c r="LD92" s="962" t="e">
        <f>[1]!qsn([1]!ml([1]!taqsha(1,1,[1]!roz(LD89+1,0,0,0),LD90)),LD91)/30</f>
        <v>#VALUE!</v>
      </c>
      <c r="LE92" s="962" t="e">
        <f>[1]!qsn([1]!ml([1]!taqsha(1,1,[1]!roz(LE89+1,0,0,0),LE90)),LE91)/30</f>
        <v>#VALUE!</v>
      </c>
      <c r="LF92" s="962" t="e">
        <f>[1]!qsn([1]!ml([1]!taqsha(1,1,[1]!roz(LF89+1,0,0,0),LF90)),LF91)/30</f>
        <v>#VALUE!</v>
      </c>
      <c r="LG92" s="962" t="e">
        <f>[1]!qsn([1]!ml([1]!taqsha(1,1,[1]!roz(LG89+1,0,0,0),LG90)),LG91)/30</f>
        <v>#VALUE!</v>
      </c>
      <c r="LH92" s="962" t="e">
        <f>[1]!qsn([1]!ml([1]!taqsha(1,1,[1]!roz(LH89+1,0,0,0),LH90)),LH91)/30</f>
        <v>#VALUE!</v>
      </c>
      <c r="LI92" s="962" t="e">
        <f>[1]!qsn([1]!ml([1]!taqsha(1,1,[1]!roz(LI89+1,0,0,0),LI90)),LI91)/30</f>
        <v>#VALUE!</v>
      </c>
      <c r="LJ92" s="962" t="e">
        <f>[1]!qsn([1]!ml([1]!taqsha(1,1,[1]!roz(LJ89+1,0,0,0),LJ90)),LJ91)/30</f>
        <v>#VALUE!</v>
      </c>
      <c r="LK92" s="962" t="e">
        <f>[1]!qsn([1]!ml([1]!taqsha(1,1,[1]!roz(LK89+1,0,0,0),LK90)),LK91)/30</f>
        <v>#VALUE!</v>
      </c>
      <c r="LL92" s="962" t="e">
        <f>[1]!qsn([1]!ml([1]!taqsha(1,1,[1]!roz(LL89+1,0,0,0),LL90)),LL91)/30</f>
        <v>#VALUE!</v>
      </c>
      <c r="LM92" s="962" t="e">
        <f>[1]!qsn([1]!ml([1]!taqsha(1,1,[1]!roz(LM89+1,0,0,0),LM90)),LM91)/30</f>
        <v>#VALUE!</v>
      </c>
      <c r="LN92" s="962" t="e">
        <f>[1]!qsn([1]!ml([1]!taqsha(1,1,[1]!roz(LN89+1,0,0,0),LN90)),LN91)/30</f>
        <v>#VALUE!</v>
      </c>
      <c r="LO92" s="962" t="e">
        <f>[1]!qsn([1]!ml([1]!taqsha(1,1,[1]!roz(LO89+1,0,0,0),LO90)),LO91)/30</f>
        <v>#VALUE!</v>
      </c>
      <c r="LP92" s="962" t="e">
        <f>[1]!qsn([1]!ml([1]!taqsha(1,1,[1]!roz(LP89+1,0,0,0),LP90)),LP91)/30</f>
        <v>#VALUE!</v>
      </c>
      <c r="LQ92" s="962" t="e">
        <f>[1]!qsn([1]!ml([1]!taqsha(1,1,[1]!roz(LQ89+1,0,0,0),LQ90)),LQ91)/30</f>
        <v>#VALUE!</v>
      </c>
      <c r="LR92" s="962" t="e">
        <f>[1]!qsn([1]!ml([1]!taqsha(1,1,[1]!roz(LR89+1,0,0,0),LR90)),LR91)/30</f>
        <v>#VALUE!</v>
      </c>
      <c r="LS92" s="962" t="e">
        <f>[1]!qsn([1]!ml([1]!taqsha(1,1,[1]!roz(LS89+1,0,0,0),LS90)),LS91)/30</f>
        <v>#VALUE!</v>
      </c>
      <c r="LT92" s="962" t="e">
        <f>[1]!qsn([1]!ml([1]!taqsha(1,1,[1]!roz(LT89+1,0,0,0),LT90)),LT91)/30</f>
        <v>#VALUE!</v>
      </c>
      <c r="LU92" s="962" t="e">
        <f>[1]!qsn([1]!ml([1]!taqsha(1,1,[1]!roz(LU89+1,0,0,0),LU90)),LU91)/30</f>
        <v>#VALUE!</v>
      </c>
      <c r="LV92" s="962" t="e">
        <f>[1]!qsn([1]!ml([1]!taqsha(1,1,[1]!roz(LV89+1,0,0,0),LV90)),LV91)/30</f>
        <v>#VALUE!</v>
      </c>
      <c r="LW92" s="962" t="e">
        <f>[1]!qsn([1]!ml([1]!taqsha(1,1,[1]!roz(LW89+1,0,0,0),LW90)),LW91)/30</f>
        <v>#VALUE!</v>
      </c>
      <c r="LX92" s="962" t="e">
        <f>[1]!qsn([1]!ml([1]!taqsha(1,1,[1]!roz(LX89+1,0,0,0),LX90)),LX91)/30</f>
        <v>#VALUE!</v>
      </c>
      <c r="LY92" s="962" t="e">
        <f>[1]!qsn([1]!ml([1]!taqsha(1,1,[1]!roz(LY89+1,0,0,0),LY90)),LY91)/30</f>
        <v>#VALUE!</v>
      </c>
      <c r="LZ92" s="962" t="e">
        <f>[1]!qsn([1]!ml([1]!taqsha(1,1,[1]!roz(LZ89+1,0,0,0),LZ90)),LZ91)/30</f>
        <v>#VALUE!</v>
      </c>
      <c r="MA92" s="962" t="e">
        <f>[1]!qsn([1]!ml([1]!taqsha(1,1,[1]!roz(MA89+1,0,0,0),MA90)),MA91)/30</f>
        <v>#VALUE!</v>
      </c>
      <c r="MB92" s="962" t="e">
        <f>[1]!qsn([1]!ml([1]!taqsha(1,1,[1]!roz(MB89+1,0,0,0),MB90)),MB91)/30</f>
        <v>#VALUE!</v>
      </c>
      <c r="MC92" s="962" t="e">
        <f>[1]!qsn([1]!ml([1]!taqsha(1,1,[1]!roz(MC89+1,0,0,0),MC90)),MC91)/30</f>
        <v>#VALUE!</v>
      </c>
      <c r="MD92" s="962" t="e">
        <f>[1]!qsn([1]!ml([1]!taqsha(1,1,[1]!roz(MD89+1,0,0,0),MD90)),MD91)/30</f>
        <v>#VALUE!</v>
      </c>
      <c r="ME92" s="962" t="e">
        <f>[1]!qsn([1]!ml([1]!taqsha(1,1,[1]!roz(ME89+1,0,0,0),ME90)),ME91)/30</f>
        <v>#VALUE!</v>
      </c>
      <c r="MF92" s="962" t="e">
        <f>[1]!qsn([1]!ml([1]!taqsha(1,1,[1]!roz(MF89+1,0,0,0),MF90)),MF91)/30</f>
        <v>#VALUE!</v>
      </c>
      <c r="MG92" s="962" t="e">
        <f>[1]!qsn([1]!ml([1]!taqsha(1,1,[1]!roz(MG89+1,0,0,0),MG90)),MG91)/30</f>
        <v>#VALUE!</v>
      </c>
      <c r="MH92" s="962" t="e">
        <f>[1]!qsn([1]!ml([1]!taqsha(1,1,[1]!roz(MH89+1,0,0,0),MH90)),MH91)/30</f>
        <v>#VALUE!</v>
      </c>
      <c r="MI92" s="962" t="e">
        <f>[1]!qsn([1]!ml([1]!taqsha(1,1,[1]!roz(MI89+1,0,0,0),MI90)),MI91)/30</f>
        <v>#VALUE!</v>
      </c>
      <c r="MJ92" s="962" t="e">
        <f>[1]!qsn([1]!ml([1]!taqsha(1,1,[1]!roz(MJ89+1,0,0,0),MJ90)),MJ91)/30</f>
        <v>#VALUE!</v>
      </c>
      <c r="MK92" s="962" t="e">
        <f>[1]!qsn([1]!ml([1]!taqsha(1,1,[1]!roz(MK89+1,0,0,0),MK90)),MK91)/30</f>
        <v>#VALUE!</v>
      </c>
      <c r="ML92" s="962" t="e">
        <f>[1]!qsn([1]!ml([1]!taqsha(1,1,[1]!roz(ML89+1,0,0,0),ML90)),ML91)/30</f>
        <v>#VALUE!</v>
      </c>
      <c r="MM92" s="962" t="e">
        <f>[1]!qsn([1]!ml([1]!taqsha(1,1,[1]!roz(MM89+1,0,0,0),MM90)),MM91)/30</f>
        <v>#VALUE!</v>
      </c>
      <c r="MN92" s="962" t="e">
        <f>[1]!qsn([1]!ml([1]!taqsha(1,1,[1]!roz(MN89+1,0,0,0),MN90)),MN91)/30</f>
        <v>#VALUE!</v>
      </c>
      <c r="MO92" s="962" t="e">
        <f>[1]!qsn([1]!ml([1]!taqsha(1,1,[1]!roz(MO89+1,0,0,0),MO90)),MO91)/30</f>
        <v>#VALUE!</v>
      </c>
      <c r="MP92" s="962" t="e">
        <f>[1]!qsn([1]!ml([1]!taqsha(1,1,[1]!roz(MP89+1,0,0,0),MP90)),MP91)/30</f>
        <v>#VALUE!</v>
      </c>
      <c r="MQ92" s="962" t="e">
        <f>[1]!qsn([1]!ml([1]!taqsha(1,1,[1]!roz(MQ89+1,0,0,0),MQ90)),MQ91)/30</f>
        <v>#VALUE!</v>
      </c>
      <c r="MR92" s="962" t="e">
        <f>[1]!qsn([1]!ml([1]!taqsha(1,1,[1]!roz(MR89+1,0,0,0),MR90)),MR91)/30</f>
        <v>#VALUE!</v>
      </c>
      <c r="MS92" s="962" t="e">
        <f>[1]!qsn([1]!ml([1]!taqsha(1,1,[1]!roz(MS89+1,0,0,0),MS90)),MS91)/30</f>
        <v>#VALUE!</v>
      </c>
      <c r="MT92" s="962" t="e">
        <f>[1]!qsn([1]!ml([1]!taqsha(1,1,[1]!roz(MT89+1,0,0,0),MT90)),MT91)/30</f>
        <v>#VALUE!</v>
      </c>
      <c r="MU92" s="962" t="e">
        <f>[1]!qsn([1]!ml([1]!taqsha(1,1,[1]!roz(MU89+1,0,0,0),MU90)),MU91)/30</f>
        <v>#VALUE!</v>
      </c>
      <c r="MV92" s="962" t="e">
        <f>[1]!qsn([1]!ml([1]!taqsha(1,1,[1]!roz(MV89+1,0,0,0),MV90)),MV91)/30</f>
        <v>#VALUE!</v>
      </c>
      <c r="MW92" s="962" t="e">
        <f>[1]!qsn([1]!ml([1]!taqsha(1,1,[1]!roz(MW89+1,0,0,0),MW90)),MW91)/30</f>
        <v>#VALUE!</v>
      </c>
      <c r="MX92" s="962" t="e">
        <f>[1]!qsn([1]!ml([1]!taqsha(1,1,[1]!roz(MX89+1,0,0,0),MX90)),MX91)/30</f>
        <v>#VALUE!</v>
      </c>
      <c r="MY92" s="962" t="e">
        <f>[1]!qsn([1]!ml([1]!taqsha(1,1,[1]!roz(MY89+1,0,0,0),MY90)),MY91)/30</f>
        <v>#VALUE!</v>
      </c>
      <c r="MZ92" s="962" t="e">
        <f>[1]!qsn([1]!ml([1]!taqsha(1,1,[1]!roz(MZ89+1,0,0,0),MZ90)),MZ91)/30</f>
        <v>#VALUE!</v>
      </c>
      <c r="NA92" s="962" t="e">
        <f>[1]!qsn([1]!ml([1]!taqsha(1,1,[1]!roz(NA89+1,0,0,0),NA90)),NA91)/30</f>
        <v>#VALUE!</v>
      </c>
      <c r="NB92" s="962" t="e">
        <f>[1]!qsn([1]!ml([1]!taqsha(1,1,[1]!roz(NB89+1,0,0,0),NB90)),NB91)/30</f>
        <v>#VALUE!</v>
      </c>
      <c r="NC92" s="962" t="e">
        <f>[1]!qsn([1]!ml([1]!taqsha(1,1,[1]!roz(NC89+1,0,0,0),NC90)),NC91)/30</f>
        <v>#VALUE!</v>
      </c>
      <c r="ND92" s="962" t="e">
        <f>[1]!qsn([1]!ml([1]!taqsha(1,1,[1]!roz(ND89+1,0,0,0),ND90)),ND91)/30</f>
        <v>#VALUE!</v>
      </c>
      <c r="NE92" s="962" t="e">
        <f>[1]!qsn([1]!ml([1]!taqsha(1,1,[1]!roz(NE89+1,0,0,0),NE90)),NE91)/30</f>
        <v>#VALUE!</v>
      </c>
      <c r="NF92" s="962" t="e">
        <f>[1]!qsn([1]!ml([1]!taqsha(1,1,[1]!roz(NF89+1,0,0,0),NF90)),NF91)/30</f>
        <v>#VALUE!</v>
      </c>
      <c r="NG92" s="962" t="e">
        <f>[1]!qsn([1]!ml([1]!taqsha(1,1,[1]!roz(NG89+1,0,0,0),NG90)),NG91)/30</f>
        <v>#VALUE!</v>
      </c>
      <c r="NH92" s="962" t="e">
        <f>[1]!qsn([1]!ml([1]!taqsha(1,1,[1]!roz(NH89+1,0,0,0),NH90)),NH91)/30</f>
        <v>#VALUE!</v>
      </c>
      <c r="NI92" s="962" t="e">
        <f>[1]!qsn([1]!ml([1]!taqsha(1,1,[1]!roz(NI89+1,0,0,0),NI90)),NI91)/30</f>
        <v>#VALUE!</v>
      </c>
      <c r="NJ92" s="962" t="e">
        <f>[1]!qsn([1]!ml([1]!taqsha(1,1,[1]!roz(NJ89+1,0,0,0),NJ90)),NJ91)/30</f>
        <v>#VALUE!</v>
      </c>
      <c r="NK92" s="962" t="e">
        <f>[1]!qsn([1]!ml([1]!taqsha(1,1,[1]!roz(NK89+1,0,0,0),NK90)),NK91)/30</f>
        <v>#VALUE!</v>
      </c>
      <c r="NL92" s="962" t="e">
        <f>[1]!qsn([1]!ml([1]!taqsha(1,1,[1]!roz(NL89+1,0,0,0),NL90)),NL91)/30</f>
        <v>#VALUE!</v>
      </c>
      <c r="NM92" s="962" t="e">
        <f>[1]!qsn([1]!ml([1]!taqsha(1,1,[1]!roz(NM89+1,0,0,0),NM90)),NM91)/30</f>
        <v>#VALUE!</v>
      </c>
      <c r="NN92" s="962" t="e">
        <f>[1]!qsn([1]!ml([1]!taqsha(1,1,[1]!roz(NN89+1,0,0,0),NN90)),NN91)/30</f>
        <v>#VALUE!</v>
      </c>
      <c r="NO92" s="962" t="e">
        <f>[1]!qsn([1]!ml([1]!taqsha(1,1,[1]!roz(NO89+1,0,0,0),NO90)),NO91)/30</f>
        <v>#VALUE!</v>
      </c>
      <c r="NP92" s="962" t="e">
        <f>[1]!qsn([1]!ml([1]!taqsha(1,1,[1]!roz(NP89+1,0,0,0),NP90)),NP91)/30</f>
        <v>#VALUE!</v>
      </c>
      <c r="NQ92" s="962" t="e">
        <f>[1]!qsn([1]!ml([1]!taqsha(1,1,[1]!roz(NQ89+1,0,0,0),NQ90)),NQ91)/30</f>
        <v>#VALUE!</v>
      </c>
      <c r="NR92" s="962" t="e">
        <f>[1]!qsn([1]!ml([1]!taqsha(1,1,[1]!roz(NR89+1,0,0,0),NR90)),NR91)/30</f>
        <v>#VALUE!</v>
      </c>
      <c r="NS92" s="962" t="e">
        <f>[1]!qsn([1]!ml([1]!taqsha(1,1,[1]!roz(NS89+1,0,0,0),NS90)),NS91)/30</f>
        <v>#VALUE!</v>
      </c>
      <c r="NT92" s="962" t="e">
        <f>[1]!qsn([1]!ml([1]!taqsha(1,1,[1]!roz(NT89+1,0,0,0),NT90)),NT91)/30</f>
        <v>#VALUE!</v>
      </c>
      <c r="NU92" s="962" t="e">
        <f>[1]!qsn([1]!ml([1]!taqsha(1,1,[1]!roz(NU89+1,0,0,0),NU90)),NU91)/30</f>
        <v>#VALUE!</v>
      </c>
      <c r="NV92" s="962" t="e">
        <f>[1]!qsn([1]!ml([1]!taqsha(1,1,[1]!roz(NV89+1,0,0,0),NV90)),NV91)/30</f>
        <v>#VALUE!</v>
      </c>
      <c r="NW92" s="962" t="e">
        <f>[1]!qsn([1]!ml([1]!taqsha(1,1,[1]!roz(NW89+1,0,0,0),NW90)),NW91)/30</f>
        <v>#VALUE!</v>
      </c>
      <c r="NX92" s="962" t="e">
        <f>[1]!qsn([1]!ml([1]!taqsha(1,1,[1]!roz(NX89+1,0,0,0),NX90)),NX91)/30</f>
        <v>#VALUE!</v>
      </c>
      <c r="NY92" s="962" t="e">
        <f>[1]!qsn([1]!ml([1]!taqsha(1,1,[1]!roz(NY89+1,0,0,0),NY90)),NY91)/30</f>
        <v>#VALUE!</v>
      </c>
      <c r="NZ92" s="962" t="e">
        <f>[1]!qsn([1]!ml([1]!taqsha(1,1,[1]!roz(NZ89+1,0,0,0),NZ90)),NZ91)/30</f>
        <v>#VALUE!</v>
      </c>
      <c r="OA92" s="962" t="e">
        <f>[1]!qsn([1]!ml([1]!taqsha(1,1,[1]!roz(OA89+1,0,0,0),OA90)),OA91)/30</f>
        <v>#VALUE!</v>
      </c>
      <c r="OB92" s="962" t="e">
        <f>[1]!qsn([1]!ml([1]!taqsha(1,1,[1]!roz(OB89+1,0,0,0),OB90)),OB91)/30</f>
        <v>#VALUE!</v>
      </c>
      <c r="OC92" s="962" t="e">
        <f>[1]!qsn([1]!ml([1]!taqsha(1,1,[1]!roz(OC89+1,0,0,0),OC90)),OC91)/30</f>
        <v>#VALUE!</v>
      </c>
      <c r="OD92" s="962" t="e">
        <f>[1]!qsn([1]!ml([1]!taqsha(1,1,[1]!roz(OD89+1,0,0,0),OD90)),OD91)/30</f>
        <v>#VALUE!</v>
      </c>
      <c r="OE92" s="962" t="e">
        <f>[1]!qsn([1]!ml([1]!taqsha(1,1,[1]!roz(OE89+1,0,0,0),OE90)),OE91)/30</f>
        <v>#VALUE!</v>
      </c>
      <c r="OF92" s="962" t="e">
        <f>[1]!qsn([1]!ml([1]!taqsha(1,1,[1]!roz(OF89+1,0,0,0),OF90)),OF91)/30</f>
        <v>#VALUE!</v>
      </c>
      <c r="OG92" s="962" t="e">
        <f>[1]!qsn([1]!ml([1]!taqsha(1,1,[1]!roz(OG89+1,0,0,0),OG90)),OG91)/30</f>
        <v>#VALUE!</v>
      </c>
      <c r="OH92" s="962" t="e">
        <f>[1]!qsn([1]!ml([1]!taqsha(1,1,[1]!roz(OH89+1,0,0,0),OH90)),OH91)/30</f>
        <v>#VALUE!</v>
      </c>
      <c r="OI92" s="962" t="e">
        <f>[1]!qsn([1]!ml([1]!taqsha(1,1,[1]!roz(OI89+1,0,0,0),OI90)),OI91)/30</f>
        <v>#VALUE!</v>
      </c>
      <c r="OJ92" s="962" t="e">
        <f>[1]!qsn([1]!ml([1]!taqsha(1,1,[1]!roz(OJ89+1,0,0,0),OJ90)),OJ91)/30</f>
        <v>#VALUE!</v>
      </c>
      <c r="OK92" s="962" t="e">
        <f>[1]!qsn([1]!ml([1]!taqsha(1,1,[1]!roz(OK89+1,0,0,0),OK90)),OK91)/30</f>
        <v>#VALUE!</v>
      </c>
      <c r="OL92" s="962" t="e">
        <f>[1]!qsn([1]!ml([1]!taqsha(1,1,[1]!roz(OL89+1,0,0,0),OL90)),OL91)/30</f>
        <v>#VALUE!</v>
      </c>
      <c r="OM92" s="962" t="e">
        <f>[1]!qsn([1]!ml([1]!taqsha(1,1,[1]!roz(OM89+1,0,0,0),OM90)),OM91)/30</f>
        <v>#VALUE!</v>
      </c>
      <c r="ON92" s="962" t="e">
        <f>[1]!qsn([1]!ml([1]!taqsha(1,1,[1]!roz(ON89+1,0,0,0),ON90)),ON91)/30</f>
        <v>#VALUE!</v>
      </c>
      <c r="OO92" s="962" t="e">
        <f>[1]!qsn([1]!ml([1]!taqsha(1,1,[1]!roz(OO89+1,0,0,0),OO90)),OO91)/30</f>
        <v>#VALUE!</v>
      </c>
      <c r="OP92" s="962" t="e">
        <f>[1]!qsn([1]!ml([1]!taqsha(1,1,[1]!roz(OP89+1,0,0,0),OP90)),OP91)/30</f>
        <v>#VALUE!</v>
      </c>
      <c r="OQ92" s="962" t="e">
        <f>[1]!qsn([1]!ml([1]!taqsha(1,1,[1]!roz(OQ89+1,0,0,0),OQ90)),OQ91)/30</f>
        <v>#VALUE!</v>
      </c>
      <c r="OR92" s="962" t="e">
        <f>[1]!qsn([1]!ml([1]!taqsha(1,1,[1]!roz(OR89+1,0,0,0),OR90)),OR91)/30</f>
        <v>#VALUE!</v>
      </c>
      <c r="OS92" s="962" t="e">
        <f>[1]!qsn([1]!ml([1]!taqsha(1,1,[1]!roz(OS89+1,0,0,0),OS90)),OS91)/30</f>
        <v>#VALUE!</v>
      </c>
      <c r="OT92" s="962" t="e">
        <f>[1]!qsn([1]!ml([1]!taqsha(1,1,[1]!roz(OT89+1,0,0,0),OT90)),OT91)/30</f>
        <v>#VALUE!</v>
      </c>
      <c r="OU92" s="962" t="e">
        <f>[1]!qsn([1]!ml([1]!taqsha(1,1,[1]!roz(OU89+1,0,0,0),OU90)),OU91)/30</f>
        <v>#VALUE!</v>
      </c>
      <c r="OV92" s="962" t="e">
        <f>[1]!qsn([1]!ml([1]!taqsha(1,1,[1]!roz(OV89+1,0,0,0),OV90)),OV91)/30</f>
        <v>#VALUE!</v>
      </c>
      <c r="OW92" s="962" t="e">
        <f>[1]!qsn([1]!ml([1]!taqsha(1,1,[1]!roz(OW89+1,0,0,0),OW90)),OW91)/30</f>
        <v>#VALUE!</v>
      </c>
      <c r="OX92" s="962" t="e">
        <f>[1]!qsn([1]!ml([1]!taqsha(1,1,[1]!roz(OX89+1,0,0,0),OX90)),OX91)/30</f>
        <v>#VALUE!</v>
      </c>
      <c r="OY92" s="962" t="e">
        <f>[1]!qsn([1]!ml([1]!taqsha(1,1,[1]!roz(OY89+1,0,0,0),OY90)),OY91)/30</f>
        <v>#VALUE!</v>
      </c>
      <c r="OZ92" s="962" t="e">
        <f>[1]!qsn([1]!ml([1]!taqsha(1,1,[1]!roz(OZ89+1,0,0,0),OZ90)),OZ91)/30</f>
        <v>#VALUE!</v>
      </c>
      <c r="PA92" s="962" t="e">
        <f>[1]!qsn([1]!ml([1]!taqsha(1,1,[1]!roz(PA89+1,0,0,0),PA90)),PA91)/30</f>
        <v>#VALUE!</v>
      </c>
      <c r="PB92" s="962" t="e">
        <f>[1]!qsn([1]!ml([1]!taqsha(1,1,[1]!roz(PB89+1,0,0,0),PB90)),PB91)/30</f>
        <v>#VALUE!</v>
      </c>
      <c r="PC92" s="962" t="e">
        <f>[1]!qsn([1]!ml([1]!taqsha(1,1,[1]!roz(PC89+1,0,0,0),PC90)),PC91)/30</f>
        <v>#VALUE!</v>
      </c>
      <c r="PD92" s="962" t="e">
        <f>[1]!qsn([1]!ml([1]!taqsha(1,1,[1]!roz(PD89+1,0,0,0),PD90)),PD91)/30</f>
        <v>#VALUE!</v>
      </c>
      <c r="PE92" s="962" t="e">
        <f>[1]!qsn([1]!ml([1]!taqsha(1,1,[1]!roz(PE89+1,0,0,0),PE90)),PE91)/30</f>
        <v>#VALUE!</v>
      </c>
      <c r="PF92" s="962" t="e">
        <f>[1]!qsn([1]!ml([1]!taqsha(1,1,[1]!roz(PF89+1,0,0,0),PF90)),PF91)/30</f>
        <v>#VALUE!</v>
      </c>
      <c r="PG92" s="962" t="e">
        <f>[1]!qsn([1]!ml([1]!taqsha(1,1,[1]!roz(PG89+1,0,0,0),PG90)),PG91)/30</f>
        <v>#VALUE!</v>
      </c>
      <c r="PH92" s="962" t="e">
        <f>[1]!qsn([1]!ml([1]!taqsha(1,1,[1]!roz(PH89+1,0,0,0),PH90)),PH91)/30</f>
        <v>#VALUE!</v>
      </c>
      <c r="PI92" s="962" t="e">
        <f>[1]!qsn([1]!ml([1]!taqsha(1,1,[1]!roz(PI89+1,0,0,0),PI90)),PI91)/30</f>
        <v>#VALUE!</v>
      </c>
      <c r="PJ92" s="962" t="e">
        <f>[1]!qsn([1]!ml([1]!taqsha(1,1,[1]!roz(PJ89+1,0,0,0),PJ90)),PJ91)/30</f>
        <v>#VALUE!</v>
      </c>
      <c r="PK92" s="962" t="e">
        <f>[1]!qsn([1]!ml([1]!taqsha(1,1,[1]!roz(PK89+1,0,0,0),PK90)),PK91)/30</f>
        <v>#VALUE!</v>
      </c>
      <c r="PL92" s="962" t="e">
        <f>[1]!qsn([1]!ml([1]!taqsha(1,1,[1]!roz(PL89+1,0,0,0),PL90)),PL91)/30</f>
        <v>#VALUE!</v>
      </c>
      <c r="PM92" s="962" t="e">
        <f>[1]!qsn([1]!ml([1]!taqsha(1,1,[1]!roz(PM89+1,0,0,0),PM90)),PM91)/30</f>
        <v>#VALUE!</v>
      </c>
      <c r="PN92" s="962" t="e">
        <f>[1]!qsn([1]!ml([1]!taqsha(1,1,[1]!roz(PN89+1,0,0,0),PN90)),PN91)/30</f>
        <v>#VALUE!</v>
      </c>
      <c r="PO92" s="962" t="e">
        <f>[1]!qsn([1]!ml([1]!taqsha(1,1,[1]!roz(PO89+1,0,0,0),PO90)),PO91)/30</f>
        <v>#VALUE!</v>
      </c>
      <c r="PP92" s="962" t="e">
        <f>[1]!qsn([1]!ml([1]!taqsha(1,1,[1]!roz(PP89+1,0,0,0),PP90)),PP91)/30</f>
        <v>#VALUE!</v>
      </c>
      <c r="PQ92" s="962" t="e">
        <f>[1]!qsn([1]!ml([1]!taqsha(1,1,[1]!roz(PQ89+1,0,0,0),PQ90)),PQ91)/30</f>
        <v>#VALUE!</v>
      </c>
      <c r="PR92" s="962" t="e">
        <f>[1]!qsn([1]!ml([1]!taqsha(1,1,[1]!roz(PR89+1,0,0,0),PR90)),PR91)/30</f>
        <v>#VALUE!</v>
      </c>
      <c r="PS92" s="962" t="e">
        <f>[1]!qsn([1]!ml([1]!taqsha(1,1,[1]!roz(PS89+1,0,0,0),PS90)),PS91)/30</f>
        <v>#VALUE!</v>
      </c>
      <c r="PT92" s="962" t="e">
        <f>[1]!qsn([1]!ml([1]!taqsha(1,1,[1]!roz(PT89+1,0,0,0),PT90)),PT91)/30</f>
        <v>#VALUE!</v>
      </c>
      <c r="PU92" s="962" t="e">
        <f>[1]!qsn([1]!ml([1]!taqsha(1,1,[1]!roz(PU89+1,0,0,0),PU90)),PU91)/30</f>
        <v>#VALUE!</v>
      </c>
      <c r="PV92" s="962" t="e">
        <f>[1]!qsn([1]!ml([1]!taqsha(1,1,[1]!roz(PV89+1,0,0,0),PV90)),PV91)/30</f>
        <v>#VALUE!</v>
      </c>
      <c r="PW92" s="962" t="e">
        <f>[1]!qsn([1]!ml([1]!taqsha(1,1,[1]!roz(PW89+1,0,0,0),PW90)),PW91)/30</f>
        <v>#VALUE!</v>
      </c>
      <c r="PX92" s="962" t="e">
        <f>[1]!qsn([1]!ml([1]!taqsha(1,1,[1]!roz(PX89+1,0,0,0),PX90)),PX91)/30</f>
        <v>#VALUE!</v>
      </c>
      <c r="PY92" s="962" t="e">
        <f>[1]!qsn([1]!ml([1]!taqsha(1,1,[1]!roz(PY89+1,0,0,0),PY90)),PY91)/30</f>
        <v>#VALUE!</v>
      </c>
      <c r="PZ92" s="962" t="e">
        <f>[1]!qsn([1]!ml([1]!taqsha(1,1,[1]!roz(PZ89+1,0,0,0),PZ90)),PZ91)/30</f>
        <v>#VALUE!</v>
      </c>
      <c r="QA92" s="962" t="e">
        <f>[1]!qsn([1]!ml([1]!taqsha(1,1,[1]!roz(QA89+1,0,0,0),QA90)),QA91)/30</f>
        <v>#VALUE!</v>
      </c>
      <c r="QB92" s="962" t="e">
        <f>[1]!qsn([1]!ml([1]!taqsha(1,1,[1]!roz(QB89+1,0,0,0),QB90)),QB91)/30</f>
        <v>#VALUE!</v>
      </c>
      <c r="QC92" s="962" t="e">
        <f>[1]!qsn([1]!ml([1]!taqsha(1,1,[1]!roz(QC89+1,0,0,0),QC90)),QC91)/30</f>
        <v>#VALUE!</v>
      </c>
      <c r="QD92" s="962" t="e">
        <f>[1]!qsn([1]!ml([1]!taqsha(1,1,[1]!roz(QD89+1,0,0,0),QD90)),QD91)/30</f>
        <v>#VALUE!</v>
      </c>
      <c r="QE92" s="962" t="e">
        <f>[1]!qsn([1]!ml([1]!taqsha(1,1,[1]!roz(QE89+1,0,0,0),QE90)),QE91)/30</f>
        <v>#VALUE!</v>
      </c>
      <c r="QF92" s="962" t="e">
        <f>[1]!qsn([1]!ml([1]!taqsha(1,1,[1]!roz(QF89+1,0,0,0),QF90)),QF91)/30</f>
        <v>#VALUE!</v>
      </c>
      <c r="QG92" s="962" t="e">
        <f>[1]!qsn([1]!ml([1]!taqsha(1,1,[1]!roz(QG89+1,0,0,0),QG90)),QG91)/30</f>
        <v>#VALUE!</v>
      </c>
      <c r="QH92" s="962" t="e">
        <f>[1]!qsn([1]!ml([1]!taqsha(1,1,[1]!roz(QH89+1,0,0,0),QH90)),QH91)/30</f>
        <v>#VALUE!</v>
      </c>
      <c r="QI92" s="962" t="e">
        <f>[1]!qsn([1]!ml([1]!taqsha(1,1,[1]!roz(QI89+1,0,0,0),QI90)),QI91)/30</f>
        <v>#VALUE!</v>
      </c>
      <c r="QJ92" s="962" t="e">
        <f>[1]!qsn([1]!ml([1]!taqsha(1,1,[1]!roz(QJ89+1,0,0,0),QJ90)),QJ91)/30</f>
        <v>#VALUE!</v>
      </c>
      <c r="QK92" s="962" t="e">
        <f>[1]!qsn([1]!ml([1]!taqsha(1,1,[1]!roz(QK89+1,0,0,0),QK90)),QK91)/30</f>
        <v>#VALUE!</v>
      </c>
      <c r="QL92" s="962" t="e">
        <f>[1]!qsn([1]!ml([1]!taqsha(1,1,[1]!roz(QL89+1,0,0,0),QL90)),QL91)/30</f>
        <v>#VALUE!</v>
      </c>
      <c r="QM92" s="962" t="e">
        <f>[1]!qsn([1]!ml([1]!taqsha(1,1,[1]!roz(QM89+1,0,0,0),QM90)),QM91)/30</f>
        <v>#VALUE!</v>
      </c>
      <c r="QN92" s="962" t="e">
        <f>[1]!qsn([1]!ml([1]!taqsha(1,1,[1]!roz(QN89+1,0,0,0),QN90)),QN91)/30</f>
        <v>#VALUE!</v>
      </c>
      <c r="QO92" s="962" t="e">
        <f>[1]!qsn([1]!ml([1]!taqsha(1,1,[1]!roz(QO89+1,0,0,0),QO90)),QO91)/30</f>
        <v>#VALUE!</v>
      </c>
      <c r="QP92" s="962" t="e">
        <f>[1]!qsn([1]!ml([1]!taqsha(1,1,[1]!roz(QP89+1,0,0,0),QP90)),QP91)/30</f>
        <v>#VALUE!</v>
      </c>
      <c r="QQ92" s="962" t="e">
        <f>[1]!qsn([1]!ml([1]!taqsha(1,1,[1]!roz(QQ89+1,0,0,0),QQ90)),QQ91)/30</f>
        <v>#VALUE!</v>
      </c>
      <c r="QR92" s="962" t="e">
        <f>[1]!qsn([1]!ml([1]!taqsha(1,1,[1]!roz(QR89+1,0,0,0),QR90)),QR91)/30</f>
        <v>#VALUE!</v>
      </c>
      <c r="QS92" s="962" t="e">
        <f>[1]!qsn([1]!ml([1]!taqsha(1,1,[1]!roz(QS89+1,0,0,0),QS90)),QS91)/30</f>
        <v>#VALUE!</v>
      </c>
      <c r="QT92" s="962" t="e">
        <f>[1]!qsn([1]!ml([1]!taqsha(1,1,[1]!roz(QT89+1,0,0,0),QT90)),QT91)/30</f>
        <v>#VALUE!</v>
      </c>
      <c r="QU92" s="962" t="e">
        <f>[1]!qsn([1]!ml([1]!taqsha(1,1,[1]!roz(QU89+1,0,0,0),QU90)),QU91)/30</f>
        <v>#VALUE!</v>
      </c>
      <c r="QV92" s="962" t="e">
        <f>[1]!qsn([1]!ml([1]!taqsha(1,1,[1]!roz(QV89+1,0,0,0),QV90)),QV91)/30</f>
        <v>#VALUE!</v>
      </c>
      <c r="QW92" s="962" t="e">
        <f>[1]!qsn([1]!ml([1]!taqsha(1,1,[1]!roz(QW89+1,0,0,0),QW90)),QW91)/30</f>
        <v>#VALUE!</v>
      </c>
      <c r="QX92" s="962" t="e">
        <f>[1]!qsn([1]!ml([1]!taqsha(1,1,[1]!roz(QX89+1,0,0,0),QX90)),QX91)/30</f>
        <v>#VALUE!</v>
      </c>
      <c r="QY92" s="962" t="e">
        <f>[1]!qsn([1]!ml([1]!taqsha(1,1,[1]!roz(QY89+1,0,0,0),QY90)),QY91)/30</f>
        <v>#VALUE!</v>
      </c>
      <c r="QZ92" s="962" t="e">
        <f>[1]!qsn([1]!ml([1]!taqsha(1,1,[1]!roz(QZ89+1,0,0,0),QZ90)),QZ91)/30</f>
        <v>#VALUE!</v>
      </c>
      <c r="RA92" s="963" t="e">
        <f>[1]!qsn([1]!ml([1]!taqsha(1,1,[1]!roz(RA89+1,0,0,0),RA90)),RA91)/30</f>
        <v>#VALUE!</v>
      </c>
      <c r="RB92" s="797"/>
      <c r="RC92" s="797"/>
    </row>
    <row r="93" spans="2:471" ht="17.25">
      <c r="B93" s="3"/>
      <c r="C93" s="3"/>
      <c r="D93" s="3"/>
      <c r="E93" s="3"/>
      <c r="F93" s="3"/>
      <c r="G93" s="3"/>
      <c r="H93" s="3"/>
      <c r="I93" s="3"/>
      <c r="J93" s="3"/>
      <c r="K93" s="3"/>
      <c r="L93" s="3"/>
      <c r="M93" s="3"/>
      <c r="N93" s="3"/>
      <c r="O93" s="3"/>
      <c r="P93" s="3"/>
      <c r="Q93" s="3">
        <f>L92</f>
        <v>6</v>
      </c>
      <c r="R93" s="3">
        <f t="shared" ref="R93:AB93" si="1187">IF(MOD(R90,2)=0,MOD((Q93+2),7),MOD((Q93+1),7))</f>
        <v>1</v>
      </c>
      <c r="S93" s="3">
        <f t="shared" si="1187"/>
        <v>2</v>
      </c>
      <c r="T93" s="3">
        <f t="shared" si="1187"/>
        <v>4</v>
      </c>
      <c r="U93" s="3">
        <f t="shared" si="1187"/>
        <v>5</v>
      </c>
      <c r="V93" s="3">
        <f t="shared" si="1187"/>
        <v>0</v>
      </c>
      <c r="W93" s="3">
        <f t="shared" si="1187"/>
        <v>1</v>
      </c>
      <c r="X93" s="3">
        <f t="shared" si="1187"/>
        <v>3</v>
      </c>
      <c r="Y93" s="3">
        <f t="shared" si="1187"/>
        <v>4</v>
      </c>
      <c r="Z93" s="3">
        <f t="shared" si="1187"/>
        <v>6</v>
      </c>
      <c r="AA93" s="3">
        <f t="shared" si="1187"/>
        <v>0</v>
      </c>
      <c r="AB93" s="3">
        <f t="shared" si="1187"/>
        <v>2</v>
      </c>
      <c r="DH93" s="797"/>
      <c r="DJ93" s="961" t="e">
        <f>[1]!taqsh(1,1,[1]!roz(DJ89+1,DJ92,0,0),DJ90)</f>
        <v>#VALUE!</v>
      </c>
      <c r="DK93" s="962" t="e">
        <f>[1]!taqsh(1,1,[1]!roz(DK89+1,DK92,0,0),DK90)</f>
        <v>#VALUE!</v>
      </c>
      <c r="DL93" s="962" t="e">
        <f>[1]!taqsh(1,1,[1]!roz(DL89+1,DL92,0,0),DL90)</f>
        <v>#VALUE!</v>
      </c>
      <c r="DM93" s="962" t="e">
        <f>[1]!taqsh(1,1,[1]!roz(DM89+1,DM92,0,0),DM90)</f>
        <v>#VALUE!</v>
      </c>
      <c r="DN93" s="962" t="e">
        <f>[1]!taqsh(1,1,[1]!roz(DN89+1,DN92,0,0),DN90)</f>
        <v>#VALUE!</v>
      </c>
      <c r="DO93" s="962" t="e">
        <f>[1]!taqsh(1,1,[1]!roz(DO89+1,DO92,0,0),DO90)</f>
        <v>#VALUE!</v>
      </c>
      <c r="DP93" s="962" t="e">
        <f>[1]!taqsh(1,1,[1]!roz(DP89+1,DP92,0,0),DP90)</f>
        <v>#VALUE!</v>
      </c>
      <c r="DQ93" s="962" t="e">
        <f>[1]!taqsh(1,1,[1]!roz(DQ89+1,DQ92,0,0),DQ90)</f>
        <v>#VALUE!</v>
      </c>
      <c r="DR93" s="962" t="e">
        <f>[1]!taqsh(1,1,[1]!roz(DR89+1,DR92,0,0),DR90)</f>
        <v>#VALUE!</v>
      </c>
      <c r="DS93" s="962" t="e">
        <f>[1]!taqsh(1,1,[1]!roz(DS89+1,DS92,0,0),DS90)</f>
        <v>#VALUE!</v>
      </c>
      <c r="DT93" s="962" t="e">
        <f>[1]!taqsh(1,1,[1]!roz(DT89+1,DT92,0,0),DT90)</f>
        <v>#VALUE!</v>
      </c>
      <c r="DU93" s="962" t="e">
        <f>[1]!taqsh(1,1,[1]!roz(DU89+1,DU92,0,0),DU90)</f>
        <v>#VALUE!</v>
      </c>
      <c r="DV93" s="962" t="e">
        <f>[1]!taqsh(1,1,[1]!roz(DV89+1,DV92,0,0),DV90)</f>
        <v>#VALUE!</v>
      </c>
      <c r="DW93" s="962" t="e">
        <f>[1]!taqsh(1,1,[1]!roz(DW89+1,DW92,0,0),DW90)</f>
        <v>#VALUE!</v>
      </c>
      <c r="DX93" s="962" t="e">
        <f>[1]!taqsh(1,1,[1]!roz(DX89+1,DX92,0,0),DX90)</f>
        <v>#VALUE!</v>
      </c>
      <c r="DY93" s="962" t="e">
        <f>[1]!taqsh(1,1,[1]!roz(DY89+1,DY92,0,0),DY90)</f>
        <v>#VALUE!</v>
      </c>
      <c r="DZ93" s="962" t="e">
        <f>[1]!taqsh(1,1,[1]!roz(DZ89+1,DZ92,0,0),DZ90)</f>
        <v>#VALUE!</v>
      </c>
      <c r="EA93" s="962" t="e">
        <f>[1]!taqsh(1,1,[1]!roz(EA89+1,EA92,0,0),EA90)</f>
        <v>#VALUE!</v>
      </c>
      <c r="EB93" s="962" t="e">
        <f>[1]!taqsh(1,1,[1]!roz(EB89+1,EB92,0,0),EB90)</f>
        <v>#VALUE!</v>
      </c>
      <c r="EC93" s="962" t="e">
        <f>[1]!taqsh(1,1,[1]!roz(EC89+1,EC92,0,0),EC90)</f>
        <v>#VALUE!</v>
      </c>
      <c r="ED93" s="962" t="e">
        <f>[1]!taqsh(1,1,[1]!roz(ED89+1,ED92,0,0),ED90)</f>
        <v>#VALUE!</v>
      </c>
      <c r="EE93" s="962" t="e">
        <f>[1]!taqsh(1,1,[1]!roz(EE89+1,EE92,0,0),EE90)</f>
        <v>#VALUE!</v>
      </c>
      <c r="EF93" s="962" t="e">
        <f>[1]!taqsh(1,1,[1]!roz(EF89+1,EF92,0,0),EF90)</f>
        <v>#VALUE!</v>
      </c>
      <c r="EG93" s="962" t="e">
        <f>[1]!taqsh(1,1,[1]!roz(EG89+1,EG92,0,0),EG90)</f>
        <v>#VALUE!</v>
      </c>
      <c r="EH93" s="962" t="e">
        <f>[1]!taqsh(1,1,[1]!roz(EH89+1,EH92,0,0),EH90)</f>
        <v>#VALUE!</v>
      </c>
      <c r="EI93" s="962" t="e">
        <f>[1]!taqsh(1,1,[1]!roz(EI89+1,EI92,0,0),EI90)</f>
        <v>#VALUE!</v>
      </c>
      <c r="EJ93" s="962" t="e">
        <f>[1]!taqsh(1,1,[1]!roz(EJ89+1,EJ92,0,0),EJ90)</f>
        <v>#VALUE!</v>
      </c>
      <c r="EK93" s="962" t="e">
        <f>[1]!taqsh(1,1,[1]!roz(EK89+1,EK92,0,0),EK90)</f>
        <v>#VALUE!</v>
      </c>
      <c r="EL93" s="962" t="e">
        <f>[1]!taqsh(1,1,[1]!roz(EL89+1,EL92,0,0),EL90)</f>
        <v>#VALUE!</v>
      </c>
      <c r="EM93" s="962" t="e">
        <f>[1]!taqsh(1,1,[1]!roz(EM89+1,EM92,0,0),EM90)</f>
        <v>#VALUE!</v>
      </c>
      <c r="EN93" s="962" t="e">
        <f>[1]!taqsh(1,1,[1]!roz(EN89+1,EN92,0,0),EN90)</f>
        <v>#VALUE!</v>
      </c>
      <c r="EO93" s="962" t="e">
        <f>[1]!taqsh(1,1,[1]!roz(EO89+1,EO92,0,0),EO90)</f>
        <v>#VALUE!</v>
      </c>
      <c r="EP93" s="962" t="e">
        <f>[1]!taqsh(1,1,[1]!roz(EP89+1,EP92,0,0),EP90)</f>
        <v>#VALUE!</v>
      </c>
      <c r="EQ93" s="962" t="e">
        <f>[1]!taqsh(1,1,[1]!roz(EQ89+1,EQ92,0,0),EQ90)</f>
        <v>#VALUE!</v>
      </c>
      <c r="ER93" s="962" t="e">
        <f>[1]!taqsh(1,1,[1]!roz(ER89+1,ER92,0,0),ER90)</f>
        <v>#VALUE!</v>
      </c>
      <c r="ES93" s="962" t="e">
        <f>[1]!taqsh(1,1,[1]!roz(ES89+1,ES92,0,0),ES90)</f>
        <v>#VALUE!</v>
      </c>
      <c r="ET93" s="962" t="e">
        <f>[1]!taqsh(1,1,[1]!roz(ET89+1,ET92,0,0),ET90)</f>
        <v>#VALUE!</v>
      </c>
      <c r="EU93" s="962" t="e">
        <f>[1]!taqsh(1,1,[1]!roz(EU89+1,EU92,0,0),EU90)</f>
        <v>#VALUE!</v>
      </c>
      <c r="EV93" s="962" t="e">
        <f>[1]!taqsh(1,1,[1]!roz(EV89+1,EV92,0,0),EV90)</f>
        <v>#VALUE!</v>
      </c>
      <c r="EW93" s="962" t="e">
        <f>[1]!taqsh(1,1,[1]!roz(EW89+1,EW92,0,0),EW90)</f>
        <v>#VALUE!</v>
      </c>
      <c r="EX93" s="962" t="e">
        <f>[1]!taqsh(1,1,[1]!roz(EX89+1,EX92,0,0),EX90)</f>
        <v>#VALUE!</v>
      </c>
      <c r="EY93" s="962" t="e">
        <f>[1]!taqsh(1,1,[1]!roz(EY89+1,EY92,0,0),EY90)</f>
        <v>#VALUE!</v>
      </c>
      <c r="EZ93" s="962" t="e">
        <f>[1]!taqsh(1,1,[1]!roz(EZ89+1,EZ92,0,0),EZ90)</f>
        <v>#VALUE!</v>
      </c>
      <c r="FA93" s="962" t="e">
        <f>[1]!taqsh(1,1,[1]!roz(FA89+1,FA92,0,0),FA90)</f>
        <v>#VALUE!</v>
      </c>
      <c r="FB93" s="962" t="e">
        <f>[1]!taqsh(1,1,[1]!roz(FB89+1,FB92,0,0),FB90)</f>
        <v>#VALUE!</v>
      </c>
      <c r="FC93" s="962" t="e">
        <f>[1]!taqsh(1,1,[1]!roz(FC89+1,FC92,0,0),FC90)</f>
        <v>#VALUE!</v>
      </c>
      <c r="FD93" s="962" t="e">
        <f>[1]!taqsh(1,1,[1]!roz(FD89+1,FD92,0,0),FD90)</f>
        <v>#VALUE!</v>
      </c>
      <c r="FE93" s="962" t="e">
        <f>[1]!taqsh(1,1,[1]!roz(FE89+1,FE92,0,0),FE90)</f>
        <v>#VALUE!</v>
      </c>
      <c r="FF93" s="962" t="e">
        <f>[1]!taqsh(1,1,[1]!roz(FF89+1,FF92,0,0),FF90)</f>
        <v>#VALUE!</v>
      </c>
      <c r="FG93" s="962" t="e">
        <f>[1]!taqsh(1,1,[1]!roz(FG89+1,FG92,0,0),FG90)</f>
        <v>#VALUE!</v>
      </c>
      <c r="FH93" s="962" t="e">
        <f>[1]!taqsh(1,1,[1]!roz(FH89+1,FH92,0,0),FH90)</f>
        <v>#VALUE!</v>
      </c>
      <c r="FI93" s="962" t="e">
        <f>[1]!taqsh(1,1,[1]!roz(FI89+1,FI92,0,0),FI90)</f>
        <v>#VALUE!</v>
      </c>
      <c r="FJ93" s="962" t="e">
        <f>[1]!taqsh(1,1,[1]!roz(FJ89+1,FJ92,0,0),FJ90)</f>
        <v>#VALUE!</v>
      </c>
      <c r="FK93" s="962" t="e">
        <f>[1]!taqsh(1,1,[1]!roz(FK89+1,FK92,0,0),FK90)</f>
        <v>#VALUE!</v>
      </c>
      <c r="FL93" s="962" t="e">
        <f>[1]!taqsh(1,1,[1]!roz(FL89+1,FL92,0,0),FL90)</f>
        <v>#VALUE!</v>
      </c>
      <c r="FM93" s="962" t="e">
        <f>[1]!taqsh(1,1,[1]!roz(FM89+1,FM92,0,0),FM90)</f>
        <v>#VALUE!</v>
      </c>
      <c r="FN93" s="962" t="e">
        <f>[1]!taqsh(1,1,[1]!roz(FN89+1,FN92,0,0),FN90)</f>
        <v>#VALUE!</v>
      </c>
      <c r="FO93" s="962" t="e">
        <f>[1]!taqsh(1,1,[1]!roz(FO89+1,FO92,0,0),FO90)</f>
        <v>#VALUE!</v>
      </c>
      <c r="FP93" s="962" t="e">
        <f>[1]!taqsh(1,1,[1]!roz(FP89+1,FP92,0,0),FP90)</f>
        <v>#VALUE!</v>
      </c>
      <c r="FQ93" s="962" t="e">
        <f>[1]!taqsh(1,1,[1]!roz(FQ89+1,FQ92,0,0),FQ90)</f>
        <v>#VALUE!</v>
      </c>
      <c r="FR93" s="962" t="e">
        <f>[1]!taqsh(1,1,[1]!roz(FR89+1,FR92,0,0),FR90)</f>
        <v>#VALUE!</v>
      </c>
      <c r="FS93" s="962" t="e">
        <f>[1]!taqsh(1,1,[1]!roz(FS89+1,FS92,0,0),FS90)</f>
        <v>#VALUE!</v>
      </c>
      <c r="FT93" s="962" t="e">
        <f>[1]!taqsh(1,1,[1]!roz(FT89+1,FT92,0,0),FT90)</f>
        <v>#VALUE!</v>
      </c>
      <c r="FU93" s="962" t="e">
        <f>[1]!taqsh(1,1,[1]!roz(FU89+1,FU92,0,0),FU90)</f>
        <v>#VALUE!</v>
      </c>
      <c r="FV93" s="962" t="e">
        <f>[1]!taqsh(1,1,[1]!roz(FV89+1,FV92,0,0),FV90)</f>
        <v>#VALUE!</v>
      </c>
      <c r="FW93" s="962" t="e">
        <f>[1]!taqsh(1,1,[1]!roz(FW89+1,FW92,0,0),FW90)</f>
        <v>#VALUE!</v>
      </c>
      <c r="FX93" s="962" t="e">
        <f>[1]!taqsh(1,1,[1]!roz(FX89+1,FX92,0,0),FX90)</f>
        <v>#VALUE!</v>
      </c>
      <c r="FY93" s="962" t="e">
        <f>[1]!taqsh(1,1,[1]!roz(FY89+1,FY92,0,0),FY90)</f>
        <v>#VALUE!</v>
      </c>
      <c r="FZ93" s="962" t="e">
        <f>[1]!taqsh(1,1,[1]!roz(FZ89+1,FZ92,0,0),FZ90)</f>
        <v>#VALUE!</v>
      </c>
      <c r="GA93" s="962" t="e">
        <f>[1]!taqsh(1,1,[1]!roz(GA89+1,GA92,0,0),GA90)</f>
        <v>#VALUE!</v>
      </c>
      <c r="GB93" s="962" t="e">
        <f>[1]!taqsh(1,1,[1]!roz(GB89+1,GB92,0,0),GB90)</f>
        <v>#VALUE!</v>
      </c>
      <c r="GC93" s="962" t="e">
        <f>[1]!taqsh(1,1,[1]!roz(GC89+1,GC92,0,0),GC90)</f>
        <v>#VALUE!</v>
      </c>
      <c r="GD93" s="962" t="e">
        <f>[1]!taqsh(1,1,[1]!roz(GD89+1,GD92,0,0),GD90)</f>
        <v>#VALUE!</v>
      </c>
      <c r="GE93" s="962" t="e">
        <f>[1]!taqsh(1,1,[1]!roz(GE89+1,GE92,0,0),GE90)</f>
        <v>#VALUE!</v>
      </c>
      <c r="GF93" s="962" t="e">
        <f>[1]!taqsh(1,1,[1]!roz(GF89+1,GF92,0,0),GF90)</f>
        <v>#VALUE!</v>
      </c>
      <c r="GG93" s="962" t="e">
        <f>[1]!taqsh(1,1,[1]!roz(GG89+1,GG92,0,0),GG90)</f>
        <v>#VALUE!</v>
      </c>
      <c r="GH93" s="962" t="e">
        <f>[1]!taqsh(1,1,[1]!roz(GH89+1,GH92,0,0),GH90)</f>
        <v>#VALUE!</v>
      </c>
      <c r="GI93" s="962" t="e">
        <f>[1]!taqsh(1,1,[1]!roz(GI89+1,GI92,0,0),GI90)</f>
        <v>#VALUE!</v>
      </c>
      <c r="GJ93" s="962" t="e">
        <f>[1]!taqsh(1,1,[1]!roz(GJ89+1,GJ92,0,0),GJ90)</f>
        <v>#VALUE!</v>
      </c>
      <c r="GK93" s="962" t="e">
        <f>[1]!taqsh(1,1,[1]!roz(GK89+1,GK92,0,0),GK90)</f>
        <v>#VALUE!</v>
      </c>
      <c r="GL93" s="962" t="e">
        <f>[1]!taqsh(1,1,[1]!roz(GL89+1,GL92,0,0),GL90)</f>
        <v>#VALUE!</v>
      </c>
      <c r="GM93" s="962" t="e">
        <f>[1]!taqsh(1,1,[1]!roz(GM89+1,GM92,0,0),GM90)</f>
        <v>#VALUE!</v>
      </c>
      <c r="GN93" s="962" t="e">
        <f>[1]!taqsh(1,1,[1]!roz(GN89+1,GN92,0,0),GN90)</f>
        <v>#VALUE!</v>
      </c>
      <c r="GO93" s="962" t="e">
        <f>[1]!taqsh(1,1,[1]!roz(GO89+1,GO92,0,0),GO90)</f>
        <v>#VALUE!</v>
      </c>
      <c r="GP93" s="962" t="e">
        <f>[1]!taqsh(1,1,[1]!roz(GP89+1,GP92,0,0),GP90)</f>
        <v>#VALUE!</v>
      </c>
      <c r="GQ93" s="962" t="e">
        <f>[1]!taqsh(1,1,[1]!roz(GQ89+1,GQ92,0,0),GQ90)</f>
        <v>#VALUE!</v>
      </c>
      <c r="GR93" s="962" t="e">
        <f>[1]!taqsh(1,1,[1]!roz(GR89+1,GR92,0,0),GR90)</f>
        <v>#VALUE!</v>
      </c>
      <c r="GS93" s="962" t="e">
        <f>[1]!taqsh(1,1,[1]!roz(GS89+1,GS92,0,0),GS90)</f>
        <v>#VALUE!</v>
      </c>
      <c r="GT93" s="962" t="e">
        <f>[1]!taqsh(1,1,[1]!roz(GT89+1,GT92,0,0),GT90)</f>
        <v>#VALUE!</v>
      </c>
      <c r="GU93" s="962" t="e">
        <f>[1]!taqsh(1,1,[1]!roz(GU89+1,GU92,0,0),GU90)</f>
        <v>#VALUE!</v>
      </c>
      <c r="GV93" s="962" t="e">
        <f>[1]!taqsh(1,1,[1]!roz(GV89+1,GV92,0,0),GV90)</f>
        <v>#VALUE!</v>
      </c>
      <c r="GW93" s="962" t="e">
        <f>[1]!taqsh(1,1,[1]!roz(GW89+1,GW92,0,0),GW90)</f>
        <v>#VALUE!</v>
      </c>
      <c r="GX93" s="962" t="e">
        <f>[1]!taqsh(1,1,[1]!roz(GX89+1,GX92,0,0),GX90)</f>
        <v>#VALUE!</v>
      </c>
      <c r="GY93" s="962" t="e">
        <f>[1]!taqsh(1,1,[1]!roz(GY89+1,GY92,0,0),GY90)</f>
        <v>#VALUE!</v>
      </c>
      <c r="GZ93" s="962" t="e">
        <f>[1]!taqsh(1,1,[1]!roz(GZ89+1,GZ92,0,0),GZ90)</f>
        <v>#VALUE!</v>
      </c>
      <c r="HA93" s="962" t="e">
        <f>[1]!taqsh(1,1,[1]!roz(HA89+1,HA92,0,0),HA90)</f>
        <v>#VALUE!</v>
      </c>
      <c r="HB93" s="962" t="e">
        <f>[1]!taqsh(1,1,[1]!roz(HB89+1,HB92,0,0),HB90)</f>
        <v>#VALUE!</v>
      </c>
      <c r="HC93" s="962" t="e">
        <f>[1]!taqsh(1,1,[1]!roz(HC89+1,HC92,0,0),HC90)</f>
        <v>#VALUE!</v>
      </c>
      <c r="HD93" s="962" t="e">
        <f>[1]!taqsh(1,1,[1]!roz(HD89+1,HD92,0,0),HD90)</f>
        <v>#VALUE!</v>
      </c>
      <c r="HE93" s="962" t="e">
        <f>[1]!taqsh(1,1,[1]!roz(HE89+1,HE92,0,0),HE90)</f>
        <v>#VALUE!</v>
      </c>
      <c r="HF93" s="962" t="e">
        <f>[1]!taqsh(1,1,[1]!roz(HF89+1,HF92,0,0),HF90)</f>
        <v>#VALUE!</v>
      </c>
      <c r="HG93" s="962" t="e">
        <f>[1]!taqsh(1,1,[1]!roz(HG89+1,HG92,0,0),HG90)</f>
        <v>#VALUE!</v>
      </c>
      <c r="HH93" s="962" t="e">
        <f>[1]!taqsh(1,1,[1]!roz(HH89+1,HH92,0,0),HH90)</f>
        <v>#VALUE!</v>
      </c>
      <c r="HI93" s="962" t="e">
        <f>[1]!taqsh(1,1,[1]!roz(HI89+1,HI92,0,0),HI90)</f>
        <v>#VALUE!</v>
      </c>
      <c r="HJ93" s="962" t="e">
        <f>[1]!taqsh(1,1,[1]!roz(HJ89+1,HJ92,0,0),HJ90)</f>
        <v>#VALUE!</v>
      </c>
      <c r="HK93" s="962" t="e">
        <f>[1]!taqsh(1,1,[1]!roz(HK89+1,HK92,0,0),HK90)</f>
        <v>#VALUE!</v>
      </c>
      <c r="HL93" s="962" t="e">
        <f>[1]!taqsh(1,1,[1]!roz(HL89+1,HL92,0,0),HL90)</f>
        <v>#VALUE!</v>
      </c>
      <c r="HM93" s="962" t="e">
        <f>[1]!taqsh(1,1,[1]!roz(HM89+1,HM92,0,0),HM90)</f>
        <v>#VALUE!</v>
      </c>
      <c r="HN93" s="962" t="e">
        <f>[1]!taqsh(1,1,[1]!roz(HN89+1,HN92,0,0),HN90)</f>
        <v>#VALUE!</v>
      </c>
      <c r="HO93" s="962" t="e">
        <f>[1]!taqsh(1,1,[1]!roz(HO89+1,HO92,0,0),HO90)</f>
        <v>#VALUE!</v>
      </c>
      <c r="HP93" s="962" t="e">
        <f>[1]!taqsh(1,1,[1]!roz(HP89+1,HP92,0,0),HP90)</f>
        <v>#VALUE!</v>
      </c>
      <c r="HQ93" s="962" t="e">
        <f>[1]!taqsh(1,1,[1]!roz(HQ89+1,HQ92,0,0),HQ90)</f>
        <v>#VALUE!</v>
      </c>
      <c r="HR93" s="962" t="e">
        <f>[1]!taqsh(1,1,[1]!roz(HR89+1,HR92,0,0),HR90)</f>
        <v>#VALUE!</v>
      </c>
      <c r="HS93" s="962" t="e">
        <f>[1]!taqsh(1,1,[1]!roz(HS89+1,HS92,0,0),HS90)</f>
        <v>#VALUE!</v>
      </c>
      <c r="HT93" s="962" t="e">
        <f>[1]!taqsh(1,1,[1]!roz(HT89+1,HT92,0,0),HT90)</f>
        <v>#VALUE!</v>
      </c>
      <c r="HU93" s="962" t="e">
        <f>[1]!taqsh(1,1,[1]!roz(HU89+1,HU92,0,0),HU90)</f>
        <v>#VALUE!</v>
      </c>
      <c r="HV93" s="962" t="e">
        <f>[1]!taqsh(1,1,[1]!roz(HV89+1,HV92,0,0),HV90)</f>
        <v>#VALUE!</v>
      </c>
      <c r="HW93" s="962" t="e">
        <f>[1]!taqsh(1,1,[1]!roz(HW89+1,HW92,0,0),HW90)</f>
        <v>#VALUE!</v>
      </c>
      <c r="HX93" s="962" t="e">
        <f>[1]!taqsh(1,1,[1]!roz(HX89+1,HX92,0,0),HX90)</f>
        <v>#VALUE!</v>
      </c>
      <c r="HY93" s="962" t="e">
        <f>[1]!taqsh(1,1,[1]!roz(HY89+1,HY92,0,0),HY90)</f>
        <v>#VALUE!</v>
      </c>
      <c r="HZ93" s="962" t="e">
        <f>[1]!taqsh(1,1,[1]!roz(HZ89+1,HZ92,0,0),HZ90)</f>
        <v>#VALUE!</v>
      </c>
      <c r="IA93" s="962" t="e">
        <f>[1]!taqsh(1,1,[1]!roz(IA89+1,IA92,0,0),IA90)</f>
        <v>#VALUE!</v>
      </c>
      <c r="IB93" s="962" t="e">
        <f>[1]!taqsh(1,1,[1]!roz(IB89+1,IB92,0,0),IB90)</f>
        <v>#VALUE!</v>
      </c>
      <c r="IC93" s="962" t="e">
        <f>[1]!taqsh(1,1,[1]!roz(IC89+1,IC92,0,0),IC90)</f>
        <v>#VALUE!</v>
      </c>
      <c r="ID93" s="962" t="e">
        <f>[1]!taqsh(1,1,[1]!roz(ID89+1,ID92,0,0),ID90)</f>
        <v>#VALUE!</v>
      </c>
      <c r="IE93" s="962" t="e">
        <f>[1]!taqsh(1,1,[1]!roz(IE89+1,IE92,0,0),IE90)</f>
        <v>#VALUE!</v>
      </c>
      <c r="IF93" s="962" t="e">
        <f>[1]!taqsh(1,1,[1]!roz(IF89+1,IF92,0,0),IF90)</f>
        <v>#VALUE!</v>
      </c>
      <c r="IG93" s="962" t="e">
        <f>[1]!taqsh(1,1,[1]!roz(IG89+1,IG92,0,0),IG90)</f>
        <v>#VALUE!</v>
      </c>
      <c r="IH93" s="962" t="e">
        <f>[1]!taqsh(1,1,[1]!roz(IH89+1,IH92,0,0),IH90)</f>
        <v>#VALUE!</v>
      </c>
      <c r="II93" s="962" t="e">
        <f>[1]!taqsh(1,1,[1]!roz(II89+1,II92,0,0),II90)</f>
        <v>#VALUE!</v>
      </c>
      <c r="IJ93" s="962" t="e">
        <f>[1]!taqsh(1,1,[1]!roz(IJ89+1,IJ92,0,0),IJ90)</f>
        <v>#VALUE!</v>
      </c>
      <c r="IK93" s="962" t="e">
        <f>[1]!taqsh(1,1,[1]!roz(IK89+1,IK92,0,0),IK90)</f>
        <v>#VALUE!</v>
      </c>
      <c r="IL93" s="962" t="e">
        <f>[1]!taqsh(1,1,[1]!roz(IL89+1,IL92,0,0),IL90)</f>
        <v>#VALUE!</v>
      </c>
      <c r="IM93" s="962" t="e">
        <f>[1]!taqsh(1,1,[1]!roz(IM89+1,IM92,0,0),IM90)</f>
        <v>#VALUE!</v>
      </c>
      <c r="IN93" s="962" t="e">
        <f>[1]!taqsh(1,1,[1]!roz(IN89+1,IN92,0,0),IN90)</f>
        <v>#VALUE!</v>
      </c>
      <c r="IO93" s="962" t="e">
        <f>[1]!taqsh(1,1,[1]!roz(IO89+1,IO92,0,0),IO90)</f>
        <v>#VALUE!</v>
      </c>
      <c r="IP93" s="962" t="e">
        <f>[1]!taqsh(1,1,[1]!roz(IP89+1,IP92,0,0),IP90)</f>
        <v>#VALUE!</v>
      </c>
      <c r="IQ93" s="962" t="e">
        <f>[1]!taqsh(1,1,[1]!roz(IQ89+1,IQ92,0,0),IQ90)</f>
        <v>#VALUE!</v>
      </c>
      <c r="IR93" s="962" t="e">
        <f>[1]!taqsh(1,1,[1]!roz(IR89+1,IR92,0,0),IR90)</f>
        <v>#VALUE!</v>
      </c>
      <c r="IS93" s="962" t="e">
        <f>[1]!taqsh(1,1,[1]!roz(IS89+1,IS92,0,0),IS90)</f>
        <v>#VALUE!</v>
      </c>
      <c r="IT93" s="962" t="e">
        <f>[1]!taqsh(1,1,[1]!roz(IT89+1,IT92,0,0),IT90)</f>
        <v>#VALUE!</v>
      </c>
      <c r="IU93" s="962" t="e">
        <f>[1]!taqsh(1,1,[1]!roz(IU89+1,IU92,0,0),IU90)</f>
        <v>#VALUE!</v>
      </c>
      <c r="IV93" s="962" t="e">
        <f>[1]!taqsh(1,1,[1]!roz(IV89+1,IV92,0,0),IV90)</f>
        <v>#VALUE!</v>
      </c>
      <c r="IW93" s="962" t="e">
        <f>[1]!taqsh(1,1,[1]!roz(IW89+1,IW92,0,0),IW90)</f>
        <v>#VALUE!</v>
      </c>
      <c r="IX93" s="962" t="e">
        <f>[1]!taqsh(1,1,[1]!roz(IX89+1,IX92,0,0),IX90)</f>
        <v>#VALUE!</v>
      </c>
      <c r="IY93" s="962" t="e">
        <f>[1]!taqsh(1,1,[1]!roz(IY89+1,IY92,0,0),IY90)</f>
        <v>#VALUE!</v>
      </c>
      <c r="IZ93" s="962" t="e">
        <f>[1]!taqsh(1,1,[1]!roz(IZ89+1,IZ92,0,0),IZ90)</f>
        <v>#VALUE!</v>
      </c>
      <c r="JA93" s="962" t="e">
        <f>[1]!taqsh(1,1,[1]!roz(JA89+1,JA92,0,0),JA90)</f>
        <v>#VALUE!</v>
      </c>
      <c r="JB93" s="962" t="e">
        <f>[1]!taqsh(1,1,[1]!roz(JB89+1,JB92,0,0),JB90)</f>
        <v>#VALUE!</v>
      </c>
      <c r="JC93" s="962" t="e">
        <f>[1]!taqsh(1,1,[1]!roz(JC89+1,JC92,0,0),JC90)</f>
        <v>#VALUE!</v>
      </c>
      <c r="JD93" s="962" t="e">
        <f>[1]!taqsh(1,1,[1]!roz(JD89+1,JD92,0,0),JD90)</f>
        <v>#VALUE!</v>
      </c>
      <c r="JE93" s="962" t="e">
        <f>[1]!taqsh(1,1,[1]!roz(JE89+1,JE92,0,0),JE90)</f>
        <v>#VALUE!</v>
      </c>
      <c r="JF93" s="962" t="e">
        <f>[1]!taqsh(1,1,[1]!roz(JF89+1,JF92,0,0),JF90)</f>
        <v>#VALUE!</v>
      </c>
      <c r="JG93" s="962" t="e">
        <f>[1]!taqsh(1,1,[1]!roz(JG89+1,JG92,0,0),JG90)</f>
        <v>#VALUE!</v>
      </c>
      <c r="JH93" s="962" t="e">
        <f>[1]!taqsh(1,1,[1]!roz(JH89+1,JH92,0,0),JH90)</f>
        <v>#VALUE!</v>
      </c>
      <c r="JI93" s="962" t="e">
        <f>[1]!taqsh(1,1,[1]!roz(JI89+1,JI92,0,0),JI90)</f>
        <v>#VALUE!</v>
      </c>
      <c r="JJ93" s="962" t="e">
        <f>[1]!taqsh(1,1,[1]!roz(JJ89+1,JJ92,0,0),JJ90)</f>
        <v>#VALUE!</v>
      </c>
      <c r="JK93" s="962" t="e">
        <f>[1]!taqsh(1,1,[1]!roz(JK89+1,JK92,0,0),JK90)</f>
        <v>#VALUE!</v>
      </c>
      <c r="JL93" s="962" t="e">
        <f>[1]!taqsh(1,1,[1]!roz(JL89+1,JL92,0,0),JL90)</f>
        <v>#VALUE!</v>
      </c>
      <c r="JM93" s="962" t="e">
        <f>[1]!taqsh(1,1,[1]!roz(JM89+1,JM92,0,0),JM90)</f>
        <v>#VALUE!</v>
      </c>
      <c r="JN93" s="962" t="e">
        <f>[1]!taqsh(1,1,[1]!roz(JN89+1,JN92,0,0),JN90)</f>
        <v>#VALUE!</v>
      </c>
      <c r="JO93" s="962" t="e">
        <f>[1]!taqsh(1,1,[1]!roz(JO89+1,JO92,0,0),JO90)</f>
        <v>#VALUE!</v>
      </c>
      <c r="JP93" s="962" t="e">
        <f>[1]!taqsh(1,1,[1]!roz(JP89+1,JP92,0,0),JP90)</f>
        <v>#VALUE!</v>
      </c>
      <c r="JQ93" s="962" t="e">
        <f>[1]!taqsh(1,1,[1]!roz(JQ89+1,JQ92,0,0),JQ90)</f>
        <v>#VALUE!</v>
      </c>
      <c r="JR93" s="962" t="e">
        <f>[1]!taqsh(1,1,[1]!roz(JR89+1,JR92,0,0),JR90)</f>
        <v>#VALUE!</v>
      </c>
      <c r="JS93" s="962" t="e">
        <f>[1]!taqsh(1,1,[1]!roz(JS89+1,JS92,0,0),JS90)</f>
        <v>#VALUE!</v>
      </c>
      <c r="JT93" s="962" t="e">
        <f>[1]!taqsh(1,1,[1]!roz(JT89+1,JT92,0,0),JT90)</f>
        <v>#VALUE!</v>
      </c>
      <c r="JU93" s="962" t="e">
        <f>[1]!taqsh(1,1,[1]!roz(JU89+1,JU92,0,0),JU90)</f>
        <v>#VALUE!</v>
      </c>
      <c r="JV93" s="962" t="e">
        <f>[1]!taqsh(1,1,[1]!roz(JV89+1,JV92,0,0),JV90)</f>
        <v>#VALUE!</v>
      </c>
      <c r="JW93" s="962" t="e">
        <f>[1]!taqsh(1,1,[1]!roz(JW89+1,JW92,0,0),JW90)</f>
        <v>#VALUE!</v>
      </c>
      <c r="JX93" s="962" t="e">
        <f>[1]!taqsh(1,1,[1]!roz(JX89+1,JX92,0,0),JX90)</f>
        <v>#VALUE!</v>
      </c>
      <c r="JY93" s="962" t="e">
        <f>[1]!taqsh(1,1,[1]!roz(JY89+1,JY92,0,0),JY90)</f>
        <v>#VALUE!</v>
      </c>
      <c r="JZ93" s="962" t="e">
        <f>[1]!taqsh(1,1,[1]!roz(JZ89+1,JZ92,0,0),JZ90)</f>
        <v>#VALUE!</v>
      </c>
      <c r="KA93" s="962" t="e">
        <f>[1]!taqsh(1,1,[1]!roz(KA89+1,KA92,0,0),KA90)</f>
        <v>#VALUE!</v>
      </c>
      <c r="KB93" s="962" t="e">
        <f>[1]!taqsh(1,1,[1]!roz(KB89+1,KB92,0,0),KB90)</f>
        <v>#VALUE!</v>
      </c>
      <c r="KC93" s="962" t="e">
        <f>[1]!taqsh(1,1,[1]!roz(KC89+1,KC92,0,0),KC90)</f>
        <v>#VALUE!</v>
      </c>
      <c r="KD93" s="962" t="e">
        <f>[1]!taqsh(1,1,[1]!roz(KD89+1,KD92,0,0),KD90)</f>
        <v>#VALUE!</v>
      </c>
      <c r="KE93" s="962" t="e">
        <f>[1]!taqsh(1,1,[1]!roz(KE89+1,KE92,0,0),KE90)</f>
        <v>#VALUE!</v>
      </c>
      <c r="KF93" s="962" t="e">
        <f>[1]!taqsh(1,1,[1]!roz(KF89+1,KF92,0,0),KF90)</f>
        <v>#VALUE!</v>
      </c>
      <c r="KG93" s="962" t="e">
        <f>[1]!taqsh(1,1,[1]!roz(KG89+1,KG92,0,0),KG90)</f>
        <v>#VALUE!</v>
      </c>
      <c r="KH93" s="962" t="e">
        <f>[1]!taqsh(1,1,[1]!roz(KH89+1,KH92,0,0),KH90)</f>
        <v>#VALUE!</v>
      </c>
      <c r="KI93" s="962" t="e">
        <f>[1]!taqsh(1,1,[1]!roz(KI89+1,KI92,0,0),KI90)</f>
        <v>#VALUE!</v>
      </c>
      <c r="KJ93" s="962" t="e">
        <f>[1]!taqsh(1,1,[1]!roz(KJ89+1,KJ92,0,0),KJ90)</f>
        <v>#VALUE!</v>
      </c>
      <c r="KK93" s="962" t="e">
        <f>[1]!taqsh(1,1,[1]!roz(KK89+1,KK92,0,0),KK90)</f>
        <v>#VALUE!</v>
      </c>
      <c r="KL93" s="962" t="e">
        <f>[1]!taqsh(1,1,[1]!roz(KL89+1,KL92,0,0),KL90)</f>
        <v>#VALUE!</v>
      </c>
      <c r="KM93" s="962" t="e">
        <f>[1]!taqsh(1,1,[1]!roz(KM89+1,KM92,0,0),KM90)</f>
        <v>#VALUE!</v>
      </c>
      <c r="KN93" s="962" t="e">
        <f>[1]!taqsh(1,1,[1]!roz(KN89+1,KN92,0,0),KN90)</f>
        <v>#VALUE!</v>
      </c>
      <c r="KO93" s="962" t="e">
        <f>[1]!taqsh(1,1,[1]!roz(KO89+1,KO92,0,0),KO90)</f>
        <v>#VALUE!</v>
      </c>
      <c r="KP93" s="962" t="e">
        <f>[1]!taqsh(1,1,[1]!roz(KP89+1,KP92,0,0),KP90)</f>
        <v>#VALUE!</v>
      </c>
      <c r="KQ93" s="962" t="e">
        <f>[1]!taqsh(1,1,[1]!roz(KQ89+1,KQ92,0,0),KQ90)</f>
        <v>#VALUE!</v>
      </c>
      <c r="KR93" s="962" t="e">
        <f>[1]!taqsh(1,1,[1]!roz(KR89+1,KR92,0,0),KR90)</f>
        <v>#VALUE!</v>
      </c>
      <c r="KS93" s="962" t="e">
        <f>[1]!taqsh(1,1,[1]!roz(KS89+1,KS92,0,0),KS90)</f>
        <v>#VALUE!</v>
      </c>
      <c r="KT93" s="962" t="e">
        <f>[1]!taqsh(1,1,[1]!roz(KT89+1,KT92,0,0),KT90)</f>
        <v>#VALUE!</v>
      </c>
      <c r="KU93" s="962" t="e">
        <f>[1]!taqsh(1,1,[1]!roz(KU89+1,KU92,0,0),KU90)</f>
        <v>#VALUE!</v>
      </c>
      <c r="KV93" s="962" t="e">
        <f>[1]!taqsh(1,1,[1]!roz(KV89+1,KV92,0,0),KV90)</f>
        <v>#VALUE!</v>
      </c>
      <c r="KW93" s="962" t="e">
        <f>[1]!taqsh(1,1,[1]!roz(KW89+1,KW92,0,0),KW90)</f>
        <v>#VALUE!</v>
      </c>
      <c r="KX93" s="962" t="e">
        <f>[1]!taqsh(1,1,[1]!roz(KX89+1,KX92,0,0),KX90)</f>
        <v>#VALUE!</v>
      </c>
      <c r="KY93" s="962" t="e">
        <f>[1]!taqsh(1,1,[1]!roz(KY89+1,KY92,0,0),KY90)</f>
        <v>#VALUE!</v>
      </c>
      <c r="KZ93" s="962" t="e">
        <f>[1]!taqsh(1,1,[1]!roz(KZ89+1,KZ92,0,0),KZ90)</f>
        <v>#VALUE!</v>
      </c>
      <c r="LA93" s="962" t="e">
        <f>[1]!taqsh(1,1,[1]!roz(LA89+1,LA92,0,0),LA90)</f>
        <v>#VALUE!</v>
      </c>
      <c r="LB93" s="962" t="e">
        <f>[1]!taqsh(1,1,[1]!roz(LB89+1,LB92,0,0),LB90)</f>
        <v>#VALUE!</v>
      </c>
      <c r="LC93" s="962" t="e">
        <f>[1]!taqsh(1,1,[1]!roz(LC89+1,LC92,0,0),LC90)</f>
        <v>#VALUE!</v>
      </c>
      <c r="LD93" s="962" t="e">
        <f>[1]!taqsh(1,1,[1]!roz(LD89+1,LD92,0,0),LD90)</f>
        <v>#VALUE!</v>
      </c>
      <c r="LE93" s="962" t="e">
        <f>[1]!taqsh(1,1,[1]!roz(LE89+1,LE92,0,0),LE90)</f>
        <v>#VALUE!</v>
      </c>
      <c r="LF93" s="962" t="e">
        <f>[1]!taqsh(1,1,[1]!roz(LF89+1,LF92,0,0),LF90)</f>
        <v>#VALUE!</v>
      </c>
      <c r="LG93" s="962" t="e">
        <f>[1]!taqsh(1,1,[1]!roz(LG89+1,LG92,0,0),LG90)</f>
        <v>#VALUE!</v>
      </c>
      <c r="LH93" s="962" t="e">
        <f>[1]!taqsh(1,1,[1]!roz(LH89+1,LH92,0,0),LH90)</f>
        <v>#VALUE!</v>
      </c>
      <c r="LI93" s="962" t="e">
        <f>[1]!taqsh(1,1,[1]!roz(LI89+1,LI92,0,0),LI90)</f>
        <v>#VALUE!</v>
      </c>
      <c r="LJ93" s="962" t="e">
        <f>[1]!taqsh(1,1,[1]!roz(LJ89+1,LJ92,0,0),LJ90)</f>
        <v>#VALUE!</v>
      </c>
      <c r="LK93" s="962" t="e">
        <f>[1]!taqsh(1,1,[1]!roz(LK89+1,LK92,0,0),LK90)</f>
        <v>#VALUE!</v>
      </c>
      <c r="LL93" s="962" t="e">
        <f>[1]!taqsh(1,1,[1]!roz(LL89+1,LL92,0,0),LL90)</f>
        <v>#VALUE!</v>
      </c>
      <c r="LM93" s="962" t="e">
        <f>[1]!taqsh(1,1,[1]!roz(LM89+1,LM92,0,0),LM90)</f>
        <v>#VALUE!</v>
      </c>
      <c r="LN93" s="962" t="e">
        <f>[1]!taqsh(1,1,[1]!roz(LN89+1,LN92,0,0),LN90)</f>
        <v>#VALUE!</v>
      </c>
      <c r="LO93" s="962" t="e">
        <f>[1]!taqsh(1,1,[1]!roz(LO89+1,LO92,0,0),LO90)</f>
        <v>#VALUE!</v>
      </c>
      <c r="LP93" s="962" t="e">
        <f>[1]!taqsh(1,1,[1]!roz(LP89+1,LP92,0,0),LP90)</f>
        <v>#VALUE!</v>
      </c>
      <c r="LQ93" s="962" t="e">
        <f>[1]!taqsh(1,1,[1]!roz(LQ89+1,LQ92,0,0),LQ90)</f>
        <v>#VALUE!</v>
      </c>
      <c r="LR93" s="962" t="e">
        <f>[1]!taqsh(1,1,[1]!roz(LR89+1,LR92,0,0),LR90)</f>
        <v>#VALUE!</v>
      </c>
      <c r="LS93" s="962" t="e">
        <f>[1]!taqsh(1,1,[1]!roz(LS89+1,LS92,0,0),LS90)</f>
        <v>#VALUE!</v>
      </c>
      <c r="LT93" s="962" t="e">
        <f>[1]!taqsh(1,1,[1]!roz(LT89+1,LT92,0,0),LT90)</f>
        <v>#VALUE!</v>
      </c>
      <c r="LU93" s="962" t="e">
        <f>[1]!taqsh(1,1,[1]!roz(LU89+1,LU92,0,0),LU90)</f>
        <v>#VALUE!</v>
      </c>
      <c r="LV93" s="962" t="e">
        <f>[1]!taqsh(1,1,[1]!roz(LV89+1,LV92,0,0),LV90)</f>
        <v>#VALUE!</v>
      </c>
      <c r="LW93" s="962" t="e">
        <f>[1]!taqsh(1,1,[1]!roz(LW89+1,LW92,0,0),LW90)</f>
        <v>#VALUE!</v>
      </c>
      <c r="LX93" s="962" t="e">
        <f>[1]!taqsh(1,1,[1]!roz(LX89+1,LX92,0,0),LX90)</f>
        <v>#VALUE!</v>
      </c>
      <c r="LY93" s="962" t="e">
        <f>[1]!taqsh(1,1,[1]!roz(LY89+1,LY92,0,0),LY90)</f>
        <v>#VALUE!</v>
      </c>
      <c r="LZ93" s="962" t="e">
        <f>[1]!taqsh(1,1,[1]!roz(LZ89+1,LZ92,0,0),LZ90)</f>
        <v>#VALUE!</v>
      </c>
      <c r="MA93" s="962" t="e">
        <f>[1]!taqsh(1,1,[1]!roz(MA89+1,MA92,0,0),MA90)</f>
        <v>#VALUE!</v>
      </c>
      <c r="MB93" s="962" t="e">
        <f>[1]!taqsh(1,1,[1]!roz(MB89+1,MB92,0,0),MB90)</f>
        <v>#VALUE!</v>
      </c>
      <c r="MC93" s="962" t="e">
        <f>[1]!taqsh(1,1,[1]!roz(MC89+1,MC92,0,0),MC90)</f>
        <v>#VALUE!</v>
      </c>
      <c r="MD93" s="962" t="e">
        <f>[1]!taqsh(1,1,[1]!roz(MD89+1,MD92,0,0),MD90)</f>
        <v>#VALUE!</v>
      </c>
      <c r="ME93" s="962" t="e">
        <f>[1]!taqsh(1,1,[1]!roz(ME89+1,ME92,0,0),ME90)</f>
        <v>#VALUE!</v>
      </c>
      <c r="MF93" s="962" t="e">
        <f>[1]!taqsh(1,1,[1]!roz(MF89+1,MF92,0,0),MF90)</f>
        <v>#VALUE!</v>
      </c>
      <c r="MG93" s="962" t="e">
        <f>[1]!taqsh(1,1,[1]!roz(MG89+1,MG92,0,0),MG90)</f>
        <v>#VALUE!</v>
      </c>
      <c r="MH93" s="962" t="e">
        <f>[1]!taqsh(1,1,[1]!roz(MH89+1,MH92,0,0),MH90)</f>
        <v>#VALUE!</v>
      </c>
      <c r="MI93" s="962" t="e">
        <f>[1]!taqsh(1,1,[1]!roz(MI89+1,MI92,0,0),MI90)</f>
        <v>#VALUE!</v>
      </c>
      <c r="MJ93" s="962" t="e">
        <f>[1]!taqsh(1,1,[1]!roz(MJ89+1,MJ92,0,0),MJ90)</f>
        <v>#VALUE!</v>
      </c>
      <c r="MK93" s="962" t="e">
        <f>[1]!taqsh(1,1,[1]!roz(MK89+1,MK92,0,0),MK90)</f>
        <v>#VALUE!</v>
      </c>
      <c r="ML93" s="962" t="e">
        <f>[1]!taqsh(1,1,[1]!roz(ML89+1,ML92,0,0),ML90)</f>
        <v>#VALUE!</v>
      </c>
      <c r="MM93" s="962" t="e">
        <f>[1]!taqsh(1,1,[1]!roz(MM89+1,MM92,0,0),MM90)</f>
        <v>#VALUE!</v>
      </c>
      <c r="MN93" s="962" t="e">
        <f>[1]!taqsh(1,1,[1]!roz(MN89+1,MN92,0,0),MN90)</f>
        <v>#VALUE!</v>
      </c>
      <c r="MO93" s="962" t="e">
        <f>[1]!taqsh(1,1,[1]!roz(MO89+1,MO92,0,0),MO90)</f>
        <v>#VALUE!</v>
      </c>
      <c r="MP93" s="962" t="e">
        <f>[1]!taqsh(1,1,[1]!roz(MP89+1,MP92,0,0),MP90)</f>
        <v>#VALUE!</v>
      </c>
      <c r="MQ93" s="962" t="e">
        <f>[1]!taqsh(1,1,[1]!roz(MQ89+1,MQ92,0,0),MQ90)</f>
        <v>#VALUE!</v>
      </c>
      <c r="MR93" s="962" t="e">
        <f>[1]!taqsh(1,1,[1]!roz(MR89+1,MR92,0,0),MR90)</f>
        <v>#VALUE!</v>
      </c>
      <c r="MS93" s="962" t="e">
        <f>[1]!taqsh(1,1,[1]!roz(MS89+1,MS92,0,0),MS90)</f>
        <v>#VALUE!</v>
      </c>
      <c r="MT93" s="962" t="e">
        <f>[1]!taqsh(1,1,[1]!roz(MT89+1,MT92,0,0),MT90)</f>
        <v>#VALUE!</v>
      </c>
      <c r="MU93" s="962" t="e">
        <f>[1]!taqsh(1,1,[1]!roz(MU89+1,MU92,0,0),MU90)</f>
        <v>#VALUE!</v>
      </c>
      <c r="MV93" s="962" t="e">
        <f>[1]!taqsh(1,1,[1]!roz(MV89+1,MV92,0,0),MV90)</f>
        <v>#VALUE!</v>
      </c>
      <c r="MW93" s="962" t="e">
        <f>[1]!taqsh(1,1,[1]!roz(MW89+1,MW92,0,0),MW90)</f>
        <v>#VALUE!</v>
      </c>
      <c r="MX93" s="962" t="e">
        <f>[1]!taqsh(1,1,[1]!roz(MX89+1,MX92,0,0),MX90)</f>
        <v>#VALUE!</v>
      </c>
      <c r="MY93" s="962" t="e">
        <f>[1]!taqsh(1,1,[1]!roz(MY89+1,MY92,0,0),MY90)</f>
        <v>#VALUE!</v>
      </c>
      <c r="MZ93" s="962" t="e">
        <f>[1]!taqsh(1,1,[1]!roz(MZ89+1,MZ92,0,0),MZ90)</f>
        <v>#VALUE!</v>
      </c>
      <c r="NA93" s="962" t="e">
        <f>[1]!taqsh(1,1,[1]!roz(NA89+1,NA92,0,0),NA90)</f>
        <v>#VALUE!</v>
      </c>
      <c r="NB93" s="962" t="e">
        <f>[1]!taqsh(1,1,[1]!roz(NB89+1,NB92,0,0),NB90)</f>
        <v>#VALUE!</v>
      </c>
      <c r="NC93" s="962" t="e">
        <f>[1]!taqsh(1,1,[1]!roz(NC89+1,NC92,0,0),NC90)</f>
        <v>#VALUE!</v>
      </c>
      <c r="ND93" s="962" t="e">
        <f>[1]!taqsh(1,1,[1]!roz(ND89+1,ND92,0,0),ND90)</f>
        <v>#VALUE!</v>
      </c>
      <c r="NE93" s="962" t="e">
        <f>[1]!taqsh(1,1,[1]!roz(NE89+1,NE92,0,0),NE90)</f>
        <v>#VALUE!</v>
      </c>
      <c r="NF93" s="962" t="e">
        <f>[1]!taqsh(1,1,[1]!roz(NF89+1,NF92,0,0),NF90)</f>
        <v>#VALUE!</v>
      </c>
      <c r="NG93" s="962" t="e">
        <f>[1]!taqsh(1,1,[1]!roz(NG89+1,NG92,0,0),NG90)</f>
        <v>#VALUE!</v>
      </c>
      <c r="NH93" s="962" t="e">
        <f>[1]!taqsh(1,1,[1]!roz(NH89+1,NH92,0,0),NH90)</f>
        <v>#VALUE!</v>
      </c>
      <c r="NI93" s="962" t="e">
        <f>[1]!taqsh(1,1,[1]!roz(NI89+1,NI92,0,0),NI90)</f>
        <v>#VALUE!</v>
      </c>
      <c r="NJ93" s="962" t="e">
        <f>[1]!taqsh(1,1,[1]!roz(NJ89+1,NJ92,0,0),NJ90)</f>
        <v>#VALUE!</v>
      </c>
      <c r="NK93" s="962" t="e">
        <f>[1]!taqsh(1,1,[1]!roz(NK89+1,NK92,0,0),NK90)</f>
        <v>#VALUE!</v>
      </c>
      <c r="NL93" s="962" t="e">
        <f>[1]!taqsh(1,1,[1]!roz(NL89+1,NL92,0,0),NL90)</f>
        <v>#VALUE!</v>
      </c>
      <c r="NM93" s="962" t="e">
        <f>[1]!taqsh(1,1,[1]!roz(NM89+1,NM92,0,0),NM90)</f>
        <v>#VALUE!</v>
      </c>
      <c r="NN93" s="962" t="e">
        <f>[1]!taqsh(1,1,[1]!roz(NN89+1,NN92,0,0),NN90)</f>
        <v>#VALUE!</v>
      </c>
      <c r="NO93" s="962" t="e">
        <f>[1]!taqsh(1,1,[1]!roz(NO89+1,NO92,0,0),NO90)</f>
        <v>#VALUE!</v>
      </c>
      <c r="NP93" s="962" t="e">
        <f>[1]!taqsh(1,1,[1]!roz(NP89+1,NP92,0,0),NP90)</f>
        <v>#VALUE!</v>
      </c>
      <c r="NQ93" s="962" t="e">
        <f>[1]!taqsh(1,1,[1]!roz(NQ89+1,NQ92,0,0),NQ90)</f>
        <v>#VALUE!</v>
      </c>
      <c r="NR93" s="962" t="e">
        <f>[1]!taqsh(1,1,[1]!roz(NR89+1,NR92,0,0),NR90)</f>
        <v>#VALUE!</v>
      </c>
      <c r="NS93" s="962" t="e">
        <f>[1]!taqsh(1,1,[1]!roz(NS89+1,NS92,0,0),NS90)</f>
        <v>#VALUE!</v>
      </c>
      <c r="NT93" s="962" t="e">
        <f>[1]!taqsh(1,1,[1]!roz(NT89+1,NT92,0,0),NT90)</f>
        <v>#VALUE!</v>
      </c>
      <c r="NU93" s="962" t="e">
        <f>[1]!taqsh(1,1,[1]!roz(NU89+1,NU92,0,0),NU90)</f>
        <v>#VALUE!</v>
      </c>
      <c r="NV93" s="962" t="e">
        <f>[1]!taqsh(1,1,[1]!roz(NV89+1,NV92,0,0),NV90)</f>
        <v>#VALUE!</v>
      </c>
      <c r="NW93" s="962" t="e">
        <f>[1]!taqsh(1,1,[1]!roz(NW89+1,NW92,0,0),NW90)</f>
        <v>#VALUE!</v>
      </c>
      <c r="NX93" s="962" t="e">
        <f>[1]!taqsh(1,1,[1]!roz(NX89+1,NX92,0,0),NX90)</f>
        <v>#VALUE!</v>
      </c>
      <c r="NY93" s="962" t="e">
        <f>[1]!taqsh(1,1,[1]!roz(NY89+1,NY92,0,0),NY90)</f>
        <v>#VALUE!</v>
      </c>
      <c r="NZ93" s="962" t="e">
        <f>[1]!taqsh(1,1,[1]!roz(NZ89+1,NZ92,0,0),NZ90)</f>
        <v>#VALUE!</v>
      </c>
      <c r="OA93" s="962" t="e">
        <f>[1]!taqsh(1,1,[1]!roz(OA89+1,OA92,0,0),OA90)</f>
        <v>#VALUE!</v>
      </c>
      <c r="OB93" s="962" t="e">
        <f>[1]!taqsh(1,1,[1]!roz(OB89+1,OB92,0,0),OB90)</f>
        <v>#VALUE!</v>
      </c>
      <c r="OC93" s="962" t="e">
        <f>[1]!taqsh(1,1,[1]!roz(OC89+1,OC92,0,0),OC90)</f>
        <v>#VALUE!</v>
      </c>
      <c r="OD93" s="962" t="e">
        <f>[1]!taqsh(1,1,[1]!roz(OD89+1,OD92,0,0),OD90)</f>
        <v>#VALUE!</v>
      </c>
      <c r="OE93" s="962" t="e">
        <f>[1]!taqsh(1,1,[1]!roz(OE89+1,OE92,0,0),OE90)</f>
        <v>#VALUE!</v>
      </c>
      <c r="OF93" s="962" t="e">
        <f>[1]!taqsh(1,1,[1]!roz(OF89+1,OF92,0,0),OF90)</f>
        <v>#VALUE!</v>
      </c>
      <c r="OG93" s="962" t="e">
        <f>[1]!taqsh(1,1,[1]!roz(OG89+1,OG92,0,0),OG90)</f>
        <v>#VALUE!</v>
      </c>
      <c r="OH93" s="962" t="e">
        <f>[1]!taqsh(1,1,[1]!roz(OH89+1,OH92,0,0),OH90)</f>
        <v>#VALUE!</v>
      </c>
      <c r="OI93" s="962" t="e">
        <f>[1]!taqsh(1,1,[1]!roz(OI89+1,OI92,0,0),OI90)</f>
        <v>#VALUE!</v>
      </c>
      <c r="OJ93" s="962" t="e">
        <f>[1]!taqsh(1,1,[1]!roz(OJ89+1,OJ92,0,0),OJ90)</f>
        <v>#VALUE!</v>
      </c>
      <c r="OK93" s="962" t="e">
        <f>[1]!taqsh(1,1,[1]!roz(OK89+1,OK92,0,0),OK90)</f>
        <v>#VALUE!</v>
      </c>
      <c r="OL93" s="962" t="e">
        <f>[1]!taqsh(1,1,[1]!roz(OL89+1,OL92,0,0),OL90)</f>
        <v>#VALUE!</v>
      </c>
      <c r="OM93" s="962" t="e">
        <f>[1]!taqsh(1,1,[1]!roz(OM89+1,OM92,0,0),OM90)</f>
        <v>#VALUE!</v>
      </c>
      <c r="ON93" s="962" t="e">
        <f>[1]!taqsh(1,1,[1]!roz(ON89+1,ON92,0,0),ON90)</f>
        <v>#VALUE!</v>
      </c>
      <c r="OO93" s="962" t="e">
        <f>[1]!taqsh(1,1,[1]!roz(OO89+1,OO92,0,0),OO90)</f>
        <v>#VALUE!</v>
      </c>
      <c r="OP93" s="962" t="e">
        <f>[1]!taqsh(1,1,[1]!roz(OP89+1,OP92,0,0),OP90)</f>
        <v>#VALUE!</v>
      </c>
      <c r="OQ93" s="962" t="e">
        <f>[1]!taqsh(1,1,[1]!roz(OQ89+1,OQ92,0,0),OQ90)</f>
        <v>#VALUE!</v>
      </c>
      <c r="OR93" s="962" t="e">
        <f>[1]!taqsh(1,1,[1]!roz(OR89+1,OR92,0,0),OR90)</f>
        <v>#VALUE!</v>
      </c>
      <c r="OS93" s="962" t="e">
        <f>[1]!taqsh(1,1,[1]!roz(OS89+1,OS92,0,0),OS90)</f>
        <v>#VALUE!</v>
      </c>
      <c r="OT93" s="962" t="e">
        <f>[1]!taqsh(1,1,[1]!roz(OT89+1,OT92,0,0),OT90)</f>
        <v>#VALUE!</v>
      </c>
      <c r="OU93" s="962" t="e">
        <f>[1]!taqsh(1,1,[1]!roz(OU89+1,OU92,0,0),OU90)</f>
        <v>#VALUE!</v>
      </c>
      <c r="OV93" s="962" t="e">
        <f>[1]!taqsh(1,1,[1]!roz(OV89+1,OV92,0,0),OV90)</f>
        <v>#VALUE!</v>
      </c>
      <c r="OW93" s="962" t="e">
        <f>[1]!taqsh(1,1,[1]!roz(OW89+1,OW92,0,0),OW90)</f>
        <v>#VALUE!</v>
      </c>
      <c r="OX93" s="962" t="e">
        <f>[1]!taqsh(1,1,[1]!roz(OX89+1,OX92,0,0),OX90)</f>
        <v>#VALUE!</v>
      </c>
      <c r="OY93" s="962" t="e">
        <f>[1]!taqsh(1,1,[1]!roz(OY89+1,OY92,0,0),OY90)</f>
        <v>#VALUE!</v>
      </c>
      <c r="OZ93" s="962" t="e">
        <f>[1]!taqsh(1,1,[1]!roz(OZ89+1,OZ92,0,0),OZ90)</f>
        <v>#VALUE!</v>
      </c>
      <c r="PA93" s="962" t="e">
        <f>[1]!taqsh(1,1,[1]!roz(PA89+1,PA92,0,0),PA90)</f>
        <v>#VALUE!</v>
      </c>
      <c r="PB93" s="962" t="e">
        <f>[1]!taqsh(1,1,[1]!roz(PB89+1,PB92,0,0),PB90)</f>
        <v>#VALUE!</v>
      </c>
      <c r="PC93" s="962" t="e">
        <f>[1]!taqsh(1,1,[1]!roz(PC89+1,PC92,0,0),PC90)</f>
        <v>#VALUE!</v>
      </c>
      <c r="PD93" s="962" t="e">
        <f>[1]!taqsh(1,1,[1]!roz(PD89+1,PD92,0,0),PD90)</f>
        <v>#VALUE!</v>
      </c>
      <c r="PE93" s="962" t="e">
        <f>[1]!taqsh(1,1,[1]!roz(PE89+1,PE92,0,0),PE90)</f>
        <v>#VALUE!</v>
      </c>
      <c r="PF93" s="962" t="e">
        <f>[1]!taqsh(1,1,[1]!roz(PF89+1,PF92,0,0),PF90)</f>
        <v>#VALUE!</v>
      </c>
      <c r="PG93" s="962" t="e">
        <f>[1]!taqsh(1,1,[1]!roz(PG89+1,PG92,0,0),PG90)</f>
        <v>#VALUE!</v>
      </c>
      <c r="PH93" s="962" t="e">
        <f>[1]!taqsh(1,1,[1]!roz(PH89+1,PH92,0,0),PH90)</f>
        <v>#VALUE!</v>
      </c>
      <c r="PI93" s="962" t="e">
        <f>[1]!taqsh(1,1,[1]!roz(PI89+1,PI92,0,0),PI90)</f>
        <v>#VALUE!</v>
      </c>
      <c r="PJ93" s="962" t="e">
        <f>[1]!taqsh(1,1,[1]!roz(PJ89+1,PJ92,0,0),PJ90)</f>
        <v>#VALUE!</v>
      </c>
      <c r="PK93" s="962" t="e">
        <f>[1]!taqsh(1,1,[1]!roz(PK89+1,PK92,0,0),PK90)</f>
        <v>#VALUE!</v>
      </c>
      <c r="PL93" s="962" t="e">
        <f>[1]!taqsh(1,1,[1]!roz(PL89+1,PL92,0,0),PL90)</f>
        <v>#VALUE!</v>
      </c>
      <c r="PM93" s="962" t="e">
        <f>[1]!taqsh(1,1,[1]!roz(PM89+1,PM92,0,0),PM90)</f>
        <v>#VALUE!</v>
      </c>
      <c r="PN93" s="962" t="e">
        <f>[1]!taqsh(1,1,[1]!roz(PN89+1,PN92,0,0),PN90)</f>
        <v>#VALUE!</v>
      </c>
      <c r="PO93" s="962" t="e">
        <f>[1]!taqsh(1,1,[1]!roz(PO89+1,PO92,0,0),PO90)</f>
        <v>#VALUE!</v>
      </c>
      <c r="PP93" s="962" t="e">
        <f>[1]!taqsh(1,1,[1]!roz(PP89+1,PP92,0,0),PP90)</f>
        <v>#VALUE!</v>
      </c>
      <c r="PQ93" s="962" t="e">
        <f>[1]!taqsh(1,1,[1]!roz(PQ89+1,PQ92,0,0),PQ90)</f>
        <v>#VALUE!</v>
      </c>
      <c r="PR93" s="962" t="e">
        <f>[1]!taqsh(1,1,[1]!roz(PR89+1,PR92,0,0),PR90)</f>
        <v>#VALUE!</v>
      </c>
      <c r="PS93" s="962" t="e">
        <f>[1]!taqsh(1,1,[1]!roz(PS89+1,PS92,0,0),PS90)</f>
        <v>#VALUE!</v>
      </c>
      <c r="PT93" s="962" t="e">
        <f>[1]!taqsh(1,1,[1]!roz(PT89+1,PT92,0,0),PT90)</f>
        <v>#VALUE!</v>
      </c>
      <c r="PU93" s="962" t="e">
        <f>[1]!taqsh(1,1,[1]!roz(PU89+1,PU92,0,0),PU90)</f>
        <v>#VALUE!</v>
      </c>
      <c r="PV93" s="962" t="e">
        <f>[1]!taqsh(1,1,[1]!roz(PV89+1,PV92,0,0),PV90)</f>
        <v>#VALUE!</v>
      </c>
      <c r="PW93" s="962" t="e">
        <f>[1]!taqsh(1,1,[1]!roz(PW89+1,PW92,0,0),PW90)</f>
        <v>#VALUE!</v>
      </c>
      <c r="PX93" s="962" t="e">
        <f>[1]!taqsh(1,1,[1]!roz(PX89+1,PX92,0,0),PX90)</f>
        <v>#VALUE!</v>
      </c>
      <c r="PY93" s="962" t="e">
        <f>[1]!taqsh(1,1,[1]!roz(PY89+1,PY92,0,0),PY90)</f>
        <v>#VALUE!</v>
      </c>
      <c r="PZ93" s="962" t="e">
        <f>[1]!taqsh(1,1,[1]!roz(PZ89+1,PZ92,0,0),PZ90)</f>
        <v>#VALUE!</v>
      </c>
      <c r="QA93" s="962" t="e">
        <f>[1]!taqsh(1,1,[1]!roz(QA89+1,QA92,0,0),QA90)</f>
        <v>#VALUE!</v>
      </c>
      <c r="QB93" s="962" t="e">
        <f>[1]!taqsh(1,1,[1]!roz(QB89+1,QB92,0,0),QB90)</f>
        <v>#VALUE!</v>
      </c>
      <c r="QC93" s="962" t="e">
        <f>[1]!taqsh(1,1,[1]!roz(QC89+1,QC92,0,0),QC90)</f>
        <v>#VALUE!</v>
      </c>
      <c r="QD93" s="962" t="e">
        <f>[1]!taqsh(1,1,[1]!roz(QD89+1,QD92,0,0),QD90)</f>
        <v>#VALUE!</v>
      </c>
      <c r="QE93" s="962" t="e">
        <f>[1]!taqsh(1,1,[1]!roz(QE89+1,QE92,0,0),QE90)</f>
        <v>#VALUE!</v>
      </c>
      <c r="QF93" s="962" t="e">
        <f>[1]!taqsh(1,1,[1]!roz(QF89+1,QF92,0,0),QF90)</f>
        <v>#VALUE!</v>
      </c>
      <c r="QG93" s="962" t="e">
        <f>[1]!taqsh(1,1,[1]!roz(QG89+1,QG92,0,0),QG90)</f>
        <v>#VALUE!</v>
      </c>
      <c r="QH93" s="962" t="e">
        <f>[1]!taqsh(1,1,[1]!roz(QH89+1,QH92,0,0),QH90)</f>
        <v>#VALUE!</v>
      </c>
      <c r="QI93" s="962" t="e">
        <f>[1]!taqsh(1,1,[1]!roz(QI89+1,QI92,0,0),QI90)</f>
        <v>#VALUE!</v>
      </c>
      <c r="QJ93" s="962" t="e">
        <f>[1]!taqsh(1,1,[1]!roz(QJ89+1,QJ92,0,0),QJ90)</f>
        <v>#VALUE!</v>
      </c>
      <c r="QK93" s="962" t="e">
        <f>[1]!taqsh(1,1,[1]!roz(QK89+1,QK92,0,0),QK90)</f>
        <v>#VALUE!</v>
      </c>
      <c r="QL93" s="962" t="e">
        <f>[1]!taqsh(1,1,[1]!roz(QL89+1,QL92,0,0),QL90)</f>
        <v>#VALUE!</v>
      </c>
      <c r="QM93" s="962" t="e">
        <f>[1]!taqsh(1,1,[1]!roz(QM89+1,QM92,0,0),QM90)</f>
        <v>#VALUE!</v>
      </c>
      <c r="QN93" s="962" t="e">
        <f>[1]!taqsh(1,1,[1]!roz(QN89+1,QN92,0,0),QN90)</f>
        <v>#VALUE!</v>
      </c>
      <c r="QO93" s="962" t="e">
        <f>[1]!taqsh(1,1,[1]!roz(QO89+1,QO92,0,0),QO90)</f>
        <v>#VALUE!</v>
      </c>
      <c r="QP93" s="962" t="e">
        <f>[1]!taqsh(1,1,[1]!roz(QP89+1,QP92,0,0),QP90)</f>
        <v>#VALUE!</v>
      </c>
      <c r="QQ93" s="962" t="e">
        <f>[1]!taqsh(1,1,[1]!roz(QQ89+1,QQ92,0,0),QQ90)</f>
        <v>#VALUE!</v>
      </c>
      <c r="QR93" s="962" t="e">
        <f>[1]!taqsh(1,1,[1]!roz(QR89+1,QR92,0,0),QR90)</f>
        <v>#VALUE!</v>
      </c>
      <c r="QS93" s="962" t="e">
        <f>[1]!taqsh(1,1,[1]!roz(QS89+1,QS92,0,0),QS90)</f>
        <v>#VALUE!</v>
      </c>
      <c r="QT93" s="962" t="e">
        <f>[1]!taqsh(1,1,[1]!roz(QT89+1,QT92,0,0),QT90)</f>
        <v>#VALUE!</v>
      </c>
      <c r="QU93" s="962" t="e">
        <f>[1]!taqsh(1,1,[1]!roz(QU89+1,QU92,0,0),QU90)</f>
        <v>#VALUE!</v>
      </c>
      <c r="QV93" s="962" t="e">
        <f>[1]!taqsh(1,1,[1]!roz(QV89+1,QV92,0,0),QV90)</f>
        <v>#VALUE!</v>
      </c>
      <c r="QW93" s="962" t="e">
        <f>[1]!taqsh(1,1,[1]!roz(QW89+1,QW92,0,0),QW90)</f>
        <v>#VALUE!</v>
      </c>
      <c r="QX93" s="962" t="e">
        <f>[1]!taqsh(1,1,[1]!roz(QX89+1,QX92,0,0),QX90)</f>
        <v>#VALUE!</v>
      </c>
      <c r="QY93" s="962" t="e">
        <f>[1]!taqsh(1,1,[1]!roz(QY89+1,QY92,0,0),QY90)</f>
        <v>#VALUE!</v>
      </c>
      <c r="QZ93" s="962" t="e">
        <f>[1]!taqsh(1,1,[1]!roz(QZ89+1,QZ92,0,0),QZ90)</f>
        <v>#VALUE!</v>
      </c>
      <c r="RA93" s="963" t="e">
        <f>[1]!taqsh(1,1,[1]!roz(RA89+1,RA92,0,0),RA90)</f>
        <v>#VALUE!</v>
      </c>
      <c r="RB93" s="797"/>
      <c r="RC93" s="797"/>
    </row>
    <row r="94" spans="2:471" ht="18" thickBot="1">
      <c r="DH94" s="797"/>
      <c r="DJ94" s="961" t="e">
        <f>[1]!taqq(1,1,[1]!roz(DJ89+1,DJ92,0,0),DJ90)</f>
        <v>#VALUE!</v>
      </c>
      <c r="DK94" s="962" t="e">
        <f>[1]!taqq(1,1,[1]!roz(DK89+1,DK92,0,0),DK90)</f>
        <v>#VALUE!</v>
      </c>
      <c r="DL94" s="962" t="e">
        <f>[1]!taqq(1,1,[1]!roz(DL89+1,DL92,0,0),DL90)</f>
        <v>#VALUE!</v>
      </c>
      <c r="DM94" s="962" t="e">
        <f>[1]!taqq(1,1,[1]!roz(DM89+1,DM92,0,0),DM90)</f>
        <v>#VALUE!</v>
      </c>
      <c r="DN94" s="962" t="e">
        <f>[1]!taqq(1,1,[1]!roz(DN89+1,DN92,0,0),DN90)</f>
        <v>#VALUE!</v>
      </c>
      <c r="DO94" s="962" t="e">
        <f>[1]!taqq(1,1,[1]!roz(DO89+1,DO92,0,0),DO90)</f>
        <v>#VALUE!</v>
      </c>
      <c r="DP94" s="962" t="e">
        <f>[1]!taqq(1,1,[1]!roz(DP89+1,DP92,0,0),DP90)</f>
        <v>#VALUE!</v>
      </c>
      <c r="DQ94" s="962" t="e">
        <f>[1]!taqq(1,1,[1]!roz(DQ89+1,DQ92,0,0),DQ90)</f>
        <v>#VALUE!</v>
      </c>
      <c r="DR94" s="962" t="e">
        <f>[1]!taqq(1,1,[1]!roz(DR89+1,DR92,0,0),DR90)</f>
        <v>#VALUE!</v>
      </c>
      <c r="DS94" s="962" t="e">
        <f>[1]!taqq(1,1,[1]!roz(DS89+1,DS92,0,0),DS90)</f>
        <v>#VALUE!</v>
      </c>
      <c r="DT94" s="962" t="e">
        <f>[1]!taqq(1,1,[1]!roz(DT89+1,DT92,0,0),DT90)</f>
        <v>#VALUE!</v>
      </c>
      <c r="DU94" s="962" t="e">
        <f>[1]!taqq(1,1,[1]!roz(DU89+1,DU92,0,0),DU90)</f>
        <v>#VALUE!</v>
      </c>
      <c r="DV94" s="962" t="e">
        <f>[1]!taqq(1,1,[1]!roz(DV89+1,DV92,0,0),DV90)</f>
        <v>#VALUE!</v>
      </c>
      <c r="DW94" s="962" t="e">
        <f>[1]!taqq(1,1,[1]!roz(DW89+1,DW92,0,0),DW90)</f>
        <v>#VALUE!</v>
      </c>
      <c r="DX94" s="962" t="e">
        <f>[1]!taqq(1,1,[1]!roz(DX89+1,DX92,0,0),DX90)</f>
        <v>#VALUE!</v>
      </c>
      <c r="DY94" s="962" t="e">
        <f>[1]!taqq(1,1,[1]!roz(DY89+1,DY92,0,0),DY90)</f>
        <v>#VALUE!</v>
      </c>
      <c r="DZ94" s="962" t="e">
        <f>[1]!taqq(1,1,[1]!roz(DZ89+1,DZ92,0,0),DZ90)</f>
        <v>#VALUE!</v>
      </c>
      <c r="EA94" s="962" t="e">
        <f>[1]!taqq(1,1,[1]!roz(EA89+1,EA92,0,0),EA90)</f>
        <v>#VALUE!</v>
      </c>
      <c r="EB94" s="962" t="e">
        <f>[1]!taqq(1,1,[1]!roz(EB89+1,EB92,0,0),EB90)</f>
        <v>#VALUE!</v>
      </c>
      <c r="EC94" s="962" t="e">
        <f>[1]!taqq(1,1,[1]!roz(EC89+1,EC92,0,0),EC90)</f>
        <v>#VALUE!</v>
      </c>
      <c r="ED94" s="962" t="e">
        <f>[1]!taqq(1,1,[1]!roz(ED89+1,ED92,0,0),ED90)</f>
        <v>#VALUE!</v>
      </c>
      <c r="EE94" s="962" t="e">
        <f>[1]!taqq(1,1,[1]!roz(EE89+1,EE92,0,0),EE90)</f>
        <v>#VALUE!</v>
      </c>
      <c r="EF94" s="962" t="e">
        <f>[1]!taqq(1,1,[1]!roz(EF89+1,EF92,0,0),EF90)</f>
        <v>#VALUE!</v>
      </c>
      <c r="EG94" s="962" t="e">
        <f>[1]!taqq(1,1,[1]!roz(EG89+1,EG92,0,0),EG90)</f>
        <v>#VALUE!</v>
      </c>
      <c r="EH94" s="962" t="e">
        <f>[1]!taqq(1,1,[1]!roz(EH89+1,EH92,0,0),EH90)</f>
        <v>#VALUE!</v>
      </c>
      <c r="EI94" s="962" t="e">
        <f>[1]!taqq(1,1,[1]!roz(EI89+1,EI92,0,0),EI90)</f>
        <v>#VALUE!</v>
      </c>
      <c r="EJ94" s="962" t="e">
        <f>[1]!taqq(1,1,[1]!roz(EJ89+1,EJ92,0,0),EJ90)</f>
        <v>#VALUE!</v>
      </c>
      <c r="EK94" s="962" t="e">
        <f>[1]!taqq(1,1,[1]!roz(EK89+1,EK92,0,0),EK90)</f>
        <v>#VALUE!</v>
      </c>
      <c r="EL94" s="962" t="e">
        <f>[1]!taqq(1,1,[1]!roz(EL89+1,EL92,0,0),EL90)</f>
        <v>#VALUE!</v>
      </c>
      <c r="EM94" s="962" t="e">
        <f>[1]!taqq(1,1,[1]!roz(EM89+1,EM92,0,0),EM90)</f>
        <v>#VALUE!</v>
      </c>
      <c r="EN94" s="962" t="e">
        <f>[1]!taqq(1,1,[1]!roz(EN89+1,EN92,0,0),EN90)</f>
        <v>#VALUE!</v>
      </c>
      <c r="EO94" s="962" t="e">
        <f>[1]!taqq(1,1,[1]!roz(EO89+1,EO92,0,0),EO90)</f>
        <v>#VALUE!</v>
      </c>
      <c r="EP94" s="962" t="e">
        <f>[1]!taqq(1,1,[1]!roz(EP89+1,EP92,0,0),EP90)</f>
        <v>#VALUE!</v>
      </c>
      <c r="EQ94" s="962" t="e">
        <f>[1]!taqq(1,1,[1]!roz(EQ89+1,EQ92,0,0),EQ90)</f>
        <v>#VALUE!</v>
      </c>
      <c r="ER94" s="962" t="e">
        <f>[1]!taqq(1,1,[1]!roz(ER89+1,ER92,0,0),ER90)</f>
        <v>#VALUE!</v>
      </c>
      <c r="ES94" s="962" t="e">
        <f>[1]!taqq(1,1,[1]!roz(ES89+1,ES92,0,0),ES90)</f>
        <v>#VALUE!</v>
      </c>
      <c r="ET94" s="962" t="e">
        <f>[1]!taqq(1,1,[1]!roz(ET89+1,ET92,0,0),ET90)</f>
        <v>#VALUE!</v>
      </c>
      <c r="EU94" s="962" t="e">
        <f>[1]!taqq(1,1,[1]!roz(EU89+1,EU92,0,0),EU90)</f>
        <v>#VALUE!</v>
      </c>
      <c r="EV94" s="962" t="e">
        <f>[1]!taqq(1,1,[1]!roz(EV89+1,EV92,0,0),EV90)</f>
        <v>#VALUE!</v>
      </c>
      <c r="EW94" s="962" t="e">
        <f>[1]!taqq(1,1,[1]!roz(EW89+1,EW92,0,0),EW90)</f>
        <v>#VALUE!</v>
      </c>
      <c r="EX94" s="962" t="e">
        <f>[1]!taqq(1,1,[1]!roz(EX89+1,EX92,0,0),EX90)</f>
        <v>#VALUE!</v>
      </c>
      <c r="EY94" s="962" t="e">
        <f>[1]!taqq(1,1,[1]!roz(EY89+1,EY92,0,0),EY90)</f>
        <v>#VALUE!</v>
      </c>
      <c r="EZ94" s="962" t="e">
        <f>[1]!taqq(1,1,[1]!roz(EZ89+1,EZ92,0,0),EZ90)</f>
        <v>#VALUE!</v>
      </c>
      <c r="FA94" s="962" t="e">
        <f>[1]!taqq(1,1,[1]!roz(FA89+1,FA92,0,0),FA90)</f>
        <v>#VALUE!</v>
      </c>
      <c r="FB94" s="962" t="e">
        <f>[1]!taqq(1,1,[1]!roz(FB89+1,FB92,0,0),FB90)</f>
        <v>#VALUE!</v>
      </c>
      <c r="FC94" s="962" t="e">
        <f>[1]!taqq(1,1,[1]!roz(FC89+1,FC92,0,0),FC90)</f>
        <v>#VALUE!</v>
      </c>
      <c r="FD94" s="962" t="e">
        <f>[1]!taqq(1,1,[1]!roz(FD89+1,FD92,0,0),FD90)</f>
        <v>#VALUE!</v>
      </c>
      <c r="FE94" s="962" t="e">
        <f>[1]!taqq(1,1,[1]!roz(FE89+1,FE92,0,0),FE90)</f>
        <v>#VALUE!</v>
      </c>
      <c r="FF94" s="962" t="e">
        <f>[1]!taqq(1,1,[1]!roz(FF89+1,FF92,0,0),FF90)</f>
        <v>#VALUE!</v>
      </c>
      <c r="FG94" s="962" t="e">
        <f>[1]!taqq(1,1,[1]!roz(FG89+1,FG92,0,0),FG90)</f>
        <v>#VALUE!</v>
      </c>
      <c r="FH94" s="962" t="e">
        <f>[1]!taqq(1,1,[1]!roz(FH89+1,FH92,0,0),FH90)</f>
        <v>#VALUE!</v>
      </c>
      <c r="FI94" s="962" t="e">
        <f>[1]!taqq(1,1,[1]!roz(FI89+1,FI92,0,0),FI90)</f>
        <v>#VALUE!</v>
      </c>
      <c r="FJ94" s="962" t="e">
        <f>[1]!taqq(1,1,[1]!roz(FJ89+1,FJ92,0,0),FJ90)</f>
        <v>#VALUE!</v>
      </c>
      <c r="FK94" s="962" t="e">
        <f>[1]!taqq(1,1,[1]!roz(FK89+1,FK92,0,0),FK90)</f>
        <v>#VALUE!</v>
      </c>
      <c r="FL94" s="962" t="e">
        <f>[1]!taqq(1,1,[1]!roz(FL89+1,FL92,0,0),FL90)</f>
        <v>#VALUE!</v>
      </c>
      <c r="FM94" s="962" t="e">
        <f>[1]!taqq(1,1,[1]!roz(FM89+1,FM92,0,0),FM90)</f>
        <v>#VALUE!</v>
      </c>
      <c r="FN94" s="962" t="e">
        <f>[1]!taqq(1,1,[1]!roz(FN89+1,FN92,0,0),FN90)</f>
        <v>#VALUE!</v>
      </c>
      <c r="FO94" s="962" t="e">
        <f>[1]!taqq(1,1,[1]!roz(FO89+1,FO92,0,0),FO90)</f>
        <v>#VALUE!</v>
      </c>
      <c r="FP94" s="962" t="e">
        <f>[1]!taqq(1,1,[1]!roz(FP89+1,FP92,0,0),FP90)</f>
        <v>#VALUE!</v>
      </c>
      <c r="FQ94" s="962" t="e">
        <f>[1]!taqq(1,1,[1]!roz(FQ89+1,FQ92,0,0),FQ90)</f>
        <v>#VALUE!</v>
      </c>
      <c r="FR94" s="962" t="e">
        <f>[1]!taqq(1,1,[1]!roz(FR89+1,FR92,0,0),FR90)</f>
        <v>#VALUE!</v>
      </c>
      <c r="FS94" s="962" t="e">
        <f>[1]!taqq(1,1,[1]!roz(FS89+1,FS92,0,0),FS90)</f>
        <v>#VALUE!</v>
      </c>
      <c r="FT94" s="962" t="e">
        <f>[1]!taqq(1,1,[1]!roz(FT89+1,FT92,0,0),FT90)</f>
        <v>#VALUE!</v>
      </c>
      <c r="FU94" s="962" t="e">
        <f>[1]!taqq(1,1,[1]!roz(FU89+1,FU92,0,0),FU90)</f>
        <v>#VALUE!</v>
      </c>
      <c r="FV94" s="962" t="e">
        <f>[1]!taqq(1,1,[1]!roz(FV89+1,FV92,0,0),FV90)</f>
        <v>#VALUE!</v>
      </c>
      <c r="FW94" s="962" t="e">
        <f>[1]!taqq(1,1,[1]!roz(FW89+1,FW92,0,0),FW90)</f>
        <v>#VALUE!</v>
      </c>
      <c r="FX94" s="962" t="e">
        <f>[1]!taqq(1,1,[1]!roz(FX89+1,FX92,0,0),FX90)</f>
        <v>#VALUE!</v>
      </c>
      <c r="FY94" s="962" t="e">
        <f>[1]!taqq(1,1,[1]!roz(FY89+1,FY92,0,0),FY90)</f>
        <v>#VALUE!</v>
      </c>
      <c r="FZ94" s="962" t="e">
        <f>[1]!taqq(1,1,[1]!roz(FZ89+1,FZ92,0,0),FZ90)</f>
        <v>#VALUE!</v>
      </c>
      <c r="GA94" s="962" t="e">
        <f>[1]!taqq(1,1,[1]!roz(GA89+1,GA92,0,0),GA90)</f>
        <v>#VALUE!</v>
      </c>
      <c r="GB94" s="962" t="e">
        <f>[1]!taqq(1,1,[1]!roz(GB89+1,GB92,0,0),GB90)</f>
        <v>#VALUE!</v>
      </c>
      <c r="GC94" s="962" t="e">
        <f>[1]!taqq(1,1,[1]!roz(GC89+1,GC92,0,0),GC90)</f>
        <v>#VALUE!</v>
      </c>
      <c r="GD94" s="962" t="e">
        <f>[1]!taqq(1,1,[1]!roz(GD89+1,GD92,0,0),GD90)</f>
        <v>#VALUE!</v>
      </c>
      <c r="GE94" s="962" t="e">
        <f>[1]!taqq(1,1,[1]!roz(GE89+1,GE92,0,0),GE90)</f>
        <v>#VALUE!</v>
      </c>
      <c r="GF94" s="962" t="e">
        <f>[1]!taqq(1,1,[1]!roz(GF89+1,GF92,0,0),GF90)</f>
        <v>#VALUE!</v>
      </c>
      <c r="GG94" s="962" t="e">
        <f>[1]!taqq(1,1,[1]!roz(GG89+1,GG92,0,0),GG90)</f>
        <v>#VALUE!</v>
      </c>
      <c r="GH94" s="962" t="e">
        <f>[1]!taqq(1,1,[1]!roz(GH89+1,GH92,0,0),GH90)</f>
        <v>#VALUE!</v>
      </c>
      <c r="GI94" s="962" t="e">
        <f>[1]!taqq(1,1,[1]!roz(GI89+1,GI92,0,0),GI90)</f>
        <v>#VALUE!</v>
      </c>
      <c r="GJ94" s="962" t="e">
        <f>[1]!taqq(1,1,[1]!roz(GJ89+1,GJ92,0,0),GJ90)</f>
        <v>#VALUE!</v>
      </c>
      <c r="GK94" s="962" t="e">
        <f>[1]!taqq(1,1,[1]!roz(GK89+1,GK92,0,0),GK90)</f>
        <v>#VALUE!</v>
      </c>
      <c r="GL94" s="962" t="e">
        <f>[1]!taqq(1,1,[1]!roz(GL89+1,GL92,0,0),GL90)</f>
        <v>#VALUE!</v>
      </c>
      <c r="GM94" s="962" t="e">
        <f>[1]!taqq(1,1,[1]!roz(GM89+1,GM92,0,0),GM90)</f>
        <v>#VALUE!</v>
      </c>
      <c r="GN94" s="962" t="e">
        <f>[1]!taqq(1,1,[1]!roz(GN89+1,GN92,0,0),GN90)</f>
        <v>#VALUE!</v>
      </c>
      <c r="GO94" s="962" t="e">
        <f>[1]!taqq(1,1,[1]!roz(GO89+1,GO92,0,0),GO90)</f>
        <v>#VALUE!</v>
      </c>
      <c r="GP94" s="962" t="e">
        <f>[1]!taqq(1,1,[1]!roz(GP89+1,GP92,0,0),GP90)</f>
        <v>#VALUE!</v>
      </c>
      <c r="GQ94" s="962" t="e">
        <f>[1]!taqq(1,1,[1]!roz(GQ89+1,GQ92,0,0),GQ90)</f>
        <v>#VALUE!</v>
      </c>
      <c r="GR94" s="962" t="e">
        <f>[1]!taqq(1,1,[1]!roz(GR89+1,GR92,0,0),GR90)</f>
        <v>#VALUE!</v>
      </c>
      <c r="GS94" s="962" t="e">
        <f>[1]!taqq(1,1,[1]!roz(GS89+1,GS92,0,0),GS90)</f>
        <v>#VALUE!</v>
      </c>
      <c r="GT94" s="962" t="e">
        <f>[1]!taqq(1,1,[1]!roz(GT89+1,GT92,0,0),GT90)</f>
        <v>#VALUE!</v>
      </c>
      <c r="GU94" s="962" t="e">
        <f>[1]!taqq(1,1,[1]!roz(GU89+1,GU92,0,0),GU90)</f>
        <v>#VALUE!</v>
      </c>
      <c r="GV94" s="962" t="e">
        <f>[1]!taqq(1,1,[1]!roz(GV89+1,GV92,0,0),GV90)</f>
        <v>#VALUE!</v>
      </c>
      <c r="GW94" s="962" t="e">
        <f>[1]!taqq(1,1,[1]!roz(GW89+1,GW92,0,0),GW90)</f>
        <v>#VALUE!</v>
      </c>
      <c r="GX94" s="962" t="e">
        <f>[1]!taqq(1,1,[1]!roz(GX89+1,GX92,0,0),GX90)</f>
        <v>#VALUE!</v>
      </c>
      <c r="GY94" s="962" t="e">
        <f>[1]!taqq(1,1,[1]!roz(GY89+1,GY92,0,0),GY90)</f>
        <v>#VALUE!</v>
      </c>
      <c r="GZ94" s="962" t="e">
        <f>[1]!taqq(1,1,[1]!roz(GZ89+1,GZ92,0,0),GZ90)</f>
        <v>#VALUE!</v>
      </c>
      <c r="HA94" s="962" t="e">
        <f>[1]!taqq(1,1,[1]!roz(HA89+1,HA92,0,0),HA90)</f>
        <v>#VALUE!</v>
      </c>
      <c r="HB94" s="962" t="e">
        <f>[1]!taqq(1,1,[1]!roz(HB89+1,HB92,0,0),HB90)</f>
        <v>#VALUE!</v>
      </c>
      <c r="HC94" s="962" t="e">
        <f>[1]!taqq(1,1,[1]!roz(HC89+1,HC92,0,0),HC90)</f>
        <v>#VALUE!</v>
      </c>
      <c r="HD94" s="962" t="e">
        <f>[1]!taqq(1,1,[1]!roz(HD89+1,HD92,0,0),HD90)</f>
        <v>#VALUE!</v>
      </c>
      <c r="HE94" s="962" t="e">
        <f>[1]!taqq(1,1,[1]!roz(HE89+1,HE92,0,0),HE90)</f>
        <v>#VALUE!</v>
      </c>
      <c r="HF94" s="962" t="e">
        <f>[1]!taqq(1,1,[1]!roz(HF89+1,HF92,0,0),HF90)</f>
        <v>#VALUE!</v>
      </c>
      <c r="HG94" s="962" t="e">
        <f>[1]!taqq(1,1,[1]!roz(HG89+1,HG92,0,0),HG90)</f>
        <v>#VALUE!</v>
      </c>
      <c r="HH94" s="962" t="e">
        <f>[1]!taqq(1,1,[1]!roz(HH89+1,HH92,0,0),HH90)</f>
        <v>#VALUE!</v>
      </c>
      <c r="HI94" s="962" t="e">
        <f>[1]!taqq(1,1,[1]!roz(HI89+1,HI92,0,0),HI90)</f>
        <v>#VALUE!</v>
      </c>
      <c r="HJ94" s="962" t="e">
        <f>[1]!taqq(1,1,[1]!roz(HJ89+1,HJ92,0,0),HJ90)</f>
        <v>#VALUE!</v>
      </c>
      <c r="HK94" s="962" t="e">
        <f>[1]!taqq(1,1,[1]!roz(HK89+1,HK92,0,0),HK90)</f>
        <v>#VALUE!</v>
      </c>
      <c r="HL94" s="962" t="e">
        <f>[1]!taqq(1,1,[1]!roz(HL89+1,HL92,0,0),HL90)</f>
        <v>#VALUE!</v>
      </c>
      <c r="HM94" s="962" t="e">
        <f>[1]!taqq(1,1,[1]!roz(HM89+1,HM92,0,0),HM90)</f>
        <v>#VALUE!</v>
      </c>
      <c r="HN94" s="962" t="e">
        <f>[1]!taqq(1,1,[1]!roz(HN89+1,HN92,0,0),HN90)</f>
        <v>#VALUE!</v>
      </c>
      <c r="HO94" s="962" t="e">
        <f>[1]!taqq(1,1,[1]!roz(HO89+1,HO92,0,0),HO90)</f>
        <v>#VALUE!</v>
      </c>
      <c r="HP94" s="962" t="e">
        <f>[1]!taqq(1,1,[1]!roz(HP89+1,HP92,0,0),HP90)</f>
        <v>#VALUE!</v>
      </c>
      <c r="HQ94" s="962" t="e">
        <f>[1]!taqq(1,1,[1]!roz(HQ89+1,HQ92,0,0),HQ90)</f>
        <v>#VALUE!</v>
      </c>
      <c r="HR94" s="962" t="e">
        <f>[1]!taqq(1,1,[1]!roz(HR89+1,HR92,0,0),HR90)</f>
        <v>#VALUE!</v>
      </c>
      <c r="HS94" s="962" t="e">
        <f>[1]!taqq(1,1,[1]!roz(HS89+1,HS92,0,0),HS90)</f>
        <v>#VALUE!</v>
      </c>
      <c r="HT94" s="962" t="e">
        <f>[1]!taqq(1,1,[1]!roz(HT89+1,HT92,0,0),HT90)</f>
        <v>#VALUE!</v>
      </c>
      <c r="HU94" s="962" t="e">
        <f>[1]!taqq(1,1,[1]!roz(HU89+1,HU92,0,0),HU90)</f>
        <v>#VALUE!</v>
      </c>
      <c r="HV94" s="962" t="e">
        <f>[1]!taqq(1,1,[1]!roz(HV89+1,HV92,0,0),HV90)</f>
        <v>#VALUE!</v>
      </c>
      <c r="HW94" s="962" t="e">
        <f>[1]!taqq(1,1,[1]!roz(HW89+1,HW92,0,0),HW90)</f>
        <v>#VALUE!</v>
      </c>
      <c r="HX94" s="962" t="e">
        <f>[1]!taqq(1,1,[1]!roz(HX89+1,HX92,0,0),HX90)</f>
        <v>#VALUE!</v>
      </c>
      <c r="HY94" s="962" t="e">
        <f>[1]!taqq(1,1,[1]!roz(HY89+1,HY92,0,0),HY90)</f>
        <v>#VALUE!</v>
      </c>
      <c r="HZ94" s="962" t="e">
        <f>[1]!taqq(1,1,[1]!roz(HZ89+1,HZ92,0,0),HZ90)</f>
        <v>#VALUE!</v>
      </c>
      <c r="IA94" s="962" t="e">
        <f>[1]!taqq(1,1,[1]!roz(IA89+1,IA92,0,0),IA90)</f>
        <v>#VALUE!</v>
      </c>
      <c r="IB94" s="962" t="e">
        <f>[1]!taqq(1,1,[1]!roz(IB89+1,IB92,0,0),IB90)</f>
        <v>#VALUE!</v>
      </c>
      <c r="IC94" s="962" t="e">
        <f>[1]!taqq(1,1,[1]!roz(IC89+1,IC92,0,0),IC90)</f>
        <v>#VALUE!</v>
      </c>
      <c r="ID94" s="962" t="e">
        <f>[1]!taqq(1,1,[1]!roz(ID89+1,ID92,0,0),ID90)</f>
        <v>#VALUE!</v>
      </c>
      <c r="IE94" s="962" t="e">
        <f>[1]!taqq(1,1,[1]!roz(IE89+1,IE92,0,0),IE90)</f>
        <v>#VALUE!</v>
      </c>
      <c r="IF94" s="962" t="e">
        <f>[1]!taqq(1,1,[1]!roz(IF89+1,IF92,0,0),IF90)</f>
        <v>#VALUE!</v>
      </c>
      <c r="IG94" s="962" t="e">
        <f>[1]!taqq(1,1,[1]!roz(IG89+1,IG92,0,0),IG90)</f>
        <v>#VALUE!</v>
      </c>
      <c r="IH94" s="962" t="e">
        <f>[1]!taqq(1,1,[1]!roz(IH89+1,IH92,0,0),IH90)</f>
        <v>#VALUE!</v>
      </c>
      <c r="II94" s="962" t="e">
        <f>[1]!taqq(1,1,[1]!roz(II89+1,II92,0,0),II90)</f>
        <v>#VALUE!</v>
      </c>
      <c r="IJ94" s="962" t="e">
        <f>[1]!taqq(1,1,[1]!roz(IJ89+1,IJ92,0,0),IJ90)</f>
        <v>#VALUE!</v>
      </c>
      <c r="IK94" s="962" t="e">
        <f>[1]!taqq(1,1,[1]!roz(IK89+1,IK92,0,0),IK90)</f>
        <v>#VALUE!</v>
      </c>
      <c r="IL94" s="962" t="e">
        <f>[1]!taqq(1,1,[1]!roz(IL89+1,IL92,0,0),IL90)</f>
        <v>#VALUE!</v>
      </c>
      <c r="IM94" s="962" t="e">
        <f>[1]!taqq(1,1,[1]!roz(IM89+1,IM92,0,0),IM90)</f>
        <v>#VALUE!</v>
      </c>
      <c r="IN94" s="962" t="e">
        <f>[1]!taqq(1,1,[1]!roz(IN89+1,IN92,0,0),IN90)</f>
        <v>#VALUE!</v>
      </c>
      <c r="IO94" s="962" t="e">
        <f>[1]!taqq(1,1,[1]!roz(IO89+1,IO92,0,0),IO90)</f>
        <v>#VALUE!</v>
      </c>
      <c r="IP94" s="962" t="e">
        <f>[1]!taqq(1,1,[1]!roz(IP89+1,IP92,0,0),IP90)</f>
        <v>#VALUE!</v>
      </c>
      <c r="IQ94" s="962" t="e">
        <f>[1]!taqq(1,1,[1]!roz(IQ89+1,IQ92,0,0),IQ90)</f>
        <v>#VALUE!</v>
      </c>
      <c r="IR94" s="962" t="e">
        <f>[1]!taqq(1,1,[1]!roz(IR89+1,IR92,0,0),IR90)</f>
        <v>#VALUE!</v>
      </c>
      <c r="IS94" s="962" t="e">
        <f>[1]!taqq(1,1,[1]!roz(IS89+1,IS92,0,0),IS90)</f>
        <v>#VALUE!</v>
      </c>
      <c r="IT94" s="962" t="e">
        <f>[1]!taqq(1,1,[1]!roz(IT89+1,IT92,0,0),IT90)</f>
        <v>#VALUE!</v>
      </c>
      <c r="IU94" s="962" t="e">
        <f>[1]!taqq(1,1,[1]!roz(IU89+1,IU92,0,0),IU90)</f>
        <v>#VALUE!</v>
      </c>
      <c r="IV94" s="962" t="e">
        <f>[1]!taqq(1,1,[1]!roz(IV89+1,IV92,0,0),IV90)</f>
        <v>#VALUE!</v>
      </c>
      <c r="IW94" s="962" t="e">
        <f>[1]!taqq(1,1,[1]!roz(IW89+1,IW92,0,0),IW90)</f>
        <v>#VALUE!</v>
      </c>
      <c r="IX94" s="962" t="e">
        <f>[1]!taqq(1,1,[1]!roz(IX89+1,IX92,0,0),IX90)</f>
        <v>#VALUE!</v>
      </c>
      <c r="IY94" s="962" t="e">
        <f>[1]!taqq(1,1,[1]!roz(IY89+1,IY92,0,0),IY90)</f>
        <v>#VALUE!</v>
      </c>
      <c r="IZ94" s="962" t="e">
        <f>[1]!taqq(1,1,[1]!roz(IZ89+1,IZ92,0,0),IZ90)</f>
        <v>#VALUE!</v>
      </c>
      <c r="JA94" s="962" t="e">
        <f>[1]!taqq(1,1,[1]!roz(JA89+1,JA92,0,0),JA90)</f>
        <v>#VALUE!</v>
      </c>
      <c r="JB94" s="962" t="e">
        <f>[1]!taqq(1,1,[1]!roz(JB89+1,JB92,0,0),JB90)</f>
        <v>#VALUE!</v>
      </c>
      <c r="JC94" s="962" t="e">
        <f>[1]!taqq(1,1,[1]!roz(JC89+1,JC92,0,0),JC90)</f>
        <v>#VALUE!</v>
      </c>
      <c r="JD94" s="962" t="e">
        <f>[1]!taqq(1,1,[1]!roz(JD89+1,JD92,0,0),JD90)</f>
        <v>#VALUE!</v>
      </c>
      <c r="JE94" s="962" t="e">
        <f>[1]!taqq(1,1,[1]!roz(JE89+1,JE92,0,0),JE90)</f>
        <v>#VALUE!</v>
      </c>
      <c r="JF94" s="962" t="e">
        <f>[1]!taqq(1,1,[1]!roz(JF89+1,JF92,0,0),JF90)</f>
        <v>#VALUE!</v>
      </c>
      <c r="JG94" s="962" t="e">
        <f>[1]!taqq(1,1,[1]!roz(JG89+1,JG92,0,0),JG90)</f>
        <v>#VALUE!</v>
      </c>
      <c r="JH94" s="962" t="e">
        <f>[1]!taqq(1,1,[1]!roz(JH89+1,JH92,0,0),JH90)</f>
        <v>#VALUE!</v>
      </c>
      <c r="JI94" s="962" t="e">
        <f>[1]!taqq(1,1,[1]!roz(JI89+1,JI92,0,0),JI90)</f>
        <v>#VALUE!</v>
      </c>
      <c r="JJ94" s="962" t="e">
        <f>[1]!taqq(1,1,[1]!roz(JJ89+1,JJ92,0,0),JJ90)</f>
        <v>#VALUE!</v>
      </c>
      <c r="JK94" s="962" t="e">
        <f>[1]!taqq(1,1,[1]!roz(JK89+1,JK92,0,0),JK90)</f>
        <v>#VALUE!</v>
      </c>
      <c r="JL94" s="962" t="e">
        <f>[1]!taqq(1,1,[1]!roz(JL89+1,JL92,0,0),JL90)</f>
        <v>#VALUE!</v>
      </c>
      <c r="JM94" s="962" t="e">
        <f>[1]!taqq(1,1,[1]!roz(JM89+1,JM92,0,0),JM90)</f>
        <v>#VALUE!</v>
      </c>
      <c r="JN94" s="962" t="e">
        <f>[1]!taqq(1,1,[1]!roz(JN89+1,JN92,0,0),JN90)</f>
        <v>#VALUE!</v>
      </c>
      <c r="JO94" s="962" t="e">
        <f>[1]!taqq(1,1,[1]!roz(JO89+1,JO92,0,0),JO90)</f>
        <v>#VALUE!</v>
      </c>
      <c r="JP94" s="962" t="e">
        <f>[1]!taqq(1,1,[1]!roz(JP89+1,JP92,0,0),JP90)</f>
        <v>#VALUE!</v>
      </c>
      <c r="JQ94" s="962" t="e">
        <f>[1]!taqq(1,1,[1]!roz(JQ89+1,JQ92,0,0),JQ90)</f>
        <v>#VALUE!</v>
      </c>
      <c r="JR94" s="962" t="e">
        <f>[1]!taqq(1,1,[1]!roz(JR89+1,JR92,0,0),JR90)</f>
        <v>#VALUE!</v>
      </c>
      <c r="JS94" s="962" t="e">
        <f>[1]!taqq(1,1,[1]!roz(JS89+1,JS92,0,0),JS90)</f>
        <v>#VALUE!</v>
      </c>
      <c r="JT94" s="962" t="e">
        <f>[1]!taqq(1,1,[1]!roz(JT89+1,JT92,0,0),JT90)</f>
        <v>#VALUE!</v>
      </c>
      <c r="JU94" s="962" t="e">
        <f>[1]!taqq(1,1,[1]!roz(JU89+1,JU92,0,0),JU90)</f>
        <v>#VALUE!</v>
      </c>
      <c r="JV94" s="962" t="e">
        <f>[1]!taqq(1,1,[1]!roz(JV89+1,JV92,0,0),JV90)</f>
        <v>#VALUE!</v>
      </c>
      <c r="JW94" s="962" t="e">
        <f>[1]!taqq(1,1,[1]!roz(JW89+1,JW92,0,0),JW90)</f>
        <v>#VALUE!</v>
      </c>
      <c r="JX94" s="962" t="e">
        <f>[1]!taqq(1,1,[1]!roz(JX89+1,JX92,0,0),JX90)</f>
        <v>#VALUE!</v>
      </c>
      <c r="JY94" s="962" t="e">
        <f>[1]!taqq(1,1,[1]!roz(JY89+1,JY92,0,0),JY90)</f>
        <v>#VALUE!</v>
      </c>
      <c r="JZ94" s="962" t="e">
        <f>[1]!taqq(1,1,[1]!roz(JZ89+1,JZ92,0,0),JZ90)</f>
        <v>#VALUE!</v>
      </c>
      <c r="KA94" s="962" t="e">
        <f>[1]!taqq(1,1,[1]!roz(KA89+1,KA92,0,0),KA90)</f>
        <v>#VALUE!</v>
      </c>
      <c r="KB94" s="962" t="e">
        <f>[1]!taqq(1,1,[1]!roz(KB89+1,KB92,0,0),KB90)</f>
        <v>#VALUE!</v>
      </c>
      <c r="KC94" s="962" t="e">
        <f>[1]!taqq(1,1,[1]!roz(KC89+1,KC92,0,0),KC90)</f>
        <v>#VALUE!</v>
      </c>
      <c r="KD94" s="962" t="e">
        <f>[1]!taqq(1,1,[1]!roz(KD89+1,KD92,0,0),KD90)</f>
        <v>#VALUE!</v>
      </c>
      <c r="KE94" s="962" t="e">
        <f>[1]!taqq(1,1,[1]!roz(KE89+1,KE92,0,0),KE90)</f>
        <v>#VALUE!</v>
      </c>
      <c r="KF94" s="962" t="e">
        <f>[1]!taqq(1,1,[1]!roz(KF89+1,KF92,0,0),KF90)</f>
        <v>#VALUE!</v>
      </c>
      <c r="KG94" s="962" t="e">
        <f>[1]!taqq(1,1,[1]!roz(KG89+1,KG92,0,0),KG90)</f>
        <v>#VALUE!</v>
      </c>
      <c r="KH94" s="962" t="e">
        <f>[1]!taqq(1,1,[1]!roz(KH89+1,KH92,0,0),KH90)</f>
        <v>#VALUE!</v>
      </c>
      <c r="KI94" s="962" t="e">
        <f>[1]!taqq(1,1,[1]!roz(KI89+1,KI92,0,0),KI90)</f>
        <v>#VALUE!</v>
      </c>
      <c r="KJ94" s="962" t="e">
        <f>[1]!taqq(1,1,[1]!roz(KJ89+1,KJ92,0,0),KJ90)</f>
        <v>#VALUE!</v>
      </c>
      <c r="KK94" s="962" t="e">
        <f>[1]!taqq(1,1,[1]!roz(KK89+1,KK92,0,0),KK90)</f>
        <v>#VALUE!</v>
      </c>
      <c r="KL94" s="962" t="e">
        <f>[1]!taqq(1,1,[1]!roz(KL89+1,KL92,0,0),KL90)</f>
        <v>#VALUE!</v>
      </c>
      <c r="KM94" s="962" t="e">
        <f>[1]!taqq(1,1,[1]!roz(KM89+1,KM92,0,0),KM90)</f>
        <v>#VALUE!</v>
      </c>
      <c r="KN94" s="962" t="e">
        <f>[1]!taqq(1,1,[1]!roz(KN89+1,KN92,0,0),KN90)</f>
        <v>#VALUE!</v>
      </c>
      <c r="KO94" s="962" t="e">
        <f>[1]!taqq(1,1,[1]!roz(KO89+1,KO92,0,0),KO90)</f>
        <v>#VALUE!</v>
      </c>
      <c r="KP94" s="962" t="e">
        <f>[1]!taqq(1,1,[1]!roz(KP89+1,KP92,0,0),KP90)</f>
        <v>#VALUE!</v>
      </c>
      <c r="KQ94" s="962" t="e">
        <f>[1]!taqq(1,1,[1]!roz(KQ89+1,KQ92,0,0),KQ90)</f>
        <v>#VALUE!</v>
      </c>
      <c r="KR94" s="962" t="e">
        <f>[1]!taqq(1,1,[1]!roz(KR89+1,KR92,0,0),KR90)</f>
        <v>#VALUE!</v>
      </c>
      <c r="KS94" s="962" t="e">
        <f>[1]!taqq(1,1,[1]!roz(KS89+1,KS92,0,0),KS90)</f>
        <v>#VALUE!</v>
      </c>
      <c r="KT94" s="962" t="e">
        <f>[1]!taqq(1,1,[1]!roz(KT89+1,KT92,0,0),KT90)</f>
        <v>#VALUE!</v>
      </c>
      <c r="KU94" s="962" t="e">
        <f>[1]!taqq(1,1,[1]!roz(KU89+1,KU92,0,0),KU90)</f>
        <v>#VALUE!</v>
      </c>
      <c r="KV94" s="962" t="e">
        <f>[1]!taqq(1,1,[1]!roz(KV89+1,KV92,0,0),KV90)</f>
        <v>#VALUE!</v>
      </c>
      <c r="KW94" s="962" t="e">
        <f>[1]!taqq(1,1,[1]!roz(KW89+1,KW92,0,0),KW90)</f>
        <v>#VALUE!</v>
      </c>
      <c r="KX94" s="962" t="e">
        <f>[1]!taqq(1,1,[1]!roz(KX89+1,KX92,0,0),KX90)</f>
        <v>#VALUE!</v>
      </c>
      <c r="KY94" s="962" t="e">
        <f>[1]!taqq(1,1,[1]!roz(KY89+1,KY92,0,0),KY90)</f>
        <v>#VALUE!</v>
      </c>
      <c r="KZ94" s="962" t="e">
        <f>[1]!taqq(1,1,[1]!roz(KZ89+1,KZ92,0,0),KZ90)</f>
        <v>#VALUE!</v>
      </c>
      <c r="LA94" s="962" t="e">
        <f>[1]!taqq(1,1,[1]!roz(LA89+1,LA92,0,0),LA90)</f>
        <v>#VALUE!</v>
      </c>
      <c r="LB94" s="962" t="e">
        <f>[1]!taqq(1,1,[1]!roz(LB89+1,LB92,0,0),LB90)</f>
        <v>#VALUE!</v>
      </c>
      <c r="LC94" s="962" t="e">
        <f>[1]!taqq(1,1,[1]!roz(LC89+1,LC92,0,0),LC90)</f>
        <v>#VALUE!</v>
      </c>
      <c r="LD94" s="962" t="e">
        <f>[1]!taqq(1,1,[1]!roz(LD89+1,LD92,0,0),LD90)</f>
        <v>#VALUE!</v>
      </c>
      <c r="LE94" s="962" t="e">
        <f>[1]!taqq(1,1,[1]!roz(LE89+1,LE92,0,0),LE90)</f>
        <v>#VALUE!</v>
      </c>
      <c r="LF94" s="962" t="e">
        <f>[1]!taqq(1,1,[1]!roz(LF89+1,LF92,0,0),LF90)</f>
        <v>#VALUE!</v>
      </c>
      <c r="LG94" s="962" t="e">
        <f>[1]!taqq(1,1,[1]!roz(LG89+1,LG92,0,0),LG90)</f>
        <v>#VALUE!</v>
      </c>
      <c r="LH94" s="962" t="e">
        <f>[1]!taqq(1,1,[1]!roz(LH89+1,LH92,0,0),LH90)</f>
        <v>#VALUE!</v>
      </c>
      <c r="LI94" s="962" t="e">
        <f>[1]!taqq(1,1,[1]!roz(LI89+1,LI92,0,0),LI90)</f>
        <v>#VALUE!</v>
      </c>
      <c r="LJ94" s="962" t="e">
        <f>[1]!taqq(1,1,[1]!roz(LJ89+1,LJ92,0,0),LJ90)</f>
        <v>#VALUE!</v>
      </c>
      <c r="LK94" s="962" t="e">
        <f>[1]!taqq(1,1,[1]!roz(LK89+1,LK92,0,0),LK90)</f>
        <v>#VALUE!</v>
      </c>
      <c r="LL94" s="962" t="e">
        <f>[1]!taqq(1,1,[1]!roz(LL89+1,LL92,0,0),LL90)</f>
        <v>#VALUE!</v>
      </c>
      <c r="LM94" s="962" t="e">
        <f>[1]!taqq(1,1,[1]!roz(LM89+1,LM92,0,0),LM90)</f>
        <v>#VALUE!</v>
      </c>
      <c r="LN94" s="962" t="e">
        <f>[1]!taqq(1,1,[1]!roz(LN89+1,LN92,0,0),LN90)</f>
        <v>#VALUE!</v>
      </c>
      <c r="LO94" s="962" t="e">
        <f>[1]!taqq(1,1,[1]!roz(LO89+1,LO92,0,0),LO90)</f>
        <v>#VALUE!</v>
      </c>
      <c r="LP94" s="962" t="e">
        <f>[1]!taqq(1,1,[1]!roz(LP89+1,LP92,0,0),LP90)</f>
        <v>#VALUE!</v>
      </c>
      <c r="LQ94" s="962" t="e">
        <f>[1]!taqq(1,1,[1]!roz(LQ89+1,LQ92,0,0),LQ90)</f>
        <v>#VALUE!</v>
      </c>
      <c r="LR94" s="962" t="e">
        <f>[1]!taqq(1,1,[1]!roz(LR89+1,LR92,0,0),LR90)</f>
        <v>#VALUE!</v>
      </c>
      <c r="LS94" s="962" t="e">
        <f>[1]!taqq(1,1,[1]!roz(LS89+1,LS92,0,0),LS90)</f>
        <v>#VALUE!</v>
      </c>
      <c r="LT94" s="962" t="e">
        <f>[1]!taqq(1,1,[1]!roz(LT89+1,LT92,0,0),LT90)</f>
        <v>#VALUE!</v>
      </c>
      <c r="LU94" s="962" t="e">
        <f>[1]!taqq(1,1,[1]!roz(LU89+1,LU92,0,0),LU90)</f>
        <v>#VALUE!</v>
      </c>
      <c r="LV94" s="962" t="e">
        <f>[1]!taqq(1,1,[1]!roz(LV89+1,LV92,0,0),LV90)</f>
        <v>#VALUE!</v>
      </c>
      <c r="LW94" s="962" t="e">
        <f>[1]!taqq(1,1,[1]!roz(LW89+1,LW92,0,0),LW90)</f>
        <v>#VALUE!</v>
      </c>
      <c r="LX94" s="962" t="e">
        <f>[1]!taqq(1,1,[1]!roz(LX89+1,LX92,0,0),LX90)</f>
        <v>#VALUE!</v>
      </c>
      <c r="LY94" s="962" t="e">
        <f>[1]!taqq(1,1,[1]!roz(LY89+1,LY92,0,0),LY90)</f>
        <v>#VALUE!</v>
      </c>
      <c r="LZ94" s="962" t="e">
        <f>[1]!taqq(1,1,[1]!roz(LZ89+1,LZ92,0,0),LZ90)</f>
        <v>#VALUE!</v>
      </c>
      <c r="MA94" s="962" t="e">
        <f>[1]!taqq(1,1,[1]!roz(MA89+1,MA92,0,0),MA90)</f>
        <v>#VALUE!</v>
      </c>
      <c r="MB94" s="962" t="e">
        <f>[1]!taqq(1,1,[1]!roz(MB89+1,MB92,0,0),MB90)</f>
        <v>#VALUE!</v>
      </c>
      <c r="MC94" s="962" t="e">
        <f>[1]!taqq(1,1,[1]!roz(MC89+1,MC92,0,0),MC90)</f>
        <v>#VALUE!</v>
      </c>
      <c r="MD94" s="962" t="e">
        <f>[1]!taqq(1,1,[1]!roz(MD89+1,MD92,0,0),MD90)</f>
        <v>#VALUE!</v>
      </c>
      <c r="ME94" s="962" t="e">
        <f>[1]!taqq(1,1,[1]!roz(ME89+1,ME92,0,0),ME90)</f>
        <v>#VALUE!</v>
      </c>
      <c r="MF94" s="962" t="e">
        <f>[1]!taqq(1,1,[1]!roz(MF89+1,MF92,0,0),MF90)</f>
        <v>#VALUE!</v>
      </c>
      <c r="MG94" s="962" t="e">
        <f>[1]!taqq(1,1,[1]!roz(MG89+1,MG92,0,0),MG90)</f>
        <v>#VALUE!</v>
      </c>
      <c r="MH94" s="962" t="e">
        <f>[1]!taqq(1,1,[1]!roz(MH89+1,MH92,0,0),MH90)</f>
        <v>#VALUE!</v>
      </c>
      <c r="MI94" s="962" t="e">
        <f>[1]!taqq(1,1,[1]!roz(MI89+1,MI92,0,0),MI90)</f>
        <v>#VALUE!</v>
      </c>
      <c r="MJ94" s="962" t="e">
        <f>[1]!taqq(1,1,[1]!roz(MJ89+1,MJ92,0,0),MJ90)</f>
        <v>#VALUE!</v>
      </c>
      <c r="MK94" s="962" t="e">
        <f>[1]!taqq(1,1,[1]!roz(MK89+1,MK92,0,0),MK90)</f>
        <v>#VALUE!</v>
      </c>
      <c r="ML94" s="962" t="e">
        <f>[1]!taqq(1,1,[1]!roz(ML89+1,ML92,0,0),ML90)</f>
        <v>#VALUE!</v>
      </c>
      <c r="MM94" s="962" t="e">
        <f>[1]!taqq(1,1,[1]!roz(MM89+1,MM92,0,0),MM90)</f>
        <v>#VALUE!</v>
      </c>
      <c r="MN94" s="962" t="e">
        <f>[1]!taqq(1,1,[1]!roz(MN89+1,MN92,0,0),MN90)</f>
        <v>#VALUE!</v>
      </c>
      <c r="MO94" s="962" t="e">
        <f>[1]!taqq(1,1,[1]!roz(MO89+1,MO92,0,0),MO90)</f>
        <v>#VALUE!</v>
      </c>
      <c r="MP94" s="962" t="e">
        <f>[1]!taqq(1,1,[1]!roz(MP89+1,MP92,0,0),MP90)</f>
        <v>#VALUE!</v>
      </c>
      <c r="MQ94" s="962" t="e">
        <f>[1]!taqq(1,1,[1]!roz(MQ89+1,MQ92,0,0),MQ90)</f>
        <v>#VALUE!</v>
      </c>
      <c r="MR94" s="962" t="e">
        <f>[1]!taqq(1,1,[1]!roz(MR89+1,MR92,0,0),MR90)</f>
        <v>#VALUE!</v>
      </c>
      <c r="MS94" s="962" t="e">
        <f>[1]!taqq(1,1,[1]!roz(MS89+1,MS92,0,0),MS90)</f>
        <v>#VALUE!</v>
      </c>
      <c r="MT94" s="962" t="e">
        <f>[1]!taqq(1,1,[1]!roz(MT89+1,MT92,0,0),MT90)</f>
        <v>#VALUE!</v>
      </c>
      <c r="MU94" s="962" t="e">
        <f>[1]!taqq(1,1,[1]!roz(MU89+1,MU92,0,0),MU90)</f>
        <v>#VALUE!</v>
      </c>
      <c r="MV94" s="962" t="e">
        <f>[1]!taqq(1,1,[1]!roz(MV89+1,MV92,0,0),MV90)</f>
        <v>#VALUE!</v>
      </c>
      <c r="MW94" s="962" t="e">
        <f>[1]!taqq(1,1,[1]!roz(MW89+1,MW92,0,0),MW90)</f>
        <v>#VALUE!</v>
      </c>
      <c r="MX94" s="962" t="e">
        <f>[1]!taqq(1,1,[1]!roz(MX89+1,MX92,0,0),MX90)</f>
        <v>#VALUE!</v>
      </c>
      <c r="MY94" s="962" t="e">
        <f>[1]!taqq(1,1,[1]!roz(MY89+1,MY92,0,0),MY90)</f>
        <v>#VALUE!</v>
      </c>
      <c r="MZ94" s="962" t="e">
        <f>[1]!taqq(1,1,[1]!roz(MZ89+1,MZ92,0,0),MZ90)</f>
        <v>#VALUE!</v>
      </c>
      <c r="NA94" s="962" t="e">
        <f>[1]!taqq(1,1,[1]!roz(NA89+1,NA92,0,0),NA90)</f>
        <v>#VALUE!</v>
      </c>
      <c r="NB94" s="962" t="e">
        <f>[1]!taqq(1,1,[1]!roz(NB89+1,NB92,0,0),NB90)</f>
        <v>#VALUE!</v>
      </c>
      <c r="NC94" s="962" t="e">
        <f>[1]!taqq(1,1,[1]!roz(NC89+1,NC92,0,0),NC90)</f>
        <v>#VALUE!</v>
      </c>
      <c r="ND94" s="962" t="e">
        <f>[1]!taqq(1,1,[1]!roz(ND89+1,ND92,0,0),ND90)</f>
        <v>#VALUE!</v>
      </c>
      <c r="NE94" s="962" t="e">
        <f>[1]!taqq(1,1,[1]!roz(NE89+1,NE92,0,0),NE90)</f>
        <v>#VALUE!</v>
      </c>
      <c r="NF94" s="962" t="e">
        <f>[1]!taqq(1,1,[1]!roz(NF89+1,NF92,0,0),NF90)</f>
        <v>#VALUE!</v>
      </c>
      <c r="NG94" s="962" t="e">
        <f>[1]!taqq(1,1,[1]!roz(NG89+1,NG92,0,0),NG90)</f>
        <v>#VALUE!</v>
      </c>
      <c r="NH94" s="962" t="e">
        <f>[1]!taqq(1,1,[1]!roz(NH89+1,NH92,0,0),NH90)</f>
        <v>#VALUE!</v>
      </c>
      <c r="NI94" s="962" t="e">
        <f>[1]!taqq(1,1,[1]!roz(NI89+1,NI92,0,0),NI90)</f>
        <v>#VALUE!</v>
      </c>
      <c r="NJ94" s="962" t="e">
        <f>[1]!taqq(1,1,[1]!roz(NJ89+1,NJ92,0,0),NJ90)</f>
        <v>#VALUE!</v>
      </c>
      <c r="NK94" s="962" t="e">
        <f>[1]!taqq(1,1,[1]!roz(NK89+1,NK92,0,0),NK90)</f>
        <v>#VALUE!</v>
      </c>
      <c r="NL94" s="962" t="e">
        <f>[1]!taqq(1,1,[1]!roz(NL89+1,NL92,0,0),NL90)</f>
        <v>#VALUE!</v>
      </c>
      <c r="NM94" s="962" t="e">
        <f>[1]!taqq(1,1,[1]!roz(NM89+1,NM92,0,0),NM90)</f>
        <v>#VALUE!</v>
      </c>
      <c r="NN94" s="962" t="e">
        <f>[1]!taqq(1,1,[1]!roz(NN89+1,NN92,0,0),NN90)</f>
        <v>#VALUE!</v>
      </c>
      <c r="NO94" s="962" t="e">
        <f>[1]!taqq(1,1,[1]!roz(NO89+1,NO92,0,0),NO90)</f>
        <v>#VALUE!</v>
      </c>
      <c r="NP94" s="962" t="e">
        <f>[1]!taqq(1,1,[1]!roz(NP89+1,NP92,0,0),NP90)</f>
        <v>#VALUE!</v>
      </c>
      <c r="NQ94" s="962" t="e">
        <f>[1]!taqq(1,1,[1]!roz(NQ89+1,NQ92,0,0),NQ90)</f>
        <v>#VALUE!</v>
      </c>
      <c r="NR94" s="962" t="e">
        <f>[1]!taqq(1,1,[1]!roz(NR89+1,NR92,0,0),NR90)</f>
        <v>#VALUE!</v>
      </c>
      <c r="NS94" s="962" t="e">
        <f>[1]!taqq(1,1,[1]!roz(NS89+1,NS92,0,0),NS90)</f>
        <v>#VALUE!</v>
      </c>
      <c r="NT94" s="962" t="e">
        <f>[1]!taqq(1,1,[1]!roz(NT89+1,NT92,0,0),NT90)</f>
        <v>#VALUE!</v>
      </c>
      <c r="NU94" s="962" t="e">
        <f>[1]!taqq(1,1,[1]!roz(NU89+1,NU92,0,0),NU90)</f>
        <v>#VALUE!</v>
      </c>
      <c r="NV94" s="962" t="e">
        <f>[1]!taqq(1,1,[1]!roz(NV89+1,NV92,0,0),NV90)</f>
        <v>#VALUE!</v>
      </c>
      <c r="NW94" s="962" t="e">
        <f>[1]!taqq(1,1,[1]!roz(NW89+1,NW92,0,0),NW90)</f>
        <v>#VALUE!</v>
      </c>
      <c r="NX94" s="962" t="e">
        <f>[1]!taqq(1,1,[1]!roz(NX89+1,NX92,0,0),NX90)</f>
        <v>#VALUE!</v>
      </c>
      <c r="NY94" s="962" t="e">
        <f>[1]!taqq(1,1,[1]!roz(NY89+1,NY92,0,0),NY90)</f>
        <v>#VALUE!</v>
      </c>
      <c r="NZ94" s="962" t="e">
        <f>[1]!taqq(1,1,[1]!roz(NZ89+1,NZ92,0,0),NZ90)</f>
        <v>#VALUE!</v>
      </c>
      <c r="OA94" s="962" t="e">
        <f>[1]!taqq(1,1,[1]!roz(OA89+1,OA92,0,0),OA90)</f>
        <v>#VALUE!</v>
      </c>
      <c r="OB94" s="962" t="e">
        <f>[1]!taqq(1,1,[1]!roz(OB89+1,OB92,0,0),OB90)</f>
        <v>#VALUE!</v>
      </c>
      <c r="OC94" s="962" t="e">
        <f>[1]!taqq(1,1,[1]!roz(OC89+1,OC92,0,0),OC90)</f>
        <v>#VALUE!</v>
      </c>
      <c r="OD94" s="962" t="e">
        <f>[1]!taqq(1,1,[1]!roz(OD89+1,OD92,0,0),OD90)</f>
        <v>#VALUE!</v>
      </c>
      <c r="OE94" s="962" t="e">
        <f>[1]!taqq(1,1,[1]!roz(OE89+1,OE92,0,0),OE90)</f>
        <v>#VALUE!</v>
      </c>
      <c r="OF94" s="962" t="e">
        <f>[1]!taqq(1,1,[1]!roz(OF89+1,OF92,0,0),OF90)</f>
        <v>#VALUE!</v>
      </c>
      <c r="OG94" s="962" t="e">
        <f>[1]!taqq(1,1,[1]!roz(OG89+1,OG92,0,0),OG90)</f>
        <v>#VALUE!</v>
      </c>
      <c r="OH94" s="962" t="e">
        <f>[1]!taqq(1,1,[1]!roz(OH89+1,OH92,0,0),OH90)</f>
        <v>#VALUE!</v>
      </c>
      <c r="OI94" s="962" t="e">
        <f>[1]!taqq(1,1,[1]!roz(OI89+1,OI92,0,0),OI90)</f>
        <v>#VALUE!</v>
      </c>
      <c r="OJ94" s="962" t="e">
        <f>[1]!taqq(1,1,[1]!roz(OJ89+1,OJ92,0,0),OJ90)</f>
        <v>#VALUE!</v>
      </c>
      <c r="OK94" s="962" t="e">
        <f>[1]!taqq(1,1,[1]!roz(OK89+1,OK92,0,0),OK90)</f>
        <v>#VALUE!</v>
      </c>
      <c r="OL94" s="962" t="e">
        <f>[1]!taqq(1,1,[1]!roz(OL89+1,OL92,0,0),OL90)</f>
        <v>#VALUE!</v>
      </c>
      <c r="OM94" s="962" t="e">
        <f>[1]!taqq(1,1,[1]!roz(OM89+1,OM92,0,0),OM90)</f>
        <v>#VALUE!</v>
      </c>
      <c r="ON94" s="962" t="e">
        <f>[1]!taqq(1,1,[1]!roz(ON89+1,ON92,0,0),ON90)</f>
        <v>#VALUE!</v>
      </c>
      <c r="OO94" s="962" t="e">
        <f>[1]!taqq(1,1,[1]!roz(OO89+1,OO92,0,0),OO90)</f>
        <v>#VALUE!</v>
      </c>
      <c r="OP94" s="962" t="e">
        <f>[1]!taqq(1,1,[1]!roz(OP89+1,OP92,0,0),OP90)</f>
        <v>#VALUE!</v>
      </c>
      <c r="OQ94" s="962" t="e">
        <f>[1]!taqq(1,1,[1]!roz(OQ89+1,OQ92,0,0),OQ90)</f>
        <v>#VALUE!</v>
      </c>
      <c r="OR94" s="962" t="e">
        <f>[1]!taqq(1,1,[1]!roz(OR89+1,OR92,0,0),OR90)</f>
        <v>#VALUE!</v>
      </c>
      <c r="OS94" s="962" t="e">
        <f>[1]!taqq(1,1,[1]!roz(OS89+1,OS92,0,0),OS90)</f>
        <v>#VALUE!</v>
      </c>
      <c r="OT94" s="962" t="e">
        <f>[1]!taqq(1,1,[1]!roz(OT89+1,OT92,0,0),OT90)</f>
        <v>#VALUE!</v>
      </c>
      <c r="OU94" s="962" t="e">
        <f>[1]!taqq(1,1,[1]!roz(OU89+1,OU92,0,0),OU90)</f>
        <v>#VALUE!</v>
      </c>
      <c r="OV94" s="962" t="e">
        <f>[1]!taqq(1,1,[1]!roz(OV89+1,OV92,0,0),OV90)</f>
        <v>#VALUE!</v>
      </c>
      <c r="OW94" s="962" t="e">
        <f>[1]!taqq(1,1,[1]!roz(OW89+1,OW92,0,0),OW90)</f>
        <v>#VALUE!</v>
      </c>
      <c r="OX94" s="962" t="e">
        <f>[1]!taqq(1,1,[1]!roz(OX89+1,OX92,0,0),OX90)</f>
        <v>#VALUE!</v>
      </c>
      <c r="OY94" s="962" t="e">
        <f>[1]!taqq(1,1,[1]!roz(OY89+1,OY92,0,0),OY90)</f>
        <v>#VALUE!</v>
      </c>
      <c r="OZ94" s="962" t="e">
        <f>[1]!taqq(1,1,[1]!roz(OZ89+1,OZ92,0,0),OZ90)</f>
        <v>#VALUE!</v>
      </c>
      <c r="PA94" s="962" t="e">
        <f>[1]!taqq(1,1,[1]!roz(PA89+1,PA92,0,0),PA90)</f>
        <v>#VALUE!</v>
      </c>
      <c r="PB94" s="962" t="e">
        <f>[1]!taqq(1,1,[1]!roz(PB89+1,PB92,0,0),PB90)</f>
        <v>#VALUE!</v>
      </c>
      <c r="PC94" s="962" t="e">
        <f>[1]!taqq(1,1,[1]!roz(PC89+1,PC92,0,0),PC90)</f>
        <v>#VALUE!</v>
      </c>
      <c r="PD94" s="962" t="e">
        <f>[1]!taqq(1,1,[1]!roz(PD89+1,PD92,0,0),PD90)</f>
        <v>#VALUE!</v>
      </c>
      <c r="PE94" s="962" t="e">
        <f>[1]!taqq(1,1,[1]!roz(PE89+1,PE92,0,0),PE90)</f>
        <v>#VALUE!</v>
      </c>
      <c r="PF94" s="962" t="e">
        <f>[1]!taqq(1,1,[1]!roz(PF89+1,PF92,0,0),PF90)</f>
        <v>#VALUE!</v>
      </c>
      <c r="PG94" s="962" t="e">
        <f>[1]!taqq(1,1,[1]!roz(PG89+1,PG92,0,0),PG90)</f>
        <v>#VALUE!</v>
      </c>
      <c r="PH94" s="962" t="e">
        <f>[1]!taqq(1,1,[1]!roz(PH89+1,PH92,0,0),PH90)</f>
        <v>#VALUE!</v>
      </c>
      <c r="PI94" s="962" t="e">
        <f>[1]!taqq(1,1,[1]!roz(PI89+1,PI92,0,0),PI90)</f>
        <v>#VALUE!</v>
      </c>
      <c r="PJ94" s="962" t="e">
        <f>[1]!taqq(1,1,[1]!roz(PJ89+1,PJ92,0,0),PJ90)</f>
        <v>#VALUE!</v>
      </c>
      <c r="PK94" s="962" t="e">
        <f>[1]!taqq(1,1,[1]!roz(PK89+1,PK92,0,0),PK90)</f>
        <v>#VALUE!</v>
      </c>
      <c r="PL94" s="962" t="e">
        <f>[1]!taqq(1,1,[1]!roz(PL89+1,PL92,0,0),PL90)</f>
        <v>#VALUE!</v>
      </c>
      <c r="PM94" s="962" t="e">
        <f>[1]!taqq(1,1,[1]!roz(PM89+1,PM92,0,0),PM90)</f>
        <v>#VALUE!</v>
      </c>
      <c r="PN94" s="962" t="e">
        <f>[1]!taqq(1,1,[1]!roz(PN89+1,PN92,0,0),PN90)</f>
        <v>#VALUE!</v>
      </c>
      <c r="PO94" s="962" t="e">
        <f>[1]!taqq(1,1,[1]!roz(PO89+1,PO92,0,0),PO90)</f>
        <v>#VALUE!</v>
      </c>
      <c r="PP94" s="962" t="e">
        <f>[1]!taqq(1,1,[1]!roz(PP89+1,PP92,0,0),PP90)</f>
        <v>#VALUE!</v>
      </c>
      <c r="PQ94" s="962" t="e">
        <f>[1]!taqq(1,1,[1]!roz(PQ89+1,PQ92,0,0),PQ90)</f>
        <v>#VALUE!</v>
      </c>
      <c r="PR94" s="962" t="e">
        <f>[1]!taqq(1,1,[1]!roz(PR89+1,PR92,0,0),PR90)</f>
        <v>#VALUE!</v>
      </c>
      <c r="PS94" s="962" t="e">
        <f>[1]!taqq(1,1,[1]!roz(PS89+1,PS92,0,0),PS90)</f>
        <v>#VALUE!</v>
      </c>
      <c r="PT94" s="962" t="e">
        <f>[1]!taqq(1,1,[1]!roz(PT89+1,PT92,0,0),PT90)</f>
        <v>#VALUE!</v>
      </c>
      <c r="PU94" s="962" t="e">
        <f>[1]!taqq(1,1,[1]!roz(PU89+1,PU92,0,0),PU90)</f>
        <v>#VALUE!</v>
      </c>
      <c r="PV94" s="962" t="e">
        <f>[1]!taqq(1,1,[1]!roz(PV89+1,PV92,0,0),PV90)</f>
        <v>#VALUE!</v>
      </c>
      <c r="PW94" s="962" t="e">
        <f>[1]!taqq(1,1,[1]!roz(PW89+1,PW92,0,0),PW90)</f>
        <v>#VALUE!</v>
      </c>
      <c r="PX94" s="962" t="e">
        <f>[1]!taqq(1,1,[1]!roz(PX89+1,PX92,0,0),PX90)</f>
        <v>#VALUE!</v>
      </c>
      <c r="PY94" s="962" t="e">
        <f>[1]!taqq(1,1,[1]!roz(PY89+1,PY92,0,0),PY90)</f>
        <v>#VALUE!</v>
      </c>
      <c r="PZ94" s="962" t="e">
        <f>[1]!taqq(1,1,[1]!roz(PZ89+1,PZ92,0,0),PZ90)</f>
        <v>#VALUE!</v>
      </c>
      <c r="QA94" s="962" t="e">
        <f>[1]!taqq(1,1,[1]!roz(QA89+1,QA92,0,0),QA90)</f>
        <v>#VALUE!</v>
      </c>
      <c r="QB94" s="962" t="e">
        <f>[1]!taqq(1,1,[1]!roz(QB89+1,QB92,0,0),QB90)</f>
        <v>#VALUE!</v>
      </c>
      <c r="QC94" s="962" t="e">
        <f>[1]!taqq(1,1,[1]!roz(QC89+1,QC92,0,0),QC90)</f>
        <v>#VALUE!</v>
      </c>
      <c r="QD94" s="962" t="e">
        <f>[1]!taqq(1,1,[1]!roz(QD89+1,QD92,0,0),QD90)</f>
        <v>#VALUE!</v>
      </c>
      <c r="QE94" s="962" t="e">
        <f>[1]!taqq(1,1,[1]!roz(QE89+1,QE92,0,0),QE90)</f>
        <v>#VALUE!</v>
      </c>
      <c r="QF94" s="962" t="e">
        <f>[1]!taqq(1,1,[1]!roz(QF89+1,QF92,0,0),QF90)</f>
        <v>#VALUE!</v>
      </c>
      <c r="QG94" s="962" t="e">
        <f>[1]!taqq(1,1,[1]!roz(QG89+1,QG92,0,0),QG90)</f>
        <v>#VALUE!</v>
      </c>
      <c r="QH94" s="962" t="e">
        <f>[1]!taqq(1,1,[1]!roz(QH89+1,QH92,0,0),QH90)</f>
        <v>#VALUE!</v>
      </c>
      <c r="QI94" s="962" t="e">
        <f>[1]!taqq(1,1,[1]!roz(QI89+1,QI92,0,0),QI90)</f>
        <v>#VALUE!</v>
      </c>
      <c r="QJ94" s="962" t="e">
        <f>[1]!taqq(1,1,[1]!roz(QJ89+1,QJ92,0,0),QJ90)</f>
        <v>#VALUE!</v>
      </c>
      <c r="QK94" s="962" t="e">
        <f>[1]!taqq(1,1,[1]!roz(QK89+1,QK92,0,0),QK90)</f>
        <v>#VALUE!</v>
      </c>
      <c r="QL94" s="962" t="e">
        <f>[1]!taqq(1,1,[1]!roz(QL89+1,QL92,0,0),QL90)</f>
        <v>#VALUE!</v>
      </c>
      <c r="QM94" s="962" t="e">
        <f>[1]!taqq(1,1,[1]!roz(QM89+1,QM92,0,0),QM90)</f>
        <v>#VALUE!</v>
      </c>
      <c r="QN94" s="962" t="e">
        <f>[1]!taqq(1,1,[1]!roz(QN89+1,QN92,0,0),QN90)</f>
        <v>#VALUE!</v>
      </c>
      <c r="QO94" s="962" t="e">
        <f>[1]!taqq(1,1,[1]!roz(QO89+1,QO92,0,0),QO90)</f>
        <v>#VALUE!</v>
      </c>
      <c r="QP94" s="962" t="e">
        <f>[1]!taqq(1,1,[1]!roz(QP89+1,QP92,0,0),QP90)</f>
        <v>#VALUE!</v>
      </c>
      <c r="QQ94" s="962" t="e">
        <f>[1]!taqq(1,1,[1]!roz(QQ89+1,QQ92,0,0),QQ90)</f>
        <v>#VALUE!</v>
      </c>
      <c r="QR94" s="962" t="e">
        <f>[1]!taqq(1,1,[1]!roz(QR89+1,QR92,0,0),QR90)</f>
        <v>#VALUE!</v>
      </c>
      <c r="QS94" s="962" t="e">
        <f>[1]!taqq(1,1,[1]!roz(QS89+1,QS92,0,0),QS90)</f>
        <v>#VALUE!</v>
      </c>
      <c r="QT94" s="962" t="e">
        <f>[1]!taqq(1,1,[1]!roz(QT89+1,QT92,0,0),QT90)</f>
        <v>#VALUE!</v>
      </c>
      <c r="QU94" s="962" t="e">
        <f>[1]!taqq(1,1,[1]!roz(QU89+1,QU92,0,0),QU90)</f>
        <v>#VALUE!</v>
      </c>
      <c r="QV94" s="962" t="e">
        <f>[1]!taqq(1,1,[1]!roz(QV89+1,QV92,0,0),QV90)</f>
        <v>#VALUE!</v>
      </c>
      <c r="QW94" s="962" t="e">
        <f>[1]!taqq(1,1,[1]!roz(QW89+1,QW92,0,0),QW90)</f>
        <v>#VALUE!</v>
      </c>
      <c r="QX94" s="962" t="e">
        <f>[1]!taqq(1,1,[1]!roz(QX89+1,QX92,0,0),QX90)</f>
        <v>#VALUE!</v>
      </c>
      <c r="QY94" s="962" t="e">
        <f>[1]!taqq(1,1,[1]!roz(QY89+1,QY92,0,0),QY90)</f>
        <v>#VALUE!</v>
      </c>
      <c r="QZ94" s="962" t="e">
        <f>[1]!taqq(1,1,[1]!roz(QZ89+1,QZ92,0,0),QZ90)</f>
        <v>#VALUE!</v>
      </c>
      <c r="RA94" s="963" t="e">
        <f>[1]!taqq(1,1,[1]!roz(RA89+1,RA92,0,0),RA90)</f>
        <v>#VALUE!</v>
      </c>
      <c r="RB94" s="797"/>
      <c r="RC94" s="797"/>
    </row>
    <row r="95" spans="2:471" ht="18" thickBot="1">
      <c r="F95" s="17"/>
      <c r="G95" s="18" t="s">
        <v>98</v>
      </c>
      <c r="H95" s="19"/>
      <c r="DH95" s="797"/>
      <c r="DJ95" s="961" t="e">
        <f>IF(DJ94-DJ93&gt;-180,DJ94-DJ93,DJ94-DJ93+360)</f>
        <v>#VALUE!</v>
      </c>
      <c r="DK95" s="962" t="e">
        <f>IF(DK94-DK93&gt;-180,DK94-DK93,DK94-DK93+360)</f>
        <v>#VALUE!</v>
      </c>
      <c r="DL95" s="962" t="e">
        <f>IF(DL94-DL93&gt;-180,DL94-DL93,DL94-DL93+360)</f>
        <v>#VALUE!</v>
      </c>
      <c r="DM95" s="962" t="e">
        <f t="shared" ref="DM95:FX95" si="1188">IF(DM94-DM93&gt;-180,DM94-DM93,DM94-DM93+360)</f>
        <v>#VALUE!</v>
      </c>
      <c r="DN95" s="962" t="e">
        <f t="shared" si="1188"/>
        <v>#VALUE!</v>
      </c>
      <c r="DO95" s="962" t="e">
        <f t="shared" si="1188"/>
        <v>#VALUE!</v>
      </c>
      <c r="DP95" s="962" t="e">
        <f t="shared" si="1188"/>
        <v>#VALUE!</v>
      </c>
      <c r="DQ95" s="962" t="e">
        <f t="shared" si="1188"/>
        <v>#VALUE!</v>
      </c>
      <c r="DR95" s="962" t="e">
        <f t="shared" si="1188"/>
        <v>#VALUE!</v>
      </c>
      <c r="DS95" s="962" t="e">
        <f t="shared" si="1188"/>
        <v>#VALUE!</v>
      </c>
      <c r="DT95" s="962" t="e">
        <f t="shared" si="1188"/>
        <v>#VALUE!</v>
      </c>
      <c r="DU95" s="962" t="e">
        <f t="shared" si="1188"/>
        <v>#VALUE!</v>
      </c>
      <c r="DV95" s="962" t="e">
        <f t="shared" si="1188"/>
        <v>#VALUE!</v>
      </c>
      <c r="DW95" s="962" t="e">
        <f t="shared" si="1188"/>
        <v>#VALUE!</v>
      </c>
      <c r="DX95" s="962" t="e">
        <f t="shared" si="1188"/>
        <v>#VALUE!</v>
      </c>
      <c r="DY95" s="962" t="e">
        <f t="shared" si="1188"/>
        <v>#VALUE!</v>
      </c>
      <c r="DZ95" s="962" t="e">
        <f t="shared" si="1188"/>
        <v>#VALUE!</v>
      </c>
      <c r="EA95" s="962" t="e">
        <f t="shared" si="1188"/>
        <v>#VALUE!</v>
      </c>
      <c r="EB95" s="962" t="e">
        <f t="shared" si="1188"/>
        <v>#VALUE!</v>
      </c>
      <c r="EC95" s="962" t="e">
        <f t="shared" si="1188"/>
        <v>#VALUE!</v>
      </c>
      <c r="ED95" s="962" t="e">
        <f t="shared" si="1188"/>
        <v>#VALUE!</v>
      </c>
      <c r="EE95" s="962" t="e">
        <f t="shared" si="1188"/>
        <v>#VALUE!</v>
      </c>
      <c r="EF95" s="962" t="e">
        <f t="shared" si="1188"/>
        <v>#VALUE!</v>
      </c>
      <c r="EG95" s="962" t="e">
        <f t="shared" si="1188"/>
        <v>#VALUE!</v>
      </c>
      <c r="EH95" s="962" t="e">
        <f t="shared" si="1188"/>
        <v>#VALUE!</v>
      </c>
      <c r="EI95" s="962" t="e">
        <f t="shared" si="1188"/>
        <v>#VALUE!</v>
      </c>
      <c r="EJ95" s="962" t="e">
        <f t="shared" si="1188"/>
        <v>#VALUE!</v>
      </c>
      <c r="EK95" s="962" t="e">
        <f t="shared" si="1188"/>
        <v>#VALUE!</v>
      </c>
      <c r="EL95" s="962" t="e">
        <f t="shared" si="1188"/>
        <v>#VALUE!</v>
      </c>
      <c r="EM95" s="962" t="e">
        <f t="shared" si="1188"/>
        <v>#VALUE!</v>
      </c>
      <c r="EN95" s="962" t="e">
        <f t="shared" si="1188"/>
        <v>#VALUE!</v>
      </c>
      <c r="EO95" s="962" t="e">
        <f t="shared" si="1188"/>
        <v>#VALUE!</v>
      </c>
      <c r="EP95" s="962" t="e">
        <f t="shared" si="1188"/>
        <v>#VALUE!</v>
      </c>
      <c r="EQ95" s="962" t="e">
        <f t="shared" si="1188"/>
        <v>#VALUE!</v>
      </c>
      <c r="ER95" s="962" t="e">
        <f t="shared" si="1188"/>
        <v>#VALUE!</v>
      </c>
      <c r="ES95" s="962" t="e">
        <f t="shared" si="1188"/>
        <v>#VALUE!</v>
      </c>
      <c r="ET95" s="962" t="e">
        <f t="shared" si="1188"/>
        <v>#VALUE!</v>
      </c>
      <c r="EU95" s="962" t="e">
        <f t="shared" si="1188"/>
        <v>#VALUE!</v>
      </c>
      <c r="EV95" s="962" t="e">
        <f t="shared" si="1188"/>
        <v>#VALUE!</v>
      </c>
      <c r="EW95" s="962" t="e">
        <f t="shared" si="1188"/>
        <v>#VALUE!</v>
      </c>
      <c r="EX95" s="962" t="e">
        <f t="shared" si="1188"/>
        <v>#VALUE!</v>
      </c>
      <c r="EY95" s="962" t="e">
        <f t="shared" si="1188"/>
        <v>#VALUE!</v>
      </c>
      <c r="EZ95" s="962" t="e">
        <f t="shared" si="1188"/>
        <v>#VALUE!</v>
      </c>
      <c r="FA95" s="962" t="e">
        <f t="shared" si="1188"/>
        <v>#VALUE!</v>
      </c>
      <c r="FB95" s="962" t="e">
        <f t="shared" si="1188"/>
        <v>#VALUE!</v>
      </c>
      <c r="FC95" s="962" t="e">
        <f t="shared" si="1188"/>
        <v>#VALUE!</v>
      </c>
      <c r="FD95" s="962" t="e">
        <f t="shared" si="1188"/>
        <v>#VALUE!</v>
      </c>
      <c r="FE95" s="962" t="e">
        <f t="shared" si="1188"/>
        <v>#VALUE!</v>
      </c>
      <c r="FF95" s="962" t="e">
        <f t="shared" si="1188"/>
        <v>#VALUE!</v>
      </c>
      <c r="FG95" s="962" t="e">
        <f t="shared" si="1188"/>
        <v>#VALUE!</v>
      </c>
      <c r="FH95" s="962" t="e">
        <f t="shared" si="1188"/>
        <v>#VALUE!</v>
      </c>
      <c r="FI95" s="962" t="e">
        <f t="shared" si="1188"/>
        <v>#VALUE!</v>
      </c>
      <c r="FJ95" s="962" t="e">
        <f t="shared" si="1188"/>
        <v>#VALUE!</v>
      </c>
      <c r="FK95" s="962" t="e">
        <f t="shared" si="1188"/>
        <v>#VALUE!</v>
      </c>
      <c r="FL95" s="962" t="e">
        <f t="shared" si="1188"/>
        <v>#VALUE!</v>
      </c>
      <c r="FM95" s="962" t="e">
        <f t="shared" si="1188"/>
        <v>#VALUE!</v>
      </c>
      <c r="FN95" s="962" t="e">
        <f t="shared" si="1188"/>
        <v>#VALUE!</v>
      </c>
      <c r="FO95" s="962" t="e">
        <f t="shared" si="1188"/>
        <v>#VALUE!</v>
      </c>
      <c r="FP95" s="962" t="e">
        <f t="shared" si="1188"/>
        <v>#VALUE!</v>
      </c>
      <c r="FQ95" s="962" t="e">
        <f t="shared" si="1188"/>
        <v>#VALUE!</v>
      </c>
      <c r="FR95" s="962" t="e">
        <f t="shared" si="1188"/>
        <v>#VALUE!</v>
      </c>
      <c r="FS95" s="962" t="e">
        <f t="shared" si="1188"/>
        <v>#VALUE!</v>
      </c>
      <c r="FT95" s="962" t="e">
        <f t="shared" si="1188"/>
        <v>#VALUE!</v>
      </c>
      <c r="FU95" s="962" t="e">
        <f t="shared" si="1188"/>
        <v>#VALUE!</v>
      </c>
      <c r="FV95" s="962" t="e">
        <f t="shared" si="1188"/>
        <v>#VALUE!</v>
      </c>
      <c r="FW95" s="962" t="e">
        <f t="shared" si="1188"/>
        <v>#VALUE!</v>
      </c>
      <c r="FX95" s="962" t="e">
        <f t="shared" si="1188"/>
        <v>#VALUE!</v>
      </c>
      <c r="FY95" s="962" t="e">
        <f t="shared" ref="FY95:IJ95" si="1189">IF(FY94-FY93&gt;-180,FY94-FY93,FY94-FY93+360)</f>
        <v>#VALUE!</v>
      </c>
      <c r="FZ95" s="962" t="e">
        <f t="shared" si="1189"/>
        <v>#VALUE!</v>
      </c>
      <c r="GA95" s="962" t="e">
        <f t="shared" si="1189"/>
        <v>#VALUE!</v>
      </c>
      <c r="GB95" s="962" t="e">
        <f t="shared" si="1189"/>
        <v>#VALUE!</v>
      </c>
      <c r="GC95" s="962" t="e">
        <f t="shared" si="1189"/>
        <v>#VALUE!</v>
      </c>
      <c r="GD95" s="962" t="e">
        <f t="shared" si="1189"/>
        <v>#VALUE!</v>
      </c>
      <c r="GE95" s="962" t="e">
        <f t="shared" si="1189"/>
        <v>#VALUE!</v>
      </c>
      <c r="GF95" s="962" t="e">
        <f t="shared" si="1189"/>
        <v>#VALUE!</v>
      </c>
      <c r="GG95" s="962" t="e">
        <f t="shared" si="1189"/>
        <v>#VALUE!</v>
      </c>
      <c r="GH95" s="962" t="e">
        <f t="shared" si="1189"/>
        <v>#VALUE!</v>
      </c>
      <c r="GI95" s="962" t="e">
        <f t="shared" si="1189"/>
        <v>#VALUE!</v>
      </c>
      <c r="GJ95" s="962" t="e">
        <f t="shared" si="1189"/>
        <v>#VALUE!</v>
      </c>
      <c r="GK95" s="962" t="e">
        <f t="shared" si="1189"/>
        <v>#VALUE!</v>
      </c>
      <c r="GL95" s="962" t="e">
        <f t="shared" si="1189"/>
        <v>#VALUE!</v>
      </c>
      <c r="GM95" s="962" t="e">
        <f t="shared" si="1189"/>
        <v>#VALUE!</v>
      </c>
      <c r="GN95" s="962" t="e">
        <f t="shared" si="1189"/>
        <v>#VALUE!</v>
      </c>
      <c r="GO95" s="962" t="e">
        <f t="shared" si="1189"/>
        <v>#VALUE!</v>
      </c>
      <c r="GP95" s="962" t="e">
        <f t="shared" si="1189"/>
        <v>#VALUE!</v>
      </c>
      <c r="GQ95" s="962" t="e">
        <f t="shared" si="1189"/>
        <v>#VALUE!</v>
      </c>
      <c r="GR95" s="962" t="e">
        <f t="shared" si="1189"/>
        <v>#VALUE!</v>
      </c>
      <c r="GS95" s="962" t="e">
        <f t="shared" si="1189"/>
        <v>#VALUE!</v>
      </c>
      <c r="GT95" s="962" t="e">
        <f t="shared" si="1189"/>
        <v>#VALUE!</v>
      </c>
      <c r="GU95" s="962" t="e">
        <f t="shared" si="1189"/>
        <v>#VALUE!</v>
      </c>
      <c r="GV95" s="962" t="e">
        <f t="shared" si="1189"/>
        <v>#VALUE!</v>
      </c>
      <c r="GW95" s="962" t="e">
        <f t="shared" si="1189"/>
        <v>#VALUE!</v>
      </c>
      <c r="GX95" s="962" t="e">
        <f t="shared" si="1189"/>
        <v>#VALUE!</v>
      </c>
      <c r="GY95" s="962" t="e">
        <f t="shared" si="1189"/>
        <v>#VALUE!</v>
      </c>
      <c r="GZ95" s="962" t="e">
        <f t="shared" si="1189"/>
        <v>#VALUE!</v>
      </c>
      <c r="HA95" s="962" t="e">
        <f t="shared" si="1189"/>
        <v>#VALUE!</v>
      </c>
      <c r="HB95" s="962" t="e">
        <f t="shared" si="1189"/>
        <v>#VALUE!</v>
      </c>
      <c r="HC95" s="962" t="e">
        <f t="shared" si="1189"/>
        <v>#VALUE!</v>
      </c>
      <c r="HD95" s="962" t="e">
        <f t="shared" si="1189"/>
        <v>#VALUE!</v>
      </c>
      <c r="HE95" s="962" t="e">
        <f t="shared" si="1189"/>
        <v>#VALUE!</v>
      </c>
      <c r="HF95" s="962" t="e">
        <f t="shared" si="1189"/>
        <v>#VALUE!</v>
      </c>
      <c r="HG95" s="962" t="e">
        <f t="shared" si="1189"/>
        <v>#VALUE!</v>
      </c>
      <c r="HH95" s="962" t="e">
        <f t="shared" si="1189"/>
        <v>#VALUE!</v>
      </c>
      <c r="HI95" s="962" t="e">
        <f t="shared" si="1189"/>
        <v>#VALUE!</v>
      </c>
      <c r="HJ95" s="962" t="e">
        <f t="shared" si="1189"/>
        <v>#VALUE!</v>
      </c>
      <c r="HK95" s="962" t="e">
        <f t="shared" si="1189"/>
        <v>#VALUE!</v>
      </c>
      <c r="HL95" s="962" t="e">
        <f t="shared" si="1189"/>
        <v>#VALUE!</v>
      </c>
      <c r="HM95" s="962" t="e">
        <f t="shared" si="1189"/>
        <v>#VALUE!</v>
      </c>
      <c r="HN95" s="962" t="e">
        <f t="shared" si="1189"/>
        <v>#VALUE!</v>
      </c>
      <c r="HO95" s="962" t="e">
        <f t="shared" si="1189"/>
        <v>#VALUE!</v>
      </c>
      <c r="HP95" s="962" t="e">
        <f t="shared" si="1189"/>
        <v>#VALUE!</v>
      </c>
      <c r="HQ95" s="962" t="e">
        <f t="shared" si="1189"/>
        <v>#VALUE!</v>
      </c>
      <c r="HR95" s="962" t="e">
        <f t="shared" si="1189"/>
        <v>#VALUE!</v>
      </c>
      <c r="HS95" s="962" t="e">
        <f t="shared" si="1189"/>
        <v>#VALUE!</v>
      </c>
      <c r="HT95" s="962" t="e">
        <f t="shared" si="1189"/>
        <v>#VALUE!</v>
      </c>
      <c r="HU95" s="962" t="e">
        <f t="shared" si="1189"/>
        <v>#VALUE!</v>
      </c>
      <c r="HV95" s="962" t="e">
        <f t="shared" si="1189"/>
        <v>#VALUE!</v>
      </c>
      <c r="HW95" s="962" t="e">
        <f t="shared" si="1189"/>
        <v>#VALUE!</v>
      </c>
      <c r="HX95" s="962" t="e">
        <f t="shared" si="1189"/>
        <v>#VALUE!</v>
      </c>
      <c r="HY95" s="962" t="e">
        <f t="shared" si="1189"/>
        <v>#VALUE!</v>
      </c>
      <c r="HZ95" s="962" t="e">
        <f t="shared" si="1189"/>
        <v>#VALUE!</v>
      </c>
      <c r="IA95" s="962" t="e">
        <f t="shared" si="1189"/>
        <v>#VALUE!</v>
      </c>
      <c r="IB95" s="962" t="e">
        <f t="shared" si="1189"/>
        <v>#VALUE!</v>
      </c>
      <c r="IC95" s="962" t="e">
        <f t="shared" si="1189"/>
        <v>#VALUE!</v>
      </c>
      <c r="ID95" s="962" t="e">
        <f t="shared" si="1189"/>
        <v>#VALUE!</v>
      </c>
      <c r="IE95" s="962" t="e">
        <f t="shared" si="1189"/>
        <v>#VALUE!</v>
      </c>
      <c r="IF95" s="962" t="e">
        <f t="shared" si="1189"/>
        <v>#VALUE!</v>
      </c>
      <c r="IG95" s="962" t="e">
        <f t="shared" si="1189"/>
        <v>#VALUE!</v>
      </c>
      <c r="IH95" s="962" t="e">
        <f t="shared" si="1189"/>
        <v>#VALUE!</v>
      </c>
      <c r="II95" s="962" t="e">
        <f t="shared" si="1189"/>
        <v>#VALUE!</v>
      </c>
      <c r="IJ95" s="962" t="e">
        <f t="shared" si="1189"/>
        <v>#VALUE!</v>
      </c>
      <c r="IK95" s="962" t="e">
        <f t="shared" ref="IK95:KV95" si="1190">IF(IK94-IK93&gt;-180,IK94-IK93,IK94-IK93+360)</f>
        <v>#VALUE!</v>
      </c>
      <c r="IL95" s="962" t="e">
        <f t="shared" si="1190"/>
        <v>#VALUE!</v>
      </c>
      <c r="IM95" s="962" t="e">
        <f t="shared" si="1190"/>
        <v>#VALUE!</v>
      </c>
      <c r="IN95" s="962" t="e">
        <f t="shared" si="1190"/>
        <v>#VALUE!</v>
      </c>
      <c r="IO95" s="962" t="e">
        <f t="shared" si="1190"/>
        <v>#VALUE!</v>
      </c>
      <c r="IP95" s="962" t="e">
        <f t="shared" si="1190"/>
        <v>#VALUE!</v>
      </c>
      <c r="IQ95" s="962" t="e">
        <f t="shared" si="1190"/>
        <v>#VALUE!</v>
      </c>
      <c r="IR95" s="962" t="e">
        <f t="shared" si="1190"/>
        <v>#VALUE!</v>
      </c>
      <c r="IS95" s="962" t="e">
        <f t="shared" si="1190"/>
        <v>#VALUE!</v>
      </c>
      <c r="IT95" s="962" t="e">
        <f t="shared" si="1190"/>
        <v>#VALUE!</v>
      </c>
      <c r="IU95" s="962" t="e">
        <f t="shared" si="1190"/>
        <v>#VALUE!</v>
      </c>
      <c r="IV95" s="962" t="e">
        <f t="shared" si="1190"/>
        <v>#VALUE!</v>
      </c>
      <c r="IW95" s="962" t="e">
        <f t="shared" si="1190"/>
        <v>#VALUE!</v>
      </c>
      <c r="IX95" s="962" t="e">
        <f t="shared" si="1190"/>
        <v>#VALUE!</v>
      </c>
      <c r="IY95" s="962" t="e">
        <f t="shared" si="1190"/>
        <v>#VALUE!</v>
      </c>
      <c r="IZ95" s="962" t="e">
        <f t="shared" si="1190"/>
        <v>#VALUE!</v>
      </c>
      <c r="JA95" s="962" t="e">
        <f t="shared" si="1190"/>
        <v>#VALUE!</v>
      </c>
      <c r="JB95" s="962" t="e">
        <f t="shared" si="1190"/>
        <v>#VALUE!</v>
      </c>
      <c r="JC95" s="962" t="e">
        <f t="shared" si="1190"/>
        <v>#VALUE!</v>
      </c>
      <c r="JD95" s="962" t="e">
        <f t="shared" si="1190"/>
        <v>#VALUE!</v>
      </c>
      <c r="JE95" s="962" t="e">
        <f t="shared" si="1190"/>
        <v>#VALUE!</v>
      </c>
      <c r="JF95" s="962" t="e">
        <f t="shared" si="1190"/>
        <v>#VALUE!</v>
      </c>
      <c r="JG95" s="962" t="e">
        <f t="shared" si="1190"/>
        <v>#VALUE!</v>
      </c>
      <c r="JH95" s="962" t="e">
        <f t="shared" si="1190"/>
        <v>#VALUE!</v>
      </c>
      <c r="JI95" s="962" t="e">
        <f t="shared" si="1190"/>
        <v>#VALUE!</v>
      </c>
      <c r="JJ95" s="962" t="e">
        <f t="shared" si="1190"/>
        <v>#VALUE!</v>
      </c>
      <c r="JK95" s="962" t="e">
        <f t="shared" si="1190"/>
        <v>#VALUE!</v>
      </c>
      <c r="JL95" s="962" t="e">
        <f t="shared" si="1190"/>
        <v>#VALUE!</v>
      </c>
      <c r="JM95" s="962" t="e">
        <f t="shared" si="1190"/>
        <v>#VALUE!</v>
      </c>
      <c r="JN95" s="962" t="e">
        <f t="shared" si="1190"/>
        <v>#VALUE!</v>
      </c>
      <c r="JO95" s="962" t="e">
        <f t="shared" si="1190"/>
        <v>#VALUE!</v>
      </c>
      <c r="JP95" s="962" t="e">
        <f t="shared" si="1190"/>
        <v>#VALUE!</v>
      </c>
      <c r="JQ95" s="962" t="e">
        <f t="shared" si="1190"/>
        <v>#VALUE!</v>
      </c>
      <c r="JR95" s="962" t="e">
        <f t="shared" si="1190"/>
        <v>#VALUE!</v>
      </c>
      <c r="JS95" s="962" t="e">
        <f t="shared" si="1190"/>
        <v>#VALUE!</v>
      </c>
      <c r="JT95" s="962" t="e">
        <f t="shared" si="1190"/>
        <v>#VALUE!</v>
      </c>
      <c r="JU95" s="962" t="e">
        <f t="shared" si="1190"/>
        <v>#VALUE!</v>
      </c>
      <c r="JV95" s="962" t="e">
        <f t="shared" si="1190"/>
        <v>#VALUE!</v>
      </c>
      <c r="JW95" s="962" t="e">
        <f t="shared" si="1190"/>
        <v>#VALUE!</v>
      </c>
      <c r="JX95" s="962" t="e">
        <f t="shared" si="1190"/>
        <v>#VALUE!</v>
      </c>
      <c r="JY95" s="962" t="e">
        <f t="shared" si="1190"/>
        <v>#VALUE!</v>
      </c>
      <c r="JZ95" s="962" t="e">
        <f t="shared" si="1190"/>
        <v>#VALUE!</v>
      </c>
      <c r="KA95" s="962" t="e">
        <f t="shared" si="1190"/>
        <v>#VALUE!</v>
      </c>
      <c r="KB95" s="962" t="e">
        <f t="shared" si="1190"/>
        <v>#VALUE!</v>
      </c>
      <c r="KC95" s="962" t="e">
        <f t="shared" si="1190"/>
        <v>#VALUE!</v>
      </c>
      <c r="KD95" s="962" t="e">
        <f t="shared" si="1190"/>
        <v>#VALUE!</v>
      </c>
      <c r="KE95" s="962" t="e">
        <f t="shared" si="1190"/>
        <v>#VALUE!</v>
      </c>
      <c r="KF95" s="962" t="e">
        <f t="shared" si="1190"/>
        <v>#VALUE!</v>
      </c>
      <c r="KG95" s="962" t="e">
        <f t="shared" si="1190"/>
        <v>#VALUE!</v>
      </c>
      <c r="KH95" s="962" t="e">
        <f t="shared" si="1190"/>
        <v>#VALUE!</v>
      </c>
      <c r="KI95" s="962" t="e">
        <f t="shared" si="1190"/>
        <v>#VALUE!</v>
      </c>
      <c r="KJ95" s="962" t="e">
        <f t="shared" si="1190"/>
        <v>#VALUE!</v>
      </c>
      <c r="KK95" s="962" t="e">
        <f t="shared" si="1190"/>
        <v>#VALUE!</v>
      </c>
      <c r="KL95" s="962" t="e">
        <f t="shared" si="1190"/>
        <v>#VALUE!</v>
      </c>
      <c r="KM95" s="962" t="e">
        <f t="shared" si="1190"/>
        <v>#VALUE!</v>
      </c>
      <c r="KN95" s="962" t="e">
        <f t="shared" si="1190"/>
        <v>#VALUE!</v>
      </c>
      <c r="KO95" s="962" t="e">
        <f t="shared" si="1190"/>
        <v>#VALUE!</v>
      </c>
      <c r="KP95" s="962" t="e">
        <f t="shared" si="1190"/>
        <v>#VALUE!</v>
      </c>
      <c r="KQ95" s="962" t="e">
        <f t="shared" si="1190"/>
        <v>#VALUE!</v>
      </c>
      <c r="KR95" s="962" t="e">
        <f t="shared" si="1190"/>
        <v>#VALUE!</v>
      </c>
      <c r="KS95" s="962" t="e">
        <f t="shared" si="1190"/>
        <v>#VALUE!</v>
      </c>
      <c r="KT95" s="962" t="e">
        <f t="shared" si="1190"/>
        <v>#VALUE!</v>
      </c>
      <c r="KU95" s="962" t="e">
        <f t="shared" si="1190"/>
        <v>#VALUE!</v>
      </c>
      <c r="KV95" s="962" t="e">
        <f t="shared" si="1190"/>
        <v>#VALUE!</v>
      </c>
      <c r="KW95" s="962" t="e">
        <f t="shared" ref="KW95:NH95" si="1191">IF(KW94-KW93&gt;-180,KW94-KW93,KW94-KW93+360)</f>
        <v>#VALUE!</v>
      </c>
      <c r="KX95" s="962" t="e">
        <f t="shared" si="1191"/>
        <v>#VALUE!</v>
      </c>
      <c r="KY95" s="962" t="e">
        <f t="shared" si="1191"/>
        <v>#VALUE!</v>
      </c>
      <c r="KZ95" s="962" t="e">
        <f t="shared" si="1191"/>
        <v>#VALUE!</v>
      </c>
      <c r="LA95" s="962" t="e">
        <f t="shared" si="1191"/>
        <v>#VALUE!</v>
      </c>
      <c r="LB95" s="962" t="e">
        <f t="shared" si="1191"/>
        <v>#VALUE!</v>
      </c>
      <c r="LC95" s="962" t="e">
        <f t="shared" si="1191"/>
        <v>#VALUE!</v>
      </c>
      <c r="LD95" s="962" t="e">
        <f t="shared" si="1191"/>
        <v>#VALUE!</v>
      </c>
      <c r="LE95" s="962" t="e">
        <f t="shared" si="1191"/>
        <v>#VALUE!</v>
      </c>
      <c r="LF95" s="962" t="e">
        <f t="shared" si="1191"/>
        <v>#VALUE!</v>
      </c>
      <c r="LG95" s="962" t="e">
        <f t="shared" si="1191"/>
        <v>#VALUE!</v>
      </c>
      <c r="LH95" s="962" t="e">
        <f t="shared" si="1191"/>
        <v>#VALUE!</v>
      </c>
      <c r="LI95" s="962" t="e">
        <f t="shared" si="1191"/>
        <v>#VALUE!</v>
      </c>
      <c r="LJ95" s="962" t="e">
        <f t="shared" si="1191"/>
        <v>#VALUE!</v>
      </c>
      <c r="LK95" s="962" t="e">
        <f t="shared" si="1191"/>
        <v>#VALUE!</v>
      </c>
      <c r="LL95" s="962" t="e">
        <f t="shared" si="1191"/>
        <v>#VALUE!</v>
      </c>
      <c r="LM95" s="962" t="e">
        <f t="shared" si="1191"/>
        <v>#VALUE!</v>
      </c>
      <c r="LN95" s="962" t="e">
        <f t="shared" si="1191"/>
        <v>#VALUE!</v>
      </c>
      <c r="LO95" s="962" t="e">
        <f t="shared" si="1191"/>
        <v>#VALUE!</v>
      </c>
      <c r="LP95" s="962" t="e">
        <f t="shared" si="1191"/>
        <v>#VALUE!</v>
      </c>
      <c r="LQ95" s="962" t="e">
        <f t="shared" si="1191"/>
        <v>#VALUE!</v>
      </c>
      <c r="LR95" s="962" t="e">
        <f t="shared" si="1191"/>
        <v>#VALUE!</v>
      </c>
      <c r="LS95" s="962" t="e">
        <f t="shared" si="1191"/>
        <v>#VALUE!</v>
      </c>
      <c r="LT95" s="962" t="e">
        <f t="shared" si="1191"/>
        <v>#VALUE!</v>
      </c>
      <c r="LU95" s="962" t="e">
        <f t="shared" si="1191"/>
        <v>#VALUE!</v>
      </c>
      <c r="LV95" s="962" t="e">
        <f t="shared" si="1191"/>
        <v>#VALUE!</v>
      </c>
      <c r="LW95" s="962" t="e">
        <f t="shared" si="1191"/>
        <v>#VALUE!</v>
      </c>
      <c r="LX95" s="962" t="e">
        <f t="shared" si="1191"/>
        <v>#VALUE!</v>
      </c>
      <c r="LY95" s="962" t="e">
        <f t="shared" si="1191"/>
        <v>#VALUE!</v>
      </c>
      <c r="LZ95" s="962" t="e">
        <f t="shared" si="1191"/>
        <v>#VALUE!</v>
      </c>
      <c r="MA95" s="962" t="e">
        <f t="shared" si="1191"/>
        <v>#VALUE!</v>
      </c>
      <c r="MB95" s="962" t="e">
        <f t="shared" si="1191"/>
        <v>#VALUE!</v>
      </c>
      <c r="MC95" s="962" t="e">
        <f t="shared" si="1191"/>
        <v>#VALUE!</v>
      </c>
      <c r="MD95" s="962" t="e">
        <f t="shared" si="1191"/>
        <v>#VALUE!</v>
      </c>
      <c r="ME95" s="962" t="e">
        <f t="shared" si="1191"/>
        <v>#VALUE!</v>
      </c>
      <c r="MF95" s="962" t="e">
        <f t="shared" si="1191"/>
        <v>#VALUE!</v>
      </c>
      <c r="MG95" s="962" t="e">
        <f t="shared" si="1191"/>
        <v>#VALUE!</v>
      </c>
      <c r="MH95" s="962" t="e">
        <f t="shared" si="1191"/>
        <v>#VALUE!</v>
      </c>
      <c r="MI95" s="962" t="e">
        <f t="shared" si="1191"/>
        <v>#VALUE!</v>
      </c>
      <c r="MJ95" s="962" t="e">
        <f t="shared" si="1191"/>
        <v>#VALUE!</v>
      </c>
      <c r="MK95" s="962" t="e">
        <f t="shared" si="1191"/>
        <v>#VALUE!</v>
      </c>
      <c r="ML95" s="962" t="e">
        <f t="shared" si="1191"/>
        <v>#VALUE!</v>
      </c>
      <c r="MM95" s="962" t="e">
        <f t="shared" si="1191"/>
        <v>#VALUE!</v>
      </c>
      <c r="MN95" s="962" t="e">
        <f t="shared" si="1191"/>
        <v>#VALUE!</v>
      </c>
      <c r="MO95" s="962" t="e">
        <f t="shared" si="1191"/>
        <v>#VALUE!</v>
      </c>
      <c r="MP95" s="962" t="e">
        <f t="shared" si="1191"/>
        <v>#VALUE!</v>
      </c>
      <c r="MQ95" s="962" t="e">
        <f t="shared" si="1191"/>
        <v>#VALUE!</v>
      </c>
      <c r="MR95" s="962" t="e">
        <f t="shared" si="1191"/>
        <v>#VALUE!</v>
      </c>
      <c r="MS95" s="962" t="e">
        <f t="shared" si="1191"/>
        <v>#VALUE!</v>
      </c>
      <c r="MT95" s="962" t="e">
        <f t="shared" si="1191"/>
        <v>#VALUE!</v>
      </c>
      <c r="MU95" s="962" t="e">
        <f t="shared" si="1191"/>
        <v>#VALUE!</v>
      </c>
      <c r="MV95" s="962" t="e">
        <f t="shared" si="1191"/>
        <v>#VALUE!</v>
      </c>
      <c r="MW95" s="962" t="e">
        <f t="shared" si="1191"/>
        <v>#VALUE!</v>
      </c>
      <c r="MX95" s="962" t="e">
        <f t="shared" si="1191"/>
        <v>#VALUE!</v>
      </c>
      <c r="MY95" s="962" t="e">
        <f t="shared" si="1191"/>
        <v>#VALUE!</v>
      </c>
      <c r="MZ95" s="962" t="e">
        <f t="shared" si="1191"/>
        <v>#VALUE!</v>
      </c>
      <c r="NA95" s="962" t="e">
        <f t="shared" si="1191"/>
        <v>#VALUE!</v>
      </c>
      <c r="NB95" s="962" t="e">
        <f t="shared" si="1191"/>
        <v>#VALUE!</v>
      </c>
      <c r="NC95" s="962" t="e">
        <f t="shared" si="1191"/>
        <v>#VALUE!</v>
      </c>
      <c r="ND95" s="962" t="e">
        <f t="shared" si="1191"/>
        <v>#VALUE!</v>
      </c>
      <c r="NE95" s="962" t="e">
        <f t="shared" si="1191"/>
        <v>#VALUE!</v>
      </c>
      <c r="NF95" s="962" t="e">
        <f t="shared" si="1191"/>
        <v>#VALUE!</v>
      </c>
      <c r="NG95" s="962" t="e">
        <f t="shared" si="1191"/>
        <v>#VALUE!</v>
      </c>
      <c r="NH95" s="962" t="e">
        <f t="shared" si="1191"/>
        <v>#VALUE!</v>
      </c>
      <c r="NI95" s="962" t="e">
        <f t="shared" ref="NI95:PT95" si="1192">IF(NI94-NI93&gt;-180,NI94-NI93,NI94-NI93+360)</f>
        <v>#VALUE!</v>
      </c>
      <c r="NJ95" s="962" t="e">
        <f t="shared" si="1192"/>
        <v>#VALUE!</v>
      </c>
      <c r="NK95" s="962" t="e">
        <f t="shared" si="1192"/>
        <v>#VALUE!</v>
      </c>
      <c r="NL95" s="962" t="e">
        <f t="shared" si="1192"/>
        <v>#VALUE!</v>
      </c>
      <c r="NM95" s="962" t="e">
        <f t="shared" si="1192"/>
        <v>#VALUE!</v>
      </c>
      <c r="NN95" s="962" t="e">
        <f t="shared" si="1192"/>
        <v>#VALUE!</v>
      </c>
      <c r="NO95" s="962" t="e">
        <f t="shared" si="1192"/>
        <v>#VALUE!</v>
      </c>
      <c r="NP95" s="962" t="e">
        <f t="shared" si="1192"/>
        <v>#VALUE!</v>
      </c>
      <c r="NQ95" s="962" t="e">
        <f t="shared" si="1192"/>
        <v>#VALUE!</v>
      </c>
      <c r="NR95" s="962" t="e">
        <f t="shared" si="1192"/>
        <v>#VALUE!</v>
      </c>
      <c r="NS95" s="962" t="e">
        <f t="shared" si="1192"/>
        <v>#VALUE!</v>
      </c>
      <c r="NT95" s="962" t="e">
        <f t="shared" si="1192"/>
        <v>#VALUE!</v>
      </c>
      <c r="NU95" s="962" t="e">
        <f t="shared" si="1192"/>
        <v>#VALUE!</v>
      </c>
      <c r="NV95" s="962" t="e">
        <f t="shared" si="1192"/>
        <v>#VALUE!</v>
      </c>
      <c r="NW95" s="962" t="e">
        <f t="shared" si="1192"/>
        <v>#VALUE!</v>
      </c>
      <c r="NX95" s="962" t="e">
        <f t="shared" si="1192"/>
        <v>#VALUE!</v>
      </c>
      <c r="NY95" s="962" t="e">
        <f t="shared" si="1192"/>
        <v>#VALUE!</v>
      </c>
      <c r="NZ95" s="962" t="e">
        <f t="shared" si="1192"/>
        <v>#VALUE!</v>
      </c>
      <c r="OA95" s="962" t="e">
        <f t="shared" si="1192"/>
        <v>#VALUE!</v>
      </c>
      <c r="OB95" s="962" t="e">
        <f t="shared" si="1192"/>
        <v>#VALUE!</v>
      </c>
      <c r="OC95" s="962" t="e">
        <f t="shared" si="1192"/>
        <v>#VALUE!</v>
      </c>
      <c r="OD95" s="962" t="e">
        <f t="shared" si="1192"/>
        <v>#VALUE!</v>
      </c>
      <c r="OE95" s="962" t="e">
        <f t="shared" si="1192"/>
        <v>#VALUE!</v>
      </c>
      <c r="OF95" s="962" t="e">
        <f t="shared" si="1192"/>
        <v>#VALUE!</v>
      </c>
      <c r="OG95" s="962" t="e">
        <f t="shared" si="1192"/>
        <v>#VALUE!</v>
      </c>
      <c r="OH95" s="962" t="e">
        <f t="shared" si="1192"/>
        <v>#VALUE!</v>
      </c>
      <c r="OI95" s="962" t="e">
        <f t="shared" si="1192"/>
        <v>#VALUE!</v>
      </c>
      <c r="OJ95" s="962" t="e">
        <f t="shared" si="1192"/>
        <v>#VALUE!</v>
      </c>
      <c r="OK95" s="962" t="e">
        <f t="shared" si="1192"/>
        <v>#VALUE!</v>
      </c>
      <c r="OL95" s="962" t="e">
        <f t="shared" si="1192"/>
        <v>#VALUE!</v>
      </c>
      <c r="OM95" s="962" t="e">
        <f t="shared" si="1192"/>
        <v>#VALUE!</v>
      </c>
      <c r="ON95" s="962" t="e">
        <f t="shared" si="1192"/>
        <v>#VALUE!</v>
      </c>
      <c r="OO95" s="962" t="e">
        <f t="shared" si="1192"/>
        <v>#VALUE!</v>
      </c>
      <c r="OP95" s="962" t="e">
        <f t="shared" si="1192"/>
        <v>#VALUE!</v>
      </c>
      <c r="OQ95" s="962" t="e">
        <f t="shared" si="1192"/>
        <v>#VALUE!</v>
      </c>
      <c r="OR95" s="962" t="e">
        <f t="shared" si="1192"/>
        <v>#VALUE!</v>
      </c>
      <c r="OS95" s="962" t="e">
        <f t="shared" si="1192"/>
        <v>#VALUE!</v>
      </c>
      <c r="OT95" s="962" t="e">
        <f t="shared" si="1192"/>
        <v>#VALUE!</v>
      </c>
      <c r="OU95" s="962" t="e">
        <f t="shared" si="1192"/>
        <v>#VALUE!</v>
      </c>
      <c r="OV95" s="962" t="e">
        <f t="shared" si="1192"/>
        <v>#VALUE!</v>
      </c>
      <c r="OW95" s="962" t="e">
        <f t="shared" si="1192"/>
        <v>#VALUE!</v>
      </c>
      <c r="OX95" s="962" t="e">
        <f t="shared" si="1192"/>
        <v>#VALUE!</v>
      </c>
      <c r="OY95" s="962" t="e">
        <f t="shared" si="1192"/>
        <v>#VALUE!</v>
      </c>
      <c r="OZ95" s="962" t="e">
        <f t="shared" si="1192"/>
        <v>#VALUE!</v>
      </c>
      <c r="PA95" s="962" t="e">
        <f t="shared" si="1192"/>
        <v>#VALUE!</v>
      </c>
      <c r="PB95" s="962" t="e">
        <f t="shared" si="1192"/>
        <v>#VALUE!</v>
      </c>
      <c r="PC95" s="962" t="e">
        <f t="shared" si="1192"/>
        <v>#VALUE!</v>
      </c>
      <c r="PD95" s="962" t="e">
        <f t="shared" si="1192"/>
        <v>#VALUE!</v>
      </c>
      <c r="PE95" s="962" t="e">
        <f t="shared" si="1192"/>
        <v>#VALUE!</v>
      </c>
      <c r="PF95" s="962" t="e">
        <f t="shared" si="1192"/>
        <v>#VALUE!</v>
      </c>
      <c r="PG95" s="962" t="e">
        <f t="shared" si="1192"/>
        <v>#VALUE!</v>
      </c>
      <c r="PH95" s="962" t="e">
        <f t="shared" si="1192"/>
        <v>#VALUE!</v>
      </c>
      <c r="PI95" s="962" t="e">
        <f t="shared" si="1192"/>
        <v>#VALUE!</v>
      </c>
      <c r="PJ95" s="962" t="e">
        <f t="shared" si="1192"/>
        <v>#VALUE!</v>
      </c>
      <c r="PK95" s="962" t="e">
        <f t="shared" si="1192"/>
        <v>#VALUE!</v>
      </c>
      <c r="PL95" s="962" t="e">
        <f t="shared" si="1192"/>
        <v>#VALUE!</v>
      </c>
      <c r="PM95" s="962" t="e">
        <f t="shared" si="1192"/>
        <v>#VALUE!</v>
      </c>
      <c r="PN95" s="962" t="e">
        <f t="shared" si="1192"/>
        <v>#VALUE!</v>
      </c>
      <c r="PO95" s="962" t="e">
        <f t="shared" si="1192"/>
        <v>#VALUE!</v>
      </c>
      <c r="PP95" s="962" t="e">
        <f t="shared" si="1192"/>
        <v>#VALUE!</v>
      </c>
      <c r="PQ95" s="962" t="e">
        <f t="shared" si="1192"/>
        <v>#VALUE!</v>
      </c>
      <c r="PR95" s="962" t="e">
        <f t="shared" si="1192"/>
        <v>#VALUE!</v>
      </c>
      <c r="PS95" s="962" t="e">
        <f t="shared" si="1192"/>
        <v>#VALUE!</v>
      </c>
      <c r="PT95" s="962" t="e">
        <f t="shared" si="1192"/>
        <v>#VALUE!</v>
      </c>
      <c r="PU95" s="962" t="e">
        <f t="shared" ref="PU95:RA95" si="1193">IF(PU94-PU93&gt;-180,PU94-PU93,PU94-PU93+360)</f>
        <v>#VALUE!</v>
      </c>
      <c r="PV95" s="962" t="e">
        <f t="shared" si="1193"/>
        <v>#VALUE!</v>
      </c>
      <c r="PW95" s="962" t="e">
        <f t="shared" si="1193"/>
        <v>#VALUE!</v>
      </c>
      <c r="PX95" s="962" t="e">
        <f t="shared" si="1193"/>
        <v>#VALUE!</v>
      </c>
      <c r="PY95" s="962" t="e">
        <f t="shared" si="1193"/>
        <v>#VALUE!</v>
      </c>
      <c r="PZ95" s="962" t="e">
        <f t="shared" si="1193"/>
        <v>#VALUE!</v>
      </c>
      <c r="QA95" s="962" t="e">
        <f t="shared" si="1193"/>
        <v>#VALUE!</v>
      </c>
      <c r="QB95" s="962" t="e">
        <f t="shared" si="1193"/>
        <v>#VALUE!</v>
      </c>
      <c r="QC95" s="962" t="e">
        <f t="shared" si="1193"/>
        <v>#VALUE!</v>
      </c>
      <c r="QD95" s="962" t="e">
        <f t="shared" si="1193"/>
        <v>#VALUE!</v>
      </c>
      <c r="QE95" s="962" t="e">
        <f t="shared" si="1193"/>
        <v>#VALUE!</v>
      </c>
      <c r="QF95" s="962" t="e">
        <f t="shared" si="1193"/>
        <v>#VALUE!</v>
      </c>
      <c r="QG95" s="962" t="e">
        <f t="shared" si="1193"/>
        <v>#VALUE!</v>
      </c>
      <c r="QH95" s="962" t="e">
        <f t="shared" si="1193"/>
        <v>#VALUE!</v>
      </c>
      <c r="QI95" s="962" t="e">
        <f t="shared" si="1193"/>
        <v>#VALUE!</v>
      </c>
      <c r="QJ95" s="962" t="e">
        <f t="shared" si="1193"/>
        <v>#VALUE!</v>
      </c>
      <c r="QK95" s="962" t="e">
        <f t="shared" si="1193"/>
        <v>#VALUE!</v>
      </c>
      <c r="QL95" s="962" t="e">
        <f t="shared" si="1193"/>
        <v>#VALUE!</v>
      </c>
      <c r="QM95" s="962" t="e">
        <f t="shared" si="1193"/>
        <v>#VALUE!</v>
      </c>
      <c r="QN95" s="962" t="e">
        <f t="shared" si="1193"/>
        <v>#VALUE!</v>
      </c>
      <c r="QO95" s="962" t="e">
        <f t="shared" si="1193"/>
        <v>#VALUE!</v>
      </c>
      <c r="QP95" s="962" t="e">
        <f t="shared" si="1193"/>
        <v>#VALUE!</v>
      </c>
      <c r="QQ95" s="962" t="e">
        <f t="shared" si="1193"/>
        <v>#VALUE!</v>
      </c>
      <c r="QR95" s="962" t="e">
        <f t="shared" si="1193"/>
        <v>#VALUE!</v>
      </c>
      <c r="QS95" s="962" t="e">
        <f t="shared" si="1193"/>
        <v>#VALUE!</v>
      </c>
      <c r="QT95" s="962" t="e">
        <f t="shared" si="1193"/>
        <v>#VALUE!</v>
      </c>
      <c r="QU95" s="962" t="e">
        <f t="shared" si="1193"/>
        <v>#VALUE!</v>
      </c>
      <c r="QV95" s="962" t="e">
        <f t="shared" si="1193"/>
        <v>#VALUE!</v>
      </c>
      <c r="QW95" s="962" t="e">
        <f t="shared" si="1193"/>
        <v>#VALUE!</v>
      </c>
      <c r="QX95" s="962" t="e">
        <f t="shared" si="1193"/>
        <v>#VALUE!</v>
      </c>
      <c r="QY95" s="962" t="e">
        <f t="shared" si="1193"/>
        <v>#VALUE!</v>
      </c>
      <c r="QZ95" s="962" t="e">
        <f t="shared" si="1193"/>
        <v>#VALUE!</v>
      </c>
      <c r="RA95" s="963" t="e">
        <f t="shared" si="1193"/>
        <v>#VALUE!</v>
      </c>
      <c r="RB95" s="797"/>
      <c r="RC95" s="797"/>
    </row>
    <row r="96" spans="2:471" ht="17.25">
      <c r="C96" s="14"/>
      <c r="D96" s="14" t="s">
        <v>87</v>
      </c>
      <c r="E96" s="14"/>
      <c r="F96" s="14" t="s">
        <v>5</v>
      </c>
      <c r="G96" s="14" t="s">
        <v>4</v>
      </c>
      <c r="H96" s="14" t="s">
        <v>86</v>
      </c>
      <c r="I96" s="14" t="s">
        <v>85</v>
      </c>
      <c r="J96" s="14" t="s">
        <v>84</v>
      </c>
      <c r="K96" s="14"/>
      <c r="L96" s="14">
        <v>1</v>
      </c>
      <c r="M96" s="14">
        <v>2</v>
      </c>
      <c r="N96" s="14">
        <v>3</v>
      </c>
      <c r="O96" s="14">
        <v>4</v>
      </c>
      <c r="P96" s="14">
        <v>5</v>
      </c>
      <c r="Q96" s="14">
        <v>6</v>
      </c>
      <c r="R96" s="14">
        <v>7</v>
      </c>
      <c r="S96" s="14">
        <v>8</v>
      </c>
      <c r="T96" s="14">
        <v>9</v>
      </c>
      <c r="U96" s="14">
        <v>10</v>
      </c>
      <c r="V96" s="14">
        <v>11</v>
      </c>
      <c r="W96" s="14">
        <v>12</v>
      </c>
      <c r="X96" s="14">
        <v>13</v>
      </c>
      <c r="DH96" s="797"/>
      <c r="DJ96" s="959" t="e">
        <f>[1]!bodmoadal(1,1,(DJ89+1),[1]!qsn([1]!ml([1]!taqsha(1,1,1+DJ89,DJ90)),DJ91)/30,DJ90,DJ91)</f>
        <v>#VALUE!</v>
      </c>
      <c r="DK96" s="962" t="e">
        <f>[1]!bodmoadal(1,1,(DK89+1),[1]!qsn([1]!ml([1]!taqsha(1,1,1+DK89,DK90)),DK91)/30,DK90,DK91)</f>
        <v>#VALUE!</v>
      </c>
      <c r="DL96" s="962" t="e">
        <f>[1]!bodmoadal(1,1,(DL89+1),[1]!qsn([1]!ml([1]!taqsha(1,1,1+DL89,DL90)),DL91)/30,DL90,DL91)</f>
        <v>#VALUE!</v>
      </c>
      <c r="DM96" s="962" t="e">
        <f>[1]!bodmoadal(1,1,(DM89+1),[1]!qsn([1]!ml([1]!taqsha(1,1,1+DM89,DM90)),DM91)/30,DM90,DM91)</f>
        <v>#VALUE!</v>
      </c>
      <c r="DN96" s="962" t="e">
        <f>[1]!bodmoadal(1,1,(DN89+1),[1]!qsn([1]!ml([1]!taqsha(1,1,1+DN89,DN90)),DN91)/30,DN90,DN91)</f>
        <v>#VALUE!</v>
      </c>
      <c r="DO96" s="962" t="e">
        <f>[1]!bodmoadal(1,1,(DO89+1),[1]!qsn([1]!ml([1]!taqsha(1,1,1+DO89,DO90)),DO91)/30,DO90,DO91)</f>
        <v>#VALUE!</v>
      </c>
      <c r="DP96" s="962" t="e">
        <f>[1]!bodmoadal(1,1,(DP89+1),[1]!qsn([1]!ml([1]!taqsha(1,1,1+DP89,DP90)),DP91)/30,DP90,DP91)</f>
        <v>#VALUE!</v>
      </c>
      <c r="DQ96" s="962" t="e">
        <f>[1]!bodmoadal(1,1,(DQ89+1),[1]!qsn([1]!ml([1]!taqsha(1,1,1+DQ89,DQ90)),DQ91)/30,DQ90,DQ91)</f>
        <v>#VALUE!</v>
      </c>
      <c r="DR96" s="962" t="e">
        <f>[1]!bodmoadal(1,1,(DR89+1),[1]!qsn([1]!ml([1]!taqsha(1,1,1+DR89,DR90)),DR91)/30,DR90,DR91)</f>
        <v>#VALUE!</v>
      </c>
      <c r="DS96" s="962" t="e">
        <f>[1]!bodmoadal(1,1,(DS89+1),[1]!qsn([1]!ml([1]!taqsha(1,1,1+DS89,DS90)),DS91)/30,DS90,DS91)</f>
        <v>#VALUE!</v>
      </c>
      <c r="DT96" s="962" t="e">
        <f>[1]!bodmoadal(1,1,(DT89+1),[1]!qsn([1]!ml([1]!taqsha(1,1,1+DT89,DT90)),DT91)/30,DT90,DT91)</f>
        <v>#VALUE!</v>
      </c>
      <c r="DU96" s="962" t="e">
        <f>[1]!bodmoadal(1,1,(DU89+1),[1]!qsn([1]!ml([1]!taqsha(1,1,1+DU89,DU90)),DU91)/30,DU90,DU91)</f>
        <v>#VALUE!</v>
      </c>
      <c r="DV96" s="962" t="e">
        <f>[1]!bodmoadal(1,1,(DV89+1),[1]!qsn([1]!ml([1]!taqsha(1,1,1+DV89,DV90)),DV91)/30,DV90,DV91)</f>
        <v>#VALUE!</v>
      </c>
      <c r="DW96" s="962" t="e">
        <f>[1]!bodmoadal(1,1,(DW89+1),[1]!qsn([1]!ml([1]!taqsha(1,1,1+DW89,DW90)),DW91)/30,DW90,DW91)</f>
        <v>#VALUE!</v>
      </c>
      <c r="DX96" s="962" t="e">
        <f>[1]!bodmoadal(1,1,(DX89+1),[1]!qsn([1]!ml([1]!taqsha(1,1,1+DX89,DX90)),DX91)/30,DX90,DX91)</f>
        <v>#VALUE!</v>
      </c>
      <c r="DY96" s="962" t="e">
        <f>[1]!bodmoadal(1,1,(DY89+1),[1]!qsn([1]!ml([1]!taqsha(1,1,1+DY89,DY90)),DY91)/30,DY90,DY91)</f>
        <v>#VALUE!</v>
      </c>
      <c r="DZ96" s="962" t="e">
        <f>[1]!bodmoadal(1,1,(DZ89+1),[1]!qsn([1]!ml([1]!taqsha(1,1,1+DZ89,DZ90)),DZ91)/30,DZ90,DZ91)</f>
        <v>#VALUE!</v>
      </c>
      <c r="EA96" s="962" t="e">
        <f>[1]!bodmoadal(1,1,(EA89+1),[1]!qsn([1]!ml([1]!taqsha(1,1,1+EA89,EA90)),EA91)/30,EA90,EA91)</f>
        <v>#VALUE!</v>
      </c>
      <c r="EB96" s="962" t="e">
        <f>[1]!bodmoadal(1,1,(EB89+1),[1]!qsn([1]!ml([1]!taqsha(1,1,1+EB89,EB90)),EB91)/30,EB90,EB91)</f>
        <v>#VALUE!</v>
      </c>
      <c r="EC96" s="962" t="e">
        <f>[1]!bodmoadal(1,1,(EC89+1),[1]!qsn([1]!ml([1]!taqsha(1,1,1+EC89,EC90)),EC91)/30,EC90,EC91)</f>
        <v>#VALUE!</v>
      </c>
      <c r="ED96" s="962" t="e">
        <f>[1]!bodmoadal(1,1,(ED89+1),[1]!qsn([1]!ml([1]!taqsha(1,1,1+ED89,ED90)),ED91)/30,ED90,ED91)</f>
        <v>#VALUE!</v>
      </c>
      <c r="EE96" s="962" t="e">
        <f>[1]!bodmoadal(1,1,(EE89+1),[1]!qsn([1]!ml([1]!taqsha(1,1,1+EE89,EE90)),EE91)/30,EE90,EE91)</f>
        <v>#VALUE!</v>
      </c>
      <c r="EF96" s="962" t="e">
        <f>[1]!bodmoadal(1,1,(EF89+1),[1]!qsn([1]!ml([1]!taqsha(1,1,1+EF89,EF90)),EF91)/30,EF90,EF91)</f>
        <v>#VALUE!</v>
      </c>
      <c r="EG96" s="962" t="e">
        <f>[1]!bodmoadal(1,1,(EG89+1),[1]!qsn([1]!ml([1]!taqsha(1,1,1+EG89,EG90)),EG91)/30,EG90,EG91)</f>
        <v>#VALUE!</v>
      </c>
      <c r="EH96" s="962" t="e">
        <f>[1]!bodmoadal(1,1,(EH89+1),[1]!qsn([1]!ml([1]!taqsha(1,1,1+EH89,EH90)),EH91)/30,EH90,EH91)</f>
        <v>#VALUE!</v>
      </c>
      <c r="EI96" s="962" t="e">
        <f>[1]!bodmoadal(1,1,(EI89+1),[1]!qsn([1]!ml([1]!taqsha(1,1,1+EI89,EI90)),EI91)/30,EI90,EI91)</f>
        <v>#VALUE!</v>
      </c>
      <c r="EJ96" s="962" t="e">
        <f>[1]!bodmoadal(1,1,(EJ89+1),[1]!qsn([1]!ml([1]!taqsha(1,1,1+EJ89,EJ90)),EJ91)/30,EJ90,EJ91)</f>
        <v>#VALUE!</v>
      </c>
      <c r="EK96" s="962" t="e">
        <f>[1]!bodmoadal(1,1,(EK89+1),[1]!qsn([1]!ml([1]!taqsha(1,1,1+EK89,EK90)),EK91)/30,EK90,EK91)</f>
        <v>#VALUE!</v>
      </c>
      <c r="EL96" s="962" t="e">
        <f>[1]!bodmoadal(1,1,(EL89+1),[1]!qsn([1]!ml([1]!taqsha(1,1,1+EL89,EL90)),EL91)/30,EL90,EL91)</f>
        <v>#VALUE!</v>
      </c>
      <c r="EM96" s="962" t="e">
        <f>[1]!bodmoadal(1,1,(EM89+1),[1]!qsn([1]!ml([1]!taqsha(1,1,1+EM89,EM90)),EM91)/30,EM90,EM91)</f>
        <v>#VALUE!</v>
      </c>
      <c r="EN96" s="962" t="e">
        <f>[1]!bodmoadal(1,1,(EN89+1),[1]!qsn([1]!ml([1]!taqsha(1,1,1+EN89,EN90)),EN91)/30,EN90,EN91)</f>
        <v>#VALUE!</v>
      </c>
      <c r="EO96" s="962" t="e">
        <f>[1]!bodmoadal(1,1,(EO89+1),[1]!qsn([1]!ml([1]!taqsha(1,1,1+EO89,EO90)),EO91)/30,EO90,EO91)</f>
        <v>#VALUE!</v>
      </c>
      <c r="EP96" s="962" t="e">
        <f>[1]!bodmoadal(1,1,(EP89+1),[1]!qsn([1]!ml([1]!taqsha(1,1,1+EP89,EP90)),EP91)/30,EP90,EP91)</f>
        <v>#VALUE!</v>
      </c>
      <c r="EQ96" s="962" t="e">
        <f>[1]!bodmoadal(1,1,(EQ89+1),[1]!qsn([1]!ml([1]!taqsha(1,1,1+EQ89,EQ90)),EQ91)/30,EQ90,EQ91)</f>
        <v>#VALUE!</v>
      </c>
      <c r="ER96" s="962" t="e">
        <f>[1]!bodmoadal(1,1,(ER89+1),[1]!qsn([1]!ml([1]!taqsha(1,1,1+ER89,ER90)),ER91)/30,ER90,ER91)</f>
        <v>#VALUE!</v>
      </c>
      <c r="ES96" s="962" t="e">
        <f>[1]!bodmoadal(1,1,(ES89+1),[1]!qsn([1]!ml([1]!taqsha(1,1,1+ES89,ES90)),ES91)/30,ES90,ES91)</f>
        <v>#VALUE!</v>
      </c>
      <c r="ET96" s="962" t="e">
        <f>[1]!bodmoadal(1,1,(ET89+1),[1]!qsn([1]!ml([1]!taqsha(1,1,1+ET89,ET90)),ET91)/30,ET90,ET91)</f>
        <v>#VALUE!</v>
      </c>
      <c r="EU96" s="962" t="e">
        <f>[1]!bodmoadal(1,1,(EU89+1),[1]!qsn([1]!ml([1]!taqsha(1,1,1+EU89,EU90)),EU91)/30,EU90,EU91)</f>
        <v>#VALUE!</v>
      </c>
      <c r="EV96" s="962" t="e">
        <f>[1]!bodmoadal(1,1,(EV89+1),[1]!qsn([1]!ml([1]!taqsha(1,1,1+EV89,EV90)),EV91)/30,EV90,EV91)</f>
        <v>#VALUE!</v>
      </c>
      <c r="EW96" s="962" t="e">
        <f>[1]!bodmoadal(1,1,(EW89+1),[1]!qsn([1]!ml([1]!taqsha(1,1,1+EW89,EW90)),EW91)/30,EW90,EW91)</f>
        <v>#VALUE!</v>
      </c>
      <c r="EX96" s="962" t="e">
        <f>[1]!bodmoadal(1,1,(EX89+1),[1]!qsn([1]!ml([1]!taqsha(1,1,1+EX89,EX90)),EX91)/30,EX90,EX91)</f>
        <v>#VALUE!</v>
      </c>
      <c r="EY96" s="962" t="e">
        <f>[1]!bodmoadal(1,1,(EY89+1),[1]!qsn([1]!ml([1]!taqsha(1,1,1+EY89,EY90)),EY91)/30,EY90,EY91)</f>
        <v>#VALUE!</v>
      </c>
      <c r="EZ96" s="962" t="e">
        <f>[1]!bodmoadal(1,1,(EZ89+1),[1]!qsn([1]!ml([1]!taqsha(1,1,1+EZ89,EZ90)),EZ91)/30,EZ90,EZ91)</f>
        <v>#VALUE!</v>
      </c>
      <c r="FA96" s="962" t="e">
        <f>[1]!bodmoadal(1,1,(FA89+1),[1]!qsn([1]!ml([1]!taqsha(1,1,1+FA89,FA90)),FA91)/30,FA90,FA91)</f>
        <v>#VALUE!</v>
      </c>
      <c r="FB96" s="962" t="e">
        <f>[1]!bodmoadal(1,1,(FB89+1),[1]!qsn([1]!ml([1]!taqsha(1,1,1+FB89,FB90)),FB91)/30,FB90,FB91)</f>
        <v>#VALUE!</v>
      </c>
      <c r="FC96" s="962" t="e">
        <f>[1]!bodmoadal(1,1,(FC89+1),[1]!qsn([1]!ml([1]!taqsha(1,1,1+FC89,FC90)),FC91)/30,FC90,FC91)</f>
        <v>#VALUE!</v>
      </c>
      <c r="FD96" s="962" t="e">
        <f>[1]!bodmoadal(1,1,(FD89+1),[1]!qsn([1]!ml([1]!taqsha(1,1,1+FD89,FD90)),FD91)/30,FD90,FD91)</f>
        <v>#VALUE!</v>
      </c>
      <c r="FE96" s="962" t="e">
        <f>[1]!bodmoadal(1,1,(FE89+1),[1]!qsn([1]!ml([1]!taqsha(1,1,1+FE89,FE90)),FE91)/30,FE90,FE91)</f>
        <v>#VALUE!</v>
      </c>
      <c r="FF96" s="962" t="e">
        <f>[1]!bodmoadal(1,1,(FF89+1),[1]!qsn([1]!ml([1]!taqsha(1,1,1+FF89,FF90)),FF91)/30,FF90,FF91)</f>
        <v>#VALUE!</v>
      </c>
      <c r="FG96" s="962" t="e">
        <f>[1]!bodmoadal(1,1,(FG89+1),[1]!qsn([1]!ml([1]!taqsha(1,1,1+FG89,FG90)),FG91)/30,FG90,FG91)</f>
        <v>#VALUE!</v>
      </c>
      <c r="FH96" s="962" t="e">
        <f>[1]!bodmoadal(1,1,(FH89+1),[1]!qsn([1]!ml([1]!taqsha(1,1,1+FH89,FH90)),FH91)/30,FH90,FH91)</f>
        <v>#VALUE!</v>
      </c>
      <c r="FI96" s="962" t="e">
        <f>[1]!bodmoadal(1,1,(FI89+1),[1]!qsn([1]!ml([1]!taqsha(1,1,1+FI89,FI90)),FI91)/30,FI90,FI91)</f>
        <v>#VALUE!</v>
      </c>
      <c r="FJ96" s="962" t="e">
        <f>[1]!bodmoadal(1,1,(FJ89+1),[1]!qsn([1]!ml([1]!taqsha(1,1,1+FJ89,FJ90)),FJ91)/30,FJ90,FJ91)</f>
        <v>#VALUE!</v>
      </c>
      <c r="FK96" s="962" t="e">
        <f>[1]!bodmoadal(1,1,(FK89+1),[1]!qsn([1]!ml([1]!taqsha(1,1,1+FK89,FK90)),FK91)/30,FK90,FK91)</f>
        <v>#VALUE!</v>
      </c>
      <c r="FL96" s="962" t="e">
        <f>[1]!bodmoadal(1,1,(FL89+1),[1]!qsn([1]!ml([1]!taqsha(1,1,1+FL89,FL90)),FL91)/30,FL90,FL91)</f>
        <v>#VALUE!</v>
      </c>
      <c r="FM96" s="962" t="e">
        <f>[1]!bodmoadal(1,1,(FM89+1),[1]!qsn([1]!ml([1]!taqsha(1,1,1+FM89,FM90)),FM91)/30,FM90,FM91)</f>
        <v>#VALUE!</v>
      </c>
      <c r="FN96" s="962" t="e">
        <f>[1]!bodmoadal(1,1,(FN89+1),[1]!qsn([1]!ml([1]!taqsha(1,1,1+FN89,FN90)),FN91)/30,FN90,FN91)</f>
        <v>#VALUE!</v>
      </c>
      <c r="FO96" s="962" t="e">
        <f>[1]!bodmoadal(1,1,(FO89+1),[1]!qsn([1]!ml([1]!taqsha(1,1,1+FO89,FO90)),FO91)/30,FO90,FO91)</f>
        <v>#VALUE!</v>
      </c>
      <c r="FP96" s="962" t="e">
        <f>[1]!bodmoadal(1,1,(FP89+1),[1]!qsn([1]!ml([1]!taqsha(1,1,1+FP89,FP90)),FP91)/30,FP90,FP91)</f>
        <v>#VALUE!</v>
      </c>
      <c r="FQ96" s="962" t="e">
        <f>[1]!bodmoadal(1,1,(FQ89+1),[1]!qsn([1]!ml([1]!taqsha(1,1,1+FQ89,FQ90)),FQ91)/30,FQ90,FQ91)</f>
        <v>#VALUE!</v>
      </c>
      <c r="FR96" s="962" t="e">
        <f>[1]!bodmoadal(1,1,(FR89+1),[1]!qsn([1]!ml([1]!taqsha(1,1,1+FR89,FR90)),FR91)/30,FR90,FR91)</f>
        <v>#VALUE!</v>
      </c>
      <c r="FS96" s="962" t="e">
        <f>[1]!bodmoadal(1,1,(FS89+1),[1]!qsn([1]!ml([1]!taqsha(1,1,1+FS89,FS90)),FS91)/30,FS90,FS91)</f>
        <v>#VALUE!</v>
      </c>
      <c r="FT96" s="962" t="e">
        <f>[1]!bodmoadal(1,1,(FT89+1),[1]!qsn([1]!ml([1]!taqsha(1,1,1+FT89,FT90)),FT91)/30,FT90,FT91)</f>
        <v>#VALUE!</v>
      </c>
      <c r="FU96" s="962" t="e">
        <f>[1]!bodmoadal(1,1,(FU89+1),[1]!qsn([1]!ml([1]!taqsha(1,1,1+FU89,FU90)),FU91)/30,FU90,FU91)</f>
        <v>#VALUE!</v>
      </c>
      <c r="FV96" s="962" t="e">
        <f>[1]!bodmoadal(1,1,(FV89+1),[1]!qsn([1]!ml([1]!taqsha(1,1,1+FV89,FV90)),FV91)/30,FV90,FV91)</f>
        <v>#VALUE!</v>
      </c>
      <c r="FW96" s="962" t="e">
        <f>[1]!bodmoadal(1,1,(FW89+1),[1]!qsn([1]!ml([1]!taqsha(1,1,1+FW89,FW90)),FW91)/30,FW90,FW91)</f>
        <v>#VALUE!</v>
      </c>
      <c r="FX96" s="962" t="e">
        <f>[1]!bodmoadal(1,1,(FX89+1),[1]!qsn([1]!ml([1]!taqsha(1,1,1+FX89,FX90)),FX91)/30,FX90,FX91)</f>
        <v>#VALUE!</v>
      </c>
      <c r="FY96" s="962" t="e">
        <f>[1]!bodmoadal(1,1,(FY89+1),[1]!qsn([1]!ml([1]!taqsha(1,1,1+FY89,FY90)),FY91)/30,FY90,FY91)</f>
        <v>#VALUE!</v>
      </c>
      <c r="FZ96" s="962" t="e">
        <f>[1]!bodmoadal(1,1,(FZ89+1),[1]!qsn([1]!ml([1]!taqsha(1,1,1+FZ89,FZ90)),FZ91)/30,FZ90,FZ91)</f>
        <v>#VALUE!</v>
      </c>
      <c r="GA96" s="962" t="e">
        <f>[1]!bodmoadal(1,1,(GA89+1),[1]!qsn([1]!ml([1]!taqsha(1,1,1+GA89,GA90)),GA91)/30,GA90,GA91)</f>
        <v>#VALUE!</v>
      </c>
      <c r="GB96" s="962" t="e">
        <f>[1]!bodmoadal(1,1,(GB89+1),[1]!qsn([1]!ml([1]!taqsha(1,1,1+GB89,GB90)),GB91)/30,GB90,GB91)</f>
        <v>#VALUE!</v>
      </c>
      <c r="GC96" s="962" t="e">
        <f>[1]!bodmoadal(1,1,(GC89+1),[1]!qsn([1]!ml([1]!taqsha(1,1,1+GC89,GC90)),GC91)/30,GC90,GC91)</f>
        <v>#VALUE!</v>
      </c>
      <c r="GD96" s="962" t="e">
        <f>[1]!bodmoadal(1,1,(GD89+1),[1]!qsn([1]!ml([1]!taqsha(1,1,1+GD89,GD90)),GD91)/30,GD90,GD91)</f>
        <v>#VALUE!</v>
      </c>
      <c r="GE96" s="962" t="e">
        <f>[1]!bodmoadal(1,1,(GE89+1),[1]!qsn([1]!ml([1]!taqsha(1,1,1+GE89,GE90)),GE91)/30,GE90,GE91)</f>
        <v>#VALUE!</v>
      </c>
      <c r="GF96" s="962" t="e">
        <f>[1]!bodmoadal(1,1,(GF89+1),[1]!qsn([1]!ml([1]!taqsha(1,1,1+GF89,GF90)),GF91)/30,GF90,GF91)</f>
        <v>#VALUE!</v>
      </c>
      <c r="GG96" s="962" t="e">
        <f>[1]!bodmoadal(1,1,(GG89+1),[1]!qsn([1]!ml([1]!taqsha(1,1,1+GG89,GG90)),GG91)/30,GG90,GG91)</f>
        <v>#VALUE!</v>
      </c>
      <c r="GH96" s="962" t="e">
        <f>[1]!bodmoadal(1,1,(GH89+1),[1]!qsn([1]!ml([1]!taqsha(1,1,1+GH89,GH90)),GH91)/30,GH90,GH91)</f>
        <v>#VALUE!</v>
      </c>
      <c r="GI96" s="962" t="e">
        <f>[1]!bodmoadal(1,1,(GI89+1),[1]!qsn([1]!ml([1]!taqsha(1,1,1+GI89,GI90)),GI91)/30,GI90,GI91)</f>
        <v>#VALUE!</v>
      </c>
      <c r="GJ96" s="962" t="e">
        <f>[1]!bodmoadal(1,1,(GJ89+1),[1]!qsn([1]!ml([1]!taqsha(1,1,1+GJ89,GJ90)),GJ91)/30,GJ90,GJ91)</f>
        <v>#VALUE!</v>
      </c>
      <c r="GK96" s="962" t="e">
        <f>[1]!bodmoadal(1,1,(GK89+1),[1]!qsn([1]!ml([1]!taqsha(1,1,1+GK89,GK90)),GK91)/30,GK90,GK91)</f>
        <v>#VALUE!</v>
      </c>
      <c r="GL96" s="962" t="e">
        <f>[1]!bodmoadal(1,1,(GL89+1),[1]!qsn([1]!ml([1]!taqsha(1,1,1+GL89,GL90)),GL91)/30,GL90,GL91)</f>
        <v>#VALUE!</v>
      </c>
      <c r="GM96" s="962" t="e">
        <f>[1]!bodmoadal(1,1,(GM89+1),[1]!qsn([1]!ml([1]!taqsha(1,1,1+GM89,GM90)),GM91)/30,GM90,GM91)</f>
        <v>#VALUE!</v>
      </c>
      <c r="GN96" s="962" t="e">
        <f>[1]!bodmoadal(1,1,(GN89+1),[1]!qsn([1]!ml([1]!taqsha(1,1,1+GN89,GN90)),GN91)/30,GN90,GN91)</f>
        <v>#VALUE!</v>
      </c>
      <c r="GO96" s="962" t="e">
        <f>[1]!bodmoadal(1,1,(GO89+1),[1]!qsn([1]!ml([1]!taqsha(1,1,1+GO89,GO90)),GO91)/30,GO90,GO91)</f>
        <v>#VALUE!</v>
      </c>
      <c r="GP96" s="962" t="e">
        <f>[1]!bodmoadal(1,1,(GP89+1),[1]!qsn([1]!ml([1]!taqsha(1,1,1+GP89,GP90)),GP91)/30,GP90,GP91)</f>
        <v>#VALUE!</v>
      </c>
      <c r="GQ96" s="962" t="e">
        <f>[1]!bodmoadal(1,1,(GQ89+1),[1]!qsn([1]!ml([1]!taqsha(1,1,1+GQ89,GQ90)),GQ91)/30,GQ90,GQ91)</f>
        <v>#VALUE!</v>
      </c>
      <c r="GR96" s="962" t="e">
        <f>[1]!bodmoadal(1,1,(GR89+1),[1]!qsn([1]!ml([1]!taqsha(1,1,1+GR89,GR90)),GR91)/30,GR90,GR91)</f>
        <v>#VALUE!</v>
      </c>
      <c r="GS96" s="962" t="e">
        <f>[1]!bodmoadal(1,1,(GS89+1),[1]!qsn([1]!ml([1]!taqsha(1,1,1+GS89,GS90)),GS91)/30,GS90,GS91)</f>
        <v>#VALUE!</v>
      </c>
      <c r="GT96" s="962" t="e">
        <f>[1]!bodmoadal(1,1,(GT89+1),[1]!qsn([1]!ml([1]!taqsha(1,1,1+GT89,GT90)),GT91)/30,GT90,GT91)</f>
        <v>#VALUE!</v>
      </c>
      <c r="GU96" s="962" t="e">
        <f>[1]!bodmoadal(1,1,(GU89+1),[1]!qsn([1]!ml([1]!taqsha(1,1,1+GU89,GU90)),GU91)/30,GU90,GU91)</f>
        <v>#VALUE!</v>
      </c>
      <c r="GV96" s="962" t="e">
        <f>[1]!bodmoadal(1,1,(GV89+1),[1]!qsn([1]!ml([1]!taqsha(1,1,1+GV89,GV90)),GV91)/30,GV90,GV91)</f>
        <v>#VALUE!</v>
      </c>
      <c r="GW96" s="962" t="e">
        <f>[1]!bodmoadal(1,1,(GW89+1),[1]!qsn([1]!ml([1]!taqsha(1,1,1+GW89,GW90)),GW91)/30,GW90,GW91)</f>
        <v>#VALUE!</v>
      </c>
      <c r="GX96" s="962" t="e">
        <f>[1]!bodmoadal(1,1,(GX89+1),[1]!qsn([1]!ml([1]!taqsha(1,1,1+GX89,GX90)),GX91)/30,GX90,GX91)</f>
        <v>#VALUE!</v>
      </c>
      <c r="GY96" s="962" t="e">
        <f>[1]!bodmoadal(1,1,(GY89+1),[1]!qsn([1]!ml([1]!taqsha(1,1,1+GY89,GY90)),GY91)/30,GY90,GY91)</f>
        <v>#VALUE!</v>
      </c>
      <c r="GZ96" s="962" t="e">
        <f>[1]!bodmoadal(1,1,(GZ89+1),[1]!qsn([1]!ml([1]!taqsha(1,1,1+GZ89,GZ90)),GZ91)/30,GZ90,GZ91)</f>
        <v>#VALUE!</v>
      </c>
      <c r="HA96" s="962" t="e">
        <f>[1]!bodmoadal(1,1,(HA89+1),[1]!qsn([1]!ml([1]!taqsha(1,1,1+HA89,HA90)),HA91)/30,HA90,HA91)</f>
        <v>#VALUE!</v>
      </c>
      <c r="HB96" s="962" t="e">
        <f>[1]!bodmoadal(1,1,(HB89+1),[1]!qsn([1]!ml([1]!taqsha(1,1,1+HB89,HB90)),HB91)/30,HB90,HB91)</f>
        <v>#VALUE!</v>
      </c>
      <c r="HC96" s="962" t="e">
        <f>[1]!bodmoadal(1,1,(HC89+1),[1]!qsn([1]!ml([1]!taqsha(1,1,1+HC89,HC90)),HC91)/30,HC90,HC91)</f>
        <v>#VALUE!</v>
      </c>
      <c r="HD96" s="962" t="e">
        <f>[1]!bodmoadal(1,1,(HD89+1),[1]!qsn([1]!ml([1]!taqsha(1,1,1+HD89,HD90)),HD91)/30,HD90,HD91)</f>
        <v>#VALUE!</v>
      </c>
      <c r="HE96" s="962" t="e">
        <f>[1]!bodmoadal(1,1,(HE89+1),[1]!qsn([1]!ml([1]!taqsha(1,1,1+HE89,HE90)),HE91)/30,HE90,HE91)</f>
        <v>#VALUE!</v>
      </c>
      <c r="HF96" s="962" t="e">
        <f>[1]!bodmoadal(1,1,(HF89+1),[1]!qsn([1]!ml([1]!taqsha(1,1,1+HF89,HF90)),HF91)/30,HF90,HF91)</f>
        <v>#VALUE!</v>
      </c>
      <c r="HG96" s="962" t="e">
        <f>[1]!bodmoadal(1,1,(HG89+1),[1]!qsn([1]!ml([1]!taqsha(1,1,1+HG89,HG90)),HG91)/30,HG90,HG91)</f>
        <v>#VALUE!</v>
      </c>
      <c r="HH96" s="962" t="e">
        <f>[1]!bodmoadal(1,1,(HH89+1),[1]!qsn([1]!ml([1]!taqsha(1,1,1+HH89,HH90)),HH91)/30,HH90,HH91)</f>
        <v>#VALUE!</v>
      </c>
      <c r="HI96" s="962" t="e">
        <f>[1]!bodmoadal(1,1,(HI89+1),[1]!qsn([1]!ml([1]!taqsha(1,1,1+HI89,HI90)),HI91)/30,HI90,HI91)</f>
        <v>#VALUE!</v>
      </c>
      <c r="HJ96" s="962" t="e">
        <f>[1]!bodmoadal(1,1,(HJ89+1),[1]!qsn([1]!ml([1]!taqsha(1,1,1+HJ89,HJ90)),HJ91)/30,HJ90,HJ91)</f>
        <v>#VALUE!</v>
      </c>
      <c r="HK96" s="962" t="e">
        <f>[1]!bodmoadal(1,1,(HK89+1),[1]!qsn([1]!ml([1]!taqsha(1,1,1+HK89,HK90)),HK91)/30,HK90,HK91)</f>
        <v>#VALUE!</v>
      </c>
      <c r="HL96" s="962" t="e">
        <f>[1]!bodmoadal(1,1,(HL89+1),[1]!qsn([1]!ml([1]!taqsha(1,1,1+HL89,HL90)),HL91)/30,HL90,HL91)</f>
        <v>#VALUE!</v>
      </c>
      <c r="HM96" s="962" t="e">
        <f>[1]!bodmoadal(1,1,(HM89+1),[1]!qsn([1]!ml([1]!taqsha(1,1,1+HM89,HM90)),HM91)/30,HM90,HM91)</f>
        <v>#VALUE!</v>
      </c>
      <c r="HN96" s="962" t="e">
        <f>[1]!bodmoadal(1,1,(HN89+1),[1]!qsn([1]!ml([1]!taqsha(1,1,1+HN89,HN90)),HN91)/30,HN90,HN91)</f>
        <v>#VALUE!</v>
      </c>
      <c r="HO96" s="962" t="e">
        <f>[1]!bodmoadal(1,1,(HO89+1),[1]!qsn([1]!ml([1]!taqsha(1,1,1+HO89,HO90)),HO91)/30,HO90,HO91)</f>
        <v>#VALUE!</v>
      </c>
      <c r="HP96" s="962" t="e">
        <f>[1]!bodmoadal(1,1,(HP89+1),[1]!qsn([1]!ml([1]!taqsha(1,1,1+HP89,HP90)),HP91)/30,HP90,HP91)</f>
        <v>#VALUE!</v>
      </c>
      <c r="HQ96" s="962" t="e">
        <f>[1]!bodmoadal(1,1,(HQ89+1),[1]!qsn([1]!ml([1]!taqsha(1,1,1+HQ89,HQ90)),HQ91)/30,HQ90,HQ91)</f>
        <v>#VALUE!</v>
      </c>
      <c r="HR96" s="962" t="e">
        <f>[1]!bodmoadal(1,1,(HR89+1),[1]!qsn([1]!ml([1]!taqsha(1,1,1+HR89,HR90)),HR91)/30,HR90,HR91)</f>
        <v>#VALUE!</v>
      </c>
      <c r="HS96" s="962" t="e">
        <f>[1]!bodmoadal(1,1,(HS89+1),[1]!qsn([1]!ml([1]!taqsha(1,1,1+HS89,HS90)),HS91)/30,HS90,HS91)</f>
        <v>#VALUE!</v>
      </c>
      <c r="HT96" s="962" t="e">
        <f>[1]!bodmoadal(1,1,(HT89+1),[1]!qsn([1]!ml([1]!taqsha(1,1,1+HT89,HT90)),HT91)/30,HT90,HT91)</f>
        <v>#VALUE!</v>
      </c>
      <c r="HU96" s="962" t="e">
        <f>[1]!bodmoadal(1,1,(HU89+1),[1]!qsn([1]!ml([1]!taqsha(1,1,1+HU89,HU90)),HU91)/30,HU90,HU91)</f>
        <v>#VALUE!</v>
      </c>
      <c r="HV96" s="962" t="e">
        <f>[1]!bodmoadal(1,1,(HV89+1),[1]!qsn([1]!ml([1]!taqsha(1,1,1+HV89,HV90)),HV91)/30,HV90,HV91)</f>
        <v>#VALUE!</v>
      </c>
      <c r="HW96" s="962" t="e">
        <f>[1]!bodmoadal(1,1,(HW89+1),[1]!qsn([1]!ml([1]!taqsha(1,1,1+HW89,HW90)),HW91)/30,HW90,HW91)</f>
        <v>#VALUE!</v>
      </c>
      <c r="HX96" s="962" t="e">
        <f>[1]!bodmoadal(1,1,(HX89+1),[1]!qsn([1]!ml([1]!taqsha(1,1,1+HX89,HX90)),HX91)/30,HX90,HX91)</f>
        <v>#VALUE!</v>
      </c>
      <c r="HY96" s="962" t="e">
        <f>[1]!bodmoadal(1,1,(HY89+1),[1]!qsn([1]!ml([1]!taqsha(1,1,1+HY89,HY90)),HY91)/30,HY90,HY91)</f>
        <v>#VALUE!</v>
      </c>
      <c r="HZ96" s="962" t="e">
        <f>[1]!bodmoadal(1,1,(HZ89+1),[1]!qsn([1]!ml([1]!taqsha(1,1,1+HZ89,HZ90)),HZ91)/30,HZ90,HZ91)</f>
        <v>#VALUE!</v>
      </c>
      <c r="IA96" s="962" t="e">
        <f>[1]!bodmoadal(1,1,(IA89+1),[1]!qsn([1]!ml([1]!taqsha(1,1,1+IA89,IA90)),IA91)/30,IA90,IA91)</f>
        <v>#VALUE!</v>
      </c>
      <c r="IB96" s="962" t="e">
        <f>[1]!bodmoadal(1,1,(IB89+1),[1]!qsn([1]!ml([1]!taqsha(1,1,1+IB89,IB90)),IB91)/30,IB90,IB91)</f>
        <v>#VALUE!</v>
      </c>
      <c r="IC96" s="962" t="e">
        <f>[1]!bodmoadal(1,1,(IC89+1),[1]!qsn([1]!ml([1]!taqsha(1,1,1+IC89,IC90)),IC91)/30,IC90,IC91)</f>
        <v>#VALUE!</v>
      </c>
      <c r="ID96" s="962" t="e">
        <f>[1]!bodmoadal(1,1,(ID89+1),[1]!qsn([1]!ml([1]!taqsha(1,1,1+ID89,ID90)),ID91)/30,ID90,ID91)</f>
        <v>#VALUE!</v>
      </c>
      <c r="IE96" s="962" t="e">
        <f>[1]!bodmoadal(1,1,(IE89+1),[1]!qsn([1]!ml([1]!taqsha(1,1,1+IE89,IE90)),IE91)/30,IE90,IE91)</f>
        <v>#VALUE!</v>
      </c>
      <c r="IF96" s="962" t="e">
        <f>[1]!bodmoadal(1,1,(IF89+1),[1]!qsn([1]!ml([1]!taqsha(1,1,1+IF89,IF90)),IF91)/30,IF90,IF91)</f>
        <v>#VALUE!</v>
      </c>
      <c r="IG96" s="962" t="e">
        <f>[1]!bodmoadal(1,1,(IG89+1),[1]!qsn([1]!ml([1]!taqsha(1,1,1+IG89,IG90)),IG91)/30,IG90,IG91)</f>
        <v>#VALUE!</v>
      </c>
      <c r="IH96" s="962" t="e">
        <f>[1]!bodmoadal(1,1,(IH89+1),[1]!qsn([1]!ml([1]!taqsha(1,1,1+IH89,IH90)),IH91)/30,IH90,IH91)</f>
        <v>#VALUE!</v>
      </c>
      <c r="II96" s="962" t="e">
        <f>[1]!bodmoadal(1,1,(II89+1),[1]!qsn([1]!ml([1]!taqsha(1,1,1+II89,II90)),II91)/30,II90,II91)</f>
        <v>#VALUE!</v>
      </c>
      <c r="IJ96" s="962" t="e">
        <f>[1]!bodmoadal(1,1,(IJ89+1),[1]!qsn([1]!ml([1]!taqsha(1,1,1+IJ89,IJ90)),IJ91)/30,IJ90,IJ91)</f>
        <v>#VALUE!</v>
      </c>
      <c r="IK96" s="962" t="e">
        <f>[1]!bodmoadal(1,1,(IK89+1),[1]!qsn([1]!ml([1]!taqsha(1,1,1+IK89,IK90)),IK91)/30,IK90,IK91)</f>
        <v>#VALUE!</v>
      </c>
      <c r="IL96" s="962" t="e">
        <f>[1]!bodmoadal(1,1,(IL89+1),[1]!qsn([1]!ml([1]!taqsha(1,1,1+IL89,IL90)),IL91)/30,IL90,IL91)</f>
        <v>#VALUE!</v>
      </c>
      <c r="IM96" s="962" t="e">
        <f>[1]!bodmoadal(1,1,(IM89+1),[1]!qsn([1]!ml([1]!taqsha(1,1,1+IM89,IM90)),IM91)/30,IM90,IM91)</f>
        <v>#VALUE!</v>
      </c>
      <c r="IN96" s="962" t="e">
        <f>[1]!bodmoadal(1,1,(IN89+1),[1]!qsn([1]!ml([1]!taqsha(1,1,1+IN89,IN90)),IN91)/30,IN90,IN91)</f>
        <v>#VALUE!</v>
      </c>
      <c r="IO96" s="962" t="e">
        <f>[1]!bodmoadal(1,1,(IO89+1),[1]!qsn([1]!ml([1]!taqsha(1,1,1+IO89,IO90)),IO91)/30,IO90,IO91)</f>
        <v>#VALUE!</v>
      </c>
      <c r="IP96" s="962" t="e">
        <f>[1]!bodmoadal(1,1,(IP89+1),[1]!qsn([1]!ml([1]!taqsha(1,1,1+IP89,IP90)),IP91)/30,IP90,IP91)</f>
        <v>#VALUE!</v>
      </c>
      <c r="IQ96" s="962" t="e">
        <f>[1]!bodmoadal(1,1,(IQ89+1),[1]!qsn([1]!ml([1]!taqsha(1,1,1+IQ89,IQ90)),IQ91)/30,IQ90,IQ91)</f>
        <v>#VALUE!</v>
      </c>
      <c r="IR96" s="962" t="e">
        <f>[1]!bodmoadal(1,1,(IR89+1),[1]!qsn([1]!ml([1]!taqsha(1,1,1+IR89,IR90)),IR91)/30,IR90,IR91)</f>
        <v>#VALUE!</v>
      </c>
      <c r="IS96" s="962" t="e">
        <f>[1]!bodmoadal(1,1,(IS89+1),[1]!qsn([1]!ml([1]!taqsha(1,1,1+IS89,IS90)),IS91)/30,IS90,IS91)</f>
        <v>#VALUE!</v>
      </c>
      <c r="IT96" s="962" t="e">
        <f>[1]!bodmoadal(1,1,(IT89+1),[1]!qsn([1]!ml([1]!taqsha(1,1,1+IT89,IT90)),IT91)/30,IT90,IT91)</f>
        <v>#VALUE!</v>
      </c>
      <c r="IU96" s="962" t="e">
        <f>[1]!bodmoadal(1,1,(IU89+1),[1]!qsn([1]!ml([1]!taqsha(1,1,1+IU89,IU90)),IU91)/30,IU90,IU91)</f>
        <v>#VALUE!</v>
      </c>
      <c r="IV96" s="962" t="e">
        <f>[1]!bodmoadal(1,1,(IV89+1),[1]!qsn([1]!ml([1]!taqsha(1,1,1+IV89,IV90)),IV91)/30,IV90,IV91)</f>
        <v>#VALUE!</v>
      </c>
      <c r="IW96" s="962" t="e">
        <f>[1]!bodmoadal(1,1,(IW89+1),[1]!qsn([1]!ml([1]!taqsha(1,1,1+IW89,IW90)),IW91)/30,IW90,IW91)</f>
        <v>#VALUE!</v>
      </c>
      <c r="IX96" s="962" t="e">
        <f>[1]!bodmoadal(1,1,(IX89+1),[1]!qsn([1]!ml([1]!taqsha(1,1,1+IX89,IX90)),IX91)/30,IX90,IX91)</f>
        <v>#VALUE!</v>
      </c>
      <c r="IY96" s="962" t="e">
        <f>[1]!bodmoadal(1,1,(IY89+1),[1]!qsn([1]!ml([1]!taqsha(1,1,1+IY89,IY90)),IY91)/30,IY90,IY91)</f>
        <v>#VALUE!</v>
      </c>
      <c r="IZ96" s="962" t="e">
        <f>[1]!bodmoadal(1,1,(IZ89+1),[1]!qsn([1]!ml([1]!taqsha(1,1,1+IZ89,IZ90)),IZ91)/30,IZ90,IZ91)</f>
        <v>#VALUE!</v>
      </c>
      <c r="JA96" s="962" t="e">
        <f>[1]!bodmoadal(1,1,(JA89+1),[1]!qsn([1]!ml([1]!taqsha(1,1,1+JA89,JA90)),JA91)/30,JA90,JA91)</f>
        <v>#VALUE!</v>
      </c>
      <c r="JB96" s="962" t="e">
        <f>[1]!bodmoadal(1,1,(JB89+1),[1]!qsn([1]!ml([1]!taqsha(1,1,1+JB89,JB90)),JB91)/30,JB90,JB91)</f>
        <v>#VALUE!</v>
      </c>
      <c r="JC96" s="962" t="e">
        <f>[1]!bodmoadal(1,1,(JC89+1),[1]!qsn([1]!ml([1]!taqsha(1,1,1+JC89,JC90)),JC91)/30,JC90,JC91)</f>
        <v>#VALUE!</v>
      </c>
      <c r="JD96" s="962" t="e">
        <f>[1]!bodmoadal(1,1,(JD89+1),[1]!qsn([1]!ml([1]!taqsha(1,1,1+JD89,JD90)),JD91)/30,JD90,JD91)</f>
        <v>#VALUE!</v>
      </c>
      <c r="JE96" s="962" t="e">
        <f>[1]!bodmoadal(1,1,(JE89+1),[1]!qsn([1]!ml([1]!taqsha(1,1,1+JE89,JE90)),JE91)/30,JE90,JE91)</f>
        <v>#VALUE!</v>
      </c>
      <c r="JF96" s="962" t="e">
        <f>[1]!bodmoadal(1,1,(JF89+1),[1]!qsn([1]!ml([1]!taqsha(1,1,1+JF89,JF90)),JF91)/30,JF90,JF91)</f>
        <v>#VALUE!</v>
      </c>
      <c r="JG96" s="962" t="e">
        <f>[1]!bodmoadal(1,1,(JG89+1),[1]!qsn([1]!ml([1]!taqsha(1,1,1+JG89,JG90)),JG91)/30,JG90,JG91)</f>
        <v>#VALUE!</v>
      </c>
      <c r="JH96" s="962" t="e">
        <f>[1]!bodmoadal(1,1,(JH89+1),[1]!qsn([1]!ml([1]!taqsha(1,1,1+JH89,JH90)),JH91)/30,JH90,JH91)</f>
        <v>#VALUE!</v>
      </c>
      <c r="JI96" s="962" t="e">
        <f>[1]!bodmoadal(1,1,(JI89+1),[1]!qsn([1]!ml([1]!taqsha(1,1,1+JI89,JI90)),JI91)/30,JI90,JI91)</f>
        <v>#VALUE!</v>
      </c>
      <c r="JJ96" s="962" t="e">
        <f>[1]!bodmoadal(1,1,(JJ89+1),[1]!qsn([1]!ml([1]!taqsha(1,1,1+JJ89,JJ90)),JJ91)/30,JJ90,JJ91)</f>
        <v>#VALUE!</v>
      </c>
      <c r="JK96" s="962" t="e">
        <f>[1]!bodmoadal(1,1,(JK89+1),[1]!qsn([1]!ml([1]!taqsha(1,1,1+JK89,JK90)),JK91)/30,JK90,JK91)</f>
        <v>#VALUE!</v>
      </c>
      <c r="JL96" s="962" t="e">
        <f>[1]!bodmoadal(1,1,(JL89+1),[1]!qsn([1]!ml([1]!taqsha(1,1,1+JL89,JL90)),JL91)/30,JL90,JL91)</f>
        <v>#VALUE!</v>
      </c>
      <c r="JM96" s="962" t="e">
        <f>[1]!bodmoadal(1,1,(JM89+1),[1]!qsn([1]!ml([1]!taqsha(1,1,1+JM89,JM90)),JM91)/30,JM90,JM91)</f>
        <v>#VALUE!</v>
      </c>
      <c r="JN96" s="962" t="e">
        <f>[1]!bodmoadal(1,1,(JN89+1),[1]!qsn([1]!ml([1]!taqsha(1,1,1+JN89,JN90)),JN91)/30,JN90,JN91)</f>
        <v>#VALUE!</v>
      </c>
      <c r="JO96" s="962" t="e">
        <f>[1]!bodmoadal(1,1,(JO89+1),[1]!qsn([1]!ml([1]!taqsha(1,1,1+JO89,JO90)),JO91)/30,JO90,JO91)</f>
        <v>#VALUE!</v>
      </c>
      <c r="JP96" s="962" t="e">
        <f>[1]!bodmoadal(1,1,(JP89+1),[1]!qsn([1]!ml([1]!taqsha(1,1,1+JP89,JP90)),JP91)/30,JP90,JP91)</f>
        <v>#VALUE!</v>
      </c>
      <c r="JQ96" s="962" t="e">
        <f>[1]!bodmoadal(1,1,(JQ89+1),[1]!qsn([1]!ml([1]!taqsha(1,1,1+JQ89,JQ90)),JQ91)/30,JQ90,JQ91)</f>
        <v>#VALUE!</v>
      </c>
      <c r="JR96" s="962" t="e">
        <f>[1]!bodmoadal(1,1,(JR89+1),[1]!qsn([1]!ml([1]!taqsha(1,1,1+JR89,JR90)),JR91)/30,JR90,JR91)</f>
        <v>#VALUE!</v>
      </c>
      <c r="JS96" s="962" t="e">
        <f>[1]!bodmoadal(1,1,(JS89+1),[1]!qsn([1]!ml([1]!taqsha(1,1,1+JS89,JS90)),JS91)/30,JS90,JS91)</f>
        <v>#VALUE!</v>
      </c>
      <c r="JT96" s="962" t="e">
        <f>[1]!bodmoadal(1,1,(JT89+1),[1]!qsn([1]!ml([1]!taqsha(1,1,1+JT89,JT90)),JT91)/30,JT90,JT91)</f>
        <v>#VALUE!</v>
      </c>
      <c r="JU96" s="962" t="e">
        <f>[1]!bodmoadal(1,1,(JU89+1),[1]!qsn([1]!ml([1]!taqsha(1,1,1+JU89,JU90)),JU91)/30,JU90,JU91)</f>
        <v>#VALUE!</v>
      </c>
      <c r="JV96" s="962" t="e">
        <f>[1]!bodmoadal(1,1,(JV89+1),[1]!qsn([1]!ml([1]!taqsha(1,1,1+JV89,JV90)),JV91)/30,JV90,JV91)</f>
        <v>#VALUE!</v>
      </c>
      <c r="JW96" s="962" t="e">
        <f>[1]!bodmoadal(1,1,(JW89+1),[1]!qsn([1]!ml([1]!taqsha(1,1,1+JW89,JW90)),JW91)/30,JW90,JW91)</f>
        <v>#VALUE!</v>
      </c>
      <c r="JX96" s="962" t="e">
        <f>[1]!bodmoadal(1,1,(JX89+1),[1]!qsn([1]!ml([1]!taqsha(1,1,1+JX89,JX90)),JX91)/30,JX90,JX91)</f>
        <v>#VALUE!</v>
      </c>
      <c r="JY96" s="962" t="e">
        <f>[1]!bodmoadal(1,1,(JY89+1),[1]!qsn([1]!ml([1]!taqsha(1,1,1+JY89,JY90)),JY91)/30,JY90,JY91)</f>
        <v>#VALUE!</v>
      </c>
      <c r="JZ96" s="962" t="e">
        <f>[1]!bodmoadal(1,1,(JZ89+1),[1]!qsn([1]!ml([1]!taqsha(1,1,1+JZ89,JZ90)),JZ91)/30,JZ90,JZ91)</f>
        <v>#VALUE!</v>
      </c>
      <c r="KA96" s="962" t="e">
        <f>[1]!bodmoadal(1,1,(KA89+1),[1]!qsn([1]!ml([1]!taqsha(1,1,1+KA89,KA90)),KA91)/30,KA90,KA91)</f>
        <v>#VALUE!</v>
      </c>
      <c r="KB96" s="962" t="e">
        <f>[1]!bodmoadal(1,1,(KB89+1),[1]!qsn([1]!ml([1]!taqsha(1,1,1+KB89,KB90)),KB91)/30,KB90,KB91)</f>
        <v>#VALUE!</v>
      </c>
      <c r="KC96" s="962" t="e">
        <f>[1]!bodmoadal(1,1,(KC89+1),[1]!qsn([1]!ml([1]!taqsha(1,1,1+KC89,KC90)),KC91)/30,KC90,KC91)</f>
        <v>#VALUE!</v>
      </c>
      <c r="KD96" s="962" t="e">
        <f>[1]!bodmoadal(1,1,(KD89+1),[1]!qsn([1]!ml([1]!taqsha(1,1,1+KD89,KD90)),KD91)/30,KD90,KD91)</f>
        <v>#VALUE!</v>
      </c>
      <c r="KE96" s="962" t="e">
        <f>[1]!bodmoadal(1,1,(KE89+1),[1]!qsn([1]!ml([1]!taqsha(1,1,1+KE89,KE90)),KE91)/30,KE90,KE91)</f>
        <v>#VALUE!</v>
      </c>
      <c r="KF96" s="962" t="e">
        <f>[1]!bodmoadal(1,1,(KF89+1),[1]!qsn([1]!ml([1]!taqsha(1,1,1+KF89,KF90)),KF91)/30,KF90,KF91)</f>
        <v>#VALUE!</v>
      </c>
      <c r="KG96" s="962" t="e">
        <f>[1]!bodmoadal(1,1,(KG89+1),[1]!qsn([1]!ml([1]!taqsha(1,1,1+KG89,KG90)),KG91)/30,KG90,KG91)</f>
        <v>#VALUE!</v>
      </c>
      <c r="KH96" s="962" t="e">
        <f>[1]!bodmoadal(1,1,(KH89+1),[1]!qsn([1]!ml([1]!taqsha(1,1,1+KH89,KH90)),KH91)/30,KH90,KH91)</f>
        <v>#VALUE!</v>
      </c>
      <c r="KI96" s="962" t="e">
        <f>[1]!bodmoadal(1,1,(KI89+1),[1]!qsn([1]!ml([1]!taqsha(1,1,1+KI89,KI90)),KI91)/30,KI90,KI91)</f>
        <v>#VALUE!</v>
      </c>
      <c r="KJ96" s="962" t="e">
        <f>[1]!bodmoadal(1,1,(KJ89+1),[1]!qsn([1]!ml([1]!taqsha(1,1,1+KJ89,KJ90)),KJ91)/30,KJ90,KJ91)</f>
        <v>#VALUE!</v>
      </c>
      <c r="KK96" s="962" t="e">
        <f>[1]!bodmoadal(1,1,(KK89+1),[1]!qsn([1]!ml([1]!taqsha(1,1,1+KK89,KK90)),KK91)/30,KK90,KK91)</f>
        <v>#VALUE!</v>
      </c>
      <c r="KL96" s="962" t="e">
        <f>[1]!bodmoadal(1,1,(KL89+1),[1]!qsn([1]!ml([1]!taqsha(1,1,1+KL89,KL90)),KL91)/30,KL90,KL91)</f>
        <v>#VALUE!</v>
      </c>
      <c r="KM96" s="962" t="e">
        <f>[1]!bodmoadal(1,1,(KM89+1),[1]!qsn([1]!ml([1]!taqsha(1,1,1+KM89,KM90)),KM91)/30,KM90,KM91)</f>
        <v>#VALUE!</v>
      </c>
      <c r="KN96" s="962" t="e">
        <f>[1]!bodmoadal(1,1,(KN89+1),[1]!qsn([1]!ml([1]!taqsha(1,1,1+KN89,KN90)),KN91)/30,KN90,KN91)</f>
        <v>#VALUE!</v>
      </c>
      <c r="KO96" s="962" t="e">
        <f>[1]!bodmoadal(1,1,(KO89+1),[1]!qsn([1]!ml([1]!taqsha(1,1,1+KO89,KO90)),KO91)/30,KO90,KO91)</f>
        <v>#VALUE!</v>
      </c>
      <c r="KP96" s="962" t="e">
        <f>[1]!bodmoadal(1,1,(KP89+1),[1]!qsn([1]!ml([1]!taqsha(1,1,1+KP89,KP90)),KP91)/30,KP90,KP91)</f>
        <v>#VALUE!</v>
      </c>
      <c r="KQ96" s="962" t="e">
        <f>[1]!bodmoadal(1,1,(KQ89+1),[1]!qsn([1]!ml([1]!taqsha(1,1,1+KQ89,KQ90)),KQ91)/30,KQ90,KQ91)</f>
        <v>#VALUE!</v>
      </c>
      <c r="KR96" s="962" t="e">
        <f>[1]!bodmoadal(1,1,(KR89+1),[1]!qsn([1]!ml([1]!taqsha(1,1,1+KR89,KR90)),KR91)/30,KR90,KR91)</f>
        <v>#VALUE!</v>
      </c>
      <c r="KS96" s="962" t="e">
        <f>[1]!bodmoadal(1,1,(KS89+1),[1]!qsn([1]!ml([1]!taqsha(1,1,1+KS89,KS90)),KS91)/30,KS90,KS91)</f>
        <v>#VALUE!</v>
      </c>
      <c r="KT96" s="962" t="e">
        <f>[1]!bodmoadal(1,1,(KT89+1),[1]!qsn([1]!ml([1]!taqsha(1,1,1+KT89,KT90)),KT91)/30,KT90,KT91)</f>
        <v>#VALUE!</v>
      </c>
      <c r="KU96" s="962" t="e">
        <f>[1]!bodmoadal(1,1,(KU89+1),[1]!qsn([1]!ml([1]!taqsha(1,1,1+KU89,KU90)),KU91)/30,KU90,KU91)</f>
        <v>#VALUE!</v>
      </c>
      <c r="KV96" s="962" t="e">
        <f>[1]!bodmoadal(1,1,(KV89+1),[1]!qsn([1]!ml([1]!taqsha(1,1,1+KV89,KV90)),KV91)/30,KV90,KV91)</f>
        <v>#VALUE!</v>
      </c>
      <c r="KW96" s="962" t="e">
        <f>[1]!bodmoadal(1,1,(KW89+1),[1]!qsn([1]!ml([1]!taqsha(1,1,1+KW89,KW90)),KW91)/30,KW90,KW91)</f>
        <v>#VALUE!</v>
      </c>
      <c r="KX96" s="962" t="e">
        <f>[1]!bodmoadal(1,1,(KX89+1),[1]!qsn([1]!ml([1]!taqsha(1,1,1+KX89,KX90)),KX91)/30,KX90,KX91)</f>
        <v>#VALUE!</v>
      </c>
      <c r="KY96" s="962" t="e">
        <f>[1]!bodmoadal(1,1,(KY89+1),[1]!qsn([1]!ml([1]!taqsha(1,1,1+KY89,KY90)),KY91)/30,KY90,KY91)</f>
        <v>#VALUE!</v>
      </c>
      <c r="KZ96" s="962" t="e">
        <f>[1]!bodmoadal(1,1,(KZ89+1),[1]!qsn([1]!ml([1]!taqsha(1,1,1+KZ89,KZ90)),KZ91)/30,KZ90,KZ91)</f>
        <v>#VALUE!</v>
      </c>
      <c r="LA96" s="962" t="e">
        <f>[1]!bodmoadal(1,1,(LA89+1),[1]!qsn([1]!ml([1]!taqsha(1,1,1+LA89,LA90)),LA91)/30,LA90,LA91)</f>
        <v>#VALUE!</v>
      </c>
      <c r="LB96" s="962" t="e">
        <f>[1]!bodmoadal(1,1,(LB89+1),[1]!qsn([1]!ml([1]!taqsha(1,1,1+LB89,LB90)),LB91)/30,LB90,LB91)</f>
        <v>#VALUE!</v>
      </c>
      <c r="LC96" s="962" t="e">
        <f>[1]!bodmoadal(1,1,(LC89+1),[1]!qsn([1]!ml([1]!taqsha(1,1,1+LC89,LC90)),LC91)/30,LC90,LC91)</f>
        <v>#VALUE!</v>
      </c>
      <c r="LD96" s="962" t="e">
        <f>[1]!bodmoadal(1,1,(LD89+1),[1]!qsn([1]!ml([1]!taqsha(1,1,1+LD89,LD90)),LD91)/30,LD90,LD91)</f>
        <v>#VALUE!</v>
      </c>
      <c r="LE96" s="962" t="e">
        <f>[1]!bodmoadal(1,1,(LE89+1),[1]!qsn([1]!ml([1]!taqsha(1,1,1+LE89,LE90)),LE91)/30,LE90,LE91)</f>
        <v>#VALUE!</v>
      </c>
      <c r="LF96" s="962" t="e">
        <f>[1]!bodmoadal(1,1,(LF89+1),[1]!qsn([1]!ml([1]!taqsha(1,1,1+LF89,LF90)),LF91)/30,LF90,LF91)</f>
        <v>#VALUE!</v>
      </c>
      <c r="LG96" s="962" t="e">
        <f>[1]!bodmoadal(1,1,(LG89+1),[1]!qsn([1]!ml([1]!taqsha(1,1,1+LG89,LG90)),LG91)/30,LG90,LG91)</f>
        <v>#VALUE!</v>
      </c>
      <c r="LH96" s="962" t="e">
        <f>[1]!bodmoadal(1,1,(LH89+1),[1]!qsn([1]!ml([1]!taqsha(1,1,1+LH89,LH90)),LH91)/30,LH90,LH91)</f>
        <v>#VALUE!</v>
      </c>
      <c r="LI96" s="962" t="e">
        <f>[1]!bodmoadal(1,1,(LI89+1),[1]!qsn([1]!ml([1]!taqsha(1,1,1+LI89,LI90)),LI91)/30,LI90,LI91)</f>
        <v>#VALUE!</v>
      </c>
      <c r="LJ96" s="962" t="e">
        <f>[1]!bodmoadal(1,1,(LJ89+1),[1]!qsn([1]!ml([1]!taqsha(1,1,1+LJ89,LJ90)),LJ91)/30,LJ90,LJ91)</f>
        <v>#VALUE!</v>
      </c>
      <c r="LK96" s="962" t="e">
        <f>[1]!bodmoadal(1,1,(LK89+1),[1]!qsn([1]!ml([1]!taqsha(1,1,1+LK89,LK90)),LK91)/30,LK90,LK91)</f>
        <v>#VALUE!</v>
      </c>
      <c r="LL96" s="962" t="e">
        <f>[1]!bodmoadal(1,1,(LL89+1),[1]!qsn([1]!ml([1]!taqsha(1,1,1+LL89,LL90)),LL91)/30,LL90,LL91)</f>
        <v>#VALUE!</v>
      </c>
      <c r="LM96" s="962" t="e">
        <f>[1]!bodmoadal(1,1,(LM89+1),[1]!qsn([1]!ml([1]!taqsha(1,1,1+LM89,LM90)),LM91)/30,LM90,LM91)</f>
        <v>#VALUE!</v>
      </c>
      <c r="LN96" s="962" t="e">
        <f>[1]!bodmoadal(1,1,(LN89+1),[1]!qsn([1]!ml([1]!taqsha(1,1,1+LN89,LN90)),LN91)/30,LN90,LN91)</f>
        <v>#VALUE!</v>
      </c>
      <c r="LO96" s="962" t="e">
        <f>[1]!bodmoadal(1,1,(LO89+1),[1]!qsn([1]!ml([1]!taqsha(1,1,1+LO89,LO90)),LO91)/30,LO90,LO91)</f>
        <v>#VALUE!</v>
      </c>
      <c r="LP96" s="962" t="e">
        <f>[1]!bodmoadal(1,1,(LP89+1),[1]!qsn([1]!ml([1]!taqsha(1,1,1+LP89,LP90)),LP91)/30,LP90,LP91)</f>
        <v>#VALUE!</v>
      </c>
      <c r="LQ96" s="962" t="e">
        <f>[1]!bodmoadal(1,1,(LQ89+1),[1]!qsn([1]!ml([1]!taqsha(1,1,1+LQ89,LQ90)),LQ91)/30,LQ90,LQ91)</f>
        <v>#VALUE!</v>
      </c>
      <c r="LR96" s="962" t="e">
        <f>[1]!bodmoadal(1,1,(LR89+1),[1]!qsn([1]!ml([1]!taqsha(1,1,1+LR89,LR90)),LR91)/30,LR90,LR91)</f>
        <v>#VALUE!</v>
      </c>
      <c r="LS96" s="962" t="e">
        <f>[1]!bodmoadal(1,1,(LS89+1),[1]!qsn([1]!ml([1]!taqsha(1,1,1+LS89,LS90)),LS91)/30,LS90,LS91)</f>
        <v>#VALUE!</v>
      </c>
      <c r="LT96" s="962" t="e">
        <f>[1]!bodmoadal(1,1,(LT89+1),[1]!qsn([1]!ml([1]!taqsha(1,1,1+LT89,LT90)),LT91)/30,LT90,LT91)</f>
        <v>#VALUE!</v>
      </c>
      <c r="LU96" s="962" t="e">
        <f>[1]!bodmoadal(1,1,(LU89+1),[1]!qsn([1]!ml([1]!taqsha(1,1,1+LU89,LU90)),LU91)/30,LU90,LU91)</f>
        <v>#VALUE!</v>
      </c>
      <c r="LV96" s="962" t="e">
        <f>[1]!bodmoadal(1,1,(LV89+1),[1]!qsn([1]!ml([1]!taqsha(1,1,1+LV89,LV90)),LV91)/30,LV90,LV91)</f>
        <v>#VALUE!</v>
      </c>
      <c r="LW96" s="962" t="e">
        <f>[1]!bodmoadal(1,1,(LW89+1),[1]!qsn([1]!ml([1]!taqsha(1,1,1+LW89,LW90)),LW91)/30,LW90,LW91)</f>
        <v>#VALUE!</v>
      </c>
      <c r="LX96" s="962" t="e">
        <f>[1]!bodmoadal(1,1,(LX89+1),[1]!qsn([1]!ml([1]!taqsha(1,1,1+LX89,LX90)),LX91)/30,LX90,LX91)</f>
        <v>#VALUE!</v>
      </c>
      <c r="LY96" s="962" t="e">
        <f>[1]!bodmoadal(1,1,(LY89+1),[1]!qsn([1]!ml([1]!taqsha(1,1,1+LY89,LY90)),LY91)/30,LY90,LY91)</f>
        <v>#VALUE!</v>
      </c>
      <c r="LZ96" s="962" t="e">
        <f>[1]!bodmoadal(1,1,(LZ89+1),[1]!qsn([1]!ml([1]!taqsha(1,1,1+LZ89,LZ90)),LZ91)/30,LZ90,LZ91)</f>
        <v>#VALUE!</v>
      </c>
      <c r="MA96" s="962" t="e">
        <f>[1]!bodmoadal(1,1,(MA89+1),[1]!qsn([1]!ml([1]!taqsha(1,1,1+MA89,MA90)),MA91)/30,MA90,MA91)</f>
        <v>#VALUE!</v>
      </c>
      <c r="MB96" s="962" t="e">
        <f>[1]!bodmoadal(1,1,(MB89+1),[1]!qsn([1]!ml([1]!taqsha(1,1,1+MB89,MB90)),MB91)/30,MB90,MB91)</f>
        <v>#VALUE!</v>
      </c>
      <c r="MC96" s="962" t="e">
        <f>[1]!bodmoadal(1,1,(MC89+1),[1]!qsn([1]!ml([1]!taqsha(1,1,1+MC89,MC90)),MC91)/30,MC90,MC91)</f>
        <v>#VALUE!</v>
      </c>
      <c r="MD96" s="962" t="e">
        <f>[1]!bodmoadal(1,1,(MD89+1),[1]!qsn([1]!ml([1]!taqsha(1,1,1+MD89,MD90)),MD91)/30,MD90,MD91)</f>
        <v>#VALUE!</v>
      </c>
      <c r="ME96" s="962" t="e">
        <f>[1]!bodmoadal(1,1,(ME89+1),[1]!qsn([1]!ml([1]!taqsha(1,1,1+ME89,ME90)),ME91)/30,ME90,ME91)</f>
        <v>#VALUE!</v>
      </c>
      <c r="MF96" s="962" t="e">
        <f>[1]!bodmoadal(1,1,(MF89+1),[1]!qsn([1]!ml([1]!taqsha(1,1,1+MF89,MF90)),MF91)/30,MF90,MF91)</f>
        <v>#VALUE!</v>
      </c>
      <c r="MG96" s="962" t="e">
        <f>[1]!bodmoadal(1,1,(MG89+1),[1]!qsn([1]!ml([1]!taqsha(1,1,1+MG89,MG90)),MG91)/30,MG90,MG91)</f>
        <v>#VALUE!</v>
      </c>
      <c r="MH96" s="962" t="e">
        <f>[1]!bodmoadal(1,1,(MH89+1),[1]!qsn([1]!ml([1]!taqsha(1,1,1+MH89,MH90)),MH91)/30,MH90,MH91)</f>
        <v>#VALUE!</v>
      </c>
      <c r="MI96" s="962" t="e">
        <f>[1]!bodmoadal(1,1,(MI89+1),[1]!qsn([1]!ml([1]!taqsha(1,1,1+MI89,MI90)),MI91)/30,MI90,MI91)</f>
        <v>#VALUE!</v>
      </c>
      <c r="MJ96" s="962" t="e">
        <f>[1]!bodmoadal(1,1,(MJ89+1),[1]!qsn([1]!ml([1]!taqsha(1,1,1+MJ89,MJ90)),MJ91)/30,MJ90,MJ91)</f>
        <v>#VALUE!</v>
      </c>
      <c r="MK96" s="962" t="e">
        <f>[1]!bodmoadal(1,1,(MK89+1),[1]!qsn([1]!ml([1]!taqsha(1,1,1+MK89,MK90)),MK91)/30,MK90,MK91)</f>
        <v>#VALUE!</v>
      </c>
      <c r="ML96" s="962" t="e">
        <f>[1]!bodmoadal(1,1,(ML89+1),[1]!qsn([1]!ml([1]!taqsha(1,1,1+ML89,ML90)),ML91)/30,ML90,ML91)</f>
        <v>#VALUE!</v>
      </c>
      <c r="MM96" s="962" t="e">
        <f>[1]!bodmoadal(1,1,(MM89+1),[1]!qsn([1]!ml([1]!taqsha(1,1,1+MM89,MM90)),MM91)/30,MM90,MM91)</f>
        <v>#VALUE!</v>
      </c>
      <c r="MN96" s="962" t="e">
        <f>[1]!bodmoadal(1,1,(MN89+1),[1]!qsn([1]!ml([1]!taqsha(1,1,1+MN89,MN90)),MN91)/30,MN90,MN91)</f>
        <v>#VALUE!</v>
      </c>
      <c r="MO96" s="962" t="e">
        <f>[1]!bodmoadal(1,1,(MO89+1),[1]!qsn([1]!ml([1]!taqsha(1,1,1+MO89,MO90)),MO91)/30,MO90,MO91)</f>
        <v>#VALUE!</v>
      </c>
      <c r="MP96" s="962" t="e">
        <f>[1]!bodmoadal(1,1,(MP89+1),[1]!qsn([1]!ml([1]!taqsha(1,1,1+MP89,MP90)),MP91)/30,MP90,MP91)</f>
        <v>#VALUE!</v>
      </c>
      <c r="MQ96" s="962" t="e">
        <f>[1]!bodmoadal(1,1,(MQ89+1),[1]!qsn([1]!ml([1]!taqsha(1,1,1+MQ89,MQ90)),MQ91)/30,MQ90,MQ91)</f>
        <v>#VALUE!</v>
      </c>
      <c r="MR96" s="962" t="e">
        <f>[1]!bodmoadal(1,1,(MR89+1),[1]!qsn([1]!ml([1]!taqsha(1,1,1+MR89,MR90)),MR91)/30,MR90,MR91)</f>
        <v>#VALUE!</v>
      </c>
      <c r="MS96" s="962" t="e">
        <f>[1]!bodmoadal(1,1,(MS89+1),[1]!qsn([1]!ml([1]!taqsha(1,1,1+MS89,MS90)),MS91)/30,MS90,MS91)</f>
        <v>#VALUE!</v>
      </c>
      <c r="MT96" s="962" t="e">
        <f>[1]!bodmoadal(1,1,(MT89+1),[1]!qsn([1]!ml([1]!taqsha(1,1,1+MT89,MT90)),MT91)/30,MT90,MT91)</f>
        <v>#VALUE!</v>
      </c>
      <c r="MU96" s="962" t="e">
        <f>[1]!bodmoadal(1,1,(MU89+1),[1]!qsn([1]!ml([1]!taqsha(1,1,1+MU89,MU90)),MU91)/30,MU90,MU91)</f>
        <v>#VALUE!</v>
      </c>
      <c r="MV96" s="962" t="e">
        <f>[1]!bodmoadal(1,1,(MV89+1),[1]!qsn([1]!ml([1]!taqsha(1,1,1+MV89,MV90)),MV91)/30,MV90,MV91)</f>
        <v>#VALUE!</v>
      </c>
      <c r="MW96" s="962" t="e">
        <f>[1]!bodmoadal(1,1,(MW89+1),[1]!qsn([1]!ml([1]!taqsha(1,1,1+MW89,MW90)),MW91)/30,MW90,MW91)</f>
        <v>#VALUE!</v>
      </c>
      <c r="MX96" s="962" t="e">
        <f>[1]!bodmoadal(1,1,(MX89+1),[1]!qsn([1]!ml([1]!taqsha(1,1,1+MX89,MX90)),MX91)/30,MX90,MX91)</f>
        <v>#VALUE!</v>
      </c>
      <c r="MY96" s="962" t="e">
        <f>[1]!bodmoadal(1,1,(MY89+1),[1]!qsn([1]!ml([1]!taqsha(1,1,1+MY89,MY90)),MY91)/30,MY90,MY91)</f>
        <v>#VALUE!</v>
      </c>
      <c r="MZ96" s="962" t="e">
        <f>[1]!bodmoadal(1,1,(MZ89+1),[1]!qsn([1]!ml([1]!taqsha(1,1,1+MZ89,MZ90)),MZ91)/30,MZ90,MZ91)</f>
        <v>#VALUE!</v>
      </c>
      <c r="NA96" s="962" t="e">
        <f>[1]!bodmoadal(1,1,(NA89+1),[1]!qsn([1]!ml([1]!taqsha(1,1,1+NA89,NA90)),NA91)/30,NA90,NA91)</f>
        <v>#VALUE!</v>
      </c>
      <c r="NB96" s="962" t="e">
        <f>[1]!bodmoadal(1,1,(NB89+1),[1]!qsn([1]!ml([1]!taqsha(1,1,1+NB89,NB90)),NB91)/30,NB90,NB91)</f>
        <v>#VALUE!</v>
      </c>
      <c r="NC96" s="962" t="e">
        <f>[1]!bodmoadal(1,1,(NC89+1),[1]!qsn([1]!ml([1]!taqsha(1,1,1+NC89,NC90)),NC91)/30,NC90,NC91)</f>
        <v>#VALUE!</v>
      </c>
      <c r="ND96" s="962" t="e">
        <f>[1]!bodmoadal(1,1,(ND89+1),[1]!qsn([1]!ml([1]!taqsha(1,1,1+ND89,ND90)),ND91)/30,ND90,ND91)</f>
        <v>#VALUE!</v>
      </c>
      <c r="NE96" s="962" t="e">
        <f>[1]!bodmoadal(1,1,(NE89+1),[1]!qsn([1]!ml([1]!taqsha(1,1,1+NE89,NE90)),NE91)/30,NE90,NE91)</f>
        <v>#VALUE!</v>
      </c>
      <c r="NF96" s="962" t="e">
        <f>[1]!bodmoadal(1,1,(NF89+1),[1]!qsn([1]!ml([1]!taqsha(1,1,1+NF89,NF90)),NF91)/30,NF90,NF91)</f>
        <v>#VALUE!</v>
      </c>
      <c r="NG96" s="962" t="e">
        <f>[1]!bodmoadal(1,1,(NG89+1),[1]!qsn([1]!ml([1]!taqsha(1,1,1+NG89,NG90)),NG91)/30,NG90,NG91)</f>
        <v>#VALUE!</v>
      </c>
      <c r="NH96" s="962" t="e">
        <f>[1]!bodmoadal(1,1,(NH89+1),[1]!qsn([1]!ml([1]!taqsha(1,1,1+NH89,NH90)),NH91)/30,NH90,NH91)</f>
        <v>#VALUE!</v>
      </c>
      <c r="NI96" s="962" t="e">
        <f>[1]!bodmoadal(1,1,(NI89+1),[1]!qsn([1]!ml([1]!taqsha(1,1,1+NI89,NI90)),NI91)/30,NI90,NI91)</f>
        <v>#VALUE!</v>
      </c>
      <c r="NJ96" s="962" t="e">
        <f>[1]!bodmoadal(1,1,(NJ89+1),[1]!qsn([1]!ml([1]!taqsha(1,1,1+NJ89,NJ90)),NJ91)/30,NJ90,NJ91)</f>
        <v>#VALUE!</v>
      </c>
      <c r="NK96" s="962" t="e">
        <f>[1]!bodmoadal(1,1,(NK89+1),[1]!qsn([1]!ml([1]!taqsha(1,1,1+NK89,NK90)),NK91)/30,NK90,NK91)</f>
        <v>#VALUE!</v>
      </c>
      <c r="NL96" s="962" t="e">
        <f>[1]!bodmoadal(1,1,(NL89+1),[1]!qsn([1]!ml([1]!taqsha(1,1,1+NL89,NL90)),NL91)/30,NL90,NL91)</f>
        <v>#VALUE!</v>
      </c>
      <c r="NM96" s="962" t="e">
        <f>[1]!bodmoadal(1,1,(NM89+1),[1]!qsn([1]!ml([1]!taqsha(1,1,1+NM89,NM90)),NM91)/30,NM90,NM91)</f>
        <v>#VALUE!</v>
      </c>
      <c r="NN96" s="962" t="e">
        <f>[1]!bodmoadal(1,1,(NN89+1),[1]!qsn([1]!ml([1]!taqsha(1,1,1+NN89,NN90)),NN91)/30,NN90,NN91)</f>
        <v>#VALUE!</v>
      </c>
      <c r="NO96" s="962" t="e">
        <f>[1]!bodmoadal(1,1,(NO89+1),[1]!qsn([1]!ml([1]!taqsha(1,1,1+NO89,NO90)),NO91)/30,NO90,NO91)</f>
        <v>#VALUE!</v>
      </c>
      <c r="NP96" s="962" t="e">
        <f>[1]!bodmoadal(1,1,(NP89+1),[1]!qsn([1]!ml([1]!taqsha(1,1,1+NP89,NP90)),NP91)/30,NP90,NP91)</f>
        <v>#VALUE!</v>
      </c>
      <c r="NQ96" s="962" t="e">
        <f>[1]!bodmoadal(1,1,(NQ89+1),[1]!qsn([1]!ml([1]!taqsha(1,1,1+NQ89,NQ90)),NQ91)/30,NQ90,NQ91)</f>
        <v>#VALUE!</v>
      </c>
      <c r="NR96" s="962" t="e">
        <f>[1]!bodmoadal(1,1,(NR89+1),[1]!qsn([1]!ml([1]!taqsha(1,1,1+NR89,NR90)),NR91)/30,NR90,NR91)</f>
        <v>#VALUE!</v>
      </c>
      <c r="NS96" s="962" t="e">
        <f>[1]!bodmoadal(1,1,(NS89+1),[1]!qsn([1]!ml([1]!taqsha(1,1,1+NS89,NS90)),NS91)/30,NS90,NS91)</f>
        <v>#VALUE!</v>
      </c>
      <c r="NT96" s="962" t="e">
        <f>[1]!bodmoadal(1,1,(NT89+1),[1]!qsn([1]!ml([1]!taqsha(1,1,1+NT89,NT90)),NT91)/30,NT90,NT91)</f>
        <v>#VALUE!</v>
      </c>
      <c r="NU96" s="962" t="e">
        <f>[1]!bodmoadal(1,1,(NU89+1),[1]!qsn([1]!ml([1]!taqsha(1,1,1+NU89,NU90)),NU91)/30,NU90,NU91)</f>
        <v>#VALUE!</v>
      </c>
      <c r="NV96" s="962" t="e">
        <f>[1]!bodmoadal(1,1,(NV89+1),[1]!qsn([1]!ml([1]!taqsha(1,1,1+NV89,NV90)),NV91)/30,NV90,NV91)</f>
        <v>#VALUE!</v>
      </c>
      <c r="NW96" s="962" t="e">
        <f>[1]!bodmoadal(1,1,(NW89+1),[1]!qsn([1]!ml([1]!taqsha(1,1,1+NW89,NW90)),NW91)/30,NW90,NW91)</f>
        <v>#VALUE!</v>
      </c>
      <c r="NX96" s="962" t="e">
        <f>[1]!bodmoadal(1,1,(NX89+1),[1]!qsn([1]!ml([1]!taqsha(1,1,1+NX89,NX90)),NX91)/30,NX90,NX91)</f>
        <v>#VALUE!</v>
      </c>
      <c r="NY96" s="962" t="e">
        <f>[1]!bodmoadal(1,1,(NY89+1),[1]!qsn([1]!ml([1]!taqsha(1,1,1+NY89,NY90)),NY91)/30,NY90,NY91)</f>
        <v>#VALUE!</v>
      </c>
      <c r="NZ96" s="962" t="e">
        <f>[1]!bodmoadal(1,1,(NZ89+1),[1]!qsn([1]!ml([1]!taqsha(1,1,1+NZ89,NZ90)),NZ91)/30,NZ90,NZ91)</f>
        <v>#VALUE!</v>
      </c>
      <c r="OA96" s="962" t="e">
        <f>[1]!bodmoadal(1,1,(OA89+1),[1]!qsn([1]!ml([1]!taqsha(1,1,1+OA89,OA90)),OA91)/30,OA90,OA91)</f>
        <v>#VALUE!</v>
      </c>
      <c r="OB96" s="962" t="e">
        <f>[1]!bodmoadal(1,1,(OB89+1),[1]!qsn([1]!ml([1]!taqsha(1,1,1+OB89,OB90)),OB91)/30,OB90,OB91)</f>
        <v>#VALUE!</v>
      </c>
      <c r="OC96" s="962" t="e">
        <f>[1]!bodmoadal(1,1,(OC89+1),[1]!qsn([1]!ml([1]!taqsha(1,1,1+OC89,OC90)),OC91)/30,OC90,OC91)</f>
        <v>#VALUE!</v>
      </c>
      <c r="OD96" s="962" t="e">
        <f>[1]!bodmoadal(1,1,(OD89+1),[1]!qsn([1]!ml([1]!taqsha(1,1,1+OD89,OD90)),OD91)/30,OD90,OD91)</f>
        <v>#VALUE!</v>
      </c>
      <c r="OE96" s="962" t="e">
        <f>[1]!bodmoadal(1,1,(OE89+1),[1]!qsn([1]!ml([1]!taqsha(1,1,1+OE89,OE90)),OE91)/30,OE90,OE91)</f>
        <v>#VALUE!</v>
      </c>
      <c r="OF96" s="962" t="e">
        <f>[1]!bodmoadal(1,1,(OF89+1),[1]!qsn([1]!ml([1]!taqsha(1,1,1+OF89,OF90)),OF91)/30,OF90,OF91)</f>
        <v>#VALUE!</v>
      </c>
      <c r="OG96" s="962" t="e">
        <f>[1]!bodmoadal(1,1,(OG89+1),[1]!qsn([1]!ml([1]!taqsha(1,1,1+OG89,OG90)),OG91)/30,OG90,OG91)</f>
        <v>#VALUE!</v>
      </c>
      <c r="OH96" s="962" t="e">
        <f>[1]!bodmoadal(1,1,(OH89+1),[1]!qsn([1]!ml([1]!taqsha(1,1,1+OH89,OH90)),OH91)/30,OH90,OH91)</f>
        <v>#VALUE!</v>
      </c>
      <c r="OI96" s="962" t="e">
        <f>[1]!bodmoadal(1,1,(OI89+1),[1]!qsn([1]!ml([1]!taqsha(1,1,1+OI89,OI90)),OI91)/30,OI90,OI91)</f>
        <v>#VALUE!</v>
      </c>
      <c r="OJ96" s="962" t="e">
        <f>[1]!bodmoadal(1,1,(OJ89+1),[1]!qsn([1]!ml([1]!taqsha(1,1,1+OJ89,OJ90)),OJ91)/30,OJ90,OJ91)</f>
        <v>#VALUE!</v>
      </c>
      <c r="OK96" s="962" t="e">
        <f>[1]!bodmoadal(1,1,(OK89+1),[1]!qsn([1]!ml([1]!taqsha(1,1,1+OK89,OK90)),OK91)/30,OK90,OK91)</f>
        <v>#VALUE!</v>
      </c>
      <c r="OL96" s="962" t="e">
        <f>[1]!bodmoadal(1,1,(OL89+1),[1]!qsn([1]!ml([1]!taqsha(1,1,1+OL89,OL90)),OL91)/30,OL90,OL91)</f>
        <v>#VALUE!</v>
      </c>
      <c r="OM96" s="962" t="e">
        <f>[1]!bodmoadal(1,1,(OM89+1),[1]!qsn([1]!ml([1]!taqsha(1,1,1+OM89,OM90)),OM91)/30,OM90,OM91)</f>
        <v>#VALUE!</v>
      </c>
      <c r="ON96" s="962" t="e">
        <f>[1]!bodmoadal(1,1,(ON89+1),[1]!qsn([1]!ml([1]!taqsha(1,1,1+ON89,ON90)),ON91)/30,ON90,ON91)</f>
        <v>#VALUE!</v>
      </c>
      <c r="OO96" s="962" t="e">
        <f>[1]!bodmoadal(1,1,(OO89+1),[1]!qsn([1]!ml([1]!taqsha(1,1,1+OO89,OO90)),OO91)/30,OO90,OO91)</f>
        <v>#VALUE!</v>
      </c>
      <c r="OP96" s="962" t="e">
        <f>[1]!bodmoadal(1,1,(OP89+1),[1]!qsn([1]!ml([1]!taqsha(1,1,1+OP89,OP90)),OP91)/30,OP90,OP91)</f>
        <v>#VALUE!</v>
      </c>
      <c r="OQ96" s="962" t="e">
        <f>[1]!bodmoadal(1,1,(OQ89+1),[1]!qsn([1]!ml([1]!taqsha(1,1,1+OQ89,OQ90)),OQ91)/30,OQ90,OQ91)</f>
        <v>#VALUE!</v>
      </c>
      <c r="OR96" s="962" t="e">
        <f>[1]!bodmoadal(1,1,(OR89+1),[1]!qsn([1]!ml([1]!taqsha(1,1,1+OR89,OR90)),OR91)/30,OR90,OR91)</f>
        <v>#VALUE!</v>
      </c>
      <c r="OS96" s="962" t="e">
        <f>[1]!bodmoadal(1,1,(OS89+1),[1]!qsn([1]!ml([1]!taqsha(1,1,1+OS89,OS90)),OS91)/30,OS90,OS91)</f>
        <v>#VALUE!</v>
      </c>
      <c r="OT96" s="962" t="e">
        <f>[1]!bodmoadal(1,1,(OT89+1),[1]!qsn([1]!ml([1]!taqsha(1,1,1+OT89,OT90)),OT91)/30,OT90,OT91)</f>
        <v>#VALUE!</v>
      </c>
      <c r="OU96" s="962" t="e">
        <f>[1]!bodmoadal(1,1,(OU89+1),[1]!qsn([1]!ml([1]!taqsha(1,1,1+OU89,OU90)),OU91)/30,OU90,OU91)</f>
        <v>#VALUE!</v>
      </c>
      <c r="OV96" s="962" t="e">
        <f>[1]!bodmoadal(1,1,(OV89+1),[1]!qsn([1]!ml([1]!taqsha(1,1,1+OV89,OV90)),OV91)/30,OV90,OV91)</f>
        <v>#VALUE!</v>
      </c>
      <c r="OW96" s="962" t="e">
        <f>[1]!bodmoadal(1,1,(OW89+1),[1]!qsn([1]!ml([1]!taqsha(1,1,1+OW89,OW90)),OW91)/30,OW90,OW91)</f>
        <v>#VALUE!</v>
      </c>
      <c r="OX96" s="962" t="e">
        <f>[1]!bodmoadal(1,1,(OX89+1),[1]!qsn([1]!ml([1]!taqsha(1,1,1+OX89,OX90)),OX91)/30,OX90,OX91)</f>
        <v>#VALUE!</v>
      </c>
      <c r="OY96" s="962" t="e">
        <f>[1]!bodmoadal(1,1,(OY89+1),[1]!qsn([1]!ml([1]!taqsha(1,1,1+OY89,OY90)),OY91)/30,OY90,OY91)</f>
        <v>#VALUE!</v>
      </c>
      <c r="OZ96" s="962" t="e">
        <f>[1]!bodmoadal(1,1,(OZ89+1),[1]!qsn([1]!ml([1]!taqsha(1,1,1+OZ89,OZ90)),OZ91)/30,OZ90,OZ91)</f>
        <v>#VALUE!</v>
      </c>
      <c r="PA96" s="962" t="e">
        <f>[1]!bodmoadal(1,1,(PA89+1),[1]!qsn([1]!ml([1]!taqsha(1,1,1+PA89,PA90)),PA91)/30,PA90,PA91)</f>
        <v>#VALUE!</v>
      </c>
      <c r="PB96" s="962" t="e">
        <f>[1]!bodmoadal(1,1,(PB89+1),[1]!qsn([1]!ml([1]!taqsha(1,1,1+PB89,PB90)),PB91)/30,PB90,PB91)</f>
        <v>#VALUE!</v>
      </c>
      <c r="PC96" s="962" t="e">
        <f>[1]!bodmoadal(1,1,(PC89+1),[1]!qsn([1]!ml([1]!taqsha(1,1,1+PC89,PC90)),PC91)/30,PC90,PC91)</f>
        <v>#VALUE!</v>
      </c>
      <c r="PD96" s="962" t="e">
        <f>[1]!bodmoadal(1,1,(PD89+1),[1]!qsn([1]!ml([1]!taqsha(1,1,1+PD89,PD90)),PD91)/30,PD90,PD91)</f>
        <v>#VALUE!</v>
      </c>
      <c r="PE96" s="962" t="e">
        <f>[1]!bodmoadal(1,1,(PE89+1),[1]!qsn([1]!ml([1]!taqsha(1,1,1+PE89,PE90)),PE91)/30,PE90,PE91)</f>
        <v>#VALUE!</v>
      </c>
      <c r="PF96" s="962" t="e">
        <f>[1]!bodmoadal(1,1,(PF89+1),[1]!qsn([1]!ml([1]!taqsha(1,1,1+PF89,PF90)),PF91)/30,PF90,PF91)</f>
        <v>#VALUE!</v>
      </c>
      <c r="PG96" s="962" t="e">
        <f>[1]!bodmoadal(1,1,(PG89+1),[1]!qsn([1]!ml([1]!taqsha(1,1,1+PG89,PG90)),PG91)/30,PG90,PG91)</f>
        <v>#VALUE!</v>
      </c>
      <c r="PH96" s="962" t="e">
        <f>[1]!bodmoadal(1,1,(PH89+1),[1]!qsn([1]!ml([1]!taqsha(1,1,1+PH89,PH90)),PH91)/30,PH90,PH91)</f>
        <v>#VALUE!</v>
      </c>
      <c r="PI96" s="962" t="e">
        <f>[1]!bodmoadal(1,1,(PI89+1),[1]!qsn([1]!ml([1]!taqsha(1,1,1+PI89,PI90)),PI91)/30,PI90,PI91)</f>
        <v>#VALUE!</v>
      </c>
      <c r="PJ96" s="962" t="e">
        <f>[1]!bodmoadal(1,1,(PJ89+1),[1]!qsn([1]!ml([1]!taqsha(1,1,1+PJ89,PJ90)),PJ91)/30,PJ90,PJ91)</f>
        <v>#VALUE!</v>
      </c>
      <c r="PK96" s="962" t="e">
        <f>[1]!bodmoadal(1,1,(PK89+1),[1]!qsn([1]!ml([1]!taqsha(1,1,1+PK89,PK90)),PK91)/30,PK90,PK91)</f>
        <v>#VALUE!</v>
      </c>
      <c r="PL96" s="962" t="e">
        <f>[1]!bodmoadal(1,1,(PL89+1),[1]!qsn([1]!ml([1]!taqsha(1,1,1+PL89,PL90)),PL91)/30,PL90,PL91)</f>
        <v>#VALUE!</v>
      </c>
      <c r="PM96" s="962" t="e">
        <f>[1]!bodmoadal(1,1,(PM89+1),[1]!qsn([1]!ml([1]!taqsha(1,1,1+PM89,PM90)),PM91)/30,PM90,PM91)</f>
        <v>#VALUE!</v>
      </c>
      <c r="PN96" s="962" t="e">
        <f>[1]!bodmoadal(1,1,(PN89+1),[1]!qsn([1]!ml([1]!taqsha(1,1,1+PN89,PN90)),PN91)/30,PN90,PN91)</f>
        <v>#VALUE!</v>
      </c>
      <c r="PO96" s="962" t="e">
        <f>[1]!bodmoadal(1,1,(PO89+1),[1]!qsn([1]!ml([1]!taqsha(1,1,1+PO89,PO90)),PO91)/30,PO90,PO91)</f>
        <v>#VALUE!</v>
      </c>
      <c r="PP96" s="962" t="e">
        <f>[1]!bodmoadal(1,1,(PP89+1),[1]!qsn([1]!ml([1]!taqsha(1,1,1+PP89,PP90)),PP91)/30,PP90,PP91)</f>
        <v>#VALUE!</v>
      </c>
      <c r="PQ96" s="962" t="e">
        <f>[1]!bodmoadal(1,1,(PQ89+1),[1]!qsn([1]!ml([1]!taqsha(1,1,1+PQ89,PQ90)),PQ91)/30,PQ90,PQ91)</f>
        <v>#VALUE!</v>
      </c>
      <c r="PR96" s="962" t="e">
        <f>[1]!bodmoadal(1,1,(PR89+1),[1]!qsn([1]!ml([1]!taqsha(1,1,1+PR89,PR90)),PR91)/30,PR90,PR91)</f>
        <v>#VALUE!</v>
      </c>
      <c r="PS96" s="962" t="e">
        <f>[1]!bodmoadal(1,1,(PS89+1),[1]!qsn([1]!ml([1]!taqsha(1,1,1+PS89,PS90)),PS91)/30,PS90,PS91)</f>
        <v>#VALUE!</v>
      </c>
      <c r="PT96" s="962" t="e">
        <f>[1]!bodmoadal(1,1,(PT89+1),[1]!qsn([1]!ml([1]!taqsha(1,1,1+PT89,PT90)),PT91)/30,PT90,PT91)</f>
        <v>#VALUE!</v>
      </c>
      <c r="PU96" s="962" t="e">
        <f>[1]!bodmoadal(1,1,(PU89+1),[1]!qsn([1]!ml([1]!taqsha(1,1,1+PU89,PU90)),PU91)/30,PU90,PU91)</f>
        <v>#VALUE!</v>
      </c>
      <c r="PV96" s="962" t="e">
        <f>[1]!bodmoadal(1,1,(PV89+1),[1]!qsn([1]!ml([1]!taqsha(1,1,1+PV89,PV90)),PV91)/30,PV90,PV91)</f>
        <v>#VALUE!</v>
      </c>
      <c r="PW96" s="962" t="e">
        <f>[1]!bodmoadal(1,1,(PW89+1),[1]!qsn([1]!ml([1]!taqsha(1,1,1+PW89,PW90)),PW91)/30,PW90,PW91)</f>
        <v>#VALUE!</v>
      </c>
      <c r="PX96" s="962" t="e">
        <f>[1]!bodmoadal(1,1,(PX89+1),[1]!qsn([1]!ml([1]!taqsha(1,1,1+PX89,PX90)),PX91)/30,PX90,PX91)</f>
        <v>#VALUE!</v>
      </c>
      <c r="PY96" s="962" t="e">
        <f>[1]!bodmoadal(1,1,(PY89+1),[1]!qsn([1]!ml([1]!taqsha(1,1,1+PY89,PY90)),PY91)/30,PY90,PY91)</f>
        <v>#VALUE!</v>
      </c>
      <c r="PZ96" s="962" t="e">
        <f>[1]!bodmoadal(1,1,(PZ89+1),[1]!qsn([1]!ml([1]!taqsha(1,1,1+PZ89,PZ90)),PZ91)/30,PZ90,PZ91)</f>
        <v>#VALUE!</v>
      </c>
      <c r="QA96" s="962" t="e">
        <f>[1]!bodmoadal(1,1,(QA89+1),[1]!qsn([1]!ml([1]!taqsha(1,1,1+QA89,QA90)),QA91)/30,QA90,QA91)</f>
        <v>#VALUE!</v>
      </c>
      <c r="QB96" s="962" t="e">
        <f>[1]!bodmoadal(1,1,(QB89+1),[1]!qsn([1]!ml([1]!taqsha(1,1,1+QB89,QB90)),QB91)/30,QB90,QB91)</f>
        <v>#VALUE!</v>
      </c>
      <c r="QC96" s="962" t="e">
        <f>[1]!bodmoadal(1,1,(QC89+1),[1]!qsn([1]!ml([1]!taqsha(1,1,1+QC89,QC90)),QC91)/30,QC90,QC91)</f>
        <v>#VALUE!</v>
      </c>
      <c r="QD96" s="962" t="e">
        <f>[1]!bodmoadal(1,1,(QD89+1),[1]!qsn([1]!ml([1]!taqsha(1,1,1+QD89,QD90)),QD91)/30,QD90,QD91)</f>
        <v>#VALUE!</v>
      </c>
      <c r="QE96" s="962" t="e">
        <f>[1]!bodmoadal(1,1,(QE89+1),[1]!qsn([1]!ml([1]!taqsha(1,1,1+QE89,QE90)),QE91)/30,QE90,QE91)</f>
        <v>#VALUE!</v>
      </c>
      <c r="QF96" s="962" t="e">
        <f>[1]!bodmoadal(1,1,(QF89+1),[1]!qsn([1]!ml([1]!taqsha(1,1,1+QF89,QF90)),QF91)/30,QF90,QF91)</f>
        <v>#VALUE!</v>
      </c>
      <c r="QG96" s="962" t="e">
        <f>[1]!bodmoadal(1,1,(QG89+1),[1]!qsn([1]!ml([1]!taqsha(1,1,1+QG89,QG90)),QG91)/30,QG90,QG91)</f>
        <v>#VALUE!</v>
      </c>
      <c r="QH96" s="962" t="e">
        <f>[1]!bodmoadal(1,1,(QH89+1),[1]!qsn([1]!ml([1]!taqsha(1,1,1+QH89,QH90)),QH91)/30,QH90,QH91)</f>
        <v>#VALUE!</v>
      </c>
      <c r="QI96" s="962" t="e">
        <f>[1]!bodmoadal(1,1,(QI89+1),[1]!qsn([1]!ml([1]!taqsha(1,1,1+QI89,QI90)),QI91)/30,QI90,QI91)</f>
        <v>#VALUE!</v>
      </c>
      <c r="QJ96" s="962" t="e">
        <f>[1]!bodmoadal(1,1,(QJ89+1),[1]!qsn([1]!ml([1]!taqsha(1,1,1+QJ89,QJ90)),QJ91)/30,QJ90,QJ91)</f>
        <v>#VALUE!</v>
      </c>
      <c r="QK96" s="962" t="e">
        <f>[1]!bodmoadal(1,1,(QK89+1),[1]!qsn([1]!ml([1]!taqsha(1,1,1+QK89,QK90)),QK91)/30,QK90,QK91)</f>
        <v>#VALUE!</v>
      </c>
      <c r="QL96" s="962" t="e">
        <f>[1]!bodmoadal(1,1,(QL89+1),[1]!qsn([1]!ml([1]!taqsha(1,1,1+QL89,QL90)),QL91)/30,QL90,QL91)</f>
        <v>#VALUE!</v>
      </c>
      <c r="QM96" s="962" t="e">
        <f>[1]!bodmoadal(1,1,(QM89+1),[1]!qsn([1]!ml([1]!taqsha(1,1,1+QM89,QM90)),QM91)/30,QM90,QM91)</f>
        <v>#VALUE!</v>
      </c>
      <c r="QN96" s="962" t="e">
        <f>[1]!bodmoadal(1,1,(QN89+1),[1]!qsn([1]!ml([1]!taqsha(1,1,1+QN89,QN90)),QN91)/30,QN90,QN91)</f>
        <v>#VALUE!</v>
      </c>
      <c r="QO96" s="962" t="e">
        <f>[1]!bodmoadal(1,1,(QO89+1),[1]!qsn([1]!ml([1]!taqsha(1,1,1+QO89,QO90)),QO91)/30,QO90,QO91)</f>
        <v>#VALUE!</v>
      </c>
      <c r="QP96" s="962" t="e">
        <f>[1]!bodmoadal(1,1,(QP89+1),[1]!qsn([1]!ml([1]!taqsha(1,1,1+QP89,QP90)),QP91)/30,QP90,QP91)</f>
        <v>#VALUE!</v>
      </c>
      <c r="QQ96" s="962" t="e">
        <f>[1]!bodmoadal(1,1,(QQ89+1),[1]!qsn([1]!ml([1]!taqsha(1,1,1+QQ89,QQ90)),QQ91)/30,QQ90,QQ91)</f>
        <v>#VALUE!</v>
      </c>
      <c r="QR96" s="962" t="e">
        <f>[1]!bodmoadal(1,1,(QR89+1),[1]!qsn([1]!ml([1]!taqsha(1,1,1+QR89,QR90)),QR91)/30,QR90,QR91)</f>
        <v>#VALUE!</v>
      </c>
      <c r="QS96" s="962" t="e">
        <f>[1]!bodmoadal(1,1,(QS89+1),[1]!qsn([1]!ml([1]!taqsha(1,1,1+QS89,QS90)),QS91)/30,QS90,QS91)</f>
        <v>#VALUE!</v>
      </c>
      <c r="QT96" s="962" t="e">
        <f>[1]!bodmoadal(1,1,(QT89+1),[1]!qsn([1]!ml([1]!taqsha(1,1,1+QT89,QT90)),QT91)/30,QT90,QT91)</f>
        <v>#VALUE!</v>
      </c>
      <c r="QU96" s="962" t="e">
        <f>[1]!bodmoadal(1,1,(QU89+1),[1]!qsn([1]!ml([1]!taqsha(1,1,1+QU89,QU90)),QU91)/30,QU90,QU91)</f>
        <v>#VALUE!</v>
      </c>
      <c r="QV96" s="962" t="e">
        <f>[1]!bodmoadal(1,1,(QV89+1),[1]!qsn([1]!ml([1]!taqsha(1,1,1+QV89,QV90)),QV91)/30,QV90,QV91)</f>
        <v>#VALUE!</v>
      </c>
      <c r="QW96" s="962" t="e">
        <f>[1]!bodmoadal(1,1,(QW89+1),[1]!qsn([1]!ml([1]!taqsha(1,1,1+QW89,QW90)),QW91)/30,QW90,QW91)</f>
        <v>#VALUE!</v>
      </c>
      <c r="QX96" s="962" t="e">
        <f>[1]!bodmoadal(1,1,(QX89+1),[1]!qsn([1]!ml([1]!taqsha(1,1,1+QX89,QX90)),QX91)/30,QX90,QX91)</f>
        <v>#VALUE!</v>
      </c>
      <c r="QY96" s="962" t="e">
        <f>[1]!bodmoadal(1,1,(QY89+1),[1]!qsn([1]!ml([1]!taqsha(1,1,1+QY89,QY90)),QY91)/30,QY90,QY91)</f>
        <v>#VALUE!</v>
      </c>
      <c r="QZ96" s="962" t="e">
        <f>[1]!bodmoadal(1,1,(QZ89+1),[1]!qsn([1]!ml([1]!taqsha(1,1,1+QZ89,QZ90)),QZ91)/30,QZ90,QZ91)</f>
        <v>#VALUE!</v>
      </c>
      <c r="RA96" s="963" t="e">
        <f>[1]!bodmoadal(1,1,(RA89+1),[1]!qsn([1]!ml([1]!taqsha(1,1,1+RA89,RA90)),RA91)/30,RA90,RA91)</f>
        <v>#VALUE!</v>
      </c>
      <c r="RB96" s="797"/>
      <c r="RC96" s="797"/>
    </row>
    <row r="97" spans="2:471" ht="17.25">
      <c r="B97">
        <v>1</v>
      </c>
      <c r="C97" s="4" t="s">
        <v>80</v>
      </c>
      <c r="D97" s="4">
        <v>365.24220026363002</v>
      </c>
      <c r="E97" s="4">
        <f>IF(G97=1,0,IF(OR(G97=2,G97=3,G97=4,G97=5,G97=6,G97=7),(G97-1)*31,((G97-7)*30)+186))</f>
        <v>0</v>
      </c>
      <c r="F97" s="16">
        <v>1</v>
      </c>
      <c r="G97" s="16">
        <v>1</v>
      </c>
      <c r="H97" s="16">
        <v>1251</v>
      </c>
      <c r="I97" s="4">
        <f>INT(((H97-1)*D97)+E97+F97)+1</f>
        <v>456554</v>
      </c>
      <c r="J97" s="4">
        <v>118</v>
      </c>
      <c r="K97" s="4" t="s">
        <v>96</v>
      </c>
      <c r="L97" s="4" t="s">
        <v>19</v>
      </c>
      <c r="M97" s="4" t="s">
        <v>20</v>
      </c>
      <c r="N97" s="4" t="s">
        <v>88</v>
      </c>
      <c r="O97" s="4" t="s">
        <v>21</v>
      </c>
      <c r="P97" s="4" t="s">
        <v>89</v>
      </c>
      <c r="Q97" s="4" t="s">
        <v>24</v>
      </c>
      <c r="R97" s="4" t="s">
        <v>25</v>
      </c>
      <c r="S97" s="4" t="s">
        <v>90</v>
      </c>
      <c r="T97" s="4" t="s">
        <v>27</v>
      </c>
      <c r="U97" s="4" t="s">
        <v>28</v>
      </c>
      <c r="V97" s="4" t="s">
        <v>29</v>
      </c>
      <c r="W97" s="4" t="s">
        <v>91</v>
      </c>
      <c r="X97" s="4" t="s">
        <v>97</v>
      </c>
      <c r="DH97" s="797"/>
      <c r="DJ97" s="959" t="e">
        <f>[1]!bodsava(1,1,(DJ89+1),[1]!qsn([1]!ml([1]!taqsha(1,1,1+DJ89,DJ90)),DJ91)/30,DJ90,DJ91)</f>
        <v>#VALUE!</v>
      </c>
      <c r="DK97" s="962" t="e">
        <f>[1]!bodsava(1,1,(DK89+1),[1]!qsn([1]!ml([1]!taqsha(1,1,1+DK89,DK90)),DK91)/30,DK90,DK91)</f>
        <v>#VALUE!</v>
      </c>
      <c r="DL97" s="962" t="e">
        <f>[1]!bodsava(1,1,(DL89+1),[1]!qsn([1]!ml([1]!taqsha(1,1,1+DL89,DL90)),DL91)/30,DL90,DL91)</f>
        <v>#VALUE!</v>
      </c>
      <c r="DM97" s="962" t="e">
        <f>[1]!bodsava(1,1,(DM89+1),[1]!qsn([1]!ml([1]!taqsha(1,1,1+DM89,DM90)),DM91)/30,DM90,DM91)</f>
        <v>#VALUE!</v>
      </c>
      <c r="DN97" s="962" t="e">
        <f>[1]!bodsava(1,1,(DN89+1),[1]!qsn([1]!ml([1]!taqsha(1,1,1+DN89,DN90)),DN91)/30,DN90,DN91)</f>
        <v>#VALUE!</v>
      </c>
      <c r="DO97" s="962" t="e">
        <f>[1]!bodsava(1,1,(DO89+1),[1]!qsn([1]!ml([1]!taqsha(1,1,1+DO89,DO90)),DO91)/30,DO90,DO91)</f>
        <v>#VALUE!</v>
      </c>
      <c r="DP97" s="962" t="e">
        <f>[1]!bodsava(1,1,(DP89+1),[1]!qsn([1]!ml([1]!taqsha(1,1,1+DP89,DP90)),DP91)/30,DP90,DP91)</f>
        <v>#VALUE!</v>
      </c>
      <c r="DQ97" s="962" t="e">
        <f>[1]!bodsava(1,1,(DQ89+1),[1]!qsn([1]!ml([1]!taqsha(1,1,1+DQ89,DQ90)),DQ91)/30,DQ90,DQ91)</f>
        <v>#VALUE!</v>
      </c>
      <c r="DR97" s="962" t="e">
        <f>[1]!bodsava(1,1,(DR89+1),[1]!qsn([1]!ml([1]!taqsha(1,1,1+DR89,DR90)),DR91)/30,DR90,DR91)</f>
        <v>#VALUE!</v>
      </c>
      <c r="DS97" s="962" t="e">
        <f>[1]!bodsava(1,1,(DS89+1),[1]!qsn([1]!ml([1]!taqsha(1,1,1+DS89,DS90)),DS91)/30,DS90,DS91)</f>
        <v>#VALUE!</v>
      </c>
      <c r="DT97" s="962" t="e">
        <f>[1]!bodsava(1,1,(DT89+1),[1]!qsn([1]!ml([1]!taqsha(1,1,1+DT89,DT90)),DT91)/30,DT90,DT91)</f>
        <v>#VALUE!</v>
      </c>
      <c r="DU97" s="962" t="e">
        <f>[1]!bodsava(1,1,(DU89+1),[1]!qsn([1]!ml([1]!taqsha(1,1,1+DU89,DU90)),DU91)/30,DU90,DU91)</f>
        <v>#VALUE!</v>
      </c>
      <c r="DV97" s="962" t="e">
        <f>[1]!bodsava(1,1,(DV89+1),[1]!qsn([1]!ml([1]!taqsha(1,1,1+DV89,DV90)),DV91)/30,DV90,DV91)</f>
        <v>#VALUE!</v>
      </c>
      <c r="DW97" s="962" t="e">
        <f>[1]!bodsava(1,1,(DW89+1),[1]!qsn([1]!ml([1]!taqsha(1,1,1+DW89,DW90)),DW91)/30,DW90,DW91)</f>
        <v>#VALUE!</v>
      </c>
      <c r="DX97" s="962" t="e">
        <f>[1]!bodsava(1,1,(DX89+1),[1]!qsn([1]!ml([1]!taqsha(1,1,1+DX89,DX90)),DX91)/30,DX90,DX91)</f>
        <v>#VALUE!</v>
      </c>
      <c r="DY97" s="962" t="e">
        <f>[1]!bodsava(1,1,(DY89+1),[1]!qsn([1]!ml([1]!taqsha(1,1,1+DY89,DY90)),DY91)/30,DY90,DY91)</f>
        <v>#VALUE!</v>
      </c>
      <c r="DZ97" s="962" t="e">
        <f>[1]!bodsava(1,1,(DZ89+1),[1]!qsn([1]!ml([1]!taqsha(1,1,1+DZ89,DZ90)),DZ91)/30,DZ90,DZ91)</f>
        <v>#VALUE!</v>
      </c>
      <c r="EA97" s="962" t="e">
        <f>[1]!bodsava(1,1,(EA89+1),[1]!qsn([1]!ml([1]!taqsha(1,1,1+EA89,EA90)),EA91)/30,EA90,EA91)</f>
        <v>#VALUE!</v>
      </c>
      <c r="EB97" s="962" t="e">
        <f>[1]!bodsava(1,1,(EB89+1),[1]!qsn([1]!ml([1]!taqsha(1,1,1+EB89,EB90)),EB91)/30,EB90,EB91)</f>
        <v>#VALUE!</v>
      </c>
      <c r="EC97" s="962" t="e">
        <f>[1]!bodsava(1,1,(EC89+1),[1]!qsn([1]!ml([1]!taqsha(1,1,1+EC89,EC90)),EC91)/30,EC90,EC91)</f>
        <v>#VALUE!</v>
      </c>
      <c r="ED97" s="962" t="e">
        <f>[1]!bodsava(1,1,(ED89+1),[1]!qsn([1]!ml([1]!taqsha(1,1,1+ED89,ED90)),ED91)/30,ED90,ED91)</f>
        <v>#VALUE!</v>
      </c>
      <c r="EE97" s="962" t="e">
        <f>[1]!bodsava(1,1,(EE89+1),[1]!qsn([1]!ml([1]!taqsha(1,1,1+EE89,EE90)),EE91)/30,EE90,EE91)</f>
        <v>#VALUE!</v>
      </c>
      <c r="EF97" s="962" t="e">
        <f>[1]!bodsava(1,1,(EF89+1),[1]!qsn([1]!ml([1]!taqsha(1,1,1+EF89,EF90)),EF91)/30,EF90,EF91)</f>
        <v>#VALUE!</v>
      </c>
      <c r="EG97" s="962" t="e">
        <f>[1]!bodsava(1,1,(EG89+1),[1]!qsn([1]!ml([1]!taqsha(1,1,1+EG89,EG90)),EG91)/30,EG90,EG91)</f>
        <v>#VALUE!</v>
      </c>
      <c r="EH97" s="962" t="e">
        <f>[1]!bodsava(1,1,(EH89+1),[1]!qsn([1]!ml([1]!taqsha(1,1,1+EH89,EH90)),EH91)/30,EH90,EH91)</f>
        <v>#VALUE!</v>
      </c>
      <c r="EI97" s="962" t="e">
        <f>[1]!bodsava(1,1,(EI89+1),[1]!qsn([1]!ml([1]!taqsha(1,1,1+EI89,EI90)),EI91)/30,EI90,EI91)</f>
        <v>#VALUE!</v>
      </c>
      <c r="EJ97" s="962" t="e">
        <f>[1]!bodsava(1,1,(EJ89+1),[1]!qsn([1]!ml([1]!taqsha(1,1,1+EJ89,EJ90)),EJ91)/30,EJ90,EJ91)</f>
        <v>#VALUE!</v>
      </c>
      <c r="EK97" s="962" t="e">
        <f>[1]!bodsava(1,1,(EK89+1),[1]!qsn([1]!ml([1]!taqsha(1,1,1+EK89,EK90)),EK91)/30,EK90,EK91)</f>
        <v>#VALUE!</v>
      </c>
      <c r="EL97" s="962" t="e">
        <f>[1]!bodsava(1,1,(EL89+1),[1]!qsn([1]!ml([1]!taqsha(1,1,1+EL89,EL90)),EL91)/30,EL90,EL91)</f>
        <v>#VALUE!</v>
      </c>
      <c r="EM97" s="962" t="e">
        <f>[1]!bodsava(1,1,(EM89+1),[1]!qsn([1]!ml([1]!taqsha(1,1,1+EM89,EM90)),EM91)/30,EM90,EM91)</f>
        <v>#VALUE!</v>
      </c>
      <c r="EN97" s="962" t="e">
        <f>[1]!bodsava(1,1,(EN89+1),[1]!qsn([1]!ml([1]!taqsha(1,1,1+EN89,EN90)),EN91)/30,EN90,EN91)</f>
        <v>#VALUE!</v>
      </c>
      <c r="EO97" s="962" t="e">
        <f>[1]!bodsava(1,1,(EO89+1),[1]!qsn([1]!ml([1]!taqsha(1,1,1+EO89,EO90)),EO91)/30,EO90,EO91)</f>
        <v>#VALUE!</v>
      </c>
      <c r="EP97" s="962" t="e">
        <f>[1]!bodsava(1,1,(EP89+1),[1]!qsn([1]!ml([1]!taqsha(1,1,1+EP89,EP90)),EP91)/30,EP90,EP91)</f>
        <v>#VALUE!</v>
      </c>
      <c r="EQ97" s="962" t="e">
        <f>[1]!bodsava(1,1,(EQ89+1),[1]!qsn([1]!ml([1]!taqsha(1,1,1+EQ89,EQ90)),EQ91)/30,EQ90,EQ91)</f>
        <v>#VALUE!</v>
      </c>
      <c r="ER97" s="962" t="e">
        <f>[1]!bodsava(1,1,(ER89+1),[1]!qsn([1]!ml([1]!taqsha(1,1,1+ER89,ER90)),ER91)/30,ER90,ER91)</f>
        <v>#VALUE!</v>
      </c>
      <c r="ES97" s="962" t="e">
        <f>[1]!bodsava(1,1,(ES89+1),[1]!qsn([1]!ml([1]!taqsha(1,1,1+ES89,ES90)),ES91)/30,ES90,ES91)</f>
        <v>#VALUE!</v>
      </c>
      <c r="ET97" s="962" t="e">
        <f>[1]!bodsava(1,1,(ET89+1),[1]!qsn([1]!ml([1]!taqsha(1,1,1+ET89,ET90)),ET91)/30,ET90,ET91)</f>
        <v>#VALUE!</v>
      </c>
      <c r="EU97" s="962" t="e">
        <f>[1]!bodsava(1,1,(EU89+1),[1]!qsn([1]!ml([1]!taqsha(1,1,1+EU89,EU90)),EU91)/30,EU90,EU91)</f>
        <v>#VALUE!</v>
      </c>
      <c r="EV97" s="962" t="e">
        <f>[1]!bodsava(1,1,(EV89+1),[1]!qsn([1]!ml([1]!taqsha(1,1,1+EV89,EV90)),EV91)/30,EV90,EV91)</f>
        <v>#VALUE!</v>
      </c>
      <c r="EW97" s="962" t="e">
        <f>[1]!bodsava(1,1,(EW89+1),[1]!qsn([1]!ml([1]!taqsha(1,1,1+EW89,EW90)),EW91)/30,EW90,EW91)</f>
        <v>#VALUE!</v>
      </c>
      <c r="EX97" s="962" t="e">
        <f>[1]!bodsava(1,1,(EX89+1),[1]!qsn([1]!ml([1]!taqsha(1,1,1+EX89,EX90)),EX91)/30,EX90,EX91)</f>
        <v>#VALUE!</v>
      </c>
      <c r="EY97" s="962" t="e">
        <f>[1]!bodsava(1,1,(EY89+1),[1]!qsn([1]!ml([1]!taqsha(1,1,1+EY89,EY90)),EY91)/30,EY90,EY91)</f>
        <v>#VALUE!</v>
      </c>
      <c r="EZ97" s="962" t="e">
        <f>[1]!bodsava(1,1,(EZ89+1),[1]!qsn([1]!ml([1]!taqsha(1,1,1+EZ89,EZ90)),EZ91)/30,EZ90,EZ91)</f>
        <v>#VALUE!</v>
      </c>
      <c r="FA97" s="962" t="e">
        <f>[1]!bodsava(1,1,(FA89+1),[1]!qsn([1]!ml([1]!taqsha(1,1,1+FA89,FA90)),FA91)/30,FA90,FA91)</f>
        <v>#VALUE!</v>
      </c>
      <c r="FB97" s="962" t="e">
        <f>[1]!bodsava(1,1,(FB89+1),[1]!qsn([1]!ml([1]!taqsha(1,1,1+FB89,FB90)),FB91)/30,FB90,FB91)</f>
        <v>#VALUE!</v>
      </c>
      <c r="FC97" s="962" t="e">
        <f>[1]!bodsava(1,1,(FC89+1),[1]!qsn([1]!ml([1]!taqsha(1,1,1+FC89,FC90)),FC91)/30,FC90,FC91)</f>
        <v>#VALUE!</v>
      </c>
      <c r="FD97" s="962" t="e">
        <f>[1]!bodsava(1,1,(FD89+1),[1]!qsn([1]!ml([1]!taqsha(1,1,1+FD89,FD90)),FD91)/30,FD90,FD91)</f>
        <v>#VALUE!</v>
      </c>
      <c r="FE97" s="962" t="e">
        <f>[1]!bodsava(1,1,(FE89+1),[1]!qsn([1]!ml([1]!taqsha(1,1,1+FE89,FE90)),FE91)/30,FE90,FE91)</f>
        <v>#VALUE!</v>
      </c>
      <c r="FF97" s="962" t="e">
        <f>[1]!bodsava(1,1,(FF89+1),[1]!qsn([1]!ml([1]!taqsha(1,1,1+FF89,FF90)),FF91)/30,FF90,FF91)</f>
        <v>#VALUE!</v>
      </c>
      <c r="FG97" s="962" t="e">
        <f>[1]!bodsava(1,1,(FG89+1),[1]!qsn([1]!ml([1]!taqsha(1,1,1+FG89,FG90)),FG91)/30,FG90,FG91)</f>
        <v>#VALUE!</v>
      </c>
      <c r="FH97" s="962" t="e">
        <f>[1]!bodsava(1,1,(FH89+1),[1]!qsn([1]!ml([1]!taqsha(1,1,1+FH89,FH90)),FH91)/30,FH90,FH91)</f>
        <v>#VALUE!</v>
      </c>
      <c r="FI97" s="962" t="e">
        <f>[1]!bodsava(1,1,(FI89+1),[1]!qsn([1]!ml([1]!taqsha(1,1,1+FI89,FI90)),FI91)/30,FI90,FI91)</f>
        <v>#VALUE!</v>
      </c>
      <c r="FJ97" s="962" t="e">
        <f>[1]!bodsava(1,1,(FJ89+1),[1]!qsn([1]!ml([1]!taqsha(1,1,1+FJ89,FJ90)),FJ91)/30,FJ90,FJ91)</f>
        <v>#VALUE!</v>
      </c>
      <c r="FK97" s="962" t="e">
        <f>[1]!bodsava(1,1,(FK89+1),[1]!qsn([1]!ml([1]!taqsha(1,1,1+FK89,FK90)),FK91)/30,FK90,FK91)</f>
        <v>#VALUE!</v>
      </c>
      <c r="FL97" s="962" t="e">
        <f>[1]!bodsava(1,1,(FL89+1),[1]!qsn([1]!ml([1]!taqsha(1,1,1+FL89,FL90)),FL91)/30,FL90,FL91)</f>
        <v>#VALUE!</v>
      </c>
      <c r="FM97" s="962" t="e">
        <f>[1]!bodsava(1,1,(FM89+1),[1]!qsn([1]!ml([1]!taqsha(1,1,1+FM89,FM90)),FM91)/30,FM90,FM91)</f>
        <v>#VALUE!</v>
      </c>
      <c r="FN97" s="962" t="e">
        <f>[1]!bodsava(1,1,(FN89+1),[1]!qsn([1]!ml([1]!taqsha(1,1,1+FN89,FN90)),FN91)/30,FN90,FN91)</f>
        <v>#VALUE!</v>
      </c>
      <c r="FO97" s="962" t="e">
        <f>[1]!bodsava(1,1,(FO89+1),[1]!qsn([1]!ml([1]!taqsha(1,1,1+FO89,FO90)),FO91)/30,FO90,FO91)</f>
        <v>#VALUE!</v>
      </c>
      <c r="FP97" s="962" t="e">
        <f>[1]!bodsava(1,1,(FP89+1),[1]!qsn([1]!ml([1]!taqsha(1,1,1+FP89,FP90)),FP91)/30,FP90,FP91)</f>
        <v>#VALUE!</v>
      </c>
      <c r="FQ97" s="962" t="e">
        <f>[1]!bodsava(1,1,(FQ89+1),[1]!qsn([1]!ml([1]!taqsha(1,1,1+FQ89,FQ90)),FQ91)/30,FQ90,FQ91)</f>
        <v>#VALUE!</v>
      </c>
      <c r="FR97" s="962" t="e">
        <f>[1]!bodsava(1,1,(FR89+1),[1]!qsn([1]!ml([1]!taqsha(1,1,1+FR89,FR90)),FR91)/30,FR90,FR91)</f>
        <v>#VALUE!</v>
      </c>
      <c r="FS97" s="962" t="e">
        <f>[1]!bodsava(1,1,(FS89+1),[1]!qsn([1]!ml([1]!taqsha(1,1,1+FS89,FS90)),FS91)/30,FS90,FS91)</f>
        <v>#VALUE!</v>
      </c>
      <c r="FT97" s="962" t="e">
        <f>[1]!bodsava(1,1,(FT89+1),[1]!qsn([1]!ml([1]!taqsha(1,1,1+FT89,FT90)),FT91)/30,FT90,FT91)</f>
        <v>#VALUE!</v>
      </c>
      <c r="FU97" s="962" t="e">
        <f>[1]!bodsava(1,1,(FU89+1),[1]!qsn([1]!ml([1]!taqsha(1,1,1+FU89,FU90)),FU91)/30,FU90,FU91)</f>
        <v>#VALUE!</v>
      </c>
      <c r="FV97" s="962" t="e">
        <f>[1]!bodsava(1,1,(FV89+1),[1]!qsn([1]!ml([1]!taqsha(1,1,1+FV89,FV90)),FV91)/30,FV90,FV91)</f>
        <v>#VALUE!</v>
      </c>
      <c r="FW97" s="962" t="e">
        <f>[1]!bodsava(1,1,(FW89+1),[1]!qsn([1]!ml([1]!taqsha(1,1,1+FW89,FW90)),FW91)/30,FW90,FW91)</f>
        <v>#VALUE!</v>
      </c>
      <c r="FX97" s="962" t="e">
        <f>[1]!bodsava(1,1,(FX89+1),[1]!qsn([1]!ml([1]!taqsha(1,1,1+FX89,FX90)),FX91)/30,FX90,FX91)</f>
        <v>#VALUE!</v>
      </c>
      <c r="FY97" s="962" t="e">
        <f>[1]!bodsava(1,1,(FY89+1),[1]!qsn([1]!ml([1]!taqsha(1,1,1+FY89,FY90)),FY91)/30,FY90,FY91)</f>
        <v>#VALUE!</v>
      </c>
      <c r="FZ97" s="962" t="e">
        <f>[1]!bodsava(1,1,(FZ89+1),[1]!qsn([1]!ml([1]!taqsha(1,1,1+FZ89,FZ90)),FZ91)/30,FZ90,FZ91)</f>
        <v>#VALUE!</v>
      </c>
      <c r="GA97" s="962" t="e">
        <f>[1]!bodsava(1,1,(GA89+1),[1]!qsn([1]!ml([1]!taqsha(1,1,1+GA89,GA90)),GA91)/30,GA90,GA91)</f>
        <v>#VALUE!</v>
      </c>
      <c r="GB97" s="962" t="e">
        <f>[1]!bodsava(1,1,(GB89+1),[1]!qsn([1]!ml([1]!taqsha(1,1,1+GB89,GB90)),GB91)/30,GB90,GB91)</f>
        <v>#VALUE!</v>
      </c>
      <c r="GC97" s="962" t="e">
        <f>[1]!bodsava(1,1,(GC89+1),[1]!qsn([1]!ml([1]!taqsha(1,1,1+GC89,GC90)),GC91)/30,GC90,GC91)</f>
        <v>#VALUE!</v>
      </c>
      <c r="GD97" s="962" t="e">
        <f>[1]!bodsava(1,1,(GD89+1),[1]!qsn([1]!ml([1]!taqsha(1,1,1+GD89,GD90)),GD91)/30,GD90,GD91)</f>
        <v>#VALUE!</v>
      </c>
      <c r="GE97" s="962" t="e">
        <f>[1]!bodsava(1,1,(GE89+1),[1]!qsn([1]!ml([1]!taqsha(1,1,1+GE89,GE90)),GE91)/30,GE90,GE91)</f>
        <v>#VALUE!</v>
      </c>
      <c r="GF97" s="962" t="e">
        <f>[1]!bodsava(1,1,(GF89+1),[1]!qsn([1]!ml([1]!taqsha(1,1,1+GF89,GF90)),GF91)/30,GF90,GF91)</f>
        <v>#VALUE!</v>
      </c>
      <c r="GG97" s="962" t="e">
        <f>[1]!bodsava(1,1,(GG89+1),[1]!qsn([1]!ml([1]!taqsha(1,1,1+GG89,GG90)),GG91)/30,GG90,GG91)</f>
        <v>#VALUE!</v>
      </c>
      <c r="GH97" s="962" t="e">
        <f>[1]!bodsava(1,1,(GH89+1),[1]!qsn([1]!ml([1]!taqsha(1,1,1+GH89,GH90)),GH91)/30,GH90,GH91)</f>
        <v>#VALUE!</v>
      </c>
      <c r="GI97" s="962" t="e">
        <f>[1]!bodsava(1,1,(GI89+1),[1]!qsn([1]!ml([1]!taqsha(1,1,1+GI89,GI90)),GI91)/30,GI90,GI91)</f>
        <v>#VALUE!</v>
      </c>
      <c r="GJ97" s="962" t="e">
        <f>[1]!bodsava(1,1,(GJ89+1),[1]!qsn([1]!ml([1]!taqsha(1,1,1+GJ89,GJ90)),GJ91)/30,GJ90,GJ91)</f>
        <v>#VALUE!</v>
      </c>
      <c r="GK97" s="962" t="e">
        <f>[1]!bodsava(1,1,(GK89+1),[1]!qsn([1]!ml([1]!taqsha(1,1,1+GK89,GK90)),GK91)/30,GK90,GK91)</f>
        <v>#VALUE!</v>
      </c>
      <c r="GL97" s="962" t="e">
        <f>[1]!bodsava(1,1,(GL89+1),[1]!qsn([1]!ml([1]!taqsha(1,1,1+GL89,GL90)),GL91)/30,GL90,GL91)</f>
        <v>#VALUE!</v>
      </c>
      <c r="GM97" s="962" t="e">
        <f>[1]!bodsava(1,1,(GM89+1),[1]!qsn([1]!ml([1]!taqsha(1,1,1+GM89,GM90)),GM91)/30,GM90,GM91)</f>
        <v>#VALUE!</v>
      </c>
      <c r="GN97" s="962" t="e">
        <f>[1]!bodsava(1,1,(GN89+1),[1]!qsn([1]!ml([1]!taqsha(1,1,1+GN89,GN90)),GN91)/30,GN90,GN91)</f>
        <v>#VALUE!</v>
      </c>
      <c r="GO97" s="962" t="e">
        <f>[1]!bodsava(1,1,(GO89+1),[1]!qsn([1]!ml([1]!taqsha(1,1,1+GO89,GO90)),GO91)/30,GO90,GO91)</f>
        <v>#VALUE!</v>
      </c>
      <c r="GP97" s="962" t="e">
        <f>[1]!bodsava(1,1,(GP89+1),[1]!qsn([1]!ml([1]!taqsha(1,1,1+GP89,GP90)),GP91)/30,GP90,GP91)</f>
        <v>#VALUE!</v>
      </c>
      <c r="GQ97" s="962" t="e">
        <f>[1]!bodsava(1,1,(GQ89+1),[1]!qsn([1]!ml([1]!taqsha(1,1,1+GQ89,GQ90)),GQ91)/30,GQ90,GQ91)</f>
        <v>#VALUE!</v>
      </c>
      <c r="GR97" s="962" t="e">
        <f>[1]!bodsava(1,1,(GR89+1),[1]!qsn([1]!ml([1]!taqsha(1,1,1+GR89,GR90)),GR91)/30,GR90,GR91)</f>
        <v>#VALUE!</v>
      </c>
      <c r="GS97" s="962" t="e">
        <f>[1]!bodsava(1,1,(GS89+1),[1]!qsn([1]!ml([1]!taqsha(1,1,1+GS89,GS90)),GS91)/30,GS90,GS91)</f>
        <v>#VALUE!</v>
      </c>
      <c r="GT97" s="962" t="e">
        <f>[1]!bodsava(1,1,(GT89+1),[1]!qsn([1]!ml([1]!taqsha(1,1,1+GT89,GT90)),GT91)/30,GT90,GT91)</f>
        <v>#VALUE!</v>
      </c>
      <c r="GU97" s="962" t="e">
        <f>[1]!bodsava(1,1,(GU89+1),[1]!qsn([1]!ml([1]!taqsha(1,1,1+GU89,GU90)),GU91)/30,GU90,GU91)</f>
        <v>#VALUE!</v>
      </c>
      <c r="GV97" s="962" t="e">
        <f>[1]!bodsava(1,1,(GV89+1),[1]!qsn([1]!ml([1]!taqsha(1,1,1+GV89,GV90)),GV91)/30,GV90,GV91)</f>
        <v>#VALUE!</v>
      </c>
      <c r="GW97" s="962" t="e">
        <f>[1]!bodsava(1,1,(GW89+1),[1]!qsn([1]!ml([1]!taqsha(1,1,1+GW89,GW90)),GW91)/30,GW90,GW91)</f>
        <v>#VALUE!</v>
      </c>
      <c r="GX97" s="962" t="e">
        <f>[1]!bodsava(1,1,(GX89+1),[1]!qsn([1]!ml([1]!taqsha(1,1,1+GX89,GX90)),GX91)/30,GX90,GX91)</f>
        <v>#VALUE!</v>
      </c>
      <c r="GY97" s="962" t="e">
        <f>[1]!bodsava(1,1,(GY89+1),[1]!qsn([1]!ml([1]!taqsha(1,1,1+GY89,GY90)),GY91)/30,GY90,GY91)</f>
        <v>#VALUE!</v>
      </c>
      <c r="GZ97" s="962" t="e">
        <f>[1]!bodsava(1,1,(GZ89+1),[1]!qsn([1]!ml([1]!taqsha(1,1,1+GZ89,GZ90)),GZ91)/30,GZ90,GZ91)</f>
        <v>#VALUE!</v>
      </c>
      <c r="HA97" s="962" t="e">
        <f>[1]!bodsava(1,1,(HA89+1),[1]!qsn([1]!ml([1]!taqsha(1,1,1+HA89,HA90)),HA91)/30,HA90,HA91)</f>
        <v>#VALUE!</v>
      </c>
      <c r="HB97" s="962" t="e">
        <f>[1]!bodsava(1,1,(HB89+1),[1]!qsn([1]!ml([1]!taqsha(1,1,1+HB89,HB90)),HB91)/30,HB90,HB91)</f>
        <v>#VALUE!</v>
      </c>
      <c r="HC97" s="962" t="e">
        <f>[1]!bodsava(1,1,(HC89+1),[1]!qsn([1]!ml([1]!taqsha(1,1,1+HC89,HC90)),HC91)/30,HC90,HC91)</f>
        <v>#VALUE!</v>
      </c>
      <c r="HD97" s="962" t="e">
        <f>[1]!bodsava(1,1,(HD89+1),[1]!qsn([1]!ml([1]!taqsha(1,1,1+HD89,HD90)),HD91)/30,HD90,HD91)</f>
        <v>#VALUE!</v>
      </c>
      <c r="HE97" s="962" t="e">
        <f>[1]!bodsava(1,1,(HE89+1),[1]!qsn([1]!ml([1]!taqsha(1,1,1+HE89,HE90)),HE91)/30,HE90,HE91)</f>
        <v>#VALUE!</v>
      </c>
      <c r="HF97" s="962" t="e">
        <f>[1]!bodsava(1,1,(HF89+1),[1]!qsn([1]!ml([1]!taqsha(1,1,1+HF89,HF90)),HF91)/30,HF90,HF91)</f>
        <v>#VALUE!</v>
      </c>
      <c r="HG97" s="962" t="e">
        <f>[1]!bodsava(1,1,(HG89+1),[1]!qsn([1]!ml([1]!taqsha(1,1,1+HG89,HG90)),HG91)/30,HG90,HG91)</f>
        <v>#VALUE!</v>
      </c>
      <c r="HH97" s="962" t="e">
        <f>[1]!bodsava(1,1,(HH89+1),[1]!qsn([1]!ml([1]!taqsha(1,1,1+HH89,HH90)),HH91)/30,HH90,HH91)</f>
        <v>#VALUE!</v>
      </c>
      <c r="HI97" s="962" t="e">
        <f>[1]!bodsava(1,1,(HI89+1),[1]!qsn([1]!ml([1]!taqsha(1,1,1+HI89,HI90)),HI91)/30,HI90,HI91)</f>
        <v>#VALUE!</v>
      </c>
      <c r="HJ97" s="962" t="e">
        <f>[1]!bodsava(1,1,(HJ89+1),[1]!qsn([1]!ml([1]!taqsha(1,1,1+HJ89,HJ90)),HJ91)/30,HJ90,HJ91)</f>
        <v>#VALUE!</v>
      </c>
      <c r="HK97" s="962" t="e">
        <f>[1]!bodsava(1,1,(HK89+1),[1]!qsn([1]!ml([1]!taqsha(1,1,1+HK89,HK90)),HK91)/30,HK90,HK91)</f>
        <v>#VALUE!</v>
      </c>
      <c r="HL97" s="962" t="e">
        <f>[1]!bodsava(1,1,(HL89+1),[1]!qsn([1]!ml([1]!taqsha(1,1,1+HL89,HL90)),HL91)/30,HL90,HL91)</f>
        <v>#VALUE!</v>
      </c>
      <c r="HM97" s="962" t="e">
        <f>[1]!bodsava(1,1,(HM89+1),[1]!qsn([1]!ml([1]!taqsha(1,1,1+HM89,HM90)),HM91)/30,HM90,HM91)</f>
        <v>#VALUE!</v>
      </c>
      <c r="HN97" s="962" t="e">
        <f>[1]!bodsava(1,1,(HN89+1),[1]!qsn([1]!ml([1]!taqsha(1,1,1+HN89,HN90)),HN91)/30,HN90,HN91)</f>
        <v>#VALUE!</v>
      </c>
      <c r="HO97" s="962" t="e">
        <f>[1]!bodsava(1,1,(HO89+1),[1]!qsn([1]!ml([1]!taqsha(1,1,1+HO89,HO90)),HO91)/30,HO90,HO91)</f>
        <v>#VALUE!</v>
      </c>
      <c r="HP97" s="962" t="e">
        <f>[1]!bodsava(1,1,(HP89+1),[1]!qsn([1]!ml([1]!taqsha(1,1,1+HP89,HP90)),HP91)/30,HP90,HP91)</f>
        <v>#VALUE!</v>
      </c>
      <c r="HQ97" s="962" t="e">
        <f>[1]!bodsava(1,1,(HQ89+1),[1]!qsn([1]!ml([1]!taqsha(1,1,1+HQ89,HQ90)),HQ91)/30,HQ90,HQ91)</f>
        <v>#VALUE!</v>
      </c>
      <c r="HR97" s="962" t="e">
        <f>[1]!bodsava(1,1,(HR89+1),[1]!qsn([1]!ml([1]!taqsha(1,1,1+HR89,HR90)),HR91)/30,HR90,HR91)</f>
        <v>#VALUE!</v>
      </c>
      <c r="HS97" s="962" t="e">
        <f>[1]!bodsava(1,1,(HS89+1),[1]!qsn([1]!ml([1]!taqsha(1,1,1+HS89,HS90)),HS91)/30,HS90,HS91)</f>
        <v>#VALUE!</v>
      </c>
      <c r="HT97" s="962" t="e">
        <f>[1]!bodsava(1,1,(HT89+1),[1]!qsn([1]!ml([1]!taqsha(1,1,1+HT89,HT90)),HT91)/30,HT90,HT91)</f>
        <v>#VALUE!</v>
      </c>
      <c r="HU97" s="962" t="e">
        <f>[1]!bodsava(1,1,(HU89+1),[1]!qsn([1]!ml([1]!taqsha(1,1,1+HU89,HU90)),HU91)/30,HU90,HU91)</f>
        <v>#VALUE!</v>
      </c>
      <c r="HV97" s="962" t="e">
        <f>[1]!bodsava(1,1,(HV89+1),[1]!qsn([1]!ml([1]!taqsha(1,1,1+HV89,HV90)),HV91)/30,HV90,HV91)</f>
        <v>#VALUE!</v>
      </c>
      <c r="HW97" s="962" t="e">
        <f>[1]!bodsava(1,1,(HW89+1),[1]!qsn([1]!ml([1]!taqsha(1,1,1+HW89,HW90)),HW91)/30,HW90,HW91)</f>
        <v>#VALUE!</v>
      </c>
      <c r="HX97" s="962" t="e">
        <f>[1]!bodsava(1,1,(HX89+1),[1]!qsn([1]!ml([1]!taqsha(1,1,1+HX89,HX90)),HX91)/30,HX90,HX91)</f>
        <v>#VALUE!</v>
      </c>
      <c r="HY97" s="962" t="e">
        <f>[1]!bodsava(1,1,(HY89+1),[1]!qsn([1]!ml([1]!taqsha(1,1,1+HY89,HY90)),HY91)/30,HY90,HY91)</f>
        <v>#VALUE!</v>
      </c>
      <c r="HZ97" s="962" t="e">
        <f>[1]!bodsava(1,1,(HZ89+1),[1]!qsn([1]!ml([1]!taqsha(1,1,1+HZ89,HZ90)),HZ91)/30,HZ90,HZ91)</f>
        <v>#VALUE!</v>
      </c>
      <c r="IA97" s="962" t="e">
        <f>[1]!bodsava(1,1,(IA89+1),[1]!qsn([1]!ml([1]!taqsha(1,1,1+IA89,IA90)),IA91)/30,IA90,IA91)</f>
        <v>#VALUE!</v>
      </c>
      <c r="IB97" s="962" t="e">
        <f>[1]!bodsava(1,1,(IB89+1),[1]!qsn([1]!ml([1]!taqsha(1,1,1+IB89,IB90)),IB91)/30,IB90,IB91)</f>
        <v>#VALUE!</v>
      </c>
      <c r="IC97" s="962" t="e">
        <f>[1]!bodsava(1,1,(IC89+1),[1]!qsn([1]!ml([1]!taqsha(1,1,1+IC89,IC90)),IC91)/30,IC90,IC91)</f>
        <v>#VALUE!</v>
      </c>
      <c r="ID97" s="962" t="e">
        <f>[1]!bodsava(1,1,(ID89+1),[1]!qsn([1]!ml([1]!taqsha(1,1,1+ID89,ID90)),ID91)/30,ID90,ID91)</f>
        <v>#VALUE!</v>
      </c>
      <c r="IE97" s="962" t="e">
        <f>[1]!bodsava(1,1,(IE89+1),[1]!qsn([1]!ml([1]!taqsha(1,1,1+IE89,IE90)),IE91)/30,IE90,IE91)</f>
        <v>#VALUE!</v>
      </c>
      <c r="IF97" s="962" t="e">
        <f>[1]!bodsava(1,1,(IF89+1),[1]!qsn([1]!ml([1]!taqsha(1,1,1+IF89,IF90)),IF91)/30,IF90,IF91)</f>
        <v>#VALUE!</v>
      </c>
      <c r="IG97" s="962" t="e">
        <f>[1]!bodsava(1,1,(IG89+1),[1]!qsn([1]!ml([1]!taqsha(1,1,1+IG89,IG90)),IG91)/30,IG90,IG91)</f>
        <v>#VALUE!</v>
      </c>
      <c r="IH97" s="962" t="e">
        <f>[1]!bodsava(1,1,(IH89+1),[1]!qsn([1]!ml([1]!taqsha(1,1,1+IH89,IH90)),IH91)/30,IH90,IH91)</f>
        <v>#VALUE!</v>
      </c>
      <c r="II97" s="962" t="e">
        <f>[1]!bodsava(1,1,(II89+1),[1]!qsn([1]!ml([1]!taqsha(1,1,1+II89,II90)),II91)/30,II90,II91)</f>
        <v>#VALUE!</v>
      </c>
      <c r="IJ97" s="962" t="e">
        <f>[1]!bodsava(1,1,(IJ89+1),[1]!qsn([1]!ml([1]!taqsha(1,1,1+IJ89,IJ90)),IJ91)/30,IJ90,IJ91)</f>
        <v>#VALUE!</v>
      </c>
      <c r="IK97" s="962" t="e">
        <f>[1]!bodsava(1,1,(IK89+1),[1]!qsn([1]!ml([1]!taqsha(1,1,1+IK89,IK90)),IK91)/30,IK90,IK91)</f>
        <v>#VALUE!</v>
      </c>
      <c r="IL97" s="962" t="e">
        <f>[1]!bodsava(1,1,(IL89+1),[1]!qsn([1]!ml([1]!taqsha(1,1,1+IL89,IL90)),IL91)/30,IL90,IL91)</f>
        <v>#VALUE!</v>
      </c>
      <c r="IM97" s="962" t="e">
        <f>[1]!bodsava(1,1,(IM89+1),[1]!qsn([1]!ml([1]!taqsha(1,1,1+IM89,IM90)),IM91)/30,IM90,IM91)</f>
        <v>#VALUE!</v>
      </c>
      <c r="IN97" s="962" t="e">
        <f>[1]!bodsava(1,1,(IN89+1),[1]!qsn([1]!ml([1]!taqsha(1,1,1+IN89,IN90)),IN91)/30,IN90,IN91)</f>
        <v>#VALUE!</v>
      </c>
      <c r="IO97" s="962" t="e">
        <f>[1]!bodsava(1,1,(IO89+1),[1]!qsn([1]!ml([1]!taqsha(1,1,1+IO89,IO90)),IO91)/30,IO90,IO91)</f>
        <v>#VALUE!</v>
      </c>
      <c r="IP97" s="962" t="e">
        <f>[1]!bodsava(1,1,(IP89+1),[1]!qsn([1]!ml([1]!taqsha(1,1,1+IP89,IP90)),IP91)/30,IP90,IP91)</f>
        <v>#VALUE!</v>
      </c>
      <c r="IQ97" s="962" t="e">
        <f>[1]!bodsava(1,1,(IQ89+1),[1]!qsn([1]!ml([1]!taqsha(1,1,1+IQ89,IQ90)),IQ91)/30,IQ90,IQ91)</f>
        <v>#VALUE!</v>
      </c>
      <c r="IR97" s="962" t="e">
        <f>[1]!bodsava(1,1,(IR89+1),[1]!qsn([1]!ml([1]!taqsha(1,1,1+IR89,IR90)),IR91)/30,IR90,IR91)</f>
        <v>#VALUE!</v>
      </c>
      <c r="IS97" s="962" t="e">
        <f>[1]!bodsava(1,1,(IS89+1),[1]!qsn([1]!ml([1]!taqsha(1,1,1+IS89,IS90)),IS91)/30,IS90,IS91)</f>
        <v>#VALUE!</v>
      </c>
      <c r="IT97" s="962" t="e">
        <f>[1]!bodsava(1,1,(IT89+1),[1]!qsn([1]!ml([1]!taqsha(1,1,1+IT89,IT90)),IT91)/30,IT90,IT91)</f>
        <v>#VALUE!</v>
      </c>
      <c r="IU97" s="962" t="e">
        <f>[1]!bodsava(1,1,(IU89+1),[1]!qsn([1]!ml([1]!taqsha(1,1,1+IU89,IU90)),IU91)/30,IU90,IU91)</f>
        <v>#VALUE!</v>
      </c>
      <c r="IV97" s="962" t="e">
        <f>[1]!bodsava(1,1,(IV89+1),[1]!qsn([1]!ml([1]!taqsha(1,1,1+IV89,IV90)),IV91)/30,IV90,IV91)</f>
        <v>#VALUE!</v>
      </c>
      <c r="IW97" s="962" t="e">
        <f>[1]!bodsava(1,1,(IW89+1),[1]!qsn([1]!ml([1]!taqsha(1,1,1+IW89,IW90)),IW91)/30,IW90,IW91)</f>
        <v>#VALUE!</v>
      </c>
      <c r="IX97" s="962" t="e">
        <f>[1]!bodsava(1,1,(IX89+1),[1]!qsn([1]!ml([1]!taqsha(1,1,1+IX89,IX90)),IX91)/30,IX90,IX91)</f>
        <v>#VALUE!</v>
      </c>
      <c r="IY97" s="962" t="e">
        <f>[1]!bodsava(1,1,(IY89+1),[1]!qsn([1]!ml([1]!taqsha(1,1,1+IY89,IY90)),IY91)/30,IY90,IY91)</f>
        <v>#VALUE!</v>
      </c>
      <c r="IZ97" s="962" t="e">
        <f>[1]!bodsava(1,1,(IZ89+1),[1]!qsn([1]!ml([1]!taqsha(1,1,1+IZ89,IZ90)),IZ91)/30,IZ90,IZ91)</f>
        <v>#VALUE!</v>
      </c>
      <c r="JA97" s="962" t="e">
        <f>[1]!bodsava(1,1,(JA89+1),[1]!qsn([1]!ml([1]!taqsha(1,1,1+JA89,JA90)),JA91)/30,JA90,JA91)</f>
        <v>#VALUE!</v>
      </c>
      <c r="JB97" s="962" t="e">
        <f>[1]!bodsava(1,1,(JB89+1),[1]!qsn([1]!ml([1]!taqsha(1,1,1+JB89,JB90)),JB91)/30,JB90,JB91)</f>
        <v>#VALUE!</v>
      </c>
      <c r="JC97" s="962" t="e">
        <f>[1]!bodsava(1,1,(JC89+1),[1]!qsn([1]!ml([1]!taqsha(1,1,1+JC89,JC90)),JC91)/30,JC90,JC91)</f>
        <v>#VALUE!</v>
      </c>
      <c r="JD97" s="962" t="e">
        <f>[1]!bodsava(1,1,(JD89+1),[1]!qsn([1]!ml([1]!taqsha(1,1,1+JD89,JD90)),JD91)/30,JD90,JD91)</f>
        <v>#VALUE!</v>
      </c>
      <c r="JE97" s="962" t="e">
        <f>[1]!bodsava(1,1,(JE89+1),[1]!qsn([1]!ml([1]!taqsha(1,1,1+JE89,JE90)),JE91)/30,JE90,JE91)</f>
        <v>#VALUE!</v>
      </c>
      <c r="JF97" s="962" t="e">
        <f>[1]!bodsava(1,1,(JF89+1),[1]!qsn([1]!ml([1]!taqsha(1,1,1+JF89,JF90)),JF91)/30,JF90,JF91)</f>
        <v>#VALUE!</v>
      </c>
      <c r="JG97" s="962" t="e">
        <f>[1]!bodsava(1,1,(JG89+1),[1]!qsn([1]!ml([1]!taqsha(1,1,1+JG89,JG90)),JG91)/30,JG90,JG91)</f>
        <v>#VALUE!</v>
      </c>
      <c r="JH97" s="962" t="e">
        <f>[1]!bodsava(1,1,(JH89+1),[1]!qsn([1]!ml([1]!taqsha(1,1,1+JH89,JH90)),JH91)/30,JH90,JH91)</f>
        <v>#VALUE!</v>
      </c>
      <c r="JI97" s="962" t="e">
        <f>[1]!bodsava(1,1,(JI89+1),[1]!qsn([1]!ml([1]!taqsha(1,1,1+JI89,JI90)),JI91)/30,JI90,JI91)</f>
        <v>#VALUE!</v>
      </c>
      <c r="JJ97" s="962" t="e">
        <f>[1]!bodsava(1,1,(JJ89+1),[1]!qsn([1]!ml([1]!taqsha(1,1,1+JJ89,JJ90)),JJ91)/30,JJ90,JJ91)</f>
        <v>#VALUE!</v>
      </c>
      <c r="JK97" s="962" t="e">
        <f>[1]!bodsava(1,1,(JK89+1),[1]!qsn([1]!ml([1]!taqsha(1,1,1+JK89,JK90)),JK91)/30,JK90,JK91)</f>
        <v>#VALUE!</v>
      </c>
      <c r="JL97" s="962" t="e">
        <f>[1]!bodsava(1,1,(JL89+1),[1]!qsn([1]!ml([1]!taqsha(1,1,1+JL89,JL90)),JL91)/30,JL90,JL91)</f>
        <v>#VALUE!</v>
      </c>
      <c r="JM97" s="962" t="e">
        <f>[1]!bodsava(1,1,(JM89+1),[1]!qsn([1]!ml([1]!taqsha(1,1,1+JM89,JM90)),JM91)/30,JM90,JM91)</f>
        <v>#VALUE!</v>
      </c>
      <c r="JN97" s="962" t="e">
        <f>[1]!bodsava(1,1,(JN89+1),[1]!qsn([1]!ml([1]!taqsha(1,1,1+JN89,JN90)),JN91)/30,JN90,JN91)</f>
        <v>#VALUE!</v>
      </c>
      <c r="JO97" s="962" t="e">
        <f>[1]!bodsava(1,1,(JO89+1),[1]!qsn([1]!ml([1]!taqsha(1,1,1+JO89,JO90)),JO91)/30,JO90,JO91)</f>
        <v>#VALUE!</v>
      </c>
      <c r="JP97" s="962" t="e">
        <f>[1]!bodsava(1,1,(JP89+1),[1]!qsn([1]!ml([1]!taqsha(1,1,1+JP89,JP90)),JP91)/30,JP90,JP91)</f>
        <v>#VALUE!</v>
      </c>
      <c r="JQ97" s="962" t="e">
        <f>[1]!bodsava(1,1,(JQ89+1),[1]!qsn([1]!ml([1]!taqsha(1,1,1+JQ89,JQ90)),JQ91)/30,JQ90,JQ91)</f>
        <v>#VALUE!</v>
      </c>
      <c r="JR97" s="962" t="e">
        <f>[1]!bodsava(1,1,(JR89+1),[1]!qsn([1]!ml([1]!taqsha(1,1,1+JR89,JR90)),JR91)/30,JR90,JR91)</f>
        <v>#VALUE!</v>
      </c>
      <c r="JS97" s="962" t="e">
        <f>[1]!bodsava(1,1,(JS89+1),[1]!qsn([1]!ml([1]!taqsha(1,1,1+JS89,JS90)),JS91)/30,JS90,JS91)</f>
        <v>#VALUE!</v>
      </c>
      <c r="JT97" s="962" t="e">
        <f>[1]!bodsava(1,1,(JT89+1),[1]!qsn([1]!ml([1]!taqsha(1,1,1+JT89,JT90)),JT91)/30,JT90,JT91)</f>
        <v>#VALUE!</v>
      </c>
      <c r="JU97" s="962" t="e">
        <f>[1]!bodsava(1,1,(JU89+1),[1]!qsn([1]!ml([1]!taqsha(1,1,1+JU89,JU90)),JU91)/30,JU90,JU91)</f>
        <v>#VALUE!</v>
      </c>
      <c r="JV97" s="962" t="e">
        <f>[1]!bodsava(1,1,(JV89+1),[1]!qsn([1]!ml([1]!taqsha(1,1,1+JV89,JV90)),JV91)/30,JV90,JV91)</f>
        <v>#VALUE!</v>
      </c>
      <c r="JW97" s="962" t="e">
        <f>[1]!bodsava(1,1,(JW89+1),[1]!qsn([1]!ml([1]!taqsha(1,1,1+JW89,JW90)),JW91)/30,JW90,JW91)</f>
        <v>#VALUE!</v>
      </c>
      <c r="JX97" s="962" t="e">
        <f>[1]!bodsava(1,1,(JX89+1),[1]!qsn([1]!ml([1]!taqsha(1,1,1+JX89,JX90)),JX91)/30,JX90,JX91)</f>
        <v>#VALUE!</v>
      </c>
      <c r="JY97" s="962" t="e">
        <f>[1]!bodsava(1,1,(JY89+1),[1]!qsn([1]!ml([1]!taqsha(1,1,1+JY89,JY90)),JY91)/30,JY90,JY91)</f>
        <v>#VALUE!</v>
      </c>
      <c r="JZ97" s="962" t="e">
        <f>[1]!bodsava(1,1,(JZ89+1),[1]!qsn([1]!ml([1]!taqsha(1,1,1+JZ89,JZ90)),JZ91)/30,JZ90,JZ91)</f>
        <v>#VALUE!</v>
      </c>
      <c r="KA97" s="962" t="e">
        <f>[1]!bodsava(1,1,(KA89+1),[1]!qsn([1]!ml([1]!taqsha(1,1,1+KA89,KA90)),KA91)/30,KA90,KA91)</f>
        <v>#VALUE!</v>
      </c>
      <c r="KB97" s="962" t="e">
        <f>[1]!bodsava(1,1,(KB89+1),[1]!qsn([1]!ml([1]!taqsha(1,1,1+KB89,KB90)),KB91)/30,KB90,KB91)</f>
        <v>#VALUE!</v>
      </c>
      <c r="KC97" s="962" t="e">
        <f>[1]!bodsava(1,1,(KC89+1),[1]!qsn([1]!ml([1]!taqsha(1,1,1+KC89,KC90)),KC91)/30,KC90,KC91)</f>
        <v>#VALUE!</v>
      </c>
      <c r="KD97" s="962" t="e">
        <f>[1]!bodsava(1,1,(KD89+1),[1]!qsn([1]!ml([1]!taqsha(1,1,1+KD89,KD90)),KD91)/30,KD90,KD91)</f>
        <v>#VALUE!</v>
      </c>
      <c r="KE97" s="962" t="e">
        <f>[1]!bodsava(1,1,(KE89+1),[1]!qsn([1]!ml([1]!taqsha(1,1,1+KE89,KE90)),KE91)/30,KE90,KE91)</f>
        <v>#VALUE!</v>
      </c>
      <c r="KF97" s="962" t="e">
        <f>[1]!bodsava(1,1,(KF89+1),[1]!qsn([1]!ml([1]!taqsha(1,1,1+KF89,KF90)),KF91)/30,KF90,KF91)</f>
        <v>#VALUE!</v>
      </c>
      <c r="KG97" s="962" t="e">
        <f>[1]!bodsava(1,1,(KG89+1),[1]!qsn([1]!ml([1]!taqsha(1,1,1+KG89,KG90)),KG91)/30,KG90,KG91)</f>
        <v>#VALUE!</v>
      </c>
      <c r="KH97" s="962" t="e">
        <f>[1]!bodsava(1,1,(KH89+1),[1]!qsn([1]!ml([1]!taqsha(1,1,1+KH89,KH90)),KH91)/30,KH90,KH91)</f>
        <v>#VALUE!</v>
      </c>
      <c r="KI97" s="962" t="e">
        <f>[1]!bodsava(1,1,(KI89+1),[1]!qsn([1]!ml([1]!taqsha(1,1,1+KI89,KI90)),KI91)/30,KI90,KI91)</f>
        <v>#VALUE!</v>
      </c>
      <c r="KJ97" s="962" t="e">
        <f>[1]!bodsava(1,1,(KJ89+1),[1]!qsn([1]!ml([1]!taqsha(1,1,1+KJ89,KJ90)),KJ91)/30,KJ90,KJ91)</f>
        <v>#VALUE!</v>
      </c>
      <c r="KK97" s="962" t="e">
        <f>[1]!bodsava(1,1,(KK89+1),[1]!qsn([1]!ml([1]!taqsha(1,1,1+KK89,KK90)),KK91)/30,KK90,KK91)</f>
        <v>#VALUE!</v>
      </c>
      <c r="KL97" s="962" t="e">
        <f>[1]!bodsava(1,1,(KL89+1),[1]!qsn([1]!ml([1]!taqsha(1,1,1+KL89,KL90)),KL91)/30,KL90,KL91)</f>
        <v>#VALUE!</v>
      </c>
      <c r="KM97" s="962" t="e">
        <f>[1]!bodsava(1,1,(KM89+1),[1]!qsn([1]!ml([1]!taqsha(1,1,1+KM89,KM90)),KM91)/30,KM90,KM91)</f>
        <v>#VALUE!</v>
      </c>
      <c r="KN97" s="962" t="e">
        <f>[1]!bodsava(1,1,(KN89+1),[1]!qsn([1]!ml([1]!taqsha(1,1,1+KN89,KN90)),KN91)/30,KN90,KN91)</f>
        <v>#VALUE!</v>
      </c>
      <c r="KO97" s="962" t="e">
        <f>[1]!bodsava(1,1,(KO89+1),[1]!qsn([1]!ml([1]!taqsha(1,1,1+KO89,KO90)),KO91)/30,KO90,KO91)</f>
        <v>#VALUE!</v>
      </c>
      <c r="KP97" s="962" t="e">
        <f>[1]!bodsava(1,1,(KP89+1),[1]!qsn([1]!ml([1]!taqsha(1,1,1+KP89,KP90)),KP91)/30,KP90,KP91)</f>
        <v>#VALUE!</v>
      </c>
      <c r="KQ97" s="962" t="e">
        <f>[1]!bodsava(1,1,(KQ89+1),[1]!qsn([1]!ml([1]!taqsha(1,1,1+KQ89,KQ90)),KQ91)/30,KQ90,KQ91)</f>
        <v>#VALUE!</v>
      </c>
      <c r="KR97" s="962" t="e">
        <f>[1]!bodsava(1,1,(KR89+1),[1]!qsn([1]!ml([1]!taqsha(1,1,1+KR89,KR90)),KR91)/30,KR90,KR91)</f>
        <v>#VALUE!</v>
      </c>
      <c r="KS97" s="962" t="e">
        <f>[1]!bodsava(1,1,(KS89+1),[1]!qsn([1]!ml([1]!taqsha(1,1,1+KS89,KS90)),KS91)/30,KS90,KS91)</f>
        <v>#VALUE!</v>
      </c>
      <c r="KT97" s="962" t="e">
        <f>[1]!bodsava(1,1,(KT89+1),[1]!qsn([1]!ml([1]!taqsha(1,1,1+KT89,KT90)),KT91)/30,KT90,KT91)</f>
        <v>#VALUE!</v>
      </c>
      <c r="KU97" s="962" t="e">
        <f>[1]!bodsava(1,1,(KU89+1),[1]!qsn([1]!ml([1]!taqsha(1,1,1+KU89,KU90)),KU91)/30,KU90,KU91)</f>
        <v>#VALUE!</v>
      </c>
      <c r="KV97" s="962" t="e">
        <f>[1]!bodsava(1,1,(KV89+1),[1]!qsn([1]!ml([1]!taqsha(1,1,1+KV89,KV90)),KV91)/30,KV90,KV91)</f>
        <v>#VALUE!</v>
      </c>
      <c r="KW97" s="962" t="e">
        <f>[1]!bodsava(1,1,(KW89+1),[1]!qsn([1]!ml([1]!taqsha(1,1,1+KW89,KW90)),KW91)/30,KW90,KW91)</f>
        <v>#VALUE!</v>
      </c>
      <c r="KX97" s="962" t="e">
        <f>[1]!bodsava(1,1,(KX89+1),[1]!qsn([1]!ml([1]!taqsha(1,1,1+KX89,KX90)),KX91)/30,KX90,KX91)</f>
        <v>#VALUE!</v>
      </c>
      <c r="KY97" s="962" t="e">
        <f>[1]!bodsava(1,1,(KY89+1),[1]!qsn([1]!ml([1]!taqsha(1,1,1+KY89,KY90)),KY91)/30,KY90,KY91)</f>
        <v>#VALUE!</v>
      </c>
      <c r="KZ97" s="962" t="e">
        <f>[1]!bodsava(1,1,(KZ89+1),[1]!qsn([1]!ml([1]!taqsha(1,1,1+KZ89,KZ90)),KZ91)/30,KZ90,KZ91)</f>
        <v>#VALUE!</v>
      </c>
      <c r="LA97" s="962" t="e">
        <f>[1]!bodsava(1,1,(LA89+1),[1]!qsn([1]!ml([1]!taqsha(1,1,1+LA89,LA90)),LA91)/30,LA90,LA91)</f>
        <v>#VALUE!</v>
      </c>
      <c r="LB97" s="962" t="e">
        <f>[1]!bodsava(1,1,(LB89+1),[1]!qsn([1]!ml([1]!taqsha(1,1,1+LB89,LB90)),LB91)/30,LB90,LB91)</f>
        <v>#VALUE!</v>
      </c>
      <c r="LC97" s="962" t="e">
        <f>[1]!bodsava(1,1,(LC89+1),[1]!qsn([1]!ml([1]!taqsha(1,1,1+LC89,LC90)),LC91)/30,LC90,LC91)</f>
        <v>#VALUE!</v>
      </c>
      <c r="LD97" s="962" t="e">
        <f>[1]!bodsava(1,1,(LD89+1),[1]!qsn([1]!ml([1]!taqsha(1,1,1+LD89,LD90)),LD91)/30,LD90,LD91)</f>
        <v>#VALUE!</v>
      </c>
      <c r="LE97" s="962" t="e">
        <f>[1]!bodsava(1,1,(LE89+1),[1]!qsn([1]!ml([1]!taqsha(1,1,1+LE89,LE90)),LE91)/30,LE90,LE91)</f>
        <v>#VALUE!</v>
      </c>
      <c r="LF97" s="962" t="e">
        <f>[1]!bodsava(1,1,(LF89+1),[1]!qsn([1]!ml([1]!taqsha(1,1,1+LF89,LF90)),LF91)/30,LF90,LF91)</f>
        <v>#VALUE!</v>
      </c>
      <c r="LG97" s="962" t="e">
        <f>[1]!bodsava(1,1,(LG89+1),[1]!qsn([1]!ml([1]!taqsha(1,1,1+LG89,LG90)),LG91)/30,LG90,LG91)</f>
        <v>#VALUE!</v>
      </c>
      <c r="LH97" s="962" t="e">
        <f>[1]!bodsava(1,1,(LH89+1),[1]!qsn([1]!ml([1]!taqsha(1,1,1+LH89,LH90)),LH91)/30,LH90,LH91)</f>
        <v>#VALUE!</v>
      </c>
      <c r="LI97" s="962" t="e">
        <f>[1]!bodsava(1,1,(LI89+1),[1]!qsn([1]!ml([1]!taqsha(1,1,1+LI89,LI90)),LI91)/30,LI90,LI91)</f>
        <v>#VALUE!</v>
      </c>
      <c r="LJ97" s="962" t="e">
        <f>[1]!bodsava(1,1,(LJ89+1),[1]!qsn([1]!ml([1]!taqsha(1,1,1+LJ89,LJ90)),LJ91)/30,LJ90,LJ91)</f>
        <v>#VALUE!</v>
      </c>
      <c r="LK97" s="962" t="e">
        <f>[1]!bodsava(1,1,(LK89+1),[1]!qsn([1]!ml([1]!taqsha(1,1,1+LK89,LK90)),LK91)/30,LK90,LK91)</f>
        <v>#VALUE!</v>
      </c>
      <c r="LL97" s="962" t="e">
        <f>[1]!bodsava(1,1,(LL89+1),[1]!qsn([1]!ml([1]!taqsha(1,1,1+LL89,LL90)),LL91)/30,LL90,LL91)</f>
        <v>#VALUE!</v>
      </c>
      <c r="LM97" s="962" t="e">
        <f>[1]!bodsava(1,1,(LM89+1),[1]!qsn([1]!ml([1]!taqsha(1,1,1+LM89,LM90)),LM91)/30,LM90,LM91)</f>
        <v>#VALUE!</v>
      </c>
      <c r="LN97" s="962" t="e">
        <f>[1]!bodsava(1,1,(LN89+1),[1]!qsn([1]!ml([1]!taqsha(1,1,1+LN89,LN90)),LN91)/30,LN90,LN91)</f>
        <v>#VALUE!</v>
      </c>
      <c r="LO97" s="962" t="e">
        <f>[1]!bodsava(1,1,(LO89+1),[1]!qsn([1]!ml([1]!taqsha(1,1,1+LO89,LO90)),LO91)/30,LO90,LO91)</f>
        <v>#VALUE!</v>
      </c>
      <c r="LP97" s="962" t="e">
        <f>[1]!bodsava(1,1,(LP89+1),[1]!qsn([1]!ml([1]!taqsha(1,1,1+LP89,LP90)),LP91)/30,LP90,LP91)</f>
        <v>#VALUE!</v>
      </c>
      <c r="LQ97" s="962" t="e">
        <f>[1]!bodsava(1,1,(LQ89+1),[1]!qsn([1]!ml([1]!taqsha(1,1,1+LQ89,LQ90)),LQ91)/30,LQ90,LQ91)</f>
        <v>#VALUE!</v>
      </c>
      <c r="LR97" s="962" t="e">
        <f>[1]!bodsava(1,1,(LR89+1),[1]!qsn([1]!ml([1]!taqsha(1,1,1+LR89,LR90)),LR91)/30,LR90,LR91)</f>
        <v>#VALUE!</v>
      </c>
      <c r="LS97" s="962" t="e">
        <f>[1]!bodsava(1,1,(LS89+1),[1]!qsn([1]!ml([1]!taqsha(1,1,1+LS89,LS90)),LS91)/30,LS90,LS91)</f>
        <v>#VALUE!</v>
      </c>
      <c r="LT97" s="962" t="e">
        <f>[1]!bodsava(1,1,(LT89+1),[1]!qsn([1]!ml([1]!taqsha(1,1,1+LT89,LT90)),LT91)/30,LT90,LT91)</f>
        <v>#VALUE!</v>
      </c>
      <c r="LU97" s="962" t="e">
        <f>[1]!bodsava(1,1,(LU89+1),[1]!qsn([1]!ml([1]!taqsha(1,1,1+LU89,LU90)),LU91)/30,LU90,LU91)</f>
        <v>#VALUE!</v>
      </c>
      <c r="LV97" s="962" t="e">
        <f>[1]!bodsava(1,1,(LV89+1),[1]!qsn([1]!ml([1]!taqsha(1,1,1+LV89,LV90)),LV91)/30,LV90,LV91)</f>
        <v>#VALUE!</v>
      </c>
      <c r="LW97" s="962" t="e">
        <f>[1]!bodsava(1,1,(LW89+1),[1]!qsn([1]!ml([1]!taqsha(1,1,1+LW89,LW90)),LW91)/30,LW90,LW91)</f>
        <v>#VALUE!</v>
      </c>
      <c r="LX97" s="962" t="e">
        <f>[1]!bodsava(1,1,(LX89+1),[1]!qsn([1]!ml([1]!taqsha(1,1,1+LX89,LX90)),LX91)/30,LX90,LX91)</f>
        <v>#VALUE!</v>
      </c>
      <c r="LY97" s="962" t="e">
        <f>[1]!bodsava(1,1,(LY89+1),[1]!qsn([1]!ml([1]!taqsha(1,1,1+LY89,LY90)),LY91)/30,LY90,LY91)</f>
        <v>#VALUE!</v>
      </c>
      <c r="LZ97" s="962" t="e">
        <f>[1]!bodsava(1,1,(LZ89+1),[1]!qsn([1]!ml([1]!taqsha(1,1,1+LZ89,LZ90)),LZ91)/30,LZ90,LZ91)</f>
        <v>#VALUE!</v>
      </c>
      <c r="MA97" s="962" t="e">
        <f>[1]!bodsava(1,1,(MA89+1),[1]!qsn([1]!ml([1]!taqsha(1,1,1+MA89,MA90)),MA91)/30,MA90,MA91)</f>
        <v>#VALUE!</v>
      </c>
      <c r="MB97" s="962" t="e">
        <f>[1]!bodsava(1,1,(MB89+1),[1]!qsn([1]!ml([1]!taqsha(1,1,1+MB89,MB90)),MB91)/30,MB90,MB91)</f>
        <v>#VALUE!</v>
      </c>
      <c r="MC97" s="962" t="e">
        <f>[1]!bodsava(1,1,(MC89+1),[1]!qsn([1]!ml([1]!taqsha(1,1,1+MC89,MC90)),MC91)/30,MC90,MC91)</f>
        <v>#VALUE!</v>
      </c>
      <c r="MD97" s="962" t="e">
        <f>[1]!bodsava(1,1,(MD89+1),[1]!qsn([1]!ml([1]!taqsha(1,1,1+MD89,MD90)),MD91)/30,MD90,MD91)</f>
        <v>#VALUE!</v>
      </c>
      <c r="ME97" s="962" t="e">
        <f>[1]!bodsava(1,1,(ME89+1),[1]!qsn([1]!ml([1]!taqsha(1,1,1+ME89,ME90)),ME91)/30,ME90,ME91)</f>
        <v>#VALUE!</v>
      </c>
      <c r="MF97" s="962" t="e">
        <f>[1]!bodsava(1,1,(MF89+1),[1]!qsn([1]!ml([1]!taqsha(1,1,1+MF89,MF90)),MF91)/30,MF90,MF91)</f>
        <v>#VALUE!</v>
      </c>
      <c r="MG97" s="962" t="e">
        <f>[1]!bodsava(1,1,(MG89+1),[1]!qsn([1]!ml([1]!taqsha(1,1,1+MG89,MG90)),MG91)/30,MG90,MG91)</f>
        <v>#VALUE!</v>
      </c>
      <c r="MH97" s="962" t="e">
        <f>[1]!bodsava(1,1,(MH89+1),[1]!qsn([1]!ml([1]!taqsha(1,1,1+MH89,MH90)),MH91)/30,MH90,MH91)</f>
        <v>#VALUE!</v>
      </c>
      <c r="MI97" s="962" t="e">
        <f>[1]!bodsava(1,1,(MI89+1),[1]!qsn([1]!ml([1]!taqsha(1,1,1+MI89,MI90)),MI91)/30,MI90,MI91)</f>
        <v>#VALUE!</v>
      </c>
      <c r="MJ97" s="962" t="e">
        <f>[1]!bodsava(1,1,(MJ89+1),[1]!qsn([1]!ml([1]!taqsha(1,1,1+MJ89,MJ90)),MJ91)/30,MJ90,MJ91)</f>
        <v>#VALUE!</v>
      </c>
      <c r="MK97" s="962" t="e">
        <f>[1]!bodsava(1,1,(MK89+1),[1]!qsn([1]!ml([1]!taqsha(1,1,1+MK89,MK90)),MK91)/30,MK90,MK91)</f>
        <v>#VALUE!</v>
      </c>
      <c r="ML97" s="962" t="e">
        <f>[1]!bodsava(1,1,(ML89+1),[1]!qsn([1]!ml([1]!taqsha(1,1,1+ML89,ML90)),ML91)/30,ML90,ML91)</f>
        <v>#VALUE!</v>
      </c>
      <c r="MM97" s="962" t="e">
        <f>[1]!bodsava(1,1,(MM89+1),[1]!qsn([1]!ml([1]!taqsha(1,1,1+MM89,MM90)),MM91)/30,MM90,MM91)</f>
        <v>#VALUE!</v>
      </c>
      <c r="MN97" s="962" t="e">
        <f>[1]!bodsava(1,1,(MN89+1),[1]!qsn([1]!ml([1]!taqsha(1,1,1+MN89,MN90)),MN91)/30,MN90,MN91)</f>
        <v>#VALUE!</v>
      </c>
      <c r="MO97" s="962" t="e">
        <f>[1]!bodsava(1,1,(MO89+1),[1]!qsn([1]!ml([1]!taqsha(1,1,1+MO89,MO90)),MO91)/30,MO90,MO91)</f>
        <v>#VALUE!</v>
      </c>
      <c r="MP97" s="962" t="e">
        <f>[1]!bodsava(1,1,(MP89+1),[1]!qsn([1]!ml([1]!taqsha(1,1,1+MP89,MP90)),MP91)/30,MP90,MP91)</f>
        <v>#VALUE!</v>
      </c>
      <c r="MQ97" s="962" t="e">
        <f>[1]!bodsava(1,1,(MQ89+1),[1]!qsn([1]!ml([1]!taqsha(1,1,1+MQ89,MQ90)),MQ91)/30,MQ90,MQ91)</f>
        <v>#VALUE!</v>
      </c>
      <c r="MR97" s="962" t="e">
        <f>[1]!bodsava(1,1,(MR89+1),[1]!qsn([1]!ml([1]!taqsha(1,1,1+MR89,MR90)),MR91)/30,MR90,MR91)</f>
        <v>#VALUE!</v>
      </c>
      <c r="MS97" s="962" t="e">
        <f>[1]!bodsava(1,1,(MS89+1),[1]!qsn([1]!ml([1]!taqsha(1,1,1+MS89,MS90)),MS91)/30,MS90,MS91)</f>
        <v>#VALUE!</v>
      </c>
      <c r="MT97" s="962" t="e">
        <f>[1]!bodsava(1,1,(MT89+1),[1]!qsn([1]!ml([1]!taqsha(1,1,1+MT89,MT90)),MT91)/30,MT90,MT91)</f>
        <v>#VALUE!</v>
      </c>
      <c r="MU97" s="962" t="e">
        <f>[1]!bodsava(1,1,(MU89+1),[1]!qsn([1]!ml([1]!taqsha(1,1,1+MU89,MU90)),MU91)/30,MU90,MU91)</f>
        <v>#VALUE!</v>
      </c>
      <c r="MV97" s="962" t="e">
        <f>[1]!bodsava(1,1,(MV89+1),[1]!qsn([1]!ml([1]!taqsha(1,1,1+MV89,MV90)),MV91)/30,MV90,MV91)</f>
        <v>#VALUE!</v>
      </c>
      <c r="MW97" s="962" t="e">
        <f>[1]!bodsava(1,1,(MW89+1),[1]!qsn([1]!ml([1]!taqsha(1,1,1+MW89,MW90)),MW91)/30,MW90,MW91)</f>
        <v>#VALUE!</v>
      </c>
      <c r="MX97" s="962" t="e">
        <f>[1]!bodsava(1,1,(MX89+1),[1]!qsn([1]!ml([1]!taqsha(1,1,1+MX89,MX90)),MX91)/30,MX90,MX91)</f>
        <v>#VALUE!</v>
      </c>
      <c r="MY97" s="962" t="e">
        <f>[1]!bodsava(1,1,(MY89+1),[1]!qsn([1]!ml([1]!taqsha(1,1,1+MY89,MY90)),MY91)/30,MY90,MY91)</f>
        <v>#VALUE!</v>
      </c>
      <c r="MZ97" s="962" t="e">
        <f>[1]!bodsava(1,1,(MZ89+1),[1]!qsn([1]!ml([1]!taqsha(1,1,1+MZ89,MZ90)),MZ91)/30,MZ90,MZ91)</f>
        <v>#VALUE!</v>
      </c>
      <c r="NA97" s="962" t="e">
        <f>[1]!bodsava(1,1,(NA89+1),[1]!qsn([1]!ml([1]!taqsha(1,1,1+NA89,NA90)),NA91)/30,NA90,NA91)</f>
        <v>#VALUE!</v>
      </c>
      <c r="NB97" s="962" t="e">
        <f>[1]!bodsava(1,1,(NB89+1),[1]!qsn([1]!ml([1]!taqsha(1,1,1+NB89,NB90)),NB91)/30,NB90,NB91)</f>
        <v>#VALUE!</v>
      </c>
      <c r="NC97" s="962" t="e">
        <f>[1]!bodsava(1,1,(NC89+1),[1]!qsn([1]!ml([1]!taqsha(1,1,1+NC89,NC90)),NC91)/30,NC90,NC91)</f>
        <v>#VALUE!</v>
      </c>
      <c r="ND97" s="962" t="e">
        <f>[1]!bodsava(1,1,(ND89+1),[1]!qsn([1]!ml([1]!taqsha(1,1,1+ND89,ND90)),ND91)/30,ND90,ND91)</f>
        <v>#VALUE!</v>
      </c>
      <c r="NE97" s="962" t="e">
        <f>[1]!bodsava(1,1,(NE89+1),[1]!qsn([1]!ml([1]!taqsha(1,1,1+NE89,NE90)),NE91)/30,NE90,NE91)</f>
        <v>#VALUE!</v>
      </c>
      <c r="NF97" s="962" t="e">
        <f>[1]!bodsava(1,1,(NF89+1),[1]!qsn([1]!ml([1]!taqsha(1,1,1+NF89,NF90)),NF91)/30,NF90,NF91)</f>
        <v>#VALUE!</v>
      </c>
      <c r="NG97" s="962" t="e">
        <f>[1]!bodsava(1,1,(NG89+1),[1]!qsn([1]!ml([1]!taqsha(1,1,1+NG89,NG90)),NG91)/30,NG90,NG91)</f>
        <v>#VALUE!</v>
      </c>
      <c r="NH97" s="962" t="e">
        <f>[1]!bodsava(1,1,(NH89+1),[1]!qsn([1]!ml([1]!taqsha(1,1,1+NH89,NH90)),NH91)/30,NH90,NH91)</f>
        <v>#VALUE!</v>
      </c>
      <c r="NI97" s="962" t="e">
        <f>[1]!bodsava(1,1,(NI89+1),[1]!qsn([1]!ml([1]!taqsha(1,1,1+NI89,NI90)),NI91)/30,NI90,NI91)</f>
        <v>#VALUE!</v>
      </c>
      <c r="NJ97" s="962" t="e">
        <f>[1]!bodsava(1,1,(NJ89+1),[1]!qsn([1]!ml([1]!taqsha(1,1,1+NJ89,NJ90)),NJ91)/30,NJ90,NJ91)</f>
        <v>#VALUE!</v>
      </c>
      <c r="NK97" s="962" t="e">
        <f>[1]!bodsava(1,1,(NK89+1),[1]!qsn([1]!ml([1]!taqsha(1,1,1+NK89,NK90)),NK91)/30,NK90,NK91)</f>
        <v>#VALUE!</v>
      </c>
      <c r="NL97" s="962" t="e">
        <f>[1]!bodsava(1,1,(NL89+1),[1]!qsn([1]!ml([1]!taqsha(1,1,1+NL89,NL90)),NL91)/30,NL90,NL91)</f>
        <v>#VALUE!</v>
      </c>
      <c r="NM97" s="962" t="e">
        <f>[1]!bodsava(1,1,(NM89+1),[1]!qsn([1]!ml([1]!taqsha(1,1,1+NM89,NM90)),NM91)/30,NM90,NM91)</f>
        <v>#VALUE!</v>
      </c>
      <c r="NN97" s="962" t="e">
        <f>[1]!bodsava(1,1,(NN89+1),[1]!qsn([1]!ml([1]!taqsha(1,1,1+NN89,NN90)),NN91)/30,NN90,NN91)</f>
        <v>#VALUE!</v>
      </c>
      <c r="NO97" s="962" t="e">
        <f>[1]!bodsava(1,1,(NO89+1),[1]!qsn([1]!ml([1]!taqsha(1,1,1+NO89,NO90)),NO91)/30,NO90,NO91)</f>
        <v>#VALUE!</v>
      </c>
      <c r="NP97" s="962" t="e">
        <f>[1]!bodsava(1,1,(NP89+1),[1]!qsn([1]!ml([1]!taqsha(1,1,1+NP89,NP90)),NP91)/30,NP90,NP91)</f>
        <v>#VALUE!</v>
      </c>
      <c r="NQ97" s="962" t="e">
        <f>[1]!bodsava(1,1,(NQ89+1),[1]!qsn([1]!ml([1]!taqsha(1,1,1+NQ89,NQ90)),NQ91)/30,NQ90,NQ91)</f>
        <v>#VALUE!</v>
      </c>
      <c r="NR97" s="962" t="e">
        <f>[1]!bodsava(1,1,(NR89+1),[1]!qsn([1]!ml([1]!taqsha(1,1,1+NR89,NR90)),NR91)/30,NR90,NR91)</f>
        <v>#VALUE!</v>
      </c>
      <c r="NS97" s="962" t="e">
        <f>[1]!bodsava(1,1,(NS89+1),[1]!qsn([1]!ml([1]!taqsha(1,1,1+NS89,NS90)),NS91)/30,NS90,NS91)</f>
        <v>#VALUE!</v>
      </c>
      <c r="NT97" s="962" t="e">
        <f>[1]!bodsava(1,1,(NT89+1),[1]!qsn([1]!ml([1]!taqsha(1,1,1+NT89,NT90)),NT91)/30,NT90,NT91)</f>
        <v>#VALUE!</v>
      </c>
      <c r="NU97" s="962" t="e">
        <f>[1]!bodsava(1,1,(NU89+1),[1]!qsn([1]!ml([1]!taqsha(1,1,1+NU89,NU90)),NU91)/30,NU90,NU91)</f>
        <v>#VALUE!</v>
      </c>
      <c r="NV97" s="962" t="e">
        <f>[1]!bodsava(1,1,(NV89+1),[1]!qsn([1]!ml([1]!taqsha(1,1,1+NV89,NV90)),NV91)/30,NV90,NV91)</f>
        <v>#VALUE!</v>
      </c>
      <c r="NW97" s="962" t="e">
        <f>[1]!bodsava(1,1,(NW89+1),[1]!qsn([1]!ml([1]!taqsha(1,1,1+NW89,NW90)),NW91)/30,NW90,NW91)</f>
        <v>#VALUE!</v>
      </c>
      <c r="NX97" s="962" t="e">
        <f>[1]!bodsava(1,1,(NX89+1),[1]!qsn([1]!ml([1]!taqsha(1,1,1+NX89,NX90)),NX91)/30,NX90,NX91)</f>
        <v>#VALUE!</v>
      </c>
      <c r="NY97" s="962" t="e">
        <f>[1]!bodsava(1,1,(NY89+1),[1]!qsn([1]!ml([1]!taqsha(1,1,1+NY89,NY90)),NY91)/30,NY90,NY91)</f>
        <v>#VALUE!</v>
      </c>
      <c r="NZ97" s="962" t="e">
        <f>[1]!bodsava(1,1,(NZ89+1),[1]!qsn([1]!ml([1]!taqsha(1,1,1+NZ89,NZ90)),NZ91)/30,NZ90,NZ91)</f>
        <v>#VALUE!</v>
      </c>
      <c r="OA97" s="962" t="e">
        <f>[1]!bodsava(1,1,(OA89+1),[1]!qsn([1]!ml([1]!taqsha(1,1,1+OA89,OA90)),OA91)/30,OA90,OA91)</f>
        <v>#VALUE!</v>
      </c>
      <c r="OB97" s="962" t="e">
        <f>[1]!bodsava(1,1,(OB89+1),[1]!qsn([1]!ml([1]!taqsha(1,1,1+OB89,OB90)),OB91)/30,OB90,OB91)</f>
        <v>#VALUE!</v>
      </c>
      <c r="OC97" s="962" t="e">
        <f>[1]!bodsava(1,1,(OC89+1),[1]!qsn([1]!ml([1]!taqsha(1,1,1+OC89,OC90)),OC91)/30,OC90,OC91)</f>
        <v>#VALUE!</v>
      </c>
      <c r="OD97" s="962" t="e">
        <f>[1]!bodsava(1,1,(OD89+1),[1]!qsn([1]!ml([1]!taqsha(1,1,1+OD89,OD90)),OD91)/30,OD90,OD91)</f>
        <v>#VALUE!</v>
      </c>
      <c r="OE97" s="962" t="e">
        <f>[1]!bodsava(1,1,(OE89+1),[1]!qsn([1]!ml([1]!taqsha(1,1,1+OE89,OE90)),OE91)/30,OE90,OE91)</f>
        <v>#VALUE!</v>
      </c>
      <c r="OF97" s="962" t="e">
        <f>[1]!bodsava(1,1,(OF89+1),[1]!qsn([1]!ml([1]!taqsha(1,1,1+OF89,OF90)),OF91)/30,OF90,OF91)</f>
        <v>#VALUE!</v>
      </c>
      <c r="OG97" s="962" t="e">
        <f>[1]!bodsava(1,1,(OG89+1),[1]!qsn([1]!ml([1]!taqsha(1,1,1+OG89,OG90)),OG91)/30,OG90,OG91)</f>
        <v>#VALUE!</v>
      </c>
      <c r="OH97" s="962" t="e">
        <f>[1]!bodsava(1,1,(OH89+1),[1]!qsn([1]!ml([1]!taqsha(1,1,1+OH89,OH90)),OH91)/30,OH90,OH91)</f>
        <v>#VALUE!</v>
      </c>
      <c r="OI97" s="962" t="e">
        <f>[1]!bodsava(1,1,(OI89+1),[1]!qsn([1]!ml([1]!taqsha(1,1,1+OI89,OI90)),OI91)/30,OI90,OI91)</f>
        <v>#VALUE!</v>
      </c>
      <c r="OJ97" s="962" t="e">
        <f>[1]!bodsava(1,1,(OJ89+1),[1]!qsn([1]!ml([1]!taqsha(1,1,1+OJ89,OJ90)),OJ91)/30,OJ90,OJ91)</f>
        <v>#VALUE!</v>
      </c>
      <c r="OK97" s="962" t="e">
        <f>[1]!bodsava(1,1,(OK89+1),[1]!qsn([1]!ml([1]!taqsha(1,1,1+OK89,OK90)),OK91)/30,OK90,OK91)</f>
        <v>#VALUE!</v>
      </c>
      <c r="OL97" s="962" t="e">
        <f>[1]!bodsava(1,1,(OL89+1),[1]!qsn([1]!ml([1]!taqsha(1,1,1+OL89,OL90)),OL91)/30,OL90,OL91)</f>
        <v>#VALUE!</v>
      </c>
      <c r="OM97" s="962" t="e">
        <f>[1]!bodsava(1,1,(OM89+1),[1]!qsn([1]!ml([1]!taqsha(1,1,1+OM89,OM90)),OM91)/30,OM90,OM91)</f>
        <v>#VALUE!</v>
      </c>
      <c r="ON97" s="962" t="e">
        <f>[1]!bodsava(1,1,(ON89+1),[1]!qsn([1]!ml([1]!taqsha(1,1,1+ON89,ON90)),ON91)/30,ON90,ON91)</f>
        <v>#VALUE!</v>
      </c>
      <c r="OO97" s="962" t="e">
        <f>[1]!bodsava(1,1,(OO89+1),[1]!qsn([1]!ml([1]!taqsha(1,1,1+OO89,OO90)),OO91)/30,OO90,OO91)</f>
        <v>#VALUE!</v>
      </c>
      <c r="OP97" s="962" t="e">
        <f>[1]!bodsava(1,1,(OP89+1),[1]!qsn([1]!ml([1]!taqsha(1,1,1+OP89,OP90)),OP91)/30,OP90,OP91)</f>
        <v>#VALUE!</v>
      </c>
      <c r="OQ97" s="962" t="e">
        <f>[1]!bodsava(1,1,(OQ89+1),[1]!qsn([1]!ml([1]!taqsha(1,1,1+OQ89,OQ90)),OQ91)/30,OQ90,OQ91)</f>
        <v>#VALUE!</v>
      </c>
      <c r="OR97" s="962" t="e">
        <f>[1]!bodsava(1,1,(OR89+1),[1]!qsn([1]!ml([1]!taqsha(1,1,1+OR89,OR90)),OR91)/30,OR90,OR91)</f>
        <v>#VALUE!</v>
      </c>
      <c r="OS97" s="962" t="e">
        <f>[1]!bodsava(1,1,(OS89+1),[1]!qsn([1]!ml([1]!taqsha(1,1,1+OS89,OS90)),OS91)/30,OS90,OS91)</f>
        <v>#VALUE!</v>
      </c>
      <c r="OT97" s="962" t="e">
        <f>[1]!bodsava(1,1,(OT89+1),[1]!qsn([1]!ml([1]!taqsha(1,1,1+OT89,OT90)),OT91)/30,OT90,OT91)</f>
        <v>#VALUE!</v>
      </c>
      <c r="OU97" s="962" t="e">
        <f>[1]!bodsava(1,1,(OU89+1),[1]!qsn([1]!ml([1]!taqsha(1,1,1+OU89,OU90)),OU91)/30,OU90,OU91)</f>
        <v>#VALUE!</v>
      </c>
      <c r="OV97" s="962" t="e">
        <f>[1]!bodsava(1,1,(OV89+1),[1]!qsn([1]!ml([1]!taqsha(1,1,1+OV89,OV90)),OV91)/30,OV90,OV91)</f>
        <v>#VALUE!</v>
      </c>
      <c r="OW97" s="962" t="e">
        <f>[1]!bodsava(1,1,(OW89+1),[1]!qsn([1]!ml([1]!taqsha(1,1,1+OW89,OW90)),OW91)/30,OW90,OW91)</f>
        <v>#VALUE!</v>
      </c>
      <c r="OX97" s="962" t="e">
        <f>[1]!bodsava(1,1,(OX89+1),[1]!qsn([1]!ml([1]!taqsha(1,1,1+OX89,OX90)),OX91)/30,OX90,OX91)</f>
        <v>#VALUE!</v>
      </c>
      <c r="OY97" s="962" t="e">
        <f>[1]!bodsava(1,1,(OY89+1),[1]!qsn([1]!ml([1]!taqsha(1,1,1+OY89,OY90)),OY91)/30,OY90,OY91)</f>
        <v>#VALUE!</v>
      </c>
      <c r="OZ97" s="962" t="e">
        <f>[1]!bodsava(1,1,(OZ89+1),[1]!qsn([1]!ml([1]!taqsha(1,1,1+OZ89,OZ90)),OZ91)/30,OZ90,OZ91)</f>
        <v>#VALUE!</v>
      </c>
      <c r="PA97" s="962" t="e">
        <f>[1]!bodsava(1,1,(PA89+1),[1]!qsn([1]!ml([1]!taqsha(1,1,1+PA89,PA90)),PA91)/30,PA90,PA91)</f>
        <v>#VALUE!</v>
      </c>
      <c r="PB97" s="962" t="e">
        <f>[1]!bodsava(1,1,(PB89+1),[1]!qsn([1]!ml([1]!taqsha(1,1,1+PB89,PB90)),PB91)/30,PB90,PB91)</f>
        <v>#VALUE!</v>
      </c>
      <c r="PC97" s="962" t="e">
        <f>[1]!bodsava(1,1,(PC89+1),[1]!qsn([1]!ml([1]!taqsha(1,1,1+PC89,PC90)),PC91)/30,PC90,PC91)</f>
        <v>#VALUE!</v>
      </c>
      <c r="PD97" s="962" t="e">
        <f>[1]!bodsava(1,1,(PD89+1),[1]!qsn([1]!ml([1]!taqsha(1,1,1+PD89,PD90)),PD91)/30,PD90,PD91)</f>
        <v>#VALUE!</v>
      </c>
      <c r="PE97" s="962" t="e">
        <f>[1]!bodsava(1,1,(PE89+1),[1]!qsn([1]!ml([1]!taqsha(1,1,1+PE89,PE90)),PE91)/30,PE90,PE91)</f>
        <v>#VALUE!</v>
      </c>
      <c r="PF97" s="962" t="e">
        <f>[1]!bodsava(1,1,(PF89+1),[1]!qsn([1]!ml([1]!taqsha(1,1,1+PF89,PF90)),PF91)/30,PF90,PF91)</f>
        <v>#VALUE!</v>
      </c>
      <c r="PG97" s="962" t="e">
        <f>[1]!bodsava(1,1,(PG89+1),[1]!qsn([1]!ml([1]!taqsha(1,1,1+PG89,PG90)),PG91)/30,PG90,PG91)</f>
        <v>#VALUE!</v>
      </c>
      <c r="PH97" s="962" t="e">
        <f>[1]!bodsava(1,1,(PH89+1),[1]!qsn([1]!ml([1]!taqsha(1,1,1+PH89,PH90)),PH91)/30,PH90,PH91)</f>
        <v>#VALUE!</v>
      </c>
      <c r="PI97" s="962" t="e">
        <f>[1]!bodsava(1,1,(PI89+1),[1]!qsn([1]!ml([1]!taqsha(1,1,1+PI89,PI90)),PI91)/30,PI90,PI91)</f>
        <v>#VALUE!</v>
      </c>
      <c r="PJ97" s="962" t="e">
        <f>[1]!bodsava(1,1,(PJ89+1),[1]!qsn([1]!ml([1]!taqsha(1,1,1+PJ89,PJ90)),PJ91)/30,PJ90,PJ91)</f>
        <v>#VALUE!</v>
      </c>
      <c r="PK97" s="962" t="e">
        <f>[1]!bodsava(1,1,(PK89+1),[1]!qsn([1]!ml([1]!taqsha(1,1,1+PK89,PK90)),PK91)/30,PK90,PK91)</f>
        <v>#VALUE!</v>
      </c>
      <c r="PL97" s="962" t="e">
        <f>[1]!bodsava(1,1,(PL89+1),[1]!qsn([1]!ml([1]!taqsha(1,1,1+PL89,PL90)),PL91)/30,PL90,PL91)</f>
        <v>#VALUE!</v>
      </c>
      <c r="PM97" s="962" t="e">
        <f>[1]!bodsava(1,1,(PM89+1),[1]!qsn([1]!ml([1]!taqsha(1,1,1+PM89,PM90)),PM91)/30,PM90,PM91)</f>
        <v>#VALUE!</v>
      </c>
      <c r="PN97" s="962" t="e">
        <f>[1]!bodsava(1,1,(PN89+1),[1]!qsn([1]!ml([1]!taqsha(1,1,1+PN89,PN90)),PN91)/30,PN90,PN91)</f>
        <v>#VALUE!</v>
      </c>
      <c r="PO97" s="962" t="e">
        <f>[1]!bodsava(1,1,(PO89+1),[1]!qsn([1]!ml([1]!taqsha(1,1,1+PO89,PO90)),PO91)/30,PO90,PO91)</f>
        <v>#VALUE!</v>
      </c>
      <c r="PP97" s="962" t="e">
        <f>[1]!bodsava(1,1,(PP89+1),[1]!qsn([1]!ml([1]!taqsha(1,1,1+PP89,PP90)),PP91)/30,PP90,PP91)</f>
        <v>#VALUE!</v>
      </c>
      <c r="PQ97" s="962" t="e">
        <f>[1]!bodsava(1,1,(PQ89+1),[1]!qsn([1]!ml([1]!taqsha(1,1,1+PQ89,PQ90)),PQ91)/30,PQ90,PQ91)</f>
        <v>#VALUE!</v>
      </c>
      <c r="PR97" s="962" t="e">
        <f>[1]!bodsava(1,1,(PR89+1),[1]!qsn([1]!ml([1]!taqsha(1,1,1+PR89,PR90)),PR91)/30,PR90,PR91)</f>
        <v>#VALUE!</v>
      </c>
      <c r="PS97" s="962" t="e">
        <f>[1]!bodsava(1,1,(PS89+1),[1]!qsn([1]!ml([1]!taqsha(1,1,1+PS89,PS90)),PS91)/30,PS90,PS91)</f>
        <v>#VALUE!</v>
      </c>
      <c r="PT97" s="962" t="e">
        <f>[1]!bodsava(1,1,(PT89+1),[1]!qsn([1]!ml([1]!taqsha(1,1,1+PT89,PT90)),PT91)/30,PT90,PT91)</f>
        <v>#VALUE!</v>
      </c>
      <c r="PU97" s="962" t="e">
        <f>[1]!bodsava(1,1,(PU89+1),[1]!qsn([1]!ml([1]!taqsha(1,1,1+PU89,PU90)),PU91)/30,PU90,PU91)</f>
        <v>#VALUE!</v>
      </c>
      <c r="PV97" s="962" t="e">
        <f>[1]!bodsava(1,1,(PV89+1),[1]!qsn([1]!ml([1]!taqsha(1,1,1+PV89,PV90)),PV91)/30,PV90,PV91)</f>
        <v>#VALUE!</v>
      </c>
      <c r="PW97" s="962" t="e">
        <f>[1]!bodsava(1,1,(PW89+1),[1]!qsn([1]!ml([1]!taqsha(1,1,1+PW89,PW90)),PW91)/30,PW90,PW91)</f>
        <v>#VALUE!</v>
      </c>
      <c r="PX97" s="962" t="e">
        <f>[1]!bodsava(1,1,(PX89+1),[1]!qsn([1]!ml([1]!taqsha(1,1,1+PX89,PX90)),PX91)/30,PX90,PX91)</f>
        <v>#VALUE!</v>
      </c>
      <c r="PY97" s="962" t="e">
        <f>[1]!bodsava(1,1,(PY89+1),[1]!qsn([1]!ml([1]!taqsha(1,1,1+PY89,PY90)),PY91)/30,PY90,PY91)</f>
        <v>#VALUE!</v>
      </c>
      <c r="PZ97" s="962" t="e">
        <f>[1]!bodsava(1,1,(PZ89+1),[1]!qsn([1]!ml([1]!taqsha(1,1,1+PZ89,PZ90)),PZ91)/30,PZ90,PZ91)</f>
        <v>#VALUE!</v>
      </c>
      <c r="QA97" s="962" t="e">
        <f>[1]!bodsava(1,1,(QA89+1),[1]!qsn([1]!ml([1]!taqsha(1,1,1+QA89,QA90)),QA91)/30,QA90,QA91)</f>
        <v>#VALUE!</v>
      </c>
      <c r="QB97" s="962" t="e">
        <f>[1]!bodsava(1,1,(QB89+1),[1]!qsn([1]!ml([1]!taqsha(1,1,1+QB89,QB90)),QB91)/30,QB90,QB91)</f>
        <v>#VALUE!</v>
      </c>
      <c r="QC97" s="962" t="e">
        <f>[1]!bodsava(1,1,(QC89+1),[1]!qsn([1]!ml([1]!taqsha(1,1,1+QC89,QC90)),QC91)/30,QC90,QC91)</f>
        <v>#VALUE!</v>
      </c>
      <c r="QD97" s="962" t="e">
        <f>[1]!bodsava(1,1,(QD89+1),[1]!qsn([1]!ml([1]!taqsha(1,1,1+QD89,QD90)),QD91)/30,QD90,QD91)</f>
        <v>#VALUE!</v>
      </c>
      <c r="QE97" s="962" t="e">
        <f>[1]!bodsava(1,1,(QE89+1),[1]!qsn([1]!ml([1]!taqsha(1,1,1+QE89,QE90)),QE91)/30,QE90,QE91)</f>
        <v>#VALUE!</v>
      </c>
      <c r="QF97" s="962" t="e">
        <f>[1]!bodsava(1,1,(QF89+1),[1]!qsn([1]!ml([1]!taqsha(1,1,1+QF89,QF90)),QF91)/30,QF90,QF91)</f>
        <v>#VALUE!</v>
      </c>
      <c r="QG97" s="962" t="e">
        <f>[1]!bodsava(1,1,(QG89+1),[1]!qsn([1]!ml([1]!taqsha(1,1,1+QG89,QG90)),QG91)/30,QG90,QG91)</f>
        <v>#VALUE!</v>
      </c>
      <c r="QH97" s="962" t="e">
        <f>[1]!bodsava(1,1,(QH89+1),[1]!qsn([1]!ml([1]!taqsha(1,1,1+QH89,QH90)),QH91)/30,QH90,QH91)</f>
        <v>#VALUE!</v>
      </c>
      <c r="QI97" s="962" t="e">
        <f>[1]!bodsava(1,1,(QI89+1),[1]!qsn([1]!ml([1]!taqsha(1,1,1+QI89,QI90)),QI91)/30,QI90,QI91)</f>
        <v>#VALUE!</v>
      </c>
      <c r="QJ97" s="962" t="e">
        <f>[1]!bodsava(1,1,(QJ89+1),[1]!qsn([1]!ml([1]!taqsha(1,1,1+QJ89,QJ90)),QJ91)/30,QJ90,QJ91)</f>
        <v>#VALUE!</v>
      </c>
      <c r="QK97" s="962" t="e">
        <f>[1]!bodsava(1,1,(QK89+1),[1]!qsn([1]!ml([1]!taqsha(1,1,1+QK89,QK90)),QK91)/30,QK90,QK91)</f>
        <v>#VALUE!</v>
      </c>
      <c r="QL97" s="962" t="e">
        <f>[1]!bodsava(1,1,(QL89+1),[1]!qsn([1]!ml([1]!taqsha(1,1,1+QL89,QL90)),QL91)/30,QL90,QL91)</f>
        <v>#VALUE!</v>
      </c>
      <c r="QM97" s="962" t="e">
        <f>[1]!bodsava(1,1,(QM89+1),[1]!qsn([1]!ml([1]!taqsha(1,1,1+QM89,QM90)),QM91)/30,QM90,QM91)</f>
        <v>#VALUE!</v>
      </c>
      <c r="QN97" s="962" t="e">
        <f>[1]!bodsava(1,1,(QN89+1),[1]!qsn([1]!ml([1]!taqsha(1,1,1+QN89,QN90)),QN91)/30,QN90,QN91)</f>
        <v>#VALUE!</v>
      </c>
      <c r="QO97" s="962" t="e">
        <f>[1]!bodsava(1,1,(QO89+1),[1]!qsn([1]!ml([1]!taqsha(1,1,1+QO89,QO90)),QO91)/30,QO90,QO91)</f>
        <v>#VALUE!</v>
      </c>
      <c r="QP97" s="962" t="e">
        <f>[1]!bodsava(1,1,(QP89+1),[1]!qsn([1]!ml([1]!taqsha(1,1,1+QP89,QP90)),QP91)/30,QP90,QP91)</f>
        <v>#VALUE!</v>
      </c>
      <c r="QQ97" s="962" t="e">
        <f>[1]!bodsava(1,1,(QQ89+1),[1]!qsn([1]!ml([1]!taqsha(1,1,1+QQ89,QQ90)),QQ91)/30,QQ90,QQ91)</f>
        <v>#VALUE!</v>
      </c>
      <c r="QR97" s="962" t="e">
        <f>[1]!bodsava(1,1,(QR89+1),[1]!qsn([1]!ml([1]!taqsha(1,1,1+QR89,QR90)),QR91)/30,QR90,QR91)</f>
        <v>#VALUE!</v>
      </c>
      <c r="QS97" s="962" t="e">
        <f>[1]!bodsava(1,1,(QS89+1),[1]!qsn([1]!ml([1]!taqsha(1,1,1+QS89,QS90)),QS91)/30,QS90,QS91)</f>
        <v>#VALUE!</v>
      </c>
      <c r="QT97" s="962" t="e">
        <f>[1]!bodsava(1,1,(QT89+1),[1]!qsn([1]!ml([1]!taqsha(1,1,1+QT89,QT90)),QT91)/30,QT90,QT91)</f>
        <v>#VALUE!</v>
      </c>
      <c r="QU97" s="962" t="e">
        <f>[1]!bodsava(1,1,(QU89+1),[1]!qsn([1]!ml([1]!taqsha(1,1,1+QU89,QU90)),QU91)/30,QU90,QU91)</f>
        <v>#VALUE!</v>
      </c>
      <c r="QV97" s="962" t="e">
        <f>[1]!bodsava(1,1,(QV89+1),[1]!qsn([1]!ml([1]!taqsha(1,1,1+QV89,QV90)),QV91)/30,QV90,QV91)</f>
        <v>#VALUE!</v>
      </c>
      <c r="QW97" s="962" t="e">
        <f>[1]!bodsava(1,1,(QW89+1),[1]!qsn([1]!ml([1]!taqsha(1,1,1+QW89,QW90)),QW91)/30,QW90,QW91)</f>
        <v>#VALUE!</v>
      </c>
      <c r="QX97" s="962" t="e">
        <f>[1]!bodsava(1,1,(QX89+1),[1]!qsn([1]!ml([1]!taqsha(1,1,1+QX89,QX90)),QX91)/30,QX90,QX91)</f>
        <v>#VALUE!</v>
      </c>
      <c r="QY97" s="962" t="e">
        <f>[1]!bodsava(1,1,(QY89+1),[1]!qsn([1]!ml([1]!taqsha(1,1,1+QY89,QY90)),QY91)/30,QY90,QY91)</f>
        <v>#VALUE!</v>
      </c>
      <c r="QZ97" s="962" t="e">
        <f>[1]!bodsava(1,1,(QZ89+1),[1]!qsn([1]!ml([1]!taqsha(1,1,1+QZ89,QZ90)),QZ91)/30,QZ90,QZ91)</f>
        <v>#VALUE!</v>
      </c>
      <c r="RA97" s="963" t="e">
        <f>[1]!bodsava(1,1,(RA89+1),[1]!qsn([1]!ml([1]!taqsha(1,1,1+RA89,RA90)),RA91)/30,RA90,RA91)</f>
        <v>#VALUE!</v>
      </c>
      <c r="RB97" s="797"/>
      <c r="RC97" s="797"/>
    </row>
    <row r="98" spans="2:471">
      <c r="C98" s="4"/>
      <c r="D98" s="4"/>
      <c r="E98" s="4"/>
      <c r="F98" s="4"/>
      <c r="G98" s="4" t="str">
        <f>IF(G97=1,L97,IF(G97=2,M97,IF(G97=3,N97,IF(G97=4,O97,IF(G97=5,P97,IF(G97=6,Q97,IF(G97=7,R97,IF(G97=8,S97,IF(G97=9,T97,IF(G97=10,U97,IF(G97=11,V97,IF(G97=12,W97,X97))))))))))))</f>
        <v>فروردین</v>
      </c>
      <c r="H98" s="4"/>
      <c r="I98" s="4"/>
      <c r="J98" s="4"/>
      <c r="K98" s="4"/>
      <c r="L98" s="4"/>
      <c r="M98" s="4"/>
      <c r="N98" s="4"/>
      <c r="O98" s="4"/>
      <c r="P98" s="4"/>
      <c r="Q98" s="4"/>
      <c r="R98" s="4"/>
      <c r="S98" s="4"/>
      <c r="T98" s="4"/>
      <c r="U98" s="4"/>
      <c r="V98" s="4"/>
      <c r="W98" s="4"/>
      <c r="X98" s="4"/>
      <c r="DH98" s="797"/>
      <c r="DJ98" s="976">
        <v>1</v>
      </c>
      <c r="DK98" s="250">
        <v>2</v>
      </c>
      <c r="DL98" s="250">
        <v>3</v>
      </c>
      <c r="DM98" s="250">
        <v>4</v>
      </c>
      <c r="DN98" s="977">
        <v>5</v>
      </c>
      <c r="DO98" s="250">
        <v>6</v>
      </c>
      <c r="DP98" s="250">
        <v>7</v>
      </c>
      <c r="DQ98" s="250">
        <v>8</v>
      </c>
      <c r="DR98" s="977">
        <v>9</v>
      </c>
      <c r="DS98" s="250">
        <v>10</v>
      </c>
      <c r="DT98" s="250">
        <v>11</v>
      </c>
      <c r="DU98" s="250">
        <v>12</v>
      </c>
      <c r="DV98" s="977">
        <v>13</v>
      </c>
      <c r="DW98" s="250">
        <v>14</v>
      </c>
      <c r="DX98" s="250">
        <v>15</v>
      </c>
      <c r="DY98" s="250">
        <v>16</v>
      </c>
      <c r="DZ98" s="977">
        <v>17</v>
      </c>
      <c r="EA98" s="250">
        <v>18</v>
      </c>
      <c r="EB98" s="250">
        <v>19</v>
      </c>
      <c r="EC98" s="250">
        <v>20</v>
      </c>
      <c r="ED98" s="977">
        <v>21</v>
      </c>
      <c r="EE98" s="250">
        <v>22</v>
      </c>
      <c r="EF98" s="250">
        <v>23</v>
      </c>
      <c r="EG98" s="250">
        <v>24</v>
      </c>
      <c r="EH98" s="977">
        <v>25</v>
      </c>
      <c r="EI98" s="250">
        <v>26</v>
      </c>
      <c r="EJ98" s="250">
        <v>27</v>
      </c>
      <c r="EK98" s="250">
        <v>28</v>
      </c>
      <c r="EL98" s="977">
        <v>29</v>
      </c>
      <c r="EM98" s="250">
        <v>30</v>
      </c>
      <c r="EN98" s="976">
        <v>1</v>
      </c>
      <c r="EO98" s="250">
        <v>2</v>
      </c>
      <c r="EP98" s="250">
        <v>3</v>
      </c>
      <c r="EQ98" s="250">
        <v>4</v>
      </c>
      <c r="ER98" s="977">
        <v>5</v>
      </c>
      <c r="ES98" s="250">
        <v>6</v>
      </c>
      <c r="ET98" s="250">
        <v>7</v>
      </c>
      <c r="EU98" s="250">
        <v>8</v>
      </c>
      <c r="EV98" s="977">
        <v>9</v>
      </c>
      <c r="EW98" s="250">
        <v>10</v>
      </c>
      <c r="EX98" s="250">
        <v>11</v>
      </c>
      <c r="EY98" s="250">
        <v>12</v>
      </c>
      <c r="EZ98" s="977">
        <v>13</v>
      </c>
      <c r="FA98" s="250">
        <v>14</v>
      </c>
      <c r="FB98" s="250">
        <v>15</v>
      </c>
      <c r="FC98" s="250">
        <v>16</v>
      </c>
      <c r="FD98" s="977">
        <v>17</v>
      </c>
      <c r="FE98" s="250">
        <v>18</v>
      </c>
      <c r="FF98" s="250">
        <v>19</v>
      </c>
      <c r="FG98" s="250">
        <v>20</v>
      </c>
      <c r="FH98" s="977">
        <v>21</v>
      </c>
      <c r="FI98" s="250">
        <v>22</v>
      </c>
      <c r="FJ98" s="250">
        <v>23</v>
      </c>
      <c r="FK98" s="250">
        <v>24</v>
      </c>
      <c r="FL98" s="977">
        <v>25</v>
      </c>
      <c r="FM98" s="250">
        <v>26</v>
      </c>
      <c r="FN98" s="250">
        <v>27</v>
      </c>
      <c r="FO98" s="250">
        <v>28</v>
      </c>
      <c r="FP98" s="977">
        <v>29</v>
      </c>
      <c r="FQ98" s="977">
        <v>30</v>
      </c>
      <c r="FR98" s="976">
        <v>1</v>
      </c>
      <c r="FS98" s="250">
        <v>2</v>
      </c>
      <c r="FT98" s="250">
        <v>3</v>
      </c>
      <c r="FU98" s="250">
        <v>4</v>
      </c>
      <c r="FV98" s="977">
        <v>5</v>
      </c>
      <c r="FW98" s="250">
        <v>6</v>
      </c>
      <c r="FX98" s="250">
        <v>7</v>
      </c>
      <c r="FY98" s="250">
        <v>8</v>
      </c>
      <c r="FZ98" s="977">
        <v>9</v>
      </c>
      <c r="GA98" s="250">
        <v>10</v>
      </c>
      <c r="GB98" s="250">
        <v>11</v>
      </c>
      <c r="GC98" s="250">
        <v>12</v>
      </c>
      <c r="GD98" s="977">
        <v>13</v>
      </c>
      <c r="GE98" s="250">
        <v>14</v>
      </c>
      <c r="GF98" s="250">
        <v>15</v>
      </c>
      <c r="GG98" s="250">
        <v>16</v>
      </c>
      <c r="GH98" s="977">
        <v>17</v>
      </c>
      <c r="GI98" s="250">
        <v>18</v>
      </c>
      <c r="GJ98" s="250">
        <v>19</v>
      </c>
      <c r="GK98" s="250">
        <v>20</v>
      </c>
      <c r="GL98" s="977">
        <v>21</v>
      </c>
      <c r="GM98" s="250">
        <v>22</v>
      </c>
      <c r="GN98" s="250">
        <v>23</v>
      </c>
      <c r="GO98" s="250">
        <v>24</v>
      </c>
      <c r="GP98" s="977">
        <v>25</v>
      </c>
      <c r="GQ98" s="250">
        <v>26</v>
      </c>
      <c r="GR98" s="250">
        <v>27</v>
      </c>
      <c r="GS98" s="250">
        <v>28</v>
      </c>
      <c r="GT98" s="977">
        <v>29</v>
      </c>
      <c r="GU98" s="976">
        <v>1</v>
      </c>
      <c r="GV98" s="250">
        <v>2</v>
      </c>
      <c r="GW98" s="250">
        <v>3</v>
      </c>
      <c r="GX98" s="250">
        <v>4</v>
      </c>
      <c r="GY98" s="977">
        <v>5</v>
      </c>
      <c r="GZ98" s="250">
        <v>6</v>
      </c>
      <c r="HA98" s="250">
        <v>7</v>
      </c>
      <c r="HB98" s="250">
        <v>8</v>
      </c>
      <c r="HC98" s="977">
        <v>9</v>
      </c>
      <c r="HD98" s="250">
        <v>10</v>
      </c>
      <c r="HE98" s="250">
        <v>11</v>
      </c>
      <c r="HF98" s="250">
        <v>12</v>
      </c>
      <c r="HG98" s="977">
        <v>13</v>
      </c>
      <c r="HH98" s="250">
        <v>14</v>
      </c>
      <c r="HI98" s="250">
        <v>15</v>
      </c>
      <c r="HJ98" s="250">
        <v>16</v>
      </c>
      <c r="HK98" s="977">
        <v>17</v>
      </c>
      <c r="HL98" s="250">
        <v>18</v>
      </c>
      <c r="HM98" s="250">
        <v>19</v>
      </c>
      <c r="HN98" s="250">
        <v>20</v>
      </c>
      <c r="HO98" s="977">
        <v>21</v>
      </c>
      <c r="HP98" s="250">
        <v>22</v>
      </c>
      <c r="HQ98" s="250">
        <v>23</v>
      </c>
      <c r="HR98" s="250">
        <v>24</v>
      </c>
      <c r="HS98" s="977">
        <v>25</v>
      </c>
      <c r="HT98" s="250">
        <v>26</v>
      </c>
      <c r="HU98" s="250">
        <v>27</v>
      </c>
      <c r="HV98" s="250">
        <v>28</v>
      </c>
      <c r="HW98" s="977">
        <v>29</v>
      </c>
      <c r="HX98" s="977">
        <v>30</v>
      </c>
      <c r="HY98" s="976">
        <v>1</v>
      </c>
      <c r="HZ98" s="250">
        <v>2</v>
      </c>
      <c r="IA98" s="250">
        <v>3</v>
      </c>
      <c r="IB98" s="250">
        <v>4</v>
      </c>
      <c r="IC98" s="977">
        <v>5</v>
      </c>
      <c r="ID98" s="250">
        <v>6</v>
      </c>
      <c r="IE98" s="250">
        <v>7</v>
      </c>
      <c r="IF98" s="250">
        <v>8</v>
      </c>
      <c r="IG98" s="977">
        <v>9</v>
      </c>
      <c r="IH98" s="250">
        <v>10</v>
      </c>
      <c r="II98" s="250">
        <v>11</v>
      </c>
      <c r="IJ98" s="250">
        <v>12</v>
      </c>
      <c r="IK98" s="977">
        <v>13</v>
      </c>
      <c r="IL98" s="250">
        <v>14</v>
      </c>
      <c r="IM98" s="250">
        <v>15</v>
      </c>
      <c r="IN98" s="250">
        <v>16</v>
      </c>
      <c r="IO98" s="977">
        <v>17</v>
      </c>
      <c r="IP98" s="250">
        <v>18</v>
      </c>
      <c r="IQ98" s="250">
        <v>19</v>
      </c>
      <c r="IR98" s="250">
        <v>20</v>
      </c>
      <c r="IS98" s="977">
        <v>21</v>
      </c>
      <c r="IT98" s="250">
        <v>22</v>
      </c>
      <c r="IU98" s="250">
        <v>23</v>
      </c>
      <c r="IV98" s="250">
        <v>24</v>
      </c>
      <c r="IW98" s="977">
        <v>25</v>
      </c>
      <c r="IX98" s="250">
        <v>26</v>
      </c>
      <c r="IY98" s="250">
        <v>27</v>
      </c>
      <c r="IZ98" s="250">
        <v>28</v>
      </c>
      <c r="JA98" s="977">
        <v>29</v>
      </c>
      <c r="JB98" s="977">
        <v>30</v>
      </c>
      <c r="JC98" s="976">
        <v>1</v>
      </c>
      <c r="JD98" s="250">
        <v>2</v>
      </c>
      <c r="JE98" s="250">
        <v>3</v>
      </c>
      <c r="JF98" s="250">
        <v>4</v>
      </c>
      <c r="JG98" s="977">
        <v>5</v>
      </c>
      <c r="JH98" s="250">
        <v>6</v>
      </c>
      <c r="JI98" s="250">
        <v>7</v>
      </c>
      <c r="JJ98" s="250">
        <v>8</v>
      </c>
      <c r="JK98" s="977">
        <v>9</v>
      </c>
      <c r="JL98" s="250">
        <v>10</v>
      </c>
      <c r="JM98" s="250">
        <v>11</v>
      </c>
      <c r="JN98" s="250">
        <v>12</v>
      </c>
      <c r="JO98" s="977">
        <v>13</v>
      </c>
      <c r="JP98" s="250">
        <v>14</v>
      </c>
      <c r="JQ98" s="250">
        <v>15</v>
      </c>
      <c r="JR98" s="250">
        <v>16</v>
      </c>
      <c r="JS98" s="977">
        <v>17</v>
      </c>
      <c r="JT98" s="250">
        <v>18</v>
      </c>
      <c r="JU98" s="250">
        <v>19</v>
      </c>
      <c r="JV98" s="250">
        <v>20</v>
      </c>
      <c r="JW98" s="977">
        <v>21</v>
      </c>
      <c r="JX98" s="250">
        <v>22</v>
      </c>
      <c r="JY98" s="250">
        <v>23</v>
      </c>
      <c r="JZ98" s="250">
        <v>24</v>
      </c>
      <c r="KA98" s="977">
        <v>25</v>
      </c>
      <c r="KB98" s="250">
        <v>26</v>
      </c>
      <c r="KC98" s="250">
        <v>27</v>
      </c>
      <c r="KD98" s="250">
        <v>28</v>
      </c>
      <c r="KE98" s="977">
        <v>29</v>
      </c>
      <c r="KF98" s="250">
        <v>30</v>
      </c>
      <c r="KG98" s="388">
        <v>1</v>
      </c>
      <c r="KH98" s="250">
        <v>2</v>
      </c>
      <c r="KI98" s="250">
        <v>3</v>
      </c>
      <c r="KJ98" s="250">
        <v>4</v>
      </c>
      <c r="KK98" s="250">
        <v>5</v>
      </c>
      <c r="KL98" s="250">
        <v>6</v>
      </c>
      <c r="KM98" s="250">
        <v>7</v>
      </c>
      <c r="KN98" s="250">
        <v>8</v>
      </c>
      <c r="KO98" s="250">
        <v>9</v>
      </c>
      <c r="KP98" s="250">
        <v>10</v>
      </c>
      <c r="KQ98" s="250">
        <v>11</v>
      </c>
      <c r="KR98" s="250">
        <v>12</v>
      </c>
      <c r="KS98" s="250">
        <v>13</v>
      </c>
      <c r="KT98" s="250">
        <v>14</v>
      </c>
      <c r="KU98" s="250">
        <v>15</v>
      </c>
      <c r="KV98" s="250">
        <v>16</v>
      </c>
      <c r="KW98" s="250">
        <v>17</v>
      </c>
      <c r="KX98" s="250">
        <v>18</v>
      </c>
      <c r="KY98" s="250">
        <v>19</v>
      </c>
      <c r="KZ98" s="250">
        <v>20</v>
      </c>
      <c r="LA98" s="250">
        <v>21</v>
      </c>
      <c r="LB98" s="250">
        <v>22</v>
      </c>
      <c r="LC98" s="250">
        <v>23</v>
      </c>
      <c r="LD98" s="250">
        <v>24</v>
      </c>
      <c r="LE98" s="250">
        <v>25</v>
      </c>
      <c r="LF98" s="250">
        <v>26</v>
      </c>
      <c r="LG98" s="250">
        <v>27</v>
      </c>
      <c r="LH98" s="250">
        <v>28</v>
      </c>
      <c r="LI98" s="250">
        <v>29</v>
      </c>
      <c r="LJ98" s="388">
        <v>1</v>
      </c>
      <c r="LK98" s="250">
        <v>2</v>
      </c>
      <c r="LL98" s="250">
        <v>3</v>
      </c>
      <c r="LM98" s="977">
        <v>4</v>
      </c>
      <c r="LN98" s="250">
        <v>5</v>
      </c>
      <c r="LO98" s="250">
        <v>6</v>
      </c>
      <c r="LP98" s="977">
        <v>7</v>
      </c>
      <c r="LQ98" s="250">
        <v>8</v>
      </c>
      <c r="LR98" s="250">
        <v>9</v>
      </c>
      <c r="LS98" s="977">
        <v>10</v>
      </c>
      <c r="LT98" s="250">
        <v>11</v>
      </c>
      <c r="LU98" s="250">
        <v>12</v>
      </c>
      <c r="LV98" s="977">
        <v>13</v>
      </c>
      <c r="LW98" s="250">
        <v>14</v>
      </c>
      <c r="LX98" s="250">
        <v>15</v>
      </c>
      <c r="LY98" s="977">
        <v>16</v>
      </c>
      <c r="LZ98" s="250">
        <v>17</v>
      </c>
      <c r="MA98" s="250">
        <v>18</v>
      </c>
      <c r="MB98" s="977">
        <v>19</v>
      </c>
      <c r="MC98" s="250">
        <v>20</v>
      </c>
      <c r="MD98" s="250">
        <v>21</v>
      </c>
      <c r="ME98" s="977">
        <v>22</v>
      </c>
      <c r="MF98" s="250">
        <v>23</v>
      </c>
      <c r="MG98" s="250">
        <v>24</v>
      </c>
      <c r="MH98" s="977">
        <v>25</v>
      </c>
      <c r="MI98" s="250">
        <v>26</v>
      </c>
      <c r="MJ98" s="250">
        <v>27</v>
      </c>
      <c r="MK98" s="977">
        <v>28</v>
      </c>
      <c r="ML98" s="250">
        <v>29</v>
      </c>
      <c r="MM98" s="976">
        <v>1</v>
      </c>
      <c r="MN98" s="250">
        <v>2</v>
      </c>
      <c r="MO98" s="250">
        <v>3</v>
      </c>
      <c r="MP98" s="250">
        <v>4</v>
      </c>
      <c r="MQ98" s="977">
        <v>5</v>
      </c>
      <c r="MR98" s="250">
        <v>6</v>
      </c>
      <c r="MS98" s="250">
        <v>7</v>
      </c>
      <c r="MT98" s="250">
        <v>8</v>
      </c>
      <c r="MU98" s="977">
        <v>9</v>
      </c>
      <c r="MV98" s="250">
        <v>10</v>
      </c>
      <c r="MW98" s="250">
        <v>11</v>
      </c>
      <c r="MX98" s="250">
        <v>12</v>
      </c>
      <c r="MY98" s="977">
        <v>13</v>
      </c>
      <c r="MZ98" s="250">
        <v>14</v>
      </c>
      <c r="NA98" s="250">
        <v>15</v>
      </c>
      <c r="NB98" s="250">
        <v>16</v>
      </c>
      <c r="NC98" s="977">
        <v>17</v>
      </c>
      <c r="ND98" s="250">
        <v>18</v>
      </c>
      <c r="NE98" s="250">
        <v>19</v>
      </c>
      <c r="NF98" s="250">
        <v>20</v>
      </c>
      <c r="NG98" s="977">
        <v>21</v>
      </c>
      <c r="NH98" s="250">
        <v>22</v>
      </c>
      <c r="NI98" s="250">
        <v>23</v>
      </c>
      <c r="NJ98" s="250">
        <v>24</v>
      </c>
      <c r="NK98" s="977">
        <v>25</v>
      </c>
      <c r="NL98" s="250">
        <v>26</v>
      </c>
      <c r="NM98" s="250">
        <v>27</v>
      </c>
      <c r="NN98" s="250">
        <v>28</v>
      </c>
      <c r="NO98" s="977">
        <v>29</v>
      </c>
      <c r="NP98" s="977">
        <v>30</v>
      </c>
      <c r="NQ98" s="388">
        <v>1</v>
      </c>
      <c r="NR98" s="250">
        <v>2</v>
      </c>
      <c r="NS98" s="250">
        <v>3</v>
      </c>
      <c r="NT98" s="977">
        <v>4</v>
      </c>
      <c r="NU98" s="250">
        <v>5</v>
      </c>
      <c r="NV98" s="250">
        <v>6</v>
      </c>
      <c r="NW98" s="977">
        <v>7</v>
      </c>
      <c r="NX98" s="250">
        <v>8</v>
      </c>
      <c r="NY98" s="250">
        <v>9</v>
      </c>
      <c r="NZ98" s="977">
        <v>10</v>
      </c>
      <c r="OA98" s="250">
        <v>11</v>
      </c>
      <c r="OB98" s="250">
        <v>12</v>
      </c>
      <c r="OC98" s="977">
        <v>13</v>
      </c>
      <c r="OD98" s="250">
        <v>14</v>
      </c>
      <c r="OE98" s="250">
        <v>15</v>
      </c>
      <c r="OF98" s="977">
        <v>16</v>
      </c>
      <c r="OG98" s="250">
        <v>17</v>
      </c>
      <c r="OH98" s="250">
        <v>18</v>
      </c>
      <c r="OI98" s="977">
        <v>19</v>
      </c>
      <c r="OJ98" s="250">
        <v>20</v>
      </c>
      <c r="OK98" s="250">
        <v>21</v>
      </c>
      <c r="OL98" s="977">
        <v>22</v>
      </c>
      <c r="OM98" s="250">
        <v>23</v>
      </c>
      <c r="ON98" s="250">
        <v>24</v>
      </c>
      <c r="OO98" s="977">
        <v>25</v>
      </c>
      <c r="OP98" s="250">
        <v>26</v>
      </c>
      <c r="OQ98" s="250">
        <v>27</v>
      </c>
      <c r="OR98" s="977">
        <v>28</v>
      </c>
      <c r="OS98" s="250">
        <v>29</v>
      </c>
      <c r="OT98" s="388">
        <v>1</v>
      </c>
      <c r="OU98" s="250">
        <v>2</v>
      </c>
      <c r="OV98" s="250">
        <v>3</v>
      </c>
      <c r="OW98" s="977">
        <v>4</v>
      </c>
      <c r="OX98" s="250">
        <v>5</v>
      </c>
      <c r="OY98" s="250">
        <v>6</v>
      </c>
      <c r="OZ98" s="977">
        <v>7</v>
      </c>
      <c r="PA98" s="250">
        <v>8</v>
      </c>
      <c r="PB98" s="250">
        <v>9</v>
      </c>
      <c r="PC98" s="977">
        <v>10</v>
      </c>
      <c r="PD98" s="250">
        <v>11</v>
      </c>
      <c r="PE98" s="250">
        <v>12</v>
      </c>
      <c r="PF98" s="977">
        <v>13</v>
      </c>
      <c r="PG98" s="250">
        <v>14</v>
      </c>
      <c r="PH98" s="250">
        <v>15</v>
      </c>
      <c r="PI98" s="977">
        <v>16</v>
      </c>
      <c r="PJ98" s="250">
        <v>17</v>
      </c>
      <c r="PK98" s="250">
        <v>18</v>
      </c>
      <c r="PL98" s="977">
        <v>19</v>
      </c>
      <c r="PM98" s="250">
        <v>20</v>
      </c>
      <c r="PN98" s="250">
        <v>21</v>
      </c>
      <c r="PO98" s="977">
        <v>22</v>
      </c>
      <c r="PP98" s="250">
        <v>23</v>
      </c>
      <c r="PQ98" s="250">
        <v>24</v>
      </c>
      <c r="PR98" s="977">
        <v>25</v>
      </c>
      <c r="PS98" s="250">
        <v>26</v>
      </c>
      <c r="PT98" s="250">
        <v>27</v>
      </c>
      <c r="PU98" s="977">
        <v>28</v>
      </c>
      <c r="PV98" s="250">
        <v>29</v>
      </c>
      <c r="PW98" s="976">
        <v>1</v>
      </c>
      <c r="PX98" s="250">
        <v>2</v>
      </c>
      <c r="PY98" s="250">
        <v>3</v>
      </c>
      <c r="PZ98" s="250">
        <v>4</v>
      </c>
      <c r="QA98" s="977">
        <v>5</v>
      </c>
      <c r="QB98" s="250">
        <v>6</v>
      </c>
      <c r="QC98" s="250">
        <v>7</v>
      </c>
      <c r="QD98" s="250">
        <v>8</v>
      </c>
      <c r="QE98" s="977">
        <v>9</v>
      </c>
      <c r="QF98" s="250">
        <v>10</v>
      </c>
      <c r="QG98" s="250">
        <v>11</v>
      </c>
      <c r="QH98" s="250">
        <v>12</v>
      </c>
      <c r="QI98" s="977">
        <v>13</v>
      </c>
      <c r="QJ98" s="250">
        <v>14</v>
      </c>
      <c r="QK98" s="250">
        <v>15</v>
      </c>
      <c r="QL98" s="250">
        <v>16</v>
      </c>
      <c r="QM98" s="977">
        <v>17</v>
      </c>
      <c r="QN98" s="250">
        <v>18</v>
      </c>
      <c r="QO98" s="250">
        <v>19</v>
      </c>
      <c r="QP98" s="250">
        <v>20</v>
      </c>
      <c r="QQ98" s="977">
        <v>21</v>
      </c>
      <c r="QR98" s="250">
        <v>22</v>
      </c>
      <c r="QS98" s="250">
        <v>23</v>
      </c>
      <c r="QT98" s="250">
        <v>24</v>
      </c>
      <c r="QU98" s="977">
        <v>25</v>
      </c>
      <c r="QV98" s="250">
        <v>26</v>
      </c>
      <c r="QW98" s="250">
        <v>27</v>
      </c>
      <c r="QX98" s="250">
        <v>28</v>
      </c>
      <c r="QY98" s="977">
        <v>29</v>
      </c>
      <c r="QZ98" s="977">
        <v>30</v>
      </c>
      <c r="RA98" s="694">
        <v>1</v>
      </c>
      <c r="RB98" s="797" t="e">
        <f>IF(AND(QZ96&gt;=10,QZ97&gt;=10),354,355)</f>
        <v>#VALUE!</v>
      </c>
      <c r="RC98" s="797" t="e">
        <f t="shared" ref="RC98" si="1194">IF(RB98=RB89,1,RC87+1)</f>
        <v>#VALUE!</v>
      </c>
    </row>
    <row r="99" spans="2:471">
      <c r="B99">
        <v>2</v>
      </c>
      <c r="C99" s="10" t="s">
        <v>60</v>
      </c>
      <c r="D99" s="10">
        <v>354.36709259258998</v>
      </c>
      <c r="E99" s="10">
        <f>INT(MOD(I99,D99))+1</f>
        <v>12</v>
      </c>
      <c r="F99" s="10">
        <f>IF(G99=1,E99,IF(G99=2,E99-30,IF(G99=3,E99-59,IF(G99=4,E99-89,IF(G99=5,E99-118,IF(G99=6,E99-148,IF(G99=7,E99-177,IF(G99=8,E99-207,IF(G99=9,E99-236,IF(G99=10,E99-266,IF(G99=11,E99-295,E99-325)))))))))))</f>
        <v>12</v>
      </c>
      <c r="G99" s="10">
        <f>IF(E99&lt;=30,1,IF(E99&lt;=59,2,IF(E99&lt;=89,3,IF(E99&lt;=118,4,IF(E99&lt;=148,5,IF(E99&lt;=177,6,IF(E99&lt;=207,7,IF(E99&lt;=236,8,IF(E99&lt;=266,9,IF(E99&lt;=295,10,IF(E99&lt;=325,11,12)))))))))))</f>
        <v>1</v>
      </c>
      <c r="H99" s="10">
        <f>INT(I99/D99)+1</f>
        <v>1289</v>
      </c>
      <c r="I99" s="10">
        <f>I97-J97</f>
        <v>456436</v>
      </c>
      <c r="J99" s="10">
        <v>0</v>
      </c>
      <c r="K99" s="10" t="s">
        <v>96</v>
      </c>
      <c r="L99" s="10" t="s">
        <v>65</v>
      </c>
      <c r="M99" s="10" t="s">
        <v>66</v>
      </c>
      <c r="N99" s="10" t="s">
        <v>67</v>
      </c>
      <c r="O99" s="10" t="s">
        <v>93</v>
      </c>
      <c r="P99" s="10" t="s">
        <v>69</v>
      </c>
      <c r="Q99" s="10" t="s">
        <v>92</v>
      </c>
      <c r="R99" s="10" t="s">
        <v>71</v>
      </c>
      <c r="S99" s="10" t="s">
        <v>72</v>
      </c>
      <c r="T99" s="10" t="s">
        <v>73</v>
      </c>
      <c r="U99" s="10" t="s">
        <v>74</v>
      </c>
      <c r="V99" s="10" t="s">
        <v>94</v>
      </c>
      <c r="W99" s="10" t="s">
        <v>95</v>
      </c>
      <c r="X99" s="10" t="s">
        <v>97</v>
      </c>
      <c r="DH99" s="274"/>
      <c r="DI99" s="274"/>
      <c r="DJ99" s="274"/>
      <c r="DK99" s="274"/>
      <c r="DL99" s="274"/>
      <c r="DM99" s="274"/>
      <c r="DN99" s="274"/>
      <c r="DO99" s="274"/>
      <c r="DP99" s="274"/>
      <c r="DQ99" s="274"/>
      <c r="DR99" s="274"/>
      <c r="DS99" s="274"/>
      <c r="DT99" s="274"/>
      <c r="DU99" s="274"/>
      <c r="DV99" s="274"/>
      <c r="DW99" s="274"/>
      <c r="DX99" s="274"/>
      <c r="DY99" s="274"/>
      <c r="DZ99" s="274"/>
      <c r="EA99" s="274"/>
      <c r="EB99" s="274"/>
      <c r="EC99" s="274"/>
      <c r="ED99" s="274"/>
      <c r="EE99" s="274"/>
      <c r="EF99" s="274"/>
      <c r="EG99" s="274"/>
      <c r="EH99" s="274"/>
      <c r="EI99" s="274"/>
      <c r="EJ99" s="274"/>
      <c r="EK99" s="274"/>
      <c r="EL99" s="274"/>
      <c r="EM99" s="274"/>
      <c r="EN99" s="274"/>
      <c r="EO99" s="274"/>
      <c r="EP99" s="274"/>
      <c r="EQ99" s="274"/>
      <c r="ER99" s="274"/>
      <c r="ES99" s="274"/>
      <c r="ET99" s="274"/>
      <c r="EU99" s="274"/>
      <c r="EV99" s="274"/>
      <c r="EW99" s="274"/>
      <c r="EX99" s="274"/>
      <c r="EY99" s="274"/>
      <c r="EZ99" s="274"/>
      <c r="FA99" s="274"/>
      <c r="FB99" s="274"/>
      <c r="FC99" s="274"/>
      <c r="FD99" s="274"/>
      <c r="FE99" s="274"/>
      <c r="FF99" s="274"/>
      <c r="FG99" s="274"/>
      <c r="FH99" s="274"/>
      <c r="FI99" s="274"/>
      <c r="FJ99" s="274"/>
      <c r="FK99" s="274"/>
      <c r="FL99" s="274"/>
      <c r="FM99" s="274"/>
      <c r="FN99" s="274"/>
      <c r="FO99" s="274"/>
      <c r="FP99" s="274"/>
      <c r="FQ99" s="274"/>
      <c r="FR99" s="274"/>
      <c r="FS99" s="274"/>
      <c r="FT99" s="274"/>
      <c r="FU99" s="274"/>
      <c r="FV99" s="274"/>
      <c r="FW99" s="274"/>
      <c r="FX99" s="274"/>
      <c r="FY99" s="274"/>
      <c r="FZ99" s="274"/>
      <c r="GA99" s="274"/>
      <c r="GB99" s="274"/>
      <c r="GC99" s="274"/>
      <c r="GD99" s="274"/>
      <c r="GE99" s="274"/>
      <c r="GF99" s="274"/>
      <c r="GG99" s="274"/>
      <c r="GH99" s="274"/>
      <c r="GI99" s="274"/>
      <c r="GJ99" s="274"/>
      <c r="GK99" s="274"/>
      <c r="GL99" s="274"/>
      <c r="GM99" s="274"/>
      <c r="GN99" s="274"/>
      <c r="GO99" s="274"/>
      <c r="GP99" s="274"/>
      <c r="GQ99" s="274"/>
      <c r="GR99" s="274"/>
      <c r="GS99" s="274"/>
      <c r="GT99" s="274"/>
      <c r="GU99" s="274"/>
      <c r="GV99" s="274"/>
      <c r="GW99" s="274"/>
      <c r="GX99" s="274"/>
      <c r="GY99" s="274"/>
      <c r="GZ99" s="274"/>
      <c r="HA99" s="274"/>
      <c r="HB99" s="274"/>
      <c r="HC99" s="274"/>
      <c r="HD99" s="274"/>
      <c r="HE99" s="274"/>
      <c r="HF99" s="274"/>
      <c r="HG99" s="274"/>
      <c r="HH99" s="274"/>
      <c r="HI99" s="274"/>
      <c r="HJ99" s="274"/>
      <c r="HK99" s="274"/>
      <c r="HL99" s="274"/>
      <c r="HM99" s="274"/>
      <c r="HN99" s="274"/>
      <c r="HO99" s="274"/>
      <c r="HP99" s="274"/>
      <c r="HQ99" s="274"/>
      <c r="HR99" s="274"/>
      <c r="HS99" s="274"/>
      <c r="HT99" s="274"/>
      <c r="HU99" s="274"/>
      <c r="HV99" s="274"/>
      <c r="HW99" s="274"/>
      <c r="HX99" s="274"/>
      <c r="HY99" s="274"/>
      <c r="HZ99" s="274"/>
      <c r="IA99" s="274"/>
      <c r="IB99" s="274"/>
      <c r="IC99" s="274"/>
      <c r="ID99" s="274"/>
      <c r="IE99" s="274"/>
      <c r="IF99" s="274"/>
      <c r="IG99" s="274"/>
      <c r="IH99" s="274"/>
      <c r="II99" s="274"/>
      <c r="IJ99" s="274"/>
      <c r="IK99" s="274"/>
      <c r="IL99" s="274"/>
      <c r="IM99" s="274"/>
      <c r="IN99" s="274"/>
      <c r="IO99" s="274"/>
      <c r="IP99" s="274"/>
      <c r="IQ99" s="274"/>
      <c r="IR99" s="274"/>
      <c r="IS99" s="274"/>
      <c r="IT99" s="274"/>
      <c r="IU99" s="274"/>
      <c r="IV99" s="274"/>
      <c r="IW99" s="274"/>
      <c r="IX99" s="274"/>
      <c r="IY99" s="274"/>
      <c r="IZ99" s="274"/>
      <c r="JA99" s="274"/>
      <c r="JB99" s="274"/>
      <c r="JC99" s="274"/>
      <c r="JD99" s="274"/>
      <c r="JE99" s="274"/>
      <c r="JF99" s="274"/>
      <c r="JG99" s="274"/>
      <c r="JH99" s="274"/>
      <c r="JI99" s="274"/>
      <c r="JJ99" s="274"/>
      <c r="JK99" s="274"/>
      <c r="JL99" s="274"/>
      <c r="JM99" s="274"/>
      <c r="JN99" s="274"/>
      <c r="JO99" s="274"/>
      <c r="JP99" s="274"/>
      <c r="JQ99" s="274"/>
      <c r="JR99" s="274"/>
      <c r="JS99" s="274"/>
      <c r="JT99" s="274"/>
      <c r="JU99" s="274"/>
      <c r="JV99" s="274"/>
      <c r="JW99" s="274"/>
      <c r="JX99" s="274"/>
      <c r="JY99" s="274"/>
      <c r="JZ99" s="274"/>
      <c r="KA99" s="274"/>
      <c r="KB99" s="274"/>
      <c r="KC99" s="274"/>
      <c r="KD99" s="274"/>
      <c r="KE99" s="274"/>
      <c r="KF99" s="274"/>
      <c r="KG99" s="274"/>
      <c r="KH99" s="274"/>
      <c r="KI99" s="274"/>
      <c r="KJ99" s="274"/>
      <c r="KK99" s="274"/>
      <c r="KL99" s="274"/>
      <c r="KM99" s="274"/>
      <c r="KN99" s="274"/>
      <c r="KO99" s="274"/>
      <c r="KP99" s="274"/>
      <c r="KQ99" s="274"/>
      <c r="KR99" s="274"/>
      <c r="KS99" s="274"/>
      <c r="KT99" s="274"/>
      <c r="KU99" s="274"/>
      <c r="KV99" s="274"/>
      <c r="KW99" s="274"/>
      <c r="KX99" s="274"/>
      <c r="KY99" s="274"/>
      <c r="KZ99" s="274"/>
      <c r="LA99" s="274"/>
      <c r="LB99" s="274"/>
      <c r="LC99" s="274"/>
      <c r="LD99" s="274"/>
      <c r="LE99" s="274"/>
      <c r="LF99" s="274"/>
      <c r="LG99" s="274"/>
      <c r="LH99" s="274"/>
      <c r="LI99" s="274"/>
      <c r="LJ99" s="274"/>
      <c r="LK99" s="274"/>
      <c r="LL99" s="274"/>
      <c r="LM99" s="274"/>
      <c r="LN99" s="274"/>
      <c r="LO99" s="274"/>
      <c r="LP99" s="274"/>
      <c r="LQ99" s="274"/>
      <c r="LR99" s="274"/>
      <c r="LS99" s="274"/>
      <c r="LT99" s="274"/>
      <c r="LU99" s="274"/>
      <c r="LV99" s="274"/>
      <c r="LW99" s="274"/>
      <c r="LX99" s="274"/>
      <c r="LY99" s="274"/>
      <c r="LZ99" s="274"/>
      <c r="MA99" s="274"/>
      <c r="MB99" s="274"/>
      <c r="MC99" s="274"/>
      <c r="MD99" s="274"/>
      <c r="ME99" s="274"/>
      <c r="MF99" s="274"/>
      <c r="MG99" s="274"/>
      <c r="MH99" s="274"/>
      <c r="MI99" s="274"/>
      <c r="MJ99" s="274"/>
      <c r="MK99" s="274"/>
      <c r="ML99" s="274"/>
      <c r="MM99" s="274"/>
      <c r="MN99" s="274"/>
      <c r="MO99" s="274"/>
      <c r="MP99" s="274"/>
      <c r="MQ99" s="274"/>
      <c r="MR99" s="274"/>
      <c r="MS99" s="274"/>
      <c r="MT99" s="274"/>
      <c r="MU99" s="274"/>
      <c r="MV99" s="274"/>
      <c r="MW99" s="274"/>
      <c r="MX99" s="274"/>
      <c r="MY99" s="274"/>
      <c r="MZ99" s="274"/>
      <c r="NA99" s="274"/>
      <c r="NB99" s="274"/>
      <c r="NC99" s="274"/>
      <c r="ND99" s="274"/>
      <c r="NE99" s="274"/>
      <c r="NF99" s="274"/>
      <c r="NG99" s="274"/>
      <c r="NH99" s="274"/>
      <c r="NI99" s="274"/>
      <c r="NJ99" s="274"/>
      <c r="NK99" s="274"/>
      <c r="NL99" s="274"/>
      <c r="NM99" s="274"/>
      <c r="NN99" s="274"/>
      <c r="NO99" s="274"/>
      <c r="NP99" s="274"/>
      <c r="NQ99" s="274"/>
      <c r="NR99" s="274"/>
      <c r="NS99" s="274"/>
      <c r="NT99" s="274"/>
      <c r="NU99" s="274"/>
      <c r="NV99" s="274"/>
      <c r="NW99" s="274"/>
      <c r="NX99" s="274"/>
      <c r="NY99" s="274"/>
      <c r="NZ99" s="274"/>
      <c r="OA99" s="274"/>
      <c r="OB99" s="274"/>
      <c r="OC99" s="274"/>
      <c r="OD99" s="274"/>
      <c r="OE99" s="274"/>
      <c r="OF99" s="274"/>
      <c r="OG99" s="274"/>
      <c r="OH99" s="274"/>
      <c r="OI99" s="274"/>
      <c r="OJ99" s="274"/>
      <c r="OK99" s="274"/>
      <c r="OL99" s="274"/>
      <c r="OM99" s="274"/>
      <c r="ON99" s="274"/>
      <c r="OO99" s="274"/>
      <c r="OP99" s="274"/>
      <c r="OQ99" s="274"/>
      <c r="OR99" s="274"/>
      <c r="OS99" s="274"/>
      <c r="OT99" s="274"/>
      <c r="OU99" s="274"/>
      <c r="OV99" s="274"/>
      <c r="OW99" s="274"/>
      <c r="OX99" s="274"/>
      <c r="OY99" s="274"/>
      <c r="OZ99" s="274"/>
      <c r="PA99" s="274"/>
      <c r="PB99" s="274"/>
      <c r="PC99" s="274"/>
      <c r="PD99" s="274"/>
      <c r="PE99" s="274"/>
      <c r="PF99" s="274"/>
      <c r="PG99" s="274"/>
      <c r="PH99" s="274"/>
      <c r="PI99" s="274"/>
      <c r="PJ99" s="274"/>
      <c r="PK99" s="274"/>
      <c r="PL99" s="274"/>
      <c r="PM99" s="274"/>
      <c r="PN99" s="274"/>
      <c r="PO99" s="274"/>
      <c r="PP99" s="274"/>
      <c r="PQ99" s="274"/>
      <c r="PR99" s="274"/>
      <c r="PS99" s="274"/>
      <c r="PT99" s="274"/>
      <c r="PU99" s="274"/>
      <c r="PV99" s="274"/>
      <c r="PW99" s="274"/>
      <c r="PX99" s="274"/>
      <c r="PY99" s="274"/>
      <c r="PZ99" s="274"/>
      <c r="QA99" s="274"/>
      <c r="QB99" s="274"/>
      <c r="QC99" s="274"/>
      <c r="QD99" s="274"/>
      <c r="QE99" s="274"/>
      <c r="QF99" s="274"/>
      <c r="QG99" s="274"/>
      <c r="QH99" s="274"/>
      <c r="QI99" s="274"/>
      <c r="QJ99" s="274"/>
      <c r="QK99" s="274"/>
      <c r="QL99" s="274"/>
      <c r="QM99" s="274"/>
      <c r="QN99" s="274"/>
      <c r="QO99" s="274"/>
      <c r="QP99" s="274"/>
      <c r="QQ99" s="274"/>
      <c r="QR99" s="274"/>
      <c r="QS99" s="274"/>
      <c r="QT99" s="274"/>
      <c r="QU99" s="274"/>
      <c r="QV99" s="274"/>
      <c r="QW99" s="274"/>
      <c r="QX99" s="274"/>
      <c r="QY99" s="274"/>
      <c r="QZ99" s="274"/>
      <c r="RA99" s="274"/>
      <c r="RB99" s="274"/>
      <c r="RC99" s="274"/>
    </row>
    <row r="100" spans="2:471" ht="17.25">
      <c r="C100" s="10"/>
      <c r="D100" s="10"/>
      <c r="E100" s="10"/>
      <c r="F100" s="10"/>
      <c r="G100" s="10" t="str">
        <f>IF(G99=1,L99,IF(G99=2,M99,IF(G99=3,N99,IF(G99=4,O99,IF(G99=5,P99,IF(G99=6,Q99,IF(G99=7,R99,IF(G99=8,S99,IF(G99=9,T99,IF(G99=10,U99,IF(G99=11,V99,IF(G99=12,W99,X99))))))))))))</f>
        <v>محرم</v>
      </c>
      <c r="H100" s="10"/>
      <c r="I100" s="10"/>
      <c r="J100" s="10"/>
      <c r="K100" s="10"/>
      <c r="L100" s="10"/>
      <c r="M100" s="10"/>
      <c r="N100" s="10"/>
      <c r="O100" s="10"/>
      <c r="P100" s="10"/>
      <c r="Q100" s="10"/>
      <c r="R100" s="10"/>
      <c r="S100" s="10"/>
      <c r="T100" s="10"/>
      <c r="U100" s="10"/>
      <c r="V100" s="10"/>
      <c r="W100" s="10"/>
      <c r="X100" s="10"/>
      <c r="DH100" s="274"/>
      <c r="DI100" s="274"/>
      <c r="DJ100" s="978"/>
      <c r="DK100" s="274"/>
      <c r="DL100" s="274"/>
      <c r="DM100" s="274"/>
      <c r="DN100" s="274"/>
      <c r="DO100" s="274"/>
      <c r="DP100" s="274"/>
      <c r="DQ100" s="274"/>
      <c r="DR100" s="274"/>
      <c r="DS100" s="274"/>
      <c r="DT100" s="274"/>
      <c r="DU100" s="274"/>
      <c r="DV100" s="274"/>
      <c r="DW100" s="274"/>
      <c r="DX100" s="274"/>
      <c r="DY100" s="274"/>
      <c r="DZ100" s="274"/>
      <c r="EA100" s="274"/>
      <c r="EB100" s="274"/>
      <c r="EC100" s="274"/>
      <c r="ED100" s="274"/>
      <c r="EE100" s="274"/>
      <c r="EF100" s="274"/>
      <c r="EG100" s="274"/>
      <c r="EH100" s="274"/>
      <c r="EI100" s="274"/>
      <c r="EJ100" s="274"/>
      <c r="EK100" s="274"/>
      <c r="EL100" s="274"/>
      <c r="EM100" s="274"/>
      <c r="EN100" s="274"/>
      <c r="EO100" s="274"/>
      <c r="EP100" s="274"/>
      <c r="EQ100" s="274"/>
      <c r="ER100" s="274"/>
      <c r="ES100" s="274"/>
      <c r="ET100" s="274"/>
      <c r="EU100" s="274"/>
      <c r="EV100" s="274"/>
      <c r="EW100" s="274"/>
      <c r="EX100" s="274"/>
      <c r="EY100" s="274"/>
      <c r="EZ100" s="274"/>
      <c r="FA100" s="274"/>
      <c r="FB100" s="274"/>
      <c r="FC100" s="274"/>
      <c r="FD100" s="274"/>
      <c r="FE100" s="274"/>
      <c r="FF100" s="274"/>
      <c r="FG100" s="274"/>
      <c r="FH100" s="274"/>
      <c r="FI100" s="274"/>
      <c r="FJ100" s="274"/>
      <c r="FK100" s="274"/>
      <c r="FL100" s="274"/>
      <c r="FM100" s="274"/>
      <c r="FN100" s="274"/>
      <c r="FO100" s="274"/>
      <c r="FP100" s="274"/>
      <c r="FQ100" s="274"/>
      <c r="FR100" s="274"/>
      <c r="FS100" s="274"/>
      <c r="FT100" s="274"/>
      <c r="FU100" s="274"/>
      <c r="FV100" s="274"/>
      <c r="FW100" s="274"/>
      <c r="FX100" s="274"/>
      <c r="FY100" s="274"/>
      <c r="FZ100" s="274"/>
      <c r="GA100" s="274"/>
      <c r="GB100" s="274"/>
      <c r="GC100" s="274"/>
      <c r="GD100" s="274"/>
      <c r="GE100" s="274"/>
      <c r="GF100" s="274"/>
      <c r="GG100" s="274"/>
      <c r="GH100" s="274"/>
      <c r="GI100" s="274"/>
      <c r="GJ100" s="274"/>
      <c r="GK100" s="274"/>
      <c r="GL100" s="274"/>
      <c r="GM100" s="274"/>
      <c r="GN100" s="274"/>
      <c r="GO100" s="274"/>
      <c r="GP100" s="274"/>
      <c r="GQ100" s="274"/>
      <c r="GR100" s="274"/>
      <c r="GS100" s="274"/>
      <c r="GT100" s="274"/>
      <c r="GU100" s="274"/>
      <c r="GV100" s="274"/>
      <c r="GW100" s="274"/>
      <c r="GX100" s="274"/>
      <c r="GY100" s="274"/>
      <c r="GZ100" s="274"/>
      <c r="HA100" s="274"/>
      <c r="HB100" s="274"/>
      <c r="HC100" s="274"/>
      <c r="HD100" s="274"/>
      <c r="HE100" s="274"/>
      <c r="HF100" s="274"/>
      <c r="HG100" s="274"/>
      <c r="HH100" s="274"/>
      <c r="HI100" s="274"/>
      <c r="HJ100" s="274"/>
      <c r="HK100" s="274"/>
      <c r="HL100" s="274"/>
      <c r="HM100" s="274"/>
      <c r="HN100" s="274"/>
      <c r="HO100" s="274"/>
      <c r="HP100" s="274"/>
      <c r="HQ100" s="274"/>
      <c r="HR100" s="274"/>
      <c r="HS100" s="274"/>
      <c r="HT100" s="274"/>
      <c r="HU100" s="274"/>
      <c r="HV100" s="274"/>
      <c r="HW100" s="274"/>
      <c r="HX100" s="274"/>
      <c r="HY100" s="274"/>
      <c r="HZ100" s="274"/>
      <c r="IA100" s="274"/>
      <c r="IB100" s="274"/>
      <c r="IC100" s="274"/>
      <c r="ID100" s="274"/>
      <c r="IE100" s="274"/>
      <c r="IF100" s="274"/>
      <c r="IG100" s="274"/>
      <c r="IH100" s="274"/>
      <c r="II100" s="274"/>
      <c r="IJ100" s="274"/>
      <c r="IK100" s="274"/>
      <c r="IL100" s="274"/>
      <c r="IM100" s="274"/>
      <c r="IN100" s="274"/>
      <c r="IO100" s="274"/>
      <c r="IP100" s="274"/>
      <c r="IQ100" s="274"/>
      <c r="IR100" s="274"/>
      <c r="IS100" s="274"/>
      <c r="IT100" s="274"/>
      <c r="IU100" s="274"/>
      <c r="IV100" s="274"/>
      <c r="IW100" s="274"/>
      <c r="IX100" s="274"/>
      <c r="IY100" s="274"/>
      <c r="IZ100" s="274"/>
      <c r="JA100" s="274"/>
      <c r="JB100" s="274"/>
      <c r="JC100" s="274"/>
      <c r="JD100" s="274"/>
      <c r="JE100" s="274"/>
      <c r="JF100" s="274"/>
      <c r="JG100" s="274"/>
      <c r="JH100" s="274"/>
      <c r="JI100" s="274"/>
      <c r="JJ100" s="274"/>
      <c r="JK100" s="274"/>
      <c r="JL100" s="274"/>
      <c r="JM100" s="274"/>
      <c r="JN100" s="274"/>
      <c r="JO100" s="274"/>
      <c r="JP100" s="274"/>
      <c r="JQ100" s="274"/>
      <c r="JR100" s="274"/>
      <c r="JS100" s="274"/>
      <c r="JT100" s="274"/>
      <c r="JU100" s="274"/>
      <c r="JV100" s="274"/>
      <c r="JW100" s="274"/>
      <c r="JX100" s="274"/>
      <c r="JY100" s="274"/>
      <c r="JZ100" s="274"/>
      <c r="KA100" s="274"/>
      <c r="KB100" s="274"/>
      <c r="KC100" s="274"/>
      <c r="KD100" s="274"/>
      <c r="KE100" s="274"/>
      <c r="KF100" s="274"/>
      <c r="KG100" s="274"/>
      <c r="KH100" s="274"/>
      <c r="KI100" s="274"/>
      <c r="KJ100" s="274"/>
      <c r="KK100" s="274"/>
      <c r="KL100" s="274"/>
      <c r="KM100" s="274"/>
      <c r="KN100" s="274"/>
      <c r="KO100" s="274"/>
      <c r="KP100" s="274"/>
      <c r="KQ100" s="274"/>
      <c r="KR100" s="274"/>
      <c r="KS100" s="274"/>
      <c r="KT100" s="274"/>
      <c r="KU100" s="274"/>
      <c r="KV100" s="274"/>
      <c r="KW100" s="274"/>
      <c r="KX100" s="274"/>
      <c r="KY100" s="274"/>
      <c r="KZ100" s="274"/>
      <c r="LA100" s="274"/>
      <c r="LB100" s="274"/>
      <c r="LC100" s="274"/>
      <c r="LD100" s="274"/>
      <c r="LE100" s="274"/>
      <c r="LF100" s="274"/>
      <c r="LG100" s="274"/>
      <c r="LH100" s="274"/>
      <c r="LI100" s="274"/>
      <c r="LJ100" s="274"/>
      <c r="LK100" s="274"/>
      <c r="LL100" s="274"/>
      <c r="LM100" s="274"/>
      <c r="LN100" s="274"/>
      <c r="LO100" s="274"/>
      <c r="LP100" s="274"/>
      <c r="LQ100" s="274"/>
      <c r="LR100" s="274"/>
      <c r="LS100" s="274"/>
      <c r="LT100" s="274"/>
      <c r="LU100" s="274"/>
      <c r="LV100" s="274"/>
      <c r="LW100" s="274"/>
      <c r="LX100" s="274"/>
      <c r="LY100" s="274"/>
      <c r="LZ100" s="274"/>
      <c r="MA100" s="274"/>
      <c r="MB100" s="274"/>
      <c r="MC100" s="274"/>
      <c r="MD100" s="274"/>
      <c r="ME100" s="274"/>
      <c r="MF100" s="274"/>
      <c r="MG100" s="274"/>
      <c r="MH100" s="274"/>
      <c r="MI100" s="274"/>
      <c r="MJ100" s="274"/>
      <c r="MK100" s="274"/>
      <c r="ML100" s="274"/>
      <c r="MM100" s="274"/>
      <c r="MN100" s="274"/>
      <c r="MO100" s="274"/>
      <c r="MP100" s="274"/>
      <c r="MQ100" s="274"/>
      <c r="MR100" s="274"/>
      <c r="MS100" s="274"/>
      <c r="MT100" s="274"/>
      <c r="MU100" s="274"/>
      <c r="MV100" s="274"/>
      <c r="MW100" s="274"/>
      <c r="MX100" s="274"/>
      <c r="MY100" s="274"/>
      <c r="MZ100" s="274"/>
      <c r="NA100" s="274"/>
      <c r="NB100" s="274"/>
      <c r="NC100" s="274"/>
      <c r="ND100" s="274"/>
      <c r="NE100" s="274"/>
      <c r="NF100" s="274"/>
      <c r="NG100" s="274"/>
      <c r="NH100" s="274"/>
      <c r="NI100" s="274"/>
      <c r="NJ100" s="274"/>
      <c r="NK100" s="274"/>
      <c r="NL100" s="274"/>
      <c r="NM100" s="274"/>
      <c r="NN100" s="274"/>
      <c r="NO100" s="274"/>
      <c r="NP100" s="274"/>
      <c r="NQ100" s="274"/>
      <c r="NR100" s="274"/>
      <c r="NS100" s="274"/>
      <c r="NT100" s="274"/>
      <c r="NU100" s="274"/>
      <c r="NV100" s="274"/>
      <c r="NW100" s="274"/>
      <c r="NX100" s="274"/>
      <c r="NY100" s="274"/>
      <c r="NZ100" s="274"/>
      <c r="OA100" s="274"/>
      <c r="OB100" s="274"/>
      <c r="OC100" s="274"/>
      <c r="OD100" s="274"/>
      <c r="OE100" s="274"/>
      <c r="OF100" s="274"/>
      <c r="OG100" s="274"/>
      <c r="OH100" s="274"/>
      <c r="OI100" s="274"/>
      <c r="OJ100" s="274"/>
      <c r="OK100" s="274"/>
      <c r="OL100" s="274"/>
      <c r="OM100" s="274"/>
      <c r="ON100" s="274"/>
      <c r="OO100" s="274"/>
      <c r="OP100" s="274"/>
      <c r="OQ100" s="274"/>
      <c r="OR100" s="274"/>
      <c r="OS100" s="274"/>
      <c r="OT100" s="274"/>
      <c r="OU100" s="274"/>
      <c r="OV100" s="274"/>
      <c r="OW100" s="274"/>
      <c r="OX100" s="274"/>
      <c r="OY100" s="274"/>
      <c r="OZ100" s="274"/>
      <c r="PA100" s="274"/>
      <c r="PB100" s="274"/>
      <c r="PC100" s="274"/>
      <c r="PD100" s="274"/>
      <c r="PE100" s="274"/>
      <c r="PF100" s="274"/>
      <c r="PG100" s="274"/>
      <c r="PH100" s="274"/>
      <c r="PI100" s="274"/>
      <c r="PJ100" s="274"/>
      <c r="PK100" s="274"/>
      <c r="PL100" s="274"/>
      <c r="PM100" s="274"/>
      <c r="PN100" s="274"/>
      <c r="PO100" s="274"/>
      <c r="PP100" s="274"/>
      <c r="PQ100" s="274"/>
      <c r="PR100" s="274"/>
      <c r="PS100" s="274"/>
      <c r="PT100" s="274"/>
      <c r="PU100" s="274"/>
      <c r="PV100" s="274"/>
      <c r="PW100" s="274"/>
      <c r="PX100" s="274"/>
      <c r="PY100" s="274"/>
      <c r="PZ100" s="274"/>
      <c r="QA100" s="274"/>
      <c r="QB100" s="274"/>
      <c r="QC100" s="274"/>
      <c r="QD100" s="274"/>
      <c r="QE100" s="274"/>
      <c r="QF100" s="274"/>
      <c r="QG100" s="274"/>
      <c r="QH100" s="274"/>
      <c r="QI100" s="274"/>
      <c r="QJ100" s="274"/>
      <c r="QK100" s="274"/>
      <c r="QL100" s="274"/>
      <c r="QM100" s="274"/>
      <c r="QN100" s="274"/>
      <c r="QO100" s="274"/>
      <c r="QP100" s="274"/>
      <c r="QQ100" s="274"/>
      <c r="QR100" s="274"/>
      <c r="QS100" s="274"/>
      <c r="QT100" s="274"/>
      <c r="QU100" s="274"/>
      <c r="QV100" s="274"/>
      <c r="QW100" s="274"/>
      <c r="QX100" s="274"/>
      <c r="QY100" s="274"/>
      <c r="QZ100" s="274"/>
      <c r="RA100" s="274"/>
      <c r="RB100" s="274"/>
      <c r="RC100" s="274"/>
    </row>
    <row r="101" spans="2:471" ht="17.25">
      <c r="B101">
        <v>3</v>
      </c>
      <c r="C101" s="11" t="s">
        <v>81</v>
      </c>
      <c r="D101" s="11">
        <v>365</v>
      </c>
      <c r="E101" s="11">
        <f>INT(MOD(I101,D101))+1</f>
        <v>219</v>
      </c>
      <c r="F101" s="11">
        <f>MOD(E101,30)</f>
        <v>9</v>
      </c>
      <c r="G101" s="11">
        <f>INT(E101/30)+1</f>
        <v>8</v>
      </c>
      <c r="H101" s="11">
        <f>INT(I101/D101)+1</f>
        <v>7398</v>
      </c>
      <c r="I101" s="11">
        <f>I99+J101</f>
        <v>2700123</v>
      </c>
      <c r="J101" s="11">
        <v>2243687</v>
      </c>
      <c r="K101" s="11"/>
      <c r="L101" s="11"/>
      <c r="M101" s="11"/>
      <c r="N101" s="11"/>
      <c r="O101" s="11"/>
      <c r="P101" s="11"/>
      <c r="Q101" s="11"/>
      <c r="R101" s="11"/>
      <c r="S101" s="11"/>
      <c r="T101" s="11"/>
      <c r="U101" s="11"/>
      <c r="V101" s="11"/>
      <c r="W101" s="11"/>
      <c r="X101" s="11"/>
      <c r="DH101" s="274"/>
      <c r="DI101" s="274"/>
      <c r="DJ101" s="978"/>
      <c r="DK101" s="978"/>
      <c r="DL101" s="978"/>
      <c r="DM101" s="978"/>
      <c r="DN101" s="978"/>
      <c r="DO101" s="978"/>
      <c r="DP101" s="978"/>
      <c r="DQ101" s="978"/>
      <c r="DR101" s="978"/>
      <c r="DS101" s="978"/>
      <c r="DT101" s="978"/>
      <c r="DU101" s="978"/>
      <c r="DV101" s="978"/>
      <c r="DW101" s="978"/>
      <c r="DX101" s="978"/>
      <c r="DY101" s="978"/>
      <c r="DZ101" s="978"/>
      <c r="EA101" s="978"/>
      <c r="EB101" s="978"/>
      <c r="EC101" s="978"/>
      <c r="ED101" s="978"/>
      <c r="EE101" s="978"/>
      <c r="EF101" s="978"/>
      <c r="EG101" s="978"/>
      <c r="EH101" s="978"/>
      <c r="EI101" s="978"/>
      <c r="EJ101" s="978"/>
      <c r="EK101" s="978"/>
      <c r="EL101" s="978"/>
      <c r="EM101" s="978"/>
      <c r="EN101" s="978"/>
      <c r="EO101" s="978"/>
      <c r="EP101" s="978"/>
      <c r="EQ101" s="978"/>
      <c r="ER101" s="978"/>
      <c r="ES101" s="978"/>
      <c r="ET101" s="978"/>
      <c r="EU101" s="978"/>
      <c r="EV101" s="978"/>
      <c r="EW101" s="978"/>
      <c r="EX101" s="978"/>
      <c r="EY101" s="978"/>
      <c r="EZ101" s="978"/>
      <c r="FA101" s="978"/>
      <c r="FB101" s="978"/>
      <c r="FC101" s="978"/>
      <c r="FD101" s="978"/>
      <c r="FE101" s="978"/>
      <c r="FF101" s="978"/>
      <c r="FG101" s="978"/>
      <c r="FH101" s="978"/>
      <c r="FI101" s="978"/>
      <c r="FJ101" s="978"/>
      <c r="FK101" s="978"/>
      <c r="FL101" s="978"/>
      <c r="FM101" s="978"/>
      <c r="FN101" s="978"/>
      <c r="FO101" s="978"/>
      <c r="FP101" s="978"/>
      <c r="FQ101" s="978"/>
      <c r="FR101" s="978"/>
      <c r="FS101" s="978"/>
      <c r="FT101" s="978"/>
      <c r="FU101" s="978"/>
      <c r="FV101" s="978"/>
      <c r="FW101" s="978"/>
      <c r="FX101" s="978"/>
      <c r="FY101" s="978"/>
      <c r="FZ101" s="978"/>
      <c r="GA101" s="978"/>
      <c r="GB101" s="978"/>
      <c r="GC101" s="978"/>
      <c r="GD101" s="978"/>
      <c r="GE101" s="978"/>
      <c r="GF101" s="978"/>
      <c r="GG101" s="978"/>
      <c r="GH101" s="978"/>
      <c r="GI101" s="978"/>
      <c r="GJ101" s="978"/>
      <c r="GK101" s="978"/>
      <c r="GL101" s="978"/>
      <c r="GM101" s="978"/>
      <c r="GN101" s="978"/>
      <c r="GO101" s="978"/>
      <c r="GP101" s="978"/>
      <c r="GQ101" s="978"/>
      <c r="GR101" s="978"/>
      <c r="GS101" s="978"/>
      <c r="GT101" s="978"/>
      <c r="GU101" s="978"/>
      <c r="GV101" s="978"/>
      <c r="GW101" s="978"/>
      <c r="GX101" s="978"/>
      <c r="GY101" s="978"/>
      <c r="GZ101" s="978"/>
      <c r="HA101" s="978"/>
      <c r="HB101" s="978"/>
      <c r="HC101" s="978"/>
      <c r="HD101" s="978"/>
      <c r="HE101" s="978"/>
      <c r="HF101" s="978"/>
      <c r="HG101" s="978"/>
      <c r="HH101" s="978"/>
      <c r="HI101" s="978"/>
      <c r="HJ101" s="978"/>
      <c r="HK101" s="978"/>
      <c r="HL101" s="978"/>
      <c r="HM101" s="978"/>
      <c r="HN101" s="978"/>
      <c r="HO101" s="978"/>
      <c r="HP101" s="978"/>
      <c r="HQ101" s="978"/>
      <c r="HR101" s="978"/>
      <c r="HS101" s="978"/>
      <c r="HT101" s="978"/>
      <c r="HU101" s="978"/>
      <c r="HV101" s="978"/>
      <c r="HW101" s="978"/>
      <c r="HX101" s="978"/>
      <c r="HY101" s="978"/>
      <c r="HZ101" s="978"/>
      <c r="IA101" s="978"/>
      <c r="IB101" s="978"/>
      <c r="IC101" s="978"/>
      <c r="ID101" s="978"/>
      <c r="IE101" s="978"/>
      <c r="IF101" s="978"/>
      <c r="IG101" s="978"/>
      <c r="IH101" s="978"/>
      <c r="II101" s="978"/>
      <c r="IJ101" s="978"/>
      <c r="IK101" s="978"/>
      <c r="IL101" s="978"/>
      <c r="IM101" s="978"/>
      <c r="IN101" s="978"/>
      <c r="IO101" s="978"/>
      <c r="IP101" s="978"/>
      <c r="IQ101" s="978"/>
      <c r="IR101" s="978"/>
      <c r="IS101" s="978"/>
      <c r="IT101" s="978"/>
      <c r="IU101" s="978"/>
      <c r="IV101" s="978"/>
      <c r="IW101" s="978"/>
      <c r="IX101" s="978"/>
      <c r="IY101" s="978"/>
      <c r="IZ101" s="978"/>
      <c r="JA101" s="978"/>
      <c r="JB101" s="978"/>
      <c r="JC101" s="978"/>
      <c r="JD101" s="978"/>
      <c r="JE101" s="978"/>
      <c r="JF101" s="978"/>
      <c r="JG101" s="978"/>
      <c r="JH101" s="978"/>
      <c r="JI101" s="978"/>
      <c r="JJ101" s="978"/>
      <c r="JK101" s="978"/>
      <c r="JL101" s="978"/>
      <c r="JM101" s="978"/>
      <c r="JN101" s="978"/>
      <c r="JO101" s="978"/>
      <c r="JP101" s="978"/>
      <c r="JQ101" s="978"/>
      <c r="JR101" s="978"/>
      <c r="JS101" s="978"/>
      <c r="JT101" s="978"/>
      <c r="JU101" s="978"/>
      <c r="JV101" s="978"/>
      <c r="JW101" s="978"/>
      <c r="JX101" s="978"/>
      <c r="JY101" s="978"/>
      <c r="JZ101" s="978"/>
      <c r="KA101" s="978"/>
      <c r="KB101" s="978"/>
      <c r="KC101" s="978"/>
      <c r="KD101" s="978"/>
      <c r="KE101" s="978"/>
      <c r="KF101" s="978"/>
      <c r="KG101" s="978"/>
      <c r="KH101" s="978"/>
      <c r="KI101" s="978"/>
      <c r="KJ101" s="978"/>
      <c r="KK101" s="978"/>
      <c r="KL101" s="978"/>
      <c r="KM101" s="978"/>
      <c r="KN101" s="978"/>
      <c r="KO101" s="978"/>
      <c r="KP101" s="978"/>
      <c r="KQ101" s="978"/>
      <c r="KR101" s="978"/>
      <c r="KS101" s="978"/>
      <c r="KT101" s="978"/>
      <c r="KU101" s="978"/>
      <c r="KV101" s="978"/>
      <c r="KW101" s="978"/>
      <c r="KX101" s="978"/>
      <c r="KY101" s="978"/>
      <c r="KZ101" s="978"/>
      <c r="LA101" s="978"/>
      <c r="LB101" s="978"/>
      <c r="LC101" s="978"/>
      <c r="LD101" s="978"/>
      <c r="LE101" s="978"/>
      <c r="LF101" s="978"/>
      <c r="LG101" s="978"/>
      <c r="LH101" s="978"/>
      <c r="LI101" s="978"/>
      <c r="LJ101" s="978"/>
      <c r="LK101" s="978"/>
      <c r="LL101" s="978"/>
      <c r="LM101" s="978"/>
      <c r="LN101" s="978"/>
      <c r="LO101" s="978"/>
      <c r="LP101" s="978"/>
      <c r="LQ101" s="978"/>
      <c r="LR101" s="978"/>
      <c r="LS101" s="978"/>
      <c r="LT101" s="978"/>
      <c r="LU101" s="978"/>
      <c r="LV101" s="978"/>
      <c r="LW101" s="978"/>
      <c r="LX101" s="978"/>
      <c r="LY101" s="978"/>
      <c r="LZ101" s="978"/>
      <c r="MA101" s="978"/>
      <c r="MB101" s="978"/>
      <c r="MC101" s="978"/>
      <c r="MD101" s="978"/>
      <c r="ME101" s="978"/>
      <c r="MF101" s="978"/>
      <c r="MG101" s="978"/>
      <c r="MH101" s="978"/>
      <c r="MI101" s="978"/>
      <c r="MJ101" s="978"/>
      <c r="MK101" s="978"/>
      <c r="ML101" s="978"/>
      <c r="MM101" s="978"/>
      <c r="MN101" s="978"/>
      <c r="MO101" s="978"/>
      <c r="MP101" s="978"/>
      <c r="MQ101" s="978"/>
      <c r="MR101" s="978"/>
      <c r="MS101" s="978"/>
      <c r="MT101" s="978"/>
      <c r="MU101" s="978"/>
      <c r="MV101" s="978"/>
      <c r="MW101" s="978"/>
      <c r="MX101" s="978"/>
      <c r="MY101" s="978"/>
      <c r="MZ101" s="978"/>
      <c r="NA101" s="978"/>
      <c r="NB101" s="978"/>
      <c r="NC101" s="978"/>
      <c r="ND101" s="978"/>
      <c r="NE101" s="978"/>
      <c r="NF101" s="978"/>
      <c r="NG101" s="978"/>
      <c r="NH101" s="978"/>
      <c r="NI101" s="978"/>
      <c r="NJ101" s="978"/>
      <c r="NK101" s="978"/>
      <c r="NL101" s="978"/>
      <c r="NM101" s="978"/>
      <c r="NN101" s="978"/>
      <c r="NO101" s="978"/>
      <c r="NP101" s="978"/>
      <c r="NQ101" s="978"/>
      <c r="NR101" s="978"/>
      <c r="NS101" s="978"/>
      <c r="NT101" s="978"/>
      <c r="NU101" s="978"/>
      <c r="NV101" s="978"/>
      <c r="NW101" s="978"/>
      <c r="NX101" s="978"/>
      <c r="NY101" s="978"/>
      <c r="NZ101" s="978"/>
      <c r="OA101" s="978"/>
      <c r="OB101" s="978"/>
      <c r="OC101" s="978"/>
      <c r="OD101" s="978"/>
      <c r="OE101" s="978"/>
      <c r="OF101" s="978"/>
      <c r="OG101" s="978"/>
      <c r="OH101" s="978"/>
      <c r="OI101" s="978"/>
      <c r="OJ101" s="978"/>
      <c r="OK101" s="978"/>
      <c r="OL101" s="978"/>
      <c r="OM101" s="978"/>
      <c r="ON101" s="978"/>
      <c r="OO101" s="978"/>
      <c r="OP101" s="978"/>
      <c r="OQ101" s="978"/>
      <c r="OR101" s="978"/>
      <c r="OS101" s="978"/>
      <c r="OT101" s="978"/>
      <c r="OU101" s="978"/>
      <c r="OV101" s="978"/>
      <c r="OW101" s="978"/>
      <c r="OX101" s="978"/>
      <c r="OY101" s="978"/>
      <c r="OZ101" s="978"/>
      <c r="PA101" s="978"/>
      <c r="PB101" s="978"/>
      <c r="PC101" s="978"/>
      <c r="PD101" s="978"/>
      <c r="PE101" s="978"/>
      <c r="PF101" s="978"/>
      <c r="PG101" s="978"/>
      <c r="PH101" s="978"/>
      <c r="PI101" s="978"/>
      <c r="PJ101" s="978"/>
      <c r="PK101" s="978"/>
      <c r="PL101" s="978"/>
      <c r="PM101" s="978"/>
      <c r="PN101" s="978"/>
      <c r="PO101" s="978"/>
      <c r="PP101" s="978"/>
      <c r="PQ101" s="978"/>
      <c r="PR101" s="978"/>
      <c r="PS101" s="978"/>
      <c r="PT101" s="978"/>
      <c r="PU101" s="978"/>
      <c r="PV101" s="978"/>
      <c r="PW101" s="978"/>
      <c r="PX101" s="978"/>
      <c r="PY101" s="978"/>
      <c r="PZ101" s="978"/>
      <c r="QA101" s="978"/>
      <c r="QB101" s="978"/>
      <c r="QC101" s="978"/>
      <c r="QD101" s="978"/>
      <c r="QE101" s="978"/>
      <c r="QF101" s="978"/>
      <c r="QG101" s="978"/>
      <c r="QH101" s="978"/>
      <c r="QI101" s="978"/>
      <c r="QJ101" s="978"/>
      <c r="QK101" s="978"/>
      <c r="QL101" s="978"/>
      <c r="QM101" s="978"/>
      <c r="QN101" s="978"/>
      <c r="QO101" s="978"/>
      <c r="QP101" s="978"/>
      <c r="QQ101" s="978"/>
      <c r="QR101" s="978"/>
      <c r="QS101" s="978"/>
      <c r="QT101" s="978"/>
      <c r="QU101" s="978"/>
      <c r="QV101" s="978"/>
      <c r="QW101" s="978"/>
      <c r="QX101" s="978"/>
      <c r="QY101" s="978"/>
      <c r="QZ101" s="978"/>
      <c r="RA101" s="978"/>
      <c r="RB101" s="274"/>
      <c r="RC101" s="274"/>
    </row>
    <row r="102" spans="2:471" ht="17.25">
      <c r="C102" s="11"/>
      <c r="D102" s="11"/>
      <c r="E102" s="11"/>
      <c r="F102" s="11"/>
      <c r="G102" s="11"/>
      <c r="H102" s="11"/>
      <c r="I102" s="11"/>
      <c r="J102" s="11"/>
      <c r="K102" s="11"/>
      <c r="L102" s="11"/>
      <c r="M102" s="11"/>
      <c r="N102" s="11"/>
      <c r="O102" s="11"/>
      <c r="P102" s="11"/>
      <c r="Q102" s="11"/>
      <c r="R102" s="11"/>
      <c r="S102" s="11"/>
      <c r="T102" s="11"/>
      <c r="U102" s="11"/>
      <c r="V102" s="11"/>
      <c r="W102" s="11"/>
      <c r="X102" s="11"/>
      <c r="DH102" s="274"/>
      <c r="DI102" s="274"/>
      <c r="DJ102" s="978"/>
      <c r="DK102" s="978"/>
      <c r="DL102" s="978"/>
      <c r="DM102" s="978"/>
      <c r="DN102" s="978"/>
      <c r="DO102" s="978"/>
      <c r="DP102" s="978"/>
      <c r="DQ102" s="978"/>
      <c r="DR102" s="978"/>
      <c r="DS102" s="978"/>
      <c r="DT102" s="978"/>
      <c r="DU102" s="978"/>
      <c r="DV102" s="978"/>
      <c r="DW102" s="978"/>
      <c r="DX102" s="978"/>
      <c r="DY102" s="978"/>
      <c r="DZ102" s="978"/>
      <c r="EA102" s="978"/>
      <c r="EB102" s="978"/>
      <c r="EC102" s="978"/>
      <c r="ED102" s="978"/>
      <c r="EE102" s="978"/>
      <c r="EF102" s="978"/>
      <c r="EG102" s="978"/>
      <c r="EH102" s="978"/>
      <c r="EI102" s="978"/>
      <c r="EJ102" s="978"/>
      <c r="EK102" s="978"/>
      <c r="EL102" s="978"/>
      <c r="EM102" s="978"/>
      <c r="EN102" s="978"/>
      <c r="EO102" s="978"/>
      <c r="EP102" s="978"/>
      <c r="EQ102" s="978"/>
      <c r="ER102" s="978"/>
      <c r="ES102" s="978"/>
      <c r="ET102" s="978"/>
      <c r="EU102" s="978"/>
      <c r="EV102" s="978"/>
      <c r="EW102" s="978"/>
      <c r="EX102" s="978"/>
      <c r="EY102" s="978"/>
      <c r="EZ102" s="978"/>
      <c r="FA102" s="978"/>
      <c r="FB102" s="978"/>
      <c r="FC102" s="978"/>
      <c r="FD102" s="978"/>
      <c r="FE102" s="978"/>
      <c r="FF102" s="978"/>
      <c r="FG102" s="978"/>
      <c r="FH102" s="978"/>
      <c r="FI102" s="978"/>
      <c r="FJ102" s="978"/>
      <c r="FK102" s="978"/>
      <c r="FL102" s="978"/>
      <c r="FM102" s="978"/>
      <c r="FN102" s="978"/>
      <c r="FO102" s="978"/>
      <c r="FP102" s="978"/>
      <c r="FQ102" s="978"/>
      <c r="FR102" s="978"/>
      <c r="FS102" s="978"/>
      <c r="FT102" s="978"/>
      <c r="FU102" s="978"/>
      <c r="FV102" s="978"/>
      <c r="FW102" s="978"/>
      <c r="FX102" s="978"/>
      <c r="FY102" s="978"/>
      <c r="FZ102" s="978"/>
      <c r="GA102" s="978"/>
      <c r="GB102" s="978"/>
      <c r="GC102" s="978"/>
      <c r="GD102" s="978"/>
      <c r="GE102" s="978"/>
      <c r="GF102" s="978"/>
      <c r="GG102" s="978"/>
      <c r="GH102" s="978"/>
      <c r="GI102" s="978"/>
      <c r="GJ102" s="978"/>
      <c r="GK102" s="978"/>
      <c r="GL102" s="978"/>
      <c r="GM102" s="978"/>
      <c r="GN102" s="978"/>
      <c r="GO102" s="978"/>
      <c r="GP102" s="978"/>
      <c r="GQ102" s="978"/>
      <c r="GR102" s="978"/>
      <c r="GS102" s="978"/>
      <c r="GT102" s="978"/>
      <c r="GU102" s="978"/>
      <c r="GV102" s="978"/>
      <c r="GW102" s="978"/>
      <c r="GX102" s="978"/>
      <c r="GY102" s="978"/>
      <c r="GZ102" s="978"/>
      <c r="HA102" s="978"/>
      <c r="HB102" s="978"/>
      <c r="HC102" s="978"/>
      <c r="HD102" s="978"/>
      <c r="HE102" s="978"/>
      <c r="HF102" s="978"/>
      <c r="HG102" s="978"/>
      <c r="HH102" s="978"/>
      <c r="HI102" s="978"/>
      <c r="HJ102" s="978"/>
      <c r="HK102" s="978"/>
      <c r="HL102" s="978"/>
      <c r="HM102" s="978"/>
      <c r="HN102" s="978"/>
      <c r="HO102" s="978"/>
      <c r="HP102" s="978"/>
      <c r="HQ102" s="978"/>
      <c r="HR102" s="978"/>
      <c r="HS102" s="978"/>
      <c r="HT102" s="978"/>
      <c r="HU102" s="978"/>
      <c r="HV102" s="978"/>
      <c r="HW102" s="978"/>
      <c r="HX102" s="978"/>
      <c r="HY102" s="978"/>
      <c r="HZ102" s="978"/>
      <c r="IA102" s="978"/>
      <c r="IB102" s="978"/>
      <c r="IC102" s="978"/>
      <c r="ID102" s="978"/>
      <c r="IE102" s="978"/>
      <c r="IF102" s="978"/>
      <c r="IG102" s="978"/>
      <c r="IH102" s="978"/>
      <c r="II102" s="978"/>
      <c r="IJ102" s="978"/>
      <c r="IK102" s="978"/>
      <c r="IL102" s="978"/>
      <c r="IM102" s="978"/>
      <c r="IN102" s="978"/>
      <c r="IO102" s="978"/>
      <c r="IP102" s="978"/>
      <c r="IQ102" s="978"/>
      <c r="IR102" s="978"/>
      <c r="IS102" s="978"/>
      <c r="IT102" s="978"/>
      <c r="IU102" s="978"/>
      <c r="IV102" s="978"/>
      <c r="IW102" s="978"/>
      <c r="IX102" s="978"/>
      <c r="IY102" s="978"/>
      <c r="IZ102" s="978"/>
      <c r="JA102" s="978"/>
      <c r="JB102" s="978"/>
      <c r="JC102" s="978"/>
      <c r="JD102" s="978"/>
      <c r="JE102" s="978"/>
      <c r="JF102" s="978"/>
      <c r="JG102" s="978"/>
      <c r="JH102" s="978"/>
      <c r="JI102" s="978"/>
      <c r="JJ102" s="978"/>
      <c r="JK102" s="978"/>
      <c r="JL102" s="978"/>
      <c r="JM102" s="978"/>
      <c r="JN102" s="978"/>
      <c r="JO102" s="978"/>
      <c r="JP102" s="978"/>
      <c r="JQ102" s="978"/>
      <c r="JR102" s="978"/>
      <c r="JS102" s="978"/>
      <c r="JT102" s="978"/>
      <c r="JU102" s="978"/>
      <c r="JV102" s="978"/>
      <c r="JW102" s="978"/>
      <c r="JX102" s="978"/>
      <c r="JY102" s="978"/>
      <c r="JZ102" s="978"/>
      <c r="KA102" s="978"/>
      <c r="KB102" s="978"/>
      <c r="KC102" s="978"/>
      <c r="KD102" s="978"/>
      <c r="KE102" s="978"/>
      <c r="KF102" s="978"/>
      <c r="KG102" s="978"/>
      <c r="KH102" s="978"/>
      <c r="KI102" s="978"/>
      <c r="KJ102" s="978"/>
      <c r="KK102" s="978"/>
      <c r="KL102" s="978"/>
      <c r="KM102" s="978"/>
      <c r="KN102" s="978"/>
      <c r="KO102" s="978"/>
      <c r="KP102" s="978"/>
      <c r="KQ102" s="978"/>
      <c r="KR102" s="978"/>
      <c r="KS102" s="978"/>
      <c r="KT102" s="978"/>
      <c r="KU102" s="978"/>
      <c r="KV102" s="978"/>
      <c r="KW102" s="978"/>
      <c r="KX102" s="978"/>
      <c r="KY102" s="978"/>
      <c r="KZ102" s="978"/>
      <c r="LA102" s="978"/>
      <c r="LB102" s="978"/>
      <c r="LC102" s="978"/>
      <c r="LD102" s="978"/>
      <c r="LE102" s="978"/>
      <c r="LF102" s="978"/>
      <c r="LG102" s="978"/>
      <c r="LH102" s="978"/>
      <c r="LI102" s="978"/>
      <c r="LJ102" s="978"/>
      <c r="LK102" s="978"/>
      <c r="LL102" s="978"/>
      <c r="LM102" s="978"/>
      <c r="LN102" s="978"/>
      <c r="LO102" s="978"/>
      <c r="LP102" s="978"/>
      <c r="LQ102" s="978"/>
      <c r="LR102" s="978"/>
      <c r="LS102" s="978"/>
      <c r="LT102" s="978"/>
      <c r="LU102" s="978"/>
      <c r="LV102" s="978"/>
      <c r="LW102" s="978"/>
      <c r="LX102" s="978"/>
      <c r="LY102" s="978"/>
      <c r="LZ102" s="978"/>
      <c r="MA102" s="978"/>
      <c r="MB102" s="978"/>
      <c r="MC102" s="978"/>
      <c r="MD102" s="978"/>
      <c r="ME102" s="978"/>
      <c r="MF102" s="978"/>
      <c r="MG102" s="978"/>
      <c r="MH102" s="978"/>
      <c r="MI102" s="978"/>
      <c r="MJ102" s="978"/>
      <c r="MK102" s="978"/>
      <c r="ML102" s="978"/>
      <c r="MM102" s="978"/>
      <c r="MN102" s="978"/>
      <c r="MO102" s="978"/>
      <c r="MP102" s="978"/>
      <c r="MQ102" s="978"/>
      <c r="MR102" s="978"/>
      <c r="MS102" s="978"/>
      <c r="MT102" s="978"/>
      <c r="MU102" s="978"/>
      <c r="MV102" s="978"/>
      <c r="MW102" s="978"/>
      <c r="MX102" s="978"/>
      <c r="MY102" s="978"/>
      <c r="MZ102" s="978"/>
      <c r="NA102" s="978"/>
      <c r="NB102" s="978"/>
      <c r="NC102" s="978"/>
      <c r="ND102" s="978"/>
      <c r="NE102" s="978"/>
      <c r="NF102" s="978"/>
      <c r="NG102" s="978"/>
      <c r="NH102" s="978"/>
      <c r="NI102" s="978"/>
      <c r="NJ102" s="978"/>
      <c r="NK102" s="978"/>
      <c r="NL102" s="978"/>
      <c r="NM102" s="978"/>
      <c r="NN102" s="978"/>
      <c r="NO102" s="978"/>
      <c r="NP102" s="978"/>
      <c r="NQ102" s="978"/>
      <c r="NR102" s="978"/>
      <c r="NS102" s="978"/>
      <c r="NT102" s="978"/>
      <c r="NU102" s="978"/>
      <c r="NV102" s="978"/>
      <c r="NW102" s="978"/>
      <c r="NX102" s="978"/>
      <c r="NY102" s="978"/>
      <c r="NZ102" s="978"/>
      <c r="OA102" s="978"/>
      <c r="OB102" s="978"/>
      <c r="OC102" s="978"/>
      <c r="OD102" s="978"/>
      <c r="OE102" s="978"/>
      <c r="OF102" s="978"/>
      <c r="OG102" s="978"/>
      <c r="OH102" s="978"/>
      <c r="OI102" s="978"/>
      <c r="OJ102" s="978"/>
      <c r="OK102" s="978"/>
      <c r="OL102" s="978"/>
      <c r="OM102" s="978"/>
      <c r="ON102" s="978"/>
      <c r="OO102" s="978"/>
      <c r="OP102" s="978"/>
      <c r="OQ102" s="978"/>
      <c r="OR102" s="978"/>
      <c r="OS102" s="978"/>
      <c r="OT102" s="978"/>
      <c r="OU102" s="978"/>
      <c r="OV102" s="978"/>
      <c r="OW102" s="978"/>
      <c r="OX102" s="978"/>
      <c r="OY102" s="978"/>
      <c r="OZ102" s="978"/>
      <c r="PA102" s="978"/>
      <c r="PB102" s="978"/>
      <c r="PC102" s="978"/>
      <c r="PD102" s="978"/>
      <c r="PE102" s="978"/>
      <c r="PF102" s="978"/>
      <c r="PG102" s="978"/>
      <c r="PH102" s="978"/>
      <c r="PI102" s="978"/>
      <c r="PJ102" s="978"/>
      <c r="PK102" s="978"/>
      <c r="PL102" s="978"/>
      <c r="PM102" s="978"/>
      <c r="PN102" s="978"/>
      <c r="PO102" s="978"/>
      <c r="PP102" s="978"/>
      <c r="PQ102" s="978"/>
      <c r="PR102" s="978"/>
      <c r="PS102" s="978"/>
      <c r="PT102" s="978"/>
      <c r="PU102" s="978"/>
      <c r="PV102" s="978"/>
      <c r="PW102" s="978"/>
      <c r="PX102" s="978"/>
      <c r="PY102" s="978"/>
      <c r="PZ102" s="978"/>
      <c r="QA102" s="978"/>
      <c r="QB102" s="978"/>
      <c r="QC102" s="978"/>
      <c r="QD102" s="978"/>
      <c r="QE102" s="978"/>
      <c r="QF102" s="978"/>
      <c r="QG102" s="978"/>
      <c r="QH102" s="978"/>
      <c r="QI102" s="978"/>
      <c r="QJ102" s="978"/>
      <c r="QK102" s="978"/>
      <c r="QL102" s="978"/>
      <c r="QM102" s="978"/>
      <c r="QN102" s="978"/>
      <c r="QO102" s="978"/>
      <c r="QP102" s="978"/>
      <c r="QQ102" s="978"/>
      <c r="QR102" s="978"/>
      <c r="QS102" s="978"/>
      <c r="QT102" s="978"/>
      <c r="QU102" s="978"/>
      <c r="QV102" s="978"/>
      <c r="QW102" s="978"/>
      <c r="QX102" s="978"/>
      <c r="QY102" s="978"/>
      <c r="QZ102" s="978"/>
      <c r="RA102" s="978"/>
      <c r="RB102" s="274"/>
      <c r="RC102" s="274"/>
    </row>
    <row r="103" spans="2:471" ht="17.25">
      <c r="B103">
        <v>4</v>
      </c>
      <c r="C103" s="12" t="s">
        <v>82</v>
      </c>
      <c r="D103" s="12">
        <v>365</v>
      </c>
      <c r="E103" s="12">
        <f>INT(MOD(I103,D103))+1</f>
        <v>338</v>
      </c>
      <c r="F103" s="12">
        <f>MOD(E103,30)</f>
        <v>8</v>
      </c>
      <c r="G103" s="12">
        <f>INT(E103/30)+1</f>
        <v>12</v>
      </c>
      <c r="H103" s="12">
        <f>INT(I103/D103)+1</f>
        <v>5424</v>
      </c>
      <c r="I103" s="12">
        <f>I99+J103</f>
        <v>1979732</v>
      </c>
      <c r="J103" s="12">
        <v>1523296</v>
      </c>
      <c r="K103" s="12"/>
      <c r="L103" s="12"/>
      <c r="M103" s="12"/>
      <c r="N103" s="12"/>
      <c r="O103" s="12"/>
      <c r="P103" s="12"/>
      <c r="Q103" s="12"/>
      <c r="R103" s="12"/>
      <c r="S103" s="12"/>
      <c r="T103" s="12"/>
      <c r="U103" s="12"/>
      <c r="V103" s="12"/>
      <c r="W103" s="12"/>
      <c r="X103" s="12"/>
      <c r="DH103" s="274"/>
      <c r="DI103" s="274"/>
      <c r="DJ103" s="978"/>
      <c r="DK103" s="978"/>
      <c r="DL103" s="978"/>
      <c r="DM103" s="978"/>
      <c r="DN103" s="978"/>
      <c r="DO103" s="978"/>
      <c r="DP103" s="978"/>
      <c r="DQ103" s="978"/>
      <c r="DR103" s="978"/>
      <c r="DS103" s="978"/>
      <c r="DT103" s="978"/>
      <c r="DU103" s="978"/>
      <c r="DV103" s="978"/>
      <c r="DW103" s="978"/>
      <c r="DX103" s="978"/>
      <c r="DY103" s="978"/>
      <c r="DZ103" s="978"/>
      <c r="EA103" s="978"/>
      <c r="EB103" s="978"/>
      <c r="EC103" s="978"/>
      <c r="ED103" s="978"/>
      <c r="EE103" s="978"/>
      <c r="EF103" s="978"/>
      <c r="EG103" s="978"/>
      <c r="EH103" s="978"/>
      <c r="EI103" s="978"/>
      <c r="EJ103" s="978"/>
      <c r="EK103" s="978"/>
      <c r="EL103" s="978"/>
      <c r="EM103" s="978"/>
      <c r="EN103" s="978"/>
      <c r="EO103" s="978"/>
      <c r="EP103" s="978"/>
      <c r="EQ103" s="978"/>
      <c r="ER103" s="978"/>
      <c r="ES103" s="978"/>
      <c r="ET103" s="978"/>
      <c r="EU103" s="978"/>
      <c r="EV103" s="978"/>
      <c r="EW103" s="978"/>
      <c r="EX103" s="978"/>
      <c r="EY103" s="978"/>
      <c r="EZ103" s="978"/>
      <c r="FA103" s="978"/>
      <c r="FB103" s="978"/>
      <c r="FC103" s="978"/>
      <c r="FD103" s="978"/>
      <c r="FE103" s="978"/>
      <c r="FF103" s="978"/>
      <c r="FG103" s="978"/>
      <c r="FH103" s="978"/>
      <c r="FI103" s="978"/>
      <c r="FJ103" s="978"/>
      <c r="FK103" s="978"/>
      <c r="FL103" s="978"/>
      <c r="FM103" s="978"/>
      <c r="FN103" s="978"/>
      <c r="FO103" s="978"/>
      <c r="FP103" s="978"/>
      <c r="FQ103" s="978"/>
      <c r="FR103" s="978"/>
      <c r="FS103" s="978"/>
      <c r="FT103" s="978"/>
      <c r="FU103" s="978"/>
      <c r="FV103" s="978"/>
      <c r="FW103" s="978"/>
      <c r="FX103" s="978"/>
      <c r="FY103" s="978"/>
      <c r="FZ103" s="978"/>
      <c r="GA103" s="978"/>
      <c r="GB103" s="978"/>
      <c r="GC103" s="978"/>
      <c r="GD103" s="978"/>
      <c r="GE103" s="978"/>
      <c r="GF103" s="978"/>
      <c r="GG103" s="978"/>
      <c r="GH103" s="978"/>
      <c r="GI103" s="978"/>
      <c r="GJ103" s="978"/>
      <c r="GK103" s="978"/>
      <c r="GL103" s="978"/>
      <c r="GM103" s="978"/>
      <c r="GN103" s="978"/>
      <c r="GO103" s="978"/>
      <c r="GP103" s="978"/>
      <c r="GQ103" s="978"/>
      <c r="GR103" s="978"/>
      <c r="GS103" s="978"/>
      <c r="GT103" s="978"/>
      <c r="GU103" s="978"/>
      <c r="GV103" s="978"/>
      <c r="GW103" s="978"/>
      <c r="GX103" s="978"/>
      <c r="GY103" s="978"/>
      <c r="GZ103" s="978"/>
      <c r="HA103" s="978"/>
      <c r="HB103" s="978"/>
      <c r="HC103" s="978"/>
      <c r="HD103" s="978"/>
      <c r="HE103" s="978"/>
      <c r="HF103" s="978"/>
      <c r="HG103" s="978"/>
      <c r="HH103" s="978"/>
      <c r="HI103" s="978"/>
      <c r="HJ103" s="978"/>
      <c r="HK103" s="978"/>
      <c r="HL103" s="978"/>
      <c r="HM103" s="978"/>
      <c r="HN103" s="978"/>
      <c r="HO103" s="978"/>
      <c r="HP103" s="978"/>
      <c r="HQ103" s="978"/>
      <c r="HR103" s="978"/>
      <c r="HS103" s="978"/>
      <c r="HT103" s="978"/>
      <c r="HU103" s="978"/>
      <c r="HV103" s="978"/>
      <c r="HW103" s="978"/>
      <c r="HX103" s="978"/>
      <c r="HY103" s="978"/>
      <c r="HZ103" s="978"/>
      <c r="IA103" s="978"/>
      <c r="IB103" s="978"/>
      <c r="IC103" s="978"/>
      <c r="ID103" s="978"/>
      <c r="IE103" s="978"/>
      <c r="IF103" s="978"/>
      <c r="IG103" s="978"/>
      <c r="IH103" s="978"/>
      <c r="II103" s="978"/>
      <c r="IJ103" s="978"/>
      <c r="IK103" s="978"/>
      <c r="IL103" s="978"/>
      <c r="IM103" s="978"/>
      <c r="IN103" s="978"/>
      <c r="IO103" s="978"/>
      <c r="IP103" s="978"/>
      <c r="IQ103" s="978"/>
      <c r="IR103" s="978"/>
      <c r="IS103" s="978"/>
      <c r="IT103" s="978"/>
      <c r="IU103" s="978"/>
      <c r="IV103" s="978"/>
      <c r="IW103" s="978"/>
      <c r="IX103" s="978"/>
      <c r="IY103" s="978"/>
      <c r="IZ103" s="978"/>
      <c r="JA103" s="978"/>
      <c r="JB103" s="978"/>
      <c r="JC103" s="978"/>
      <c r="JD103" s="978"/>
      <c r="JE103" s="978"/>
      <c r="JF103" s="978"/>
      <c r="JG103" s="978"/>
      <c r="JH103" s="978"/>
      <c r="JI103" s="978"/>
      <c r="JJ103" s="978"/>
      <c r="JK103" s="978"/>
      <c r="JL103" s="978"/>
      <c r="JM103" s="978"/>
      <c r="JN103" s="978"/>
      <c r="JO103" s="978"/>
      <c r="JP103" s="978"/>
      <c r="JQ103" s="978"/>
      <c r="JR103" s="978"/>
      <c r="JS103" s="978"/>
      <c r="JT103" s="978"/>
      <c r="JU103" s="978"/>
      <c r="JV103" s="978"/>
      <c r="JW103" s="978"/>
      <c r="JX103" s="978"/>
      <c r="JY103" s="978"/>
      <c r="JZ103" s="978"/>
      <c r="KA103" s="978"/>
      <c r="KB103" s="978"/>
      <c r="KC103" s="978"/>
      <c r="KD103" s="978"/>
      <c r="KE103" s="978"/>
      <c r="KF103" s="978"/>
      <c r="KG103" s="978"/>
      <c r="KH103" s="978"/>
      <c r="KI103" s="978"/>
      <c r="KJ103" s="978"/>
      <c r="KK103" s="978"/>
      <c r="KL103" s="978"/>
      <c r="KM103" s="978"/>
      <c r="KN103" s="978"/>
      <c r="KO103" s="978"/>
      <c r="KP103" s="978"/>
      <c r="KQ103" s="978"/>
      <c r="KR103" s="978"/>
      <c r="KS103" s="978"/>
      <c r="KT103" s="978"/>
      <c r="KU103" s="978"/>
      <c r="KV103" s="978"/>
      <c r="KW103" s="978"/>
      <c r="KX103" s="978"/>
      <c r="KY103" s="978"/>
      <c r="KZ103" s="978"/>
      <c r="LA103" s="978"/>
      <c r="LB103" s="978"/>
      <c r="LC103" s="978"/>
      <c r="LD103" s="978"/>
      <c r="LE103" s="978"/>
      <c r="LF103" s="978"/>
      <c r="LG103" s="978"/>
      <c r="LH103" s="978"/>
      <c r="LI103" s="978"/>
      <c r="LJ103" s="978"/>
      <c r="LK103" s="978"/>
      <c r="LL103" s="978"/>
      <c r="LM103" s="978"/>
      <c r="LN103" s="978"/>
      <c r="LO103" s="978"/>
      <c r="LP103" s="978"/>
      <c r="LQ103" s="978"/>
      <c r="LR103" s="978"/>
      <c r="LS103" s="978"/>
      <c r="LT103" s="978"/>
      <c r="LU103" s="978"/>
      <c r="LV103" s="978"/>
      <c r="LW103" s="978"/>
      <c r="LX103" s="978"/>
      <c r="LY103" s="978"/>
      <c r="LZ103" s="978"/>
      <c r="MA103" s="978"/>
      <c r="MB103" s="978"/>
      <c r="MC103" s="978"/>
      <c r="MD103" s="978"/>
      <c r="ME103" s="978"/>
      <c r="MF103" s="978"/>
      <c r="MG103" s="978"/>
      <c r="MH103" s="978"/>
      <c r="MI103" s="978"/>
      <c r="MJ103" s="978"/>
      <c r="MK103" s="978"/>
      <c r="ML103" s="978"/>
      <c r="MM103" s="978"/>
      <c r="MN103" s="978"/>
      <c r="MO103" s="978"/>
      <c r="MP103" s="978"/>
      <c r="MQ103" s="978"/>
      <c r="MR103" s="978"/>
      <c r="MS103" s="978"/>
      <c r="MT103" s="978"/>
      <c r="MU103" s="978"/>
      <c r="MV103" s="978"/>
      <c r="MW103" s="978"/>
      <c r="MX103" s="978"/>
      <c r="MY103" s="978"/>
      <c r="MZ103" s="978"/>
      <c r="NA103" s="978"/>
      <c r="NB103" s="978"/>
      <c r="NC103" s="978"/>
      <c r="ND103" s="978"/>
      <c r="NE103" s="978"/>
      <c r="NF103" s="978"/>
      <c r="NG103" s="978"/>
      <c r="NH103" s="978"/>
      <c r="NI103" s="978"/>
      <c r="NJ103" s="978"/>
      <c r="NK103" s="978"/>
      <c r="NL103" s="978"/>
      <c r="NM103" s="978"/>
      <c r="NN103" s="978"/>
      <c r="NO103" s="978"/>
      <c r="NP103" s="978"/>
      <c r="NQ103" s="978"/>
      <c r="NR103" s="978"/>
      <c r="NS103" s="978"/>
      <c r="NT103" s="978"/>
      <c r="NU103" s="978"/>
      <c r="NV103" s="978"/>
      <c r="NW103" s="978"/>
      <c r="NX103" s="978"/>
      <c r="NY103" s="978"/>
      <c r="NZ103" s="978"/>
      <c r="OA103" s="978"/>
      <c r="OB103" s="978"/>
      <c r="OC103" s="978"/>
      <c r="OD103" s="978"/>
      <c r="OE103" s="978"/>
      <c r="OF103" s="978"/>
      <c r="OG103" s="978"/>
      <c r="OH103" s="978"/>
      <c r="OI103" s="978"/>
      <c r="OJ103" s="978"/>
      <c r="OK103" s="978"/>
      <c r="OL103" s="978"/>
      <c r="OM103" s="978"/>
      <c r="ON103" s="978"/>
      <c r="OO103" s="978"/>
      <c r="OP103" s="978"/>
      <c r="OQ103" s="978"/>
      <c r="OR103" s="978"/>
      <c r="OS103" s="978"/>
      <c r="OT103" s="978"/>
      <c r="OU103" s="978"/>
      <c r="OV103" s="978"/>
      <c r="OW103" s="978"/>
      <c r="OX103" s="978"/>
      <c r="OY103" s="978"/>
      <c r="OZ103" s="978"/>
      <c r="PA103" s="978"/>
      <c r="PB103" s="978"/>
      <c r="PC103" s="978"/>
      <c r="PD103" s="978"/>
      <c r="PE103" s="978"/>
      <c r="PF103" s="978"/>
      <c r="PG103" s="978"/>
      <c r="PH103" s="978"/>
      <c r="PI103" s="978"/>
      <c r="PJ103" s="978"/>
      <c r="PK103" s="978"/>
      <c r="PL103" s="978"/>
      <c r="PM103" s="978"/>
      <c r="PN103" s="978"/>
      <c r="PO103" s="978"/>
      <c r="PP103" s="978"/>
      <c r="PQ103" s="978"/>
      <c r="PR103" s="978"/>
      <c r="PS103" s="978"/>
      <c r="PT103" s="978"/>
      <c r="PU103" s="978"/>
      <c r="PV103" s="978"/>
      <c r="PW103" s="978"/>
      <c r="PX103" s="978"/>
      <c r="PY103" s="978"/>
      <c r="PZ103" s="978"/>
      <c r="QA103" s="978"/>
      <c r="QB103" s="978"/>
      <c r="QC103" s="978"/>
      <c r="QD103" s="978"/>
      <c r="QE103" s="978"/>
      <c r="QF103" s="978"/>
      <c r="QG103" s="978"/>
      <c r="QH103" s="978"/>
      <c r="QI103" s="978"/>
      <c r="QJ103" s="978"/>
      <c r="QK103" s="978"/>
      <c r="QL103" s="978"/>
      <c r="QM103" s="978"/>
      <c r="QN103" s="978"/>
      <c r="QO103" s="978"/>
      <c r="QP103" s="978"/>
      <c r="QQ103" s="978"/>
      <c r="QR103" s="978"/>
      <c r="QS103" s="978"/>
      <c r="QT103" s="978"/>
      <c r="QU103" s="978"/>
      <c r="QV103" s="978"/>
      <c r="QW103" s="978"/>
      <c r="QX103" s="978"/>
      <c r="QY103" s="978"/>
      <c r="QZ103" s="978"/>
      <c r="RA103" s="978"/>
      <c r="RB103" s="274"/>
      <c r="RC103" s="274"/>
    </row>
    <row r="104" spans="2:471" ht="17.25">
      <c r="C104" s="12"/>
      <c r="D104" s="12"/>
      <c r="E104" s="12"/>
      <c r="F104" s="12"/>
      <c r="G104" s="12"/>
      <c r="H104" s="12"/>
      <c r="I104" s="12"/>
      <c r="J104" s="12"/>
      <c r="K104" s="12"/>
      <c r="L104" s="12"/>
      <c r="M104" s="12"/>
      <c r="N104" s="12"/>
      <c r="O104" s="12"/>
      <c r="P104" s="12"/>
      <c r="Q104" s="12"/>
      <c r="R104" s="12"/>
      <c r="S104" s="12"/>
      <c r="T104" s="12"/>
      <c r="U104" s="12"/>
      <c r="V104" s="12"/>
      <c r="W104" s="12"/>
      <c r="X104" s="12"/>
      <c r="DH104" s="274"/>
      <c r="DI104" s="274"/>
      <c r="DJ104" s="978"/>
      <c r="DK104" s="978"/>
      <c r="DL104" s="978"/>
      <c r="DM104" s="978"/>
      <c r="DN104" s="978"/>
      <c r="DO104" s="978"/>
      <c r="DP104" s="978"/>
      <c r="DQ104" s="978"/>
      <c r="DR104" s="978"/>
      <c r="DS104" s="978"/>
      <c r="DT104" s="978"/>
      <c r="DU104" s="978"/>
      <c r="DV104" s="978"/>
      <c r="DW104" s="978"/>
      <c r="DX104" s="978"/>
      <c r="DY104" s="978"/>
      <c r="DZ104" s="978"/>
      <c r="EA104" s="978"/>
      <c r="EB104" s="978"/>
      <c r="EC104" s="978"/>
      <c r="ED104" s="978"/>
      <c r="EE104" s="978"/>
      <c r="EF104" s="978"/>
      <c r="EG104" s="978"/>
      <c r="EH104" s="978"/>
      <c r="EI104" s="978"/>
      <c r="EJ104" s="978"/>
      <c r="EK104" s="978"/>
      <c r="EL104" s="978"/>
      <c r="EM104" s="978"/>
      <c r="EN104" s="978"/>
      <c r="EO104" s="978"/>
      <c r="EP104" s="978"/>
      <c r="EQ104" s="978"/>
      <c r="ER104" s="978"/>
      <c r="ES104" s="978"/>
      <c r="ET104" s="978"/>
      <c r="EU104" s="978"/>
      <c r="EV104" s="978"/>
      <c r="EW104" s="978"/>
      <c r="EX104" s="978"/>
      <c r="EY104" s="978"/>
      <c r="EZ104" s="978"/>
      <c r="FA104" s="978"/>
      <c r="FB104" s="978"/>
      <c r="FC104" s="978"/>
      <c r="FD104" s="978"/>
      <c r="FE104" s="978"/>
      <c r="FF104" s="978"/>
      <c r="FG104" s="978"/>
      <c r="FH104" s="978"/>
      <c r="FI104" s="978"/>
      <c r="FJ104" s="978"/>
      <c r="FK104" s="978"/>
      <c r="FL104" s="978"/>
      <c r="FM104" s="978"/>
      <c r="FN104" s="978"/>
      <c r="FO104" s="978"/>
      <c r="FP104" s="978"/>
      <c r="FQ104" s="978"/>
      <c r="FR104" s="978"/>
      <c r="FS104" s="978"/>
      <c r="FT104" s="978"/>
      <c r="FU104" s="978"/>
      <c r="FV104" s="978"/>
      <c r="FW104" s="978"/>
      <c r="FX104" s="978"/>
      <c r="FY104" s="978"/>
      <c r="FZ104" s="978"/>
      <c r="GA104" s="978"/>
      <c r="GB104" s="978"/>
      <c r="GC104" s="978"/>
      <c r="GD104" s="978"/>
      <c r="GE104" s="978"/>
      <c r="GF104" s="978"/>
      <c r="GG104" s="978"/>
      <c r="GH104" s="978"/>
      <c r="GI104" s="978"/>
      <c r="GJ104" s="978"/>
      <c r="GK104" s="978"/>
      <c r="GL104" s="978"/>
      <c r="GM104" s="978"/>
      <c r="GN104" s="978"/>
      <c r="GO104" s="978"/>
      <c r="GP104" s="978"/>
      <c r="GQ104" s="978"/>
      <c r="GR104" s="978"/>
      <c r="GS104" s="978"/>
      <c r="GT104" s="978"/>
      <c r="GU104" s="978"/>
      <c r="GV104" s="978"/>
      <c r="GW104" s="978"/>
      <c r="GX104" s="978"/>
      <c r="GY104" s="978"/>
      <c r="GZ104" s="978"/>
      <c r="HA104" s="978"/>
      <c r="HB104" s="978"/>
      <c r="HC104" s="978"/>
      <c r="HD104" s="978"/>
      <c r="HE104" s="978"/>
      <c r="HF104" s="978"/>
      <c r="HG104" s="978"/>
      <c r="HH104" s="978"/>
      <c r="HI104" s="978"/>
      <c r="HJ104" s="978"/>
      <c r="HK104" s="978"/>
      <c r="HL104" s="978"/>
      <c r="HM104" s="978"/>
      <c r="HN104" s="978"/>
      <c r="HO104" s="978"/>
      <c r="HP104" s="978"/>
      <c r="HQ104" s="978"/>
      <c r="HR104" s="978"/>
      <c r="HS104" s="978"/>
      <c r="HT104" s="978"/>
      <c r="HU104" s="978"/>
      <c r="HV104" s="978"/>
      <c r="HW104" s="978"/>
      <c r="HX104" s="978"/>
      <c r="HY104" s="978"/>
      <c r="HZ104" s="978"/>
      <c r="IA104" s="978"/>
      <c r="IB104" s="978"/>
      <c r="IC104" s="978"/>
      <c r="ID104" s="978"/>
      <c r="IE104" s="978"/>
      <c r="IF104" s="978"/>
      <c r="IG104" s="978"/>
      <c r="IH104" s="978"/>
      <c r="II104" s="978"/>
      <c r="IJ104" s="978"/>
      <c r="IK104" s="978"/>
      <c r="IL104" s="978"/>
      <c r="IM104" s="978"/>
      <c r="IN104" s="978"/>
      <c r="IO104" s="978"/>
      <c r="IP104" s="978"/>
      <c r="IQ104" s="978"/>
      <c r="IR104" s="978"/>
      <c r="IS104" s="978"/>
      <c r="IT104" s="978"/>
      <c r="IU104" s="978"/>
      <c r="IV104" s="978"/>
      <c r="IW104" s="978"/>
      <c r="IX104" s="978"/>
      <c r="IY104" s="978"/>
      <c r="IZ104" s="978"/>
      <c r="JA104" s="978"/>
      <c r="JB104" s="978"/>
      <c r="JC104" s="978"/>
      <c r="JD104" s="978"/>
      <c r="JE104" s="978"/>
      <c r="JF104" s="978"/>
      <c r="JG104" s="978"/>
      <c r="JH104" s="978"/>
      <c r="JI104" s="978"/>
      <c r="JJ104" s="978"/>
      <c r="JK104" s="978"/>
      <c r="JL104" s="978"/>
      <c r="JM104" s="978"/>
      <c r="JN104" s="978"/>
      <c r="JO104" s="978"/>
      <c r="JP104" s="978"/>
      <c r="JQ104" s="978"/>
      <c r="JR104" s="978"/>
      <c r="JS104" s="978"/>
      <c r="JT104" s="978"/>
      <c r="JU104" s="978"/>
      <c r="JV104" s="978"/>
      <c r="JW104" s="978"/>
      <c r="JX104" s="978"/>
      <c r="JY104" s="978"/>
      <c r="JZ104" s="978"/>
      <c r="KA104" s="978"/>
      <c r="KB104" s="978"/>
      <c r="KC104" s="978"/>
      <c r="KD104" s="978"/>
      <c r="KE104" s="978"/>
      <c r="KF104" s="978"/>
      <c r="KG104" s="978"/>
      <c r="KH104" s="978"/>
      <c r="KI104" s="978"/>
      <c r="KJ104" s="978"/>
      <c r="KK104" s="978"/>
      <c r="KL104" s="978"/>
      <c r="KM104" s="978"/>
      <c r="KN104" s="978"/>
      <c r="KO104" s="978"/>
      <c r="KP104" s="978"/>
      <c r="KQ104" s="978"/>
      <c r="KR104" s="978"/>
      <c r="KS104" s="978"/>
      <c r="KT104" s="978"/>
      <c r="KU104" s="978"/>
      <c r="KV104" s="978"/>
      <c r="KW104" s="978"/>
      <c r="KX104" s="978"/>
      <c r="KY104" s="978"/>
      <c r="KZ104" s="978"/>
      <c r="LA104" s="978"/>
      <c r="LB104" s="978"/>
      <c r="LC104" s="978"/>
      <c r="LD104" s="978"/>
      <c r="LE104" s="978"/>
      <c r="LF104" s="978"/>
      <c r="LG104" s="978"/>
      <c r="LH104" s="978"/>
      <c r="LI104" s="978"/>
      <c r="LJ104" s="978"/>
      <c r="LK104" s="978"/>
      <c r="LL104" s="978"/>
      <c r="LM104" s="978"/>
      <c r="LN104" s="978"/>
      <c r="LO104" s="978"/>
      <c r="LP104" s="978"/>
      <c r="LQ104" s="978"/>
      <c r="LR104" s="978"/>
      <c r="LS104" s="978"/>
      <c r="LT104" s="978"/>
      <c r="LU104" s="978"/>
      <c r="LV104" s="978"/>
      <c r="LW104" s="978"/>
      <c r="LX104" s="978"/>
      <c r="LY104" s="978"/>
      <c r="LZ104" s="978"/>
      <c r="MA104" s="978"/>
      <c r="MB104" s="978"/>
      <c r="MC104" s="978"/>
      <c r="MD104" s="978"/>
      <c r="ME104" s="978"/>
      <c r="MF104" s="978"/>
      <c r="MG104" s="978"/>
      <c r="MH104" s="978"/>
      <c r="MI104" s="978"/>
      <c r="MJ104" s="978"/>
      <c r="MK104" s="978"/>
      <c r="ML104" s="978"/>
      <c r="MM104" s="978"/>
      <c r="MN104" s="978"/>
      <c r="MO104" s="978"/>
      <c r="MP104" s="978"/>
      <c r="MQ104" s="978"/>
      <c r="MR104" s="978"/>
      <c r="MS104" s="978"/>
      <c r="MT104" s="978"/>
      <c r="MU104" s="978"/>
      <c r="MV104" s="978"/>
      <c r="MW104" s="978"/>
      <c r="MX104" s="978"/>
      <c r="MY104" s="978"/>
      <c r="MZ104" s="978"/>
      <c r="NA104" s="978"/>
      <c r="NB104" s="978"/>
      <c r="NC104" s="978"/>
      <c r="ND104" s="978"/>
      <c r="NE104" s="978"/>
      <c r="NF104" s="978"/>
      <c r="NG104" s="978"/>
      <c r="NH104" s="978"/>
      <c r="NI104" s="978"/>
      <c r="NJ104" s="978"/>
      <c r="NK104" s="978"/>
      <c r="NL104" s="978"/>
      <c r="NM104" s="978"/>
      <c r="NN104" s="978"/>
      <c r="NO104" s="978"/>
      <c r="NP104" s="978"/>
      <c r="NQ104" s="978"/>
      <c r="NR104" s="978"/>
      <c r="NS104" s="978"/>
      <c r="NT104" s="978"/>
      <c r="NU104" s="978"/>
      <c r="NV104" s="978"/>
      <c r="NW104" s="978"/>
      <c r="NX104" s="978"/>
      <c r="NY104" s="978"/>
      <c r="NZ104" s="978"/>
      <c r="OA104" s="978"/>
      <c r="OB104" s="978"/>
      <c r="OC104" s="978"/>
      <c r="OD104" s="978"/>
      <c r="OE104" s="978"/>
      <c r="OF104" s="978"/>
      <c r="OG104" s="978"/>
      <c r="OH104" s="978"/>
      <c r="OI104" s="978"/>
      <c r="OJ104" s="978"/>
      <c r="OK104" s="978"/>
      <c r="OL104" s="978"/>
      <c r="OM104" s="978"/>
      <c r="ON104" s="978"/>
      <c r="OO104" s="978"/>
      <c r="OP104" s="978"/>
      <c r="OQ104" s="978"/>
      <c r="OR104" s="978"/>
      <c r="OS104" s="978"/>
      <c r="OT104" s="978"/>
      <c r="OU104" s="978"/>
      <c r="OV104" s="978"/>
      <c r="OW104" s="978"/>
      <c r="OX104" s="978"/>
      <c r="OY104" s="978"/>
      <c r="OZ104" s="978"/>
      <c r="PA104" s="978"/>
      <c r="PB104" s="978"/>
      <c r="PC104" s="978"/>
      <c r="PD104" s="978"/>
      <c r="PE104" s="978"/>
      <c r="PF104" s="978"/>
      <c r="PG104" s="978"/>
      <c r="PH104" s="978"/>
      <c r="PI104" s="978"/>
      <c r="PJ104" s="978"/>
      <c r="PK104" s="978"/>
      <c r="PL104" s="978"/>
      <c r="PM104" s="978"/>
      <c r="PN104" s="978"/>
      <c r="PO104" s="978"/>
      <c r="PP104" s="978"/>
      <c r="PQ104" s="978"/>
      <c r="PR104" s="978"/>
      <c r="PS104" s="978"/>
      <c r="PT104" s="978"/>
      <c r="PU104" s="978"/>
      <c r="PV104" s="978"/>
      <c r="PW104" s="978"/>
      <c r="PX104" s="978"/>
      <c r="PY104" s="978"/>
      <c r="PZ104" s="978"/>
      <c r="QA104" s="978"/>
      <c r="QB104" s="978"/>
      <c r="QC104" s="978"/>
      <c r="QD104" s="978"/>
      <c r="QE104" s="978"/>
      <c r="QF104" s="978"/>
      <c r="QG104" s="978"/>
      <c r="QH104" s="978"/>
      <c r="QI104" s="978"/>
      <c r="QJ104" s="978"/>
      <c r="QK104" s="978"/>
      <c r="QL104" s="978"/>
      <c r="QM104" s="978"/>
      <c r="QN104" s="978"/>
      <c r="QO104" s="978"/>
      <c r="QP104" s="978"/>
      <c r="QQ104" s="978"/>
      <c r="QR104" s="978"/>
      <c r="QS104" s="978"/>
      <c r="QT104" s="978"/>
      <c r="QU104" s="978"/>
      <c r="QV104" s="978"/>
      <c r="QW104" s="978"/>
      <c r="QX104" s="978"/>
      <c r="QY104" s="978"/>
      <c r="QZ104" s="978"/>
      <c r="RA104" s="978"/>
      <c r="RB104" s="274"/>
      <c r="RC104" s="274"/>
    </row>
    <row r="105" spans="2:471" ht="17.25">
      <c r="B105">
        <v>5</v>
      </c>
      <c r="C105" s="7" t="s">
        <v>16</v>
      </c>
      <c r="D105" s="7">
        <v>365</v>
      </c>
      <c r="E105" s="7">
        <f>INT(MOD(I105,D105))+1</f>
        <v>303</v>
      </c>
      <c r="F105" s="7">
        <f>MOD(E105,30)</f>
        <v>3</v>
      </c>
      <c r="G105" s="7">
        <f>INT(E105/30)+1</f>
        <v>11</v>
      </c>
      <c r="H105" s="7">
        <f>INT(I105/D105)+1</f>
        <v>2620</v>
      </c>
      <c r="I105" s="7">
        <f>J105+I99</f>
        <v>956237</v>
      </c>
      <c r="J105" s="7">
        <v>499801</v>
      </c>
      <c r="K105" s="7" t="s">
        <v>96</v>
      </c>
      <c r="L105" s="7" t="s">
        <v>47</v>
      </c>
      <c r="M105" s="7" t="s">
        <v>48</v>
      </c>
      <c r="N105" s="7" t="s">
        <v>49</v>
      </c>
      <c r="O105" s="7" t="s">
        <v>50</v>
      </c>
      <c r="P105" s="7" t="s">
        <v>51</v>
      </c>
      <c r="Q105" s="7" t="s">
        <v>52</v>
      </c>
      <c r="R105" s="7" t="s">
        <v>53</v>
      </c>
      <c r="S105" s="7" t="s">
        <v>54</v>
      </c>
      <c r="T105" s="7" t="s">
        <v>55</v>
      </c>
      <c r="U105" s="7" t="s">
        <v>56</v>
      </c>
      <c r="V105" s="7" t="s">
        <v>57</v>
      </c>
      <c r="W105" s="7" t="s">
        <v>58</v>
      </c>
      <c r="X105" s="7" t="s">
        <v>31</v>
      </c>
      <c r="DH105" s="274"/>
      <c r="DI105" s="274"/>
      <c r="DJ105" s="978"/>
      <c r="DK105" s="978"/>
      <c r="DL105" s="978"/>
      <c r="DM105" s="978"/>
      <c r="DN105" s="978"/>
      <c r="DO105" s="978"/>
      <c r="DP105" s="978"/>
      <c r="DQ105" s="978"/>
      <c r="DR105" s="978"/>
      <c r="DS105" s="978"/>
      <c r="DT105" s="978"/>
      <c r="DU105" s="978"/>
      <c r="DV105" s="978"/>
      <c r="DW105" s="978"/>
      <c r="DX105" s="978"/>
      <c r="DY105" s="978"/>
      <c r="DZ105" s="978"/>
      <c r="EA105" s="978"/>
      <c r="EB105" s="978"/>
      <c r="EC105" s="978"/>
      <c r="ED105" s="978"/>
      <c r="EE105" s="978"/>
      <c r="EF105" s="978"/>
      <c r="EG105" s="978"/>
      <c r="EH105" s="978"/>
      <c r="EI105" s="978"/>
      <c r="EJ105" s="978"/>
      <c r="EK105" s="978"/>
      <c r="EL105" s="978"/>
      <c r="EM105" s="978"/>
      <c r="EN105" s="978"/>
      <c r="EO105" s="978"/>
      <c r="EP105" s="978"/>
      <c r="EQ105" s="978"/>
      <c r="ER105" s="978"/>
      <c r="ES105" s="978"/>
      <c r="ET105" s="978"/>
      <c r="EU105" s="978"/>
      <c r="EV105" s="978"/>
      <c r="EW105" s="978"/>
      <c r="EX105" s="978"/>
      <c r="EY105" s="978"/>
      <c r="EZ105" s="978"/>
      <c r="FA105" s="978"/>
      <c r="FB105" s="978"/>
      <c r="FC105" s="978"/>
      <c r="FD105" s="978"/>
      <c r="FE105" s="978"/>
      <c r="FF105" s="978"/>
      <c r="FG105" s="978"/>
      <c r="FH105" s="978"/>
      <c r="FI105" s="978"/>
      <c r="FJ105" s="978"/>
      <c r="FK105" s="978"/>
      <c r="FL105" s="978"/>
      <c r="FM105" s="978"/>
      <c r="FN105" s="978"/>
      <c r="FO105" s="978"/>
      <c r="FP105" s="978"/>
      <c r="FQ105" s="978"/>
      <c r="FR105" s="978"/>
      <c r="FS105" s="978"/>
      <c r="FT105" s="978"/>
      <c r="FU105" s="978"/>
      <c r="FV105" s="978"/>
      <c r="FW105" s="978"/>
      <c r="FX105" s="978"/>
      <c r="FY105" s="978"/>
      <c r="FZ105" s="978"/>
      <c r="GA105" s="978"/>
      <c r="GB105" s="978"/>
      <c r="GC105" s="978"/>
      <c r="GD105" s="978"/>
      <c r="GE105" s="978"/>
      <c r="GF105" s="978"/>
      <c r="GG105" s="978"/>
      <c r="GH105" s="978"/>
      <c r="GI105" s="978"/>
      <c r="GJ105" s="978"/>
      <c r="GK105" s="978"/>
      <c r="GL105" s="978"/>
      <c r="GM105" s="978"/>
      <c r="GN105" s="978"/>
      <c r="GO105" s="978"/>
      <c r="GP105" s="978"/>
      <c r="GQ105" s="978"/>
      <c r="GR105" s="978"/>
      <c r="GS105" s="978"/>
      <c r="GT105" s="978"/>
      <c r="GU105" s="978"/>
      <c r="GV105" s="978"/>
      <c r="GW105" s="978"/>
      <c r="GX105" s="978"/>
      <c r="GY105" s="978"/>
      <c r="GZ105" s="978"/>
      <c r="HA105" s="978"/>
      <c r="HB105" s="978"/>
      <c r="HC105" s="978"/>
      <c r="HD105" s="978"/>
      <c r="HE105" s="978"/>
      <c r="HF105" s="978"/>
      <c r="HG105" s="978"/>
      <c r="HH105" s="978"/>
      <c r="HI105" s="978"/>
      <c r="HJ105" s="978"/>
      <c r="HK105" s="978"/>
      <c r="HL105" s="978"/>
      <c r="HM105" s="978"/>
      <c r="HN105" s="978"/>
      <c r="HO105" s="978"/>
      <c r="HP105" s="978"/>
      <c r="HQ105" s="978"/>
      <c r="HR105" s="978"/>
      <c r="HS105" s="978"/>
      <c r="HT105" s="978"/>
      <c r="HU105" s="978"/>
      <c r="HV105" s="978"/>
      <c r="HW105" s="978"/>
      <c r="HX105" s="978"/>
      <c r="HY105" s="978"/>
      <c r="HZ105" s="978"/>
      <c r="IA105" s="978"/>
      <c r="IB105" s="978"/>
      <c r="IC105" s="978"/>
      <c r="ID105" s="978"/>
      <c r="IE105" s="978"/>
      <c r="IF105" s="978"/>
      <c r="IG105" s="978"/>
      <c r="IH105" s="978"/>
      <c r="II105" s="978"/>
      <c r="IJ105" s="978"/>
      <c r="IK105" s="978"/>
      <c r="IL105" s="978"/>
      <c r="IM105" s="978"/>
      <c r="IN105" s="978"/>
      <c r="IO105" s="978"/>
      <c r="IP105" s="978"/>
      <c r="IQ105" s="978"/>
      <c r="IR105" s="978"/>
      <c r="IS105" s="978"/>
      <c r="IT105" s="978"/>
      <c r="IU105" s="978"/>
      <c r="IV105" s="978"/>
      <c r="IW105" s="978"/>
      <c r="IX105" s="978"/>
      <c r="IY105" s="978"/>
      <c r="IZ105" s="978"/>
      <c r="JA105" s="978"/>
      <c r="JB105" s="978"/>
      <c r="JC105" s="978"/>
      <c r="JD105" s="978"/>
      <c r="JE105" s="978"/>
      <c r="JF105" s="978"/>
      <c r="JG105" s="978"/>
      <c r="JH105" s="978"/>
      <c r="JI105" s="978"/>
      <c r="JJ105" s="978"/>
      <c r="JK105" s="978"/>
      <c r="JL105" s="978"/>
      <c r="JM105" s="978"/>
      <c r="JN105" s="978"/>
      <c r="JO105" s="978"/>
      <c r="JP105" s="978"/>
      <c r="JQ105" s="978"/>
      <c r="JR105" s="978"/>
      <c r="JS105" s="978"/>
      <c r="JT105" s="978"/>
      <c r="JU105" s="978"/>
      <c r="JV105" s="978"/>
      <c r="JW105" s="978"/>
      <c r="JX105" s="978"/>
      <c r="JY105" s="978"/>
      <c r="JZ105" s="978"/>
      <c r="KA105" s="978"/>
      <c r="KB105" s="978"/>
      <c r="KC105" s="978"/>
      <c r="KD105" s="978"/>
      <c r="KE105" s="978"/>
      <c r="KF105" s="978"/>
      <c r="KG105" s="978"/>
      <c r="KH105" s="978"/>
      <c r="KI105" s="978"/>
      <c r="KJ105" s="978"/>
      <c r="KK105" s="978"/>
      <c r="KL105" s="978"/>
      <c r="KM105" s="978"/>
      <c r="KN105" s="978"/>
      <c r="KO105" s="978"/>
      <c r="KP105" s="978"/>
      <c r="KQ105" s="978"/>
      <c r="KR105" s="978"/>
      <c r="KS105" s="978"/>
      <c r="KT105" s="978"/>
      <c r="KU105" s="978"/>
      <c r="KV105" s="978"/>
      <c r="KW105" s="978"/>
      <c r="KX105" s="978"/>
      <c r="KY105" s="978"/>
      <c r="KZ105" s="978"/>
      <c r="LA105" s="978"/>
      <c r="LB105" s="978"/>
      <c r="LC105" s="978"/>
      <c r="LD105" s="978"/>
      <c r="LE105" s="978"/>
      <c r="LF105" s="978"/>
      <c r="LG105" s="978"/>
      <c r="LH105" s="978"/>
      <c r="LI105" s="978"/>
      <c r="LJ105" s="978"/>
      <c r="LK105" s="978"/>
      <c r="LL105" s="978"/>
      <c r="LM105" s="978"/>
      <c r="LN105" s="978"/>
      <c r="LO105" s="978"/>
      <c r="LP105" s="978"/>
      <c r="LQ105" s="978"/>
      <c r="LR105" s="978"/>
      <c r="LS105" s="978"/>
      <c r="LT105" s="978"/>
      <c r="LU105" s="978"/>
      <c r="LV105" s="978"/>
      <c r="LW105" s="978"/>
      <c r="LX105" s="978"/>
      <c r="LY105" s="978"/>
      <c r="LZ105" s="978"/>
      <c r="MA105" s="978"/>
      <c r="MB105" s="978"/>
      <c r="MC105" s="978"/>
      <c r="MD105" s="978"/>
      <c r="ME105" s="978"/>
      <c r="MF105" s="978"/>
      <c r="MG105" s="978"/>
      <c r="MH105" s="978"/>
      <c r="MI105" s="978"/>
      <c r="MJ105" s="978"/>
      <c r="MK105" s="978"/>
      <c r="ML105" s="978"/>
      <c r="MM105" s="978"/>
      <c r="MN105" s="978"/>
      <c r="MO105" s="978"/>
      <c r="MP105" s="978"/>
      <c r="MQ105" s="978"/>
      <c r="MR105" s="978"/>
      <c r="MS105" s="978"/>
      <c r="MT105" s="978"/>
      <c r="MU105" s="978"/>
      <c r="MV105" s="978"/>
      <c r="MW105" s="978"/>
      <c r="MX105" s="978"/>
      <c r="MY105" s="978"/>
      <c r="MZ105" s="978"/>
      <c r="NA105" s="978"/>
      <c r="NB105" s="978"/>
      <c r="NC105" s="978"/>
      <c r="ND105" s="978"/>
      <c r="NE105" s="978"/>
      <c r="NF105" s="978"/>
      <c r="NG105" s="978"/>
      <c r="NH105" s="978"/>
      <c r="NI105" s="978"/>
      <c r="NJ105" s="978"/>
      <c r="NK105" s="978"/>
      <c r="NL105" s="978"/>
      <c r="NM105" s="978"/>
      <c r="NN105" s="978"/>
      <c r="NO105" s="978"/>
      <c r="NP105" s="978"/>
      <c r="NQ105" s="978"/>
      <c r="NR105" s="978"/>
      <c r="NS105" s="978"/>
      <c r="NT105" s="978"/>
      <c r="NU105" s="978"/>
      <c r="NV105" s="978"/>
      <c r="NW105" s="978"/>
      <c r="NX105" s="978"/>
      <c r="NY105" s="978"/>
      <c r="NZ105" s="978"/>
      <c r="OA105" s="978"/>
      <c r="OB105" s="978"/>
      <c r="OC105" s="978"/>
      <c r="OD105" s="978"/>
      <c r="OE105" s="978"/>
      <c r="OF105" s="978"/>
      <c r="OG105" s="978"/>
      <c r="OH105" s="978"/>
      <c r="OI105" s="978"/>
      <c r="OJ105" s="978"/>
      <c r="OK105" s="978"/>
      <c r="OL105" s="978"/>
      <c r="OM105" s="978"/>
      <c r="ON105" s="978"/>
      <c r="OO105" s="978"/>
      <c r="OP105" s="978"/>
      <c r="OQ105" s="978"/>
      <c r="OR105" s="978"/>
      <c r="OS105" s="978"/>
      <c r="OT105" s="978"/>
      <c r="OU105" s="978"/>
      <c r="OV105" s="978"/>
      <c r="OW105" s="978"/>
      <c r="OX105" s="978"/>
      <c r="OY105" s="978"/>
      <c r="OZ105" s="978"/>
      <c r="PA105" s="978"/>
      <c r="PB105" s="978"/>
      <c r="PC105" s="978"/>
      <c r="PD105" s="978"/>
      <c r="PE105" s="978"/>
      <c r="PF105" s="978"/>
      <c r="PG105" s="978"/>
      <c r="PH105" s="978"/>
      <c r="PI105" s="978"/>
      <c r="PJ105" s="978"/>
      <c r="PK105" s="978"/>
      <c r="PL105" s="978"/>
      <c r="PM105" s="978"/>
      <c r="PN105" s="978"/>
      <c r="PO105" s="978"/>
      <c r="PP105" s="978"/>
      <c r="PQ105" s="978"/>
      <c r="PR105" s="978"/>
      <c r="PS105" s="978"/>
      <c r="PT105" s="978"/>
      <c r="PU105" s="978"/>
      <c r="PV105" s="978"/>
      <c r="PW105" s="978"/>
      <c r="PX105" s="978"/>
      <c r="PY105" s="978"/>
      <c r="PZ105" s="978"/>
      <c r="QA105" s="978"/>
      <c r="QB105" s="978"/>
      <c r="QC105" s="978"/>
      <c r="QD105" s="978"/>
      <c r="QE105" s="978"/>
      <c r="QF105" s="978"/>
      <c r="QG105" s="978"/>
      <c r="QH105" s="978"/>
      <c r="QI105" s="978"/>
      <c r="QJ105" s="978"/>
      <c r="QK105" s="978"/>
      <c r="QL105" s="978"/>
      <c r="QM105" s="978"/>
      <c r="QN105" s="978"/>
      <c r="QO105" s="978"/>
      <c r="QP105" s="978"/>
      <c r="QQ105" s="978"/>
      <c r="QR105" s="978"/>
      <c r="QS105" s="978"/>
      <c r="QT105" s="978"/>
      <c r="QU105" s="978"/>
      <c r="QV105" s="978"/>
      <c r="QW105" s="978"/>
      <c r="QX105" s="978"/>
      <c r="QY105" s="978"/>
      <c r="QZ105" s="978"/>
      <c r="RA105" s="978"/>
      <c r="RB105" s="274"/>
      <c r="RC105" s="274"/>
    </row>
    <row r="106" spans="2:471" ht="17.25">
      <c r="C106" s="7"/>
      <c r="D106" s="7"/>
      <c r="E106" s="7"/>
      <c r="F106" s="7"/>
      <c r="G106" s="7" t="str">
        <f>IF(G105=1,L105,IF(G105=2,M105,IF(G105=3,N105,IF(G105=4,O105,IF(G105=5,P105,IF(G105=6,Q105,IF(G105=7,R105,IF(G105=8,S105,IF(G105=9,T105,IF(G105=10,U105,IF(G105=11,V105,IF(G105=12,W105,X105))))))))))))</f>
        <v>انیقی</v>
      </c>
      <c r="H106" s="7"/>
      <c r="I106" s="7"/>
      <c r="J106" s="7"/>
      <c r="K106" s="7"/>
      <c r="L106" s="7"/>
      <c r="M106" s="7"/>
      <c r="N106" s="7"/>
      <c r="O106" s="7"/>
      <c r="P106" s="7"/>
      <c r="Q106" s="7"/>
      <c r="R106" s="7"/>
      <c r="S106" s="7"/>
      <c r="T106" s="7"/>
      <c r="U106" s="7"/>
      <c r="V106" s="7"/>
      <c r="W106" s="7"/>
      <c r="X106" s="7"/>
      <c r="DH106" s="274"/>
      <c r="DI106" s="274"/>
      <c r="DJ106" s="978"/>
      <c r="DK106" s="978"/>
      <c r="DL106" s="978"/>
      <c r="DM106" s="978"/>
      <c r="DN106" s="978"/>
      <c r="DO106" s="978"/>
      <c r="DP106" s="978"/>
      <c r="DQ106" s="978"/>
      <c r="DR106" s="978"/>
      <c r="DS106" s="978"/>
      <c r="DT106" s="978"/>
      <c r="DU106" s="978"/>
      <c r="DV106" s="978"/>
      <c r="DW106" s="978"/>
      <c r="DX106" s="978"/>
      <c r="DY106" s="978"/>
      <c r="DZ106" s="978"/>
      <c r="EA106" s="978"/>
      <c r="EB106" s="978"/>
      <c r="EC106" s="978"/>
      <c r="ED106" s="978"/>
      <c r="EE106" s="978"/>
      <c r="EF106" s="978"/>
      <c r="EG106" s="978"/>
      <c r="EH106" s="978"/>
      <c r="EI106" s="978"/>
      <c r="EJ106" s="978"/>
      <c r="EK106" s="978"/>
      <c r="EL106" s="978"/>
      <c r="EM106" s="978"/>
      <c r="EN106" s="978"/>
      <c r="EO106" s="978"/>
      <c r="EP106" s="978"/>
      <c r="EQ106" s="978"/>
      <c r="ER106" s="978"/>
      <c r="ES106" s="978"/>
      <c r="ET106" s="978"/>
      <c r="EU106" s="978"/>
      <c r="EV106" s="978"/>
      <c r="EW106" s="978"/>
      <c r="EX106" s="978"/>
      <c r="EY106" s="978"/>
      <c r="EZ106" s="978"/>
      <c r="FA106" s="978"/>
      <c r="FB106" s="978"/>
      <c r="FC106" s="978"/>
      <c r="FD106" s="978"/>
      <c r="FE106" s="978"/>
      <c r="FF106" s="978"/>
      <c r="FG106" s="978"/>
      <c r="FH106" s="978"/>
      <c r="FI106" s="978"/>
      <c r="FJ106" s="978"/>
      <c r="FK106" s="978"/>
      <c r="FL106" s="978"/>
      <c r="FM106" s="978"/>
      <c r="FN106" s="978"/>
      <c r="FO106" s="978"/>
      <c r="FP106" s="978"/>
      <c r="FQ106" s="978"/>
      <c r="FR106" s="978"/>
      <c r="FS106" s="978"/>
      <c r="FT106" s="978"/>
      <c r="FU106" s="978"/>
      <c r="FV106" s="978"/>
      <c r="FW106" s="978"/>
      <c r="FX106" s="978"/>
      <c r="FY106" s="978"/>
      <c r="FZ106" s="978"/>
      <c r="GA106" s="978"/>
      <c r="GB106" s="978"/>
      <c r="GC106" s="978"/>
      <c r="GD106" s="978"/>
      <c r="GE106" s="978"/>
      <c r="GF106" s="978"/>
      <c r="GG106" s="978"/>
      <c r="GH106" s="978"/>
      <c r="GI106" s="978"/>
      <c r="GJ106" s="978"/>
      <c r="GK106" s="978"/>
      <c r="GL106" s="978"/>
      <c r="GM106" s="978"/>
      <c r="GN106" s="978"/>
      <c r="GO106" s="978"/>
      <c r="GP106" s="978"/>
      <c r="GQ106" s="978"/>
      <c r="GR106" s="978"/>
      <c r="GS106" s="978"/>
      <c r="GT106" s="978"/>
      <c r="GU106" s="978"/>
      <c r="GV106" s="978"/>
      <c r="GW106" s="978"/>
      <c r="GX106" s="978"/>
      <c r="GY106" s="978"/>
      <c r="GZ106" s="978"/>
      <c r="HA106" s="978"/>
      <c r="HB106" s="978"/>
      <c r="HC106" s="978"/>
      <c r="HD106" s="978"/>
      <c r="HE106" s="978"/>
      <c r="HF106" s="978"/>
      <c r="HG106" s="978"/>
      <c r="HH106" s="978"/>
      <c r="HI106" s="978"/>
      <c r="HJ106" s="978"/>
      <c r="HK106" s="978"/>
      <c r="HL106" s="978"/>
      <c r="HM106" s="978"/>
      <c r="HN106" s="978"/>
      <c r="HO106" s="978"/>
      <c r="HP106" s="978"/>
      <c r="HQ106" s="978"/>
      <c r="HR106" s="978"/>
      <c r="HS106" s="978"/>
      <c r="HT106" s="978"/>
      <c r="HU106" s="978"/>
      <c r="HV106" s="978"/>
      <c r="HW106" s="978"/>
      <c r="HX106" s="978"/>
      <c r="HY106" s="978"/>
      <c r="HZ106" s="978"/>
      <c r="IA106" s="978"/>
      <c r="IB106" s="978"/>
      <c r="IC106" s="978"/>
      <c r="ID106" s="978"/>
      <c r="IE106" s="978"/>
      <c r="IF106" s="978"/>
      <c r="IG106" s="978"/>
      <c r="IH106" s="978"/>
      <c r="II106" s="978"/>
      <c r="IJ106" s="978"/>
      <c r="IK106" s="978"/>
      <c r="IL106" s="978"/>
      <c r="IM106" s="978"/>
      <c r="IN106" s="978"/>
      <c r="IO106" s="978"/>
      <c r="IP106" s="978"/>
      <c r="IQ106" s="978"/>
      <c r="IR106" s="978"/>
      <c r="IS106" s="978"/>
      <c r="IT106" s="978"/>
      <c r="IU106" s="978"/>
      <c r="IV106" s="978"/>
      <c r="IW106" s="978"/>
      <c r="IX106" s="978"/>
      <c r="IY106" s="978"/>
      <c r="IZ106" s="978"/>
      <c r="JA106" s="978"/>
      <c r="JB106" s="978"/>
      <c r="JC106" s="978"/>
      <c r="JD106" s="978"/>
      <c r="JE106" s="978"/>
      <c r="JF106" s="978"/>
      <c r="JG106" s="978"/>
      <c r="JH106" s="978"/>
      <c r="JI106" s="978"/>
      <c r="JJ106" s="978"/>
      <c r="JK106" s="978"/>
      <c r="JL106" s="978"/>
      <c r="JM106" s="978"/>
      <c r="JN106" s="978"/>
      <c r="JO106" s="978"/>
      <c r="JP106" s="978"/>
      <c r="JQ106" s="978"/>
      <c r="JR106" s="978"/>
      <c r="JS106" s="978"/>
      <c r="JT106" s="978"/>
      <c r="JU106" s="978"/>
      <c r="JV106" s="978"/>
      <c r="JW106" s="978"/>
      <c r="JX106" s="978"/>
      <c r="JY106" s="978"/>
      <c r="JZ106" s="978"/>
      <c r="KA106" s="978"/>
      <c r="KB106" s="978"/>
      <c r="KC106" s="978"/>
      <c r="KD106" s="978"/>
      <c r="KE106" s="978"/>
      <c r="KF106" s="978"/>
      <c r="KG106" s="978"/>
      <c r="KH106" s="978"/>
      <c r="KI106" s="978"/>
      <c r="KJ106" s="978"/>
      <c r="KK106" s="978"/>
      <c r="KL106" s="978"/>
      <c r="KM106" s="978"/>
      <c r="KN106" s="978"/>
      <c r="KO106" s="978"/>
      <c r="KP106" s="978"/>
      <c r="KQ106" s="978"/>
      <c r="KR106" s="978"/>
      <c r="KS106" s="978"/>
      <c r="KT106" s="978"/>
      <c r="KU106" s="978"/>
      <c r="KV106" s="978"/>
      <c r="KW106" s="978"/>
      <c r="KX106" s="978"/>
      <c r="KY106" s="978"/>
      <c r="KZ106" s="978"/>
      <c r="LA106" s="978"/>
      <c r="LB106" s="978"/>
      <c r="LC106" s="978"/>
      <c r="LD106" s="978"/>
      <c r="LE106" s="978"/>
      <c r="LF106" s="978"/>
      <c r="LG106" s="978"/>
      <c r="LH106" s="978"/>
      <c r="LI106" s="978"/>
      <c r="LJ106" s="978"/>
      <c r="LK106" s="978"/>
      <c r="LL106" s="978"/>
      <c r="LM106" s="978"/>
      <c r="LN106" s="978"/>
      <c r="LO106" s="978"/>
      <c r="LP106" s="978"/>
      <c r="LQ106" s="978"/>
      <c r="LR106" s="978"/>
      <c r="LS106" s="978"/>
      <c r="LT106" s="978"/>
      <c r="LU106" s="978"/>
      <c r="LV106" s="978"/>
      <c r="LW106" s="978"/>
      <c r="LX106" s="978"/>
      <c r="LY106" s="978"/>
      <c r="LZ106" s="978"/>
      <c r="MA106" s="978"/>
      <c r="MB106" s="978"/>
      <c r="MC106" s="978"/>
      <c r="MD106" s="978"/>
      <c r="ME106" s="978"/>
      <c r="MF106" s="978"/>
      <c r="MG106" s="978"/>
      <c r="MH106" s="978"/>
      <c r="MI106" s="978"/>
      <c r="MJ106" s="978"/>
      <c r="MK106" s="978"/>
      <c r="ML106" s="978"/>
      <c r="MM106" s="978"/>
      <c r="MN106" s="978"/>
      <c r="MO106" s="978"/>
      <c r="MP106" s="978"/>
      <c r="MQ106" s="978"/>
      <c r="MR106" s="978"/>
      <c r="MS106" s="978"/>
      <c r="MT106" s="978"/>
      <c r="MU106" s="978"/>
      <c r="MV106" s="978"/>
      <c r="MW106" s="978"/>
      <c r="MX106" s="978"/>
      <c r="MY106" s="978"/>
      <c r="MZ106" s="978"/>
      <c r="NA106" s="978"/>
      <c r="NB106" s="978"/>
      <c r="NC106" s="978"/>
      <c r="ND106" s="978"/>
      <c r="NE106" s="978"/>
      <c r="NF106" s="978"/>
      <c r="NG106" s="978"/>
      <c r="NH106" s="978"/>
      <c r="NI106" s="978"/>
      <c r="NJ106" s="978"/>
      <c r="NK106" s="978"/>
      <c r="NL106" s="978"/>
      <c r="NM106" s="978"/>
      <c r="NN106" s="978"/>
      <c r="NO106" s="978"/>
      <c r="NP106" s="978"/>
      <c r="NQ106" s="978"/>
      <c r="NR106" s="978"/>
      <c r="NS106" s="978"/>
      <c r="NT106" s="978"/>
      <c r="NU106" s="978"/>
      <c r="NV106" s="978"/>
      <c r="NW106" s="978"/>
      <c r="NX106" s="978"/>
      <c r="NY106" s="978"/>
      <c r="NZ106" s="978"/>
      <c r="OA106" s="978"/>
      <c r="OB106" s="978"/>
      <c r="OC106" s="978"/>
      <c r="OD106" s="978"/>
      <c r="OE106" s="978"/>
      <c r="OF106" s="978"/>
      <c r="OG106" s="978"/>
      <c r="OH106" s="978"/>
      <c r="OI106" s="978"/>
      <c r="OJ106" s="978"/>
      <c r="OK106" s="978"/>
      <c r="OL106" s="978"/>
      <c r="OM106" s="978"/>
      <c r="ON106" s="978"/>
      <c r="OO106" s="978"/>
      <c r="OP106" s="978"/>
      <c r="OQ106" s="978"/>
      <c r="OR106" s="978"/>
      <c r="OS106" s="978"/>
      <c r="OT106" s="978"/>
      <c r="OU106" s="978"/>
      <c r="OV106" s="978"/>
      <c r="OW106" s="978"/>
      <c r="OX106" s="978"/>
      <c r="OY106" s="978"/>
      <c r="OZ106" s="978"/>
      <c r="PA106" s="978"/>
      <c r="PB106" s="978"/>
      <c r="PC106" s="978"/>
      <c r="PD106" s="978"/>
      <c r="PE106" s="978"/>
      <c r="PF106" s="978"/>
      <c r="PG106" s="978"/>
      <c r="PH106" s="978"/>
      <c r="PI106" s="978"/>
      <c r="PJ106" s="978"/>
      <c r="PK106" s="978"/>
      <c r="PL106" s="978"/>
      <c r="PM106" s="978"/>
      <c r="PN106" s="978"/>
      <c r="PO106" s="978"/>
      <c r="PP106" s="978"/>
      <c r="PQ106" s="978"/>
      <c r="PR106" s="978"/>
      <c r="PS106" s="978"/>
      <c r="PT106" s="978"/>
      <c r="PU106" s="978"/>
      <c r="PV106" s="978"/>
      <c r="PW106" s="978"/>
      <c r="PX106" s="978"/>
      <c r="PY106" s="978"/>
      <c r="PZ106" s="978"/>
      <c r="QA106" s="978"/>
      <c r="QB106" s="978"/>
      <c r="QC106" s="978"/>
      <c r="QD106" s="978"/>
      <c r="QE106" s="978"/>
      <c r="QF106" s="978"/>
      <c r="QG106" s="978"/>
      <c r="QH106" s="978"/>
      <c r="QI106" s="978"/>
      <c r="QJ106" s="978"/>
      <c r="QK106" s="978"/>
      <c r="QL106" s="978"/>
      <c r="QM106" s="978"/>
      <c r="QN106" s="978"/>
      <c r="QO106" s="978"/>
      <c r="QP106" s="978"/>
      <c r="QQ106" s="978"/>
      <c r="QR106" s="978"/>
      <c r="QS106" s="978"/>
      <c r="QT106" s="978"/>
      <c r="QU106" s="978"/>
      <c r="QV106" s="978"/>
      <c r="QW106" s="978"/>
      <c r="QX106" s="978"/>
      <c r="QY106" s="978"/>
      <c r="QZ106" s="978"/>
      <c r="RA106" s="978"/>
      <c r="RB106" s="274"/>
      <c r="RC106" s="274"/>
    </row>
    <row r="107" spans="2:471" ht="17.25">
      <c r="B107">
        <v>6</v>
      </c>
      <c r="C107" s="13" t="s">
        <v>83</v>
      </c>
      <c r="D107" s="13">
        <v>365.25</v>
      </c>
      <c r="E107" s="13">
        <f>INT(MOD(I107,D107))+1</f>
        <v>161</v>
      </c>
      <c r="F107" s="13">
        <f>IF(H108=0,IF(G107=1,E107,IF(G107=2,E107-31,IF(G107=3,E107-61,IF(G107=4,E107-92,IF(G107=5,E107-123,IF(G107=6,E107-152,IF(G107=7,E107-183,IF(G107=8,E107-213,IF(G107=9,E107-244,IF(G107=10,E107-274,IF(G107=11,E107-305,E107-336))))))))))),IF(G107=1,E107,IF(G107=2,E107-31,IF(G107=3,E107-61,IF(G107=4,E107-92,IF(G107=5,E107-123,IF(G107=6,E107-151,IF(G107=7,E107-182,IF(G107=8,E107-212,IF(G107=9,E107-243,IF(G107=10,E107-273,IF(G107=11,E107-304,E107-335))))))))))))</f>
        <v>10</v>
      </c>
      <c r="G107" s="13">
        <f>IF(H108=0,IF(E107&lt;=31,1,IF(E107&lt;=61,2,IF(E107&lt;=92,3,IF(E107&lt;=123,4,IF(E107&lt;=152,5,IF(E107&lt;=183,6,IF(E107&lt;=213,7,IF(E107&lt;=244,8,IF(E107&lt;=274,9,IF(E107&lt;=305,10,IF(E107&lt;=336,11,12))))))))))),IF(E107&lt;=31,1,IF(E107&lt;=61,2,IF(E107&lt;=92,3,IF(E107&lt;=123,4,IF(E107&lt;=151,5,IF(E107&lt;=182,6,IF(E107&lt;=212,7,IF(E107&lt;=243,8,IF(E107&lt;=273,9,IF(E107&lt;=304,10,IF(E107&lt;=335,11,12))))))))))))</f>
        <v>6</v>
      </c>
      <c r="H107" s="13">
        <f>INT(I107/D107)+1</f>
        <v>2183</v>
      </c>
      <c r="I107" s="13">
        <f>J107+I99</f>
        <v>797136</v>
      </c>
      <c r="J107" s="13">
        <v>340700</v>
      </c>
      <c r="K107" s="13" t="s">
        <v>96</v>
      </c>
      <c r="L107" s="13" t="s">
        <v>32</v>
      </c>
      <c r="M107" s="13" t="s">
        <v>33</v>
      </c>
      <c r="N107" s="13" t="s">
        <v>34</v>
      </c>
      <c r="O107" s="13" t="s">
        <v>35</v>
      </c>
      <c r="P107" s="13" t="s">
        <v>36</v>
      </c>
      <c r="Q107" s="13" t="s">
        <v>37</v>
      </c>
      <c r="R107" s="13" t="s">
        <v>38</v>
      </c>
      <c r="S107" s="13" t="s">
        <v>43</v>
      </c>
      <c r="T107" s="13" t="s">
        <v>42</v>
      </c>
      <c r="U107" s="13" t="s">
        <v>39</v>
      </c>
      <c r="V107" s="13" t="s">
        <v>40</v>
      </c>
      <c r="W107" s="13" t="s">
        <v>41</v>
      </c>
      <c r="X107" s="13" t="s">
        <v>97</v>
      </c>
      <c r="DH107" s="274"/>
      <c r="DI107" s="274"/>
      <c r="DJ107" s="978"/>
      <c r="DK107" s="978"/>
      <c r="DL107" s="978"/>
      <c r="DM107" s="978"/>
      <c r="DN107" s="978"/>
      <c r="DO107" s="978"/>
      <c r="DP107" s="978"/>
      <c r="DQ107" s="978"/>
      <c r="DR107" s="978"/>
      <c r="DS107" s="978"/>
      <c r="DT107" s="978"/>
      <c r="DU107" s="978"/>
      <c r="DV107" s="978"/>
      <c r="DW107" s="978"/>
      <c r="DX107" s="978"/>
      <c r="DY107" s="978"/>
      <c r="DZ107" s="978"/>
      <c r="EA107" s="978"/>
      <c r="EB107" s="978"/>
      <c r="EC107" s="978"/>
      <c r="ED107" s="978"/>
      <c r="EE107" s="978"/>
      <c r="EF107" s="978"/>
      <c r="EG107" s="978"/>
      <c r="EH107" s="978"/>
      <c r="EI107" s="978"/>
      <c r="EJ107" s="978"/>
      <c r="EK107" s="978"/>
      <c r="EL107" s="978"/>
      <c r="EM107" s="978"/>
      <c r="EN107" s="978"/>
      <c r="EO107" s="978"/>
      <c r="EP107" s="978"/>
      <c r="EQ107" s="978"/>
      <c r="ER107" s="978"/>
      <c r="ES107" s="978"/>
      <c r="ET107" s="978"/>
      <c r="EU107" s="978"/>
      <c r="EV107" s="978"/>
      <c r="EW107" s="978"/>
      <c r="EX107" s="978"/>
      <c r="EY107" s="978"/>
      <c r="EZ107" s="978"/>
      <c r="FA107" s="978"/>
      <c r="FB107" s="978"/>
      <c r="FC107" s="978"/>
      <c r="FD107" s="978"/>
      <c r="FE107" s="978"/>
      <c r="FF107" s="978"/>
      <c r="FG107" s="978"/>
      <c r="FH107" s="978"/>
      <c r="FI107" s="978"/>
      <c r="FJ107" s="978"/>
      <c r="FK107" s="978"/>
      <c r="FL107" s="978"/>
      <c r="FM107" s="978"/>
      <c r="FN107" s="978"/>
      <c r="FO107" s="978"/>
      <c r="FP107" s="978"/>
      <c r="FQ107" s="978"/>
      <c r="FR107" s="978"/>
      <c r="FS107" s="978"/>
      <c r="FT107" s="978"/>
      <c r="FU107" s="978"/>
      <c r="FV107" s="978"/>
      <c r="FW107" s="978"/>
      <c r="FX107" s="978"/>
      <c r="FY107" s="978"/>
      <c r="FZ107" s="978"/>
      <c r="GA107" s="978"/>
      <c r="GB107" s="978"/>
      <c r="GC107" s="978"/>
      <c r="GD107" s="978"/>
      <c r="GE107" s="978"/>
      <c r="GF107" s="978"/>
      <c r="GG107" s="978"/>
      <c r="GH107" s="978"/>
      <c r="GI107" s="978"/>
      <c r="GJ107" s="978"/>
      <c r="GK107" s="978"/>
      <c r="GL107" s="978"/>
      <c r="GM107" s="978"/>
      <c r="GN107" s="978"/>
      <c r="GO107" s="978"/>
      <c r="GP107" s="978"/>
      <c r="GQ107" s="978"/>
      <c r="GR107" s="978"/>
      <c r="GS107" s="978"/>
      <c r="GT107" s="978"/>
      <c r="GU107" s="978"/>
      <c r="GV107" s="978"/>
      <c r="GW107" s="978"/>
      <c r="GX107" s="978"/>
      <c r="GY107" s="978"/>
      <c r="GZ107" s="978"/>
      <c r="HA107" s="978"/>
      <c r="HB107" s="978"/>
      <c r="HC107" s="978"/>
      <c r="HD107" s="978"/>
      <c r="HE107" s="978"/>
      <c r="HF107" s="978"/>
      <c r="HG107" s="978"/>
      <c r="HH107" s="978"/>
      <c r="HI107" s="978"/>
      <c r="HJ107" s="978"/>
      <c r="HK107" s="978"/>
      <c r="HL107" s="978"/>
      <c r="HM107" s="978"/>
      <c r="HN107" s="978"/>
      <c r="HO107" s="978"/>
      <c r="HP107" s="978"/>
      <c r="HQ107" s="978"/>
      <c r="HR107" s="978"/>
      <c r="HS107" s="978"/>
      <c r="HT107" s="978"/>
      <c r="HU107" s="978"/>
      <c r="HV107" s="978"/>
      <c r="HW107" s="978"/>
      <c r="HX107" s="978"/>
      <c r="HY107" s="978"/>
      <c r="HZ107" s="978"/>
      <c r="IA107" s="978"/>
      <c r="IB107" s="978"/>
      <c r="IC107" s="978"/>
      <c r="ID107" s="978"/>
      <c r="IE107" s="978"/>
      <c r="IF107" s="978"/>
      <c r="IG107" s="978"/>
      <c r="IH107" s="978"/>
      <c r="II107" s="978"/>
      <c r="IJ107" s="978"/>
      <c r="IK107" s="978"/>
      <c r="IL107" s="978"/>
      <c r="IM107" s="978"/>
      <c r="IN107" s="978"/>
      <c r="IO107" s="978"/>
      <c r="IP107" s="978"/>
      <c r="IQ107" s="978"/>
      <c r="IR107" s="978"/>
      <c r="IS107" s="978"/>
      <c r="IT107" s="978"/>
      <c r="IU107" s="978"/>
      <c r="IV107" s="978"/>
      <c r="IW107" s="978"/>
      <c r="IX107" s="978"/>
      <c r="IY107" s="978"/>
      <c r="IZ107" s="978"/>
      <c r="JA107" s="978"/>
      <c r="JB107" s="978"/>
      <c r="JC107" s="978"/>
      <c r="JD107" s="978"/>
      <c r="JE107" s="978"/>
      <c r="JF107" s="978"/>
      <c r="JG107" s="978"/>
      <c r="JH107" s="978"/>
      <c r="JI107" s="978"/>
      <c r="JJ107" s="978"/>
      <c r="JK107" s="978"/>
      <c r="JL107" s="978"/>
      <c r="JM107" s="978"/>
      <c r="JN107" s="978"/>
      <c r="JO107" s="978"/>
      <c r="JP107" s="978"/>
      <c r="JQ107" s="978"/>
      <c r="JR107" s="978"/>
      <c r="JS107" s="978"/>
      <c r="JT107" s="978"/>
      <c r="JU107" s="978"/>
      <c r="JV107" s="978"/>
      <c r="JW107" s="978"/>
      <c r="JX107" s="978"/>
      <c r="JY107" s="978"/>
      <c r="JZ107" s="978"/>
      <c r="KA107" s="978"/>
      <c r="KB107" s="978"/>
      <c r="KC107" s="978"/>
      <c r="KD107" s="978"/>
      <c r="KE107" s="978"/>
      <c r="KF107" s="978"/>
      <c r="KG107" s="978"/>
      <c r="KH107" s="978"/>
      <c r="KI107" s="978"/>
      <c r="KJ107" s="978"/>
      <c r="KK107" s="978"/>
      <c r="KL107" s="978"/>
      <c r="KM107" s="978"/>
      <c r="KN107" s="978"/>
      <c r="KO107" s="978"/>
      <c r="KP107" s="978"/>
      <c r="KQ107" s="978"/>
      <c r="KR107" s="978"/>
      <c r="KS107" s="978"/>
      <c r="KT107" s="978"/>
      <c r="KU107" s="978"/>
      <c r="KV107" s="978"/>
      <c r="KW107" s="978"/>
      <c r="KX107" s="978"/>
      <c r="KY107" s="978"/>
      <c r="KZ107" s="978"/>
      <c r="LA107" s="978"/>
      <c r="LB107" s="978"/>
      <c r="LC107" s="978"/>
      <c r="LD107" s="978"/>
      <c r="LE107" s="978"/>
      <c r="LF107" s="978"/>
      <c r="LG107" s="978"/>
      <c r="LH107" s="978"/>
      <c r="LI107" s="978"/>
      <c r="LJ107" s="978"/>
      <c r="LK107" s="978"/>
      <c r="LL107" s="978"/>
      <c r="LM107" s="978"/>
      <c r="LN107" s="978"/>
      <c r="LO107" s="978"/>
      <c r="LP107" s="978"/>
      <c r="LQ107" s="978"/>
      <c r="LR107" s="978"/>
      <c r="LS107" s="978"/>
      <c r="LT107" s="978"/>
      <c r="LU107" s="978"/>
      <c r="LV107" s="978"/>
      <c r="LW107" s="978"/>
      <c r="LX107" s="978"/>
      <c r="LY107" s="978"/>
      <c r="LZ107" s="978"/>
      <c r="MA107" s="978"/>
      <c r="MB107" s="978"/>
      <c r="MC107" s="978"/>
      <c r="MD107" s="978"/>
      <c r="ME107" s="978"/>
      <c r="MF107" s="978"/>
      <c r="MG107" s="978"/>
      <c r="MH107" s="978"/>
      <c r="MI107" s="978"/>
      <c r="MJ107" s="978"/>
      <c r="MK107" s="978"/>
      <c r="ML107" s="978"/>
      <c r="MM107" s="978"/>
      <c r="MN107" s="978"/>
      <c r="MO107" s="978"/>
      <c r="MP107" s="978"/>
      <c r="MQ107" s="978"/>
      <c r="MR107" s="978"/>
      <c r="MS107" s="978"/>
      <c r="MT107" s="978"/>
      <c r="MU107" s="978"/>
      <c r="MV107" s="978"/>
      <c r="MW107" s="978"/>
      <c r="MX107" s="978"/>
      <c r="MY107" s="978"/>
      <c r="MZ107" s="978"/>
      <c r="NA107" s="978"/>
      <c r="NB107" s="978"/>
      <c r="NC107" s="978"/>
      <c r="ND107" s="978"/>
      <c r="NE107" s="978"/>
      <c r="NF107" s="978"/>
      <c r="NG107" s="978"/>
      <c r="NH107" s="978"/>
      <c r="NI107" s="978"/>
      <c r="NJ107" s="978"/>
      <c r="NK107" s="978"/>
      <c r="NL107" s="978"/>
      <c r="NM107" s="978"/>
      <c r="NN107" s="978"/>
      <c r="NO107" s="978"/>
      <c r="NP107" s="978"/>
      <c r="NQ107" s="978"/>
      <c r="NR107" s="978"/>
      <c r="NS107" s="978"/>
      <c r="NT107" s="978"/>
      <c r="NU107" s="978"/>
      <c r="NV107" s="978"/>
      <c r="NW107" s="978"/>
      <c r="NX107" s="978"/>
      <c r="NY107" s="978"/>
      <c r="NZ107" s="978"/>
      <c r="OA107" s="978"/>
      <c r="OB107" s="978"/>
      <c r="OC107" s="978"/>
      <c r="OD107" s="978"/>
      <c r="OE107" s="978"/>
      <c r="OF107" s="978"/>
      <c r="OG107" s="978"/>
      <c r="OH107" s="978"/>
      <c r="OI107" s="978"/>
      <c r="OJ107" s="978"/>
      <c r="OK107" s="978"/>
      <c r="OL107" s="978"/>
      <c r="OM107" s="978"/>
      <c r="ON107" s="978"/>
      <c r="OO107" s="978"/>
      <c r="OP107" s="978"/>
      <c r="OQ107" s="978"/>
      <c r="OR107" s="978"/>
      <c r="OS107" s="978"/>
      <c r="OT107" s="978"/>
      <c r="OU107" s="978"/>
      <c r="OV107" s="978"/>
      <c r="OW107" s="978"/>
      <c r="OX107" s="978"/>
      <c r="OY107" s="978"/>
      <c r="OZ107" s="978"/>
      <c r="PA107" s="978"/>
      <c r="PB107" s="978"/>
      <c r="PC107" s="978"/>
      <c r="PD107" s="978"/>
      <c r="PE107" s="978"/>
      <c r="PF107" s="978"/>
      <c r="PG107" s="978"/>
      <c r="PH107" s="978"/>
      <c r="PI107" s="978"/>
      <c r="PJ107" s="978"/>
      <c r="PK107" s="978"/>
      <c r="PL107" s="978"/>
      <c r="PM107" s="978"/>
      <c r="PN107" s="978"/>
      <c r="PO107" s="978"/>
      <c r="PP107" s="978"/>
      <c r="PQ107" s="978"/>
      <c r="PR107" s="978"/>
      <c r="PS107" s="978"/>
      <c r="PT107" s="978"/>
      <c r="PU107" s="978"/>
      <c r="PV107" s="978"/>
      <c r="PW107" s="978"/>
      <c r="PX107" s="978"/>
      <c r="PY107" s="978"/>
      <c r="PZ107" s="978"/>
      <c r="QA107" s="978"/>
      <c r="QB107" s="978"/>
      <c r="QC107" s="978"/>
      <c r="QD107" s="978"/>
      <c r="QE107" s="978"/>
      <c r="QF107" s="978"/>
      <c r="QG107" s="978"/>
      <c r="QH107" s="978"/>
      <c r="QI107" s="978"/>
      <c r="QJ107" s="978"/>
      <c r="QK107" s="978"/>
      <c r="QL107" s="978"/>
      <c r="QM107" s="978"/>
      <c r="QN107" s="978"/>
      <c r="QO107" s="978"/>
      <c r="QP107" s="978"/>
      <c r="QQ107" s="978"/>
      <c r="QR107" s="978"/>
      <c r="QS107" s="978"/>
      <c r="QT107" s="978"/>
      <c r="QU107" s="978"/>
      <c r="QV107" s="978"/>
      <c r="QW107" s="978"/>
      <c r="QX107" s="978"/>
      <c r="QY107" s="978"/>
      <c r="QZ107" s="978"/>
      <c r="RA107" s="978"/>
      <c r="RB107" s="274"/>
      <c r="RC107" s="274"/>
    </row>
    <row r="108" spans="2:471" ht="17.25">
      <c r="C108" s="13"/>
      <c r="D108" s="13"/>
      <c r="E108" s="13"/>
      <c r="F108" s="13"/>
      <c r="G108" s="13" t="str">
        <f>IF(G107=1,L107,IF(G107=2,M107,IF(G107=3,N107,IF(G107=4,O107,IF(G107=5,P107,IF(G107=6,Q107,IF(G107=7,R107,IF(G107=8,S107,IF(G107=9,T107,IF(G107=10,U107,IF(G107=11,V107,IF(G107=12,W107,X107))))))))))))</f>
        <v>آذار</v>
      </c>
      <c r="H108" s="15">
        <f>MOD(H107,4)</f>
        <v>3</v>
      </c>
      <c r="I108" s="13"/>
      <c r="J108" s="13"/>
      <c r="K108" s="13"/>
      <c r="L108" s="13"/>
      <c r="M108" s="13"/>
      <c r="N108" s="13"/>
      <c r="O108" s="13"/>
      <c r="P108" s="13"/>
      <c r="Q108" s="13"/>
      <c r="R108" s="13"/>
      <c r="S108" s="13"/>
      <c r="T108" s="13"/>
      <c r="U108" s="13"/>
      <c r="V108" s="13"/>
      <c r="W108" s="13"/>
      <c r="X108" s="13"/>
      <c r="DH108" s="274"/>
      <c r="DI108" s="274"/>
      <c r="DJ108" s="978"/>
      <c r="DK108" s="978"/>
      <c r="DL108" s="978"/>
      <c r="DM108" s="978"/>
      <c r="DN108" s="978"/>
      <c r="DO108" s="978"/>
      <c r="DP108" s="978"/>
      <c r="DQ108" s="978"/>
      <c r="DR108" s="978"/>
      <c r="DS108" s="978"/>
      <c r="DT108" s="978"/>
      <c r="DU108" s="978"/>
      <c r="DV108" s="978"/>
      <c r="DW108" s="978"/>
      <c r="DX108" s="978"/>
      <c r="DY108" s="978"/>
      <c r="DZ108" s="978"/>
      <c r="EA108" s="978"/>
      <c r="EB108" s="978"/>
      <c r="EC108" s="978"/>
      <c r="ED108" s="978"/>
      <c r="EE108" s="978"/>
      <c r="EF108" s="978"/>
      <c r="EG108" s="978"/>
      <c r="EH108" s="978"/>
      <c r="EI108" s="978"/>
      <c r="EJ108" s="978"/>
      <c r="EK108" s="978"/>
      <c r="EL108" s="978"/>
      <c r="EM108" s="978"/>
      <c r="EN108" s="978"/>
      <c r="EO108" s="978"/>
      <c r="EP108" s="978"/>
      <c r="EQ108" s="978"/>
      <c r="ER108" s="978"/>
      <c r="ES108" s="978"/>
      <c r="ET108" s="978"/>
      <c r="EU108" s="978"/>
      <c r="EV108" s="978"/>
      <c r="EW108" s="978"/>
      <c r="EX108" s="978"/>
      <c r="EY108" s="978"/>
      <c r="EZ108" s="978"/>
      <c r="FA108" s="978"/>
      <c r="FB108" s="978"/>
      <c r="FC108" s="978"/>
      <c r="FD108" s="978"/>
      <c r="FE108" s="978"/>
      <c r="FF108" s="978"/>
      <c r="FG108" s="978"/>
      <c r="FH108" s="978"/>
      <c r="FI108" s="978"/>
      <c r="FJ108" s="978"/>
      <c r="FK108" s="978"/>
      <c r="FL108" s="978"/>
      <c r="FM108" s="978"/>
      <c r="FN108" s="978"/>
      <c r="FO108" s="978"/>
      <c r="FP108" s="978"/>
      <c r="FQ108" s="978"/>
      <c r="FR108" s="978"/>
      <c r="FS108" s="978"/>
      <c r="FT108" s="978"/>
      <c r="FU108" s="978"/>
      <c r="FV108" s="978"/>
      <c r="FW108" s="978"/>
      <c r="FX108" s="978"/>
      <c r="FY108" s="978"/>
      <c r="FZ108" s="978"/>
      <c r="GA108" s="978"/>
      <c r="GB108" s="978"/>
      <c r="GC108" s="978"/>
      <c r="GD108" s="978"/>
      <c r="GE108" s="978"/>
      <c r="GF108" s="978"/>
      <c r="GG108" s="978"/>
      <c r="GH108" s="978"/>
      <c r="GI108" s="978"/>
      <c r="GJ108" s="978"/>
      <c r="GK108" s="978"/>
      <c r="GL108" s="978"/>
      <c r="GM108" s="978"/>
      <c r="GN108" s="978"/>
      <c r="GO108" s="978"/>
      <c r="GP108" s="978"/>
      <c r="GQ108" s="978"/>
      <c r="GR108" s="978"/>
      <c r="GS108" s="978"/>
      <c r="GT108" s="978"/>
      <c r="GU108" s="978"/>
      <c r="GV108" s="978"/>
      <c r="GW108" s="978"/>
      <c r="GX108" s="978"/>
      <c r="GY108" s="978"/>
      <c r="GZ108" s="978"/>
      <c r="HA108" s="978"/>
      <c r="HB108" s="978"/>
      <c r="HC108" s="978"/>
      <c r="HD108" s="978"/>
      <c r="HE108" s="978"/>
      <c r="HF108" s="978"/>
      <c r="HG108" s="978"/>
      <c r="HH108" s="978"/>
      <c r="HI108" s="978"/>
      <c r="HJ108" s="978"/>
      <c r="HK108" s="978"/>
      <c r="HL108" s="978"/>
      <c r="HM108" s="978"/>
      <c r="HN108" s="978"/>
      <c r="HO108" s="978"/>
      <c r="HP108" s="978"/>
      <c r="HQ108" s="978"/>
      <c r="HR108" s="978"/>
      <c r="HS108" s="978"/>
      <c r="HT108" s="978"/>
      <c r="HU108" s="978"/>
      <c r="HV108" s="978"/>
      <c r="HW108" s="978"/>
      <c r="HX108" s="978"/>
      <c r="HY108" s="978"/>
      <c r="HZ108" s="978"/>
      <c r="IA108" s="978"/>
      <c r="IB108" s="978"/>
      <c r="IC108" s="978"/>
      <c r="ID108" s="978"/>
      <c r="IE108" s="978"/>
      <c r="IF108" s="978"/>
      <c r="IG108" s="978"/>
      <c r="IH108" s="978"/>
      <c r="II108" s="978"/>
      <c r="IJ108" s="978"/>
      <c r="IK108" s="978"/>
      <c r="IL108" s="978"/>
      <c r="IM108" s="978"/>
      <c r="IN108" s="978"/>
      <c r="IO108" s="978"/>
      <c r="IP108" s="978"/>
      <c r="IQ108" s="978"/>
      <c r="IR108" s="978"/>
      <c r="IS108" s="978"/>
      <c r="IT108" s="978"/>
      <c r="IU108" s="978"/>
      <c r="IV108" s="978"/>
      <c r="IW108" s="978"/>
      <c r="IX108" s="978"/>
      <c r="IY108" s="978"/>
      <c r="IZ108" s="978"/>
      <c r="JA108" s="978"/>
      <c r="JB108" s="978"/>
      <c r="JC108" s="978"/>
      <c r="JD108" s="978"/>
      <c r="JE108" s="978"/>
      <c r="JF108" s="978"/>
      <c r="JG108" s="978"/>
      <c r="JH108" s="978"/>
      <c r="JI108" s="978"/>
      <c r="JJ108" s="978"/>
      <c r="JK108" s="978"/>
      <c r="JL108" s="978"/>
      <c r="JM108" s="978"/>
      <c r="JN108" s="978"/>
      <c r="JO108" s="978"/>
      <c r="JP108" s="978"/>
      <c r="JQ108" s="978"/>
      <c r="JR108" s="978"/>
      <c r="JS108" s="978"/>
      <c r="JT108" s="978"/>
      <c r="JU108" s="978"/>
      <c r="JV108" s="978"/>
      <c r="JW108" s="978"/>
      <c r="JX108" s="978"/>
      <c r="JY108" s="978"/>
      <c r="JZ108" s="978"/>
      <c r="KA108" s="978"/>
      <c r="KB108" s="978"/>
      <c r="KC108" s="978"/>
      <c r="KD108" s="978"/>
      <c r="KE108" s="978"/>
      <c r="KF108" s="978"/>
      <c r="KG108" s="978"/>
      <c r="KH108" s="978"/>
      <c r="KI108" s="978"/>
      <c r="KJ108" s="978"/>
      <c r="KK108" s="978"/>
      <c r="KL108" s="978"/>
      <c r="KM108" s="978"/>
      <c r="KN108" s="978"/>
      <c r="KO108" s="978"/>
      <c r="KP108" s="978"/>
      <c r="KQ108" s="978"/>
      <c r="KR108" s="978"/>
      <c r="KS108" s="978"/>
      <c r="KT108" s="978"/>
      <c r="KU108" s="978"/>
      <c r="KV108" s="978"/>
      <c r="KW108" s="978"/>
      <c r="KX108" s="978"/>
      <c r="KY108" s="978"/>
      <c r="KZ108" s="978"/>
      <c r="LA108" s="978"/>
      <c r="LB108" s="978"/>
      <c r="LC108" s="978"/>
      <c r="LD108" s="978"/>
      <c r="LE108" s="978"/>
      <c r="LF108" s="978"/>
      <c r="LG108" s="978"/>
      <c r="LH108" s="978"/>
      <c r="LI108" s="978"/>
      <c r="LJ108" s="978"/>
      <c r="LK108" s="978"/>
      <c r="LL108" s="978"/>
      <c r="LM108" s="978"/>
      <c r="LN108" s="978"/>
      <c r="LO108" s="978"/>
      <c r="LP108" s="978"/>
      <c r="LQ108" s="978"/>
      <c r="LR108" s="978"/>
      <c r="LS108" s="978"/>
      <c r="LT108" s="978"/>
      <c r="LU108" s="978"/>
      <c r="LV108" s="978"/>
      <c r="LW108" s="978"/>
      <c r="LX108" s="978"/>
      <c r="LY108" s="978"/>
      <c r="LZ108" s="978"/>
      <c r="MA108" s="978"/>
      <c r="MB108" s="978"/>
      <c r="MC108" s="978"/>
      <c r="MD108" s="978"/>
      <c r="ME108" s="978"/>
      <c r="MF108" s="978"/>
      <c r="MG108" s="978"/>
      <c r="MH108" s="978"/>
      <c r="MI108" s="978"/>
      <c r="MJ108" s="978"/>
      <c r="MK108" s="978"/>
      <c r="ML108" s="978"/>
      <c r="MM108" s="978"/>
      <c r="MN108" s="978"/>
      <c r="MO108" s="978"/>
      <c r="MP108" s="978"/>
      <c r="MQ108" s="978"/>
      <c r="MR108" s="978"/>
      <c r="MS108" s="978"/>
      <c r="MT108" s="978"/>
      <c r="MU108" s="978"/>
      <c r="MV108" s="978"/>
      <c r="MW108" s="978"/>
      <c r="MX108" s="978"/>
      <c r="MY108" s="978"/>
      <c r="MZ108" s="978"/>
      <c r="NA108" s="978"/>
      <c r="NB108" s="978"/>
      <c r="NC108" s="978"/>
      <c r="ND108" s="978"/>
      <c r="NE108" s="978"/>
      <c r="NF108" s="978"/>
      <c r="NG108" s="978"/>
      <c r="NH108" s="978"/>
      <c r="NI108" s="978"/>
      <c r="NJ108" s="978"/>
      <c r="NK108" s="978"/>
      <c r="NL108" s="978"/>
      <c r="NM108" s="978"/>
      <c r="NN108" s="978"/>
      <c r="NO108" s="978"/>
      <c r="NP108" s="978"/>
      <c r="NQ108" s="978"/>
      <c r="NR108" s="978"/>
      <c r="NS108" s="978"/>
      <c r="NT108" s="978"/>
      <c r="NU108" s="978"/>
      <c r="NV108" s="978"/>
      <c r="NW108" s="978"/>
      <c r="NX108" s="978"/>
      <c r="NY108" s="978"/>
      <c r="NZ108" s="978"/>
      <c r="OA108" s="978"/>
      <c r="OB108" s="978"/>
      <c r="OC108" s="978"/>
      <c r="OD108" s="978"/>
      <c r="OE108" s="978"/>
      <c r="OF108" s="978"/>
      <c r="OG108" s="978"/>
      <c r="OH108" s="978"/>
      <c r="OI108" s="978"/>
      <c r="OJ108" s="978"/>
      <c r="OK108" s="978"/>
      <c r="OL108" s="978"/>
      <c r="OM108" s="978"/>
      <c r="ON108" s="978"/>
      <c r="OO108" s="978"/>
      <c r="OP108" s="978"/>
      <c r="OQ108" s="978"/>
      <c r="OR108" s="978"/>
      <c r="OS108" s="978"/>
      <c r="OT108" s="978"/>
      <c r="OU108" s="978"/>
      <c r="OV108" s="978"/>
      <c r="OW108" s="978"/>
      <c r="OX108" s="978"/>
      <c r="OY108" s="978"/>
      <c r="OZ108" s="978"/>
      <c r="PA108" s="978"/>
      <c r="PB108" s="978"/>
      <c r="PC108" s="978"/>
      <c r="PD108" s="978"/>
      <c r="PE108" s="978"/>
      <c r="PF108" s="978"/>
      <c r="PG108" s="978"/>
      <c r="PH108" s="978"/>
      <c r="PI108" s="978"/>
      <c r="PJ108" s="978"/>
      <c r="PK108" s="978"/>
      <c r="PL108" s="978"/>
      <c r="PM108" s="978"/>
      <c r="PN108" s="978"/>
      <c r="PO108" s="978"/>
      <c r="PP108" s="978"/>
      <c r="PQ108" s="978"/>
      <c r="PR108" s="978"/>
      <c r="PS108" s="978"/>
      <c r="PT108" s="978"/>
      <c r="PU108" s="978"/>
      <c r="PV108" s="978"/>
      <c r="PW108" s="978"/>
      <c r="PX108" s="978"/>
      <c r="PY108" s="978"/>
      <c r="PZ108" s="978"/>
      <c r="QA108" s="978"/>
      <c r="QB108" s="978"/>
      <c r="QC108" s="978"/>
      <c r="QD108" s="978"/>
      <c r="QE108" s="978"/>
      <c r="QF108" s="978"/>
      <c r="QG108" s="978"/>
      <c r="QH108" s="978"/>
      <c r="QI108" s="978"/>
      <c r="QJ108" s="978"/>
      <c r="QK108" s="978"/>
      <c r="QL108" s="978"/>
      <c r="QM108" s="978"/>
      <c r="QN108" s="978"/>
      <c r="QO108" s="978"/>
      <c r="QP108" s="978"/>
      <c r="QQ108" s="978"/>
      <c r="QR108" s="978"/>
      <c r="QS108" s="978"/>
      <c r="QT108" s="978"/>
      <c r="QU108" s="978"/>
      <c r="QV108" s="978"/>
      <c r="QW108" s="978"/>
      <c r="QX108" s="978"/>
      <c r="QY108" s="978"/>
      <c r="QZ108" s="978"/>
      <c r="RA108" s="978"/>
      <c r="RB108" s="274"/>
      <c r="RC108" s="274"/>
    </row>
    <row r="109" spans="2:471">
      <c r="B109">
        <v>7</v>
      </c>
      <c r="C109" s="21" t="s">
        <v>115</v>
      </c>
      <c r="D109" s="21">
        <v>365.25875338735</v>
      </c>
      <c r="E109" s="21">
        <f>INT(MOD(I109,D109))+1</f>
        <v>344</v>
      </c>
      <c r="F109" s="21"/>
      <c r="G109" s="21"/>
      <c r="H109" s="21">
        <f>INT(I109/D109)+1</f>
        <v>1929</v>
      </c>
      <c r="I109" s="21">
        <f>J109+I99</f>
        <v>704562</v>
      </c>
      <c r="J109" s="21">
        <v>248126</v>
      </c>
      <c r="K109" s="21" t="s">
        <v>116</v>
      </c>
      <c r="L109" s="21" t="s">
        <v>118</v>
      </c>
      <c r="M109" s="21" t="s">
        <v>120</v>
      </c>
      <c r="N109" s="21" t="s">
        <v>122</v>
      </c>
      <c r="O109" s="21" t="s">
        <v>124</v>
      </c>
      <c r="P109" s="21" t="s">
        <v>126</v>
      </c>
      <c r="Q109" s="21" t="s">
        <v>128</v>
      </c>
      <c r="R109" s="21" t="s">
        <v>130</v>
      </c>
      <c r="S109" s="21" t="s">
        <v>132</v>
      </c>
      <c r="T109" s="21" t="s">
        <v>134</v>
      </c>
      <c r="U109" s="21" t="s">
        <v>136</v>
      </c>
      <c r="V109" s="21" t="s">
        <v>138</v>
      </c>
      <c r="W109" s="21" t="s">
        <v>140</v>
      </c>
      <c r="X109" s="21"/>
      <c r="DH109" s="274"/>
      <c r="DI109" s="274"/>
      <c r="DJ109" s="274"/>
      <c r="DK109" s="274"/>
      <c r="DL109" s="274"/>
      <c r="DM109" s="274"/>
      <c r="DN109" s="274"/>
      <c r="DO109" s="274"/>
      <c r="DP109" s="274"/>
      <c r="DQ109" s="274"/>
      <c r="DR109" s="274"/>
      <c r="DS109" s="274"/>
      <c r="DT109" s="274"/>
      <c r="DU109" s="274"/>
      <c r="DV109" s="274"/>
      <c r="DW109" s="274"/>
      <c r="DX109" s="274"/>
      <c r="DY109" s="274"/>
      <c r="DZ109" s="274"/>
      <c r="EA109" s="274"/>
      <c r="EB109" s="274"/>
      <c r="EC109" s="274"/>
      <c r="ED109" s="274"/>
      <c r="EE109" s="274"/>
      <c r="EF109" s="274"/>
      <c r="EG109" s="274"/>
      <c r="EH109" s="274"/>
      <c r="EI109" s="274"/>
      <c r="EJ109" s="274"/>
      <c r="EK109" s="274"/>
      <c r="EL109" s="274"/>
      <c r="EM109" s="274"/>
      <c r="EN109" s="274"/>
      <c r="EO109" s="274"/>
      <c r="EP109" s="274"/>
      <c r="EQ109" s="274"/>
      <c r="ER109" s="274"/>
      <c r="ES109" s="274"/>
      <c r="ET109" s="274"/>
      <c r="EU109" s="274"/>
      <c r="EV109" s="274"/>
      <c r="EW109" s="274"/>
      <c r="EX109" s="274"/>
      <c r="EY109" s="274"/>
      <c r="EZ109" s="274"/>
      <c r="FA109" s="274"/>
      <c r="FB109" s="274"/>
      <c r="FC109" s="274"/>
      <c r="FD109" s="274"/>
      <c r="FE109" s="274"/>
      <c r="FF109" s="274"/>
      <c r="FG109" s="274"/>
      <c r="FH109" s="274"/>
      <c r="FI109" s="274"/>
      <c r="FJ109" s="274"/>
      <c r="FK109" s="274"/>
      <c r="FL109" s="274"/>
      <c r="FM109" s="274"/>
      <c r="FN109" s="274"/>
      <c r="FO109" s="274"/>
      <c r="FP109" s="274"/>
      <c r="FQ109" s="274"/>
      <c r="FR109" s="274"/>
      <c r="FS109" s="274"/>
      <c r="FT109" s="274"/>
      <c r="FU109" s="274"/>
      <c r="FV109" s="274"/>
      <c r="FW109" s="274"/>
      <c r="FX109" s="274"/>
      <c r="FY109" s="274"/>
      <c r="FZ109" s="274"/>
      <c r="GA109" s="274"/>
      <c r="GB109" s="274"/>
      <c r="GC109" s="274"/>
      <c r="GD109" s="274"/>
      <c r="GE109" s="274"/>
      <c r="GF109" s="274"/>
      <c r="GG109" s="274"/>
      <c r="GH109" s="274"/>
      <c r="GI109" s="274"/>
      <c r="GJ109" s="274"/>
      <c r="GK109" s="274"/>
      <c r="GL109" s="274"/>
      <c r="GM109" s="274"/>
      <c r="GN109" s="274"/>
      <c r="GO109" s="274"/>
      <c r="GP109" s="274"/>
      <c r="GQ109" s="274"/>
      <c r="GR109" s="274"/>
      <c r="GS109" s="274"/>
      <c r="GT109" s="274"/>
      <c r="GU109" s="274"/>
      <c r="GV109" s="274"/>
      <c r="GW109" s="274"/>
      <c r="GX109" s="274"/>
      <c r="GY109" s="274"/>
      <c r="GZ109" s="274"/>
      <c r="HA109" s="274"/>
      <c r="HB109" s="274"/>
      <c r="HC109" s="274"/>
      <c r="HD109" s="274"/>
      <c r="HE109" s="274"/>
      <c r="HF109" s="274"/>
      <c r="HG109" s="274"/>
      <c r="HH109" s="274"/>
      <c r="HI109" s="274"/>
      <c r="HJ109" s="274"/>
      <c r="HK109" s="274"/>
      <c r="HL109" s="274"/>
      <c r="HM109" s="274"/>
      <c r="HN109" s="274"/>
      <c r="HO109" s="274"/>
      <c r="HP109" s="274"/>
      <c r="HQ109" s="274"/>
      <c r="HR109" s="274"/>
      <c r="HS109" s="274"/>
      <c r="HT109" s="274"/>
      <c r="HU109" s="274"/>
      <c r="HV109" s="274"/>
      <c r="HW109" s="274"/>
      <c r="HX109" s="274"/>
      <c r="HY109" s="274"/>
      <c r="HZ109" s="274"/>
      <c r="IA109" s="274"/>
      <c r="IB109" s="274"/>
      <c r="IC109" s="274"/>
      <c r="ID109" s="274"/>
      <c r="IE109" s="274"/>
      <c r="IF109" s="274"/>
      <c r="IG109" s="274"/>
      <c r="IH109" s="274"/>
      <c r="II109" s="274"/>
      <c r="IJ109" s="274"/>
      <c r="IK109" s="274"/>
      <c r="IL109" s="274"/>
      <c r="IM109" s="274"/>
      <c r="IN109" s="274"/>
      <c r="IO109" s="274"/>
      <c r="IP109" s="274"/>
      <c r="IQ109" s="274"/>
      <c r="IR109" s="274"/>
      <c r="IS109" s="274"/>
      <c r="IT109" s="274"/>
      <c r="IU109" s="274"/>
      <c r="IV109" s="274"/>
      <c r="IW109" s="274"/>
      <c r="IX109" s="274"/>
      <c r="IY109" s="274"/>
      <c r="IZ109" s="274"/>
      <c r="JA109" s="274"/>
      <c r="JB109" s="274"/>
      <c r="JC109" s="274"/>
      <c r="JD109" s="274"/>
      <c r="JE109" s="274"/>
      <c r="JF109" s="274"/>
      <c r="JG109" s="274"/>
      <c r="JH109" s="274"/>
      <c r="JI109" s="274"/>
      <c r="JJ109" s="274"/>
      <c r="JK109" s="274"/>
      <c r="JL109" s="274"/>
      <c r="JM109" s="274"/>
      <c r="JN109" s="274"/>
      <c r="JO109" s="274"/>
      <c r="JP109" s="274"/>
      <c r="JQ109" s="274"/>
      <c r="JR109" s="274"/>
      <c r="JS109" s="274"/>
      <c r="JT109" s="274"/>
      <c r="JU109" s="274"/>
      <c r="JV109" s="274"/>
      <c r="JW109" s="274"/>
      <c r="JX109" s="274"/>
      <c r="JY109" s="274"/>
      <c r="JZ109" s="274"/>
      <c r="KA109" s="274"/>
      <c r="KB109" s="274"/>
      <c r="KC109" s="274"/>
      <c r="KD109" s="274"/>
      <c r="KE109" s="274"/>
      <c r="KF109" s="274"/>
      <c r="KG109" s="274"/>
      <c r="KH109" s="274"/>
      <c r="KI109" s="274"/>
      <c r="KJ109" s="274"/>
      <c r="KK109" s="274"/>
      <c r="KL109" s="274"/>
      <c r="KM109" s="274"/>
      <c r="KN109" s="274"/>
      <c r="KO109" s="274"/>
      <c r="KP109" s="274"/>
      <c r="KQ109" s="274"/>
      <c r="KR109" s="274"/>
      <c r="KS109" s="274"/>
      <c r="KT109" s="274"/>
      <c r="KU109" s="274"/>
      <c r="KV109" s="274"/>
      <c r="KW109" s="274"/>
      <c r="KX109" s="274"/>
      <c r="KY109" s="274"/>
      <c r="KZ109" s="274"/>
      <c r="LA109" s="274"/>
      <c r="LB109" s="274"/>
      <c r="LC109" s="274"/>
      <c r="LD109" s="274"/>
      <c r="LE109" s="274"/>
      <c r="LF109" s="274"/>
      <c r="LG109" s="274"/>
      <c r="LH109" s="274"/>
      <c r="LI109" s="274"/>
      <c r="LJ109" s="274"/>
      <c r="LK109" s="274"/>
      <c r="LL109" s="274"/>
      <c r="LM109" s="274"/>
      <c r="LN109" s="274"/>
      <c r="LO109" s="274"/>
      <c r="LP109" s="274"/>
      <c r="LQ109" s="274"/>
      <c r="LR109" s="274"/>
      <c r="LS109" s="274"/>
      <c r="LT109" s="274"/>
      <c r="LU109" s="274"/>
      <c r="LV109" s="274"/>
      <c r="LW109" s="274"/>
      <c r="LX109" s="274"/>
      <c r="LY109" s="274"/>
      <c r="LZ109" s="274"/>
      <c r="MA109" s="274"/>
      <c r="MB109" s="274"/>
      <c r="MC109" s="274"/>
      <c r="MD109" s="274"/>
      <c r="ME109" s="274"/>
      <c r="MF109" s="274"/>
      <c r="MG109" s="274"/>
      <c r="MH109" s="274"/>
      <c r="MI109" s="274"/>
      <c r="MJ109" s="274"/>
      <c r="MK109" s="274"/>
      <c r="ML109" s="274"/>
      <c r="MM109" s="274"/>
      <c r="MN109" s="274"/>
      <c r="MO109" s="274"/>
      <c r="MP109" s="274"/>
      <c r="MQ109" s="274"/>
      <c r="MR109" s="274"/>
      <c r="MS109" s="274"/>
      <c r="MT109" s="274"/>
      <c r="MU109" s="274"/>
      <c r="MV109" s="274"/>
      <c r="MW109" s="274"/>
      <c r="MX109" s="274"/>
      <c r="MY109" s="274"/>
      <c r="MZ109" s="274"/>
      <c r="NA109" s="274"/>
      <c r="NB109" s="274"/>
      <c r="NC109" s="274"/>
      <c r="ND109" s="274"/>
      <c r="NE109" s="274"/>
      <c r="NF109" s="274"/>
      <c r="NG109" s="274"/>
      <c r="NH109" s="274"/>
      <c r="NI109" s="274"/>
      <c r="NJ109" s="274"/>
      <c r="NK109" s="274"/>
      <c r="NL109" s="274"/>
      <c r="NM109" s="274"/>
      <c r="NN109" s="274"/>
      <c r="NO109" s="274"/>
      <c r="NP109" s="274"/>
      <c r="NQ109" s="274"/>
      <c r="NR109" s="274"/>
      <c r="NS109" s="274"/>
      <c r="NT109" s="274"/>
      <c r="NU109" s="274"/>
      <c r="NV109" s="274"/>
      <c r="NW109" s="274"/>
      <c r="NX109" s="274"/>
      <c r="NY109" s="274"/>
      <c r="NZ109" s="274"/>
      <c r="OA109" s="274"/>
      <c r="OB109" s="274"/>
      <c r="OC109" s="274"/>
      <c r="OD109" s="274"/>
      <c r="OE109" s="274"/>
      <c r="OF109" s="274"/>
      <c r="OG109" s="274"/>
      <c r="OH109" s="274"/>
      <c r="OI109" s="274"/>
      <c r="OJ109" s="274"/>
      <c r="OK109" s="274"/>
      <c r="OL109" s="274"/>
      <c r="OM109" s="274"/>
      <c r="ON109" s="274"/>
      <c r="OO109" s="274"/>
      <c r="OP109" s="274"/>
      <c r="OQ109" s="274"/>
      <c r="OR109" s="274"/>
      <c r="OS109" s="274"/>
      <c r="OT109" s="274"/>
      <c r="OU109" s="274"/>
      <c r="OV109" s="274"/>
      <c r="OW109" s="274"/>
      <c r="OX109" s="274"/>
      <c r="OY109" s="274"/>
      <c r="OZ109" s="274"/>
      <c r="PA109" s="274"/>
      <c r="PB109" s="274"/>
      <c r="PC109" s="274"/>
      <c r="PD109" s="274"/>
      <c r="PE109" s="274"/>
      <c r="PF109" s="274"/>
      <c r="PG109" s="274"/>
      <c r="PH109" s="274"/>
      <c r="PI109" s="274"/>
      <c r="PJ109" s="274"/>
      <c r="PK109" s="274"/>
      <c r="PL109" s="274"/>
      <c r="PM109" s="274"/>
      <c r="PN109" s="274"/>
      <c r="PO109" s="274"/>
      <c r="PP109" s="274"/>
      <c r="PQ109" s="274"/>
      <c r="PR109" s="274"/>
      <c r="PS109" s="274"/>
      <c r="PT109" s="274"/>
      <c r="PU109" s="274"/>
      <c r="PV109" s="274"/>
      <c r="PW109" s="274"/>
      <c r="PX109" s="274"/>
      <c r="PY109" s="274"/>
      <c r="PZ109" s="274"/>
      <c r="QA109" s="274"/>
      <c r="QB109" s="274"/>
      <c r="QC109" s="274"/>
      <c r="QD109" s="274"/>
      <c r="QE109" s="274"/>
      <c r="QF109" s="274"/>
      <c r="QG109" s="274"/>
      <c r="QH109" s="274"/>
      <c r="QI109" s="274"/>
      <c r="QJ109" s="274"/>
      <c r="QK109" s="274"/>
      <c r="QL109" s="274"/>
      <c r="QM109" s="274"/>
      <c r="QN109" s="274"/>
      <c r="QO109" s="274"/>
      <c r="QP109" s="274"/>
      <c r="QQ109" s="274"/>
      <c r="QR109" s="274"/>
      <c r="QS109" s="274"/>
      <c r="QT109" s="274"/>
      <c r="QU109" s="274"/>
      <c r="QV109" s="274"/>
      <c r="QW109" s="274"/>
      <c r="QX109" s="274"/>
      <c r="QY109" s="274"/>
      <c r="QZ109" s="274"/>
      <c r="RA109" s="274"/>
      <c r="RB109" s="274"/>
      <c r="RC109" s="274"/>
    </row>
    <row r="110" spans="2:471">
      <c r="C110" s="21"/>
      <c r="D110" s="21"/>
      <c r="E110" s="21"/>
      <c r="F110" s="21"/>
      <c r="G110" s="21"/>
      <c r="H110" s="21"/>
      <c r="I110" s="21"/>
      <c r="J110" s="21"/>
      <c r="K110" s="21" t="s">
        <v>117</v>
      </c>
      <c r="L110" s="21" t="s">
        <v>119</v>
      </c>
      <c r="M110" s="21" t="s">
        <v>121</v>
      </c>
      <c r="N110" s="21" t="s">
        <v>123</v>
      </c>
      <c r="O110" s="21" t="s">
        <v>125</v>
      </c>
      <c r="P110" s="21" t="s">
        <v>127</v>
      </c>
      <c r="Q110" s="21" t="s">
        <v>129</v>
      </c>
      <c r="R110" s="21" t="s">
        <v>131</v>
      </c>
      <c r="S110" s="21" t="s">
        <v>133</v>
      </c>
      <c r="T110" s="21" t="s">
        <v>135</v>
      </c>
      <c r="U110" s="21" t="s">
        <v>137</v>
      </c>
      <c r="V110" s="21" t="s">
        <v>139</v>
      </c>
      <c r="W110" s="21" t="s">
        <v>141</v>
      </c>
      <c r="X110" s="21"/>
      <c r="DH110" s="274"/>
      <c r="DI110" s="274"/>
      <c r="DJ110" s="274"/>
      <c r="DK110" s="274"/>
      <c r="DL110" s="274"/>
      <c r="DM110" s="274"/>
      <c r="DN110" s="274"/>
      <c r="DO110" s="274"/>
      <c r="DP110" s="274"/>
      <c r="DQ110" s="274"/>
      <c r="DR110" s="274"/>
      <c r="DS110" s="274"/>
      <c r="DT110" s="274"/>
      <c r="DU110" s="274"/>
      <c r="DV110" s="274"/>
      <c r="DW110" s="274"/>
      <c r="DX110" s="274"/>
      <c r="DY110" s="274"/>
      <c r="DZ110" s="274"/>
      <c r="EA110" s="274"/>
      <c r="EB110" s="274"/>
      <c r="EC110" s="274"/>
      <c r="ED110" s="274"/>
      <c r="EE110" s="274"/>
      <c r="EF110" s="274"/>
      <c r="EG110" s="274"/>
      <c r="EH110" s="274"/>
      <c r="EI110" s="274"/>
      <c r="EJ110" s="274"/>
      <c r="EK110" s="274"/>
      <c r="EL110" s="274"/>
      <c r="EM110" s="274"/>
      <c r="EN110" s="274"/>
      <c r="EO110" s="274"/>
      <c r="EP110" s="274"/>
      <c r="EQ110" s="274"/>
      <c r="ER110" s="274"/>
      <c r="ES110" s="274"/>
      <c r="ET110" s="274"/>
      <c r="EU110" s="274"/>
      <c r="EV110" s="274"/>
      <c r="EW110" s="274"/>
      <c r="EX110" s="274"/>
      <c r="EY110" s="274"/>
      <c r="EZ110" s="274"/>
      <c r="FA110" s="274"/>
      <c r="FB110" s="274"/>
      <c r="FC110" s="274"/>
      <c r="FD110" s="274"/>
      <c r="FE110" s="274"/>
      <c r="FF110" s="274"/>
      <c r="FG110" s="274"/>
      <c r="FH110" s="274"/>
      <c r="FI110" s="274"/>
      <c r="FJ110" s="274"/>
      <c r="FK110" s="274"/>
      <c r="FL110" s="274"/>
      <c r="FM110" s="274"/>
      <c r="FN110" s="274"/>
      <c r="FO110" s="274"/>
      <c r="FP110" s="274"/>
      <c r="FQ110" s="274"/>
      <c r="FR110" s="274"/>
      <c r="FS110" s="274"/>
      <c r="FT110" s="274"/>
      <c r="FU110" s="274"/>
      <c r="FV110" s="274"/>
      <c r="FW110" s="274"/>
      <c r="FX110" s="274"/>
      <c r="FY110" s="274"/>
      <c r="FZ110" s="274"/>
      <c r="GA110" s="274"/>
      <c r="GB110" s="274"/>
      <c r="GC110" s="274"/>
      <c r="GD110" s="274"/>
      <c r="GE110" s="274"/>
      <c r="GF110" s="274"/>
      <c r="GG110" s="274"/>
      <c r="GH110" s="274"/>
      <c r="GI110" s="274"/>
      <c r="GJ110" s="274"/>
      <c r="GK110" s="274"/>
      <c r="GL110" s="274"/>
      <c r="GM110" s="274"/>
      <c r="GN110" s="274"/>
      <c r="GO110" s="274"/>
      <c r="GP110" s="274"/>
      <c r="GQ110" s="274"/>
      <c r="GR110" s="274"/>
      <c r="GS110" s="274"/>
      <c r="GT110" s="274"/>
      <c r="GU110" s="274"/>
      <c r="GV110" s="274"/>
      <c r="GW110" s="274"/>
      <c r="GX110" s="274"/>
      <c r="GY110" s="274"/>
      <c r="GZ110" s="274"/>
      <c r="HA110" s="274"/>
      <c r="HB110" s="274"/>
      <c r="HC110" s="274"/>
      <c r="HD110" s="274"/>
      <c r="HE110" s="274"/>
      <c r="HF110" s="274"/>
      <c r="HG110" s="274"/>
      <c r="HH110" s="274"/>
      <c r="HI110" s="274"/>
      <c r="HJ110" s="274"/>
      <c r="HK110" s="274"/>
      <c r="HL110" s="274"/>
      <c r="HM110" s="274"/>
      <c r="HN110" s="274"/>
      <c r="HO110" s="274"/>
      <c r="HP110" s="274"/>
      <c r="HQ110" s="274"/>
      <c r="HR110" s="274"/>
      <c r="HS110" s="274"/>
      <c r="HT110" s="274"/>
      <c r="HU110" s="274"/>
      <c r="HV110" s="274"/>
      <c r="HW110" s="274"/>
      <c r="HX110" s="274"/>
      <c r="HY110" s="274"/>
      <c r="HZ110" s="274"/>
      <c r="IA110" s="274"/>
      <c r="IB110" s="274"/>
      <c r="IC110" s="274"/>
      <c r="ID110" s="274"/>
      <c r="IE110" s="274"/>
      <c r="IF110" s="274"/>
      <c r="IG110" s="274"/>
      <c r="IH110" s="274"/>
      <c r="II110" s="274"/>
      <c r="IJ110" s="274"/>
      <c r="IK110" s="274"/>
      <c r="IL110" s="274"/>
      <c r="IM110" s="274"/>
      <c r="IN110" s="274"/>
      <c r="IO110" s="274"/>
      <c r="IP110" s="274"/>
      <c r="IQ110" s="274"/>
      <c r="IR110" s="274"/>
      <c r="IS110" s="274"/>
      <c r="IT110" s="274"/>
      <c r="IU110" s="274"/>
      <c r="IV110" s="274"/>
      <c r="IW110" s="274"/>
      <c r="IX110" s="274"/>
      <c r="IY110" s="274"/>
      <c r="IZ110" s="274"/>
      <c r="JA110" s="274"/>
      <c r="JB110" s="274"/>
      <c r="JC110" s="274"/>
      <c r="JD110" s="274"/>
      <c r="JE110" s="274"/>
      <c r="JF110" s="274"/>
      <c r="JG110" s="274"/>
      <c r="JH110" s="274"/>
      <c r="JI110" s="274"/>
      <c r="JJ110" s="274"/>
      <c r="JK110" s="274"/>
      <c r="JL110" s="274"/>
      <c r="JM110" s="274"/>
      <c r="JN110" s="274"/>
      <c r="JO110" s="274"/>
      <c r="JP110" s="274"/>
      <c r="JQ110" s="274"/>
      <c r="JR110" s="274"/>
      <c r="JS110" s="274"/>
      <c r="JT110" s="274"/>
      <c r="JU110" s="274"/>
      <c r="JV110" s="274"/>
      <c r="JW110" s="274"/>
      <c r="JX110" s="274"/>
      <c r="JY110" s="274"/>
      <c r="JZ110" s="274"/>
      <c r="KA110" s="274"/>
      <c r="KB110" s="274"/>
      <c r="KC110" s="274"/>
      <c r="KD110" s="274"/>
      <c r="KE110" s="274"/>
      <c r="KF110" s="274"/>
      <c r="KG110" s="274"/>
      <c r="KH110" s="274"/>
      <c r="KI110" s="274"/>
      <c r="KJ110" s="274"/>
      <c r="KK110" s="274"/>
      <c r="KL110" s="274"/>
      <c r="KM110" s="274"/>
      <c r="KN110" s="274"/>
      <c r="KO110" s="274"/>
      <c r="KP110" s="274"/>
      <c r="KQ110" s="274"/>
      <c r="KR110" s="274"/>
      <c r="KS110" s="274"/>
      <c r="KT110" s="274"/>
      <c r="KU110" s="274"/>
      <c r="KV110" s="274"/>
      <c r="KW110" s="274"/>
      <c r="KX110" s="274"/>
      <c r="KY110" s="274"/>
      <c r="KZ110" s="274"/>
      <c r="LA110" s="274"/>
      <c r="LB110" s="274"/>
      <c r="LC110" s="274"/>
      <c r="LD110" s="274"/>
      <c r="LE110" s="274"/>
      <c r="LF110" s="274"/>
      <c r="LG110" s="274"/>
      <c r="LH110" s="274"/>
      <c r="LI110" s="274"/>
      <c r="LJ110" s="274"/>
      <c r="LK110" s="274"/>
      <c r="LL110" s="274"/>
      <c r="LM110" s="274"/>
      <c r="LN110" s="274"/>
      <c r="LO110" s="274"/>
      <c r="LP110" s="274"/>
      <c r="LQ110" s="274"/>
      <c r="LR110" s="274"/>
      <c r="LS110" s="274"/>
      <c r="LT110" s="274"/>
      <c r="LU110" s="274"/>
      <c r="LV110" s="274"/>
      <c r="LW110" s="274"/>
      <c r="LX110" s="274"/>
      <c r="LY110" s="274"/>
      <c r="LZ110" s="274"/>
      <c r="MA110" s="274"/>
      <c r="MB110" s="274"/>
      <c r="MC110" s="274"/>
      <c r="MD110" s="274"/>
      <c r="ME110" s="274"/>
      <c r="MF110" s="274"/>
      <c r="MG110" s="274"/>
      <c r="MH110" s="274"/>
      <c r="MI110" s="274"/>
      <c r="MJ110" s="274"/>
      <c r="MK110" s="274"/>
      <c r="ML110" s="274"/>
      <c r="MM110" s="274"/>
      <c r="MN110" s="274"/>
      <c r="MO110" s="274"/>
      <c r="MP110" s="274"/>
      <c r="MQ110" s="274"/>
      <c r="MR110" s="274"/>
      <c r="MS110" s="274"/>
      <c r="MT110" s="274"/>
      <c r="MU110" s="274"/>
      <c r="MV110" s="274"/>
      <c r="MW110" s="274"/>
      <c r="MX110" s="274"/>
      <c r="MY110" s="274"/>
      <c r="MZ110" s="274"/>
      <c r="NA110" s="274"/>
      <c r="NB110" s="274"/>
      <c r="NC110" s="274"/>
      <c r="ND110" s="274"/>
      <c r="NE110" s="274"/>
      <c r="NF110" s="274"/>
      <c r="NG110" s="274"/>
      <c r="NH110" s="274"/>
      <c r="NI110" s="274"/>
      <c r="NJ110" s="274"/>
      <c r="NK110" s="274"/>
      <c r="NL110" s="274"/>
      <c r="NM110" s="274"/>
      <c r="NN110" s="274"/>
      <c r="NO110" s="274"/>
      <c r="NP110" s="274"/>
      <c r="NQ110" s="274"/>
      <c r="NR110" s="274"/>
      <c r="NS110" s="274"/>
      <c r="NT110" s="274"/>
      <c r="NU110" s="274"/>
      <c r="NV110" s="274"/>
      <c r="NW110" s="274"/>
      <c r="NX110" s="274"/>
      <c r="NY110" s="274"/>
      <c r="NZ110" s="274"/>
      <c r="OA110" s="274"/>
      <c r="OB110" s="274"/>
      <c r="OC110" s="274"/>
      <c r="OD110" s="274"/>
      <c r="OE110" s="274"/>
      <c r="OF110" s="274"/>
      <c r="OG110" s="274"/>
      <c r="OH110" s="274"/>
      <c r="OI110" s="274"/>
      <c r="OJ110" s="274"/>
      <c r="OK110" s="274"/>
      <c r="OL110" s="274"/>
      <c r="OM110" s="274"/>
      <c r="ON110" s="274"/>
      <c r="OO110" s="274"/>
      <c r="OP110" s="274"/>
      <c r="OQ110" s="274"/>
      <c r="OR110" s="274"/>
      <c r="OS110" s="274"/>
      <c r="OT110" s="274"/>
      <c r="OU110" s="274"/>
      <c r="OV110" s="274"/>
      <c r="OW110" s="274"/>
      <c r="OX110" s="274"/>
      <c r="OY110" s="274"/>
      <c r="OZ110" s="274"/>
      <c r="PA110" s="274"/>
      <c r="PB110" s="274"/>
      <c r="PC110" s="274"/>
      <c r="PD110" s="274"/>
      <c r="PE110" s="274"/>
      <c r="PF110" s="274"/>
      <c r="PG110" s="274"/>
      <c r="PH110" s="274"/>
      <c r="PI110" s="274"/>
      <c r="PJ110" s="274"/>
      <c r="PK110" s="274"/>
      <c r="PL110" s="274"/>
      <c r="PM110" s="274"/>
      <c r="PN110" s="274"/>
      <c r="PO110" s="274"/>
      <c r="PP110" s="274"/>
      <c r="PQ110" s="274"/>
      <c r="PR110" s="274"/>
      <c r="PS110" s="274"/>
      <c r="PT110" s="274"/>
      <c r="PU110" s="274"/>
      <c r="PV110" s="274"/>
      <c r="PW110" s="274"/>
      <c r="PX110" s="274"/>
      <c r="PY110" s="274"/>
      <c r="PZ110" s="274"/>
      <c r="QA110" s="274"/>
      <c r="QB110" s="274"/>
      <c r="QC110" s="274"/>
      <c r="QD110" s="274"/>
      <c r="QE110" s="274"/>
      <c r="QF110" s="274"/>
      <c r="QG110" s="274"/>
      <c r="QH110" s="274"/>
      <c r="QI110" s="274"/>
      <c r="QJ110" s="274"/>
      <c r="QK110" s="274"/>
      <c r="QL110" s="274"/>
      <c r="QM110" s="274"/>
      <c r="QN110" s="274"/>
      <c r="QO110" s="274"/>
      <c r="QP110" s="274"/>
      <c r="QQ110" s="274"/>
      <c r="QR110" s="274"/>
      <c r="QS110" s="274"/>
      <c r="QT110" s="274"/>
      <c r="QU110" s="274"/>
      <c r="QV110" s="274"/>
      <c r="QW110" s="274"/>
      <c r="QX110" s="274"/>
      <c r="QY110" s="274"/>
      <c r="QZ110" s="274"/>
      <c r="RA110" s="274"/>
      <c r="RB110" s="274"/>
      <c r="RC110" s="274"/>
    </row>
    <row r="111" spans="2:471" ht="17.25">
      <c r="B111">
        <v>8</v>
      </c>
      <c r="C111" s="23" t="s">
        <v>99</v>
      </c>
      <c r="D111" s="23">
        <v>365.24220026363002</v>
      </c>
      <c r="E111" s="23"/>
      <c r="F111" s="23"/>
      <c r="G111" s="23"/>
      <c r="H111" s="23"/>
      <c r="I111" s="23"/>
      <c r="J111" s="23"/>
      <c r="K111" s="23"/>
      <c r="L111" s="23"/>
      <c r="M111" s="23"/>
      <c r="N111" s="23"/>
      <c r="O111" s="23"/>
      <c r="P111" s="23"/>
      <c r="Q111" s="23"/>
      <c r="R111" s="23"/>
      <c r="S111" s="23"/>
      <c r="T111" s="23"/>
      <c r="U111" s="23"/>
      <c r="V111" s="23"/>
      <c r="W111" s="23"/>
      <c r="X111" s="23"/>
      <c r="DH111" s="274"/>
      <c r="DI111" s="274"/>
      <c r="DJ111" s="978"/>
      <c r="DK111" s="274"/>
      <c r="DL111" s="274"/>
      <c r="DM111" s="274"/>
      <c r="DN111" s="274"/>
      <c r="DO111" s="274"/>
      <c r="DP111" s="274"/>
      <c r="DQ111" s="274"/>
      <c r="DR111" s="274"/>
      <c r="DS111" s="274"/>
      <c r="DT111" s="274"/>
      <c r="DU111" s="274"/>
      <c r="DV111" s="274"/>
      <c r="DW111" s="274"/>
      <c r="DX111" s="274"/>
      <c r="DY111" s="274"/>
      <c r="DZ111" s="274"/>
      <c r="EA111" s="274"/>
      <c r="EB111" s="274"/>
      <c r="EC111" s="274"/>
      <c r="ED111" s="274"/>
      <c r="EE111" s="274"/>
      <c r="EF111" s="274"/>
      <c r="EG111" s="274"/>
      <c r="EH111" s="274"/>
      <c r="EI111" s="274"/>
      <c r="EJ111" s="274"/>
      <c r="EK111" s="274"/>
      <c r="EL111" s="274"/>
      <c r="EM111" s="274"/>
      <c r="EN111" s="274"/>
      <c r="EO111" s="274"/>
      <c r="EP111" s="274"/>
      <c r="EQ111" s="274"/>
      <c r="ER111" s="274"/>
      <c r="ES111" s="274"/>
      <c r="ET111" s="274"/>
      <c r="EU111" s="274"/>
      <c r="EV111" s="274"/>
      <c r="EW111" s="274"/>
      <c r="EX111" s="274"/>
      <c r="EY111" s="274"/>
      <c r="EZ111" s="274"/>
      <c r="FA111" s="274"/>
      <c r="FB111" s="274"/>
      <c r="FC111" s="274"/>
      <c r="FD111" s="274"/>
      <c r="FE111" s="274"/>
      <c r="FF111" s="274"/>
      <c r="FG111" s="274"/>
      <c r="FH111" s="274"/>
      <c r="FI111" s="274"/>
      <c r="FJ111" s="274"/>
      <c r="FK111" s="274"/>
      <c r="FL111" s="274"/>
      <c r="FM111" s="274"/>
      <c r="FN111" s="274"/>
      <c r="FO111" s="274"/>
      <c r="FP111" s="274"/>
      <c r="FQ111" s="274"/>
      <c r="FR111" s="274"/>
      <c r="FS111" s="274"/>
      <c r="FT111" s="274"/>
      <c r="FU111" s="274"/>
      <c r="FV111" s="274"/>
      <c r="FW111" s="274"/>
      <c r="FX111" s="274"/>
      <c r="FY111" s="274"/>
      <c r="FZ111" s="274"/>
      <c r="GA111" s="274"/>
      <c r="GB111" s="274"/>
      <c r="GC111" s="274"/>
      <c r="GD111" s="274"/>
      <c r="GE111" s="274"/>
      <c r="GF111" s="274"/>
      <c r="GG111" s="274"/>
      <c r="GH111" s="274"/>
      <c r="GI111" s="274"/>
      <c r="GJ111" s="274"/>
      <c r="GK111" s="274"/>
      <c r="GL111" s="274"/>
      <c r="GM111" s="274"/>
      <c r="GN111" s="274"/>
      <c r="GO111" s="274"/>
      <c r="GP111" s="274"/>
      <c r="GQ111" s="274"/>
      <c r="GR111" s="274"/>
      <c r="GS111" s="274"/>
      <c r="GT111" s="274"/>
      <c r="GU111" s="274"/>
      <c r="GV111" s="274"/>
      <c r="GW111" s="274"/>
      <c r="GX111" s="274"/>
      <c r="GY111" s="274"/>
      <c r="GZ111" s="274"/>
      <c r="HA111" s="274"/>
      <c r="HB111" s="274"/>
      <c r="HC111" s="274"/>
      <c r="HD111" s="274"/>
      <c r="HE111" s="274"/>
      <c r="HF111" s="274"/>
      <c r="HG111" s="274"/>
      <c r="HH111" s="274"/>
      <c r="HI111" s="274"/>
      <c r="HJ111" s="274"/>
      <c r="HK111" s="274"/>
      <c r="HL111" s="274"/>
      <c r="HM111" s="274"/>
      <c r="HN111" s="274"/>
      <c r="HO111" s="274"/>
      <c r="HP111" s="274"/>
      <c r="HQ111" s="274"/>
      <c r="HR111" s="274"/>
      <c r="HS111" s="274"/>
      <c r="HT111" s="274"/>
      <c r="HU111" s="274"/>
      <c r="HV111" s="274"/>
      <c r="HW111" s="274"/>
      <c r="HX111" s="274"/>
      <c r="HY111" s="274"/>
      <c r="HZ111" s="274"/>
      <c r="IA111" s="274"/>
      <c r="IB111" s="274"/>
      <c r="IC111" s="274"/>
      <c r="ID111" s="274"/>
      <c r="IE111" s="274"/>
      <c r="IF111" s="274"/>
      <c r="IG111" s="274"/>
      <c r="IH111" s="274"/>
      <c r="II111" s="274"/>
      <c r="IJ111" s="274"/>
      <c r="IK111" s="274"/>
      <c r="IL111" s="274"/>
      <c r="IM111" s="274"/>
      <c r="IN111" s="274"/>
      <c r="IO111" s="274"/>
      <c r="IP111" s="274"/>
      <c r="IQ111" s="274"/>
      <c r="IR111" s="274"/>
      <c r="IS111" s="274"/>
      <c r="IT111" s="274"/>
      <c r="IU111" s="274"/>
      <c r="IV111" s="274"/>
      <c r="IW111" s="274"/>
      <c r="IX111" s="274"/>
      <c r="IY111" s="274"/>
      <c r="IZ111" s="274"/>
      <c r="JA111" s="274"/>
      <c r="JB111" s="274"/>
      <c r="JC111" s="274"/>
      <c r="JD111" s="274"/>
      <c r="JE111" s="274"/>
      <c r="JF111" s="274"/>
      <c r="JG111" s="274"/>
      <c r="JH111" s="274"/>
      <c r="JI111" s="274"/>
      <c r="JJ111" s="274"/>
      <c r="JK111" s="274"/>
      <c r="JL111" s="274"/>
      <c r="JM111" s="274"/>
      <c r="JN111" s="274"/>
      <c r="JO111" s="274"/>
      <c r="JP111" s="274"/>
      <c r="JQ111" s="274"/>
      <c r="JR111" s="274"/>
      <c r="JS111" s="274"/>
      <c r="JT111" s="274"/>
      <c r="JU111" s="274"/>
      <c r="JV111" s="274"/>
      <c r="JW111" s="274"/>
      <c r="JX111" s="274"/>
      <c r="JY111" s="274"/>
      <c r="JZ111" s="274"/>
      <c r="KA111" s="274"/>
      <c r="KB111" s="274"/>
      <c r="KC111" s="274"/>
      <c r="KD111" s="274"/>
      <c r="KE111" s="274"/>
      <c r="KF111" s="274"/>
      <c r="KG111" s="274"/>
      <c r="KH111" s="274"/>
      <c r="KI111" s="274"/>
      <c r="KJ111" s="274"/>
      <c r="KK111" s="274"/>
      <c r="KL111" s="274"/>
      <c r="KM111" s="274"/>
      <c r="KN111" s="274"/>
      <c r="KO111" s="274"/>
      <c r="KP111" s="274"/>
      <c r="KQ111" s="274"/>
      <c r="KR111" s="274"/>
      <c r="KS111" s="274"/>
      <c r="KT111" s="274"/>
      <c r="KU111" s="274"/>
      <c r="KV111" s="274"/>
      <c r="KW111" s="274"/>
      <c r="KX111" s="274"/>
      <c r="KY111" s="274"/>
      <c r="KZ111" s="274"/>
      <c r="LA111" s="274"/>
      <c r="LB111" s="274"/>
      <c r="LC111" s="274"/>
      <c r="LD111" s="274"/>
      <c r="LE111" s="274"/>
      <c r="LF111" s="274"/>
      <c r="LG111" s="274"/>
      <c r="LH111" s="274"/>
      <c r="LI111" s="274"/>
      <c r="LJ111" s="274"/>
      <c r="LK111" s="274"/>
      <c r="LL111" s="274"/>
      <c r="LM111" s="274"/>
      <c r="LN111" s="274"/>
      <c r="LO111" s="274"/>
      <c r="LP111" s="274"/>
      <c r="LQ111" s="274"/>
      <c r="LR111" s="274"/>
      <c r="LS111" s="274"/>
      <c r="LT111" s="274"/>
      <c r="LU111" s="274"/>
      <c r="LV111" s="274"/>
      <c r="LW111" s="274"/>
      <c r="LX111" s="274"/>
      <c r="LY111" s="274"/>
      <c r="LZ111" s="274"/>
      <c r="MA111" s="274"/>
      <c r="MB111" s="274"/>
      <c r="MC111" s="274"/>
      <c r="MD111" s="274"/>
      <c r="ME111" s="274"/>
      <c r="MF111" s="274"/>
      <c r="MG111" s="274"/>
      <c r="MH111" s="274"/>
      <c r="MI111" s="274"/>
      <c r="MJ111" s="274"/>
      <c r="MK111" s="274"/>
      <c r="ML111" s="274"/>
      <c r="MM111" s="274"/>
      <c r="MN111" s="274"/>
      <c r="MO111" s="274"/>
      <c r="MP111" s="274"/>
      <c r="MQ111" s="274"/>
      <c r="MR111" s="274"/>
      <c r="MS111" s="274"/>
      <c r="MT111" s="274"/>
      <c r="MU111" s="274"/>
      <c r="MV111" s="274"/>
      <c r="MW111" s="274"/>
      <c r="MX111" s="274"/>
      <c r="MY111" s="274"/>
      <c r="MZ111" s="274"/>
      <c r="NA111" s="274"/>
      <c r="NB111" s="274"/>
      <c r="NC111" s="274"/>
      <c r="ND111" s="274"/>
      <c r="NE111" s="274"/>
      <c r="NF111" s="274"/>
      <c r="NG111" s="274"/>
      <c r="NH111" s="274"/>
      <c r="NI111" s="274"/>
      <c r="NJ111" s="274"/>
      <c r="NK111" s="274"/>
      <c r="NL111" s="274"/>
      <c r="NM111" s="274"/>
      <c r="NN111" s="274"/>
      <c r="NO111" s="274"/>
      <c r="NP111" s="274"/>
      <c r="NQ111" s="274"/>
      <c r="NR111" s="274"/>
      <c r="NS111" s="274"/>
      <c r="NT111" s="274"/>
      <c r="NU111" s="274"/>
      <c r="NV111" s="274"/>
      <c r="NW111" s="274"/>
      <c r="NX111" s="274"/>
      <c r="NY111" s="274"/>
      <c r="NZ111" s="274"/>
      <c r="OA111" s="274"/>
      <c r="OB111" s="274"/>
      <c r="OC111" s="274"/>
      <c r="OD111" s="274"/>
      <c r="OE111" s="274"/>
      <c r="OF111" s="274"/>
      <c r="OG111" s="274"/>
      <c r="OH111" s="274"/>
      <c r="OI111" s="274"/>
      <c r="OJ111" s="274"/>
      <c r="OK111" s="274"/>
      <c r="OL111" s="274"/>
      <c r="OM111" s="274"/>
      <c r="ON111" s="274"/>
      <c r="OO111" s="274"/>
      <c r="OP111" s="274"/>
      <c r="OQ111" s="274"/>
      <c r="OR111" s="274"/>
      <c r="OS111" s="274"/>
      <c r="OT111" s="274"/>
      <c r="OU111" s="274"/>
      <c r="OV111" s="274"/>
      <c r="OW111" s="274"/>
      <c r="OX111" s="274"/>
      <c r="OY111" s="274"/>
      <c r="OZ111" s="274"/>
      <c r="PA111" s="274"/>
      <c r="PB111" s="274"/>
      <c r="PC111" s="274"/>
      <c r="PD111" s="274"/>
      <c r="PE111" s="274"/>
      <c r="PF111" s="274"/>
      <c r="PG111" s="274"/>
      <c r="PH111" s="274"/>
      <c r="PI111" s="274"/>
      <c r="PJ111" s="274"/>
      <c r="PK111" s="274"/>
      <c r="PL111" s="274"/>
      <c r="PM111" s="274"/>
      <c r="PN111" s="274"/>
      <c r="PO111" s="274"/>
      <c r="PP111" s="274"/>
      <c r="PQ111" s="274"/>
      <c r="PR111" s="274"/>
      <c r="PS111" s="274"/>
      <c r="PT111" s="274"/>
      <c r="PU111" s="274"/>
      <c r="PV111" s="274"/>
      <c r="PW111" s="274"/>
      <c r="PX111" s="274"/>
      <c r="PY111" s="274"/>
      <c r="PZ111" s="274"/>
      <c r="QA111" s="274"/>
      <c r="QB111" s="274"/>
      <c r="QC111" s="274"/>
      <c r="QD111" s="274"/>
      <c r="QE111" s="274"/>
      <c r="QF111" s="274"/>
      <c r="QG111" s="274"/>
      <c r="QH111" s="274"/>
      <c r="QI111" s="274"/>
      <c r="QJ111" s="274"/>
      <c r="QK111" s="274"/>
      <c r="QL111" s="274"/>
      <c r="QM111" s="274"/>
      <c r="QN111" s="274"/>
      <c r="QO111" s="274"/>
      <c r="QP111" s="274"/>
      <c r="QQ111" s="274"/>
      <c r="QR111" s="274"/>
      <c r="QS111" s="274"/>
      <c r="QT111" s="274"/>
      <c r="QU111" s="274"/>
      <c r="QV111" s="274"/>
      <c r="QW111" s="274"/>
      <c r="QX111" s="274"/>
      <c r="QY111" s="274"/>
      <c r="QZ111" s="274"/>
      <c r="RA111" s="274"/>
      <c r="RB111" s="274"/>
      <c r="RC111" s="274"/>
    </row>
    <row r="112" spans="2:471" ht="17.25">
      <c r="C112" s="23"/>
      <c r="D112" s="23"/>
      <c r="E112" s="23"/>
      <c r="F112" s="23"/>
      <c r="G112" s="23"/>
      <c r="H112" s="23"/>
      <c r="I112" s="23"/>
      <c r="J112" s="23"/>
      <c r="K112" s="23"/>
      <c r="L112" s="23"/>
      <c r="M112" s="23"/>
      <c r="N112" s="23"/>
      <c r="O112" s="23"/>
      <c r="P112" s="23"/>
      <c r="Q112" s="23"/>
      <c r="R112" s="23"/>
      <c r="S112" s="23"/>
      <c r="T112" s="23"/>
      <c r="U112" s="23"/>
      <c r="V112" s="23"/>
      <c r="W112" s="23"/>
      <c r="X112" s="23"/>
      <c r="DH112" s="274"/>
      <c r="DI112" s="274"/>
      <c r="DJ112" s="978"/>
      <c r="DK112" s="978"/>
      <c r="DL112" s="978"/>
      <c r="DM112" s="978"/>
      <c r="DN112" s="978"/>
      <c r="DO112" s="978"/>
      <c r="DP112" s="978"/>
      <c r="DQ112" s="978"/>
      <c r="DR112" s="978"/>
      <c r="DS112" s="978"/>
      <c r="DT112" s="978"/>
      <c r="DU112" s="978"/>
      <c r="DV112" s="978"/>
      <c r="DW112" s="978"/>
      <c r="DX112" s="978"/>
      <c r="DY112" s="978"/>
      <c r="DZ112" s="978"/>
      <c r="EA112" s="978"/>
      <c r="EB112" s="978"/>
      <c r="EC112" s="978"/>
      <c r="ED112" s="978"/>
      <c r="EE112" s="978"/>
      <c r="EF112" s="978"/>
      <c r="EG112" s="978"/>
      <c r="EH112" s="978"/>
      <c r="EI112" s="978"/>
      <c r="EJ112" s="978"/>
      <c r="EK112" s="978"/>
      <c r="EL112" s="978"/>
      <c r="EM112" s="978"/>
      <c r="EN112" s="978"/>
      <c r="EO112" s="978"/>
      <c r="EP112" s="978"/>
      <c r="EQ112" s="978"/>
      <c r="ER112" s="978"/>
      <c r="ES112" s="978"/>
      <c r="ET112" s="978"/>
      <c r="EU112" s="978"/>
      <c r="EV112" s="978"/>
      <c r="EW112" s="978"/>
      <c r="EX112" s="978"/>
      <c r="EY112" s="978"/>
      <c r="EZ112" s="978"/>
      <c r="FA112" s="978"/>
      <c r="FB112" s="978"/>
      <c r="FC112" s="978"/>
      <c r="FD112" s="978"/>
      <c r="FE112" s="978"/>
      <c r="FF112" s="978"/>
      <c r="FG112" s="978"/>
      <c r="FH112" s="978"/>
      <c r="FI112" s="978"/>
      <c r="FJ112" s="978"/>
      <c r="FK112" s="978"/>
      <c r="FL112" s="978"/>
      <c r="FM112" s="978"/>
      <c r="FN112" s="978"/>
      <c r="FO112" s="978"/>
      <c r="FP112" s="978"/>
      <c r="FQ112" s="978"/>
      <c r="FR112" s="978"/>
      <c r="FS112" s="978"/>
      <c r="FT112" s="978"/>
      <c r="FU112" s="978"/>
      <c r="FV112" s="978"/>
      <c r="FW112" s="978"/>
      <c r="FX112" s="978"/>
      <c r="FY112" s="978"/>
      <c r="FZ112" s="978"/>
      <c r="GA112" s="978"/>
      <c r="GB112" s="978"/>
      <c r="GC112" s="978"/>
      <c r="GD112" s="978"/>
      <c r="GE112" s="978"/>
      <c r="GF112" s="978"/>
      <c r="GG112" s="978"/>
      <c r="GH112" s="978"/>
      <c r="GI112" s="978"/>
      <c r="GJ112" s="978"/>
      <c r="GK112" s="978"/>
      <c r="GL112" s="978"/>
      <c r="GM112" s="978"/>
      <c r="GN112" s="978"/>
      <c r="GO112" s="978"/>
      <c r="GP112" s="978"/>
      <c r="GQ112" s="978"/>
      <c r="GR112" s="978"/>
      <c r="GS112" s="978"/>
      <c r="GT112" s="978"/>
      <c r="GU112" s="978"/>
      <c r="GV112" s="978"/>
      <c r="GW112" s="978"/>
      <c r="GX112" s="978"/>
      <c r="GY112" s="978"/>
      <c r="GZ112" s="978"/>
      <c r="HA112" s="978"/>
      <c r="HB112" s="978"/>
      <c r="HC112" s="978"/>
      <c r="HD112" s="978"/>
      <c r="HE112" s="978"/>
      <c r="HF112" s="978"/>
      <c r="HG112" s="978"/>
      <c r="HH112" s="978"/>
      <c r="HI112" s="978"/>
      <c r="HJ112" s="978"/>
      <c r="HK112" s="978"/>
      <c r="HL112" s="978"/>
      <c r="HM112" s="978"/>
      <c r="HN112" s="978"/>
      <c r="HO112" s="978"/>
      <c r="HP112" s="978"/>
      <c r="HQ112" s="978"/>
      <c r="HR112" s="978"/>
      <c r="HS112" s="978"/>
      <c r="HT112" s="978"/>
      <c r="HU112" s="978"/>
      <c r="HV112" s="978"/>
      <c r="HW112" s="978"/>
      <c r="HX112" s="978"/>
      <c r="HY112" s="978"/>
      <c r="HZ112" s="978"/>
      <c r="IA112" s="978"/>
      <c r="IB112" s="978"/>
      <c r="IC112" s="978"/>
      <c r="ID112" s="978"/>
      <c r="IE112" s="978"/>
      <c r="IF112" s="978"/>
      <c r="IG112" s="978"/>
      <c r="IH112" s="978"/>
      <c r="II112" s="978"/>
      <c r="IJ112" s="978"/>
      <c r="IK112" s="978"/>
      <c r="IL112" s="978"/>
      <c r="IM112" s="978"/>
      <c r="IN112" s="978"/>
      <c r="IO112" s="978"/>
      <c r="IP112" s="978"/>
      <c r="IQ112" s="978"/>
      <c r="IR112" s="978"/>
      <c r="IS112" s="978"/>
      <c r="IT112" s="978"/>
      <c r="IU112" s="978"/>
      <c r="IV112" s="978"/>
      <c r="IW112" s="978"/>
      <c r="IX112" s="978"/>
      <c r="IY112" s="978"/>
      <c r="IZ112" s="978"/>
      <c r="JA112" s="978"/>
      <c r="JB112" s="978"/>
      <c r="JC112" s="978"/>
      <c r="JD112" s="978"/>
      <c r="JE112" s="978"/>
      <c r="JF112" s="978"/>
      <c r="JG112" s="978"/>
      <c r="JH112" s="978"/>
      <c r="JI112" s="978"/>
      <c r="JJ112" s="978"/>
      <c r="JK112" s="978"/>
      <c r="JL112" s="978"/>
      <c r="JM112" s="978"/>
      <c r="JN112" s="978"/>
      <c r="JO112" s="978"/>
      <c r="JP112" s="978"/>
      <c r="JQ112" s="978"/>
      <c r="JR112" s="978"/>
      <c r="JS112" s="978"/>
      <c r="JT112" s="978"/>
      <c r="JU112" s="978"/>
      <c r="JV112" s="978"/>
      <c r="JW112" s="978"/>
      <c r="JX112" s="978"/>
      <c r="JY112" s="978"/>
      <c r="JZ112" s="978"/>
      <c r="KA112" s="978"/>
      <c r="KB112" s="978"/>
      <c r="KC112" s="978"/>
      <c r="KD112" s="978"/>
      <c r="KE112" s="978"/>
      <c r="KF112" s="978"/>
      <c r="KG112" s="978"/>
      <c r="KH112" s="978"/>
      <c r="KI112" s="978"/>
      <c r="KJ112" s="978"/>
      <c r="KK112" s="978"/>
      <c r="KL112" s="978"/>
      <c r="KM112" s="978"/>
      <c r="KN112" s="978"/>
      <c r="KO112" s="978"/>
      <c r="KP112" s="978"/>
      <c r="KQ112" s="978"/>
      <c r="KR112" s="978"/>
      <c r="KS112" s="978"/>
      <c r="KT112" s="978"/>
      <c r="KU112" s="978"/>
      <c r="KV112" s="978"/>
      <c r="KW112" s="978"/>
      <c r="KX112" s="978"/>
      <c r="KY112" s="978"/>
      <c r="KZ112" s="978"/>
      <c r="LA112" s="978"/>
      <c r="LB112" s="978"/>
      <c r="LC112" s="978"/>
      <c r="LD112" s="978"/>
      <c r="LE112" s="978"/>
      <c r="LF112" s="978"/>
      <c r="LG112" s="978"/>
      <c r="LH112" s="978"/>
      <c r="LI112" s="978"/>
      <c r="LJ112" s="978"/>
      <c r="LK112" s="978"/>
      <c r="LL112" s="978"/>
      <c r="LM112" s="978"/>
      <c r="LN112" s="978"/>
      <c r="LO112" s="978"/>
      <c r="LP112" s="978"/>
      <c r="LQ112" s="978"/>
      <c r="LR112" s="978"/>
      <c r="LS112" s="978"/>
      <c r="LT112" s="978"/>
      <c r="LU112" s="978"/>
      <c r="LV112" s="978"/>
      <c r="LW112" s="978"/>
      <c r="LX112" s="978"/>
      <c r="LY112" s="978"/>
      <c r="LZ112" s="978"/>
      <c r="MA112" s="978"/>
      <c r="MB112" s="978"/>
      <c r="MC112" s="978"/>
      <c r="MD112" s="978"/>
      <c r="ME112" s="978"/>
      <c r="MF112" s="978"/>
      <c r="MG112" s="978"/>
      <c r="MH112" s="978"/>
      <c r="MI112" s="978"/>
      <c r="MJ112" s="978"/>
      <c r="MK112" s="978"/>
      <c r="ML112" s="978"/>
      <c r="MM112" s="978"/>
      <c r="MN112" s="978"/>
      <c r="MO112" s="978"/>
      <c r="MP112" s="978"/>
      <c r="MQ112" s="978"/>
      <c r="MR112" s="978"/>
      <c r="MS112" s="978"/>
      <c r="MT112" s="978"/>
      <c r="MU112" s="978"/>
      <c r="MV112" s="978"/>
      <c r="MW112" s="978"/>
      <c r="MX112" s="978"/>
      <c r="MY112" s="978"/>
      <c r="MZ112" s="978"/>
      <c r="NA112" s="978"/>
      <c r="NB112" s="978"/>
      <c r="NC112" s="978"/>
      <c r="ND112" s="978"/>
      <c r="NE112" s="978"/>
      <c r="NF112" s="978"/>
      <c r="NG112" s="978"/>
      <c r="NH112" s="978"/>
      <c r="NI112" s="978"/>
      <c r="NJ112" s="978"/>
      <c r="NK112" s="978"/>
      <c r="NL112" s="978"/>
      <c r="NM112" s="978"/>
      <c r="NN112" s="978"/>
      <c r="NO112" s="978"/>
      <c r="NP112" s="978"/>
      <c r="NQ112" s="978"/>
      <c r="NR112" s="978"/>
      <c r="NS112" s="978"/>
      <c r="NT112" s="978"/>
      <c r="NU112" s="978"/>
      <c r="NV112" s="978"/>
      <c r="NW112" s="978"/>
      <c r="NX112" s="978"/>
      <c r="NY112" s="978"/>
      <c r="NZ112" s="978"/>
      <c r="OA112" s="978"/>
      <c r="OB112" s="978"/>
      <c r="OC112" s="978"/>
      <c r="OD112" s="978"/>
      <c r="OE112" s="978"/>
      <c r="OF112" s="978"/>
      <c r="OG112" s="978"/>
      <c r="OH112" s="978"/>
      <c r="OI112" s="978"/>
      <c r="OJ112" s="978"/>
      <c r="OK112" s="978"/>
      <c r="OL112" s="978"/>
      <c r="OM112" s="978"/>
      <c r="ON112" s="978"/>
      <c r="OO112" s="978"/>
      <c r="OP112" s="978"/>
      <c r="OQ112" s="978"/>
      <c r="OR112" s="978"/>
      <c r="OS112" s="978"/>
      <c r="OT112" s="978"/>
      <c r="OU112" s="978"/>
      <c r="OV112" s="978"/>
      <c r="OW112" s="978"/>
      <c r="OX112" s="978"/>
      <c r="OY112" s="978"/>
      <c r="OZ112" s="978"/>
      <c r="PA112" s="978"/>
      <c r="PB112" s="978"/>
      <c r="PC112" s="978"/>
      <c r="PD112" s="978"/>
      <c r="PE112" s="978"/>
      <c r="PF112" s="978"/>
      <c r="PG112" s="978"/>
      <c r="PH112" s="978"/>
      <c r="PI112" s="978"/>
      <c r="PJ112" s="978"/>
      <c r="PK112" s="978"/>
      <c r="PL112" s="978"/>
      <c r="PM112" s="978"/>
      <c r="PN112" s="978"/>
      <c r="PO112" s="978"/>
      <c r="PP112" s="978"/>
      <c r="PQ112" s="978"/>
      <c r="PR112" s="978"/>
      <c r="PS112" s="978"/>
      <c r="PT112" s="978"/>
      <c r="PU112" s="978"/>
      <c r="PV112" s="978"/>
      <c r="PW112" s="978"/>
      <c r="PX112" s="978"/>
      <c r="PY112" s="978"/>
      <c r="PZ112" s="978"/>
      <c r="QA112" s="978"/>
      <c r="QB112" s="978"/>
      <c r="QC112" s="978"/>
      <c r="QD112" s="978"/>
      <c r="QE112" s="978"/>
      <c r="QF112" s="978"/>
      <c r="QG112" s="978"/>
      <c r="QH112" s="978"/>
      <c r="QI112" s="978"/>
      <c r="QJ112" s="978"/>
      <c r="QK112" s="978"/>
      <c r="QL112" s="978"/>
      <c r="QM112" s="978"/>
      <c r="QN112" s="978"/>
      <c r="QO112" s="978"/>
      <c r="QP112" s="978"/>
      <c r="QQ112" s="978"/>
      <c r="QR112" s="978"/>
      <c r="QS112" s="978"/>
      <c r="QT112" s="978"/>
      <c r="QU112" s="978"/>
      <c r="QV112" s="978"/>
      <c r="QW112" s="978"/>
      <c r="QX112" s="978"/>
      <c r="QY112" s="978"/>
      <c r="QZ112" s="978"/>
      <c r="RA112" s="978"/>
      <c r="RB112" s="274"/>
      <c r="RC112" s="274"/>
    </row>
    <row r="113" spans="2:471" ht="17.25">
      <c r="B113">
        <v>9</v>
      </c>
      <c r="C113" s="2" t="s">
        <v>100</v>
      </c>
      <c r="D113" s="2">
        <v>365.25</v>
      </c>
      <c r="E113" s="2">
        <f>INT(MOD(I113,D113))+1</f>
        <v>81</v>
      </c>
      <c r="F113" s="2">
        <f>IF(H114=0,IF(G113=1,E113,IF(G113=2,E113-31,IF(G113=3,E113-59,IF(G113=4,E113-90,IF(G113=5,E113-120,IF(G113=6,E113-151,IF(G113=7,E113-181,IF(G113=8,E113-212,IF(G113=9,E113-243,IF(G113=10,E113-273,IF(G113=11,E113-304,E113-334))))))))))),IF(G113=1,E113,IF(G113=2,E113-31,IF(G113=3,E113-60,IF(G113=4,E113-91,IF(G113=5,E113-121,IF(G113=6,E113-152,IF(G113=7,E113-182,IF(G113=8,E113-213,IF(G113=9,E113-244,IF(G113=10,E113-274,IF(G113=11,E113-305,E113-335))))))))))))</f>
        <v>22</v>
      </c>
      <c r="G113" s="2">
        <f>IF(H114=0,IF(E113&lt;=31,1,IF(E113&lt;=59,2,IF(E113&lt;=90,3,IF(E113&lt;=120,4,IF(E113&lt;=151,5,IF(E113&lt;=181,6,IF(E113&lt;=212,7,IF(E113&lt;=243,8,IF(E113&lt;=273,9,IF(E113&lt;=304,10,IF(E113&lt;=334,11,12))))))))))),IF(E113&lt;=31,1,IF(E113&lt;=60,2,IF(E113&lt;=91,3,IF(E113&lt;=121,4,IF(E113&lt;=152,5,IF(E113&lt;=182,6,IF(E113&lt;=213,7,IF(E113&lt;=244,8,IF(E113&lt;=274,9,IF(E113&lt;=305,10,IF(E113&lt;=335,11,12))))))))))))</f>
        <v>3</v>
      </c>
      <c r="H113" s="2">
        <f>INT(I113/D113)+1</f>
        <v>1872</v>
      </c>
      <c r="I113" s="2">
        <f>J113+I99</f>
        <v>683463</v>
      </c>
      <c r="J113" s="2">
        <v>227027</v>
      </c>
      <c r="K113" s="2"/>
      <c r="L113" s="2" t="s">
        <v>101</v>
      </c>
      <c r="M113" s="2" t="s">
        <v>102</v>
      </c>
      <c r="N113" s="2" t="s">
        <v>103</v>
      </c>
      <c r="O113" s="2" t="s">
        <v>104</v>
      </c>
      <c r="P113" s="2" t="s">
        <v>105</v>
      </c>
      <c r="Q113" s="2" t="s">
        <v>106</v>
      </c>
      <c r="R113" s="2" t="s">
        <v>107</v>
      </c>
      <c r="S113" s="2" t="s">
        <v>108</v>
      </c>
      <c r="T113" s="2" t="s">
        <v>109</v>
      </c>
      <c r="U113" s="2" t="s">
        <v>110</v>
      </c>
      <c r="V113" s="2" t="s">
        <v>111</v>
      </c>
      <c r="W113" s="2" t="s">
        <v>112</v>
      </c>
      <c r="DH113" s="274"/>
      <c r="DI113" s="274"/>
      <c r="DJ113" s="978"/>
      <c r="DK113" s="978"/>
      <c r="DL113" s="978"/>
      <c r="DM113" s="978"/>
      <c r="DN113" s="978"/>
      <c r="DO113" s="978"/>
      <c r="DP113" s="978"/>
      <c r="DQ113" s="978"/>
      <c r="DR113" s="978"/>
      <c r="DS113" s="978"/>
      <c r="DT113" s="978"/>
      <c r="DU113" s="978"/>
      <c r="DV113" s="978"/>
      <c r="DW113" s="978"/>
      <c r="DX113" s="978"/>
      <c r="DY113" s="978"/>
      <c r="DZ113" s="978"/>
      <c r="EA113" s="978"/>
      <c r="EB113" s="978"/>
      <c r="EC113" s="978"/>
      <c r="ED113" s="978"/>
      <c r="EE113" s="978"/>
      <c r="EF113" s="978"/>
      <c r="EG113" s="978"/>
      <c r="EH113" s="978"/>
      <c r="EI113" s="978"/>
      <c r="EJ113" s="978"/>
      <c r="EK113" s="978"/>
      <c r="EL113" s="978"/>
      <c r="EM113" s="978"/>
      <c r="EN113" s="978"/>
      <c r="EO113" s="978"/>
      <c r="EP113" s="978"/>
      <c r="EQ113" s="978"/>
      <c r="ER113" s="978"/>
      <c r="ES113" s="978"/>
      <c r="ET113" s="978"/>
      <c r="EU113" s="978"/>
      <c r="EV113" s="978"/>
      <c r="EW113" s="978"/>
      <c r="EX113" s="978"/>
      <c r="EY113" s="978"/>
      <c r="EZ113" s="978"/>
      <c r="FA113" s="978"/>
      <c r="FB113" s="978"/>
      <c r="FC113" s="978"/>
      <c r="FD113" s="978"/>
      <c r="FE113" s="978"/>
      <c r="FF113" s="978"/>
      <c r="FG113" s="978"/>
      <c r="FH113" s="978"/>
      <c r="FI113" s="978"/>
      <c r="FJ113" s="978"/>
      <c r="FK113" s="978"/>
      <c r="FL113" s="978"/>
      <c r="FM113" s="978"/>
      <c r="FN113" s="978"/>
      <c r="FO113" s="978"/>
      <c r="FP113" s="978"/>
      <c r="FQ113" s="978"/>
      <c r="FR113" s="978"/>
      <c r="FS113" s="978"/>
      <c r="FT113" s="978"/>
      <c r="FU113" s="978"/>
      <c r="FV113" s="978"/>
      <c r="FW113" s="978"/>
      <c r="FX113" s="978"/>
      <c r="FY113" s="978"/>
      <c r="FZ113" s="978"/>
      <c r="GA113" s="978"/>
      <c r="GB113" s="978"/>
      <c r="GC113" s="978"/>
      <c r="GD113" s="978"/>
      <c r="GE113" s="978"/>
      <c r="GF113" s="978"/>
      <c r="GG113" s="978"/>
      <c r="GH113" s="978"/>
      <c r="GI113" s="978"/>
      <c r="GJ113" s="978"/>
      <c r="GK113" s="978"/>
      <c r="GL113" s="978"/>
      <c r="GM113" s="978"/>
      <c r="GN113" s="978"/>
      <c r="GO113" s="978"/>
      <c r="GP113" s="978"/>
      <c r="GQ113" s="978"/>
      <c r="GR113" s="978"/>
      <c r="GS113" s="978"/>
      <c r="GT113" s="978"/>
      <c r="GU113" s="978"/>
      <c r="GV113" s="978"/>
      <c r="GW113" s="978"/>
      <c r="GX113" s="978"/>
      <c r="GY113" s="978"/>
      <c r="GZ113" s="978"/>
      <c r="HA113" s="978"/>
      <c r="HB113" s="978"/>
      <c r="HC113" s="978"/>
      <c r="HD113" s="978"/>
      <c r="HE113" s="978"/>
      <c r="HF113" s="978"/>
      <c r="HG113" s="978"/>
      <c r="HH113" s="978"/>
      <c r="HI113" s="978"/>
      <c r="HJ113" s="978"/>
      <c r="HK113" s="978"/>
      <c r="HL113" s="978"/>
      <c r="HM113" s="978"/>
      <c r="HN113" s="978"/>
      <c r="HO113" s="978"/>
      <c r="HP113" s="978"/>
      <c r="HQ113" s="978"/>
      <c r="HR113" s="978"/>
      <c r="HS113" s="978"/>
      <c r="HT113" s="978"/>
      <c r="HU113" s="978"/>
      <c r="HV113" s="978"/>
      <c r="HW113" s="978"/>
      <c r="HX113" s="978"/>
      <c r="HY113" s="978"/>
      <c r="HZ113" s="978"/>
      <c r="IA113" s="978"/>
      <c r="IB113" s="978"/>
      <c r="IC113" s="978"/>
      <c r="ID113" s="978"/>
      <c r="IE113" s="978"/>
      <c r="IF113" s="978"/>
      <c r="IG113" s="978"/>
      <c r="IH113" s="978"/>
      <c r="II113" s="978"/>
      <c r="IJ113" s="978"/>
      <c r="IK113" s="978"/>
      <c r="IL113" s="978"/>
      <c r="IM113" s="978"/>
      <c r="IN113" s="978"/>
      <c r="IO113" s="978"/>
      <c r="IP113" s="978"/>
      <c r="IQ113" s="978"/>
      <c r="IR113" s="978"/>
      <c r="IS113" s="978"/>
      <c r="IT113" s="978"/>
      <c r="IU113" s="978"/>
      <c r="IV113" s="978"/>
      <c r="IW113" s="978"/>
      <c r="IX113" s="978"/>
      <c r="IY113" s="978"/>
      <c r="IZ113" s="978"/>
      <c r="JA113" s="978"/>
      <c r="JB113" s="978"/>
      <c r="JC113" s="978"/>
      <c r="JD113" s="978"/>
      <c r="JE113" s="978"/>
      <c r="JF113" s="978"/>
      <c r="JG113" s="978"/>
      <c r="JH113" s="978"/>
      <c r="JI113" s="978"/>
      <c r="JJ113" s="978"/>
      <c r="JK113" s="978"/>
      <c r="JL113" s="978"/>
      <c r="JM113" s="978"/>
      <c r="JN113" s="978"/>
      <c r="JO113" s="978"/>
      <c r="JP113" s="978"/>
      <c r="JQ113" s="978"/>
      <c r="JR113" s="978"/>
      <c r="JS113" s="978"/>
      <c r="JT113" s="978"/>
      <c r="JU113" s="978"/>
      <c r="JV113" s="978"/>
      <c r="JW113" s="978"/>
      <c r="JX113" s="978"/>
      <c r="JY113" s="978"/>
      <c r="JZ113" s="978"/>
      <c r="KA113" s="978"/>
      <c r="KB113" s="978"/>
      <c r="KC113" s="978"/>
      <c r="KD113" s="978"/>
      <c r="KE113" s="978"/>
      <c r="KF113" s="978"/>
      <c r="KG113" s="978"/>
      <c r="KH113" s="978"/>
      <c r="KI113" s="978"/>
      <c r="KJ113" s="978"/>
      <c r="KK113" s="978"/>
      <c r="KL113" s="978"/>
      <c r="KM113" s="978"/>
      <c r="KN113" s="978"/>
      <c r="KO113" s="978"/>
      <c r="KP113" s="978"/>
      <c r="KQ113" s="978"/>
      <c r="KR113" s="978"/>
      <c r="KS113" s="978"/>
      <c r="KT113" s="978"/>
      <c r="KU113" s="978"/>
      <c r="KV113" s="978"/>
      <c r="KW113" s="978"/>
      <c r="KX113" s="978"/>
      <c r="KY113" s="978"/>
      <c r="KZ113" s="978"/>
      <c r="LA113" s="978"/>
      <c r="LB113" s="978"/>
      <c r="LC113" s="978"/>
      <c r="LD113" s="978"/>
      <c r="LE113" s="978"/>
      <c r="LF113" s="978"/>
      <c r="LG113" s="978"/>
      <c r="LH113" s="978"/>
      <c r="LI113" s="978"/>
      <c r="LJ113" s="978"/>
      <c r="LK113" s="978"/>
      <c r="LL113" s="978"/>
      <c r="LM113" s="978"/>
      <c r="LN113" s="978"/>
      <c r="LO113" s="978"/>
      <c r="LP113" s="978"/>
      <c r="LQ113" s="978"/>
      <c r="LR113" s="978"/>
      <c r="LS113" s="978"/>
      <c r="LT113" s="978"/>
      <c r="LU113" s="978"/>
      <c r="LV113" s="978"/>
      <c r="LW113" s="978"/>
      <c r="LX113" s="978"/>
      <c r="LY113" s="978"/>
      <c r="LZ113" s="978"/>
      <c r="MA113" s="978"/>
      <c r="MB113" s="978"/>
      <c r="MC113" s="978"/>
      <c r="MD113" s="978"/>
      <c r="ME113" s="978"/>
      <c r="MF113" s="978"/>
      <c r="MG113" s="978"/>
      <c r="MH113" s="978"/>
      <c r="MI113" s="978"/>
      <c r="MJ113" s="978"/>
      <c r="MK113" s="978"/>
      <c r="ML113" s="978"/>
      <c r="MM113" s="978"/>
      <c r="MN113" s="978"/>
      <c r="MO113" s="978"/>
      <c r="MP113" s="978"/>
      <c r="MQ113" s="978"/>
      <c r="MR113" s="978"/>
      <c r="MS113" s="978"/>
      <c r="MT113" s="978"/>
      <c r="MU113" s="978"/>
      <c r="MV113" s="978"/>
      <c r="MW113" s="978"/>
      <c r="MX113" s="978"/>
      <c r="MY113" s="978"/>
      <c r="MZ113" s="978"/>
      <c r="NA113" s="978"/>
      <c r="NB113" s="978"/>
      <c r="NC113" s="978"/>
      <c r="ND113" s="978"/>
      <c r="NE113" s="978"/>
      <c r="NF113" s="978"/>
      <c r="NG113" s="978"/>
      <c r="NH113" s="978"/>
      <c r="NI113" s="978"/>
      <c r="NJ113" s="978"/>
      <c r="NK113" s="978"/>
      <c r="NL113" s="978"/>
      <c r="NM113" s="978"/>
      <c r="NN113" s="978"/>
      <c r="NO113" s="978"/>
      <c r="NP113" s="978"/>
      <c r="NQ113" s="978"/>
      <c r="NR113" s="978"/>
      <c r="NS113" s="978"/>
      <c r="NT113" s="978"/>
      <c r="NU113" s="978"/>
      <c r="NV113" s="978"/>
      <c r="NW113" s="978"/>
      <c r="NX113" s="978"/>
      <c r="NY113" s="978"/>
      <c r="NZ113" s="978"/>
      <c r="OA113" s="978"/>
      <c r="OB113" s="978"/>
      <c r="OC113" s="978"/>
      <c r="OD113" s="978"/>
      <c r="OE113" s="978"/>
      <c r="OF113" s="978"/>
      <c r="OG113" s="978"/>
      <c r="OH113" s="978"/>
      <c r="OI113" s="978"/>
      <c r="OJ113" s="978"/>
      <c r="OK113" s="978"/>
      <c r="OL113" s="978"/>
      <c r="OM113" s="978"/>
      <c r="ON113" s="978"/>
      <c r="OO113" s="978"/>
      <c r="OP113" s="978"/>
      <c r="OQ113" s="978"/>
      <c r="OR113" s="978"/>
      <c r="OS113" s="978"/>
      <c r="OT113" s="978"/>
      <c r="OU113" s="978"/>
      <c r="OV113" s="978"/>
      <c r="OW113" s="978"/>
      <c r="OX113" s="978"/>
      <c r="OY113" s="978"/>
      <c r="OZ113" s="978"/>
      <c r="PA113" s="978"/>
      <c r="PB113" s="978"/>
      <c r="PC113" s="978"/>
      <c r="PD113" s="978"/>
      <c r="PE113" s="978"/>
      <c r="PF113" s="978"/>
      <c r="PG113" s="978"/>
      <c r="PH113" s="978"/>
      <c r="PI113" s="978"/>
      <c r="PJ113" s="978"/>
      <c r="PK113" s="978"/>
      <c r="PL113" s="978"/>
      <c r="PM113" s="978"/>
      <c r="PN113" s="978"/>
      <c r="PO113" s="978"/>
      <c r="PP113" s="978"/>
      <c r="PQ113" s="978"/>
      <c r="PR113" s="978"/>
      <c r="PS113" s="978"/>
      <c r="PT113" s="978"/>
      <c r="PU113" s="978"/>
      <c r="PV113" s="978"/>
      <c r="PW113" s="978"/>
      <c r="PX113" s="978"/>
      <c r="PY113" s="978"/>
      <c r="PZ113" s="978"/>
      <c r="QA113" s="978"/>
      <c r="QB113" s="978"/>
      <c r="QC113" s="978"/>
      <c r="QD113" s="978"/>
      <c r="QE113" s="978"/>
      <c r="QF113" s="978"/>
      <c r="QG113" s="978"/>
      <c r="QH113" s="978"/>
      <c r="QI113" s="978"/>
      <c r="QJ113" s="978"/>
      <c r="QK113" s="978"/>
      <c r="QL113" s="978"/>
      <c r="QM113" s="978"/>
      <c r="QN113" s="978"/>
      <c r="QO113" s="978"/>
      <c r="QP113" s="978"/>
      <c r="QQ113" s="978"/>
      <c r="QR113" s="978"/>
      <c r="QS113" s="978"/>
      <c r="QT113" s="978"/>
      <c r="QU113" s="978"/>
      <c r="QV113" s="978"/>
      <c r="QW113" s="978"/>
      <c r="QX113" s="978"/>
      <c r="QY113" s="978"/>
      <c r="QZ113" s="978"/>
      <c r="RA113" s="978"/>
      <c r="RB113" s="274"/>
      <c r="RC113" s="274"/>
    </row>
    <row r="114" spans="2:471" ht="17.25">
      <c r="C114" s="2"/>
      <c r="D114" s="2"/>
      <c r="E114" s="2"/>
      <c r="F114" s="2"/>
      <c r="G114" s="2"/>
      <c r="H114" s="20">
        <f>MOD(H113,4)</f>
        <v>0</v>
      </c>
      <c r="I114" s="2"/>
      <c r="J114" s="2"/>
      <c r="K114" s="2"/>
      <c r="L114" s="2">
        <v>31</v>
      </c>
      <c r="M114" s="2">
        <v>28</v>
      </c>
      <c r="N114" s="2">
        <v>31</v>
      </c>
      <c r="O114" s="2">
        <v>30</v>
      </c>
      <c r="P114" s="2">
        <v>31</v>
      </c>
      <c r="Q114" s="2">
        <v>30</v>
      </c>
      <c r="R114" s="2">
        <v>31</v>
      </c>
      <c r="S114" s="2">
        <v>31</v>
      </c>
      <c r="T114" s="2">
        <v>30</v>
      </c>
      <c r="U114" s="2">
        <v>31</v>
      </c>
      <c r="V114" s="2">
        <v>30</v>
      </c>
      <c r="W114" s="2">
        <v>31</v>
      </c>
      <c r="DH114" s="274"/>
      <c r="DI114" s="274"/>
      <c r="DJ114" s="978"/>
      <c r="DK114" s="978"/>
      <c r="DL114" s="978"/>
      <c r="DM114" s="978"/>
      <c r="DN114" s="978"/>
      <c r="DO114" s="978"/>
      <c r="DP114" s="978"/>
      <c r="DQ114" s="978"/>
      <c r="DR114" s="978"/>
      <c r="DS114" s="978"/>
      <c r="DT114" s="978"/>
      <c r="DU114" s="978"/>
      <c r="DV114" s="978"/>
      <c r="DW114" s="978"/>
      <c r="DX114" s="978"/>
      <c r="DY114" s="978"/>
      <c r="DZ114" s="978"/>
      <c r="EA114" s="978"/>
      <c r="EB114" s="978"/>
      <c r="EC114" s="978"/>
      <c r="ED114" s="978"/>
      <c r="EE114" s="978"/>
      <c r="EF114" s="978"/>
      <c r="EG114" s="978"/>
      <c r="EH114" s="978"/>
      <c r="EI114" s="978"/>
      <c r="EJ114" s="978"/>
      <c r="EK114" s="978"/>
      <c r="EL114" s="978"/>
      <c r="EM114" s="978"/>
      <c r="EN114" s="978"/>
      <c r="EO114" s="978"/>
      <c r="EP114" s="978"/>
      <c r="EQ114" s="978"/>
      <c r="ER114" s="978"/>
      <c r="ES114" s="978"/>
      <c r="ET114" s="978"/>
      <c r="EU114" s="978"/>
      <c r="EV114" s="978"/>
      <c r="EW114" s="978"/>
      <c r="EX114" s="978"/>
      <c r="EY114" s="978"/>
      <c r="EZ114" s="978"/>
      <c r="FA114" s="978"/>
      <c r="FB114" s="978"/>
      <c r="FC114" s="978"/>
      <c r="FD114" s="978"/>
      <c r="FE114" s="978"/>
      <c r="FF114" s="978"/>
      <c r="FG114" s="978"/>
      <c r="FH114" s="978"/>
      <c r="FI114" s="978"/>
      <c r="FJ114" s="978"/>
      <c r="FK114" s="978"/>
      <c r="FL114" s="978"/>
      <c r="FM114" s="978"/>
      <c r="FN114" s="978"/>
      <c r="FO114" s="978"/>
      <c r="FP114" s="978"/>
      <c r="FQ114" s="978"/>
      <c r="FR114" s="978"/>
      <c r="FS114" s="978"/>
      <c r="FT114" s="978"/>
      <c r="FU114" s="978"/>
      <c r="FV114" s="978"/>
      <c r="FW114" s="978"/>
      <c r="FX114" s="978"/>
      <c r="FY114" s="978"/>
      <c r="FZ114" s="978"/>
      <c r="GA114" s="978"/>
      <c r="GB114" s="978"/>
      <c r="GC114" s="978"/>
      <c r="GD114" s="978"/>
      <c r="GE114" s="978"/>
      <c r="GF114" s="978"/>
      <c r="GG114" s="978"/>
      <c r="GH114" s="978"/>
      <c r="GI114" s="978"/>
      <c r="GJ114" s="978"/>
      <c r="GK114" s="978"/>
      <c r="GL114" s="978"/>
      <c r="GM114" s="978"/>
      <c r="GN114" s="978"/>
      <c r="GO114" s="978"/>
      <c r="GP114" s="978"/>
      <c r="GQ114" s="978"/>
      <c r="GR114" s="978"/>
      <c r="GS114" s="978"/>
      <c r="GT114" s="978"/>
      <c r="GU114" s="978"/>
      <c r="GV114" s="978"/>
      <c r="GW114" s="978"/>
      <c r="GX114" s="978"/>
      <c r="GY114" s="978"/>
      <c r="GZ114" s="978"/>
      <c r="HA114" s="978"/>
      <c r="HB114" s="978"/>
      <c r="HC114" s="978"/>
      <c r="HD114" s="978"/>
      <c r="HE114" s="978"/>
      <c r="HF114" s="978"/>
      <c r="HG114" s="978"/>
      <c r="HH114" s="978"/>
      <c r="HI114" s="978"/>
      <c r="HJ114" s="978"/>
      <c r="HK114" s="978"/>
      <c r="HL114" s="978"/>
      <c r="HM114" s="978"/>
      <c r="HN114" s="978"/>
      <c r="HO114" s="978"/>
      <c r="HP114" s="978"/>
      <c r="HQ114" s="978"/>
      <c r="HR114" s="978"/>
      <c r="HS114" s="978"/>
      <c r="HT114" s="978"/>
      <c r="HU114" s="978"/>
      <c r="HV114" s="978"/>
      <c r="HW114" s="978"/>
      <c r="HX114" s="978"/>
      <c r="HY114" s="978"/>
      <c r="HZ114" s="978"/>
      <c r="IA114" s="978"/>
      <c r="IB114" s="978"/>
      <c r="IC114" s="978"/>
      <c r="ID114" s="978"/>
      <c r="IE114" s="978"/>
      <c r="IF114" s="978"/>
      <c r="IG114" s="978"/>
      <c r="IH114" s="978"/>
      <c r="II114" s="978"/>
      <c r="IJ114" s="978"/>
      <c r="IK114" s="978"/>
      <c r="IL114" s="978"/>
      <c r="IM114" s="978"/>
      <c r="IN114" s="978"/>
      <c r="IO114" s="978"/>
      <c r="IP114" s="978"/>
      <c r="IQ114" s="978"/>
      <c r="IR114" s="978"/>
      <c r="IS114" s="978"/>
      <c r="IT114" s="978"/>
      <c r="IU114" s="978"/>
      <c r="IV114" s="978"/>
      <c r="IW114" s="978"/>
      <c r="IX114" s="978"/>
      <c r="IY114" s="978"/>
      <c r="IZ114" s="978"/>
      <c r="JA114" s="978"/>
      <c r="JB114" s="978"/>
      <c r="JC114" s="978"/>
      <c r="JD114" s="978"/>
      <c r="JE114" s="978"/>
      <c r="JF114" s="978"/>
      <c r="JG114" s="978"/>
      <c r="JH114" s="978"/>
      <c r="JI114" s="978"/>
      <c r="JJ114" s="978"/>
      <c r="JK114" s="978"/>
      <c r="JL114" s="978"/>
      <c r="JM114" s="978"/>
      <c r="JN114" s="978"/>
      <c r="JO114" s="978"/>
      <c r="JP114" s="978"/>
      <c r="JQ114" s="978"/>
      <c r="JR114" s="978"/>
      <c r="JS114" s="978"/>
      <c r="JT114" s="978"/>
      <c r="JU114" s="978"/>
      <c r="JV114" s="978"/>
      <c r="JW114" s="978"/>
      <c r="JX114" s="978"/>
      <c r="JY114" s="978"/>
      <c r="JZ114" s="978"/>
      <c r="KA114" s="978"/>
      <c r="KB114" s="978"/>
      <c r="KC114" s="978"/>
      <c r="KD114" s="978"/>
      <c r="KE114" s="978"/>
      <c r="KF114" s="978"/>
      <c r="KG114" s="978"/>
      <c r="KH114" s="978"/>
      <c r="KI114" s="978"/>
      <c r="KJ114" s="978"/>
      <c r="KK114" s="978"/>
      <c r="KL114" s="978"/>
      <c r="KM114" s="978"/>
      <c r="KN114" s="978"/>
      <c r="KO114" s="978"/>
      <c r="KP114" s="978"/>
      <c r="KQ114" s="978"/>
      <c r="KR114" s="978"/>
      <c r="KS114" s="978"/>
      <c r="KT114" s="978"/>
      <c r="KU114" s="978"/>
      <c r="KV114" s="978"/>
      <c r="KW114" s="978"/>
      <c r="KX114" s="978"/>
      <c r="KY114" s="978"/>
      <c r="KZ114" s="978"/>
      <c r="LA114" s="978"/>
      <c r="LB114" s="978"/>
      <c r="LC114" s="978"/>
      <c r="LD114" s="978"/>
      <c r="LE114" s="978"/>
      <c r="LF114" s="978"/>
      <c r="LG114" s="978"/>
      <c r="LH114" s="978"/>
      <c r="LI114" s="978"/>
      <c r="LJ114" s="978"/>
      <c r="LK114" s="978"/>
      <c r="LL114" s="978"/>
      <c r="LM114" s="978"/>
      <c r="LN114" s="978"/>
      <c r="LO114" s="978"/>
      <c r="LP114" s="978"/>
      <c r="LQ114" s="978"/>
      <c r="LR114" s="978"/>
      <c r="LS114" s="978"/>
      <c r="LT114" s="978"/>
      <c r="LU114" s="978"/>
      <c r="LV114" s="978"/>
      <c r="LW114" s="978"/>
      <c r="LX114" s="978"/>
      <c r="LY114" s="978"/>
      <c r="LZ114" s="978"/>
      <c r="MA114" s="978"/>
      <c r="MB114" s="978"/>
      <c r="MC114" s="978"/>
      <c r="MD114" s="978"/>
      <c r="ME114" s="978"/>
      <c r="MF114" s="978"/>
      <c r="MG114" s="978"/>
      <c r="MH114" s="978"/>
      <c r="MI114" s="978"/>
      <c r="MJ114" s="978"/>
      <c r="MK114" s="978"/>
      <c r="ML114" s="978"/>
      <c r="MM114" s="978"/>
      <c r="MN114" s="978"/>
      <c r="MO114" s="978"/>
      <c r="MP114" s="978"/>
      <c r="MQ114" s="978"/>
      <c r="MR114" s="978"/>
      <c r="MS114" s="978"/>
      <c r="MT114" s="978"/>
      <c r="MU114" s="978"/>
      <c r="MV114" s="978"/>
      <c r="MW114" s="978"/>
      <c r="MX114" s="978"/>
      <c r="MY114" s="978"/>
      <c r="MZ114" s="978"/>
      <c r="NA114" s="978"/>
      <c r="NB114" s="978"/>
      <c r="NC114" s="978"/>
      <c r="ND114" s="978"/>
      <c r="NE114" s="978"/>
      <c r="NF114" s="978"/>
      <c r="NG114" s="978"/>
      <c r="NH114" s="978"/>
      <c r="NI114" s="978"/>
      <c r="NJ114" s="978"/>
      <c r="NK114" s="978"/>
      <c r="NL114" s="978"/>
      <c r="NM114" s="978"/>
      <c r="NN114" s="978"/>
      <c r="NO114" s="978"/>
      <c r="NP114" s="978"/>
      <c r="NQ114" s="978"/>
      <c r="NR114" s="978"/>
      <c r="NS114" s="978"/>
      <c r="NT114" s="978"/>
      <c r="NU114" s="978"/>
      <c r="NV114" s="978"/>
      <c r="NW114" s="978"/>
      <c r="NX114" s="978"/>
      <c r="NY114" s="978"/>
      <c r="NZ114" s="978"/>
      <c r="OA114" s="978"/>
      <c r="OB114" s="978"/>
      <c r="OC114" s="978"/>
      <c r="OD114" s="978"/>
      <c r="OE114" s="978"/>
      <c r="OF114" s="978"/>
      <c r="OG114" s="978"/>
      <c r="OH114" s="978"/>
      <c r="OI114" s="978"/>
      <c r="OJ114" s="978"/>
      <c r="OK114" s="978"/>
      <c r="OL114" s="978"/>
      <c r="OM114" s="978"/>
      <c r="ON114" s="978"/>
      <c r="OO114" s="978"/>
      <c r="OP114" s="978"/>
      <c r="OQ114" s="978"/>
      <c r="OR114" s="978"/>
      <c r="OS114" s="978"/>
      <c r="OT114" s="978"/>
      <c r="OU114" s="978"/>
      <c r="OV114" s="978"/>
      <c r="OW114" s="978"/>
      <c r="OX114" s="978"/>
      <c r="OY114" s="978"/>
      <c r="OZ114" s="978"/>
      <c r="PA114" s="978"/>
      <c r="PB114" s="978"/>
      <c r="PC114" s="978"/>
      <c r="PD114" s="978"/>
      <c r="PE114" s="978"/>
      <c r="PF114" s="978"/>
      <c r="PG114" s="978"/>
      <c r="PH114" s="978"/>
      <c r="PI114" s="978"/>
      <c r="PJ114" s="978"/>
      <c r="PK114" s="978"/>
      <c r="PL114" s="978"/>
      <c r="PM114" s="978"/>
      <c r="PN114" s="978"/>
      <c r="PO114" s="978"/>
      <c r="PP114" s="978"/>
      <c r="PQ114" s="978"/>
      <c r="PR114" s="978"/>
      <c r="PS114" s="978"/>
      <c r="PT114" s="978"/>
      <c r="PU114" s="978"/>
      <c r="PV114" s="978"/>
      <c r="PW114" s="978"/>
      <c r="PX114" s="978"/>
      <c r="PY114" s="978"/>
      <c r="PZ114" s="978"/>
      <c r="QA114" s="978"/>
      <c r="QB114" s="978"/>
      <c r="QC114" s="978"/>
      <c r="QD114" s="978"/>
      <c r="QE114" s="978"/>
      <c r="QF114" s="978"/>
      <c r="QG114" s="978"/>
      <c r="QH114" s="978"/>
      <c r="QI114" s="978"/>
      <c r="QJ114" s="978"/>
      <c r="QK114" s="978"/>
      <c r="QL114" s="978"/>
      <c r="QM114" s="978"/>
      <c r="QN114" s="978"/>
      <c r="QO114" s="978"/>
      <c r="QP114" s="978"/>
      <c r="QQ114" s="978"/>
      <c r="QR114" s="978"/>
      <c r="QS114" s="978"/>
      <c r="QT114" s="978"/>
      <c r="QU114" s="978"/>
      <c r="QV114" s="978"/>
      <c r="QW114" s="978"/>
      <c r="QX114" s="978"/>
      <c r="QY114" s="978"/>
      <c r="QZ114" s="978"/>
      <c r="RA114" s="978"/>
      <c r="RB114" s="274"/>
      <c r="RC114" s="274"/>
    </row>
    <row r="115" spans="2:471" ht="17.25">
      <c r="B115">
        <v>10</v>
      </c>
      <c r="C115" s="24" t="s">
        <v>113</v>
      </c>
      <c r="D115" s="24">
        <v>365</v>
      </c>
      <c r="E115" s="24">
        <f>INT(MOD(I115,D115))+1</f>
        <v>213</v>
      </c>
      <c r="F115" s="24">
        <f>MOD(E115,30)</f>
        <v>3</v>
      </c>
      <c r="G115" s="24">
        <f>INT(E115/30)+1</f>
        <v>8</v>
      </c>
      <c r="H115" s="24">
        <f>INT(I115/D115)+1</f>
        <v>1241</v>
      </c>
      <c r="I115" s="24">
        <f>I99-J115</f>
        <v>452812</v>
      </c>
      <c r="J115" s="24">
        <v>3624</v>
      </c>
      <c r="K115" s="24" t="s">
        <v>96</v>
      </c>
      <c r="L115" s="24" t="s">
        <v>19</v>
      </c>
      <c r="M115" s="24" t="s">
        <v>20</v>
      </c>
      <c r="N115" s="24" t="s">
        <v>88</v>
      </c>
      <c r="O115" s="24" t="s">
        <v>21</v>
      </c>
      <c r="P115" s="24" t="s">
        <v>89</v>
      </c>
      <c r="Q115" s="24" t="s">
        <v>24</v>
      </c>
      <c r="R115" s="24" t="s">
        <v>25</v>
      </c>
      <c r="S115" s="24" t="s">
        <v>90</v>
      </c>
      <c r="T115" s="24" t="s">
        <v>31</v>
      </c>
      <c r="U115" s="24" t="s">
        <v>27</v>
      </c>
      <c r="V115" s="24" t="s">
        <v>28</v>
      </c>
      <c r="W115" s="24" t="s">
        <v>29</v>
      </c>
      <c r="X115" s="24" t="s">
        <v>91</v>
      </c>
      <c r="DH115" s="274"/>
      <c r="DI115" s="274"/>
      <c r="DJ115" s="978"/>
      <c r="DK115" s="978"/>
      <c r="DL115" s="978"/>
      <c r="DM115" s="978"/>
      <c r="DN115" s="978"/>
      <c r="DO115" s="978"/>
      <c r="DP115" s="978"/>
      <c r="DQ115" s="978"/>
      <c r="DR115" s="978"/>
      <c r="DS115" s="978"/>
      <c r="DT115" s="978"/>
      <c r="DU115" s="978"/>
      <c r="DV115" s="978"/>
      <c r="DW115" s="978"/>
      <c r="DX115" s="978"/>
      <c r="DY115" s="978"/>
      <c r="DZ115" s="978"/>
      <c r="EA115" s="978"/>
      <c r="EB115" s="978"/>
      <c r="EC115" s="978"/>
      <c r="ED115" s="978"/>
      <c r="EE115" s="978"/>
      <c r="EF115" s="978"/>
      <c r="EG115" s="978"/>
      <c r="EH115" s="978"/>
      <c r="EI115" s="978"/>
      <c r="EJ115" s="978"/>
      <c r="EK115" s="978"/>
      <c r="EL115" s="978"/>
      <c r="EM115" s="978"/>
      <c r="EN115" s="978"/>
      <c r="EO115" s="978"/>
      <c r="EP115" s="978"/>
      <c r="EQ115" s="978"/>
      <c r="ER115" s="978"/>
      <c r="ES115" s="978"/>
      <c r="ET115" s="978"/>
      <c r="EU115" s="978"/>
      <c r="EV115" s="978"/>
      <c r="EW115" s="978"/>
      <c r="EX115" s="978"/>
      <c r="EY115" s="978"/>
      <c r="EZ115" s="978"/>
      <c r="FA115" s="978"/>
      <c r="FB115" s="978"/>
      <c r="FC115" s="978"/>
      <c r="FD115" s="978"/>
      <c r="FE115" s="978"/>
      <c r="FF115" s="978"/>
      <c r="FG115" s="978"/>
      <c r="FH115" s="978"/>
      <c r="FI115" s="978"/>
      <c r="FJ115" s="978"/>
      <c r="FK115" s="978"/>
      <c r="FL115" s="978"/>
      <c r="FM115" s="978"/>
      <c r="FN115" s="978"/>
      <c r="FO115" s="978"/>
      <c r="FP115" s="978"/>
      <c r="FQ115" s="978"/>
      <c r="FR115" s="978"/>
      <c r="FS115" s="978"/>
      <c r="FT115" s="978"/>
      <c r="FU115" s="978"/>
      <c r="FV115" s="978"/>
      <c r="FW115" s="978"/>
      <c r="FX115" s="978"/>
      <c r="FY115" s="978"/>
      <c r="FZ115" s="978"/>
      <c r="GA115" s="978"/>
      <c r="GB115" s="978"/>
      <c r="GC115" s="978"/>
      <c r="GD115" s="978"/>
      <c r="GE115" s="978"/>
      <c r="GF115" s="978"/>
      <c r="GG115" s="978"/>
      <c r="GH115" s="978"/>
      <c r="GI115" s="978"/>
      <c r="GJ115" s="978"/>
      <c r="GK115" s="978"/>
      <c r="GL115" s="978"/>
      <c r="GM115" s="978"/>
      <c r="GN115" s="978"/>
      <c r="GO115" s="978"/>
      <c r="GP115" s="978"/>
      <c r="GQ115" s="978"/>
      <c r="GR115" s="978"/>
      <c r="GS115" s="978"/>
      <c r="GT115" s="978"/>
      <c r="GU115" s="978"/>
      <c r="GV115" s="978"/>
      <c r="GW115" s="978"/>
      <c r="GX115" s="978"/>
      <c r="GY115" s="978"/>
      <c r="GZ115" s="978"/>
      <c r="HA115" s="978"/>
      <c r="HB115" s="978"/>
      <c r="HC115" s="978"/>
      <c r="HD115" s="978"/>
      <c r="HE115" s="978"/>
      <c r="HF115" s="978"/>
      <c r="HG115" s="978"/>
      <c r="HH115" s="978"/>
      <c r="HI115" s="978"/>
      <c r="HJ115" s="978"/>
      <c r="HK115" s="978"/>
      <c r="HL115" s="978"/>
      <c r="HM115" s="978"/>
      <c r="HN115" s="978"/>
      <c r="HO115" s="978"/>
      <c r="HP115" s="978"/>
      <c r="HQ115" s="978"/>
      <c r="HR115" s="978"/>
      <c r="HS115" s="978"/>
      <c r="HT115" s="978"/>
      <c r="HU115" s="978"/>
      <c r="HV115" s="978"/>
      <c r="HW115" s="978"/>
      <c r="HX115" s="978"/>
      <c r="HY115" s="978"/>
      <c r="HZ115" s="978"/>
      <c r="IA115" s="978"/>
      <c r="IB115" s="978"/>
      <c r="IC115" s="978"/>
      <c r="ID115" s="978"/>
      <c r="IE115" s="978"/>
      <c r="IF115" s="978"/>
      <c r="IG115" s="978"/>
      <c r="IH115" s="978"/>
      <c r="II115" s="978"/>
      <c r="IJ115" s="978"/>
      <c r="IK115" s="978"/>
      <c r="IL115" s="978"/>
      <c r="IM115" s="978"/>
      <c r="IN115" s="978"/>
      <c r="IO115" s="978"/>
      <c r="IP115" s="978"/>
      <c r="IQ115" s="978"/>
      <c r="IR115" s="978"/>
      <c r="IS115" s="978"/>
      <c r="IT115" s="978"/>
      <c r="IU115" s="978"/>
      <c r="IV115" s="978"/>
      <c r="IW115" s="978"/>
      <c r="IX115" s="978"/>
      <c r="IY115" s="978"/>
      <c r="IZ115" s="978"/>
      <c r="JA115" s="978"/>
      <c r="JB115" s="978"/>
      <c r="JC115" s="978"/>
      <c r="JD115" s="978"/>
      <c r="JE115" s="978"/>
      <c r="JF115" s="978"/>
      <c r="JG115" s="978"/>
      <c r="JH115" s="978"/>
      <c r="JI115" s="978"/>
      <c r="JJ115" s="978"/>
      <c r="JK115" s="978"/>
      <c r="JL115" s="978"/>
      <c r="JM115" s="978"/>
      <c r="JN115" s="978"/>
      <c r="JO115" s="978"/>
      <c r="JP115" s="978"/>
      <c r="JQ115" s="978"/>
      <c r="JR115" s="978"/>
      <c r="JS115" s="978"/>
      <c r="JT115" s="978"/>
      <c r="JU115" s="978"/>
      <c r="JV115" s="978"/>
      <c r="JW115" s="978"/>
      <c r="JX115" s="978"/>
      <c r="JY115" s="978"/>
      <c r="JZ115" s="978"/>
      <c r="KA115" s="978"/>
      <c r="KB115" s="978"/>
      <c r="KC115" s="978"/>
      <c r="KD115" s="978"/>
      <c r="KE115" s="978"/>
      <c r="KF115" s="978"/>
      <c r="KG115" s="978"/>
      <c r="KH115" s="978"/>
      <c r="KI115" s="978"/>
      <c r="KJ115" s="978"/>
      <c r="KK115" s="978"/>
      <c r="KL115" s="978"/>
      <c r="KM115" s="978"/>
      <c r="KN115" s="978"/>
      <c r="KO115" s="978"/>
      <c r="KP115" s="978"/>
      <c r="KQ115" s="978"/>
      <c r="KR115" s="978"/>
      <c r="KS115" s="978"/>
      <c r="KT115" s="978"/>
      <c r="KU115" s="978"/>
      <c r="KV115" s="978"/>
      <c r="KW115" s="978"/>
      <c r="KX115" s="978"/>
      <c r="KY115" s="978"/>
      <c r="KZ115" s="978"/>
      <c r="LA115" s="978"/>
      <c r="LB115" s="978"/>
      <c r="LC115" s="978"/>
      <c r="LD115" s="978"/>
      <c r="LE115" s="978"/>
      <c r="LF115" s="978"/>
      <c r="LG115" s="978"/>
      <c r="LH115" s="978"/>
      <c r="LI115" s="978"/>
      <c r="LJ115" s="978"/>
      <c r="LK115" s="978"/>
      <c r="LL115" s="978"/>
      <c r="LM115" s="978"/>
      <c r="LN115" s="978"/>
      <c r="LO115" s="978"/>
      <c r="LP115" s="978"/>
      <c r="LQ115" s="978"/>
      <c r="LR115" s="978"/>
      <c r="LS115" s="978"/>
      <c r="LT115" s="978"/>
      <c r="LU115" s="978"/>
      <c r="LV115" s="978"/>
      <c r="LW115" s="978"/>
      <c r="LX115" s="978"/>
      <c r="LY115" s="978"/>
      <c r="LZ115" s="978"/>
      <c r="MA115" s="978"/>
      <c r="MB115" s="978"/>
      <c r="MC115" s="978"/>
      <c r="MD115" s="978"/>
      <c r="ME115" s="978"/>
      <c r="MF115" s="978"/>
      <c r="MG115" s="978"/>
      <c r="MH115" s="978"/>
      <c r="MI115" s="978"/>
      <c r="MJ115" s="978"/>
      <c r="MK115" s="978"/>
      <c r="ML115" s="978"/>
      <c r="MM115" s="978"/>
      <c r="MN115" s="978"/>
      <c r="MO115" s="978"/>
      <c r="MP115" s="978"/>
      <c r="MQ115" s="978"/>
      <c r="MR115" s="978"/>
      <c r="MS115" s="978"/>
      <c r="MT115" s="978"/>
      <c r="MU115" s="978"/>
      <c r="MV115" s="978"/>
      <c r="MW115" s="978"/>
      <c r="MX115" s="978"/>
      <c r="MY115" s="978"/>
      <c r="MZ115" s="978"/>
      <c r="NA115" s="978"/>
      <c r="NB115" s="978"/>
      <c r="NC115" s="978"/>
      <c r="ND115" s="978"/>
      <c r="NE115" s="978"/>
      <c r="NF115" s="978"/>
      <c r="NG115" s="978"/>
      <c r="NH115" s="978"/>
      <c r="NI115" s="978"/>
      <c r="NJ115" s="978"/>
      <c r="NK115" s="978"/>
      <c r="NL115" s="978"/>
      <c r="NM115" s="978"/>
      <c r="NN115" s="978"/>
      <c r="NO115" s="978"/>
      <c r="NP115" s="978"/>
      <c r="NQ115" s="978"/>
      <c r="NR115" s="978"/>
      <c r="NS115" s="978"/>
      <c r="NT115" s="978"/>
      <c r="NU115" s="978"/>
      <c r="NV115" s="978"/>
      <c r="NW115" s="978"/>
      <c r="NX115" s="978"/>
      <c r="NY115" s="978"/>
      <c r="NZ115" s="978"/>
      <c r="OA115" s="978"/>
      <c r="OB115" s="978"/>
      <c r="OC115" s="978"/>
      <c r="OD115" s="978"/>
      <c r="OE115" s="978"/>
      <c r="OF115" s="978"/>
      <c r="OG115" s="978"/>
      <c r="OH115" s="978"/>
      <c r="OI115" s="978"/>
      <c r="OJ115" s="978"/>
      <c r="OK115" s="978"/>
      <c r="OL115" s="978"/>
      <c r="OM115" s="978"/>
      <c r="ON115" s="978"/>
      <c r="OO115" s="978"/>
      <c r="OP115" s="978"/>
      <c r="OQ115" s="978"/>
      <c r="OR115" s="978"/>
      <c r="OS115" s="978"/>
      <c r="OT115" s="978"/>
      <c r="OU115" s="978"/>
      <c r="OV115" s="978"/>
      <c r="OW115" s="978"/>
      <c r="OX115" s="978"/>
      <c r="OY115" s="978"/>
      <c r="OZ115" s="978"/>
      <c r="PA115" s="978"/>
      <c r="PB115" s="978"/>
      <c r="PC115" s="978"/>
      <c r="PD115" s="978"/>
      <c r="PE115" s="978"/>
      <c r="PF115" s="978"/>
      <c r="PG115" s="978"/>
      <c r="PH115" s="978"/>
      <c r="PI115" s="978"/>
      <c r="PJ115" s="978"/>
      <c r="PK115" s="978"/>
      <c r="PL115" s="978"/>
      <c r="PM115" s="978"/>
      <c r="PN115" s="978"/>
      <c r="PO115" s="978"/>
      <c r="PP115" s="978"/>
      <c r="PQ115" s="978"/>
      <c r="PR115" s="978"/>
      <c r="PS115" s="978"/>
      <c r="PT115" s="978"/>
      <c r="PU115" s="978"/>
      <c r="PV115" s="978"/>
      <c r="PW115" s="978"/>
      <c r="PX115" s="978"/>
      <c r="PY115" s="978"/>
      <c r="PZ115" s="978"/>
      <c r="QA115" s="978"/>
      <c r="QB115" s="978"/>
      <c r="QC115" s="978"/>
      <c r="QD115" s="978"/>
      <c r="QE115" s="978"/>
      <c r="QF115" s="978"/>
      <c r="QG115" s="978"/>
      <c r="QH115" s="978"/>
      <c r="QI115" s="978"/>
      <c r="QJ115" s="978"/>
      <c r="QK115" s="978"/>
      <c r="QL115" s="978"/>
      <c r="QM115" s="978"/>
      <c r="QN115" s="978"/>
      <c r="QO115" s="978"/>
      <c r="QP115" s="978"/>
      <c r="QQ115" s="978"/>
      <c r="QR115" s="978"/>
      <c r="QS115" s="978"/>
      <c r="QT115" s="978"/>
      <c r="QU115" s="978"/>
      <c r="QV115" s="978"/>
      <c r="QW115" s="978"/>
      <c r="QX115" s="978"/>
      <c r="QY115" s="978"/>
      <c r="QZ115" s="978"/>
      <c r="RA115" s="978"/>
      <c r="RB115" s="274"/>
      <c r="RC115" s="274"/>
    </row>
    <row r="116" spans="2:471" ht="17.25">
      <c r="C116" s="24"/>
      <c r="D116" s="24"/>
      <c r="E116" s="24"/>
      <c r="F116" s="24"/>
      <c r="G116" s="24" t="str">
        <f>IF(G115=1,L115,IF(G115=2,M115,IF(G115=3,N115,IF(G115=4,O115,IF(G115=5,P115,IF(G115=6,Q115,IF(G115=7,R115,IF(G115=8,S115,IF(G115=9,T115,IF(G115=10,U115,IF(G115=11,V115,IF(G115=12,W115,X115))))))))))))</f>
        <v>آبان</v>
      </c>
      <c r="H116" s="24"/>
      <c r="I116" s="24"/>
      <c r="J116" s="24"/>
      <c r="K116" s="24"/>
      <c r="L116" s="24">
        <v>30</v>
      </c>
      <c r="M116" s="24">
        <v>30</v>
      </c>
      <c r="N116" s="24">
        <v>30</v>
      </c>
      <c r="O116" s="24">
        <v>30</v>
      </c>
      <c r="P116" s="24">
        <v>30</v>
      </c>
      <c r="Q116" s="24">
        <v>30</v>
      </c>
      <c r="R116" s="24">
        <v>30</v>
      </c>
      <c r="S116" s="24">
        <v>30</v>
      </c>
      <c r="T116" s="24">
        <v>5</v>
      </c>
      <c r="U116" s="24">
        <v>30</v>
      </c>
      <c r="V116" s="24">
        <v>30</v>
      </c>
      <c r="W116" s="24">
        <v>30</v>
      </c>
      <c r="X116" s="24">
        <v>30</v>
      </c>
      <c r="DH116" s="274"/>
      <c r="DI116" s="274"/>
      <c r="DJ116" s="978"/>
      <c r="DK116" s="978"/>
      <c r="DL116" s="978"/>
      <c r="DM116" s="978"/>
      <c r="DN116" s="978"/>
      <c r="DO116" s="978"/>
      <c r="DP116" s="978"/>
      <c r="DQ116" s="978"/>
      <c r="DR116" s="978"/>
      <c r="DS116" s="978"/>
      <c r="DT116" s="978"/>
      <c r="DU116" s="978"/>
      <c r="DV116" s="978"/>
      <c r="DW116" s="978"/>
      <c r="DX116" s="978"/>
      <c r="DY116" s="978"/>
      <c r="DZ116" s="978"/>
      <c r="EA116" s="978"/>
      <c r="EB116" s="978"/>
      <c r="EC116" s="978"/>
      <c r="ED116" s="978"/>
      <c r="EE116" s="978"/>
      <c r="EF116" s="978"/>
      <c r="EG116" s="978"/>
      <c r="EH116" s="978"/>
      <c r="EI116" s="978"/>
      <c r="EJ116" s="978"/>
      <c r="EK116" s="978"/>
      <c r="EL116" s="978"/>
      <c r="EM116" s="978"/>
      <c r="EN116" s="978"/>
      <c r="EO116" s="978"/>
      <c r="EP116" s="978"/>
      <c r="EQ116" s="978"/>
      <c r="ER116" s="978"/>
      <c r="ES116" s="978"/>
      <c r="ET116" s="978"/>
      <c r="EU116" s="978"/>
      <c r="EV116" s="978"/>
      <c r="EW116" s="978"/>
      <c r="EX116" s="978"/>
      <c r="EY116" s="978"/>
      <c r="EZ116" s="978"/>
      <c r="FA116" s="978"/>
      <c r="FB116" s="978"/>
      <c r="FC116" s="978"/>
      <c r="FD116" s="978"/>
      <c r="FE116" s="978"/>
      <c r="FF116" s="978"/>
      <c r="FG116" s="978"/>
      <c r="FH116" s="978"/>
      <c r="FI116" s="978"/>
      <c r="FJ116" s="978"/>
      <c r="FK116" s="978"/>
      <c r="FL116" s="978"/>
      <c r="FM116" s="978"/>
      <c r="FN116" s="978"/>
      <c r="FO116" s="978"/>
      <c r="FP116" s="978"/>
      <c r="FQ116" s="978"/>
      <c r="FR116" s="978"/>
      <c r="FS116" s="978"/>
      <c r="FT116" s="978"/>
      <c r="FU116" s="978"/>
      <c r="FV116" s="978"/>
      <c r="FW116" s="978"/>
      <c r="FX116" s="978"/>
      <c r="FY116" s="978"/>
      <c r="FZ116" s="978"/>
      <c r="GA116" s="978"/>
      <c r="GB116" s="978"/>
      <c r="GC116" s="978"/>
      <c r="GD116" s="978"/>
      <c r="GE116" s="978"/>
      <c r="GF116" s="978"/>
      <c r="GG116" s="978"/>
      <c r="GH116" s="978"/>
      <c r="GI116" s="978"/>
      <c r="GJ116" s="978"/>
      <c r="GK116" s="978"/>
      <c r="GL116" s="978"/>
      <c r="GM116" s="978"/>
      <c r="GN116" s="978"/>
      <c r="GO116" s="978"/>
      <c r="GP116" s="978"/>
      <c r="GQ116" s="978"/>
      <c r="GR116" s="978"/>
      <c r="GS116" s="978"/>
      <c r="GT116" s="978"/>
      <c r="GU116" s="978"/>
      <c r="GV116" s="978"/>
      <c r="GW116" s="978"/>
      <c r="GX116" s="978"/>
      <c r="GY116" s="978"/>
      <c r="GZ116" s="978"/>
      <c r="HA116" s="978"/>
      <c r="HB116" s="978"/>
      <c r="HC116" s="978"/>
      <c r="HD116" s="978"/>
      <c r="HE116" s="978"/>
      <c r="HF116" s="978"/>
      <c r="HG116" s="978"/>
      <c r="HH116" s="978"/>
      <c r="HI116" s="978"/>
      <c r="HJ116" s="978"/>
      <c r="HK116" s="978"/>
      <c r="HL116" s="978"/>
      <c r="HM116" s="978"/>
      <c r="HN116" s="978"/>
      <c r="HO116" s="978"/>
      <c r="HP116" s="978"/>
      <c r="HQ116" s="978"/>
      <c r="HR116" s="978"/>
      <c r="HS116" s="978"/>
      <c r="HT116" s="978"/>
      <c r="HU116" s="978"/>
      <c r="HV116" s="978"/>
      <c r="HW116" s="978"/>
      <c r="HX116" s="978"/>
      <c r="HY116" s="978"/>
      <c r="HZ116" s="978"/>
      <c r="IA116" s="978"/>
      <c r="IB116" s="978"/>
      <c r="IC116" s="978"/>
      <c r="ID116" s="978"/>
      <c r="IE116" s="978"/>
      <c r="IF116" s="978"/>
      <c r="IG116" s="978"/>
      <c r="IH116" s="978"/>
      <c r="II116" s="978"/>
      <c r="IJ116" s="978"/>
      <c r="IK116" s="978"/>
      <c r="IL116" s="978"/>
      <c r="IM116" s="978"/>
      <c r="IN116" s="978"/>
      <c r="IO116" s="978"/>
      <c r="IP116" s="978"/>
      <c r="IQ116" s="978"/>
      <c r="IR116" s="978"/>
      <c r="IS116" s="978"/>
      <c r="IT116" s="978"/>
      <c r="IU116" s="978"/>
      <c r="IV116" s="978"/>
      <c r="IW116" s="978"/>
      <c r="IX116" s="978"/>
      <c r="IY116" s="978"/>
      <c r="IZ116" s="978"/>
      <c r="JA116" s="978"/>
      <c r="JB116" s="978"/>
      <c r="JC116" s="978"/>
      <c r="JD116" s="978"/>
      <c r="JE116" s="978"/>
      <c r="JF116" s="978"/>
      <c r="JG116" s="978"/>
      <c r="JH116" s="978"/>
      <c r="JI116" s="978"/>
      <c r="JJ116" s="978"/>
      <c r="JK116" s="978"/>
      <c r="JL116" s="978"/>
      <c r="JM116" s="978"/>
      <c r="JN116" s="978"/>
      <c r="JO116" s="978"/>
      <c r="JP116" s="978"/>
      <c r="JQ116" s="978"/>
      <c r="JR116" s="978"/>
      <c r="JS116" s="978"/>
      <c r="JT116" s="978"/>
      <c r="JU116" s="978"/>
      <c r="JV116" s="978"/>
      <c r="JW116" s="978"/>
      <c r="JX116" s="978"/>
      <c r="JY116" s="978"/>
      <c r="JZ116" s="978"/>
      <c r="KA116" s="978"/>
      <c r="KB116" s="978"/>
      <c r="KC116" s="978"/>
      <c r="KD116" s="978"/>
      <c r="KE116" s="978"/>
      <c r="KF116" s="978"/>
      <c r="KG116" s="978"/>
      <c r="KH116" s="978"/>
      <c r="KI116" s="978"/>
      <c r="KJ116" s="978"/>
      <c r="KK116" s="978"/>
      <c r="KL116" s="978"/>
      <c r="KM116" s="978"/>
      <c r="KN116" s="978"/>
      <c r="KO116" s="978"/>
      <c r="KP116" s="978"/>
      <c r="KQ116" s="978"/>
      <c r="KR116" s="978"/>
      <c r="KS116" s="978"/>
      <c r="KT116" s="978"/>
      <c r="KU116" s="978"/>
      <c r="KV116" s="978"/>
      <c r="KW116" s="978"/>
      <c r="KX116" s="978"/>
      <c r="KY116" s="978"/>
      <c r="KZ116" s="978"/>
      <c r="LA116" s="978"/>
      <c r="LB116" s="978"/>
      <c r="LC116" s="978"/>
      <c r="LD116" s="978"/>
      <c r="LE116" s="978"/>
      <c r="LF116" s="978"/>
      <c r="LG116" s="978"/>
      <c r="LH116" s="978"/>
      <c r="LI116" s="978"/>
      <c r="LJ116" s="978"/>
      <c r="LK116" s="978"/>
      <c r="LL116" s="978"/>
      <c r="LM116" s="978"/>
      <c r="LN116" s="978"/>
      <c r="LO116" s="978"/>
      <c r="LP116" s="978"/>
      <c r="LQ116" s="978"/>
      <c r="LR116" s="978"/>
      <c r="LS116" s="978"/>
      <c r="LT116" s="978"/>
      <c r="LU116" s="978"/>
      <c r="LV116" s="978"/>
      <c r="LW116" s="978"/>
      <c r="LX116" s="978"/>
      <c r="LY116" s="978"/>
      <c r="LZ116" s="978"/>
      <c r="MA116" s="978"/>
      <c r="MB116" s="978"/>
      <c r="MC116" s="978"/>
      <c r="MD116" s="978"/>
      <c r="ME116" s="978"/>
      <c r="MF116" s="978"/>
      <c r="MG116" s="978"/>
      <c r="MH116" s="978"/>
      <c r="MI116" s="978"/>
      <c r="MJ116" s="978"/>
      <c r="MK116" s="978"/>
      <c r="ML116" s="978"/>
      <c r="MM116" s="978"/>
      <c r="MN116" s="978"/>
      <c r="MO116" s="978"/>
      <c r="MP116" s="978"/>
      <c r="MQ116" s="978"/>
      <c r="MR116" s="978"/>
      <c r="MS116" s="978"/>
      <c r="MT116" s="978"/>
      <c r="MU116" s="978"/>
      <c r="MV116" s="978"/>
      <c r="MW116" s="978"/>
      <c r="MX116" s="978"/>
      <c r="MY116" s="978"/>
      <c r="MZ116" s="978"/>
      <c r="NA116" s="978"/>
      <c r="NB116" s="978"/>
      <c r="NC116" s="978"/>
      <c r="ND116" s="978"/>
      <c r="NE116" s="978"/>
      <c r="NF116" s="978"/>
      <c r="NG116" s="978"/>
      <c r="NH116" s="978"/>
      <c r="NI116" s="978"/>
      <c r="NJ116" s="978"/>
      <c r="NK116" s="978"/>
      <c r="NL116" s="978"/>
      <c r="NM116" s="978"/>
      <c r="NN116" s="978"/>
      <c r="NO116" s="978"/>
      <c r="NP116" s="978"/>
      <c r="NQ116" s="978"/>
      <c r="NR116" s="978"/>
      <c r="NS116" s="978"/>
      <c r="NT116" s="978"/>
      <c r="NU116" s="978"/>
      <c r="NV116" s="978"/>
      <c r="NW116" s="978"/>
      <c r="NX116" s="978"/>
      <c r="NY116" s="978"/>
      <c r="NZ116" s="978"/>
      <c r="OA116" s="978"/>
      <c r="OB116" s="978"/>
      <c r="OC116" s="978"/>
      <c r="OD116" s="978"/>
      <c r="OE116" s="978"/>
      <c r="OF116" s="978"/>
      <c r="OG116" s="978"/>
      <c r="OH116" s="978"/>
      <c r="OI116" s="978"/>
      <c r="OJ116" s="978"/>
      <c r="OK116" s="978"/>
      <c r="OL116" s="978"/>
      <c r="OM116" s="978"/>
      <c r="ON116" s="978"/>
      <c r="OO116" s="978"/>
      <c r="OP116" s="978"/>
      <c r="OQ116" s="978"/>
      <c r="OR116" s="978"/>
      <c r="OS116" s="978"/>
      <c r="OT116" s="978"/>
      <c r="OU116" s="978"/>
      <c r="OV116" s="978"/>
      <c r="OW116" s="978"/>
      <c r="OX116" s="978"/>
      <c r="OY116" s="978"/>
      <c r="OZ116" s="978"/>
      <c r="PA116" s="978"/>
      <c r="PB116" s="978"/>
      <c r="PC116" s="978"/>
      <c r="PD116" s="978"/>
      <c r="PE116" s="978"/>
      <c r="PF116" s="978"/>
      <c r="PG116" s="978"/>
      <c r="PH116" s="978"/>
      <c r="PI116" s="978"/>
      <c r="PJ116" s="978"/>
      <c r="PK116" s="978"/>
      <c r="PL116" s="978"/>
      <c r="PM116" s="978"/>
      <c r="PN116" s="978"/>
      <c r="PO116" s="978"/>
      <c r="PP116" s="978"/>
      <c r="PQ116" s="978"/>
      <c r="PR116" s="978"/>
      <c r="PS116" s="978"/>
      <c r="PT116" s="978"/>
      <c r="PU116" s="978"/>
      <c r="PV116" s="978"/>
      <c r="PW116" s="978"/>
      <c r="PX116" s="978"/>
      <c r="PY116" s="978"/>
      <c r="PZ116" s="978"/>
      <c r="QA116" s="978"/>
      <c r="QB116" s="978"/>
      <c r="QC116" s="978"/>
      <c r="QD116" s="978"/>
      <c r="QE116" s="978"/>
      <c r="QF116" s="978"/>
      <c r="QG116" s="978"/>
      <c r="QH116" s="978"/>
      <c r="QI116" s="978"/>
      <c r="QJ116" s="978"/>
      <c r="QK116" s="978"/>
      <c r="QL116" s="978"/>
      <c r="QM116" s="978"/>
      <c r="QN116" s="978"/>
      <c r="QO116" s="978"/>
      <c r="QP116" s="978"/>
      <c r="QQ116" s="978"/>
      <c r="QR116" s="978"/>
      <c r="QS116" s="978"/>
      <c r="QT116" s="978"/>
      <c r="QU116" s="978"/>
      <c r="QV116" s="978"/>
      <c r="QW116" s="978"/>
      <c r="QX116" s="978"/>
      <c r="QY116" s="978"/>
      <c r="QZ116" s="978"/>
      <c r="RA116" s="978"/>
      <c r="RB116" s="274"/>
      <c r="RC116" s="274"/>
    </row>
    <row r="117" spans="2:471" ht="17.25">
      <c r="B117">
        <v>11</v>
      </c>
      <c r="C117" s="22" t="s">
        <v>114</v>
      </c>
      <c r="D117" s="22">
        <v>365.24220026363002</v>
      </c>
      <c r="E117" s="22">
        <f>INT(MOD(I117,D117))+1</f>
        <v>2</v>
      </c>
      <c r="F117" s="22">
        <f>MOD(E117,30)</f>
        <v>2</v>
      </c>
      <c r="G117" s="22">
        <f>INT(E117/30)+1</f>
        <v>1</v>
      </c>
      <c r="H117" s="22">
        <f>INT(I117/D117)+1</f>
        <v>794</v>
      </c>
      <c r="I117" s="22">
        <f>I99-J117</f>
        <v>289639</v>
      </c>
      <c r="J117" s="22">
        <v>166797</v>
      </c>
      <c r="K117" s="22" t="s">
        <v>96</v>
      </c>
      <c r="L117" s="22" t="s">
        <v>19</v>
      </c>
      <c r="M117" s="22" t="s">
        <v>20</v>
      </c>
      <c r="N117" s="22" t="s">
        <v>88</v>
      </c>
      <c r="O117" s="22" t="s">
        <v>21</v>
      </c>
      <c r="P117" s="22" t="s">
        <v>89</v>
      </c>
      <c r="Q117" s="22" t="s">
        <v>24</v>
      </c>
      <c r="R117" s="22" t="s">
        <v>25</v>
      </c>
      <c r="S117" s="22" t="s">
        <v>90</v>
      </c>
      <c r="T117" s="22" t="s">
        <v>27</v>
      </c>
      <c r="U117" s="22" t="s">
        <v>28</v>
      </c>
      <c r="V117" s="22" t="s">
        <v>29</v>
      </c>
      <c r="W117" s="22" t="s">
        <v>91</v>
      </c>
      <c r="X117" s="22" t="s">
        <v>31</v>
      </c>
      <c r="DH117" s="274"/>
      <c r="DI117" s="274"/>
      <c r="DJ117" s="978"/>
      <c r="DK117" s="978"/>
      <c r="DL117" s="978"/>
      <c r="DM117" s="978"/>
      <c r="DN117" s="978"/>
      <c r="DO117" s="978"/>
      <c r="DP117" s="978"/>
      <c r="DQ117" s="978"/>
      <c r="DR117" s="978"/>
      <c r="DS117" s="978"/>
      <c r="DT117" s="978"/>
      <c r="DU117" s="978"/>
      <c r="DV117" s="978"/>
      <c r="DW117" s="978"/>
      <c r="DX117" s="978"/>
      <c r="DY117" s="978"/>
      <c r="DZ117" s="978"/>
      <c r="EA117" s="978"/>
      <c r="EB117" s="978"/>
      <c r="EC117" s="978"/>
      <c r="ED117" s="978"/>
      <c r="EE117" s="978"/>
      <c r="EF117" s="978"/>
      <c r="EG117" s="978"/>
      <c r="EH117" s="978"/>
      <c r="EI117" s="978"/>
      <c r="EJ117" s="978"/>
      <c r="EK117" s="978"/>
      <c r="EL117" s="978"/>
      <c r="EM117" s="978"/>
      <c r="EN117" s="978"/>
      <c r="EO117" s="978"/>
      <c r="EP117" s="978"/>
      <c r="EQ117" s="978"/>
      <c r="ER117" s="978"/>
      <c r="ES117" s="978"/>
      <c r="ET117" s="978"/>
      <c r="EU117" s="978"/>
      <c r="EV117" s="978"/>
      <c r="EW117" s="978"/>
      <c r="EX117" s="978"/>
      <c r="EY117" s="978"/>
      <c r="EZ117" s="978"/>
      <c r="FA117" s="978"/>
      <c r="FB117" s="978"/>
      <c r="FC117" s="978"/>
      <c r="FD117" s="978"/>
      <c r="FE117" s="978"/>
      <c r="FF117" s="978"/>
      <c r="FG117" s="978"/>
      <c r="FH117" s="978"/>
      <c r="FI117" s="978"/>
      <c r="FJ117" s="978"/>
      <c r="FK117" s="978"/>
      <c r="FL117" s="978"/>
      <c r="FM117" s="978"/>
      <c r="FN117" s="978"/>
      <c r="FO117" s="978"/>
      <c r="FP117" s="978"/>
      <c r="FQ117" s="978"/>
      <c r="FR117" s="978"/>
      <c r="FS117" s="978"/>
      <c r="FT117" s="978"/>
      <c r="FU117" s="978"/>
      <c r="FV117" s="978"/>
      <c r="FW117" s="978"/>
      <c r="FX117" s="978"/>
      <c r="FY117" s="978"/>
      <c r="FZ117" s="978"/>
      <c r="GA117" s="978"/>
      <c r="GB117" s="978"/>
      <c r="GC117" s="978"/>
      <c r="GD117" s="978"/>
      <c r="GE117" s="978"/>
      <c r="GF117" s="978"/>
      <c r="GG117" s="978"/>
      <c r="GH117" s="978"/>
      <c r="GI117" s="978"/>
      <c r="GJ117" s="978"/>
      <c r="GK117" s="978"/>
      <c r="GL117" s="978"/>
      <c r="GM117" s="978"/>
      <c r="GN117" s="978"/>
      <c r="GO117" s="978"/>
      <c r="GP117" s="978"/>
      <c r="GQ117" s="978"/>
      <c r="GR117" s="978"/>
      <c r="GS117" s="978"/>
      <c r="GT117" s="978"/>
      <c r="GU117" s="978"/>
      <c r="GV117" s="978"/>
      <c r="GW117" s="978"/>
      <c r="GX117" s="978"/>
      <c r="GY117" s="978"/>
      <c r="GZ117" s="978"/>
      <c r="HA117" s="978"/>
      <c r="HB117" s="978"/>
      <c r="HC117" s="978"/>
      <c r="HD117" s="978"/>
      <c r="HE117" s="978"/>
      <c r="HF117" s="978"/>
      <c r="HG117" s="978"/>
      <c r="HH117" s="978"/>
      <c r="HI117" s="978"/>
      <c r="HJ117" s="978"/>
      <c r="HK117" s="978"/>
      <c r="HL117" s="978"/>
      <c r="HM117" s="978"/>
      <c r="HN117" s="978"/>
      <c r="HO117" s="978"/>
      <c r="HP117" s="978"/>
      <c r="HQ117" s="978"/>
      <c r="HR117" s="978"/>
      <c r="HS117" s="978"/>
      <c r="HT117" s="978"/>
      <c r="HU117" s="978"/>
      <c r="HV117" s="978"/>
      <c r="HW117" s="978"/>
      <c r="HX117" s="978"/>
      <c r="HY117" s="978"/>
      <c r="HZ117" s="978"/>
      <c r="IA117" s="978"/>
      <c r="IB117" s="978"/>
      <c r="IC117" s="978"/>
      <c r="ID117" s="978"/>
      <c r="IE117" s="978"/>
      <c r="IF117" s="978"/>
      <c r="IG117" s="978"/>
      <c r="IH117" s="978"/>
      <c r="II117" s="978"/>
      <c r="IJ117" s="978"/>
      <c r="IK117" s="978"/>
      <c r="IL117" s="978"/>
      <c r="IM117" s="978"/>
      <c r="IN117" s="978"/>
      <c r="IO117" s="978"/>
      <c r="IP117" s="978"/>
      <c r="IQ117" s="978"/>
      <c r="IR117" s="978"/>
      <c r="IS117" s="978"/>
      <c r="IT117" s="978"/>
      <c r="IU117" s="978"/>
      <c r="IV117" s="978"/>
      <c r="IW117" s="978"/>
      <c r="IX117" s="978"/>
      <c r="IY117" s="978"/>
      <c r="IZ117" s="978"/>
      <c r="JA117" s="978"/>
      <c r="JB117" s="978"/>
      <c r="JC117" s="978"/>
      <c r="JD117" s="978"/>
      <c r="JE117" s="978"/>
      <c r="JF117" s="978"/>
      <c r="JG117" s="978"/>
      <c r="JH117" s="978"/>
      <c r="JI117" s="978"/>
      <c r="JJ117" s="978"/>
      <c r="JK117" s="978"/>
      <c r="JL117" s="978"/>
      <c r="JM117" s="978"/>
      <c r="JN117" s="978"/>
      <c r="JO117" s="978"/>
      <c r="JP117" s="978"/>
      <c r="JQ117" s="978"/>
      <c r="JR117" s="978"/>
      <c r="JS117" s="978"/>
      <c r="JT117" s="978"/>
      <c r="JU117" s="978"/>
      <c r="JV117" s="978"/>
      <c r="JW117" s="978"/>
      <c r="JX117" s="978"/>
      <c r="JY117" s="978"/>
      <c r="JZ117" s="978"/>
      <c r="KA117" s="978"/>
      <c r="KB117" s="978"/>
      <c r="KC117" s="978"/>
      <c r="KD117" s="978"/>
      <c r="KE117" s="978"/>
      <c r="KF117" s="978"/>
      <c r="KG117" s="978"/>
      <c r="KH117" s="978"/>
      <c r="KI117" s="978"/>
      <c r="KJ117" s="978"/>
      <c r="KK117" s="978"/>
      <c r="KL117" s="978"/>
      <c r="KM117" s="978"/>
      <c r="KN117" s="978"/>
      <c r="KO117" s="978"/>
      <c r="KP117" s="978"/>
      <c r="KQ117" s="978"/>
      <c r="KR117" s="978"/>
      <c r="KS117" s="978"/>
      <c r="KT117" s="978"/>
      <c r="KU117" s="978"/>
      <c r="KV117" s="978"/>
      <c r="KW117" s="978"/>
      <c r="KX117" s="978"/>
      <c r="KY117" s="978"/>
      <c r="KZ117" s="978"/>
      <c r="LA117" s="978"/>
      <c r="LB117" s="978"/>
      <c r="LC117" s="978"/>
      <c r="LD117" s="978"/>
      <c r="LE117" s="978"/>
      <c r="LF117" s="978"/>
      <c r="LG117" s="978"/>
      <c r="LH117" s="978"/>
      <c r="LI117" s="978"/>
      <c r="LJ117" s="978"/>
      <c r="LK117" s="978"/>
      <c r="LL117" s="978"/>
      <c r="LM117" s="978"/>
      <c r="LN117" s="978"/>
      <c r="LO117" s="978"/>
      <c r="LP117" s="978"/>
      <c r="LQ117" s="978"/>
      <c r="LR117" s="978"/>
      <c r="LS117" s="978"/>
      <c r="LT117" s="978"/>
      <c r="LU117" s="978"/>
      <c r="LV117" s="978"/>
      <c r="LW117" s="978"/>
      <c r="LX117" s="978"/>
      <c r="LY117" s="978"/>
      <c r="LZ117" s="978"/>
      <c r="MA117" s="978"/>
      <c r="MB117" s="978"/>
      <c r="MC117" s="978"/>
      <c r="MD117" s="978"/>
      <c r="ME117" s="978"/>
      <c r="MF117" s="978"/>
      <c r="MG117" s="978"/>
      <c r="MH117" s="978"/>
      <c r="MI117" s="978"/>
      <c r="MJ117" s="978"/>
      <c r="MK117" s="978"/>
      <c r="ML117" s="978"/>
      <c r="MM117" s="978"/>
      <c r="MN117" s="978"/>
      <c r="MO117" s="978"/>
      <c r="MP117" s="978"/>
      <c r="MQ117" s="978"/>
      <c r="MR117" s="978"/>
      <c r="MS117" s="978"/>
      <c r="MT117" s="978"/>
      <c r="MU117" s="978"/>
      <c r="MV117" s="978"/>
      <c r="MW117" s="978"/>
      <c r="MX117" s="978"/>
      <c r="MY117" s="978"/>
      <c r="MZ117" s="978"/>
      <c r="NA117" s="978"/>
      <c r="NB117" s="978"/>
      <c r="NC117" s="978"/>
      <c r="ND117" s="978"/>
      <c r="NE117" s="978"/>
      <c r="NF117" s="978"/>
      <c r="NG117" s="978"/>
      <c r="NH117" s="978"/>
      <c r="NI117" s="978"/>
      <c r="NJ117" s="978"/>
      <c r="NK117" s="978"/>
      <c r="NL117" s="978"/>
      <c r="NM117" s="978"/>
      <c r="NN117" s="978"/>
      <c r="NO117" s="978"/>
      <c r="NP117" s="978"/>
      <c r="NQ117" s="978"/>
      <c r="NR117" s="978"/>
      <c r="NS117" s="978"/>
      <c r="NT117" s="978"/>
      <c r="NU117" s="978"/>
      <c r="NV117" s="978"/>
      <c r="NW117" s="978"/>
      <c r="NX117" s="978"/>
      <c r="NY117" s="978"/>
      <c r="NZ117" s="978"/>
      <c r="OA117" s="978"/>
      <c r="OB117" s="978"/>
      <c r="OC117" s="978"/>
      <c r="OD117" s="978"/>
      <c r="OE117" s="978"/>
      <c r="OF117" s="978"/>
      <c r="OG117" s="978"/>
      <c r="OH117" s="978"/>
      <c r="OI117" s="978"/>
      <c r="OJ117" s="978"/>
      <c r="OK117" s="978"/>
      <c r="OL117" s="978"/>
      <c r="OM117" s="978"/>
      <c r="ON117" s="978"/>
      <c r="OO117" s="978"/>
      <c r="OP117" s="978"/>
      <c r="OQ117" s="978"/>
      <c r="OR117" s="978"/>
      <c r="OS117" s="978"/>
      <c r="OT117" s="978"/>
      <c r="OU117" s="978"/>
      <c r="OV117" s="978"/>
      <c r="OW117" s="978"/>
      <c r="OX117" s="978"/>
      <c r="OY117" s="978"/>
      <c r="OZ117" s="978"/>
      <c r="PA117" s="978"/>
      <c r="PB117" s="978"/>
      <c r="PC117" s="978"/>
      <c r="PD117" s="978"/>
      <c r="PE117" s="978"/>
      <c r="PF117" s="978"/>
      <c r="PG117" s="978"/>
      <c r="PH117" s="978"/>
      <c r="PI117" s="978"/>
      <c r="PJ117" s="978"/>
      <c r="PK117" s="978"/>
      <c r="PL117" s="978"/>
      <c r="PM117" s="978"/>
      <c r="PN117" s="978"/>
      <c r="PO117" s="978"/>
      <c r="PP117" s="978"/>
      <c r="PQ117" s="978"/>
      <c r="PR117" s="978"/>
      <c r="PS117" s="978"/>
      <c r="PT117" s="978"/>
      <c r="PU117" s="978"/>
      <c r="PV117" s="978"/>
      <c r="PW117" s="978"/>
      <c r="PX117" s="978"/>
      <c r="PY117" s="978"/>
      <c r="PZ117" s="978"/>
      <c r="QA117" s="978"/>
      <c r="QB117" s="978"/>
      <c r="QC117" s="978"/>
      <c r="QD117" s="978"/>
      <c r="QE117" s="978"/>
      <c r="QF117" s="978"/>
      <c r="QG117" s="978"/>
      <c r="QH117" s="978"/>
      <c r="QI117" s="978"/>
      <c r="QJ117" s="978"/>
      <c r="QK117" s="978"/>
      <c r="QL117" s="978"/>
      <c r="QM117" s="978"/>
      <c r="QN117" s="978"/>
      <c r="QO117" s="978"/>
      <c r="QP117" s="978"/>
      <c r="QQ117" s="978"/>
      <c r="QR117" s="978"/>
      <c r="QS117" s="978"/>
      <c r="QT117" s="978"/>
      <c r="QU117" s="978"/>
      <c r="QV117" s="978"/>
      <c r="QW117" s="978"/>
      <c r="QX117" s="978"/>
      <c r="QY117" s="978"/>
      <c r="QZ117" s="978"/>
      <c r="RA117" s="978"/>
      <c r="RB117" s="274"/>
      <c r="RC117" s="274"/>
    </row>
    <row r="118" spans="2:471" ht="17.25">
      <c r="C118" s="22"/>
      <c r="D118" s="22"/>
      <c r="E118" s="22"/>
      <c r="F118" s="22"/>
      <c r="G118" s="22" t="str">
        <f>IF(G117=1,L117,IF(G117=2,M117,IF(G117=3,N117,IF(G117=4,O117,IF(G117=5,P117,IF(G117=6,Q117,IF(G117=7,R117,IF(G117=8,S117,IF(G117=9,T117,IF(G117=10,U117,IF(G117=11,V117,IF(G117=12,W117,X117))))))))))))</f>
        <v>فروردین</v>
      </c>
      <c r="H118" s="22"/>
      <c r="I118" s="22"/>
      <c r="J118" s="22"/>
      <c r="K118" s="22"/>
      <c r="L118" s="22">
        <v>30</v>
      </c>
      <c r="M118" s="22">
        <v>30</v>
      </c>
      <c r="N118" s="22">
        <v>30</v>
      </c>
      <c r="O118" s="22">
        <v>30</v>
      </c>
      <c r="P118" s="22">
        <v>30</v>
      </c>
      <c r="Q118" s="22">
        <v>30</v>
      </c>
      <c r="R118" s="22">
        <v>30</v>
      </c>
      <c r="S118" s="22">
        <v>30</v>
      </c>
      <c r="T118" s="22">
        <v>30</v>
      </c>
      <c r="U118" s="22">
        <v>30</v>
      </c>
      <c r="V118" s="22">
        <v>30</v>
      </c>
      <c r="W118" s="22">
        <v>30</v>
      </c>
      <c r="X118" s="22">
        <v>5</v>
      </c>
      <c r="DH118" s="274"/>
      <c r="DI118" s="274"/>
      <c r="DJ118" s="978"/>
      <c r="DK118" s="978"/>
      <c r="DL118" s="978"/>
      <c r="DM118" s="978"/>
      <c r="DN118" s="978"/>
      <c r="DO118" s="978"/>
      <c r="DP118" s="978"/>
      <c r="DQ118" s="978"/>
      <c r="DR118" s="978"/>
      <c r="DS118" s="978"/>
      <c r="DT118" s="978"/>
      <c r="DU118" s="978"/>
      <c r="DV118" s="978"/>
      <c r="DW118" s="978"/>
      <c r="DX118" s="978"/>
      <c r="DY118" s="978"/>
      <c r="DZ118" s="978"/>
      <c r="EA118" s="978"/>
      <c r="EB118" s="978"/>
      <c r="EC118" s="978"/>
      <c r="ED118" s="978"/>
      <c r="EE118" s="978"/>
      <c r="EF118" s="978"/>
      <c r="EG118" s="978"/>
      <c r="EH118" s="978"/>
      <c r="EI118" s="978"/>
      <c r="EJ118" s="978"/>
      <c r="EK118" s="978"/>
      <c r="EL118" s="978"/>
      <c r="EM118" s="978"/>
      <c r="EN118" s="978"/>
      <c r="EO118" s="978"/>
      <c r="EP118" s="978"/>
      <c r="EQ118" s="978"/>
      <c r="ER118" s="978"/>
      <c r="ES118" s="978"/>
      <c r="ET118" s="978"/>
      <c r="EU118" s="978"/>
      <c r="EV118" s="978"/>
      <c r="EW118" s="978"/>
      <c r="EX118" s="978"/>
      <c r="EY118" s="978"/>
      <c r="EZ118" s="978"/>
      <c r="FA118" s="978"/>
      <c r="FB118" s="978"/>
      <c r="FC118" s="978"/>
      <c r="FD118" s="978"/>
      <c r="FE118" s="978"/>
      <c r="FF118" s="978"/>
      <c r="FG118" s="978"/>
      <c r="FH118" s="978"/>
      <c r="FI118" s="978"/>
      <c r="FJ118" s="978"/>
      <c r="FK118" s="978"/>
      <c r="FL118" s="978"/>
      <c r="FM118" s="978"/>
      <c r="FN118" s="978"/>
      <c r="FO118" s="978"/>
      <c r="FP118" s="978"/>
      <c r="FQ118" s="978"/>
      <c r="FR118" s="978"/>
      <c r="FS118" s="978"/>
      <c r="FT118" s="978"/>
      <c r="FU118" s="978"/>
      <c r="FV118" s="978"/>
      <c r="FW118" s="978"/>
      <c r="FX118" s="978"/>
      <c r="FY118" s="978"/>
      <c r="FZ118" s="978"/>
      <c r="GA118" s="978"/>
      <c r="GB118" s="978"/>
      <c r="GC118" s="978"/>
      <c r="GD118" s="978"/>
      <c r="GE118" s="978"/>
      <c r="GF118" s="978"/>
      <c r="GG118" s="978"/>
      <c r="GH118" s="978"/>
      <c r="GI118" s="978"/>
      <c r="GJ118" s="978"/>
      <c r="GK118" s="978"/>
      <c r="GL118" s="978"/>
      <c r="GM118" s="978"/>
      <c r="GN118" s="978"/>
      <c r="GO118" s="978"/>
      <c r="GP118" s="978"/>
      <c r="GQ118" s="978"/>
      <c r="GR118" s="978"/>
      <c r="GS118" s="978"/>
      <c r="GT118" s="978"/>
      <c r="GU118" s="978"/>
      <c r="GV118" s="978"/>
      <c r="GW118" s="978"/>
      <c r="GX118" s="978"/>
      <c r="GY118" s="978"/>
      <c r="GZ118" s="978"/>
      <c r="HA118" s="978"/>
      <c r="HB118" s="978"/>
      <c r="HC118" s="978"/>
      <c r="HD118" s="978"/>
      <c r="HE118" s="978"/>
      <c r="HF118" s="978"/>
      <c r="HG118" s="978"/>
      <c r="HH118" s="978"/>
      <c r="HI118" s="978"/>
      <c r="HJ118" s="978"/>
      <c r="HK118" s="978"/>
      <c r="HL118" s="978"/>
      <c r="HM118" s="978"/>
      <c r="HN118" s="978"/>
      <c r="HO118" s="978"/>
      <c r="HP118" s="978"/>
      <c r="HQ118" s="978"/>
      <c r="HR118" s="978"/>
      <c r="HS118" s="978"/>
      <c r="HT118" s="978"/>
      <c r="HU118" s="978"/>
      <c r="HV118" s="978"/>
      <c r="HW118" s="978"/>
      <c r="HX118" s="978"/>
      <c r="HY118" s="978"/>
      <c r="HZ118" s="978"/>
      <c r="IA118" s="978"/>
      <c r="IB118" s="978"/>
      <c r="IC118" s="978"/>
      <c r="ID118" s="978"/>
      <c r="IE118" s="978"/>
      <c r="IF118" s="978"/>
      <c r="IG118" s="978"/>
      <c r="IH118" s="978"/>
      <c r="II118" s="978"/>
      <c r="IJ118" s="978"/>
      <c r="IK118" s="978"/>
      <c r="IL118" s="978"/>
      <c r="IM118" s="978"/>
      <c r="IN118" s="978"/>
      <c r="IO118" s="978"/>
      <c r="IP118" s="978"/>
      <c r="IQ118" s="978"/>
      <c r="IR118" s="978"/>
      <c r="IS118" s="978"/>
      <c r="IT118" s="978"/>
      <c r="IU118" s="978"/>
      <c r="IV118" s="978"/>
      <c r="IW118" s="978"/>
      <c r="IX118" s="978"/>
      <c r="IY118" s="978"/>
      <c r="IZ118" s="978"/>
      <c r="JA118" s="978"/>
      <c r="JB118" s="978"/>
      <c r="JC118" s="978"/>
      <c r="JD118" s="978"/>
      <c r="JE118" s="978"/>
      <c r="JF118" s="978"/>
      <c r="JG118" s="978"/>
      <c r="JH118" s="978"/>
      <c r="JI118" s="978"/>
      <c r="JJ118" s="978"/>
      <c r="JK118" s="978"/>
      <c r="JL118" s="978"/>
      <c r="JM118" s="978"/>
      <c r="JN118" s="978"/>
      <c r="JO118" s="978"/>
      <c r="JP118" s="978"/>
      <c r="JQ118" s="978"/>
      <c r="JR118" s="978"/>
      <c r="JS118" s="978"/>
      <c r="JT118" s="978"/>
      <c r="JU118" s="978"/>
      <c r="JV118" s="978"/>
      <c r="JW118" s="978"/>
      <c r="JX118" s="978"/>
      <c r="JY118" s="978"/>
      <c r="JZ118" s="978"/>
      <c r="KA118" s="978"/>
      <c r="KB118" s="978"/>
      <c r="KC118" s="978"/>
      <c r="KD118" s="978"/>
      <c r="KE118" s="978"/>
      <c r="KF118" s="978"/>
      <c r="KG118" s="978"/>
      <c r="KH118" s="978"/>
      <c r="KI118" s="978"/>
      <c r="KJ118" s="978"/>
      <c r="KK118" s="978"/>
      <c r="KL118" s="978"/>
      <c r="KM118" s="978"/>
      <c r="KN118" s="978"/>
      <c r="KO118" s="978"/>
      <c r="KP118" s="978"/>
      <c r="KQ118" s="978"/>
      <c r="KR118" s="978"/>
      <c r="KS118" s="978"/>
      <c r="KT118" s="978"/>
      <c r="KU118" s="978"/>
      <c r="KV118" s="978"/>
      <c r="KW118" s="978"/>
      <c r="KX118" s="978"/>
      <c r="KY118" s="978"/>
      <c r="KZ118" s="978"/>
      <c r="LA118" s="978"/>
      <c r="LB118" s="978"/>
      <c r="LC118" s="978"/>
      <c r="LD118" s="978"/>
      <c r="LE118" s="978"/>
      <c r="LF118" s="978"/>
      <c r="LG118" s="978"/>
      <c r="LH118" s="978"/>
      <c r="LI118" s="978"/>
      <c r="LJ118" s="978"/>
      <c r="LK118" s="978"/>
      <c r="LL118" s="978"/>
      <c r="LM118" s="978"/>
      <c r="LN118" s="978"/>
      <c r="LO118" s="978"/>
      <c r="LP118" s="978"/>
      <c r="LQ118" s="978"/>
      <c r="LR118" s="978"/>
      <c r="LS118" s="978"/>
      <c r="LT118" s="978"/>
      <c r="LU118" s="978"/>
      <c r="LV118" s="978"/>
      <c r="LW118" s="978"/>
      <c r="LX118" s="978"/>
      <c r="LY118" s="978"/>
      <c r="LZ118" s="978"/>
      <c r="MA118" s="978"/>
      <c r="MB118" s="978"/>
      <c r="MC118" s="978"/>
      <c r="MD118" s="978"/>
      <c r="ME118" s="978"/>
      <c r="MF118" s="978"/>
      <c r="MG118" s="978"/>
      <c r="MH118" s="978"/>
      <c r="MI118" s="978"/>
      <c r="MJ118" s="978"/>
      <c r="MK118" s="978"/>
      <c r="ML118" s="978"/>
      <c r="MM118" s="978"/>
      <c r="MN118" s="978"/>
      <c r="MO118" s="978"/>
      <c r="MP118" s="978"/>
      <c r="MQ118" s="978"/>
      <c r="MR118" s="978"/>
      <c r="MS118" s="978"/>
      <c r="MT118" s="978"/>
      <c r="MU118" s="978"/>
      <c r="MV118" s="978"/>
      <c r="MW118" s="978"/>
      <c r="MX118" s="978"/>
      <c r="MY118" s="978"/>
      <c r="MZ118" s="978"/>
      <c r="NA118" s="978"/>
      <c r="NB118" s="978"/>
      <c r="NC118" s="978"/>
      <c r="ND118" s="978"/>
      <c r="NE118" s="978"/>
      <c r="NF118" s="978"/>
      <c r="NG118" s="978"/>
      <c r="NH118" s="978"/>
      <c r="NI118" s="978"/>
      <c r="NJ118" s="978"/>
      <c r="NK118" s="978"/>
      <c r="NL118" s="978"/>
      <c r="NM118" s="978"/>
      <c r="NN118" s="978"/>
      <c r="NO118" s="978"/>
      <c r="NP118" s="978"/>
      <c r="NQ118" s="978"/>
      <c r="NR118" s="978"/>
      <c r="NS118" s="978"/>
      <c r="NT118" s="978"/>
      <c r="NU118" s="978"/>
      <c r="NV118" s="978"/>
      <c r="NW118" s="978"/>
      <c r="NX118" s="978"/>
      <c r="NY118" s="978"/>
      <c r="NZ118" s="978"/>
      <c r="OA118" s="978"/>
      <c r="OB118" s="978"/>
      <c r="OC118" s="978"/>
      <c r="OD118" s="978"/>
      <c r="OE118" s="978"/>
      <c r="OF118" s="978"/>
      <c r="OG118" s="978"/>
      <c r="OH118" s="978"/>
      <c r="OI118" s="978"/>
      <c r="OJ118" s="978"/>
      <c r="OK118" s="978"/>
      <c r="OL118" s="978"/>
      <c r="OM118" s="978"/>
      <c r="ON118" s="978"/>
      <c r="OO118" s="978"/>
      <c r="OP118" s="978"/>
      <c r="OQ118" s="978"/>
      <c r="OR118" s="978"/>
      <c r="OS118" s="978"/>
      <c r="OT118" s="978"/>
      <c r="OU118" s="978"/>
      <c r="OV118" s="978"/>
      <c r="OW118" s="978"/>
      <c r="OX118" s="978"/>
      <c r="OY118" s="978"/>
      <c r="OZ118" s="978"/>
      <c r="PA118" s="978"/>
      <c r="PB118" s="978"/>
      <c r="PC118" s="978"/>
      <c r="PD118" s="978"/>
      <c r="PE118" s="978"/>
      <c r="PF118" s="978"/>
      <c r="PG118" s="978"/>
      <c r="PH118" s="978"/>
      <c r="PI118" s="978"/>
      <c r="PJ118" s="978"/>
      <c r="PK118" s="978"/>
      <c r="PL118" s="978"/>
      <c r="PM118" s="978"/>
      <c r="PN118" s="978"/>
      <c r="PO118" s="978"/>
      <c r="PP118" s="978"/>
      <c r="PQ118" s="978"/>
      <c r="PR118" s="978"/>
      <c r="PS118" s="978"/>
      <c r="PT118" s="978"/>
      <c r="PU118" s="978"/>
      <c r="PV118" s="978"/>
      <c r="PW118" s="978"/>
      <c r="PX118" s="978"/>
      <c r="PY118" s="978"/>
      <c r="PZ118" s="978"/>
      <c r="QA118" s="978"/>
      <c r="QB118" s="978"/>
      <c r="QC118" s="978"/>
      <c r="QD118" s="978"/>
      <c r="QE118" s="978"/>
      <c r="QF118" s="978"/>
      <c r="QG118" s="978"/>
      <c r="QH118" s="978"/>
      <c r="QI118" s="978"/>
      <c r="QJ118" s="978"/>
      <c r="QK118" s="978"/>
      <c r="QL118" s="978"/>
      <c r="QM118" s="978"/>
      <c r="QN118" s="978"/>
      <c r="QO118" s="978"/>
      <c r="QP118" s="978"/>
      <c r="QQ118" s="978"/>
      <c r="QR118" s="978"/>
      <c r="QS118" s="978"/>
      <c r="QT118" s="978"/>
      <c r="QU118" s="978"/>
      <c r="QV118" s="978"/>
      <c r="QW118" s="978"/>
      <c r="QX118" s="978"/>
      <c r="QY118" s="978"/>
      <c r="QZ118" s="978"/>
      <c r="RA118" s="978"/>
      <c r="RB118" s="274"/>
      <c r="RC118" s="274"/>
    </row>
    <row r="119" spans="2:471" ht="17.25">
      <c r="B119">
        <v>12</v>
      </c>
      <c r="C119" s="7" t="s">
        <v>142</v>
      </c>
      <c r="D119" s="7">
        <v>354.36709259258998</v>
      </c>
      <c r="E119" s="7">
        <f>INT(MOD(I119,D119))+1</f>
        <v>278</v>
      </c>
      <c r="F119" s="7">
        <f>IF(G119=1,E119,IF(G119=2,E119-30,IF(G119=3,E119-59,IF(G119=4,E119-89,IF(G119=5,E119-118,IF(G119=6,E119-148,IF(G119=7,E119-177,IF(G119=8,E119-207,IF(G119=9,E119-236,IF(G119=10,E119-266,IF(G119=11,E119-295,E119-325)))))))))))</f>
        <v>12</v>
      </c>
      <c r="G119" s="7">
        <f>IF(E119&lt;=30,1,IF(E119&lt;=59,2,IF(E119&lt;=89,3,IF(E119&lt;=118,4,IF(E119&lt;=148,5,IF(E119&lt;=177,6,IF(E119&lt;=207,7,IF(E119&lt;=236,8,IF(E119&lt;=266,9,IF(E119&lt;=295,10,IF(E119&lt;=325,11,12)))))))))))</f>
        <v>10</v>
      </c>
      <c r="H119" s="7">
        <f>INT(I119/D119)+1</f>
        <v>158</v>
      </c>
      <c r="I119" s="7">
        <f>I99-INT(J119)</f>
        <v>55913</v>
      </c>
      <c r="J119" s="7">
        <f>(1130*D119)+89</f>
        <v>400523.81462962669</v>
      </c>
      <c r="K119" s="7"/>
      <c r="L119" s="7" t="s">
        <v>93</v>
      </c>
      <c r="M119" s="7" t="s">
        <v>69</v>
      </c>
      <c r="N119" s="7" t="s">
        <v>92</v>
      </c>
      <c r="O119" s="7" t="s">
        <v>71</v>
      </c>
      <c r="P119" s="7" t="s">
        <v>72</v>
      </c>
      <c r="Q119" s="7" t="s">
        <v>73</v>
      </c>
      <c r="R119" s="7" t="s">
        <v>74</v>
      </c>
      <c r="S119" s="7" t="s">
        <v>94</v>
      </c>
      <c r="T119" s="7" t="s">
        <v>95</v>
      </c>
      <c r="U119" s="7" t="s">
        <v>65</v>
      </c>
      <c r="V119" s="7" t="s">
        <v>66</v>
      </c>
      <c r="W119" s="7" t="s">
        <v>67</v>
      </c>
      <c r="X119" s="7"/>
      <c r="DH119" s="274"/>
      <c r="DI119" s="274"/>
      <c r="DJ119" s="978"/>
      <c r="DK119" s="978"/>
      <c r="DL119" s="978"/>
      <c r="DM119" s="978"/>
      <c r="DN119" s="978"/>
      <c r="DO119" s="978"/>
      <c r="DP119" s="978"/>
      <c r="DQ119" s="978"/>
      <c r="DR119" s="978"/>
      <c r="DS119" s="978"/>
      <c r="DT119" s="978"/>
      <c r="DU119" s="978"/>
      <c r="DV119" s="978"/>
      <c r="DW119" s="978"/>
      <c r="DX119" s="978"/>
      <c r="DY119" s="978"/>
      <c r="DZ119" s="978"/>
      <c r="EA119" s="978"/>
      <c r="EB119" s="978"/>
      <c r="EC119" s="978"/>
      <c r="ED119" s="978"/>
      <c r="EE119" s="978"/>
      <c r="EF119" s="978"/>
      <c r="EG119" s="978"/>
      <c r="EH119" s="978"/>
      <c r="EI119" s="978"/>
      <c r="EJ119" s="978"/>
      <c r="EK119" s="978"/>
      <c r="EL119" s="978"/>
      <c r="EM119" s="978"/>
      <c r="EN119" s="978"/>
      <c r="EO119" s="978"/>
      <c r="EP119" s="978"/>
      <c r="EQ119" s="978"/>
      <c r="ER119" s="978"/>
      <c r="ES119" s="978"/>
      <c r="ET119" s="978"/>
      <c r="EU119" s="978"/>
      <c r="EV119" s="978"/>
      <c r="EW119" s="978"/>
      <c r="EX119" s="978"/>
      <c r="EY119" s="978"/>
      <c r="EZ119" s="978"/>
      <c r="FA119" s="978"/>
      <c r="FB119" s="978"/>
      <c r="FC119" s="978"/>
      <c r="FD119" s="978"/>
      <c r="FE119" s="978"/>
      <c r="FF119" s="978"/>
      <c r="FG119" s="978"/>
      <c r="FH119" s="978"/>
      <c r="FI119" s="978"/>
      <c r="FJ119" s="978"/>
      <c r="FK119" s="978"/>
      <c r="FL119" s="978"/>
      <c r="FM119" s="978"/>
      <c r="FN119" s="978"/>
      <c r="FO119" s="978"/>
      <c r="FP119" s="978"/>
      <c r="FQ119" s="978"/>
      <c r="FR119" s="978"/>
      <c r="FS119" s="978"/>
      <c r="FT119" s="978"/>
      <c r="FU119" s="978"/>
      <c r="FV119" s="978"/>
      <c r="FW119" s="978"/>
      <c r="FX119" s="978"/>
      <c r="FY119" s="978"/>
      <c r="FZ119" s="978"/>
      <c r="GA119" s="978"/>
      <c r="GB119" s="978"/>
      <c r="GC119" s="978"/>
      <c r="GD119" s="978"/>
      <c r="GE119" s="978"/>
      <c r="GF119" s="978"/>
      <c r="GG119" s="978"/>
      <c r="GH119" s="978"/>
      <c r="GI119" s="978"/>
      <c r="GJ119" s="978"/>
      <c r="GK119" s="978"/>
      <c r="GL119" s="978"/>
      <c r="GM119" s="978"/>
      <c r="GN119" s="978"/>
      <c r="GO119" s="978"/>
      <c r="GP119" s="978"/>
      <c r="GQ119" s="978"/>
      <c r="GR119" s="978"/>
      <c r="GS119" s="978"/>
      <c r="GT119" s="978"/>
      <c r="GU119" s="978"/>
      <c r="GV119" s="978"/>
      <c r="GW119" s="978"/>
      <c r="GX119" s="978"/>
      <c r="GY119" s="978"/>
      <c r="GZ119" s="978"/>
      <c r="HA119" s="978"/>
      <c r="HB119" s="978"/>
      <c r="HC119" s="978"/>
      <c r="HD119" s="978"/>
      <c r="HE119" s="978"/>
      <c r="HF119" s="978"/>
      <c r="HG119" s="978"/>
      <c r="HH119" s="978"/>
      <c r="HI119" s="978"/>
      <c r="HJ119" s="978"/>
      <c r="HK119" s="978"/>
      <c r="HL119" s="978"/>
      <c r="HM119" s="978"/>
      <c r="HN119" s="978"/>
      <c r="HO119" s="978"/>
      <c r="HP119" s="978"/>
      <c r="HQ119" s="978"/>
      <c r="HR119" s="978"/>
      <c r="HS119" s="978"/>
      <c r="HT119" s="978"/>
      <c r="HU119" s="978"/>
      <c r="HV119" s="978"/>
      <c r="HW119" s="978"/>
      <c r="HX119" s="978"/>
      <c r="HY119" s="978"/>
      <c r="HZ119" s="978"/>
      <c r="IA119" s="978"/>
      <c r="IB119" s="978"/>
      <c r="IC119" s="978"/>
      <c r="ID119" s="978"/>
      <c r="IE119" s="978"/>
      <c r="IF119" s="978"/>
      <c r="IG119" s="978"/>
      <c r="IH119" s="978"/>
      <c r="II119" s="978"/>
      <c r="IJ119" s="978"/>
      <c r="IK119" s="978"/>
      <c r="IL119" s="978"/>
      <c r="IM119" s="978"/>
      <c r="IN119" s="978"/>
      <c r="IO119" s="978"/>
      <c r="IP119" s="978"/>
      <c r="IQ119" s="978"/>
      <c r="IR119" s="978"/>
      <c r="IS119" s="978"/>
      <c r="IT119" s="978"/>
      <c r="IU119" s="978"/>
      <c r="IV119" s="978"/>
      <c r="IW119" s="978"/>
      <c r="IX119" s="978"/>
      <c r="IY119" s="978"/>
      <c r="IZ119" s="978"/>
      <c r="JA119" s="978"/>
      <c r="JB119" s="978"/>
      <c r="JC119" s="978"/>
      <c r="JD119" s="978"/>
      <c r="JE119" s="978"/>
      <c r="JF119" s="978"/>
      <c r="JG119" s="978"/>
      <c r="JH119" s="978"/>
      <c r="JI119" s="978"/>
      <c r="JJ119" s="978"/>
      <c r="JK119" s="978"/>
      <c r="JL119" s="978"/>
      <c r="JM119" s="978"/>
      <c r="JN119" s="978"/>
      <c r="JO119" s="978"/>
      <c r="JP119" s="978"/>
      <c r="JQ119" s="978"/>
      <c r="JR119" s="978"/>
      <c r="JS119" s="978"/>
      <c r="JT119" s="978"/>
      <c r="JU119" s="978"/>
      <c r="JV119" s="978"/>
      <c r="JW119" s="978"/>
      <c r="JX119" s="978"/>
      <c r="JY119" s="978"/>
      <c r="JZ119" s="978"/>
      <c r="KA119" s="978"/>
      <c r="KB119" s="978"/>
      <c r="KC119" s="978"/>
      <c r="KD119" s="978"/>
      <c r="KE119" s="978"/>
      <c r="KF119" s="978"/>
      <c r="KG119" s="978"/>
      <c r="KH119" s="978"/>
      <c r="KI119" s="978"/>
      <c r="KJ119" s="978"/>
      <c r="KK119" s="978"/>
      <c r="KL119" s="978"/>
      <c r="KM119" s="978"/>
      <c r="KN119" s="978"/>
      <c r="KO119" s="978"/>
      <c r="KP119" s="978"/>
      <c r="KQ119" s="978"/>
      <c r="KR119" s="978"/>
      <c r="KS119" s="978"/>
      <c r="KT119" s="978"/>
      <c r="KU119" s="978"/>
      <c r="KV119" s="978"/>
      <c r="KW119" s="978"/>
      <c r="KX119" s="978"/>
      <c r="KY119" s="978"/>
      <c r="KZ119" s="978"/>
      <c r="LA119" s="978"/>
      <c r="LB119" s="978"/>
      <c r="LC119" s="978"/>
      <c r="LD119" s="978"/>
      <c r="LE119" s="978"/>
      <c r="LF119" s="978"/>
      <c r="LG119" s="978"/>
      <c r="LH119" s="978"/>
      <c r="LI119" s="978"/>
      <c r="LJ119" s="978"/>
      <c r="LK119" s="978"/>
      <c r="LL119" s="978"/>
      <c r="LM119" s="978"/>
      <c r="LN119" s="978"/>
      <c r="LO119" s="978"/>
      <c r="LP119" s="978"/>
      <c r="LQ119" s="978"/>
      <c r="LR119" s="978"/>
      <c r="LS119" s="978"/>
      <c r="LT119" s="978"/>
      <c r="LU119" s="978"/>
      <c r="LV119" s="978"/>
      <c r="LW119" s="978"/>
      <c r="LX119" s="978"/>
      <c r="LY119" s="978"/>
      <c r="LZ119" s="978"/>
      <c r="MA119" s="978"/>
      <c r="MB119" s="978"/>
      <c r="MC119" s="978"/>
      <c r="MD119" s="978"/>
      <c r="ME119" s="978"/>
      <c r="MF119" s="978"/>
      <c r="MG119" s="978"/>
      <c r="MH119" s="978"/>
      <c r="MI119" s="978"/>
      <c r="MJ119" s="978"/>
      <c r="MK119" s="978"/>
      <c r="ML119" s="978"/>
      <c r="MM119" s="978"/>
      <c r="MN119" s="978"/>
      <c r="MO119" s="978"/>
      <c r="MP119" s="978"/>
      <c r="MQ119" s="978"/>
      <c r="MR119" s="978"/>
      <c r="MS119" s="978"/>
      <c r="MT119" s="978"/>
      <c r="MU119" s="978"/>
      <c r="MV119" s="978"/>
      <c r="MW119" s="978"/>
      <c r="MX119" s="978"/>
      <c r="MY119" s="978"/>
      <c r="MZ119" s="978"/>
      <c r="NA119" s="978"/>
      <c r="NB119" s="978"/>
      <c r="NC119" s="978"/>
      <c r="ND119" s="978"/>
      <c r="NE119" s="978"/>
      <c r="NF119" s="978"/>
      <c r="NG119" s="978"/>
      <c r="NH119" s="978"/>
      <c r="NI119" s="978"/>
      <c r="NJ119" s="978"/>
      <c r="NK119" s="978"/>
      <c r="NL119" s="978"/>
      <c r="NM119" s="978"/>
      <c r="NN119" s="978"/>
      <c r="NO119" s="978"/>
      <c r="NP119" s="978"/>
      <c r="NQ119" s="978"/>
      <c r="NR119" s="978"/>
      <c r="NS119" s="978"/>
      <c r="NT119" s="978"/>
      <c r="NU119" s="978"/>
      <c r="NV119" s="978"/>
      <c r="NW119" s="978"/>
      <c r="NX119" s="978"/>
      <c r="NY119" s="978"/>
      <c r="NZ119" s="978"/>
      <c r="OA119" s="978"/>
      <c r="OB119" s="978"/>
      <c r="OC119" s="978"/>
      <c r="OD119" s="978"/>
      <c r="OE119" s="978"/>
      <c r="OF119" s="978"/>
      <c r="OG119" s="978"/>
      <c r="OH119" s="978"/>
      <c r="OI119" s="978"/>
      <c r="OJ119" s="978"/>
      <c r="OK119" s="978"/>
      <c r="OL119" s="978"/>
      <c r="OM119" s="978"/>
      <c r="ON119" s="978"/>
      <c r="OO119" s="978"/>
      <c r="OP119" s="978"/>
      <c r="OQ119" s="978"/>
      <c r="OR119" s="978"/>
      <c r="OS119" s="978"/>
      <c r="OT119" s="978"/>
      <c r="OU119" s="978"/>
      <c r="OV119" s="978"/>
      <c r="OW119" s="978"/>
      <c r="OX119" s="978"/>
      <c r="OY119" s="978"/>
      <c r="OZ119" s="978"/>
      <c r="PA119" s="978"/>
      <c r="PB119" s="978"/>
      <c r="PC119" s="978"/>
      <c r="PD119" s="978"/>
      <c r="PE119" s="978"/>
      <c r="PF119" s="978"/>
      <c r="PG119" s="978"/>
      <c r="PH119" s="978"/>
      <c r="PI119" s="978"/>
      <c r="PJ119" s="978"/>
      <c r="PK119" s="978"/>
      <c r="PL119" s="978"/>
      <c r="PM119" s="978"/>
      <c r="PN119" s="978"/>
      <c r="PO119" s="978"/>
      <c r="PP119" s="978"/>
      <c r="PQ119" s="978"/>
      <c r="PR119" s="978"/>
      <c r="PS119" s="978"/>
      <c r="PT119" s="978"/>
      <c r="PU119" s="978"/>
      <c r="PV119" s="978"/>
      <c r="PW119" s="978"/>
      <c r="PX119" s="978"/>
      <c r="PY119" s="978"/>
      <c r="PZ119" s="978"/>
      <c r="QA119" s="978"/>
      <c r="QB119" s="978"/>
      <c r="QC119" s="978"/>
      <c r="QD119" s="978"/>
      <c r="QE119" s="978"/>
      <c r="QF119" s="978"/>
      <c r="QG119" s="978"/>
      <c r="QH119" s="978"/>
      <c r="QI119" s="978"/>
      <c r="QJ119" s="978"/>
      <c r="QK119" s="978"/>
      <c r="QL119" s="978"/>
      <c r="QM119" s="978"/>
      <c r="QN119" s="978"/>
      <c r="QO119" s="978"/>
      <c r="QP119" s="978"/>
      <c r="QQ119" s="978"/>
      <c r="QR119" s="978"/>
      <c r="QS119" s="978"/>
      <c r="QT119" s="978"/>
      <c r="QU119" s="978"/>
      <c r="QV119" s="978"/>
      <c r="QW119" s="978"/>
      <c r="QX119" s="978"/>
      <c r="QY119" s="978"/>
      <c r="QZ119" s="978"/>
      <c r="RA119" s="978"/>
      <c r="RB119" s="274"/>
      <c r="RC119" s="274"/>
    </row>
    <row r="120" spans="2:471">
      <c r="C120" s="7"/>
      <c r="D120" s="7"/>
      <c r="E120" s="7"/>
      <c r="F120" s="7"/>
      <c r="G120" s="7" t="str">
        <f>IF(G119=1,L119,IF(G119=2,M119,IF(G119=3,N119,IF(G119=4,O119,IF(G119=5,P119,IF(G119=6,Q119,IF(G119=7,R119,IF(G119=8,S119,IF(G119=9,T119,IF(G119=10,U119,IF(G119=11,V119,IF(G119=12,W119,X119))))))))))))</f>
        <v>محرم</v>
      </c>
      <c r="H120" s="7"/>
      <c r="I120" s="7"/>
      <c r="J120" s="7"/>
      <c r="K120" s="7"/>
      <c r="L120" s="7"/>
      <c r="M120" s="7"/>
      <c r="N120" s="7"/>
      <c r="O120" s="7"/>
      <c r="P120" s="7"/>
      <c r="Q120" s="7"/>
      <c r="R120" s="7"/>
      <c r="S120" s="7"/>
      <c r="T120" s="7"/>
      <c r="U120" s="7"/>
      <c r="V120" s="7"/>
      <c r="W120" s="7"/>
      <c r="X120" s="7"/>
      <c r="DH120" s="274"/>
      <c r="DI120" s="274"/>
      <c r="DJ120" s="274"/>
      <c r="DK120" s="274"/>
      <c r="DL120" s="274"/>
      <c r="DM120" s="274"/>
      <c r="DN120" s="274"/>
      <c r="DO120" s="274"/>
      <c r="DP120" s="274"/>
      <c r="DQ120" s="274"/>
      <c r="DR120" s="274"/>
      <c r="DS120" s="274"/>
      <c r="DT120" s="274"/>
      <c r="DU120" s="274"/>
      <c r="DV120" s="274"/>
      <c r="DW120" s="274"/>
      <c r="DX120" s="274"/>
      <c r="DY120" s="274"/>
      <c r="DZ120" s="274"/>
      <c r="EA120" s="274"/>
      <c r="EB120" s="274"/>
      <c r="EC120" s="274"/>
      <c r="ED120" s="274"/>
      <c r="EE120" s="274"/>
      <c r="EF120" s="274"/>
      <c r="EG120" s="274"/>
      <c r="EH120" s="274"/>
      <c r="EI120" s="274"/>
      <c r="EJ120" s="274"/>
      <c r="EK120" s="274"/>
      <c r="EL120" s="274"/>
      <c r="EM120" s="274"/>
      <c r="EN120" s="274"/>
      <c r="EO120" s="274"/>
      <c r="EP120" s="274"/>
      <c r="EQ120" s="274"/>
      <c r="ER120" s="274"/>
      <c r="ES120" s="274"/>
      <c r="ET120" s="274"/>
      <c r="EU120" s="274"/>
      <c r="EV120" s="274"/>
      <c r="EW120" s="274"/>
      <c r="EX120" s="274"/>
      <c r="EY120" s="274"/>
      <c r="EZ120" s="274"/>
      <c r="FA120" s="274"/>
      <c r="FB120" s="274"/>
      <c r="FC120" s="274"/>
      <c r="FD120" s="274"/>
      <c r="FE120" s="274"/>
      <c r="FF120" s="274"/>
      <c r="FG120" s="274"/>
      <c r="FH120" s="274"/>
      <c r="FI120" s="274"/>
      <c r="FJ120" s="274"/>
      <c r="FK120" s="274"/>
      <c r="FL120" s="274"/>
      <c r="FM120" s="274"/>
      <c r="FN120" s="274"/>
      <c r="FO120" s="274"/>
      <c r="FP120" s="274"/>
      <c r="FQ120" s="274"/>
      <c r="FR120" s="274"/>
      <c r="FS120" s="274"/>
      <c r="FT120" s="274"/>
      <c r="FU120" s="274"/>
      <c r="FV120" s="274"/>
      <c r="FW120" s="274"/>
      <c r="FX120" s="274"/>
      <c r="FY120" s="274"/>
      <c r="FZ120" s="274"/>
      <c r="GA120" s="274"/>
      <c r="GB120" s="274"/>
      <c r="GC120" s="274"/>
      <c r="GD120" s="274"/>
      <c r="GE120" s="274"/>
      <c r="GF120" s="274"/>
      <c r="GG120" s="274"/>
      <c r="GH120" s="274"/>
      <c r="GI120" s="274"/>
      <c r="GJ120" s="274"/>
      <c r="GK120" s="274"/>
      <c r="GL120" s="274"/>
      <c r="GM120" s="274"/>
      <c r="GN120" s="274"/>
      <c r="GO120" s="274"/>
      <c r="GP120" s="274"/>
      <c r="GQ120" s="274"/>
      <c r="GR120" s="274"/>
      <c r="GS120" s="274"/>
      <c r="GT120" s="274"/>
      <c r="GU120" s="274"/>
      <c r="GV120" s="274"/>
      <c r="GW120" s="274"/>
      <c r="GX120" s="274"/>
      <c r="GY120" s="274"/>
      <c r="GZ120" s="274"/>
      <c r="HA120" s="274"/>
      <c r="HB120" s="274"/>
      <c r="HC120" s="274"/>
      <c r="HD120" s="274"/>
      <c r="HE120" s="274"/>
      <c r="HF120" s="274"/>
      <c r="HG120" s="274"/>
      <c r="HH120" s="274"/>
      <c r="HI120" s="274"/>
      <c r="HJ120" s="274"/>
      <c r="HK120" s="274"/>
      <c r="HL120" s="274"/>
      <c r="HM120" s="274"/>
      <c r="HN120" s="274"/>
      <c r="HO120" s="274"/>
      <c r="HP120" s="274"/>
      <c r="HQ120" s="274"/>
      <c r="HR120" s="274"/>
      <c r="HS120" s="274"/>
      <c r="HT120" s="274"/>
      <c r="HU120" s="274"/>
      <c r="HV120" s="274"/>
      <c r="HW120" s="274"/>
      <c r="HX120" s="274"/>
      <c r="HY120" s="274"/>
      <c r="HZ120" s="274"/>
      <c r="IA120" s="274"/>
      <c r="IB120" s="274"/>
      <c r="IC120" s="274"/>
      <c r="ID120" s="274"/>
      <c r="IE120" s="274"/>
      <c r="IF120" s="274"/>
      <c r="IG120" s="274"/>
      <c r="IH120" s="274"/>
      <c r="II120" s="274"/>
      <c r="IJ120" s="274"/>
      <c r="IK120" s="274"/>
      <c r="IL120" s="274"/>
      <c r="IM120" s="274"/>
      <c r="IN120" s="274"/>
      <c r="IO120" s="274"/>
      <c r="IP120" s="274"/>
      <c r="IQ120" s="274"/>
      <c r="IR120" s="274"/>
      <c r="IS120" s="274"/>
      <c r="IT120" s="274"/>
      <c r="IU120" s="274"/>
      <c r="IV120" s="274"/>
      <c r="IW120" s="274"/>
      <c r="IX120" s="274"/>
      <c r="IY120" s="274"/>
      <c r="IZ120" s="274"/>
      <c r="JA120" s="274"/>
      <c r="JB120" s="274"/>
      <c r="JC120" s="274"/>
      <c r="JD120" s="274"/>
      <c r="JE120" s="274"/>
      <c r="JF120" s="274"/>
      <c r="JG120" s="274"/>
      <c r="JH120" s="274"/>
      <c r="JI120" s="274"/>
      <c r="JJ120" s="274"/>
      <c r="JK120" s="274"/>
      <c r="JL120" s="274"/>
      <c r="JM120" s="274"/>
      <c r="JN120" s="274"/>
      <c r="JO120" s="274"/>
      <c r="JP120" s="274"/>
      <c r="JQ120" s="274"/>
      <c r="JR120" s="274"/>
      <c r="JS120" s="274"/>
      <c r="JT120" s="274"/>
      <c r="JU120" s="274"/>
      <c r="JV120" s="274"/>
      <c r="JW120" s="274"/>
      <c r="JX120" s="274"/>
      <c r="JY120" s="274"/>
      <c r="JZ120" s="274"/>
      <c r="KA120" s="274"/>
      <c r="KB120" s="274"/>
      <c r="KC120" s="274"/>
      <c r="KD120" s="274"/>
      <c r="KE120" s="274"/>
      <c r="KF120" s="274"/>
      <c r="KG120" s="274"/>
      <c r="KH120" s="274"/>
      <c r="KI120" s="274"/>
      <c r="KJ120" s="274"/>
      <c r="KK120" s="274"/>
      <c r="KL120" s="274"/>
      <c r="KM120" s="274"/>
      <c r="KN120" s="274"/>
      <c r="KO120" s="274"/>
      <c r="KP120" s="274"/>
      <c r="KQ120" s="274"/>
      <c r="KR120" s="274"/>
      <c r="KS120" s="274"/>
      <c r="KT120" s="274"/>
      <c r="KU120" s="274"/>
      <c r="KV120" s="274"/>
      <c r="KW120" s="274"/>
      <c r="KX120" s="274"/>
      <c r="KY120" s="274"/>
      <c r="KZ120" s="274"/>
      <c r="LA120" s="274"/>
      <c r="LB120" s="274"/>
      <c r="LC120" s="274"/>
      <c r="LD120" s="274"/>
      <c r="LE120" s="274"/>
      <c r="LF120" s="274"/>
      <c r="LG120" s="274"/>
      <c r="LH120" s="274"/>
      <c r="LI120" s="274"/>
      <c r="LJ120" s="274"/>
      <c r="LK120" s="274"/>
      <c r="LL120" s="274"/>
      <c r="LM120" s="274"/>
      <c r="LN120" s="274"/>
      <c r="LO120" s="274"/>
      <c r="LP120" s="274"/>
      <c r="LQ120" s="274"/>
      <c r="LR120" s="274"/>
      <c r="LS120" s="274"/>
      <c r="LT120" s="274"/>
      <c r="LU120" s="274"/>
      <c r="LV120" s="274"/>
      <c r="LW120" s="274"/>
      <c r="LX120" s="274"/>
      <c r="LY120" s="274"/>
      <c r="LZ120" s="274"/>
      <c r="MA120" s="274"/>
      <c r="MB120" s="274"/>
      <c r="MC120" s="274"/>
      <c r="MD120" s="274"/>
      <c r="ME120" s="274"/>
      <c r="MF120" s="274"/>
      <c r="MG120" s="274"/>
      <c r="MH120" s="274"/>
      <c r="MI120" s="274"/>
      <c r="MJ120" s="274"/>
      <c r="MK120" s="274"/>
      <c r="ML120" s="274"/>
      <c r="MM120" s="274"/>
      <c r="MN120" s="274"/>
      <c r="MO120" s="274"/>
      <c r="MP120" s="274"/>
      <c r="MQ120" s="274"/>
      <c r="MR120" s="274"/>
      <c r="MS120" s="274"/>
      <c r="MT120" s="274"/>
      <c r="MU120" s="274"/>
      <c r="MV120" s="274"/>
      <c r="MW120" s="274"/>
      <c r="MX120" s="274"/>
      <c r="MY120" s="274"/>
      <c r="MZ120" s="274"/>
      <c r="NA120" s="274"/>
      <c r="NB120" s="274"/>
      <c r="NC120" s="274"/>
      <c r="ND120" s="274"/>
      <c r="NE120" s="274"/>
      <c r="NF120" s="274"/>
      <c r="NG120" s="274"/>
      <c r="NH120" s="274"/>
      <c r="NI120" s="274"/>
      <c r="NJ120" s="274"/>
      <c r="NK120" s="274"/>
      <c r="NL120" s="274"/>
      <c r="NM120" s="274"/>
      <c r="NN120" s="274"/>
      <c r="NO120" s="274"/>
      <c r="NP120" s="274"/>
      <c r="NQ120" s="274"/>
      <c r="NR120" s="274"/>
      <c r="NS120" s="274"/>
      <c r="NT120" s="274"/>
      <c r="NU120" s="274"/>
      <c r="NV120" s="274"/>
      <c r="NW120" s="274"/>
      <c r="NX120" s="274"/>
      <c r="NY120" s="274"/>
      <c r="NZ120" s="274"/>
      <c r="OA120" s="274"/>
      <c r="OB120" s="274"/>
      <c r="OC120" s="274"/>
      <c r="OD120" s="274"/>
      <c r="OE120" s="274"/>
      <c r="OF120" s="274"/>
      <c r="OG120" s="274"/>
      <c r="OH120" s="274"/>
      <c r="OI120" s="274"/>
      <c r="OJ120" s="274"/>
      <c r="OK120" s="274"/>
      <c r="OL120" s="274"/>
      <c r="OM120" s="274"/>
      <c r="ON120" s="274"/>
      <c r="OO120" s="274"/>
      <c r="OP120" s="274"/>
      <c r="OQ120" s="274"/>
      <c r="OR120" s="274"/>
      <c r="OS120" s="274"/>
      <c r="OT120" s="274"/>
      <c r="OU120" s="274"/>
      <c r="OV120" s="274"/>
      <c r="OW120" s="274"/>
      <c r="OX120" s="274"/>
      <c r="OY120" s="274"/>
      <c r="OZ120" s="274"/>
      <c r="PA120" s="274"/>
      <c r="PB120" s="274"/>
      <c r="PC120" s="274"/>
      <c r="PD120" s="274"/>
      <c r="PE120" s="274"/>
      <c r="PF120" s="274"/>
      <c r="PG120" s="274"/>
      <c r="PH120" s="274"/>
      <c r="PI120" s="274"/>
      <c r="PJ120" s="274"/>
      <c r="PK120" s="274"/>
      <c r="PL120" s="274"/>
      <c r="PM120" s="274"/>
      <c r="PN120" s="274"/>
      <c r="PO120" s="274"/>
      <c r="PP120" s="274"/>
      <c r="PQ120" s="274"/>
      <c r="PR120" s="274"/>
      <c r="PS120" s="274"/>
      <c r="PT120" s="274"/>
      <c r="PU120" s="274"/>
      <c r="PV120" s="274"/>
      <c r="PW120" s="274"/>
      <c r="PX120" s="274"/>
      <c r="PY120" s="274"/>
      <c r="PZ120" s="274"/>
      <c r="QA120" s="274"/>
      <c r="QB120" s="274"/>
      <c r="QC120" s="274"/>
      <c r="QD120" s="274"/>
      <c r="QE120" s="274"/>
      <c r="QF120" s="274"/>
      <c r="QG120" s="274"/>
      <c r="QH120" s="274"/>
      <c r="QI120" s="274"/>
      <c r="QJ120" s="274"/>
      <c r="QK120" s="274"/>
      <c r="QL120" s="274"/>
      <c r="QM120" s="274"/>
      <c r="QN120" s="274"/>
      <c r="QO120" s="274"/>
      <c r="QP120" s="274"/>
      <c r="QQ120" s="274"/>
      <c r="QR120" s="274"/>
      <c r="QS120" s="274"/>
      <c r="QT120" s="274"/>
      <c r="QU120" s="274"/>
      <c r="QV120" s="274"/>
      <c r="QW120" s="274"/>
      <c r="QX120" s="274"/>
      <c r="QY120" s="274"/>
      <c r="QZ120" s="274"/>
      <c r="RA120" s="274"/>
      <c r="RB120" s="274"/>
      <c r="RC120" s="274"/>
    </row>
    <row r="121" spans="2:471">
      <c r="B121">
        <v>13</v>
      </c>
      <c r="C121" s="25" t="s">
        <v>143</v>
      </c>
      <c r="D121" s="25">
        <v>354.36709259258998</v>
      </c>
      <c r="E121" s="25">
        <f>INT(MOD(I121,D121))+1</f>
        <v>12</v>
      </c>
      <c r="F121" s="25">
        <f>IF(G121=1,E121,IF(G121=2,E121-30,IF(G121=3,E121-59,IF(G121=4,E121-89,IF(G121=5,E121-118,IF(G121=6,E121-148,IF(G121=7,E121-177,IF(G121=8,E121-207,IF(G121=9,E121-236,IF(G121=10,E121-266,IF(G121=11,E121-295,E121-325)))))))))))</f>
        <v>12</v>
      </c>
      <c r="G121" s="25">
        <f>IF(E121&lt;=30,1,IF(E121&lt;=59,2,IF(E121&lt;=89,3,IF(E121&lt;=118,4,IF(E121&lt;=148,5,IF(E121&lt;=177,6,IF(E121&lt;=207,7,IF(E121&lt;=236,8,IF(E121&lt;=266,9,IF(E121&lt;=295,10,IF(E121&lt;=325,11,12)))))))))))</f>
        <v>1</v>
      </c>
      <c r="H121" s="25">
        <f>INT(I121/D121)+1</f>
        <v>39</v>
      </c>
      <c r="I121" s="25">
        <f>I99-J121</f>
        <v>13477.13425926253</v>
      </c>
      <c r="J121" s="25">
        <f>1250*D121</f>
        <v>442958.86574073747</v>
      </c>
      <c r="K121" s="25"/>
      <c r="L121" s="25" t="s">
        <v>65</v>
      </c>
      <c r="M121" s="25" t="s">
        <v>66</v>
      </c>
      <c r="N121" s="25" t="s">
        <v>67</v>
      </c>
      <c r="O121" s="25" t="s">
        <v>93</v>
      </c>
      <c r="P121" s="25" t="s">
        <v>69</v>
      </c>
      <c r="Q121" s="25" t="s">
        <v>92</v>
      </c>
      <c r="R121" s="25" t="s">
        <v>71</v>
      </c>
      <c r="S121" s="25" t="s">
        <v>72</v>
      </c>
      <c r="T121" s="25" t="s">
        <v>73</v>
      </c>
      <c r="U121" s="25" t="s">
        <v>74</v>
      </c>
      <c r="V121" s="25" t="s">
        <v>94</v>
      </c>
      <c r="W121" s="25" t="s">
        <v>95</v>
      </c>
      <c r="X121" s="25" t="s">
        <v>97</v>
      </c>
      <c r="DH121" s="274"/>
      <c r="DI121" s="274"/>
      <c r="DJ121" s="274"/>
      <c r="DK121" s="274"/>
      <c r="DL121" s="274"/>
      <c r="DM121" s="274"/>
      <c r="DN121" s="274"/>
      <c r="DO121" s="274"/>
      <c r="DP121" s="274"/>
      <c r="DQ121" s="274"/>
      <c r="DR121" s="274"/>
      <c r="DS121" s="274"/>
      <c r="DT121" s="274"/>
      <c r="DU121" s="274"/>
      <c r="DV121" s="274"/>
      <c r="DW121" s="274"/>
      <c r="DX121" s="274"/>
      <c r="DY121" s="274"/>
      <c r="DZ121" s="274"/>
      <c r="EA121" s="274"/>
      <c r="EB121" s="274"/>
      <c r="EC121" s="274"/>
      <c r="ED121" s="274"/>
      <c r="EE121" s="274"/>
      <c r="EF121" s="274"/>
      <c r="EG121" s="274"/>
      <c r="EH121" s="274"/>
      <c r="EI121" s="274"/>
      <c r="EJ121" s="274"/>
      <c r="EK121" s="274"/>
      <c r="EL121" s="274"/>
      <c r="EM121" s="274"/>
      <c r="EN121" s="274"/>
      <c r="EO121" s="274"/>
      <c r="EP121" s="274"/>
      <c r="EQ121" s="274"/>
      <c r="ER121" s="274"/>
      <c r="ES121" s="274"/>
      <c r="ET121" s="274"/>
      <c r="EU121" s="274"/>
      <c r="EV121" s="274"/>
      <c r="EW121" s="274"/>
      <c r="EX121" s="274"/>
      <c r="EY121" s="274"/>
      <c r="EZ121" s="274"/>
      <c r="FA121" s="274"/>
      <c r="FB121" s="274"/>
      <c r="FC121" s="274"/>
      <c r="FD121" s="274"/>
      <c r="FE121" s="274"/>
      <c r="FF121" s="274"/>
      <c r="FG121" s="274"/>
      <c r="FH121" s="274"/>
      <c r="FI121" s="274"/>
      <c r="FJ121" s="274"/>
      <c r="FK121" s="274"/>
      <c r="FL121" s="274"/>
      <c r="FM121" s="274"/>
      <c r="FN121" s="274"/>
      <c r="FO121" s="274"/>
      <c r="FP121" s="274"/>
      <c r="FQ121" s="274"/>
      <c r="FR121" s="274"/>
      <c r="FS121" s="274"/>
      <c r="FT121" s="274"/>
      <c r="FU121" s="274"/>
      <c r="FV121" s="274"/>
      <c r="FW121" s="274"/>
      <c r="FX121" s="274"/>
      <c r="FY121" s="274"/>
      <c r="FZ121" s="274"/>
      <c r="GA121" s="274"/>
      <c r="GB121" s="274"/>
      <c r="GC121" s="274"/>
      <c r="GD121" s="274"/>
      <c r="GE121" s="274"/>
      <c r="GF121" s="274"/>
      <c r="GG121" s="274"/>
      <c r="GH121" s="274"/>
      <c r="GI121" s="274"/>
      <c r="GJ121" s="274"/>
      <c r="GK121" s="274"/>
      <c r="GL121" s="274"/>
      <c r="GM121" s="274"/>
      <c r="GN121" s="274"/>
      <c r="GO121" s="274"/>
      <c r="GP121" s="274"/>
      <c r="GQ121" s="274"/>
      <c r="GR121" s="274"/>
      <c r="GS121" s="274"/>
      <c r="GT121" s="274"/>
      <c r="GU121" s="274"/>
      <c r="GV121" s="274"/>
      <c r="GW121" s="274"/>
      <c r="GX121" s="274"/>
      <c r="GY121" s="274"/>
      <c r="GZ121" s="274"/>
      <c r="HA121" s="274"/>
      <c r="HB121" s="274"/>
      <c r="HC121" s="274"/>
      <c r="HD121" s="274"/>
      <c r="HE121" s="274"/>
      <c r="HF121" s="274"/>
      <c r="HG121" s="274"/>
      <c r="HH121" s="274"/>
      <c r="HI121" s="274"/>
      <c r="HJ121" s="274"/>
      <c r="HK121" s="274"/>
      <c r="HL121" s="274"/>
      <c r="HM121" s="274"/>
      <c r="HN121" s="274"/>
      <c r="HO121" s="274"/>
      <c r="HP121" s="274"/>
      <c r="HQ121" s="274"/>
      <c r="HR121" s="274"/>
      <c r="HS121" s="274"/>
      <c r="HT121" s="274"/>
      <c r="HU121" s="274"/>
      <c r="HV121" s="274"/>
      <c r="HW121" s="274"/>
      <c r="HX121" s="274"/>
      <c r="HY121" s="274"/>
      <c r="HZ121" s="274"/>
      <c r="IA121" s="274"/>
      <c r="IB121" s="274"/>
      <c r="IC121" s="274"/>
      <c r="ID121" s="274"/>
      <c r="IE121" s="274"/>
      <c r="IF121" s="274"/>
      <c r="IG121" s="274"/>
      <c r="IH121" s="274"/>
      <c r="II121" s="274"/>
      <c r="IJ121" s="274"/>
      <c r="IK121" s="274"/>
      <c r="IL121" s="274"/>
      <c r="IM121" s="274"/>
      <c r="IN121" s="274"/>
      <c r="IO121" s="274"/>
      <c r="IP121" s="274"/>
      <c r="IQ121" s="274"/>
      <c r="IR121" s="274"/>
      <c r="IS121" s="274"/>
      <c r="IT121" s="274"/>
      <c r="IU121" s="274"/>
      <c r="IV121" s="274"/>
      <c r="IW121" s="274"/>
      <c r="IX121" s="274"/>
      <c r="IY121" s="274"/>
      <c r="IZ121" s="274"/>
      <c r="JA121" s="274"/>
      <c r="JB121" s="274"/>
      <c r="JC121" s="274"/>
      <c r="JD121" s="274"/>
      <c r="JE121" s="274"/>
      <c r="JF121" s="274"/>
      <c r="JG121" s="274"/>
      <c r="JH121" s="274"/>
      <c r="JI121" s="274"/>
      <c r="JJ121" s="274"/>
      <c r="JK121" s="274"/>
      <c r="JL121" s="274"/>
      <c r="JM121" s="274"/>
      <c r="JN121" s="274"/>
      <c r="JO121" s="274"/>
      <c r="JP121" s="274"/>
      <c r="JQ121" s="274"/>
      <c r="JR121" s="274"/>
      <c r="JS121" s="274"/>
      <c r="JT121" s="274"/>
      <c r="JU121" s="274"/>
      <c r="JV121" s="274"/>
      <c r="JW121" s="274"/>
      <c r="JX121" s="274"/>
      <c r="JY121" s="274"/>
      <c r="JZ121" s="274"/>
      <c r="KA121" s="274"/>
      <c r="KB121" s="274"/>
      <c r="KC121" s="274"/>
      <c r="KD121" s="274"/>
      <c r="KE121" s="274"/>
      <c r="KF121" s="274"/>
      <c r="KG121" s="274"/>
      <c r="KH121" s="274"/>
      <c r="KI121" s="274"/>
      <c r="KJ121" s="274"/>
      <c r="KK121" s="274"/>
      <c r="KL121" s="274"/>
      <c r="KM121" s="274"/>
      <c r="KN121" s="274"/>
      <c r="KO121" s="274"/>
      <c r="KP121" s="274"/>
      <c r="KQ121" s="274"/>
      <c r="KR121" s="274"/>
      <c r="KS121" s="274"/>
      <c r="KT121" s="274"/>
      <c r="KU121" s="274"/>
      <c r="KV121" s="274"/>
      <c r="KW121" s="274"/>
      <c r="KX121" s="274"/>
      <c r="KY121" s="274"/>
      <c r="KZ121" s="274"/>
      <c r="LA121" s="274"/>
      <c r="LB121" s="274"/>
      <c r="LC121" s="274"/>
      <c r="LD121" s="274"/>
      <c r="LE121" s="274"/>
      <c r="LF121" s="274"/>
      <c r="LG121" s="274"/>
      <c r="LH121" s="274"/>
      <c r="LI121" s="274"/>
      <c r="LJ121" s="274"/>
      <c r="LK121" s="274"/>
      <c r="LL121" s="274"/>
      <c r="LM121" s="274"/>
      <c r="LN121" s="274"/>
      <c r="LO121" s="274"/>
      <c r="LP121" s="274"/>
      <c r="LQ121" s="274"/>
      <c r="LR121" s="274"/>
      <c r="LS121" s="274"/>
      <c r="LT121" s="274"/>
      <c r="LU121" s="274"/>
      <c r="LV121" s="274"/>
      <c r="LW121" s="274"/>
      <c r="LX121" s="274"/>
      <c r="LY121" s="274"/>
      <c r="LZ121" s="274"/>
      <c r="MA121" s="274"/>
      <c r="MB121" s="274"/>
      <c r="MC121" s="274"/>
      <c r="MD121" s="274"/>
      <c r="ME121" s="274"/>
      <c r="MF121" s="274"/>
      <c r="MG121" s="274"/>
      <c r="MH121" s="274"/>
      <c r="MI121" s="274"/>
      <c r="MJ121" s="274"/>
      <c r="MK121" s="274"/>
      <c r="ML121" s="274"/>
      <c r="MM121" s="274"/>
      <c r="MN121" s="274"/>
      <c r="MO121" s="274"/>
      <c r="MP121" s="274"/>
      <c r="MQ121" s="274"/>
      <c r="MR121" s="274"/>
      <c r="MS121" s="274"/>
      <c r="MT121" s="274"/>
      <c r="MU121" s="274"/>
      <c r="MV121" s="274"/>
      <c r="MW121" s="274"/>
      <c r="MX121" s="274"/>
      <c r="MY121" s="274"/>
      <c r="MZ121" s="274"/>
      <c r="NA121" s="274"/>
      <c r="NB121" s="274"/>
      <c r="NC121" s="274"/>
      <c r="ND121" s="274"/>
      <c r="NE121" s="274"/>
      <c r="NF121" s="274"/>
      <c r="NG121" s="274"/>
      <c r="NH121" s="274"/>
      <c r="NI121" s="274"/>
      <c r="NJ121" s="274"/>
      <c r="NK121" s="274"/>
      <c r="NL121" s="274"/>
      <c r="NM121" s="274"/>
      <c r="NN121" s="274"/>
      <c r="NO121" s="274"/>
      <c r="NP121" s="274"/>
      <c r="NQ121" s="274"/>
      <c r="NR121" s="274"/>
      <c r="NS121" s="274"/>
      <c r="NT121" s="274"/>
      <c r="NU121" s="274"/>
      <c r="NV121" s="274"/>
      <c r="NW121" s="274"/>
      <c r="NX121" s="274"/>
      <c r="NY121" s="274"/>
      <c r="NZ121" s="274"/>
      <c r="OA121" s="274"/>
      <c r="OB121" s="274"/>
      <c r="OC121" s="274"/>
      <c r="OD121" s="274"/>
      <c r="OE121" s="274"/>
      <c r="OF121" s="274"/>
      <c r="OG121" s="274"/>
      <c r="OH121" s="274"/>
      <c r="OI121" s="274"/>
      <c r="OJ121" s="274"/>
      <c r="OK121" s="274"/>
      <c r="OL121" s="274"/>
      <c r="OM121" s="274"/>
      <c r="ON121" s="274"/>
      <c r="OO121" s="274"/>
      <c r="OP121" s="274"/>
      <c r="OQ121" s="274"/>
      <c r="OR121" s="274"/>
      <c r="OS121" s="274"/>
      <c r="OT121" s="274"/>
      <c r="OU121" s="274"/>
      <c r="OV121" s="274"/>
      <c r="OW121" s="274"/>
      <c r="OX121" s="274"/>
      <c r="OY121" s="274"/>
      <c r="OZ121" s="274"/>
      <c r="PA121" s="274"/>
      <c r="PB121" s="274"/>
      <c r="PC121" s="274"/>
      <c r="PD121" s="274"/>
      <c r="PE121" s="274"/>
      <c r="PF121" s="274"/>
      <c r="PG121" s="274"/>
      <c r="PH121" s="274"/>
      <c r="PI121" s="274"/>
      <c r="PJ121" s="274"/>
      <c r="PK121" s="274"/>
      <c r="PL121" s="274"/>
      <c r="PM121" s="274"/>
      <c r="PN121" s="274"/>
      <c r="PO121" s="274"/>
      <c r="PP121" s="274"/>
      <c r="PQ121" s="274"/>
      <c r="PR121" s="274"/>
      <c r="PS121" s="274"/>
      <c r="PT121" s="274"/>
      <c r="PU121" s="274"/>
      <c r="PV121" s="274"/>
      <c r="PW121" s="274"/>
      <c r="PX121" s="274"/>
      <c r="PY121" s="274"/>
      <c r="PZ121" s="274"/>
      <c r="QA121" s="274"/>
      <c r="QB121" s="274"/>
      <c r="QC121" s="274"/>
      <c r="QD121" s="274"/>
      <c r="QE121" s="274"/>
      <c r="QF121" s="274"/>
      <c r="QG121" s="274"/>
      <c r="QH121" s="274"/>
      <c r="QI121" s="274"/>
      <c r="QJ121" s="274"/>
      <c r="QK121" s="274"/>
      <c r="QL121" s="274"/>
      <c r="QM121" s="274"/>
      <c r="QN121" s="274"/>
      <c r="QO121" s="274"/>
      <c r="QP121" s="274"/>
      <c r="QQ121" s="274"/>
      <c r="QR121" s="274"/>
      <c r="QS121" s="274"/>
      <c r="QT121" s="274"/>
      <c r="QU121" s="274"/>
      <c r="QV121" s="274"/>
      <c r="QW121" s="274"/>
      <c r="QX121" s="274"/>
      <c r="QY121" s="274"/>
      <c r="QZ121" s="274"/>
      <c r="RA121" s="274"/>
      <c r="RB121" s="274"/>
      <c r="RC121" s="274"/>
    </row>
    <row r="122" spans="2:471" ht="17.25">
      <c r="C122" s="25"/>
      <c r="D122" s="25"/>
      <c r="E122" s="25"/>
      <c r="F122" s="25"/>
      <c r="G122" s="25" t="str">
        <f>IF(G121=1,L121,IF(G121=2,M121,IF(G121=3,N121,IF(G121=4,O121,IF(G121=5,P121,IF(G121=6,Q121,IF(G121=7,R121,IF(G121=8,S121,IF(G121=9,T121,IF(G121=10,U121,IF(G121=11,V121,IF(G121=12,W121,X121))))))))))))</f>
        <v>محرم</v>
      </c>
      <c r="H122" s="25"/>
      <c r="I122" s="25"/>
      <c r="J122" s="25"/>
      <c r="K122" s="25"/>
      <c r="L122" s="25"/>
      <c r="M122" s="25"/>
      <c r="N122" s="25"/>
      <c r="O122" s="25"/>
      <c r="P122" s="25"/>
      <c r="Q122" s="25"/>
      <c r="R122" s="25"/>
      <c r="S122" s="25"/>
      <c r="T122" s="25"/>
      <c r="U122" s="25"/>
      <c r="V122" s="25"/>
      <c r="W122" s="25"/>
      <c r="X122" s="25"/>
      <c r="DH122" s="274"/>
      <c r="DI122" s="274"/>
      <c r="DJ122" s="978"/>
      <c r="DK122" s="274"/>
      <c r="DL122" s="274"/>
      <c r="DM122" s="274"/>
      <c r="DN122" s="274"/>
      <c r="DO122" s="274"/>
      <c r="DP122" s="274"/>
      <c r="DQ122" s="274"/>
      <c r="DR122" s="274"/>
      <c r="DS122" s="274"/>
      <c r="DT122" s="274"/>
      <c r="DU122" s="274"/>
      <c r="DV122" s="274"/>
      <c r="DW122" s="274"/>
      <c r="DX122" s="274"/>
      <c r="DY122" s="274"/>
      <c r="DZ122" s="274"/>
      <c r="EA122" s="274"/>
      <c r="EB122" s="274"/>
      <c r="EC122" s="274"/>
      <c r="ED122" s="274"/>
      <c r="EE122" s="274"/>
      <c r="EF122" s="274"/>
      <c r="EG122" s="274"/>
      <c r="EH122" s="274"/>
      <c r="EI122" s="274"/>
      <c r="EJ122" s="274"/>
      <c r="EK122" s="274"/>
      <c r="EL122" s="274"/>
      <c r="EM122" s="274"/>
      <c r="EN122" s="274"/>
      <c r="EO122" s="274"/>
      <c r="EP122" s="274"/>
      <c r="EQ122" s="274"/>
      <c r="ER122" s="274"/>
      <c r="ES122" s="274"/>
      <c r="ET122" s="274"/>
      <c r="EU122" s="274"/>
      <c r="EV122" s="274"/>
      <c r="EW122" s="274"/>
      <c r="EX122" s="274"/>
      <c r="EY122" s="274"/>
      <c r="EZ122" s="274"/>
      <c r="FA122" s="274"/>
      <c r="FB122" s="274"/>
      <c r="FC122" s="274"/>
      <c r="FD122" s="274"/>
      <c r="FE122" s="274"/>
      <c r="FF122" s="274"/>
      <c r="FG122" s="274"/>
      <c r="FH122" s="274"/>
      <c r="FI122" s="274"/>
      <c r="FJ122" s="274"/>
      <c r="FK122" s="274"/>
      <c r="FL122" s="274"/>
      <c r="FM122" s="274"/>
      <c r="FN122" s="274"/>
      <c r="FO122" s="274"/>
      <c r="FP122" s="274"/>
      <c r="FQ122" s="274"/>
      <c r="FR122" s="274"/>
      <c r="FS122" s="274"/>
      <c r="FT122" s="274"/>
      <c r="FU122" s="274"/>
      <c r="FV122" s="274"/>
      <c r="FW122" s="274"/>
      <c r="FX122" s="274"/>
      <c r="FY122" s="274"/>
      <c r="FZ122" s="274"/>
      <c r="GA122" s="274"/>
      <c r="GB122" s="274"/>
      <c r="GC122" s="274"/>
      <c r="GD122" s="274"/>
      <c r="GE122" s="274"/>
      <c r="GF122" s="274"/>
      <c r="GG122" s="274"/>
      <c r="GH122" s="274"/>
      <c r="GI122" s="274"/>
      <c r="GJ122" s="274"/>
      <c r="GK122" s="274"/>
      <c r="GL122" s="274"/>
      <c r="GM122" s="274"/>
      <c r="GN122" s="274"/>
      <c r="GO122" s="274"/>
      <c r="GP122" s="274"/>
      <c r="GQ122" s="274"/>
      <c r="GR122" s="274"/>
      <c r="GS122" s="274"/>
      <c r="GT122" s="274"/>
      <c r="GU122" s="274"/>
      <c r="GV122" s="274"/>
      <c r="GW122" s="274"/>
      <c r="GX122" s="274"/>
      <c r="GY122" s="274"/>
      <c r="GZ122" s="274"/>
      <c r="HA122" s="274"/>
      <c r="HB122" s="274"/>
      <c r="HC122" s="274"/>
      <c r="HD122" s="274"/>
      <c r="HE122" s="274"/>
      <c r="HF122" s="274"/>
      <c r="HG122" s="274"/>
      <c r="HH122" s="274"/>
      <c r="HI122" s="274"/>
      <c r="HJ122" s="274"/>
      <c r="HK122" s="274"/>
      <c r="HL122" s="274"/>
      <c r="HM122" s="274"/>
      <c r="HN122" s="274"/>
      <c r="HO122" s="274"/>
      <c r="HP122" s="274"/>
      <c r="HQ122" s="274"/>
      <c r="HR122" s="274"/>
      <c r="HS122" s="274"/>
      <c r="HT122" s="274"/>
      <c r="HU122" s="274"/>
      <c r="HV122" s="274"/>
      <c r="HW122" s="274"/>
      <c r="HX122" s="274"/>
      <c r="HY122" s="274"/>
      <c r="HZ122" s="274"/>
      <c r="IA122" s="274"/>
      <c r="IB122" s="274"/>
      <c r="IC122" s="274"/>
      <c r="ID122" s="274"/>
      <c r="IE122" s="274"/>
      <c r="IF122" s="274"/>
      <c r="IG122" s="274"/>
      <c r="IH122" s="274"/>
      <c r="II122" s="274"/>
      <c r="IJ122" s="274"/>
      <c r="IK122" s="274"/>
      <c r="IL122" s="274"/>
      <c r="IM122" s="274"/>
      <c r="IN122" s="274"/>
      <c r="IO122" s="274"/>
      <c r="IP122" s="274"/>
      <c r="IQ122" s="274"/>
      <c r="IR122" s="274"/>
      <c r="IS122" s="274"/>
      <c r="IT122" s="274"/>
      <c r="IU122" s="274"/>
      <c r="IV122" s="274"/>
      <c r="IW122" s="274"/>
      <c r="IX122" s="274"/>
      <c r="IY122" s="274"/>
      <c r="IZ122" s="274"/>
      <c r="JA122" s="274"/>
      <c r="JB122" s="274"/>
      <c r="JC122" s="274"/>
      <c r="JD122" s="274"/>
      <c r="JE122" s="274"/>
      <c r="JF122" s="274"/>
      <c r="JG122" s="274"/>
      <c r="JH122" s="274"/>
      <c r="JI122" s="274"/>
      <c r="JJ122" s="274"/>
      <c r="JK122" s="274"/>
      <c r="JL122" s="274"/>
      <c r="JM122" s="274"/>
      <c r="JN122" s="274"/>
      <c r="JO122" s="274"/>
      <c r="JP122" s="274"/>
      <c r="JQ122" s="274"/>
      <c r="JR122" s="274"/>
      <c r="JS122" s="274"/>
      <c r="JT122" s="274"/>
      <c r="JU122" s="274"/>
      <c r="JV122" s="274"/>
      <c r="JW122" s="274"/>
      <c r="JX122" s="274"/>
      <c r="JY122" s="274"/>
      <c r="JZ122" s="274"/>
      <c r="KA122" s="274"/>
      <c r="KB122" s="274"/>
      <c r="KC122" s="274"/>
      <c r="KD122" s="274"/>
      <c r="KE122" s="274"/>
      <c r="KF122" s="274"/>
      <c r="KG122" s="274"/>
      <c r="KH122" s="274"/>
      <c r="KI122" s="274"/>
      <c r="KJ122" s="274"/>
      <c r="KK122" s="274"/>
      <c r="KL122" s="274"/>
      <c r="KM122" s="274"/>
      <c r="KN122" s="274"/>
      <c r="KO122" s="274"/>
      <c r="KP122" s="274"/>
      <c r="KQ122" s="274"/>
      <c r="KR122" s="274"/>
      <c r="KS122" s="274"/>
      <c r="KT122" s="274"/>
      <c r="KU122" s="274"/>
      <c r="KV122" s="274"/>
      <c r="KW122" s="274"/>
      <c r="KX122" s="274"/>
      <c r="KY122" s="274"/>
      <c r="KZ122" s="274"/>
      <c r="LA122" s="274"/>
      <c r="LB122" s="274"/>
      <c r="LC122" s="274"/>
      <c r="LD122" s="274"/>
      <c r="LE122" s="274"/>
      <c r="LF122" s="274"/>
      <c r="LG122" s="274"/>
      <c r="LH122" s="274"/>
      <c r="LI122" s="274"/>
      <c r="LJ122" s="274"/>
      <c r="LK122" s="274"/>
      <c r="LL122" s="274"/>
      <c r="LM122" s="274"/>
      <c r="LN122" s="274"/>
      <c r="LO122" s="274"/>
      <c r="LP122" s="274"/>
      <c r="LQ122" s="274"/>
      <c r="LR122" s="274"/>
      <c r="LS122" s="274"/>
      <c r="LT122" s="274"/>
      <c r="LU122" s="274"/>
      <c r="LV122" s="274"/>
      <c r="LW122" s="274"/>
      <c r="LX122" s="274"/>
      <c r="LY122" s="274"/>
      <c r="LZ122" s="274"/>
      <c r="MA122" s="274"/>
      <c r="MB122" s="274"/>
      <c r="MC122" s="274"/>
      <c r="MD122" s="274"/>
      <c r="ME122" s="274"/>
      <c r="MF122" s="274"/>
      <c r="MG122" s="274"/>
      <c r="MH122" s="274"/>
      <c r="MI122" s="274"/>
      <c r="MJ122" s="274"/>
      <c r="MK122" s="274"/>
      <c r="ML122" s="274"/>
      <c r="MM122" s="274"/>
      <c r="MN122" s="274"/>
      <c r="MO122" s="274"/>
      <c r="MP122" s="274"/>
      <c r="MQ122" s="274"/>
      <c r="MR122" s="274"/>
      <c r="MS122" s="274"/>
      <c r="MT122" s="274"/>
      <c r="MU122" s="274"/>
      <c r="MV122" s="274"/>
      <c r="MW122" s="274"/>
      <c r="MX122" s="274"/>
      <c r="MY122" s="274"/>
      <c r="MZ122" s="274"/>
      <c r="NA122" s="274"/>
      <c r="NB122" s="274"/>
      <c r="NC122" s="274"/>
      <c r="ND122" s="274"/>
      <c r="NE122" s="274"/>
      <c r="NF122" s="274"/>
      <c r="NG122" s="274"/>
      <c r="NH122" s="274"/>
      <c r="NI122" s="274"/>
      <c r="NJ122" s="274"/>
      <c r="NK122" s="274"/>
      <c r="NL122" s="274"/>
      <c r="NM122" s="274"/>
      <c r="NN122" s="274"/>
      <c r="NO122" s="274"/>
      <c r="NP122" s="274"/>
      <c r="NQ122" s="274"/>
      <c r="NR122" s="274"/>
      <c r="NS122" s="274"/>
      <c r="NT122" s="274"/>
      <c r="NU122" s="274"/>
      <c r="NV122" s="274"/>
      <c r="NW122" s="274"/>
      <c r="NX122" s="274"/>
      <c r="NY122" s="274"/>
      <c r="NZ122" s="274"/>
      <c r="OA122" s="274"/>
      <c r="OB122" s="274"/>
      <c r="OC122" s="274"/>
      <c r="OD122" s="274"/>
      <c r="OE122" s="274"/>
      <c r="OF122" s="274"/>
      <c r="OG122" s="274"/>
      <c r="OH122" s="274"/>
      <c r="OI122" s="274"/>
      <c r="OJ122" s="274"/>
      <c r="OK122" s="274"/>
      <c r="OL122" s="274"/>
      <c r="OM122" s="274"/>
      <c r="ON122" s="274"/>
      <c r="OO122" s="274"/>
      <c r="OP122" s="274"/>
      <c r="OQ122" s="274"/>
      <c r="OR122" s="274"/>
      <c r="OS122" s="274"/>
      <c r="OT122" s="274"/>
      <c r="OU122" s="274"/>
      <c r="OV122" s="274"/>
      <c r="OW122" s="274"/>
      <c r="OX122" s="274"/>
      <c r="OY122" s="274"/>
      <c r="OZ122" s="274"/>
      <c r="PA122" s="274"/>
      <c r="PB122" s="274"/>
      <c r="PC122" s="274"/>
      <c r="PD122" s="274"/>
      <c r="PE122" s="274"/>
      <c r="PF122" s="274"/>
      <c r="PG122" s="274"/>
      <c r="PH122" s="274"/>
      <c r="PI122" s="274"/>
      <c r="PJ122" s="274"/>
      <c r="PK122" s="274"/>
      <c r="PL122" s="274"/>
      <c r="PM122" s="274"/>
      <c r="PN122" s="274"/>
      <c r="PO122" s="274"/>
      <c r="PP122" s="274"/>
      <c r="PQ122" s="274"/>
      <c r="PR122" s="274"/>
      <c r="PS122" s="274"/>
      <c r="PT122" s="274"/>
      <c r="PU122" s="274"/>
      <c r="PV122" s="274"/>
      <c r="PW122" s="274"/>
      <c r="PX122" s="274"/>
      <c r="PY122" s="274"/>
      <c r="PZ122" s="274"/>
      <c r="QA122" s="274"/>
      <c r="QB122" s="274"/>
      <c r="QC122" s="274"/>
      <c r="QD122" s="274"/>
      <c r="QE122" s="274"/>
      <c r="QF122" s="274"/>
      <c r="QG122" s="274"/>
      <c r="QH122" s="274"/>
      <c r="QI122" s="274"/>
      <c r="QJ122" s="274"/>
      <c r="QK122" s="274"/>
      <c r="QL122" s="274"/>
      <c r="QM122" s="274"/>
      <c r="QN122" s="274"/>
      <c r="QO122" s="274"/>
      <c r="QP122" s="274"/>
      <c r="QQ122" s="274"/>
      <c r="QR122" s="274"/>
      <c r="QS122" s="274"/>
      <c r="QT122" s="274"/>
      <c r="QU122" s="274"/>
      <c r="QV122" s="274"/>
      <c r="QW122" s="274"/>
      <c r="QX122" s="274"/>
      <c r="QY122" s="274"/>
      <c r="QZ122" s="274"/>
      <c r="RA122" s="274"/>
      <c r="RB122" s="274"/>
      <c r="RC122" s="274"/>
    </row>
    <row r="123" spans="2:471" ht="17.25">
      <c r="DH123" s="274"/>
      <c r="DI123" s="274"/>
      <c r="DJ123" s="978"/>
      <c r="DK123" s="978"/>
      <c r="DL123" s="978"/>
      <c r="DM123" s="978"/>
      <c r="DN123" s="978"/>
      <c r="DO123" s="978"/>
      <c r="DP123" s="978"/>
      <c r="DQ123" s="978"/>
      <c r="DR123" s="978"/>
      <c r="DS123" s="978"/>
      <c r="DT123" s="978"/>
      <c r="DU123" s="978"/>
      <c r="DV123" s="978"/>
      <c r="DW123" s="978"/>
      <c r="DX123" s="978"/>
      <c r="DY123" s="978"/>
      <c r="DZ123" s="978"/>
      <c r="EA123" s="978"/>
      <c r="EB123" s="978"/>
      <c r="EC123" s="978"/>
      <c r="ED123" s="978"/>
      <c r="EE123" s="978"/>
      <c r="EF123" s="978"/>
      <c r="EG123" s="978"/>
      <c r="EH123" s="978"/>
      <c r="EI123" s="978"/>
      <c r="EJ123" s="978"/>
      <c r="EK123" s="978"/>
      <c r="EL123" s="978"/>
      <c r="EM123" s="978"/>
      <c r="EN123" s="978"/>
      <c r="EO123" s="978"/>
      <c r="EP123" s="978"/>
      <c r="EQ123" s="978"/>
      <c r="ER123" s="978"/>
      <c r="ES123" s="978"/>
      <c r="ET123" s="978"/>
      <c r="EU123" s="978"/>
      <c r="EV123" s="978"/>
      <c r="EW123" s="978"/>
      <c r="EX123" s="978"/>
      <c r="EY123" s="978"/>
      <c r="EZ123" s="978"/>
      <c r="FA123" s="978"/>
      <c r="FB123" s="978"/>
      <c r="FC123" s="978"/>
      <c r="FD123" s="978"/>
      <c r="FE123" s="978"/>
      <c r="FF123" s="978"/>
      <c r="FG123" s="978"/>
      <c r="FH123" s="978"/>
      <c r="FI123" s="978"/>
      <c r="FJ123" s="978"/>
      <c r="FK123" s="978"/>
      <c r="FL123" s="978"/>
      <c r="FM123" s="978"/>
      <c r="FN123" s="978"/>
      <c r="FO123" s="978"/>
      <c r="FP123" s="978"/>
      <c r="FQ123" s="978"/>
      <c r="FR123" s="978"/>
      <c r="FS123" s="978"/>
      <c r="FT123" s="978"/>
      <c r="FU123" s="978"/>
      <c r="FV123" s="978"/>
      <c r="FW123" s="978"/>
      <c r="FX123" s="978"/>
      <c r="FY123" s="978"/>
      <c r="FZ123" s="978"/>
      <c r="GA123" s="978"/>
      <c r="GB123" s="978"/>
      <c r="GC123" s="978"/>
      <c r="GD123" s="978"/>
      <c r="GE123" s="978"/>
      <c r="GF123" s="978"/>
      <c r="GG123" s="978"/>
      <c r="GH123" s="978"/>
      <c r="GI123" s="978"/>
      <c r="GJ123" s="978"/>
      <c r="GK123" s="978"/>
      <c r="GL123" s="978"/>
      <c r="GM123" s="978"/>
      <c r="GN123" s="978"/>
      <c r="GO123" s="978"/>
      <c r="GP123" s="978"/>
      <c r="GQ123" s="978"/>
      <c r="GR123" s="978"/>
      <c r="GS123" s="978"/>
      <c r="GT123" s="978"/>
      <c r="GU123" s="978"/>
      <c r="GV123" s="978"/>
      <c r="GW123" s="978"/>
      <c r="GX123" s="978"/>
      <c r="GY123" s="978"/>
      <c r="GZ123" s="978"/>
      <c r="HA123" s="978"/>
      <c r="HB123" s="978"/>
      <c r="HC123" s="978"/>
      <c r="HD123" s="978"/>
      <c r="HE123" s="978"/>
      <c r="HF123" s="978"/>
      <c r="HG123" s="978"/>
      <c r="HH123" s="978"/>
      <c r="HI123" s="978"/>
      <c r="HJ123" s="978"/>
      <c r="HK123" s="978"/>
      <c r="HL123" s="978"/>
      <c r="HM123" s="978"/>
      <c r="HN123" s="978"/>
      <c r="HO123" s="978"/>
      <c r="HP123" s="978"/>
      <c r="HQ123" s="978"/>
      <c r="HR123" s="978"/>
      <c r="HS123" s="978"/>
      <c r="HT123" s="978"/>
      <c r="HU123" s="978"/>
      <c r="HV123" s="978"/>
      <c r="HW123" s="978"/>
      <c r="HX123" s="978"/>
      <c r="HY123" s="978"/>
      <c r="HZ123" s="978"/>
      <c r="IA123" s="978"/>
      <c r="IB123" s="978"/>
      <c r="IC123" s="978"/>
      <c r="ID123" s="978"/>
      <c r="IE123" s="978"/>
      <c r="IF123" s="978"/>
      <c r="IG123" s="978"/>
      <c r="IH123" s="978"/>
      <c r="II123" s="978"/>
      <c r="IJ123" s="978"/>
      <c r="IK123" s="978"/>
      <c r="IL123" s="978"/>
      <c r="IM123" s="978"/>
      <c r="IN123" s="978"/>
      <c r="IO123" s="978"/>
      <c r="IP123" s="978"/>
      <c r="IQ123" s="978"/>
      <c r="IR123" s="978"/>
      <c r="IS123" s="978"/>
      <c r="IT123" s="978"/>
      <c r="IU123" s="978"/>
      <c r="IV123" s="978"/>
      <c r="IW123" s="978"/>
      <c r="IX123" s="978"/>
      <c r="IY123" s="978"/>
      <c r="IZ123" s="978"/>
      <c r="JA123" s="978"/>
      <c r="JB123" s="978"/>
      <c r="JC123" s="978"/>
      <c r="JD123" s="978"/>
      <c r="JE123" s="978"/>
      <c r="JF123" s="978"/>
      <c r="JG123" s="978"/>
      <c r="JH123" s="978"/>
      <c r="JI123" s="978"/>
      <c r="JJ123" s="978"/>
      <c r="JK123" s="978"/>
      <c r="JL123" s="978"/>
      <c r="JM123" s="978"/>
      <c r="JN123" s="978"/>
      <c r="JO123" s="978"/>
      <c r="JP123" s="978"/>
      <c r="JQ123" s="978"/>
      <c r="JR123" s="978"/>
      <c r="JS123" s="978"/>
      <c r="JT123" s="978"/>
      <c r="JU123" s="978"/>
      <c r="JV123" s="978"/>
      <c r="JW123" s="978"/>
      <c r="JX123" s="978"/>
      <c r="JY123" s="978"/>
      <c r="JZ123" s="978"/>
      <c r="KA123" s="978"/>
      <c r="KB123" s="978"/>
      <c r="KC123" s="978"/>
      <c r="KD123" s="978"/>
      <c r="KE123" s="978"/>
      <c r="KF123" s="978"/>
      <c r="KG123" s="978"/>
      <c r="KH123" s="978"/>
      <c r="KI123" s="978"/>
      <c r="KJ123" s="978"/>
      <c r="KK123" s="978"/>
      <c r="KL123" s="978"/>
      <c r="KM123" s="978"/>
      <c r="KN123" s="978"/>
      <c r="KO123" s="978"/>
      <c r="KP123" s="978"/>
      <c r="KQ123" s="978"/>
      <c r="KR123" s="978"/>
      <c r="KS123" s="978"/>
      <c r="KT123" s="978"/>
      <c r="KU123" s="978"/>
      <c r="KV123" s="978"/>
      <c r="KW123" s="978"/>
      <c r="KX123" s="978"/>
      <c r="KY123" s="978"/>
      <c r="KZ123" s="978"/>
      <c r="LA123" s="978"/>
      <c r="LB123" s="978"/>
      <c r="LC123" s="978"/>
      <c r="LD123" s="978"/>
      <c r="LE123" s="978"/>
      <c r="LF123" s="978"/>
      <c r="LG123" s="978"/>
      <c r="LH123" s="978"/>
      <c r="LI123" s="978"/>
      <c r="LJ123" s="978"/>
      <c r="LK123" s="978"/>
      <c r="LL123" s="978"/>
      <c r="LM123" s="978"/>
      <c r="LN123" s="978"/>
      <c r="LO123" s="978"/>
      <c r="LP123" s="978"/>
      <c r="LQ123" s="978"/>
      <c r="LR123" s="978"/>
      <c r="LS123" s="978"/>
      <c r="LT123" s="978"/>
      <c r="LU123" s="978"/>
      <c r="LV123" s="978"/>
      <c r="LW123" s="978"/>
      <c r="LX123" s="978"/>
      <c r="LY123" s="978"/>
      <c r="LZ123" s="978"/>
      <c r="MA123" s="978"/>
      <c r="MB123" s="978"/>
      <c r="MC123" s="978"/>
      <c r="MD123" s="978"/>
      <c r="ME123" s="978"/>
      <c r="MF123" s="978"/>
      <c r="MG123" s="978"/>
      <c r="MH123" s="978"/>
      <c r="MI123" s="978"/>
      <c r="MJ123" s="978"/>
      <c r="MK123" s="978"/>
      <c r="ML123" s="978"/>
      <c r="MM123" s="978"/>
      <c r="MN123" s="978"/>
      <c r="MO123" s="978"/>
      <c r="MP123" s="978"/>
      <c r="MQ123" s="978"/>
      <c r="MR123" s="978"/>
      <c r="MS123" s="978"/>
      <c r="MT123" s="978"/>
      <c r="MU123" s="978"/>
      <c r="MV123" s="978"/>
      <c r="MW123" s="978"/>
      <c r="MX123" s="978"/>
      <c r="MY123" s="978"/>
      <c r="MZ123" s="978"/>
      <c r="NA123" s="978"/>
      <c r="NB123" s="978"/>
      <c r="NC123" s="978"/>
      <c r="ND123" s="978"/>
      <c r="NE123" s="978"/>
      <c r="NF123" s="978"/>
      <c r="NG123" s="978"/>
      <c r="NH123" s="978"/>
      <c r="NI123" s="978"/>
      <c r="NJ123" s="978"/>
      <c r="NK123" s="978"/>
      <c r="NL123" s="978"/>
      <c r="NM123" s="978"/>
      <c r="NN123" s="978"/>
      <c r="NO123" s="978"/>
      <c r="NP123" s="978"/>
      <c r="NQ123" s="978"/>
      <c r="NR123" s="978"/>
      <c r="NS123" s="978"/>
      <c r="NT123" s="978"/>
      <c r="NU123" s="978"/>
      <c r="NV123" s="978"/>
      <c r="NW123" s="978"/>
      <c r="NX123" s="978"/>
      <c r="NY123" s="978"/>
      <c r="NZ123" s="978"/>
      <c r="OA123" s="978"/>
      <c r="OB123" s="978"/>
      <c r="OC123" s="978"/>
      <c r="OD123" s="978"/>
      <c r="OE123" s="978"/>
      <c r="OF123" s="978"/>
      <c r="OG123" s="978"/>
      <c r="OH123" s="978"/>
      <c r="OI123" s="978"/>
      <c r="OJ123" s="978"/>
      <c r="OK123" s="978"/>
      <c r="OL123" s="978"/>
      <c r="OM123" s="978"/>
      <c r="ON123" s="978"/>
      <c r="OO123" s="978"/>
      <c r="OP123" s="978"/>
      <c r="OQ123" s="978"/>
      <c r="OR123" s="978"/>
      <c r="OS123" s="978"/>
      <c r="OT123" s="978"/>
      <c r="OU123" s="978"/>
      <c r="OV123" s="978"/>
      <c r="OW123" s="978"/>
      <c r="OX123" s="978"/>
      <c r="OY123" s="978"/>
      <c r="OZ123" s="978"/>
      <c r="PA123" s="978"/>
      <c r="PB123" s="978"/>
      <c r="PC123" s="978"/>
      <c r="PD123" s="978"/>
      <c r="PE123" s="978"/>
      <c r="PF123" s="978"/>
      <c r="PG123" s="978"/>
      <c r="PH123" s="978"/>
      <c r="PI123" s="978"/>
      <c r="PJ123" s="978"/>
      <c r="PK123" s="978"/>
      <c r="PL123" s="978"/>
      <c r="PM123" s="978"/>
      <c r="PN123" s="978"/>
      <c r="PO123" s="978"/>
      <c r="PP123" s="978"/>
      <c r="PQ123" s="978"/>
      <c r="PR123" s="978"/>
      <c r="PS123" s="978"/>
      <c r="PT123" s="978"/>
      <c r="PU123" s="978"/>
      <c r="PV123" s="978"/>
      <c r="PW123" s="978"/>
      <c r="PX123" s="978"/>
      <c r="PY123" s="978"/>
      <c r="PZ123" s="978"/>
      <c r="QA123" s="978"/>
      <c r="QB123" s="978"/>
      <c r="QC123" s="978"/>
      <c r="QD123" s="978"/>
      <c r="QE123" s="978"/>
      <c r="QF123" s="978"/>
      <c r="QG123" s="978"/>
      <c r="QH123" s="978"/>
      <c r="QI123" s="978"/>
      <c r="QJ123" s="978"/>
      <c r="QK123" s="978"/>
      <c r="QL123" s="978"/>
      <c r="QM123" s="978"/>
      <c r="QN123" s="978"/>
      <c r="QO123" s="978"/>
      <c r="QP123" s="978"/>
      <c r="QQ123" s="978"/>
      <c r="QR123" s="978"/>
      <c r="QS123" s="978"/>
      <c r="QT123" s="978"/>
      <c r="QU123" s="978"/>
      <c r="QV123" s="978"/>
      <c r="QW123" s="978"/>
      <c r="QX123" s="978"/>
      <c r="QY123" s="978"/>
      <c r="QZ123" s="978"/>
      <c r="RA123" s="978"/>
      <c r="RB123" s="274"/>
      <c r="RC123" s="274"/>
    </row>
    <row r="124" spans="2:471" ht="17.25">
      <c r="DH124" s="274"/>
      <c r="DI124" s="274"/>
      <c r="DJ124" s="978"/>
      <c r="DK124" s="978"/>
      <c r="DL124" s="978"/>
      <c r="DM124" s="978"/>
      <c r="DN124" s="978"/>
      <c r="DO124" s="978"/>
      <c r="DP124" s="978"/>
      <c r="DQ124" s="978"/>
      <c r="DR124" s="978"/>
      <c r="DS124" s="978"/>
      <c r="DT124" s="978"/>
      <c r="DU124" s="978"/>
      <c r="DV124" s="978"/>
      <c r="DW124" s="978"/>
      <c r="DX124" s="978"/>
      <c r="DY124" s="978"/>
      <c r="DZ124" s="978"/>
      <c r="EA124" s="978"/>
      <c r="EB124" s="978"/>
      <c r="EC124" s="978"/>
      <c r="ED124" s="978"/>
      <c r="EE124" s="978"/>
      <c r="EF124" s="978"/>
      <c r="EG124" s="978"/>
      <c r="EH124" s="978"/>
      <c r="EI124" s="978"/>
      <c r="EJ124" s="978"/>
      <c r="EK124" s="978"/>
      <c r="EL124" s="978"/>
      <c r="EM124" s="978"/>
      <c r="EN124" s="978"/>
      <c r="EO124" s="978"/>
      <c r="EP124" s="978"/>
      <c r="EQ124" s="978"/>
      <c r="ER124" s="978"/>
      <c r="ES124" s="978"/>
      <c r="ET124" s="978"/>
      <c r="EU124" s="978"/>
      <c r="EV124" s="978"/>
      <c r="EW124" s="978"/>
      <c r="EX124" s="978"/>
      <c r="EY124" s="978"/>
      <c r="EZ124" s="978"/>
      <c r="FA124" s="978"/>
      <c r="FB124" s="978"/>
      <c r="FC124" s="978"/>
      <c r="FD124" s="978"/>
      <c r="FE124" s="978"/>
      <c r="FF124" s="978"/>
      <c r="FG124" s="978"/>
      <c r="FH124" s="978"/>
      <c r="FI124" s="978"/>
      <c r="FJ124" s="978"/>
      <c r="FK124" s="978"/>
      <c r="FL124" s="978"/>
      <c r="FM124" s="978"/>
      <c r="FN124" s="978"/>
      <c r="FO124" s="978"/>
      <c r="FP124" s="978"/>
      <c r="FQ124" s="978"/>
      <c r="FR124" s="978"/>
      <c r="FS124" s="978"/>
      <c r="FT124" s="978"/>
      <c r="FU124" s="978"/>
      <c r="FV124" s="978"/>
      <c r="FW124" s="978"/>
      <c r="FX124" s="978"/>
      <c r="FY124" s="978"/>
      <c r="FZ124" s="978"/>
      <c r="GA124" s="978"/>
      <c r="GB124" s="978"/>
      <c r="GC124" s="978"/>
      <c r="GD124" s="978"/>
      <c r="GE124" s="978"/>
      <c r="GF124" s="978"/>
      <c r="GG124" s="978"/>
      <c r="GH124" s="978"/>
      <c r="GI124" s="978"/>
      <c r="GJ124" s="978"/>
      <c r="GK124" s="978"/>
      <c r="GL124" s="978"/>
      <c r="GM124" s="978"/>
      <c r="GN124" s="978"/>
      <c r="GO124" s="978"/>
      <c r="GP124" s="978"/>
      <c r="GQ124" s="978"/>
      <c r="GR124" s="978"/>
      <c r="GS124" s="978"/>
      <c r="GT124" s="978"/>
      <c r="GU124" s="978"/>
      <c r="GV124" s="978"/>
      <c r="GW124" s="978"/>
      <c r="GX124" s="978"/>
      <c r="GY124" s="978"/>
      <c r="GZ124" s="978"/>
      <c r="HA124" s="978"/>
      <c r="HB124" s="978"/>
      <c r="HC124" s="978"/>
      <c r="HD124" s="978"/>
      <c r="HE124" s="978"/>
      <c r="HF124" s="978"/>
      <c r="HG124" s="978"/>
      <c r="HH124" s="978"/>
      <c r="HI124" s="978"/>
      <c r="HJ124" s="978"/>
      <c r="HK124" s="978"/>
      <c r="HL124" s="978"/>
      <c r="HM124" s="978"/>
      <c r="HN124" s="978"/>
      <c r="HO124" s="978"/>
      <c r="HP124" s="978"/>
      <c r="HQ124" s="978"/>
      <c r="HR124" s="978"/>
      <c r="HS124" s="978"/>
      <c r="HT124" s="978"/>
      <c r="HU124" s="978"/>
      <c r="HV124" s="978"/>
      <c r="HW124" s="978"/>
      <c r="HX124" s="978"/>
      <c r="HY124" s="978"/>
      <c r="HZ124" s="978"/>
      <c r="IA124" s="978"/>
      <c r="IB124" s="978"/>
      <c r="IC124" s="978"/>
      <c r="ID124" s="978"/>
      <c r="IE124" s="978"/>
      <c r="IF124" s="978"/>
      <c r="IG124" s="978"/>
      <c r="IH124" s="978"/>
      <c r="II124" s="978"/>
      <c r="IJ124" s="978"/>
      <c r="IK124" s="978"/>
      <c r="IL124" s="978"/>
      <c r="IM124" s="978"/>
      <c r="IN124" s="978"/>
      <c r="IO124" s="978"/>
      <c r="IP124" s="978"/>
      <c r="IQ124" s="978"/>
      <c r="IR124" s="978"/>
      <c r="IS124" s="978"/>
      <c r="IT124" s="978"/>
      <c r="IU124" s="978"/>
      <c r="IV124" s="978"/>
      <c r="IW124" s="978"/>
      <c r="IX124" s="978"/>
      <c r="IY124" s="978"/>
      <c r="IZ124" s="978"/>
      <c r="JA124" s="978"/>
      <c r="JB124" s="978"/>
      <c r="JC124" s="978"/>
      <c r="JD124" s="978"/>
      <c r="JE124" s="978"/>
      <c r="JF124" s="978"/>
      <c r="JG124" s="978"/>
      <c r="JH124" s="978"/>
      <c r="JI124" s="978"/>
      <c r="JJ124" s="978"/>
      <c r="JK124" s="978"/>
      <c r="JL124" s="978"/>
      <c r="JM124" s="978"/>
      <c r="JN124" s="978"/>
      <c r="JO124" s="978"/>
      <c r="JP124" s="978"/>
      <c r="JQ124" s="978"/>
      <c r="JR124" s="978"/>
      <c r="JS124" s="978"/>
      <c r="JT124" s="978"/>
      <c r="JU124" s="978"/>
      <c r="JV124" s="978"/>
      <c r="JW124" s="978"/>
      <c r="JX124" s="978"/>
      <c r="JY124" s="978"/>
      <c r="JZ124" s="978"/>
      <c r="KA124" s="978"/>
      <c r="KB124" s="978"/>
      <c r="KC124" s="978"/>
      <c r="KD124" s="978"/>
      <c r="KE124" s="978"/>
      <c r="KF124" s="978"/>
      <c r="KG124" s="978"/>
      <c r="KH124" s="978"/>
      <c r="KI124" s="978"/>
      <c r="KJ124" s="978"/>
      <c r="KK124" s="978"/>
      <c r="KL124" s="978"/>
      <c r="KM124" s="978"/>
      <c r="KN124" s="978"/>
      <c r="KO124" s="978"/>
      <c r="KP124" s="978"/>
      <c r="KQ124" s="978"/>
      <c r="KR124" s="978"/>
      <c r="KS124" s="978"/>
      <c r="KT124" s="978"/>
      <c r="KU124" s="978"/>
      <c r="KV124" s="978"/>
      <c r="KW124" s="978"/>
      <c r="KX124" s="978"/>
      <c r="KY124" s="978"/>
      <c r="KZ124" s="978"/>
      <c r="LA124" s="978"/>
      <c r="LB124" s="978"/>
      <c r="LC124" s="978"/>
      <c r="LD124" s="978"/>
      <c r="LE124" s="978"/>
      <c r="LF124" s="978"/>
      <c r="LG124" s="978"/>
      <c r="LH124" s="978"/>
      <c r="LI124" s="978"/>
      <c r="LJ124" s="978"/>
      <c r="LK124" s="978"/>
      <c r="LL124" s="978"/>
      <c r="LM124" s="978"/>
      <c r="LN124" s="978"/>
      <c r="LO124" s="978"/>
      <c r="LP124" s="978"/>
      <c r="LQ124" s="978"/>
      <c r="LR124" s="978"/>
      <c r="LS124" s="978"/>
      <c r="LT124" s="978"/>
      <c r="LU124" s="978"/>
      <c r="LV124" s="978"/>
      <c r="LW124" s="978"/>
      <c r="LX124" s="978"/>
      <c r="LY124" s="978"/>
      <c r="LZ124" s="978"/>
      <c r="MA124" s="978"/>
      <c r="MB124" s="978"/>
      <c r="MC124" s="978"/>
      <c r="MD124" s="978"/>
      <c r="ME124" s="978"/>
      <c r="MF124" s="978"/>
      <c r="MG124" s="978"/>
      <c r="MH124" s="978"/>
      <c r="MI124" s="978"/>
      <c r="MJ124" s="978"/>
      <c r="MK124" s="978"/>
      <c r="ML124" s="978"/>
      <c r="MM124" s="978"/>
      <c r="MN124" s="978"/>
      <c r="MO124" s="978"/>
      <c r="MP124" s="978"/>
      <c r="MQ124" s="978"/>
      <c r="MR124" s="978"/>
      <c r="MS124" s="978"/>
      <c r="MT124" s="978"/>
      <c r="MU124" s="978"/>
      <c r="MV124" s="978"/>
      <c r="MW124" s="978"/>
      <c r="MX124" s="978"/>
      <c r="MY124" s="978"/>
      <c r="MZ124" s="978"/>
      <c r="NA124" s="978"/>
      <c r="NB124" s="978"/>
      <c r="NC124" s="978"/>
      <c r="ND124" s="978"/>
      <c r="NE124" s="978"/>
      <c r="NF124" s="978"/>
      <c r="NG124" s="978"/>
      <c r="NH124" s="978"/>
      <c r="NI124" s="978"/>
      <c r="NJ124" s="978"/>
      <c r="NK124" s="978"/>
      <c r="NL124" s="978"/>
      <c r="NM124" s="978"/>
      <c r="NN124" s="978"/>
      <c r="NO124" s="978"/>
      <c r="NP124" s="978"/>
      <c r="NQ124" s="978"/>
      <c r="NR124" s="978"/>
      <c r="NS124" s="978"/>
      <c r="NT124" s="978"/>
      <c r="NU124" s="978"/>
      <c r="NV124" s="978"/>
      <c r="NW124" s="978"/>
      <c r="NX124" s="978"/>
      <c r="NY124" s="978"/>
      <c r="NZ124" s="978"/>
      <c r="OA124" s="978"/>
      <c r="OB124" s="978"/>
      <c r="OC124" s="978"/>
      <c r="OD124" s="978"/>
      <c r="OE124" s="978"/>
      <c r="OF124" s="978"/>
      <c r="OG124" s="978"/>
      <c r="OH124" s="978"/>
      <c r="OI124" s="978"/>
      <c r="OJ124" s="978"/>
      <c r="OK124" s="978"/>
      <c r="OL124" s="978"/>
      <c r="OM124" s="978"/>
      <c r="ON124" s="978"/>
      <c r="OO124" s="978"/>
      <c r="OP124" s="978"/>
      <c r="OQ124" s="978"/>
      <c r="OR124" s="978"/>
      <c r="OS124" s="978"/>
      <c r="OT124" s="978"/>
      <c r="OU124" s="978"/>
      <c r="OV124" s="978"/>
      <c r="OW124" s="978"/>
      <c r="OX124" s="978"/>
      <c r="OY124" s="978"/>
      <c r="OZ124" s="978"/>
      <c r="PA124" s="978"/>
      <c r="PB124" s="978"/>
      <c r="PC124" s="978"/>
      <c r="PD124" s="978"/>
      <c r="PE124" s="978"/>
      <c r="PF124" s="978"/>
      <c r="PG124" s="978"/>
      <c r="PH124" s="978"/>
      <c r="PI124" s="978"/>
      <c r="PJ124" s="978"/>
      <c r="PK124" s="978"/>
      <c r="PL124" s="978"/>
      <c r="PM124" s="978"/>
      <c r="PN124" s="978"/>
      <c r="PO124" s="978"/>
      <c r="PP124" s="978"/>
      <c r="PQ124" s="978"/>
      <c r="PR124" s="978"/>
      <c r="PS124" s="978"/>
      <c r="PT124" s="978"/>
      <c r="PU124" s="978"/>
      <c r="PV124" s="978"/>
      <c r="PW124" s="978"/>
      <c r="PX124" s="978"/>
      <c r="PY124" s="978"/>
      <c r="PZ124" s="978"/>
      <c r="QA124" s="978"/>
      <c r="QB124" s="978"/>
      <c r="QC124" s="978"/>
      <c r="QD124" s="978"/>
      <c r="QE124" s="978"/>
      <c r="QF124" s="978"/>
      <c r="QG124" s="978"/>
      <c r="QH124" s="978"/>
      <c r="QI124" s="978"/>
      <c r="QJ124" s="978"/>
      <c r="QK124" s="978"/>
      <c r="QL124" s="978"/>
      <c r="QM124" s="978"/>
      <c r="QN124" s="978"/>
      <c r="QO124" s="978"/>
      <c r="QP124" s="978"/>
      <c r="QQ124" s="978"/>
      <c r="QR124" s="978"/>
      <c r="QS124" s="978"/>
      <c r="QT124" s="978"/>
      <c r="QU124" s="978"/>
      <c r="QV124" s="978"/>
      <c r="QW124" s="978"/>
      <c r="QX124" s="978"/>
      <c r="QY124" s="978"/>
      <c r="QZ124" s="978"/>
      <c r="RA124" s="978"/>
      <c r="RB124" s="274"/>
      <c r="RC124" s="274"/>
    </row>
    <row r="125" spans="2:471" ht="17.25">
      <c r="DH125" s="274"/>
      <c r="DI125" s="274"/>
      <c r="DJ125" s="978"/>
      <c r="DK125" s="978"/>
      <c r="DL125" s="978"/>
      <c r="DM125" s="978"/>
      <c r="DN125" s="978"/>
      <c r="DO125" s="978"/>
      <c r="DP125" s="978"/>
      <c r="DQ125" s="978"/>
      <c r="DR125" s="978"/>
      <c r="DS125" s="978"/>
      <c r="DT125" s="978"/>
      <c r="DU125" s="978"/>
      <c r="DV125" s="978"/>
      <c r="DW125" s="978"/>
      <c r="DX125" s="978"/>
      <c r="DY125" s="978"/>
      <c r="DZ125" s="978"/>
      <c r="EA125" s="978"/>
      <c r="EB125" s="978"/>
      <c r="EC125" s="978"/>
      <c r="ED125" s="978"/>
      <c r="EE125" s="978"/>
      <c r="EF125" s="978"/>
      <c r="EG125" s="978"/>
      <c r="EH125" s="978"/>
      <c r="EI125" s="978"/>
      <c r="EJ125" s="978"/>
      <c r="EK125" s="978"/>
      <c r="EL125" s="978"/>
      <c r="EM125" s="978"/>
      <c r="EN125" s="978"/>
      <c r="EO125" s="978"/>
      <c r="EP125" s="978"/>
      <c r="EQ125" s="978"/>
      <c r="ER125" s="978"/>
      <c r="ES125" s="978"/>
      <c r="ET125" s="978"/>
      <c r="EU125" s="978"/>
      <c r="EV125" s="978"/>
      <c r="EW125" s="978"/>
      <c r="EX125" s="978"/>
      <c r="EY125" s="978"/>
      <c r="EZ125" s="978"/>
      <c r="FA125" s="978"/>
      <c r="FB125" s="978"/>
      <c r="FC125" s="978"/>
      <c r="FD125" s="978"/>
      <c r="FE125" s="978"/>
      <c r="FF125" s="978"/>
      <c r="FG125" s="978"/>
      <c r="FH125" s="978"/>
      <c r="FI125" s="978"/>
      <c r="FJ125" s="978"/>
      <c r="FK125" s="978"/>
      <c r="FL125" s="978"/>
      <c r="FM125" s="978"/>
      <c r="FN125" s="978"/>
      <c r="FO125" s="978"/>
      <c r="FP125" s="978"/>
      <c r="FQ125" s="978"/>
      <c r="FR125" s="978"/>
      <c r="FS125" s="978"/>
      <c r="FT125" s="978"/>
      <c r="FU125" s="978"/>
      <c r="FV125" s="978"/>
      <c r="FW125" s="978"/>
      <c r="FX125" s="978"/>
      <c r="FY125" s="978"/>
      <c r="FZ125" s="978"/>
      <c r="GA125" s="978"/>
      <c r="GB125" s="978"/>
      <c r="GC125" s="978"/>
      <c r="GD125" s="978"/>
      <c r="GE125" s="978"/>
      <c r="GF125" s="978"/>
      <c r="GG125" s="978"/>
      <c r="GH125" s="978"/>
      <c r="GI125" s="978"/>
      <c r="GJ125" s="978"/>
      <c r="GK125" s="978"/>
      <c r="GL125" s="978"/>
      <c r="GM125" s="978"/>
      <c r="GN125" s="978"/>
      <c r="GO125" s="978"/>
      <c r="GP125" s="978"/>
      <c r="GQ125" s="978"/>
      <c r="GR125" s="978"/>
      <c r="GS125" s="978"/>
      <c r="GT125" s="978"/>
      <c r="GU125" s="978"/>
      <c r="GV125" s="978"/>
      <c r="GW125" s="978"/>
      <c r="GX125" s="978"/>
      <c r="GY125" s="978"/>
      <c r="GZ125" s="978"/>
      <c r="HA125" s="978"/>
      <c r="HB125" s="978"/>
      <c r="HC125" s="978"/>
      <c r="HD125" s="978"/>
      <c r="HE125" s="978"/>
      <c r="HF125" s="978"/>
      <c r="HG125" s="978"/>
      <c r="HH125" s="978"/>
      <c r="HI125" s="978"/>
      <c r="HJ125" s="978"/>
      <c r="HK125" s="978"/>
      <c r="HL125" s="978"/>
      <c r="HM125" s="978"/>
      <c r="HN125" s="978"/>
      <c r="HO125" s="978"/>
      <c r="HP125" s="978"/>
      <c r="HQ125" s="978"/>
      <c r="HR125" s="978"/>
      <c r="HS125" s="978"/>
      <c r="HT125" s="978"/>
      <c r="HU125" s="978"/>
      <c r="HV125" s="978"/>
      <c r="HW125" s="978"/>
      <c r="HX125" s="978"/>
      <c r="HY125" s="978"/>
      <c r="HZ125" s="978"/>
      <c r="IA125" s="978"/>
      <c r="IB125" s="978"/>
      <c r="IC125" s="978"/>
      <c r="ID125" s="978"/>
      <c r="IE125" s="978"/>
      <c r="IF125" s="978"/>
      <c r="IG125" s="978"/>
      <c r="IH125" s="978"/>
      <c r="II125" s="978"/>
      <c r="IJ125" s="978"/>
      <c r="IK125" s="978"/>
      <c r="IL125" s="978"/>
      <c r="IM125" s="978"/>
      <c r="IN125" s="978"/>
      <c r="IO125" s="978"/>
      <c r="IP125" s="978"/>
      <c r="IQ125" s="978"/>
      <c r="IR125" s="978"/>
      <c r="IS125" s="978"/>
      <c r="IT125" s="978"/>
      <c r="IU125" s="978"/>
      <c r="IV125" s="978"/>
      <c r="IW125" s="978"/>
      <c r="IX125" s="978"/>
      <c r="IY125" s="978"/>
      <c r="IZ125" s="978"/>
      <c r="JA125" s="978"/>
      <c r="JB125" s="978"/>
      <c r="JC125" s="978"/>
      <c r="JD125" s="978"/>
      <c r="JE125" s="978"/>
      <c r="JF125" s="978"/>
      <c r="JG125" s="978"/>
      <c r="JH125" s="978"/>
      <c r="JI125" s="978"/>
      <c r="JJ125" s="978"/>
      <c r="JK125" s="978"/>
      <c r="JL125" s="978"/>
      <c r="JM125" s="978"/>
      <c r="JN125" s="978"/>
      <c r="JO125" s="978"/>
      <c r="JP125" s="978"/>
      <c r="JQ125" s="978"/>
      <c r="JR125" s="978"/>
      <c r="JS125" s="978"/>
      <c r="JT125" s="978"/>
      <c r="JU125" s="978"/>
      <c r="JV125" s="978"/>
      <c r="JW125" s="978"/>
      <c r="JX125" s="978"/>
      <c r="JY125" s="978"/>
      <c r="JZ125" s="978"/>
      <c r="KA125" s="978"/>
      <c r="KB125" s="978"/>
      <c r="KC125" s="978"/>
      <c r="KD125" s="978"/>
      <c r="KE125" s="978"/>
      <c r="KF125" s="978"/>
      <c r="KG125" s="978"/>
      <c r="KH125" s="978"/>
      <c r="KI125" s="978"/>
      <c r="KJ125" s="978"/>
      <c r="KK125" s="978"/>
      <c r="KL125" s="978"/>
      <c r="KM125" s="978"/>
      <c r="KN125" s="978"/>
      <c r="KO125" s="978"/>
      <c r="KP125" s="978"/>
      <c r="KQ125" s="978"/>
      <c r="KR125" s="978"/>
      <c r="KS125" s="978"/>
      <c r="KT125" s="978"/>
      <c r="KU125" s="978"/>
      <c r="KV125" s="978"/>
      <c r="KW125" s="978"/>
      <c r="KX125" s="978"/>
      <c r="KY125" s="978"/>
      <c r="KZ125" s="978"/>
      <c r="LA125" s="978"/>
      <c r="LB125" s="978"/>
      <c r="LC125" s="978"/>
      <c r="LD125" s="978"/>
      <c r="LE125" s="978"/>
      <c r="LF125" s="978"/>
      <c r="LG125" s="978"/>
      <c r="LH125" s="978"/>
      <c r="LI125" s="978"/>
      <c r="LJ125" s="978"/>
      <c r="LK125" s="978"/>
      <c r="LL125" s="978"/>
      <c r="LM125" s="978"/>
      <c r="LN125" s="978"/>
      <c r="LO125" s="978"/>
      <c r="LP125" s="978"/>
      <c r="LQ125" s="978"/>
      <c r="LR125" s="978"/>
      <c r="LS125" s="978"/>
      <c r="LT125" s="978"/>
      <c r="LU125" s="978"/>
      <c r="LV125" s="978"/>
      <c r="LW125" s="978"/>
      <c r="LX125" s="978"/>
      <c r="LY125" s="978"/>
      <c r="LZ125" s="978"/>
      <c r="MA125" s="978"/>
      <c r="MB125" s="978"/>
      <c r="MC125" s="978"/>
      <c r="MD125" s="978"/>
      <c r="ME125" s="978"/>
      <c r="MF125" s="978"/>
      <c r="MG125" s="978"/>
      <c r="MH125" s="978"/>
      <c r="MI125" s="978"/>
      <c r="MJ125" s="978"/>
      <c r="MK125" s="978"/>
      <c r="ML125" s="978"/>
      <c r="MM125" s="978"/>
      <c r="MN125" s="978"/>
      <c r="MO125" s="978"/>
      <c r="MP125" s="978"/>
      <c r="MQ125" s="978"/>
      <c r="MR125" s="978"/>
      <c r="MS125" s="978"/>
      <c r="MT125" s="978"/>
      <c r="MU125" s="978"/>
      <c r="MV125" s="978"/>
      <c r="MW125" s="978"/>
      <c r="MX125" s="978"/>
      <c r="MY125" s="978"/>
      <c r="MZ125" s="978"/>
      <c r="NA125" s="978"/>
      <c r="NB125" s="978"/>
      <c r="NC125" s="978"/>
      <c r="ND125" s="978"/>
      <c r="NE125" s="978"/>
      <c r="NF125" s="978"/>
      <c r="NG125" s="978"/>
      <c r="NH125" s="978"/>
      <c r="NI125" s="978"/>
      <c r="NJ125" s="978"/>
      <c r="NK125" s="978"/>
      <c r="NL125" s="978"/>
      <c r="NM125" s="978"/>
      <c r="NN125" s="978"/>
      <c r="NO125" s="978"/>
      <c r="NP125" s="978"/>
      <c r="NQ125" s="978"/>
      <c r="NR125" s="978"/>
      <c r="NS125" s="978"/>
      <c r="NT125" s="978"/>
      <c r="NU125" s="978"/>
      <c r="NV125" s="978"/>
      <c r="NW125" s="978"/>
      <c r="NX125" s="978"/>
      <c r="NY125" s="978"/>
      <c r="NZ125" s="978"/>
      <c r="OA125" s="978"/>
      <c r="OB125" s="978"/>
      <c r="OC125" s="978"/>
      <c r="OD125" s="978"/>
      <c r="OE125" s="978"/>
      <c r="OF125" s="978"/>
      <c r="OG125" s="978"/>
      <c r="OH125" s="978"/>
      <c r="OI125" s="978"/>
      <c r="OJ125" s="978"/>
      <c r="OK125" s="978"/>
      <c r="OL125" s="978"/>
      <c r="OM125" s="978"/>
      <c r="ON125" s="978"/>
      <c r="OO125" s="978"/>
      <c r="OP125" s="978"/>
      <c r="OQ125" s="978"/>
      <c r="OR125" s="978"/>
      <c r="OS125" s="978"/>
      <c r="OT125" s="978"/>
      <c r="OU125" s="978"/>
      <c r="OV125" s="978"/>
      <c r="OW125" s="978"/>
      <c r="OX125" s="978"/>
      <c r="OY125" s="978"/>
      <c r="OZ125" s="978"/>
      <c r="PA125" s="978"/>
      <c r="PB125" s="978"/>
      <c r="PC125" s="978"/>
      <c r="PD125" s="978"/>
      <c r="PE125" s="978"/>
      <c r="PF125" s="978"/>
      <c r="PG125" s="978"/>
      <c r="PH125" s="978"/>
      <c r="PI125" s="978"/>
      <c r="PJ125" s="978"/>
      <c r="PK125" s="978"/>
      <c r="PL125" s="978"/>
      <c r="PM125" s="978"/>
      <c r="PN125" s="978"/>
      <c r="PO125" s="978"/>
      <c r="PP125" s="978"/>
      <c r="PQ125" s="978"/>
      <c r="PR125" s="978"/>
      <c r="PS125" s="978"/>
      <c r="PT125" s="978"/>
      <c r="PU125" s="978"/>
      <c r="PV125" s="978"/>
      <c r="PW125" s="978"/>
      <c r="PX125" s="978"/>
      <c r="PY125" s="978"/>
      <c r="PZ125" s="978"/>
      <c r="QA125" s="978"/>
      <c r="QB125" s="978"/>
      <c r="QC125" s="978"/>
      <c r="QD125" s="978"/>
      <c r="QE125" s="978"/>
      <c r="QF125" s="978"/>
      <c r="QG125" s="978"/>
      <c r="QH125" s="978"/>
      <c r="QI125" s="978"/>
      <c r="QJ125" s="978"/>
      <c r="QK125" s="978"/>
      <c r="QL125" s="978"/>
      <c r="QM125" s="978"/>
      <c r="QN125" s="978"/>
      <c r="QO125" s="978"/>
      <c r="QP125" s="978"/>
      <c r="QQ125" s="978"/>
      <c r="QR125" s="978"/>
      <c r="QS125" s="978"/>
      <c r="QT125" s="978"/>
      <c r="QU125" s="978"/>
      <c r="QV125" s="978"/>
      <c r="QW125" s="978"/>
      <c r="QX125" s="978"/>
      <c r="QY125" s="978"/>
      <c r="QZ125" s="978"/>
      <c r="RA125" s="978"/>
      <c r="RB125" s="274"/>
      <c r="RC125" s="274"/>
    </row>
    <row r="126" spans="2:471" ht="17.25">
      <c r="DH126" s="274"/>
      <c r="DI126" s="274"/>
      <c r="DJ126" s="978"/>
      <c r="DK126" s="978"/>
      <c r="DL126" s="978"/>
      <c r="DM126" s="978"/>
      <c r="DN126" s="978"/>
      <c r="DO126" s="978"/>
      <c r="DP126" s="978"/>
      <c r="DQ126" s="978"/>
      <c r="DR126" s="978"/>
      <c r="DS126" s="978"/>
      <c r="DT126" s="978"/>
      <c r="DU126" s="978"/>
      <c r="DV126" s="978"/>
      <c r="DW126" s="978"/>
      <c r="DX126" s="978"/>
      <c r="DY126" s="978"/>
      <c r="DZ126" s="978"/>
      <c r="EA126" s="978"/>
      <c r="EB126" s="978"/>
      <c r="EC126" s="978"/>
      <c r="ED126" s="978"/>
      <c r="EE126" s="978"/>
      <c r="EF126" s="978"/>
      <c r="EG126" s="978"/>
      <c r="EH126" s="978"/>
      <c r="EI126" s="978"/>
      <c r="EJ126" s="978"/>
      <c r="EK126" s="978"/>
      <c r="EL126" s="978"/>
      <c r="EM126" s="978"/>
      <c r="EN126" s="978"/>
      <c r="EO126" s="978"/>
      <c r="EP126" s="978"/>
      <c r="EQ126" s="978"/>
      <c r="ER126" s="978"/>
      <c r="ES126" s="978"/>
      <c r="ET126" s="978"/>
      <c r="EU126" s="978"/>
      <c r="EV126" s="978"/>
      <c r="EW126" s="978"/>
      <c r="EX126" s="978"/>
      <c r="EY126" s="978"/>
      <c r="EZ126" s="978"/>
      <c r="FA126" s="978"/>
      <c r="FB126" s="978"/>
      <c r="FC126" s="978"/>
      <c r="FD126" s="978"/>
      <c r="FE126" s="978"/>
      <c r="FF126" s="978"/>
      <c r="FG126" s="978"/>
      <c r="FH126" s="978"/>
      <c r="FI126" s="978"/>
      <c r="FJ126" s="978"/>
      <c r="FK126" s="978"/>
      <c r="FL126" s="978"/>
      <c r="FM126" s="978"/>
      <c r="FN126" s="978"/>
      <c r="FO126" s="978"/>
      <c r="FP126" s="978"/>
      <c r="FQ126" s="978"/>
      <c r="FR126" s="978"/>
      <c r="FS126" s="978"/>
      <c r="FT126" s="978"/>
      <c r="FU126" s="978"/>
      <c r="FV126" s="978"/>
      <c r="FW126" s="978"/>
      <c r="FX126" s="978"/>
      <c r="FY126" s="978"/>
      <c r="FZ126" s="978"/>
      <c r="GA126" s="978"/>
      <c r="GB126" s="978"/>
      <c r="GC126" s="978"/>
      <c r="GD126" s="978"/>
      <c r="GE126" s="978"/>
      <c r="GF126" s="978"/>
      <c r="GG126" s="978"/>
      <c r="GH126" s="978"/>
      <c r="GI126" s="978"/>
      <c r="GJ126" s="978"/>
      <c r="GK126" s="978"/>
      <c r="GL126" s="978"/>
      <c r="GM126" s="978"/>
      <c r="GN126" s="978"/>
      <c r="GO126" s="978"/>
      <c r="GP126" s="978"/>
      <c r="GQ126" s="978"/>
      <c r="GR126" s="978"/>
      <c r="GS126" s="978"/>
      <c r="GT126" s="978"/>
      <c r="GU126" s="978"/>
      <c r="GV126" s="978"/>
      <c r="GW126" s="978"/>
      <c r="GX126" s="978"/>
      <c r="GY126" s="978"/>
      <c r="GZ126" s="978"/>
      <c r="HA126" s="978"/>
      <c r="HB126" s="978"/>
      <c r="HC126" s="978"/>
      <c r="HD126" s="978"/>
      <c r="HE126" s="978"/>
      <c r="HF126" s="978"/>
      <c r="HG126" s="978"/>
      <c r="HH126" s="978"/>
      <c r="HI126" s="978"/>
      <c r="HJ126" s="978"/>
      <c r="HK126" s="978"/>
      <c r="HL126" s="978"/>
      <c r="HM126" s="978"/>
      <c r="HN126" s="978"/>
      <c r="HO126" s="978"/>
      <c r="HP126" s="978"/>
      <c r="HQ126" s="978"/>
      <c r="HR126" s="978"/>
      <c r="HS126" s="978"/>
      <c r="HT126" s="978"/>
      <c r="HU126" s="978"/>
      <c r="HV126" s="978"/>
      <c r="HW126" s="978"/>
      <c r="HX126" s="978"/>
      <c r="HY126" s="978"/>
      <c r="HZ126" s="978"/>
      <c r="IA126" s="978"/>
      <c r="IB126" s="978"/>
      <c r="IC126" s="978"/>
      <c r="ID126" s="978"/>
      <c r="IE126" s="978"/>
      <c r="IF126" s="978"/>
      <c r="IG126" s="978"/>
      <c r="IH126" s="978"/>
      <c r="II126" s="978"/>
      <c r="IJ126" s="978"/>
      <c r="IK126" s="978"/>
      <c r="IL126" s="978"/>
      <c r="IM126" s="978"/>
      <c r="IN126" s="978"/>
      <c r="IO126" s="978"/>
      <c r="IP126" s="978"/>
      <c r="IQ126" s="978"/>
      <c r="IR126" s="978"/>
      <c r="IS126" s="978"/>
      <c r="IT126" s="978"/>
      <c r="IU126" s="978"/>
      <c r="IV126" s="978"/>
      <c r="IW126" s="978"/>
      <c r="IX126" s="978"/>
      <c r="IY126" s="978"/>
      <c r="IZ126" s="978"/>
      <c r="JA126" s="978"/>
      <c r="JB126" s="978"/>
      <c r="JC126" s="978"/>
      <c r="JD126" s="978"/>
      <c r="JE126" s="978"/>
      <c r="JF126" s="978"/>
      <c r="JG126" s="978"/>
      <c r="JH126" s="978"/>
      <c r="JI126" s="978"/>
      <c r="JJ126" s="978"/>
      <c r="JK126" s="978"/>
      <c r="JL126" s="978"/>
      <c r="JM126" s="978"/>
      <c r="JN126" s="978"/>
      <c r="JO126" s="978"/>
      <c r="JP126" s="978"/>
      <c r="JQ126" s="978"/>
      <c r="JR126" s="978"/>
      <c r="JS126" s="978"/>
      <c r="JT126" s="978"/>
      <c r="JU126" s="978"/>
      <c r="JV126" s="978"/>
      <c r="JW126" s="978"/>
      <c r="JX126" s="978"/>
      <c r="JY126" s="978"/>
      <c r="JZ126" s="978"/>
      <c r="KA126" s="978"/>
      <c r="KB126" s="978"/>
      <c r="KC126" s="978"/>
      <c r="KD126" s="978"/>
      <c r="KE126" s="978"/>
      <c r="KF126" s="978"/>
      <c r="KG126" s="978"/>
      <c r="KH126" s="978"/>
      <c r="KI126" s="978"/>
      <c r="KJ126" s="978"/>
      <c r="KK126" s="978"/>
      <c r="KL126" s="978"/>
      <c r="KM126" s="978"/>
      <c r="KN126" s="978"/>
      <c r="KO126" s="978"/>
      <c r="KP126" s="978"/>
      <c r="KQ126" s="978"/>
      <c r="KR126" s="978"/>
      <c r="KS126" s="978"/>
      <c r="KT126" s="978"/>
      <c r="KU126" s="978"/>
      <c r="KV126" s="978"/>
      <c r="KW126" s="978"/>
      <c r="KX126" s="978"/>
      <c r="KY126" s="978"/>
      <c r="KZ126" s="978"/>
      <c r="LA126" s="978"/>
      <c r="LB126" s="978"/>
      <c r="LC126" s="978"/>
      <c r="LD126" s="978"/>
      <c r="LE126" s="978"/>
      <c r="LF126" s="978"/>
      <c r="LG126" s="978"/>
      <c r="LH126" s="978"/>
      <c r="LI126" s="978"/>
      <c r="LJ126" s="978"/>
      <c r="LK126" s="978"/>
      <c r="LL126" s="978"/>
      <c r="LM126" s="978"/>
      <c r="LN126" s="978"/>
      <c r="LO126" s="978"/>
      <c r="LP126" s="978"/>
      <c r="LQ126" s="978"/>
      <c r="LR126" s="978"/>
      <c r="LS126" s="978"/>
      <c r="LT126" s="978"/>
      <c r="LU126" s="978"/>
      <c r="LV126" s="978"/>
      <c r="LW126" s="978"/>
      <c r="LX126" s="978"/>
      <c r="LY126" s="978"/>
      <c r="LZ126" s="978"/>
      <c r="MA126" s="978"/>
      <c r="MB126" s="978"/>
      <c r="MC126" s="978"/>
      <c r="MD126" s="978"/>
      <c r="ME126" s="978"/>
      <c r="MF126" s="978"/>
      <c r="MG126" s="978"/>
      <c r="MH126" s="978"/>
      <c r="MI126" s="978"/>
      <c r="MJ126" s="978"/>
      <c r="MK126" s="978"/>
      <c r="ML126" s="978"/>
      <c r="MM126" s="978"/>
      <c r="MN126" s="978"/>
      <c r="MO126" s="978"/>
      <c r="MP126" s="978"/>
      <c r="MQ126" s="978"/>
      <c r="MR126" s="978"/>
      <c r="MS126" s="978"/>
      <c r="MT126" s="978"/>
      <c r="MU126" s="978"/>
      <c r="MV126" s="978"/>
      <c r="MW126" s="978"/>
      <c r="MX126" s="978"/>
      <c r="MY126" s="978"/>
      <c r="MZ126" s="978"/>
      <c r="NA126" s="978"/>
      <c r="NB126" s="978"/>
      <c r="NC126" s="978"/>
      <c r="ND126" s="978"/>
      <c r="NE126" s="978"/>
      <c r="NF126" s="978"/>
      <c r="NG126" s="978"/>
      <c r="NH126" s="978"/>
      <c r="NI126" s="978"/>
      <c r="NJ126" s="978"/>
      <c r="NK126" s="978"/>
      <c r="NL126" s="978"/>
      <c r="NM126" s="978"/>
      <c r="NN126" s="978"/>
      <c r="NO126" s="978"/>
      <c r="NP126" s="978"/>
      <c r="NQ126" s="978"/>
      <c r="NR126" s="978"/>
      <c r="NS126" s="978"/>
      <c r="NT126" s="978"/>
      <c r="NU126" s="978"/>
      <c r="NV126" s="978"/>
      <c r="NW126" s="978"/>
      <c r="NX126" s="978"/>
      <c r="NY126" s="978"/>
      <c r="NZ126" s="978"/>
      <c r="OA126" s="978"/>
      <c r="OB126" s="978"/>
      <c r="OC126" s="978"/>
      <c r="OD126" s="978"/>
      <c r="OE126" s="978"/>
      <c r="OF126" s="978"/>
      <c r="OG126" s="978"/>
      <c r="OH126" s="978"/>
      <c r="OI126" s="978"/>
      <c r="OJ126" s="978"/>
      <c r="OK126" s="978"/>
      <c r="OL126" s="978"/>
      <c r="OM126" s="978"/>
      <c r="ON126" s="978"/>
      <c r="OO126" s="978"/>
      <c r="OP126" s="978"/>
      <c r="OQ126" s="978"/>
      <c r="OR126" s="978"/>
      <c r="OS126" s="978"/>
      <c r="OT126" s="978"/>
      <c r="OU126" s="978"/>
      <c r="OV126" s="978"/>
      <c r="OW126" s="978"/>
      <c r="OX126" s="978"/>
      <c r="OY126" s="978"/>
      <c r="OZ126" s="978"/>
      <c r="PA126" s="978"/>
      <c r="PB126" s="978"/>
      <c r="PC126" s="978"/>
      <c r="PD126" s="978"/>
      <c r="PE126" s="978"/>
      <c r="PF126" s="978"/>
      <c r="PG126" s="978"/>
      <c r="PH126" s="978"/>
      <c r="PI126" s="978"/>
      <c r="PJ126" s="978"/>
      <c r="PK126" s="978"/>
      <c r="PL126" s="978"/>
      <c r="PM126" s="978"/>
      <c r="PN126" s="978"/>
      <c r="PO126" s="978"/>
      <c r="PP126" s="978"/>
      <c r="PQ126" s="978"/>
      <c r="PR126" s="978"/>
      <c r="PS126" s="978"/>
      <c r="PT126" s="978"/>
      <c r="PU126" s="978"/>
      <c r="PV126" s="978"/>
      <c r="PW126" s="978"/>
      <c r="PX126" s="978"/>
      <c r="PY126" s="978"/>
      <c r="PZ126" s="978"/>
      <c r="QA126" s="978"/>
      <c r="QB126" s="978"/>
      <c r="QC126" s="978"/>
      <c r="QD126" s="978"/>
      <c r="QE126" s="978"/>
      <c r="QF126" s="978"/>
      <c r="QG126" s="978"/>
      <c r="QH126" s="978"/>
      <c r="QI126" s="978"/>
      <c r="QJ126" s="978"/>
      <c r="QK126" s="978"/>
      <c r="QL126" s="978"/>
      <c r="QM126" s="978"/>
      <c r="QN126" s="978"/>
      <c r="QO126" s="978"/>
      <c r="QP126" s="978"/>
      <c r="QQ126" s="978"/>
      <c r="QR126" s="978"/>
      <c r="QS126" s="978"/>
      <c r="QT126" s="978"/>
      <c r="QU126" s="978"/>
      <c r="QV126" s="978"/>
      <c r="QW126" s="978"/>
      <c r="QX126" s="978"/>
      <c r="QY126" s="978"/>
      <c r="QZ126" s="978"/>
      <c r="RA126" s="978"/>
      <c r="RB126" s="274"/>
      <c r="RC126" s="274"/>
    </row>
    <row r="127" spans="2:471" ht="17.25">
      <c r="DH127" s="274"/>
      <c r="DI127" s="274"/>
      <c r="DJ127" s="978"/>
      <c r="DK127" s="978"/>
      <c r="DL127" s="978"/>
      <c r="DM127" s="978"/>
      <c r="DN127" s="978"/>
      <c r="DO127" s="978"/>
      <c r="DP127" s="978"/>
      <c r="DQ127" s="978"/>
      <c r="DR127" s="978"/>
      <c r="DS127" s="978"/>
      <c r="DT127" s="978"/>
      <c r="DU127" s="978"/>
      <c r="DV127" s="978"/>
      <c r="DW127" s="978"/>
      <c r="DX127" s="978"/>
      <c r="DY127" s="978"/>
      <c r="DZ127" s="978"/>
      <c r="EA127" s="978"/>
      <c r="EB127" s="978"/>
      <c r="EC127" s="978"/>
      <c r="ED127" s="978"/>
      <c r="EE127" s="978"/>
      <c r="EF127" s="978"/>
      <c r="EG127" s="978"/>
      <c r="EH127" s="978"/>
      <c r="EI127" s="978"/>
      <c r="EJ127" s="978"/>
      <c r="EK127" s="978"/>
      <c r="EL127" s="978"/>
      <c r="EM127" s="978"/>
      <c r="EN127" s="978"/>
      <c r="EO127" s="978"/>
      <c r="EP127" s="978"/>
      <c r="EQ127" s="978"/>
      <c r="ER127" s="978"/>
      <c r="ES127" s="978"/>
      <c r="ET127" s="978"/>
      <c r="EU127" s="978"/>
      <c r="EV127" s="978"/>
      <c r="EW127" s="978"/>
      <c r="EX127" s="978"/>
      <c r="EY127" s="978"/>
      <c r="EZ127" s="978"/>
      <c r="FA127" s="978"/>
      <c r="FB127" s="978"/>
      <c r="FC127" s="978"/>
      <c r="FD127" s="978"/>
      <c r="FE127" s="978"/>
      <c r="FF127" s="978"/>
      <c r="FG127" s="978"/>
      <c r="FH127" s="978"/>
      <c r="FI127" s="978"/>
      <c r="FJ127" s="978"/>
      <c r="FK127" s="978"/>
      <c r="FL127" s="978"/>
      <c r="FM127" s="978"/>
      <c r="FN127" s="978"/>
      <c r="FO127" s="978"/>
      <c r="FP127" s="978"/>
      <c r="FQ127" s="978"/>
      <c r="FR127" s="978"/>
      <c r="FS127" s="978"/>
      <c r="FT127" s="978"/>
      <c r="FU127" s="978"/>
      <c r="FV127" s="978"/>
      <c r="FW127" s="978"/>
      <c r="FX127" s="978"/>
      <c r="FY127" s="978"/>
      <c r="FZ127" s="978"/>
      <c r="GA127" s="978"/>
      <c r="GB127" s="978"/>
      <c r="GC127" s="978"/>
      <c r="GD127" s="978"/>
      <c r="GE127" s="978"/>
      <c r="GF127" s="978"/>
      <c r="GG127" s="978"/>
      <c r="GH127" s="978"/>
      <c r="GI127" s="978"/>
      <c r="GJ127" s="978"/>
      <c r="GK127" s="978"/>
      <c r="GL127" s="978"/>
      <c r="GM127" s="978"/>
      <c r="GN127" s="978"/>
      <c r="GO127" s="978"/>
      <c r="GP127" s="978"/>
      <c r="GQ127" s="978"/>
      <c r="GR127" s="978"/>
      <c r="GS127" s="978"/>
      <c r="GT127" s="978"/>
      <c r="GU127" s="978"/>
      <c r="GV127" s="978"/>
      <c r="GW127" s="978"/>
      <c r="GX127" s="978"/>
      <c r="GY127" s="978"/>
      <c r="GZ127" s="978"/>
      <c r="HA127" s="978"/>
      <c r="HB127" s="978"/>
      <c r="HC127" s="978"/>
      <c r="HD127" s="978"/>
      <c r="HE127" s="978"/>
      <c r="HF127" s="978"/>
      <c r="HG127" s="978"/>
      <c r="HH127" s="978"/>
      <c r="HI127" s="978"/>
      <c r="HJ127" s="978"/>
      <c r="HK127" s="978"/>
      <c r="HL127" s="978"/>
      <c r="HM127" s="978"/>
      <c r="HN127" s="978"/>
      <c r="HO127" s="978"/>
      <c r="HP127" s="978"/>
      <c r="HQ127" s="978"/>
      <c r="HR127" s="978"/>
      <c r="HS127" s="978"/>
      <c r="HT127" s="978"/>
      <c r="HU127" s="978"/>
      <c r="HV127" s="978"/>
      <c r="HW127" s="978"/>
      <c r="HX127" s="978"/>
      <c r="HY127" s="978"/>
      <c r="HZ127" s="978"/>
      <c r="IA127" s="978"/>
      <c r="IB127" s="978"/>
      <c r="IC127" s="978"/>
      <c r="ID127" s="978"/>
      <c r="IE127" s="978"/>
      <c r="IF127" s="978"/>
      <c r="IG127" s="978"/>
      <c r="IH127" s="978"/>
      <c r="II127" s="978"/>
      <c r="IJ127" s="978"/>
      <c r="IK127" s="978"/>
      <c r="IL127" s="978"/>
      <c r="IM127" s="978"/>
      <c r="IN127" s="978"/>
      <c r="IO127" s="978"/>
      <c r="IP127" s="978"/>
      <c r="IQ127" s="978"/>
      <c r="IR127" s="978"/>
      <c r="IS127" s="978"/>
      <c r="IT127" s="978"/>
      <c r="IU127" s="978"/>
      <c r="IV127" s="978"/>
      <c r="IW127" s="978"/>
      <c r="IX127" s="978"/>
      <c r="IY127" s="978"/>
      <c r="IZ127" s="978"/>
      <c r="JA127" s="978"/>
      <c r="JB127" s="978"/>
      <c r="JC127" s="978"/>
      <c r="JD127" s="978"/>
      <c r="JE127" s="978"/>
      <c r="JF127" s="978"/>
      <c r="JG127" s="978"/>
      <c r="JH127" s="978"/>
      <c r="JI127" s="978"/>
      <c r="JJ127" s="978"/>
      <c r="JK127" s="978"/>
      <c r="JL127" s="978"/>
      <c r="JM127" s="978"/>
      <c r="JN127" s="978"/>
      <c r="JO127" s="978"/>
      <c r="JP127" s="978"/>
      <c r="JQ127" s="978"/>
      <c r="JR127" s="978"/>
      <c r="JS127" s="978"/>
      <c r="JT127" s="978"/>
      <c r="JU127" s="978"/>
      <c r="JV127" s="978"/>
      <c r="JW127" s="978"/>
      <c r="JX127" s="978"/>
      <c r="JY127" s="978"/>
      <c r="JZ127" s="978"/>
      <c r="KA127" s="978"/>
      <c r="KB127" s="978"/>
      <c r="KC127" s="978"/>
      <c r="KD127" s="978"/>
      <c r="KE127" s="978"/>
      <c r="KF127" s="978"/>
      <c r="KG127" s="978"/>
      <c r="KH127" s="978"/>
      <c r="KI127" s="978"/>
      <c r="KJ127" s="978"/>
      <c r="KK127" s="978"/>
      <c r="KL127" s="978"/>
      <c r="KM127" s="978"/>
      <c r="KN127" s="978"/>
      <c r="KO127" s="978"/>
      <c r="KP127" s="978"/>
      <c r="KQ127" s="978"/>
      <c r="KR127" s="978"/>
      <c r="KS127" s="978"/>
      <c r="KT127" s="978"/>
      <c r="KU127" s="978"/>
      <c r="KV127" s="978"/>
      <c r="KW127" s="978"/>
      <c r="KX127" s="978"/>
      <c r="KY127" s="978"/>
      <c r="KZ127" s="978"/>
      <c r="LA127" s="978"/>
      <c r="LB127" s="978"/>
      <c r="LC127" s="978"/>
      <c r="LD127" s="978"/>
      <c r="LE127" s="978"/>
      <c r="LF127" s="978"/>
      <c r="LG127" s="978"/>
      <c r="LH127" s="978"/>
      <c r="LI127" s="978"/>
      <c r="LJ127" s="978"/>
      <c r="LK127" s="978"/>
      <c r="LL127" s="978"/>
      <c r="LM127" s="978"/>
      <c r="LN127" s="978"/>
      <c r="LO127" s="978"/>
      <c r="LP127" s="978"/>
      <c r="LQ127" s="978"/>
      <c r="LR127" s="978"/>
      <c r="LS127" s="978"/>
      <c r="LT127" s="978"/>
      <c r="LU127" s="978"/>
      <c r="LV127" s="978"/>
      <c r="LW127" s="978"/>
      <c r="LX127" s="978"/>
      <c r="LY127" s="978"/>
      <c r="LZ127" s="978"/>
      <c r="MA127" s="978"/>
      <c r="MB127" s="978"/>
      <c r="MC127" s="978"/>
      <c r="MD127" s="978"/>
      <c r="ME127" s="978"/>
      <c r="MF127" s="978"/>
      <c r="MG127" s="978"/>
      <c r="MH127" s="978"/>
      <c r="MI127" s="978"/>
      <c r="MJ127" s="978"/>
      <c r="MK127" s="978"/>
      <c r="ML127" s="978"/>
      <c r="MM127" s="978"/>
      <c r="MN127" s="978"/>
      <c r="MO127" s="978"/>
      <c r="MP127" s="978"/>
      <c r="MQ127" s="978"/>
      <c r="MR127" s="978"/>
      <c r="MS127" s="978"/>
      <c r="MT127" s="978"/>
      <c r="MU127" s="978"/>
      <c r="MV127" s="978"/>
      <c r="MW127" s="978"/>
      <c r="MX127" s="978"/>
      <c r="MY127" s="978"/>
      <c r="MZ127" s="978"/>
      <c r="NA127" s="978"/>
      <c r="NB127" s="978"/>
      <c r="NC127" s="978"/>
      <c r="ND127" s="978"/>
      <c r="NE127" s="978"/>
      <c r="NF127" s="978"/>
      <c r="NG127" s="978"/>
      <c r="NH127" s="978"/>
      <c r="NI127" s="978"/>
      <c r="NJ127" s="978"/>
      <c r="NK127" s="978"/>
      <c r="NL127" s="978"/>
      <c r="NM127" s="978"/>
      <c r="NN127" s="978"/>
      <c r="NO127" s="978"/>
      <c r="NP127" s="978"/>
      <c r="NQ127" s="978"/>
      <c r="NR127" s="978"/>
      <c r="NS127" s="978"/>
      <c r="NT127" s="978"/>
      <c r="NU127" s="978"/>
      <c r="NV127" s="978"/>
      <c r="NW127" s="978"/>
      <c r="NX127" s="978"/>
      <c r="NY127" s="978"/>
      <c r="NZ127" s="978"/>
      <c r="OA127" s="978"/>
      <c r="OB127" s="978"/>
      <c r="OC127" s="978"/>
      <c r="OD127" s="978"/>
      <c r="OE127" s="978"/>
      <c r="OF127" s="978"/>
      <c r="OG127" s="978"/>
      <c r="OH127" s="978"/>
      <c r="OI127" s="978"/>
      <c r="OJ127" s="978"/>
      <c r="OK127" s="978"/>
      <c r="OL127" s="978"/>
      <c r="OM127" s="978"/>
      <c r="ON127" s="978"/>
      <c r="OO127" s="978"/>
      <c r="OP127" s="978"/>
      <c r="OQ127" s="978"/>
      <c r="OR127" s="978"/>
      <c r="OS127" s="978"/>
      <c r="OT127" s="978"/>
      <c r="OU127" s="978"/>
      <c r="OV127" s="978"/>
      <c r="OW127" s="978"/>
      <c r="OX127" s="978"/>
      <c r="OY127" s="978"/>
      <c r="OZ127" s="978"/>
      <c r="PA127" s="978"/>
      <c r="PB127" s="978"/>
      <c r="PC127" s="978"/>
      <c r="PD127" s="978"/>
      <c r="PE127" s="978"/>
      <c r="PF127" s="978"/>
      <c r="PG127" s="978"/>
      <c r="PH127" s="978"/>
      <c r="PI127" s="978"/>
      <c r="PJ127" s="978"/>
      <c r="PK127" s="978"/>
      <c r="PL127" s="978"/>
      <c r="PM127" s="978"/>
      <c r="PN127" s="978"/>
      <c r="PO127" s="978"/>
      <c r="PP127" s="978"/>
      <c r="PQ127" s="978"/>
      <c r="PR127" s="978"/>
      <c r="PS127" s="978"/>
      <c r="PT127" s="978"/>
      <c r="PU127" s="978"/>
      <c r="PV127" s="978"/>
      <c r="PW127" s="978"/>
      <c r="PX127" s="978"/>
      <c r="PY127" s="978"/>
      <c r="PZ127" s="978"/>
      <c r="QA127" s="978"/>
      <c r="QB127" s="978"/>
      <c r="QC127" s="978"/>
      <c r="QD127" s="978"/>
      <c r="QE127" s="978"/>
      <c r="QF127" s="978"/>
      <c r="QG127" s="978"/>
      <c r="QH127" s="978"/>
      <c r="QI127" s="978"/>
      <c r="QJ127" s="978"/>
      <c r="QK127" s="978"/>
      <c r="QL127" s="978"/>
      <c r="QM127" s="978"/>
      <c r="QN127" s="978"/>
      <c r="QO127" s="978"/>
      <c r="QP127" s="978"/>
      <c r="QQ127" s="978"/>
      <c r="QR127" s="978"/>
      <c r="QS127" s="978"/>
      <c r="QT127" s="978"/>
      <c r="QU127" s="978"/>
      <c r="QV127" s="978"/>
      <c r="QW127" s="978"/>
      <c r="QX127" s="978"/>
      <c r="QY127" s="978"/>
      <c r="QZ127" s="978"/>
      <c r="RA127" s="978"/>
      <c r="RB127" s="274"/>
      <c r="RC127" s="274"/>
    </row>
    <row r="128" spans="2:471" ht="17.25">
      <c r="DH128" s="274"/>
      <c r="DI128" s="274"/>
      <c r="DJ128" s="978"/>
      <c r="DK128" s="978"/>
      <c r="DL128" s="978"/>
      <c r="DM128" s="978"/>
      <c r="DN128" s="978"/>
      <c r="DO128" s="978"/>
      <c r="DP128" s="978"/>
      <c r="DQ128" s="978"/>
      <c r="DR128" s="978"/>
      <c r="DS128" s="978"/>
      <c r="DT128" s="978"/>
      <c r="DU128" s="978"/>
      <c r="DV128" s="978"/>
      <c r="DW128" s="978"/>
      <c r="DX128" s="978"/>
      <c r="DY128" s="978"/>
      <c r="DZ128" s="978"/>
      <c r="EA128" s="978"/>
      <c r="EB128" s="978"/>
      <c r="EC128" s="978"/>
      <c r="ED128" s="978"/>
      <c r="EE128" s="978"/>
      <c r="EF128" s="978"/>
      <c r="EG128" s="978"/>
      <c r="EH128" s="978"/>
      <c r="EI128" s="978"/>
      <c r="EJ128" s="978"/>
      <c r="EK128" s="978"/>
      <c r="EL128" s="978"/>
      <c r="EM128" s="978"/>
      <c r="EN128" s="978"/>
      <c r="EO128" s="978"/>
      <c r="EP128" s="978"/>
      <c r="EQ128" s="978"/>
      <c r="ER128" s="978"/>
      <c r="ES128" s="978"/>
      <c r="ET128" s="978"/>
      <c r="EU128" s="978"/>
      <c r="EV128" s="978"/>
      <c r="EW128" s="978"/>
      <c r="EX128" s="978"/>
      <c r="EY128" s="978"/>
      <c r="EZ128" s="978"/>
      <c r="FA128" s="978"/>
      <c r="FB128" s="978"/>
      <c r="FC128" s="978"/>
      <c r="FD128" s="978"/>
      <c r="FE128" s="978"/>
      <c r="FF128" s="978"/>
      <c r="FG128" s="978"/>
      <c r="FH128" s="978"/>
      <c r="FI128" s="978"/>
      <c r="FJ128" s="978"/>
      <c r="FK128" s="978"/>
      <c r="FL128" s="978"/>
      <c r="FM128" s="978"/>
      <c r="FN128" s="978"/>
      <c r="FO128" s="978"/>
      <c r="FP128" s="978"/>
      <c r="FQ128" s="978"/>
      <c r="FR128" s="978"/>
      <c r="FS128" s="978"/>
      <c r="FT128" s="978"/>
      <c r="FU128" s="978"/>
      <c r="FV128" s="978"/>
      <c r="FW128" s="978"/>
      <c r="FX128" s="978"/>
      <c r="FY128" s="978"/>
      <c r="FZ128" s="978"/>
      <c r="GA128" s="978"/>
      <c r="GB128" s="978"/>
      <c r="GC128" s="978"/>
      <c r="GD128" s="978"/>
      <c r="GE128" s="978"/>
      <c r="GF128" s="978"/>
      <c r="GG128" s="978"/>
      <c r="GH128" s="978"/>
      <c r="GI128" s="978"/>
      <c r="GJ128" s="978"/>
      <c r="GK128" s="978"/>
      <c r="GL128" s="978"/>
      <c r="GM128" s="978"/>
      <c r="GN128" s="978"/>
      <c r="GO128" s="978"/>
      <c r="GP128" s="978"/>
      <c r="GQ128" s="978"/>
      <c r="GR128" s="978"/>
      <c r="GS128" s="978"/>
      <c r="GT128" s="978"/>
      <c r="GU128" s="978"/>
      <c r="GV128" s="978"/>
      <c r="GW128" s="978"/>
      <c r="GX128" s="978"/>
      <c r="GY128" s="978"/>
      <c r="GZ128" s="978"/>
      <c r="HA128" s="978"/>
      <c r="HB128" s="978"/>
      <c r="HC128" s="978"/>
      <c r="HD128" s="978"/>
      <c r="HE128" s="978"/>
      <c r="HF128" s="978"/>
      <c r="HG128" s="978"/>
      <c r="HH128" s="978"/>
      <c r="HI128" s="978"/>
      <c r="HJ128" s="978"/>
      <c r="HK128" s="978"/>
      <c r="HL128" s="978"/>
      <c r="HM128" s="978"/>
      <c r="HN128" s="978"/>
      <c r="HO128" s="978"/>
      <c r="HP128" s="978"/>
      <c r="HQ128" s="978"/>
      <c r="HR128" s="978"/>
      <c r="HS128" s="978"/>
      <c r="HT128" s="978"/>
      <c r="HU128" s="978"/>
      <c r="HV128" s="978"/>
      <c r="HW128" s="978"/>
      <c r="HX128" s="978"/>
      <c r="HY128" s="978"/>
      <c r="HZ128" s="978"/>
      <c r="IA128" s="978"/>
      <c r="IB128" s="978"/>
      <c r="IC128" s="978"/>
      <c r="ID128" s="978"/>
      <c r="IE128" s="978"/>
      <c r="IF128" s="978"/>
      <c r="IG128" s="978"/>
      <c r="IH128" s="978"/>
      <c r="II128" s="978"/>
      <c r="IJ128" s="978"/>
      <c r="IK128" s="978"/>
      <c r="IL128" s="978"/>
      <c r="IM128" s="978"/>
      <c r="IN128" s="978"/>
      <c r="IO128" s="978"/>
      <c r="IP128" s="978"/>
      <c r="IQ128" s="978"/>
      <c r="IR128" s="978"/>
      <c r="IS128" s="978"/>
      <c r="IT128" s="978"/>
      <c r="IU128" s="978"/>
      <c r="IV128" s="978"/>
      <c r="IW128" s="978"/>
      <c r="IX128" s="978"/>
      <c r="IY128" s="978"/>
      <c r="IZ128" s="978"/>
      <c r="JA128" s="978"/>
      <c r="JB128" s="978"/>
      <c r="JC128" s="978"/>
      <c r="JD128" s="978"/>
      <c r="JE128" s="978"/>
      <c r="JF128" s="978"/>
      <c r="JG128" s="978"/>
      <c r="JH128" s="978"/>
      <c r="JI128" s="978"/>
      <c r="JJ128" s="978"/>
      <c r="JK128" s="978"/>
      <c r="JL128" s="978"/>
      <c r="JM128" s="978"/>
      <c r="JN128" s="978"/>
      <c r="JO128" s="978"/>
      <c r="JP128" s="978"/>
      <c r="JQ128" s="978"/>
      <c r="JR128" s="978"/>
      <c r="JS128" s="978"/>
      <c r="JT128" s="978"/>
      <c r="JU128" s="978"/>
      <c r="JV128" s="978"/>
      <c r="JW128" s="978"/>
      <c r="JX128" s="978"/>
      <c r="JY128" s="978"/>
      <c r="JZ128" s="978"/>
      <c r="KA128" s="978"/>
      <c r="KB128" s="978"/>
      <c r="KC128" s="978"/>
      <c r="KD128" s="978"/>
      <c r="KE128" s="978"/>
      <c r="KF128" s="978"/>
      <c r="KG128" s="978"/>
      <c r="KH128" s="978"/>
      <c r="KI128" s="978"/>
      <c r="KJ128" s="978"/>
      <c r="KK128" s="978"/>
      <c r="KL128" s="978"/>
      <c r="KM128" s="978"/>
      <c r="KN128" s="978"/>
      <c r="KO128" s="978"/>
      <c r="KP128" s="978"/>
      <c r="KQ128" s="978"/>
      <c r="KR128" s="978"/>
      <c r="KS128" s="978"/>
      <c r="KT128" s="978"/>
      <c r="KU128" s="978"/>
      <c r="KV128" s="978"/>
      <c r="KW128" s="978"/>
      <c r="KX128" s="978"/>
      <c r="KY128" s="978"/>
      <c r="KZ128" s="978"/>
      <c r="LA128" s="978"/>
      <c r="LB128" s="978"/>
      <c r="LC128" s="978"/>
      <c r="LD128" s="978"/>
      <c r="LE128" s="978"/>
      <c r="LF128" s="978"/>
      <c r="LG128" s="978"/>
      <c r="LH128" s="978"/>
      <c r="LI128" s="978"/>
      <c r="LJ128" s="978"/>
      <c r="LK128" s="978"/>
      <c r="LL128" s="978"/>
      <c r="LM128" s="978"/>
      <c r="LN128" s="978"/>
      <c r="LO128" s="978"/>
      <c r="LP128" s="978"/>
      <c r="LQ128" s="978"/>
      <c r="LR128" s="978"/>
      <c r="LS128" s="978"/>
      <c r="LT128" s="978"/>
      <c r="LU128" s="978"/>
      <c r="LV128" s="978"/>
      <c r="LW128" s="978"/>
      <c r="LX128" s="978"/>
      <c r="LY128" s="978"/>
      <c r="LZ128" s="978"/>
      <c r="MA128" s="978"/>
      <c r="MB128" s="978"/>
      <c r="MC128" s="978"/>
      <c r="MD128" s="978"/>
      <c r="ME128" s="978"/>
      <c r="MF128" s="978"/>
      <c r="MG128" s="978"/>
      <c r="MH128" s="978"/>
      <c r="MI128" s="978"/>
      <c r="MJ128" s="978"/>
      <c r="MK128" s="978"/>
      <c r="ML128" s="978"/>
      <c r="MM128" s="978"/>
      <c r="MN128" s="978"/>
      <c r="MO128" s="978"/>
      <c r="MP128" s="978"/>
      <c r="MQ128" s="978"/>
      <c r="MR128" s="978"/>
      <c r="MS128" s="978"/>
      <c r="MT128" s="978"/>
      <c r="MU128" s="978"/>
      <c r="MV128" s="978"/>
      <c r="MW128" s="978"/>
      <c r="MX128" s="978"/>
      <c r="MY128" s="978"/>
      <c r="MZ128" s="978"/>
      <c r="NA128" s="978"/>
      <c r="NB128" s="978"/>
      <c r="NC128" s="978"/>
      <c r="ND128" s="978"/>
      <c r="NE128" s="978"/>
      <c r="NF128" s="978"/>
      <c r="NG128" s="978"/>
      <c r="NH128" s="978"/>
      <c r="NI128" s="978"/>
      <c r="NJ128" s="978"/>
      <c r="NK128" s="978"/>
      <c r="NL128" s="978"/>
      <c r="NM128" s="978"/>
      <c r="NN128" s="978"/>
      <c r="NO128" s="978"/>
      <c r="NP128" s="978"/>
      <c r="NQ128" s="978"/>
      <c r="NR128" s="978"/>
      <c r="NS128" s="978"/>
      <c r="NT128" s="978"/>
      <c r="NU128" s="978"/>
      <c r="NV128" s="978"/>
      <c r="NW128" s="978"/>
      <c r="NX128" s="978"/>
      <c r="NY128" s="978"/>
      <c r="NZ128" s="978"/>
      <c r="OA128" s="978"/>
      <c r="OB128" s="978"/>
      <c r="OC128" s="978"/>
      <c r="OD128" s="978"/>
      <c r="OE128" s="978"/>
      <c r="OF128" s="978"/>
      <c r="OG128" s="978"/>
      <c r="OH128" s="978"/>
      <c r="OI128" s="978"/>
      <c r="OJ128" s="978"/>
      <c r="OK128" s="978"/>
      <c r="OL128" s="978"/>
      <c r="OM128" s="978"/>
      <c r="ON128" s="978"/>
      <c r="OO128" s="978"/>
      <c r="OP128" s="978"/>
      <c r="OQ128" s="978"/>
      <c r="OR128" s="978"/>
      <c r="OS128" s="978"/>
      <c r="OT128" s="978"/>
      <c r="OU128" s="978"/>
      <c r="OV128" s="978"/>
      <c r="OW128" s="978"/>
      <c r="OX128" s="978"/>
      <c r="OY128" s="978"/>
      <c r="OZ128" s="978"/>
      <c r="PA128" s="978"/>
      <c r="PB128" s="978"/>
      <c r="PC128" s="978"/>
      <c r="PD128" s="978"/>
      <c r="PE128" s="978"/>
      <c r="PF128" s="978"/>
      <c r="PG128" s="978"/>
      <c r="PH128" s="978"/>
      <c r="PI128" s="978"/>
      <c r="PJ128" s="978"/>
      <c r="PK128" s="978"/>
      <c r="PL128" s="978"/>
      <c r="PM128" s="978"/>
      <c r="PN128" s="978"/>
      <c r="PO128" s="978"/>
      <c r="PP128" s="978"/>
      <c r="PQ128" s="978"/>
      <c r="PR128" s="978"/>
      <c r="PS128" s="978"/>
      <c r="PT128" s="978"/>
      <c r="PU128" s="978"/>
      <c r="PV128" s="978"/>
      <c r="PW128" s="978"/>
      <c r="PX128" s="978"/>
      <c r="PY128" s="978"/>
      <c r="PZ128" s="978"/>
      <c r="QA128" s="978"/>
      <c r="QB128" s="978"/>
      <c r="QC128" s="978"/>
      <c r="QD128" s="978"/>
      <c r="QE128" s="978"/>
      <c r="QF128" s="978"/>
      <c r="QG128" s="978"/>
      <c r="QH128" s="978"/>
      <c r="QI128" s="978"/>
      <c r="QJ128" s="978"/>
      <c r="QK128" s="978"/>
      <c r="QL128" s="978"/>
      <c r="QM128" s="978"/>
      <c r="QN128" s="978"/>
      <c r="QO128" s="978"/>
      <c r="QP128" s="978"/>
      <c r="QQ128" s="978"/>
      <c r="QR128" s="978"/>
      <c r="QS128" s="978"/>
      <c r="QT128" s="978"/>
      <c r="QU128" s="978"/>
      <c r="QV128" s="978"/>
      <c r="QW128" s="978"/>
      <c r="QX128" s="978"/>
      <c r="QY128" s="978"/>
      <c r="QZ128" s="978"/>
      <c r="RA128" s="978"/>
      <c r="RB128" s="274"/>
      <c r="RC128" s="274"/>
    </row>
    <row r="129" spans="112:471" ht="17.25">
      <c r="DH129" s="274"/>
      <c r="DI129" s="274"/>
      <c r="DJ129" s="978"/>
      <c r="DK129" s="978"/>
      <c r="DL129" s="978"/>
      <c r="DM129" s="978"/>
      <c r="DN129" s="978"/>
      <c r="DO129" s="978"/>
      <c r="DP129" s="978"/>
      <c r="DQ129" s="978"/>
      <c r="DR129" s="978"/>
      <c r="DS129" s="978"/>
      <c r="DT129" s="978"/>
      <c r="DU129" s="978"/>
      <c r="DV129" s="978"/>
      <c r="DW129" s="978"/>
      <c r="DX129" s="978"/>
      <c r="DY129" s="978"/>
      <c r="DZ129" s="978"/>
      <c r="EA129" s="978"/>
      <c r="EB129" s="978"/>
      <c r="EC129" s="978"/>
      <c r="ED129" s="978"/>
      <c r="EE129" s="978"/>
      <c r="EF129" s="978"/>
      <c r="EG129" s="978"/>
      <c r="EH129" s="978"/>
      <c r="EI129" s="978"/>
      <c r="EJ129" s="978"/>
      <c r="EK129" s="978"/>
      <c r="EL129" s="978"/>
      <c r="EM129" s="978"/>
      <c r="EN129" s="978"/>
      <c r="EO129" s="978"/>
      <c r="EP129" s="978"/>
      <c r="EQ129" s="978"/>
      <c r="ER129" s="978"/>
      <c r="ES129" s="978"/>
      <c r="ET129" s="978"/>
      <c r="EU129" s="978"/>
      <c r="EV129" s="978"/>
      <c r="EW129" s="978"/>
      <c r="EX129" s="978"/>
      <c r="EY129" s="978"/>
      <c r="EZ129" s="978"/>
      <c r="FA129" s="978"/>
      <c r="FB129" s="978"/>
      <c r="FC129" s="978"/>
      <c r="FD129" s="978"/>
      <c r="FE129" s="978"/>
      <c r="FF129" s="978"/>
      <c r="FG129" s="978"/>
      <c r="FH129" s="978"/>
      <c r="FI129" s="978"/>
      <c r="FJ129" s="978"/>
      <c r="FK129" s="978"/>
      <c r="FL129" s="978"/>
      <c r="FM129" s="978"/>
      <c r="FN129" s="978"/>
      <c r="FO129" s="978"/>
      <c r="FP129" s="978"/>
      <c r="FQ129" s="978"/>
      <c r="FR129" s="978"/>
      <c r="FS129" s="978"/>
      <c r="FT129" s="978"/>
      <c r="FU129" s="978"/>
      <c r="FV129" s="978"/>
      <c r="FW129" s="978"/>
      <c r="FX129" s="978"/>
      <c r="FY129" s="978"/>
      <c r="FZ129" s="978"/>
      <c r="GA129" s="978"/>
      <c r="GB129" s="978"/>
      <c r="GC129" s="978"/>
      <c r="GD129" s="978"/>
      <c r="GE129" s="978"/>
      <c r="GF129" s="978"/>
      <c r="GG129" s="978"/>
      <c r="GH129" s="978"/>
      <c r="GI129" s="978"/>
      <c r="GJ129" s="978"/>
      <c r="GK129" s="978"/>
      <c r="GL129" s="978"/>
      <c r="GM129" s="978"/>
      <c r="GN129" s="978"/>
      <c r="GO129" s="978"/>
      <c r="GP129" s="978"/>
      <c r="GQ129" s="978"/>
      <c r="GR129" s="978"/>
      <c r="GS129" s="978"/>
      <c r="GT129" s="978"/>
      <c r="GU129" s="978"/>
      <c r="GV129" s="978"/>
      <c r="GW129" s="978"/>
      <c r="GX129" s="978"/>
      <c r="GY129" s="978"/>
      <c r="GZ129" s="978"/>
      <c r="HA129" s="978"/>
      <c r="HB129" s="978"/>
      <c r="HC129" s="978"/>
      <c r="HD129" s="978"/>
      <c r="HE129" s="978"/>
      <c r="HF129" s="978"/>
      <c r="HG129" s="978"/>
      <c r="HH129" s="978"/>
      <c r="HI129" s="978"/>
      <c r="HJ129" s="978"/>
      <c r="HK129" s="978"/>
      <c r="HL129" s="978"/>
      <c r="HM129" s="978"/>
      <c r="HN129" s="978"/>
      <c r="HO129" s="978"/>
      <c r="HP129" s="978"/>
      <c r="HQ129" s="978"/>
      <c r="HR129" s="978"/>
      <c r="HS129" s="978"/>
      <c r="HT129" s="978"/>
      <c r="HU129" s="978"/>
      <c r="HV129" s="978"/>
      <c r="HW129" s="978"/>
      <c r="HX129" s="978"/>
      <c r="HY129" s="978"/>
      <c r="HZ129" s="978"/>
      <c r="IA129" s="978"/>
      <c r="IB129" s="978"/>
      <c r="IC129" s="978"/>
      <c r="ID129" s="978"/>
      <c r="IE129" s="978"/>
      <c r="IF129" s="978"/>
      <c r="IG129" s="978"/>
      <c r="IH129" s="978"/>
      <c r="II129" s="978"/>
      <c r="IJ129" s="978"/>
      <c r="IK129" s="978"/>
      <c r="IL129" s="978"/>
      <c r="IM129" s="978"/>
      <c r="IN129" s="978"/>
      <c r="IO129" s="978"/>
      <c r="IP129" s="978"/>
      <c r="IQ129" s="978"/>
      <c r="IR129" s="978"/>
      <c r="IS129" s="978"/>
      <c r="IT129" s="978"/>
      <c r="IU129" s="978"/>
      <c r="IV129" s="978"/>
      <c r="IW129" s="978"/>
      <c r="IX129" s="978"/>
      <c r="IY129" s="978"/>
      <c r="IZ129" s="978"/>
      <c r="JA129" s="978"/>
      <c r="JB129" s="978"/>
      <c r="JC129" s="978"/>
      <c r="JD129" s="978"/>
      <c r="JE129" s="978"/>
      <c r="JF129" s="978"/>
      <c r="JG129" s="978"/>
      <c r="JH129" s="978"/>
      <c r="JI129" s="978"/>
      <c r="JJ129" s="978"/>
      <c r="JK129" s="978"/>
      <c r="JL129" s="978"/>
      <c r="JM129" s="978"/>
      <c r="JN129" s="978"/>
      <c r="JO129" s="978"/>
      <c r="JP129" s="978"/>
      <c r="JQ129" s="978"/>
      <c r="JR129" s="978"/>
      <c r="JS129" s="978"/>
      <c r="JT129" s="978"/>
      <c r="JU129" s="978"/>
      <c r="JV129" s="978"/>
      <c r="JW129" s="978"/>
      <c r="JX129" s="978"/>
      <c r="JY129" s="978"/>
      <c r="JZ129" s="978"/>
      <c r="KA129" s="978"/>
      <c r="KB129" s="978"/>
      <c r="KC129" s="978"/>
      <c r="KD129" s="978"/>
      <c r="KE129" s="978"/>
      <c r="KF129" s="978"/>
      <c r="KG129" s="978"/>
      <c r="KH129" s="978"/>
      <c r="KI129" s="978"/>
      <c r="KJ129" s="978"/>
      <c r="KK129" s="978"/>
      <c r="KL129" s="978"/>
      <c r="KM129" s="978"/>
      <c r="KN129" s="978"/>
      <c r="KO129" s="978"/>
      <c r="KP129" s="978"/>
      <c r="KQ129" s="978"/>
      <c r="KR129" s="978"/>
      <c r="KS129" s="978"/>
      <c r="KT129" s="978"/>
      <c r="KU129" s="978"/>
      <c r="KV129" s="978"/>
      <c r="KW129" s="978"/>
      <c r="KX129" s="978"/>
      <c r="KY129" s="978"/>
      <c r="KZ129" s="978"/>
      <c r="LA129" s="978"/>
      <c r="LB129" s="978"/>
      <c r="LC129" s="978"/>
      <c r="LD129" s="978"/>
      <c r="LE129" s="978"/>
      <c r="LF129" s="978"/>
      <c r="LG129" s="978"/>
      <c r="LH129" s="978"/>
      <c r="LI129" s="978"/>
      <c r="LJ129" s="978"/>
      <c r="LK129" s="978"/>
      <c r="LL129" s="978"/>
      <c r="LM129" s="978"/>
      <c r="LN129" s="978"/>
      <c r="LO129" s="978"/>
      <c r="LP129" s="978"/>
      <c r="LQ129" s="978"/>
      <c r="LR129" s="978"/>
      <c r="LS129" s="978"/>
      <c r="LT129" s="978"/>
      <c r="LU129" s="978"/>
      <c r="LV129" s="978"/>
      <c r="LW129" s="978"/>
      <c r="LX129" s="978"/>
      <c r="LY129" s="978"/>
      <c r="LZ129" s="978"/>
      <c r="MA129" s="978"/>
      <c r="MB129" s="978"/>
      <c r="MC129" s="978"/>
      <c r="MD129" s="978"/>
      <c r="ME129" s="978"/>
      <c r="MF129" s="978"/>
      <c r="MG129" s="978"/>
      <c r="MH129" s="978"/>
      <c r="MI129" s="978"/>
      <c r="MJ129" s="978"/>
      <c r="MK129" s="978"/>
      <c r="ML129" s="978"/>
      <c r="MM129" s="978"/>
      <c r="MN129" s="978"/>
      <c r="MO129" s="978"/>
      <c r="MP129" s="978"/>
      <c r="MQ129" s="978"/>
      <c r="MR129" s="978"/>
      <c r="MS129" s="978"/>
      <c r="MT129" s="978"/>
      <c r="MU129" s="978"/>
      <c r="MV129" s="978"/>
      <c r="MW129" s="978"/>
      <c r="MX129" s="978"/>
      <c r="MY129" s="978"/>
      <c r="MZ129" s="978"/>
      <c r="NA129" s="978"/>
      <c r="NB129" s="978"/>
      <c r="NC129" s="978"/>
      <c r="ND129" s="978"/>
      <c r="NE129" s="978"/>
      <c r="NF129" s="978"/>
      <c r="NG129" s="978"/>
      <c r="NH129" s="978"/>
      <c r="NI129" s="978"/>
      <c r="NJ129" s="978"/>
      <c r="NK129" s="978"/>
      <c r="NL129" s="978"/>
      <c r="NM129" s="978"/>
      <c r="NN129" s="978"/>
      <c r="NO129" s="978"/>
      <c r="NP129" s="978"/>
      <c r="NQ129" s="978"/>
      <c r="NR129" s="978"/>
      <c r="NS129" s="978"/>
      <c r="NT129" s="978"/>
      <c r="NU129" s="978"/>
      <c r="NV129" s="978"/>
      <c r="NW129" s="978"/>
      <c r="NX129" s="978"/>
      <c r="NY129" s="978"/>
      <c r="NZ129" s="978"/>
      <c r="OA129" s="978"/>
      <c r="OB129" s="978"/>
      <c r="OC129" s="978"/>
      <c r="OD129" s="978"/>
      <c r="OE129" s="978"/>
      <c r="OF129" s="978"/>
      <c r="OG129" s="978"/>
      <c r="OH129" s="978"/>
      <c r="OI129" s="978"/>
      <c r="OJ129" s="978"/>
      <c r="OK129" s="978"/>
      <c r="OL129" s="978"/>
      <c r="OM129" s="978"/>
      <c r="ON129" s="978"/>
      <c r="OO129" s="978"/>
      <c r="OP129" s="978"/>
      <c r="OQ129" s="978"/>
      <c r="OR129" s="978"/>
      <c r="OS129" s="978"/>
      <c r="OT129" s="978"/>
      <c r="OU129" s="978"/>
      <c r="OV129" s="978"/>
      <c r="OW129" s="978"/>
      <c r="OX129" s="978"/>
      <c r="OY129" s="978"/>
      <c r="OZ129" s="978"/>
      <c r="PA129" s="978"/>
      <c r="PB129" s="978"/>
      <c r="PC129" s="978"/>
      <c r="PD129" s="978"/>
      <c r="PE129" s="978"/>
      <c r="PF129" s="978"/>
      <c r="PG129" s="978"/>
      <c r="PH129" s="978"/>
      <c r="PI129" s="978"/>
      <c r="PJ129" s="978"/>
      <c r="PK129" s="978"/>
      <c r="PL129" s="978"/>
      <c r="PM129" s="978"/>
      <c r="PN129" s="978"/>
      <c r="PO129" s="978"/>
      <c r="PP129" s="978"/>
      <c r="PQ129" s="978"/>
      <c r="PR129" s="978"/>
      <c r="PS129" s="978"/>
      <c r="PT129" s="978"/>
      <c r="PU129" s="978"/>
      <c r="PV129" s="978"/>
      <c r="PW129" s="978"/>
      <c r="PX129" s="978"/>
      <c r="PY129" s="978"/>
      <c r="PZ129" s="978"/>
      <c r="QA129" s="978"/>
      <c r="QB129" s="978"/>
      <c r="QC129" s="978"/>
      <c r="QD129" s="978"/>
      <c r="QE129" s="978"/>
      <c r="QF129" s="978"/>
      <c r="QG129" s="978"/>
      <c r="QH129" s="978"/>
      <c r="QI129" s="978"/>
      <c r="QJ129" s="978"/>
      <c r="QK129" s="978"/>
      <c r="QL129" s="978"/>
      <c r="QM129" s="978"/>
      <c r="QN129" s="978"/>
      <c r="QO129" s="978"/>
      <c r="QP129" s="978"/>
      <c r="QQ129" s="978"/>
      <c r="QR129" s="978"/>
      <c r="QS129" s="978"/>
      <c r="QT129" s="978"/>
      <c r="QU129" s="978"/>
      <c r="QV129" s="978"/>
      <c r="QW129" s="978"/>
      <c r="QX129" s="978"/>
      <c r="QY129" s="978"/>
      <c r="QZ129" s="978"/>
      <c r="RA129" s="978"/>
      <c r="RB129" s="274"/>
      <c r="RC129" s="274"/>
    </row>
    <row r="130" spans="112:471" ht="17.25">
      <c r="DH130" s="274"/>
      <c r="DI130" s="274"/>
      <c r="DJ130" s="978"/>
      <c r="DK130" s="978"/>
      <c r="DL130" s="978"/>
      <c r="DM130" s="978"/>
      <c r="DN130" s="978"/>
      <c r="DO130" s="978"/>
      <c r="DP130" s="978"/>
      <c r="DQ130" s="978"/>
      <c r="DR130" s="978"/>
      <c r="DS130" s="978"/>
      <c r="DT130" s="978"/>
      <c r="DU130" s="978"/>
      <c r="DV130" s="978"/>
      <c r="DW130" s="978"/>
      <c r="DX130" s="978"/>
      <c r="DY130" s="978"/>
      <c r="DZ130" s="978"/>
      <c r="EA130" s="978"/>
      <c r="EB130" s="978"/>
      <c r="EC130" s="978"/>
      <c r="ED130" s="978"/>
      <c r="EE130" s="978"/>
      <c r="EF130" s="978"/>
      <c r="EG130" s="978"/>
      <c r="EH130" s="978"/>
      <c r="EI130" s="978"/>
      <c r="EJ130" s="978"/>
      <c r="EK130" s="978"/>
      <c r="EL130" s="978"/>
      <c r="EM130" s="978"/>
      <c r="EN130" s="978"/>
      <c r="EO130" s="978"/>
      <c r="EP130" s="978"/>
      <c r="EQ130" s="978"/>
      <c r="ER130" s="978"/>
      <c r="ES130" s="978"/>
      <c r="ET130" s="978"/>
      <c r="EU130" s="978"/>
      <c r="EV130" s="978"/>
      <c r="EW130" s="978"/>
      <c r="EX130" s="978"/>
      <c r="EY130" s="978"/>
      <c r="EZ130" s="978"/>
      <c r="FA130" s="978"/>
      <c r="FB130" s="978"/>
      <c r="FC130" s="978"/>
      <c r="FD130" s="978"/>
      <c r="FE130" s="978"/>
      <c r="FF130" s="978"/>
      <c r="FG130" s="978"/>
      <c r="FH130" s="978"/>
      <c r="FI130" s="978"/>
      <c r="FJ130" s="978"/>
      <c r="FK130" s="978"/>
      <c r="FL130" s="978"/>
      <c r="FM130" s="978"/>
      <c r="FN130" s="978"/>
      <c r="FO130" s="978"/>
      <c r="FP130" s="978"/>
      <c r="FQ130" s="978"/>
      <c r="FR130" s="978"/>
      <c r="FS130" s="978"/>
      <c r="FT130" s="978"/>
      <c r="FU130" s="978"/>
      <c r="FV130" s="978"/>
      <c r="FW130" s="978"/>
      <c r="FX130" s="978"/>
      <c r="FY130" s="978"/>
      <c r="FZ130" s="978"/>
      <c r="GA130" s="978"/>
      <c r="GB130" s="978"/>
      <c r="GC130" s="978"/>
      <c r="GD130" s="978"/>
      <c r="GE130" s="978"/>
      <c r="GF130" s="978"/>
      <c r="GG130" s="978"/>
      <c r="GH130" s="978"/>
      <c r="GI130" s="978"/>
      <c r="GJ130" s="978"/>
      <c r="GK130" s="978"/>
      <c r="GL130" s="978"/>
      <c r="GM130" s="978"/>
      <c r="GN130" s="978"/>
      <c r="GO130" s="978"/>
      <c r="GP130" s="978"/>
      <c r="GQ130" s="978"/>
      <c r="GR130" s="978"/>
      <c r="GS130" s="978"/>
      <c r="GT130" s="978"/>
      <c r="GU130" s="978"/>
      <c r="GV130" s="978"/>
      <c r="GW130" s="978"/>
      <c r="GX130" s="978"/>
      <c r="GY130" s="978"/>
      <c r="GZ130" s="978"/>
      <c r="HA130" s="978"/>
      <c r="HB130" s="978"/>
      <c r="HC130" s="978"/>
      <c r="HD130" s="978"/>
      <c r="HE130" s="978"/>
      <c r="HF130" s="978"/>
      <c r="HG130" s="978"/>
      <c r="HH130" s="978"/>
      <c r="HI130" s="978"/>
      <c r="HJ130" s="978"/>
      <c r="HK130" s="978"/>
      <c r="HL130" s="978"/>
      <c r="HM130" s="978"/>
      <c r="HN130" s="978"/>
      <c r="HO130" s="978"/>
      <c r="HP130" s="978"/>
      <c r="HQ130" s="978"/>
      <c r="HR130" s="978"/>
      <c r="HS130" s="978"/>
      <c r="HT130" s="978"/>
      <c r="HU130" s="978"/>
      <c r="HV130" s="978"/>
      <c r="HW130" s="978"/>
      <c r="HX130" s="978"/>
      <c r="HY130" s="978"/>
      <c r="HZ130" s="978"/>
      <c r="IA130" s="978"/>
      <c r="IB130" s="978"/>
      <c r="IC130" s="978"/>
      <c r="ID130" s="978"/>
      <c r="IE130" s="978"/>
      <c r="IF130" s="978"/>
      <c r="IG130" s="978"/>
      <c r="IH130" s="978"/>
      <c r="II130" s="978"/>
      <c r="IJ130" s="978"/>
      <c r="IK130" s="978"/>
      <c r="IL130" s="978"/>
      <c r="IM130" s="978"/>
      <c r="IN130" s="978"/>
      <c r="IO130" s="978"/>
      <c r="IP130" s="978"/>
      <c r="IQ130" s="978"/>
      <c r="IR130" s="978"/>
      <c r="IS130" s="978"/>
      <c r="IT130" s="978"/>
      <c r="IU130" s="978"/>
      <c r="IV130" s="978"/>
      <c r="IW130" s="978"/>
      <c r="IX130" s="978"/>
      <c r="IY130" s="978"/>
      <c r="IZ130" s="978"/>
      <c r="JA130" s="978"/>
      <c r="JB130" s="978"/>
      <c r="JC130" s="978"/>
      <c r="JD130" s="978"/>
      <c r="JE130" s="978"/>
      <c r="JF130" s="978"/>
      <c r="JG130" s="978"/>
      <c r="JH130" s="978"/>
      <c r="JI130" s="978"/>
      <c r="JJ130" s="978"/>
      <c r="JK130" s="978"/>
      <c r="JL130" s="978"/>
      <c r="JM130" s="978"/>
      <c r="JN130" s="978"/>
      <c r="JO130" s="978"/>
      <c r="JP130" s="978"/>
      <c r="JQ130" s="978"/>
      <c r="JR130" s="978"/>
      <c r="JS130" s="978"/>
      <c r="JT130" s="978"/>
      <c r="JU130" s="978"/>
      <c r="JV130" s="978"/>
      <c r="JW130" s="978"/>
      <c r="JX130" s="978"/>
      <c r="JY130" s="978"/>
      <c r="JZ130" s="978"/>
      <c r="KA130" s="978"/>
      <c r="KB130" s="978"/>
      <c r="KC130" s="978"/>
      <c r="KD130" s="978"/>
      <c r="KE130" s="978"/>
      <c r="KF130" s="978"/>
      <c r="KG130" s="978"/>
      <c r="KH130" s="978"/>
      <c r="KI130" s="978"/>
      <c r="KJ130" s="978"/>
      <c r="KK130" s="978"/>
      <c r="KL130" s="978"/>
      <c r="KM130" s="978"/>
      <c r="KN130" s="978"/>
      <c r="KO130" s="978"/>
      <c r="KP130" s="978"/>
      <c r="KQ130" s="978"/>
      <c r="KR130" s="978"/>
      <c r="KS130" s="978"/>
      <c r="KT130" s="978"/>
      <c r="KU130" s="978"/>
      <c r="KV130" s="978"/>
      <c r="KW130" s="978"/>
      <c r="KX130" s="978"/>
      <c r="KY130" s="978"/>
      <c r="KZ130" s="978"/>
      <c r="LA130" s="978"/>
      <c r="LB130" s="978"/>
      <c r="LC130" s="978"/>
      <c r="LD130" s="978"/>
      <c r="LE130" s="978"/>
      <c r="LF130" s="978"/>
      <c r="LG130" s="978"/>
      <c r="LH130" s="978"/>
      <c r="LI130" s="978"/>
      <c r="LJ130" s="978"/>
      <c r="LK130" s="978"/>
      <c r="LL130" s="978"/>
      <c r="LM130" s="978"/>
      <c r="LN130" s="978"/>
      <c r="LO130" s="978"/>
      <c r="LP130" s="978"/>
      <c r="LQ130" s="978"/>
      <c r="LR130" s="978"/>
      <c r="LS130" s="978"/>
      <c r="LT130" s="978"/>
      <c r="LU130" s="978"/>
      <c r="LV130" s="978"/>
      <c r="LW130" s="978"/>
      <c r="LX130" s="978"/>
      <c r="LY130" s="978"/>
      <c r="LZ130" s="978"/>
      <c r="MA130" s="978"/>
      <c r="MB130" s="978"/>
      <c r="MC130" s="978"/>
      <c r="MD130" s="978"/>
      <c r="ME130" s="978"/>
      <c r="MF130" s="978"/>
      <c r="MG130" s="978"/>
      <c r="MH130" s="978"/>
      <c r="MI130" s="978"/>
      <c r="MJ130" s="978"/>
      <c r="MK130" s="978"/>
      <c r="ML130" s="978"/>
      <c r="MM130" s="978"/>
      <c r="MN130" s="978"/>
      <c r="MO130" s="978"/>
      <c r="MP130" s="978"/>
      <c r="MQ130" s="978"/>
      <c r="MR130" s="978"/>
      <c r="MS130" s="978"/>
      <c r="MT130" s="978"/>
      <c r="MU130" s="978"/>
      <c r="MV130" s="978"/>
      <c r="MW130" s="978"/>
      <c r="MX130" s="978"/>
      <c r="MY130" s="978"/>
      <c r="MZ130" s="978"/>
      <c r="NA130" s="978"/>
      <c r="NB130" s="978"/>
      <c r="NC130" s="978"/>
      <c r="ND130" s="978"/>
      <c r="NE130" s="978"/>
      <c r="NF130" s="978"/>
      <c r="NG130" s="978"/>
      <c r="NH130" s="978"/>
      <c r="NI130" s="978"/>
      <c r="NJ130" s="978"/>
      <c r="NK130" s="978"/>
      <c r="NL130" s="978"/>
      <c r="NM130" s="978"/>
      <c r="NN130" s="978"/>
      <c r="NO130" s="978"/>
      <c r="NP130" s="978"/>
      <c r="NQ130" s="978"/>
      <c r="NR130" s="978"/>
      <c r="NS130" s="978"/>
      <c r="NT130" s="978"/>
      <c r="NU130" s="978"/>
      <c r="NV130" s="978"/>
      <c r="NW130" s="978"/>
      <c r="NX130" s="978"/>
      <c r="NY130" s="978"/>
      <c r="NZ130" s="978"/>
      <c r="OA130" s="978"/>
      <c r="OB130" s="978"/>
      <c r="OC130" s="978"/>
      <c r="OD130" s="978"/>
      <c r="OE130" s="978"/>
      <c r="OF130" s="978"/>
      <c r="OG130" s="978"/>
      <c r="OH130" s="978"/>
      <c r="OI130" s="978"/>
      <c r="OJ130" s="978"/>
      <c r="OK130" s="978"/>
      <c r="OL130" s="978"/>
      <c r="OM130" s="978"/>
      <c r="ON130" s="978"/>
      <c r="OO130" s="978"/>
      <c r="OP130" s="978"/>
      <c r="OQ130" s="978"/>
      <c r="OR130" s="978"/>
      <c r="OS130" s="978"/>
      <c r="OT130" s="978"/>
      <c r="OU130" s="978"/>
      <c r="OV130" s="978"/>
      <c r="OW130" s="978"/>
      <c r="OX130" s="978"/>
      <c r="OY130" s="978"/>
      <c r="OZ130" s="978"/>
      <c r="PA130" s="978"/>
      <c r="PB130" s="978"/>
      <c r="PC130" s="978"/>
      <c r="PD130" s="978"/>
      <c r="PE130" s="978"/>
      <c r="PF130" s="978"/>
      <c r="PG130" s="978"/>
      <c r="PH130" s="978"/>
      <c r="PI130" s="978"/>
      <c r="PJ130" s="978"/>
      <c r="PK130" s="978"/>
      <c r="PL130" s="978"/>
      <c r="PM130" s="978"/>
      <c r="PN130" s="978"/>
      <c r="PO130" s="978"/>
      <c r="PP130" s="978"/>
      <c r="PQ130" s="978"/>
      <c r="PR130" s="978"/>
      <c r="PS130" s="978"/>
      <c r="PT130" s="978"/>
      <c r="PU130" s="978"/>
      <c r="PV130" s="978"/>
      <c r="PW130" s="978"/>
      <c r="PX130" s="978"/>
      <c r="PY130" s="978"/>
      <c r="PZ130" s="978"/>
      <c r="QA130" s="978"/>
      <c r="QB130" s="978"/>
      <c r="QC130" s="978"/>
      <c r="QD130" s="978"/>
      <c r="QE130" s="978"/>
      <c r="QF130" s="978"/>
      <c r="QG130" s="978"/>
      <c r="QH130" s="978"/>
      <c r="QI130" s="978"/>
      <c r="QJ130" s="978"/>
      <c r="QK130" s="978"/>
      <c r="QL130" s="978"/>
      <c r="QM130" s="978"/>
      <c r="QN130" s="978"/>
      <c r="QO130" s="978"/>
      <c r="QP130" s="978"/>
      <c r="QQ130" s="978"/>
      <c r="QR130" s="978"/>
      <c r="QS130" s="978"/>
      <c r="QT130" s="978"/>
      <c r="QU130" s="978"/>
      <c r="QV130" s="978"/>
      <c r="QW130" s="978"/>
      <c r="QX130" s="978"/>
      <c r="QY130" s="978"/>
      <c r="QZ130" s="978"/>
      <c r="RA130" s="978"/>
      <c r="RB130" s="274"/>
      <c r="RC130" s="274"/>
    </row>
    <row r="131" spans="112:471">
      <c r="DH131" s="274"/>
      <c r="DI131" s="274"/>
      <c r="DJ131" s="274"/>
      <c r="DK131" s="274"/>
      <c r="DL131" s="274"/>
      <c r="DM131" s="274"/>
      <c r="DN131" s="274"/>
      <c r="DO131" s="274"/>
      <c r="DP131" s="274"/>
      <c r="DQ131" s="274"/>
      <c r="DR131" s="274"/>
      <c r="DS131" s="274"/>
      <c r="DT131" s="274"/>
      <c r="DU131" s="274"/>
      <c r="DV131" s="274"/>
      <c r="DW131" s="274"/>
      <c r="DX131" s="274"/>
      <c r="DY131" s="274"/>
      <c r="DZ131" s="274"/>
      <c r="EA131" s="274"/>
      <c r="EB131" s="274"/>
      <c r="EC131" s="274"/>
      <c r="ED131" s="274"/>
      <c r="EE131" s="274"/>
      <c r="EF131" s="274"/>
      <c r="EG131" s="274"/>
      <c r="EH131" s="274"/>
      <c r="EI131" s="274"/>
      <c r="EJ131" s="274"/>
      <c r="EK131" s="274"/>
      <c r="EL131" s="274"/>
      <c r="EM131" s="274"/>
      <c r="EN131" s="274"/>
      <c r="EO131" s="274"/>
      <c r="EP131" s="274"/>
      <c r="EQ131" s="274"/>
      <c r="ER131" s="274"/>
      <c r="ES131" s="274"/>
      <c r="ET131" s="274"/>
      <c r="EU131" s="274"/>
      <c r="EV131" s="274"/>
      <c r="EW131" s="274"/>
      <c r="EX131" s="274"/>
      <c r="EY131" s="274"/>
      <c r="EZ131" s="274"/>
      <c r="FA131" s="274"/>
      <c r="FB131" s="274"/>
      <c r="FC131" s="274"/>
      <c r="FD131" s="274"/>
      <c r="FE131" s="274"/>
      <c r="FF131" s="274"/>
      <c r="FG131" s="274"/>
      <c r="FH131" s="274"/>
      <c r="FI131" s="274"/>
      <c r="FJ131" s="274"/>
      <c r="FK131" s="274"/>
      <c r="FL131" s="274"/>
      <c r="FM131" s="274"/>
      <c r="FN131" s="274"/>
      <c r="FO131" s="274"/>
      <c r="FP131" s="274"/>
      <c r="FQ131" s="274"/>
      <c r="FR131" s="274"/>
      <c r="FS131" s="274"/>
      <c r="FT131" s="274"/>
      <c r="FU131" s="274"/>
      <c r="FV131" s="274"/>
      <c r="FW131" s="274"/>
      <c r="FX131" s="274"/>
      <c r="FY131" s="274"/>
      <c r="FZ131" s="274"/>
      <c r="GA131" s="274"/>
      <c r="GB131" s="274"/>
      <c r="GC131" s="274"/>
      <c r="GD131" s="274"/>
      <c r="GE131" s="274"/>
      <c r="GF131" s="274"/>
      <c r="GG131" s="274"/>
      <c r="GH131" s="274"/>
      <c r="GI131" s="274"/>
      <c r="GJ131" s="274"/>
      <c r="GK131" s="274"/>
      <c r="GL131" s="274"/>
      <c r="GM131" s="274"/>
      <c r="GN131" s="274"/>
      <c r="GO131" s="274"/>
      <c r="GP131" s="274"/>
      <c r="GQ131" s="274"/>
      <c r="GR131" s="274"/>
      <c r="GS131" s="274"/>
      <c r="GT131" s="274"/>
      <c r="GU131" s="274"/>
      <c r="GV131" s="274"/>
      <c r="GW131" s="274"/>
      <c r="GX131" s="274"/>
      <c r="GY131" s="274"/>
      <c r="GZ131" s="274"/>
      <c r="HA131" s="274"/>
      <c r="HB131" s="274"/>
      <c r="HC131" s="274"/>
      <c r="HD131" s="274"/>
      <c r="HE131" s="274"/>
      <c r="HF131" s="274"/>
      <c r="HG131" s="274"/>
      <c r="HH131" s="274"/>
      <c r="HI131" s="274"/>
      <c r="HJ131" s="274"/>
      <c r="HK131" s="274"/>
      <c r="HL131" s="274"/>
      <c r="HM131" s="274"/>
      <c r="HN131" s="274"/>
      <c r="HO131" s="274"/>
      <c r="HP131" s="274"/>
      <c r="HQ131" s="274"/>
      <c r="HR131" s="274"/>
      <c r="HS131" s="274"/>
      <c r="HT131" s="274"/>
      <c r="HU131" s="274"/>
      <c r="HV131" s="274"/>
      <c r="HW131" s="274"/>
      <c r="HX131" s="274"/>
      <c r="HY131" s="274"/>
      <c r="HZ131" s="274"/>
      <c r="IA131" s="274"/>
      <c r="IB131" s="274"/>
      <c r="IC131" s="274"/>
      <c r="ID131" s="274"/>
      <c r="IE131" s="274"/>
      <c r="IF131" s="274"/>
      <c r="IG131" s="274"/>
      <c r="IH131" s="274"/>
      <c r="II131" s="274"/>
      <c r="IJ131" s="274"/>
      <c r="IK131" s="274"/>
      <c r="IL131" s="274"/>
      <c r="IM131" s="274"/>
      <c r="IN131" s="274"/>
      <c r="IO131" s="274"/>
      <c r="IP131" s="274"/>
      <c r="IQ131" s="274"/>
      <c r="IR131" s="274"/>
      <c r="IS131" s="274"/>
      <c r="IT131" s="274"/>
      <c r="IU131" s="274"/>
      <c r="IV131" s="274"/>
      <c r="IW131" s="274"/>
      <c r="IX131" s="274"/>
      <c r="IY131" s="274"/>
      <c r="IZ131" s="274"/>
      <c r="JA131" s="274"/>
      <c r="JB131" s="274"/>
      <c r="JC131" s="274"/>
      <c r="JD131" s="274"/>
      <c r="JE131" s="274"/>
      <c r="JF131" s="274"/>
      <c r="JG131" s="274"/>
      <c r="JH131" s="274"/>
      <c r="JI131" s="274"/>
      <c r="JJ131" s="274"/>
      <c r="JK131" s="274"/>
      <c r="JL131" s="274"/>
      <c r="JM131" s="274"/>
      <c r="JN131" s="274"/>
      <c r="JO131" s="274"/>
      <c r="JP131" s="274"/>
      <c r="JQ131" s="274"/>
      <c r="JR131" s="274"/>
      <c r="JS131" s="274"/>
      <c r="JT131" s="274"/>
      <c r="JU131" s="274"/>
      <c r="JV131" s="274"/>
      <c r="JW131" s="274"/>
      <c r="JX131" s="274"/>
      <c r="JY131" s="274"/>
      <c r="JZ131" s="274"/>
      <c r="KA131" s="274"/>
      <c r="KB131" s="274"/>
      <c r="KC131" s="274"/>
      <c r="KD131" s="274"/>
      <c r="KE131" s="274"/>
      <c r="KF131" s="274"/>
      <c r="KG131" s="274"/>
      <c r="KH131" s="274"/>
      <c r="KI131" s="274"/>
      <c r="KJ131" s="274"/>
      <c r="KK131" s="274"/>
      <c r="KL131" s="274"/>
      <c r="KM131" s="274"/>
      <c r="KN131" s="274"/>
      <c r="KO131" s="274"/>
      <c r="KP131" s="274"/>
      <c r="KQ131" s="274"/>
      <c r="KR131" s="274"/>
      <c r="KS131" s="274"/>
      <c r="KT131" s="274"/>
      <c r="KU131" s="274"/>
      <c r="KV131" s="274"/>
      <c r="KW131" s="274"/>
      <c r="KX131" s="274"/>
      <c r="KY131" s="274"/>
      <c r="KZ131" s="274"/>
      <c r="LA131" s="274"/>
      <c r="LB131" s="274"/>
      <c r="LC131" s="274"/>
      <c r="LD131" s="274"/>
      <c r="LE131" s="274"/>
      <c r="LF131" s="274"/>
      <c r="LG131" s="274"/>
      <c r="LH131" s="274"/>
      <c r="LI131" s="274"/>
      <c r="LJ131" s="274"/>
      <c r="LK131" s="274"/>
      <c r="LL131" s="274"/>
      <c r="LM131" s="274"/>
      <c r="LN131" s="274"/>
      <c r="LO131" s="274"/>
      <c r="LP131" s="274"/>
      <c r="LQ131" s="274"/>
      <c r="LR131" s="274"/>
      <c r="LS131" s="274"/>
      <c r="LT131" s="274"/>
      <c r="LU131" s="274"/>
      <c r="LV131" s="274"/>
      <c r="LW131" s="274"/>
      <c r="LX131" s="274"/>
      <c r="LY131" s="274"/>
      <c r="LZ131" s="274"/>
      <c r="MA131" s="274"/>
      <c r="MB131" s="274"/>
      <c r="MC131" s="274"/>
      <c r="MD131" s="274"/>
      <c r="ME131" s="274"/>
      <c r="MF131" s="274"/>
      <c r="MG131" s="274"/>
      <c r="MH131" s="274"/>
      <c r="MI131" s="274"/>
      <c r="MJ131" s="274"/>
      <c r="MK131" s="274"/>
      <c r="ML131" s="274"/>
      <c r="MM131" s="274"/>
      <c r="MN131" s="274"/>
      <c r="MO131" s="274"/>
      <c r="MP131" s="274"/>
      <c r="MQ131" s="274"/>
      <c r="MR131" s="274"/>
      <c r="MS131" s="274"/>
      <c r="MT131" s="274"/>
      <c r="MU131" s="274"/>
      <c r="MV131" s="274"/>
      <c r="MW131" s="274"/>
      <c r="MX131" s="274"/>
      <c r="MY131" s="274"/>
      <c r="MZ131" s="274"/>
      <c r="NA131" s="274"/>
      <c r="NB131" s="274"/>
      <c r="NC131" s="274"/>
      <c r="ND131" s="274"/>
      <c r="NE131" s="274"/>
      <c r="NF131" s="274"/>
      <c r="NG131" s="274"/>
      <c r="NH131" s="274"/>
      <c r="NI131" s="274"/>
      <c r="NJ131" s="274"/>
      <c r="NK131" s="274"/>
      <c r="NL131" s="274"/>
      <c r="NM131" s="274"/>
      <c r="NN131" s="274"/>
      <c r="NO131" s="274"/>
      <c r="NP131" s="274"/>
      <c r="NQ131" s="274"/>
      <c r="NR131" s="274"/>
      <c r="NS131" s="274"/>
      <c r="NT131" s="274"/>
      <c r="NU131" s="274"/>
      <c r="NV131" s="274"/>
      <c r="NW131" s="274"/>
      <c r="NX131" s="274"/>
      <c r="NY131" s="274"/>
      <c r="NZ131" s="274"/>
      <c r="OA131" s="274"/>
      <c r="OB131" s="274"/>
      <c r="OC131" s="274"/>
      <c r="OD131" s="274"/>
      <c r="OE131" s="274"/>
      <c r="OF131" s="274"/>
      <c r="OG131" s="274"/>
      <c r="OH131" s="274"/>
      <c r="OI131" s="274"/>
      <c r="OJ131" s="274"/>
      <c r="OK131" s="274"/>
      <c r="OL131" s="274"/>
      <c r="OM131" s="274"/>
      <c r="ON131" s="274"/>
      <c r="OO131" s="274"/>
      <c r="OP131" s="274"/>
      <c r="OQ131" s="274"/>
      <c r="OR131" s="274"/>
      <c r="OS131" s="274"/>
      <c r="OT131" s="274"/>
      <c r="OU131" s="274"/>
      <c r="OV131" s="274"/>
      <c r="OW131" s="274"/>
      <c r="OX131" s="274"/>
      <c r="OY131" s="274"/>
      <c r="OZ131" s="274"/>
      <c r="PA131" s="274"/>
      <c r="PB131" s="274"/>
      <c r="PC131" s="274"/>
      <c r="PD131" s="274"/>
      <c r="PE131" s="274"/>
      <c r="PF131" s="274"/>
      <c r="PG131" s="274"/>
      <c r="PH131" s="274"/>
      <c r="PI131" s="274"/>
      <c r="PJ131" s="274"/>
      <c r="PK131" s="274"/>
      <c r="PL131" s="274"/>
      <c r="PM131" s="274"/>
      <c r="PN131" s="274"/>
      <c r="PO131" s="274"/>
      <c r="PP131" s="274"/>
      <c r="PQ131" s="274"/>
      <c r="PR131" s="274"/>
      <c r="PS131" s="274"/>
      <c r="PT131" s="274"/>
      <c r="PU131" s="274"/>
      <c r="PV131" s="274"/>
      <c r="PW131" s="274"/>
      <c r="PX131" s="274"/>
      <c r="PY131" s="274"/>
      <c r="PZ131" s="274"/>
      <c r="QA131" s="274"/>
      <c r="QB131" s="274"/>
      <c r="QC131" s="274"/>
      <c r="QD131" s="274"/>
      <c r="QE131" s="274"/>
      <c r="QF131" s="274"/>
      <c r="QG131" s="274"/>
      <c r="QH131" s="274"/>
      <c r="QI131" s="274"/>
      <c r="QJ131" s="274"/>
      <c r="QK131" s="274"/>
      <c r="QL131" s="274"/>
      <c r="QM131" s="274"/>
      <c r="QN131" s="274"/>
      <c r="QO131" s="274"/>
      <c r="QP131" s="274"/>
      <c r="QQ131" s="274"/>
      <c r="QR131" s="274"/>
      <c r="QS131" s="274"/>
      <c r="QT131" s="274"/>
      <c r="QU131" s="274"/>
      <c r="QV131" s="274"/>
      <c r="QW131" s="274"/>
      <c r="QX131" s="274"/>
      <c r="QY131" s="274"/>
      <c r="QZ131" s="274"/>
      <c r="RA131" s="274"/>
      <c r="RB131" s="274"/>
      <c r="RC131" s="274"/>
    </row>
    <row r="132" spans="112:471">
      <c r="DH132" s="274"/>
      <c r="DI132" s="274"/>
      <c r="DJ132" s="274"/>
      <c r="DK132" s="274"/>
      <c r="DL132" s="274"/>
      <c r="DM132" s="274"/>
      <c r="DN132" s="274"/>
      <c r="DO132" s="274"/>
      <c r="DP132" s="274"/>
      <c r="DQ132" s="274"/>
      <c r="DR132" s="274"/>
      <c r="DS132" s="274"/>
      <c r="DT132" s="274"/>
      <c r="DU132" s="274"/>
      <c r="DV132" s="274"/>
      <c r="DW132" s="274"/>
      <c r="DX132" s="274"/>
      <c r="DY132" s="274"/>
      <c r="DZ132" s="274"/>
      <c r="EA132" s="274"/>
      <c r="EB132" s="274"/>
      <c r="EC132" s="274"/>
      <c r="ED132" s="274"/>
      <c r="EE132" s="274"/>
      <c r="EF132" s="274"/>
      <c r="EG132" s="274"/>
      <c r="EH132" s="274"/>
      <c r="EI132" s="274"/>
      <c r="EJ132" s="274"/>
      <c r="EK132" s="274"/>
      <c r="EL132" s="274"/>
      <c r="EM132" s="274"/>
      <c r="EN132" s="274"/>
      <c r="EO132" s="274"/>
      <c r="EP132" s="274"/>
      <c r="EQ132" s="274"/>
      <c r="ER132" s="274"/>
      <c r="ES132" s="274"/>
      <c r="ET132" s="274"/>
      <c r="EU132" s="274"/>
      <c r="EV132" s="274"/>
      <c r="EW132" s="274"/>
      <c r="EX132" s="274"/>
      <c r="EY132" s="274"/>
      <c r="EZ132" s="274"/>
      <c r="FA132" s="274"/>
      <c r="FB132" s="274"/>
      <c r="FC132" s="274"/>
      <c r="FD132" s="274"/>
      <c r="FE132" s="274"/>
      <c r="FF132" s="274"/>
      <c r="FG132" s="274"/>
      <c r="FH132" s="274"/>
      <c r="FI132" s="274"/>
      <c r="FJ132" s="274"/>
      <c r="FK132" s="274"/>
      <c r="FL132" s="274"/>
      <c r="FM132" s="274"/>
      <c r="FN132" s="274"/>
      <c r="FO132" s="274"/>
      <c r="FP132" s="274"/>
      <c r="FQ132" s="274"/>
      <c r="FR132" s="274"/>
      <c r="FS132" s="274"/>
      <c r="FT132" s="274"/>
      <c r="FU132" s="274"/>
      <c r="FV132" s="274"/>
      <c r="FW132" s="274"/>
      <c r="FX132" s="274"/>
      <c r="FY132" s="274"/>
      <c r="FZ132" s="274"/>
      <c r="GA132" s="274"/>
      <c r="GB132" s="274"/>
      <c r="GC132" s="274"/>
      <c r="GD132" s="274"/>
      <c r="GE132" s="274"/>
      <c r="GF132" s="274"/>
      <c r="GG132" s="274"/>
      <c r="GH132" s="274"/>
      <c r="GI132" s="274"/>
      <c r="GJ132" s="274"/>
      <c r="GK132" s="274"/>
      <c r="GL132" s="274"/>
      <c r="GM132" s="274"/>
      <c r="GN132" s="274"/>
      <c r="GO132" s="274"/>
      <c r="GP132" s="274"/>
      <c r="GQ132" s="274"/>
      <c r="GR132" s="274"/>
      <c r="GS132" s="274"/>
      <c r="GT132" s="274"/>
      <c r="GU132" s="274"/>
      <c r="GV132" s="274"/>
      <c r="GW132" s="274"/>
      <c r="GX132" s="274"/>
      <c r="GY132" s="274"/>
      <c r="GZ132" s="274"/>
      <c r="HA132" s="274"/>
      <c r="HB132" s="274"/>
      <c r="HC132" s="274"/>
      <c r="HD132" s="274"/>
      <c r="HE132" s="274"/>
      <c r="HF132" s="274"/>
      <c r="HG132" s="274"/>
      <c r="HH132" s="274"/>
      <c r="HI132" s="274"/>
      <c r="HJ132" s="274"/>
      <c r="HK132" s="274"/>
      <c r="HL132" s="274"/>
      <c r="HM132" s="274"/>
      <c r="HN132" s="274"/>
      <c r="HO132" s="274"/>
      <c r="HP132" s="274"/>
      <c r="HQ132" s="274"/>
      <c r="HR132" s="274"/>
      <c r="HS132" s="274"/>
      <c r="HT132" s="274"/>
      <c r="HU132" s="274"/>
      <c r="HV132" s="274"/>
      <c r="HW132" s="274"/>
      <c r="HX132" s="274"/>
      <c r="HY132" s="274"/>
      <c r="HZ132" s="274"/>
      <c r="IA132" s="274"/>
      <c r="IB132" s="274"/>
      <c r="IC132" s="274"/>
      <c r="ID132" s="274"/>
      <c r="IE132" s="274"/>
      <c r="IF132" s="274"/>
      <c r="IG132" s="274"/>
      <c r="IH132" s="274"/>
      <c r="II132" s="274"/>
      <c r="IJ132" s="274"/>
      <c r="IK132" s="274"/>
      <c r="IL132" s="274"/>
      <c r="IM132" s="274"/>
      <c r="IN132" s="274"/>
      <c r="IO132" s="274"/>
      <c r="IP132" s="274"/>
      <c r="IQ132" s="274"/>
      <c r="IR132" s="274"/>
      <c r="IS132" s="274"/>
      <c r="IT132" s="274"/>
      <c r="IU132" s="274"/>
      <c r="IV132" s="274"/>
      <c r="IW132" s="274"/>
      <c r="IX132" s="274"/>
      <c r="IY132" s="274"/>
      <c r="IZ132" s="274"/>
      <c r="JA132" s="274"/>
      <c r="JB132" s="274"/>
      <c r="JC132" s="274"/>
      <c r="JD132" s="274"/>
      <c r="JE132" s="274"/>
      <c r="JF132" s="274"/>
      <c r="JG132" s="274"/>
      <c r="JH132" s="274"/>
      <c r="JI132" s="274"/>
      <c r="JJ132" s="274"/>
      <c r="JK132" s="274"/>
      <c r="JL132" s="274"/>
      <c r="JM132" s="274"/>
      <c r="JN132" s="274"/>
      <c r="JO132" s="274"/>
      <c r="JP132" s="274"/>
      <c r="JQ132" s="274"/>
      <c r="JR132" s="274"/>
      <c r="JS132" s="274"/>
      <c r="JT132" s="274"/>
      <c r="JU132" s="274"/>
      <c r="JV132" s="274"/>
      <c r="JW132" s="274"/>
      <c r="JX132" s="274"/>
      <c r="JY132" s="274"/>
      <c r="JZ132" s="274"/>
      <c r="KA132" s="274"/>
      <c r="KB132" s="274"/>
      <c r="KC132" s="274"/>
      <c r="KD132" s="274"/>
      <c r="KE132" s="274"/>
      <c r="KF132" s="274"/>
      <c r="KG132" s="274"/>
      <c r="KH132" s="274"/>
      <c r="KI132" s="274"/>
      <c r="KJ132" s="274"/>
      <c r="KK132" s="274"/>
      <c r="KL132" s="274"/>
      <c r="KM132" s="274"/>
      <c r="KN132" s="274"/>
      <c r="KO132" s="274"/>
      <c r="KP132" s="274"/>
      <c r="KQ132" s="274"/>
      <c r="KR132" s="274"/>
      <c r="KS132" s="274"/>
      <c r="KT132" s="274"/>
      <c r="KU132" s="274"/>
      <c r="KV132" s="274"/>
      <c r="KW132" s="274"/>
      <c r="KX132" s="274"/>
      <c r="KY132" s="274"/>
      <c r="KZ132" s="274"/>
      <c r="LA132" s="274"/>
      <c r="LB132" s="274"/>
      <c r="LC132" s="274"/>
      <c r="LD132" s="274"/>
      <c r="LE132" s="274"/>
      <c r="LF132" s="274"/>
      <c r="LG132" s="274"/>
      <c r="LH132" s="274"/>
      <c r="LI132" s="274"/>
      <c r="LJ132" s="274"/>
      <c r="LK132" s="274"/>
      <c r="LL132" s="274"/>
      <c r="LM132" s="274"/>
      <c r="LN132" s="274"/>
      <c r="LO132" s="274"/>
      <c r="LP132" s="274"/>
      <c r="LQ132" s="274"/>
      <c r="LR132" s="274"/>
      <c r="LS132" s="274"/>
      <c r="LT132" s="274"/>
      <c r="LU132" s="274"/>
      <c r="LV132" s="274"/>
      <c r="LW132" s="274"/>
      <c r="LX132" s="274"/>
      <c r="LY132" s="274"/>
      <c r="LZ132" s="274"/>
      <c r="MA132" s="274"/>
      <c r="MB132" s="274"/>
      <c r="MC132" s="274"/>
      <c r="MD132" s="274"/>
      <c r="ME132" s="274"/>
      <c r="MF132" s="274"/>
      <c r="MG132" s="274"/>
      <c r="MH132" s="274"/>
      <c r="MI132" s="274"/>
      <c r="MJ132" s="274"/>
      <c r="MK132" s="274"/>
      <c r="ML132" s="274"/>
      <c r="MM132" s="274"/>
      <c r="MN132" s="274"/>
      <c r="MO132" s="274"/>
      <c r="MP132" s="274"/>
      <c r="MQ132" s="274"/>
      <c r="MR132" s="274"/>
      <c r="MS132" s="274"/>
      <c r="MT132" s="274"/>
      <c r="MU132" s="274"/>
      <c r="MV132" s="274"/>
      <c r="MW132" s="274"/>
      <c r="MX132" s="274"/>
      <c r="MY132" s="274"/>
      <c r="MZ132" s="274"/>
      <c r="NA132" s="274"/>
      <c r="NB132" s="274"/>
      <c r="NC132" s="274"/>
      <c r="ND132" s="274"/>
      <c r="NE132" s="274"/>
      <c r="NF132" s="274"/>
      <c r="NG132" s="274"/>
      <c r="NH132" s="274"/>
      <c r="NI132" s="274"/>
      <c r="NJ132" s="274"/>
      <c r="NK132" s="274"/>
      <c r="NL132" s="274"/>
      <c r="NM132" s="274"/>
      <c r="NN132" s="274"/>
      <c r="NO132" s="274"/>
      <c r="NP132" s="274"/>
      <c r="NQ132" s="274"/>
      <c r="NR132" s="274"/>
      <c r="NS132" s="274"/>
      <c r="NT132" s="274"/>
      <c r="NU132" s="274"/>
      <c r="NV132" s="274"/>
      <c r="NW132" s="274"/>
      <c r="NX132" s="274"/>
      <c r="NY132" s="274"/>
      <c r="NZ132" s="274"/>
      <c r="OA132" s="274"/>
      <c r="OB132" s="274"/>
      <c r="OC132" s="274"/>
      <c r="OD132" s="274"/>
      <c r="OE132" s="274"/>
      <c r="OF132" s="274"/>
      <c r="OG132" s="274"/>
      <c r="OH132" s="274"/>
      <c r="OI132" s="274"/>
      <c r="OJ132" s="274"/>
      <c r="OK132" s="274"/>
      <c r="OL132" s="274"/>
      <c r="OM132" s="274"/>
      <c r="ON132" s="274"/>
      <c r="OO132" s="274"/>
      <c r="OP132" s="274"/>
      <c r="OQ132" s="274"/>
      <c r="OR132" s="274"/>
      <c r="OS132" s="274"/>
      <c r="OT132" s="274"/>
      <c r="OU132" s="274"/>
      <c r="OV132" s="274"/>
      <c r="OW132" s="274"/>
      <c r="OX132" s="274"/>
      <c r="OY132" s="274"/>
      <c r="OZ132" s="274"/>
      <c r="PA132" s="274"/>
      <c r="PB132" s="274"/>
      <c r="PC132" s="274"/>
      <c r="PD132" s="274"/>
      <c r="PE132" s="274"/>
      <c r="PF132" s="274"/>
      <c r="PG132" s="274"/>
      <c r="PH132" s="274"/>
      <c r="PI132" s="274"/>
      <c r="PJ132" s="274"/>
      <c r="PK132" s="274"/>
      <c r="PL132" s="274"/>
      <c r="PM132" s="274"/>
      <c r="PN132" s="274"/>
      <c r="PO132" s="274"/>
      <c r="PP132" s="274"/>
      <c r="PQ132" s="274"/>
      <c r="PR132" s="274"/>
      <c r="PS132" s="274"/>
      <c r="PT132" s="274"/>
      <c r="PU132" s="274"/>
      <c r="PV132" s="274"/>
      <c r="PW132" s="274"/>
      <c r="PX132" s="274"/>
      <c r="PY132" s="274"/>
      <c r="PZ132" s="274"/>
      <c r="QA132" s="274"/>
      <c r="QB132" s="274"/>
      <c r="QC132" s="274"/>
      <c r="QD132" s="274"/>
      <c r="QE132" s="274"/>
      <c r="QF132" s="274"/>
      <c r="QG132" s="274"/>
      <c r="QH132" s="274"/>
      <c r="QI132" s="274"/>
      <c r="QJ132" s="274"/>
      <c r="QK132" s="274"/>
      <c r="QL132" s="274"/>
      <c r="QM132" s="274"/>
      <c r="QN132" s="274"/>
      <c r="QO132" s="274"/>
      <c r="QP132" s="274"/>
      <c r="QQ132" s="274"/>
      <c r="QR132" s="274"/>
      <c r="QS132" s="274"/>
      <c r="QT132" s="274"/>
      <c r="QU132" s="274"/>
      <c r="QV132" s="274"/>
      <c r="QW132" s="274"/>
      <c r="QX132" s="274"/>
      <c r="QY132" s="274"/>
      <c r="QZ132" s="274"/>
      <c r="RA132" s="274"/>
      <c r="RB132" s="274"/>
      <c r="RC132" s="274"/>
    </row>
    <row r="133" spans="112:471" ht="17.25">
      <c r="DH133" s="274"/>
      <c r="DI133" s="274"/>
      <c r="DJ133" s="978"/>
      <c r="DK133" s="274"/>
      <c r="DL133" s="274"/>
      <c r="DM133" s="274"/>
      <c r="DN133" s="274"/>
      <c r="DO133" s="274"/>
      <c r="DP133" s="274"/>
      <c r="DQ133" s="274"/>
      <c r="DR133" s="274"/>
      <c r="DS133" s="274"/>
      <c r="DT133" s="274"/>
      <c r="DU133" s="274"/>
      <c r="DV133" s="274"/>
      <c r="DW133" s="274"/>
      <c r="DX133" s="274"/>
      <c r="DY133" s="274"/>
      <c r="DZ133" s="274"/>
      <c r="EA133" s="274"/>
      <c r="EB133" s="274"/>
      <c r="EC133" s="274"/>
      <c r="ED133" s="274"/>
      <c r="EE133" s="274"/>
      <c r="EF133" s="274"/>
      <c r="EG133" s="274"/>
      <c r="EH133" s="274"/>
      <c r="EI133" s="274"/>
      <c r="EJ133" s="274"/>
      <c r="EK133" s="274"/>
      <c r="EL133" s="274"/>
      <c r="EM133" s="274"/>
      <c r="EN133" s="274"/>
      <c r="EO133" s="274"/>
      <c r="EP133" s="274"/>
      <c r="EQ133" s="274"/>
      <c r="ER133" s="274"/>
      <c r="ES133" s="274"/>
      <c r="ET133" s="274"/>
      <c r="EU133" s="274"/>
      <c r="EV133" s="274"/>
      <c r="EW133" s="274"/>
      <c r="EX133" s="274"/>
      <c r="EY133" s="274"/>
      <c r="EZ133" s="274"/>
      <c r="FA133" s="274"/>
      <c r="FB133" s="274"/>
      <c r="FC133" s="274"/>
      <c r="FD133" s="274"/>
      <c r="FE133" s="274"/>
      <c r="FF133" s="274"/>
      <c r="FG133" s="274"/>
      <c r="FH133" s="274"/>
      <c r="FI133" s="274"/>
      <c r="FJ133" s="274"/>
      <c r="FK133" s="274"/>
      <c r="FL133" s="274"/>
      <c r="FM133" s="274"/>
      <c r="FN133" s="274"/>
      <c r="FO133" s="274"/>
      <c r="FP133" s="274"/>
      <c r="FQ133" s="274"/>
      <c r="FR133" s="274"/>
      <c r="FS133" s="274"/>
      <c r="FT133" s="274"/>
      <c r="FU133" s="274"/>
      <c r="FV133" s="274"/>
      <c r="FW133" s="274"/>
      <c r="FX133" s="274"/>
      <c r="FY133" s="274"/>
      <c r="FZ133" s="274"/>
      <c r="GA133" s="274"/>
      <c r="GB133" s="274"/>
      <c r="GC133" s="274"/>
      <c r="GD133" s="274"/>
      <c r="GE133" s="274"/>
      <c r="GF133" s="274"/>
      <c r="GG133" s="274"/>
      <c r="GH133" s="274"/>
      <c r="GI133" s="274"/>
      <c r="GJ133" s="274"/>
      <c r="GK133" s="274"/>
      <c r="GL133" s="274"/>
      <c r="GM133" s="274"/>
      <c r="GN133" s="274"/>
      <c r="GO133" s="274"/>
      <c r="GP133" s="274"/>
      <c r="GQ133" s="274"/>
      <c r="GR133" s="274"/>
      <c r="GS133" s="274"/>
      <c r="GT133" s="274"/>
      <c r="GU133" s="274"/>
      <c r="GV133" s="274"/>
      <c r="GW133" s="274"/>
      <c r="GX133" s="274"/>
      <c r="GY133" s="274"/>
      <c r="GZ133" s="274"/>
      <c r="HA133" s="274"/>
      <c r="HB133" s="274"/>
      <c r="HC133" s="274"/>
      <c r="HD133" s="274"/>
      <c r="HE133" s="274"/>
      <c r="HF133" s="274"/>
      <c r="HG133" s="274"/>
      <c r="HH133" s="274"/>
      <c r="HI133" s="274"/>
      <c r="HJ133" s="274"/>
      <c r="HK133" s="274"/>
      <c r="HL133" s="274"/>
      <c r="HM133" s="274"/>
      <c r="HN133" s="274"/>
      <c r="HO133" s="274"/>
      <c r="HP133" s="274"/>
      <c r="HQ133" s="274"/>
      <c r="HR133" s="274"/>
      <c r="HS133" s="274"/>
      <c r="HT133" s="274"/>
      <c r="HU133" s="274"/>
      <c r="HV133" s="274"/>
      <c r="HW133" s="274"/>
      <c r="HX133" s="274"/>
      <c r="HY133" s="274"/>
      <c r="HZ133" s="274"/>
      <c r="IA133" s="274"/>
      <c r="IB133" s="274"/>
      <c r="IC133" s="274"/>
      <c r="ID133" s="274"/>
      <c r="IE133" s="274"/>
      <c r="IF133" s="274"/>
      <c r="IG133" s="274"/>
      <c r="IH133" s="274"/>
      <c r="II133" s="274"/>
      <c r="IJ133" s="274"/>
      <c r="IK133" s="274"/>
      <c r="IL133" s="274"/>
      <c r="IM133" s="274"/>
      <c r="IN133" s="274"/>
      <c r="IO133" s="274"/>
      <c r="IP133" s="274"/>
      <c r="IQ133" s="274"/>
      <c r="IR133" s="274"/>
      <c r="IS133" s="274"/>
      <c r="IT133" s="274"/>
      <c r="IU133" s="274"/>
      <c r="IV133" s="274"/>
      <c r="IW133" s="274"/>
      <c r="IX133" s="274"/>
      <c r="IY133" s="274"/>
      <c r="IZ133" s="274"/>
      <c r="JA133" s="274"/>
      <c r="JB133" s="274"/>
      <c r="JC133" s="274"/>
      <c r="JD133" s="274"/>
      <c r="JE133" s="274"/>
      <c r="JF133" s="274"/>
      <c r="JG133" s="274"/>
      <c r="JH133" s="274"/>
      <c r="JI133" s="274"/>
      <c r="JJ133" s="274"/>
      <c r="JK133" s="274"/>
      <c r="JL133" s="274"/>
      <c r="JM133" s="274"/>
      <c r="JN133" s="274"/>
      <c r="JO133" s="274"/>
      <c r="JP133" s="274"/>
      <c r="JQ133" s="274"/>
      <c r="JR133" s="274"/>
      <c r="JS133" s="274"/>
      <c r="JT133" s="274"/>
      <c r="JU133" s="274"/>
      <c r="JV133" s="274"/>
      <c r="JW133" s="274"/>
      <c r="JX133" s="274"/>
      <c r="JY133" s="274"/>
      <c r="JZ133" s="274"/>
      <c r="KA133" s="274"/>
      <c r="KB133" s="274"/>
      <c r="KC133" s="274"/>
      <c r="KD133" s="274"/>
      <c r="KE133" s="274"/>
      <c r="KF133" s="274"/>
      <c r="KG133" s="274"/>
      <c r="KH133" s="274"/>
      <c r="KI133" s="274"/>
      <c r="KJ133" s="274"/>
      <c r="KK133" s="274"/>
      <c r="KL133" s="274"/>
      <c r="KM133" s="274"/>
      <c r="KN133" s="274"/>
      <c r="KO133" s="274"/>
      <c r="KP133" s="274"/>
      <c r="KQ133" s="274"/>
      <c r="KR133" s="274"/>
      <c r="KS133" s="274"/>
      <c r="KT133" s="274"/>
      <c r="KU133" s="274"/>
      <c r="KV133" s="274"/>
      <c r="KW133" s="274"/>
      <c r="KX133" s="274"/>
      <c r="KY133" s="274"/>
      <c r="KZ133" s="274"/>
      <c r="LA133" s="274"/>
      <c r="LB133" s="274"/>
      <c r="LC133" s="274"/>
      <c r="LD133" s="274"/>
      <c r="LE133" s="274"/>
      <c r="LF133" s="274"/>
      <c r="LG133" s="274"/>
      <c r="LH133" s="274"/>
      <c r="LI133" s="274"/>
      <c r="LJ133" s="274"/>
      <c r="LK133" s="274"/>
      <c r="LL133" s="274"/>
      <c r="LM133" s="274"/>
      <c r="LN133" s="274"/>
      <c r="LO133" s="274"/>
      <c r="LP133" s="274"/>
      <c r="LQ133" s="274"/>
      <c r="LR133" s="274"/>
      <c r="LS133" s="274"/>
      <c r="LT133" s="274"/>
      <c r="LU133" s="274"/>
      <c r="LV133" s="274"/>
      <c r="LW133" s="274"/>
      <c r="LX133" s="274"/>
      <c r="LY133" s="274"/>
      <c r="LZ133" s="274"/>
      <c r="MA133" s="274"/>
      <c r="MB133" s="274"/>
      <c r="MC133" s="274"/>
      <c r="MD133" s="274"/>
      <c r="ME133" s="274"/>
      <c r="MF133" s="274"/>
      <c r="MG133" s="274"/>
      <c r="MH133" s="274"/>
      <c r="MI133" s="274"/>
      <c r="MJ133" s="274"/>
      <c r="MK133" s="274"/>
      <c r="ML133" s="274"/>
      <c r="MM133" s="274"/>
      <c r="MN133" s="274"/>
      <c r="MO133" s="274"/>
      <c r="MP133" s="274"/>
      <c r="MQ133" s="274"/>
      <c r="MR133" s="274"/>
      <c r="MS133" s="274"/>
      <c r="MT133" s="274"/>
      <c r="MU133" s="274"/>
      <c r="MV133" s="274"/>
      <c r="MW133" s="274"/>
      <c r="MX133" s="274"/>
      <c r="MY133" s="274"/>
      <c r="MZ133" s="274"/>
      <c r="NA133" s="274"/>
      <c r="NB133" s="274"/>
      <c r="NC133" s="274"/>
      <c r="ND133" s="274"/>
      <c r="NE133" s="274"/>
      <c r="NF133" s="274"/>
      <c r="NG133" s="274"/>
      <c r="NH133" s="274"/>
      <c r="NI133" s="274"/>
      <c r="NJ133" s="274"/>
      <c r="NK133" s="274"/>
      <c r="NL133" s="274"/>
      <c r="NM133" s="274"/>
      <c r="NN133" s="274"/>
      <c r="NO133" s="274"/>
      <c r="NP133" s="274"/>
      <c r="NQ133" s="274"/>
      <c r="NR133" s="274"/>
      <c r="NS133" s="274"/>
      <c r="NT133" s="274"/>
      <c r="NU133" s="274"/>
      <c r="NV133" s="274"/>
      <c r="NW133" s="274"/>
      <c r="NX133" s="274"/>
      <c r="NY133" s="274"/>
      <c r="NZ133" s="274"/>
      <c r="OA133" s="274"/>
      <c r="OB133" s="274"/>
      <c r="OC133" s="274"/>
      <c r="OD133" s="274"/>
      <c r="OE133" s="274"/>
      <c r="OF133" s="274"/>
      <c r="OG133" s="274"/>
      <c r="OH133" s="274"/>
      <c r="OI133" s="274"/>
      <c r="OJ133" s="274"/>
      <c r="OK133" s="274"/>
      <c r="OL133" s="274"/>
      <c r="OM133" s="274"/>
      <c r="ON133" s="274"/>
      <c r="OO133" s="274"/>
      <c r="OP133" s="274"/>
      <c r="OQ133" s="274"/>
      <c r="OR133" s="274"/>
      <c r="OS133" s="274"/>
      <c r="OT133" s="274"/>
      <c r="OU133" s="274"/>
      <c r="OV133" s="274"/>
      <c r="OW133" s="274"/>
      <c r="OX133" s="274"/>
      <c r="OY133" s="274"/>
      <c r="OZ133" s="274"/>
      <c r="PA133" s="274"/>
      <c r="PB133" s="274"/>
      <c r="PC133" s="274"/>
      <c r="PD133" s="274"/>
      <c r="PE133" s="274"/>
      <c r="PF133" s="274"/>
      <c r="PG133" s="274"/>
      <c r="PH133" s="274"/>
      <c r="PI133" s="274"/>
      <c r="PJ133" s="274"/>
      <c r="PK133" s="274"/>
      <c r="PL133" s="274"/>
      <c r="PM133" s="274"/>
      <c r="PN133" s="274"/>
      <c r="PO133" s="274"/>
      <c r="PP133" s="274"/>
      <c r="PQ133" s="274"/>
      <c r="PR133" s="274"/>
      <c r="PS133" s="274"/>
      <c r="PT133" s="274"/>
      <c r="PU133" s="274"/>
      <c r="PV133" s="274"/>
      <c r="PW133" s="274"/>
      <c r="PX133" s="274"/>
      <c r="PY133" s="274"/>
      <c r="PZ133" s="274"/>
      <c r="QA133" s="274"/>
      <c r="QB133" s="274"/>
      <c r="QC133" s="274"/>
      <c r="QD133" s="274"/>
      <c r="QE133" s="274"/>
      <c r="QF133" s="274"/>
      <c r="QG133" s="274"/>
      <c r="QH133" s="274"/>
      <c r="QI133" s="274"/>
      <c r="QJ133" s="274"/>
      <c r="QK133" s="274"/>
      <c r="QL133" s="274"/>
      <c r="QM133" s="274"/>
      <c r="QN133" s="274"/>
      <c r="QO133" s="274"/>
      <c r="QP133" s="274"/>
      <c r="QQ133" s="274"/>
      <c r="QR133" s="274"/>
      <c r="QS133" s="274"/>
      <c r="QT133" s="274"/>
      <c r="QU133" s="274"/>
      <c r="QV133" s="274"/>
      <c r="QW133" s="274"/>
      <c r="QX133" s="274"/>
      <c r="QY133" s="274"/>
      <c r="QZ133" s="274"/>
      <c r="RA133" s="274"/>
      <c r="RB133" s="274"/>
      <c r="RC133" s="274"/>
    </row>
    <row r="134" spans="112:471" ht="17.25">
      <c r="DH134" s="274"/>
      <c r="DI134" s="274"/>
      <c r="DJ134" s="978"/>
      <c r="DK134" s="978"/>
      <c r="DL134" s="978"/>
      <c r="DM134" s="978"/>
      <c r="DN134" s="978"/>
      <c r="DO134" s="978"/>
      <c r="DP134" s="978"/>
      <c r="DQ134" s="978"/>
      <c r="DR134" s="978"/>
      <c r="DS134" s="978"/>
      <c r="DT134" s="978"/>
      <c r="DU134" s="978"/>
      <c r="DV134" s="978"/>
      <c r="DW134" s="978"/>
      <c r="DX134" s="978"/>
      <c r="DY134" s="978"/>
      <c r="DZ134" s="978"/>
      <c r="EA134" s="978"/>
      <c r="EB134" s="978"/>
      <c r="EC134" s="978"/>
      <c r="ED134" s="978"/>
      <c r="EE134" s="978"/>
      <c r="EF134" s="978"/>
      <c r="EG134" s="978"/>
      <c r="EH134" s="978"/>
      <c r="EI134" s="978"/>
      <c r="EJ134" s="978"/>
      <c r="EK134" s="978"/>
      <c r="EL134" s="978"/>
      <c r="EM134" s="978"/>
      <c r="EN134" s="978"/>
      <c r="EO134" s="978"/>
      <c r="EP134" s="978"/>
      <c r="EQ134" s="978"/>
      <c r="ER134" s="978"/>
      <c r="ES134" s="978"/>
      <c r="ET134" s="978"/>
      <c r="EU134" s="978"/>
      <c r="EV134" s="978"/>
      <c r="EW134" s="978"/>
      <c r="EX134" s="978"/>
      <c r="EY134" s="978"/>
      <c r="EZ134" s="978"/>
      <c r="FA134" s="978"/>
      <c r="FB134" s="978"/>
      <c r="FC134" s="978"/>
      <c r="FD134" s="978"/>
      <c r="FE134" s="978"/>
      <c r="FF134" s="978"/>
      <c r="FG134" s="978"/>
      <c r="FH134" s="978"/>
      <c r="FI134" s="978"/>
      <c r="FJ134" s="978"/>
      <c r="FK134" s="978"/>
      <c r="FL134" s="978"/>
      <c r="FM134" s="978"/>
      <c r="FN134" s="978"/>
      <c r="FO134" s="978"/>
      <c r="FP134" s="978"/>
      <c r="FQ134" s="978"/>
      <c r="FR134" s="978"/>
      <c r="FS134" s="978"/>
      <c r="FT134" s="978"/>
      <c r="FU134" s="978"/>
      <c r="FV134" s="978"/>
      <c r="FW134" s="978"/>
      <c r="FX134" s="978"/>
      <c r="FY134" s="978"/>
      <c r="FZ134" s="978"/>
      <c r="GA134" s="978"/>
      <c r="GB134" s="978"/>
      <c r="GC134" s="978"/>
      <c r="GD134" s="978"/>
      <c r="GE134" s="978"/>
      <c r="GF134" s="978"/>
      <c r="GG134" s="978"/>
      <c r="GH134" s="978"/>
      <c r="GI134" s="978"/>
      <c r="GJ134" s="978"/>
      <c r="GK134" s="978"/>
      <c r="GL134" s="978"/>
      <c r="GM134" s="978"/>
      <c r="GN134" s="978"/>
      <c r="GO134" s="978"/>
      <c r="GP134" s="978"/>
      <c r="GQ134" s="978"/>
      <c r="GR134" s="978"/>
      <c r="GS134" s="978"/>
      <c r="GT134" s="978"/>
      <c r="GU134" s="978"/>
      <c r="GV134" s="978"/>
      <c r="GW134" s="978"/>
      <c r="GX134" s="978"/>
      <c r="GY134" s="978"/>
      <c r="GZ134" s="978"/>
      <c r="HA134" s="978"/>
      <c r="HB134" s="978"/>
      <c r="HC134" s="978"/>
      <c r="HD134" s="978"/>
      <c r="HE134" s="978"/>
      <c r="HF134" s="978"/>
      <c r="HG134" s="978"/>
      <c r="HH134" s="978"/>
      <c r="HI134" s="978"/>
      <c r="HJ134" s="978"/>
      <c r="HK134" s="978"/>
      <c r="HL134" s="978"/>
      <c r="HM134" s="978"/>
      <c r="HN134" s="978"/>
      <c r="HO134" s="978"/>
      <c r="HP134" s="978"/>
      <c r="HQ134" s="978"/>
      <c r="HR134" s="978"/>
      <c r="HS134" s="978"/>
      <c r="HT134" s="978"/>
      <c r="HU134" s="978"/>
      <c r="HV134" s="978"/>
      <c r="HW134" s="978"/>
      <c r="HX134" s="978"/>
      <c r="HY134" s="978"/>
      <c r="HZ134" s="978"/>
      <c r="IA134" s="978"/>
      <c r="IB134" s="978"/>
      <c r="IC134" s="978"/>
      <c r="ID134" s="978"/>
      <c r="IE134" s="978"/>
      <c r="IF134" s="978"/>
      <c r="IG134" s="978"/>
      <c r="IH134" s="978"/>
      <c r="II134" s="978"/>
      <c r="IJ134" s="978"/>
      <c r="IK134" s="978"/>
      <c r="IL134" s="978"/>
      <c r="IM134" s="978"/>
      <c r="IN134" s="978"/>
      <c r="IO134" s="978"/>
      <c r="IP134" s="978"/>
      <c r="IQ134" s="978"/>
      <c r="IR134" s="978"/>
      <c r="IS134" s="978"/>
      <c r="IT134" s="978"/>
      <c r="IU134" s="978"/>
      <c r="IV134" s="978"/>
      <c r="IW134" s="978"/>
      <c r="IX134" s="978"/>
      <c r="IY134" s="978"/>
      <c r="IZ134" s="978"/>
      <c r="JA134" s="978"/>
      <c r="JB134" s="978"/>
      <c r="JC134" s="978"/>
      <c r="JD134" s="978"/>
      <c r="JE134" s="978"/>
      <c r="JF134" s="978"/>
      <c r="JG134" s="978"/>
      <c r="JH134" s="978"/>
      <c r="JI134" s="978"/>
      <c r="JJ134" s="978"/>
      <c r="JK134" s="978"/>
      <c r="JL134" s="978"/>
      <c r="JM134" s="978"/>
      <c r="JN134" s="978"/>
      <c r="JO134" s="978"/>
      <c r="JP134" s="978"/>
      <c r="JQ134" s="978"/>
      <c r="JR134" s="978"/>
      <c r="JS134" s="978"/>
      <c r="JT134" s="978"/>
      <c r="JU134" s="978"/>
      <c r="JV134" s="978"/>
      <c r="JW134" s="978"/>
      <c r="JX134" s="978"/>
      <c r="JY134" s="978"/>
      <c r="JZ134" s="978"/>
      <c r="KA134" s="978"/>
      <c r="KB134" s="978"/>
      <c r="KC134" s="978"/>
      <c r="KD134" s="978"/>
      <c r="KE134" s="978"/>
      <c r="KF134" s="978"/>
      <c r="KG134" s="978"/>
      <c r="KH134" s="978"/>
      <c r="KI134" s="978"/>
      <c r="KJ134" s="978"/>
      <c r="KK134" s="978"/>
      <c r="KL134" s="978"/>
      <c r="KM134" s="978"/>
      <c r="KN134" s="978"/>
      <c r="KO134" s="978"/>
      <c r="KP134" s="978"/>
      <c r="KQ134" s="978"/>
      <c r="KR134" s="978"/>
      <c r="KS134" s="978"/>
      <c r="KT134" s="978"/>
      <c r="KU134" s="978"/>
      <c r="KV134" s="978"/>
      <c r="KW134" s="978"/>
      <c r="KX134" s="978"/>
      <c r="KY134" s="978"/>
      <c r="KZ134" s="978"/>
      <c r="LA134" s="978"/>
      <c r="LB134" s="978"/>
      <c r="LC134" s="978"/>
      <c r="LD134" s="978"/>
      <c r="LE134" s="978"/>
      <c r="LF134" s="978"/>
      <c r="LG134" s="978"/>
      <c r="LH134" s="978"/>
      <c r="LI134" s="978"/>
      <c r="LJ134" s="978"/>
      <c r="LK134" s="978"/>
      <c r="LL134" s="978"/>
      <c r="LM134" s="978"/>
      <c r="LN134" s="978"/>
      <c r="LO134" s="978"/>
      <c r="LP134" s="978"/>
      <c r="LQ134" s="978"/>
      <c r="LR134" s="978"/>
      <c r="LS134" s="978"/>
      <c r="LT134" s="978"/>
      <c r="LU134" s="978"/>
      <c r="LV134" s="978"/>
      <c r="LW134" s="978"/>
      <c r="LX134" s="978"/>
      <c r="LY134" s="978"/>
      <c r="LZ134" s="978"/>
      <c r="MA134" s="978"/>
      <c r="MB134" s="978"/>
      <c r="MC134" s="978"/>
      <c r="MD134" s="978"/>
      <c r="ME134" s="978"/>
      <c r="MF134" s="978"/>
      <c r="MG134" s="978"/>
      <c r="MH134" s="978"/>
      <c r="MI134" s="978"/>
      <c r="MJ134" s="978"/>
      <c r="MK134" s="978"/>
      <c r="ML134" s="978"/>
      <c r="MM134" s="978"/>
      <c r="MN134" s="978"/>
      <c r="MO134" s="978"/>
      <c r="MP134" s="978"/>
      <c r="MQ134" s="978"/>
      <c r="MR134" s="978"/>
      <c r="MS134" s="978"/>
      <c r="MT134" s="978"/>
      <c r="MU134" s="978"/>
      <c r="MV134" s="978"/>
      <c r="MW134" s="978"/>
      <c r="MX134" s="978"/>
      <c r="MY134" s="978"/>
      <c r="MZ134" s="978"/>
      <c r="NA134" s="978"/>
      <c r="NB134" s="978"/>
      <c r="NC134" s="978"/>
      <c r="ND134" s="978"/>
      <c r="NE134" s="978"/>
      <c r="NF134" s="978"/>
      <c r="NG134" s="978"/>
      <c r="NH134" s="978"/>
      <c r="NI134" s="978"/>
      <c r="NJ134" s="978"/>
      <c r="NK134" s="978"/>
      <c r="NL134" s="978"/>
      <c r="NM134" s="978"/>
      <c r="NN134" s="978"/>
      <c r="NO134" s="978"/>
      <c r="NP134" s="978"/>
      <c r="NQ134" s="978"/>
      <c r="NR134" s="978"/>
      <c r="NS134" s="978"/>
      <c r="NT134" s="978"/>
      <c r="NU134" s="978"/>
      <c r="NV134" s="978"/>
      <c r="NW134" s="978"/>
      <c r="NX134" s="978"/>
      <c r="NY134" s="978"/>
      <c r="NZ134" s="978"/>
      <c r="OA134" s="978"/>
      <c r="OB134" s="978"/>
      <c r="OC134" s="978"/>
      <c r="OD134" s="978"/>
      <c r="OE134" s="978"/>
      <c r="OF134" s="978"/>
      <c r="OG134" s="978"/>
      <c r="OH134" s="978"/>
      <c r="OI134" s="978"/>
      <c r="OJ134" s="978"/>
      <c r="OK134" s="978"/>
      <c r="OL134" s="978"/>
      <c r="OM134" s="978"/>
      <c r="ON134" s="978"/>
      <c r="OO134" s="978"/>
      <c r="OP134" s="978"/>
      <c r="OQ134" s="978"/>
      <c r="OR134" s="978"/>
      <c r="OS134" s="978"/>
      <c r="OT134" s="978"/>
      <c r="OU134" s="978"/>
      <c r="OV134" s="978"/>
      <c r="OW134" s="978"/>
      <c r="OX134" s="978"/>
      <c r="OY134" s="978"/>
      <c r="OZ134" s="978"/>
      <c r="PA134" s="978"/>
      <c r="PB134" s="978"/>
      <c r="PC134" s="978"/>
      <c r="PD134" s="978"/>
      <c r="PE134" s="978"/>
      <c r="PF134" s="978"/>
      <c r="PG134" s="978"/>
      <c r="PH134" s="978"/>
      <c r="PI134" s="978"/>
      <c r="PJ134" s="978"/>
      <c r="PK134" s="978"/>
      <c r="PL134" s="978"/>
      <c r="PM134" s="978"/>
      <c r="PN134" s="978"/>
      <c r="PO134" s="978"/>
      <c r="PP134" s="978"/>
      <c r="PQ134" s="978"/>
      <c r="PR134" s="978"/>
      <c r="PS134" s="978"/>
      <c r="PT134" s="978"/>
      <c r="PU134" s="978"/>
      <c r="PV134" s="978"/>
      <c r="PW134" s="978"/>
      <c r="PX134" s="978"/>
      <c r="PY134" s="978"/>
      <c r="PZ134" s="978"/>
      <c r="QA134" s="978"/>
      <c r="QB134" s="978"/>
      <c r="QC134" s="978"/>
      <c r="QD134" s="978"/>
      <c r="QE134" s="978"/>
      <c r="QF134" s="978"/>
      <c r="QG134" s="978"/>
      <c r="QH134" s="978"/>
      <c r="QI134" s="978"/>
      <c r="QJ134" s="978"/>
      <c r="QK134" s="978"/>
      <c r="QL134" s="978"/>
      <c r="QM134" s="978"/>
      <c r="QN134" s="978"/>
      <c r="QO134" s="978"/>
      <c r="QP134" s="978"/>
      <c r="QQ134" s="978"/>
      <c r="QR134" s="978"/>
      <c r="QS134" s="978"/>
      <c r="QT134" s="978"/>
      <c r="QU134" s="978"/>
      <c r="QV134" s="978"/>
      <c r="QW134" s="978"/>
      <c r="QX134" s="978"/>
      <c r="QY134" s="978"/>
      <c r="QZ134" s="978"/>
      <c r="RA134" s="978"/>
      <c r="RB134" s="274"/>
      <c r="RC134" s="274"/>
    </row>
    <row r="135" spans="112:471" ht="17.25">
      <c r="DH135" s="274"/>
      <c r="DI135" s="274"/>
      <c r="DJ135" s="978"/>
      <c r="DK135" s="978"/>
      <c r="DL135" s="978"/>
      <c r="DM135" s="978"/>
      <c r="DN135" s="978"/>
      <c r="DO135" s="978"/>
      <c r="DP135" s="978"/>
      <c r="DQ135" s="978"/>
      <c r="DR135" s="978"/>
      <c r="DS135" s="978"/>
      <c r="DT135" s="978"/>
      <c r="DU135" s="978"/>
      <c r="DV135" s="978"/>
      <c r="DW135" s="978"/>
      <c r="DX135" s="978"/>
      <c r="DY135" s="978"/>
      <c r="DZ135" s="978"/>
      <c r="EA135" s="978"/>
      <c r="EB135" s="978"/>
      <c r="EC135" s="978"/>
      <c r="ED135" s="978"/>
      <c r="EE135" s="978"/>
      <c r="EF135" s="978"/>
      <c r="EG135" s="978"/>
      <c r="EH135" s="978"/>
      <c r="EI135" s="978"/>
      <c r="EJ135" s="978"/>
      <c r="EK135" s="978"/>
      <c r="EL135" s="978"/>
      <c r="EM135" s="978"/>
      <c r="EN135" s="978"/>
      <c r="EO135" s="978"/>
      <c r="EP135" s="978"/>
      <c r="EQ135" s="978"/>
      <c r="ER135" s="978"/>
      <c r="ES135" s="978"/>
      <c r="ET135" s="978"/>
      <c r="EU135" s="978"/>
      <c r="EV135" s="978"/>
      <c r="EW135" s="978"/>
      <c r="EX135" s="978"/>
      <c r="EY135" s="978"/>
      <c r="EZ135" s="978"/>
      <c r="FA135" s="978"/>
      <c r="FB135" s="978"/>
      <c r="FC135" s="978"/>
      <c r="FD135" s="978"/>
      <c r="FE135" s="978"/>
      <c r="FF135" s="978"/>
      <c r="FG135" s="978"/>
      <c r="FH135" s="978"/>
      <c r="FI135" s="978"/>
      <c r="FJ135" s="978"/>
      <c r="FK135" s="978"/>
      <c r="FL135" s="978"/>
      <c r="FM135" s="978"/>
      <c r="FN135" s="978"/>
      <c r="FO135" s="978"/>
      <c r="FP135" s="978"/>
      <c r="FQ135" s="978"/>
      <c r="FR135" s="978"/>
      <c r="FS135" s="978"/>
      <c r="FT135" s="978"/>
      <c r="FU135" s="978"/>
      <c r="FV135" s="978"/>
      <c r="FW135" s="978"/>
      <c r="FX135" s="978"/>
      <c r="FY135" s="978"/>
      <c r="FZ135" s="978"/>
      <c r="GA135" s="978"/>
      <c r="GB135" s="978"/>
      <c r="GC135" s="978"/>
      <c r="GD135" s="978"/>
      <c r="GE135" s="978"/>
      <c r="GF135" s="978"/>
      <c r="GG135" s="978"/>
      <c r="GH135" s="978"/>
      <c r="GI135" s="978"/>
      <c r="GJ135" s="978"/>
      <c r="GK135" s="978"/>
      <c r="GL135" s="978"/>
      <c r="GM135" s="978"/>
      <c r="GN135" s="978"/>
      <c r="GO135" s="978"/>
      <c r="GP135" s="978"/>
      <c r="GQ135" s="978"/>
      <c r="GR135" s="978"/>
      <c r="GS135" s="978"/>
      <c r="GT135" s="978"/>
      <c r="GU135" s="978"/>
      <c r="GV135" s="978"/>
      <c r="GW135" s="978"/>
      <c r="GX135" s="978"/>
      <c r="GY135" s="978"/>
      <c r="GZ135" s="978"/>
      <c r="HA135" s="978"/>
      <c r="HB135" s="978"/>
      <c r="HC135" s="978"/>
      <c r="HD135" s="978"/>
      <c r="HE135" s="978"/>
      <c r="HF135" s="978"/>
      <c r="HG135" s="978"/>
      <c r="HH135" s="978"/>
      <c r="HI135" s="978"/>
      <c r="HJ135" s="978"/>
      <c r="HK135" s="978"/>
      <c r="HL135" s="978"/>
      <c r="HM135" s="978"/>
      <c r="HN135" s="978"/>
      <c r="HO135" s="978"/>
      <c r="HP135" s="978"/>
      <c r="HQ135" s="978"/>
      <c r="HR135" s="978"/>
      <c r="HS135" s="978"/>
      <c r="HT135" s="978"/>
      <c r="HU135" s="978"/>
      <c r="HV135" s="978"/>
      <c r="HW135" s="978"/>
      <c r="HX135" s="978"/>
      <c r="HY135" s="978"/>
      <c r="HZ135" s="978"/>
      <c r="IA135" s="978"/>
      <c r="IB135" s="978"/>
      <c r="IC135" s="978"/>
      <c r="ID135" s="978"/>
      <c r="IE135" s="978"/>
      <c r="IF135" s="978"/>
      <c r="IG135" s="978"/>
      <c r="IH135" s="978"/>
      <c r="II135" s="978"/>
      <c r="IJ135" s="978"/>
      <c r="IK135" s="978"/>
      <c r="IL135" s="978"/>
      <c r="IM135" s="978"/>
      <c r="IN135" s="978"/>
      <c r="IO135" s="978"/>
      <c r="IP135" s="978"/>
      <c r="IQ135" s="978"/>
      <c r="IR135" s="978"/>
      <c r="IS135" s="978"/>
      <c r="IT135" s="978"/>
      <c r="IU135" s="978"/>
      <c r="IV135" s="978"/>
      <c r="IW135" s="978"/>
      <c r="IX135" s="978"/>
      <c r="IY135" s="978"/>
      <c r="IZ135" s="978"/>
      <c r="JA135" s="978"/>
      <c r="JB135" s="978"/>
      <c r="JC135" s="978"/>
      <c r="JD135" s="978"/>
      <c r="JE135" s="978"/>
      <c r="JF135" s="978"/>
      <c r="JG135" s="978"/>
      <c r="JH135" s="978"/>
      <c r="JI135" s="978"/>
      <c r="JJ135" s="978"/>
      <c r="JK135" s="978"/>
      <c r="JL135" s="978"/>
      <c r="JM135" s="978"/>
      <c r="JN135" s="978"/>
      <c r="JO135" s="978"/>
      <c r="JP135" s="978"/>
      <c r="JQ135" s="978"/>
      <c r="JR135" s="978"/>
      <c r="JS135" s="978"/>
      <c r="JT135" s="978"/>
      <c r="JU135" s="978"/>
      <c r="JV135" s="978"/>
      <c r="JW135" s="978"/>
      <c r="JX135" s="978"/>
      <c r="JY135" s="978"/>
      <c r="JZ135" s="978"/>
      <c r="KA135" s="978"/>
      <c r="KB135" s="978"/>
      <c r="KC135" s="978"/>
      <c r="KD135" s="978"/>
      <c r="KE135" s="978"/>
      <c r="KF135" s="978"/>
      <c r="KG135" s="978"/>
      <c r="KH135" s="978"/>
      <c r="KI135" s="978"/>
      <c r="KJ135" s="978"/>
      <c r="KK135" s="978"/>
      <c r="KL135" s="978"/>
      <c r="KM135" s="978"/>
      <c r="KN135" s="978"/>
      <c r="KO135" s="978"/>
      <c r="KP135" s="978"/>
      <c r="KQ135" s="978"/>
      <c r="KR135" s="978"/>
      <c r="KS135" s="978"/>
      <c r="KT135" s="978"/>
      <c r="KU135" s="978"/>
      <c r="KV135" s="978"/>
      <c r="KW135" s="978"/>
      <c r="KX135" s="978"/>
      <c r="KY135" s="978"/>
      <c r="KZ135" s="978"/>
      <c r="LA135" s="978"/>
      <c r="LB135" s="978"/>
      <c r="LC135" s="978"/>
      <c r="LD135" s="978"/>
      <c r="LE135" s="978"/>
      <c r="LF135" s="978"/>
      <c r="LG135" s="978"/>
      <c r="LH135" s="978"/>
      <c r="LI135" s="978"/>
      <c r="LJ135" s="978"/>
      <c r="LK135" s="978"/>
      <c r="LL135" s="978"/>
      <c r="LM135" s="978"/>
      <c r="LN135" s="978"/>
      <c r="LO135" s="978"/>
      <c r="LP135" s="978"/>
      <c r="LQ135" s="978"/>
      <c r="LR135" s="978"/>
      <c r="LS135" s="978"/>
      <c r="LT135" s="978"/>
      <c r="LU135" s="978"/>
      <c r="LV135" s="978"/>
      <c r="LW135" s="978"/>
      <c r="LX135" s="978"/>
      <c r="LY135" s="978"/>
      <c r="LZ135" s="978"/>
      <c r="MA135" s="978"/>
      <c r="MB135" s="978"/>
      <c r="MC135" s="978"/>
      <c r="MD135" s="978"/>
      <c r="ME135" s="978"/>
      <c r="MF135" s="978"/>
      <c r="MG135" s="978"/>
      <c r="MH135" s="978"/>
      <c r="MI135" s="978"/>
      <c r="MJ135" s="978"/>
      <c r="MK135" s="978"/>
      <c r="ML135" s="978"/>
      <c r="MM135" s="978"/>
      <c r="MN135" s="978"/>
      <c r="MO135" s="978"/>
      <c r="MP135" s="978"/>
      <c r="MQ135" s="978"/>
      <c r="MR135" s="978"/>
      <c r="MS135" s="978"/>
      <c r="MT135" s="978"/>
      <c r="MU135" s="978"/>
      <c r="MV135" s="978"/>
      <c r="MW135" s="978"/>
      <c r="MX135" s="978"/>
      <c r="MY135" s="978"/>
      <c r="MZ135" s="978"/>
      <c r="NA135" s="978"/>
      <c r="NB135" s="978"/>
      <c r="NC135" s="978"/>
      <c r="ND135" s="978"/>
      <c r="NE135" s="978"/>
      <c r="NF135" s="978"/>
      <c r="NG135" s="978"/>
      <c r="NH135" s="978"/>
      <c r="NI135" s="978"/>
      <c r="NJ135" s="978"/>
      <c r="NK135" s="978"/>
      <c r="NL135" s="978"/>
      <c r="NM135" s="978"/>
      <c r="NN135" s="978"/>
      <c r="NO135" s="978"/>
      <c r="NP135" s="978"/>
      <c r="NQ135" s="978"/>
      <c r="NR135" s="978"/>
      <c r="NS135" s="978"/>
      <c r="NT135" s="978"/>
      <c r="NU135" s="978"/>
      <c r="NV135" s="978"/>
      <c r="NW135" s="978"/>
      <c r="NX135" s="978"/>
      <c r="NY135" s="978"/>
      <c r="NZ135" s="978"/>
      <c r="OA135" s="978"/>
      <c r="OB135" s="978"/>
      <c r="OC135" s="978"/>
      <c r="OD135" s="978"/>
      <c r="OE135" s="978"/>
      <c r="OF135" s="978"/>
      <c r="OG135" s="978"/>
      <c r="OH135" s="978"/>
      <c r="OI135" s="978"/>
      <c r="OJ135" s="978"/>
      <c r="OK135" s="978"/>
      <c r="OL135" s="978"/>
      <c r="OM135" s="978"/>
      <c r="ON135" s="978"/>
      <c r="OO135" s="978"/>
      <c r="OP135" s="978"/>
      <c r="OQ135" s="978"/>
      <c r="OR135" s="978"/>
      <c r="OS135" s="978"/>
      <c r="OT135" s="978"/>
      <c r="OU135" s="978"/>
      <c r="OV135" s="978"/>
      <c r="OW135" s="978"/>
      <c r="OX135" s="978"/>
      <c r="OY135" s="978"/>
      <c r="OZ135" s="978"/>
      <c r="PA135" s="978"/>
      <c r="PB135" s="978"/>
      <c r="PC135" s="978"/>
      <c r="PD135" s="978"/>
      <c r="PE135" s="978"/>
      <c r="PF135" s="978"/>
      <c r="PG135" s="978"/>
      <c r="PH135" s="978"/>
      <c r="PI135" s="978"/>
      <c r="PJ135" s="978"/>
      <c r="PK135" s="978"/>
      <c r="PL135" s="978"/>
      <c r="PM135" s="978"/>
      <c r="PN135" s="978"/>
      <c r="PO135" s="978"/>
      <c r="PP135" s="978"/>
      <c r="PQ135" s="978"/>
      <c r="PR135" s="978"/>
      <c r="PS135" s="978"/>
      <c r="PT135" s="978"/>
      <c r="PU135" s="978"/>
      <c r="PV135" s="978"/>
      <c r="PW135" s="978"/>
      <c r="PX135" s="978"/>
      <c r="PY135" s="978"/>
      <c r="PZ135" s="978"/>
      <c r="QA135" s="978"/>
      <c r="QB135" s="978"/>
      <c r="QC135" s="978"/>
      <c r="QD135" s="978"/>
      <c r="QE135" s="978"/>
      <c r="QF135" s="978"/>
      <c r="QG135" s="978"/>
      <c r="QH135" s="978"/>
      <c r="QI135" s="978"/>
      <c r="QJ135" s="978"/>
      <c r="QK135" s="978"/>
      <c r="QL135" s="978"/>
      <c r="QM135" s="978"/>
      <c r="QN135" s="978"/>
      <c r="QO135" s="978"/>
      <c r="QP135" s="978"/>
      <c r="QQ135" s="978"/>
      <c r="QR135" s="978"/>
      <c r="QS135" s="978"/>
      <c r="QT135" s="978"/>
      <c r="QU135" s="978"/>
      <c r="QV135" s="978"/>
      <c r="QW135" s="978"/>
      <c r="QX135" s="978"/>
      <c r="QY135" s="978"/>
      <c r="QZ135" s="978"/>
      <c r="RA135" s="978"/>
      <c r="RB135" s="274"/>
      <c r="RC135" s="274"/>
    </row>
    <row r="136" spans="112:471" ht="17.25">
      <c r="DH136" s="274"/>
      <c r="DI136" s="274"/>
      <c r="DJ136" s="978"/>
      <c r="DK136" s="978"/>
      <c r="DL136" s="978"/>
      <c r="DM136" s="978"/>
      <c r="DN136" s="978"/>
      <c r="DO136" s="978"/>
      <c r="DP136" s="978"/>
      <c r="DQ136" s="978"/>
      <c r="DR136" s="978"/>
      <c r="DS136" s="978"/>
      <c r="DT136" s="978"/>
      <c r="DU136" s="978"/>
      <c r="DV136" s="978"/>
      <c r="DW136" s="978"/>
      <c r="DX136" s="978"/>
      <c r="DY136" s="978"/>
      <c r="DZ136" s="978"/>
      <c r="EA136" s="978"/>
      <c r="EB136" s="978"/>
      <c r="EC136" s="978"/>
      <c r="ED136" s="978"/>
      <c r="EE136" s="978"/>
      <c r="EF136" s="978"/>
      <c r="EG136" s="978"/>
      <c r="EH136" s="978"/>
      <c r="EI136" s="978"/>
      <c r="EJ136" s="978"/>
      <c r="EK136" s="978"/>
      <c r="EL136" s="978"/>
      <c r="EM136" s="978"/>
      <c r="EN136" s="978"/>
      <c r="EO136" s="978"/>
      <c r="EP136" s="978"/>
      <c r="EQ136" s="978"/>
      <c r="ER136" s="978"/>
      <c r="ES136" s="978"/>
      <c r="ET136" s="978"/>
      <c r="EU136" s="978"/>
      <c r="EV136" s="978"/>
      <c r="EW136" s="978"/>
      <c r="EX136" s="978"/>
      <c r="EY136" s="978"/>
      <c r="EZ136" s="978"/>
      <c r="FA136" s="978"/>
      <c r="FB136" s="978"/>
      <c r="FC136" s="978"/>
      <c r="FD136" s="978"/>
      <c r="FE136" s="978"/>
      <c r="FF136" s="978"/>
      <c r="FG136" s="978"/>
      <c r="FH136" s="978"/>
      <c r="FI136" s="978"/>
      <c r="FJ136" s="978"/>
      <c r="FK136" s="978"/>
      <c r="FL136" s="978"/>
      <c r="FM136" s="978"/>
      <c r="FN136" s="978"/>
      <c r="FO136" s="978"/>
      <c r="FP136" s="978"/>
      <c r="FQ136" s="978"/>
      <c r="FR136" s="978"/>
      <c r="FS136" s="978"/>
      <c r="FT136" s="978"/>
      <c r="FU136" s="978"/>
      <c r="FV136" s="978"/>
      <c r="FW136" s="978"/>
      <c r="FX136" s="978"/>
      <c r="FY136" s="978"/>
      <c r="FZ136" s="978"/>
      <c r="GA136" s="978"/>
      <c r="GB136" s="978"/>
      <c r="GC136" s="978"/>
      <c r="GD136" s="978"/>
      <c r="GE136" s="978"/>
      <c r="GF136" s="978"/>
      <c r="GG136" s="978"/>
      <c r="GH136" s="978"/>
      <c r="GI136" s="978"/>
      <c r="GJ136" s="978"/>
      <c r="GK136" s="978"/>
      <c r="GL136" s="978"/>
      <c r="GM136" s="978"/>
      <c r="GN136" s="978"/>
      <c r="GO136" s="978"/>
      <c r="GP136" s="978"/>
      <c r="GQ136" s="978"/>
      <c r="GR136" s="978"/>
      <c r="GS136" s="978"/>
      <c r="GT136" s="978"/>
      <c r="GU136" s="978"/>
      <c r="GV136" s="978"/>
      <c r="GW136" s="978"/>
      <c r="GX136" s="978"/>
      <c r="GY136" s="978"/>
      <c r="GZ136" s="978"/>
      <c r="HA136" s="978"/>
      <c r="HB136" s="978"/>
      <c r="HC136" s="978"/>
      <c r="HD136" s="978"/>
      <c r="HE136" s="978"/>
      <c r="HF136" s="978"/>
      <c r="HG136" s="978"/>
      <c r="HH136" s="978"/>
      <c r="HI136" s="978"/>
      <c r="HJ136" s="978"/>
      <c r="HK136" s="978"/>
      <c r="HL136" s="978"/>
      <c r="HM136" s="978"/>
      <c r="HN136" s="978"/>
      <c r="HO136" s="978"/>
      <c r="HP136" s="978"/>
      <c r="HQ136" s="978"/>
      <c r="HR136" s="978"/>
      <c r="HS136" s="978"/>
      <c r="HT136" s="978"/>
      <c r="HU136" s="978"/>
      <c r="HV136" s="978"/>
      <c r="HW136" s="978"/>
      <c r="HX136" s="978"/>
      <c r="HY136" s="978"/>
      <c r="HZ136" s="978"/>
      <c r="IA136" s="978"/>
      <c r="IB136" s="978"/>
      <c r="IC136" s="978"/>
      <c r="ID136" s="978"/>
      <c r="IE136" s="978"/>
      <c r="IF136" s="978"/>
      <c r="IG136" s="978"/>
      <c r="IH136" s="978"/>
      <c r="II136" s="978"/>
      <c r="IJ136" s="978"/>
      <c r="IK136" s="978"/>
      <c r="IL136" s="978"/>
      <c r="IM136" s="978"/>
      <c r="IN136" s="978"/>
      <c r="IO136" s="978"/>
      <c r="IP136" s="978"/>
      <c r="IQ136" s="978"/>
      <c r="IR136" s="978"/>
      <c r="IS136" s="978"/>
      <c r="IT136" s="978"/>
      <c r="IU136" s="978"/>
      <c r="IV136" s="978"/>
      <c r="IW136" s="978"/>
      <c r="IX136" s="978"/>
      <c r="IY136" s="978"/>
      <c r="IZ136" s="978"/>
      <c r="JA136" s="978"/>
      <c r="JB136" s="978"/>
      <c r="JC136" s="978"/>
      <c r="JD136" s="978"/>
      <c r="JE136" s="978"/>
      <c r="JF136" s="978"/>
      <c r="JG136" s="978"/>
      <c r="JH136" s="978"/>
      <c r="JI136" s="978"/>
      <c r="JJ136" s="978"/>
      <c r="JK136" s="978"/>
      <c r="JL136" s="978"/>
      <c r="JM136" s="978"/>
      <c r="JN136" s="978"/>
      <c r="JO136" s="978"/>
      <c r="JP136" s="978"/>
      <c r="JQ136" s="978"/>
      <c r="JR136" s="978"/>
      <c r="JS136" s="978"/>
      <c r="JT136" s="978"/>
      <c r="JU136" s="978"/>
      <c r="JV136" s="978"/>
      <c r="JW136" s="978"/>
      <c r="JX136" s="978"/>
      <c r="JY136" s="978"/>
      <c r="JZ136" s="978"/>
      <c r="KA136" s="978"/>
      <c r="KB136" s="978"/>
      <c r="KC136" s="978"/>
      <c r="KD136" s="978"/>
      <c r="KE136" s="978"/>
      <c r="KF136" s="978"/>
      <c r="KG136" s="978"/>
      <c r="KH136" s="978"/>
      <c r="KI136" s="978"/>
      <c r="KJ136" s="978"/>
      <c r="KK136" s="978"/>
      <c r="KL136" s="978"/>
      <c r="KM136" s="978"/>
      <c r="KN136" s="978"/>
      <c r="KO136" s="978"/>
      <c r="KP136" s="978"/>
      <c r="KQ136" s="978"/>
      <c r="KR136" s="978"/>
      <c r="KS136" s="978"/>
      <c r="KT136" s="978"/>
      <c r="KU136" s="978"/>
      <c r="KV136" s="978"/>
      <c r="KW136" s="978"/>
      <c r="KX136" s="978"/>
      <c r="KY136" s="978"/>
      <c r="KZ136" s="978"/>
      <c r="LA136" s="978"/>
      <c r="LB136" s="978"/>
      <c r="LC136" s="978"/>
      <c r="LD136" s="978"/>
      <c r="LE136" s="978"/>
      <c r="LF136" s="978"/>
      <c r="LG136" s="978"/>
      <c r="LH136" s="978"/>
      <c r="LI136" s="978"/>
      <c r="LJ136" s="978"/>
      <c r="LK136" s="978"/>
      <c r="LL136" s="978"/>
      <c r="LM136" s="978"/>
      <c r="LN136" s="978"/>
      <c r="LO136" s="978"/>
      <c r="LP136" s="978"/>
      <c r="LQ136" s="978"/>
      <c r="LR136" s="978"/>
      <c r="LS136" s="978"/>
      <c r="LT136" s="978"/>
      <c r="LU136" s="978"/>
      <c r="LV136" s="978"/>
      <c r="LW136" s="978"/>
      <c r="LX136" s="978"/>
      <c r="LY136" s="978"/>
      <c r="LZ136" s="978"/>
      <c r="MA136" s="978"/>
      <c r="MB136" s="978"/>
      <c r="MC136" s="978"/>
      <c r="MD136" s="978"/>
      <c r="ME136" s="978"/>
      <c r="MF136" s="978"/>
      <c r="MG136" s="978"/>
      <c r="MH136" s="978"/>
      <c r="MI136" s="978"/>
      <c r="MJ136" s="978"/>
      <c r="MK136" s="978"/>
      <c r="ML136" s="978"/>
      <c r="MM136" s="978"/>
      <c r="MN136" s="978"/>
      <c r="MO136" s="978"/>
      <c r="MP136" s="978"/>
      <c r="MQ136" s="978"/>
      <c r="MR136" s="978"/>
      <c r="MS136" s="978"/>
      <c r="MT136" s="978"/>
      <c r="MU136" s="978"/>
      <c r="MV136" s="978"/>
      <c r="MW136" s="978"/>
      <c r="MX136" s="978"/>
      <c r="MY136" s="978"/>
      <c r="MZ136" s="978"/>
      <c r="NA136" s="978"/>
      <c r="NB136" s="978"/>
      <c r="NC136" s="978"/>
      <c r="ND136" s="978"/>
      <c r="NE136" s="978"/>
      <c r="NF136" s="978"/>
      <c r="NG136" s="978"/>
      <c r="NH136" s="978"/>
      <c r="NI136" s="978"/>
      <c r="NJ136" s="978"/>
      <c r="NK136" s="978"/>
      <c r="NL136" s="978"/>
      <c r="NM136" s="978"/>
      <c r="NN136" s="978"/>
      <c r="NO136" s="978"/>
      <c r="NP136" s="978"/>
      <c r="NQ136" s="978"/>
      <c r="NR136" s="978"/>
      <c r="NS136" s="978"/>
      <c r="NT136" s="978"/>
      <c r="NU136" s="978"/>
      <c r="NV136" s="978"/>
      <c r="NW136" s="978"/>
      <c r="NX136" s="978"/>
      <c r="NY136" s="978"/>
      <c r="NZ136" s="978"/>
      <c r="OA136" s="978"/>
      <c r="OB136" s="978"/>
      <c r="OC136" s="978"/>
      <c r="OD136" s="978"/>
      <c r="OE136" s="978"/>
      <c r="OF136" s="978"/>
      <c r="OG136" s="978"/>
      <c r="OH136" s="978"/>
      <c r="OI136" s="978"/>
      <c r="OJ136" s="978"/>
      <c r="OK136" s="978"/>
      <c r="OL136" s="978"/>
      <c r="OM136" s="978"/>
      <c r="ON136" s="978"/>
      <c r="OO136" s="978"/>
      <c r="OP136" s="978"/>
      <c r="OQ136" s="978"/>
      <c r="OR136" s="978"/>
      <c r="OS136" s="978"/>
      <c r="OT136" s="978"/>
      <c r="OU136" s="978"/>
      <c r="OV136" s="978"/>
      <c r="OW136" s="978"/>
      <c r="OX136" s="978"/>
      <c r="OY136" s="978"/>
      <c r="OZ136" s="978"/>
      <c r="PA136" s="978"/>
      <c r="PB136" s="978"/>
      <c r="PC136" s="978"/>
      <c r="PD136" s="978"/>
      <c r="PE136" s="978"/>
      <c r="PF136" s="978"/>
      <c r="PG136" s="978"/>
      <c r="PH136" s="978"/>
      <c r="PI136" s="978"/>
      <c r="PJ136" s="978"/>
      <c r="PK136" s="978"/>
      <c r="PL136" s="978"/>
      <c r="PM136" s="978"/>
      <c r="PN136" s="978"/>
      <c r="PO136" s="978"/>
      <c r="PP136" s="978"/>
      <c r="PQ136" s="978"/>
      <c r="PR136" s="978"/>
      <c r="PS136" s="978"/>
      <c r="PT136" s="978"/>
      <c r="PU136" s="978"/>
      <c r="PV136" s="978"/>
      <c r="PW136" s="978"/>
      <c r="PX136" s="978"/>
      <c r="PY136" s="978"/>
      <c r="PZ136" s="978"/>
      <c r="QA136" s="978"/>
      <c r="QB136" s="978"/>
      <c r="QC136" s="978"/>
      <c r="QD136" s="978"/>
      <c r="QE136" s="978"/>
      <c r="QF136" s="978"/>
      <c r="QG136" s="978"/>
      <c r="QH136" s="978"/>
      <c r="QI136" s="978"/>
      <c r="QJ136" s="978"/>
      <c r="QK136" s="978"/>
      <c r="QL136" s="978"/>
      <c r="QM136" s="978"/>
      <c r="QN136" s="978"/>
      <c r="QO136" s="978"/>
      <c r="QP136" s="978"/>
      <c r="QQ136" s="978"/>
      <c r="QR136" s="978"/>
      <c r="QS136" s="978"/>
      <c r="QT136" s="978"/>
      <c r="QU136" s="978"/>
      <c r="QV136" s="978"/>
      <c r="QW136" s="978"/>
      <c r="QX136" s="978"/>
      <c r="QY136" s="978"/>
      <c r="QZ136" s="978"/>
      <c r="RA136" s="978"/>
      <c r="RB136" s="274"/>
      <c r="RC136" s="274"/>
    </row>
    <row r="137" spans="112:471" ht="17.25">
      <c r="DH137" s="274"/>
      <c r="DI137" s="274"/>
      <c r="DJ137" s="978"/>
      <c r="DK137" s="978"/>
      <c r="DL137" s="978"/>
      <c r="DM137" s="978"/>
      <c r="DN137" s="978"/>
      <c r="DO137" s="978"/>
      <c r="DP137" s="978"/>
      <c r="DQ137" s="978"/>
      <c r="DR137" s="978"/>
      <c r="DS137" s="978"/>
      <c r="DT137" s="978"/>
      <c r="DU137" s="978"/>
      <c r="DV137" s="978"/>
      <c r="DW137" s="978"/>
      <c r="DX137" s="978"/>
      <c r="DY137" s="978"/>
      <c r="DZ137" s="978"/>
      <c r="EA137" s="978"/>
      <c r="EB137" s="978"/>
      <c r="EC137" s="978"/>
      <c r="ED137" s="978"/>
      <c r="EE137" s="978"/>
      <c r="EF137" s="978"/>
      <c r="EG137" s="978"/>
      <c r="EH137" s="978"/>
      <c r="EI137" s="978"/>
      <c r="EJ137" s="978"/>
      <c r="EK137" s="978"/>
      <c r="EL137" s="978"/>
      <c r="EM137" s="978"/>
      <c r="EN137" s="978"/>
      <c r="EO137" s="978"/>
      <c r="EP137" s="978"/>
      <c r="EQ137" s="978"/>
      <c r="ER137" s="978"/>
      <c r="ES137" s="978"/>
      <c r="ET137" s="978"/>
      <c r="EU137" s="978"/>
      <c r="EV137" s="978"/>
      <c r="EW137" s="978"/>
      <c r="EX137" s="978"/>
      <c r="EY137" s="978"/>
      <c r="EZ137" s="978"/>
      <c r="FA137" s="978"/>
      <c r="FB137" s="978"/>
      <c r="FC137" s="978"/>
      <c r="FD137" s="978"/>
      <c r="FE137" s="978"/>
      <c r="FF137" s="978"/>
      <c r="FG137" s="978"/>
      <c r="FH137" s="978"/>
      <c r="FI137" s="978"/>
      <c r="FJ137" s="978"/>
      <c r="FK137" s="978"/>
      <c r="FL137" s="978"/>
      <c r="FM137" s="978"/>
      <c r="FN137" s="978"/>
      <c r="FO137" s="978"/>
      <c r="FP137" s="978"/>
      <c r="FQ137" s="978"/>
      <c r="FR137" s="978"/>
      <c r="FS137" s="978"/>
      <c r="FT137" s="978"/>
      <c r="FU137" s="978"/>
      <c r="FV137" s="978"/>
      <c r="FW137" s="978"/>
      <c r="FX137" s="978"/>
      <c r="FY137" s="978"/>
      <c r="FZ137" s="978"/>
      <c r="GA137" s="978"/>
      <c r="GB137" s="978"/>
      <c r="GC137" s="978"/>
      <c r="GD137" s="978"/>
      <c r="GE137" s="978"/>
      <c r="GF137" s="978"/>
      <c r="GG137" s="978"/>
      <c r="GH137" s="978"/>
      <c r="GI137" s="978"/>
      <c r="GJ137" s="978"/>
      <c r="GK137" s="978"/>
      <c r="GL137" s="978"/>
      <c r="GM137" s="978"/>
      <c r="GN137" s="978"/>
      <c r="GO137" s="978"/>
      <c r="GP137" s="978"/>
      <c r="GQ137" s="978"/>
      <c r="GR137" s="978"/>
      <c r="GS137" s="978"/>
      <c r="GT137" s="978"/>
      <c r="GU137" s="978"/>
      <c r="GV137" s="978"/>
      <c r="GW137" s="978"/>
      <c r="GX137" s="978"/>
      <c r="GY137" s="978"/>
      <c r="GZ137" s="978"/>
      <c r="HA137" s="978"/>
      <c r="HB137" s="978"/>
      <c r="HC137" s="978"/>
      <c r="HD137" s="978"/>
      <c r="HE137" s="978"/>
      <c r="HF137" s="978"/>
      <c r="HG137" s="978"/>
      <c r="HH137" s="978"/>
      <c r="HI137" s="978"/>
      <c r="HJ137" s="978"/>
      <c r="HK137" s="978"/>
      <c r="HL137" s="978"/>
      <c r="HM137" s="978"/>
      <c r="HN137" s="978"/>
      <c r="HO137" s="978"/>
      <c r="HP137" s="978"/>
      <c r="HQ137" s="978"/>
      <c r="HR137" s="978"/>
      <c r="HS137" s="978"/>
      <c r="HT137" s="978"/>
      <c r="HU137" s="978"/>
      <c r="HV137" s="978"/>
      <c r="HW137" s="978"/>
      <c r="HX137" s="978"/>
      <c r="HY137" s="978"/>
      <c r="HZ137" s="978"/>
      <c r="IA137" s="978"/>
      <c r="IB137" s="978"/>
      <c r="IC137" s="978"/>
      <c r="ID137" s="978"/>
      <c r="IE137" s="978"/>
      <c r="IF137" s="978"/>
      <c r="IG137" s="978"/>
      <c r="IH137" s="978"/>
      <c r="II137" s="978"/>
      <c r="IJ137" s="978"/>
      <c r="IK137" s="978"/>
      <c r="IL137" s="978"/>
      <c r="IM137" s="978"/>
      <c r="IN137" s="978"/>
      <c r="IO137" s="978"/>
      <c r="IP137" s="978"/>
      <c r="IQ137" s="978"/>
      <c r="IR137" s="978"/>
      <c r="IS137" s="978"/>
      <c r="IT137" s="978"/>
      <c r="IU137" s="978"/>
      <c r="IV137" s="978"/>
      <c r="IW137" s="978"/>
      <c r="IX137" s="978"/>
      <c r="IY137" s="978"/>
      <c r="IZ137" s="978"/>
      <c r="JA137" s="978"/>
      <c r="JB137" s="978"/>
      <c r="JC137" s="978"/>
      <c r="JD137" s="978"/>
      <c r="JE137" s="978"/>
      <c r="JF137" s="978"/>
      <c r="JG137" s="978"/>
      <c r="JH137" s="978"/>
      <c r="JI137" s="978"/>
      <c r="JJ137" s="978"/>
      <c r="JK137" s="978"/>
      <c r="JL137" s="978"/>
      <c r="JM137" s="978"/>
      <c r="JN137" s="978"/>
      <c r="JO137" s="978"/>
      <c r="JP137" s="978"/>
      <c r="JQ137" s="978"/>
      <c r="JR137" s="978"/>
      <c r="JS137" s="978"/>
      <c r="JT137" s="978"/>
      <c r="JU137" s="978"/>
      <c r="JV137" s="978"/>
      <c r="JW137" s="978"/>
      <c r="JX137" s="978"/>
      <c r="JY137" s="978"/>
      <c r="JZ137" s="978"/>
      <c r="KA137" s="978"/>
      <c r="KB137" s="978"/>
      <c r="KC137" s="978"/>
      <c r="KD137" s="978"/>
      <c r="KE137" s="978"/>
      <c r="KF137" s="978"/>
      <c r="KG137" s="978"/>
      <c r="KH137" s="978"/>
      <c r="KI137" s="978"/>
      <c r="KJ137" s="978"/>
      <c r="KK137" s="978"/>
      <c r="KL137" s="978"/>
      <c r="KM137" s="978"/>
      <c r="KN137" s="978"/>
      <c r="KO137" s="978"/>
      <c r="KP137" s="978"/>
      <c r="KQ137" s="978"/>
      <c r="KR137" s="978"/>
      <c r="KS137" s="978"/>
      <c r="KT137" s="978"/>
      <c r="KU137" s="978"/>
      <c r="KV137" s="978"/>
      <c r="KW137" s="978"/>
      <c r="KX137" s="978"/>
      <c r="KY137" s="978"/>
      <c r="KZ137" s="978"/>
      <c r="LA137" s="978"/>
      <c r="LB137" s="978"/>
      <c r="LC137" s="978"/>
      <c r="LD137" s="978"/>
      <c r="LE137" s="978"/>
      <c r="LF137" s="978"/>
      <c r="LG137" s="978"/>
      <c r="LH137" s="978"/>
      <c r="LI137" s="978"/>
      <c r="LJ137" s="978"/>
      <c r="LK137" s="978"/>
      <c r="LL137" s="978"/>
      <c r="LM137" s="978"/>
      <c r="LN137" s="978"/>
      <c r="LO137" s="978"/>
      <c r="LP137" s="978"/>
      <c r="LQ137" s="978"/>
      <c r="LR137" s="978"/>
      <c r="LS137" s="978"/>
      <c r="LT137" s="978"/>
      <c r="LU137" s="978"/>
      <c r="LV137" s="978"/>
      <c r="LW137" s="978"/>
      <c r="LX137" s="978"/>
      <c r="LY137" s="978"/>
      <c r="LZ137" s="978"/>
      <c r="MA137" s="978"/>
      <c r="MB137" s="978"/>
      <c r="MC137" s="978"/>
      <c r="MD137" s="978"/>
      <c r="ME137" s="978"/>
      <c r="MF137" s="978"/>
      <c r="MG137" s="978"/>
      <c r="MH137" s="978"/>
      <c r="MI137" s="978"/>
      <c r="MJ137" s="978"/>
      <c r="MK137" s="978"/>
      <c r="ML137" s="978"/>
      <c r="MM137" s="978"/>
      <c r="MN137" s="978"/>
      <c r="MO137" s="978"/>
      <c r="MP137" s="978"/>
      <c r="MQ137" s="978"/>
      <c r="MR137" s="978"/>
      <c r="MS137" s="978"/>
      <c r="MT137" s="978"/>
      <c r="MU137" s="978"/>
      <c r="MV137" s="978"/>
      <c r="MW137" s="978"/>
      <c r="MX137" s="978"/>
      <c r="MY137" s="978"/>
      <c r="MZ137" s="978"/>
      <c r="NA137" s="978"/>
      <c r="NB137" s="978"/>
      <c r="NC137" s="978"/>
      <c r="ND137" s="978"/>
      <c r="NE137" s="978"/>
      <c r="NF137" s="978"/>
      <c r="NG137" s="978"/>
      <c r="NH137" s="978"/>
      <c r="NI137" s="978"/>
      <c r="NJ137" s="978"/>
      <c r="NK137" s="978"/>
      <c r="NL137" s="978"/>
      <c r="NM137" s="978"/>
      <c r="NN137" s="978"/>
      <c r="NO137" s="978"/>
      <c r="NP137" s="978"/>
      <c r="NQ137" s="978"/>
      <c r="NR137" s="978"/>
      <c r="NS137" s="978"/>
      <c r="NT137" s="978"/>
      <c r="NU137" s="978"/>
      <c r="NV137" s="978"/>
      <c r="NW137" s="978"/>
      <c r="NX137" s="978"/>
      <c r="NY137" s="978"/>
      <c r="NZ137" s="978"/>
      <c r="OA137" s="978"/>
      <c r="OB137" s="978"/>
      <c r="OC137" s="978"/>
      <c r="OD137" s="978"/>
      <c r="OE137" s="978"/>
      <c r="OF137" s="978"/>
      <c r="OG137" s="978"/>
      <c r="OH137" s="978"/>
      <c r="OI137" s="978"/>
      <c r="OJ137" s="978"/>
      <c r="OK137" s="978"/>
      <c r="OL137" s="978"/>
      <c r="OM137" s="978"/>
      <c r="ON137" s="978"/>
      <c r="OO137" s="978"/>
      <c r="OP137" s="978"/>
      <c r="OQ137" s="978"/>
      <c r="OR137" s="978"/>
      <c r="OS137" s="978"/>
      <c r="OT137" s="978"/>
      <c r="OU137" s="978"/>
      <c r="OV137" s="978"/>
      <c r="OW137" s="978"/>
      <c r="OX137" s="978"/>
      <c r="OY137" s="978"/>
      <c r="OZ137" s="978"/>
      <c r="PA137" s="978"/>
      <c r="PB137" s="978"/>
      <c r="PC137" s="978"/>
      <c r="PD137" s="978"/>
      <c r="PE137" s="978"/>
      <c r="PF137" s="978"/>
      <c r="PG137" s="978"/>
      <c r="PH137" s="978"/>
      <c r="PI137" s="978"/>
      <c r="PJ137" s="978"/>
      <c r="PK137" s="978"/>
      <c r="PL137" s="978"/>
      <c r="PM137" s="978"/>
      <c r="PN137" s="978"/>
      <c r="PO137" s="978"/>
      <c r="PP137" s="978"/>
      <c r="PQ137" s="978"/>
      <c r="PR137" s="978"/>
      <c r="PS137" s="978"/>
      <c r="PT137" s="978"/>
      <c r="PU137" s="978"/>
      <c r="PV137" s="978"/>
      <c r="PW137" s="978"/>
      <c r="PX137" s="978"/>
      <c r="PY137" s="978"/>
      <c r="PZ137" s="978"/>
      <c r="QA137" s="978"/>
      <c r="QB137" s="978"/>
      <c r="QC137" s="978"/>
      <c r="QD137" s="978"/>
      <c r="QE137" s="978"/>
      <c r="QF137" s="978"/>
      <c r="QG137" s="978"/>
      <c r="QH137" s="978"/>
      <c r="QI137" s="978"/>
      <c r="QJ137" s="978"/>
      <c r="QK137" s="978"/>
      <c r="QL137" s="978"/>
      <c r="QM137" s="978"/>
      <c r="QN137" s="978"/>
      <c r="QO137" s="978"/>
      <c r="QP137" s="978"/>
      <c r="QQ137" s="978"/>
      <c r="QR137" s="978"/>
      <c r="QS137" s="978"/>
      <c r="QT137" s="978"/>
      <c r="QU137" s="978"/>
      <c r="QV137" s="978"/>
      <c r="QW137" s="978"/>
      <c r="QX137" s="978"/>
      <c r="QY137" s="978"/>
      <c r="QZ137" s="978"/>
      <c r="RA137" s="978"/>
      <c r="RB137" s="274"/>
      <c r="RC137" s="274"/>
    </row>
    <row r="138" spans="112:471" ht="17.25">
      <c r="DH138" s="274"/>
      <c r="DI138" s="274"/>
      <c r="DJ138" s="978"/>
      <c r="DK138" s="978"/>
      <c r="DL138" s="978"/>
      <c r="DM138" s="978"/>
      <c r="DN138" s="978"/>
      <c r="DO138" s="978"/>
      <c r="DP138" s="978"/>
      <c r="DQ138" s="978"/>
      <c r="DR138" s="978"/>
      <c r="DS138" s="978"/>
      <c r="DT138" s="978"/>
      <c r="DU138" s="978"/>
      <c r="DV138" s="978"/>
      <c r="DW138" s="978"/>
      <c r="DX138" s="978"/>
      <c r="DY138" s="978"/>
      <c r="DZ138" s="978"/>
      <c r="EA138" s="978"/>
      <c r="EB138" s="978"/>
      <c r="EC138" s="978"/>
      <c r="ED138" s="978"/>
      <c r="EE138" s="978"/>
      <c r="EF138" s="978"/>
      <c r="EG138" s="978"/>
      <c r="EH138" s="978"/>
      <c r="EI138" s="978"/>
      <c r="EJ138" s="978"/>
      <c r="EK138" s="978"/>
      <c r="EL138" s="978"/>
      <c r="EM138" s="978"/>
      <c r="EN138" s="978"/>
      <c r="EO138" s="978"/>
      <c r="EP138" s="978"/>
      <c r="EQ138" s="978"/>
      <c r="ER138" s="978"/>
      <c r="ES138" s="978"/>
      <c r="ET138" s="978"/>
      <c r="EU138" s="978"/>
      <c r="EV138" s="978"/>
      <c r="EW138" s="978"/>
      <c r="EX138" s="978"/>
      <c r="EY138" s="978"/>
      <c r="EZ138" s="978"/>
      <c r="FA138" s="978"/>
      <c r="FB138" s="978"/>
      <c r="FC138" s="978"/>
      <c r="FD138" s="978"/>
      <c r="FE138" s="978"/>
      <c r="FF138" s="978"/>
      <c r="FG138" s="978"/>
      <c r="FH138" s="978"/>
      <c r="FI138" s="978"/>
      <c r="FJ138" s="978"/>
      <c r="FK138" s="978"/>
      <c r="FL138" s="978"/>
      <c r="FM138" s="978"/>
      <c r="FN138" s="978"/>
      <c r="FO138" s="978"/>
      <c r="FP138" s="978"/>
      <c r="FQ138" s="978"/>
      <c r="FR138" s="978"/>
      <c r="FS138" s="978"/>
      <c r="FT138" s="978"/>
      <c r="FU138" s="978"/>
      <c r="FV138" s="978"/>
      <c r="FW138" s="978"/>
      <c r="FX138" s="978"/>
      <c r="FY138" s="978"/>
      <c r="FZ138" s="978"/>
      <c r="GA138" s="978"/>
      <c r="GB138" s="978"/>
      <c r="GC138" s="978"/>
      <c r="GD138" s="978"/>
      <c r="GE138" s="978"/>
      <c r="GF138" s="978"/>
      <c r="GG138" s="978"/>
      <c r="GH138" s="978"/>
      <c r="GI138" s="978"/>
      <c r="GJ138" s="978"/>
      <c r="GK138" s="978"/>
      <c r="GL138" s="978"/>
      <c r="GM138" s="978"/>
      <c r="GN138" s="978"/>
      <c r="GO138" s="978"/>
      <c r="GP138" s="978"/>
      <c r="GQ138" s="978"/>
      <c r="GR138" s="978"/>
      <c r="GS138" s="978"/>
      <c r="GT138" s="978"/>
      <c r="GU138" s="978"/>
      <c r="GV138" s="978"/>
      <c r="GW138" s="978"/>
      <c r="GX138" s="978"/>
      <c r="GY138" s="978"/>
      <c r="GZ138" s="978"/>
      <c r="HA138" s="978"/>
      <c r="HB138" s="978"/>
      <c r="HC138" s="978"/>
      <c r="HD138" s="978"/>
      <c r="HE138" s="978"/>
      <c r="HF138" s="978"/>
      <c r="HG138" s="978"/>
      <c r="HH138" s="978"/>
      <c r="HI138" s="978"/>
      <c r="HJ138" s="978"/>
      <c r="HK138" s="978"/>
      <c r="HL138" s="978"/>
      <c r="HM138" s="978"/>
      <c r="HN138" s="978"/>
      <c r="HO138" s="978"/>
      <c r="HP138" s="978"/>
      <c r="HQ138" s="978"/>
      <c r="HR138" s="978"/>
      <c r="HS138" s="978"/>
      <c r="HT138" s="978"/>
      <c r="HU138" s="978"/>
      <c r="HV138" s="978"/>
      <c r="HW138" s="978"/>
      <c r="HX138" s="978"/>
      <c r="HY138" s="978"/>
      <c r="HZ138" s="978"/>
      <c r="IA138" s="978"/>
      <c r="IB138" s="978"/>
      <c r="IC138" s="978"/>
      <c r="ID138" s="978"/>
      <c r="IE138" s="978"/>
      <c r="IF138" s="978"/>
      <c r="IG138" s="978"/>
      <c r="IH138" s="978"/>
      <c r="II138" s="978"/>
      <c r="IJ138" s="978"/>
      <c r="IK138" s="978"/>
      <c r="IL138" s="978"/>
      <c r="IM138" s="978"/>
      <c r="IN138" s="978"/>
      <c r="IO138" s="978"/>
      <c r="IP138" s="978"/>
      <c r="IQ138" s="978"/>
      <c r="IR138" s="978"/>
      <c r="IS138" s="978"/>
      <c r="IT138" s="978"/>
      <c r="IU138" s="978"/>
      <c r="IV138" s="978"/>
      <c r="IW138" s="978"/>
      <c r="IX138" s="978"/>
      <c r="IY138" s="978"/>
      <c r="IZ138" s="978"/>
      <c r="JA138" s="978"/>
      <c r="JB138" s="978"/>
      <c r="JC138" s="978"/>
      <c r="JD138" s="978"/>
      <c r="JE138" s="978"/>
      <c r="JF138" s="978"/>
      <c r="JG138" s="978"/>
      <c r="JH138" s="978"/>
      <c r="JI138" s="978"/>
      <c r="JJ138" s="978"/>
      <c r="JK138" s="978"/>
      <c r="JL138" s="978"/>
      <c r="JM138" s="978"/>
      <c r="JN138" s="978"/>
      <c r="JO138" s="978"/>
      <c r="JP138" s="978"/>
      <c r="JQ138" s="978"/>
      <c r="JR138" s="978"/>
      <c r="JS138" s="978"/>
      <c r="JT138" s="978"/>
      <c r="JU138" s="978"/>
      <c r="JV138" s="978"/>
      <c r="JW138" s="978"/>
      <c r="JX138" s="978"/>
      <c r="JY138" s="978"/>
      <c r="JZ138" s="978"/>
      <c r="KA138" s="978"/>
      <c r="KB138" s="978"/>
      <c r="KC138" s="978"/>
      <c r="KD138" s="978"/>
      <c r="KE138" s="978"/>
      <c r="KF138" s="978"/>
      <c r="KG138" s="978"/>
      <c r="KH138" s="978"/>
      <c r="KI138" s="978"/>
      <c r="KJ138" s="978"/>
      <c r="KK138" s="978"/>
      <c r="KL138" s="978"/>
      <c r="KM138" s="978"/>
      <c r="KN138" s="978"/>
      <c r="KO138" s="978"/>
      <c r="KP138" s="978"/>
      <c r="KQ138" s="978"/>
      <c r="KR138" s="978"/>
      <c r="KS138" s="978"/>
      <c r="KT138" s="978"/>
      <c r="KU138" s="978"/>
      <c r="KV138" s="978"/>
      <c r="KW138" s="978"/>
      <c r="KX138" s="978"/>
      <c r="KY138" s="978"/>
      <c r="KZ138" s="978"/>
      <c r="LA138" s="978"/>
      <c r="LB138" s="978"/>
      <c r="LC138" s="978"/>
      <c r="LD138" s="978"/>
      <c r="LE138" s="978"/>
      <c r="LF138" s="978"/>
      <c r="LG138" s="978"/>
      <c r="LH138" s="978"/>
      <c r="LI138" s="978"/>
      <c r="LJ138" s="978"/>
      <c r="LK138" s="978"/>
      <c r="LL138" s="978"/>
      <c r="LM138" s="978"/>
      <c r="LN138" s="978"/>
      <c r="LO138" s="978"/>
      <c r="LP138" s="978"/>
      <c r="LQ138" s="978"/>
      <c r="LR138" s="978"/>
      <c r="LS138" s="978"/>
      <c r="LT138" s="978"/>
      <c r="LU138" s="978"/>
      <c r="LV138" s="978"/>
      <c r="LW138" s="978"/>
      <c r="LX138" s="978"/>
      <c r="LY138" s="978"/>
      <c r="LZ138" s="978"/>
      <c r="MA138" s="978"/>
      <c r="MB138" s="978"/>
      <c r="MC138" s="978"/>
      <c r="MD138" s="978"/>
      <c r="ME138" s="978"/>
      <c r="MF138" s="978"/>
      <c r="MG138" s="978"/>
      <c r="MH138" s="978"/>
      <c r="MI138" s="978"/>
      <c r="MJ138" s="978"/>
      <c r="MK138" s="978"/>
      <c r="ML138" s="978"/>
      <c r="MM138" s="978"/>
      <c r="MN138" s="978"/>
      <c r="MO138" s="978"/>
      <c r="MP138" s="978"/>
      <c r="MQ138" s="978"/>
      <c r="MR138" s="978"/>
      <c r="MS138" s="978"/>
      <c r="MT138" s="978"/>
      <c r="MU138" s="978"/>
      <c r="MV138" s="978"/>
      <c r="MW138" s="978"/>
      <c r="MX138" s="978"/>
      <c r="MY138" s="978"/>
      <c r="MZ138" s="978"/>
      <c r="NA138" s="978"/>
      <c r="NB138" s="978"/>
      <c r="NC138" s="978"/>
      <c r="ND138" s="978"/>
      <c r="NE138" s="978"/>
      <c r="NF138" s="978"/>
      <c r="NG138" s="978"/>
      <c r="NH138" s="978"/>
      <c r="NI138" s="978"/>
      <c r="NJ138" s="978"/>
      <c r="NK138" s="978"/>
      <c r="NL138" s="978"/>
      <c r="NM138" s="978"/>
      <c r="NN138" s="978"/>
      <c r="NO138" s="978"/>
      <c r="NP138" s="978"/>
      <c r="NQ138" s="978"/>
      <c r="NR138" s="978"/>
      <c r="NS138" s="978"/>
      <c r="NT138" s="978"/>
      <c r="NU138" s="978"/>
      <c r="NV138" s="978"/>
      <c r="NW138" s="978"/>
      <c r="NX138" s="978"/>
      <c r="NY138" s="978"/>
      <c r="NZ138" s="978"/>
      <c r="OA138" s="978"/>
      <c r="OB138" s="978"/>
      <c r="OC138" s="978"/>
      <c r="OD138" s="978"/>
      <c r="OE138" s="978"/>
      <c r="OF138" s="978"/>
      <c r="OG138" s="978"/>
      <c r="OH138" s="978"/>
      <c r="OI138" s="978"/>
      <c r="OJ138" s="978"/>
      <c r="OK138" s="978"/>
      <c r="OL138" s="978"/>
      <c r="OM138" s="978"/>
      <c r="ON138" s="978"/>
      <c r="OO138" s="978"/>
      <c r="OP138" s="978"/>
      <c r="OQ138" s="978"/>
      <c r="OR138" s="978"/>
      <c r="OS138" s="978"/>
      <c r="OT138" s="978"/>
      <c r="OU138" s="978"/>
      <c r="OV138" s="978"/>
      <c r="OW138" s="978"/>
      <c r="OX138" s="978"/>
      <c r="OY138" s="978"/>
      <c r="OZ138" s="978"/>
      <c r="PA138" s="978"/>
      <c r="PB138" s="978"/>
      <c r="PC138" s="978"/>
      <c r="PD138" s="978"/>
      <c r="PE138" s="978"/>
      <c r="PF138" s="978"/>
      <c r="PG138" s="978"/>
      <c r="PH138" s="978"/>
      <c r="PI138" s="978"/>
      <c r="PJ138" s="978"/>
      <c r="PK138" s="978"/>
      <c r="PL138" s="978"/>
      <c r="PM138" s="978"/>
      <c r="PN138" s="978"/>
      <c r="PO138" s="978"/>
      <c r="PP138" s="978"/>
      <c r="PQ138" s="978"/>
      <c r="PR138" s="978"/>
      <c r="PS138" s="978"/>
      <c r="PT138" s="978"/>
      <c r="PU138" s="978"/>
      <c r="PV138" s="978"/>
      <c r="PW138" s="978"/>
      <c r="PX138" s="978"/>
      <c r="PY138" s="978"/>
      <c r="PZ138" s="978"/>
      <c r="QA138" s="978"/>
      <c r="QB138" s="978"/>
      <c r="QC138" s="978"/>
      <c r="QD138" s="978"/>
      <c r="QE138" s="978"/>
      <c r="QF138" s="978"/>
      <c r="QG138" s="978"/>
      <c r="QH138" s="978"/>
      <c r="QI138" s="978"/>
      <c r="QJ138" s="978"/>
      <c r="QK138" s="978"/>
      <c r="QL138" s="978"/>
      <c r="QM138" s="978"/>
      <c r="QN138" s="978"/>
      <c r="QO138" s="978"/>
      <c r="QP138" s="978"/>
      <c r="QQ138" s="978"/>
      <c r="QR138" s="978"/>
      <c r="QS138" s="978"/>
      <c r="QT138" s="978"/>
      <c r="QU138" s="978"/>
      <c r="QV138" s="978"/>
      <c r="QW138" s="978"/>
      <c r="QX138" s="978"/>
      <c r="QY138" s="978"/>
      <c r="QZ138" s="978"/>
      <c r="RA138" s="978"/>
      <c r="RB138" s="274"/>
      <c r="RC138" s="274"/>
    </row>
    <row r="139" spans="112:471" ht="17.25">
      <c r="DH139" s="274"/>
      <c r="DI139" s="274"/>
      <c r="DJ139" s="978"/>
      <c r="DK139" s="978"/>
      <c r="DL139" s="978"/>
      <c r="DM139" s="978"/>
      <c r="DN139" s="978"/>
      <c r="DO139" s="978"/>
      <c r="DP139" s="978"/>
      <c r="DQ139" s="978"/>
      <c r="DR139" s="978"/>
      <c r="DS139" s="978"/>
      <c r="DT139" s="978"/>
      <c r="DU139" s="978"/>
      <c r="DV139" s="978"/>
      <c r="DW139" s="978"/>
      <c r="DX139" s="978"/>
      <c r="DY139" s="978"/>
      <c r="DZ139" s="978"/>
      <c r="EA139" s="978"/>
      <c r="EB139" s="978"/>
      <c r="EC139" s="978"/>
      <c r="ED139" s="978"/>
      <c r="EE139" s="978"/>
      <c r="EF139" s="978"/>
      <c r="EG139" s="978"/>
      <c r="EH139" s="978"/>
      <c r="EI139" s="978"/>
      <c r="EJ139" s="978"/>
      <c r="EK139" s="978"/>
      <c r="EL139" s="978"/>
      <c r="EM139" s="978"/>
      <c r="EN139" s="978"/>
      <c r="EO139" s="978"/>
      <c r="EP139" s="978"/>
      <c r="EQ139" s="978"/>
      <c r="ER139" s="978"/>
      <c r="ES139" s="978"/>
      <c r="ET139" s="978"/>
      <c r="EU139" s="978"/>
      <c r="EV139" s="978"/>
      <c r="EW139" s="978"/>
      <c r="EX139" s="978"/>
      <c r="EY139" s="978"/>
      <c r="EZ139" s="978"/>
      <c r="FA139" s="978"/>
      <c r="FB139" s="978"/>
      <c r="FC139" s="978"/>
      <c r="FD139" s="978"/>
      <c r="FE139" s="978"/>
      <c r="FF139" s="978"/>
      <c r="FG139" s="978"/>
      <c r="FH139" s="978"/>
      <c r="FI139" s="978"/>
      <c r="FJ139" s="978"/>
      <c r="FK139" s="978"/>
      <c r="FL139" s="978"/>
      <c r="FM139" s="978"/>
      <c r="FN139" s="978"/>
      <c r="FO139" s="978"/>
      <c r="FP139" s="978"/>
      <c r="FQ139" s="978"/>
      <c r="FR139" s="978"/>
      <c r="FS139" s="978"/>
      <c r="FT139" s="978"/>
      <c r="FU139" s="978"/>
      <c r="FV139" s="978"/>
      <c r="FW139" s="978"/>
      <c r="FX139" s="978"/>
      <c r="FY139" s="978"/>
      <c r="FZ139" s="978"/>
      <c r="GA139" s="978"/>
      <c r="GB139" s="978"/>
      <c r="GC139" s="978"/>
      <c r="GD139" s="978"/>
      <c r="GE139" s="978"/>
      <c r="GF139" s="978"/>
      <c r="GG139" s="978"/>
      <c r="GH139" s="978"/>
      <c r="GI139" s="978"/>
      <c r="GJ139" s="978"/>
      <c r="GK139" s="978"/>
      <c r="GL139" s="978"/>
      <c r="GM139" s="978"/>
      <c r="GN139" s="978"/>
      <c r="GO139" s="978"/>
      <c r="GP139" s="978"/>
      <c r="GQ139" s="978"/>
      <c r="GR139" s="978"/>
      <c r="GS139" s="978"/>
      <c r="GT139" s="978"/>
      <c r="GU139" s="978"/>
      <c r="GV139" s="978"/>
      <c r="GW139" s="978"/>
      <c r="GX139" s="978"/>
      <c r="GY139" s="978"/>
      <c r="GZ139" s="978"/>
      <c r="HA139" s="978"/>
      <c r="HB139" s="978"/>
      <c r="HC139" s="978"/>
      <c r="HD139" s="978"/>
      <c r="HE139" s="978"/>
      <c r="HF139" s="978"/>
      <c r="HG139" s="978"/>
      <c r="HH139" s="978"/>
      <c r="HI139" s="978"/>
      <c r="HJ139" s="978"/>
      <c r="HK139" s="978"/>
      <c r="HL139" s="978"/>
      <c r="HM139" s="978"/>
      <c r="HN139" s="978"/>
      <c r="HO139" s="978"/>
      <c r="HP139" s="978"/>
      <c r="HQ139" s="978"/>
      <c r="HR139" s="978"/>
      <c r="HS139" s="978"/>
      <c r="HT139" s="978"/>
      <c r="HU139" s="978"/>
      <c r="HV139" s="978"/>
      <c r="HW139" s="978"/>
      <c r="HX139" s="978"/>
      <c r="HY139" s="978"/>
      <c r="HZ139" s="978"/>
      <c r="IA139" s="978"/>
      <c r="IB139" s="978"/>
      <c r="IC139" s="978"/>
      <c r="ID139" s="978"/>
      <c r="IE139" s="978"/>
      <c r="IF139" s="978"/>
      <c r="IG139" s="978"/>
      <c r="IH139" s="978"/>
      <c r="II139" s="978"/>
      <c r="IJ139" s="978"/>
      <c r="IK139" s="978"/>
      <c r="IL139" s="978"/>
      <c r="IM139" s="978"/>
      <c r="IN139" s="978"/>
      <c r="IO139" s="978"/>
      <c r="IP139" s="978"/>
      <c r="IQ139" s="978"/>
      <c r="IR139" s="978"/>
      <c r="IS139" s="978"/>
      <c r="IT139" s="978"/>
      <c r="IU139" s="978"/>
      <c r="IV139" s="978"/>
      <c r="IW139" s="978"/>
      <c r="IX139" s="978"/>
      <c r="IY139" s="978"/>
      <c r="IZ139" s="978"/>
      <c r="JA139" s="978"/>
      <c r="JB139" s="978"/>
      <c r="JC139" s="978"/>
      <c r="JD139" s="978"/>
      <c r="JE139" s="978"/>
      <c r="JF139" s="978"/>
      <c r="JG139" s="978"/>
      <c r="JH139" s="978"/>
      <c r="JI139" s="978"/>
      <c r="JJ139" s="978"/>
      <c r="JK139" s="978"/>
      <c r="JL139" s="978"/>
      <c r="JM139" s="978"/>
      <c r="JN139" s="978"/>
      <c r="JO139" s="978"/>
      <c r="JP139" s="978"/>
      <c r="JQ139" s="978"/>
      <c r="JR139" s="978"/>
      <c r="JS139" s="978"/>
      <c r="JT139" s="978"/>
      <c r="JU139" s="978"/>
      <c r="JV139" s="978"/>
      <c r="JW139" s="978"/>
      <c r="JX139" s="978"/>
      <c r="JY139" s="978"/>
      <c r="JZ139" s="978"/>
      <c r="KA139" s="978"/>
      <c r="KB139" s="978"/>
      <c r="KC139" s="978"/>
      <c r="KD139" s="978"/>
      <c r="KE139" s="978"/>
      <c r="KF139" s="978"/>
      <c r="KG139" s="978"/>
      <c r="KH139" s="978"/>
      <c r="KI139" s="978"/>
      <c r="KJ139" s="978"/>
      <c r="KK139" s="978"/>
      <c r="KL139" s="978"/>
      <c r="KM139" s="978"/>
      <c r="KN139" s="978"/>
      <c r="KO139" s="978"/>
      <c r="KP139" s="978"/>
      <c r="KQ139" s="978"/>
      <c r="KR139" s="978"/>
      <c r="KS139" s="978"/>
      <c r="KT139" s="978"/>
      <c r="KU139" s="978"/>
      <c r="KV139" s="978"/>
      <c r="KW139" s="978"/>
      <c r="KX139" s="978"/>
      <c r="KY139" s="978"/>
      <c r="KZ139" s="978"/>
      <c r="LA139" s="978"/>
      <c r="LB139" s="978"/>
      <c r="LC139" s="978"/>
      <c r="LD139" s="978"/>
      <c r="LE139" s="978"/>
      <c r="LF139" s="978"/>
      <c r="LG139" s="978"/>
      <c r="LH139" s="978"/>
      <c r="LI139" s="978"/>
      <c r="LJ139" s="978"/>
      <c r="LK139" s="978"/>
      <c r="LL139" s="978"/>
      <c r="LM139" s="978"/>
      <c r="LN139" s="978"/>
      <c r="LO139" s="978"/>
      <c r="LP139" s="978"/>
      <c r="LQ139" s="978"/>
      <c r="LR139" s="978"/>
      <c r="LS139" s="978"/>
      <c r="LT139" s="978"/>
      <c r="LU139" s="978"/>
      <c r="LV139" s="978"/>
      <c r="LW139" s="978"/>
      <c r="LX139" s="978"/>
      <c r="LY139" s="978"/>
      <c r="LZ139" s="978"/>
      <c r="MA139" s="978"/>
      <c r="MB139" s="978"/>
      <c r="MC139" s="978"/>
      <c r="MD139" s="978"/>
      <c r="ME139" s="978"/>
      <c r="MF139" s="978"/>
      <c r="MG139" s="978"/>
      <c r="MH139" s="978"/>
      <c r="MI139" s="978"/>
      <c r="MJ139" s="978"/>
      <c r="MK139" s="978"/>
      <c r="ML139" s="978"/>
      <c r="MM139" s="978"/>
      <c r="MN139" s="978"/>
      <c r="MO139" s="978"/>
      <c r="MP139" s="978"/>
      <c r="MQ139" s="978"/>
      <c r="MR139" s="978"/>
      <c r="MS139" s="978"/>
      <c r="MT139" s="978"/>
      <c r="MU139" s="978"/>
      <c r="MV139" s="978"/>
      <c r="MW139" s="978"/>
      <c r="MX139" s="978"/>
      <c r="MY139" s="978"/>
      <c r="MZ139" s="978"/>
      <c r="NA139" s="978"/>
      <c r="NB139" s="978"/>
      <c r="NC139" s="978"/>
      <c r="ND139" s="978"/>
      <c r="NE139" s="978"/>
      <c r="NF139" s="978"/>
      <c r="NG139" s="978"/>
      <c r="NH139" s="978"/>
      <c r="NI139" s="978"/>
      <c r="NJ139" s="978"/>
      <c r="NK139" s="978"/>
      <c r="NL139" s="978"/>
      <c r="NM139" s="978"/>
      <c r="NN139" s="978"/>
      <c r="NO139" s="978"/>
      <c r="NP139" s="978"/>
      <c r="NQ139" s="978"/>
      <c r="NR139" s="978"/>
      <c r="NS139" s="978"/>
      <c r="NT139" s="978"/>
      <c r="NU139" s="978"/>
      <c r="NV139" s="978"/>
      <c r="NW139" s="978"/>
      <c r="NX139" s="978"/>
      <c r="NY139" s="978"/>
      <c r="NZ139" s="978"/>
      <c r="OA139" s="978"/>
      <c r="OB139" s="978"/>
      <c r="OC139" s="978"/>
      <c r="OD139" s="978"/>
      <c r="OE139" s="978"/>
      <c r="OF139" s="978"/>
      <c r="OG139" s="978"/>
      <c r="OH139" s="978"/>
      <c r="OI139" s="978"/>
      <c r="OJ139" s="978"/>
      <c r="OK139" s="978"/>
      <c r="OL139" s="978"/>
      <c r="OM139" s="978"/>
      <c r="ON139" s="978"/>
      <c r="OO139" s="978"/>
      <c r="OP139" s="978"/>
      <c r="OQ139" s="978"/>
      <c r="OR139" s="978"/>
      <c r="OS139" s="978"/>
      <c r="OT139" s="978"/>
      <c r="OU139" s="978"/>
      <c r="OV139" s="978"/>
      <c r="OW139" s="978"/>
      <c r="OX139" s="978"/>
      <c r="OY139" s="978"/>
      <c r="OZ139" s="978"/>
      <c r="PA139" s="978"/>
      <c r="PB139" s="978"/>
      <c r="PC139" s="978"/>
      <c r="PD139" s="978"/>
      <c r="PE139" s="978"/>
      <c r="PF139" s="978"/>
      <c r="PG139" s="978"/>
      <c r="PH139" s="978"/>
      <c r="PI139" s="978"/>
      <c r="PJ139" s="978"/>
      <c r="PK139" s="978"/>
      <c r="PL139" s="978"/>
      <c r="PM139" s="978"/>
      <c r="PN139" s="978"/>
      <c r="PO139" s="978"/>
      <c r="PP139" s="978"/>
      <c r="PQ139" s="978"/>
      <c r="PR139" s="978"/>
      <c r="PS139" s="978"/>
      <c r="PT139" s="978"/>
      <c r="PU139" s="978"/>
      <c r="PV139" s="978"/>
      <c r="PW139" s="978"/>
      <c r="PX139" s="978"/>
      <c r="PY139" s="978"/>
      <c r="PZ139" s="978"/>
      <c r="QA139" s="978"/>
      <c r="QB139" s="978"/>
      <c r="QC139" s="978"/>
      <c r="QD139" s="978"/>
      <c r="QE139" s="978"/>
      <c r="QF139" s="978"/>
      <c r="QG139" s="978"/>
      <c r="QH139" s="978"/>
      <c r="QI139" s="978"/>
      <c r="QJ139" s="978"/>
      <c r="QK139" s="978"/>
      <c r="QL139" s="978"/>
      <c r="QM139" s="978"/>
      <c r="QN139" s="978"/>
      <c r="QO139" s="978"/>
      <c r="QP139" s="978"/>
      <c r="QQ139" s="978"/>
      <c r="QR139" s="978"/>
      <c r="QS139" s="978"/>
      <c r="QT139" s="978"/>
      <c r="QU139" s="978"/>
      <c r="QV139" s="978"/>
      <c r="QW139" s="978"/>
      <c r="QX139" s="978"/>
      <c r="QY139" s="978"/>
      <c r="QZ139" s="978"/>
      <c r="RA139" s="978"/>
      <c r="RB139" s="274"/>
      <c r="RC139" s="274"/>
    </row>
    <row r="140" spans="112:471" ht="17.25">
      <c r="DH140" s="274"/>
      <c r="DI140" s="274"/>
      <c r="DJ140" s="978"/>
      <c r="DK140" s="978"/>
      <c r="DL140" s="978"/>
      <c r="DM140" s="978"/>
      <c r="DN140" s="978"/>
      <c r="DO140" s="978"/>
      <c r="DP140" s="978"/>
      <c r="DQ140" s="978"/>
      <c r="DR140" s="978"/>
      <c r="DS140" s="978"/>
      <c r="DT140" s="978"/>
      <c r="DU140" s="978"/>
      <c r="DV140" s="978"/>
      <c r="DW140" s="978"/>
      <c r="DX140" s="978"/>
      <c r="DY140" s="978"/>
      <c r="DZ140" s="978"/>
      <c r="EA140" s="978"/>
      <c r="EB140" s="978"/>
      <c r="EC140" s="978"/>
      <c r="ED140" s="978"/>
      <c r="EE140" s="978"/>
      <c r="EF140" s="978"/>
      <c r="EG140" s="978"/>
      <c r="EH140" s="978"/>
      <c r="EI140" s="978"/>
      <c r="EJ140" s="978"/>
      <c r="EK140" s="978"/>
      <c r="EL140" s="978"/>
      <c r="EM140" s="978"/>
      <c r="EN140" s="978"/>
      <c r="EO140" s="978"/>
      <c r="EP140" s="978"/>
      <c r="EQ140" s="978"/>
      <c r="ER140" s="978"/>
      <c r="ES140" s="978"/>
      <c r="ET140" s="978"/>
      <c r="EU140" s="978"/>
      <c r="EV140" s="978"/>
      <c r="EW140" s="978"/>
      <c r="EX140" s="978"/>
      <c r="EY140" s="978"/>
      <c r="EZ140" s="978"/>
      <c r="FA140" s="978"/>
      <c r="FB140" s="978"/>
      <c r="FC140" s="978"/>
      <c r="FD140" s="978"/>
      <c r="FE140" s="978"/>
      <c r="FF140" s="978"/>
      <c r="FG140" s="978"/>
      <c r="FH140" s="978"/>
      <c r="FI140" s="978"/>
      <c r="FJ140" s="978"/>
      <c r="FK140" s="978"/>
      <c r="FL140" s="978"/>
      <c r="FM140" s="978"/>
      <c r="FN140" s="978"/>
      <c r="FO140" s="978"/>
      <c r="FP140" s="978"/>
      <c r="FQ140" s="978"/>
      <c r="FR140" s="978"/>
      <c r="FS140" s="978"/>
      <c r="FT140" s="978"/>
      <c r="FU140" s="978"/>
      <c r="FV140" s="978"/>
      <c r="FW140" s="978"/>
      <c r="FX140" s="978"/>
      <c r="FY140" s="978"/>
      <c r="FZ140" s="978"/>
      <c r="GA140" s="978"/>
      <c r="GB140" s="978"/>
      <c r="GC140" s="978"/>
      <c r="GD140" s="978"/>
      <c r="GE140" s="978"/>
      <c r="GF140" s="978"/>
      <c r="GG140" s="978"/>
      <c r="GH140" s="978"/>
      <c r="GI140" s="978"/>
      <c r="GJ140" s="978"/>
      <c r="GK140" s="978"/>
      <c r="GL140" s="978"/>
      <c r="GM140" s="978"/>
      <c r="GN140" s="978"/>
      <c r="GO140" s="978"/>
      <c r="GP140" s="978"/>
      <c r="GQ140" s="978"/>
      <c r="GR140" s="978"/>
      <c r="GS140" s="978"/>
      <c r="GT140" s="978"/>
      <c r="GU140" s="978"/>
      <c r="GV140" s="978"/>
      <c r="GW140" s="978"/>
      <c r="GX140" s="978"/>
      <c r="GY140" s="978"/>
      <c r="GZ140" s="978"/>
      <c r="HA140" s="978"/>
      <c r="HB140" s="978"/>
      <c r="HC140" s="978"/>
      <c r="HD140" s="978"/>
      <c r="HE140" s="978"/>
      <c r="HF140" s="978"/>
      <c r="HG140" s="978"/>
      <c r="HH140" s="978"/>
      <c r="HI140" s="978"/>
      <c r="HJ140" s="978"/>
      <c r="HK140" s="978"/>
      <c r="HL140" s="978"/>
      <c r="HM140" s="978"/>
      <c r="HN140" s="978"/>
      <c r="HO140" s="978"/>
      <c r="HP140" s="978"/>
      <c r="HQ140" s="978"/>
      <c r="HR140" s="978"/>
      <c r="HS140" s="978"/>
      <c r="HT140" s="978"/>
      <c r="HU140" s="978"/>
      <c r="HV140" s="978"/>
      <c r="HW140" s="978"/>
      <c r="HX140" s="978"/>
      <c r="HY140" s="978"/>
      <c r="HZ140" s="978"/>
      <c r="IA140" s="978"/>
      <c r="IB140" s="978"/>
      <c r="IC140" s="978"/>
      <c r="ID140" s="978"/>
      <c r="IE140" s="978"/>
      <c r="IF140" s="978"/>
      <c r="IG140" s="978"/>
      <c r="IH140" s="978"/>
      <c r="II140" s="978"/>
      <c r="IJ140" s="978"/>
      <c r="IK140" s="978"/>
      <c r="IL140" s="978"/>
      <c r="IM140" s="978"/>
      <c r="IN140" s="978"/>
      <c r="IO140" s="978"/>
      <c r="IP140" s="978"/>
      <c r="IQ140" s="978"/>
      <c r="IR140" s="978"/>
      <c r="IS140" s="978"/>
      <c r="IT140" s="978"/>
      <c r="IU140" s="978"/>
      <c r="IV140" s="978"/>
      <c r="IW140" s="978"/>
      <c r="IX140" s="978"/>
      <c r="IY140" s="978"/>
      <c r="IZ140" s="978"/>
      <c r="JA140" s="978"/>
      <c r="JB140" s="978"/>
      <c r="JC140" s="978"/>
      <c r="JD140" s="978"/>
      <c r="JE140" s="978"/>
      <c r="JF140" s="978"/>
      <c r="JG140" s="978"/>
      <c r="JH140" s="978"/>
      <c r="JI140" s="978"/>
      <c r="JJ140" s="978"/>
      <c r="JK140" s="978"/>
      <c r="JL140" s="978"/>
      <c r="JM140" s="978"/>
      <c r="JN140" s="978"/>
      <c r="JO140" s="978"/>
      <c r="JP140" s="978"/>
      <c r="JQ140" s="978"/>
      <c r="JR140" s="978"/>
      <c r="JS140" s="978"/>
      <c r="JT140" s="978"/>
      <c r="JU140" s="978"/>
      <c r="JV140" s="978"/>
      <c r="JW140" s="978"/>
      <c r="JX140" s="978"/>
      <c r="JY140" s="978"/>
      <c r="JZ140" s="978"/>
      <c r="KA140" s="978"/>
      <c r="KB140" s="978"/>
      <c r="KC140" s="978"/>
      <c r="KD140" s="978"/>
      <c r="KE140" s="978"/>
      <c r="KF140" s="978"/>
      <c r="KG140" s="978"/>
      <c r="KH140" s="978"/>
      <c r="KI140" s="978"/>
      <c r="KJ140" s="978"/>
      <c r="KK140" s="978"/>
      <c r="KL140" s="978"/>
      <c r="KM140" s="978"/>
      <c r="KN140" s="978"/>
      <c r="KO140" s="978"/>
      <c r="KP140" s="978"/>
      <c r="KQ140" s="978"/>
      <c r="KR140" s="978"/>
      <c r="KS140" s="978"/>
      <c r="KT140" s="978"/>
      <c r="KU140" s="978"/>
      <c r="KV140" s="978"/>
      <c r="KW140" s="978"/>
      <c r="KX140" s="978"/>
      <c r="KY140" s="978"/>
      <c r="KZ140" s="978"/>
      <c r="LA140" s="978"/>
      <c r="LB140" s="978"/>
      <c r="LC140" s="978"/>
      <c r="LD140" s="978"/>
      <c r="LE140" s="978"/>
      <c r="LF140" s="978"/>
      <c r="LG140" s="978"/>
      <c r="LH140" s="978"/>
      <c r="LI140" s="978"/>
      <c r="LJ140" s="978"/>
      <c r="LK140" s="978"/>
      <c r="LL140" s="978"/>
      <c r="LM140" s="978"/>
      <c r="LN140" s="978"/>
      <c r="LO140" s="978"/>
      <c r="LP140" s="978"/>
      <c r="LQ140" s="978"/>
      <c r="LR140" s="978"/>
      <c r="LS140" s="978"/>
      <c r="LT140" s="978"/>
      <c r="LU140" s="978"/>
      <c r="LV140" s="978"/>
      <c r="LW140" s="978"/>
      <c r="LX140" s="978"/>
      <c r="LY140" s="978"/>
      <c r="LZ140" s="978"/>
      <c r="MA140" s="978"/>
      <c r="MB140" s="978"/>
      <c r="MC140" s="978"/>
      <c r="MD140" s="978"/>
      <c r="ME140" s="978"/>
      <c r="MF140" s="978"/>
      <c r="MG140" s="978"/>
      <c r="MH140" s="978"/>
      <c r="MI140" s="978"/>
      <c r="MJ140" s="978"/>
      <c r="MK140" s="978"/>
      <c r="ML140" s="978"/>
      <c r="MM140" s="978"/>
      <c r="MN140" s="978"/>
      <c r="MO140" s="978"/>
      <c r="MP140" s="978"/>
      <c r="MQ140" s="978"/>
      <c r="MR140" s="978"/>
      <c r="MS140" s="978"/>
      <c r="MT140" s="978"/>
      <c r="MU140" s="978"/>
      <c r="MV140" s="978"/>
      <c r="MW140" s="978"/>
      <c r="MX140" s="978"/>
      <c r="MY140" s="978"/>
      <c r="MZ140" s="978"/>
      <c r="NA140" s="978"/>
      <c r="NB140" s="978"/>
      <c r="NC140" s="978"/>
      <c r="ND140" s="978"/>
      <c r="NE140" s="978"/>
      <c r="NF140" s="978"/>
      <c r="NG140" s="978"/>
      <c r="NH140" s="978"/>
      <c r="NI140" s="978"/>
      <c r="NJ140" s="978"/>
      <c r="NK140" s="978"/>
      <c r="NL140" s="978"/>
      <c r="NM140" s="978"/>
      <c r="NN140" s="978"/>
      <c r="NO140" s="978"/>
      <c r="NP140" s="978"/>
      <c r="NQ140" s="978"/>
      <c r="NR140" s="978"/>
      <c r="NS140" s="978"/>
      <c r="NT140" s="978"/>
      <c r="NU140" s="978"/>
      <c r="NV140" s="978"/>
      <c r="NW140" s="978"/>
      <c r="NX140" s="978"/>
      <c r="NY140" s="978"/>
      <c r="NZ140" s="978"/>
      <c r="OA140" s="978"/>
      <c r="OB140" s="978"/>
      <c r="OC140" s="978"/>
      <c r="OD140" s="978"/>
      <c r="OE140" s="978"/>
      <c r="OF140" s="978"/>
      <c r="OG140" s="978"/>
      <c r="OH140" s="978"/>
      <c r="OI140" s="978"/>
      <c r="OJ140" s="978"/>
      <c r="OK140" s="978"/>
      <c r="OL140" s="978"/>
      <c r="OM140" s="978"/>
      <c r="ON140" s="978"/>
      <c r="OO140" s="978"/>
      <c r="OP140" s="978"/>
      <c r="OQ140" s="978"/>
      <c r="OR140" s="978"/>
      <c r="OS140" s="978"/>
      <c r="OT140" s="978"/>
      <c r="OU140" s="978"/>
      <c r="OV140" s="978"/>
      <c r="OW140" s="978"/>
      <c r="OX140" s="978"/>
      <c r="OY140" s="978"/>
      <c r="OZ140" s="978"/>
      <c r="PA140" s="978"/>
      <c r="PB140" s="978"/>
      <c r="PC140" s="978"/>
      <c r="PD140" s="978"/>
      <c r="PE140" s="978"/>
      <c r="PF140" s="978"/>
      <c r="PG140" s="978"/>
      <c r="PH140" s="978"/>
      <c r="PI140" s="978"/>
      <c r="PJ140" s="978"/>
      <c r="PK140" s="978"/>
      <c r="PL140" s="978"/>
      <c r="PM140" s="978"/>
      <c r="PN140" s="978"/>
      <c r="PO140" s="978"/>
      <c r="PP140" s="978"/>
      <c r="PQ140" s="978"/>
      <c r="PR140" s="978"/>
      <c r="PS140" s="978"/>
      <c r="PT140" s="978"/>
      <c r="PU140" s="978"/>
      <c r="PV140" s="978"/>
      <c r="PW140" s="978"/>
      <c r="PX140" s="978"/>
      <c r="PY140" s="978"/>
      <c r="PZ140" s="978"/>
      <c r="QA140" s="978"/>
      <c r="QB140" s="978"/>
      <c r="QC140" s="978"/>
      <c r="QD140" s="978"/>
      <c r="QE140" s="978"/>
      <c r="QF140" s="978"/>
      <c r="QG140" s="978"/>
      <c r="QH140" s="978"/>
      <c r="QI140" s="978"/>
      <c r="QJ140" s="978"/>
      <c r="QK140" s="978"/>
      <c r="QL140" s="978"/>
      <c r="QM140" s="978"/>
      <c r="QN140" s="978"/>
      <c r="QO140" s="978"/>
      <c r="QP140" s="978"/>
      <c r="QQ140" s="978"/>
      <c r="QR140" s="978"/>
      <c r="QS140" s="978"/>
      <c r="QT140" s="978"/>
      <c r="QU140" s="978"/>
      <c r="QV140" s="978"/>
      <c r="QW140" s="978"/>
      <c r="QX140" s="978"/>
      <c r="QY140" s="978"/>
      <c r="QZ140" s="978"/>
      <c r="RA140" s="978"/>
      <c r="RB140" s="274"/>
      <c r="RC140" s="274"/>
    </row>
    <row r="141" spans="112:471" ht="17.25">
      <c r="DH141" s="274"/>
      <c r="DI141" s="274"/>
      <c r="DJ141" s="978"/>
      <c r="DK141" s="978"/>
      <c r="DL141" s="978"/>
      <c r="DM141" s="978"/>
      <c r="DN141" s="978"/>
      <c r="DO141" s="978"/>
      <c r="DP141" s="978"/>
      <c r="DQ141" s="978"/>
      <c r="DR141" s="978"/>
      <c r="DS141" s="978"/>
      <c r="DT141" s="978"/>
      <c r="DU141" s="978"/>
      <c r="DV141" s="978"/>
      <c r="DW141" s="978"/>
      <c r="DX141" s="978"/>
      <c r="DY141" s="978"/>
      <c r="DZ141" s="978"/>
      <c r="EA141" s="978"/>
      <c r="EB141" s="978"/>
      <c r="EC141" s="978"/>
      <c r="ED141" s="978"/>
      <c r="EE141" s="978"/>
      <c r="EF141" s="978"/>
      <c r="EG141" s="978"/>
      <c r="EH141" s="978"/>
      <c r="EI141" s="978"/>
      <c r="EJ141" s="978"/>
      <c r="EK141" s="978"/>
      <c r="EL141" s="978"/>
      <c r="EM141" s="978"/>
      <c r="EN141" s="978"/>
      <c r="EO141" s="978"/>
      <c r="EP141" s="978"/>
      <c r="EQ141" s="978"/>
      <c r="ER141" s="978"/>
      <c r="ES141" s="978"/>
      <c r="ET141" s="978"/>
      <c r="EU141" s="978"/>
      <c r="EV141" s="978"/>
      <c r="EW141" s="978"/>
      <c r="EX141" s="978"/>
      <c r="EY141" s="978"/>
      <c r="EZ141" s="978"/>
      <c r="FA141" s="978"/>
      <c r="FB141" s="978"/>
      <c r="FC141" s="978"/>
      <c r="FD141" s="978"/>
      <c r="FE141" s="978"/>
      <c r="FF141" s="978"/>
      <c r="FG141" s="978"/>
      <c r="FH141" s="978"/>
      <c r="FI141" s="978"/>
      <c r="FJ141" s="978"/>
      <c r="FK141" s="978"/>
      <c r="FL141" s="978"/>
      <c r="FM141" s="978"/>
      <c r="FN141" s="978"/>
      <c r="FO141" s="978"/>
      <c r="FP141" s="978"/>
      <c r="FQ141" s="978"/>
      <c r="FR141" s="978"/>
      <c r="FS141" s="978"/>
      <c r="FT141" s="978"/>
      <c r="FU141" s="978"/>
      <c r="FV141" s="978"/>
      <c r="FW141" s="978"/>
      <c r="FX141" s="978"/>
      <c r="FY141" s="978"/>
      <c r="FZ141" s="978"/>
      <c r="GA141" s="978"/>
      <c r="GB141" s="978"/>
      <c r="GC141" s="978"/>
      <c r="GD141" s="978"/>
      <c r="GE141" s="978"/>
      <c r="GF141" s="978"/>
      <c r="GG141" s="978"/>
      <c r="GH141" s="978"/>
      <c r="GI141" s="978"/>
      <c r="GJ141" s="978"/>
      <c r="GK141" s="978"/>
      <c r="GL141" s="978"/>
      <c r="GM141" s="978"/>
      <c r="GN141" s="978"/>
      <c r="GO141" s="978"/>
      <c r="GP141" s="978"/>
      <c r="GQ141" s="978"/>
      <c r="GR141" s="978"/>
      <c r="GS141" s="978"/>
      <c r="GT141" s="978"/>
      <c r="GU141" s="978"/>
      <c r="GV141" s="978"/>
      <c r="GW141" s="978"/>
      <c r="GX141" s="978"/>
      <c r="GY141" s="978"/>
      <c r="GZ141" s="978"/>
      <c r="HA141" s="978"/>
      <c r="HB141" s="978"/>
      <c r="HC141" s="978"/>
      <c r="HD141" s="978"/>
      <c r="HE141" s="978"/>
      <c r="HF141" s="978"/>
      <c r="HG141" s="978"/>
      <c r="HH141" s="978"/>
      <c r="HI141" s="978"/>
      <c r="HJ141" s="978"/>
      <c r="HK141" s="978"/>
      <c r="HL141" s="978"/>
      <c r="HM141" s="978"/>
      <c r="HN141" s="978"/>
      <c r="HO141" s="978"/>
      <c r="HP141" s="978"/>
      <c r="HQ141" s="978"/>
      <c r="HR141" s="978"/>
      <c r="HS141" s="978"/>
      <c r="HT141" s="978"/>
      <c r="HU141" s="978"/>
      <c r="HV141" s="978"/>
      <c r="HW141" s="978"/>
      <c r="HX141" s="978"/>
      <c r="HY141" s="978"/>
      <c r="HZ141" s="978"/>
      <c r="IA141" s="978"/>
      <c r="IB141" s="978"/>
      <c r="IC141" s="978"/>
      <c r="ID141" s="978"/>
      <c r="IE141" s="978"/>
      <c r="IF141" s="978"/>
      <c r="IG141" s="978"/>
      <c r="IH141" s="978"/>
      <c r="II141" s="978"/>
      <c r="IJ141" s="978"/>
      <c r="IK141" s="978"/>
      <c r="IL141" s="978"/>
      <c r="IM141" s="978"/>
      <c r="IN141" s="978"/>
      <c r="IO141" s="978"/>
      <c r="IP141" s="978"/>
      <c r="IQ141" s="978"/>
      <c r="IR141" s="978"/>
      <c r="IS141" s="978"/>
      <c r="IT141" s="978"/>
      <c r="IU141" s="978"/>
      <c r="IV141" s="978"/>
      <c r="IW141" s="978"/>
      <c r="IX141" s="978"/>
      <c r="IY141" s="978"/>
      <c r="IZ141" s="978"/>
      <c r="JA141" s="978"/>
      <c r="JB141" s="978"/>
      <c r="JC141" s="978"/>
      <c r="JD141" s="978"/>
      <c r="JE141" s="978"/>
      <c r="JF141" s="978"/>
      <c r="JG141" s="978"/>
      <c r="JH141" s="978"/>
      <c r="JI141" s="978"/>
      <c r="JJ141" s="978"/>
      <c r="JK141" s="978"/>
      <c r="JL141" s="978"/>
      <c r="JM141" s="978"/>
      <c r="JN141" s="978"/>
      <c r="JO141" s="978"/>
      <c r="JP141" s="978"/>
      <c r="JQ141" s="978"/>
      <c r="JR141" s="978"/>
      <c r="JS141" s="978"/>
      <c r="JT141" s="978"/>
      <c r="JU141" s="978"/>
      <c r="JV141" s="978"/>
      <c r="JW141" s="978"/>
      <c r="JX141" s="978"/>
      <c r="JY141" s="978"/>
      <c r="JZ141" s="978"/>
      <c r="KA141" s="978"/>
      <c r="KB141" s="978"/>
      <c r="KC141" s="978"/>
      <c r="KD141" s="978"/>
      <c r="KE141" s="978"/>
      <c r="KF141" s="978"/>
      <c r="KG141" s="978"/>
      <c r="KH141" s="978"/>
      <c r="KI141" s="978"/>
      <c r="KJ141" s="978"/>
      <c r="KK141" s="978"/>
      <c r="KL141" s="978"/>
      <c r="KM141" s="978"/>
      <c r="KN141" s="978"/>
      <c r="KO141" s="978"/>
      <c r="KP141" s="978"/>
      <c r="KQ141" s="978"/>
      <c r="KR141" s="978"/>
      <c r="KS141" s="978"/>
      <c r="KT141" s="978"/>
      <c r="KU141" s="978"/>
      <c r="KV141" s="978"/>
      <c r="KW141" s="978"/>
      <c r="KX141" s="978"/>
      <c r="KY141" s="978"/>
      <c r="KZ141" s="978"/>
      <c r="LA141" s="978"/>
      <c r="LB141" s="978"/>
      <c r="LC141" s="978"/>
      <c r="LD141" s="978"/>
      <c r="LE141" s="978"/>
      <c r="LF141" s="978"/>
      <c r="LG141" s="978"/>
      <c r="LH141" s="978"/>
      <c r="LI141" s="978"/>
      <c r="LJ141" s="978"/>
      <c r="LK141" s="978"/>
      <c r="LL141" s="978"/>
      <c r="LM141" s="978"/>
      <c r="LN141" s="978"/>
      <c r="LO141" s="978"/>
      <c r="LP141" s="978"/>
      <c r="LQ141" s="978"/>
      <c r="LR141" s="978"/>
      <c r="LS141" s="978"/>
      <c r="LT141" s="978"/>
      <c r="LU141" s="978"/>
      <c r="LV141" s="978"/>
      <c r="LW141" s="978"/>
      <c r="LX141" s="978"/>
      <c r="LY141" s="978"/>
      <c r="LZ141" s="978"/>
      <c r="MA141" s="978"/>
      <c r="MB141" s="978"/>
      <c r="MC141" s="978"/>
      <c r="MD141" s="978"/>
      <c r="ME141" s="978"/>
      <c r="MF141" s="978"/>
      <c r="MG141" s="978"/>
      <c r="MH141" s="978"/>
      <c r="MI141" s="978"/>
      <c r="MJ141" s="978"/>
      <c r="MK141" s="978"/>
      <c r="ML141" s="978"/>
      <c r="MM141" s="978"/>
      <c r="MN141" s="978"/>
      <c r="MO141" s="978"/>
      <c r="MP141" s="978"/>
      <c r="MQ141" s="978"/>
      <c r="MR141" s="978"/>
      <c r="MS141" s="978"/>
      <c r="MT141" s="978"/>
      <c r="MU141" s="978"/>
      <c r="MV141" s="978"/>
      <c r="MW141" s="978"/>
      <c r="MX141" s="978"/>
      <c r="MY141" s="978"/>
      <c r="MZ141" s="978"/>
      <c r="NA141" s="978"/>
      <c r="NB141" s="978"/>
      <c r="NC141" s="978"/>
      <c r="ND141" s="978"/>
      <c r="NE141" s="978"/>
      <c r="NF141" s="978"/>
      <c r="NG141" s="978"/>
      <c r="NH141" s="978"/>
      <c r="NI141" s="978"/>
      <c r="NJ141" s="978"/>
      <c r="NK141" s="978"/>
      <c r="NL141" s="978"/>
      <c r="NM141" s="978"/>
      <c r="NN141" s="978"/>
      <c r="NO141" s="978"/>
      <c r="NP141" s="978"/>
      <c r="NQ141" s="978"/>
      <c r="NR141" s="978"/>
      <c r="NS141" s="978"/>
      <c r="NT141" s="978"/>
      <c r="NU141" s="978"/>
      <c r="NV141" s="978"/>
      <c r="NW141" s="978"/>
      <c r="NX141" s="978"/>
      <c r="NY141" s="978"/>
      <c r="NZ141" s="978"/>
      <c r="OA141" s="978"/>
      <c r="OB141" s="978"/>
      <c r="OC141" s="978"/>
      <c r="OD141" s="978"/>
      <c r="OE141" s="978"/>
      <c r="OF141" s="978"/>
      <c r="OG141" s="978"/>
      <c r="OH141" s="978"/>
      <c r="OI141" s="978"/>
      <c r="OJ141" s="978"/>
      <c r="OK141" s="978"/>
      <c r="OL141" s="978"/>
      <c r="OM141" s="978"/>
      <c r="ON141" s="978"/>
      <c r="OO141" s="978"/>
      <c r="OP141" s="978"/>
      <c r="OQ141" s="978"/>
      <c r="OR141" s="978"/>
      <c r="OS141" s="978"/>
      <c r="OT141" s="978"/>
      <c r="OU141" s="978"/>
      <c r="OV141" s="978"/>
      <c r="OW141" s="978"/>
      <c r="OX141" s="978"/>
      <c r="OY141" s="978"/>
      <c r="OZ141" s="978"/>
      <c r="PA141" s="978"/>
      <c r="PB141" s="978"/>
      <c r="PC141" s="978"/>
      <c r="PD141" s="978"/>
      <c r="PE141" s="978"/>
      <c r="PF141" s="978"/>
      <c r="PG141" s="978"/>
      <c r="PH141" s="978"/>
      <c r="PI141" s="978"/>
      <c r="PJ141" s="978"/>
      <c r="PK141" s="978"/>
      <c r="PL141" s="978"/>
      <c r="PM141" s="978"/>
      <c r="PN141" s="978"/>
      <c r="PO141" s="978"/>
      <c r="PP141" s="978"/>
      <c r="PQ141" s="978"/>
      <c r="PR141" s="978"/>
      <c r="PS141" s="978"/>
      <c r="PT141" s="978"/>
      <c r="PU141" s="978"/>
      <c r="PV141" s="978"/>
      <c r="PW141" s="978"/>
      <c r="PX141" s="978"/>
      <c r="PY141" s="978"/>
      <c r="PZ141" s="978"/>
      <c r="QA141" s="978"/>
      <c r="QB141" s="978"/>
      <c r="QC141" s="978"/>
      <c r="QD141" s="978"/>
      <c r="QE141" s="978"/>
      <c r="QF141" s="978"/>
      <c r="QG141" s="978"/>
      <c r="QH141" s="978"/>
      <c r="QI141" s="978"/>
      <c r="QJ141" s="978"/>
      <c r="QK141" s="978"/>
      <c r="QL141" s="978"/>
      <c r="QM141" s="978"/>
      <c r="QN141" s="978"/>
      <c r="QO141" s="978"/>
      <c r="QP141" s="978"/>
      <c r="QQ141" s="978"/>
      <c r="QR141" s="978"/>
      <c r="QS141" s="978"/>
      <c r="QT141" s="978"/>
      <c r="QU141" s="978"/>
      <c r="QV141" s="978"/>
      <c r="QW141" s="978"/>
      <c r="QX141" s="978"/>
      <c r="QY141" s="978"/>
      <c r="QZ141" s="978"/>
      <c r="RA141" s="978"/>
      <c r="RB141" s="274"/>
      <c r="RC141" s="274"/>
    </row>
    <row r="142" spans="112:471">
      <c r="DH142" s="274"/>
      <c r="DI142" s="274"/>
      <c r="DJ142" s="274"/>
      <c r="DK142" s="274"/>
      <c r="DL142" s="274"/>
      <c r="DM142" s="274"/>
      <c r="DN142" s="274"/>
      <c r="DO142" s="274"/>
      <c r="DP142" s="274"/>
      <c r="DQ142" s="274"/>
      <c r="DR142" s="274"/>
      <c r="DS142" s="274"/>
      <c r="DT142" s="274"/>
      <c r="DU142" s="274"/>
      <c r="DV142" s="274"/>
      <c r="DW142" s="274"/>
      <c r="DX142" s="274"/>
      <c r="DY142" s="274"/>
      <c r="DZ142" s="274"/>
      <c r="EA142" s="274"/>
      <c r="EB142" s="274"/>
      <c r="EC142" s="274"/>
      <c r="ED142" s="274"/>
      <c r="EE142" s="274"/>
      <c r="EF142" s="274"/>
      <c r="EG142" s="274"/>
      <c r="EH142" s="274"/>
      <c r="EI142" s="274"/>
      <c r="EJ142" s="274"/>
      <c r="EK142" s="274"/>
      <c r="EL142" s="274"/>
      <c r="EM142" s="274"/>
      <c r="EN142" s="274"/>
      <c r="EO142" s="274"/>
      <c r="EP142" s="274"/>
      <c r="EQ142" s="274"/>
      <c r="ER142" s="274"/>
      <c r="ES142" s="274"/>
      <c r="ET142" s="274"/>
      <c r="EU142" s="274"/>
      <c r="EV142" s="274"/>
      <c r="EW142" s="274"/>
      <c r="EX142" s="274"/>
      <c r="EY142" s="274"/>
      <c r="EZ142" s="274"/>
      <c r="FA142" s="274"/>
      <c r="FB142" s="274"/>
      <c r="FC142" s="274"/>
      <c r="FD142" s="274"/>
      <c r="FE142" s="274"/>
      <c r="FF142" s="274"/>
      <c r="FG142" s="274"/>
      <c r="FH142" s="274"/>
      <c r="FI142" s="274"/>
      <c r="FJ142" s="274"/>
      <c r="FK142" s="274"/>
      <c r="FL142" s="274"/>
      <c r="FM142" s="274"/>
      <c r="FN142" s="274"/>
      <c r="FO142" s="274"/>
      <c r="FP142" s="274"/>
      <c r="FQ142" s="274"/>
      <c r="FR142" s="274"/>
      <c r="FS142" s="274"/>
      <c r="FT142" s="274"/>
      <c r="FU142" s="274"/>
      <c r="FV142" s="274"/>
      <c r="FW142" s="274"/>
      <c r="FX142" s="274"/>
      <c r="FY142" s="274"/>
      <c r="FZ142" s="274"/>
      <c r="GA142" s="274"/>
      <c r="GB142" s="274"/>
      <c r="GC142" s="274"/>
      <c r="GD142" s="274"/>
      <c r="GE142" s="274"/>
      <c r="GF142" s="274"/>
      <c r="GG142" s="274"/>
      <c r="GH142" s="274"/>
      <c r="GI142" s="274"/>
      <c r="GJ142" s="274"/>
      <c r="GK142" s="274"/>
      <c r="GL142" s="274"/>
      <c r="GM142" s="274"/>
      <c r="GN142" s="274"/>
      <c r="GO142" s="274"/>
      <c r="GP142" s="274"/>
      <c r="GQ142" s="274"/>
      <c r="GR142" s="274"/>
      <c r="GS142" s="274"/>
      <c r="GT142" s="274"/>
      <c r="GU142" s="274"/>
      <c r="GV142" s="274"/>
      <c r="GW142" s="274"/>
      <c r="GX142" s="274"/>
      <c r="GY142" s="274"/>
      <c r="GZ142" s="274"/>
      <c r="HA142" s="274"/>
      <c r="HB142" s="274"/>
      <c r="HC142" s="274"/>
      <c r="HD142" s="274"/>
      <c r="HE142" s="274"/>
      <c r="HF142" s="274"/>
      <c r="HG142" s="274"/>
      <c r="HH142" s="274"/>
      <c r="HI142" s="274"/>
      <c r="HJ142" s="274"/>
      <c r="HK142" s="274"/>
      <c r="HL142" s="274"/>
      <c r="HM142" s="274"/>
      <c r="HN142" s="274"/>
      <c r="HO142" s="274"/>
      <c r="HP142" s="274"/>
      <c r="HQ142" s="274"/>
      <c r="HR142" s="274"/>
      <c r="HS142" s="274"/>
      <c r="HT142" s="274"/>
      <c r="HU142" s="274"/>
      <c r="HV142" s="274"/>
      <c r="HW142" s="274"/>
      <c r="HX142" s="274"/>
      <c r="HY142" s="274"/>
      <c r="HZ142" s="274"/>
      <c r="IA142" s="274"/>
      <c r="IB142" s="274"/>
      <c r="IC142" s="274"/>
      <c r="ID142" s="274"/>
      <c r="IE142" s="274"/>
      <c r="IF142" s="274"/>
      <c r="IG142" s="274"/>
      <c r="IH142" s="274"/>
      <c r="II142" s="274"/>
      <c r="IJ142" s="274"/>
      <c r="IK142" s="274"/>
      <c r="IL142" s="274"/>
      <c r="IM142" s="274"/>
      <c r="IN142" s="274"/>
      <c r="IO142" s="274"/>
      <c r="IP142" s="274"/>
      <c r="IQ142" s="274"/>
      <c r="IR142" s="274"/>
      <c r="IS142" s="274"/>
      <c r="IT142" s="274"/>
      <c r="IU142" s="274"/>
      <c r="IV142" s="274"/>
      <c r="IW142" s="274"/>
      <c r="IX142" s="274"/>
      <c r="IY142" s="274"/>
      <c r="IZ142" s="274"/>
      <c r="JA142" s="274"/>
      <c r="JB142" s="274"/>
      <c r="JC142" s="274"/>
      <c r="JD142" s="274"/>
      <c r="JE142" s="274"/>
      <c r="JF142" s="274"/>
      <c r="JG142" s="274"/>
      <c r="JH142" s="274"/>
      <c r="JI142" s="274"/>
      <c r="JJ142" s="274"/>
      <c r="JK142" s="274"/>
      <c r="JL142" s="274"/>
      <c r="JM142" s="274"/>
      <c r="JN142" s="274"/>
      <c r="JO142" s="274"/>
      <c r="JP142" s="274"/>
      <c r="JQ142" s="274"/>
      <c r="JR142" s="274"/>
      <c r="JS142" s="274"/>
      <c r="JT142" s="274"/>
      <c r="JU142" s="274"/>
      <c r="JV142" s="274"/>
      <c r="JW142" s="274"/>
      <c r="JX142" s="274"/>
      <c r="JY142" s="274"/>
      <c r="JZ142" s="274"/>
      <c r="KA142" s="274"/>
      <c r="KB142" s="274"/>
      <c r="KC142" s="274"/>
      <c r="KD142" s="274"/>
      <c r="KE142" s="274"/>
      <c r="KF142" s="274"/>
      <c r="KG142" s="274"/>
      <c r="KH142" s="274"/>
      <c r="KI142" s="274"/>
      <c r="KJ142" s="274"/>
      <c r="KK142" s="274"/>
      <c r="KL142" s="274"/>
      <c r="KM142" s="274"/>
      <c r="KN142" s="274"/>
      <c r="KO142" s="274"/>
      <c r="KP142" s="274"/>
      <c r="KQ142" s="274"/>
      <c r="KR142" s="274"/>
      <c r="KS142" s="274"/>
      <c r="KT142" s="274"/>
      <c r="KU142" s="274"/>
      <c r="KV142" s="274"/>
      <c r="KW142" s="274"/>
      <c r="KX142" s="274"/>
      <c r="KY142" s="274"/>
      <c r="KZ142" s="274"/>
      <c r="LA142" s="274"/>
      <c r="LB142" s="274"/>
      <c r="LC142" s="274"/>
      <c r="LD142" s="274"/>
      <c r="LE142" s="274"/>
      <c r="LF142" s="274"/>
      <c r="LG142" s="274"/>
      <c r="LH142" s="274"/>
      <c r="LI142" s="274"/>
      <c r="LJ142" s="274"/>
      <c r="LK142" s="274"/>
      <c r="LL142" s="274"/>
      <c r="LM142" s="274"/>
      <c r="LN142" s="274"/>
      <c r="LO142" s="274"/>
      <c r="LP142" s="274"/>
      <c r="LQ142" s="274"/>
      <c r="LR142" s="274"/>
      <c r="LS142" s="274"/>
      <c r="LT142" s="274"/>
      <c r="LU142" s="274"/>
      <c r="LV142" s="274"/>
      <c r="LW142" s="274"/>
      <c r="LX142" s="274"/>
      <c r="LY142" s="274"/>
      <c r="LZ142" s="274"/>
      <c r="MA142" s="274"/>
      <c r="MB142" s="274"/>
      <c r="MC142" s="274"/>
      <c r="MD142" s="274"/>
      <c r="ME142" s="274"/>
      <c r="MF142" s="274"/>
      <c r="MG142" s="274"/>
      <c r="MH142" s="274"/>
      <c r="MI142" s="274"/>
      <c r="MJ142" s="274"/>
      <c r="MK142" s="274"/>
      <c r="ML142" s="274"/>
      <c r="MM142" s="274"/>
      <c r="MN142" s="274"/>
      <c r="MO142" s="274"/>
      <c r="MP142" s="274"/>
      <c r="MQ142" s="274"/>
      <c r="MR142" s="274"/>
      <c r="MS142" s="274"/>
      <c r="MT142" s="274"/>
      <c r="MU142" s="274"/>
      <c r="MV142" s="274"/>
      <c r="MW142" s="274"/>
      <c r="MX142" s="274"/>
      <c r="MY142" s="274"/>
      <c r="MZ142" s="274"/>
      <c r="NA142" s="274"/>
      <c r="NB142" s="274"/>
      <c r="NC142" s="274"/>
      <c r="ND142" s="274"/>
      <c r="NE142" s="274"/>
      <c r="NF142" s="274"/>
      <c r="NG142" s="274"/>
      <c r="NH142" s="274"/>
      <c r="NI142" s="274"/>
      <c r="NJ142" s="274"/>
      <c r="NK142" s="274"/>
      <c r="NL142" s="274"/>
      <c r="NM142" s="274"/>
      <c r="NN142" s="274"/>
      <c r="NO142" s="274"/>
      <c r="NP142" s="274"/>
      <c r="NQ142" s="274"/>
      <c r="NR142" s="274"/>
      <c r="NS142" s="274"/>
      <c r="NT142" s="274"/>
      <c r="NU142" s="274"/>
      <c r="NV142" s="274"/>
      <c r="NW142" s="274"/>
      <c r="NX142" s="274"/>
      <c r="NY142" s="274"/>
      <c r="NZ142" s="274"/>
      <c r="OA142" s="274"/>
      <c r="OB142" s="274"/>
      <c r="OC142" s="274"/>
      <c r="OD142" s="274"/>
      <c r="OE142" s="274"/>
      <c r="OF142" s="274"/>
      <c r="OG142" s="274"/>
      <c r="OH142" s="274"/>
      <c r="OI142" s="274"/>
      <c r="OJ142" s="274"/>
      <c r="OK142" s="274"/>
      <c r="OL142" s="274"/>
      <c r="OM142" s="274"/>
      <c r="ON142" s="274"/>
      <c r="OO142" s="274"/>
      <c r="OP142" s="274"/>
      <c r="OQ142" s="274"/>
      <c r="OR142" s="274"/>
      <c r="OS142" s="274"/>
      <c r="OT142" s="274"/>
      <c r="OU142" s="274"/>
      <c r="OV142" s="274"/>
      <c r="OW142" s="274"/>
      <c r="OX142" s="274"/>
      <c r="OY142" s="274"/>
      <c r="OZ142" s="274"/>
      <c r="PA142" s="274"/>
      <c r="PB142" s="274"/>
      <c r="PC142" s="274"/>
      <c r="PD142" s="274"/>
      <c r="PE142" s="274"/>
      <c r="PF142" s="274"/>
      <c r="PG142" s="274"/>
      <c r="PH142" s="274"/>
      <c r="PI142" s="274"/>
      <c r="PJ142" s="274"/>
      <c r="PK142" s="274"/>
      <c r="PL142" s="274"/>
      <c r="PM142" s="274"/>
      <c r="PN142" s="274"/>
      <c r="PO142" s="274"/>
      <c r="PP142" s="274"/>
      <c r="PQ142" s="274"/>
      <c r="PR142" s="274"/>
      <c r="PS142" s="274"/>
      <c r="PT142" s="274"/>
      <c r="PU142" s="274"/>
      <c r="PV142" s="274"/>
      <c r="PW142" s="274"/>
      <c r="PX142" s="274"/>
      <c r="PY142" s="274"/>
      <c r="PZ142" s="274"/>
      <c r="QA142" s="274"/>
      <c r="QB142" s="274"/>
      <c r="QC142" s="274"/>
      <c r="QD142" s="274"/>
      <c r="QE142" s="274"/>
      <c r="QF142" s="274"/>
      <c r="QG142" s="274"/>
      <c r="QH142" s="274"/>
      <c r="QI142" s="274"/>
      <c r="QJ142" s="274"/>
      <c r="QK142" s="274"/>
      <c r="QL142" s="274"/>
      <c r="QM142" s="274"/>
      <c r="QN142" s="274"/>
      <c r="QO142" s="274"/>
      <c r="QP142" s="274"/>
      <c r="QQ142" s="274"/>
      <c r="QR142" s="274"/>
      <c r="QS142" s="274"/>
      <c r="QT142" s="274"/>
      <c r="QU142" s="274"/>
      <c r="QV142" s="274"/>
      <c r="QW142" s="274"/>
      <c r="QX142" s="274"/>
      <c r="QY142" s="274"/>
      <c r="QZ142" s="274"/>
      <c r="RA142" s="274"/>
      <c r="RB142" s="274"/>
      <c r="RC142" s="274"/>
    </row>
    <row r="143" spans="112:471">
      <c r="DH143" s="274"/>
      <c r="DI143" s="274"/>
      <c r="DJ143" s="274"/>
      <c r="DK143" s="274"/>
      <c r="DL143" s="274"/>
      <c r="DM143" s="274"/>
      <c r="DN143" s="274"/>
      <c r="DO143" s="274"/>
      <c r="DP143" s="274"/>
      <c r="DQ143" s="274"/>
      <c r="DR143" s="274"/>
      <c r="DS143" s="274"/>
      <c r="DT143" s="274"/>
      <c r="DU143" s="274"/>
      <c r="DV143" s="274"/>
      <c r="DW143" s="274"/>
      <c r="DX143" s="274"/>
      <c r="DY143" s="274"/>
      <c r="DZ143" s="274"/>
      <c r="EA143" s="274"/>
      <c r="EB143" s="274"/>
      <c r="EC143" s="274"/>
      <c r="ED143" s="274"/>
      <c r="EE143" s="274"/>
      <c r="EF143" s="274"/>
      <c r="EG143" s="274"/>
      <c r="EH143" s="274"/>
      <c r="EI143" s="274"/>
      <c r="EJ143" s="274"/>
      <c r="EK143" s="274"/>
      <c r="EL143" s="274"/>
      <c r="EM143" s="274"/>
      <c r="EN143" s="274"/>
      <c r="EO143" s="274"/>
      <c r="EP143" s="274"/>
      <c r="EQ143" s="274"/>
      <c r="ER143" s="274"/>
      <c r="ES143" s="274"/>
      <c r="ET143" s="274"/>
      <c r="EU143" s="274"/>
      <c r="EV143" s="274"/>
      <c r="EW143" s="274"/>
      <c r="EX143" s="274"/>
      <c r="EY143" s="274"/>
      <c r="EZ143" s="274"/>
      <c r="FA143" s="274"/>
      <c r="FB143" s="274"/>
      <c r="FC143" s="274"/>
      <c r="FD143" s="274"/>
      <c r="FE143" s="274"/>
      <c r="FF143" s="274"/>
      <c r="FG143" s="274"/>
      <c r="FH143" s="274"/>
      <c r="FI143" s="274"/>
      <c r="FJ143" s="274"/>
      <c r="FK143" s="274"/>
      <c r="FL143" s="274"/>
      <c r="FM143" s="274"/>
      <c r="FN143" s="274"/>
      <c r="FO143" s="274"/>
      <c r="FP143" s="274"/>
      <c r="FQ143" s="274"/>
      <c r="FR143" s="274"/>
      <c r="FS143" s="274"/>
      <c r="FT143" s="274"/>
      <c r="FU143" s="274"/>
      <c r="FV143" s="274"/>
      <c r="FW143" s="274"/>
      <c r="FX143" s="274"/>
      <c r="FY143" s="274"/>
      <c r="FZ143" s="274"/>
      <c r="GA143" s="274"/>
      <c r="GB143" s="274"/>
      <c r="GC143" s="274"/>
      <c r="GD143" s="274"/>
      <c r="GE143" s="274"/>
      <c r="GF143" s="274"/>
      <c r="GG143" s="274"/>
      <c r="GH143" s="274"/>
      <c r="GI143" s="274"/>
      <c r="GJ143" s="274"/>
      <c r="GK143" s="274"/>
      <c r="GL143" s="274"/>
      <c r="GM143" s="274"/>
      <c r="GN143" s="274"/>
      <c r="GO143" s="274"/>
      <c r="GP143" s="274"/>
      <c r="GQ143" s="274"/>
      <c r="GR143" s="274"/>
      <c r="GS143" s="274"/>
      <c r="GT143" s="274"/>
      <c r="GU143" s="274"/>
      <c r="GV143" s="274"/>
      <c r="GW143" s="274"/>
      <c r="GX143" s="274"/>
      <c r="GY143" s="274"/>
      <c r="GZ143" s="274"/>
      <c r="HA143" s="274"/>
      <c r="HB143" s="274"/>
      <c r="HC143" s="274"/>
      <c r="HD143" s="274"/>
      <c r="HE143" s="274"/>
      <c r="HF143" s="274"/>
      <c r="HG143" s="274"/>
      <c r="HH143" s="274"/>
      <c r="HI143" s="274"/>
      <c r="HJ143" s="274"/>
      <c r="HK143" s="274"/>
      <c r="HL143" s="274"/>
      <c r="HM143" s="274"/>
      <c r="HN143" s="274"/>
      <c r="HO143" s="274"/>
      <c r="HP143" s="274"/>
      <c r="HQ143" s="274"/>
      <c r="HR143" s="274"/>
      <c r="HS143" s="274"/>
      <c r="HT143" s="274"/>
      <c r="HU143" s="274"/>
      <c r="HV143" s="274"/>
      <c r="HW143" s="274"/>
      <c r="HX143" s="274"/>
      <c r="HY143" s="274"/>
      <c r="HZ143" s="274"/>
      <c r="IA143" s="274"/>
      <c r="IB143" s="274"/>
      <c r="IC143" s="274"/>
      <c r="ID143" s="274"/>
      <c r="IE143" s="274"/>
      <c r="IF143" s="274"/>
      <c r="IG143" s="274"/>
      <c r="IH143" s="274"/>
      <c r="II143" s="274"/>
      <c r="IJ143" s="274"/>
      <c r="IK143" s="274"/>
      <c r="IL143" s="274"/>
      <c r="IM143" s="274"/>
      <c r="IN143" s="274"/>
      <c r="IO143" s="274"/>
      <c r="IP143" s="274"/>
      <c r="IQ143" s="274"/>
      <c r="IR143" s="274"/>
      <c r="IS143" s="274"/>
      <c r="IT143" s="274"/>
      <c r="IU143" s="274"/>
      <c r="IV143" s="274"/>
      <c r="IW143" s="274"/>
      <c r="IX143" s="274"/>
      <c r="IY143" s="274"/>
      <c r="IZ143" s="274"/>
      <c r="JA143" s="274"/>
      <c r="JB143" s="274"/>
      <c r="JC143" s="274"/>
      <c r="JD143" s="274"/>
      <c r="JE143" s="274"/>
      <c r="JF143" s="274"/>
      <c r="JG143" s="274"/>
      <c r="JH143" s="274"/>
      <c r="JI143" s="274"/>
      <c r="JJ143" s="274"/>
      <c r="JK143" s="274"/>
      <c r="JL143" s="274"/>
      <c r="JM143" s="274"/>
      <c r="JN143" s="274"/>
      <c r="JO143" s="274"/>
      <c r="JP143" s="274"/>
      <c r="JQ143" s="274"/>
      <c r="JR143" s="274"/>
      <c r="JS143" s="274"/>
      <c r="JT143" s="274"/>
      <c r="JU143" s="274"/>
      <c r="JV143" s="274"/>
      <c r="JW143" s="274"/>
      <c r="JX143" s="274"/>
      <c r="JY143" s="274"/>
      <c r="JZ143" s="274"/>
      <c r="KA143" s="274"/>
      <c r="KB143" s="274"/>
      <c r="KC143" s="274"/>
      <c r="KD143" s="274"/>
      <c r="KE143" s="274"/>
      <c r="KF143" s="274"/>
      <c r="KG143" s="274"/>
      <c r="KH143" s="274"/>
      <c r="KI143" s="274"/>
      <c r="KJ143" s="274"/>
      <c r="KK143" s="274"/>
      <c r="KL143" s="274"/>
      <c r="KM143" s="274"/>
      <c r="KN143" s="274"/>
      <c r="KO143" s="274"/>
      <c r="KP143" s="274"/>
      <c r="KQ143" s="274"/>
      <c r="KR143" s="274"/>
      <c r="KS143" s="274"/>
      <c r="KT143" s="274"/>
      <c r="KU143" s="274"/>
      <c r="KV143" s="274"/>
      <c r="KW143" s="274"/>
      <c r="KX143" s="274"/>
      <c r="KY143" s="274"/>
      <c r="KZ143" s="274"/>
      <c r="LA143" s="274"/>
      <c r="LB143" s="274"/>
      <c r="LC143" s="274"/>
      <c r="LD143" s="274"/>
      <c r="LE143" s="274"/>
      <c r="LF143" s="274"/>
      <c r="LG143" s="274"/>
      <c r="LH143" s="274"/>
      <c r="LI143" s="274"/>
      <c r="LJ143" s="274"/>
      <c r="LK143" s="274"/>
      <c r="LL143" s="274"/>
      <c r="LM143" s="274"/>
      <c r="LN143" s="274"/>
      <c r="LO143" s="274"/>
      <c r="LP143" s="274"/>
      <c r="LQ143" s="274"/>
      <c r="LR143" s="274"/>
      <c r="LS143" s="274"/>
      <c r="LT143" s="274"/>
      <c r="LU143" s="274"/>
      <c r="LV143" s="274"/>
      <c r="LW143" s="274"/>
      <c r="LX143" s="274"/>
      <c r="LY143" s="274"/>
      <c r="LZ143" s="274"/>
      <c r="MA143" s="274"/>
      <c r="MB143" s="274"/>
      <c r="MC143" s="274"/>
      <c r="MD143" s="274"/>
      <c r="ME143" s="274"/>
      <c r="MF143" s="274"/>
      <c r="MG143" s="274"/>
      <c r="MH143" s="274"/>
      <c r="MI143" s="274"/>
      <c r="MJ143" s="274"/>
      <c r="MK143" s="274"/>
      <c r="ML143" s="274"/>
      <c r="MM143" s="274"/>
      <c r="MN143" s="274"/>
      <c r="MO143" s="274"/>
      <c r="MP143" s="274"/>
      <c r="MQ143" s="274"/>
      <c r="MR143" s="274"/>
      <c r="MS143" s="274"/>
      <c r="MT143" s="274"/>
      <c r="MU143" s="274"/>
      <c r="MV143" s="274"/>
      <c r="MW143" s="274"/>
      <c r="MX143" s="274"/>
      <c r="MY143" s="274"/>
      <c r="MZ143" s="274"/>
      <c r="NA143" s="274"/>
      <c r="NB143" s="274"/>
      <c r="NC143" s="274"/>
      <c r="ND143" s="274"/>
      <c r="NE143" s="274"/>
      <c r="NF143" s="274"/>
      <c r="NG143" s="274"/>
      <c r="NH143" s="274"/>
      <c r="NI143" s="274"/>
      <c r="NJ143" s="274"/>
      <c r="NK143" s="274"/>
      <c r="NL143" s="274"/>
      <c r="NM143" s="274"/>
      <c r="NN143" s="274"/>
      <c r="NO143" s="274"/>
      <c r="NP143" s="274"/>
      <c r="NQ143" s="274"/>
      <c r="NR143" s="274"/>
      <c r="NS143" s="274"/>
      <c r="NT143" s="274"/>
      <c r="NU143" s="274"/>
      <c r="NV143" s="274"/>
      <c r="NW143" s="274"/>
      <c r="NX143" s="274"/>
      <c r="NY143" s="274"/>
      <c r="NZ143" s="274"/>
      <c r="OA143" s="274"/>
      <c r="OB143" s="274"/>
      <c r="OC143" s="274"/>
      <c r="OD143" s="274"/>
      <c r="OE143" s="274"/>
      <c r="OF143" s="274"/>
      <c r="OG143" s="274"/>
      <c r="OH143" s="274"/>
      <c r="OI143" s="274"/>
      <c r="OJ143" s="274"/>
      <c r="OK143" s="274"/>
      <c r="OL143" s="274"/>
      <c r="OM143" s="274"/>
      <c r="ON143" s="274"/>
      <c r="OO143" s="274"/>
      <c r="OP143" s="274"/>
      <c r="OQ143" s="274"/>
      <c r="OR143" s="274"/>
      <c r="OS143" s="274"/>
      <c r="OT143" s="274"/>
      <c r="OU143" s="274"/>
      <c r="OV143" s="274"/>
      <c r="OW143" s="274"/>
      <c r="OX143" s="274"/>
      <c r="OY143" s="274"/>
      <c r="OZ143" s="274"/>
      <c r="PA143" s="274"/>
      <c r="PB143" s="274"/>
      <c r="PC143" s="274"/>
      <c r="PD143" s="274"/>
      <c r="PE143" s="274"/>
      <c r="PF143" s="274"/>
      <c r="PG143" s="274"/>
      <c r="PH143" s="274"/>
      <c r="PI143" s="274"/>
      <c r="PJ143" s="274"/>
      <c r="PK143" s="274"/>
      <c r="PL143" s="274"/>
      <c r="PM143" s="274"/>
      <c r="PN143" s="274"/>
      <c r="PO143" s="274"/>
      <c r="PP143" s="274"/>
      <c r="PQ143" s="274"/>
      <c r="PR143" s="274"/>
      <c r="PS143" s="274"/>
      <c r="PT143" s="274"/>
      <c r="PU143" s="274"/>
      <c r="PV143" s="274"/>
      <c r="PW143" s="274"/>
      <c r="PX143" s="274"/>
      <c r="PY143" s="274"/>
      <c r="PZ143" s="274"/>
      <c r="QA143" s="274"/>
      <c r="QB143" s="274"/>
      <c r="QC143" s="274"/>
      <c r="QD143" s="274"/>
      <c r="QE143" s="274"/>
      <c r="QF143" s="274"/>
      <c r="QG143" s="274"/>
      <c r="QH143" s="274"/>
      <c r="QI143" s="274"/>
      <c r="QJ143" s="274"/>
      <c r="QK143" s="274"/>
      <c r="QL143" s="274"/>
      <c r="QM143" s="274"/>
      <c r="QN143" s="274"/>
      <c r="QO143" s="274"/>
      <c r="QP143" s="274"/>
      <c r="QQ143" s="274"/>
      <c r="QR143" s="274"/>
      <c r="QS143" s="274"/>
      <c r="QT143" s="274"/>
      <c r="QU143" s="274"/>
      <c r="QV143" s="274"/>
      <c r="QW143" s="274"/>
      <c r="QX143" s="274"/>
      <c r="QY143" s="274"/>
      <c r="QZ143" s="274"/>
      <c r="RA143" s="274"/>
      <c r="RB143" s="274"/>
      <c r="RC143" s="274"/>
    </row>
    <row r="144" spans="112:471" ht="17.25">
      <c r="DH144" s="274"/>
      <c r="DI144" s="274"/>
      <c r="DJ144" s="978"/>
      <c r="DK144" s="274"/>
      <c r="DL144" s="274"/>
      <c r="DM144" s="274"/>
      <c r="DN144" s="274"/>
      <c r="DO144" s="274"/>
      <c r="DP144" s="274"/>
      <c r="DQ144" s="274"/>
      <c r="DR144" s="274"/>
      <c r="DS144" s="274"/>
      <c r="DT144" s="274"/>
      <c r="DU144" s="274"/>
      <c r="DV144" s="274"/>
      <c r="DW144" s="274"/>
      <c r="DX144" s="274"/>
      <c r="DY144" s="274"/>
      <c r="DZ144" s="274"/>
      <c r="EA144" s="274"/>
      <c r="EB144" s="274"/>
      <c r="EC144" s="274"/>
      <c r="ED144" s="274"/>
      <c r="EE144" s="274"/>
      <c r="EF144" s="274"/>
      <c r="EG144" s="274"/>
      <c r="EH144" s="274"/>
      <c r="EI144" s="274"/>
      <c r="EJ144" s="274"/>
      <c r="EK144" s="274"/>
      <c r="EL144" s="274"/>
      <c r="EM144" s="274"/>
      <c r="EN144" s="274"/>
      <c r="EO144" s="274"/>
      <c r="EP144" s="274"/>
      <c r="EQ144" s="274"/>
      <c r="ER144" s="274"/>
      <c r="ES144" s="274"/>
      <c r="ET144" s="274"/>
      <c r="EU144" s="274"/>
      <c r="EV144" s="274"/>
      <c r="EW144" s="274"/>
      <c r="EX144" s="274"/>
      <c r="EY144" s="274"/>
      <c r="EZ144" s="274"/>
      <c r="FA144" s="274"/>
      <c r="FB144" s="274"/>
      <c r="FC144" s="274"/>
      <c r="FD144" s="274"/>
      <c r="FE144" s="274"/>
      <c r="FF144" s="274"/>
      <c r="FG144" s="274"/>
      <c r="FH144" s="274"/>
      <c r="FI144" s="274"/>
      <c r="FJ144" s="274"/>
      <c r="FK144" s="274"/>
      <c r="FL144" s="274"/>
      <c r="FM144" s="274"/>
      <c r="FN144" s="274"/>
      <c r="FO144" s="274"/>
      <c r="FP144" s="274"/>
      <c r="FQ144" s="274"/>
      <c r="FR144" s="274"/>
      <c r="FS144" s="274"/>
      <c r="FT144" s="274"/>
      <c r="FU144" s="274"/>
      <c r="FV144" s="274"/>
      <c r="FW144" s="274"/>
      <c r="FX144" s="274"/>
      <c r="FY144" s="274"/>
      <c r="FZ144" s="274"/>
      <c r="GA144" s="274"/>
      <c r="GB144" s="274"/>
      <c r="GC144" s="274"/>
      <c r="GD144" s="274"/>
      <c r="GE144" s="274"/>
      <c r="GF144" s="274"/>
      <c r="GG144" s="274"/>
      <c r="GH144" s="274"/>
      <c r="GI144" s="274"/>
      <c r="GJ144" s="274"/>
      <c r="GK144" s="274"/>
      <c r="GL144" s="274"/>
      <c r="GM144" s="274"/>
      <c r="GN144" s="274"/>
      <c r="GO144" s="274"/>
      <c r="GP144" s="274"/>
      <c r="GQ144" s="274"/>
      <c r="GR144" s="274"/>
      <c r="GS144" s="274"/>
      <c r="GT144" s="274"/>
      <c r="GU144" s="274"/>
      <c r="GV144" s="274"/>
      <c r="GW144" s="274"/>
      <c r="GX144" s="274"/>
      <c r="GY144" s="274"/>
      <c r="GZ144" s="274"/>
      <c r="HA144" s="274"/>
      <c r="HB144" s="274"/>
      <c r="HC144" s="274"/>
      <c r="HD144" s="274"/>
      <c r="HE144" s="274"/>
      <c r="HF144" s="274"/>
      <c r="HG144" s="274"/>
      <c r="HH144" s="274"/>
      <c r="HI144" s="274"/>
      <c r="HJ144" s="274"/>
      <c r="HK144" s="274"/>
      <c r="HL144" s="274"/>
      <c r="HM144" s="274"/>
      <c r="HN144" s="274"/>
      <c r="HO144" s="274"/>
      <c r="HP144" s="274"/>
      <c r="HQ144" s="274"/>
      <c r="HR144" s="274"/>
      <c r="HS144" s="274"/>
      <c r="HT144" s="274"/>
      <c r="HU144" s="274"/>
      <c r="HV144" s="274"/>
      <c r="HW144" s="274"/>
      <c r="HX144" s="274"/>
      <c r="HY144" s="274"/>
      <c r="HZ144" s="274"/>
      <c r="IA144" s="274"/>
      <c r="IB144" s="274"/>
      <c r="IC144" s="274"/>
      <c r="ID144" s="274"/>
      <c r="IE144" s="274"/>
      <c r="IF144" s="274"/>
      <c r="IG144" s="274"/>
      <c r="IH144" s="274"/>
      <c r="II144" s="274"/>
      <c r="IJ144" s="274"/>
      <c r="IK144" s="274"/>
      <c r="IL144" s="274"/>
      <c r="IM144" s="274"/>
      <c r="IN144" s="274"/>
      <c r="IO144" s="274"/>
      <c r="IP144" s="274"/>
      <c r="IQ144" s="274"/>
      <c r="IR144" s="274"/>
      <c r="IS144" s="274"/>
      <c r="IT144" s="274"/>
      <c r="IU144" s="274"/>
      <c r="IV144" s="274"/>
      <c r="IW144" s="274"/>
      <c r="IX144" s="274"/>
      <c r="IY144" s="274"/>
      <c r="IZ144" s="274"/>
      <c r="JA144" s="274"/>
      <c r="JB144" s="274"/>
      <c r="JC144" s="274"/>
      <c r="JD144" s="274"/>
      <c r="JE144" s="274"/>
      <c r="JF144" s="274"/>
      <c r="JG144" s="274"/>
      <c r="JH144" s="274"/>
      <c r="JI144" s="274"/>
      <c r="JJ144" s="274"/>
      <c r="JK144" s="274"/>
      <c r="JL144" s="274"/>
      <c r="JM144" s="274"/>
      <c r="JN144" s="274"/>
      <c r="JO144" s="274"/>
      <c r="JP144" s="274"/>
      <c r="JQ144" s="274"/>
      <c r="JR144" s="274"/>
      <c r="JS144" s="274"/>
      <c r="JT144" s="274"/>
      <c r="JU144" s="274"/>
      <c r="JV144" s="274"/>
      <c r="JW144" s="274"/>
      <c r="JX144" s="274"/>
      <c r="JY144" s="274"/>
      <c r="JZ144" s="274"/>
      <c r="KA144" s="274"/>
      <c r="KB144" s="274"/>
      <c r="KC144" s="274"/>
      <c r="KD144" s="274"/>
      <c r="KE144" s="274"/>
      <c r="KF144" s="274"/>
      <c r="KG144" s="274"/>
      <c r="KH144" s="274"/>
      <c r="KI144" s="274"/>
      <c r="KJ144" s="274"/>
      <c r="KK144" s="274"/>
      <c r="KL144" s="274"/>
      <c r="KM144" s="274"/>
      <c r="KN144" s="274"/>
      <c r="KO144" s="274"/>
      <c r="KP144" s="274"/>
      <c r="KQ144" s="274"/>
      <c r="KR144" s="274"/>
      <c r="KS144" s="274"/>
      <c r="KT144" s="274"/>
      <c r="KU144" s="274"/>
      <c r="KV144" s="274"/>
      <c r="KW144" s="274"/>
      <c r="KX144" s="274"/>
      <c r="KY144" s="274"/>
      <c r="KZ144" s="274"/>
      <c r="LA144" s="274"/>
      <c r="LB144" s="274"/>
      <c r="LC144" s="274"/>
      <c r="LD144" s="274"/>
      <c r="LE144" s="274"/>
      <c r="LF144" s="274"/>
      <c r="LG144" s="274"/>
      <c r="LH144" s="274"/>
      <c r="LI144" s="274"/>
      <c r="LJ144" s="274"/>
      <c r="LK144" s="274"/>
      <c r="LL144" s="274"/>
      <c r="LM144" s="274"/>
      <c r="LN144" s="274"/>
      <c r="LO144" s="274"/>
      <c r="LP144" s="274"/>
      <c r="LQ144" s="274"/>
      <c r="LR144" s="274"/>
      <c r="LS144" s="274"/>
      <c r="LT144" s="274"/>
      <c r="LU144" s="274"/>
      <c r="LV144" s="274"/>
      <c r="LW144" s="274"/>
      <c r="LX144" s="274"/>
      <c r="LY144" s="274"/>
      <c r="LZ144" s="274"/>
      <c r="MA144" s="274"/>
      <c r="MB144" s="274"/>
      <c r="MC144" s="274"/>
      <c r="MD144" s="274"/>
      <c r="ME144" s="274"/>
      <c r="MF144" s="274"/>
      <c r="MG144" s="274"/>
      <c r="MH144" s="274"/>
      <c r="MI144" s="274"/>
      <c r="MJ144" s="274"/>
      <c r="MK144" s="274"/>
      <c r="ML144" s="274"/>
      <c r="MM144" s="274"/>
      <c r="MN144" s="274"/>
      <c r="MO144" s="274"/>
      <c r="MP144" s="274"/>
      <c r="MQ144" s="274"/>
      <c r="MR144" s="274"/>
      <c r="MS144" s="274"/>
      <c r="MT144" s="274"/>
      <c r="MU144" s="274"/>
      <c r="MV144" s="274"/>
      <c r="MW144" s="274"/>
      <c r="MX144" s="274"/>
      <c r="MY144" s="274"/>
      <c r="MZ144" s="274"/>
      <c r="NA144" s="274"/>
      <c r="NB144" s="274"/>
      <c r="NC144" s="274"/>
      <c r="ND144" s="274"/>
      <c r="NE144" s="274"/>
      <c r="NF144" s="274"/>
      <c r="NG144" s="274"/>
      <c r="NH144" s="274"/>
      <c r="NI144" s="274"/>
      <c r="NJ144" s="274"/>
      <c r="NK144" s="274"/>
      <c r="NL144" s="274"/>
      <c r="NM144" s="274"/>
      <c r="NN144" s="274"/>
      <c r="NO144" s="274"/>
      <c r="NP144" s="274"/>
      <c r="NQ144" s="274"/>
      <c r="NR144" s="274"/>
      <c r="NS144" s="274"/>
      <c r="NT144" s="274"/>
      <c r="NU144" s="274"/>
      <c r="NV144" s="274"/>
      <c r="NW144" s="274"/>
      <c r="NX144" s="274"/>
      <c r="NY144" s="274"/>
      <c r="NZ144" s="274"/>
      <c r="OA144" s="274"/>
      <c r="OB144" s="274"/>
      <c r="OC144" s="274"/>
      <c r="OD144" s="274"/>
      <c r="OE144" s="274"/>
      <c r="OF144" s="274"/>
      <c r="OG144" s="274"/>
      <c r="OH144" s="274"/>
      <c r="OI144" s="274"/>
      <c r="OJ144" s="274"/>
      <c r="OK144" s="274"/>
      <c r="OL144" s="274"/>
      <c r="OM144" s="274"/>
      <c r="ON144" s="274"/>
      <c r="OO144" s="274"/>
      <c r="OP144" s="274"/>
      <c r="OQ144" s="274"/>
      <c r="OR144" s="274"/>
      <c r="OS144" s="274"/>
      <c r="OT144" s="274"/>
      <c r="OU144" s="274"/>
      <c r="OV144" s="274"/>
      <c r="OW144" s="274"/>
      <c r="OX144" s="274"/>
      <c r="OY144" s="274"/>
      <c r="OZ144" s="274"/>
      <c r="PA144" s="274"/>
      <c r="PB144" s="274"/>
      <c r="PC144" s="274"/>
      <c r="PD144" s="274"/>
      <c r="PE144" s="274"/>
      <c r="PF144" s="274"/>
      <c r="PG144" s="274"/>
      <c r="PH144" s="274"/>
      <c r="PI144" s="274"/>
      <c r="PJ144" s="274"/>
      <c r="PK144" s="274"/>
      <c r="PL144" s="274"/>
      <c r="PM144" s="274"/>
      <c r="PN144" s="274"/>
      <c r="PO144" s="274"/>
      <c r="PP144" s="274"/>
      <c r="PQ144" s="274"/>
      <c r="PR144" s="274"/>
      <c r="PS144" s="274"/>
      <c r="PT144" s="274"/>
      <c r="PU144" s="274"/>
      <c r="PV144" s="274"/>
      <c r="PW144" s="274"/>
      <c r="PX144" s="274"/>
      <c r="PY144" s="274"/>
      <c r="PZ144" s="274"/>
      <c r="QA144" s="274"/>
      <c r="QB144" s="274"/>
      <c r="QC144" s="274"/>
      <c r="QD144" s="274"/>
      <c r="QE144" s="274"/>
      <c r="QF144" s="274"/>
      <c r="QG144" s="274"/>
      <c r="QH144" s="274"/>
      <c r="QI144" s="274"/>
      <c r="QJ144" s="274"/>
      <c r="QK144" s="274"/>
      <c r="QL144" s="274"/>
      <c r="QM144" s="274"/>
      <c r="QN144" s="274"/>
      <c r="QO144" s="274"/>
      <c r="QP144" s="274"/>
      <c r="QQ144" s="274"/>
      <c r="QR144" s="274"/>
      <c r="QS144" s="274"/>
      <c r="QT144" s="274"/>
      <c r="QU144" s="274"/>
      <c r="QV144" s="274"/>
      <c r="QW144" s="274"/>
      <c r="QX144" s="274"/>
      <c r="QY144" s="274"/>
      <c r="QZ144" s="274"/>
      <c r="RA144" s="274"/>
      <c r="RB144" s="274"/>
      <c r="RC144" s="274"/>
    </row>
    <row r="145" spans="112:471" ht="17.25">
      <c r="DH145" s="274"/>
      <c r="DI145" s="274"/>
      <c r="DJ145" s="978"/>
      <c r="DK145" s="978"/>
      <c r="DL145" s="978"/>
      <c r="DM145" s="978"/>
      <c r="DN145" s="978"/>
      <c r="DO145" s="978"/>
      <c r="DP145" s="978"/>
      <c r="DQ145" s="978"/>
      <c r="DR145" s="978"/>
      <c r="DS145" s="978"/>
      <c r="DT145" s="978"/>
      <c r="DU145" s="978"/>
      <c r="DV145" s="978"/>
      <c r="DW145" s="978"/>
      <c r="DX145" s="978"/>
      <c r="DY145" s="978"/>
      <c r="DZ145" s="978"/>
      <c r="EA145" s="978"/>
      <c r="EB145" s="978"/>
      <c r="EC145" s="978"/>
      <c r="ED145" s="978"/>
      <c r="EE145" s="978"/>
      <c r="EF145" s="978"/>
      <c r="EG145" s="978"/>
      <c r="EH145" s="978"/>
      <c r="EI145" s="978"/>
      <c r="EJ145" s="978"/>
      <c r="EK145" s="978"/>
      <c r="EL145" s="978"/>
      <c r="EM145" s="978"/>
      <c r="EN145" s="978"/>
      <c r="EO145" s="978"/>
      <c r="EP145" s="978"/>
      <c r="EQ145" s="978"/>
      <c r="ER145" s="978"/>
      <c r="ES145" s="978"/>
      <c r="ET145" s="978"/>
      <c r="EU145" s="978"/>
      <c r="EV145" s="978"/>
      <c r="EW145" s="978"/>
      <c r="EX145" s="978"/>
      <c r="EY145" s="978"/>
      <c r="EZ145" s="978"/>
      <c r="FA145" s="978"/>
      <c r="FB145" s="978"/>
      <c r="FC145" s="978"/>
      <c r="FD145" s="978"/>
      <c r="FE145" s="978"/>
      <c r="FF145" s="978"/>
      <c r="FG145" s="978"/>
      <c r="FH145" s="978"/>
      <c r="FI145" s="978"/>
      <c r="FJ145" s="978"/>
      <c r="FK145" s="978"/>
      <c r="FL145" s="978"/>
      <c r="FM145" s="978"/>
      <c r="FN145" s="978"/>
      <c r="FO145" s="978"/>
      <c r="FP145" s="978"/>
      <c r="FQ145" s="978"/>
      <c r="FR145" s="978"/>
      <c r="FS145" s="978"/>
      <c r="FT145" s="978"/>
      <c r="FU145" s="978"/>
      <c r="FV145" s="978"/>
      <c r="FW145" s="978"/>
      <c r="FX145" s="978"/>
      <c r="FY145" s="978"/>
      <c r="FZ145" s="978"/>
      <c r="GA145" s="978"/>
      <c r="GB145" s="978"/>
      <c r="GC145" s="978"/>
      <c r="GD145" s="978"/>
      <c r="GE145" s="978"/>
      <c r="GF145" s="978"/>
      <c r="GG145" s="978"/>
      <c r="GH145" s="978"/>
      <c r="GI145" s="978"/>
      <c r="GJ145" s="978"/>
      <c r="GK145" s="978"/>
      <c r="GL145" s="978"/>
      <c r="GM145" s="978"/>
      <c r="GN145" s="978"/>
      <c r="GO145" s="978"/>
      <c r="GP145" s="978"/>
      <c r="GQ145" s="978"/>
      <c r="GR145" s="978"/>
      <c r="GS145" s="978"/>
      <c r="GT145" s="978"/>
      <c r="GU145" s="978"/>
      <c r="GV145" s="978"/>
      <c r="GW145" s="978"/>
      <c r="GX145" s="978"/>
      <c r="GY145" s="978"/>
      <c r="GZ145" s="978"/>
      <c r="HA145" s="978"/>
      <c r="HB145" s="978"/>
      <c r="HC145" s="978"/>
      <c r="HD145" s="978"/>
      <c r="HE145" s="978"/>
      <c r="HF145" s="978"/>
      <c r="HG145" s="978"/>
      <c r="HH145" s="978"/>
      <c r="HI145" s="978"/>
      <c r="HJ145" s="978"/>
      <c r="HK145" s="978"/>
      <c r="HL145" s="978"/>
      <c r="HM145" s="978"/>
      <c r="HN145" s="978"/>
      <c r="HO145" s="978"/>
      <c r="HP145" s="978"/>
      <c r="HQ145" s="978"/>
      <c r="HR145" s="978"/>
      <c r="HS145" s="978"/>
      <c r="HT145" s="978"/>
      <c r="HU145" s="978"/>
      <c r="HV145" s="978"/>
      <c r="HW145" s="978"/>
      <c r="HX145" s="978"/>
      <c r="HY145" s="978"/>
      <c r="HZ145" s="978"/>
      <c r="IA145" s="978"/>
      <c r="IB145" s="978"/>
      <c r="IC145" s="978"/>
      <c r="ID145" s="978"/>
      <c r="IE145" s="978"/>
      <c r="IF145" s="978"/>
      <c r="IG145" s="978"/>
      <c r="IH145" s="978"/>
      <c r="II145" s="978"/>
      <c r="IJ145" s="978"/>
      <c r="IK145" s="978"/>
      <c r="IL145" s="978"/>
      <c r="IM145" s="978"/>
      <c r="IN145" s="978"/>
      <c r="IO145" s="978"/>
      <c r="IP145" s="978"/>
      <c r="IQ145" s="978"/>
      <c r="IR145" s="978"/>
      <c r="IS145" s="978"/>
      <c r="IT145" s="978"/>
      <c r="IU145" s="978"/>
      <c r="IV145" s="978"/>
      <c r="IW145" s="978"/>
      <c r="IX145" s="978"/>
      <c r="IY145" s="978"/>
      <c r="IZ145" s="978"/>
      <c r="JA145" s="978"/>
      <c r="JB145" s="978"/>
      <c r="JC145" s="978"/>
      <c r="JD145" s="978"/>
      <c r="JE145" s="978"/>
      <c r="JF145" s="978"/>
      <c r="JG145" s="978"/>
      <c r="JH145" s="978"/>
      <c r="JI145" s="978"/>
      <c r="JJ145" s="978"/>
      <c r="JK145" s="978"/>
      <c r="JL145" s="978"/>
      <c r="JM145" s="978"/>
      <c r="JN145" s="978"/>
      <c r="JO145" s="978"/>
      <c r="JP145" s="978"/>
      <c r="JQ145" s="978"/>
      <c r="JR145" s="978"/>
      <c r="JS145" s="978"/>
      <c r="JT145" s="978"/>
      <c r="JU145" s="978"/>
      <c r="JV145" s="978"/>
      <c r="JW145" s="978"/>
      <c r="JX145" s="978"/>
      <c r="JY145" s="978"/>
      <c r="JZ145" s="978"/>
      <c r="KA145" s="978"/>
      <c r="KB145" s="978"/>
      <c r="KC145" s="978"/>
      <c r="KD145" s="978"/>
      <c r="KE145" s="978"/>
      <c r="KF145" s="978"/>
      <c r="KG145" s="978"/>
      <c r="KH145" s="978"/>
      <c r="KI145" s="978"/>
      <c r="KJ145" s="978"/>
      <c r="KK145" s="978"/>
      <c r="KL145" s="978"/>
      <c r="KM145" s="978"/>
      <c r="KN145" s="978"/>
      <c r="KO145" s="978"/>
      <c r="KP145" s="978"/>
      <c r="KQ145" s="978"/>
      <c r="KR145" s="978"/>
      <c r="KS145" s="978"/>
      <c r="KT145" s="978"/>
      <c r="KU145" s="978"/>
      <c r="KV145" s="978"/>
      <c r="KW145" s="978"/>
      <c r="KX145" s="978"/>
      <c r="KY145" s="978"/>
      <c r="KZ145" s="978"/>
      <c r="LA145" s="978"/>
      <c r="LB145" s="978"/>
      <c r="LC145" s="978"/>
      <c r="LD145" s="978"/>
      <c r="LE145" s="978"/>
      <c r="LF145" s="978"/>
      <c r="LG145" s="978"/>
      <c r="LH145" s="978"/>
      <c r="LI145" s="978"/>
      <c r="LJ145" s="978"/>
      <c r="LK145" s="978"/>
      <c r="LL145" s="978"/>
      <c r="LM145" s="978"/>
      <c r="LN145" s="978"/>
      <c r="LO145" s="978"/>
      <c r="LP145" s="978"/>
      <c r="LQ145" s="978"/>
      <c r="LR145" s="978"/>
      <c r="LS145" s="978"/>
      <c r="LT145" s="978"/>
      <c r="LU145" s="978"/>
      <c r="LV145" s="978"/>
      <c r="LW145" s="978"/>
      <c r="LX145" s="978"/>
      <c r="LY145" s="978"/>
      <c r="LZ145" s="978"/>
      <c r="MA145" s="978"/>
      <c r="MB145" s="978"/>
      <c r="MC145" s="978"/>
      <c r="MD145" s="978"/>
      <c r="ME145" s="978"/>
      <c r="MF145" s="978"/>
      <c r="MG145" s="978"/>
      <c r="MH145" s="978"/>
      <c r="MI145" s="978"/>
      <c r="MJ145" s="978"/>
      <c r="MK145" s="978"/>
      <c r="ML145" s="978"/>
      <c r="MM145" s="978"/>
      <c r="MN145" s="978"/>
      <c r="MO145" s="978"/>
      <c r="MP145" s="978"/>
      <c r="MQ145" s="978"/>
      <c r="MR145" s="978"/>
      <c r="MS145" s="978"/>
      <c r="MT145" s="978"/>
      <c r="MU145" s="978"/>
      <c r="MV145" s="978"/>
      <c r="MW145" s="978"/>
      <c r="MX145" s="978"/>
      <c r="MY145" s="978"/>
      <c r="MZ145" s="978"/>
      <c r="NA145" s="978"/>
      <c r="NB145" s="978"/>
      <c r="NC145" s="978"/>
      <c r="ND145" s="978"/>
      <c r="NE145" s="978"/>
      <c r="NF145" s="978"/>
      <c r="NG145" s="978"/>
      <c r="NH145" s="978"/>
      <c r="NI145" s="978"/>
      <c r="NJ145" s="978"/>
      <c r="NK145" s="978"/>
      <c r="NL145" s="978"/>
      <c r="NM145" s="978"/>
      <c r="NN145" s="978"/>
      <c r="NO145" s="978"/>
      <c r="NP145" s="978"/>
      <c r="NQ145" s="978"/>
      <c r="NR145" s="978"/>
      <c r="NS145" s="978"/>
      <c r="NT145" s="978"/>
      <c r="NU145" s="978"/>
      <c r="NV145" s="978"/>
      <c r="NW145" s="978"/>
      <c r="NX145" s="978"/>
      <c r="NY145" s="978"/>
      <c r="NZ145" s="978"/>
      <c r="OA145" s="978"/>
      <c r="OB145" s="978"/>
      <c r="OC145" s="978"/>
      <c r="OD145" s="978"/>
      <c r="OE145" s="978"/>
      <c r="OF145" s="978"/>
      <c r="OG145" s="978"/>
      <c r="OH145" s="978"/>
      <c r="OI145" s="978"/>
      <c r="OJ145" s="978"/>
      <c r="OK145" s="978"/>
      <c r="OL145" s="978"/>
      <c r="OM145" s="978"/>
      <c r="ON145" s="978"/>
      <c r="OO145" s="978"/>
      <c r="OP145" s="978"/>
      <c r="OQ145" s="978"/>
      <c r="OR145" s="978"/>
      <c r="OS145" s="978"/>
      <c r="OT145" s="978"/>
      <c r="OU145" s="978"/>
      <c r="OV145" s="978"/>
      <c r="OW145" s="978"/>
      <c r="OX145" s="978"/>
      <c r="OY145" s="978"/>
      <c r="OZ145" s="978"/>
      <c r="PA145" s="978"/>
      <c r="PB145" s="978"/>
      <c r="PC145" s="978"/>
      <c r="PD145" s="978"/>
      <c r="PE145" s="978"/>
      <c r="PF145" s="978"/>
      <c r="PG145" s="978"/>
      <c r="PH145" s="978"/>
      <c r="PI145" s="978"/>
      <c r="PJ145" s="978"/>
      <c r="PK145" s="978"/>
      <c r="PL145" s="978"/>
      <c r="PM145" s="978"/>
      <c r="PN145" s="978"/>
      <c r="PO145" s="978"/>
      <c r="PP145" s="978"/>
      <c r="PQ145" s="978"/>
      <c r="PR145" s="978"/>
      <c r="PS145" s="978"/>
      <c r="PT145" s="978"/>
      <c r="PU145" s="978"/>
      <c r="PV145" s="978"/>
      <c r="PW145" s="978"/>
      <c r="PX145" s="978"/>
      <c r="PY145" s="978"/>
      <c r="PZ145" s="978"/>
      <c r="QA145" s="978"/>
      <c r="QB145" s="978"/>
      <c r="QC145" s="978"/>
      <c r="QD145" s="978"/>
      <c r="QE145" s="978"/>
      <c r="QF145" s="978"/>
      <c r="QG145" s="978"/>
      <c r="QH145" s="978"/>
      <c r="QI145" s="978"/>
      <c r="QJ145" s="978"/>
      <c r="QK145" s="978"/>
      <c r="QL145" s="978"/>
      <c r="QM145" s="978"/>
      <c r="QN145" s="978"/>
      <c r="QO145" s="978"/>
      <c r="QP145" s="978"/>
      <c r="QQ145" s="978"/>
      <c r="QR145" s="978"/>
      <c r="QS145" s="978"/>
      <c r="QT145" s="978"/>
      <c r="QU145" s="978"/>
      <c r="QV145" s="978"/>
      <c r="QW145" s="978"/>
      <c r="QX145" s="978"/>
      <c r="QY145" s="978"/>
      <c r="QZ145" s="978"/>
      <c r="RA145" s="978"/>
      <c r="RB145" s="274"/>
      <c r="RC145" s="274"/>
    </row>
    <row r="146" spans="112:471" ht="17.25">
      <c r="DH146" s="274"/>
      <c r="DI146" s="274"/>
      <c r="DJ146" s="978"/>
      <c r="DK146" s="978"/>
      <c r="DL146" s="978"/>
      <c r="DM146" s="978"/>
      <c r="DN146" s="978"/>
      <c r="DO146" s="978"/>
      <c r="DP146" s="978"/>
      <c r="DQ146" s="978"/>
      <c r="DR146" s="978"/>
      <c r="DS146" s="978"/>
      <c r="DT146" s="978"/>
      <c r="DU146" s="978"/>
      <c r="DV146" s="978"/>
      <c r="DW146" s="978"/>
      <c r="DX146" s="978"/>
      <c r="DY146" s="978"/>
      <c r="DZ146" s="978"/>
      <c r="EA146" s="978"/>
      <c r="EB146" s="978"/>
      <c r="EC146" s="978"/>
      <c r="ED146" s="978"/>
      <c r="EE146" s="978"/>
      <c r="EF146" s="978"/>
      <c r="EG146" s="978"/>
      <c r="EH146" s="978"/>
      <c r="EI146" s="978"/>
      <c r="EJ146" s="978"/>
      <c r="EK146" s="978"/>
      <c r="EL146" s="978"/>
      <c r="EM146" s="978"/>
      <c r="EN146" s="978"/>
      <c r="EO146" s="978"/>
      <c r="EP146" s="978"/>
      <c r="EQ146" s="978"/>
      <c r="ER146" s="978"/>
      <c r="ES146" s="978"/>
      <c r="ET146" s="978"/>
      <c r="EU146" s="978"/>
      <c r="EV146" s="978"/>
      <c r="EW146" s="978"/>
      <c r="EX146" s="978"/>
      <c r="EY146" s="978"/>
      <c r="EZ146" s="978"/>
      <c r="FA146" s="978"/>
      <c r="FB146" s="978"/>
      <c r="FC146" s="978"/>
      <c r="FD146" s="978"/>
      <c r="FE146" s="978"/>
      <c r="FF146" s="978"/>
      <c r="FG146" s="978"/>
      <c r="FH146" s="978"/>
      <c r="FI146" s="978"/>
      <c r="FJ146" s="978"/>
      <c r="FK146" s="978"/>
      <c r="FL146" s="978"/>
      <c r="FM146" s="978"/>
      <c r="FN146" s="978"/>
      <c r="FO146" s="978"/>
      <c r="FP146" s="978"/>
      <c r="FQ146" s="978"/>
      <c r="FR146" s="978"/>
      <c r="FS146" s="978"/>
      <c r="FT146" s="978"/>
      <c r="FU146" s="978"/>
      <c r="FV146" s="978"/>
      <c r="FW146" s="978"/>
      <c r="FX146" s="978"/>
      <c r="FY146" s="978"/>
      <c r="FZ146" s="978"/>
      <c r="GA146" s="978"/>
      <c r="GB146" s="978"/>
      <c r="GC146" s="978"/>
      <c r="GD146" s="978"/>
      <c r="GE146" s="978"/>
      <c r="GF146" s="978"/>
      <c r="GG146" s="978"/>
      <c r="GH146" s="978"/>
      <c r="GI146" s="978"/>
      <c r="GJ146" s="978"/>
      <c r="GK146" s="978"/>
      <c r="GL146" s="978"/>
      <c r="GM146" s="978"/>
      <c r="GN146" s="978"/>
      <c r="GO146" s="978"/>
      <c r="GP146" s="978"/>
      <c r="GQ146" s="978"/>
      <c r="GR146" s="978"/>
      <c r="GS146" s="978"/>
      <c r="GT146" s="978"/>
      <c r="GU146" s="978"/>
      <c r="GV146" s="978"/>
      <c r="GW146" s="978"/>
      <c r="GX146" s="978"/>
      <c r="GY146" s="978"/>
      <c r="GZ146" s="978"/>
      <c r="HA146" s="978"/>
      <c r="HB146" s="978"/>
      <c r="HC146" s="978"/>
      <c r="HD146" s="978"/>
      <c r="HE146" s="978"/>
      <c r="HF146" s="978"/>
      <c r="HG146" s="978"/>
      <c r="HH146" s="978"/>
      <c r="HI146" s="978"/>
      <c r="HJ146" s="978"/>
      <c r="HK146" s="978"/>
      <c r="HL146" s="978"/>
      <c r="HM146" s="978"/>
      <c r="HN146" s="978"/>
      <c r="HO146" s="978"/>
      <c r="HP146" s="978"/>
      <c r="HQ146" s="978"/>
      <c r="HR146" s="978"/>
      <c r="HS146" s="978"/>
      <c r="HT146" s="978"/>
      <c r="HU146" s="978"/>
      <c r="HV146" s="978"/>
      <c r="HW146" s="978"/>
      <c r="HX146" s="978"/>
      <c r="HY146" s="978"/>
      <c r="HZ146" s="978"/>
      <c r="IA146" s="978"/>
      <c r="IB146" s="978"/>
      <c r="IC146" s="978"/>
      <c r="ID146" s="978"/>
      <c r="IE146" s="978"/>
      <c r="IF146" s="978"/>
      <c r="IG146" s="978"/>
      <c r="IH146" s="978"/>
      <c r="II146" s="978"/>
      <c r="IJ146" s="978"/>
      <c r="IK146" s="978"/>
      <c r="IL146" s="978"/>
      <c r="IM146" s="978"/>
      <c r="IN146" s="978"/>
      <c r="IO146" s="978"/>
      <c r="IP146" s="978"/>
      <c r="IQ146" s="978"/>
      <c r="IR146" s="978"/>
      <c r="IS146" s="978"/>
      <c r="IT146" s="978"/>
      <c r="IU146" s="978"/>
      <c r="IV146" s="978"/>
      <c r="IW146" s="978"/>
      <c r="IX146" s="978"/>
      <c r="IY146" s="978"/>
      <c r="IZ146" s="978"/>
      <c r="JA146" s="978"/>
      <c r="JB146" s="978"/>
      <c r="JC146" s="978"/>
      <c r="JD146" s="978"/>
      <c r="JE146" s="978"/>
      <c r="JF146" s="978"/>
      <c r="JG146" s="978"/>
      <c r="JH146" s="978"/>
      <c r="JI146" s="978"/>
      <c r="JJ146" s="978"/>
      <c r="JK146" s="978"/>
      <c r="JL146" s="978"/>
      <c r="JM146" s="978"/>
      <c r="JN146" s="978"/>
      <c r="JO146" s="978"/>
      <c r="JP146" s="978"/>
      <c r="JQ146" s="978"/>
      <c r="JR146" s="978"/>
      <c r="JS146" s="978"/>
      <c r="JT146" s="978"/>
      <c r="JU146" s="978"/>
      <c r="JV146" s="978"/>
      <c r="JW146" s="978"/>
      <c r="JX146" s="978"/>
      <c r="JY146" s="978"/>
      <c r="JZ146" s="978"/>
      <c r="KA146" s="978"/>
      <c r="KB146" s="978"/>
      <c r="KC146" s="978"/>
      <c r="KD146" s="978"/>
      <c r="KE146" s="978"/>
      <c r="KF146" s="978"/>
      <c r="KG146" s="978"/>
      <c r="KH146" s="978"/>
      <c r="KI146" s="978"/>
      <c r="KJ146" s="978"/>
      <c r="KK146" s="978"/>
      <c r="KL146" s="978"/>
      <c r="KM146" s="978"/>
      <c r="KN146" s="978"/>
      <c r="KO146" s="978"/>
      <c r="KP146" s="978"/>
      <c r="KQ146" s="978"/>
      <c r="KR146" s="978"/>
      <c r="KS146" s="978"/>
      <c r="KT146" s="978"/>
      <c r="KU146" s="978"/>
      <c r="KV146" s="978"/>
      <c r="KW146" s="978"/>
      <c r="KX146" s="978"/>
      <c r="KY146" s="978"/>
      <c r="KZ146" s="978"/>
      <c r="LA146" s="978"/>
      <c r="LB146" s="978"/>
      <c r="LC146" s="978"/>
      <c r="LD146" s="978"/>
      <c r="LE146" s="978"/>
      <c r="LF146" s="978"/>
      <c r="LG146" s="978"/>
      <c r="LH146" s="978"/>
      <c r="LI146" s="978"/>
      <c r="LJ146" s="978"/>
      <c r="LK146" s="978"/>
      <c r="LL146" s="978"/>
      <c r="LM146" s="978"/>
      <c r="LN146" s="978"/>
      <c r="LO146" s="978"/>
      <c r="LP146" s="978"/>
      <c r="LQ146" s="978"/>
      <c r="LR146" s="978"/>
      <c r="LS146" s="978"/>
      <c r="LT146" s="978"/>
      <c r="LU146" s="978"/>
      <c r="LV146" s="978"/>
      <c r="LW146" s="978"/>
      <c r="LX146" s="978"/>
      <c r="LY146" s="978"/>
      <c r="LZ146" s="978"/>
      <c r="MA146" s="978"/>
      <c r="MB146" s="978"/>
      <c r="MC146" s="978"/>
      <c r="MD146" s="978"/>
      <c r="ME146" s="978"/>
      <c r="MF146" s="978"/>
      <c r="MG146" s="978"/>
      <c r="MH146" s="978"/>
      <c r="MI146" s="978"/>
      <c r="MJ146" s="978"/>
      <c r="MK146" s="978"/>
      <c r="ML146" s="978"/>
      <c r="MM146" s="978"/>
      <c r="MN146" s="978"/>
      <c r="MO146" s="978"/>
      <c r="MP146" s="978"/>
      <c r="MQ146" s="978"/>
      <c r="MR146" s="978"/>
      <c r="MS146" s="978"/>
      <c r="MT146" s="978"/>
      <c r="MU146" s="978"/>
      <c r="MV146" s="978"/>
      <c r="MW146" s="978"/>
      <c r="MX146" s="978"/>
      <c r="MY146" s="978"/>
      <c r="MZ146" s="978"/>
      <c r="NA146" s="978"/>
      <c r="NB146" s="978"/>
      <c r="NC146" s="978"/>
      <c r="ND146" s="978"/>
      <c r="NE146" s="978"/>
      <c r="NF146" s="978"/>
      <c r="NG146" s="978"/>
      <c r="NH146" s="978"/>
      <c r="NI146" s="978"/>
      <c r="NJ146" s="978"/>
      <c r="NK146" s="978"/>
      <c r="NL146" s="978"/>
      <c r="NM146" s="978"/>
      <c r="NN146" s="978"/>
      <c r="NO146" s="978"/>
      <c r="NP146" s="978"/>
      <c r="NQ146" s="978"/>
      <c r="NR146" s="978"/>
      <c r="NS146" s="978"/>
      <c r="NT146" s="978"/>
      <c r="NU146" s="978"/>
      <c r="NV146" s="978"/>
      <c r="NW146" s="978"/>
      <c r="NX146" s="978"/>
      <c r="NY146" s="978"/>
      <c r="NZ146" s="978"/>
      <c r="OA146" s="978"/>
      <c r="OB146" s="978"/>
      <c r="OC146" s="978"/>
      <c r="OD146" s="978"/>
      <c r="OE146" s="978"/>
      <c r="OF146" s="978"/>
      <c r="OG146" s="978"/>
      <c r="OH146" s="978"/>
      <c r="OI146" s="978"/>
      <c r="OJ146" s="978"/>
      <c r="OK146" s="978"/>
      <c r="OL146" s="978"/>
      <c r="OM146" s="978"/>
      <c r="ON146" s="978"/>
      <c r="OO146" s="978"/>
      <c r="OP146" s="978"/>
      <c r="OQ146" s="978"/>
      <c r="OR146" s="978"/>
      <c r="OS146" s="978"/>
      <c r="OT146" s="978"/>
      <c r="OU146" s="978"/>
      <c r="OV146" s="978"/>
      <c r="OW146" s="978"/>
      <c r="OX146" s="978"/>
      <c r="OY146" s="978"/>
      <c r="OZ146" s="978"/>
      <c r="PA146" s="978"/>
      <c r="PB146" s="978"/>
      <c r="PC146" s="978"/>
      <c r="PD146" s="978"/>
      <c r="PE146" s="978"/>
      <c r="PF146" s="978"/>
      <c r="PG146" s="978"/>
      <c r="PH146" s="978"/>
      <c r="PI146" s="978"/>
      <c r="PJ146" s="978"/>
      <c r="PK146" s="978"/>
      <c r="PL146" s="978"/>
      <c r="PM146" s="978"/>
      <c r="PN146" s="978"/>
      <c r="PO146" s="978"/>
      <c r="PP146" s="978"/>
      <c r="PQ146" s="978"/>
      <c r="PR146" s="978"/>
      <c r="PS146" s="978"/>
      <c r="PT146" s="978"/>
      <c r="PU146" s="978"/>
      <c r="PV146" s="978"/>
      <c r="PW146" s="978"/>
      <c r="PX146" s="978"/>
      <c r="PY146" s="978"/>
      <c r="PZ146" s="978"/>
      <c r="QA146" s="978"/>
      <c r="QB146" s="978"/>
      <c r="QC146" s="978"/>
      <c r="QD146" s="978"/>
      <c r="QE146" s="978"/>
      <c r="QF146" s="978"/>
      <c r="QG146" s="978"/>
      <c r="QH146" s="978"/>
      <c r="QI146" s="978"/>
      <c r="QJ146" s="978"/>
      <c r="QK146" s="978"/>
      <c r="QL146" s="978"/>
      <c r="QM146" s="978"/>
      <c r="QN146" s="978"/>
      <c r="QO146" s="978"/>
      <c r="QP146" s="978"/>
      <c r="QQ146" s="978"/>
      <c r="QR146" s="978"/>
      <c r="QS146" s="978"/>
      <c r="QT146" s="978"/>
      <c r="QU146" s="978"/>
      <c r="QV146" s="978"/>
      <c r="QW146" s="978"/>
      <c r="QX146" s="978"/>
      <c r="QY146" s="978"/>
      <c r="QZ146" s="978"/>
      <c r="RA146" s="978"/>
      <c r="RB146" s="274"/>
      <c r="RC146" s="274"/>
    </row>
    <row r="147" spans="112:471" ht="17.25">
      <c r="DH147" s="274"/>
      <c r="DI147" s="274"/>
      <c r="DJ147" s="978"/>
      <c r="DK147" s="978"/>
      <c r="DL147" s="978"/>
      <c r="DM147" s="978"/>
      <c r="DN147" s="978"/>
      <c r="DO147" s="978"/>
      <c r="DP147" s="978"/>
      <c r="DQ147" s="978"/>
      <c r="DR147" s="978"/>
      <c r="DS147" s="978"/>
      <c r="DT147" s="978"/>
      <c r="DU147" s="978"/>
      <c r="DV147" s="978"/>
      <c r="DW147" s="978"/>
      <c r="DX147" s="978"/>
      <c r="DY147" s="978"/>
      <c r="DZ147" s="978"/>
      <c r="EA147" s="978"/>
      <c r="EB147" s="978"/>
      <c r="EC147" s="978"/>
      <c r="ED147" s="978"/>
      <c r="EE147" s="978"/>
      <c r="EF147" s="978"/>
      <c r="EG147" s="978"/>
      <c r="EH147" s="978"/>
      <c r="EI147" s="978"/>
      <c r="EJ147" s="978"/>
      <c r="EK147" s="978"/>
      <c r="EL147" s="978"/>
      <c r="EM147" s="978"/>
      <c r="EN147" s="978"/>
      <c r="EO147" s="978"/>
      <c r="EP147" s="978"/>
      <c r="EQ147" s="978"/>
      <c r="ER147" s="978"/>
      <c r="ES147" s="978"/>
      <c r="ET147" s="978"/>
      <c r="EU147" s="978"/>
      <c r="EV147" s="978"/>
      <c r="EW147" s="978"/>
      <c r="EX147" s="978"/>
      <c r="EY147" s="978"/>
      <c r="EZ147" s="978"/>
      <c r="FA147" s="978"/>
      <c r="FB147" s="978"/>
      <c r="FC147" s="978"/>
      <c r="FD147" s="978"/>
      <c r="FE147" s="978"/>
      <c r="FF147" s="978"/>
      <c r="FG147" s="978"/>
      <c r="FH147" s="978"/>
      <c r="FI147" s="978"/>
      <c r="FJ147" s="978"/>
      <c r="FK147" s="978"/>
      <c r="FL147" s="978"/>
      <c r="FM147" s="978"/>
      <c r="FN147" s="978"/>
      <c r="FO147" s="978"/>
      <c r="FP147" s="978"/>
      <c r="FQ147" s="978"/>
      <c r="FR147" s="978"/>
      <c r="FS147" s="978"/>
      <c r="FT147" s="978"/>
      <c r="FU147" s="978"/>
      <c r="FV147" s="978"/>
      <c r="FW147" s="978"/>
      <c r="FX147" s="978"/>
      <c r="FY147" s="978"/>
      <c r="FZ147" s="978"/>
      <c r="GA147" s="978"/>
      <c r="GB147" s="978"/>
      <c r="GC147" s="978"/>
      <c r="GD147" s="978"/>
      <c r="GE147" s="978"/>
      <c r="GF147" s="978"/>
      <c r="GG147" s="978"/>
      <c r="GH147" s="978"/>
      <c r="GI147" s="978"/>
      <c r="GJ147" s="978"/>
      <c r="GK147" s="978"/>
      <c r="GL147" s="978"/>
      <c r="GM147" s="978"/>
      <c r="GN147" s="978"/>
      <c r="GO147" s="978"/>
      <c r="GP147" s="978"/>
      <c r="GQ147" s="978"/>
      <c r="GR147" s="978"/>
      <c r="GS147" s="978"/>
      <c r="GT147" s="978"/>
      <c r="GU147" s="978"/>
      <c r="GV147" s="978"/>
      <c r="GW147" s="978"/>
      <c r="GX147" s="978"/>
      <c r="GY147" s="978"/>
      <c r="GZ147" s="978"/>
      <c r="HA147" s="978"/>
      <c r="HB147" s="978"/>
      <c r="HC147" s="978"/>
      <c r="HD147" s="978"/>
      <c r="HE147" s="978"/>
      <c r="HF147" s="978"/>
      <c r="HG147" s="978"/>
      <c r="HH147" s="978"/>
      <c r="HI147" s="978"/>
      <c r="HJ147" s="978"/>
      <c r="HK147" s="978"/>
      <c r="HL147" s="978"/>
      <c r="HM147" s="978"/>
      <c r="HN147" s="978"/>
      <c r="HO147" s="978"/>
      <c r="HP147" s="978"/>
      <c r="HQ147" s="978"/>
      <c r="HR147" s="978"/>
      <c r="HS147" s="978"/>
      <c r="HT147" s="978"/>
      <c r="HU147" s="978"/>
      <c r="HV147" s="978"/>
      <c r="HW147" s="978"/>
      <c r="HX147" s="978"/>
      <c r="HY147" s="978"/>
      <c r="HZ147" s="978"/>
      <c r="IA147" s="978"/>
      <c r="IB147" s="978"/>
      <c r="IC147" s="978"/>
      <c r="ID147" s="978"/>
      <c r="IE147" s="978"/>
      <c r="IF147" s="978"/>
      <c r="IG147" s="978"/>
      <c r="IH147" s="978"/>
      <c r="II147" s="978"/>
      <c r="IJ147" s="978"/>
      <c r="IK147" s="978"/>
      <c r="IL147" s="978"/>
      <c r="IM147" s="978"/>
      <c r="IN147" s="978"/>
      <c r="IO147" s="978"/>
      <c r="IP147" s="978"/>
      <c r="IQ147" s="978"/>
      <c r="IR147" s="978"/>
      <c r="IS147" s="978"/>
      <c r="IT147" s="978"/>
      <c r="IU147" s="978"/>
      <c r="IV147" s="978"/>
      <c r="IW147" s="978"/>
      <c r="IX147" s="978"/>
      <c r="IY147" s="978"/>
      <c r="IZ147" s="978"/>
      <c r="JA147" s="978"/>
      <c r="JB147" s="978"/>
      <c r="JC147" s="978"/>
      <c r="JD147" s="978"/>
      <c r="JE147" s="978"/>
      <c r="JF147" s="978"/>
      <c r="JG147" s="978"/>
      <c r="JH147" s="978"/>
      <c r="JI147" s="978"/>
      <c r="JJ147" s="978"/>
      <c r="JK147" s="978"/>
      <c r="JL147" s="978"/>
      <c r="JM147" s="978"/>
      <c r="JN147" s="978"/>
      <c r="JO147" s="978"/>
      <c r="JP147" s="978"/>
      <c r="JQ147" s="978"/>
      <c r="JR147" s="978"/>
      <c r="JS147" s="978"/>
      <c r="JT147" s="978"/>
      <c r="JU147" s="978"/>
      <c r="JV147" s="978"/>
      <c r="JW147" s="978"/>
      <c r="JX147" s="978"/>
      <c r="JY147" s="978"/>
      <c r="JZ147" s="978"/>
      <c r="KA147" s="978"/>
      <c r="KB147" s="978"/>
      <c r="KC147" s="978"/>
      <c r="KD147" s="978"/>
      <c r="KE147" s="978"/>
      <c r="KF147" s="978"/>
      <c r="KG147" s="978"/>
      <c r="KH147" s="978"/>
      <c r="KI147" s="978"/>
      <c r="KJ147" s="978"/>
      <c r="KK147" s="978"/>
      <c r="KL147" s="978"/>
      <c r="KM147" s="978"/>
      <c r="KN147" s="978"/>
      <c r="KO147" s="978"/>
      <c r="KP147" s="978"/>
      <c r="KQ147" s="978"/>
      <c r="KR147" s="978"/>
      <c r="KS147" s="978"/>
      <c r="KT147" s="978"/>
      <c r="KU147" s="978"/>
      <c r="KV147" s="978"/>
      <c r="KW147" s="978"/>
      <c r="KX147" s="978"/>
      <c r="KY147" s="978"/>
      <c r="KZ147" s="978"/>
      <c r="LA147" s="978"/>
      <c r="LB147" s="978"/>
      <c r="LC147" s="978"/>
      <c r="LD147" s="978"/>
      <c r="LE147" s="978"/>
      <c r="LF147" s="978"/>
      <c r="LG147" s="978"/>
      <c r="LH147" s="978"/>
      <c r="LI147" s="978"/>
      <c r="LJ147" s="978"/>
      <c r="LK147" s="978"/>
      <c r="LL147" s="978"/>
      <c r="LM147" s="978"/>
      <c r="LN147" s="978"/>
      <c r="LO147" s="978"/>
      <c r="LP147" s="978"/>
      <c r="LQ147" s="978"/>
      <c r="LR147" s="978"/>
      <c r="LS147" s="978"/>
      <c r="LT147" s="978"/>
      <c r="LU147" s="978"/>
      <c r="LV147" s="978"/>
      <c r="LW147" s="978"/>
      <c r="LX147" s="978"/>
      <c r="LY147" s="978"/>
      <c r="LZ147" s="978"/>
      <c r="MA147" s="978"/>
      <c r="MB147" s="978"/>
      <c r="MC147" s="978"/>
      <c r="MD147" s="978"/>
      <c r="ME147" s="978"/>
      <c r="MF147" s="978"/>
      <c r="MG147" s="978"/>
      <c r="MH147" s="978"/>
      <c r="MI147" s="978"/>
      <c r="MJ147" s="978"/>
      <c r="MK147" s="978"/>
      <c r="ML147" s="978"/>
      <c r="MM147" s="978"/>
      <c r="MN147" s="978"/>
      <c r="MO147" s="978"/>
      <c r="MP147" s="978"/>
      <c r="MQ147" s="978"/>
      <c r="MR147" s="978"/>
      <c r="MS147" s="978"/>
      <c r="MT147" s="978"/>
      <c r="MU147" s="978"/>
      <c r="MV147" s="978"/>
      <c r="MW147" s="978"/>
      <c r="MX147" s="978"/>
      <c r="MY147" s="978"/>
      <c r="MZ147" s="978"/>
      <c r="NA147" s="978"/>
      <c r="NB147" s="978"/>
      <c r="NC147" s="978"/>
      <c r="ND147" s="978"/>
      <c r="NE147" s="978"/>
      <c r="NF147" s="978"/>
      <c r="NG147" s="978"/>
      <c r="NH147" s="978"/>
      <c r="NI147" s="978"/>
      <c r="NJ147" s="978"/>
      <c r="NK147" s="978"/>
      <c r="NL147" s="978"/>
      <c r="NM147" s="978"/>
      <c r="NN147" s="978"/>
      <c r="NO147" s="978"/>
      <c r="NP147" s="978"/>
      <c r="NQ147" s="978"/>
      <c r="NR147" s="978"/>
      <c r="NS147" s="978"/>
      <c r="NT147" s="978"/>
      <c r="NU147" s="978"/>
      <c r="NV147" s="978"/>
      <c r="NW147" s="978"/>
      <c r="NX147" s="978"/>
      <c r="NY147" s="978"/>
      <c r="NZ147" s="978"/>
      <c r="OA147" s="978"/>
      <c r="OB147" s="978"/>
      <c r="OC147" s="978"/>
      <c r="OD147" s="978"/>
      <c r="OE147" s="978"/>
      <c r="OF147" s="978"/>
      <c r="OG147" s="978"/>
      <c r="OH147" s="978"/>
      <c r="OI147" s="978"/>
      <c r="OJ147" s="978"/>
      <c r="OK147" s="978"/>
      <c r="OL147" s="978"/>
      <c r="OM147" s="978"/>
      <c r="ON147" s="978"/>
      <c r="OO147" s="978"/>
      <c r="OP147" s="978"/>
      <c r="OQ147" s="978"/>
      <c r="OR147" s="978"/>
      <c r="OS147" s="978"/>
      <c r="OT147" s="978"/>
      <c r="OU147" s="978"/>
      <c r="OV147" s="978"/>
      <c r="OW147" s="978"/>
      <c r="OX147" s="978"/>
      <c r="OY147" s="978"/>
      <c r="OZ147" s="978"/>
      <c r="PA147" s="978"/>
      <c r="PB147" s="978"/>
      <c r="PC147" s="978"/>
      <c r="PD147" s="978"/>
      <c r="PE147" s="978"/>
      <c r="PF147" s="978"/>
      <c r="PG147" s="978"/>
      <c r="PH147" s="978"/>
      <c r="PI147" s="978"/>
      <c r="PJ147" s="978"/>
      <c r="PK147" s="978"/>
      <c r="PL147" s="978"/>
      <c r="PM147" s="978"/>
      <c r="PN147" s="978"/>
      <c r="PO147" s="978"/>
      <c r="PP147" s="978"/>
      <c r="PQ147" s="978"/>
      <c r="PR147" s="978"/>
      <c r="PS147" s="978"/>
      <c r="PT147" s="978"/>
      <c r="PU147" s="978"/>
      <c r="PV147" s="978"/>
      <c r="PW147" s="978"/>
      <c r="PX147" s="978"/>
      <c r="PY147" s="978"/>
      <c r="PZ147" s="978"/>
      <c r="QA147" s="978"/>
      <c r="QB147" s="978"/>
      <c r="QC147" s="978"/>
      <c r="QD147" s="978"/>
      <c r="QE147" s="978"/>
      <c r="QF147" s="978"/>
      <c r="QG147" s="978"/>
      <c r="QH147" s="978"/>
      <c r="QI147" s="978"/>
      <c r="QJ147" s="978"/>
      <c r="QK147" s="978"/>
      <c r="QL147" s="978"/>
      <c r="QM147" s="978"/>
      <c r="QN147" s="978"/>
      <c r="QO147" s="978"/>
      <c r="QP147" s="978"/>
      <c r="QQ147" s="978"/>
      <c r="QR147" s="978"/>
      <c r="QS147" s="978"/>
      <c r="QT147" s="978"/>
      <c r="QU147" s="978"/>
      <c r="QV147" s="978"/>
      <c r="QW147" s="978"/>
      <c r="QX147" s="978"/>
      <c r="QY147" s="978"/>
      <c r="QZ147" s="978"/>
      <c r="RA147" s="978"/>
      <c r="RB147" s="274"/>
      <c r="RC147" s="274"/>
    </row>
    <row r="148" spans="112:471" ht="17.25">
      <c r="DH148" s="274"/>
      <c r="DI148" s="274"/>
      <c r="DJ148" s="978"/>
      <c r="DK148" s="978"/>
      <c r="DL148" s="978"/>
      <c r="DM148" s="978"/>
      <c r="DN148" s="978"/>
      <c r="DO148" s="978"/>
      <c r="DP148" s="978"/>
      <c r="DQ148" s="978"/>
      <c r="DR148" s="978"/>
      <c r="DS148" s="978"/>
      <c r="DT148" s="978"/>
      <c r="DU148" s="978"/>
      <c r="DV148" s="978"/>
      <c r="DW148" s="978"/>
      <c r="DX148" s="978"/>
      <c r="DY148" s="978"/>
      <c r="DZ148" s="978"/>
      <c r="EA148" s="978"/>
      <c r="EB148" s="978"/>
      <c r="EC148" s="978"/>
      <c r="ED148" s="978"/>
      <c r="EE148" s="978"/>
      <c r="EF148" s="978"/>
      <c r="EG148" s="978"/>
      <c r="EH148" s="978"/>
      <c r="EI148" s="978"/>
      <c r="EJ148" s="978"/>
      <c r="EK148" s="978"/>
      <c r="EL148" s="978"/>
      <c r="EM148" s="978"/>
      <c r="EN148" s="978"/>
      <c r="EO148" s="978"/>
      <c r="EP148" s="978"/>
      <c r="EQ148" s="978"/>
      <c r="ER148" s="978"/>
      <c r="ES148" s="978"/>
      <c r="ET148" s="978"/>
      <c r="EU148" s="978"/>
      <c r="EV148" s="978"/>
      <c r="EW148" s="978"/>
      <c r="EX148" s="978"/>
      <c r="EY148" s="978"/>
      <c r="EZ148" s="978"/>
      <c r="FA148" s="978"/>
      <c r="FB148" s="978"/>
      <c r="FC148" s="978"/>
      <c r="FD148" s="978"/>
      <c r="FE148" s="978"/>
      <c r="FF148" s="978"/>
      <c r="FG148" s="978"/>
      <c r="FH148" s="978"/>
      <c r="FI148" s="978"/>
      <c r="FJ148" s="978"/>
      <c r="FK148" s="978"/>
      <c r="FL148" s="978"/>
      <c r="FM148" s="978"/>
      <c r="FN148" s="978"/>
      <c r="FO148" s="978"/>
      <c r="FP148" s="978"/>
      <c r="FQ148" s="978"/>
      <c r="FR148" s="978"/>
      <c r="FS148" s="978"/>
      <c r="FT148" s="978"/>
      <c r="FU148" s="978"/>
      <c r="FV148" s="978"/>
      <c r="FW148" s="978"/>
      <c r="FX148" s="978"/>
      <c r="FY148" s="978"/>
      <c r="FZ148" s="978"/>
      <c r="GA148" s="978"/>
      <c r="GB148" s="978"/>
      <c r="GC148" s="978"/>
      <c r="GD148" s="978"/>
      <c r="GE148" s="978"/>
      <c r="GF148" s="978"/>
      <c r="GG148" s="978"/>
      <c r="GH148" s="978"/>
      <c r="GI148" s="978"/>
      <c r="GJ148" s="978"/>
      <c r="GK148" s="978"/>
      <c r="GL148" s="978"/>
      <c r="GM148" s="978"/>
      <c r="GN148" s="978"/>
      <c r="GO148" s="978"/>
      <c r="GP148" s="978"/>
      <c r="GQ148" s="978"/>
      <c r="GR148" s="978"/>
      <c r="GS148" s="978"/>
      <c r="GT148" s="978"/>
      <c r="GU148" s="978"/>
      <c r="GV148" s="978"/>
      <c r="GW148" s="978"/>
      <c r="GX148" s="978"/>
      <c r="GY148" s="978"/>
      <c r="GZ148" s="978"/>
      <c r="HA148" s="978"/>
      <c r="HB148" s="978"/>
      <c r="HC148" s="978"/>
      <c r="HD148" s="978"/>
      <c r="HE148" s="978"/>
      <c r="HF148" s="978"/>
      <c r="HG148" s="978"/>
      <c r="HH148" s="978"/>
      <c r="HI148" s="978"/>
      <c r="HJ148" s="978"/>
      <c r="HK148" s="978"/>
      <c r="HL148" s="978"/>
      <c r="HM148" s="978"/>
      <c r="HN148" s="978"/>
      <c r="HO148" s="978"/>
      <c r="HP148" s="978"/>
      <c r="HQ148" s="978"/>
      <c r="HR148" s="978"/>
      <c r="HS148" s="978"/>
      <c r="HT148" s="978"/>
      <c r="HU148" s="978"/>
      <c r="HV148" s="978"/>
      <c r="HW148" s="978"/>
      <c r="HX148" s="978"/>
      <c r="HY148" s="978"/>
      <c r="HZ148" s="978"/>
      <c r="IA148" s="978"/>
      <c r="IB148" s="978"/>
      <c r="IC148" s="978"/>
      <c r="ID148" s="978"/>
      <c r="IE148" s="978"/>
      <c r="IF148" s="978"/>
      <c r="IG148" s="978"/>
      <c r="IH148" s="978"/>
      <c r="II148" s="978"/>
      <c r="IJ148" s="978"/>
      <c r="IK148" s="978"/>
      <c r="IL148" s="978"/>
      <c r="IM148" s="978"/>
      <c r="IN148" s="978"/>
      <c r="IO148" s="978"/>
      <c r="IP148" s="978"/>
      <c r="IQ148" s="978"/>
      <c r="IR148" s="978"/>
      <c r="IS148" s="978"/>
      <c r="IT148" s="978"/>
      <c r="IU148" s="978"/>
      <c r="IV148" s="978"/>
      <c r="IW148" s="978"/>
      <c r="IX148" s="978"/>
      <c r="IY148" s="978"/>
      <c r="IZ148" s="978"/>
      <c r="JA148" s="978"/>
      <c r="JB148" s="978"/>
      <c r="JC148" s="978"/>
      <c r="JD148" s="978"/>
      <c r="JE148" s="978"/>
      <c r="JF148" s="978"/>
      <c r="JG148" s="978"/>
      <c r="JH148" s="978"/>
      <c r="JI148" s="978"/>
      <c r="JJ148" s="978"/>
      <c r="JK148" s="978"/>
      <c r="JL148" s="978"/>
      <c r="JM148" s="978"/>
      <c r="JN148" s="978"/>
      <c r="JO148" s="978"/>
      <c r="JP148" s="978"/>
      <c r="JQ148" s="978"/>
      <c r="JR148" s="978"/>
      <c r="JS148" s="978"/>
      <c r="JT148" s="978"/>
      <c r="JU148" s="978"/>
      <c r="JV148" s="978"/>
      <c r="JW148" s="978"/>
      <c r="JX148" s="978"/>
      <c r="JY148" s="978"/>
      <c r="JZ148" s="978"/>
      <c r="KA148" s="978"/>
      <c r="KB148" s="978"/>
      <c r="KC148" s="978"/>
      <c r="KD148" s="978"/>
      <c r="KE148" s="978"/>
      <c r="KF148" s="978"/>
      <c r="KG148" s="978"/>
      <c r="KH148" s="978"/>
      <c r="KI148" s="978"/>
      <c r="KJ148" s="978"/>
      <c r="KK148" s="978"/>
      <c r="KL148" s="978"/>
      <c r="KM148" s="978"/>
      <c r="KN148" s="978"/>
      <c r="KO148" s="978"/>
      <c r="KP148" s="978"/>
      <c r="KQ148" s="978"/>
      <c r="KR148" s="978"/>
      <c r="KS148" s="978"/>
      <c r="KT148" s="978"/>
      <c r="KU148" s="978"/>
      <c r="KV148" s="978"/>
      <c r="KW148" s="978"/>
      <c r="KX148" s="978"/>
      <c r="KY148" s="978"/>
      <c r="KZ148" s="978"/>
      <c r="LA148" s="978"/>
      <c r="LB148" s="978"/>
      <c r="LC148" s="978"/>
      <c r="LD148" s="978"/>
      <c r="LE148" s="978"/>
      <c r="LF148" s="978"/>
      <c r="LG148" s="978"/>
      <c r="LH148" s="978"/>
      <c r="LI148" s="978"/>
      <c r="LJ148" s="978"/>
      <c r="LK148" s="978"/>
      <c r="LL148" s="978"/>
      <c r="LM148" s="978"/>
      <c r="LN148" s="978"/>
      <c r="LO148" s="978"/>
      <c r="LP148" s="978"/>
      <c r="LQ148" s="978"/>
      <c r="LR148" s="978"/>
      <c r="LS148" s="978"/>
      <c r="LT148" s="978"/>
      <c r="LU148" s="978"/>
      <c r="LV148" s="978"/>
      <c r="LW148" s="978"/>
      <c r="LX148" s="978"/>
      <c r="LY148" s="978"/>
      <c r="LZ148" s="978"/>
      <c r="MA148" s="978"/>
      <c r="MB148" s="978"/>
      <c r="MC148" s="978"/>
      <c r="MD148" s="978"/>
      <c r="ME148" s="978"/>
      <c r="MF148" s="978"/>
      <c r="MG148" s="978"/>
      <c r="MH148" s="978"/>
      <c r="MI148" s="978"/>
      <c r="MJ148" s="978"/>
      <c r="MK148" s="978"/>
      <c r="ML148" s="978"/>
      <c r="MM148" s="978"/>
      <c r="MN148" s="978"/>
      <c r="MO148" s="978"/>
      <c r="MP148" s="978"/>
      <c r="MQ148" s="978"/>
      <c r="MR148" s="978"/>
      <c r="MS148" s="978"/>
      <c r="MT148" s="978"/>
      <c r="MU148" s="978"/>
      <c r="MV148" s="978"/>
      <c r="MW148" s="978"/>
      <c r="MX148" s="978"/>
      <c r="MY148" s="978"/>
      <c r="MZ148" s="978"/>
      <c r="NA148" s="978"/>
      <c r="NB148" s="978"/>
      <c r="NC148" s="978"/>
      <c r="ND148" s="978"/>
      <c r="NE148" s="978"/>
      <c r="NF148" s="978"/>
      <c r="NG148" s="978"/>
      <c r="NH148" s="978"/>
      <c r="NI148" s="978"/>
      <c r="NJ148" s="978"/>
      <c r="NK148" s="978"/>
      <c r="NL148" s="978"/>
      <c r="NM148" s="978"/>
      <c r="NN148" s="978"/>
      <c r="NO148" s="978"/>
      <c r="NP148" s="978"/>
      <c r="NQ148" s="978"/>
      <c r="NR148" s="978"/>
      <c r="NS148" s="978"/>
      <c r="NT148" s="978"/>
      <c r="NU148" s="978"/>
      <c r="NV148" s="978"/>
      <c r="NW148" s="978"/>
      <c r="NX148" s="978"/>
      <c r="NY148" s="978"/>
      <c r="NZ148" s="978"/>
      <c r="OA148" s="978"/>
      <c r="OB148" s="978"/>
      <c r="OC148" s="978"/>
      <c r="OD148" s="978"/>
      <c r="OE148" s="978"/>
      <c r="OF148" s="978"/>
      <c r="OG148" s="978"/>
      <c r="OH148" s="978"/>
      <c r="OI148" s="978"/>
      <c r="OJ148" s="978"/>
      <c r="OK148" s="978"/>
      <c r="OL148" s="978"/>
      <c r="OM148" s="978"/>
      <c r="ON148" s="978"/>
      <c r="OO148" s="978"/>
      <c r="OP148" s="978"/>
      <c r="OQ148" s="978"/>
      <c r="OR148" s="978"/>
      <c r="OS148" s="978"/>
      <c r="OT148" s="978"/>
      <c r="OU148" s="978"/>
      <c r="OV148" s="978"/>
      <c r="OW148" s="978"/>
      <c r="OX148" s="978"/>
      <c r="OY148" s="978"/>
      <c r="OZ148" s="978"/>
      <c r="PA148" s="978"/>
      <c r="PB148" s="978"/>
      <c r="PC148" s="978"/>
      <c r="PD148" s="978"/>
      <c r="PE148" s="978"/>
      <c r="PF148" s="978"/>
      <c r="PG148" s="978"/>
      <c r="PH148" s="978"/>
      <c r="PI148" s="978"/>
      <c r="PJ148" s="978"/>
      <c r="PK148" s="978"/>
      <c r="PL148" s="978"/>
      <c r="PM148" s="978"/>
      <c r="PN148" s="978"/>
      <c r="PO148" s="978"/>
      <c r="PP148" s="978"/>
      <c r="PQ148" s="978"/>
      <c r="PR148" s="978"/>
      <c r="PS148" s="978"/>
      <c r="PT148" s="978"/>
      <c r="PU148" s="978"/>
      <c r="PV148" s="978"/>
      <c r="PW148" s="978"/>
      <c r="PX148" s="978"/>
      <c r="PY148" s="978"/>
      <c r="PZ148" s="978"/>
      <c r="QA148" s="978"/>
      <c r="QB148" s="978"/>
      <c r="QC148" s="978"/>
      <c r="QD148" s="978"/>
      <c r="QE148" s="978"/>
      <c r="QF148" s="978"/>
      <c r="QG148" s="978"/>
      <c r="QH148" s="978"/>
      <c r="QI148" s="978"/>
      <c r="QJ148" s="978"/>
      <c r="QK148" s="978"/>
      <c r="QL148" s="978"/>
      <c r="QM148" s="978"/>
      <c r="QN148" s="978"/>
      <c r="QO148" s="978"/>
      <c r="QP148" s="978"/>
      <c r="QQ148" s="978"/>
      <c r="QR148" s="978"/>
      <c r="QS148" s="978"/>
      <c r="QT148" s="978"/>
      <c r="QU148" s="978"/>
      <c r="QV148" s="978"/>
      <c r="QW148" s="978"/>
      <c r="QX148" s="978"/>
      <c r="QY148" s="978"/>
      <c r="QZ148" s="978"/>
      <c r="RA148" s="978"/>
      <c r="RB148" s="274"/>
      <c r="RC148" s="274"/>
    </row>
    <row r="149" spans="112:471" ht="17.25">
      <c r="DH149" s="274"/>
      <c r="DI149" s="274"/>
      <c r="DJ149" s="978"/>
      <c r="DK149" s="978"/>
      <c r="DL149" s="978"/>
      <c r="DM149" s="978"/>
      <c r="DN149" s="978"/>
      <c r="DO149" s="978"/>
      <c r="DP149" s="978"/>
      <c r="DQ149" s="978"/>
      <c r="DR149" s="978"/>
      <c r="DS149" s="978"/>
      <c r="DT149" s="978"/>
      <c r="DU149" s="978"/>
      <c r="DV149" s="978"/>
      <c r="DW149" s="978"/>
      <c r="DX149" s="978"/>
      <c r="DY149" s="978"/>
      <c r="DZ149" s="978"/>
      <c r="EA149" s="978"/>
      <c r="EB149" s="978"/>
      <c r="EC149" s="978"/>
      <c r="ED149" s="978"/>
      <c r="EE149" s="978"/>
      <c r="EF149" s="978"/>
      <c r="EG149" s="978"/>
      <c r="EH149" s="978"/>
      <c r="EI149" s="978"/>
      <c r="EJ149" s="978"/>
      <c r="EK149" s="978"/>
      <c r="EL149" s="978"/>
      <c r="EM149" s="978"/>
      <c r="EN149" s="978"/>
      <c r="EO149" s="978"/>
      <c r="EP149" s="978"/>
      <c r="EQ149" s="978"/>
      <c r="ER149" s="978"/>
      <c r="ES149" s="978"/>
      <c r="ET149" s="978"/>
      <c r="EU149" s="978"/>
      <c r="EV149" s="978"/>
      <c r="EW149" s="978"/>
      <c r="EX149" s="978"/>
      <c r="EY149" s="978"/>
      <c r="EZ149" s="978"/>
      <c r="FA149" s="978"/>
      <c r="FB149" s="978"/>
      <c r="FC149" s="978"/>
      <c r="FD149" s="978"/>
      <c r="FE149" s="978"/>
      <c r="FF149" s="978"/>
      <c r="FG149" s="978"/>
      <c r="FH149" s="978"/>
      <c r="FI149" s="978"/>
      <c r="FJ149" s="978"/>
      <c r="FK149" s="978"/>
      <c r="FL149" s="978"/>
      <c r="FM149" s="978"/>
      <c r="FN149" s="978"/>
      <c r="FO149" s="978"/>
      <c r="FP149" s="978"/>
      <c r="FQ149" s="978"/>
      <c r="FR149" s="978"/>
      <c r="FS149" s="978"/>
      <c r="FT149" s="978"/>
      <c r="FU149" s="978"/>
      <c r="FV149" s="978"/>
      <c r="FW149" s="978"/>
      <c r="FX149" s="978"/>
      <c r="FY149" s="978"/>
      <c r="FZ149" s="978"/>
      <c r="GA149" s="978"/>
      <c r="GB149" s="978"/>
      <c r="GC149" s="978"/>
      <c r="GD149" s="978"/>
      <c r="GE149" s="978"/>
      <c r="GF149" s="978"/>
      <c r="GG149" s="978"/>
      <c r="GH149" s="978"/>
      <c r="GI149" s="978"/>
      <c r="GJ149" s="978"/>
      <c r="GK149" s="978"/>
      <c r="GL149" s="978"/>
      <c r="GM149" s="978"/>
      <c r="GN149" s="978"/>
      <c r="GO149" s="978"/>
      <c r="GP149" s="978"/>
      <c r="GQ149" s="978"/>
      <c r="GR149" s="978"/>
      <c r="GS149" s="978"/>
      <c r="GT149" s="978"/>
      <c r="GU149" s="978"/>
      <c r="GV149" s="978"/>
      <c r="GW149" s="978"/>
      <c r="GX149" s="978"/>
      <c r="GY149" s="978"/>
      <c r="GZ149" s="978"/>
      <c r="HA149" s="978"/>
      <c r="HB149" s="978"/>
      <c r="HC149" s="978"/>
      <c r="HD149" s="978"/>
      <c r="HE149" s="978"/>
      <c r="HF149" s="978"/>
      <c r="HG149" s="978"/>
      <c r="HH149" s="978"/>
      <c r="HI149" s="978"/>
      <c r="HJ149" s="978"/>
      <c r="HK149" s="978"/>
      <c r="HL149" s="978"/>
      <c r="HM149" s="978"/>
      <c r="HN149" s="978"/>
      <c r="HO149" s="978"/>
      <c r="HP149" s="978"/>
      <c r="HQ149" s="978"/>
      <c r="HR149" s="978"/>
      <c r="HS149" s="978"/>
      <c r="HT149" s="978"/>
      <c r="HU149" s="978"/>
      <c r="HV149" s="978"/>
      <c r="HW149" s="978"/>
      <c r="HX149" s="978"/>
      <c r="HY149" s="978"/>
      <c r="HZ149" s="978"/>
      <c r="IA149" s="978"/>
      <c r="IB149" s="978"/>
      <c r="IC149" s="978"/>
      <c r="ID149" s="978"/>
      <c r="IE149" s="978"/>
      <c r="IF149" s="978"/>
      <c r="IG149" s="978"/>
      <c r="IH149" s="978"/>
      <c r="II149" s="978"/>
      <c r="IJ149" s="978"/>
      <c r="IK149" s="978"/>
      <c r="IL149" s="978"/>
      <c r="IM149" s="978"/>
      <c r="IN149" s="978"/>
      <c r="IO149" s="978"/>
      <c r="IP149" s="978"/>
      <c r="IQ149" s="978"/>
      <c r="IR149" s="978"/>
      <c r="IS149" s="978"/>
      <c r="IT149" s="978"/>
      <c r="IU149" s="978"/>
      <c r="IV149" s="978"/>
      <c r="IW149" s="978"/>
      <c r="IX149" s="978"/>
      <c r="IY149" s="978"/>
      <c r="IZ149" s="978"/>
      <c r="JA149" s="978"/>
      <c r="JB149" s="978"/>
      <c r="JC149" s="978"/>
      <c r="JD149" s="978"/>
      <c r="JE149" s="978"/>
      <c r="JF149" s="978"/>
      <c r="JG149" s="978"/>
      <c r="JH149" s="978"/>
      <c r="JI149" s="978"/>
      <c r="JJ149" s="978"/>
      <c r="JK149" s="978"/>
      <c r="JL149" s="978"/>
      <c r="JM149" s="978"/>
      <c r="JN149" s="978"/>
      <c r="JO149" s="978"/>
      <c r="JP149" s="978"/>
      <c r="JQ149" s="978"/>
      <c r="JR149" s="978"/>
      <c r="JS149" s="978"/>
      <c r="JT149" s="978"/>
      <c r="JU149" s="978"/>
      <c r="JV149" s="978"/>
      <c r="JW149" s="978"/>
      <c r="JX149" s="978"/>
      <c r="JY149" s="978"/>
      <c r="JZ149" s="978"/>
      <c r="KA149" s="978"/>
      <c r="KB149" s="978"/>
      <c r="KC149" s="978"/>
      <c r="KD149" s="978"/>
      <c r="KE149" s="978"/>
      <c r="KF149" s="978"/>
      <c r="KG149" s="978"/>
      <c r="KH149" s="978"/>
      <c r="KI149" s="978"/>
      <c r="KJ149" s="978"/>
      <c r="KK149" s="978"/>
      <c r="KL149" s="978"/>
      <c r="KM149" s="978"/>
      <c r="KN149" s="978"/>
      <c r="KO149" s="978"/>
      <c r="KP149" s="978"/>
      <c r="KQ149" s="978"/>
      <c r="KR149" s="978"/>
      <c r="KS149" s="978"/>
      <c r="KT149" s="978"/>
      <c r="KU149" s="978"/>
      <c r="KV149" s="978"/>
      <c r="KW149" s="978"/>
      <c r="KX149" s="978"/>
      <c r="KY149" s="978"/>
      <c r="KZ149" s="978"/>
      <c r="LA149" s="978"/>
      <c r="LB149" s="978"/>
      <c r="LC149" s="978"/>
      <c r="LD149" s="978"/>
      <c r="LE149" s="978"/>
      <c r="LF149" s="978"/>
      <c r="LG149" s="978"/>
      <c r="LH149" s="978"/>
      <c r="LI149" s="978"/>
      <c r="LJ149" s="978"/>
      <c r="LK149" s="978"/>
      <c r="LL149" s="978"/>
      <c r="LM149" s="978"/>
      <c r="LN149" s="978"/>
      <c r="LO149" s="978"/>
      <c r="LP149" s="978"/>
      <c r="LQ149" s="978"/>
      <c r="LR149" s="978"/>
      <c r="LS149" s="978"/>
      <c r="LT149" s="978"/>
      <c r="LU149" s="978"/>
      <c r="LV149" s="978"/>
      <c r="LW149" s="978"/>
      <c r="LX149" s="978"/>
      <c r="LY149" s="978"/>
      <c r="LZ149" s="978"/>
      <c r="MA149" s="978"/>
      <c r="MB149" s="978"/>
      <c r="MC149" s="978"/>
      <c r="MD149" s="978"/>
      <c r="ME149" s="978"/>
      <c r="MF149" s="978"/>
      <c r="MG149" s="978"/>
      <c r="MH149" s="978"/>
      <c r="MI149" s="978"/>
      <c r="MJ149" s="978"/>
      <c r="MK149" s="978"/>
      <c r="ML149" s="978"/>
      <c r="MM149" s="978"/>
      <c r="MN149" s="978"/>
      <c r="MO149" s="978"/>
      <c r="MP149" s="978"/>
      <c r="MQ149" s="978"/>
      <c r="MR149" s="978"/>
      <c r="MS149" s="978"/>
      <c r="MT149" s="978"/>
      <c r="MU149" s="978"/>
      <c r="MV149" s="978"/>
      <c r="MW149" s="978"/>
      <c r="MX149" s="978"/>
      <c r="MY149" s="978"/>
      <c r="MZ149" s="978"/>
      <c r="NA149" s="978"/>
      <c r="NB149" s="978"/>
      <c r="NC149" s="978"/>
      <c r="ND149" s="978"/>
      <c r="NE149" s="978"/>
      <c r="NF149" s="978"/>
      <c r="NG149" s="978"/>
      <c r="NH149" s="978"/>
      <c r="NI149" s="978"/>
      <c r="NJ149" s="978"/>
      <c r="NK149" s="978"/>
      <c r="NL149" s="978"/>
      <c r="NM149" s="978"/>
      <c r="NN149" s="978"/>
      <c r="NO149" s="978"/>
      <c r="NP149" s="978"/>
      <c r="NQ149" s="978"/>
      <c r="NR149" s="978"/>
      <c r="NS149" s="978"/>
      <c r="NT149" s="978"/>
      <c r="NU149" s="978"/>
      <c r="NV149" s="978"/>
      <c r="NW149" s="978"/>
      <c r="NX149" s="978"/>
      <c r="NY149" s="978"/>
      <c r="NZ149" s="978"/>
      <c r="OA149" s="978"/>
      <c r="OB149" s="978"/>
      <c r="OC149" s="978"/>
      <c r="OD149" s="978"/>
      <c r="OE149" s="978"/>
      <c r="OF149" s="978"/>
      <c r="OG149" s="978"/>
      <c r="OH149" s="978"/>
      <c r="OI149" s="978"/>
      <c r="OJ149" s="978"/>
      <c r="OK149" s="978"/>
      <c r="OL149" s="978"/>
      <c r="OM149" s="978"/>
      <c r="ON149" s="978"/>
      <c r="OO149" s="978"/>
      <c r="OP149" s="978"/>
      <c r="OQ149" s="978"/>
      <c r="OR149" s="978"/>
      <c r="OS149" s="978"/>
      <c r="OT149" s="978"/>
      <c r="OU149" s="978"/>
      <c r="OV149" s="978"/>
      <c r="OW149" s="978"/>
      <c r="OX149" s="978"/>
      <c r="OY149" s="978"/>
      <c r="OZ149" s="978"/>
      <c r="PA149" s="978"/>
      <c r="PB149" s="978"/>
      <c r="PC149" s="978"/>
      <c r="PD149" s="978"/>
      <c r="PE149" s="978"/>
      <c r="PF149" s="978"/>
      <c r="PG149" s="978"/>
      <c r="PH149" s="978"/>
      <c r="PI149" s="978"/>
      <c r="PJ149" s="978"/>
      <c r="PK149" s="978"/>
      <c r="PL149" s="978"/>
      <c r="PM149" s="978"/>
      <c r="PN149" s="978"/>
      <c r="PO149" s="978"/>
      <c r="PP149" s="978"/>
      <c r="PQ149" s="978"/>
      <c r="PR149" s="978"/>
      <c r="PS149" s="978"/>
      <c r="PT149" s="978"/>
      <c r="PU149" s="978"/>
      <c r="PV149" s="978"/>
      <c r="PW149" s="978"/>
      <c r="PX149" s="978"/>
      <c r="PY149" s="978"/>
      <c r="PZ149" s="978"/>
      <c r="QA149" s="978"/>
      <c r="QB149" s="978"/>
      <c r="QC149" s="978"/>
      <c r="QD149" s="978"/>
      <c r="QE149" s="978"/>
      <c r="QF149" s="978"/>
      <c r="QG149" s="978"/>
      <c r="QH149" s="978"/>
      <c r="QI149" s="978"/>
      <c r="QJ149" s="978"/>
      <c r="QK149" s="978"/>
      <c r="QL149" s="978"/>
      <c r="QM149" s="978"/>
      <c r="QN149" s="978"/>
      <c r="QO149" s="978"/>
      <c r="QP149" s="978"/>
      <c r="QQ149" s="978"/>
      <c r="QR149" s="978"/>
      <c r="QS149" s="978"/>
      <c r="QT149" s="978"/>
      <c r="QU149" s="978"/>
      <c r="QV149" s="978"/>
      <c r="QW149" s="978"/>
      <c r="QX149" s="978"/>
      <c r="QY149" s="978"/>
      <c r="QZ149" s="978"/>
      <c r="RA149" s="978"/>
      <c r="RB149" s="274"/>
      <c r="RC149" s="274"/>
    </row>
    <row r="150" spans="112:471" ht="17.25">
      <c r="DH150" s="274"/>
      <c r="DI150" s="274"/>
      <c r="DJ150" s="978"/>
      <c r="DK150" s="978"/>
      <c r="DL150" s="978"/>
      <c r="DM150" s="978"/>
      <c r="DN150" s="978"/>
      <c r="DO150" s="978"/>
      <c r="DP150" s="978"/>
      <c r="DQ150" s="978"/>
      <c r="DR150" s="978"/>
      <c r="DS150" s="978"/>
      <c r="DT150" s="978"/>
      <c r="DU150" s="978"/>
      <c r="DV150" s="978"/>
      <c r="DW150" s="978"/>
      <c r="DX150" s="978"/>
      <c r="DY150" s="978"/>
      <c r="DZ150" s="978"/>
      <c r="EA150" s="978"/>
      <c r="EB150" s="978"/>
      <c r="EC150" s="978"/>
      <c r="ED150" s="978"/>
      <c r="EE150" s="978"/>
      <c r="EF150" s="978"/>
      <c r="EG150" s="978"/>
      <c r="EH150" s="978"/>
      <c r="EI150" s="978"/>
      <c r="EJ150" s="978"/>
      <c r="EK150" s="978"/>
      <c r="EL150" s="978"/>
      <c r="EM150" s="978"/>
      <c r="EN150" s="978"/>
      <c r="EO150" s="978"/>
      <c r="EP150" s="978"/>
      <c r="EQ150" s="978"/>
      <c r="ER150" s="978"/>
      <c r="ES150" s="978"/>
      <c r="ET150" s="978"/>
      <c r="EU150" s="978"/>
      <c r="EV150" s="978"/>
      <c r="EW150" s="978"/>
      <c r="EX150" s="978"/>
      <c r="EY150" s="978"/>
      <c r="EZ150" s="978"/>
      <c r="FA150" s="978"/>
      <c r="FB150" s="978"/>
      <c r="FC150" s="978"/>
      <c r="FD150" s="978"/>
      <c r="FE150" s="978"/>
      <c r="FF150" s="978"/>
      <c r="FG150" s="978"/>
      <c r="FH150" s="978"/>
      <c r="FI150" s="978"/>
      <c r="FJ150" s="978"/>
      <c r="FK150" s="978"/>
      <c r="FL150" s="978"/>
      <c r="FM150" s="978"/>
      <c r="FN150" s="978"/>
      <c r="FO150" s="978"/>
      <c r="FP150" s="978"/>
      <c r="FQ150" s="978"/>
      <c r="FR150" s="978"/>
      <c r="FS150" s="978"/>
      <c r="FT150" s="978"/>
      <c r="FU150" s="978"/>
      <c r="FV150" s="978"/>
      <c r="FW150" s="978"/>
      <c r="FX150" s="978"/>
      <c r="FY150" s="978"/>
      <c r="FZ150" s="978"/>
      <c r="GA150" s="978"/>
      <c r="GB150" s="978"/>
      <c r="GC150" s="978"/>
      <c r="GD150" s="978"/>
      <c r="GE150" s="978"/>
      <c r="GF150" s="978"/>
      <c r="GG150" s="978"/>
      <c r="GH150" s="978"/>
      <c r="GI150" s="978"/>
      <c r="GJ150" s="978"/>
      <c r="GK150" s="978"/>
      <c r="GL150" s="978"/>
      <c r="GM150" s="978"/>
      <c r="GN150" s="978"/>
      <c r="GO150" s="978"/>
      <c r="GP150" s="978"/>
      <c r="GQ150" s="978"/>
      <c r="GR150" s="978"/>
      <c r="GS150" s="978"/>
      <c r="GT150" s="978"/>
      <c r="GU150" s="978"/>
      <c r="GV150" s="978"/>
      <c r="GW150" s="978"/>
      <c r="GX150" s="978"/>
      <c r="GY150" s="978"/>
      <c r="GZ150" s="978"/>
      <c r="HA150" s="978"/>
      <c r="HB150" s="978"/>
      <c r="HC150" s="978"/>
      <c r="HD150" s="978"/>
      <c r="HE150" s="978"/>
      <c r="HF150" s="978"/>
      <c r="HG150" s="978"/>
      <c r="HH150" s="978"/>
      <c r="HI150" s="978"/>
      <c r="HJ150" s="978"/>
      <c r="HK150" s="978"/>
      <c r="HL150" s="978"/>
      <c r="HM150" s="978"/>
      <c r="HN150" s="978"/>
      <c r="HO150" s="978"/>
      <c r="HP150" s="978"/>
      <c r="HQ150" s="978"/>
      <c r="HR150" s="978"/>
      <c r="HS150" s="978"/>
      <c r="HT150" s="978"/>
      <c r="HU150" s="978"/>
      <c r="HV150" s="978"/>
      <c r="HW150" s="978"/>
      <c r="HX150" s="978"/>
      <c r="HY150" s="978"/>
      <c r="HZ150" s="978"/>
      <c r="IA150" s="978"/>
      <c r="IB150" s="978"/>
      <c r="IC150" s="978"/>
      <c r="ID150" s="978"/>
      <c r="IE150" s="978"/>
      <c r="IF150" s="978"/>
      <c r="IG150" s="978"/>
      <c r="IH150" s="978"/>
      <c r="II150" s="978"/>
      <c r="IJ150" s="978"/>
      <c r="IK150" s="978"/>
      <c r="IL150" s="978"/>
      <c r="IM150" s="978"/>
      <c r="IN150" s="978"/>
      <c r="IO150" s="978"/>
      <c r="IP150" s="978"/>
      <c r="IQ150" s="978"/>
      <c r="IR150" s="978"/>
      <c r="IS150" s="978"/>
      <c r="IT150" s="978"/>
      <c r="IU150" s="978"/>
      <c r="IV150" s="978"/>
      <c r="IW150" s="978"/>
      <c r="IX150" s="978"/>
      <c r="IY150" s="978"/>
      <c r="IZ150" s="978"/>
      <c r="JA150" s="978"/>
      <c r="JB150" s="978"/>
      <c r="JC150" s="978"/>
      <c r="JD150" s="978"/>
      <c r="JE150" s="978"/>
      <c r="JF150" s="978"/>
      <c r="JG150" s="978"/>
      <c r="JH150" s="978"/>
      <c r="JI150" s="978"/>
      <c r="JJ150" s="978"/>
      <c r="JK150" s="978"/>
      <c r="JL150" s="978"/>
      <c r="JM150" s="978"/>
      <c r="JN150" s="978"/>
      <c r="JO150" s="978"/>
      <c r="JP150" s="978"/>
      <c r="JQ150" s="978"/>
      <c r="JR150" s="978"/>
      <c r="JS150" s="978"/>
      <c r="JT150" s="978"/>
      <c r="JU150" s="978"/>
      <c r="JV150" s="978"/>
      <c r="JW150" s="978"/>
      <c r="JX150" s="978"/>
      <c r="JY150" s="978"/>
      <c r="JZ150" s="978"/>
      <c r="KA150" s="978"/>
      <c r="KB150" s="978"/>
      <c r="KC150" s="978"/>
      <c r="KD150" s="978"/>
      <c r="KE150" s="978"/>
      <c r="KF150" s="978"/>
      <c r="KG150" s="978"/>
      <c r="KH150" s="978"/>
      <c r="KI150" s="978"/>
      <c r="KJ150" s="978"/>
      <c r="KK150" s="978"/>
      <c r="KL150" s="978"/>
      <c r="KM150" s="978"/>
      <c r="KN150" s="978"/>
      <c r="KO150" s="978"/>
      <c r="KP150" s="978"/>
      <c r="KQ150" s="978"/>
      <c r="KR150" s="978"/>
      <c r="KS150" s="978"/>
      <c r="KT150" s="978"/>
      <c r="KU150" s="978"/>
      <c r="KV150" s="978"/>
      <c r="KW150" s="978"/>
      <c r="KX150" s="978"/>
      <c r="KY150" s="978"/>
      <c r="KZ150" s="978"/>
      <c r="LA150" s="978"/>
      <c r="LB150" s="978"/>
      <c r="LC150" s="978"/>
      <c r="LD150" s="978"/>
      <c r="LE150" s="978"/>
      <c r="LF150" s="978"/>
      <c r="LG150" s="978"/>
      <c r="LH150" s="978"/>
      <c r="LI150" s="978"/>
      <c r="LJ150" s="978"/>
      <c r="LK150" s="978"/>
      <c r="LL150" s="978"/>
      <c r="LM150" s="978"/>
      <c r="LN150" s="978"/>
      <c r="LO150" s="978"/>
      <c r="LP150" s="978"/>
      <c r="LQ150" s="978"/>
      <c r="LR150" s="978"/>
      <c r="LS150" s="978"/>
      <c r="LT150" s="978"/>
      <c r="LU150" s="978"/>
      <c r="LV150" s="978"/>
      <c r="LW150" s="978"/>
      <c r="LX150" s="978"/>
      <c r="LY150" s="978"/>
      <c r="LZ150" s="978"/>
      <c r="MA150" s="978"/>
      <c r="MB150" s="978"/>
      <c r="MC150" s="978"/>
      <c r="MD150" s="978"/>
      <c r="ME150" s="978"/>
      <c r="MF150" s="978"/>
      <c r="MG150" s="978"/>
      <c r="MH150" s="978"/>
      <c r="MI150" s="978"/>
      <c r="MJ150" s="978"/>
      <c r="MK150" s="978"/>
      <c r="ML150" s="978"/>
      <c r="MM150" s="978"/>
      <c r="MN150" s="978"/>
      <c r="MO150" s="978"/>
      <c r="MP150" s="978"/>
      <c r="MQ150" s="978"/>
      <c r="MR150" s="978"/>
      <c r="MS150" s="978"/>
      <c r="MT150" s="978"/>
      <c r="MU150" s="978"/>
      <c r="MV150" s="978"/>
      <c r="MW150" s="978"/>
      <c r="MX150" s="978"/>
      <c r="MY150" s="978"/>
      <c r="MZ150" s="978"/>
      <c r="NA150" s="978"/>
      <c r="NB150" s="978"/>
      <c r="NC150" s="978"/>
      <c r="ND150" s="978"/>
      <c r="NE150" s="978"/>
      <c r="NF150" s="978"/>
      <c r="NG150" s="978"/>
      <c r="NH150" s="978"/>
      <c r="NI150" s="978"/>
      <c r="NJ150" s="978"/>
      <c r="NK150" s="978"/>
      <c r="NL150" s="978"/>
      <c r="NM150" s="978"/>
      <c r="NN150" s="978"/>
      <c r="NO150" s="978"/>
      <c r="NP150" s="978"/>
      <c r="NQ150" s="978"/>
      <c r="NR150" s="978"/>
      <c r="NS150" s="978"/>
      <c r="NT150" s="978"/>
      <c r="NU150" s="978"/>
      <c r="NV150" s="978"/>
      <c r="NW150" s="978"/>
      <c r="NX150" s="978"/>
      <c r="NY150" s="978"/>
      <c r="NZ150" s="978"/>
      <c r="OA150" s="978"/>
      <c r="OB150" s="978"/>
      <c r="OC150" s="978"/>
      <c r="OD150" s="978"/>
      <c r="OE150" s="978"/>
      <c r="OF150" s="978"/>
      <c r="OG150" s="978"/>
      <c r="OH150" s="978"/>
      <c r="OI150" s="978"/>
      <c r="OJ150" s="978"/>
      <c r="OK150" s="978"/>
      <c r="OL150" s="978"/>
      <c r="OM150" s="978"/>
      <c r="ON150" s="978"/>
      <c r="OO150" s="978"/>
      <c r="OP150" s="978"/>
      <c r="OQ150" s="978"/>
      <c r="OR150" s="978"/>
      <c r="OS150" s="978"/>
      <c r="OT150" s="978"/>
      <c r="OU150" s="978"/>
      <c r="OV150" s="978"/>
      <c r="OW150" s="978"/>
      <c r="OX150" s="978"/>
      <c r="OY150" s="978"/>
      <c r="OZ150" s="978"/>
      <c r="PA150" s="978"/>
      <c r="PB150" s="978"/>
      <c r="PC150" s="978"/>
      <c r="PD150" s="978"/>
      <c r="PE150" s="978"/>
      <c r="PF150" s="978"/>
      <c r="PG150" s="978"/>
      <c r="PH150" s="978"/>
      <c r="PI150" s="978"/>
      <c r="PJ150" s="978"/>
      <c r="PK150" s="978"/>
      <c r="PL150" s="978"/>
      <c r="PM150" s="978"/>
      <c r="PN150" s="978"/>
      <c r="PO150" s="978"/>
      <c r="PP150" s="978"/>
      <c r="PQ150" s="978"/>
      <c r="PR150" s="978"/>
      <c r="PS150" s="978"/>
      <c r="PT150" s="978"/>
      <c r="PU150" s="978"/>
      <c r="PV150" s="978"/>
      <c r="PW150" s="978"/>
      <c r="PX150" s="978"/>
      <c r="PY150" s="978"/>
      <c r="PZ150" s="978"/>
      <c r="QA150" s="978"/>
      <c r="QB150" s="978"/>
      <c r="QC150" s="978"/>
      <c r="QD150" s="978"/>
      <c r="QE150" s="978"/>
      <c r="QF150" s="978"/>
      <c r="QG150" s="978"/>
      <c r="QH150" s="978"/>
      <c r="QI150" s="978"/>
      <c r="QJ150" s="978"/>
      <c r="QK150" s="978"/>
      <c r="QL150" s="978"/>
      <c r="QM150" s="978"/>
      <c r="QN150" s="978"/>
      <c r="QO150" s="978"/>
      <c r="QP150" s="978"/>
      <c r="QQ150" s="978"/>
      <c r="QR150" s="978"/>
      <c r="QS150" s="978"/>
      <c r="QT150" s="978"/>
      <c r="QU150" s="978"/>
      <c r="QV150" s="978"/>
      <c r="QW150" s="978"/>
      <c r="QX150" s="978"/>
      <c r="QY150" s="978"/>
      <c r="QZ150" s="978"/>
      <c r="RA150" s="978"/>
      <c r="RB150" s="274"/>
      <c r="RC150" s="274"/>
    </row>
    <row r="151" spans="112:471" ht="17.25">
      <c r="DH151" s="274"/>
      <c r="DI151" s="274"/>
      <c r="DJ151" s="978"/>
      <c r="DK151" s="978"/>
      <c r="DL151" s="978"/>
      <c r="DM151" s="978"/>
      <c r="DN151" s="978"/>
      <c r="DO151" s="978"/>
      <c r="DP151" s="978"/>
      <c r="DQ151" s="978"/>
      <c r="DR151" s="978"/>
      <c r="DS151" s="978"/>
      <c r="DT151" s="978"/>
      <c r="DU151" s="978"/>
      <c r="DV151" s="978"/>
      <c r="DW151" s="978"/>
      <c r="DX151" s="978"/>
      <c r="DY151" s="978"/>
      <c r="DZ151" s="978"/>
      <c r="EA151" s="978"/>
      <c r="EB151" s="978"/>
      <c r="EC151" s="978"/>
      <c r="ED151" s="978"/>
      <c r="EE151" s="978"/>
      <c r="EF151" s="978"/>
      <c r="EG151" s="978"/>
      <c r="EH151" s="978"/>
      <c r="EI151" s="978"/>
      <c r="EJ151" s="978"/>
      <c r="EK151" s="978"/>
      <c r="EL151" s="978"/>
      <c r="EM151" s="978"/>
      <c r="EN151" s="978"/>
      <c r="EO151" s="978"/>
      <c r="EP151" s="978"/>
      <c r="EQ151" s="978"/>
      <c r="ER151" s="978"/>
      <c r="ES151" s="978"/>
      <c r="ET151" s="978"/>
      <c r="EU151" s="978"/>
      <c r="EV151" s="978"/>
      <c r="EW151" s="978"/>
      <c r="EX151" s="978"/>
      <c r="EY151" s="978"/>
      <c r="EZ151" s="978"/>
      <c r="FA151" s="978"/>
      <c r="FB151" s="978"/>
      <c r="FC151" s="978"/>
      <c r="FD151" s="978"/>
      <c r="FE151" s="978"/>
      <c r="FF151" s="978"/>
      <c r="FG151" s="978"/>
      <c r="FH151" s="978"/>
      <c r="FI151" s="978"/>
      <c r="FJ151" s="978"/>
      <c r="FK151" s="978"/>
      <c r="FL151" s="978"/>
      <c r="FM151" s="978"/>
      <c r="FN151" s="978"/>
      <c r="FO151" s="978"/>
      <c r="FP151" s="978"/>
      <c r="FQ151" s="978"/>
      <c r="FR151" s="978"/>
      <c r="FS151" s="978"/>
      <c r="FT151" s="978"/>
      <c r="FU151" s="978"/>
      <c r="FV151" s="978"/>
      <c r="FW151" s="978"/>
      <c r="FX151" s="978"/>
      <c r="FY151" s="978"/>
      <c r="FZ151" s="978"/>
      <c r="GA151" s="978"/>
      <c r="GB151" s="978"/>
      <c r="GC151" s="978"/>
      <c r="GD151" s="978"/>
      <c r="GE151" s="978"/>
      <c r="GF151" s="978"/>
      <c r="GG151" s="978"/>
      <c r="GH151" s="978"/>
      <c r="GI151" s="978"/>
      <c r="GJ151" s="978"/>
      <c r="GK151" s="978"/>
      <c r="GL151" s="978"/>
      <c r="GM151" s="978"/>
      <c r="GN151" s="978"/>
      <c r="GO151" s="978"/>
      <c r="GP151" s="978"/>
      <c r="GQ151" s="978"/>
      <c r="GR151" s="978"/>
      <c r="GS151" s="978"/>
      <c r="GT151" s="978"/>
      <c r="GU151" s="978"/>
      <c r="GV151" s="978"/>
      <c r="GW151" s="978"/>
      <c r="GX151" s="978"/>
      <c r="GY151" s="978"/>
      <c r="GZ151" s="978"/>
      <c r="HA151" s="978"/>
      <c r="HB151" s="978"/>
      <c r="HC151" s="978"/>
      <c r="HD151" s="978"/>
      <c r="HE151" s="978"/>
      <c r="HF151" s="978"/>
      <c r="HG151" s="978"/>
      <c r="HH151" s="978"/>
      <c r="HI151" s="978"/>
      <c r="HJ151" s="978"/>
      <c r="HK151" s="978"/>
      <c r="HL151" s="978"/>
      <c r="HM151" s="978"/>
      <c r="HN151" s="978"/>
      <c r="HO151" s="978"/>
      <c r="HP151" s="978"/>
      <c r="HQ151" s="978"/>
      <c r="HR151" s="978"/>
      <c r="HS151" s="978"/>
      <c r="HT151" s="978"/>
      <c r="HU151" s="978"/>
      <c r="HV151" s="978"/>
      <c r="HW151" s="978"/>
      <c r="HX151" s="978"/>
      <c r="HY151" s="978"/>
      <c r="HZ151" s="978"/>
      <c r="IA151" s="978"/>
      <c r="IB151" s="978"/>
      <c r="IC151" s="978"/>
      <c r="ID151" s="978"/>
      <c r="IE151" s="978"/>
      <c r="IF151" s="978"/>
      <c r="IG151" s="978"/>
      <c r="IH151" s="978"/>
      <c r="II151" s="978"/>
      <c r="IJ151" s="978"/>
      <c r="IK151" s="978"/>
      <c r="IL151" s="978"/>
      <c r="IM151" s="978"/>
      <c r="IN151" s="978"/>
      <c r="IO151" s="978"/>
      <c r="IP151" s="978"/>
      <c r="IQ151" s="978"/>
      <c r="IR151" s="978"/>
      <c r="IS151" s="978"/>
      <c r="IT151" s="978"/>
      <c r="IU151" s="978"/>
      <c r="IV151" s="978"/>
      <c r="IW151" s="978"/>
      <c r="IX151" s="978"/>
      <c r="IY151" s="978"/>
      <c r="IZ151" s="978"/>
      <c r="JA151" s="978"/>
      <c r="JB151" s="978"/>
      <c r="JC151" s="978"/>
      <c r="JD151" s="978"/>
      <c r="JE151" s="978"/>
      <c r="JF151" s="978"/>
      <c r="JG151" s="978"/>
      <c r="JH151" s="978"/>
      <c r="JI151" s="978"/>
      <c r="JJ151" s="978"/>
      <c r="JK151" s="978"/>
      <c r="JL151" s="978"/>
      <c r="JM151" s="978"/>
      <c r="JN151" s="978"/>
      <c r="JO151" s="978"/>
      <c r="JP151" s="978"/>
      <c r="JQ151" s="978"/>
      <c r="JR151" s="978"/>
      <c r="JS151" s="978"/>
      <c r="JT151" s="978"/>
      <c r="JU151" s="978"/>
      <c r="JV151" s="978"/>
      <c r="JW151" s="978"/>
      <c r="JX151" s="978"/>
      <c r="JY151" s="978"/>
      <c r="JZ151" s="978"/>
      <c r="KA151" s="978"/>
      <c r="KB151" s="978"/>
      <c r="KC151" s="978"/>
      <c r="KD151" s="978"/>
      <c r="KE151" s="978"/>
      <c r="KF151" s="978"/>
      <c r="KG151" s="978"/>
      <c r="KH151" s="978"/>
      <c r="KI151" s="978"/>
      <c r="KJ151" s="978"/>
      <c r="KK151" s="978"/>
      <c r="KL151" s="978"/>
      <c r="KM151" s="978"/>
      <c r="KN151" s="978"/>
      <c r="KO151" s="978"/>
      <c r="KP151" s="978"/>
      <c r="KQ151" s="978"/>
      <c r="KR151" s="978"/>
      <c r="KS151" s="978"/>
      <c r="KT151" s="978"/>
      <c r="KU151" s="978"/>
      <c r="KV151" s="978"/>
      <c r="KW151" s="978"/>
      <c r="KX151" s="978"/>
      <c r="KY151" s="978"/>
      <c r="KZ151" s="978"/>
      <c r="LA151" s="978"/>
      <c r="LB151" s="978"/>
      <c r="LC151" s="978"/>
      <c r="LD151" s="978"/>
      <c r="LE151" s="978"/>
      <c r="LF151" s="978"/>
      <c r="LG151" s="978"/>
      <c r="LH151" s="978"/>
      <c r="LI151" s="978"/>
      <c r="LJ151" s="978"/>
      <c r="LK151" s="978"/>
      <c r="LL151" s="978"/>
      <c r="LM151" s="978"/>
      <c r="LN151" s="978"/>
      <c r="LO151" s="978"/>
      <c r="LP151" s="978"/>
      <c r="LQ151" s="978"/>
      <c r="LR151" s="978"/>
      <c r="LS151" s="978"/>
      <c r="LT151" s="978"/>
      <c r="LU151" s="978"/>
      <c r="LV151" s="978"/>
      <c r="LW151" s="978"/>
      <c r="LX151" s="978"/>
      <c r="LY151" s="978"/>
      <c r="LZ151" s="978"/>
      <c r="MA151" s="978"/>
      <c r="MB151" s="978"/>
      <c r="MC151" s="978"/>
      <c r="MD151" s="978"/>
      <c r="ME151" s="978"/>
      <c r="MF151" s="978"/>
      <c r="MG151" s="978"/>
      <c r="MH151" s="978"/>
      <c r="MI151" s="978"/>
      <c r="MJ151" s="978"/>
      <c r="MK151" s="978"/>
      <c r="ML151" s="978"/>
      <c r="MM151" s="978"/>
      <c r="MN151" s="978"/>
      <c r="MO151" s="978"/>
      <c r="MP151" s="978"/>
      <c r="MQ151" s="978"/>
      <c r="MR151" s="978"/>
      <c r="MS151" s="978"/>
      <c r="MT151" s="978"/>
      <c r="MU151" s="978"/>
      <c r="MV151" s="978"/>
      <c r="MW151" s="978"/>
      <c r="MX151" s="978"/>
      <c r="MY151" s="978"/>
      <c r="MZ151" s="978"/>
      <c r="NA151" s="978"/>
      <c r="NB151" s="978"/>
      <c r="NC151" s="978"/>
      <c r="ND151" s="978"/>
      <c r="NE151" s="978"/>
      <c r="NF151" s="978"/>
      <c r="NG151" s="978"/>
      <c r="NH151" s="978"/>
      <c r="NI151" s="978"/>
      <c r="NJ151" s="978"/>
      <c r="NK151" s="978"/>
      <c r="NL151" s="978"/>
      <c r="NM151" s="978"/>
      <c r="NN151" s="978"/>
      <c r="NO151" s="978"/>
      <c r="NP151" s="978"/>
      <c r="NQ151" s="978"/>
      <c r="NR151" s="978"/>
      <c r="NS151" s="978"/>
      <c r="NT151" s="978"/>
      <c r="NU151" s="978"/>
      <c r="NV151" s="978"/>
      <c r="NW151" s="978"/>
      <c r="NX151" s="978"/>
      <c r="NY151" s="978"/>
      <c r="NZ151" s="978"/>
      <c r="OA151" s="978"/>
      <c r="OB151" s="978"/>
      <c r="OC151" s="978"/>
      <c r="OD151" s="978"/>
      <c r="OE151" s="978"/>
      <c r="OF151" s="978"/>
      <c r="OG151" s="978"/>
      <c r="OH151" s="978"/>
      <c r="OI151" s="978"/>
      <c r="OJ151" s="978"/>
      <c r="OK151" s="978"/>
      <c r="OL151" s="978"/>
      <c r="OM151" s="978"/>
      <c r="ON151" s="978"/>
      <c r="OO151" s="978"/>
      <c r="OP151" s="978"/>
      <c r="OQ151" s="978"/>
      <c r="OR151" s="978"/>
      <c r="OS151" s="978"/>
      <c r="OT151" s="978"/>
      <c r="OU151" s="978"/>
      <c r="OV151" s="978"/>
      <c r="OW151" s="978"/>
      <c r="OX151" s="978"/>
      <c r="OY151" s="978"/>
      <c r="OZ151" s="978"/>
      <c r="PA151" s="978"/>
      <c r="PB151" s="978"/>
      <c r="PC151" s="978"/>
      <c r="PD151" s="978"/>
      <c r="PE151" s="978"/>
      <c r="PF151" s="978"/>
      <c r="PG151" s="978"/>
      <c r="PH151" s="978"/>
      <c r="PI151" s="978"/>
      <c r="PJ151" s="978"/>
      <c r="PK151" s="978"/>
      <c r="PL151" s="978"/>
      <c r="PM151" s="978"/>
      <c r="PN151" s="978"/>
      <c r="PO151" s="978"/>
      <c r="PP151" s="978"/>
      <c r="PQ151" s="978"/>
      <c r="PR151" s="978"/>
      <c r="PS151" s="978"/>
      <c r="PT151" s="978"/>
      <c r="PU151" s="978"/>
      <c r="PV151" s="978"/>
      <c r="PW151" s="978"/>
      <c r="PX151" s="978"/>
      <c r="PY151" s="978"/>
      <c r="PZ151" s="978"/>
      <c r="QA151" s="978"/>
      <c r="QB151" s="978"/>
      <c r="QC151" s="978"/>
      <c r="QD151" s="978"/>
      <c r="QE151" s="978"/>
      <c r="QF151" s="978"/>
      <c r="QG151" s="978"/>
      <c r="QH151" s="978"/>
      <c r="QI151" s="978"/>
      <c r="QJ151" s="978"/>
      <c r="QK151" s="978"/>
      <c r="QL151" s="978"/>
      <c r="QM151" s="978"/>
      <c r="QN151" s="978"/>
      <c r="QO151" s="978"/>
      <c r="QP151" s="978"/>
      <c r="QQ151" s="978"/>
      <c r="QR151" s="978"/>
      <c r="QS151" s="978"/>
      <c r="QT151" s="978"/>
      <c r="QU151" s="978"/>
      <c r="QV151" s="978"/>
      <c r="QW151" s="978"/>
      <c r="QX151" s="978"/>
      <c r="QY151" s="978"/>
      <c r="QZ151" s="978"/>
      <c r="RA151" s="978"/>
      <c r="RB151" s="274"/>
      <c r="RC151" s="274"/>
    </row>
    <row r="152" spans="112:471" ht="17.25">
      <c r="DH152" s="274"/>
      <c r="DI152" s="274"/>
      <c r="DJ152" s="978"/>
      <c r="DK152" s="978"/>
      <c r="DL152" s="978"/>
      <c r="DM152" s="978"/>
      <c r="DN152" s="978"/>
      <c r="DO152" s="978"/>
      <c r="DP152" s="978"/>
      <c r="DQ152" s="978"/>
      <c r="DR152" s="978"/>
      <c r="DS152" s="978"/>
      <c r="DT152" s="978"/>
      <c r="DU152" s="978"/>
      <c r="DV152" s="978"/>
      <c r="DW152" s="978"/>
      <c r="DX152" s="978"/>
      <c r="DY152" s="978"/>
      <c r="DZ152" s="978"/>
      <c r="EA152" s="978"/>
      <c r="EB152" s="978"/>
      <c r="EC152" s="978"/>
      <c r="ED152" s="978"/>
      <c r="EE152" s="978"/>
      <c r="EF152" s="978"/>
      <c r="EG152" s="978"/>
      <c r="EH152" s="978"/>
      <c r="EI152" s="978"/>
      <c r="EJ152" s="978"/>
      <c r="EK152" s="978"/>
      <c r="EL152" s="978"/>
      <c r="EM152" s="978"/>
      <c r="EN152" s="978"/>
      <c r="EO152" s="978"/>
      <c r="EP152" s="978"/>
      <c r="EQ152" s="978"/>
      <c r="ER152" s="978"/>
      <c r="ES152" s="978"/>
      <c r="ET152" s="978"/>
      <c r="EU152" s="978"/>
      <c r="EV152" s="978"/>
      <c r="EW152" s="978"/>
      <c r="EX152" s="978"/>
      <c r="EY152" s="978"/>
      <c r="EZ152" s="978"/>
      <c r="FA152" s="978"/>
      <c r="FB152" s="978"/>
      <c r="FC152" s="978"/>
      <c r="FD152" s="978"/>
      <c r="FE152" s="978"/>
      <c r="FF152" s="978"/>
      <c r="FG152" s="978"/>
      <c r="FH152" s="978"/>
      <c r="FI152" s="978"/>
      <c r="FJ152" s="978"/>
      <c r="FK152" s="978"/>
      <c r="FL152" s="978"/>
      <c r="FM152" s="978"/>
      <c r="FN152" s="978"/>
      <c r="FO152" s="978"/>
      <c r="FP152" s="978"/>
      <c r="FQ152" s="978"/>
      <c r="FR152" s="978"/>
      <c r="FS152" s="978"/>
      <c r="FT152" s="978"/>
      <c r="FU152" s="978"/>
      <c r="FV152" s="978"/>
      <c r="FW152" s="978"/>
      <c r="FX152" s="978"/>
      <c r="FY152" s="978"/>
      <c r="FZ152" s="978"/>
      <c r="GA152" s="978"/>
      <c r="GB152" s="978"/>
      <c r="GC152" s="978"/>
      <c r="GD152" s="978"/>
      <c r="GE152" s="978"/>
      <c r="GF152" s="978"/>
      <c r="GG152" s="978"/>
      <c r="GH152" s="978"/>
      <c r="GI152" s="978"/>
      <c r="GJ152" s="978"/>
      <c r="GK152" s="978"/>
      <c r="GL152" s="978"/>
      <c r="GM152" s="978"/>
      <c r="GN152" s="978"/>
      <c r="GO152" s="978"/>
      <c r="GP152" s="978"/>
      <c r="GQ152" s="978"/>
      <c r="GR152" s="978"/>
      <c r="GS152" s="978"/>
      <c r="GT152" s="978"/>
      <c r="GU152" s="978"/>
      <c r="GV152" s="978"/>
      <c r="GW152" s="978"/>
      <c r="GX152" s="978"/>
      <c r="GY152" s="978"/>
      <c r="GZ152" s="978"/>
      <c r="HA152" s="978"/>
      <c r="HB152" s="978"/>
      <c r="HC152" s="978"/>
      <c r="HD152" s="978"/>
      <c r="HE152" s="978"/>
      <c r="HF152" s="978"/>
      <c r="HG152" s="978"/>
      <c r="HH152" s="978"/>
      <c r="HI152" s="978"/>
      <c r="HJ152" s="978"/>
      <c r="HK152" s="978"/>
      <c r="HL152" s="978"/>
      <c r="HM152" s="978"/>
      <c r="HN152" s="978"/>
      <c r="HO152" s="978"/>
      <c r="HP152" s="978"/>
      <c r="HQ152" s="978"/>
      <c r="HR152" s="978"/>
      <c r="HS152" s="978"/>
      <c r="HT152" s="978"/>
      <c r="HU152" s="978"/>
      <c r="HV152" s="978"/>
      <c r="HW152" s="978"/>
      <c r="HX152" s="978"/>
      <c r="HY152" s="978"/>
      <c r="HZ152" s="978"/>
      <c r="IA152" s="978"/>
      <c r="IB152" s="978"/>
      <c r="IC152" s="978"/>
      <c r="ID152" s="978"/>
      <c r="IE152" s="978"/>
      <c r="IF152" s="978"/>
      <c r="IG152" s="978"/>
      <c r="IH152" s="978"/>
      <c r="II152" s="978"/>
      <c r="IJ152" s="978"/>
      <c r="IK152" s="978"/>
      <c r="IL152" s="978"/>
      <c r="IM152" s="978"/>
      <c r="IN152" s="978"/>
      <c r="IO152" s="978"/>
      <c r="IP152" s="978"/>
      <c r="IQ152" s="978"/>
      <c r="IR152" s="978"/>
      <c r="IS152" s="978"/>
      <c r="IT152" s="978"/>
      <c r="IU152" s="978"/>
      <c r="IV152" s="978"/>
      <c r="IW152" s="978"/>
      <c r="IX152" s="978"/>
      <c r="IY152" s="978"/>
      <c r="IZ152" s="978"/>
      <c r="JA152" s="978"/>
      <c r="JB152" s="978"/>
      <c r="JC152" s="978"/>
      <c r="JD152" s="978"/>
      <c r="JE152" s="978"/>
      <c r="JF152" s="978"/>
      <c r="JG152" s="978"/>
      <c r="JH152" s="978"/>
      <c r="JI152" s="978"/>
      <c r="JJ152" s="978"/>
      <c r="JK152" s="978"/>
      <c r="JL152" s="978"/>
      <c r="JM152" s="978"/>
      <c r="JN152" s="978"/>
      <c r="JO152" s="978"/>
      <c r="JP152" s="978"/>
      <c r="JQ152" s="978"/>
      <c r="JR152" s="978"/>
      <c r="JS152" s="978"/>
      <c r="JT152" s="978"/>
      <c r="JU152" s="978"/>
      <c r="JV152" s="978"/>
      <c r="JW152" s="978"/>
      <c r="JX152" s="978"/>
      <c r="JY152" s="978"/>
      <c r="JZ152" s="978"/>
      <c r="KA152" s="978"/>
      <c r="KB152" s="978"/>
      <c r="KC152" s="978"/>
      <c r="KD152" s="978"/>
      <c r="KE152" s="978"/>
      <c r="KF152" s="978"/>
      <c r="KG152" s="978"/>
      <c r="KH152" s="978"/>
      <c r="KI152" s="978"/>
      <c r="KJ152" s="978"/>
      <c r="KK152" s="978"/>
      <c r="KL152" s="978"/>
      <c r="KM152" s="978"/>
      <c r="KN152" s="978"/>
      <c r="KO152" s="978"/>
      <c r="KP152" s="978"/>
      <c r="KQ152" s="978"/>
      <c r="KR152" s="978"/>
      <c r="KS152" s="978"/>
      <c r="KT152" s="978"/>
      <c r="KU152" s="978"/>
      <c r="KV152" s="978"/>
      <c r="KW152" s="978"/>
      <c r="KX152" s="978"/>
      <c r="KY152" s="978"/>
      <c r="KZ152" s="978"/>
      <c r="LA152" s="978"/>
      <c r="LB152" s="978"/>
      <c r="LC152" s="978"/>
      <c r="LD152" s="978"/>
      <c r="LE152" s="978"/>
      <c r="LF152" s="978"/>
      <c r="LG152" s="978"/>
      <c r="LH152" s="978"/>
      <c r="LI152" s="978"/>
      <c r="LJ152" s="978"/>
      <c r="LK152" s="978"/>
      <c r="LL152" s="978"/>
      <c r="LM152" s="978"/>
      <c r="LN152" s="978"/>
      <c r="LO152" s="978"/>
      <c r="LP152" s="978"/>
      <c r="LQ152" s="978"/>
      <c r="LR152" s="978"/>
      <c r="LS152" s="978"/>
      <c r="LT152" s="978"/>
      <c r="LU152" s="978"/>
      <c r="LV152" s="978"/>
      <c r="LW152" s="978"/>
      <c r="LX152" s="978"/>
      <c r="LY152" s="978"/>
      <c r="LZ152" s="978"/>
      <c r="MA152" s="978"/>
      <c r="MB152" s="978"/>
      <c r="MC152" s="978"/>
      <c r="MD152" s="978"/>
      <c r="ME152" s="978"/>
      <c r="MF152" s="978"/>
      <c r="MG152" s="978"/>
      <c r="MH152" s="978"/>
      <c r="MI152" s="978"/>
      <c r="MJ152" s="978"/>
      <c r="MK152" s="978"/>
      <c r="ML152" s="978"/>
      <c r="MM152" s="978"/>
      <c r="MN152" s="978"/>
      <c r="MO152" s="978"/>
      <c r="MP152" s="978"/>
      <c r="MQ152" s="978"/>
      <c r="MR152" s="978"/>
      <c r="MS152" s="978"/>
      <c r="MT152" s="978"/>
      <c r="MU152" s="978"/>
      <c r="MV152" s="978"/>
      <c r="MW152" s="978"/>
      <c r="MX152" s="978"/>
      <c r="MY152" s="978"/>
      <c r="MZ152" s="978"/>
      <c r="NA152" s="978"/>
      <c r="NB152" s="978"/>
      <c r="NC152" s="978"/>
      <c r="ND152" s="978"/>
      <c r="NE152" s="978"/>
      <c r="NF152" s="978"/>
      <c r="NG152" s="978"/>
      <c r="NH152" s="978"/>
      <c r="NI152" s="978"/>
      <c r="NJ152" s="978"/>
      <c r="NK152" s="978"/>
      <c r="NL152" s="978"/>
      <c r="NM152" s="978"/>
      <c r="NN152" s="978"/>
      <c r="NO152" s="978"/>
      <c r="NP152" s="978"/>
      <c r="NQ152" s="978"/>
      <c r="NR152" s="978"/>
      <c r="NS152" s="978"/>
      <c r="NT152" s="978"/>
      <c r="NU152" s="978"/>
      <c r="NV152" s="978"/>
      <c r="NW152" s="978"/>
      <c r="NX152" s="978"/>
      <c r="NY152" s="978"/>
      <c r="NZ152" s="978"/>
      <c r="OA152" s="978"/>
      <c r="OB152" s="978"/>
      <c r="OC152" s="978"/>
      <c r="OD152" s="978"/>
      <c r="OE152" s="978"/>
      <c r="OF152" s="978"/>
      <c r="OG152" s="978"/>
      <c r="OH152" s="978"/>
      <c r="OI152" s="978"/>
      <c r="OJ152" s="978"/>
      <c r="OK152" s="978"/>
      <c r="OL152" s="978"/>
      <c r="OM152" s="978"/>
      <c r="ON152" s="978"/>
      <c r="OO152" s="978"/>
      <c r="OP152" s="978"/>
      <c r="OQ152" s="978"/>
      <c r="OR152" s="978"/>
      <c r="OS152" s="978"/>
      <c r="OT152" s="978"/>
      <c r="OU152" s="978"/>
      <c r="OV152" s="978"/>
      <c r="OW152" s="978"/>
      <c r="OX152" s="978"/>
      <c r="OY152" s="978"/>
      <c r="OZ152" s="978"/>
      <c r="PA152" s="978"/>
      <c r="PB152" s="978"/>
      <c r="PC152" s="978"/>
      <c r="PD152" s="978"/>
      <c r="PE152" s="978"/>
      <c r="PF152" s="978"/>
      <c r="PG152" s="978"/>
      <c r="PH152" s="978"/>
      <c r="PI152" s="978"/>
      <c r="PJ152" s="978"/>
      <c r="PK152" s="978"/>
      <c r="PL152" s="978"/>
      <c r="PM152" s="978"/>
      <c r="PN152" s="978"/>
      <c r="PO152" s="978"/>
      <c r="PP152" s="978"/>
      <c r="PQ152" s="978"/>
      <c r="PR152" s="978"/>
      <c r="PS152" s="978"/>
      <c r="PT152" s="978"/>
      <c r="PU152" s="978"/>
      <c r="PV152" s="978"/>
      <c r="PW152" s="978"/>
      <c r="PX152" s="978"/>
      <c r="PY152" s="978"/>
      <c r="PZ152" s="978"/>
      <c r="QA152" s="978"/>
      <c r="QB152" s="978"/>
      <c r="QC152" s="978"/>
      <c r="QD152" s="978"/>
      <c r="QE152" s="978"/>
      <c r="QF152" s="978"/>
      <c r="QG152" s="978"/>
      <c r="QH152" s="978"/>
      <c r="QI152" s="978"/>
      <c r="QJ152" s="978"/>
      <c r="QK152" s="978"/>
      <c r="QL152" s="978"/>
      <c r="QM152" s="978"/>
      <c r="QN152" s="978"/>
      <c r="QO152" s="978"/>
      <c r="QP152" s="978"/>
      <c r="QQ152" s="978"/>
      <c r="QR152" s="978"/>
      <c r="QS152" s="978"/>
      <c r="QT152" s="978"/>
      <c r="QU152" s="978"/>
      <c r="QV152" s="978"/>
      <c r="QW152" s="978"/>
      <c r="QX152" s="978"/>
      <c r="QY152" s="978"/>
      <c r="QZ152" s="978"/>
      <c r="RA152" s="978"/>
      <c r="RB152" s="274"/>
      <c r="RC152" s="274"/>
    </row>
    <row r="153" spans="112:471">
      <c r="DH153" s="274"/>
      <c r="DI153" s="274"/>
      <c r="DJ153" s="274"/>
      <c r="DK153" s="274"/>
      <c r="DL153" s="274"/>
      <c r="DM153" s="274"/>
      <c r="DN153" s="274"/>
      <c r="DO153" s="274"/>
      <c r="DP153" s="274"/>
      <c r="DQ153" s="274"/>
      <c r="DR153" s="274"/>
      <c r="DS153" s="274"/>
      <c r="DT153" s="274"/>
      <c r="DU153" s="274"/>
      <c r="DV153" s="274"/>
      <c r="DW153" s="274"/>
      <c r="DX153" s="274"/>
      <c r="DY153" s="274"/>
      <c r="DZ153" s="274"/>
      <c r="EA153" s="274"/>
      <c r="EB153" s="274"/>
      <c r="EC153" s="274"/>
      <c r="ED153" s="274"/>
      <c r="EE153" s="274"/>
      <c r="EF153" s="274"/>
      <c r="EG153" s="274"/>
      <c r="EH153" s="274"/>
      <c r="EI153" s="274"/>
      <c r="EJ153" s="274"/>
      <c r="EK153" s="274"/>
      <c r="EL153" s="274"/>
      <c r="EM153" s="274"/>
      <c r="EN153" s="274"/>
      <c r="EO153" s="274"/>
      <c r="EP153" s="274"/>
      <c r="EQ153" s="274"/>
      <c r="ER153" s="274"/>
      <c r="ES153" s="274"/>
      <c r="ET153" s="274"/>
      <c r="EU153" s="274"/>
      <c r="EV153" s="274"/>
      <c r="EW153" s="274"/>
      <c r="EX153" s="274"/>
      <c r="EY153" s="274"/>
      <c r="EZ153" s="274"/>
      <c r="FA153" s="274"/>
      <c r="FB153" s="274"/>
      <c r="FC153" s="274"/>
      <c r="FD153" s="274"/>
      <c r="FE153" s="274"/>
      <c r="FF153" s="274"/>
      <c r="FG153" s="274"/>
      <c r="FH153" s="274"/>
      <c r="FI153" s="274"/>
      <c r="FJ153" s="274"/>
      <c r="FK153" s="274"/>
      <c r="FL153" s="274"/>
      <c r="FM153" s="274"/>
      <c r="FN153" s="274"/>
      <c r="FO153" s="274"/>
      <c r="FP153" s="274"/>
      <c r="FQ153" s="274"/>
      <c r="FR153" s="274"/>
      <c r="FS153" s="274"/>
      <c r="FT153" s="274"/>
      <c r="FU153" s="274"/>
      <c r="FV153" s="274"/>
      <c r="FW153" s="274"/>
      <c r="FX153" s="274"/>
      <c r="FY153" s="274"/>
      <c r="FZ153" s="274"/>
      <c r="GA153" s="274"/>
      <c r="GB153" s="274"/>
      <c r="GC153" s="274"/>
      <c r="GD153" s="274"/>
      <c r="GE153" s="274"/>
      <c r="GF153" s="274"/>
      <c r="GG153" s="274"/>
      <c r="GH153" s="274"/>
      <c r="GI153" s="274"/>
      <c r="GJ153" s="274"/>
      <c r="GK153" s="274"/>
      <c r="GL153" s="274"/>
      <c r="GM153" s="274"/>
      <c r="GN153" s="274"/>
      <c r="GO153" s="274"/>
      <c r="GP153" s="274"/>
      <c r="GQ153" s="274"/>
      <c r="GR153" s="274"/>
      <c r="GS153" s="274"/>
      <c r="GT153" s="274"/>
      <c r="GU153" s="274"/>
      <c r="GV153" s="274"/>
      <c r="GW153" s="274"/>
      <c r="GX153" s="274"/>
      <c r="GY153" s="274"/>
      <c r="GZ153" s="274"/>
      <c r="HA153" s="274"/>
      <c r="HB153" s="274"/>
      <c r="HC153" s="274"/>
      <c r="HD153" s="274"/>
      <c r="HE153" s="274"/>
      <c r="HF153" s="274"/>
      <c r="HG153" s="274"/>
      <c r="HH153" s="274"/>
      <c r="HI153" s="274"/>
      <c r="HJ153" s="274"/>
      <c r="HK153" s="274"/>
      <c r="HL153" s="274"/>
      <c r="HM153" s="274"/>
      <c r="HN153" s="274"/>
      <c r="HO153" s="274"/>
      <c r="HP153" s="274"/>
      <c r="HQ153" s="274"/>
      <c r="HR153" s="274"/>
      <c r="HS153" s="274"/>
      <c r="HT153" s="274"/>
      <c r="HU153" s="274"/>
      <c r="HV153" s="274"/>
      <c r="HW153" s="274"/>
      <c r="HX153" s="274"/>
      <c r="HY153" s="274"/>
      <c r="HZ153" s="274"/>
      <c r="IA153" s="274"/>
      <c r="IB153" s="274"/>
      <c r="IC153" s="274"/>
      <c r="ID153" s="274"/>
      <c r="IE153" s="274"/>
      <c r="IF153" s="274"/>
      <c r="IG153" s="274"/>
      <c r="IH153" s="274"/>
      <c r="II153" s="274"/>
      <c r="IJ153" s="274"/>
      <c r="IK153" s="274"/>
      <c r="IL153" s="274"/>
      <c r="IM153" s="274"/>
      <c r="IN153" s="274"/>
      <c r="IO153" s="274"/>
      <c r="IP153" s="274"/>
      <c r="IQ153" s="274"/>
      <c r="IR153" s="274"/>
      <c r="IS153" s="274"/>
      <c r="IT153" s="274"/>
      <c r="IU153" s="274"/>
      <c r="IV153" s="274"/>
      <c r="IW153" s="274"/>
      <c r="IX153" s="274"/>
      <c r="IY153" s="274"/>
      <c r="IZ153" s="274"/>
      <c r="JA153" s="274"/>
      <c r="JB153" s="274"/>
      <c r="JC153" s="274"/>
      <c r="JD153" s="274"/>
      <c r="JE153" s="274"/>
      <c r="JF153" s="274"/>
      <c r="JG153" s="274"/>
      <c r="JH153" s="274"/>
      <c r="JI153" s="274"/>
      <c r="JJ153" s="274"/>
      <c r="JK153" s="274"/>
      <c r="JL153" s="274"/>
      <c r="JM153" s="274"/>
      <c r="JN153" s="274"/>
      <c r="JO153" s="274"/>
      <c r="JP153" s="274"/>
      <c r="JQ153" s="274"/>
      <c r="JR153" s="274"/>
      <c r="JS153" s="274"/>
      <c r="JT153" s="274"/>
      <c r="JU153" s="274"/>
      <c r="JV153" s="274"/>
      <c r="JW153" s="274"/>
      <c r="JX153" s="274"/>
      <c r="JY153" s="274"/>
      <c r="JZ153" s="274"/>
      <c r="KA153" s="274"/>
      <c r="KB153" s="274"/>
      <c r="KC153" s="274"/>
      <c r="KD153" s="274"/>
      <c r="KE153" s="274"/>
      <c r="KF153" s="274"/>
      <c r="KG153" s="274"/>
      <c r="KH153" s="274"/>
      <c r="KI153" s="274"/>
      <c r="KJ153" s="274"/>
      <c r="KK153" s="274"/>
      <c r="KL153" s="274"/>
      <c r="KM153" s="274"/>
      <c r="KN153" s="274"/>
      <c r="KO153" s="274"/>
      <c r="KP153" s="274"/>
      <c r="KQ153" s="274"/>
      <c r="KR153" s="274"/>
      <c r="KS153" s="274"/>
      <c r="KT153" s="274"/>
      <c r="KU153" s="274"/>
      <c r="KV153" s="274"/>
      <c r="KW153" s="274"/>
      <c r="KX153" s="274"/>
      <c r="KY153" s="274"/>
      <c r="KZ153" s="274"/>
      <c r="LA153" s="274"/>
      <c r="LB153" s="274"/>
      <c r="LC153" s="274"/>
      <c r="LD153" s="274"/>
      <c r="LE153" s="274"/>
      <c r="LF153" s="274"/>
      <c r="LG153" s="274"/>
      <c r="LH153" s="274"/>
      <c r="LI153" s="274"/>
      <c r="LJ153" s="274"/>
      <c r="LK153" s="274"/>
      <c r="LL153" s="274"/>
      <c r="LM153" s="274"/>
      <c r="LN153" s="274"/>
      <c r="LO153" s="274"/>
      <c r="LP153" s="274"/>
      <c r="LQ153" s="274"/>
      <c r="LR153" s="274"/>
      <c r="LS153" s="274"/>
      <c r="LT153" s="274"/>
      <c r="LU153" s="274"/>
      <c r="LV153" s="274"/>
      <c r="LW153" s="274"/>
      <c r="LX153" s="274"/>
      <c r="LY153" s="274"/>
      <c r="LZ153" s="274"/>
      <c r="MA153" s="274"/>
      <c r="MB153" s="274"/>
      <c r="MC153" s="274"/>
      <c r="MD153" s="274"/>
      <c r="ME153" s="274"/>
      <c r="MF153" s="274"/>
      <c r="MG153" s="274"/>
      <c r="MH153" s="274"/>
      <c r="MI153" s="274"/>
      <c r="MJ153" s="274"/>
      <c r="MK153" s="274"/>
      <c r="ML153" s="274"/>
      <c r="MM153" s="274"/>
      <c r="MN153" s="274"/>
      <c r="MO153" s="274"/>
      <c r="MP153" s="274"/>
      <c r="MQ153" s="274"/>
      <c r="MR153" s="274"/>
      <c r="MS153" s="274"/>
      <c r="MT153" s="274"/>
      <c r="MU153" s="274"/>
      <c r="MV153" s="274"/>
      <c r="MW153" s="274"/>
      <c r="MX153" s="274"/>
      <c r="MY153" s="274"/>
      <c r="MZ153" s="274"/>
      <c r="NA153" s="274"/>
      <c r="NB153" s="274"/>
      <c r="NC153" s="274"/>
      <c r="ND153" s="274"/>
      <c r="NE153" s="274"/>
      <c r="NF153" s="274"/>
      <c r="NG153" s="274"/>
      <c r="NH153" s="274"/>
      <c r="NI153" s="274"/>
      <c r="NJ153" s="274"/>
      <c r="NK153" s="274"/>
      <c r="NL153" s="274"/>
      <c r="NM153" s="274"/>
      <c r="NN153" s="274"/>
      <c r="NO153" s="274"/>
      <c r="NP153" s="274"/>
      <c r="NQ153" s="274"/>
      <c r="NR153" s="274"/>
      <c r="NS153" s="274"/>
      <c r="NT153" s="274"/>
      <c r="NU153" s="274"/>
      <c r="NV153" s="274"/>
      <c r="NW153" s="274"/>
      <c r="NX153" s="274"/>
      <c r="NY153" s="274"/>
      <c r="NZ153" s="274"/>
      <c r="OA153" s="274"/>
      <c r="OB153" s="274"/>
      <c r="OC153" s="274"/>
      <c r="OD153" s="274"/>
      <c r="OE153" s="274"/>
      <c r="OF153" s="274"/>
      <c r="OG153" s="274"/>
      <c r="OH153" s="274"/>
      <c r="OI153" s="274"/>
      <c r="OJ153" s="274"/>
      <c r="OK153" s="274"/>
      <c r="OL153" s="274"/>
      <c r="OM153" s="274"/>
      <c r="ON153" s="274"/>
      <c r="OO153" s="274"/>
      <c r="OP153" s="274"/>
      <c r="OQ153" s="274"/>
      <c r="OR153" s="274"/>
      <c r="OS153" s="274"/>
      <c r="OT153" s="274"/>
      <c r="OU153" s="274"/>
      <c r="OV153" s="274"/>
      <c r="OW153" s="274"/>
      <c r="OX153" s="274"/>
      <c r="OY153" s="274"/>
      <c r="OZ153" s="274"/>
      <c r="PA153" s="274"/>
      <c r="PB153" s="274"/>
      <c r="PC153" s="274"/>
      <c r="PD153" s="274"/>
      <c r="PE153" s="274"/>
      <c r="PF153" s="274"/>
      <c r="PG153" s="274"/>
      <c r="PH153" s="274"/>
      <c r="PI153" s="274"/>
      <c r="PJ153" s="274"/>
      <c r="PK153" s="274"/>
      <c r="PL153" s="274"/>
      <c r="PM153" s="274"/>
      <c r="PN153" s="274"/>
      <c r="PO153" s="274"/>
      <c r="PP153" s="274"/>
      <c r="PQ153" s="274"/>
      <c r="PR153" s="274"/>
      <c r="PS153" s="274"/>
      <c r="PT153" s="274"/>
      <c r="PU153" s="274"/>
      <c r="PV153" s="274"/>
      <c r="PW153" s="274"/>
      <c r="PX153" s="274"/>
      <c r="PY153" s="274"/>
      <c r="PZ153" s="274"/>
      <c r="QA153" s="274"/>
      <c r="QB153" s="274"/>
      <c r="QC153" s="274"/>
      <c r="QD153" s="274"/>
      <c r="QE153" s="274"/>
      <c r="QF153" s="274"/>
      <c r="QG153" s="274"/>
      <c r="QH153" s="274"/>
      <c r="QI153" s="274"/>
      <c r="QJ153" s="274"/>
      <c r="QK153" s="274"/>
      <c r="QL153" s="274"/>
      <c r="QM153" s="274"/>
      <c r="QN153" s="274"/>
      <c r="QO153" s="274"/>
      <c r="QP153" s="274"/>
      <c r="QQ153" s="274"/>
      <c r="QR153" s="274"/>
      <c r="QS153" s="274"/>
      <c r="QT153" s="274"/>
      <c r="QU153" s="274"/>
      <c r="QV153" s="274"/>
      <c r="QW153" s="274"/>
      <c r="QX153" s="274"/>
      <c r="QY153" s="274"/>
      <c r="QZ153" s="274"/>
      <c r="RA153" s="274"/>
      <c r="RB153" s="274"/>
      <c r="RC153" s="274"/>
    </row>
    <row r="154" spans="112:471">
      <c r="DH154" s="274"/>
      <c r="DI154" s="274"/>
      <c r="DJ154" s="274"/>
      <c r="DK154" s="274"/>
      <c r="DL154" s="274"/>
      <c r="DM154" s="274"/>
      <c r="DN154" s="274"/>
      <c r="DO154" s="274"/>
      <c r="DP154" s="274"/>
      <c r="DQ154" s="274"/>
      <c r="DR154" s="274"/>
      <c r="DS154" s="274"/>
      <c r="DT154" s="274"/>
      <c r="DU154" s="274"/>
      <c r="DV154" s="274"/>
      <c r="DW154" s="274"/>
      <c r="DX154" s="274"/>
      <c r="DY154" s="274"/>
      <c r="DZ154" s="274"/>
      <c r="EA154" s="274"/>
      <c r="EB154" s="274"/>
      <c r="EC154" s="274"/>
      <c r="ED154" s="274"/>
      <c r="EE154" s="274"/>
      <c r="EF154" s="274"/>
      <c r="EG154" s="274"/>
      <c r="EH154" s="274"/>
      <c r="EI154" s="274"/>
      <c r="EJ154" s="274"/>
      <c r="EK154" s="274"/>
      <c r="EL154" s="274"/>
      <c r="EM154" s="274"/>
      <c r="EN154" s="274"/>
      <c r="EO154" s="274"/>
      <c r="EP154" s="274"/>
      <c r="EQ154" s="274"/>
      <c r="ER154" s="274"/>
      <c r="ES154" s="274"/>
      <c r="ET154" s="274"/>
      <c r="EU154" s="274"/>
      <c r="EV154" s="274"/>
      <c r="EW154" s="274"/>
      <c r="EX154" s="274"/>
      <c r="EY154" s="274"/>
      <c r="EZ154" s="274"/>
      <c r="FA154" s="274"/>
      <c r="FB154" s="274"/>
      <c r="FC154" s="274"/>
      <c r="FD154" s="274"/>
      <c r="FE154" s="274"/>
      <c r="FF154" s="274"/>
      <c r="FG154" s="274"/>
      <c r="FH154" s="274"/>
      <c r="FI154" s="274"/>
      <c r="FJ154" s="274"/>
      <c r="FK154" s="274"/>
      <c r="FL154" s="274"/>
      <c r="FM154" s="274"/>
      <c r="FN154" s="274"/>
      <c r="FO154" s="274"/>
      <c r="FP154" s="274"/>
      <c r="FQ154" s="274"/>
      <c r="FR154" s="274"/>
      <c r="FS154" s="274"/>
      <c r="FT154" s="274"/>
      <c r="FU154" s="274"/>
      <c r="FV154" s="274"/>
      <c r="FW154" s="274"/>
      <c r="FX154" s="274"/>
      <c r="FY154" s="274"/>
      <c r="FZ154" s="274"/>
      <c r="GA154" s="274"/>
      <c r="GB154" s="274"/>
      <c r="GC154" s="274"/>
      <c r="GD154" s="274"/>
      <c r="GE154" s="274"/>
      <c r="GF154" s="274"/>
      <c r="GG154" s="274"/>
      <c r="GH154" s="274"/>
      <c r="GI154" s="274"/>
      <c r="GJ154" s="274"/>
      <c r="GK154" s="274"/>
      <c r="GL154" s="274"/>
      <c r="GM154" s="274"/>
      <c r="GN154" s="274"/>
      <c r="GO154" s="274"/>
      <c r="GP154" s="274"/>
      <c r="GQ154" s="274"/>
      <c r="GR154" s="274"/>
      <c r="GS154" s="274"/>
      <c r="GT154" s="274"/>
      <c r="GU154" s="274"/>
      <c r="GV154" s="274"/>
      <c r="GW154" s="274"/>
      <c r="GX154" s="274"/>
      <c r="GY154" s="274"/>
      <c r="GZ154" s="274"/>
      <c r="HA154" s="274"/>
      <c r="HB154" s="274"/>
      <c r="HC154" s="274"/>
      <c r="HD154" s="274"/>
      <c r="HE154" s="274"/>
      <c r="HF154" s="274"/>
      <c r="HG154" s="274"/>
      <c r="HH154" s="274"/>
      <c r="HI154" s="274"/>
      <c r="HJ154" s="274"/>
      <c r="HK154" s="274"/>
      <c r="HL154" s="274"/>
      <c r="HM154" s="274"/>
      <c r="HN154" s="274"/>
      <c r="HO154" s="274"/>
      <c r="HP154" s="274"/>
      <c r="HQ154" s="274"/>
      <c r="HR154" s="274"/>
      <c r="HS154" s="274"/>
      <c r="HT154" s="274"/>
      <c r="HU154" s="274"/>
      <c r="HV154" s="274"/>
      <c r="HW154" s="274"/>
      <c r="HX154" s="274"/>
      <c r="HY154" s="274"/>
      <c r="HZ154" s="274"/>
      <c r="IA154" s="274"/>
      <c r="IB154" s="274"/>
      <c r="IC154" s="274"/>
      <c r="ID154" s="274"/>
      <c r="IE154" s="274"/>
      <c r="IF154" s="274"/>
      <c r="IG154" s="274"/>
      <c r="IH154" s="274"/>
      <c r="II154" s="274"/>
      <c r="IJ154" s="274"/>
      <c r="IK154" s="274"/>
      <c r="IL154" s="274"/>
      <c r="IM154" s="274"/>
      <c r="IN154" s="274"/>
      <c r="IO154" s="274"/>
      <c r="IP154" s="274"/>
      <c r="IQ154" s="274"/>
      <c r="IR154" s="274"/>
      <c r="IS154" s="274"/>
      <c r="IT154" s="274"/>
      <c r="IU154" s="274"/>
      <c r="IV154" s="274"/>
      <c r="IW154" s="274"/>
      <c r="IX154" s="274"/>
      <c r="IY154" s="274"/>
      <c r="IZ154" s="274"/>
      <c r="JA154" s="274"/>
      <c r="JB154" s="274"/>
      <c r="JC154" s="274"/>
      <c r="JD154" s="274"/>
      <c r="JE154" s="274"/>
      <c r="JF154" s="274"/>
      <c r="JG154" s="274"/>
      <c r="JH154" s="274"/>
      <c r="JI154" s="274"/>
      <c r="JJ154" s="274"/>
      <c r="JK154" s="274"/>
      <c r="JL154" s="274"/>
      <c r="JM154" s="274"/>
      <c r="JN154" s="274"/>
      <c r="JO154" s="274"/>
      <c r="JP154" s="274"/>
      <c r="JQ154" s="274"/>
      <c r="JR154" s="274"/>
      <c r="JS154" s="274"/>
      <c r="JT154" s="274"/>
      <c r="JU154" s="274"/>
      <c r="JV154" s="274"/>
      <c r="JW154" s="274"/>
      <c r="JX154" s="274"/>
      <c r="JY154" s="274"/>
      <c r="JZ154" s="274"/>
      <c r="KA154" s="274"/>
      <c r="KB154" s="274"/>
      <c r="KC154" s="274"/>
      <c r="KD154" s="274"/>
      <c r="KE154" s="274"/>
      <c r="KF154" s="274"/>
      <c r="KG154" s="274"/>
      <c r="KH154" s="274"/>
      <c r="KI154" s="274"/>
      <c r="KJ154" s="274"/>
      <c r="KK154" s="274"/>
      <c r="KL154" s="274"/>
      <c r="KM154" s="274"/>
      <c r="KN154" s="274"/>
      <c r="KO154" s="274"/>
      <c r="KP154" s="274"/>
      <c r="KQ154" s="274"/>
      <c r="KR154" s="274"/>
      <c r="KS154" s="274"/>
      <c r="KT154" s="274"/>
      <c r="KU154" s="274"/>
      <c r="KV154" s="274"/>
      <c r="KW154" s="274"/>
      <c r="KX154" s="274"/>
      <c r="KY154" s="274"/>
      <c r="KZ154" s="274"/>
      <c r="LA154" s="274"/>
      <c r="LB154" s="274"/>
      <c r="LC154" s="274"/>
      <c r="LD154" s="274"/>
      <c r="LE154" s="274"/>
      <c r="LF154" s="274"/>
      <c r="LG154" s="274"/>
      <c r="LH154" s="274"/>
      <c r="LI154" s="274"/>
      <c r="LJ154" s="274"/>
      <c r="LK154" s="274"/>
      <c r="LL154" s="274"/>
      <c r="LM154" s="274"/>
      <c r="LN154" s="274"/>
      <c r="LO154" s="274"/>
      <c r="LP154" s="274"/>
      <c r="LQ154" s="274"/>
      <c r="LR154" s="274"/>
      <c r="LS154" s="274"/>
      <c r="LT154" s="274"/>
      <c r="LU154" s="274"/>
      <c r="LV154" s="274"/>
      <c r="LW154" s="274"/>
      <c r="LX154" s="274"/>
      <c r="LY154" s="274"/>
      <c r="LZ154" s="274"/>
      <c r="MA154" s="274"/>
      <c r="MB154" s="274"/>
      <c r="MC154" s="274"/>
      <c r="MD154" s="274"/>
      <c r="ME154" s="274"/>
      <c r="MF154" s="274"/>
      <c r="MG154" s="274"/>
      <c r="MH154" s="274"/>
      <c r="MI154" s="274"/>
      <c r="MJ154" s="274"/>
      <c r="MK154" s="274"/>
      <c r="ML154" s="274"/>
      <c r="MM154" s="274"/>
      <c r="MN154" s="274"/>
      <c r="MO154" s="274"/>
      <c r="MP154" s="274"/>
      <c r="MQ154" s="274"/>
      <c r="MR154" s="274"/>
      <c r="MS154" s="274"/>
      <c r="MT154" s="274"/>
      <c r="MU154" s="274"/>
      <c r="MV154" s="274"/>
      <c r="MW154" s="274"/>
      <c r="MX154" s="274"/>
      <c r="MY154" s="274"/>
      <c r="MZ154" s="274"/>
      <c r="NA154" s="274"/>
      <c r="NB154" s="274"/>
      <c r="NC154" s="274"/>
      <c r="ND154" s="274"/>
      <c r="NE154" s="274"/>
      <c r="NF154" s="274"/>
      <c r="NG154" s="274"/>
      <c r="NH154" s="274"/>
      <c r="NI154" s="274"/>
      <c r="NJ154" s="274"/>
      <c r="NK154" s="274"/>
      <c r="NL154" s="274"/>
      <c r="NM154" s="274"/>
      <c r="NN154" s="274"/>
      <c r="NO154" s="274"/>
      <c r="NP154" s="274"/>
      <c r="NQ154" s="274"/>
      <c r="NR154" s="274"/>
      <c r="NS154" s="274"/>
      <c r="NT154" s="274"/>
      <c r="NU154" s="274"/>
      <c r="NV154" s="274"/>
      <c r="NW154" s="274"/>
      <c r="NX154" s="274"/>
      <c r="NY154" s="274"/>
      <c r="NZ154" s="274"/>
      <c r="OA154" s="274"/>
      <c r="OB154" s="274"/>
      <c r="OC154" s="274"/>
      <c r="OD154" s="274"/>
      <c r="OE154" s="274"/>
      <c r="OF154" s="274"/>
      <c r="OG154" s="274"/>
      <c r="OH154" s="274"/>
      <c r="OI154" s="274"/>
      <c r="OJ154" s="274"/>
      <c r="OK154" s="274"/>
      <c r="OL154" s="274"/>
      <c r="OM154" s="274"/>
      <c r="ON154" s="274"/>
      <c r="OO154" s="274"/>
      <c r="OP154" s="274"/>
      <c r="OQ154" s="274"/>
      <c r="OR154" s="274"/>
      <c r="OS154" s="274"/>
      <c r="OT154" s="274"/>
      <c r="OU154" s="274"/>
      <c r="OV154" s="274"/>
      <c r="OW154" s="274"/>
      <c r="OX154" s="274"/>
      <c r="OY154" s="274"/>
      <c r="OZ154" s="274"/>
      <c r="PA154" s="274"/>
      <c r="PB154" s="274"/>
      <c r="PC154" s="274"/>
      <c r="PD154" s="274"/>
      <c r="PE154" s="274"/>
      <c r="PF154" s="274"/>
      <c r="PG154" s="274"/>
      <c r="PH154" s="274"/>
      <c r="PI154" s="274"/>
      <c r="PJ154" s="274"/>
      <c r="PK154" s="274"/>
      <c r="PL154" s="274"/>
      <c r="PM154" s="274"/>
      <c r="PN154" s="274"/>
      <c r="PO154" s="274"/>
      <c r="PP154" s="274"/>
      <c r="PQ154" s="274"/>
      <c r="PR154" s="274"/>
      <c r="PS154" s="274"/>
      <c r="PT154" s="274"/>
      <c r="PU154" s="274"/>
      <c r="PV154" s="274"/>
      <c r="PW154" s="274"/>
      <c r="PX154" s="274"/>
      <c r="PY154" s="274"/>
      <c r="PZ154" s="274"/>
      <c r="QA154" s="274"/>
      <c r="QB154" s="274"/>
      <c r="QC154" s="274"/>
      <c r="QD154" s="274"/>
      <c r="QE154" s="274"/>
      <c r="QF154" s="274"/>
      <c r="QG154" s="274"/>
      <c r="QH154" s="274"/>
      <c r="QI154" s="274"/>
      <c r="QJ154" s="274"/>
      <c r="QK154" s="274"/>
      <c r="QL154" s="274"/>
      <c r="QM154" s="274"/>
      <c r="QN154" s="274"/>
      <c r="QO154" s="274"/>
      <c r="QP154" s="274"/>
      <c r="QQ154" s="274"/>
      <c r="QR154" s="274"/>
      <c r="QS154" s="274"/>
      <c r="QT154" s="274"/>
      <c r="QU154" s="274"/>
      <c r="QV154" s="274"/>
      <c r="QW154" s="274"/>
      <c r="QX154" s="274"/>
      <c r="QY154" s="274"/>
      <c r="QZ154" s="274"/>
      <c r="RA154" s="274"/>
      <c r="RB154" s="274"/>
      <c r="RC154" s="274"/>
    </row>
    <row r="155" spans="112:471" ht="17.25">
      <c r="DH155" s="274"/>
      <c r="DI155" s="274"/>
      <c r="DJ155" s="978"/>
      <c r="DK155" s="274"/>
      <c r="DL155" s="274"/>
      <c r="DM155" s="274"/>
      <c r="DN155" s="274"/>
      <c r="DO155" s="274"/>
      <c r="DP155" s="274"/>
      <c r="DQ155" s="274"/>
      <c r="DR155" s="274"/>
      <c r="DS155" s="274"/>
      <c r="DT155" s="274"/>
      <c r="DU155" s="274"/>
      <c r="DV155" s="274"/>
      <c r="DW155" s="274"/>
      <c r="DX155" s="274"/>
      <c r="DY155" s="274"/>
      <c r="DZ155" s="274"/>
      <c r="EA155" s="274"/>
      <c r="EB155" s="274"/>
      <c r="EC155" s="274"/>
      <c r="ED155" s="274"/>
      <c r="EE155" s="274"/>
      <c r="EF155" s="274"/>
      <c r="EG155" s="274"/>
      <c r="EH155" s="274"/>
      <c r="EI155" s="274"/>
      <c r="EJ155" s="274"/>
      <c r="EK155" s="274"/>
      <c r="EL155" s="274"/>
      <c r="EM155" s="274"/>
      <c r="EN155" s="274"/>
      <c r="EO155" s="274"/>
      <c r="EP155" s="274"/>
      <c r="EQ155" s="274"/>
      <c r="ER155" s="274"/>
      <c r="ES155" s="274"/>
      <c r="ET155" s="274"/>
      <c r="EU155" s="274"/>
      <c r="EV155" s="274"/>
      <c r="EW155" s="274"/>
      <c r="EX155" s="274"/>
      <c r="EY155" s="274"/>
      <c r="EZ155" s="274"/>
      <c r="FA155" s="274"/>
      <c r="FB155" s="274"/>
      <c r="FC155" s="274"/>
      <c r="FD155" s="274"/>
      <c r="FE155" s="274"/>
      <c r="FF155" s="274"/>
      <c r="FG155" s="274"/>
      <c r="FH155" s="274"/>
      <c r="FI155" s="274"/>
      <c r="FJ155" s="274"/>
      <c r="FK155" s="274"/>
      <c r="FL155" s="274"/>
      <c r="FM155" s="274"/>
      <c r="FN155" s="274"/>
      <c r="FO155" s="274"/>
      <c r="FP155" s="274"/>
      <c r="FQ155" s="274"/>
      <c r="FR155" s="274"/>
      <c r="FS155" s="274"/>
      <c r="FT155" s="274"/>
      <c r="FU155" s="274"/>
      <c r="FV155" s="274"/>
      <c r="FW155" s="274"/>
      <c r="FX155" s="274"/>
      <c r="FY155" s="274"/>
      <c r="FZ155" s="274"/>
      <c r="GA155" s="274"/>
      <c r="GB155" s="274"/>
      <c r="GC155" s="274"/>
      <c r="GD155" s="274"/>
      <c r="GE155" s="274"/>
      <c r="GF155" s="274"/>
      <c r="GG155" s="274"/>
      <c r="GH155" s="274"/>
      <c r="GI155" s="274"/>
      <c r="GJ155" s="274"/>
      <c r="GK155" s="274"/>
      <c r="GL155" s="274"/>
      <c r="GM155" s="274"/>
      <c r="GN155" s="274"/>
      <c r="GO155" s="274"/>
      <c r="GP155" s="274"/>
      <c r="GQ155" s="274"/>
      <c r="GR155" s="274"/>
      <c r="GS155" s="274"/>
      <c r="GT155" s="274"/>
      <c r="GU155" s="274"/>
      <c r="GV155" s="274"/>
      <c r="GW155" s="274"/>
      <c r="GX155" s="274"/>
      <c r="GY155" s="274"/>
      <c r="GZ155" s="274"/>
      <c r="HA155" s="274"/>
      <c r="HB155" s="274"/>
      <c r="HC155" s="274"/>
      <c r="HD155" s="274"/>
      <c r="HE155" s="274"/>
      <c r="HF155" s="274"/>
      <c r="HG155" s="274"/>
      <c r="HH155" s="274"/>
      <c r="HI155" s="274"/>
      <c r="HJ155" s="274"/>
      <c r="HK155" s="274"/>
      <c r="HL155" s="274"/>
      <c r="HM155" s="274"/>
      <c r="HN155" s="274"/>
      <c r="HO155" s="274"/>
      <c r="HP155" s="274"/>
      <c r="HQ155" s="274"/>
      <c r="HR155" s="274"/>
      <c r="HS155" s="274"/>
      <c r="HT155" s="274"/>
      <c r="HU155" s="274"/>
      <c r="HV155" s="274"/>
      <c r="HW155" s="274"/>
      <c r="HX155" s="274"/>
      <c r="HY155" s="274"/>
      <c r="HZ155" s="274"/>
      <c r="IA155" s="274"/>
      <c r="IB155" s="274"/>
      <c r="IC155" s="274"/>
      <c r="ID155" s="274"/>
      <c r="IE155" s="274"/>
      <c r="IF155" s="274"/>
      <c r="IG155" s="274"/>
      <c r="IH155" s="274"/>
      <c r="II155" s="274"/>
      <c r="IJ155" s="274"/>
      <c r="IK155" s="274"/>
      <c r="IL155" s="274"/>
      <c r="IM155" s="274"/>
      <c r="IN155" s="274"/>
      <c r="IO155" s="274"/>
      <c r="IP155" s="274"/>
      <c r="IQ155" s="274"/>
      <c r="IR155" s="274"/>
      <c r="IS155" s="274"/>
      <c r="IT155" s="274"/>
      <c r="IU155" s="274"/>
      <c r="IV155" s="274"/>
      <c r="IW155" s="274"/>
      <c r="IX155" s="274"/>
      <c r="IY155" s="274"/>
      <c r="IZ155" s="274"/>
      <c r="JA155" s="274"/>
      <c r="JB155" s="274"/>
      <c r="JC155" s="274"/>
      <c r="JD155" s="274"/>
      <c r="JE155" s="274"/>
      <c r="JF155" s="274"/>
      <c r="JG155" s="274"/>
      <c r="JH155" s="274"/>
      <c r="JI155" s="274"/>
      <c r="JJ155" s="274"/>
      <c r="JK155" s="274"/>
      <c r="JL155" s="274"/>
      <c r="JM155" s="274"/>
      <c r="JN155" s="274"/>
      <c r="JO155" s="274"/>
      <c r="JP155" s="274"/>
      <c r="JQ155" s="274"/>
      <c r="JR155" s="274"/>
      <c r="JS155" s="274"/>
      <c r="JT155" s="274"/>
      <c r="JU155" s="274"/>
      <c r="JV155" s="274"/>
      <c r="JW155" s="274"/>
      <c r="JX155" s="274"/>
      <c r="JY155" s="274"/>
      <c r="JZ155" s="274"/>
      <c r="KA155" s="274"/>
      <c r="KB155" s="274"/>
      <c r="KC155" s="274"/>
      <c r="KD155" s="274"/>
      <c r="KE155" s="274"/>
      <c r="KF155" s="274"/>
      <c r="KG155" s="274"/>
      <c r="KH155" s="274"/>
      <c r="KI155" s="274"/>
      <c r="KJ155" s="274"/>
      <c r="KK155" s="274"/>
      <c r="KL155" s="274"/>
      <c r="KM155" s="274"/>
      <c r="KN155" s="274"/>
      <c r="KO155" s="274"/>
      <c r="KP155" s="274"/>
      <c r="KQ155" s="274"/>
      <c r="KR155" s="274"/>
      <c r="KS155" s="274"/>
      <c r="KT155" s="274"/>
      <c r="KU155" s="274"/>
      <c r="KV155" s="274"/>
      <c r="KW155" s="274"/>
      <c r="KX155" s="274"/>
      <c r="KY155" s="274"/>
      <c r="KZ155" s="274"/>
      <c r="LA155" s="274"/>
      <c r="LB155" s="274"/>
      <c r="LC155" s="274"/>
      <c r="LD155" s="274"/>
      <c r="LE155" s="274"/>
      <c r="LF155" s="274"/>
      <c r="LG155" s="274"/>
      <c r="LH155" s="274"/>
      <c r="LI155" s="274"/>
      <c r="LJ155" s="274"/>
      <c r="LK155" s="274"/>
      <c r="LL155" s="274"/>
      <c r="LM155" s="274"/>
      <c r="LN155" s="274"/>
      <c r="LO155" s="274"/>
      <c r="LP155" s="274"/>
      <c r="LQ155" s="274"/>
      <c r="LR155" s="274"/>
      <c r="LS155" s="274"/>
      <c r="LT155" s="274"/>
      <c r="LU155" s="274"/>
      <c r="LV155" s="274"/>
      <c r="LW155" s="274"/>
      <c r="LX155" s="274"/>
      <c r="LY155" s="274"/>
      <c r="LZ155" s="274"/>
      <c r="MA155" s="274"/>
      <c r="MB155" s="274"/>
      <c r="MC155" s="274"/>
      <c r="MD155" s="274"/>
      <c r="ME155" s="274"/>
      <c r="MF155" s="274"/>
      <c r="MG155" s="274"/>
      <c r="MH155" s="274"/>
      <c r="MI155" s="274"/>
      <c r="MJ155" s="274"/>
      <c r="MK155" s="274"/>
      <c r="ML155" s="274"/>
      <c r="MM155" s="274"/>
      <c r="MN155" s="274"/>
      <c r="MO155" s="274"/>
      <c r="MP155" s="274"/>
      <c r="MQ155" s="274"/>
      <c r="MR155" s="274"/>
      <c r="MS155" s="274"/>
      <c r="MT155" s="274"/>
      <c r="MU155" s="274"/>
      <c r="MV155" s="274"/>
      <c r="MW155" s="274"/>
      <c r="MX155" s="274"/>
      <c r="MY155" s="274"/>
      <c r="MZ155" s="274"/>
      <c r="NA155" s="274"/>
      <c r="NB155" s="274"/>
      <c r="NC155" s="274"/>
      <c r="ND155" s="274"/>
      <c r="NE155" s="274"/>
      <c r="NF155" s="274"/>
      <c r="NG155" s="274"/>
      <c r="NH155" s="274"/>
      <c r="NI155" s="274"/>
      <c r="NJ155" s="274"/>
      <c r="NK155" s="274"/>
      <c r="NL155" s="274"/>
      <c r="NM155" s="274"/>
      <c r="NN155" s="274"/>
      <c r="NO155" s="274"/>
      <c r="NP155" s="274"/>
      <c r="NQ155" s="274"/>
      <c r="NR155" s="274"/>
      <c r="NS155" s="274"/>
      <c r="NT155" s="274"/>
      <c r="NU155" s="274"/>
      <c r="NV155" s="274"/>
      <c r="NW155" s="274"/>
      <c r="NX155" s="274"/>
      <c r="NY155" s="274"/>
      <c r="NZ155" s="274"/>
      <c r="OA155" s="274"/>
      <c r="OB155" s="274"/>
      <c r="OC155" s="274"/>
      <c r="OD155" s="274"/>
      <c r="OE155" s="274"/>
      <c r="OF155" s="274"/>
      <c r="OG155" s="274"/>
      <c r="OH155" s="274"/>
      <c r="OI155" s="274"/>
      <c r="OJ155" s="274"/>
      <c r="OK155" s="274"/>
      <c r="OL155" s="274"/>
      <c r="OM155" s="274"/>
      <c r="ON155" s="274"/>
      <c r="OO155" s="274"/>
      <c r="OP155" s="274"/>
      <c r="OQ155" s="274"/>
      <c r="OR155" s="274"/>
      <c r="OS155" s="274"/>
      <c r="OT155" s="274"/>
      <c r="OU155" s="274"/>
      <c r="OV155" s="274"/>
      <c r="OW155" s="274"/>
      <c r="OX155" s="274"/>
      <c r="OY155" s="274"/>
      <c r="OZ155" s="274"/>
      <c r="PA155" s="274"/>
      <c r="PB155" s="274"/>
      <c r="PC155" s="274"/>
      <c r="PD155" s="274"/>
      <c r="PE155" s="274"/>
      <c r="PF155" s="274"/>
      <c r="PG155" s="274"/>
      <c r="PH155" s="274"/>
      <c r="PI155" s="274"/>
      <c r="PJ155" s="274"/>
      <c r="PK155" s="274"/>
      <c r="PL155" s="274"/>
      <c r="PM155" s="274"/>
      <c r="PN155" s="274"/>
      <c r="PO155" s="274"/>
      <c r="PP155" s="274"/>
      <c r="PQ155" s="274"/>
      <c r="PR155" s="274"/>
      <c r="PS155" s="274"/>
      <c r="PT155" s="274"/>
      <c r="PU155" s="274"/>
      <c r="PV155" s="274"/>
      <c r="PW155" s="274"/>
      <c r="PX155" s="274"/>
      <c r="PY155" s="274"/>
      <c r="PZ155" s="274"/>
      <c r="QA155" s="274"/>
      <c r="QB155" s="274"/>
      <c r="QC155" s="274"/>
      <c r="QD155" s="274"/>
      <c r="QE155" s="274"/>
      <c r="QF155" s="274"/>
      <c r="QG155" s="274"/>
      <c r="QH155" s="274"/>
      <c r="QI155" s="274"/>
      <c r="QJ155" s="274"/>
      <c r="QK155" s="274"/>
      <c r="QL155" s="274"/>
      <c r="QM155" s="274"/>
      <c r="QN155" s="274"/>
      <c r="QO155" s="274"/>
      <c r="QP155" s="274"/>
      <c r="QQ155" s="274"/>
      <c r="QR155" s="274"/>
      <c r="QS155" s="274"/>
      <c r="QT155" s="274"/>
      <c r="QU155" s="274"/>
      <c r="QV155" s="274"/>
      <c r="QW155" s="274"/>
      <c r="QX155" s="274"/>
      <c r="QY155" s="274"/>
      <c r="QZ155" s="274"/>
      <c r="RA155" s="274"/>
      <c r="RB155" s="274"/>
      <c r="RC155" s="274"/>
    </row>
    <row r="156" spans="112:471" ht="17.25">
      <c r="DH156" s="274"/>
      <c r="DI156" s="274"/>
      <c r="DJ156" s="978"/>
      <c r="DK156" s="978"/>
      <c r="DL156" s="978"/>
      <c r="DM156" s="978"/>
      <c r="DN156" s="978"/>
      <c r="DO156" s="978"/>
      <c r="DP156" s="978"/>
      <c r="DQ156" s="978"/>
      <c r="DR156" s="978"/>
      <c r="DS156" s="978"/>
      <c r="DT156" s="978"/>
      <c r="DU156" s="978"/>
      <c r="DV156" s="978"/>
      <c r="DW156" s="978"/>
      <c r="DX156" s="978"/>
      <c r="DY156" s="978"/>
      <c r="DZ156" s="978"/>
      <c r="EA156" s="978"/>
      <c r="EB156" s="978"/>
      <c r="EC156" s="978"/>
      <c r="ED156" s="978"/>
      <c r="EE156" s="978"/>
      <c r="EF156" s="978"/>
      <c r="EG156" s="978"/>
      <c r="EH156" s="978"/>
      <c r="EI156" s="978"/>
      <c r="EJ156" s="978"/>
      <c r="EK156" s="978"/>
      <c r="EL156" s="978"/>
      <c r="EM156" s="978"/>
      <c r="EN156" s="978"/>
      <c r="EO156" s="978"/>
      <c r="EP156" s="978"/>
      <c r="EQ156" s="978"/>
      <c r="ER156" s="978"/>
      <c r="ES156" s="978"/>
      <c r="ET156" s="978"/>
      <c r="EU156" s="978"/>
      <c r="EV156" s="978"/>
      <c r="EW156" s="978"/>
      <c r="EX156" s="978"/>
      <c r="EY156" s="978"/>
      <c r="EZ156" s="978"/>
      <c r="FA156" s="978"/>
      <c r="FB156" s="978"/>
      <c r="FC156" s="978"/>
      <c r="FD156" s="978"/>
      <c r="FE156" s="978"/>
      <c r="FF156" s="978"/>
      <c r="FG156" s="978"/>
      <c r="FH156" s="978"/>
      <c r="FI156" s="978"/>
      <c r="FJ156" s="978"/>
      <c r="FK156" s="978"/>
      <c r="FL156" s="978"/>
      <c r="FM156" s="978"/>
      <c r="FN156" s="978"/>
      <c r="FO156" s="978"/>
      <c r="FP156" s="978"/>
      <c r="FQ156" s="978"/>
      <c r="FR156" s="978"/>
      <c r="FS156" s="978"/>
      <c r="FT156" s="978"/>
      <c r="FU156" s="978"/>
      <c r="FV156" s="978"/>
      <c r="FW156" s="978"/>
      <c r="FX156" s="978"/>
      <c r="FY156" s="978"/>
      <c r="FZ156" s="978"/>
      <c r="GA156" s="978"/>
      <c r="GB156" s="978"/>
      <c r="GC156" s="978"/>
      <c r="GD156" s="978"/>
      <c r="GE156" s="978"/>
      <c r="GF156" s="978"/>
      <c r="GG156" s="978"/>
      <c r="GH156" s="978"/>
      <c r="GI156" s="978"/>
      <c r="GJ156" s="978"/>
      <c r="GK156" s="978"/>
      <c r="GL156" s="978"/>
      <c r="GM156" s="978"/>
      <c r="GN156" s="978"/>
      <c r="GO156" s="978"/>
      <c r="GP156" s="978"/>
      <c r="GQ156" s="978"/>
      <c r="GR156" s="978"/>
      <c r="GS156" s="978"/>
      <c r="GT156" s="978"/>
      <c r="GU156" s="978"/>
      <c r="GV156" s="978"/>
      <c r="GW156" s="978"/>
      <c r="GX156" s="978"/>
      <c r="GY156" s="978"/>
      <c r="GZ156" s="978"/>
      <c r="HA156" s="978"/>
      <c r="HB156" s="978"/>
      <c r="HC156" s="978"/>
      <c r="HD156" s="978"/>
      <c r="HE156" s="978"/>
      <c r="HF156" s="978"/>
      <c r="HG156" s="978"/>
      <c r="HH156" s="978"/>
      <c r="HI156" s="978"/>
      <c r="HJ156" s="978"/>
      <c r="HK156" s="978"/>
      <c r="HL156" s="978"/>
      <c r="HM156" s="978"/>
      <c r="HN156" s="978"/>
      <c r="HO156" s="978"/>
      <c r="HP156" s="978"/>
      <c r="HQ156" s="978"/>
      <c r="HR156" s="978"/>
      <c r="HS156" s="978"/>
      <c r="HT156" s="978"/>
      <c r="HU156" s="978"/>
      <c r="HV156" s="978"/>
      <c r="HW156" s="978"/>
      <c r="HX156" s="978"/>
      <c r="HY156" s="978"/>
      <c r="HZ156" s="978"/>
      <c r="IA156" s="978"/>
      <c r="IB156" s="978"/>
      <c r="IC156" s="978"/>
      <c r="ID156" s="978"/>
      <c r="IE156" s="978"/>
      <c r="IF156" s="978"/>
      <c r="IG156" s="978"/>
      <c r="IH156" s="978"/>
      <c r="II156" s="978"/>
      <c r="IJ156" s="978"/>
      <c r="IK156" s="978"/>
      <c r="IL156" s="978"/>
      <c r="IM156" s="978"/>
      <c r="IN156" s="978"/>
      <c r="IO156" s="978"/>
      <c r="IP156" s="978"/>
      <c r="IQ156" s="978"/>
      <c r="IR156" s="978"/>
      <c r="IS156" s="978"/>
      <c r="IT156" s="978"/>
      <c r="IU156" s="978"/>
      <c r="IV156" s="978"/>
      <c r="IW156" s="978"/>
      <c r="IX156" s="978"/>
      <c r="IY156" s="978"/>
      <c r="IZ156" s="978"/>
      <c r="JA156" s="978"/>
      <c r="JB156" s="978"/>
      <c r="JC156" s="978"/>
      <c r="JD156" s="978"/>
      <c r="JE156" s="978"/>
      <c r="JF156" s="978"/>
      <c r="JG156" s="978"/>
      <c r="JH156" s="978"/>
      <c r="JI156" s="978"/>
      <c r="JJ156" s="978"/>
      <c r="JK156" s="978"/>
      <c r="JL156" s="978"/>
      <c r="JM156" s="978"/>
      <c r="JN156" s="978"/>
      <c r="JO156" s="978"/>
      <c r="JP156" s="978"/>
      <c r="JQ156" s="978"/>
      <c r="JR156" s="978"/>
      <c r="JS156" s="978"/>
      <c r="JT156" s="978"/>
      <c r="JU156" s="978"/>
      <c r="JV156" s="978"/>
      <c r="JW156" s="978"/>
      <c r="JX156" s="978"/>
      <c r="JY156" s="978"/>
      <c r="JZ156" s="978"/>
      <c r="KA156" s="978"/>
      <c r="KB156" s="978"/>
      <c r="KC156" s="978"/>
      <c r="KD156" s="978"/>
      <c r="KE156" s="978"/>
      <c r="KF156" s="978"/>
      <c r="KG156" s="978"/>
      <c r="KH156" s="978"/>
      <c r="KI156" s="978"/>
      <c r="KJ156" s="978"/>
      <c r="KK156" s="978"/>
      <c r="KL156" s="978"/>
      <c r="KM156" s="978"/>
      <c r="KN156" s="978"/>
      <c r="KO156" s="978"/>
      <c r="KP156" s="978"/>
      <c r="KQ156" s="978"/>
      <c r="KR156" s="978"/>
      <c r="KS156" s="978"/>
      <c r="KT156" s="978"/>
      <c r="KU156" s="978"/>
      <c r="KV156" s="978"/>
      <c r="KW156" s="978"/>
      <c r="KX156" s="978"/>
      <c r="KY156" s="978"/>
      <c r="KZ156" s="978"/>
      <c r="LA156" s="978"/>
      <c r="LB156" s="978"/>
      <c r="LC156" s="978"/>
      <c r="LD156" s="978"/>
      <c r="LE156" s="978"/>
      <c r="LF156" s="978"/>
      <c r="LG156" s="978"/>
      <c r="LH156" s="978"/>
      <c r="LI156" s="978"/>
      <c r="LJ156" s="978"/>
      <c r="LK156" s="978"/>
      <c r="LL156" s="978"/>
      <c r="LM156" s="978"/>
      <c r="LN156" s="978"/>
      <c r="LO156" s="978"/>
      <c r="LP156" s="978"/>
      <c r="LQ156" s="978"/>
      <c r="LR156" s="978"/>
      <c r="LS156" s="978"/>
      <c r="LT156" s="978"/>
      <c r="LU156" s="978"/>
      <c r="LV156" s="978"/>
      <c r="LW156" s="978"/>
      <c r="LX156" s="978"/>
      <c r="LY156" s="978"/>
      <c r="LZ156" s="978"/>
      <c r="MA156" s="978"/>
      <c r="MB156" s="978"/>
      <c r="MC156" s="978"/>
      <c r="MD156" s="978"/>
      <c r="ME156" s="978"/>
      <c r="MF156" s="978"/>
      <c r="MG156" s="978"/>
      <c r="MH156" s="978"/>
      <c r="MI156" s="978"/>
      <c r="MJ156" s="978"/>
      <c r="MK156" s="978"/>
      <c r="ML156" s="978"/>
      <c r="MM156" s="978"/>
      <c r="MN156" s="978"/>
      <c r="MO156" s="978"/>
      <c r="MP156" s="978"/>
      <c r="MQ156" s="978"/>
      <c r="MR156" s="978"/>
      <c r="MS156" s="978"/>
      <c r="MT156" s="978"/>
      <c r="MU156" s="978"/>
      <c r="MV156" s="978"/>
      <c r="MW156" s="978"/>
      <c r="MX156" s="978"/>
      <c r="MY156" s="978"/>
      <c r="MZ156" s="978"/>
      <c r="NA156" s="978"/>
      <c r="NB156" s="978"/>
      <c r="NC156" s="978"/>
      <c r="ND156" s="978"/>
      <c r="NE156" s="978"/>
      <c r="NF156" s="978"/>
      <c r="NG156" s="978"/>
      <c r="NH156" s="978"/>
      <c r="NI156" s="978"/>
      <c r="NJ156" s="978"/>
      <c r="NK156" s="978"/>
      <c r="NL156" s="978"/>
      <c r="NM156" s="978"/>
      <c r="NN156" s="978"/>
      <c r="NO156" s="978"/>
      <c r="NP156" s="978"/>
      <c r="NQ156" s="978"/>
      <c r="NR156" s="978"/>
      <c r="NS156" s="978"/>
      <c r="NT156" s="978"/>
      <c r="NU156" s="978"/>
      <c r="NV156" s="978"/>
      <c r="NW156" s="978"/>
      <c r="NX156" s="978"/>
      <c r="NY156" s="978"/>
      <c r="NZ156" s="978"/>
      <c r="OA156" s="978"/>
      <c r="OB156" s="978"/>
      <c r="OC156" s="978"/>
      <c r="OD156" s="978"/>
      <c r="OE156" s="978"/>
      <c r="OF156" s="978"/>
      <c r="OG156" s="978"/>
      <c r="OH156" s="978"/>
      <c r="OI156" s="978"/>
      <c r="OJ156" s="978"/>
      <c r="OK156" s="978"/>
      <c r="OL156" s="978"/>
      <c r="OM156" s="978"/>
      <c r="ON156" s="978"/>
      <c r="OO156" s="978"/>
      <c r="OP156" s="978"/>
      <c r="OQ156" s="978"/>
      <c r="OR156" s="978"/>
      <c r="OS156" s="978"/>
      <c r="OT156" s="978"/>
      <c r="OU156" s="978"/>
      <c r="OV156" s="978"/>
      <c r="OW156" s="978"/>
      <c r="OX156" s="978"/>
      <c r="OY156" s="978"/>
      <c r="OZ156" s="978"/>
      <c r="PA156" s="978"/>
      <c r="PB156" s="978"/>
      <c r="PC156" s="978"/>
      <c r="PD156" s="978"/>
      <c r="PE156" s="978"/>
      <c r="PF156" s="978"/>
      <c r="PG156" s="978"/>
      <c r="PH156" s="978"/>
      <c r="PI156" s="978"/>
      <c r="PJ156" s="978"/>
      <c r="PK156" s="978"/>
      <c r="PL156" s="978"/>
      <c r="PM156" s="978"/>
      <c r="PN156" s="978"/>
      <c r="PO156" s="978"/>
      <c r="PP156" s="978"/>
      <c r="PQ156" s="978"/>
      <c r="PR156" s="978"/>
      <c r="PS156" s="978"/>
      <c r="PT156" s="978"/>
      <c r="PU156" s="978"/>
      <c r="PV156" s="978"/>
      <c r="PW156" s="978"/>
      <c r="PX156" s="978"/>
      <c r="PY156" s="978"/>
      <c r="PZ156" s="978"/>
      <c r="QA156" s="978"/>
      <c r="QB156" s="978"/>
      <c r="QC156" s="978"/>
      <c r="QD156" s="978"/>
      <c r="QE156" s="978"/>
      <c r="QF156" s="978"/>
      <c r="QG156" s="978"/>
      <c r="QH156" s="978"/>
      <c r="QI156" s="978"/>
      <c r="QJ156" s="978"/>
      <c r="QK156" s="978"/>
      <c r="QL156" s="978"/>
      <c r="QM156" s="978"/>
      <c r="QN156" s="978"/>
      <c r="QO156" s="978"/>
      <c r="QP156" s="978"/>
      <c r="QQ156" s="978"/>
      <c r="QR156" s="978"/>
      <c r="QS156" s="978"/>
      <c r="QT156" s="978"/>
      <c r="QU156" s="978"/>
      <c r="QV156" s="978"/>
      <c r="QW156" s="978"/>
      <c r="QX156" s="978"/>
      <c r="QY156" s="978"/>
      <c r="QZ156" s="978"/>
      <c r="RA156" s="978"/>
      <c r="RB156" s="274"/>
      <c r="RC156" s="274"/>
    </row>
    <row r="157" spans="112:471" ht="17.25">
      <c r="DH157" s="274"/>
      <c r="DI157" s="274"/>
      <c r="DJ157" s="978"/>
      <c r="DK157" s="978"/>
      <c r="DL157" s="978"/>
      <c r="DM157" s="978"/>
      <c r="DN157" s="978"/>
      <c r="DO157" s="978"/>
      <c r="DP157" s="978"/>
      <c r="DQ157" s="978"/>
      <c r="DR157" s="978"/>
      <c r="DS157" s="978"/>
      <c r="DT157" s="978"/>
      <c r="DU157" s="978"/>
      <c r="DV157" s="978"/>
      <c r="DW157" s="978"/>
      <c r="DX157" s="978"/>
      <c r="DY157" s="978"/>
      <c r="DZ157" s="978"/>
      <c r="EA157" s="978"/>
      <c r="EB157" s="978"/>
      <c r="EC157" s="978"/>
      <c r="ED157" s="978"/>
      <c r="EE157" s="978"/>
      <c r="EF157" s="978"/>
      <c r="EG157" s="978"/>
      <c r="EH157" s="978"/>
      <c r="EI157" s="978"/>
      <c r="EJ157" s="978"/>
      <c r="EK157" s="978"/>
      <c r="EL157" s="978"/>
      <c r="EM157" s="978"/>
      <c r="EN157" s="978"/>
      <c r="EO157" s="978"/>
      <c r="EP157" s="978"/>
      <c r="EQ157" s="978"/>
      <c r="ER157" s="978"/>
      <c r="ES157" s="978"/>
      <c r="ET157" s="978"/>
      <c r="EU157" s="978"/>
      <c r="EV157" s="978"/>
      <c r="EW157" s="978"/>
      <c r="EX157" s="978"/>
      <c r="EY157" s="978"/>
      <c r="EZ157" s="978"/>
      <c r="FA157" s="978"/>
      <c r="FB157" s="978"/>
      <c r="FC157" s="978"/>
      <c r="FD157" s="978"/>
      <c r="FE157" s="978"/>
      <c r="FF157" s="978"/>
      <c r="FG157" s="978"/>
      <c r="FH157" s="978"/>
      <c r="FI157" s="978"/>
      <c r="FJ157" s="978"/>
      <c r="FK157" s="978"/>
      <c r="FL157" s="978"/>
      <c r="FM157" s="978"/>
      <c r="FN157" s="978"/>
      <c r="FO157" s="978"/>
      <c r="FP157" s="978"/>
      <c r="FQ157" s="978"/>
      <c r="FR157" s="978"/>
      <c r="FS157" s="978"/>
      <c r="FT157" s="978"/>
      <c r="FU157" s="978"/>
      <c r="FV157" s="978"/>
      <c r="FW157" s="978"/>
      <c r="FX157" s="978"/>
      <c r="FY157" s="978"/>
      <c r="FZ157" s="978"/>
      <c r="GA157" s="978"/>
      <c r="GB157" s="978"/>
      <c r="GC157" s="978"/>
      <c r="GD157" s="978"/>
      <c r="GE157" s="978"/>
      <c r="GF157" s="978"/>
      <c r="GG157" s="978"/>
      <c r="GH157" s="978"/>
      <c r="GI157" s="978"/>
      <c r="GJ157" s="978"/>
      <c r="GK157" s="978"/>
      <c r="GL157" s="978"/>
      <c r="GM157" s="978"/>
      <c r="GN157" s="978"/>
      <c r="GO157" s="978"/>
      <c r="GP157" s="978"/>
      <c r="GQ157" s="978"/>
      <c r="GR157" s="978"/>
      <c r="GS157" s="978"/>
      <c r="GT157" s="978"/>
      <c r="GU157" s="978"/>
      <c r="GV157" s="978"/>
      <c r="GW157" s="978"/>
      <c r="GX157" s="978"/>
      <c r="GY157" s="978"/>
      <c r="GZ157" s="978"/>
      <c r="HA157" s="978"/>
      <c r="HB157" s="978"/>
      <c r="HC157" s="978"/>
      <c r="HD157" s="978"/>
      <c r="HE157" s="978"/>
      <c r="HF157" s="978"/>
      <c r="HG157" s="978"/>
      <c r="HH157" s="978"/>
      <c r="HI157" s="978"/>
      <c r="HJ157" s="978"/>
      <c r="HK157" s="978"/>
      <c r="HL157" s="978"/>
      <c r="HM157" s="978"/>
      <c r="HN157" s="978"/>
      <c r="HO157" s="978"/>
      <c r="HP157" s="978"/>
      <c r="HQ157" s="978"/>
      <c r="HR157" s="978"/>
      <c r="HS157" s="978"/>
      <c r="HT157" s="978"/>
      <c r="HU157" s="978"/>
      <c r="HV157" s="978"/>
      <c r="HW157" s="978"/>
      <c r="HX157" s="978"/>
      <c r="HY157" s="978"/>
      <c r="HZ157" s="978"/>
      <c r="IA157" s="978"/>
      <c r="IB157" s="978"/>
      <c r="IC157" s="978"/>
      <c r="ID157" s="978"/>
      <c r="IE157" s="978"/>
      <c r="IF157" s="978"/>
      <c r="IG157" s="978"/>
      <c r="IH157" s="978"/>
      <c r="II157" s="978"/>
      <c r="IJ157" s="978"/>
      <c r="IK157" s="978"/>
      <c r="IL157" s="978"/>
      <c r="IM157" s="978"/>
      <c r="IN157" s="978"/>
      <c r="IO157" s="978"/>
      <c r="IP157" s="978"/>
      <c r="IQ157" s="978"/>
      <c r="IR157" s="978"/>
      <c r="IS157" s="978"/>
      <c r="IT157" s="978"/>
      <c r="IU157" s="978"/>
      <c r="IV157" s="978"/>
      <c r="IW157" s="978"/>
      <c r="IX157" s="978"/>
      <c r="IY157" s="978"/>
      <c r="IZ157" s="978"/>
      <c r="JA157" s="978"/>
      <c r="JB157" s="978"/>
      <c r="JC157" s="978"/>
      <c r="JD157" s="978"/>
      <c r="JE157" s="978"/>
      <c r="JF157" s="978"/>
      <c r="JG157" s="978"/>
      <c r="JH157" s="978"/>
      <c r="JI157" s="978"/>
      <c r="JJ157" s="978"/>
      <c r="JK157" s="978"/>
      <c r="JL157" s="978"/>
      <c r="JM157" s="978"/>
      <c r="JN157" s="978"/>
      <c r="JO157" s="978"/>
      <c r="JP157" s="978"/>
      <c r="JQ157" s="978"/>
      <c r="JR157" s="978"/>
      <c r="JS157" s="978"/>
      <c r="JT157" s="978"/>
      <c r="JU157" s="978"/>
      <c r="JV157" s="978"/>
      <c r="JW157" s="978"/>
      <c r="JX157" s="978"/>
      <c r="JY157" s="978"/>
      <c r="JZ157" s="978"/>
      <c r="KA157" s="978"/>
      <c r="KB157" s="978"/>
      <c r="KC157" s="978"/>
      <c r="KD157" s="978"/>
      <c r="KE157" s="978"/>
      <c r="KF157" s="978"/>
      <c r="KG157" s="978"/>
      <c r="KH157" s="978"/>
      <c r="KI157" s="978"/>
      <c r="KJ157" s="978"/>
      <c r="KK157" s="978"/>
      <c r="KL157" s="978"/>
      <c r="KM157" s="978"/>
      <c r="KN157" s="978"/>
      <c r="KO157" s="978"/>
      <c r="KP157" s="978"/>
      <c r="KQ157" s="978"/>
      <c r="KR157" s="978"/>
      <c r="KS157" s="978"/>
      <c r="KT157" s="978"/>
      <c r="KU157" s="978"/>
      <c r="KV157" s="978"/>
      <c r="KW157" s="978"/>
      <c r="KX157" s="978"/>
      <c r="KY157" s="978"/>
      <c r="KZ157" s="978"/>
      <c r="LA157" s="978"/>
      <c r="LB157" s="978"/>
      <c r="LC157" s="978"/>
      <c r="LD157" s="978"/>
      <c r="LE157" s="978"/>
      <c r="LF157" s="978"/>
      <c r="LG157" s="978"/>
      <c r="LH157" s="978"/>
      <c r="LI157" s="978"/>
      <c r="LJ157" s="978"/>
      <c r="LK157" s="978"/>
      <c r="LL157" s="978"/>
      <c r="LM157" s="978"/>
      <c r="LN157" s="978"/>
      <c r="LO157" s="978"/>
      <c r="LP157" s="978"/>
      <c r="LQ157" s="978"/>
      <c r="LR157" s="978"/>
      <c r="LS157" s="978"/>
      <c r="LT157" s="978"/>
      <c r="LU157" s="978"/>
      <c r="LV157" s="978"/>
      <c r="LW157" s="978"/>
      <c r="LX157" s="978"/>
      <c r="LY157" s="978"/>
      <c r="LZ157" s="978"/>
      <c r="MA157" s="978"/>
      <c r="MB157" s="978"/>
      <c r="MC157" s="978"/>
      <c r="MD157" s="978"/>
      <c r="ME157" s="978"/>
      <c r="MF157" s="978"/>
      <c r="MG157" s="978"/>
      <c r="MH157" s="978"/>
      <c r="MI157" s="978"/>
      <c r="MJ157" s="978"/>
      <c r="MK157" s="978"/>
      <c r="ML157" s="978"/>
      <c r="MM157" s="978"/>
      <c r="MN157" s="978"/>
      <c r="MO157" s="978"/>
      <c r="MP157" s="978"/>
      <c r="MQ157" s="978"/>
      <c r="MR157" s="978"/>
      <c r="MS157" s="978"/>
      <c r="MT157" s="978"/>
      <c r="MU157" s="978"/>
      <c r="MV157" s="978"/>
      <c r="MW157" s="978"/>
      <c r="MX157" s="978"/>
      <c r="MY157" s="978"/>
      <c r="MZ157" s="978"/>
      <c r="NA157" s="978"/>
      <c r="NB157" s="978"/>
      <c r="NC157" s="978"/>
      <c r="ND157" s="978"/>
      <c r="NE157" s="978"/>
      <c r="NF157" s="978"/>
      <c r="NG157" s="978"/>
      <c r="NH157" s="978"/>
      <c r="NI157" s="978"/>
      <c r="NJ157" s="978"/>
      <c r="NK157" s="978"/>
      <c r="NL157" s="978"/>
      <c r="NM157" s="978"/>
      <c r="NN157" s="978"/>
      <c r="NO157" s="978"/>
      <c r="NP157" s="978"/>
      <c r="NQ157" s="978"/>
      <c r="NR157" s="978"/>
      <c r="NS157" s="978"/>
      <c r="NT157" s="978"/>
      <c r="NU157" s="978"/>
      <c r="NV157" s="978"/>
      <c r="NW157" s="978"/>
      <c r="NX157" s="978"/>
      <c r="NY157" s="978"/>
      <c r="NZ157" s="978"/>
      <c r="OA157" s="978"/>
      <c r="OB157" s="978"/>
      <c r="OC157" s="978"/>
      <c r="OD157" s="978"/>
      <c r="OE157" s="978"/>
      <c r="OF157" s="978"/>
      <c r="OG157" s="978"/>
      <c r="OH157" s="978"/>
      <c r="OI157" s="978"/>
      <c r="OJ157" s="978"/>
      <c r="OK157" s="978"/>
      <c r="OL157" s="978"/>
      <c r="OM157" s="978"/>
      <c r="ON157" s="978"/>
      <c r="OO157" s="978"/>
      <c r="OP157" s="978"/>
      <c r="OQ157" s="978"/>
      <c r="OR157" s="978"/>
      <c r="OS157" s="978"/>
      <c r="OT157" s="978"/>
      <c r="OU157" s="978"/>
      <c r="OV157" s="978"/>
      <c r="OW157" s="978"/>
      <c r="OX157" s="978"/>
      <c r="OY157" s="978"/>
      <c r="OZ157" s="978"/>
      <c r="PA157" s="978"/>
      <c r="PB157" s="978"/>
      <c r="PC157" s="978"/>
      <c r="PD157" s="978"/>
      <c r="PE157" s="978"/>
      <c r="PF157" s="978"/>
      <c r="PG157" s="978"/>
      <c r="PH157" s="978"/>
      <c r="PI157" s="978"/>
      <c r="PJ157" s="978"/>
      <c r="PK157" s="978"/>
      <c r="PL157" s="978"/>
      <c r="PM157" s="978"/>
      <c r="PN157" s="978"/>
      <c r="PO157" s="978"/>
      <c r="PP157" s="978"/>
      <c r="PQ157" s="978"/>
      <c r="PR157" s="978"/>
      <c r="PS157" s="978"/>
      <c r="PT157" s="978"/>
      <c r="PU157" s="978"/>
      <c r="PV157" s="978"/>
      <c r="PW157" s="978"/>
      <c r="PX157" s="978"/>
      <c r="PY157" s="978"/>
      <c r="PZ157" s="978"/>
      <c r="QA157" s="978"/>
      <c r="QB157" s="978"/>
      <c r="QC157" s="978"/>
      <c r="QD157" s="978"/>
      <c r="QE157" s="978"/>
      <c r="QF157" s="978"/>
      <c r="QG157" s="978"/>
      <c r="QH157" s="978"/>
      <c r="QI157" s="978"/>
      <c r="QJ157" s="978"/>
      <c r="QK157" s="978"/>
      <c r="QL157" s="978"/>
      <c r="QM157" s="978"/>
      <c r="QN157" s="978"/>
      <c r="QO157" s="978"/>
      <c r="QP157" s="978"/>
      <c r="QQ157" s="978"/>
      <c r="QR157" s="978"/>
      <c r="QS157" s="978"/>
      <c r="QT157" s="978"/>
      <c r="QU157" s="978"/>
      <c r="QV157" s="978"/>
      <c r="QW157" s="978"/>
      <c r="QX157" s="978"/>
      <c r="QY157" s="978"/>
      <c r="QZ157" s="978"/>
      <c r="RA157" s="978"/>
      <c r="RB157" s="274"/>
      <c r="RC157" s="274"/>
    </row>
    <row r="158" spans="112:471" ht="17.25">
      <c r="DH158" s="274"/>
      <c r="DI158" s="274"/>
      <c r="DJ158" s="978"/>
      <c r="DK158" s="978"/>
      <c r="DL158" s="978"/>
      <c r="DM158" s="978"/>
      <c r="DN158" s="978"/>
      <c r="DO158" s="978"/>
      <c r="DP158" s="978"/>
      <c r="DQ158" s="978"/>
      <c r="DR158" s="978"/>
      <c r="DS158" s="978"/>
      <c r="DT158" s="978"/>
      <c r="DU158" s="978"/>
      <c r="DV158" s="978"/>
      <c r="DW158" s="978"/>
      <c r="DX158" s="978"/>
      <c r="DY158" s="978"/>
      <c r="DZ158" s="978"/>
      <c r="EA158" s="978"/>
      <c r="EB158" s="978"/>
      <c r="EC158" s="978"/>
      <c r="ED158" s="978"/>
      <c r="EE158" s="978"/>
      <c r="EF158" s="978"/>
      <c r="EG158" s="978"/>
      <c r="EH158" s="978"/>
      <c r="EI158" s="978"/>
      <c r="EJ158" s="978"/>
      <c r="EK158" s="978"/>
      <c r="EL158" s="978"/>
      <c r="EM158" s="978"/>
      <c r="EN158" s="978"/>
      <c r="EO158" s="978"/>
      <c r="EP158" s="978"/>
      <c r="EQ158" s="978"/>
      <c r="ER158" s="978"/>
      <c r="ES158" s="978"/>
      <c r="ET158" s="978"/>
      <c r="EU158" s="978"/>
      <c r="EV158" s="978"/>
      <c r="EW158" s="978"/>
      <c r="EX158" s="978"/>
      <c r="EY158" s="978"/>
      <c r="EZ158" s="978"/>
      <c r="FA158" s="978"/>
      <c r="FB158" s="978"/>
      <c r="FC158" s="978"/>
      <c r="FD158" s="978"/>
      <c r="FE158" s="978"/>
      <c r="FF158" s="978"/>
      <c r="FG158" s="978"/>
      <c r="FH158" s="978"/>
      <c r="FI158" s="978"/>
      <c r="FJ158" s="978"/>
      <c r="FK158" s="978"/>
      <c r="FL158" s="978"/>
      <c r="FM158" s="978"/>
      <c r="FN158" s="978"/>
      <c r="FO158" s="978"/>
      <c r="FP158" s="978"/>
      <c r="FQ158" s="978"/>
      <c r="FR158" s="978"/>
      <c r="FS158" s="978"/>
      <c r="FT158" s="978"/>
      <c r="FU158" s="978"/>
      <c r="FV158" s="978"/>
      <c r="FW158" s="978"/>
      <c r="FX158" s="978"/>
      <c r="FY158" s="978"/>
      <c r="FZ158" s="978"/>
      <c r="GA158" s="978"/>
      <c r="GB158" s="978"/>
      <c r="GC158" s="978"/>
      <c r="GD158" s="978"/>
      <c r="GE158" s="978"/>
      <c r="GF158" s="978"/>
      <c r="GG158" s="978"/>
      <c r="GH158" s="978"/>
      <c r="GI158" s="978"/>
      <c r="GJ158" s="978"/>
      <c r="GK158" s="978"/>
      <c r="GL158" s="978"/>
      <c r="GM158" s="978"/>
      <c r="GN158" s="978"/>
      <c r="GO158" s="978"/>
      <c r="GP158" s="978"/>
      <c r="GQ158" s="978"/>
      <c r="GR158" s="978"/>
      <c r="GS158" s="978"/>
      <c r="GT158" s="978"/>
      <c r="GU158" s="978"/>
      <c r="GV158" s="978"/>
      <c r="GW158" s="978"/>
      <c r="GX158" s="978"/>
      <c r="GY158" s="978"/>
      <c r="GZ158" s="978"/>
      <c r="HA158" s="978"/>
      <c r="HB158" s="978"/>
      <c r="HC158" s="978"/>
      <c r="HD158" s="978"/>
      <c r="HE158" s="978"/>
      <c r="HF158" s="978"/>
      <c r="HG158" s="978"/>
      <c r="HH158" s="978"/>
      <c r="HI158" s="978"/>
      <c r="HJ158" s="978"/>
      <c r="HK158" s="978"/>
      <c r="HL158" s="978"/>
      <c r="HM158" s="978"/>
      <c r="HN158" s="978"/>
      <c r="HO158" s="978"/>
      <c r="HP158" s="978"/>
      <c r="HQ158" s="978"/>
      <c r="HR158" s="978"/>
      <c r="HS158" s="978"/>
      <c r="HT158" s="978"/>
      <c r="HU158" s="978"/>
      <c r="HV158" s="978"/>
      <c r="HW158" s="978"/>
      <c r="HX158" s="978"/>
      <c r="HY158" s="978"/>
      <c r="HZ158" s="978"/>
      <c r="IA158" s="978"/>
      <c r="IB158" s="978"/>
      <c r="IC158" s="978"/>
      <c r="ID158" s="978"/>
      <c r="IE158" s="978"/>
      <c r="IF158" s="978"/>
      <c r="IG158" s="978"/>
      <c r="IH158" s="978"/>
      <c r="II158" s="978"/>
      <c r="IJ158" s="978"/>
      <c r="IK158" s="978"/>
      <c r="IL158" s="978"/>
      <c r="IM158" s="978"/>
      <c r="IN158" s="978"/>
      <c r="IO158" s="978"/>
      <c r="IP158" s="978"/>
      <c r="IQ158" s="978"/>
      <c r="IR158" s="978"/>
      <c r="IS158" s="978"/>
      <c r="IT158" s="978"/>
      <c r="IU158" s="978"/>
      <c r="IV158" s="978"/>
      <c r="IW158" s="978"/>
      <c r="IX158" s="978"/>
      <c r="IY158" s="978"/>
      <c r="IZ158" s="978"/>
      <c r="JA158" s="978"/>
      <c r="JB158" s="978"/>
      <c r="JC158" s="978"/>
      <c r="JD158" s="978"/>
      <c r="JE158" s="978"/>
      <c r="JF158" s="978"/>
      <c r="JG158" s="978"/>
      <c r="JH158" s="978"/>
      <c r="JI158" s="978"/>
      <c r="JJ158" s="978"/>
      <c r="JK158" s="978"/>
      <c r="JL158" s="978"/>
      <c r="JM158" s="978"/>
      <c r="JN158" s="978"/>
      <c r="JO158" s="978"/>
      <c r="JP158" s="978"/>
      <c r="JQ158" s="978"/>
      <c r="JR158" s="978"/>
      <c r="JS158" s="978"/>
      <c r="JT158" s="978"/>
      <c r="JU158" s="978"/>
      <c r="JV158" s="978"/>
      <c r="JW158" s="978"/>
      <c r="JX158" s="978"/>
      <c r="JY158" s="978"/>
      <c r="JZ158" s="978"/>
      <c r="KA158" s="978"/>
      <c r="KB158" s="978"/>
      <c r="KC158" s="978"/>
      <c r="KD158" s="978"/>
      <c r="KE158" s="978"/>
      <c r="KF158" s="978"/>
      <c r="KG158" s="978"/>
      <c r="KH158" s="978"/>
      <c r="KI158" s="978"/>
      <c r="KJ158" s="978"/>
      <c r="KK158" s="978"/>
      <c r="KL158" s="978"/>
      <c r="KM158" s="978"/>
      <c r="KN158" s="978"/>
      <c r="KO158" s="978"/>
      <c r="KP158" s="978"/>
      <c r="KQ158" s="978"/>
      <c r="KR158" s="978"/>
      <c r="KS158" s="978"/>
      <c r="KT158" s="978"/>
      <c r="KU158" s="978"/>
      <c r="KV158" s="978"/>
      <c r="KW158" s="978"/>
      <c r="KX158" s="978"/>
      <c r="KY158" s="978"/>
      <c r="KZ158" s="978"/>
      <c r="LA158" s="978"/>
      <c r="LB158" s="978"/>
      <c r="LC158" s="978"/>
      <c r="LD158" s="978"/>
      <c r="LE158" s="978"/>
      <c r="LF158" s="978"/>
      <c r="LG158" s="978"/>
      <c r="LH158" s="978"/>
      <c r="LI158" s="978"/>
      <c r="LJ158" s="978"/>
      <c r="LK158" s="978"/>
      <c r="LL158" s="978"/>
      <c r="LM158" s="978"/>
      <c r="LN158" s="978"/>
      <c r="LO158" s="978"/>
      <c r="LP158" s="978"/>
      <c r="LQ158" s="978"/>
      <c r="LR158" s="978"/>
      <c r="LS158" s="978"/>
      <c r="LT158" s="978"/>
      <c r="LU158" s="978"/>
      <c r="LV158" s="978"/>
      <c r="LW158" s="978"/>
      <c r="LX158" s="978"/>
      <c r="LY158" s="978"/>
      <c r="LZ158" s="978"/>
      <c r="MA158" s="978"/>
      <c r="MB158" s="978"/>
      <c r="MC158" s="978"/>
      <c r="MD158" s="978"/>
      <c r="ME158" s="978"/>
      <c r="MF158" s="978"/>
      <c r="MG158" s="978"/>
      <c r="MH158" s="978"/>
      <c r="MI158" s="978"/>
      <c r="MJ158" s="978"/>
      <c r="MK158" s="978"/>
      <c r="ML158" s="978"/>
      <c r="MM158" s="978"/>
      <c r="MN158" s="978"/>
      <c r="MO158" s="978"/>
      <c r="MP158" s="978"/>
      <c r="MQ158" s="978"/>
      <c r="MR158" s="978"/>
      <c r="MS158" s="978"/>
      <c r="MT158" s="978"/>
      <c r="MU158" s="978"/>
      <c r="MV158" s="978"/>
      <c r="MW158" s="978"/>
      <c r="MX158" s="978"/>
      <c r="MY158" s="978"/>
      <c r="MZ158" s="978"/>
      <c r="NA158" s="978"/>
      <c r="NB158" s="978"/>
      <c r="NC158" s="978"/>
      <c r="ND158" s="978"/>
      <c r="NE158" s="978"/>
      <c r="NF158" s="978"/>
      <c r="NG158" s="978"/>
      <c r="NH158" s="978"/>
      <c r="NI158" s="978"/>
      <c r="NJ158" s="978"/>
      <c r="NK158" s="978"/>
      <c r="NL158" s="978"/>
      <c r="NM158" s="978"/>
      <c r="NN158" s="978"/>
      <c r="NO158" s="978"/>
      <c r="NP158" s="978"/>
      <c r="NQ158" s="978"/>
      <c r="NR158" s="978"/>
      <c r="NS158" s="978"/>
      <c r="NT158" s="978"/>
      <c r="NU158" s="978"/>
      <c r="NV158" s="978"/>
      <c r="NW158" s="978"/>
      <c r="NX158" s="978"/>
      <c r="NY158" s="978"/>
      <c r="NZ158" s="978"/>
      <c r="OA158" s="978"/>
      <c r="OB158" s="978"/>
      <c r="OC158" s="978"/>
      <c r="OD158" s="978"/>
      <c r="OE158" s="978"/>
      <c r="OF158" s="978"/>
      <c r="OG158" s="978"/>
      <c r="OH158" s="978"/>
      <c r="OI158" s="978"/>
      <c r="OJ158" s="978"/>
      <c r="OK158" s="978"/>
      <c r="OL158" s="978"/>
      <c r="OM158" s="978"/>
      <c r="ON158" s="978"/>
      <c r="OO158" s="978"/>
      <c r="OP158" s="978"/>
      <c r="OQ158" s="978"/>
      <c r="OR158" s="978"/>
      <c r="OS158" s="978"/>
      <c r="OT158" s="978"/>
      <c r="OU158" s="978"/>
      <c r="OV158" s="978"/>
      <c r="OW158" s="978"/>
      <c r="OX158" s="978"/>
      <c r="OY158" s="978"/>
      <c r="OZ158" s="978"/>
      <c r="PA158" s="978"/>
      <c r="PB158" s="978"/>
      <c r="PC158" s="978"/>
      <c r="PD158" s="978"/>
      <c r="PE158" s="978"/>
      <c r="PF158" s="978"/>
      <c r="PG158" s="978"/>
      <c r="PH158" s="978"/>
      <c r="PI158" s="978"/>
      <c r="PJ158" s="978"/>
      <c r="PK158" s="978"/>
      <c r="PL158" s="978"/>
      <c r="PM158" s="978"/>
      <c r="PN158" s="978"/>
      <c r="PO158" s="978"/>
      <c r="PP158" s="978"/>
      <c r="PQ158" s="978"/>
      <c r="PR158" s="978"/>
      <c r="PS158" s="978"/>
      <c r="PT158" s="978"/>
      <c r="PU158" s="978"/>
      <c r="PV158" s="978"/>
      <c r="PW158" s="978"/>
      <c r="PX158" s="978"/>
      <c r="PY158" s="978"/>
      <c r="PZ158" s="978"/>
      <c r="QA158" s="978"/>
      <c r="QB158" s="978"/>
      <c r="QC158" s="978"/>
      <c r="QD158" s="978"/>
      <c r="QE158" s="978"/>
      <c r="QF158" s="978"/>
      <c r="QG158" s="978"/>
      <c r="QH158" s="978"/>
      <c r="QI158" s="978"/>
      <c r="QJ158" s="978"/>
      <c r="QK158" s="978"/>
      <c r="QL158" s="978"/>
      <c r="QM158" s="978"/>
      <c r="QN158" s="978"/>
      <c r="QO158" s="978"/>
      <c r="QP158" s="978"/>
      <c r="QQ158" s="978"/>
      <c r="QR158" s="978"/>
      <c r="QS158" s="978"/>
      <c r="QT158" s="978"/>
      <c r="QU158" s="978"/>
      <c r="QV158" s="978"/>
      <c r="QW158" s="978"/>
      <c r="QX158" s="978"/>
      <c r="QY158" s="978"/>
      <c r="QZ158" s="978"/>
      <c r="RA158" s="978"/>
      <c r="RB158" s="274"/>
      <c r="RC158" s="274"/>
    </row>
    <row r="159" spans="112:471" ht="17.25">
      <c r="DH159" s="274"/>
      <c r="DI159" s="274"/>
      <c r="DJ159" s="978"/>
      <c r="DK159" s="978"/>
      <c r="DL159" s="978"/>
      <c r="DM159" s="978"/>
      <c r="DN159" s="978"/>
      <c r="DO159" s="978"/>
      <c r="DP159" s="978"/>
      <c r="DQ159" s="978"/>
      <c r="DR159" s="978"/>
      <c r="DS159" s="978"/>
      <c r="DT159" s="978"/>
      <c r="DU159" s="978"/>
      <c r="DV159" s="978"/>
      <c r="DW159" s="978"/>
      <c r="DX159" s="978"/>
      <c r="DY159" s="978"/>
      <c r="DZ159" s="978"/>
      <c r="EA159" s="978"/>
      <c r="EB159" s="978"/>
      <c r="EC159" s="978"/>
      <c r="ED159" s="978"/>
      <c r="EE159" s="978"/>
      <c r="EF159" s="978"/>
      <c r="EG159" s="978"/>
      <c r="EH159" s="978"/>
      <c r="EI159" s="978"/>
      <c r="EJ159" s="978"/>
      <c r="EK159" s="978"/>
      <c r="EL159" s="978"/>
      <c r="EM159" s="978"/>
      <c r="EN159" s="978"/>
      <c r="EO159" s="978"/>
      <c r="EP159" s="978"/>
      <c r="EQ159" s="978"/>
      <c r="ER159" s="978"/>
      <c r="ES159" s="978"/>
      <c r="ET159" s="978"/>
      <c r="EU159" s="978"/>
      <c r="EV159" s="978"/>
      <c r="EW159" s="978"/>
      <c r="EX159" s="978"/>
      <c r="EY159" s="978"/>
      <c r="EZ159" s="978"/>
      <c r="FA159" s="978"/>
      <c r="FB159" s="978"/>
      <c r="FC159" s="978"/>
      <c r="FD159" s="978"/>
      <c r="FE159" s="978"/>
      <c r="FF159" s="978"/>
      <c r="FG159" s="978"/>
      <c r="FH159" s="978"/>
      <c r="FI159" s="978"/>
      <c r="FJ159" s="978"/>
      <c r="FK159" s="978"/>
      <c r="FL159" s="978"/>
      <c r="FM159" s="978"/>
      <c r="FN159" s="978"/>
      <c r="FO159" s="978"/>
      <c r="FP159" s="978"/>
      <c r="FQ159" s="978"/>
      <c r="FR159" s="978"/>
      <c r="FS159" s="978"/>
      <c r="FT159" s="978"/>
      <c r="FU159" s="978"/>
      <c r="FV159" s="978"/>
      <c r="FW159" s="978"/>
      <c r="FX159" s="978"/>
      <c r="FY159" s="978"/>
      <c r="FZ159" s="978"/>
      <c r="GA159" s="978"/>
      <c r="GB159" s="978"/>
      <c r="GC159" s="978"/>
      <c r="GD159" s="978"/>
      <c r="GE159" s="978"/>
      <c r="GF159" s="978"/>
      <c r="GG159" s="978"/>
      <c r="GH159" s="978"/>
      <c r="GI159" s="978"/>
      <c r="GJ159" s="978"/>
      <c r="GK159" s="978"/>
      <c r="GL159" s="978"/>
      <c r="GM159" s="978"/>
      <c r="GN159" s="978"/>
      <c r="GO159" s="978"/>
      <c r="GP159" s="978"/>
      <c r="GQ159" s="978"/>
      <c r="GR159" s="978"/>
      <c r="GS159" s="978"/>
      <c r="GT159" s="978"/>
      <c r="GU159" s="978"/>
      <c r="GV159" s="978"/>
      <c r="GW159" s="978"/>
      <c r="GX159" s="978"/>
      <c r="GY159" s="978"/>
      <c r="GZ159" s="978"/>
      <c r="HA159" s="978"/>
      <c r="HB159" s="978"/>
      <c r="HC159" s="978"/>
      <c r="HD159" s="978"/>
      <c r="HE159" s="978"/>
      <c r="HF159" s="978"/>
      <c r="HG159" s="978"/>
      <c r="HH159" s="978"/>
      <c r="HI159" s="978"/>
      <c r="HJ159" s="978"/>
      <c r="HK159" s="978"/>
      <c r="HL159" s="978"/>
      <c r="HM159" s="978"/>
      <c r="HN159" s="978"/>
      <c r="HO159" s="978"/>
      <c r="HP159" s="978"/>
      <c r="HQ159" s="978"/>
      <c r="HR159" s="978"/>
      <c r="HS159" s="978"/>
      <c r="HT159" s="978"/>
      <c r="HU159" s="978"/>
      <c r="HV159" s="978"/>
      <c r="HW159" s="978"/>
      <c r="HX159" s="978"/>
      <c r="HY159" s="978"/>
      <c r="HZ159" s="978"/>
      <c r="IA159" s="978"/>
      <c r="IB159" s="978"/>
      <c r="IC159" s="978"/>
      <c r="ID159" s="978"/>
      <c r="IE159" s="978"/>
      <c r="IF159" s="978"/>
      <c r="IG159" s="978"/>
      <c r="IH159" s="978"/>
      <c r="II159" s="978"/>
      <c r="IJ159" s="978"/>
      <c r="IK159" s="978"/>
      <c r="IL159" s="978"/>
      <c r="IM159" s="978"/>
      <c r="IN159" s="978"/>
      <c r="IO159" s="978"/>
      <c r="IP159" s="978"/>
      <c r="IQ159" s="978"/>
      <c r="IR159" s="978"/>
      <c r="IS159" s="978"/>
      <c r="IT159" s="978"/>
      <c r="IU159" s="978"/>
      <c r="IV159" s="978"/>
      <c r="IW159" s="978"/>
      <c r="IX159" s="978"/>
      <c r="IY159" s="978"/>
      <c r="IZ159" s="978"/>
      <c r="JA159" s="978"/>
      <c r="JB159" s="978"/>
      <c r="JC159" s="978"/>
      <c r="JD159" s="978"/>
      <c r="JE159" s="978"/>
      <c r="JF159" s="978"/>
      <c r="JG159" s="978"/>
      <c r="JH159" s="978"/>
      <c r="JI159" s="978"/>
      <c r="JJ159" s="978"/>
      <c r="JK159" s="978"/>
      <c r="JL159" s="978"/>
      <c r="JM159" s="978"/>
      <c r="JN159" s="978"/>
      <c r="JO159" s="978"/>
      <c r="JP159" s="978"/>
      <c r="JQ159" s="978"/>
      <c r="JR159" s="978"/>
      <c r="JS159" s="978"/>
      <c r="JT159" s="978"/>
      <c r="JU159" s="978"/>
      <c r="JV159" s="978"/>
      <c r="JW159" s="978"/>
      <c r="JX159" s="978"/>
      <c r="JY159" s="978"/>
      <c r="JZ159" s="978"/>
      <c r="KA159" s="978"/>
      <c r="KB159" s="978"/>
      <c r="KC159" s="978"/>
      <c r="KD159" s="978"/>
      <c r="KE159" s="978"/>
      <c r="KF159" s="978"/>
      <c r="KG159" s="978"/>
      <c r="KH159" s="978"/>
      <c r="KI159" s="978"/>
      <c r="KJ159" s="978"/>
      <c r="KK159" s="978"/>
      <c r="KL159" s="978"/>
      <c r="KM159" s="978"/>
      <c r="KN159" s="978"/>
      <c r="KO159" s="978"/>
      <c r="KP159" s="978"/>
      <c r="KQ159" s="978"/>
      <c r="KR159" s="978"/>
      <c r="KS159" s="978"/>
      <c r="KT159" s="978"/>
      <c r="KU159" s="978"/>
      <c r="KV159" s="978"/>
      <c r="KW159" s="978"/>
      <c r="KX159" s="978"/>
      <c r="KY159" s="978"/>
      <c r="KZ159" s="978"/>
      <c r="LA159" s="978"/>
      <c r="LB159" s="978"/>
      <c r="LC159" s="978"/>
      <c r="LD159" s="978"/>
      <c r="LE159" s="978"/>
      <c r="LF159" s="978"/>
      <c r="LG159" s="978"/>
      <c r="LH159" s="978"/>
      <c r="LI159" s="978"/>
      <c r="LJ159" s="978"/>
      <c r="LK159" s="978"/>
      <c r="LL159" s="978"/>
      <c r="LM159" s="978"/>
      <c r="LN159" s="978"/>
      <c r="LO159" s="978"/>
      <c r="LP159" s="978"/>
      <c r="LQ159" s="978"/>
      <c r="LR159" s="978"/>
      <c r="LS159" s="978"/>
      <c r="LT159" s="978"/>
      <c r="LU159" s="978"/>
      <c r="LV159" s="978"/>
      <c r="LW159" s="978"/>
      <c r="LX159" s="978"/>
      <c r="LY159" s="978"/>
      <c r="LZ159" s="978"/>
      <c r="MA159" s="978"/>
      <c r="MB159" s="978"/>
      <c r="MC159" s="978"/>
      <c r="MD159" s="978"/>
      <c r="ME159" s="978"/>
      <c r="MF159" s="978"/>
      <c r="MG159" s="978"/>
      <c r="MH159" s="978"/>
      <c r="MI159" s="978"/>
      <c r="MJ159" s="978"/>
      <c r="MK159" s="978"/>
      <c r="ML159" s="978"/>
      <c r="MM159" s="978"/>
      <c r="MN159" s="978"/>
      <c r="MO159" s="978"/>
      <c r="MP159" s="978"/>
      <c r="MQ159" s="978"/>
      <c r="MR159" s="978"/>
      <c r="MS159" s="978"/>
      <c r="MT159" s="978"/>
      <c r="MU159" s="978"/>
      <c r="MV159" s="978"/>
      <c r="MW159" s="978"/>
      <c r="MX159" s="978"/>
      <c r="MY159" s="978"/>
      <c r="MZ159" s="978"/>
      <c r="NA159" s="978"/>
      <c r="NB159" s="978"/>
      <c r="NC159" s="978"/>
      <c r="ND159" s="978"/>
      <c r="NE159" s="978"/>
      <c r="NF159" s="978"/>
      <c r="NG159" s="978"/>
      <c r="NH159" s="978"/>
      <c r="NI159" s="978"/>
      <c r="NJ159" s="978"/>
      <c r="NK159" s="978"/>
      <c r="NL159" s="978"/>
      <c r="NM159" s="978"/>
      <c r="NN159" s="978"/>
      <c r="NO159" s="978"/>
      <c r="NP159" s="978"/>
      <c r="NQ159" s="978"/>
      <c r="NR159" s="978"/>
      <c r="NS159" s="978"/>
      <c r="NT159" s="978"/>
      <c r="NU159" s="978"/>
      <c r="NV159" s="978"/>
      <c r="NW159" s="978"/>
      <c r="NX159" s="978"/>
      <c r="NY159" s="978"/>
      <c r="NZ159" s="978"/>
      <c r="OA159" s="978"/>
      <c r="OB159" s="978"/>
      <c r="OC159" s="978"/>
      <c r="OD159" s="978"/>
      <c r="OE159" s="978"/>
      <c r="OF159" s="978"/>
      <c r="OG159" s="978"/>
      <c r="OH159" s="978"/>
      <c r="OI159" s="978"/>
      <c r="OJ159" s="978"/>
      <c r="OK159" s="978"/>
      <c r="OL159" s="978"/>
      <c r="OM159" s="978"/>
      <c r="ON159" s="978"/>
      <c r="OO159" s="978"/>
      <c r="OP159" s="978"/>
      <c r="OQ159" s="978"/>
      <c r="OR159" s="978"/>
      <c r="OS159" s="978"/>
      <c r="OT159" s="978"/>
      <c r="OU159" s="978"/>
      <c r="OV159" s="978"/>
      <c r="OW159" s="978"/>
      <c r="OX159" s="978"/>
      <c r="OY159" s="978"/>
      <c r="OZ159" s="978"/>
      <c r="PA159" s="978"/>
      <c r="PB159" s="978"/>
      <c r="PC159" s="978"/>
      <c r="PD159" s="978"/>
      <c r="PE159" s="978"/>
      <c r="PF159" s="978"/>
      <c r="PG159" s="978"/>
      <c r="PH159" s="978"/>
      <c r="PI159" s="978"/>
      <c r="PJ159" s="978"/>
      <c r="PK159" s="978"/>
      <c r="PL159" s="978"/>
      <c r="PM159" s="978"/>
      <c r="PN159" s="978"/>
      <c r="PO159" s="978"/>
      <c r="PP159" s="978"/>
      <c r="PQ159" s="978"/>
      <c r="PR159" s="978"/>
      <c r="PS159" s="978"/>
      <c r="PT159" s="978"/>
      <c r="PU159" s="978"/>
      <c r="PV159" s="978"/>
      <c r="PW159" s="978"/>
      <c r="PX159" s="978"/>
      <c r="PY159" s="978"/>
      <c r="PZ159" s="978"/>
      <c r="QA159" s="978"/>
      <c r="QB159" s="978"/>
      <c r="QC159" s="978"/>
      <c r="QD159" s="978"/>
      <c r="QE159" s="978"/>
      <c r="QF159" s="978"/>
      <c r="QG159" s="978"/>
      <c r="QH159" s="978"/>
      <c r="QI159" s="978"/>
      <c r="QJ159" s="978"/>
      <c r="QK159" s="978"/>
      <c r="QL159" s="978"/>
      <c r="QM159" s="978"/>
      <c r="QN159" s="978"/>
      <c r="QO159" s="978"/>
      <c r="QP159" s="978"/>
      <c r="QQ159" s="978"/>
      <c r="QR159" s="978"/>
      <c r="QS159" s="978"/>
      <c r="QT159" s="978"/>
      <c r="QU159" s="978"/>
      <c r="QV159" s="978"/>
      <c r="QW159" s="978"/>
      <c r="QX159" s="978"/>
      <c r="QY159" s="978"/>
      <c r="QZ159" s="978"/>
      <c r="RA159" s="978"/>
      <c r="RB159" s="274"/>
      <c r="RC159" s="274"/>
    </row>
    <row r="160" spans="112:471" ht="17.25">
      <c r="DH160" s="274"/>
      <c r="DI160" s="274"/>
      <c r="DJ160" s="978"/>
      <c r="DK160" s="978"/>
      <c r="DL160" s="978"/>
      <c r="DM160" s="978"/>
      <c r="DN160" s="978"/>
      <c r="DO160" s="978"/>
      <c r="DP160" s="978"/>
      <c r="DQ160" s="978"/>
      <c r="DR160" s="978"/>
      <c r="DS160" s="978"/>
      <c r="DT160" s="978"/>
      <c r="DU160" s="978"/>
      <c r="DV160" s="978"/>
      <c r="DW160" s="978"/>
      <c r="DX160" s="978"/>
      <c r="DY160" s="978"/>
      <c r="DZ160" s="978"/>
      <c r="EA160" s="978"/>
      <c r="EB160" s="978"/>
      <c r="EC160" s="978"/>
      <c r="ED160" s="978"/>
      <c r="EE160" s="978"/>
      <c r="EF160" s="978"/>
      <c r="EG160" s="978"/>
      <c r="EH160" s="978"/>
      <c r="EI160" s="978"/>
      <c r="EJ160" s="978"/>
      <c r="EK160" s="978"/>
      <c r="EL160" s="978"/>
      <c r="EM160" s="978"/>
      <c r="EN160" s="978"/>
      <c r="EO160" s="978"/>
      <c r="EP160" s="978"/>
      <c r="EQ160" s="978"/>
      <c r="ER160" s="978"/>
      <c r="ES160" s="978"/>
      <c r="ET160" s="978"/>
      <c r="EU160" s="978"/>
      <c r="EV160" s="978"/>
      <c r="EW160" s="978"/>
      <c r="EX160" s="978"/>
      <c r="EY160" s="978"/>
      <c r="EZ160" s="978"/>
      <c r="FA160" s="978"/>
      <c r="FB160" s="978"/>
      <c r="FC160" s="978"/>
      <c r="FD160" s="978"/>
      <c r="FE160" s="978"/>
      <c r="FF160" s="978"/>
      <c r="FG160" s="978"/>
      <c r="FH160" s="978"/>
      <c r="FI160" s="978"/>
      <c r="FJ160" s="978"/>
      <c r="FK160" s="978"/>
      <c r="FL160" s="978"/>
      <c r="FM160" s="978"/>
      <c r="FN160" s="978"/>
      <c r="FO160" s="978"/>
      <c r="FP160" s="978"/>
      <c r="FQ160" s="978"/>
      <c r="FR160" s="978"/>
      <c r="FS160" s="978"/>
      <c r="FT160" s="978"/>
      <c r="FU160" s="978"/>
      <c r="FV160" s="978"/>
      <c r="FW160" s="978"/>
      <c r="FX160" s="978"/>
      <c r="FY160" s="978"/>
      <c r="FZ160" s="978"/>
      <c r="GA160" s="978"/>
      <c r="GB160" s="978"/>
      <c r="GC160" s="978"/>
      <c r="GD160" s="978"/>
      <c r="GE160" s="978"/>
      <c r="GF160" s="978"/>
      <c r="GG160" s="978"/>
      <c r="GH160" s="978"/>
      <c r="GI160" s="978"/>
      <c r="GJ160" s="978"/>
      <c r="GK160" s="978"/>
      <c r="GL160" s="978"/>
      <c r="GM160" s="978"/>
      <c r="GN160" s="978"/>
      <c r="GO160" s="978"/>
      <c r="GP160" s="978"/>
      <c r="GQ160" s="978"/>
      <c r="GR160" s="978"/>
      <c r="GS160" s="978"/>
      <c r="GT160" s="978"/>
      <c r="GU160" s="978"/>
      <c r="GV160" s="978"/>
      <c r="GW160" s="978"/>
      <c r="GX160" s="978"/>
      <c r="GY160" s="978"/>
      <c r="GZ160" s="978"/>
      <c r="HA160" s="978"/>
      <c r="HB160" s="978"/>
      <c r="HC160" s="978"/>
      <c r="HD160" s="978"/>
      <c r="HE160" s="978"/>
      <c r="HF160" s="978"/>
      <c r="HG160" s="978"/>
      <c r="HH160" s="978"/>
      <c r="HI160" s="978"/>
      <c r="HJ160" s="978"/>
      <c r="HK160" s="978"/>
      <c r="HL160" s="978"/>
      <c r="HM160" s="978"/>
      <c r="HN160" s="978"/>
      <c r="HO160" s="978"/>
      <c r="HP160" s="978"/>
      <c r="HQ160" s="978"/>
      <c r="HR160" s="978"/>
      <c r="HS160" s="978"/>
      <c r="HT160" s="978"/>
      <c r="HU160" s="978"/>
      <c r="HV160" s="978"/>
      <c r="HW160" s="978"/>
      <c r="HX160" s="978"/>
      <c r="HY160" s="978"/>
      <c r="HZ160" s="978"/>
      <c r="IA160" s="978"/>
      <c r="IB160" s="978"/>
      <c r="IC160" s="978"/>
      <c r="ID160" s="978"/>
      <c r="IE160" s="978"/>
      <c r="IF160" s="978"/>
      <c r="IG160" s="978"/>
      <c r="IH160" s="978"/>
      <c r="II160" s="978"/>
      <c r="IJ160" s="978"/>
      <c r="IK160" s="978"/>
      <c r="IL160" s="978"/>
      <c r="IM160" s="978"/>
      <c r="IN160" s="978"/>
      <c r="IO160" s="978"/>
      <c r="IP160" s="978"/>
      <c r="IQ160" s="978"/>
      <c r="IR160" s="978"/>
      <c r="IS160" s="978"/>
      <c r="IT160" s="978"/>
      <c r="IU160" s="978"/>
      <c r="IV160" s="978"/>
      <c r="IW160" s="978"/>
      <c r="IX160" s="978"/>
      <c r="IY160" s="978"/>
      <c r="IZ160" s="978"/>
      <c r="JA160" s="978"/>
      <c r="JB160" s="978"/>
      <c r="JC160" s="978"/>
      <c r="JD160" s="978"/>
      <c r="JE160" s="978"/>
      <c r="JF160" s="978"/>
      <c r="JG160" s="978"/>
      <c r="JH160" s="978"/>
      <c r="JI160" s="978"/>
      <c r="JJ160" s="978"/>
      <c r="JK160" s="978"/>
      <c r="JL160" s="978"/>
      <c r="JM160" s="978"/>
      <c r="JN160" s="978"/>
      <c r="JO160" s="978"/>
      <c r="JP160" s="978"/>
      <c r="JQ160" s="978"/>
      <c r="JR160" s="978"/>
      <c r="JS160" s="978"/>
      <c r="JT160" s="978"/>
      <c r="JU160" s="978"/>
      <c r="JV160" s="978"/>
      <c r="JW160" s="978"/>
      <c r="JX160" s="978"/>
      <c r="JY160" s="978"/>
      <c r="JZ160" s="978"/>
      <c r="KA160" s="978"/>
      <c r="KB160" s="978"/>
      <c r="KC160" s="978"/>
      <c r="KD160" s="978"/>
      <c r="KE160" s="978"/>
      <c r="KF160" s="978"/>
      <c r="KG160" s="978"/>
      <c r="KH160" s="978"/>
      <c r="KI160" s="978"/>
      <c r="KJ160" s="978"/>
      <c r="KK160" s="978"/>
      <c r="KL160" s="978"/>
      <c r="KM160" s="978"/>
      <c r="KN160" s="978"/>
      <c r="KO160" s="978"/>
      <c r="KP160" s="978"/>
      <c r="KQ160" s="978"/>
      <c r="KR160" s="978"/>
      <c r="KS160" s="978"/>
      <c r="KT160" s="978"/>
      <c r="KU160" s="978"/>
      <c r="KV160" s="978"/>
      <c r="KW160" s="978"/>
      <c r="KX160" s="978"/>
      <c r="KY160" s="978"/>
      <c r="KZ160" s="978"/>
      <c r="LA160" s="978"/>
      <c r="LB160" s="978"/>
      <c r="LC160" s="978"/>
      <c r="LD160" s="978"/>
      <c r="LE160" s="978"/>
      <c r="LF160" s="978"/>
      <c r="LG160" s="978"/>
      <c r="LH160" s="978"/>
      <c r="LI160" s="978"/>
      <c r="LJ160" s="978"/>
      <c r="LK160" s="978"/>
      <c r="LL160" s="978"/>
      <c r="LM160" s="978"/>
      <c r="LN160" s="978"/>
      <c r="LO160" s="978"/>
      <c r="LP160" s="978"/>
      <c r="LQ160" s="978"/>
      <c r="LR160" s="978"/>
      <c r="LS160" s="978"/>
      <c r="LT160" s="978"/>
      <c r="LU160" s="978"/>
      <c r="LV160" s="978"/>
      <c r="LW160" s="978"/>
      <c r="LX160" s="978"/>
      <c r="LY160" s="978"/>
      <c r="LZ160" s="978"/>
      <c r="MA160" s="978"/>
      <c r="MB160" s="978"/>
      <c r="MC160" s="978"/>
      <c r="MD160" s="978"/>
      <c r="ME160" s="978"/>
      <c r="MF160" s="978"/>
      <c r="MG160" s="978"/>
      <c r="MH160" s="978"/>
      <c r="MI160" s="978"/>
      <c r="MJ160" s="978"/>
      <c r="MK160" s="978"/>
      <c r="ML160" s="978"/>
      <c r="MM160" s="978"/>
      <c r="MN160" s="978"/>
      <c r="MO160" s="978"/>
      <c r="MP160" s="978"/>
      <c r="MQ160" s="978"/>
      <c r="MR160" s="978"/>
      <c r="MS160" s="978"/>
      <c r="MT160" s="978"/>
      <c r="MU160" s="978"/>
      <c r="MV160" s="978"/>
      <c r="MW160" s="978"/>
      <c r="MX160" s="978"/>
      <c r="MY160" s="978"/>
      <c r="MZ160" s="978"/>
      <c r="NA160" s="978"/>
      <c r="NB160" s="978"/>
      <c r="NC160" s="978"/>
      <c r="ND160" s="978"/>
      <c r="NE160" s="978"/>
      <c r="NF160" s="978"/>
      <c r="NG160" s="978"/>
      <c r="NH160" s="978"/>
      <c r="NI160" s="978"/>
      <c r="NJ160" s="978"/>
      <c r="NK160" s="978"/>
      <c r="NL160" s="978"/>
      <c r="NM160" s="978"/>
      <c r="NN160" s="978"/>
      <c r="NO160" s="978"/>
      <c r="NP160" s="978"/>
      <c r="NQ160" s="978"/>
      <c r="NR160" s="978"/>
      <c r="NS160" s="978"/>
      <c r="NT160" s="978"/>
      <c r="NU160" s="978"/>
      <c r="NV160" s="978"/>
      <c r="NW160" s="978"/>
      <c r="NX160" s="978"/>
      <c r="NY160" s="978"/>
      <c r="NZ160" s="978"/>
      <c r="OA160" s="978"/>
      <c r="OB160" s="978"/>
      <c r="OC160" s="978"/>
      <c r="OD160" s="978"/>
      <c r="OE160" s="978"/>
      <c r="OF160" s="978"/>
      <c r="OG160" s="978"/>
      <c r="OH160" s="978"/>
      <c r="OI160" s="978"/>
      <c r="OJ160" s="978"/>
      <c r="OK160" s="978"/>
      <c r="OL160" s="978"/>
      <c r="OM160" s="978"/>
      <c r="ON160" s="978"/>
      <c r="OO160" s="978"/>
      <c r="OP160" s="978"/>
      <c r="OQ160" s="978"/>
      <c r="OR160" s="978"/>
      <c r="OS160" s="978"/>
      <c r="OT160" s="978"/>
      <c r="OU160" s="978"/>
      <c r="OV160" s="978"/>
      <c r="OW160" s="978"/>
      <c r="OX160" s="978"/>
      <c r="OY160" s="978"/>
      <c r="OZ160" s="978"/>
      <c r="PA160" s="978"/>
      <c r="PB160" s="978"/>
      <c r="PC160" s="978"/>
      <c r="PD160" s="978"/>
      <c r="PE160" s="978"/>
      <c r="PF160" s="978"/>
      <c r="PG160" s="978"/>
      <c r="PH160" s="978"/>
      <c r="PI160" s="978"/>
      <c r="PJ160" s="978"/>
      <c r="PK160" s="978"/>
      <c r="PL160" s="978"/>
      <c r="PM160" s="978"/>
      <c r="PN160" s="978"/>
      <c r="PO160" s="978"/>
      <c r="PP160" s="978"/>
      <c r="PQ160" s="978"/>
      <c r="PR160" s="978"/>
      <c r="PS160" s="978"/>
      <c r="PT160" s="978"/>
      <c r="PU160" s="978"/>
      <c r="PV160" s="978"/>
      <c r="PW160" s="978"/>
      <c r="PX160" s="978"/>
      <c r="PY160" s="978"/>
      <c r="PZ160" s="978"/>
      <c r="QA160" s="978"/>
      <c r="QB160" s="978"/>
      <c r="QC160" s="978"/>
      <c r="QD160" s="978"/>
      <c r="QE160" s="978"/>
      <c r="QF160" s="978"/>
      <c r="QG160" s="978"/>
      <c r="QH160" s="978"/>
      <c r="QI160" s="978"/>
      <c r="QJ160" s="978"/>
      <c r="QK160" s="978"/>
      <c r="QL160" s="978"/>
      <c r="QM160" s="978"/>
      <c r="QN160" s="978"/>
      <c r="QO160" s="978"/>
      <c r="QP160" s="978"/>
      <c r="QQ160" s="978"/>
      <c r="QR160" s="978"/>
      <c r="QS160" s="978"/>
      <c r="QT160" s="978"/>
      <c r="QU160" s="978"/>
      <c r="QV160" s="978"/>
      <c r="QW160" s="978"/>
      <c r="QX160" s="978"/>
      <c r="QY160" s="978"/>
      <c r="QZ160" s="978"/>
      <c r="RA160" s="978"/>
      <c r="RB160" s="274"/>
      <c r="RC160" s="274"/>
    </row>
    <row r="161" spans="112:471" ht="17.25">
      <c r="DH161" s="274"/>
      <c r="DI161" s="274"/>
      <c r="DJ161" s="978"/>
      <c r="DK161" s="978"/>
      <c r="DL161" s="978"/>
      <c r="DM161" s="978"/>
      <c r="DN161" s="978"/>
      <c r="DO161" s="978"/>
      <c r="DP161" s="978"/>
      <c r="DQ161" s="978"/>
      <c r="DR161" s="978"/>
      <c r="DS161" s="978"/>
      <c r="DT161" s="978"/>
      <c r="DU161" s="978"/>
      <c r="DV161" s="978"/>
      <c r="DW161" s="978"/>
      <c r="DX161" s="978"/>
      <c r="DY161" s="978"/>
      <c r="DZ161" s="978"/>
      <c r="EA161" s="978"/>
      <c r="EB161" s="978"/>
      <c r="EC161" s="978"/>
      <c r="ED161" s="978"/>
      <c r="EE161" s="978"/>
      <c r="EF161" s="978"/>
      <c r="EG161" s="978"/>
      <c r="EH161" s="978"/>
      <c r="EI161" s="978"/>
      <c r="EJ161" s="978"/>
      <c r="EK161" s="978"/>
      <c r="EL161" s="978"/>
      <c r="EM161" s="978"/>
      <c r="EN161" s="978"/>
      <c r="EO161" s="978"/>
      <c r="EP161" s="978"/>
      <c r="EQ161" s="978"/>
      <c r="ER161" s="978"/>
      <c r="ES161" s="978"/>
      <c r="ET161" s="978"/>
      <c r="EU161" s="978"/>
      <c r="EV161" s="978"/>
      <c r="EW161" s="978"/>
      <c r="EX161" s="978"/>
      <c r="EY161" s="978"/>
      <c r="EZ161" s="978"/>
      <c r="FA161" s="978"/>
      <c r="FB161" s="978"/>
      <c r="FC161" s="978"/>
      <c r="FD161" s="978"/>
      <c r="FE161" s="978"/>
      <c r="FF161" s="978"/>
      <c r="FG161" s="978"/>
      <c r="FH161" s="978"/>
      <c r="FI161" s="978"/>
      <c r="FJ161" s="978"/>
      <c r="FK161" s="978"/>
      <c r="FL161" s="978"/>
      <c r="FM161" s="978"/>
      <c r="FN161" s="978"/>
      <c r="FO161" s="978"/>
      <c r="FP161" s="978"/>
      <c r="FQ161" s="978"/>
      <c r="FR161" s="978"/>
      <c r="FS161" s="978"/>
      <c r="FT161" s="978"/>
      <c r="FU161" s="978"/>
      <c r="FV161" s="978"/>
      <c r="FW161" s="978"/>
      <c r="FX161" s="978"/>
      <c r="FY161" s="978"/>
      <c r="FZ161" s="978"/>
      <c r="GA161" s="978"/>
      <c r="GB161" s="978"/>
      <c r="GC161" s="978"/>
      <c r="GD161" s="978"/>
      <c r="GE161" s="978"/>
      <c r="GF161" s="978"/>
      <c r="GG161" s="978"/>
      <c r="GH161" s="978"/>
      <c r="GI161" s="978"/>
      <c r="GJ161" s="978"/>
      <c r="GK161" s="978"/>
      <c r="GL161" s="978"/>
      <c r="GM161" s="978"/>
      <c r="GN161" s="978"/>
      <c r="GO161" s="978"/>
      <c r="GP161" s="978"/>
      <c r="GQ161" s="978"/>
      <c r="GR161" s="978"/>
      <c r="GS161" s="978"/>
      <c r="GT161" s="978"/>
      <c r="GU161" s="978"/>
      <c r="GV161" s="978"/>
      <c r="GW161" s="978"/>
      <c r="GX161" s="978"/>
      <c r="GY161" s="978"/>
      <c r="GZ161" s="978"/>
      <c r="HA161" s="978"/>
      <c r="HB161" s="978"/>
      <c r="HC161" s="978"/>
      <c r="HD161" s="978"/>
      <c r="HE161" s="978"/>
      <c r="HF161" s="978"/>
      <c r="HG161" s="978"/>
      <c r="HH161" s="978"/>
      <c r="HI161" s="978"/>
      <c r="HJ161" s="978"/>
      <c r="HK161" s="978"/>
      <c r="HL161" s="978"/>
      <c r="HM161" s="978"/>
      <c r="HN161" s="978"/>
      <c r="HO161" s="978"/>
      <c r="HP161" s="978"/>
      <c r="HQ161" s="978"/>
      <c r="HR161" s="978"/>
      <c r="HS161" s="978"/>
      <c r="HT161" s="978"/>
      <c r="HU161" s="978"/>
      <c r="HV161" s="978"/>
      <c r="HW161" s="978"/>
      <c r="HX161" s="978"/>
      <c r="HY161" s="978"/>
      <c r="HZ161" s="978"/>
      <c r="IA161" s="978"/>
      <c r="IB161" s="978"/>
      <c r="IC161" s="978"/>
      <c r="ID161" s="978"/>
      <c r="IE161" s="978"/>
      <c r="IF161" s="978"/>
      <c r="IG161" s="978"/>
      <c r="IH161" s="978"/>
      <c r="II161" s="978"/>
      <c r="IJ161" s="978"/>
      <c r="IK161" s="978"/>
      <c r="IL161" s="978"/>
      <c r="IM161" s="978"/>
      <c r="IN161" s="978"/>
      <c r="IO161" s="978"/>
      <c r="IP161" s="978"/>
      <c r="IQ161" s="978"/>
      <c r="IR161" s="978"/>
      <c r="IS161" s="978"/>
      <c r="IT161" s="978"/>
      <c r="IU161" s="978"/>
      <c r="IV161" s="978"/>
      <c r="IW161" s="978"/>
      <c r="IX161" s="978"/>
      <c r="IY161" s="978"/>
      <c r="IZ161" s="978"/>
      <c r="JA161" s="978"/>
      <c r="JB161" s="978"/>
      <c r="JC161" s="978"/>
      <c r="JD161" s="978"/>
      <c r="JE161" s="978"/>
      <c r="JF161" s="978"/>
      <c r="JG161" s="978"/>
      <c r="JH161" s="978"/>
      <c r="JI161" s="978"/>
      <c r="JJ161" s="978"/>
      <c r="JK161" s="978"/>
      <c r="JL161" s="978"/>
      <c r="JM161" s="978"/>
      <c r="JN161" s="978"/>
      <c r="JO161" s="978"/>
      <c r="JP161" s="978"/>
      <c r="JQ161" s="978"/>
      <c r="JR161" s="978"/>
      <c r="JS161" s="978"/>
      <c r="JT161" s="978"/>
      <c r="JU161" s="978"/>
      <c r="JV161" s="978"/>
      <c r="JW161" s="978"/>
      <c r="JX161" s="978"/>
      <c r="JY161" s="978"/>
      <c r="JZ161" s="978"/>
      <c r="KA161" s="978"/>
      <c r="KB161" s="978"/>
      <c r="KC161" s="978"/>
      <c r="KD161" s="978"/>
      <c r="KE161" s="978"/>
      <c r="KF161" s="978"/>
      <c r="KG161" s="978"/>
      <c r="KH161" s="978"/>
      <c r="KI161" s="978"/>
      <c r="KJ161" s="978"/>
      <c r="KK161" s="978"/>
      <c r="KL161" s="978"/>
      <c r="KM161" s="978"/>
      <c r="KN161" s="978"/>
      <c r="KO161" s="978"/>
      <c r="KP161" s="978"/>
      <c r="KQ161" s="978"/>
      <c r="KR161" s="978"/>
      <c r="KS161" s="978"/>
      <c r="KT161" s="978"/>
      <c r="KU161" s="978"/>
      <c r="KV161" s="978"/>
      <c r="KW161" s="978"/>
      <c r="KX161" s="978"/>
      <c r="KY161" s="978"/>
      <c r="KZ161" s="978"/>
      <c r="LA161" s="978"/>
      <c r="LB161" s="978"/>
      <c r="LC161" s="978"/>
      <c r="LD161" s="978"/>
      <c r="LE161" s="978"/>
      <c r="LF161" s="978"/>
      <c r="LG161" s="978"/>
      <c r="LH161" s="978"/>
      <c r="LI161" s="978"/>
      <c r="LJ161" s="978"/>
      <c r="LK161" s="978"/>
      <c r="LL161" s="978"/>
      <c r="LM161" s="978"/>
      <c r="LN161" s="978"/>
      <c r="LO161" s="978"/>
      <c r="LP161" s="978"/>
      <c r="LQ161" s="978"/>
      <c r="LR161" s="978"/>
      <c r="LS161" s="978"/>
      <c r="LT161" s="978"/>
      <c r="LU161" s="978"/>
      <c r="LV161" s="978"/>
      <c r="LW161" s="978"/>
      <c r="LX161" s="978"/>
      <c r="LY161" s="978"/>
      <c r="LZ161" s="978"/>
      <c r="MA161" s="978"/>
      <c r="MB161" s="978"/>
      <c r="MC161" s="978"/>
      <c r="MD161" s="978"/>
      <c r="ME161" s="978"/>
      <c r="MF161" s="978"/>
      <c r="MG161" s="978"/>
      <c r="MH161" s="978"/>
      <c r="MI161" s="978"/>
      <c r="MJ161" s="978"/>
      <c r="MK161" s="978"/>
      <c r="ML161" s="978"/>
      <c r="MM161" s="978"/>
      <c r="MN161" s="978"/>
      <c r="MO161" s="978"/>
      <c r="MP161" s="978"/>
      <c r="MQ161" s="978"/>
      <c r="MR161" s="978"/>
      <c r="MS161" s="978"/>
      <c r="MT161" s="978"/>
      <c r="MU161" s="978"/>
      <c r="MV161" s="978"/>
      <c r="MW161" s="978"/>
      <c r="MX161" s="978"/>
      <c r="MY161" s="978"/>
      <c r="MZ161" s="978"/>
      <c r="NA161" s="978"/>
      <c r="NB161" s="978"/>
      <c r="NC161" s="978"/>
      <c r="ND161" s="978"/>
      <c r="NE161" s="978"/>
      <c r="NF161" s="978"/>
      <c r="NG161" s="978"/>
      <c r="NH161" s="978"/>
      <c r="NI161" s="978"/>
      <c r="NJ161" s="978"/>
      <c r="NK161" s="978"/>
      <c r="NL161" s="978"/>
      <c r="NM161" s="978"/>
      <c r="NN161" s="978"/>
      <c r="NO161" s="978"/>
      <c r="NP161" s="978"/>
      <c r="NQ161" s="978"/>
      <c r="NR161" s="978"/>
      <c r="NS161" s="978"/>
      <c r="NT161" s="978"/>
      <c r="NU161" s="978"/>
      <c r="NV161" s="978"/>
      <c r="NW161" s="978"/>
      <c r="NX161" s="978"/>
      <c r="NY161" s="978"/>
      <c r="NZ161" s="978"/>
      <c r="OA161" s="978"/>
      <c r="OB161" s="978"/>
      <c r="OC161" s="978"/>
      <c r="OD161" s="978"/>
      <c r="OE161" s="978"/>
      <c r="OF161" s="978"/>
      <c r="OG161" s="978"/>
      <c r="OH161" s="978"/>
      <c r="OI161" s="978"/>
      <c r="OJ161" s="978"/>
      <c r="OK161" s="978"/>
      <c r="OL161" s="978"/>
      <c r="OM161" s="978"/>
      <c r="ON161" s="978"/>
      <c r="OO161" s="978"/>
      <c r="OP161" s="978"/>
      <c r="OQ161" s="978"/>
      <c r="OR161" s="978"/>
      <c r="OS161" s="978"/>
      <c r="OT161" s="978"/>
      <c r="OU161" s="978"/>
      <c r="OV161" s="978"/>
      <c r="OW161" s="978"/>
      <c r="OX161" s="978"/>
      <c r="OY161" s="978"/>
      <c r="OZ161" s="978"/>
      <c r="PA161" s="978"/>
      <c r="PB161" s="978"/>
      <c r="PC161" s="978"/>
      <c r="PD161" s="978"/>
      <c r="PE161" s="978"/>
      <c r="PF161" s="978"/>
      <c r="PG161" s="978"/>
      <c r="PH161" s="978"/>
      <c r="PI161" s="978"/>
      <c r="PJ161" s="978"/>
      <c r="PK161" s="978"/>
      <c r="PL161" s="978"/>
      <c r="PM161" s="978"/>
      <c r="PN161" s="978"/>
      <c r="PO161" s="978"/>
      <c r="PP161" s="978"/>
      <c r="PQ161" s="978"/>
      <c r="PR161" s="978"/>
      <c r="PS161" s="978"/>
      <c r="PT161" s="978"/>
      <c r="PU161" s="978"/>
      <c r="PV161" s="978"/>
      <c r="PW161" s="978"/>
      <c r="PX161" s="978"/>
      <c r="PY161" s="978"/>
      <c r="PZ161" s="978"/>
      <c r="QA161" s="978"/>
      <c r="QB161" s="978"/>
      <c r="QC161" s="978"/>
      <c r="QD161" s="978"/>
      <c r="QE161" s="978"/>
      <c r="QF161" s="978"/>
      <c r="QG161" s="978"/>
      <c r="QH161" s="978"/>
      <c r="QI161" s="978"/>
      <c r="QJ161" s="978"/>
      <c r="QK161" s="978"/>
      <c r="QL161" s="978"/>
      <c r="QM161" s="978"/>
      <c r="QN161" s="978"/>
      <c r="QO161" s="978"/>
      <c r="QP161" s="978"/>
      <c r="QQ161" s="978"/>
      <c r="QR161" s="978"/>
      <c r="QS161" s="978"/>
      <c r="QT161" s="978"/>
      <c r="QU161" s="978"/>
      <c r="QV161" s="978"/>
      <c r="QW161" s="978"/>
      <c r="QX161" s="978"/>
      <c r="QY161" s="978"/>
      <c r="QZ161" s="978"/>
      <c r="RA161" s="978"/>
      <c r="RB161" s="274"/>
      <c r="RC161" s="274"/>
    </row>
    <row r="162" spans="112:471" ht="17.25">
      <c r="DH162" s="274"/>
      <c r="DI162" s="274"/>
      <c r="DJ162" s="978"/>
      <c r="DK162" s="978"/>
      <c r="DL162" s="978"/>
      <c r="DM162" s="978"/>
      <c r="DN162" s="978"/>
      <c r="DO162" s="978"/>
      <c r="DP162" s="978"/>
      <c r="DQ162" s="978"/>
      <c r="DR162" s="978"/>
      <c r="DS162" s="978"/>
      <c r="DT162" s="978"/>
      <c r="DU162" s="978"/>
      <c r="DV162" s="978"/>
      <c r="DW162" s="978"/>
      <c r="DX162" s="978"/>
      <c r="DY162" s="978"/>
      <c r="DZ162" s="978"/>
      <c r="EA162" s="978"/>
      <c r="EB162" s="978"/>
      <c r="EC162" s="978"/>
      <c r="ED162" s="978"/>
      <c r="EE162" s="978"/>
      <c r="EF162" s="978"/>
      <c r="EG162" s="978"/>
      <c r="EH162" s="978"/>
      <c r="EI162" s="978"/>
      <c r="EJ162" s="978"/>
      <c r="EK162" s="978"/>
      <c r="EL162" s="978"/>
      <c r="EM162" s="978"/>
      <c r="EN162" s="978"/>
      <c r="EO162" s="978"/>
      <c r="EP162" s="978"/>
      <c r="EQ162" s="978"/>
      <c r="ER162" s="978"/>
      <c r="ES162" s="978"/>
      <c r="ET162" s="978"/>
      <c r="EU162" s="978"/>
      <c r="EV162" s="978"/>
      <c r="EW162" s="978"/>
      <c r="EX162" s="978"/>
      <c r="EY162" s="978"/>
      <c r="EZ162" s="978"/>
      <c r="FA162" s="978"/>
      <c r="FB162" s="978"/>
      <c r="FC162" s="978"/>
      <c r="FD162" s="978"/>
      <c r="FE162" s="978"/>
      <c r="FF162" s="978"/>
      <c r="FG162" s="978"/>
      <c r="FH162" s="978"/>
      <c r="FI162" s="978"/>
      <c r="FJ162" s="978"/>
      <c r="FK162" s="978"/>
      <c r="FL162" s="978"/>
      <c r="FM162" s="978"/>
      <c r="FN162" s="978"/>
      <c r="FO162" s="978"/>
      <c r="FP162" s="978"/>
      <c r="FQ162" s="978"/>
      <c r="FR162" s="978"/>
      <c r="FS162" s="978"/>
      <c r="FT162" s="978"/>
      <c r="FU162" s="978"/>
      <c r="FV162" s="978"/>
      <c r="FW162" s="978"/>
      <c r="FX162" s="978"/>
      <c r="FY162" s="978"/>
      <c r="FZ162" s="978"/>
      <c r="GA162" s="978"/>
      <c r="GB162" s="978"/>
      <c r="GC162" s="978"/>
      <c r="GD162" s="978"/>
      <c r="GE162" s="978"/>
      <c r="GF162" s="978"/>
      <c r="GG162" s="978"/>
      <c r="GH162" s="978"/>
      <c r="GI162" s="978"/>
      <c r="GJ162" s="978"/>
      <c r="GK162" s="978"/>
      <c r="GL162" s="978"/>
      <c r="GM162" s="978"/>
      <c r="GN162" s="978"/>
      <c r="GO162" s="978"/>
      <c r="GP162" s="978"/>
      <c r="GQ162" s="978"/>
      <c r="GR162" s="978"/>
      <c r="GS162" s="978"/>
      <c r="GT162" s="978"/>
      <c r="GU162" s="978"/>
      <c r="GV162" s="978"/>
      <c r="GW162" s="978"/>
      <c r="GX162" s="978"/>
      <c r="GY162" s="978"/>
      <c r="GZ162" s="978"/>
      <c r="HA162" s="978"/>
      <c r="HB162" s="978"/>
      <c r="HC162" s="978"/>
      <c r="HD162" s="978"/>
      <c r="HE162" s="978"/>
      <c r="HF162" s="978"/>
      <c r="HG162" s="978"/>
      <c r="HH162" s="978"/>
      <c r="HI162" s="978"/>
      <c r="HJ162" s="978"/>
      <c r="HK162" s="978"/>
      <c r="HL162" s="978"/>
      <c r="HM162" s="978"/>
      <c r="HN162" s="978"/>
      <c r="HO162" s="978"/>
      <c r="HP162" s="978"/>
      <c r="HQ162" s="978"/>
      <c r="HR162" s="978"/>
      <c r="HS162" s="978"/>
      <c r="HT162" s="978"/>
      <c r="HU162" s="978"/>
      <c r="HV162" s="978"/>
      <c r="HW162" s="978"/>
      <c r="HX162" s="978"/>
      <c r="HY162" s="978"/>
      <c r="HZ162" s="978"/>
      <c r="IA162" s="978"/>
      <c r="IB162" s="978"/>
      <c r="IC162" s="978"/>
      <c r="ID162" s="978"/>
      <c r="IE162" s="978"/>
      <c r="IF162" s="978"/>
      <c r="IG162" s="978"/>
      <c r="IH162" s="978"/>
      <c r="II162" s="978"/>
      <c r="IJ162" s="978"/>
      <c r="IK162" s="978"/>
      <c r="IL162" s="978"/>
      <c r="IM162" s="978"/>
      <c r="IN162" s="978"/>
      <c r="IO162" s="978"/>
      <c r="IP162" s="978"/>
      <c r="IQ162" s="978"/>
      <c r="IR162" s="978"/>
      <c r="IS162" s="978"/>
      <c r="IT162" s="978"/>
      <c r="IU162" s="978"/>
      <c r="IV162" s="978"/>
      <c r="IW162" s="978"/>
      <c r="IX162" s="978"/>
      <c r="IY162" s="978"/>
      <c r="IZ162" s="978"/>
      <c r="JA162" s="978"/>
      <c r="JB162" s="978"/>
      <c r="JC162" s="978"/>
      <c r="JD162" s="978"/>
      <c r="JE162" s="978"/>
      <c r="JF162" s="978"/>
      <c r="JG162" s="978"/>
      <c r="JH162" s="978"/>
      <c r="JI162" s="978"/>
      <c r="JJ162" s="978"/>
      <c r="JK162" s="978"/>
      <c r="JL162" s="978"/>
      <c r="JM162" s="978"/>
      <c r="JN162" s="978"/>
      <c r="JO162" s="978"/>
      <c r="JP162" s="978"/>
      <c r="JQ162" s="978"/>
      <c r="JR162" s="978"/>
      <c r="JS162" s="978"/>
      <c r="JT162" s="978"/>
      <c r="JU162" s="978"/>
      <c r="JV162" s="978"/>
      <c r="JW162" s="978"/>
      <c r="JX162" s="978"/>
      <c r="JY162" s="978"/>
      <c r="JZ162" s="978"/>
      <c r="KA162" s="978"/>
      <c r="KB162" s="978"/>
      <c r="KC162" s="978"/>
      <c r="KD162" s="978"/>
      <c r="KE162" s="978"/>
      <c r="KF162" s="978"/>
      <c r="KG162" s="978"/>
      <c r="KH162" s="978"/>
      <c r="KI162" s="978"/>
      <c r="KJ162" s="978"/>
      <c r="KK162" s="978"/>
      <c r="KL162" s="978"/>
      <c r="KM162" s="978"/>
      <c r="KN162" s="978"/>
      <c r="KO162" s="978"/>
      <c r="KP162" s="978"/>
      <c r="KQ162" s="978"/>
      <c r="KR162" s="978"/>
      <c r="KS162" s="978"/>
      <c r="KT162" s="978"/>
      <c r="KU162" s="978"/>
      <c r="KV162" s="978"/>
      <c r="KW162" s="978"/>
      <c r="KX162" s="978"/>
      <c r="KY162" s="978"/>
      <c r="KZ162" s="978"/>
      <c r="LA162" s="978"/>
      <c r="LB162" s="978"/>
      <c r="LC162" s="978"/>
      <c r="LD162" s="978"/>
      <c r="LE162" s="978"/>
      <c r="LF162" s="978"/>
      <c r="LG162" s="978"/>
      <c r="LH162" s="978"/>
      <c r="LI162" s="978"/>
      <c r="LJ162" s="978"/>
      <c r="LK162" s="978"/>
      <c r="LL162" s="978"/>
      <c r="LM162" s="978"/>
      <c r="LN162" s="978"/>
      <c r="LO162" s="978"/>
      <c r="LP162" s="978"/>
      <c r="LQ162" s="978"/>
      <c r="LR162" s="978"/>
      <c r="LS162" s="978"/>
      <c r="LT162" s="978"/>
      <c r="LU162" s="978"/>
      <c r="LV162" s="978"/>
      <c r="LW162" s="978"/>
      <c r="LX162" s="978"/>
      <c r="LY162" s="978"/>
      <c r="LZ162" s="978"/>
      <c r="MA162" s="978"/>
      <c r="MB162" s="978"/>
      <c r="MC162" s="978"/>
      <c r="MD162" s="978"/>
      <c r="ME162" s="978"/>
      <c r="MF162" s="978"/>
      <c r="MG162" s="978"/>
      <c r="MH162" s="978"/>
      <c r="MI162" s="978"/>
      <c r="MJ162" s="978"/>
      <c r="MK162" s="978"/>
      <c r="ML162" s="978"/>
      <c r="MM162" s="978"/>
      <c r="MN162" s="978"/>
      <c r="MO162" s="978"/>
      <c r="MP162" s="978"/>
      <c r="MQ162" s="978"/>
      <c r="MR162" s="978"/>
      <c r="MS162" s="978"/>
      <c r="MT162" s="978"/>
      <c r="MU162" s="978"/>
      <c r="MV162" s="978"/>
      <c r="MW162" s="978"/>
      <c r="MX162" s="978"/>
      <c r="MY162" s="978"/>
      <c r="MZ162" s="978"/>
      <c r="NA162" s="978"/>
      <c r="NB162" s="978"/>
      <c r="NC162" s="978"/>
      <c r="ND162" s="978"/>
      <c r="NE162" s="978"/>
      <c r="NF162" s="978"/>
      <c r="NG162" s="978"/>
      <c r="NH162" s="978"/>
      <c r="NI162" s="978"/>
      <c r="NJ162" s="978"/>
      <c r="NK162" s="978"/>
      <c r="NL162" s="978"/>
      <c r="NM162" s="978"/>
      <c r="NN162" s="978"/>
      <c r="NO162" s="978"/>
      <c r="NP162" s="978"/>
      <c r="NQ162" s="978"/>
      <c r="NR162" s="978"/>
      <c r="NS162" s="978"/>
      <c r="NT162" s="978"/>
      <c r="NU162" s="978"/>
      <c r="NV162" s="978"/>
      <c r="NW162" s="978"/>
      <c r="NX162" s="978"/>
      <c r="NY162" s="978"/>
      <c r="NZ162" s="978"/>
      <c r="OA162" s="978"/>
      <c r="OB162" s="978"/>
      <c r="OC162" s="978"/>
      <c r="OD162" s="978"/>
      <c r="OE162" s="978"/>
      <c r="OF162" s="978"/>
      <c r="OG162" s="978"/>
      <c r="OH162" s="978"/>
      <c r="OI162" s="978"/>
      <c r="OJ162" s="978"/>
      <c r="OK162" s="978"/>
      <c r="OL162" s="978"/>
      <c r="OM162" s="978"/>
      <c r="ON162" s="978"/>
      <c r="OO162" s="978"/>
      <c r="OP162" s="978"/>
      <c r="OQ162" s="978"/>
      <c r="OR162" s="978"/>
      <c r="OS162" s="978"/>
      <c r="OT162" s="978"/>
      <c r="OU162" s="978"/>
      <c r="OV162" s="978"/>
      <c r="OW162" s="978"/>
      <c r="OX162" s="978"/>
      <c r="OY162" s="978"/>
      <c r="OZ162" s="978"/>
      <c r="PA162" s="978"/>
      <c r="PB162" s="978"/>
      <c r="PC162" s="978"/>
      <c r="PD162" s="978"/>
      <c r="PE162" s="978"/>
      <c r="PF162" s="978"/>
      <c r="PG162" s="978"/>
      <c r="PH162" s="978"/>
      <c r="PI162" s="978"/>
      <c r="PJ162" s="978"/>
      <c r="PK162" s="978"/>
      <c r="PL162" s="978"/>
      <c r="PM162" s="978"/>
      <c r="PN162" s="978"/>
      <c r="PO162" s="978"/>
      <c r="PP162" s="978"/>
      <c r="PQ162" s="978"/>
      <c r="PR162" s="978"/>
      <c r="PS162" s="978"/>
      <c r="PT162" s="978"/>
      <c r="PU162" s="978"/>
      <c r="PV162" s="978"/>
      <c r="PW162" s="978"/>
      <c r="PX162" s="978"/>
      <c r="PY162" s="978"/>
      <c r="PZ162" s="978"/>
      <c r="QA162" s="978"/>
      <c r="QB162" s="978"/>
      <c r="QC162" s="978"/>
      <c r="QD162" s="978"/>
      <c r="QE162" s="978"/>
      <c r="QF162" s="978"/>
      <c r="QG162" s="978"/>
      <c r="QH162" s="978"/>
      <c r="QI162" s="978"/>
      <c r="QJ162" s="978"/>
      <c r="QK162" s="978"/>
      <c r="QL162" s="978"/>
      <c r="QM162" s="978"/>
      <c r="QN162" s="978"/>
      <c r="QO162" s="978"/>
      <c r="QP162" s="978"/>
      <c r="QQ162" s="978"/>
      <c r="QR162" s="978"/>
      <c r="QS162" s="978"/>
      <c r="QT162" s="978"/>
      <c r="QU162" s="978"/>
      <c r="QV162" s="978"/>
      <c r="QW162" s="978"/>
      <c r="QX162" s="978"/>
      <c r="QY162" s="978"/>
      <c r="QZ162" s="978"/>
      <c r="RA162" s="978"/>
      <c r="RB162" s="274"/>
      <c r="RC162" s="274"/>
    </row>
    <row r="163" spans="112:471" ht="17.25">
      <c r="DH163" s="274"/>
      <c r="DI163" s="274"/>
      <c r="DJ163" s="978"/>
      <c r="DK163" s="978"/>
      <c r="DL163" s="978"/>
      <c r="DM163" s="978"/>
      <c r="DN163" s="978"/>
      <c r="DO163" s="978"/>
      <c r="DP163" s="978"/>
      <c r="DQ163" s="978"/>
      <c r="DR163" s="978"/>
      <c r="DS163" s="978"/>
      <c r="DT163" s="978"/>
      <c r="DU163" s="978"/>
      <c r="DV163" s="978"/>
      <c r="DW163" s="978"/>
      <c r="DX163" s="978"/>
      <c r="DY163" s="978"/>
      <c r="DZ163" s="978"/>
      <c r="EA163" s="978"/>
      <c r="EB163" s="978"/>
      <c r="EC163" s="978"/>
      <c r="ED163" s="978"/>
      <c r="EE163" s="978"/>
      <c r="EF163" s="978"/>
      <c r="EG163" s="978"/>
      <c r="EH163" s="978"/>
      <c r="EI163" s="978"/>
      <c r="EJ163" s="978"/>
      <c r="EK163" s="978"/>
      <c r="EL163" s="978"/>
      <c r="EM163" s="978"/>
      <c r="EN163" s="978"/>
      <c r="EO163" s="978"/>
      <c r="EP163" s="978"/>
      <c r="EQ163" s="978"/>
      <c r="ER163" s="978"/>
      <c r="ES163" s="978"/>
      <c r="ET163" s="978"/>
      <c r="EU163" s="978"/>
      <c r="EV163" s="978"/>
      <c r="EW163" s="978"/>
      <c r="EX163" s="978"/>
      <c r="EY163" s="978"/>
      <c r="EZ163" s="978"/>
      <c r="FA163" s="978"/>
      <c r="FB163" s="978"/>
      <c r="FC163" s="978"/>
      <c r="FD163" s="978"/>
      <c r="FE163" s="978"/>
      <c r="FF163" s="978"/>
      <c r="FG163" s="978"/>
      <c r="FH163" s="978"/>
      <c r="FI163" s="978"/>
      <c r="FJ163" s="978"/>
      <c r="FK163" s="978"/>
      <c r="FL163" s="978"/>
      <c r="FM163" s="978"/>
      <c r="FN163" s="978"/>
      <c r="FO163" s="978"/>
      <c r="FP163" s="978"/>
      <c r="FQ163" s="978"/>
      <c r="FR163" s="978"/>
      <c r="FS163" s="978"/>
      <c r="FT163" s="978"/>
      <c r="FU163" s="978"/>
      <c r="FV163" s="978"/>
      <c r="FW163" s="978"/>
      <c r="FX163" s="978"/>
      <c r="FY163" s="978"/>
      <c r="FZ163" s="978"/>
      <c r="GA163" s="978"/>
      <c r="GB163" s="978"/>
      <c r="GC163" s="978"/>
      <c r="GD163" s="978"/>
      <c r="GE163" s="978"/>
      <c r="GF163" s="978"/>
      <c r="GG163" s="978"/>
      <c r="GH163" s="978"/>
      <c r="GI163" s="978"/>
      <c r="GJ163" s="978"/>
      <c r="GK163" s="978"/>
      <c r="GL163" s="978"/>
      <c r="GM163" s="978"/>
      <c r="GN163" s="978"/>
      <c r="GO163" s="978"/>
      <c r="GP163" s="978"/>
      <c r="GQ163" s="978"/>
      <c r="GR163" s="978"/>
      <c r="GS163" s="978"/>
      <c r="GT163" s="978"/>
      <c r="GU163" s="978"/>
      <c r="GV163" s="978"/>
      <c r="GW163" s="978"/>
      <c r="GX163" s="978"/>
      <c r="GY163" s="978"/>
      <c r="GZ163" s="978"/>
      <c r="HA163" s="978"/>
      <c r="HB163" s="978"/>
      <c r="HC163" s="978"/>
      <c r="HD163" s="978"/>
      <c r="HE163" s="978"/>
      <c r="HF163" s="978"/>
      <c r="HG163" s="978"/>
      <c r="HH163" s="978"/>
      <c r="HI163" s="978"/>
      <c r="HJ163" s="978"/>
      <c r="HK163" s="978"/>
      <c r="HL163" s="978"/>
      <c r="HM163" s="978"/>
      <c r="HN163" s="978"/>
      <c r="HO163" s="978"/>
      <c r="HP163" s="978"/>
      <c r="HQ163" s="978"/>
      <c r="HR163" s="978"/>
      <c r="HS163" s="978"/>
      <c r="HT163" s="978"/>
      <c r="HU163" s="978"/>
      <c r="HV163" s="978"/>
      <c r="HW163" s="978"/>
      <c r="HX163" s="978"/>
      <c r="HY163" s="978"/>
      <c r="HZ163" s="978"/>
      <c r="IA163" s="978"/>
      <c r="IB163" s="978"/>
      <c r="IC163" s="978"/>
      <c r="ID163" s="978"/>
      <c r="IE163" s="978"/>
      <c r="IF163" s="978"/>
      <c r="IG163" s="978"/>
      <c r="IH163" s="978"/>
      <c r="II163" s="978"/>
      <c r="IJ163" s="978"/>
      <c r="IK163" s="978"/>
      <c r="IL163" s="978"/>
      <c r="IM163" s="978"/>
      <c r="IN163" s="978"/>
      <c r="IO163" s="978"/>
      <c r="IP163" s="978"/>
      <c r="IQ163" s="978"/>
      <c r="IR163" s="978"/>
      <c r="IS163" s="978"/>
      <c r="IT163" s="978"/>
      <c r="IU163" s="978"/>
      <c r="IV163" s="978"/>
      <c r="IW163" s="978"/>
      <c r="IX163" s="978"/>
      <c r="IY163" s="978"/>
      <c r="IZ163" s="978"/>
      <c r="JA163" s="978"/>
      <c r="JB163" s="978"/>
      <c r="JC163" s="978"/>
      <c r="JD163" s="978"/>
      <c r="JE163" s="978"/>
      <c r="JF163" s="978"/>
      <c r="JG163" s="978"/>
      <c r="JH163" s="978"/>
      <c r="JI163" s="978"/>
      <c r="JJ163" s="978"/>
      <c r="JK163" s="978"/>
      <c r="JL163" s="978"/>
      <c r="JM163" s="978"/>
      <c r="JN163" s="978"/>
      <c r="JO163" s="978"/>
      <c r="JP163" s="978"/>
      <c r="JQ163" s="978"/>
      <c r="JR163" s="978"/>
      <c r="JS163" s="978"/>
      <c r="JT163" s="978"/>
      <c r="JU163" s="978"/>
      <c r="JV163" s="978"/>
      <c r="JW163" s="978"/>
      <c r="JX163" s="978"/>
      <c r="JY163" s="978"/>
      <c r="JZ163" s="978"/>
      <c r="KA163" s="978"/>
      <c r="KB163" s="978"/>
      <c r="KC163" s="978"/>
      <c r="KD163" s="978"/>
      <c r="KE163" s="978"/>
      <c r="KF163" s="978"/>
      <c r="KG163" s="978"/>
      <c r="KH163" s="978"/>
      <c r="KI163" s="978"/>
      <c r="KJ163" s="978"/>
      <c r="KK163" s="978"/>
      <c r="KL163" s="978"/>
      <c r="KM163" s="978"/>
      <c r="KN163" s="978"/>
      <c r="KO163" s="978"/>
      <c r="KP163" s="978"/>
      <c r="KQ163" s="978"/>
      <c r="KR163" s="978"/>
      <c r="KS163" s="978"/>
      <c r="KT163" s="978"/>
      <c r="KU163" s="978"/>
      <c r="KV163" s="978"/>
      <c r="KW163" s="978"/>
      <c r="KX163" s="978"/>
      <c r="KY163" s="978"/>
      <c r="KZ163" s="978"/>
      <c r="LA163" s="978"/>
      <c r="LB163" s="978"/>
      <c r="LC163" s="978"/>
      <c r="LD163" s="978"/>
      <c r="LE163" s="978"/>
      <c r="LF163" s="978"/>
      <c r="LG163" s="978"/>
      <c r="LH163" s="978"/>
      <c r="LI163" s="978"/>
      <c r="LJ163" s="978"/>
      <c r="LK163" s="978"/>
      <c r="LL163" s="978"/>
      <c r="LM163" s="978"/>
      <c r="LN163" s="978"/>
      <c r="LO163" s="978"/>
      <c r="LP163" s="978"/>
      <c r="LQ163" s="978"/>
      <c r="LR163" s="978"/>
      <c r="LS163" s="978"/>
      <c r="LT163" s="978"/>
      <c r="LU163" s="978"/>
      <c r="LV163" s="978"/>
      <c r="LW163" s="978"/>
      <c r="LX163" s="978"/>
      <c r="LY163" s="978"/>
      <c r="LZ163" s="978"/>
      <c r="MA163" s="978"/>
      <c r="MB163" s="978"/>
      <c r="MC163" s="978"/>
      <c r="MD163" s="978"/>
      <c r="ME163" s="978"/>
      <c r="MF163" s="978"/>
      <c r="MG163" s="978"/>
      <c r="MH163" s="978"/>
      <c r="MI163" s="978"/>
      <c r="MJ163" s="978"/>
      <c r="MK163" s="978"/>
      <c r="ML163" s="978"/>
      <c r="MM163" s="978"/>
      <c r="MN163" s="978"/>
      <c r="MO163" s="978"/>
      <c r="MP163" s="978"/>
      <c r="MQ163" s="978"/>
      <c r="MR163" s="978"/>
      <c r="MS163" s="978"/>
      <c r="MT163" s="978"/>
      <c r="MU163" s="978"/>
      <c r="MV163" s="978"/>
      <c r="MW163" s="978"/>
      <c r="MX163" s="978"/>
      <c r="MY163" s="978"/>
      <c r="MZ163" s="978"/>
      <c r="NA163" s="978"/>
      <c r="NB163" s="978"/>
      <c r="NC163" s="978"/>
      <c r="ND163" s="978"/>
      <c r="NE163" s="978"/>
      <c r="NF163" s="978"/>
      <c r="NG163" s="978"/>
      <c r="NH163" s="978"/>
      <c r="NI163" s="978"/>
      <c r="NJ163" s="978"/>
      <c r="NK163" s="978"/>
      <c r="NL163" s="978"/>
      <c r="NM163" s="978"/>
      <c r="NN163" s="978"/>
      <c r="NO163" s="978"/>
      <c r="NP163" s="978"/>
      <c r="NQ163" s="978"/>
      <c r="NR163" s="978"/>
      <c r="NS163" s="978"/>
      <c r="NT163" s="978"/>
      <c r="NU163" s="978"/>
      <c r="NV163" s="978"/>
      <c r="NW163" s="978"/>
      <c r="NX163" s="978"/>
      <c r="NY163" s="978"/>
      <c r="NZ163" s="978"/>
      <c r="OA163" s="978"/>
      <c r="OB163" s="978"/>
      <c r="OC163" s="978"/>
      <c r="OD163" s="978"/>
      <c r="OE163" s="978"/>
      <c r="OF163" s="978"/>
      <c r="OG163" s="978"/>
      <c r="OH163" s="978"/>
      <c r="OI163" s="978"/>
      <c r="OJ163" s="978"/>
      <c r="OK163" s="978"/>
      <c r="OL163" s="978"/>
      <c r="OM163" s="978"/>
      <c r="ON163" s="978"/>
      <c r="OO163" s="978"/>
      <c r="OP163" s="978"/>
      <c r="OQ163" s="978"/>
      <c r="OR163" s="978"/>
      <c r="OS163" s="978"/>
      <c r="OT163" s="978"/>
      <c r="OU163" s="978"/>
      <c r="OV163" s="978"/>
      <c r="OW163" s="978"/>
      <c r="OX163" s="978"/>
      <c r="OY163" s="978"/>
      <c r="OZ163" s="978"/>
      <c r="PA163" s="978"/>
      <c r="PB163" s="978"/>
      <c r="PC163" s="978"/>
      <c r="PD163" s="978"/>
      <c r="PE163" s="978"/>
      <c r="PF163" s="978"/>
      <c r="PG163" s="978"/>
      <c r="PH163" s="978"/>
      <c r="PI163" s="978"/>
      <c r="PJ163" s="978"/>
      <c r="PK163" s="978"/>
      <c r="PL163" s="978"/>
      <c r="PM163" s="978"/>
      <c r="PN163" s="978"/>
      <c r="PO163" s="978"/>
      <c r="PP163" s="978"/>
      <c r="PQ163" s="978"/>
      <c r="PR163" s="978"/>
      <c r="PS163" s="978"/>
      <c r="PT163" s="978"/>
      <c r="PU163" s="978"/>
      <c r="PV163" s="978"/>
      <c r="PW163" s="978"/>
      <c r="PX163" s="978"/>
      <c r="PY163" s="978"/>
      <c r="PZ163" s="978"/>
      <c r="QA163" s="978"/>
      <c r="QB163" s="978"/>
      <c r="QC163" s="978"/>
      <c r="QD163" s="978"/>
      <c r="QE163" s="978"/>
      <c r="QF163" s="978"/>
      <c r="QG163" s="978"/>
      <c r="QH163" s="978"/>
      <c r="QI163" s="978"/>
      <c r="QJ163" s="978"/>
      <c r="QK163" s="978"/>
      <c r="QL163" s="978"/>
      <c r="QM163" s="978"/>
      <c r="QN163" s="978"/>
      <c r="QO163" s="978"/>
      <c r="QP163" s="978"/>
      <c r="QQ163" s="978"/>
      <c r="QR163" s="978"/>
      <c r="QS163" s="978"/>
      <c r="QT163" s="978"/>
      <c r="QU163" s="978"/>
      <c r="QV163" s="978"/>
      <c r="QW163" s="978"/>
      <c r="QX163" s="978"/>
      <c r="QY163" s="978"/>
      <c r="QZ163" s="978"/>
      <c r="RA163" s="978"/>
      <c r="RB163" s="274"/>
      <c r="RC163" s="274"/>
    </row>
    <row r="164" spans="112:471">
      <c r="DH164" s="274"/>
      <c r="DI164" s="274"/>
      <c r="DJ164" s="274"/>
      <c r="DK164" s="274"/>
      <c r="DL164" s="274"/>
      <c r="DM164" s="274"/>
      <c r="DN164" s="274"/>
      <c r="DO164" s="274"/>
      <c r="DP164" s="274"/>
      <c r="DQ164" s="274"/>
      <c r="DR164" s="274"/>
      <c r="DS164" s="274"/>
      <c r="DT164" s="274"/>
      <c r="DU164" s="274"/>
      <c r="DV164" s="274"/>
      <c r="DW164" s="274"/>
      <c r="DX164" s="274"/>
      <c r="DY164" s="274"/>
      <c r="DZ164" s="274"/>
      <c r="EA164" s="274"/>
      <c r="EB164" s="274"/>
      <c r="EC164" s="274"/>
      <c r="ED164" s="274"/>
      <c r="EE164" s="274"/>
      <c r="EF164" s="274"/>
      <c r="EG164" s="274"/>
      <c r="EH164" s="274"/>
      <c r="EI164" s="274"/>
      <c r="EJ164" s="274"/>
      <c r="EK164" s="274"/>
      <c r="EL164" s="274"/>
      <c r="EM164" s="274"/>
      <c r="EN164" s="274"/>
      <c r="EO164" s="274"/>
      <c r="EP164" s="274"/>
      <c r="EQ164" s="274"/>
      <c r="ER164" s="274"/>
      <c r="ES164" s="274"/>
      <c r="ET164" s="274"/>
      <c r="EU164" s="274"/>
      <c r="EV164" s="274"/>
      <c r="EW164" s="274"/>
      <c r="EX164" s="274"/>
      <c r="EY164" s="274"/>
      <c r="EZ164" s="274"/>
      <c r="FA164" s="274"/>
      <c r="FB164" s="274"/>
      <c r="FC164" s="274"/>
      <c r="FD164" s="274"/>
      <c r="FE164" s="274"/>
      <c r="FF164" s="274"/>
      <c r="FG164" s="274"/>
      <c r="FH164" s="274"/>
      <c r="FI164" s="274"/>
      <c r="FJ164" s="274"/>
      <c r="FK164" s="274"/>
      <c r="FL164" s="274"/>
      <c r="FM164" s="274"/>
      <c r="FN164" s="274"/>
      <c r="FO164" s="274"/>
      <c r="FP164" s="274"/>
      <c r="FQ164" s="274"/>
      <c r="FR164" s="274"/>
      <c r="FS164" s="274"/>
      <c r="FT164" s="274"/>
      <c r="FU164" s="274"/>
      <c r="FV164" s="274"/>
      <c r="FW164" s="274"/>
      <c r="FX164" s="274"/>
      <c r="FY164" s="274"/>
      <c r="FZ164" s="274"/>
      <c r="GA164" s="274"/>
      <c r="GB164" s="274"/>
      <c r="GC164" s="274"/>
      <c r="GD164" s="274"/>
      <c r="GE164" s="274"/>
      <c r="GF164" s="274"/>
      <c r="GG164" s="274"/>
      <c r="GH164" s="274"/>
      <c r="GI164" s="274"/>
      <c r="GJ164" s="274"/>
      <c r="GK164" s="274"/>
      <c r="GL164" s="274"/>
      <c r="GM164" s="274"/>
      <c r="GN164" s="274"/>
      <c r="GO164" s="274"/>
      <c r="GP164" s="274"/>
      <c r="GQ164" s="274"/>
      <c r="GR164" s="274"/>
      <c r="GS164" s="274"/>
      <c r="GT164" s="274"/>
      <c r="GU164" s="274"/>
      <c r="GV164" s="274"/>
      <c r="GW164" s="274"/>
      <c r="GX164" s="274"/>
      <c r="GY164" s="274"/>
      <c r="GZ164" s="274"/>
      <c r="HA164" s="274"/>
      <c r="HB164" s="274"/>
      <c r="HC164" s="274"/>
      <c r="HD164" s="274"/>
      <c r="HE164" s="274"/>
      <c r="HF164" s="274"/>
      <c r="HG164" s="274"/>
      <c r="HH164" s="274"/>
      <c r="HI164" s="274"/>
      <c r="HJ164" s="274"/>
      <c r="HK164" s="274"/>
      <c r="HL164" s="274"/>
      <c r="HM164" s="274"/>
      <c r="HN164" s="274"/>
      <c r="HO164" s="274"/>
      <c r="HP164" s="274"/>
      <c r="HQ164" s="274"/>
      <c r="HR164" s="274"/>
      <c r="HS164" s="274"/>
      <c r="HT164" s="274"/>
      <c r="HU164" s="274"/>
      <c r="HV164" s="274"/>
      <c r="HW164" s="274"/>
      <c r="HX164" s="274"/>
      <c r="HY164" s="274"/>
      <c r="HZ164" s="274"/>
      <c r="IA164" s="274"/>
      <c r="IB164" s="274"/>
      <c r="IC164" s="274"/>
      <c r="ID164" s="274"/>
      <c r="IE164" s="274"/>
      <c r="IF164" s="274"/>
      <c r="IG164" s="274"/>
      <c r="IH164" s="274"/>
      <c r="II164" s="274"/>
      <c r="IJ164" s="274"/>
      <c r="IK164" s="274"/>
      <c r="IL164" s="274"/>
      <c r="IM164" s="274"/>
      <c r="IN164" s="274"/>
      <c r="IO164" s="274"/>
      <c r="IP164" s="274"/>
      <c r="IQ164" s="274"/>
      <c r="IR164" s="274"/>
      <c r="IS164" s="274"/>
      <c r="IT164" s="274"/>
      <c r="IU164" s="274"/>
      <c r="IV164" s="274"/>
      <c r="IW164" s="274"/>
      <c r="IX164" s="274"/>
      <c r="IY164" s="274"/>
      <c r="IZ164" s="274"/>
      <c r="JA164" s="274"/>
      <c r="JB164" s="274"/>
      <c r="JC164" s="274"/>
      <c r="JD164" s="274"/>
      <c r="JE164" s="274"/>
      <c r="JF164" s="274"/>
      <c r="JG164" s="274"/>
      <c r="JH164" s="274"/>
      <c r="JI164" s="274"/>
      <c r="JJ164" s="274"/>
      <c r="JK164" s="274"/>
      <c r="JL164" s="274"/>
      <c r="JM164" s="274"/>
      <c r="JN164" s="274"/>
      <c r="JO164" s="274"/>
      <c r="JP164" s="274"/>
      <c r="JQ164" s="274"/>
      <c r="JR164" s="274"/>
      <c r="JS164" s="274"/>
      <c r="JT164" s="274"/>
      <c r="JU164" s="274"/>
      <c r="JV164" s="274"/>
      <c r="JW164" s="274"/>
      <c r="JX164" s="274"/>
      <c r="JY164" s="274"/>
      <c r="JZ164" s="274"/>
      <c r="KA164" s="274"/>
      <c r="KB164" s="274"/>
      <c r="KC164" s="274"/>
      <c r="KD164" s="274"/>
      <c r="KE164" s="274"/>
      <c r="KF164" s="274"/>
      <c r="KG164" s="274"/>
      <c r="KH164" s="274"/>
      <c r="KI164" s="274"/>
      <c r="KJ164" s="274"/>
      <c r="KK164" s="274"/>
      <c r="KL164" s="274"/>
      <c r="KM164" s="274"/>
      <c r="KN164" s="274"/>
      <c r="KO164" s="274"/>
      <c r="KP164" s="274"/>
      <c r="KQ164" s="274"/>
      <c r="KR164" s="274"/>
      <c r="KS164" s="274"/>
      <c r="KT164" s="274"/>
      <c r="KU164" s="274"/>
      <c r="KV164" s="274"/>
      <c r="KW164" s="274"/>
      <c r="KX164" s="274"/>
      <c r="KY164" s="274"/>
      <c r="KZ164" s="274"/>
      <c r="LA164" s="274"/>
      <c r="LB164" s="274"/>
      <c r="LC164" s="274"/>
      <c r="LD164" s="274"/>
      <c r="LE164" s="274"/>
      <c r="LF164" s="274"/>
      <c r="LG164" s="274"/>
      <c r="LH164" s="274"/>
      <c r="LI164" s="274"/>
      <c r="LJ164" s="274"/>
      <c r="LK164" s="274"/>
      <c r="LL164" s="274"/>
      <c r="LM164" s="274"/>
      <c r="LN164" s="274"/>
      <c r="LO164" s="274"/>
      <c r="LP164" s="274"/>
      <c r="LQ164" s="274"/>
      <c r="LR164" s="274"/>
      <c r="LS164" s="274"/>
      <c r="LT164" s="274"/>
      <c r="LU164" s="274"/>
      <c r="LV164" s="274"/>
      <c r="LW164" s="274"/>
      <c r="LX164" s="274"/>
      <c r="LY164" s="274"/>
      <c r="LZ164" s="274"/>
      <c r="MA164" s="274"/>
      <c r="MB164" s="274"/>
      <c r="MC164" s="274"/>
      <c r="MD164" s="274"/>
      <c r="ME164" s="274"/>
      <c r="MF164" s="274"/>
      <c r="MG164" s="274"/>
      <c r="MH164" s="274"/>
      <c r="MI164" s="274"/>
      <c r="MJ164" s="274"/>
      <c r="MK164" s="274"/>
      <c r="ML164" s="274"/>
      <c r="MM164" s="274"/>
      <c r="MN164" s="274"/>
      <c r="MO164" s="274"/>
      <c r="MP164" s="274"/>
      <c r="MQ164" s="274"/>
      <c r="MR164" s="274"/>
      <c r="MS164" s="274"/>
      <c r="MT164" s="274"/>
      <c r="MU164" s="274"/>
      <c r="MV164" s="274"/>
      <c r="MW164" s="274"/>
      <c r="MX164" s="274"/>
      <c r="MY164" s="274"/>
      <c r="MZ164" s="274"/>
      <c r="NA164" s="274"/>
      <c r="NB164" s="274"/>
      <c r="NC164" s="274"/>
      <c r="ND164" s="274"/>
      <c r="NE164" s="274"/>
      <c r="NF164" s="274"/>
      <c r="NG164" s="274"/>
      <c r="NH164" s="274"/>
      <c r="NI164" s="274"/>
      <c r="NJ164" s="274"/>
      <c r="NK164" s="274"/>
      <c r="NL164" s="274"/>
      <c r="NM164" s="274"/>
      <c r="NN164" s="274"/>
      <c r="NO164" s="274"/>
      <c r="NP164" s="274"/>
      <c r="NQ164" s="274"/>
      <c r="NR164" s="274"/>
      <c r="NS164" s="274"/>
      <c r="NT164" s="274"/>
      <c r="NU164" s="274"/>
      <c r="NV164" s="274"/>
      <c r="NW164" s="274"/>
      <c r="NX164" s="274"/>
      <c r="NY164" s="274"/>
      <c r="NZ164" s="274"/>
      <c r="OA164" s="274"/>
      <c r="OB164" s="274"/>
      <c r="OC164" s="274"/>
      <c r="OD164" s="274"/>
      <c r="OE164" s="274"/>
      <c r="OF164" s="274"/>
      <c r="OG164" s="274"/>
      <c r="OH164" s="274"/>
      <c r="OI164" s="274"/>
      <c r="OJ164" s="274"/>
      <c r="OK164" s="274"/>
      <c r="OL164" s="274"/>
      <c r="OM164" s="274"/>
      <c r="ON164" s="274"/>
      <c r="OO164" s="274"/>
      <c r="OP164" s="274"/>
      <c r="OQ164" s="274"/>
      <c r="OR164" s="274"/>
      <c r="OS164" s="274"/>
      <c r="OT164" s="274"/>
      <c r="OU164" s="274"/>
      <c r="OV164" s="274"/>
      <c r="OW164" s="274"/>
      <c r="OX164" s="274"/>
      <c r="OY164" s="274"/>
      <c r="OZ164" s="274"/>
      <c r="PA164" s="274"/>
      <c r="PB164" s="274"/>
      <c r="PC164" s="274"/>
      <c r="PD164" s="274"/>
      <c r="PE164" s="274"/>
      <c r="PF164" s="274"/>
      <c r="PG164" s="274"/>
      <c r="PH164" s="274"/>
      <c r="PI164" s="274"/>
      <c r="PJ164" s="274"/>
      <c r="PK164" s="274"/>
      <c r="PL164" s="274"/>
      <c r="PM164" s="274"/>
      <c r="PN164" s="274"/>
      <c r="PO164" s="274"/>
      <c r="PP164" s="274"/>
      <c r="PQ164" s="274"/>
      <c r="PR164" s="274"/>
      <c r="PS164" s="274"/>
      <c r="PT164" s="274"/>
      <c r="PU164" s="274"/>
      <c r="PV164" s="274"/>
      <c r="PW164" s="274"/>
      <c r="PX164" s="274"/>
      <c r="PY164" s="274"/>
      <c r="PZ164" s="274"/>
      <c r="QA164" s="274"/>
      <c r="QB164" s="274"/>
      <c r="QC164" s="274"/>
      <c r="QD164" s="274"/>
      <c r="QE164" s="274"/>
      <c r="QF164" s="274"/>
      <c r="QG164" s="274"/>
      <c r="QH164" s="274"/>
      <c r="QI164" s="274"/>
      <c r="QJ164" s="274"/>
      <c r="QK164" s="274"/>
      <c r="QL164" s="274"/>
      <c r="QM164" s="274"/>
      <c r="QN164" s="274"/>
      <c r="QO164" s="274"/>
      <c r="QP164" s="274"/>
      <c r="QQ164" s="274"/>
      <c r="QR164" s="274"/>
      <c r="QS164" s="274"/>
      <c r="QT164" s="274"/>
      <c r="QU164" s="274"/>
      <c r="QV164" s="274"/>
      <c r="QW164" s="274"/>
      <c r="QX164" s="274"/>
      <c r="QY164" s="274"/>
      <c r="QZ164" s="274"/>
      <c r="RA164" s="274"/>
      <c r="RB164" s="274"/>
      <c r="RC164" s="274"/>
    </row>
    <row r="165" spans="112:471">
      <c r="DH165" s="274"/>
      <c r="DI165" s="274"/>
      <c r="DJ165" s="274"/>
      <c r="DK165" s="274"/>
      <c r="DL165" s="274"/>
      <c r="DM165" s="274"/>
      <c r="DN165" s="274"/>
      <c r="DO165" s="274"/>
      <c r="DP165" s="274"/>
      <c r="DQ165" s="274"/>
      <c r="DR165" s="274"/>
      <c r="DS165" s="274"/>
      <c r="DT165" s="274"/>
      <c r="DU165" s="274"/>
      <c r="DV165" s="274"/>
      <c r="DW165" s="274"/>
      <c r="DX165" s="274"/>
      <c r="DY165" s="274"/>
      <c r="DZ165" s="274"/>
      <c r="EA165" s="274"/>
      <c r="EB165" s="274"/>
      <c r="EC165" s="274"/>
      <c r="ED165" s="274"/>
      <c r="EE165" s="274"/>
      <c r="EF165" s="274"/>
      <c r="EG165" s="274"/>
      <c r="EH165" s="274"/>
      <c r="EI165" s="274"/>
      <c r="EJ165" s="274"/>
      <c r="EK165" s="274"/>
      <c r="EL165" s="274"/>
      <c r="EM165" s="274"/>
      <c r="EN165" s="274"/>
      <c r="EO165" s="274"/>
      <c r="EP165" s="274"/>
      <c r="EQ165" s="274"/>
      <c r="ER165" s="274"/>
      <c r="ES165" s="274"/>
      <c r="ET165" s="274"/>
      <c r="EU165" s="274"/>
      <c r="EV165" s="274"/>
      <c r="EW165" s="274"/>
      <c r="EX165" s="274"/>
      <c r="EY165" s="274"/>
      <c r="EZ165" s="274"/>
      <c r="FA165" s="274"/>
      <c r="FB165" s="274"/>
      <c r="FC165" s="274"/>
      <c r="FD165" s="274"/>
      <c r="FE165" s="274"/>
      <c r="FF165" s="274"/>
      <c r="FG165" s="274"/>
      <c r="FH165" s="274"/>
      <c r="FI165" s="274"/>
      <c r="FJ165" s="274"/>
      <c r="FK165" s="274"/>
      <c r="FL165" s="274"/>
      <c r="FM165" s="274"/>
      <c r="FN165" s="274"/>
      <c r="FO165" s="274"/>
      <c r="FP165" s="274"/>
      <c r="FQ165" s="274"/>
      <c r="FR165" s="274"/>
      <c r="FS165" s="274"/>
      <c r="FT165" s="274"/>
      <c r="FU165" s="274"/>
      <c r="FV165" s="274"/>
      <c r="FW165" s="274"/>
      <c r="FX165" s="274"/>
      <c r="FY165" s="274"/>
      <c r="FZ165" s="274"/>
      <c r="GA165" s="274"/>
      <c r="GB165" s="274"/>
      <c r="GC165" s="274"/>
      <c r="GD165" s="274"/>
      <c r="GE165" s="274"/>
      <c r="GF165" s="274"/>
      <c r="GG165" s="274"/>
      <c r="GH165" s="274"/>
      <c r="GI165" s="274"/>
      <c r="GJ165" s="274"/>
      <c r="GK165" s="274"/>
      <c r="GL165" s="274"/>
      <c r="GM165" s="274"/>
      <c r="GN165" s="274"/>
      <c r="GO165" s="274"/>
      <c r="GP165" s="274"/>
      <c r="GQ165" s="274"/>
      <c r="GR165" s="274"/>
      <c r="GS165" s="274"/>
      <c r="GT165" s="274"/>
      <c r="GU165" s="274"/>
      <c r="GV165" s="274"/>
      <c r="GW165" s="274"/>
      <c r="GX165" s="274"/>
      <c r="GY165" s="274"/>
      <c r="GZ165" s="274"/>
      <c r="HA165" s="274"/>
      <c r="HB165" s="274"/>
      <c r="HC165" s="274"/>
      <c r="HD165" s="274"/>
      <c r="HE165" s="274"/>
      <c r="HF165" s="274"/>
      <c r="HG165" s="274"/>
      <c r="HH165" s="274"/>
      <c r="HI165" s="274"/>
      <c r="HJ165" s="274"/>
      <c r="HK165" s="274"/>
      <c r="HL165" s="274"/>
      <c r="HM165" s="274"/>
      <c r="HN165" s="274"/>
      <c r="HO165" s="274"/>
      <c r="HP165" s="274"/>
      <c r="HQ165" s="274"/>
      <c r="HR165" s="274"/>
      <c r="HS165" s="274"/>
      <c r="HT165" s="274"/>
      <c r="HU165" s="274"/>
      <c r="HV165" s="274"/>
      <c r="HW165" s="274"/>
      <c r="HX165" s="274"/>
      <c r="HY165" s="274"/>
      <c r="HZ165" s="274"/>
      <c r="IA165" s="274"/>
      <c r="IB165" s="274"/>
      <c r="IC165" s="274"/>
      <c r="ID165" s="274"/>
      <c r="IE165" s="274"/>
      <c r="IF165" s="274"/>
      <c r="IG165" s="274"/>
      <c r="IH165" s="274"/>
      <c r="II165" s="274"/>
      <c r="IJ165" s="274"/>
      <c r="IK165" s="274"/>
      <c r="IL165" s="274"/>
      <c r="IM165" s="274"/>
      <c r="IN165" s="274"/>
      <c r="IO165" s="274"/>
      <c r="IP165" s="274"/>
      <c r="IQ165" s="274"/>
      <c r="IR165" s="274"/>
      <c r="IS165" s="274"/>
      <c r="IT165" s="274"/>
      <c r="IU165" s="274"/>
      <c r="IV165" s="274"/>
      <c r="IW165" s="274"/>
      <c r="IX165" s="274"/>
      <c r="IY165" s="274"/>
      <c r="IZ165" s="274"/>
      <c r="JA165" s="274"/>
      <c r="JB165" s="274"/>
      <c r="JC165" s="274"/>
      <c r="JD165" s="274"/>
      <c r="JE165" s="274"/>
      <c r="JF165" s="274"/>
      <c r="JG165" s="274"/>
      <c r="JH165" s="274"/>
      <c r="JI165" s="274"/>
      <c r="JJ165" s="274"/>
      <c r="JK165" s="274"/>
      <c r="JL165" s="274"/>
      <c r="JM165" s="274"/>
      <c r="JN165" s="274"/>
      <c r="JO165" s="274"/>
      <c r="JP165" s="274"/>
      <c r="JQ165" s="274"/>
      <c r="JR165" s="274"/>
      <c r="JS165" s="274"/>
      <c r="JT165" s="274"/>
      <c r="JU165" s="274"/>
      <c r="JV165" s="274"/>
      <c r="JW165" s="274"/>
      <c r="JX165" s="274"/>
      <c r="JY165" s="274"/>
      <c r="JZ165" s="274"/>
      <c r="KA165" s="274"/>
      <c r="KB165" s="274"/>
      <c r="KC165" s="274"/>
      <c r="KD165" s="274"/>
      <c r="KE165" s="274"/>
      <c r="KF165" s="274"/>
      <c r="KG165" s="274"/>
      <c r="KH165" s="274"/>
      <c r="KI165" s="274"/>
      <c r="KJ165" s="274"/>
      <c r="KK165" s="274"/>
      <c r="KL165" s="274"/>
      <c r="KM165" s="274"/>
      <c r="KN165" s="274"/>
      <c r="KO165" s="274"/>
      <c r="KP165" s="274"/>
      <c r="KQ165" s="274"/>
      <c r="KR165" s="274"/>
      <c r="KS165" s="274"/>
      <c r="KT165" s="274"/>
      <c r="KU165" s="274"/>
      <c r="KV165" s="274"/>
      <c r="KW165" s="274"/>
      <c r="KX165" s="274"/>
      <c r="KY165" s="274"/>
      <c r="KZ165" s="274"/>
      <c r="LA165" s="274"/>
      <c r="LB165" s="274"/>
      <c r="LC165" s="274"/>
      <c r="LD165" s="274"/>
      <c r="LE165" s="274"/>
      <c r="LF165" s="274"/>
      <c r="LG165" s="274"/>
      <c r="LH165" s="274"/>
      <c r="LI165" s="274"/>
      <c r="LJ165" s="274"/>
      <c r="LK165" s="274"/>
      <c r="LL165" s="274"/>
      <c r="LM165" s="274"/>
      <c r="LN165" s="274"/>
      <c r="LO165" s="274"/>
      <c r="LP165" s="274"/>
      <c r="LQ165" s="274"/>
      <c r="LR165" s="274"/>
      <c r="LS165" s="274"/>
      <c r="LT165" s="274"/>
      <c r="LU165" s="274"/>
      <c r="LV165" s="274"/>
      <c r="LW165" s="274"/>
      <c r="LX165" s="274"/>
      <c r="LY165" s="274"/>
      <c r="LZ165" s="274"/>
      <c r="MA165" s="274"/>
      <c r="MB165" s="274"/>
      <c r="MC165" s="274"/>
      <c r="MD165" s="274"/>
      <c r="ME165" s="274"/>
      <c r="MF165" s="274"/>
      <c r="MG165" s="274"/>
      <c r="MH165" s="274"/>
      <c r="MI165" s="274"/>
      <c r="MJ165" s="274"/>
      <c r="MK165" s="274"/>
      <c r="ML165" s="274"/>
      <c r="MM165" s="274"/>
      <c r="MN165" s="274"/>
      <c r="MO165" s="274"/>
      <c r="MP165" s="274"/>
      <c r="MQ165" s="274"/>
      <c r="MR165" s="274"/>
      <c r="MS165" s="274"/>
      <c r="MT165" s="274"/>
      <c r="MU165" s="274"/>
      <c r="MV165" s="274"/>
      <c r="MW165" s="274"/>
      <c r="MX165" s="274"/>
      <c r="MY165" s="274"/>
      <c r="MZ165" s="274"/>
      <c r="NA165" s="274"/>
      <c r="NB165" s="274"/>
      <c r="NC165" s="274"/>
      <c r="ND165" s="274"/>
      <c r="NE165" s="274"/>
      <c r="NF165" s="274"/>
      <c r="NG165" s="274"/>
      <c r="NH165" s="274"/>
      <c r="NI165" s="274"/>
      <c r="NJ165" s="274"/>
      <c r="NK165" s="274"/>
      <c r="NL165" s="274"/>
      <c r="NM165" s="274"/>
      <c r="NN165" s="274"/>
      <c r="NO165" s="274"/>
      <c r="NP165" s="274"/>
      <c r="NQ165" s="274"/>
      <c r="NR165" s="274"/>
      <c r="NS165" s="274"/>
      <c r="NT165" s="274"/>
      <c r="NU165" s="274"/>
      <c r="NV165" s="274"/>
      <c r="NW165" s="274"/>
      <c r="NX165" s="274"/>
      <c r="NY165" s="274"/>
      <c r="NZ165" s="274"/>
      <c r="OA165" s="274"/>
      <c r="OB165" s="274"/>
      <c r="OC165" s="274"/>
      <c r="OD165" s="274"/>
      <c r="OE165" s="274"/>
      <c r="OF165" s="274"/>
      <c r="OG165" s="274"/>
      <c r="OH165" s="274"/>
      <c r="OI165" s="274"/>
      <c r="OJ165" s="274"/>
      <c r="OK165" s="274"/>
      <c r="OL165" s="274"/>
      <c r="OM165" s="274"/>
      <c r="ON165" s="274"/>
      <c r="OO165" s="274"/>
      <c r="OP165" s="274"/>
      <c r="OQ165" s="274"/>
      <c r="OR165" s="274"/>
      <c r="OS165" s="274"/>
      <c r="OT165" s="274"/>
      <c r="OU165" s="274"/>
      <c r="OV165" s="274"/>
      <c r="OW165" s="274"/>
      <c r="OX165" s="274"/>
      <c r="OY165" s="274"/>
      <c r="OZ165" s="274"/>
      <c r="PA165" s="274"/>
      <c r="PB165" s="274"/>
      <c r="PC165" s="274"/>
      <c r="PD165" s="274"/>
      <c r="PE165" s="274"/>
      <c r="PF165" s="274"/>
      <c r="PG165" s="274"/>
      <c r="PH165" s="274"/>
      <c r="PI165" s="274"/>
      <c r="PJ165" s="274"/>
      <c r="PK165" s="274"/>
      <c r="PL165" s="274"/>
      <c r="PM165" s="274"/>
      <c r="PN165" s="274"/>
      <c r="PO165" s="274"/>
      <c r="PP165" s="274"/>
      <c r="PQ165" s="274"/>
      <c r="PR165" s="274"/>
      <c r="PS165" s="274"/>
      <c r="PT165" s="274"/>
      <c r="PU165" s="274"/>
      <c r="PV165" s="274"/>
      <c r="PW165" s="274"/>
      <c r="PX165" s="274"/>
      <c r="PY165" s="274"/>
      <c r="PZ165" s="274"/>
      <c r="QA165" s="274"/>
      <c r="QB165" s="274"/>
      <c r="QC165" s="274"/>
      <c r="QD165" s="274"/>
      <c r="QE165" s="274"/>
      <c r="QF165" s="274"/>
      <c r="QG165" s="274"/>
      <c r="QH165" s="274"/>
      <c r="QI165" s="274"/>
      <c r="QJ165" s="274"/>
      <c r="QK165" s="274"/>
      <c r="QL165" s="274"/>
      <c r="QM165" s="274"/>
      <c r="QN165" s="274"/>
      <c r="QO165" s="274"/>
      <c r="QP165" s="274"/>
      <c r="QQ165" s="274"/>
      <c r="QR165" s="274"/>
      <c r="QS165" s="274"/>
      <c r="QT165" s="274"/>
      <c r="QU165" s="274"/>
      <c r="QV165" s="274"/>
      <c r="QW165" s="274"/>
      <c r="QX165" s="274"/>
      <c r="QY165" s="274"/>
      <c r="QZ165" s="274"/>
      <c r="RA165" s="274"/>
      <c r="RB165" s="274"/>
      <c r="RC165" s="274"/>
    </row>
    <row r="166" spans="112:471" ht="17.25">
      <c r="DH166" s="274"/>
      <c r="DI166" s="274"/>
      <c r="DJ166" s="978"/>
      <c r="DK166" s="274"/>
      <c r="DL166" s="274"/>
      <c r="DM166" s="274"/>
      <c r="DN166" s="274"/>
      <c r="DO166" s="274"/>
      <c r="DP166" s="274"/>
      <c r="DQ166" s="274"/>
      <c r="DR166" s="274"/>
      <c r="DS166" s="274"/>
      <c r="DT166" s="274"/>
      <c r="DU166" s="274"/>
      <c r="DV166" s="274"/>
      <c r="DW166" s="274"/>
      <c r="DX166" s="274"/>
      <c r="DY166" s="274"/>
      <c r="DZ166" s="274"/>
      <c r="EA166" s="274"/>
      <c r="EB166" s="274"/>
      <c r="EC166" s="274"/>
      <c r="ED166" s="274"/>
      <c r="EE166" s="274"/>
      <c r="EF166" s="274"/>
      <c r="EG166" s="274"/>
      <c r="EH166" s="274"/>
      <c r="EI166" s="274"/>
      <c r="EJ166" s="274"/>
      <c r="EK166" s="274"/>
      <c r="EL166" s="274"/>
      <c r="EM166" s="274"/>
      <c r="EN166" s="274"/>
      <c r="EO166" s="274"/>
      <c r="EP166" s="274"/>
      <c r="EQ166" s="274"/>
      <c r="ER166" s="274"/>
      <c r="ES166" s="274"/>
      <c r="ET166" s="274"/>
      <c r="EU166" s="274"/>
      <c r="EV166" s="274"/>
      <c r="EW166" s="274"/>
      <c r="EX166" s="274"/>
      <c r="EY166" s="274"/>
      <c r="EZ166" s="274"/>
      <c r="FA166" s="274"/>
      <c r="FB166" s="274"/>
      <c r="FC166" s="274"/>
      <c r="FD166" s="274"/>
      <c r="FE166" s="274"/>
      <c r="FF166" s="274"/>
      <c r="FG166" s="274"/>
      <c r="FH166" s="274"/>
      <c r="FI166" s="274"/>
      <c r="FJ166" s="274"/>
      <c r="FK166" s="274"/>
      <c r="FL166" s="274"/>
      <c r="FM166" s="274"/>
      <c r="FN166" s="274"/>
      <c r="FO166" s="274"/>
      <c r="FP166" s="274"/>
      <c r="FQ166" s="274"/>
      <c r="FR166" s="274"/>
      <c r="FS166" s="274"/>
      <c r="FT166" s="274"/>
      <c r="FU166" s="274"/>
      <c r="FV166" s="274"/>
      <c r="FW166" s="274"/>
      <c r="FX166" s="274"/>
      <c r="FY166" s="274"/>
      <c r="FZ166" s="274"/>
      <c r="GA166" s="274"/>
      <c r="GB166" s="274"/>
      <c r="GC166" s="274"/>
      <c r="GD166" s="274"/>
      <c r="GE166" s="274"/>
      <c r="GF166" s="274"/>
      <c r="GG166" s="274"/>
      <c r="GH166" s="274"/>
      <c r="GI166" s="274"/>
      <c r="GJ166" s="274"/>
      <c r="GK166" s="274"/>
      <c r="GL166" s="274"/>
      <c r="GM166" s="274"/>
      <c r="GN166" s="274"/>
      <c r="GO166" s="274"/>
      <c r="GP166" s="274"/>
      <c r="GQ166" s="274"/>
      <c r="GR166" s="274"/>
      <c r="GS166" s="274"/>
      <c r="GT166" s="274"/>
      <c r="GU166" s="274"/>
      <c r="GV166" s="274"/>
      <c r="GW166" s="274"/>
      <c r="GX166" s="274"/>
      <c r="GY166" s="274"/>
      <c r="GZ166" s="274"/>
      <c r="HA166" s="274"/>
      <c r="HB166" s="274"/>
      <c r="HC166" s="274"/>
      <c r="HD166" s="274"/>
      <c r="HE166" s="274"/>
      <c r="HF166" s="274"/>
      <c r="HG166" s="274"/>
      <c r="HH166" s="274"/>
      <c r="HI166" s="274"/>
      <c r="HJ166" s="274"/>
      <c r="HK166" s="274"/>
      <c r="HL166" s="274"/>
      <c r="HM166" s="274"/>
      <c r="HN166" s="274"/>
      <c r="HO166" s="274"/>
      <c r="HP166" s="274"/>
      <c r="HQ166" s="274"/>
      <c r="HR166" s="274"/>
      <c r="HS166" s="274"/>
      <c r="HT166" s="274"/>
      <c r="HU166" s="274"/>
      <c r="HV166" s="274"/>
      <c r="HW166" s="274"/>
      <c r="HX166" s="274"/>
      <c r="HY166" s="274"/>
      <c r="HZ166" s="274"/>
      <c r="IA166" s="274"/>
      <c r="IB166" s="274"/>
      <c r="IC166" s="274"/>
      <c r="ID166" s="274"/>
      <c r="IE166" s="274"/>
      <c r="IF166" s="274"/>
      <c r="IG166" s="274"/>
      <c r="IH166" s="274"/>
      <c r="II166" s="274"/>
      <c r="IJ166" s="274"/>
      <c r="IK166" s="274"/>
      <c r="IL166" s="274"/>
      <c r="IM166" s="274"/>
      <c r="IN166" s="274"/>
      <c r="IO166" s="274"/>
      <c r="IP166" s="274"/>
      <c r="IQ166" s="274"/>
      <c r="IR166" s="274"/>
      <c r="IS166" s="274"/>
      <c r="IT166" s="274"/>
      <c r="IU166" s="274"/>
      <c r="IV166" s="274"/>
      <c r="IW166" s="274"/>
      <c r="IX166" s="274"/>
      <c r="IY166" s="274"/>
      <c r="IZ166" s="274"/>
      <c r="JA166" s="274"/>
      <c r="JB166" s="274"/>
      <c r="JC166" s="274"/>
      <c r="JD166" s="274"/>
      <c r="JE166" s="274"/>
      <c r="JF166" s="274"/>
      <c r="JG166" s="274"/>
      <c r="JH166" s="274"/>
      <c r="JI166" s="274"/>
      <c r="JJ166" s="274"/>
      <c r="JK166" s="274"/>
      <c r="JL166" s="274"/>
      <c r="JM166" s="274"/>
      <c r="JN166" s="274"/>
      <c r="JO166" s="274"/>
      <c r="JP166" s="274"/>
      <c r="JQ166" s="274"/>
      <c r="JR166" s="274"/>
      <c r="JS166" s="274"/>
      <c r="JT166" s="274"/>
      <c r="JU166" s="274"/>
      <c r="JV166" s="274"/>
      <c r="JW166" s="274"/>
      <c r="JX166" s="274"/>
      <c r="JY166" s="274"/>
      <c r="JZ166" s="274"/>
      <c r="KA166" s="274"/>
      <c r="KB166" s="274"/>
      <c r="KC166" s="274"/>
      <c r="KD166" s="274"/>
      <c r="KE166" s="274"/>
      <c r="KF166" s="274"/>
      <c r="KG166" s="274"/>
      <c r="KH166" s="274"/>
      <c r="KI166" s="274"/>
      <c r="KJ166" s="274"/>
      <c r="KK166" s="274"/>
      <c r="KL166" s="274"/>
      <c r="KM166" s="274"/>
      <c r="KN166" s="274"/>
      <c r="KO166" s="274"/>
      <c r="KP166" s="274"/>
      <c r="KQ166" s="274"/>
      <c r="KR166" s="274"/>
      <c r="KS166" s="274"/>
      <c r="KT166" s="274"/>
      <c r="KU166" s="274"/>
      <c r="KV166" s="274"/>
      <c r="KW166" s="274"/>
      <c r="KX166" s="274"/>
      <c r="KY166" s="274"/>
      <c r="KZ166" s="274"/>
      <c r="LA166" s="274"/>
      <c r="LB166" s="274"/>
      <c r="LC166" s="274"/>
      <c r="LD166" s="274"/>
      <c r="LE166" s="274"/>
      <c r="LF166" s="274"/>
      <c r="LG166" s="274"/>
      <c r="LH166" s="274"/>
      <c r="LI166" s="274"/>
      <c r="LJ166" s="274"/>
      <c r="LK166" s="274"/>
      <c r="LL166" s="274"/>
      <c r="LM166" s="274"/>
      <c r="LN166" s="274"/>
      <c r="LO166" s="274"/>
      <c r="LP166" s="274"/>
      <c r="LQ166" s="274"/>
      <c r="LR166" s="274"/>
      <c r="LS166" s="274"/>
      <c r="LT166" s="274"/>
      <c r="LU166" s="274"/>
      <c r="LV166" s="274"/>
      <c r="LW166" s="274"/>
      <c r="LX166" s="274"/>
      <c r="LY166" s="274"/>
      <c r="LZ166" s="274"/>
      <c r="MA166" s="274"/>
      <c r="MB166" s="274"/>
      <c r="MC166" s="274"/>
      <c r="MD166" s="274"/>
      <c r="ME166" s="274"/>
      <c r="MF166" s="274"/>
      <c r="MG166" s="274"/>
      <c r="MH166" s="274"/>
      <c r="MI166" s="274"/>
      <c r="MJ166" s="274"/>
      <c r="MK166" s="274"/>
      <c r="ML166" s="274"/>
      <c r="MM166" s="274"/>
      <c r="MN166" s="274"/>
      <c r="MO166" s="274"/>
      <c r="MP166" s="274"/>
      <c r="MQ166" s="274"/>
      <c r="MR166" s="274"/>
      <c r="MS166" s="274"/>
      <c r="MT166" s="274"/>
      <c r="MU166" s="274"/>
      <c r="MV166" s="274"/>
      <c r="MW166" s="274"/>
      <c r="MX166" s="274"/>
      <c r="MY166" s="274"/>
      <c r="MZ166" s="274"/>
      <c r="NA166" s="274"/>
      <c r="NB166" s="274"/>
      <c r="NC166" s="274"/>
      <c r="ND166" s="274"/>
      <c r="NE166" s="274"/>
      <c r="NF166" s="274"/>
      <c r="NG166" s="274"/>
      <c r="NH166" s="274"/>
      <c r="NI166" s="274"/>
      <c r="NJ166" s="274"/>
      <c r="NK166" s="274"/>
      <c r="NL166" s="274"/>
      <c r="NM166" s="274"/>
      <c r="NN166" s="274"/>
      <c r="NO166" s="274"/>
      <c r="NP166" s="274"/>
      <c r="NQ166" s="274"/>
      <c r="NR166" s="274"/>
      <c r="NS166" s="274"/>
      <c r="NT166" s="274"/>
      <c r="NU166" s="274"/>
      <c r="NV166" s="274"/>
      <c r="NW166" s="274"/>
      <c r="NX166" s="274"/>
      <c r="NY166" s="274"/>
      <c r="NZ166" s="274"/>
      <c r="OA166" s="274"/>
      <c r="OB166" s="274"/>
      <c r="OC166" s="274"/>
      <c r="OD166" s="274"/>
      <c r="OE166" s="274"/>
      <c r="OF166" s="274"/>
      <c r="OG166" s="274"/>
      <c r="OH166" s="274"/>
      <c r="OI166" s="274"/>
      <c r="OJ166" s="274"/>
      <c r="OK166" s="274"/>
      <c r="OL166" s="274"/>
      <c r="OM166" s="274"/>
      <c r="ON166" s="274"/>
      <c r="OO166" s="274"/>
      <c r="OP166" s="274"/>
      <c r="OQ166" s="274"/>
      <c r="OR166" s="274"/>
      <c r="OS166" s="274"/>
      <c r="OT166" s="274"/>
      <c r="OU166" s="274"/>
      <c r="OV166" s="274"/>
      <c r="OW166" s="274"/>
      <c r="OX166" s="274"/>
      <c r="OY166" s="274"/>
      <c r="OZ166" s="274"/>
      <c r="PA166" s="274"/>
      <c r="PB166" s="274"/>
      <c r="PC166" s="274"/>
      <c r="PD166" s="274"/>
      <c r="PE166" s="274"/>
      <c r="PF166" s="274"/>
      <c r="PG166" s="274"/>
      <c r="PH166" s="274"/>
      <c r="PI166" s="274"/>
      <c r="PJ166" s="274"/>
      <c r="PK166" s="274"/>
      <c r="PL166" s="274"/>
      <c r="PM166" s="274"/>
      <c r="PN166" s="274"/>
      <c r="PO166" s="274"/>
      <c r="PP166" s="274"/>
      <c r="PQ166" s="274"/>
      <c r="PR166" s="274"/>
      <c r="PS166" s="274"/>
      <c r="PT166" s="274"/>
      <c r="PU166" s="274"/>
      <c r="PV166" s="274"/>
      <c r="PW166" s="274"/>
      <c r="PX166" s="274"/>
      <c r="PY166" s="274"/>
      <c r="PZ166" s="274"/>
      <c r="QA166" s="274"/>
      <c r="QB166" s="274"/>
      <c r="QC166" s="274"/>
      <c r="QD166" s="274"/>
      <c r="QE166" s="274"/>
      <c r="QF166" s="274"/>
      <c r="QG166" s="274"/>
      <c r="QH166" s="274"/>
      <c r="QI166" s="274"/>
      <c r="QJ166" s="274"/>
      <c r="QK166" s="274"/>
      <c r="QL166" s="274"/>
      <c r="QM166" s="274"/>
      <c r="QN166" s="274"/>
      <c r="QO166" s="274"/>
      <c r="QP166" s="274"/>
      <c r="QQ166" s="274"/>
      <c r="QR166" s="274"/>
      <c r="QS166" s="274"/>
      <c r="QT166" s="274"/>
      <c r="QU166" s="274"/>
      <c r="QV166" s="274"/>
      <c r="QW166" s="274"/>
      <c r="QX166" s="274"/>
      <c r="QY166" s="274"/>
      <c r="QZ166" s="274"/>
      <c r="RA166" s="274"/>
      <c r="RB166" s="274"/>
      <c r="RC166" s="274"/>
    </row>
    <row r="167" spans="112:471" ht="17.25">
      <c r="DH167" s="274"/>
      <c r="DI167" s="274"/>
      <c r="DJ167" s="978"/>
      <c r="DK167" s="978"/>
      <c r="DL167" s="978"/>
      <c r="DM167" s="978"/>
      <c r="DN167" s="978"/>
      <c r="DO167" s="978"/>
      <c r="DP167" s="978"/>
      <c r="DQ167" s="978"/>
      <c r="DR167" s="978"/>
      <c r="DS167" s="978"/>
      <c r="DT167" s="978"/>
      <c r="DU167" s="978"/>
      <c r="DV167" s="978"/>
      <c r="DW167" s="978"/>
      <c r="DX167" s="978"/>
      <c r="DY167" s="978"/>
      <c r="DZ167" s="978"/>
      <c r="EA167" s="978"/>
      <c r="EB167" s="978"/>
      <c r="EC167" s="978"/>
      <c r="ED167" s="978"/>
      <c r="EE167" s="978"/>
      <c r="EF167" s="978"/>
      <c r="EG167" s="978"/>
      <c r="EH167" s="978"/>
      <c r="EI167" s="978"/>
      <c r="EJ167" s="978"/>
      <c r="EK167" s="978"/>
      <c r="EL167" s="978"/>
      <c r="EM167" s="978"/>
      <c r="EN167" s="978"/>
      <c r="EO167" s="978"/>
      <c r="EP167" s="978"/>
      <c r="EQ167" s="978"/>
      <c r="ER167" s="978"/>
      <c r="ES167" s="978"/>
      <c r="ET167" s="978"/>
      <c r="EU167" s="978"/>
      <c r="EV167" s="978"/>
      <c r="EW167" s="978"/>
      <c r="EX167" s="978"/>
      <c r="EY167" s="978"/>
      <c r="EZ167" s="978"/>
      <c r="FA167" s="978"/>
      <c r="FB167" s="978"/>
      <c r="FC167" s="978"/>
      <c r="FD167" s="978"/>
      <c r="FE167" s="978"/>
      <c r="FF167" s="978"/>
      <c r="FG167" s="978"/>
      <c r="FH167" s="978"/>
      <c r="FI167" s="978"/>
      <c r="FJ167" s="978"/>
      <c r="FK167" s="978"/>
      <c r="FL167" s="978"/>
      <c r="FM167" s="978"/>
      <c r="FN167" s="978"/>
      <c r="FO167" s="978"/>
      <c r="FP167" s="978"/>
      <c r="FQ167" s="978"/>
      <c r="FR167" s="978"/>
      <c r="FS167" s="978"/>
      <c r="FT167" s="978"/>
      <c r="FU167" s="978"/>
      <c r="FV167" s="978"/>
      <c r="FW167" s="978"/>
      <c r="FX167" s="978"/>
      <c r="FY167" s="978"/>
      <c r="FZ167" s="978"/>
      <c r="GA167" s="978"/>
      <c r="GB167" s="978"/>
      <c r="GC167" s="978"/>
      <c r="GD167" s="978"/>
      <c r="GE167" s="978"/>
      <c r="GF167" s="978"/>
      <c r="GG167" s="978"/>
      <c r="GH167" s="978"/>
      <c r="GI167" s="978"/>
      <c r="GJ167" s="978"/>
      <c r="GK167" s="978"/>
      <c r="GL167" s="978"/>
      <c r="GM167" s="978"/>
      <c r="GN167" s="978"/>
      <c r="GO167" s="978"/>
      <c r="GP167" s="978"/>
      <c r="GQ167" s="978"/>
      <c r="GR167" s="978"/>
      <c r="GS167" s="978"/>
      <c r="GT167" s="978"/>
      <c r="GU167" s="978"/>
      <c r="GV167" s="978"/>
      <c r="GW167" s="978"/>
      <c r="GX167" s="978"/>
      <c r="GY167" s="978"/>
      <c r="GZ167" s="978"/>
      <c r="HA167" s="978"/>
      <c r="HB167" s="978"/>
      <c r="HC167" s="978"/>
      <c r="HD167" s="978"/>
      <c r="HE167" s="978"/>
      <c r="HF167" s="978"/>
      <c r="HG167" s="978"/>
      <c r="HH167" s="978"/>
      <c r="HI167" s="978"/>
      <c r="HJ167" s="978"/>
      <c r="HK167" s="978"/>
      <c r="HL167" s="978"/>
      <c r="HM167" s="978"/>
      <c r="HN167" s="978"/>
      <c r="HO167" s="978"/>
      <c r="HP167" s="978"/>
      <c r="HQ167" s="978"/>
      <c r="HR167" s="978"/>
      <c r="HS167" s="978"/>
      <c r="HT167" s="978"/>
      <c r="HU167" s="978"/>
      <c r="HV167" s="978"/>
      <c r="HW167" s="978"/>
      <c r="HX167" s="978"/>
      <c r="HY167" s="978"/>
      <c r="HZ167" s="978"/>
      <c r="IA167" s="978"/>
      <c r="IB167" s="978"/>
      <c r="IC167" s="978"/>
      <c r="ID167" s="978"/>
      <c r="IE167" s="978"/>
      <c r="IF167" s="978"/>
      <c r="IG167" s="978"/>
      <c r="IH167" s="978"/>
      <c r="II167" s="978"/>
      <c r="IJ167" s="978"/>
      <c r="IK167" s="978"/>
      <c r="IL167" s="978"/>
      <c r="IM167" s="978"/>
      <c r="IN167" s="978"/>
      <c r="IO167" s="978"/>
      <c r="IP167" s="978"/>
      <c r="IQ167" s="978"/>
      <c r="IR167" s="978"/>
      <c r="IS167" s="978"/>
      <c r="IT167" s="978"/>
      <c r="IU167" s="978"/>
      <c r="IV167" s="978"/>
      <c r="IW167" s="978"/>
      <c r="IX167" s="978"/>
      <c r="IY167" s="978"/>
      <c r="IZ167" s="978"/>
      <c r="JA167" s="978"/>
      <c r="JB167" s="978"/>
      <c r="JC167" s="978"/>
      <c r="JD167" s="978"/>
      <c r="JE167" s="978"/>
      <c r="JF167" s="978"/>
      <c r="JG167" s="978"/>
      <c r="JH167" s="978"/>
      <c r="JI167" s="978"/>
      <c r="JJ167" s="978"/>
      <c r="JK167" s="978"/>
      <c r="JL167" s="978"/>
      <c r="JM167" s="978"/>
      <c r="JN167" s="978"/>
      <c r="JO167" s="978"/>
      <c r="JP167" s="978"/>
      <c r="JQ167" s="978"/>
      <c r="JR167" s="978"/>
      <c r="JS167" s="978"/>
      <c r="JT167" s="978"/>
      <c r="JU167" s="978"/>
      <c r="JV167" s="978"/>
      <c r="JW167" s="978"/>
      <c r="JX167" s="978"/>
      <c r="JY167" s="978"/>
      <c r="JZ167" s="978"/>
      <c r="KA167" s="978"/>
      <c r="KB167" s="978"/>
      <c r="KC167" s="978"/>
      <c r="KD167" s="978"/>
      <c r="KE167" s="978"/>
      <c r="KF167" s="978"/>
      <c r="KG167" s="978"/>
      <c r="KH167" s="978"/>
      <c r="KI167" s="978"/>
      <c r="KJ167" s="978"/>
      <c r="KK167" s="978"/>
      <c r="KL167" s="978"/>
      <c r="KM167" s="978"/>
      <c r="KN167" s="978"/>
      <c r="KO167" s="978"/>
      <c r="KP167" s="978"/>
      <c r="KQ167" s="978"/>
      <c r="KR167" s="978"/>
      <c r="KS167" s="978"/>
      <c r="KT167" s="978"/>
      <c r="KU167" s="978"/>
      <c r="KV167" s="978"/>
      <c r="KW167" s="978"/>
      <c r="KX167" s="978"/>
      <c r="KY167" s="978"/>
      <c r="KZ167" s="978"/>
      <c r="LA167" s="978"/>
      <c r="LB167" s="978"/>
      <c r="LC167" s="978"/>
      <c r="LD167" s="978"/>
      <c r="LE167" s="978"/>
      <c r="LF167" s="978"/>
      <c r="LG167" s="978"/>
      <c r="LH167" s="978"/>
      <c r="LI167" s="978"/>
      <c r="LJ167" s="978"/>
      <c r="LK167" s="978"/>
      <c r="LL167" s="978"/>
      <c r="LM167" s="978"/>
      <c r="LN167" s="978"/>
      <c r="LO167" s="978"/>
      <c r="LP167" s="978"/>
      <c r="LQ167" s="978"/>
      <c r="LR167" s="978"/>
      <c r="LS167" s="978"/>
      <c r="LT167" s="978"/>
      <c r="LU167" s="978"/>
      <c r="LV167" s="978"/>
      <c r="LW167" s="978"/>
      <c r="LX167" s="978"/>
      <c r="LY167" s="978"/>
      <c r="LZ167" s="978"/>
      <c r="MA167" s="978"/>
      <c r="MB167" s="978"/>
      <c r="MC167" s="978"/>
      <c r="MD167" s="978"/>
      <c r="ME167" s="978"/>
      <c r="MF167" s="978"/>
      <c r="MG167" s="978"/>
      <c r="MH167" s="978"/>
      <c r="MI167" s="978"/>
      <c r="MJ167" s="978"/>
      <c r="MK167" s="978"/>
      <c r="ML167" s="978"/>
      <c r="MM167" s="978"/>
      <c r="MN167" s="978"/>
      <c r="MO167" s="978"/>
      <c r="MP167" s="978"/>
      <c r="MQ167" s="978"/>
      <c r="MR167" s="978"/>
      <c r="MS167" s="978"/>
      <c r="MT167" s="978"/>
      <c r="MU167" s="978"/>
      <c r="MV167" s="978"/>
      <c r="MW167" s="978"/>
      <c r="MX167" s="978"/>
      <c r="MY167" s="978"/>
      <c r="MZ167" s="978"/>
      <c r="NA167" s="978"/>
      <c r="NB167" s="978"/>
      <c r="NC167" s="978"/>
      <c r="ND167" s="978"/>
      <c r="NE167" s="978"/>
      <c r="NF167" s="978"/>
      <c r="NG167" s="978"/>
      <c r="NH167" s="978"/>
      <c r="NI167" s="978"/>
      <c r="NJ167" s="978"/>
      <c r="NK167" s="978"/>
      <c r="NL167" s="978"/>
      <c r="NM167" s="978"/>
      <c r="NN167" s="978"/>
      <c r="NO167" s="978"/>
      <c r="NP167" s="978"/>
      <c r="NQ167" s="978"/>
      <c r="NR167" s="978"/>
      <c r="NS167" s="978"/>
      <c r="NT167" s="978"/>
      <c r="NU167" s="978"/>
      <c r="NV167" s="978"/>
      <c r="NW167" s="978"/>
      <c r="NX167" s="978"/>
      <c r="NY167" s="978"/>
      <c r="NZ167" s="978"/>
      <c r="OA167" s="978"/>
      <c r="OB167" s="978"/>
      <c r="OC167" s="978"/>
      <c r="OD167" s="978"/>
      <c r="OE167" s="978"/>
      <c r="OF167" s="978"/>
      <c r="OG167" s="978"/>
      <c r="OH167" s="978"/>
      <c r="OI167" s="978"/>
      <c r="OJ167" s="978"/>
      <c r="OK167" s="978"/>
      <c r="OL167" s="978"/>
      <c r="OM167" s="978"/>
      <c r="ON167" s="978"/>
      <c r="OO167" s="978"/>
      <c r="OP167" s="978"/>
      <c r="OQ167" s="978"/>
      <c r="OR167" s="978"/>
      <c r="OS167" s="978"/>
      <c r="OT167" s="978"/>
      <c r="OU167" s="978"/>
      <c r="OV167" s="978"/>
      <c r="OW167" s="978"/>
      <c r="OX167" s="978"/>
      <c r="OY167" s="978"/>
      <c r="OZ167" s="978"/>
      <c r="PA167" s="978"/>
      <c r="PB167" s="978"/>
      <c r="PC167" s="978"/>
      <c r="PD167" s="978"/>
      <c r="PE167" s="978"/>
      <c r="PF167" s="978"/>
      <c r="PG167" s="978"/>
      <c r="PH167" s="978"/>
      <c r="PI167" s="978"/>
      <c r="PJ167" s="978"/>
      <c r="PK167" s="978"/>
      <c r="PL167" s="978"/>
      <c r="PM167" s="978"/>
      <c r="PN167" s="978"/>
      <c r="PO167" s="978"/>
      <c r="PP167" s="978"/>
      <c r="PQ167" s="978"/>
      <c r="PR167" s="978"/>
      <c r="PS167" s="978"/>
      <c r="PT167" s="978"/>
      <c r="PU167" s="978"/>
      <c r="PV167" s="978"/>
      <c r="PW167" s="978"/>
      <c r="PX167" s="978"/>
      <c r="PY167" s="978"/>
      <c r="PZ167" s="978"/>
      <c r="QA167" s="978"/>
      <c r="QB167" s="978"/>
      <c r="QC167" s="978"/>
      <c r="QD167" s="978"/>
      <c r="QE167" s="978"/>
      <c r="QF167" s="978"/>
      <c r="QG167" s="978"/>
      <c r="QH167" s="978"/>
      <c r="QI167" s="978"/>
      <c r="QJ167" s="978"/>
      <c r="QK167" s="978"/>
      <c r="QL167" s="978"/>
      <c r="QM167" s="978"/>
      <c r="QN167" s="978"/>
      <c r="QO167" s="978"/>
      <c r="QP167" s="978"/>
      <c r="QQ167" s="978"/>
      <c r="QR167" s="978"/>
      <c r="QS167" s="978"/>
      <c r="QT167" s="978"/>
      <c r="QU167" s="978"/>
      <c r="QV167" s="978"/>
      <c r="QW167" s="978"/>
      <c r="QX167" s="978"/>
      <c r="QY167" s="978"/>
      <c r="QZ167" s="978"/>
      <c r="RA167" s="978"/>
      <c r="RB167" s="274"/>
      <c r="RC167" s="274"/>
    </row>
    <row r="168" spans="112:471" ht="17.25">
      <c r="DH168" s="274"/>
      <c r="DI168" s="274"/>
      <c r="DJ168" s="978"/>
      <c r="DK168" s="978"/>
      <c r="DL168" s="978"/>
      <c r="DM168" s="978"/>
      <c r="DN168" s="978"/>
      <c r="DO168" s="978"/>
      <c r="DP168" s="978"/>
      <c r="DQ168" s="978"/>
      <c r="DR168" s="978"/>
      <c r="DS168" s="978"/>
      <c r="DT168" s="978"/>
      <c r="DU168" s="978"/>
      <c r="DV168" s="978"/>
      <c r="DW168" s="978"/>
      <c r="DX168" s="978"/>
      <c r="DY168" s="978"/>
      <c r="DZ168" s="978"/>
      <c r="EA168" s="978"/>
      <c r="EB168" s="978"/>
      <c r="EC168" s="978"/>
      <c r="ED168" s="978"/>
      <c r="EE168" s="978"/>
      <c r="EF168" s="978"/>
      <c r="EG168" s="978"/>
      <c r="EH168" s="978"/>
      <c r="EI168" s="978"/>
      <c r="EJ168" s="978"/>
      <c r="EK168" s="978"/>
      <c r="EL168" s="978"/>
      <c r="EM168" s="978"/>
      <c r="EN168" s="978"/>
      <c r="EO168" s="978"/>
      <c r="EP168" s="978"/>
      <c r="EQ168" s="978"/>
      <c r="ER168" s="978"/>
      <c r="ES168" s="978"/>
      <c r="ET168" s="978"/>
      <c r="EU168" s="978"/>
      <c r="EV168" s="978"/>
      <c r="EW168" s="978"/>
      <c r="EX168" s="978"/>
      <c r="EY168" s="978"/>
      <c r="EZ168" s="978"/>
      <c r="FA168" s="978"/>
      <c r="FB168" s="978"/>
      <c r="FC168" s="978"/>
      <c r="FD168" s="978"/>
      <c r="FE168" s="978"/>
      <c r="FF168" s="978"/>
      <c r="FG168" s="978"/>
      <c r="FH168" s="978"/>
      <c r="FI168" s="978"/>
      <c r="FJ168" s="978"/>
      <c r="FK168" s="978"/>
      <c r="FL168" s="978"/>
      <c r="FM168" s="978"/>
      <c r="FN168" s="978"/>
      <c r="FO168" s="978"/>
      <c r="FP168" s="978"/>
      <c r="FQ168" s="978"/>
      <c r="FR168" s="978"/>
      <c r="FS168" s="978"/>
      <c r="FT168" s="978"/>
      <c r="FU168" s="978"/>
      <c r="FV168" s="978"/>
      <c r="FW168" s="978"/>
      <c r="FX168" s="978"/>
      <c r="FY168" s="978"/>
      <c r="FZ168" s="978"/>
      <c r="GA168" s="978"/>
      <c r="GB168" s="978"/>
      <c r="GC168" s="978"/>
      <c r="GD168" s="978"/>
      <c r="GE168" s="978"/>
      <c r="GF168" s="978"/>
      <c r="GG168" s="978"/>
      <c r="GH168" s="978"/>
      <c r="GI168" s="978"/>
      <c r="GJ168" s="978"/>
      <c r="GK168" s="978"/>
      <c r="GL168" s="978"/>
      <c r="GM168" s="978"/>
      <c r="GN168" s="978"/>
      <c r="GO168" s="978"/>
      <c r="GP168" s="978"/>
      <c r="GQ168" s="978"/>
      <c r="GR168" s="978"/>
      <c r="GS168" s="978"/>
      <c r="GT168" s="978"/>
      <c r="GU168" s="978"/>
      <c r="GV168" s="978"/>
      <c r="GW168" s="978"/>
      <c r="GX168" s="978"/>
      <c r="GY168" s="978"/>
      <c r="GZ168" s="978"/>
      <c r="HA168" s="978"/>
      <c r="HB168" s="978"/>
      <c r="HC168" s="978"/>
      <c r="HD168" s="978"/>
      <c r="HE168" s="978"/>
      <c r="HF168" s="978"/>
      <c r="HG168" s="978"/>
      <c r="HH168" s="978"/>
      <c r="HI168" s="978"/>
      <c r="HJ168" s="978"/>
      <c r="HK168" s="978"/>
      <c r="HL168" s="978"/>
      <c r="HM168" s="978"/>
      <c r="HN168" s="978"/>
      <c r="HO168" s="978"/>
      <c r="HP168" s="978"/>
      <c r="HQ168" s="978"/>
      <c r="HR168" s="978"/>
      <c r="HS168" s="978"/>
      <c r="HT168" s="978"/>
      <c r="HU168" s="978"/>
      <c r="HV168" s="978"/>
      <c r="HW168" s="978"/>
      <c r="HX168" s="978"/>
      <c r="HY168" s="978"/>
      <c r="HZ168" s="978"/>
      <c r="IA168" s="978"/>
      <c r="IB168" s="978"/>
      <c r="IC168" s="978"/>
      <c r="ID168" s="978"/>
      <c r="IE168" s="978"/>
      <c r="IF168" s="978"/>
      <c r="IG168" s="978"/>
      <c r="IH168" s="978"/>
      <c r="II168" s="978"/>
      <c r="IJ168" s="978"/>
      <c r="IK168" s="978"/>
      <c r="IL168" s="978"/>
      <c r="IM168" s="978"/>
      <c r="IN168" s="978"/>
      <c r="IO168" s="978"/>
      <c r="IP168" s="978"/>
      <c r="IQ168" s="978"/>
      <c r="IR168" s="978"/>
      <c r="IS168" s="978"/>
      <c r="IT168" s="978"/>
      <c r="IU168" s="978"/>
      <c r="IV168" s="978"/>
      <c r="IW168" s="978"/>
      <c r="IX168" s="978"/>
      <c r="IY168" s="978"/>
      <c r="IZ168" s="978"/>
      <c r="JA168" s="978"/>
      <c r="JB168" s="978"/>
      <c r="JC168" s="978"/>
      <c r="JD168" s="978"/>
      <c r="JE168" s="978"/>
      <c r="JF168" s="978"/>
      <c r="JG168" s="978"/>
      <c r="JH168" s="978"/>
      <c r="JI168" s="978"/>
      <c r="JJ168" s="978"/>
      <c r="JK168" s="978"/>
      <c r="JL168" s="978"/>
      <c r="JM168" s="978"/>
      <c r="JN168" s="978"/>
      <c r="JO168" s="978"/>
      <c r="JP168" s="978"/>
      <c r="JQ168" s="978"/>
      <c r="JR168" s="978"/>
      <c r="JS168" s="978"/>
      <c r="JT168" s="978"/>
      <c r="JU168" s="978"/>
      <c r="JV168" s="978"/>
      <c r="JW168" s="978"/>
      <c r="JX168" s="978"/>
      <c r="JY168" s="978"/>
      <c r="JZ168" s="978"/>
      <c r="KA168" s="978"/>
      <c r="KB168" s="978"/>
      <c r="KC168" s="978"/>
      <c r="KD168" s="978"/>
      <c r="KE168" s="978"/>
      <c r="KF168" s="978"/>
      <c r="KG168" s="978"/>
      <c r="KH168" s="978"/>
      <c r="KI168" s="978"/>
      <c r="KJ168" s="978"/>
      <c r="KK168" s="978"/>
      <c r="KL168" s="978"/>
      <c r="KM168" s="978"/>
      <c r="KN168" s="978"/>
      <c r="KO168" s="978"/>
      <c r="KP168" s="978"/>
      <c r="KQ168" s="978"/>
      <c r="KR168" s="978"/>
      <c r="KS168" s="978"/>
      <c r="KT168" s="978"/>
      <c r="KU168" s="978"/>
      <c r="KV168" s="978"/>
      <c r="KW168" s="978"/>
      <c r="KX168" s="978"/>
      <c r="KY168" s="978"/>
      <c r="KZ168" s="978"/>
      <c r="LA168" s="978"/>
      <c r="LB168" s="978"/>
      <c r="LC168" s="978"/>
      <c r="LD168" s="978"/>
      <c r="LE168" s="978"/>
      <c r="LF168" s="978"/>
      <c r="LG168" s="978"/>
      <c r="LH168" s="978"/>
      <c r="LI168" s="978"/>
      <c r="LJ168" s="978"/>
      <c r="LK168" s="978"/>
      <c r="LL168" s="978"/>
      <c r="LM168" s="978"/>
      <c r="LN168" s="978"/>
      <c r="LO168" s="978"/>
      <c r="LP168" s="978"/>
      <c r="LQ168" s="978"/>
      <c r="LR168" s="978"/>
      <c r="LS168" s="978"/>
      <c r="LT168" s="978"/>
      <c r="LU168" s="978"/>
      <c r="LV168" s="978"/>
      <c r="LW168" s="978"/>
      <c r="LX168" s="978"/>
      <c r="LY168" s="978"/>
      <c r="LZ168" s="978"/>
      <c r="MA168" s="978"/>
      <c r="MB168" s="978"/>
      <c r="MC168" s="978"/>
      <c r="MD168" s="978"/>
      <c r="ME168" s="978"/>
      <c r="MF168" s="978"/>
      <c r="MG168" s="978"/>
      <c r="MH168" s="978"/>
      <c r="MI168" s="978"/>
      <c r="MJ168" s="978"/>
      <c r="MK168" s="978"/>
      <c r="ML168" s="978"/>
      <c r="MM168" s="978"/>
      <c r="MN168" s="978"/>
      <c r="MO168" s="978"/>
      <c r="MP168" s="978"/>
      <c r="MQ168" s="978"/>
      <c r="MR168" s="978"/>
      <c r="MS168" s="978"/>
      <c r="MT168" s="978"/>
      <c r="MU168" s="978"/>
      <c r="MV168" s="978"/>
      <c r="MW168" s="978"/>
      <c r="MX168" s="978"/>
      <c r="MY168" s="978"/>
      <c r="MZ168" s="978"/>
      <c r="NA168" s="978"/>
      <c r="NB168" s="978"/>
      <c r="NC168" s="978"/>
      <c r="ND168" s="978"/>
      <c r="NE168" s="978"/>
      <c r="NF168" s="978"/>
      <c r="NG168" s="978"/>
      <c r="NH168" s="978"/>
      <c r="NI168" s="978"/>
      <c r="NJ168" s="978"/>
      <c r="NK168" s="978"/>
      <c r="NL168" s="978"/>
      <c r="NM168" s="978"/>
      <c r="NN168" s="978"/>
      <c r="NO168" s="978"/>
      <c r="NP168" s="978"/>
      <c r="NQ168" s="978"/>
      <c r="NR168" s="978"/>
      <c r="NS168" s="978"/>
      <c r="NT168" s="978"/>
      <c r="NU168" s="978"/>
      <c r="NV168" s="978"/>
      <c r="NW168" s="978"/>
      <c r="NX168" s="978"/>
      <c r="NY168" s="978"/>
      <c r="NZ168" s="978"/>
      <c r="OA168" s="978"/>
      <c r="OB168" s="978"/>
      <c r="OC168" s="978"/>
      <c r="OD168" s="978"/>
      <c r="OE168" s="978"/>
      <c r="OF168" s="978"/>
      <c r="OG168" s="978"/>
      <c r="OH168" s="978"/>
      <c r="OI168" s="978"/>
      <c r="OJ168" s="978"/>
      <c r="OK168" s="978"/>
      <c r="OL168" s="978"/>
      <c r="OM168" s="978"/>
      <c r="ON168" s="978"/>
      <c r="OO168" s="978"/>
      <c r="OP168" s="978"/>
      <c r="OQ168" s="978"/>
      <c r="OR168" s="978"/>
      <c r="OS168" s="978"/>
      <c r="OT168" s="978"/>
      <c r="OU168" s="978"/>
      <c r="OV168" s="978"/>
      <c r="OW168" s="978"/>
      <c r="OX168" s="978"/>
      <c r="OY168" s="978"/>
      <c r="OZ168" s="978"/>
      <c r="PA168" s="978"/>
      <c r="PB168" s="978"/>
      <c r="PC168" s="978"/>
      <c r="PD168" s="978"/>
      <c r="PE168" s="978"/>
      <c r="PF168" s="978"/>
      <c r="PG168" s="978"/>
      <c r="PH168" s="978"/>
      <c r="PI168" s="978"/>
      <c r="PJ168" s="978"/>
      <c r="PK168" s="978"/>
      <c r="PL168" s="978"/>
      <c r="PM168" s="978"/>
      <c r="PN168" s="978"/>
      <c r="PO168" s="978"/>
      <c r="PP168" s="978"/>
      <c r="PQ168" s="978"/>
      <c r="PR168" s="978"/>
      <c r="PS168" s="978"/>
      <c r="PT168" s="978"/>
      <c r="PU168" s="978"/>
      <c r="PV168" s="978"/>
      <c r="PW168" s="978"/>
      <c r="PX168" s="978"/>
      <c r="PY168" s="978"/>
      <c r="PZ168" s="978"/>
      <c r="QA168" s="978"/>
      <c r="QB168" s="978"/>
      <c r="QC168" s="978"/>
      <c r="QD168" s="978"/>
      <c r="QE168" s="978"/>
      <c r="QF168" s="978"/>
      <c r="QG168" s="978"/>
      <c r="QH168" s="978"/>
      <c r="QI168" s="978"/>
      <c r="QJ168" s="978"/>
      <c r="QK168" s="978"/>
      <c r="QL168" s="978"/>
      <c r="QM168" s="978"/>
      <c r="QN168" s="978"/>
      <c r="QO168" s="978"/>
      <c r="QP168" s="978"/>
      <c r="QQ168" s="978"/>
      <c r="QR168" s="978"/>
      <c r="QS168" s="978"/>
      <c r="QT168" s="978"/>
      <c r="QU168" s="978"/>
      <c r="QV168" s="978"/>
      <c r="QW168" s="978"/>
      <c r="QX168" s="978"/>
      <c r="QY168" s="978"/>
      <c r="QZ168" s="978"/>
      <c r="RA168" s="978"/>
      <c r="RB168" s="274"/>
      <c r="RC168" s="274"/>
    </row>
    <row r="169" spans="112:471" ht="17.25">
      <c r="DH169" s="274"/>
      <c r="DI169" s="274"/>
      <c r="DJ169" s="978"/>
      <c r="DK169" s="978"/>
      <c r="DL169" s="978"/>
      <c r="DM169" s="978"/>
      <c r="DN169" s="978"/>
      <c r="DO169" s="978"/>
      <c r="DP169" s="978"/>
      <c r="DQ169" s="978"/>
      <c r="DR169" s="978"/>
      <c r="DS169" s="978"/>
      <c r="DT169" s="978"/>
      <c r="DU169" s="978"/>
      <c r="DV169" s="978"/>
      <c r="DW169" s="978"/>
      <c r="DX169" s="978"/>
      <c r="DY169" s="978"/>
      <c r="DZ169" s="978"/>
      <c r="EA169" s="978"/>
      <c r="EB169" s="978"/>
      <c r="EC169" s="978"/>
      <c r="ED169" s="978"/>
      <c r="EE169" s="978"/>
      <c r="EF169" s="978"/>
      <c r="EG169" s="978"/>
      <c r="EH169" s="978"/>
      <c r="EI169" s="978"/>
      <c r="EJ169" s="978"/>
      <c r="EK169" s="978"/>
      <c r="EL169" s="978"/>
      <c r="EM169" s="978"/>
      <c r="EN169" s="978"/>
      <c r="EO169" s="978"/>
      <c r="EP169" s="978"/>
      <c r="EQ169" s="978"/>
      <c r="ER169" s="978"/>
      <c r="ES169" s="978"/>
      <c r="ET169" s="978"/>
      <c r="EU169" s="978"/>
      <c r="EV169" s="978"/>
      <c r="EW169" s="978"/>
      <c r="EX169" s="978"/>
      <c r="EY169" s="978"/>
      <c r="EZ169" s="978"/>
      <c r="FA169" s="978"/>
      <c r="FB169" s="978"/>
      <c r="FC169" s="978"/>
      <c r="FD169" s="978"/>
      <c r="FE169" s="978"/>
      <c r="FF169" s="978"/>
      <c r="FG169" s="978"/>
      <c r="FH169" s="978"/>
      <c r="FI169" s="978"/>
      <c r="FJ169" s="978"/>
      <c r="FK169" s="978"/>
      <c r="FL169" s="978"/>
      <c r="FM169" s="978"/>
      <c r="FN169" s="978"/>
      <c r="FO169" s="978"/>
      <c r="FP169" s="978"/>
      <c r="FQ169" s="978"/>
      <c r="FR169" s="978"/>
      <c r="FS169" s="978"/>
      <c r="FT169" s="978"/>
      <c r="FU169" s="978"/>
      <c r="FV169" s="978"/>
      <c r="FW169" s="978"/>
      <c r="FX169" s="978"/>
      <c r="FY169" s="978"/>
      <c r="FZ169" s="978"/>
      <c r="GA169" s="978"/>
      <c r="GB169" s="978"/>
      <c r="GC169" s="978"/>
      <c r="GD169" s="978"/>
      <c r="GE169" s="978"/>
      <c r="GF169" s="978"/>
      <c r="GG169" s="978"/>
      <c r="GH169" s="978"/>
      <c r="GI169" s="978"/>
      <c r="GJ169" s="978"/>
      <c r="GK169" s="978"/>
      <c r="GL169" s="978"/>
      <c r="GM169" s="978"/>
      <c r="GN169" s="978"/>
      <c r="GO169" s="978"/>
      <c r="GP169" s="978"/>
      <c r="GQ169" s="978"/>
      <c r="GR169" s="978"/>
      <c r="GS169" s="978"/>
      <c r="GT169" s="978"/>
      <c r="GU169" s="978"/>
      <c r="GV169" s="978"/>
      <c r="GW169" s="978"/>
      <c r="GX169" s="978"/>
      <c r="GY169" s="978"/>
      <c r="GZ169" s="978"/>
      <c r="HA169" s="978"/>
      <c r="HB169" s="978"/>
      <c r="HC169" s="978"/>
      <c r="HD169" s="978"/>
      <c r="HE169" s="978"/>
      <c r="HF169" s="978"/>
      <c r="HG169" s="978"/>
      <c r="HH169" s="978"/>
      <c r="HI169" s="978"/>
      <c r="HJ169" s="978"/>
      <c r="HK169" s="978"/>
      <c r="HL169" s="978"/>
      <c r="HM169" s="978"/>
      <c r="HN169" s="978"/>
      <c r="HO169" s="978"/>
      <c r="HP169" s="978"/>
      <c r="HQ169" s="978"/>
      <c r="HR169" s="978"/>
      <c r="HS169" s="978"/>
      <c r="HT169" s="978"/>
      <c r="HU169" s="978"/>
      <c r="HV169" s="978"/>
      <c r="HW169" s="978"/>
      <c r="HX169" s="978"/>
      <c r="HY169" s="978"/>
      <c r="HZ169" s="978"/>
      <c r="IA169" s="978"/>
      <c r="IB169" s="978"/>
      <c r="IC169" s="978"/>
      <c r="ID169" s="978"/>
      <c r="IE169" s="978"/>
      <c r="IF169" s="978"/>
      <c r="IG169" s="978"/>
      <c r="IH169" s="978"/>
      <c r="II169" s="978"/>
      <c r="IJ169" s="978"/>
      <c r="IK169" s="978"/>
      <c r="IL169" s="978"/>
      <c r="IM169" s="978"/>
      <c r="IN169" s="978"/>
      <c r="IO169" s="978"/>
      <c r="IP169" s="978"/>
      <c r="IQ169" s="978"/>
      <c r="IR169" s="978"/>
      <c r="IS169" s="978"/>
      <c r="IT169" s="978"/>
      <c r="IU169" s="978"/>
      <c r="IV169" s="978"/>
      <c r="IW169" s="978"/>
      <c r="IX169" s="978"/>
      <c r="IY169" s="978"/>
      <c r="IZ169" s="978"/>
      <c r="JA169" s="978"/>
      <c r="JB169" s="978"/>
      <c r="JC169" s="978"/>
      <c r="JD169" s="978"/>
      <c r="JE169" s="978"/>
      <c r="JF169" s="978"/>
      <c r="JG169" s="978"/>
      <c r="JH169" s="978"/>
      <c r="JI169" s="978"/>
      <c r="JJ169" s="978"/>
      <c r="JK169" s="978"/>
      <c r="JL169" s="978"/>
      <c r="JM169" s="978"/>
      <c r="JN169" s="978"/>
      <c r="JO169" s="978"/>
      <c r="JP169" s="978"/>
      <c r="JQ169" s="978"/>
      <c r="JR169" s="978"/>
      <c r="JS169" s="978"/>
      <c r="JT169" s="978"/>
      <c r="JU169" s="978"/>
      <c r="JV169" s="978"/>
      <c r="JW169" s="978"/>
      <c r="JX169" s="978"/>
      <c r="JY169" s="978"/>
      <c r="JZ169" s="978"/>
      <c r="KA169" s="978"/>
      <c r="KB169" s="978"/>
      <c r="KC169" s="978"/>
      <c r="KD169" s="978"/>
      <c r="KE169" s="978"/>
      <c r="KF169" s="978"/>
      <c r="KG169" s="978"/>
      <c r="KH169" s="978"/>
      <c r="KI169" s="978"/>
      <c r="KJ169" s="978"/>
      <c r="KK169" s="978"/>
      <c r="KL169" s="978"/>
      <c r="KM169" s="978"/>
      <c r="KN169" s="978"/>
      <c r="KO169" s="978"/>
      <c r="KP169" s="978"/>
      <c r="KQ169" s="978"/>
      <c r="KR169" s="978"/>
      <c r="KS169" s="978"/>
      <c r="KT169" s="978"/>
      <c r="KU169" s="978"/>
      <c r="KV169" s="978"/>
      <c r="KW169" s="978"/>
      <c r="KX169" s="978"/>
      <c r="KY169" s="978"/>
      <c r="KZ169" s="978"/>
      <c r="LA169" s="978"/>
      <c r="LB169" s="978"/>
      <c r="LC169" s="978"/>
      <c r="LD169" s="978"/>
      <c r="LE169" s="978"/>
      <c r="LF169" s="978"/>
      <c r="LG169" s="978"/>
      <c r="LH169" s="978"/>
      <c r="LI169" s="978"/>
      <c r="LJ169" s="978"/>
      <c r="LK169" s="978"/>
      <c r="LL169" s="978"/>
      <c r="LM169" s="978"/>
      <c r="LN169" s="978"/>
      <c r="LO169" s="978"/>
      <c r="LP169" s="978"/>
      <c r="LQ169" s="978"/>
      <c r="LR169" s="978"/>
      <c r="LS169" s="978"/>
      <c r="LT169" s="978"/>
      <c r="LU169" s="978"/>
      <c r="LV169" s="978"/>
      <c r="LW169" s="978"/>
      <c r="LX169" s="978"/>
      <c r="LY169" s="978"/>
      <c r="LZ169" s="978"/>
      <c r="MA169" s="978"/>
      <c r="MB169" s="978"/>
      <c r="MC169" s="978"/>
      <c r="MD169" s="978"/>
      <c r="ME169" s="978"/>
      <c r="MF169" s="978"/>
      <c r="MG169" s="978"/>
      <c r="MH169" s="978"/>
      <c r="MI169" s="978"/>
      <c r="MJ169" s="978"/>
      <c r="MK169" s="978"/>
      <c r="ML169" s="978"/>
      <c r="MM169" s="978"/>
      <c r="MN169" s="978"/>
      <c r="MO169" s="978"/>
      <c r="MP169" s="978"/>
      <c r="MQ169" s="978"/>
      <c r="MR169" s="978"/>
      <c r="MS169" s="978"/>
      <c r="MT169" s="978"/>
      <c r="MU169" s="978"/>
      <c r="MV169" s="978"/>
      <c r="MW169" s="978"/>
      <c r="MX169" s="978"/>
      <c r="MY169" s="978"/>
      <c r="MZ169" s="978"/>
      <c r="NA169" s="978"/>
      <c r="NB169" s="978"/>
      <c r="NC169" s="978"/>
      <c r="ND169" s="978"/>
      <c r="NE169" s="978"/>
      <c r="NF169" s="978"/>
      <c r="NG169" s="978"/>
      <c r="NH169" s="978"/>
      <c r="NI169" s="978"/>
      <c r="NJ169" s="978"/>
      <c r="NK169" s="978"/>
      <c r="NL169" s="978"/>
      <c r="NM169" s="978"/>
      <c r="NN169" s="978"/>
      <c r="NO169" s="978"/>
      <c r="NP169" s="978"/>
      <c r="NQ169" s="978"/>
      <c r="NR169" s="978"/>
      <c r="NS169" s="978"/>
      <c r="NT169" s="978"/>
      <c r="NU169" s="978"/>
      <c r="NV169" s="978"/>
      <c r="NW169" s="978"/>
      <c r="NX169" s="978"/>
      <c r="NY169" s="978"/>
      <c r="NZ169" s="978"/>
      <c r="OA169" s="978"/>
      <c r="OB169" s="978"/>
      <c r="OC169" s="978"/>
      <c r="OD169" s="978"/>
      <c r="OE169" s="978"/>
      <c r="OF169" s="978"/>
      <c r="OG169" s="978"/>
      <c r="OH169" s="978"/>
      <c r="OI169" s="978"/>
      <c r="OJ169" s="978"/>
      <c r="OK169" s="978"/>
      <c r="OL169" s="978"/>
      <c r="OM169" s="978"/>
      <c r="ON169" s="978"/>
      <c r="OO169" s="978"/>
      <c r="OP169" s="978"/>
      <c r="OQ169" s="978"/>
      <c r="OR169" s="978"/>
      <c r="OS169" s="978"/>
      <c r="OT169" s="978"/>
      <c r="OU169" s="978"/>
      <c r="OV169" s="978"/>
      <c r="OW169" s="978"/>
      <c r="OX169" s="978"/>
      <c r="OY169" s="978"/>
      <c r="OZ169" s="978"/>
      <c r="PA169" s="978"/>
      <c r="PB169" s="978"/>
      <c r="PC169" s="978"/>
      <c r="PD169" s="978"/>
      <c r="PE169" s="978"/>
      <c r="PF169" s="978"/>
      <c r="PG169" s="978"/>
      <c r="PH169" s="978"/>
      <c r="PI169" s="978"/>
      <c r="PJ169" s="978"/>
      <c r="PK169" s="978"/>
      <c r="PL169" s="978"/>
      <c r="PM169" s="978"/>
      <c r="PN169" s="978"/>
      <c r="PO169" s="978"/>
      <c r="PP169" s="978"/>
      <c r="PQ169" s="978"/>
      <c r="PR169" s="978"/>
      <c r="PS169" s="978"/>
      <c r="PT169" s="978"/>
      <c r="PU169" s="978"/>
      <c r="PV169" s="978"/>
      <c r="PW169" s="978"/>
      <c r="PX169" s="978"/>
      <c r="PY169" s="978"/>
      <c r="PZ169" s="978"/>
      <c r="QA169" s="978"/>
      <c r="QB169" s="978"/>
      <c r="QC169" s="978"/>
      <c r="QD169" s="978"/>
      <c r="QE169" s="978"/>
      <c r="QF169" s="978"/>
      <c r="QG169" s="978"/>
      <c r="QH169" s="978"/>
      <c r="QI169" s="978"/>
      <c r="QJ169" s="978"/>
      <c r="QK169" s="978"/>
      <c r="QL169" s="978"/>
      <c r="QM169" s="978"/>
      <c r="QN169" s="978"/>
      <c r="QO169" s="978"/>
      <c r="QP169" s="978"/>
      <c r="QQ169" s="978"/>
      <c r="QR169" s="978"/>
      <c r="QS169" s="978"/>
      <c r="QT169" s="978"/>
      <c r="QU169" s="978"/>
      <c r="QV169" s="978"/>
      <c r="QW169" s="978"/>
      <c r="QX169" s="978"/>
      <c r="QY169" s="978"/>
      <c r="QZ169" s="978"/>
      <c r="RA169" s="978"/>
      <c r="RB169" s="274"/>
      <c r="RC169" s="274"/>
    </row>
    <row r="170" spans="112:471" ht="17.25">
      <c r="DH170" s="274"/>
      <c r="DI170" s="274"/>
      <c r="DJ170" s="978"/>
      <c r="DK170" s="978"/>
      <c r="DL170" s="978"/>
      <c r="DM170" s="978"/>
      <c r="DN170" s="978"/>
      <c r="DO170" s="978"/>
      <c r="DP170" s="978"/>
      <c r="DQ170" s="978"/>
      <c r="DR170" s="978"/>
      <c r="DS170" s="978"/>
      <c r="DT170" s="978"/>
      <c r="DU170" s="978"/>
      <c r="DV170" s="978"/>
      <c r="DW170" s="978"/>
      <c r="DX170" s="978"/>
      <c r="DY170" s="978"/>
      <c r="DZ170" s="978"/>
      <c r="EA170" s="978"/>
      <c r="EB170" s="978"/>
      <c r="EC170" s="978"/>
      <c r="ED170" s="978"/>
      <c r="EE170" s="978"/>
      <c r="EF170" s="978"/>
      <c r="EG170" s="978"/>
      <c r="EH170" s="978"/>
      <c r="EI170" s="978"/>
      <c r="EJ170" s="978"/>
      <c r="EK170" s="978"/>
      <c r="EL170" s="978"/>
      <c r="EM170" s="978"/>
      <c r="EN170" s="978"/>
      <c r="EO170" s="978"/>
      <c r="EP170" s="978"/>
      <c r="EQ170" s="978"/>
      <c r="ER170" s="978"/>
      <c r="ES170" s="978"/>
      <c r="ET170" s="978"/>
      <c r="EU170" s="978"/>
      <c r="EV170" s="978"/>
      <c r="EW170" s="978"/>
      <c r="EX170" s="978"/>
      <c r="EY170" s="978"/>
      <c r="EZ170" s="978"/>
      <c r="FA170" s="978"/>
      <c r="FB170" s="978"/>
      <c r="FC170" s="978"/>
      <c r="FD170" s="978"/>
      <c r="FE170" s="978"/>
      <c r="FF170" s="978"/>
      <c r="FG170" s="978"/>
      <c r="FH170" s="978"/>
      <c r="FI170" s="978"/>
      <c r="FJ170" s="978"/>
      <c r="FK170" s="978"/>
      <c r="FL170" s="978"/>
      <c r="FM170" s="978"/>
      <c r="FN170" s="978"/>
      <c r="FO170" s="978"/>
      <c r="FP170" s="978"/>
      <c r="FQ170" s="978"/>
      <c r="FR170" s="978"/>
      <c r="FS170" s="978"/>
      <c r="FT170" s="978"/>
      <c r="FU170" s="978"/>
      <c r="FV170" s="978"/>
      <c r="FW170" s="978"/>
      <c r="FX170" s="978"/>
      <c r="FY170" s="978"/>
      <c r="FZ170" s="978"/>
      <c r="GA170" s="978"/>
      <c r="GB170" s="978"/>
      <c r="GC170" s="978"/>
      <c r="GD170" s="978"/>
      <c r="GE170" s="978"/>
      <c r="GF170" s="978"/>
      <c r="GG170" s="978"/>
      <c r="GH170" s="978"/>
      <c r="GI170" s="978"/>
      <c r="GJ170" s="978"/>
      <c r="GK170" s="978"/>
      <c r="GL170" s="978"/>
      <c r="GM170" s="978"/>
      <c r="GN170" s="978"/>
      <c r="GO170" s="978"/>
      <c r="GP170" s="978"/>
      <c r="GQ170" s="978"/>
      <c r="GR170" s="978"/>
      <c r="GS170" s="978"/>
      <c r="GT170" s="978"/>
      <c r="GU170" s="978"/>
      <c r="GV170" s="978"/>
      <c r="GW170" s="978"/>
      <c r="GX170" s="978"/>
      <c r="GY170" s="978"/>
      <c r="GZ170" s="978"/>
      <c r="HA170" s="978"/>
      <c r="HB170" s="978"/>
      <c r="HC170" s="978"/>
      <c r="HD170" s="978"/>
      <c r="HE170" s="978"/>
      <c r="HF170" s="978"/>
      <c r="HG170" s="978"/>
      <c r="HH170" s="978"/>
      <c r="HI170" s="978"/>
      <c r="HJ170" s="978"/>
      <c r="HK170" s="978"/>
      <c r="HL170" s="978"/>
      <c r="HM170" s="978"/>
      <c r="HN170" s="978"/>
      <c r="HO170" s="978"/>
      <c r="HP170" s="978"/>
      <c r="HQ170" s="978"/>
      <c r="HR170" s="978"/>
      <c r="HS170" s="978"/>
      <c r="HT170" s="978"/>
      <c r="HU170" s="978"/>
      <c r="HV170" s="978"/>
      <c r="HW170" s="978"/>
      <c r="HX170" s="978"/>
      <c r="HY170" s="978"/>
      <c r="HZ170" s="978"/>
      <c r="IA170" s="978"/>
      <c r="IB170" s="978"/>
      <c r="IC170" s="978"/>
      <c r="ID170" s="978"/>
      <c r="IE170" s="978"/>
      <c r="IF170" s="978"/>
      <c r="IG170" s="978"/>
      <c r="IH170" s="978"/>
      <c r="II170" s="978"/>
      <c r="IJ170" s="978"/>
      <c r="IK170" s="978"/>
      <c r="IL170" s="978"/>
      <c r="IM170" s="978"/>
      <c r="IN170" s="978"/>
      <c r="IO170" s="978"/>
      <c r="IP170" s="978"/>
      <c r="IQ170" s="978"/>
      <c r="IR170" s="978"/>
      <c r="IS170" s="978"/>
      <c r="IT170" s="978"/>
      <c r="IU170" s="978"/>
      <c r="IV170" s="978"/>
      <c r="IW170" s="978"/>
      <c r="IX170" s="978"/>
      <c r="IY170" s="978"/>
      <c r="IZ170" s="978"/>
      <c r="JA170" s="978"/>
      <c r="JB170" s="978"/>
      <c r="JC170" s="978"/>
      <c r="JD170" s="978"/>
      <c r="JE170" s="978"/>
      <c r="JF170" s="978"/>
      <c r="JG170" s="978"/>
      <c r="JH170" s="978"/>
      <c r="JI170" s="978"/>
      <c r="JJ170" s="978"/>
      <c r="JK170" s="978"/>
      <c r="JL170" s="978"/>
      <c r="JM170" s="978"/>
      <c r="JN170" s="978"/>
      <c r="JO170" s="978"/>
      <c r="JP170" s="978"/>
      <c r="JQ170" s="978"/>
      <c r="JR170" s="978"/>
      <c r="JS170" s="978"/>
      <c r="JT170" s="978"/>
      <c r="JU170" s="978"/>
      <c r="JV170" s="978"/>
      <c r="JW170" s="978"/>
      <c r="JX170" s="978"/>
      <c r="JY170" s="978"/>
      <c r="JZ170" s="978"/>
      <c r="KA170" s="978"/>
      <c r="KB170" s="978"/>
      <c r="KC170" s="978"/>
      <c r="KD170" s="978"/>
      <c r="KE170" s="978"/>
      <c r="KF170" s="978"/>
      <c r="KG170" s="978"/>
      <c r="KH170" s="978"/>
      <c r="KI170" s="978"/>
      <c r="KJ170" s="978"/>
      <c r="KK170" s="978"/>
      <c r="KL170" s="978"/>
      <c r="KM170" s="978"/>
      <c r="KN170" s="978"/>
      <c r="KO170" s="978"/>
      <c r="KP170" s="978"/>
      <c r="KQ170" s="978"/>
      <c r="KR170" s="978"/>
      <c r="KS170" s="978"/>
      <c r="KT170" s="978"/>
      <c r="KU170" s="978"/>
      <c r="KV170" s="978"/>
      <c r="KW170" s="978"/>
      <c r="KX170" s="978"/>
      <c r="KY170" s="978"/>
      <c r="KZ170" s="978"/>
      <c r="LA170" s="978"/>
      <c r="LB170" s="978"/>
      <c r="LC170" s="978"/>
      <c r="LD170" s="978"/>
      <c r="LE170" s="978"/>
      <c r="LF170" s="978"/>
      <c r="LG170" s="978"/>
      <c r="LH170" s="978"/>
      <c r="LI170" s="978"/>
      <c r="LJ170" s="978"/>
      <c r="LK170" s="978"/>
      <c r="LL170" s="978"/>
      <c r="LM170" s="978"/>
      <c r="LN170" s="978"/>
      <c r="LO170" s="978"/>
      <c r="LP170" s="978"/>
      <c r="LQ170" s="978"/>
      <c r="LR170" s="978"/>
      <c r="LS170" s="978"/>
      <c r="LT170" s="978"/>
      <c r="LU170" s="978"/>
      <c r="LV170" s="978"/>
      <c r="LW170" s="978"/>
      <c r="LX170" s="978"/>
      <c r="LY170" s="978"/>
      <c r="LZ170" s="978"/>
      <c r="MA170" s="978"/>
      <c r="MB170" s="978"/>
      <c r="MC170" s="978"/>
      <c r="MD170" s="978"/>
      <c r="ME170" s="978"/>
      <c r="MF170" s="978"/>
      <c r="MG170" s="978"/>
      <c r="MH170" s="978"/>
      <c r="MI170" s="978"/>
      <c r="MJ170" s="978"/>
      <c r="MK170" s="978"/>
      <c r="ML170" s="978"/>
      <c r="MM170" s="978"/>
      <c r="MN170" s="978"/>
      <c r="MO170" s="978"/>
      <c r="MP170" s="978"/>
      <c r="MQ170" s="978"/>
      <c r="MR170" s="978"/>
      <c r="MS170" s="978"/>
      <c r="MT170" s="978"/>
      <c r="MU170" s="978"/>
      <c r="MV170" s="978"/>
      <c r="MW170" s="978"/>
      <c r="MX170" s="978"/>
      <c r="MY170" s="978"/>
      <c r="MZ170" s="978"/>
      <c r="NA170" s="978"/>
      <c r="NB170" s="978"/>
      <c r="NC170" s="978"/>
      <c r="ND170" s="978"/>
      <c r="NE170" s="978"/>
      <c r="NF170" s="978"/>
      <c r="NG170" s="978"/>
      <c r="NH170" s="978"/>
      <c r="NI170" s="978"/>
      <c r="NJ170" s="978"/>
      <c r="NK170" s="978"/>
      <c r="NL170" s="978"/>
      <c r="NM170" s="978"/>
      <c r="NN170" s="978"/>
      <c r="NO170" s="978"/>
      <c r="NP170" s="978"/>
      <c r="NQ170" s="978"/>
      <c r="NR170" s="978"/>
      <c r="NS170" s="978"/>
      <c r="NT170" s="978"/>
      <c r="NU170" s="978"/>
      <c r="NV170" s="978"/>
      <c r="NW170" s="978"/>
      <c r="NX170" s="978"/>
      <c r="NY170" s="978"/>
      <c r="NZ170" s="978"/>
      <c r="OA170" s="978"/>
      <c r="OB170" s="978"/>
      <c r="OC170" s="978"/>
      <c r="OD170" s="978"/>
      <c r="OE170" s="978"/>
      <c r="OF170" s="978"/>
      <c r="OG170" s="978"/>
      <c r="OH170" s="978"/>
      <c r="OI170" s="978"/>
      <c r="OJ170" s="978"/>
      <c r="OK170" s="978"/>
      <c r="OL170" s="978"/>
      <c r="OM170" s="978"/>
      <c r="ON170" s="978"/>
      <c r="OO170" s="978"/>
      <c r="OP170" s="978"/>
      <c r="OQ170" s="978"/>
      <c r="OR170" s="978"/>
      <c r="OS170" s="978"/>
      <c r="OT170" s="978"/>
      <c r="OU170" s="978"/>
      <c r="OV170" s="978"/>
      <c r="OW170" s="978"/>
      <c r="OX170" s="978"/>
      <c r="OY170" s="978"/>
      <c r="OZ170" s="978"/>
      <c r="PA170" s="978"/>
      <c r="PB170" s="978"/>
      <c r="PC170" s="978"/>
      <c r="PD170" s="978"/>
      <c r="PE170" s="978"/>
      <c r="PF170" s="978"/>
      <c r="PG170" s="978"/>
      <c r="PH170" s="978"/>
      <c r="PI170" s="978"/>
      <c r="PJ170" s="978"/>
      <c r="PK170" s="978"/>
      <c r="PL170" s="978"/>
      <c r="PM170" s="978"/>
      <c r="PN170" s="978"/>
      <c r="PO170" s="978"/>
      <c r="PP170" s="978"/>
      <c r="PQ170" s="978"/>
      <c r="PR170" s="978"/>
      <c r="PS170" s="978"/>
      <c r="PT170" s="978"/>
      <c r="PU170" s="978"/>
      <c r="PV170" s="978"/>
      <c r="PW170" s="978"/>
      <c r="PX170" s="978"/>
      <c r="PY170" s="978"/>
      <c r="PZ170" s="978"/>
      <c r="QA170" s="978"/>
      <c r="QB170" s="978"/>
      <c r="QC170" s="978"/>
      <c r="QD170" s="978"/>
      <c r="QE170" s="978"/>
      <c r="QF170" s="978"/>
      <c r="QG170" s="978"/>
      <c r="QH170" s="978"/>
      <c r="QI170" s="978"/>
      <c r="QJ170" s="978"/>
      <c r="QK170" s="978"/>
      <c r="QL170" s="978"/>
      <c r="QM170" s="978"/>
      <c r="QN170" s="978"/>
      <c r="QO170" s="978"/>
      <c r="QP170" s="978"/>
      <c r="QQ170" s="978"/>
      <c r="QR170" s="978"/>
      <c r="QS170" s="978"/>
      <c r="QT170" s="978"/>
      <c r="QU170" s="978"/>
      <c r="QV170" s="978"/>
      <c r="QW170" s="978"/>
      <c r="QX170" s="978"/>
      <c r="QY170" s="978"/>
      <c r="QZ170" s="978"/>
      <c r="RA170" s="978"/>
      <c r="RB170" s="274"/>
      <c r="RC170" s="274"/>
    </row>
    <row r="171" spans="112:471" ht="17.25">
      <c r="DH171" s="274"/>
      <c r="DI171" s="274"/>
      <c r="DJ171" s="978"/>
      <c r="DK171" s="978"/>
      <c r="DL171" s="978"/>
      <c r="DM171" s="978"/>
      <c r="DN171" s="978"/>
      <c r="DO171" s="978"/>
      <c r="DP171" s="978"/>
      <c r="DQ171" s="978"/>
      <c r="DR171" s="978"/>
      <c r="DS171" s="978"/>
      <c r="DT171" s="978"/>
      <c r="DU171" s="978"/>
      <c r="DV171" s="978"/>
      <c r="DW171" s="978"/>
      <c r="DX171" s="978"/>
      <c r="DY171" s="978"/>
      <c r="DZ171" s="978"/>
      <c r="EA171" s="978"/>
      <c r="EB171" s="978"/>
      <c r="EC171" s="978"/>
      <c r="ED171" s="978"/>
      <c r="EE171" s="978"/>
      <c r="EF171" s="978"/>
      <c r="EG171" s="978"/>
      <c r="EH171" s="978"/>
      <c r="EI171" s="978"/>
      <c r="EJ171" s="978"/>
      <c r="EK171" s="978"/>
      <c r="EL171" s="978"/>
      <c r="EM171" s="978"/>
      <c r="EN171" s="978"/>
      <c r="EO171" s="978"/>
      <c r="EP171" s="978"/>
      <c r="EQ171" s="978"/>
      <c r="ER171" s="978"/>
      <c r="ES171" s="978"/>
      <c r="ET171" s="978"/>
      <c r="EU171" s="978"/>
      <c r="EV171" s="978"/>
      <c r="EW171" s="978"/>
      <c r="EX171" s="978"/>
      <c r="EY171" s="978"/>
      <c r="EZ171" s="978"/>
      <c r="FA171" s="978"/>
      <c r="FB171" s="978"/>
      <c r="FC171" s="978"/>
      <c r="FD171" s="978"/>
      <c r="FE171" s="978"/>
      <c r="FF171" s="978"/>
      <c r="FG171" s="978"/>
      <c r="FH171" s="978"/>
      <c r="FI171" s="978"/>
      <c r="FJ171" s="978"/>
      <c r="FK171" s="978"/>
      <c r="FL171" s="978"/>
      <c r="FM171" s="978"/>
      <c r="FN171" s="978"/>
      <c r="FO171" s="978"/>
      <c r="FP171" s="978"/>
      <c r="FQ171" s="978"/>
      <c r="FR171" s="978"/>
      <c r="FS171" s="978"/>
      <c r="FT171" s="978"/>
      <c r="FU171" s="978"/>
      <c r="FV171" s="978"/>
      <c r="FW171" s="978"/>
      <c r="FX171" s="978"/>
      <c r="FY171" s="978"/>
      <c r="FZ171" s="978"/>
      <c r="GA171" s="978"/>
      <c r="GB171" s="978"/>
      <c r="GC171" s="978"/>
      <c r="GD171" s="978"/>
      <c r="GE171" s="978"/>
      <c r="GF171" s="978"/>
      <c r="GG171" s="978"/>
      <c r="GH171" s="978"/>
      <c r="GI171" s="978"/>
      <c r="GJ171" s="978"/>
      <c r="GK171" s="978"/>
      <c r="GL171" s="978"/>
      <c r="GM171" s="978"/>
      <c r="GN171" s="978"/>
      <c r="GO171" s="978"/>
      <c r="GP171" s="978"/>
      <c r="GQ171" s="978"/>
      <c r="GR171" s="978"/>
      <c r="GS171" s="978"/>
      <c r="GT171" s="978"/>
      <c r="GU171" s="978"/>
      <c r="GV171" s="978"/>
      <c r="GW171" s="978"/>
      <c r="GX171" s="978"/>
      <c r="GY171" s="978"/>
      <c r="GZ171" s="978"/>
      <c r="HA171" s="978"/>
      <c r="HB171" s="978"/>
      <c r="HC171" s="978"/>
      <c r="HD171" s="978"/>
      <c r="HE171" s="978"/>
      <c r="HF171" s="978"/>
      <c r="HG171" s="978"/>
      <c r="HH171" s="978"/>
      <c r="HI171" s="978"/>
      <c r="HJ171" s="978"/>
      <c r="HK171" s="978"/>
      <c r="HL171" s="978"/>
      <c r="HM171" s="978"/>
      <c r="HN171" s="978"/>
      <c r="HO171" s="978"/>
      <c r="HP171" s="978"/>
      <c r="HQ171" s="978"/>
      <c r="HR171" s="978"/>
      <c r="HS171" s="978"/>
      <c r="HT171" s="978"/>
      <c r="HU171" s="978"/>
      <c r="HV171" s="978"/>
      <c r="HW171" s="978"/>
      <c r="HX171" s="978"/>
      <c r="HY171" s="978"/>
      <c r="HZ171" s="978"/>
      <c r="IA171" s="978"/>
      <c r="IB171" s="978"/>
      <c r="IC171" s="978"/>
      <c r="ID171" s="978"/>
      <c r="IE171" s="978"/>
      <c r="IF171" s="978"/>
      <c r="IG171" s="978"/>
      <c r="IH171" s="978"/>
      <c r="II171" s="978"/>
      <c r="IJ171" s="978"/>
      <c r="IK171" s="978"/>
      <c r="IL171" s="978"/>
      <c r="IM171" s="978"/>
      <c r="IN171" s="978"/>
      <c r="IO171" s="978"/>
      <c r="IP171" s="978"/>
      <c r="IQ171" s="978"/>
      <c r="IR171" s="978"/>
      <c r="IS171" s="978"/>
      <c r="IT171" s="978"/>
      <c r="IU171" s="978"/>
      <c r="IV171" s="978"/>
      <c r="IW171" s="978"/>
      <c r="IX171" s="978"/>
      <c r="IY171" s="978"/>
      <c r="IZ171" s="978"/>
      <c r="JA171" s="978"/>
      <c r="JB171" s="978"/>
      <c r="JC171" s="978"/>
      <c r="JD171" s="978"/>
      <c r="JE171" s="978"/>
      <c r="JF171" s="978"/>
      <c r="JG171" s="978"/>
      <c r="JH171" s="978"/>
      <c r="JI171" s="978"/>
      <c r="JJ171" s="978"/>
      <c r="JK171" s="978"/>
      <c r="JL171" s="978"/>
      <c r="JM171" s="978"/>
      <c r="JN171" s="978"/>
      <c r="JO171" s="978"/>
      <c r="JP171" s="978"/>
      <c r="JQ171" s="978"/>
      <c r="JR171" s="978"/>
      <c r="JS171" s="978"/>
      <c r="JT171" s="978"/>
      <c r="JU171" s="978"/>
      <c r="JV171" s="978"/>
      <c r="JW171" s="978"/>
      <c r="JX171" s="978"/>
      <c r="JY171" s="978"/>
      <c r="JZ171" s="978"/>
      <c r="KA171" s="978"/>
      <c r="KB171" s="978"/>
      <c r="KC171" s="978"/>
      <c r="KD171" s="978"/>
      <c r="KE171" s="978"/>
      <c r="KF171" s="978"/>
      <c r="KG171" s="978"/>
      <c r="KH171" s="978"/>
      <c r="KI171" s="978"/>
      <c r="KJ171" s="978"/>
      <c r="KK171" s="978"/>
      <c r="KL171" s="978"/>
      <c r="KM171" s="978"/>
      <c r="KN171" s="978"/>
      <c r="KO171" s="978"/>
      <c r="KP171" s="978"/>
      <c r="KQ171" s="978"/>
      <c r="KR171" s="978"/>
      <c r="KS171" s="978"/>
      <c r="KT171" s="978"/>
      <c r="KU171" s="978"/>
      <c r="KV171" s="978"/>
      <c r="KW171" s="978"/>
      <c r="KX171" s="978"/>
      <c r="KY171" s="978"/>
      <c r="KZ171" s="978"/>
      <c r="LA171" s="978"/>
      <c r="LB171" s="978"/>
      <c r="LC171" s="978"/>
      <c r="LD171" s="978"/>
      <c r="LE171" s="978"/>
      <c r="LF171" s="978"/>
      <c r="LG171" s="978"/>
      <c r="LH171" s="978"/>
      <c r="LI171" s="978"/>
      <c r="LJ171" s="978"/>
      <c r="LK171" s="978"/>
      <c r="LL171" s="978"/>
      <c r="LM171" s="978"/>
      <c r="LN171" s="978"/>
      <c r="LO171" s="978"/>
      <c r="LP171" s="978"/>
      <c r="LQ171" s="978"/>
      <c r="LR171" s="978"/>
      <c r="LS171" s="978"/>
      <c r="LT171" s="978"/>
      <c r="LU171" s="978"/>
      <c r="LV171" s="978"/>
      <c r="LW171" s="978"/>
      <c r="LX171" s="978"/>
      <c r="LY171" s="978"/>
      <c r="LZ171" s="978"/>
      <c r="MA171" s="978"/>
      <c r="MB171" s="978"/>
      <c r="MC171" s="978"/>
      <c r="MD171" s="978"/>
      <c r="ME171" s="978"/>
      <c r="MF171" s="978"/>
      <c r="MG171" s="978"/>
      <c r="MH171" s="978"/>
      <c r="MI171" s="978"/>
      <c r="MJ171" s="978"/>
      <c r="MK171" s="978"/>
      <c r="ML171" s="978"/>
      <c r="MM171" s="978"/>
      <c r="MN171" s="978"/>
      <c r="MO171" s="978"/>
      <c r="MP171" s="978"/>
      <c r="MQ171" s="978"/>
      <c r="MR171" s="978"/>
      <c r="MS171" s="978"/>
      <c r="MT171" s="978"/>
      <c r="MU171" s="978"/>
      <c r="MV171" s="978"/>
      <c r="MW171" s="978"/>
      <c r="MX171" s="978"/>
      <c r="MY171" s="978"/>
      <c r="MZ171" s="978"/>
      <c r="NA171" s="978"/>
      <c r="NB171" s="978"/>
      <c r="NC171" s="978"/>
      <c r="ND171" s="978"/>
      <c r="NE171" s="978"/>
      <c r="NF171" s="978"/>
      <c r="NG171" s="978"/>
      <c r="NH171" s="978"/>
      <c r="NI171" s="978"/>
      <c r="NJ171" s="978"/>
      <c r="NK171" s="978"/>
      <c r="NL171" s="978"/>
      <c r="NM171" s="978"/>
      <c r="NN171" s="978"/>
      <c r="NO171" s="978"/>
      <c r="NP171" s="978"/>
      <c r="NQ171" s="978"/>
      <c r="NR171" s="978"/>
      <c r="NS171" s="978"/>
      <c r="NT171" s="978"/>
      <c r="NU171" s="978"/>
      <c r="NV171" s="978"/>
      <c r="NW171" s="978"/>
      <c r="NX171" s="978"/>
      <c r="NY171" s="978"/>
      <c r="NZ171" s="978"/>
      <c r="OA171" s="978"/>
      <c r="OB171" s="978"/>
      <c r="OC171" s="978"/>
      <c r="OD171" s="978"/>
      <c r="OE171" s="978"/>
      <c r="OF171" s="978"/>
      <c r="OG171" s="978"/>
      <c r="OH171" s="978"/>
      <c r="OI171" s="978"/>
      <c r="OJ171" s="978"/>
      <c r="OK171" s="978"/>
      <c r="OL171" s="978"/>
      <c r="OM171" s="978"/>
      <c r="ON171" s="978"/>
      <c r="OO171" s="978"/>
      <c r="OP171" s="978"/>
      <c r="OQ171" s="978"/>
      <c r="OR171" s="978"/>
      <c r="OS171" s="978"/>
      <c r="OT171" s="978"/>
      <c r="OU171" s="978"/>
      <c r="OV171" s="978"/>
      <c r="OW171" s="978"/>
      <c r="OX171" s="978"/>
      <c r="OY171" s="978"/>
      <c r="OZ171" s="978"/>
      <c r="PA171" s="978"/>
      <c r="PB171" s="978"/>
      <c r="PC171" s="978"/>
      <c r="PD171" s="978"/>
      <c r="PE171" s="978"/>
      <c r="PF171" s="978"/>
      <c r="PG171" s="978"/>
      <c r="PH171" s="978"/>
      <c r="PI171" s="978"/>
      <c r="PJ171" s="978"/>
      <c r="PK171" s="978"/>
      <c r="PL171" s="978"/>
      <c r="PM171" s="978"/>
      <c r="PN171" s="978"/>
      <c r="PO171" s="978"/>
      <c r="PP171" s="978"/>
      <c r="PQ171" s="978"/>
      <c r="PR171" s="978"/>
      <c r="PS171" s="978"/>
      <c r="PT171" s="978"/>
      <c r="PU171" s="978"/>
      <c r="PV171" s="978"/>
      <c r="PW171" s="978"/>
      <c r="PX171" s="978"/>
      <c r="PY171" s="978"/>
      <c r="PZ171" s="978"/>
      <c r="QA171" s="978"/>
      <c r="QB171" s="978"/>
      <c r="QC171" s="978"/>
      <c r="QD171" s="978"/>
      <c r="QE171" s="978"/>
      <c r="QF171" s="978"/>
      <c r="QG171" s="978"/>
      <c r="QH171" s="978"/>
      <c r="QI171" s="978"/>
      <c r="QJ171" s="978"/>
      <c r="QK171" s="978"/>
      <c r="QL171" s="978"/>
      <c r="QM171" s="978"/>
      <c r="QN171" s="978"/>
      <c r="QO171" s="978"/>
      <c r="QP171" s="978"/>
      <c r="QQ171" s="978"/>
      <c r="QR171" s="978"/>
      <c r="QS171" s="978"/>
      <c r="QT171" s="978"/>
      <c r="QU171" s="978"/>
      <c r="QV171" s="978"/>
      <c r="QW171" s="978"/>
      <c r="QX171" s="978"/>
      <c r="QY171" s="978"/>
      <c r="QZ171" s="978"/>
      <c r="RA171" s="978"/>
      <c r="RB171" s="274"/>
      <c r="RC171" s="274"/>
    </row>
    <row r="172" spans="112:471" ht="17.25">
      <c r="DH172" s="274"/>
      <c r="DI172" s="274"/>
      <c r="DJ172" s="978"/>
      <c r="DK172" s="978"/>
      <c r="DL172" s="978"/>
      <c r="DM172" s="978"/>
      <c r="DN172" s="978"/>
      <c r="DO172" s="978"/>
      <c r="DP172" s="978"/>
      <c r="DQ172" s="978"/>
      <c r="DR172" s="978"/>
      <c r="DS172" s="978"/>
      <c r="DT172" s="978"/>
      <c r="DU172" s="978"/>
      <c r="DV172" s="978"/>
      <c r="DW172" s="978"/>
      <c r="DX172" s="978"/>
      <c r="DY172" s="978"/>
      <c r="DZ172" s="978"/>
      <c r="EA172" s="978"/>
      <c r="EB172" s="978"/>
      <c r="EC172" s="978"/>
      <c r="ED172" s="978"/>
      <c r="EE172" s="978"/>
      <c r="EF172" s="978"/>
      <c r="EG172" s="978"/>
      <c r="EH172" s="978"/>
      <c r="EI172" s="978"/>
      <c r="EJ172" s="978"/>
      <c r="EK172" s="978"/>
      <c r="EL172" s="978"/>
      <c r="EM172" s="978"/>
      <c r="EN172" s="978"/>
      <c r="EO172" s="978"/>
      <c r="EP172" s="978"/>
      <c r="EQ172" s="978"/>
      <c r="ER172" s="978"/>
      <c r="ES172" s="978"/>
      <c r="ET172" s="978"/>
      <c r="EU172" s="978"/>
      <c r="EV172" s="978"/>
      <c r="EW172" s="978"/>
      <c r="EX172" s="978"/>
      <c r="EY172" s="978"/>
      <c r="EZ172" s="978"/>
      <c r="FA172" s="978"/>
      <c r="FB172" s="978"/>
      <c r="FC172" s="978"/>
      <c r="FD172" s="978"/>
      <c r="FE172" s="978"/>
      <c r="FF172" s="978"/>
      <c r="FG172" s="978"/>
      <c r="FH172" s="978"/>
      <c r="FI172" s="978"/>
      <c r="FJ172" s="978"/>
      <c r="FK172" s="978"/>
      <c r="FL172" s="978"/>
      <c r="FM172" s="978"/>
      <c r="FN172" s="978"/>
      <c r="FO172" s="978"/>
      <c r="FP172" s="978"/>
      <c r="FQ172" s="978"/>
      <c r="FR172" s="978"/>
      <c r="FS172" s="978"/>
      <c r="FT172" s="978"/>
      <c r="FU172" s="978"/>
      <c r="FV172" s="978"/>
      <c r="FW172" s="978"/>
      <c r="FX172" s="978"/>
      <c r="FY172" s="978"/>
      <c r="FZ172" s="978"/>
      <c r="GA172" s="978"/>
      <c r="GB172" s="978"/>
      <c r="GC172" s="978"/>
      <c r="GD172" s="978"/>
      <c r="GE172" s="978"/>
      <c r="GF172" s="978"/>
      <c r="GG172" s="978"/>
      <c r="GH172" s="978"/>
      <c r="GI172" s="978"/>
      <c r="GJ172" s="978"/>
      <c r="GK172" s="978"/>
      <c r="GL172" s="978"/>
      <c r="GM172" s="978"/>
      <c r="GN172" s="978"/>
      <c r="GO172" s="978"/>
      <c r="GP172" s="978"/>
      <c r="GQ172" s="978"/>
      <c r="GR172" s="978"/>
      <c r="GS172" s="978"/>
      <c r="GT172" s="978"/>
      <c r="GU172" s="978"/>
      <c r="GV172" s="978"/>
      <c r="GW172" s="978"/>
      <c r="GX172" s="978"/>
      <c r="GY172" s="978"/>
      <c r="GZ172" s="978"/>
      <c r="HA172" s="978"/>
      <c r="HB172" s="978"/>
      <c r="HC172" s="978"/>
      <c r="HD172" s="978"/>
      <c r="HE172" s="978"/>
      <c r="HF172" s="978"/>
      <c r="HG172" s="978"/>
      <c r="HH172" s="978"/>
      <c r="HI172" s="978"/>
      <c r="HJ172" s="978"/>
      <c r="HK172" s="978"/>
      <c r="HL172" s="978"/>
      <c r="HM172" s="978"/>
      <c r="HN172" s="978"/>
      <c r="HO172" s="978"/>
      <c r="HP172" s="978"/>
      <c r="HQ172" s="978"/>
      <c r="HR172" s="978"/>
      <c r="HS172" s="978"/>
      <c r="HT172" s="978"/>
      <c r="HU172" s="978"/>
      <c r="HV172" s="978"/>
      <c r="HW172" s="978"/>
      <c r="HX172" s="978"/>
      <c r="HY172" s="978"/>
      <c r="HZ172" s="978"/>
      <c r="IA172" s="978"/>
      <c r="IB172" s="978"/>
      <c r="IC172" s="978"/>
      <c r="ID172" s="978"/>
      <c r="IE172" s="978"/>
      <c r="IF172" s="978"/>
      <c r="IG172" s="978"/>
      <c r="IH172" s="978"/>
      <c r="II172" s="978"/>
      <c r="IJ172" s="978"/>
      <c r="IK172" s="978"/>
      <c r="IL172" s="978"/>
      <c r="IM172" s="978"/>
      <c r="IN172" s="978"/>
      <c r="IO172" s="978"/>
      <c r="IP172" s="978"/>
      <c r="IQ172" s="978"/>
      <c r="IR172" s="978"/>
      <c r="IS172" s="978"/>
      <c r="IT172" s="978"/>
      <c r="IU172" s="978"/>
      <c r="IV172" s="978"/>
      <c r="IW172" s="978"/>
      <c r="IX172" s="978"/>
      <c r="IY172" s="978"/>
      <c r="IZ172" s="978"/>
      <c r="JA172" s="978"/>
      <c r="JB172" s="978"/>
      <c r="JC172" s="978"/>
      <c r="JD172" s="978"/>
      <c r="JE172" s="978"/>
      <c r="JF172" s="978"/>
      <c r="JG172" s="978"/>
      <c r="JH172" s="978"/>
      <c r="JI172" s="978"/>
      <c r="JJ172" s="978"/>
      <c r="JK172" s="978"/>
      <c r="JL172" s="978"/>
      <c r="JM172" s="978"/>
      <c r="JN172" s="978"/>
      <c r="JO172" s="978"/>
      <c r="JP172" s="978"/>
      <c r="JQ172" s="978"/>
      <c r="JR172" s="978"/>
      <c r="JS172" s="978"/>
      <c r="JT172" s="978"/>
      <c r="JU172" s="978"/>
      <c r="JV172" s="978"/>
      <c r="JW172" s="978"/>
      <c r="JX172" s="978"/>
      <c r="JY172" s="978"/>
      <c r="JZ172" s="978"/>
      <c r="KA172" s="978"/>
      <c r="KB172" s="978"/>
      <c r="KC172" s="978"/>
      <c r="KD172" s="978"/>
      <c r="KE172" s="978"/>
      <c r="KF172" s="978"/>
      <c r="KG172" s="978"/>
      <c r="KH172" s="978"/>
      <c r="KI172" s="978"/>
      <c r="KJ172" s="978"/>
      <c r="KK172" s="978"/>
      <c r="KL172" s="978"/>
      <c r="KM172" s="978"/>
      <c r="KN172" s="978"/>
      <c r="KO172" s="978"/>
      <c r="KP172" s="978"/>
      <c r="KQ172" s="978"/>
      <c r="KR172" s="978"/>
      <c r="KS172" s="978"/>
      <c r="KT172" s="978"/>
      <c r="KU172" s="978"/>
      <c r="KV172" s="978"/>
      <c r="KW172" s="978"/>
      <c r="KX172" s="978"/>
      <c r="KY172" s="978"/>
      <c r="KZ172" s="978"/>
      <c r="LA172" s="978"/>
      <c r="LB172" s="978"/>
      <c r="LC172" s="978"/>
      <c r="LD172" s="978"/>
      <c r="LE172" s="978"/>
      <c r="LF172" s="978"/>
      <c r="LG172" s="978"/>
      <c r="LH172" s="978"/>
      <c r="LI172" s="978"/>
      <c r="LJ172" s="978"/>
      <c r="LK172" s="978"/>
      <c r="LL172" s="978"/>
      <c r="LM172" s="978"/>
      <c r="LN172" s="978"/>
      <c r="LO172" s="978"/>
      <c r="LP172" s="978"/>
      <c r="LQ172" s="978"/>
      <c r="LR172" s="978"/>
      <c r="LS172" s="978"/>
      <c r="LT172" s="978"/>
      <c r="LU172" s="978"/>
      <c r="LV172" s="978"/>
      <c r="LW172" s="978"/>
      <c r="LX172" s="978"/>
      <c r="LY172" s="978"/>
      <c r="LZ172" s="978"/>
      <c r="MA172" s="978"/>
      <c r="MB172" s="978"/>
      <c r="MC172" s="978"/>
      <c r="MD172" s="978"/>
      <c r="ME172" s="978"/>
      <c r="MF172" s="978"/>
      <c r="MG172" s="978"/>
      <c r="MH172" s="978"/>
      <c r="MI172" s="978"/>
      <c r="MJ172" s="978"/>
      <c r="MK172" s="978"/>
      <c r="ML172" s="978"/>
      <c r="MM172" s="978"/>
      <c r="MN172" s="978"/>
      <c r="MO172" s="978"/>
      <c r="MP172" s="978"/>
      <c r="MQ172" s="978"/>
      <c r="MR172" s="978"/>
      <c r="MS172" s="978"/>
      <c r="MT172" s="978"/>
      <c r="MU172" s="978"/>
      <c r="MV172" s="978"/>
      <c r="MW172" s="978"/>
      <c r="MX172" s="978"/>
      <c r="MY172" s="978"/>
      <c r="MZ172" s="978"/>
      <c r="NA172" s="978"/>
      <c r="NB172" s="978"/>
      <c r="NC172" s="978"/>
      <c r="ND172" s="978"/>
      <c r="NE172" s="978"/>
      <c r="NF172" s="978"/>
      <c r="NG172" s="978"/>
      <c r="NH172" s="978"/>
      <c r="NI172" s="978"/>
      <c r="NJ172" s="978"/>
      <c r="NK172" s="978"/>
      <c r="NL172" s="978"/>
      <c r="NM172" s="978"/>
      <c r="NN172" s="978"/>
      <c r="NO172" s="978"/>
      <c r="NP172" s="978"/>
      <c r="NQ172" s="978"/>
      <c r="NR172" s="978"/>
      <c r="NS172" s="978"/>
      <c r="NT172" s="978"/>
      <c r="NU172" s="978"/>
      <c r="NV172" s="978"/>
      <c r="NW172" s="978"/>
      <c r="NX172" s="978"/>
      <c r="NY172" s="978"/>
      <c r="NZ172" s="978"/>
      <c r="OA172" s="978"/>
      <c r="OB172" s="978"/>
      <c r="OC172" s="978"/>
      <c r="OD172" s="978"/>
      <c r="OE172" s="978"/>
      <c r="OF172" s="978"/>
      <c r="OG172" s="978"/>
      <c r="OH172" s="978"/>
      <c r="OI172" s="978"/>
      <c r="OJ172" s="978"/>
      <c r="OK172" s="978"/>
      <c r="OL172" s="978"/>
      <c r="OM172" s="978"/>
      <c r="ON172" s="978"/>
      <c r="OO172" s="978"/>
      <c r="OP172" s="978"/>
      <c r="OQ172" s="978"/>
      <c r="OR172" s="978"/>
      <c r="OS172" s="978"/>
      <c r="OT172" s="978"/>
      <c r="OU172" s="978"/>
      <c r="OV172" s="978"/>
      <c r="OW172" s="978"/>
      <c r="OX172" s="978"/>
      <c r="OY172" s="978"/>
      <c r="OZ172" s="978"/>
      <c r="PA172" s="978"/>
      <c r="PB172" s="978"/>
      <c r="PC172" s="978"/>
      <c r="PD172" s="978"/>
      <c r="PE172" s="978"/>
      <c r="PF172" s="978"/>
      <c r="PG172" s="978"/>
      <c r="PH172" s="978"/>
      <c r="PI172" s="978"/>
      <c r="PJ172" s="978"/>
      <c r="PK172" s="978"/>
      <c r="PL172" s="978"/>
      <c r="PM172" s="978"/>
      <c r="PN172" s="978"/>
      <c r="PO172" s="978"/>
      <c r="PP172" s="978"/>
      <c r="PQ172" s="978"/>
      <c r="PR172" s="978"/>
      <c r="PS172" s="978"/>
      <c r="PT172" s="978"/>
      <c r="PU172" s="978"/>
      <c r="PV172" s="978"/>
      <c r="PW172" s="978"/>
      <c r="PX172" s="978"/>
      <c r="PY172" s="978"/>
      <c r="PZ172" s="978"/>
      <c r="QA172" s="978"/>
      <c r="QB172" s="978"/>
      <c r="QC172" s="978"/>
      <c r="QD172" s="978"/>
      <c r="QE172" s="978"/>
      <c r="QF172" s="978"/>
      <c r="QG172" s="978"/>
      <c r="QH172" s="978"/>
      <c r="QI172" s="978"/>
      <c r="QJ172" s="978"/>
      <c r="QK172" s="978"/>
      <c r="QL172" s="978"/>
      <c r="QM172" s="978"/>
      <c r="QN172" s="978"/>
      <c r="QO172" s="978"/>
      <c r="QP172" s="978"/>
      <c r="QQ172" s="978"/>
      <c r="QR172" s="978"/>
      <c r="QS172" s="978"/>
      <c r="QT172" s="978"/>
      <c r="QU172" s="978"/>
      <c r="QV172" s="978"/>
      <c r="QW172" s="978"/>
      <c r="QX172" s="978"/>
      <c r="QY172" s="978"/>
      <c r="QZ172" s="978"/>
      <c r="RA172" s="978"/>
      <c r="RB172" s="274"/>
      <c r="RC172" s="274"/>
    </row>
    <row r="173" spans="112:471" ht="17.25">
      <c r="DH173" s="274"/>
      <c r="DI173" s="274"/>
      <c r="DJ173" s="978"/>
      <c r="DK173" s="978"/>
      <c r="DL173" s="978"/>
      <c r="DM173" s="978"/>
      <c r="DN173" s="978"/>
      <c r="DO173" s="978"/>
      <c r="DP173" s="978"/>
      <c r="DQ173" s="978"/>
      <c r="DR173" s="978"/>
      <c r="DS173" s="978"/>
      <c r="DT173" s="978"/>
      <c r="DU173" s="978"/>
      <c r="DV173" s="978"/>
      <c r="DW173" s="978"/>
      <c r="DX173" s="978"/>
      <c r="DY173" s="978"/>
      <c r="DZ173" s="978"/>
      <c r="EA173" s="978"/>
      <c r="EB173" s="978"/>
      <c r="EC173" s="978"/>
      <c r="ED173" s="978"/>
      <c r="EE173" s="978"/>
      <c r="EF173" s="978"/>
      <c r="EG173" s="978"/>
      <c r="EH173" s="978"/>
      <c r="EI173" s="978"/>
      <c r="EJ173" s="978"/>
      <c r="EK173" s="978"/>
      <c r="EL173" s="978"/>
      <c r="EM173" s="978"/>
      <c r="EN173" s="978"/>
      <c r="EO173" s="978"/>
      <c r="EP173" s="978"/>
      <c r="EQ173" s="978"/>
      <c r="ER173" s="978"/>
      <c r="ES173" s="978"/>
      <c r="ET173" s="978"/>
      <c r="EU173" s="978"/>
      <c r="EV173" s="978"/>
      <c r="EW173" s="978"/>
      <c r="EX173" s="978"/>
      <c r="EY173" s="978"/>
      <c r="EZ173" s="978"/>
      <c r="FA173" s="978"/>
      <c r="FB173" s="978"/>
      <c r="FC173" s="978"/>
      <c r="FD173" s="978"/>
      <c r="FE173" s="978"/>
      <c r="FF173" s="978"/>
      <c r="FG173" s="978"/>
      <c r="FH173" s="978"/>
      <c r="FI173" s="978"/>
      <c r="FJ173" s="978"/>
      <c r="FK173" s="978"/>
      <c r="FL173" s="978"/>
      <c r="FM173" s="978"/>
      <c r="FN173" s="978"/>
      <c r="FO173" s="978"/>
      <c r="FP173" s="978"/>
      <c r="FQ173" s="978"/>
      <c r="FR173" s="978"/>
      <c r="FS173" s="978"/>
      <c r="FT173" s="978"/>
      <c r="FU173" s="978"/>
      <c r="FV173" s="978"/>
      <c r="FW173" s="978"/>
      <c r="FX173" s="978"/>
      <c r="FY173" s="978"/>
      <c r="FZ173" s="978"/>
      <c r="GA173" s="978"/>
      <c r="GB173" s="978"/>
      <c r="GC173" s="978"/>
      <c r="GD173" s="978"/>
      <c r="GE173" s="978"/>
      <c r="GF173" s="978"/>
      <c r="GG173" s="978"/>
      <c r="GH173" s="978"/>
      <c r="GI173" s="978"/>
      <c r="GJ173" s="978"/>
      <c r="GK173" s="978"/>
      <c r="GL173" s="978"/>
      <c r="GM173" s="978"/>
      <c r="GN173" s="978"/>
      <c r="GO173" s="978"/>
      <c r="GP173" s="978"/>
      <c r="GQ173" s="978"/>
      <c r="GR173" s="978"/>
      <c r="GS173" s="978"/>
      <c r="GT173" s="978"/>
      <c r="GU173" s="978"/>
      <c r="GV173" s="978"/>
      <c r="GW173" s="978"/>
      <c r="GX173" s="978"/>
      <c r="GY173" s="978"/>
      <c r="GZ173" s="978"/>
      <c r="HA173" s="978"/>
      <c r="HB173" s="978"/>
      <c r="HC173" s="978"/>
      <c r="HD173" s="978"/>
      <c r="HE173" s="978"/>
      <c r="HF173" s="978"/>
      <c r="HG173" s="978"/>
      <c r="HH173" s="978"/>
      <c r="HI173" s="978"/>
      <c r="HJ173" s="978"/>
      <c r="HK173" s="978"/>
      <c r="HL173" s="978"/>
      <c r="HM173" s="978"/>
      <c r="HN173" s="978"/>
      <c r="HO173" s="978"/>
      <c r="HP173" s="978"/>
      <c r="HQ173" s="978"/>
      <c r="HR173" s="978"/>
      <c r="HS173" s="978"/>
      <c r="HT173" s="978"/>
      <c r="HU173" s="978"/>
      <c r="HV173" s="978"/>
      <c r="HW173" s="978"/>
      <c r="HX173" s="978"/>
      <c r="HY173" s="978"/>
      <c r="HZ173" s="978"/>
      <c r="IA173" s="978"/>
      <c r="IB173" s="978"/>
      <c r="IC173" s="978"/>
      <c r="ID173" s="978"/>
      <c r="IE173" s="978"/>
      <c r="IF173" s="978"/>
      <c r="IG173" s="978"/>
      <c r="IH173" s="978"/>
      <c r="II173" s="978"/>
      <c r="IJ173" s="978"/>
      <c r="IK173" s="978"/>
      <c r="IL173" s="978"/>
      <c r="IM173" s="978"/>
      <c r="IN173" s="978"/>
      <c r="IO173" s="978"/>
      <c r="IP173" s="978"/>
      <c r="IQ173" s="978"/>
      <c r="IR173" s="978"/>
      <c r="IS173" s="978"/>
      <c r="IT173" s="978"/>
      <c r="IU173" s="978"/>
      <c r="IV173" s="978"/>
      <c r="IW173" s="978"/>
      <c r="IX173" s="978"/>
      <c r="IY173" s="978"/>
      <c r="IZ173" s="978"/>
      <c r="JA173" s="978"/>
      <c r="JB173" s="978"/>
      <c r="JC173" s="978"/>
      <c r="JD173" s="978"/>
      <c r="JE173" s="978"/>
      <c r="JF173" s="978"/>
      <c r="JG173" s="978"/>
      <c r="JH173" s="978"/>
      <c r="JI173" s="978"/>
      <c r="JJ173" s="978"/>
      <c r="JK173" s="978"/>
      <c r="JL173" s="978"/>
      <c r="JM173" s="978"/>
      <c r="JN173" s="978"/>
      <c r="JO173" s="978"/>
      <c r="JP173" s="978"/>
      <c r="JQ173" s="978"/>
      <c r="JR173" s="978"/>
      <c r="JS173" s="978"/>
      <c r="JT173" s="978"/>
      <c r="JU173" s="978"/>
      <c r="JV173" s="978"/>
      <c r="JW173" s="978"/>
      <c r="JX173" s="978"/>
      <c r="JY173" s="978"/>
      <c r="JZ173" s="978"/>
      <c r="KA173" s="978"/>
      <c r="KB173" s="978"/>
      <c r="KC173" s="978"/>
      <c r="KD173" s="978"/>
      <c r="KE173" s="978"/>
      <c r="KF173" s="978"/>
      <c r="KG173" s="978"/>
      <c r="KH173" s="978"/>
      <c r="KI173" s="978"/>
      <c r="KJ173" s="978"/>
      <c r="KK173" s="978"/>
      <c r="KL173" s="978"/>
      <c r="KM173" s="978"/>
      <c r="KN173" s="978"/>
      <c r="KO173" s="978"/>
      <c r="KP173" s="978"/>
      <c r="KQ173" s="978"/>
      <c r="KR173" s="978"/>
      <c r="KS173" s="978"/>
      <c r="KT173" s="978"/>
      <c r="KU173" s="978"/>
      <c r="KV173" s="978"/>
      <c r="KW173" s="978"/>
      <c r="KX173" s="978"/>
      <c r="KY173" s="978"/>
      <c r="KZ173" s="978"/>
      <c r="LA173" s="978"/>
      <c r="LB173" s="978"/>
      <c r="LC173" s="978"/>
      <c r="LD173" s="978"/>
      <c r="LE173" s="978"/>
      <c r="LF173" s="978"/>
      <c r="LG173" s="978"/>
      <c r="LH173" s="978"/>
      <c r="LI173" s="978"/>
      <c r="LJ173" s="978"/>
      <c r="LK173" s="978"/>
      <c r="LL173" s="978"/>
      <c r="LM173" s="978"/>
      <c r="LN173" s="978"/>
      <c r="LO173" s="978"/>
      <c r="LP173" s="978"/>
      <c r="LQ173" s="978"/>
      <c r="LR173" s="978"/>
      <c r="LS173" s="978"/>
      <c r="LT173" s="978"/>
      <c r="LU173" s="978"/>
      <c r="LV173" s="978"/>
      <c r="LW173" s="978"/>
      <c r="LX173" s="978"/>
      <c r="LY173" s="978"/>
      <c r="LZ173" s="978"/>
      <c r="MA173" s="978"/>
      <c r="MB173" s="978"/>
      <c r="MC173" s="978"/>
      <c r="MD173" s="978"/>
      <c r="ME173" s="978"/>
      <c r="MF173" s="978"/>
      <c r="MG173" s="978"/>
      <c r="MH173" s="978"/>
      <c r="MI173" s="978"/>
      <c r="MJ173" s="978"/>
      <c r="MK173" s="978"/>
      <c r="ML173" s="978"/>
      <c r="MM173" s="978"/>
      <c r="MN173" s="978"/>
      <c r="MO173" s="978"/>
      <c r="MP173" s="978"/>
      <c r="MQ173" s="978"/>
      <c r="MR173" s="978"/>
      <c r="MS173" s="978"/>
      <c r="MT173" s="978"/>
      <c r="MU173" s="978"/>
      <c r="MV173" s="978"/>
      <c r="MW173" s="978"/>
      <c r="MX173" s="978"/>
      <c r="MY173" s="978"/>
      <c r="MZ173" s="978"/>
      <c r="NA173" s="978"/>
      <c r="NB173" s="978"/>
      <c r="NC173" s="978"/>
      <c r="ND173" s="978"/>
      <c r="NE173" s="978"/>
      <c r="NF173" s="978"/>
      <c r="NG173" s="978"/>
      <c r="NH173" s="978"/>
      <c r="NI173" s="978"/>
      <c r="NJ173" s="978"/>
      <c r="NK173" s="978"/>
      <c r="NL173" s="978"/>
      <c r="NM173" s="978"/>
      <c r="NN173" s="978"/>
      <c r="NO173" s="978"/>
      <c r="NP173" s="978"/>
      <c r="NQ173" s="978"/>
      <c r="NR173" s="978"/>
      <c r="NS173" s="978"/>
      <c r="NT173" s="978"/>
      <c r="NU173" s="978"/>
      <c r="NV173" s="978"/>
      <c r="NW173" s="978"/>
      <c r="NX173" s="978"/>
      <c r="NY173" s="978"/>
      <c r="NZ173" s="978"/>
      <c r="OA173" s="978"/>
      <c r="OB173" s="978"/>
      <c r="OC173" s="978"/>
      <c r="OD173" s="978"/>
      <c r="OE173" s="978"/>
      <c r="OF173" s="978"/>
      <c r="OG173" s="978"/>
      <c r="OH173" s="978"/>
      <c r="OI173" s="978"/>
      <c r="OJ173" s="978"/>
      <c r="OK173" s="978"/>
      <c r="OL173" s="978"/>
      <c r="OM173" s="978"/>
      <c r="ON173" s="978"/>
      <c r="OO173" s="978"/>
      <c r="OP173" s="978"/>
      <c r="OQ173" s="978"/>
      <c r="OR173" s="978"/>
      <c r="OS173" s="978"/>
      <c r="OT173" s="978"/>
      <c r="OU173" s="978"/>
      <c r="OV173" s="978"/>
      <c r="OW173" s="978"/>
      <c r="OX173" s="978"/>
      <c r="OY173" s="978"/>
      <c r="OZ173" s="978"/>
      <c r="PA173" s="978"/>
      <c r="PB173" s="978"/>
      <c r="PC173" s="978"/>
      <c r="PD173" s="978"/>
      <c r="PE173" s="978"/>
      <c r="PF173" s="978"/>
      <c r="PG173" s="978"/>
      <c r="PH173" s="978"/>
      <c r="PI173" s="978"/>
      <c r="PJ173" s="978"/>
      <c r="PK173" s="978"/>
      <c r="PL173" s="978"/>
      <c r="PM173" s="978"/>
      <c r="PN173" s="978"/>
      <c r="PO173" s="978"/>
      <c r="PP173" s="978"/>
      <c r="PQ173" s="978"/>
      <c r="PR173" s="978"/>
      <c r="PS173" s="978"/>
      <c r="PT173" s="978"/>
      <c r="PU173" s="978"/>
      <c r="PV173" s="978"/>
      <c r="PW173" s="978"/>
      <c r="PX173" s="978"/>
      <c r="PY173" s="978"/>
      <c r="PZ173" s="978"/>
      <c r="QA173" s="978"/>
      <c r="QB173" s="978"/>
      <c r="QC173" s="978"/>
      <c r="QD173" s="978"/>
      <c r="QE173" s="978"/>
      <c r="QF173" s="978"/>
      <c r="QG173" s="978"/>
      <c r="QH173" s="978"/>
      <c r="QI173" s="978"/>
      <c r="QJ173" s="978"/>
      <c r="QK173" s="978"/>
      <c r="QL173" s="978"/>
      <c r="QM173" s="978"/>
      <c r="QN173" s="978"/>
      <c r="QO173" s="978"/>
      <c r="QP173" s="978"/>
      <c r="QQ173" s="978"/>
      <c r="QR173" s="978"/>
      <c r="QS173" s="978"/>
      <c r="QT173" s="978"/>
      <c r="QU173" s="978"/>
      <c r="QV173" s="978"/>
      <c r="QW173" s="978"/>
      <c r="QX173" s="978"/>
      <c r="QY173" s="978"/>
      <c r="QZ173" s="978"/>
      <c r="RA173" s="978"/>
      <c r="RB173" s="274"/>
      <c r="RC173" s="274"/>
    </row>
    <row r="174" spans="112:471" ht="17.25">
      <c r="DH174" s="274"/>
      <c r="DI174" s="274"/>
      <c r="DJ174" s="978"/>
      <c r="DK174" s="978"/>
      <c r="DL174" s="978"/>
      <c r="DM174" s="978"/>
      <c r="DN174" s="978"/>
      <c r="DO174" s="978"/>
      <c r="DP174" s="978"/>
      <c r="DQ174" s="978"/>
      <c r="DR174" s="978"/>
      <c r="DS174" s="978"/>
      <c r="DT174" s="978"/>
      <c r="DU174" s="978"/>
      <c r="DV174" s="978"/>
      <c r="DW174" s="978"/>
      <c r="DX174" s="978"/>
      <c r="DY174" s="978"/>
      <c r="DZ174" s="978"/>
      <c r="EA174" s="978"/>
      <c r="EB174" s="978"/>
      <c r="EC174" s="978"/>
      <c r="ED174" s="978"/>
      <c r="EE174" s="978"/>
      <c r="EF174" s="978"/>
      <c r="EG174" s="978"/>
      <c r="EH174" s="978"/>
      <c r="EI174" s="978"/>
      <c r="EJ174" s="978"/>
      <c r="EK174" s="978"/>
      <c r="EL174" s="978"/>
      <c r="EM174" s="978"/>
      <c r="EN174" s="978"/>
      <c r="EO174" s="978"/>
      <c r="EP174" s="978"/>
      <c r="EQ174" s="978"/>
      <c r="ER174" s="978"/>
      <c r="ES174" s="978"/>
      <c r="ET174" s="978"/>
      <c r="EU174" s="978"/>
      <c r="EV174" s="978"/>
      <c r="EW174" s="978"/>
      <c r="EX174" s="978"/>
      <c r="EY174" s="978"/>
      <c r="EZ174" s="978"/>
      <c r="FA174" s="978"/>
      <c r="FB174" s="978"/>
      <c r="FC174" s="978"/>
      <c r="FD174" s="978"/>
      <c r="FE174" s="978"/>
      <c r="FF174" s="978"/>
      <c r="FG174" s="978"/>
      <c r="FH174" s="978"/>
      <c r="FI174" s="978"/>
      <c r="FJ174" s="978"/>
      <c r="FK174" s="978"/>
      <c r="FL174" s="978"/>
      <c r="FM174" s="978"/>
      <c r="FN174" s="978"/>
      <c r="FO174" s="978"/>
      <c r="FP174" s="978"/>
      <c r="FQ174" s="978"/>
      <c r="FR174" s="978"/>
      <c r="FS174" s="978"/>
      <c r="FT174" s="978"/>
      <c r="FU174" s="978"/>
      <c r="FV174" s="978"/>
      <c r="FW174" s="978"/>
      <c r="FX174" s="978"/>
      <c r="FY174" s="978"/>
      <c r="FZ174" s="978"/>
      <c r="GA174" s="978"/>
      <c r="GB174" s="978"/>
      <c r="GC174" s="978"/>
      <c r="GD174" s="978"/>
      <c r="GE174" s="978"/>
      <c r="GF174" s="978"/>
      <c r="GG174" s="978"/>
      <c r="GH174" s="978"/>
      <c r="GI174" s="978"/>
      <c r="GJ174" s="978"/>
      <c r="GK174" s="978"/>
      <c r="GL174" s="978"/>
      <c r="GM174" s="978"/>
      <c r="GN174" s="978"/>
      <c r="GO174" s="978"/>
      <c r="GP174" s="978"/>
      <c r="GQ174" s="978"/>
      <c r="GR174" s="978"/>
      <c r="GS174" s="978"/>
      <c r="GT174" s="978"/>
      <c r="GU174" s="978"/>
      <c r="GV174" s="978"/>
      <c r="GW174" s="978"/>
      <c r="GX174" s="978"/>
      <c r="GY174" s="978"/>
      <c r="GZ174" s="978"/>
      <c r="HA174" s="978"/>
      <c r="HB174" s="978"/>
      <c r="HC174" s="978"/>
      <c r="HD174" s="978"/>
      <c r="HE174" s="978"/>
      <c r="HF174" s="978"/>
      <c r="HG174" s="978"/>
      <c r="HH174" s="978"/>
      <c r="HI174" s="978"/>
      <c r="HJ174" s="978"/>
      <c r="HK174" s="978"/>
      <c r="HL174" s="978"/>
      <c r="HM174" s="978"/>
      <c r="HN174" s="978"/>
      <c r="HO174" s="978"/>
      <c r="HP174" s="978"/>
      <c r="HQ174" s="978"/>
      <c r="HR174" s="978"/>
      <c r="HS174" s="978"/>
      <c r="HT174" s="978"/>
      <c r="HU174" s="978"/>
      <c r="HV174" s="978"/>
      <c r="HW174" s="978"/>
      <c r="HX174" s="978"/>
      <c r="HY174" s="978"/>
      <c r="HZ174" s="978"/>
      <c r="IA174" s="978"/>
      <c r="IB174" s="978"/>
      <c r="IC174" s="978"/>
      <c r="ID174" s="978"/>
      <c r="IE174" s="978"/>
      <c r="IF174" s="978"/>
      <c r="IG174" s="978"/>
      <c r="IH174" s="978"/>
      <c r="II174" s="978"/>
      <c r="IJ174" s="978"/>
      <c r="IK174" s="978"/>
      <c r="IL174" s="978"/>
      <c r="IM174" s="978"/>
      <c r="IN174" s="978"/>
      <c r="IO174" s="978"/>
      <c r="IP174" s="978"/>
      <c r="IQ174" s="978"/>
      <c r="IR174" s="978"/>
      <c r="IS174" s="978"/>
      <c r="IT174" s="978"/>
      <c r="IU174" s="978"/>
      <c r="IV174" s="978"/>
      <c r="IW174" s="978"/>
      <c r="IX174" s="978"/>
      <c r="IY174" s="978"/>
      <c r="IZ174" s="978"/>
      <c r="JA174" s="978"/>
      <c r="JB174" s="978"/>
      <c r="JC174" s="978"/>
      <c r="JD174" s="978"/>
      <c r="JE174" s="978"/>
      <c r="JF174" s="978"/>
      <c r="JG174" s="978"/>
      <c r="JH174" s="978"/>
      <c r="JI174" s="978"/>
      <c r="JJ174" s="978"/>
      <c r="JK174" s="978"/>
      <c r="JL174" s="978"/>
      <c r="JM174" s="978"/>
      <c r="JN174" s="978"/>
      <c r="JO174" s="978"/>
      <c r="JP174" s="978"/>
      <c r="JQ174" s="978"/>
      <c r="JR174" s="978"/>
      <c r="JS174" s="978"/>
      <c r="JT174" s="978"/>
      <c r="JU174" s="978"/>
      <c r="JV174" s="978"/>
      <c r="JW174" s="978"/>
      <c r="JX174" s="978"/>
      <c r="JY174" s="978"/>
      <c r="JZ174" s="978"/>
      <c r="KA174" s="978"/>
      <c r="KB174" s="978"/>
      <c r="KC174" s="978"/>
      <c r="KD174" s="978"/>
      <c r="KE174" s="978"/>
      <c r="KF174" s="978"/>
      <c r="KG174" s="978"/>
      <c r="KH174" s="978"/>
      <c r="KI174" s="978"/>
      <c r="KJ174" s="978"/>
      <c r="KK174" s="978"/>
      <c r="KL174" s="978"/>
      <c r="KM174" s="978"/>
      <c r="KN174" s="978"/>
      <c r="KO174" s="978"/>
      <c r="KP174" s="978"/>
      <c r="KQ174" s="978"/>
      <c r="KR174" s="978"/>
      <c r="KS174" s="978"/>
      <c r="KT174" s="978"/>
      <c r="KU174" s="978"/>
      <c r="KV174" s="978"/>
      <c r="KW174" s="978"/>
      <c r="KX174" s="978"/>
      <c r="KY174" s="978"/>
      <c r="KZ174" s="978"/>
      <c r="LA174" s="978"/>
      <c r="LB174" s="978"/>
      <c r="LC174" s="978"/>
      <c r="LD174" s="978"/>
      <c r="LE174" s="978"/>
      <c r="LF174" s="978"/>
      <c r="LG174" s="978"/>
      <c r="LH174" s="978"/>
      <c r="LI174" s="978"/>
      <c r="LJ174" s="978"/>
      <c r="LK174" s="978"/>
      <c r="LL174" s="978"/>
      <c r="LM174" s="978"/>
      <c r="LN174" s="978"/>
      <c r="LO174" s="978"/>
      <c r="LP174" s="978"/>
      <c r="LQ174" s="978"/>
      <c r="LR174" s="978"/>
      <c r="LS174" s="978"/>
      <c r="LT174" s="978"/>
      <c r="LU174" s="978"/>
      <c r="LV174" s="978"/>
      <c r="LW174" s="978"/>
      <c r="LX174" s="978"/>
      <c r="LY174" s="978"/>
      <c r="LZ174" s="978"/>
      <c r="MA174" s="978"/>
      <c r="MB174" s="978"/>
      <c r="MC174" s="978"/>
      <c r="MD174" s="978"/>
      <c r="ME174" s="978"/>
      <c r="MF174" s="978"/>
      <c r="MG174" s="978"/>
      <c r="MH174" s="978"/>
      <c r="MI174" s="978"/>
      <c r="MJ174" s="978"/>
      <c r="MK174" s="978"/>
      <c r="ML174" s="978"/>
      <c r="MM174" s="978"/>
      <c r="MN174" s="978"/>
      <c r="MO174" s="978"/>
      <c r="MP174" s="978"/>
      <c r="MQ174" s="978"/>
      <c r="MR174" s="978"/>
      <c r="MS174" s="978"/>
      <c r="MT174" s="978"/>
      <c r="MU174" s="978"/>
      <c r="MV174" s="978"/>
      <c r="MW174" s="978"/>
      <c r="MX174" s="978"/>
      <c r="MY174" s="978"/>
      <c r="MZ174" s="978"/>
      <c r="NA174" s="978"/>
      <c r="NB174" s="978"/>
      <c r="NC174" s="978"/>
      <c r="ND174" s="978"/>
      <c r="NE174" s="978"/>
      <c r="NF174" s="978"/>
      <c r="NG174" s="978"/>
      <c r="NH174" s="978"/>
      <c r="NI174" s="978"/>
      <c r="NJ174" s="978"/>
      <c r="NK174" s="978"/>
      <c r="NL174" s="978"/>
      <c r="NM174" s="978"/>
      <c r="NN174" s="978"/>
      <c r="NO174" s="978"/>
      <c r="NP174" s="978"/>
      <c r="NQ174" s="978"/>
      <c r="NR174" s="978"/>
      <c r="NS174" s="978"/>
      <c r="NT174" s="978"/>
      <c r="NU174" s="978"/>
      <c r="NV174" s="978"/>
      <c r="NW174" s="978"/>
      <c r="NX174" s="978"/>
      <c r="NY174" s="978"/>
      <c r="NZ174" s="978"/>
      <c r="OA174" s="978"/>
      <c r="OB174" s="978"/>
      <c r="OC174" s="978"/>
      <c r="OD174" s="978"/>
      <c r="OE174" s="978"/>
      <c r="OF174" s="978"/>
      <c r="OG174" s="978"/>
      <c r="OH174" s="978"/>
      <c r="OI174" s="978"/>
      <c r="OJ174" s="978"/>
      <c r="OK174" s="978"/>
      <c r="OL174" s="978"/>
      <c r="OM174" s="978"/>
      <c r="ON174" s="978"/>
      <c r="OO174" s="978"/>
      <c r="OP174" s="978"/>
      <c r="OQ174" s="978"/>
      <c r="OR174" s="978"/>
      <c r="OS174" s="978"/>
      <c r="OT174" s="978"/>
      <c r="OU174" s="978"/>
      <c r="OV174" s="978"/>
      <c r="OW174" s="978"/>
      <c r="OX174" s="978"/>
      <c r="OY174" s="978"/>
      <c r="OZ174" s="978"/>
      <c r="PA174" s="978"/>
      <c r="PB174" s="978"/>
      <c r="PC174" s="978"/>
      <c r="PD174" s="978"/>
      <c r="PE174" s="978"/>
      <c r="PF174" s="978"/>
      <c r="PG174" s="978"/>
      <c r="PH174" s="978"/>
      <c r="PI174" s="978"/>
      <c r="PJ174" s="978"/>
      <c r="PK174" s="978"/>
      <c r="PL174" s="978"/>
      <c r="PM174" s="978"/>
      <c r="PN174" s="978"/>
      <c r="PO174" s="978"/>
      <c r="PP174" s="978"/>
      <c r="PQ174" s="978"/>
      <c r="PR174" s="978"/>
      <c r="PS174" s="978"/>
      <c r="PT174" s="978"/>
      <c r="PU174" s="978"/>
      <c r="PV174" s="978"/>
      <c r="PW174" s="978"/>
      <c r="PX174" s="978"/>
      <c r="PY174" s="978"/>
      <c r="PZ174" s="978"/>
      <c r="QA174" s="978"/>
      <c r="QB174" s="978"/>
      <c r="QC174" s="978"/>
      <c r="QD174" s="978"/>
      <c r="QE174" s="978"/>
      <c r="QF174" s="978"/>
      <c r="QG174" s="978"/>
      <c r="QH174" s="978"/>
      <c r="QI174" s="978"/>
      <c r="QJ174" s="978"/>
      <c r="QK174" s="978"/>
      <c r="QL174" s="978"/>
      <c r="QM174" s="978"/>
      <c r="QN174" s="978"/>
      <c r="QO174" s="978"/>
      <c r="QP174" s="978"/>
      <c r="QQ174" s="978"/>
      <c r="QR174" s="978"/>
      <c r="QS174" s="978"/>
      <c r="QT174" s="978"/>
      <c r="QU174" s="978"/>
      <c r="QV174" s="978"/>
      <c r="QW174" s="978"/>
      <c r="QX174" s="978"/>
      <c r="QY174" s="978"/>
      <c r="QZ174" s="978"/>
      <c r="RA174" s="978"/>
      <c r="RB174" s="274"/>
      <c r="RC174" s="274"/>
    </row>
    <row r="175" spans="112:471">
      <c r="DH175" s="274"/>
      <c r="DI175" s="274"/>
      <c r="DJ175" s="274"/>
      <c r="DK175" s="274"/>
      <c r="DL175" s="274"/>
      <c r="DM175" s="274"/>
      <c r="DN175" s="274"/>
      <c r="DO175" s="274"/>
      <c r="DP175" s="274"/>
      <c r="DQ175" s="274"/>
      <c r="DR175" s="274"/>
      <c r="DS175" s="274"/>
      <c r="DT175" s="274"/>
      <c r="DU175" s="274"/>
      <c r="DV175" s="274"/>
      <c r="DW175" s="274"/>
      <c r="DX175" s="274"/>
      <c r="DY175" s="274"/>
      <c r="DZ175" s="274"/>
      <c r="EA175" s="274"/>
      <c r="EB175" s="274"/>
      <c r="EC175" s="274"/>
      <c r="ED175" s="274"/>
      <c r="EE175" s="274"/>
      <c r="EF175" s="274"/>
      <c r="EG175" s="274"/>
      <c r="EH175" s="274"/>
      <c r="EI175" s="274"/>
      <c r="EJ175" s="274"/>
      <c r="EK175" s="274"/>
      <c r="EL175" s="274"/>
      <c r="EM175" s="274"/>
      <c r="EN175" s="274"/>
      <c r="EO175" s="274"/>
      <c r="EP175" s="274"/>
      <c r="EQ175" s="274"/>
      <c r="ER175" s="274"/>
      <c r="ES175" s="274"/>
      <c r="ET175" s="274"/>
      <c r="EU175" s="274"/>
      <c r="EV175" s="274"/>
      <c r="EW175" s="274"/>
      <c r="EX175" s="274"/>
      <c r="EY175" s="274"/>
      <c r="EZ175" s="274"/>
      <c r="FA175" s="274"/>
      <c r="FB175" s="274"/>
      <c r="FC175" s="274"/>
      <c r="FD175" s="274"/>
      <c r="FE175" s="274"/>
      <c r="FF175" s="274"/>
      <c r="FG175" s="274"/>
      <c r="FH175" s="274"/>
      <c r="FI175" s="274"/>
      <c r="FJ175" s="274"/>
      <c r="FK175" s="274"/>
      <c r="FL175" s="274"/>
      <c r="FM175" s="274"/>
      <c r="FN175" s="274"/>
      <c r="FO175" s="274"/>
      <c r="FP175" s="274"/>
      <c r="FQ175" s="274"/>
      <c r="FR175" s="274"/>
      <c r="FS175" s="274"/>
      <c r="FT175" s="274"/>
      <c r="FU175" s="274"/>
      <c r="FV175" s="274"/>
      <c r="FW175" s="274"/>
      <c r="FX175" s="274"/>
      <c r="FY175" s="274"/>
      <c r="FZ175" s="274"/>
      <c r="GA175" s="274"/>
      <c r="GB175" s="274"/>
      <c r="GC175" s="274"/>
      <c r="GD175" s="274"/>
      <c r="GE175" s="274"/>
      <c r="GF175" s="274"/>
      <c r="GG175" s="274"/>
      <c r="GH175" s="274"/>
      <c r="GI175" s="274"/>
      <c r="GJ175" s="274"/>
      <c r="GK175" s="274"/>
      <c r="GL175" s="274"/>
      <c r="GM175" s="274"/>
      <c r="GN175" s="274"/>
      <c r="GO175" s="274"/>
      <c r="GP175" s="274"/>
      <c r="GQ175" s="274"/>
      <c r="GR175" s="274"/>
      <c r="GS175" s="274"/>
      <c r="GT175" s="274"/>
      <c r="GU175" s="274"/>
      <c r="GV175" s="274"/>
      <c r="GW175" s="274"/>
      <c r="GX175" s="274"/>
      <c r="GY175" s="274"/>
      <c r="GZ175" s="274"/>
      <c r="HA175" s="274"/>
      <c r="HB175" s="274"/>
      <c r="HC175" s="274"/>
      <c r="HD175" s="274"/>
      <c r="HE175" s="274"/>
      <c r="HF175" s="274"/>
      <c r="HG175" s="274"/>
      <c r="HH175" s="274"/>
      <c r="HI175" s="274"/>
      <c r="HJ175" s="274"/>
      <c r="HK175" s="274"/>
      <c r="HL175" s="274"/>
      <c r="HM175" s="274"/>
      <c r="HN175" s="274"/>
      <c r="HO175" s="274"/>
      <c r="HP175" s="274"/>
      <c r="HQ175" s="274"/>
      <c r="HR175" s="274"/>
      <c r="HS175" s="274"/>
      <c r="HT175" s="274"/>
      <c r="HU175" s="274"/>
      <c r="HV175" s="274"/>
      <c r="HW175" s="274"/>
      <c r="HX175" s="274"/>
      <c r="HY175" s="274"/>
      <c r="HZ175" s="274"/>
      <c r="IA175" s="274"/>
      <c r="IB175" s="274"/>
      <c r="IC175" s="274"/>
      <c r="ID175" s="274"/>
      <c r="IE175" s="274"/>
      <c r="IF175" s="274"/>
      <c r="IG175" s="274"/>
      <c r="IH175" s="274"/>
      <c r="II175" s="274"/>
      <c r="IJ175" s="274"/>
      <c r="IK175" s="274"/>
      <c r="IL175" s="274"/>
      <c r="IM175" s="274"/>
      <c r="IN175" s="274"/>
      <c r="IO175" s="274"/>
      <c r="IP175" s="274"/>
      <c r="IQ175" s="274"/>
      <c r="IR175" s="274"/>
      <c r="IS175" s="274"/>
      <c r="IT175" s="274"/>
      <c r="IU175" s="274"/>
      <c r="IV175" s="274"/>
      <c r="IW175" s="274"/>
      <c r="IX175" s="274"/>
      <c r="IY175" s="274"/>
      <c r="IZ175" s="274"/>
      <c r="JA175" s="274"/>
      <c r="JB175" s="274"/>
      <c r="JC175" s="274"/>
      <c r="JD175" s="274"/>
      <c r="JE175" s="274"/>
      <c r="JF175" s="274"/>
      <c r="JG175" s="274"/>
      <c r="JH175" s="274"/>
      <c r="JI175" s="274"/>
      <c r="JJ175" s="274"/>
      <c r="JK175" s="274"/>
      <c r="JL175" s="274"/>
      <c r="JM175" s="274"/>
      <c r="JN175" s="274"/>
      <c r="JO175" s="274"/>
      <c r="JP175" s="274"/>
      <c r="JQ175" s="274"/>
      <c r="JR175" s="274"/>
      <c r="JS175" s="274"/>
      <c r="JT175" s="274"/>
      <c r="JU175" s="274"/>
      <c r="JV175" s="274"/>
      <c r="JW175" s="274"/>
      <c r="JX175" s="274"/>
      <c r="JY175" s="274"/>
      <c r="JZ175" s="274"/>
      <c r="KA175" s="274"/>
      <c r="KB175" s="274"/>
      <c r="KC175" s="274"/>
      <c r="KD175" s="274"/>
      <c r="KE175" s="274"/>
      <c r="KF175" s="274"/>
      <c r="KG175" s="274"/>
      <c r="KH175" s="274"/>
      <c r="KI175" s="274"/>
      <c r="KJ175" s="274"/>
      <c r="KK175" s="274"/>
      <c r="KL175" s="274"/>
      <c r="KM175" s="274"/>
      <c r="KN175" s="274"/>
      <c r="KO175" s="274"/>
      <c r="KP175" s="274"/>
      <c r="KQ175" s="274"/>
      <c r="KR175" s="274"/>
      <c r="KS175" s="274"/>
      <c r="KT175" s="274"/>
      <c r="KU175" s="274"/>
      <c r="KV175" s="274"/>
      <c r="KW175" s="274"/>
      <c r="KX175" s="274"/>
      <c r="KY175" s="274"/>
      <c r="KZ175" s="274"/>
      <c r="LA175" s="274"/>
      <c r="LB175" s="274"/>
      <c r="LC175" s="274"/>
      <c r="LD175" s="274"/>
      <c r="LE175" s="274"/>
      <c r="LF175" s="274"/>
      <c r="LG175" s="274"/>
      <c r="LH175" s="274"/>
      <c r="LI175" s="274"/>
      <c r="LJ175" s="274"/>
      <c r="LK175" s="274"/>
      <c r="LL175" s="274"/>
      <c r="LM175" s="274"/>
      <c r="LN175" s="274"/>
      <c r="LO175" s="274"/>
      <c r="LP175" s="274"/>
      <c r="LQ175" s="274"/>
      <c r="LR175" s="274"/>
      <c r="LS175" s="274"/>
      <c r="LT175" s="274"/>
      <c r="LU175" s="274"/>
      <c r="LV175" s="274"/>
      <c r="LW175" s="274"/>
      <c r="LX175" s="274"/>
      <c r="LY175" s="274"/>
      <c r="LZ175" s="274"/>
      <c r="MA175" s="274"/>
      <c r="MB175" s="274"/>
      <c r="MC175" s="274"/>
      <c r="MD175" s="274"/>
      <c r="ME175" s="274"/>
      <c r="MF175" s="274"/>
      <c r="MG175" s="274"/>
      <c r="MH175" s="274"/>
      <c r="MI175" s="274"/>
      <c r="MJ175" s="274"/>
      <c r="MK175" s="274"/>
      <c r="ML175" s="274"/>
      <c r="MM175" s="274"/>
      <c r="MN175" s="274"/>
      <c r="MO175" s="274"/>
      <c r="MP175" s="274"/>
      <c r="MQ175" s="274"/>
      <c r="MR175" s="274"/>
      <c r="MS175" s="274"/>
      <c r="MT175" s="274"/>
      <c r="MU175" s="274"/>
      <c r="MV175" s="274"/>
      <c r="MW175" s="274"/>
      <c r="MX175" s="274"/>
      <c r="MY175" s="274"/>
      <c r="MZ175" s="274"/>
      <c r="NA175" s="274"/>
      <c r="NB175" s="274"/>
      <c r="NC175" s="274"/>
      <c r="ND175" s="274"/>
      <c r="NE175" s="274"/>
      <c r="NF175" s="274"/>
      <c r="NG175" s="274"/>
      <c r="NH175" s="274"/>
      <c r="NI175" s="274"/>
      <c r="NJ175" s="274"/>
      <c r="NK175" s="274"/>
      <c r="NL175" s="274"/>
      <c r="NM175" s="274"/>
      <c r="NN175" s="274"/>
      <c r="NO175" s="274"/>
      <c r="NP175" s="274"/>
      <c r="NQ175" s="274"/>
      <c r="NR175" s="274"/>
      <c r="NS175" s="274"/>
      <c r="NT175" s="274"/>
      <c r="NU175" s="274"/>
      <c r="NV175" s="274"/>
      <c r="NW175" s="274"/>
      <c r="NX175" s="274"/>
      <c r="NY175" s="274"/>
      <c r="NZ175" s="274"/>
      <c r="OA175" s="274"/>
      <c r="OB175" s="274"/>
      <c r="OC175" s="274"/>
      <c r="OD175" s="274"/>
      <c r="OE175" s="274"/>
      <c r="OF175" s="274"/>
      <c r="OG175" s="274"/>
      <c r="OH175" s="274"/>
      <c r="OI175" s="274"/>
      <c r="OJ175" s="274"/>
      <c r="OK175" s="274"/>
      <c r="OL175" s="274"/>
      <c r="OM175" s="274"/>
      <c r="ON175" s="274"/>
      <c r="OO175" s="274"/>
      <c r="OP175" s="274"/>
      <c r="OQ175" s="274"/>
      <c r="OR175" s="274"/>
      <c r="OS175" s="274"/>
      <c r="OT175" s="274"/>
      <c r="OU175" s="274"/>
      <c r="OV175" s="274"/>
      <c r="OW175" s="274"/>
      <c r="OX175" s="274"/>
      <c r="OY175" s="274"/>
      <c r="OZ175" s="274"/>
      <c r="PA175" s="274"/>
      <c r="PB175" s="274"/>
      <c r="PC175" s="274"/>
      <c r="PD175" s="274"/>
      <c r="PE175" s="274"/>
      <c r="PF175" s="274"/>
      <c r="PG175" s="274"/>
      <c r="PH175" s="274"/>
      <c r="PI175" s="274"/>
      <c r="PJ175" s="274"/>
      <c r="PK175" s="274"/>
      <c r="PL175" s="274"/>
      <c r="PM175" s="274"/>
      <c r="PN175" s="274"/>
      <c r="PO175" s="274"/>
      <c r="PP175" s="274"/>
      <c r="PQ175" s="274"/>
      <c r="PR175" s="274"/>
      <c r="PS175" s="274"/>
      <c r="PT175" s="274"/>
      <c r="PU175" s="274"/>
      <c r="PV175" s="274"/>
      <c r="PW175" s="274"/>
      <c r="PX175" s="274"/>
      <c r="PY175" s="274"/>
      <c r="PZ175" s="274"/>
      <c r="QA175" s="274"/>
      <c r="QB175" s="274"/>
      <c r="QC175" s="274"/>
      <c r="QD175" s="274"/>
      <c r="QE175" s="274"/>
      <c r="QF175" s="274"/>
      <c r="QG175" s="274"/>
      <c r="QH175" s="274"/>
      <c r="QI175" s="274"/>
      <c r="QJ175" s="274"/>
      <c r="QK175" s="274"/>
      <c r="QL175" s="274"/>
      <c r="QM175" s="274"/>
      <c r="QN175" s="274"/>
      <c r="QO175" s="274"/>
      <c r="QP175" s="274"/>
      <c r="QQ175" s="274"/>
      <c r="QR175" s="274"/>
      <c r="QS175" s="274"/>
      <c r="QT175" s="274"/>
      <c r="QU175" s="274"/>
      <c r="QV175" s="274"/>
      <c r="QW175" s="274"/>
      <c r="QX175" s="274"/>
      <c r="QY175" s="274"/>
      <c r="QZ175" s="274"/>
      <c r="RA175" s="274"/>
      <c r="RB175" s="274"/>
      <c r="RC175" s="274"/>
    </row>
    <row r="176" spans="112:471">
      <c r="DH176" s="274"/>
      <c r="DI176" s="274"/>
      <c r="DJ176" s="274"/>
      <c r="DK176" s="274"/>
      <c r="DL176" s="274"/>
      <c r="DM176" s="274"/>
      <c r="DN176" s="274"/>
      <c r="DO176" s="274"/>
      <c r="DP176" s="274"/>
      <c r="DQ176" s="274"/>
      <c r="DR176" s="274"/>
      <c r="DS176" s="274"/>
      <c r="DT176" s="274"/>
      <c r="DU176" s="274"/>
      <c r="DV176" s="274"/>
      <c r="DW176" s="274"/>
      <c r="DX176" s="274"/>
      <c r="DY176" s="274"/>
      <c r="DZ176" s="274"/>
      <c r="EA176" s="274"/>
      <c r="EB176" s="274"/>
      <c r="EC176" s="274"/>
      <c r="ED176" s="274"/>
      <c r="EE176" s="274"/>
      <c r="EF176" s="274"/>
      <c r="EG176" s="274"/>
      <c r="EH176" s="274"/>
      <c r="EI176" s="274"/>
      <c r="EJ176" s="274"/>
      <c r="EK176" s="274"/>
      <c r="EL176" s="274"/>
      <c r="EM176" s="274"/>
      <c r="EN176" s="274"/>
      <c r="EO176" s="274"/>
      <c r="EP176" s="274"/>
      <c r="EQ176" s="274"/>
      <c r="ER176" s="274"/>
      <c r="ES176" s="274"/>
      <c r="ET176" s="274"/>
      <c r="EU176" s="274"/>
      <c r="EV176" s="274"/>
      <c r="EW176" s="274"/>
      <c r="EX176" s="274"/>
      <c r="EY176" s="274"/>
      <c r="EZ176" s="274"/>
      <c r="FA176" s="274"/>
      <c r="FB176" s="274"/>
      <c r="FC176" s="274"/>
      <c r="FD176" s="274"/>
      <c r="FE176" s="274"/>
      <c r="FF176" s="274"/>
      <c r="FG176" s="274"/>
      <c r="FH176" s="274"/>
      <c r="FI176" s="274"/>
      <c r="FJ176" s="274"/>
      <c r="FK176" s="274"/>
      <c r="FL176" s="274"/>
      <c r="FM176" s="274"/>
      <c r="FN176" s="274"/>
      <c r="FO176" s="274"/>
      <c r="FP176" s="274"/>
      <c r="FQ176" s="274"/>
      <c r="FR176" s="274"/>
      <c r="FS176" s="274"/>
      <c r="FT176" s="274"/>
      <c r="FU176" s="274"/>
      <c r="FV176" s="274"/>
      <c r="FW176" s="274"/>
      <c r="FX176" s="274"/>
      <c r="FY176" s="274"/>
      <c r="FZ176" s="274"/>
      <c r="GA176" s="274"/>
      <c r="GB176" s="274"/>
      <c r="GC176" s="274"/>
      <c r="GD176" s="274"/>
      <c r="GE176" s="274"/>
      <c r="GF176" s="274"/>
      <c r="GG176" s="274"/>
      <c r="GH176" s="274"/>
      <c r="GI176" s="274"/>
      <c r="GJ176" s="274"/>
      <c r="GK176" s="274"/>
      <c r="GL176" s="274"/>
      <c r="GM176" s="274"/>
      <c r="GN176" s="274"/>
      <c r="GO176" s="274"/>
      <c r="GP176" s="274"/>
      <c r="GQ176" s="274"/>
      <c r="GR176" s="274"/>
      <c r="GS176" s="274"/>
      <c r="GT176" s="274"/>
      <c r="GU176" s="274"/>
      <c r="GV176" s="274"/>
      <c r="GW176" s="274"/>
      <c r="GX176" s="274"/>
      <c r="GY176" s="274"/>
      <c r="GZ176" s="274"/>
      <c r="HA176" s="274"/>
      <c r="HB176" s="274"/>
      <c r="HC176" s="274"/>
      <c r="HD176" s="274"/>
      <c r="HE176" s="274"/>
      <c r="HF176" s="274"/>
      <c r="HG176" s="274"/>
      <c r="HH176" s="274"/>
      <c r="HI176" s="274"/>
      <c r="HJ176" s="274"/>
      <c r="HK176" s="274"/>
      <c r="HL176" s="274"/>
      <c r="HM176" s="274"/>
      <c r="HN176" s="274"/>
      <c r="HO176" s="274"/>
      <c r="HP176" s="274"/>
      <c r="HQ176" s="274"/>
      <c r="HR176" s="274"/>
      <c r="HS176" s="274"/>
      <c r="HT176" s="274"/>
      <c r="HU176" s="274"/>
      <c r="HV176" s="274"/>
      <c r="HW176" s="274"/>
      <c r="HX176" s="274"/>
      <c r="HY176" s="274"/>
      <c r="HZ176" s="274"/>
      <c r="IA176" s="274"/>
      <c r="IB176" s="274"/>
      <c r="IC176" s="274"/>
      <c r="ID176" s="274"/>
      <c r="IE176" s="274"/>
      <c r="IF176" s="274"/>
      <c r="IG176" s="274"/>
      <c r="IH176" s="274"/>
      <c r="II176" s="274"/>
      <c r="IJ176" s="274"/>
      <c r="IK176" s="274"/>
      <c r="IL176" s="274"/>
      <c r="IM176" s="274"/>
      <c r="IN176" s="274"/>
      <c r="IO176" s="274"/>
      <c r="IP176" s="274"/>
      <c r="IQ176" s="274"/>
      <c r="IR176" s="274"/>
      <c r="IS176" s="274"/>
      <c r="IT176" s="274"/>
      <c r="IU176" s="274"/>
      <c r="IV176" s="274"/>
      <c r="IW176" s="274"/>
      <c r="IX176" s="274"/>
      <c r="IY176" s="274"/>
      <c r="IZ176" s="274"/>
      <c r="JA176" s="274"/>
      <c r="JB176" s="274"/>
      <c r="JC176" s="274"/>
      <c r="JD176" s="274"/>
      <c r="JE176" s="274"/>
      <c r="JF176" s="274"/>
      <c r="JG176" s="274"/>
      <c r="JH176" s="274"/>
      <c r="JI176" s="274"/>
      <c r="JJ176" s="274"/>
      <c r="JK176" s="274"/>
      <c r="JL176" s="274"/>
      <c r="JM176" s="274"/>
      <c r="JN176" s="274"/>
      <c r="JO176" s="274"/>
      <c r="JP176" s="274"/>
      <c r="JQ176" s="274"/>
      <c r="JR176" s="274"/>
      <c r="JS176" s="274"/>
      <c r="JT176" s="274"/>
      <c r="JU176" s="274"/>
      <c r="JV176" s="274"/>
      <c r="JW176" s="274"/>
      <c r="JX176" s="274"/>
      <c r="JY176" s="274"/>
      <c r="JZ176" s="274"/>
      <c r="KA176" s="274"/>
      <c r="KB176" s="274"/>
      <c r="KC176" s="274"/>
      <c r="KD176" s="274"/>
      <c r="KE176" s="274"/>
      <c r="KF176" s="274"/>
      <c r="KG176" s="274"/>
      <c r="KH176" s="274"/>
      <c r="KI176" s="274"/>
      <c r="KJ176" s="274"/>
      <c r="KK176" s="274"/>
      <c r="KL176" s="274"/>
      <c r="KM176" s="274"/>
      <c r="KN176" s="274"/>
      <c r="KO176" s="274"/>
      <c r="KP176" s="274"/>
      <c r="KQ176" s="274"/>
      <c r="KR176" s="274"/>
      <c r="KS176" s="274"/>
      <c r="KT176" s="274"/>
      <c r="KU176" s="274"/>
      <c r="KV176" s="274"/>
      <c r="KW176" s="274"/>
      <c r="KX176" s="274"/>
      <c r="KY176" s="274"/>
      <c r="KZ176" s="274"/>
      <c r="LA176" s="274"/>
      <c r="LB176" s="274"/>
      <c r="LC176" s="274"/>
      <c r="LD176" s="274"/>
      <c r="LE176" s="274"/>
      <c r="LF176" s="274"/>
      <c r="LG176" s="274"/>
      <c r="LH176" s="274"/>
      <c r="LI176" s="274"/>
      <c r="LJ176" s="274"/>
      <c r="LK176" s="274"/>
      <c r="LL176" s="274"/>
      <c r="LM176" s="274"/>
      <c r="LN176" s="274"/>
      <c r="LO176" s="274"/>
      <c r="LP176" s="274"/>
      <c r="LQ176" s="274"/>
      <c r="LR176" s="274"/>
      <c r="LS176" s="274"/>
      <c r="LT176" s="274"/>
      <c r="LU176" s="274"/>
      <c r="LV176" s="274"/>
      <c r="LW176" s="274"/>
      <c r="LX176" s="274"/>
      <c r="LY176" s="274"/>
      <c r="LZ176" s="274"/>
      <c r="MA176" s="274"/>
      <c r="MB176" s="274"/>
      <c r="MC176" s="274"/>
      <c r="MD176" s="274"/>
      <c r="ME176" s="274"/>
      <c r="MF176" s="274"/>
      <c r="MG176" s="274"/>
      <c r="MH176" s="274"/>
      <c r="MI176" s="274"/>
      <c r="MJ176" s="274"/>
      <c r="MK176" s="274"/>
      <c r="ML176" s="274"/>
      <c r="MM176" s="274"/>
      <c r="MN176" s="274"/>
      <c r="MO176" s="274"/>
      <c r="MP176" s="274"/>
      <c r="MQ176" s="274"/>
      <c r="MR176" s="274"/>
      <c r="MS176" s="274"/>
      <c r="MT176" s="274"/>
      <c r="MU176" s="274"/>
      <c r="MV176" s="274"/>
      <c r="MW176" s="274"/>
      <c r="MX176" s="274"/>
      <c r="MY176" s="274"/>
      <c r="MZ176" s="274"/>
      <c r="NA176" s="274"/>
      <c r="NB176" s="274"/>
      <c r="NC176" s="274"/>
      <c r="ND176" s="274"/>
      <c r="NE176" s="274"/>
      <c r="NF176" s="274"/>
      <c r="NG176" s="274"/>
      <c r="NH176" s="274"/>
      <c r="NI176" s="274"/>
      <c r="NJ176" s="274"/>
      <c r="NK176" s="274"/>
      <c r="NL176" s="274"/>
      <c r="NM176" s="274"/>
      <c r="NN176" s="274"/>
      <c r="NO176" s="274"/>
      <c r="NP176" s="274"/>
      <c r="NQ176" s="274"/>
      <c r="NR176" s="274"/>
      <c r="NS176" s="274"/>
      <c r="NT176" s="274"/>
      <c r="NU176" s="274"/>
      <c r="NV176" s="274"/>
      <c r="NW176" s="274"/>
      <c r="NX176" s="274"/>
      <c r="NY176" s="274"/>
      <c r="NZ176" s="274"/>
      <c r="OA176" s="274"/>
      <c r="OB176" s="274"/>
      <c r="OC176" s="274"/>
      <c r="OD176" s="274"/>
      <c r="OE176" s="274"/>
      <c r="OF176" s="274"/>
      <c r="OG176" s="274"/>
      <c r="OH176" s="274"/>
      <c r="OI176" s="274"/>
      <c r="OJ176" s="274"/>
      <c r="OK176" s="274"/>
      <c r="OL176" s="274"/>
      <c r="OM176" s="274"/>
      <c r="ON176" s="274"/>
      <c r="OO176" s="274"/>
      <c r="OP176" s="274"/>
      <c r="OQ176" s="274"/>
      <c r="OR176" s="274"/>
      <c r="OS176" s="274"/>
      <c r="OT176" s="274"/>
      <c r="OU176" s="274"/>
      <c r="OV176" s="274"/>
      <c r="OW176" s="274"/>
      <c r="OX176" s="274"/>
      <c r="OY176" s="274"/>
      <c r="OZ176" s="274"/>
      <c r="PA176" s="274"/>
      <c r="PB176" s="274"/>
      <c r="PC176" s="274"/>
      <c r="PD176" s="274"/>
      <c r="PE176" s="274"/>
      <c r="PF176" s="274"/>
      <c r="PG176" s="274"/>
      <c r="PH176" s="274"/>
      <c r="PI176" s="274"/>
      <c r="PJ176" s="274"/>
      <c r="PK176" s="274"/>
      <c r="PL176" s="274"/>
      <c r="PM176" s="274"/>
      <c r="PN176" s="274"/>
      <c r="PO176" s="274"/>
      <c r="PP176" s="274"/>
      <c r="PQ176" s="274"/>
      <c r="PR176" s="274"/>
      <c r="PS176" s="274"/>
      <c r="PT176" s="274"/>
      <c r="PU176" s="274"/>
      <c r="PV176" s="274"/>
      <c r="PW176" s="274"/>
      <c r="PX176" s="274"/>
      <c r="PY176" s="274"/>
      <c r="PZ176" s="274"/>
      <c r="QA176" s="274"/>
      <c r="QB176" s="274"/>
      <c r="QC176" s="274"/>
      <c r="QD176" s="274"/>
      <c r="QE176" s="274"/>
      <c r="QF176" s="274"/>
      <c r="QG176" s="274"/>
      <c r="QH176" s="274"/>
      <c r="QI176" s="274"/>
      <c r="QJ176" s="274"/>
      <c r="QK176" s="274"/>
      <c r="QL176" s="274"/>
      <c r="QM176" s="274"/>
      <c r="QN176" s="274"/>
      <c r="QO176" s="274"/>
      <c r="QP176" s="274"/>
      <c r="QQ176" s="274"/>
      <c r="QR176" s="274"/>
      <c r="QS176" s="274"/>
      <c r="QT176" s="274"/>
      <c r="QU176" s="274"/>
      <c r="QV176" s="274"/>
      <c r="QW176" s="274"/>
      <c r="QX176" s="274"/>
      <c r="QY176" s="274"/>
      <c r="QZ176" s="274"/>
      <c r="RA176" s="274"/>
      <c r="RB176" s="274"/>
      <c r="RC176" s="274"/>
    </row>
    <row r="177" spans="112:471" ht="17.25">
      <c r="DH177" s="274"/>
      <c r="DI177" s="274"/>
      <c r="DJ177" s="978"/>
      <c r="DK177" s="274"/>
      <c r="DL177" s="274"/>
      <c r="DM177" s="274"/>
      <c r="DN177" s="274"/>
      <c r="DO177" s="274"/>
      <c r="DP177" s="274"/>
      <c r="DQ177" s="274"/>
      <c r="DR177" s="274"/>
      <c r="DS177" s="274"/>
      <c r="DT177" s="274"/>
      <c r="DU177" s="274"/>
      <c r="DV177" s="274"/>
      <c r="DW177" s="274"/>
      <c r="DX177" s="274"/>
      <c r="DY177" s="274"/>
      <c r="DZ177" s="274"/>
      <c r="EA177" s="274"/>
      <c r="EB177" s="274"/>
      <c r="EC177" s="274"/>
      <c r="ED177" s="274"/>
      <c r="EE177" s="274"/>
      <c r="EF177" s="274"/>
      <c r="EG177" s="274"/>
      <c r="EH177" s="274"/>
      <c r="EI177" s="274"/>
      <c r="EJ177" s="274"/>
      <c r="EK177" s="274"/>
      <c r="EL177" s="274"/>
      <c r="EM177" s="274"/>
      <c r="EN177" s="274"/>
      <c r="EO177" s="274"/>
      <c r="EP177" s="274"/>
      <c r="EQ177" s="274"/>
      <c r="ER177" s="274"/>
      <c r="ES177" s="274"/>
      <c r="ET177" s="274"/>
      <c r="EU177" s="274"/>
      <c r="EV177" s="274"/>
      <c r="EW177" s="274"/>
      <c r="EX177" s="274"/>
      <c r="EY177" s="274"/>
      <c r="EZ177" s="274"/>
      <c r="FA177" s="274"/>
      <c r="FB177" s="274"/>
      <c r="FC177" s="274"/>
      <c r="FD177" s="274"/>
      <c r="FE177" s="274"/>
      <c r="FF177" s="274"/>
      <c r="FG177" s="274"/>
      <c r="FH177" s="274"/>
      <c r="FI177" s="274"/>
      <c r="FJ177" s="274"/>
      <c r="FK177" s="274"/>
      <c r="FL177" s="274"/>
      <c r="FM177" s="274"/>
      <c r="FN177" s="274"/>
      <c r="FO177" s="274"/>
      <c r="FP177" s="274"/>
      <c r="FQ177" s="274"/>
      <c r="FR177" s="274"/>
      <c r="FS177" s="274"/>
      <c r="FT177" s="274"/>
      <c r="FU177" s="274"/>
      <c r="FV177" s="274"/>
      <c r="FW177" s="274"/>
      <c r="FX177" s="274"/>
      <c r="FY177" s="274"/>
      <c r="FZ177" s="274"/>
      <c r="GA177" s="274"/>
      <c r="GB177" s="274"/>
      <c r="GC177" s="274"/>
      <c r="GD177" s="274"/>
      <c r="GE177" s="274"/>
      <c r="GF177" s="274"/>
      <c r="GG177" s="274"/>
      <c r="GH177" s="274"/>
      <c r="GI177" s="274"/>
      <c r="GJ177" s="274"/>
      <c r="GK177" s="274"/>
      <c r="GL177" s="274"/>
      <c r="GM177" s="274"/>
      <c r="GN177" s="274"/>
      <c r="GO177" s="274"/>
      <c r="GP177" s="274"/>
      <c r="GQ177" s="274"/>
      <c r="GR177" s="274"/>
      <c r="GS177" s="274"/>
      <c r="GT177" s="274"/>
      <c r="GU177" s="274"/>
      <c r="GV177" s="274"/>
      <c r="GW177" s="274"/>
      <c r="GX177" s="274"/>
      <c r="GY177" s="274"/>
      <c r="GZ177" s="274"/>
      <c r="HA177" s="274"/>
      <c r="HB177" s="274"/>
      <c r="HC177" s="274"/>
      <c r="HD177" s="274"/>
      <c r="HE177" s="274"/>
      <c r="HF177" s="274"/>
      <c r="HG177" s="274"/>
      <c r="HH177" s="274"/>
      <c r="HI177" s="274"/>
      <c r="HJ177" s="274"/>
      <c r="HK177" s="274"/>
      <c r="HL177" s="274"/>
      <c r="HM177" s="274"/>
      <c r="HN177" s="274"/>
      <c r="HO177" s="274"/>
      <c r="HP177" s="274"/>
      <c r="HQ177" s="274"/>
      <c r="HR177" s="274"/>
      <c r="HS177" s="274"/>
      <c r="HT177" s="274"/>
      <c r="HU177" s="274"/>
      <c r="HV177" s="274"/>
      <c r="HW177" s="274"/>
      <c r="HX177" s="274"/>
      <c r="HY177" s="274"/>
      <c r="HZ177" s="274"/>
      <c r="IA177" s="274"/>
      <c r="IB177" s="274"/>
      <c r="IC177" s="274"/>
      <c r="ID177" s="274"/>
      <c r="IE177" s="274"/>
      <c r="IF177" s="274"/>
      <c r="IG177" s="274"/>
      <c r="IH177" s="274"/>
      <c r="II177" s="274"/>
      <c r="IJ177" s="274"/>
      <c r="IK177" s="274"/>
      <c r="IL177" s="274"/>
      <c r="IM177" s="274"/>
      <c r="IN177" s="274"/>
      <c r="IO177" s="274"/>
      <c r="IP177" s="274"/>
      <c r="IQ177" s="274"/>
      <c r="IR177" s="274"/>
      <c r="IS177" s="274"/>
      <c r="IT177" s="274"/>
      <c r="IU177" s="274"/>
      <c r="IV177" s="274"/>
      <c r="IW177" s="274"/>
      <c r="IX177" s="274"/>
      <c r="IY177" s="274"/>
      <c r="IZ177" s="274"/>
      <c r="JA177" s="274"/>
      <c r="JB177" s="274"/>
      <c r="JC177" s="274"/>
      <c r="JD177" s="274"/>
      <c r="JE177" s="274"/>
      <c r="JF177" s="274"/>
      <c r="JG177" s="274"/>
      <c r="JH177" s="274"/>
      <c r="JI177" s="274"/>
      <c r="JJ177" s="274"/>
      <c r="JK177" s="274"/>
      <c r="JL177" s="274"/>
      <c r="JM177" s="274"/>
      <c r="JN177" s="274"/>
      <c r="JO177" s="274"/>
      <c r="JP177" s="274"/>
      <c r="JQ177" s="274"/>
      <c r="JR177" s="274"/>
      <c r="JS177" s="274"/>
      <c r="JT177" s="274"/>
      <c r="JU177" s="274"/>
      <c r="JV177" s="274"/>
      <c r="JW177" s="274"/>
      <c r="JX177" s="274"/>
      <c r="JY177" s="274"/>
      <c r="JZ177" s="274"/>
      <c r="KA177" s="274"/>
      <c r="KB177" s="274"/>
      <c r="KC177" s="274"/>
      <c r="KD177" s="274"/>
      <c r="KE177" s="274"/>
      <c r="KF177" s="274"/>
      <c r="KG177" s="274"/>
      <c r="KH177" s="274"/>
      <c r="KI177" s="274"/>
      <c r="KJ177" s="274"/>
      <c r="KK177" s="274"/>
      <c r="KL177" s="274"/>
      <c r="KM177" s="274"/>
      <c r="KN177" s="274"/>
      <c r="KO177" s="274"/>
      <c r="KP177" s="274"/>
      <c r="KQ177" s="274"/>
      <c r="KR177" s="274"/>
      <c r="KS177" s="274"/>
      <c r="KT177" s="274"/>
      <c r="KU177" s="274"/>
      <c r="KV177" s="274"/>
      <c r="KW177" s="274"/>
      <c r="KX177" s="274"/>
      <c r="KY177" s="274"/>
      <c r="KZ177" s="274"/>
      <c r="LA177" s="274"/>
      <c r="LB177" s="274"/>
      <c r="LC177" s="274"/>
      <c r="LD177" s="274"/>
      <c r="LE177" s="274"/>
      <c r="LF177" s="274"/>
      <c r="LG177" s="274"/>
      <c r="LH177" s="274"/>
      <c r="LI177" s="274"/>
      <c r="LJ177" s="274"/>
      <c r="LK177" s="274"/>
      <c r="LL177" s="274"/>
      <c r="LM177" s="274"/>
      <c r="LN177" s="274"/>
      <c r="LO177" s="274"/>
      <c r="LP177" s="274"/>
      <c r="LQ177" s="274"/>
      <c r="LR177" s="274"/>
      <c r="LS177" s="274"/>
      <c r="LT177" s="274"/>
      <c r="LU177" s="274"/>
      <c r="LV177" s="274"/>
      <c r="LW177" s="274"/>
      <c r="LX177" s="274"/>
      <c r="LY177" s="274"/>
      <c r="LZ177" s="274"/>
      <c r="MA177" s="274"/>
      <c r="MB177" s="274"/>
      <c r="MC177" s="274"/>
      <c r="MD177" s="274"/>
      <c r="ME177" s="274"/>
      <c r="MF177" s="274"/>
      <c r="MG177" s="274"/>
      <c r="MH177" s="274"/>
      <c r="MI177" s="274"/>
      <c r="MJ177" s="274"/>
      <c r="MK177" s="274"/>
      <c r="ML177" s="274"/>
      <c r="MM177" s="274"/>
      <c r="MN177" s="274"/>
      <c r="MO177" s="274"/>
      <c r="MP177" s="274"/>
      <c r="MQ177" s="274"/>
      <c r="MR177" s="274"/>
      <c r="MS177" s="274"/>
      <c r="MT177" s="274"/>
      <c r="MU177" s="274"/>
      <c r="MV177" s="274"/>
      <c r="MW177" s="274"/>
      <c r="MX177" s="274"/>
      <c r="MY177" s="274"/>
      <c r="MZ177" s="274"/>
      <c r="NA177" s="274"/>
      <c r="NB177" s="274"/>
      <c r="NC177" s="274"/>
      <c r="ND177" s="274"/>
      <c r="NE177" s="274"/>
      <c r="NF177" s="274"/>
      <c r="NG177" s="274"/>
      <c r="NH177" s="274"/>
      <c r="NI177" s="274"/>
      <c r="NJ177" s="274"/>
      <c r="NK177" s="274"/>
      <c r="NL177" s="274"/>
      <c r="NM177" s="274"/>
      <c r="NN177" s="274"/>
      <c r="NO177" s="274"/>
      <c r="NP177" s="274"/>
      <c r="NQ177" s="274"/>
      <c r="NR177" s="274"/>
      <c r="NS177" s="274"/>
      <c r="NT177" s="274"/>
      <c r="NU177" s="274"/>
      <c r="NV177" s="274"/>
      <c r="NW177" s="274"/>
      <c r="NX177" s="274"/>
      <c r="NY177" s="274"/>
      <c r="NZ177" s="274"/>
      <c r="OA177" s="274"/>
      <c r="OB177" s="274"/>
      <c r="OC177" s="274"/>
      <c r="OD177" s="274"/>
      <c r="OE177" s="274"/>
      <c r="OF177" s="274"/>
      <c r="OG177" s="274"/>
      <c r="OH177" s="274"/>
      <c r="OI177" s="274"/>
      <c r="OJ177" s="274"/>
      <c r="OK177" s="274"/>
      <c r="OL177" s="274"/>
      <c r="OM177" s="274"/>
      <c r="ON177" s="274"/>
      <c r="OO177" s="274"/>
      <c r="OP177" s="274"/>
      <c r="OQ177" s="274"/>
      <c r="OR177" s="274"/>
      <c r="OS177" s="274"/>
      <c r="OT177" s="274"/>
      <c r="OU177" s="274"/>
      <c r="OV177" s="274"/>
      <c r="OW177" s="274"/>
      <c r="OX177" s="274"/>
      <c r="OY177" s="274"/>
      <c r="OZ177" s="274"/>
      <c r="PA177" s="274"/>
      <c r="PB177" s="274"/>
      <c r="PC177" s="274"/>
      <c r="PD177" s="274"/>
      <c r="PE177" s="274"/>
      <c r="PF177" s="274"/>
      <c r="PG177" s="274"/>
      <c r="PH177" s="274"/>
      <c r="PI177" s="274"/>
      <c r="PJ177" s="274"/>
      <c r="PK177" s="274"/>
      <c r="PL177" s="274"/>
      <c r="PM177" s="274"/>
      <c r="PN177" s="274"/>
      <c r="PO177" s="274"/>
      <c r="PP177" s="274"/>
      <c r="PQ177" s="274"/>
      <c r="PR177" s="274"/>
      <c r="PS177" s="274"/>
      <c r="PT177" s="274"/>
      <c r="PU177" s="274"/>
      <c r="PV177" s="274"/>
      <c r="PW177" s="274"/>
      <c r="PX177" s="274"/>
      <c r="PY177" s="274"/>
      <c r="PZ177" s="274"/>
      <c r="QA177" s="274"/>
      <c r="QB177" s="274"/>
      <c r="QC177" s="274"/>
      <c r="QD177" s="274"/>
      <c r="QE177" s="274"/>
      <c r="QF177" s="274"/>
      <c r="QG177" s="274"/>
      <c r="QH177" s="274"/>
      <c r="QI177" s="274"/>
      <c r="QJ177" s="274"/>
      <c r="QK177" s="274"/>
      <c r="QL177" s="274"/>
      <c r="QM177" s="274"/>
      <c r="QN177" s="274"/>
      <c r="QO177" s="274"/>
      <c r="QP177" s="274"/>
      <c r="QQ177" s="274"/>
      <c r="QR177" s="274"/>
      <c r="QS177" s="274"/>
      <c r="QT177" s="274"/>
      <c r="QU177" s="274"/>
      <c r="QV177" s="274"/>
      <c r="QW177" s="274"/>
      <c r="QX177" s="274"/>
      <c r="QY177" s="274"/>
      <c r="QZ177" s="274"/>
      <c r="RA177" s="274"/>
      <c r="RB177" s="274"/>
      <c r="RC177" s="274"/>
    </row>
    <row r="178" spans="112:471" ht="17.25">
      <c r="DH178" s="274"/>
      <c r="DI178" s="274"/>
      <c r="DJ178" s="978"/>
      <c r="DK178" s="978"/>
      <c r="DL178" s="978"/>
      <c r="DM178" s="978"/>
      <c r="DN178" s="978"/>
      <c r="DO178" s="978"/>
      <c r="DP178" s="978"/>
      <c r="DQ178" s="978"/>
      <c r="DR178" s="978"/>
      <c r="DS178" s="978"/>
      <c r="DT178" s="978"/>
      <c r="DU178" s="978"/>
      <c r="DV178" s="978"/>
      <c r="DW178" s="978"/>
      <c r="DX178" s="978"/>
      <c r="DY178" s="978"/>
      <c r="DZ178" s="978"/>
      <c r="EA178" s="978"/>
      <c r="EB178" s="978"/>
      <c r="EC178" s="978"/>
      <c r="ED178" s="978"/>
      <c r="EE178" s="978"/>
      <c r="EF178" s="978"/>
      <c r="EG178" s="978"/>
      <c r="EH178" s="978"/>
      <c r="EI178" s="978"/>
      <c r="EJ178" s="978"/>
      <c r="EK178" s="978"/>
      <c r="EL178" s="978"/>
      <c r="EM178" s="978"/>
      <c r="EN178" s="978"/>
      <c r="EO178" s="978"/>
      <c r="EP178" s="978"/>
      <c r="EQ178" s="978"/>
      <c r="ER178" s="978"/>
      <c r="ES178" s="978"/>
      <c r="ET178" s="978"/>
      <c r="EU178" s="978"/>
      <c r="EV178" s="978"/>
      <c r="EW178" s="978"/>
      <c r="EX178" s="978"/>
      <c r="EY178" s="978"/>
      <c r="EZ178" s="978"/>
      <c r="FA178" s="978"/>
      <c r="FB178" s="978"/>
      <c r="FC178" s="978"/>
      <c r="FD178" s="978"/>
      <c r="FE178" s="978"/>
      <c r="FF178" s="978"/>
      <c r="FG178" s="978"/>
      <c r="FH178" s="978"/>
      <c r="FI178" s="978"/>
      <c r="FJ178" s="978"/>
      <c r="FK178" s="978"/>
      <c r="FL178" s="978"/>
      <c r="FM178" s="978"/>
      <c r="FN178" s="978"/>
      <c r="FO178" s="978"/>
      <c r="FP178" s="978"/>
      <c r="FQ178" s="978"/>
      <c r="FR178" s="978"/>
      <c r="FS178" s="978"/>
      <c r="FT178" s="978"/>
      <c r="FU178" s="978"/>
      <c r="FV178" s="978"/>
      <c r="FW178" s="978"/>
      <c r="FX178" s="978"/>
      <c r="FY178" s="978"/>
      <c r="FZ178" s="978"/>
      <c r="GA178" s="978"/>
      <c r="GB178" s="978"/>
      <c r="GC178" s="978"/>
      <c r="GD178" s="978"/>
      <c r="GE178" s="978"/>
      <c r="GF178" s="978"/>
      <c r="GG178" s="978"/>
      <c r="GH178" s="978"/>
      <c r="GI178" s="978"/>
      <c r="GJ178" s="978"/>
      <c r="GK178" s="978"/>
      <c r="GL178" s="978"/>
      <c r="GM178" s="978"/>
      <c r="GN178" s="978"/>
      <c r="GO178" s="978"/>
      <c r="GP178" s="978"/>
      <c r="GQ178" s="978"/>
      <c r="GR178" s="978"/>
      <c r="GS178" s="978"/>
      <c r="GT178" s="978"/>
      <c r="GU178" s="978"/>
      <c r="GV178" s="978"/>
      <c r="GW178" s="978"/>
      <c r="GX178" s="978"/>
      <c r="GY178" s="978"/>
      <c r="GZ178" s="978"/>
      <c r="HA178" s="978"/>
      <c r="HB178" s="978"/>
      <c r="HC178" s="978"/>
      <c r="HD178" s="978"/>
      <c r="HE178" s="978"/>
      <c r="HF178" s="978"/>
      <c r="HG178" s="978"/>
      <c r="HH178" s="978"/>
      <c r="HI178" s="978"/>
      <c r="HJ178" s="978"/>
      <c r="HK178" s="978"/>
      <c r="HL178" s="978"/>
      <c r="HM178" s="978"/>
      <c r="HN178" s="978"/>
      <c r="HO178" s="978"/>
      <c r="HP178" s="978"/>
      <c r="HQ178" s="978"/>
      <c r="HR178" s="978"/>
      <c r="HS178" s="978"/>
      <c r="HT178" s="978"/>
      <c r="HU178" s="978"/>
      <c r="HV178" s="978"/>
      <c r="HW178" s="978"/>
      <c r="HX178" s="978"/>
      <c r="HY178" s="978"/>
      <c r="HZ178" s="978"/>
      <c r="IA178" s="978"/>
      <c r="IB178" s="978"/>
      <c r="IC178" s="978"/>
      <c r="ID178" s="978"/>
      <c r="IE178" s="978"/>
      <c r="IF178" s="978"/>
      <c r="IG178" s="978"/>
      <c r="IH178" s="978"/>
      <c r="II178" s="978"/>
      <c r="IJ178" s="978"/>
      <c r="IK178" s="978"/>
      <c r="IL178" s="978"/>
      <c r="IM178" s="978"/>
      <c r="IN178" s="978"/>
      <c r="IO178" s="978"/>
      <c r="IP178" s="978"/>
      <c r="IQ178" s="978"/>
      <c r="IR178" s="978"/>
      <c r="IS178" s="978"/>
      <c r="IT178" s="978"/>
      <c r="IU178" s="978"/>
      <c r="IV178" s="978"/>
      <c r="IW178" s="978"/>
      <c r="IX178" s="978"/>
      <c r="IY178" s="978"/>
      <c r="IZ178" s="978"/>
      <c r="JA178" s="978"/>
      <c r="JB178" s="978"/>
      <c r="JC178" s="978"/>
      <c r="JD178" s="978"/>
      <c r="JE178" s="978"/>
      <c r="JF178" s="978"/>
      <c r="JG178" s="978"/>
      <c r="JH178" s="978"/>
      <c r="JI178" s="978"/>
      <c r="JJ178" s="978"/>
      <c r="JK178" s="978"/>
      <c r="JL178" s="978"/>
      <c r="JM178" s="978"/>
      <c r="JN178" s="978"/>
      <c r="JO178" s="978"/>
      <c r="JP178" s="978"/>
      <c r="JQ178" s="978"/>
      <c r="JR178" s="978"/>
      <c r="JS178" s="978"/>
      <c r="JT178" s="978"/>
      <c r="JU178" s="978"/>
      <c r="JV178" s="978"/>
      <c r="JW178" s="978"/>
      <c r="JX178" s="978"/>
      <c r="JY178" s="978"/>
      <c r="JZ178" s="978"/>
      <c r="KA178" s="978"/>
      <c r="KB178" s="978"/>
      <c r="KC178" s="978"/>
      <c r="KD178" s="978"/>
      <c r="KE178" s="978"/>
      <c r="KF178" s="978"/>
      <c r="KG178" s="978"/>
      <c r="KH178" s="978"/>
      <c r="KI178" s="978"/>
      <c r="KJ178" s="978"/>
      <c r="KK178" s="978"/>
      <c r="KL178" s="978"/>
      <c r="KM178" s="978"/>
      <c r="KN178" s="978"/>
      <c r="KO178" s="978"/>
      <c r="KP178" s="978"/>
      <c r="KQ178" s="978"/>
      <c r="KR178" s="978"/>
      <c r="KS178" s="978"/>
      <c r="KT178" s="978"/>
      <c r="KU178" s="978"/>
      <c r="KV178" s="978"/>
      <c r="KW178" s="978"/>
      <c r="KX178" s="978"/>
      <c r="KY178" s="978"/>
      <c r="KZ178" s="978"/>
      <c r="LA178" s="978"/>
      <c r="LB178" s="978"/>
      <c r="LC178" s="978"/>
      <c r="LD178" s="978"/>
      <c r="LE178" s="978"/>
      <c r="LF178" s="978"/>
      <c r="LG178" s="978"/>
      <c r="LH178" s="978"/>
      <c r="LI178" s="978"/>
      <c r="LJ178" s="978"/>
      <c r="LK178" s="978"/>
      <c r="LL178" s="978"/>
      <c r="LM178" s="978"/>
      <c r="LN178" s="978"/>
      <c r="LO178" s="978"/>
      <c r="LP178" s="978"/>
      <c r="LQ178" s="978"/>
      <c r="LR178" s="978"/>
      <c r="LS178" s="978"/>
      <c r="LT178" s="978"/>
      <c r="LU178" s="978"/>
      <c r="LV178" s="978"/>
      <c r="LW178" s="978"/>
      <c r="LX178" s="978"/>
      <c r="LY178" s="978"/>
      <c r="LZ178" s="978"/>
      <c r="MA178" s="978"/>
      <c r="MB178" s="978"/>
      <c r="MC178" s="978"/>
      <c r="MD178" s="978"/>
      <c r="ME178" s="978"/>
      <c r="MF178" s="978"/>
      <c r="MG178" s="978"/>
      <c r="MH178" s="978"/>
      <c r="MI178" s="978"/>
      <c r="MJ178" s="978"/>
      <c r="MK178" s="978"/>
      <c r="ML178" s="978"/>
      <c r="MM178" s="978"/>
      <c r="MN178" s="978"/>
      <c r="MO178" s="978"/>
      <c r="MP178" s="978"/>
      <c r="MQ178" s="978"/>
      <c r="MR178" s="978"/>
      <c r="MS178" s="978"/>
      <c r="MT178" s="978"/>
      <c r="MU178" s="978"/>
      <c r="MV178" s="978"/>
      <c r="MW178" s="978"/>
      <c r="MX178" s="978"/>
      <c r="MY178" s="978"/>
      <c r="MZ178" s="978"/>
      <c r="NA178" s="978"/>
      <c r="NB178" s="978"/>
      <c r="NC178" s="978"/>
      <c r="ND178" s="978"/>
      <c r="NE178" s="978"/>
      <c r="NF178" s="978"/>
      <c r="NG178" s="978"/>
      <c r="NH178" s="978"/>
      <c r="NI178" s="978"/>
      <c r="NJ178" s="978"/>
      <c r="NK178" s="978"/>
      <c r="NL178" s="978"/>
      <c r="NM178" s="978"/>
      <c r="NN178" s="978"/>
      <c r="NO178" s="978"/>
      <c r="NP178" s="978"/>
      <c r="NQ178" s="978"/>
      <c r="NR178" s="978"/>
      <c r="NS178" s="978"/>
      <c r="NT178" s="978"/>
      <c r="NU178" s="978"/>
      <c r="NV178" s="978"/>
      <c r="NW178" s="978"/>
      <c r="NX178" s="978"/>
      <c r="NY178" s="978"/>
      <c r="NZ178" s="978"/>
      <c r="OA178" s="978"/>
      <c r="OB178" s="978"/>
      <c r="OC178" s="978"/>
      <c r="OD178" s="978"/>
      <c r="OE178" s="978"/>
      <c r="OF178" s="978"/>
      <c r="OG178" s="978"/>
      <c r="OH178" s="978"/>
      <c r="OI178" s="978"/>
      <c r="OJ178" s="978"/>
      <c r="OK178" s="978"/>
      <c r="OL178" s="978"/>
      <c r="OM178" s="978"/>
      <c r="ON178" s="978"/>
      <c r="OO178" s="978"/>
      <c r="OP178" s="978"/>
      <c r="OQ178" s="978"/>
      <c r="OR178" s="978"/>
      <c r="OS178" s="978"/>
      <c r="OT178" s="978"/>
      <c r="OU178" s="978"/>
      <c r="OV178" s="978"/>
      <c r="OW178" s="978"/>
      <c r="OX178" s="978"/>
      <c r="OY178" s="978"/>
      <c r="OZ178" s="978"/>
      <c r="PA178" s="978"/>
      <c r="PB178" s="978"/>
      <c r="PC178" s="978"/>
      <c r="PD178" s="978"/>
      <c r="PE178" s="978"/>
      <c r="PF178" s="978"/>
      <c r="PG178" s="978"/>
      <c r="PH178" s="978"/>
      <c r="PI178" s="978"/>
      <c r="PJ178" s="978"/>
      <c r="PK178" s="978"/>
      <c r="PL178" s="978"/>
      <c r="PM178" s="978"/>
      <c r="PN178" s="978"/>
      <c r="PO178" s="978"/>
      <c r="PP178" s="978"/>
      <c r="PQ178" s="978"/>
      <c r="PR178" s="978"/>
      <c r="PS178" s="978"/>
      <c r="PT178" s="978"/>
      <c r="PU178" s="978"/>
      <c r="PV178" s="978"/>
      <c r="PW178" s="978"/>
      <c r="PX178" s="978"/>
      <c r="PY178" s="978"/>
      <c r="PZ178" s="978"/>
      <c r="QA178" s="978"/>
      <c r="QB178" s="978"/>
      <c r="QC178" s="978"/>
      <c r="QD178" s="978"/>
      <c r="QE178" s="978"/>
      <c r="QF178" s="978"/>
      <c r="QG178" s="978"/>
      <c r="QH178" s="978"/>
      <c r="QI178" s="978"/>
      <c r="QJ178" s="978"/>
      <c r="QK178" s="978"/>
      <c r="QL178" s="978"/>
      <c r="QM178" s="978"/>
      <c r="QN178" s="978"/>
      <c r="QO178" s="978"/>
      <c r="QP178" s="978"/>
      <c r="QQ178" s="978"/>
      <c r="QR178" s="978"/>
      <c r="QS178" s="978"/>
      <c r="QT178" s="978"/>
      <c r="QU178" s="978"/>
      <c r="QV178" s="978"/>
      <c r="QW178" s="978"/>
      <c r="QX178" s="978"/>
      <c r="QY178" s="978"/>
      <c r="QZ178" s="978"/>
      <c r="RA178" s="978"/>
      <c r="RB178" s="274"/>
      <c r="RC178" s="274"/>
    </row>
    <row r="179" spans="112:471" ht="17.25">
      <c r="DH179" s="274"/>
      <c r="DI179" s="274"/>
      <c r="DJ179" s="978"/>
      <c r="DK179" s="978"/>
      <c r="DL179" s="978"/>
      <c r="DM179" s="978"/>
      <c r="DN179" s="978"/>
      <c r="DO179" s="978"/>
      <c r="DP179" s="978"/>
      <c r="DQ179" s="978"/>
      <c r="DR179" s="978"/>
      <c r="DS179" s="978"/>
      <c r="DT179" s="978"/>
      <c r="DU179" s="978"/>
      <c r="DV179" s="978"/>
      <c r="DW179" s="978"/>
      <c r="DX179" s="978"/>
      <c r="DY179" s="978"/>
      <c r="DZ179" s="978"/>
      <c r="EA179" s="978"/>
      <c r="EB179" s="978"/>
      <c r="EC179" s="978"/>
      <c r="ED179" s="978"/>
      <c r="EE179" s="978"/>
      <c r="EF179" s="978"/>
      <c r="EG179" s="978"/>
      <c r="EH179" s="978"/>
      <c r="EI179" s="978"/>
      <c r="EJ179" s="978"/>
      <c r="EK179" s="978"/>
      <c r="EL179" s="978"/>
      <c r="EM179" s="978"/>
      <c r="EN179" s="978"/>
      <c r="EO179" s="978"/>
      <c r="EP179" s="978"/>
      <c r="EQ179" s="978"/>
      <c r="ER179" s="978"/>
      <c r="ES179" s="978"/>
      <c r="ET179" s="978"/>
      <c r="EU179" s="978"/>
      <c r="EV179" s="978"/>
      <c r="EW179" s="978"/>
      <c r="EX179" s="978"/>
      <c r="EY179" s="978"/>
      <c r="EZ179" s="978"/>
      <c r="FA179" s="978"/>
      <c r="FB179" s="978"/>
      <c r="FC179" s="978"/>
      <c r="FD179" s="978"/>
      <c r="FE179" s="978"/>
      <c r="FF179" s="978"/>
      <c r="FG179" s="978"/>
      <c r="FH179" s="978"/>
      <c r="FI179" s="978"/>
      <c r="FJ179" s="978"/>
      <c r="FK179" s="978"/>
      <c r="FL179" s="978"/>
      <c r="FM179" s="978"/>
      <c r="FN179" s="978"/>
      <c r="FO179" s="978"/>
      <c r="FP179" s="978"/>
      <c r="FQ179" s="978"/>
      <c r="FR179" s="978"/>
      <c r="FS179" s="978"/>
      <c r="FT179" s="978"/>
      <c r="FU179" s="978"/>
      <c r="FV179" s="978"/>
      <c r="FW179" s="978"/>
      <c r="FX179" s="978"/>
      <c r="FY179" s="978"/>
      <c r="FZ179" s="978"/>
      <c r="GA179" s="978"/>
      <c r="GB179" s="978"/>
      <c r="GC179" s="978"/>
      <c r="GD179" s="978"/>
      <c r="GE179" s="978"/>
      <c r="GF179" s="978"/>
      <c r="GG179" s="978"/>
      <c r="GH179" s="978"/>
      <c r="GI179" s="978"/>
      <c r="GJ179" s="978"/>
      <c r="GK179" s="978"/>
      <c r="GL179" s="978"/>
      <c r="GM179" s="978"/>
      <c r="GN179" s="978"/>
      <c r="GO179" s="978"/>
      <c r="GP179" s="978"/>
      <c r="GQ179" s="978"/>
      <c r="GR179" s="978"/>
      <c r="GS179" s="978"/>
      <c r="GT179" s="978"/>
      <c r="GU179" s="978"/>
      <c r="GV179" s="978"/>
      <c r="GW179" s="978"/>
      <c r="GX179" s="978"/>
      <c r="GY179" s="978"/>
      <c r="GZ179" s="978"/>
      <c r="HA179" s="978"/>
      <c r="HB179" s="978"/>
      <c r="HC179" s="978"/>
      <c r="HD179" s="978"/>
      <c r="HE179" s="978"/>
      <c r="HF179" s="978"/>
      <c r="HG179" s="978"/>
      <c r="HH179" s="978"/>
      <c r="HI179" s="978"/>
      <c r="HJ179" s="978"/>
      <c r="HK179" s="978"/>
      <c r="HL179" s="978"/>
      <c r="HM179" s="978"/>
      <c r="HN179" s="978"/>
      <c r="HO179" s="978"/>
      <c r="HP179" s="978"/>
      <c r="HQ179" s="978"/>
      <c r="HR179" s="978"/>
      <c r="HS179" s="978"/>
      <c r="HT179" s="978"/>
      <c r="HU179" s="978"/>
      <c r="HV179" s="978"/>
      <c r="HW179" s="978"/>
      <c r="HX179" s="978"/>
      <c r="HY179" s="978"/>
      <c r="HZ179" s="978"/>
      <c r="IA179" s="978"/>
      <c r="IB179" s="978"/>
      <c r="IC179" s="978"/>
      <c r="ID179" s="978"/>
      <c r="IE179" s="978"/>
      <c r="IF179" s="978"/>
      <c r="IG179" s="978"/>
      <c r="IH179" s="978"/>
      <c r="II179" s="978"/>
      <c r="IJ179" s="978"/>
      <c r="IK179" s="978"/>
      <c r="IL179" s="978"/>
      <c r="IM179" s="978"/>
      <c r="IN179" s="978"/>
      <c r="IO179" s="978"/>
      <c r="IP179" s="978"/>
      <c r="IQ179" s="978"/>
      <c r="IR179" s="978"/>
      <c r="IS179" s="978"/>
      <c r="IT179" s="978"/>
      <c r="IU179" s="978"/>
      <c r="IV179" s="978"/>
      <c r="IW179" s="978"/>
      <c r="IX179" s="978"/>
      <c r="IY179" s="978"/>
      <c r="IZ179" s="978"/>
      <c r="JA179" s="978"/>
      <c r="JB179" s="978"/>
      <c r="JC179" s="978"/>
      <c r="JD179" s="978"/>
      <c r="JE179" s="978"/>
      <c r="JF179" s="978"/>
      <c r="JG179" s="978"/>
      <c r="JH179" s="978"/>
      <c r="JI179" s="978"/>
      <c r="JJ179" s="978"/>
      <c r="JK179" s="978"/>
      <c r="JL179" s="978"/>
      <c r="JM179" s="978"/>
      <c r="JN179" s="978"/>
      <c r="JO179" s="978"/>
      <c r="JP179" s="978"/>
      <c r="JQ179" s="978"/>
      <c r="JR179" s="978"/>
      <c r="JS179" s="978"/>
      <c r="JT179" s="978"/>
      <c r="JU179" s="978"/>
      <c r="JV179" s="978"/>
      <c r="JW179" s="978"/>
      <c r="JX179" s="978"/>
      <c r="JY179" s="978"/>
      <c r="JZ179" s="978"/>
      <c r="KA179" s="978"/>
      <c r="KB179" s="978"/>
      <c r="KC179" s="978"/>
      <c r="KD179" s="978"/>
      <c r="KE179" s="978"/>
      <c r="KF179" s="978"/>
      <c r="KG179" s="978"/>
      <c r="KH179" s="978"/>
      <c r="KI179" s="978"/>
      <c r="KJ179" s="978"/>
      <c r="KK179" s="978"/>
      <c r="KL179" s="978"/>
      <c r="KM179" s="978"/>
      <c r="KN179" s="978"/>
      <c r="KO179" s="978"/>
      <c r="KP179" s="978"/>
      <c r="KQ179" s="978"/>
      <c r="KR179" s="978"/>
      <c r="KS179" s="978"/>
      <c r="KT179" s="978"/>
      <c r="KU179" s="978"/>
      <c r="KV179" s="978"/>
      <c r="KW179" s="978"/>
      <c r="KX179" s="978"/>
      <c r="KY179" s="978"/>
      <c r="KZ179" s="978"/>
      <c r="LA179" s="978"/>
      <c r="LB179" s="978"/>
      <c r="LC179" s="978"/>
      <c r="LD179" s="978"/>
      <c r="LE179" s="978"/>
      <c r="LF179" s="978"/>
      <c r="LG179" s="978"/>
      <c r="LH179" s="978"/>
      <c r="LI179" s="978"/>
      <c r="LJ179" s="978"/>
      <c r="LK179" s="978"/>
      <c r="LL179" s="978"/>
      <c r="LM179" s="978"/>
      <c r="LN179" s="978"/>
      <c r="LO179" s="978"/>
      <c r="LP179" s="978"/>
      <c r="LQ179" s="978"/>
      <c r="LR179" s="978"/>
      <c r="LS179" s="978"/>
      <c r="LT179" s="978"/>
      <c r="LU179" s="978"/>
      <c r="LV179" s="978"/>
      <c r="LW179" s="978"/>
      <c r="LX179" s="978"/>
      <c r="LY179" s="978"/>
      <c r="LZ179" s="978"/>
      <c r="MA179" s="978"/>
      <c r="MB179" s="978"/>
      <c r="MC179" s="978"/>
      <c r="MD179" s="978"/>
      <c r="ME179" s="978"/>
      <c r="MF179" s="978"/>
      <c r="MG179" s="978"/>
      <c r="MH179" s="978"/>
      <c r="MI179" s="978"/>
      <c r="MJ179" s="978"/>
      <c r="MK179" s="978"/>
      <c r="ML179" s="978"/>
      <c r="MM179" s="978"/>
      <c r="MN179" s="978"/>
      <c r="MO179" s="978"/>
      <c r="MP179" s="978"/>
      <c r="MQ179" s="978"/>
      <c r="MR179" s="978"/>
      <c r="MS179" s="978"/>
      <c r="MT179" s="978"/>
      <c r="MU179" s="978"/>
      <c r="MV179" s="978"/>
      <c r="MW179" s="978"/>
      <c r="MX179" s="978"/>
      <c r="MY179" s="978"/>
      <c r="MZ179" s="978"/>
      <c r="NA179" s="978"/>
      <c r="NB179" s="978"/>
      <c r="NC179" s="978"/>
      <c r="ND179" s="978"/>
      <c r="NE179" s="978"/>
      <c r="NF179" s="978"/>
      <c r="NG179" s="978"/>
      <c r="NH179" s="978"/>
      <c r="NI179" s="978"/>
      <c r="NJ179" s="978"/>
      <c r="NK179" s="978"/>
      <c r="NL179" s="978"/>
      <c r="NM179" s="978"/>
      <c r="NN179" s="978"/>
      <c r="NO179" s="978"/>
      <c r="NP179" s="978"/>
      <c r="NQ179" s="978"/>
      <c r="NR179" s="978"/>
      <c r="NS179" s="978"/>
      <c r="NT179" s="978"/>
      <c r="NU179" s="978"/>
      <c r="NV179" s="978"/>
      <c r="NW179" s="978"/>
      <c r="NX179" s="978"/>
      <c r="NY179" s="978"/>
      <c r="NZ179" s="978"/>
      <c r="OA179" s="978"/>
      <c r="OB179" s="978"/>
      <c r="OC179" s="978"/>
      <c r="OD179" s="978"/>
      <c r="OE179" s="978"/>
      <c r="OF179" s="978"/>
      <c r="OG179" s="978"/>
      <c r="OH179" s="978"/>
      <c r="OI179" s="978"/>
      <c r="OJ179" s="978"/>
      <c r="OK179" s="978"/>
      <c r="OL179" s="978"/>
      <c r="OM179" s="978"/>
      <c r="ON179" s="978"/>
      <c r="OO179" s="978"/>
      <c r="OP179" s="978"/>
      <c r="OQ179" s="978"/>
      <c r="OR179" s="978"/>
      <c r="OS179" s="978"/>
      <c r="OT179" s="978"/>
      <c r="OU179" s="978"/>
      <c r="OV179" s="978"/>
      <c r="OW179" s="978"/>
      <c r="OX179" s="978"/>
      <c r="OY179" s="978"/>
      <c r="OZ179" s="978"/>
      <c r="PA179" s="978"/>
      <c r="PB179" s="978"/>
      <c r="PC179" s="978"/>
      <c r="PD179" s="978"/>
      <c r="PE179" s="978"/>
      <c r="PF179" s="978"/>
      <c r="PG179" s="978"/>
      <c r="PH179" s="978"/>
      <c r="PI179" s="978"/>
      <c r="PJ179" s="978"/>
      <c r="PK179" s="978"/>
      <c r="PL179" s="978"/>
      <c r="PM179" s="978"/>
      <c r="PN179" s="978"/>
      <c r="PO179" s="978"/>
      <c r="PP179" s="978"/>
      <c r="PQ179" s="978"/>
      <c r="PR179" s="978"/>
      <c r="PS179" s="978"/>
      <c r="PT179" s="978"/>
      <c r="PU179" s="978"/>
      <c r="PV179" s="978"/>
      <c r="PW179" s="978"/>
      <c r="PX179" s="978"/>
      <c r="PY179" s="978"/>
      <c r="PZ179" s="978"/>
      <c r="QA179" s="978"/>
      <c r="QB179" s="978"/>
      <c r="QC179" s="978"/>
      <c r="QD179" s="978"/>
      <c r="QE179" s="978"/>
      <c r="QF179" s="978"/>
      <c r="QG179" s="978"/>
      <c r="QH179" s="978"/>
      <c r="QI179" s="978"/>
      <c r="QJ179" s="978"/>
      <c r="QK179" s="978"/>
      <c r="QL179" s="978"/>
      <c r="QM179" s="978"/>
      <c r="QN179" s="978"/>
      <c r="QO179" s="978"/>
      <c r="QP179" s="978"/>
      <c r="QQ179" s="978"/>
      <c r="QR179" s="978"/>
      <c r="QS179" s="978"/>
      <c r="QT179" s="978"/>
      <c r="QU179" s="978"/>
      <c r="QV179" s="978"/>
      <c r="QW179" s="978"/>
      <c r="QX179" s="978"/>
      <c r="QY179" s="978"/>
      <c r="QZ179" s="978"/>
      <c r="RA179" s="978"/>
      <c r="RB179" s="274"/>
      <c r="RC179" s="274"/>
    </row>
    <row r="180" spans="112:471" ht="17.25">
      <c r="DH180" s="274"/>
      <c r="DI180" s="274"/>
      <c r="DJ180" s="978"/>
      <c r="DK180" s="978"/>
      <c r="DL180" s="978"/>
      <c r="DM180" s="978"/>
      <c r="DN180" s="978"/>
      <c r="DO180" s="978"/>
      <c r="DP180" s="978"/>
      <c r="DQ180" s="978"/>
      <c r="DR180" s="978"/>
      <c r="DS180" s="978"/>
      <c r="DT180" s="978"/>
      <c r="DU180" s="978"/>
      <c r="DV180" s="978"/>
      <c r="DW180" s="978"/>
      <c r="DX180" s="978"/>
      <c r="DY180" s="978"/>
      <c r="DZ180" s="978"/>
      <c r="EA180" s="978"/>
      <c r="EB180" s="978"/>
      <c r="EC180" s="978"/>
      <c r="ED180" s="978"/>
      <c r="EE180" s="978"/>
      <c r="EF180" s="978"/>
      <c r="EG180" s="978"/>
      <c r="EH180" s="978"/>
      <c r="EI180" s="978"/>
      <c r="EJ180" s="978"/>
      <c r="EK180" s="978"/>
      <c r="EL180" s="978"/>
      <c r="EM180" s="978"/>
      <c r="EN180" s="978"/>
      <c r="EO180" s="978"/>
      <c r="EP180" s="978"/>
      <c r="EQ180" s="978"/>
      <c r="ER180" s="978"/>
      <c r="ES180" s="978"/>
      <c r="ET180" s="978"/>
      <c r="EU180" s="978"/>
      <c r="EV180" s="978"/>
      <c r="EW180" s="978"/>
      <c r="EX180" s="978"/>
      <c r="EY180" s="978"/>
      <c r="EZ180" s="978"/>
      <c r="FA180" s="978"/>
      <c r="FB180" s="978"/>
      <c r="FC180" s="978"/>
      <c r="FD180" s="978"/>
      <c r="FE180" s="978"/>
      <c r="FF180" s="978"/>
      <c r="FG180" s="978"/>
      <c r="FH180" s="978"/>
      <c r="FI180" s="978"/>
      <c r="FJ180" s="978"/>
      <c r="FK180" s="978"/>
      <c r="FL180" s="978"/>
      <c r="FM180" s="978"/>
      <c r="FN180" s="978"/>
      <c r="FO180" s="978"/>
      <c r="FP180" s="978"/>
      <c r="FQ180" s="978"/>
      <c r="FR180" s="978"/>
      <c r="FS180" s="978"/>
      <c r="FT180" s="978"/>
      <c r="FU180" s="978"/>
      <c r="FV180" s="978"/>
      <c r="FW180" s="978"/>
      <c r="FX180" s="978"/>
      <c r="FY180" s="978"/>
      <c r="FZ180" s="978"/>
      <c r="GA180" s="978"/>
      <c r="GB180" s="978"/>
      <c r="GC180" s="978"/>
      <c r="GD180" s="978"/>
      <c r="GE180" s="978"/>
      <c r="GF180" s="978"/>
      <c r="GG180" s="978"/>
      <c r="GH180" s="978"/>
      <c r="GI180" s="978"/>
      <c r="GJ180" s="978"/>
      <c r="GK180" s="978"/>
      <c r="GL180" s="978"/>
      <c r="GM180" s="978"/>
      <c r="GN180" s="978"/>
      <c r="GO180" s="978"/>
      <c r="GP180" s="978"/>
      <c r="GQ180" s="978"/>
      <c r="GR180" s="978"/>
      <c r="GS180" s="978"/>
      <c r="GT180" s="978"/>
      <c r="GU180" s="978"/>
      <c r="GV180" s="978"/>
      <c r="GW180" s="978"/>
      <c r="GX180" s="978"/>
      <c r="GY180" s="978"/>
      <c r="GZ180" s="978"/>
      <c r="HA180" s="978"/>
      <c r="HB180" s="978"/>
      <c r="HC180" s="978"/>
      <c r="HD180" s="978"/>
      <c r="HE180" s="978"/>
      <c r="HF180" s="978"/>
      <c r="HG180" s="978"/>
      <c r="HH180" s="978"/>
      <c r="HI180" s="978"/>
      <c r="HJ180" s="978"/>
      <c r="HK180" s="978"/>
      <c r="HL180" s="978"/>
      <c r="HM180" s="978"/>
      <c r="HN180" s="978"/>
      <c r="HO180" s="978"/>
      <c r="HP180" s="978"/>
      <c r="HQ180" s="978"/>
      <c r="HR180" s="978"/>
      <c r="HS180" s="978"/>
      <c r="HT180" s="978"/>
      <c r="HU180" s="978"/>
      <c r="HV180" s="978"/>
      <c r="HW180" s="978"/>
      <c r="HX180" s="978"/>
      <c r="HY180" s="978"/>
      <c r="HZ180" s="978"/>
      <c r="IA180" s="978"/>
      <c r="IB180" s="978"/>
      <c r="IC180" s="978"/>
      <c r="ID180" s="978"/>
      <c r="IE180" s="978"/>
      <c r="IF180" s="978"/>
      <c r="IG180" s="978"/>
      <c r="IH180" s="978"/>
      <c r="II180" s="978"/>
      <c r="IJ180" s="978"/>
      <c r="IK180" s="978"/>
      <c r="IL180" s="978"/>
      <c r="IM180" s="978"/>
      <c r="IN180" s="978"/>
      <c r="IO180" s="978"/>
      <c r="IP180" s="978"/>
      <c r="IQ180" s="978"/>
      <c r="IR180" s="978"/>
      <c r="IS180" s="978"/>
      <c r="IT180" s="978"/>
      <c r="IU180" s="978"/>
      <c r="IV180" s="978"/>
      <c r="IW180" s="978"/>
      <c r="IX180" s="978"/>
      <c r="IY180" s="978"/>
      <c r="IZ180" s="978"/>
      <c r="JA180" s="978"/>
      <c r="JB180" s="978"/>
      <c r="JC180" s="978"/>
      <c r="JD180" s="978"/>
      <c r="JE180" s="978"/>
      <c r="JF180" s="978"/>
      <c r="JG180" s="978"/>
      <c r="JH180" s="978"/>
      <c r="JI180" s="978"/>
      <c r="JJ180" s="978"/>
      <c r="JK180" s="978"/>
      <c r="JL180" s="978"/>
      <c r="JM180" s="978"/>
      <c r="JN180" s="978"/>
      <c r="JO180" s="978"/>
      <c r="JP180" s="978"/>
      <c r="JQ180" s="978"/>
      <c r="JR180" s="978"/>
      <c r="JS180" s="978"/>
      <c r="JT180" s="978"/>
      <c r="JU180" s="978"/>
      <c r="JV180" s="978"/>
      <c r="JW180" s="978"/>
      <c r="JX180" s="978"/>
      <c r="JY180" s="978"/>
      <c r="JZ180" s="978"/>
      <c r="KA180" s="978"/>
      <c r="KB180" s="978"/>
      <c r="KC180" s="978"/>
      <c r="KD180" s="978"/>
      <c r="KE180" s="978"/>
      <c r="KF180" s="978"/>
      <c r="KG180" s="978"/>
      <c r="KH180" s="978"/>
      <c r="KI180" s="978"/>
      <c r="KJ180" s="978"/>
      <c r="KK180" s="978"/>
      <c r="KL180" s="978"/>
      <c r="KM180" s="978"/>
      <c r="KN180" s="978"/>
      <c r="KO180" s="978"/>
      <c r="KP180" s="978"/>
      <c r="KQ180" s="978"/>
      <c r="KR180" s="978"/>
      <c r="KS180" s="978"/>
      <c r="KT180" s="978"/>
      <c r="KU180" s="978"/>
      <c r="KV180" s="978"/>
      <c r="KW180" s="978"/>
      <c r="KX180" s="978"/>
      <c r="KY180" s="978"/>
      <c r="KZ180" s="978"/>
      <c r="LA180" s="978"/>
      <c r="LB180" s="978"/>
      <c r="LC180" s="978"/>
      <c r="LD180" s="978"/>
      <c r="LE180" s="978"/>
      <c r="LF180" s="978"/>
      <c r="LG180" s="978"/>
      <c r="LH180" s="978"/>
      <c r="LI180" s="978"/>
      <c r="LJ180" s="978"/>
      <c r="LK180" s="978"/>
      <c r="LL180" s="978"/>
      <c r="LM180" s="978"/>
      <c r="LN180" s="978"/>
      <c r="LO180" s="978"/>
      <c r="LP180" s="978"/>
      <c r="LQ180" s="978"/>
      <c r="LR180" s="978"/>
      <c r="LS180" s="978"/>
      <c r="LT180" s="978"/>
      <c r="LU180" s="978"/>
      <c r="LV180" s="978"/>
      <c r="LW180" s="978"/>
      <c r="LX180" s="978"/>
      <c r="LY180" s="978"/>
      <c r="LZ180" s="978"/>
      <c r="MA180" s="978"/>
      <c r="MB180" s="978"/>
      <c r="MC180" s="978"/>
      <c r="MD180" s="978"/>
      <c r="ME180" s="978"/>
      <c r="MF180" s="978"/>
      <c r="MG180" s="978"/>
      <c r="MH180" s="978"/>
      <c r="MI180" s="978"/>
      <c r="MJ180" s="978"/>
      <c r="MK180" s="978"/>
      <c r="ML180" s="978"/>
      <c r="MM180" s="978"/>
      <c r="MN180" s="978"/>
      <c r="MO180" s="978"/>
      <c r="MP180" s="978"/>
      <c r="MQ180" s="978"/>
      <c r="MR180" s="978"/>
      <c r="MS180" s="978"/>
      <c r="MT180" s="978"/>
      <c r="MU180" s="978"/>
      <c r="MV180" s="978"/>
      <c r="MW180" s="978"/>
      <c r="MX180" s="978"/>
      <c r="MY180" s="978"/>
      <c r="MZ180" s="978"/>
      <c r="NA180" s="978"/>
      <c r="NB180" s="978"/>
      <c r="NC180" s="978"/>
      <c r="ND180" s="978"/>
      <c r="NE180" s="978"/>
      <c r="NF180" s="978"/>
      <c r="NG180" s="978"/>
      <c r="NH180" s="978"/>
      <c r="NI180" s="978"/>
      <c r="NJ180" s="978"/>
      <c r="NK180" s="978"/>
      <c r="NL180" s="978"/>
      <c r="NM180" s="978"/>
      <c r="NN180" s="978"/>
      <c r="NO180" s="978"/>
      <c r="NP180" s="978"/>
      <c r="NQ180" s="978"/>
      <c r="NR180" s="978"/>
      <c r="NS180" s="978"/>
      <c r="NT180" s="978"/>
      <c r="NU180" s="978"/>
      <c r="NV180" s="978"/>
      <c r="NW180" s="978"/>
      <c r="NX180" s="978"/>
      <c r="NY180" s="978"/>
      <c r="NZ180" s="978"/>
      <c r="OA180" s="978"/>
      <c r="OB180" s="978"/>
      <c r="OC180" s="978"/>
      <c r="OD180" s="978"/>
      <c r="OE180" s="978"/>
      <c r="OF180" s="978"/>
      <c r="OG180" s="978"/>
      <c r="OH180" s="978"/>
      <c r="OI180" s="978"/>
      <c r="OJ180" s="978"/>
      <c r="OK180" s="978"/>
      <c r="OL180" s="978"/>
      <c r="OM180" s="978"/>
      <c r="ON180" s="978"/>
      <c r="OO180" s="978"/>
      <c r="OP180" s="978"/>
      <c r="OQ180" s="978"/>
      <c r="OR180" s="978"/>
      <c r="OS180" s="978"/>
      <c r="OT180" s="978"/>
      <c r="OU180" s="978"/>
      <c r="OV180" s="978"/>
      <c r="OW180" s="978"/>
      <c r="OX180" s="978"/>
      <c r="OY180" s="978"/>
      <c r="OZ180" s="978"/>
      <c r="PA180" s="978"/>
      <c r="PB180" s="978"/>
      <c r="PC180" s="978"/>
      <c r="PD180" s="978"/>
      <c r="PE180" s="978"/>
      <c r="PF180" s="978"/>
      <c r="PG180" s="978"/>
      <c r="PH180" s="978"/>
      <c r="PI180" s="978"/>
      <c r="PJ180" s="978"/>
      <c r="PK180" s="978"/>
      <c r="PL180" s="978"/>
      <c r="PM180" s="978"/>
      <c r="PN180" s="978"/>
      <c r="PO180" s="978"/>
      <c r="PP180" s="978"/>
      <c r="PQ180" s="978"/>
      <c r="PR180" s="978"/>
      <c r="PS180" s="978"/>
      <c r="PT180" s="978"/>
      <c r="PU180" s="978"/>
      <c r="PV180" s="978"/>
      <c r="PW180" s="978"/>
      <c r="PX180" s="978"/>
      <c r="PY180" s="978"/>
      <c r="PZ180" s="978"/>
      <c r="QA180" s="978"/>
      <c r="QB180" s="978"/>
      <c r="QC180" s="978"/>
      <c r="QD180" s="978"/>
      <c r="QE180" s="978"/>
      <c r="QF180" s="978"/>
      <c r="QG180" s="978"/>
      <c r="QH180" s="978"/>
      <c r="QI180" s="978"/>
      <c r="QJ180" s="978"/>
      <c r="QK180" s="978"/>
      <c r="QL180" s="978"/>
      <c r="QM180" s="978"/>
      <c r="QN180" s="978"/>
      <c r="QO180" s="978"/>
      <c r="QP180" s="978"/>
      <c r="QQ180" s="978"/>
      <c r="QR180" s="978"/>
      <c r="QS180" s="978"/>
      <c r="QT180" s="978"/>
      <c r="QU180" s="978"/>
      <c r="QV180" s="978"/>
      <c r="QW180" s="978"/>
      <c r="QX180" s="978"/>
      <c r="QY180" s="978"/>
      <c r="QZ180" s="978"/>
      <c r="RA180" s="978"/>
      <c r="RB180" s="274"/>
      <c r="RC180" s="274"/>
    </row>
    <row r="181" spans="112:471" ht="17.25">
      <c r="DH181" s="274"/>
      <c r="DI181" s="274"/>
      <c r="DJ181" s="978"/>
      <c r="DK181" s="978"/>
      <c r="DL181" s="978"/>
      <c r="DM181" s="978"/>
      <c r="DN181" s="978"/>
      <c r="DO181" s="978"/>
      <c r="DP181" s="978"/>
      <c r="DQ181" s="978"/>
      <c r="DR181" s="978"/>
      <c r="DS181" s="978"/>
      <c r="DT181" s="978"/>
      <c r="DU181" s="978"/>
      <c r="DV181" s="978"/>
      <c r="DW181" s="978"/>
      <c r="DX181" s="978"/>
      <c r="DY181" s="978"/>
      <c r="DZ181" s="978"/>
      <c r="EA181" s="978"/>
      <c r="EB181" s="978"/>
      <c r="EC181" s="978"/>
      <c r="ED181" s="978"/>
      <c r="EE181" s="978"/>
      <c r="EF181" s="978"/>
      <c r="EG181" s="978"/>
      <c r="EH181" s="978"/>
      <c r="EI181" s="978"/>
      <c r="EJ181" s="978"/>
      <c r="EK181" s="978"/>
      <c r="EL181" s="978"/>
      <c r="EM181" s="978"/>
      <c r="EN181" s="978"/>
      <c r="EO181" s="978"/>
      <c r="EP181" s="978"/>
      <c r="EQ181" s="978"/>
      <c r="ER181" s="978"/>
      <c r="ES181" s="978"/>
      <c r="ET181" s="978"/>
      <c r="EU181" s="978"/>
      <c r="EV181" s="978"/>
      <c r="EW181" s="978"/>
      <c r="EX181" s="978"/>
      <c r="EY181" s="978"/>
      <c r="EZ181" s="978"/>
      <c r="FA181" s="978"/>
      <c r="FB181" s="978"/>
      <c r="FC181" s="978"/>
      <c r="FD181" s="978"/>
      <c r="FE181" s="978"/>
      <c r="FF181" s="978"/>
      <c r="FG181" s="978"/>
      <c r="FH181" s="978"/>
      <c r="FI181" s="978"/>
      <c r="FJ181" s="978"/>
      <c r="FK181" s="978"/>
      <c r="FL181" s="978"/>
      <c r="FM181" s="978"/>
      <c r="FN181" s="978"/>
      <c r="FO181" s="978"/>
      <c r="FP181" s="978"/>
      <c r="FQ181" s="978"/>
      <c r="FR181" s="978"/>
      <c r="FS181" s="978"/>
      <c r="FT181" s="978"/>
      <c r="FU181" s="978"/>
      <c r="FV181" s="978"/>
      <c r="FW181" s="978"/>
      <c r="FX181" s="978"/>
      <c r="FY181" s="978"/>
      <c r="FZ181" s="978"/>
      <c r="GA181" s="978"/>
      <c r="GB181" s="978"/>
      <c r="GC181" s="978"/>
      <c r="GD181" s="978"/>
      <c r="GE181" s="978"/>
      <c r="GF181" s="978"/>
      <c r="GG181" s="978"/>
      <c r="GH181" s="978"/>
      <c r="GI181" s="978"/>
      <c r="GJ181" s="978"/>
      <c r="GK181" s="978"/>
      <c r="GL181" s="978"/>
      <c r="GM181" s="978"/>
      <c r="GN181" s="978"/>
      <c r="GO181" s="978"/>
      <c r="GP181" s="978"/>
      <c r="GQ181" s="978"/>
      <c r="GR181" s="978"/>
      <c r="GS181" s="978"/>
      <c r="GT181" s="978"/>
      <c r="GU181" s="978"/>
      <c r="GV181" s="978"/>
      <c r="GW181" s="978"/>
      <c r="GX181" s="978"/>
      <c r="GY181" s="978"/>
      <c r="GZ181" s="978"/>
      <c r="HA181" s="978"/>
      <c r="HB181" s="978"/>
      <c r="HC181" s="978"/>
      <c r="HD181" s="978"/>
      <c r="HE181" s="978"/>
      <c r="HF181" s="978"/>
      <c r="HG181" s="978"/>
      <c r="HH181" s="978"/>
      <c r="HI181" s="978"/>
      <c r="HJ181" s="978"/>
      <c r="HK181" s="978"/>
      <c r="HL181" s="978"/>
      <c r="HM181" s="978"/>
      <c r="HN181" s="978"/>
      <c r="HO181" s="978"/>
      <c r="HP181" s="978"/>
      <c r="HQ181" s="978"/>
      <c r="HR181" s="978"/>
      <c r="HS181" s="978"/>
      <c r="HT181" s="978"/>
      <c r="HU181" s="978"/>
      <c r="HV181" s="978"/>
      <c r="HW181" s="978"/>
      <c r="HX181" s="978"/>
      <c r="HY181" s="978"/>
      <c r="HZ181" s="978"/>
      <c r="IA181" s="978"/>
      <c r="IB181" s="978"/>
      <c r="IC181" s="978"/>
      <c r="ID181" s="978"/>
      <c r="IE181" s="978"/>
      <c r="IF181" s="978"/>
      <c r="IG181" s="978"/>
      <c r="IH181" s="978"/>
      <c r="II181" s="978"/>
      <c r="IJ181" s="978"/>
      <c r="IK181" s="978"/>
      <c r="IL181" s="978"/>
      <c r="IM181" s="978"/>
      <c r="IN181" s="978"/>
      <c r="IO181" s="978"/>
      <c r="IP181" s="978"/>
      <c r="IQ181" s="978"/>
      <c r="IR181" s="978"/>
      <c r="IS181" s="978"/>
      <c r="IT181" s="978"/>
      <c r="IU181" s="978"/>
      <c r="IV181" s="978"/>
      <c r="IW181" s="978"/>
      <c r="IX181" s="978"/>
      <c r="IY181" s="978"/>
      <c r="IZ181" s="978"/>
      <c r="JA181" s="978"/>
      <c r="JB181" s="978"/>
      <c r="JC181" s="978"/>
      <c r="JD181" s="978"/>
      <c r="JE181" s="978"/>
      <c r="JF181" s="978"/>
      <c r="JG181" s="978"/>
      <c r="JH181" s="978"/>
      <c r="JI181" s="978"/>
      <c r="JJ181" s="978"/>
      <c r="JK181" s="978"/>
      <c r="JL181" s="978"/>
      <c r="JM181" s="978"/>
      <c r="JN181" s="978"/>
      <c r="JO181" s="978"/>
      <c r="JP181" s="978"/>
      <c r="JQ181" s="978"/>
      <c r="JR181" s="978"/>
      <c r="JS181" s="978"/>
      <c r="JT181" s="978"/>
      <c r="JU181" s="978"/>
      <c r="JV181" s="978"/>
      <c r="JW181" s="978"/>
      <c r="JX181" s="978"/>
      <c r="JY181" s="978"/>
      <c r="JZ181" s="978"/>
      <c r="KA181" s="978"/>
      <c r="KB181" s="978"/>
      <c r="KC181" s="978"/>
      <c r="KD181" s="978"/>
      <c r="KE181" s="978"/>
      <c r="KF181" s="978"/>
      <c r="KG181" s="978"/>
      <c r="KH181" s="978"/>
      <c r="KI181" s="978"/>
      <c r="KJ181" s="978"/>
      <c r="KK181" s="978"/>
      <c r="KL181" s="978"/>
      <c r="KM181" s="978"/>
      <c r="KN181" s="978"/>
      <c r="KO181" s="978"/>
      <c r="KP181" s="978"/>
      <c r="KQ181" s="978"/>
      <c r="KR181" s="978"/>
      <c r="KS181" s="978"/>
      <c r="KT181" s="978"/>
      <c r="KU181" s="978"/>
      <c r="KV181" s="978"/>
      <c r="KW181" s="978"/>
      <c r="KX181" s="978"/>
      <c r="KY181" s="978"/>
      <c r="KZ181" s="978"/>
      <c r="LA181" s="978"/>
      <c r="LB181" s="978"/>
      <c r="LC181" s="978"/>
      <c r="LD181" s="978"/>
      <c r="LE181" s="978"/>
      <c r="LF181" s="978"/>
      <c r="LG181" s="978"/>
      <c r="LH181" s="978"/>
      <c r="LI181" s="978"/>
      <c r="LJ181" s="978"/>
      <c r="LK181" s="978"/>
      <c r="LL181" s="978"/>
      <c r="LM181" s="978"/>
      <c r="LN181" s="978"/>
      <c r="LO181" s="978"/>
      <c r="LP181" s="978"/>
      <c r="LQ181" s="978"/>
      <c r="LR181" s="978"/>
      <c r="LS181" s="978"/>
      <c r="LT181" s="978"/>
      <c r="LU181" s="978"/>
      <c r="LV181" s="978"/>
      <c r="LW181" s="978"/>
      <c r="LX181" s="978"/>
      <c r="LY181" s="978"/>
      <c r="LZ181" s="978"/>
      <c r="MA181" s="978"/>
      <c r="MB181" s="978"/>
      <c r="MC181" s="978"/>
      <c r="MD181" s="978"/>
      <c r="ME181" s="978"/>
      <c r="MF181" s="978"/>
      <c r="MG181" s="978"/>
      <c r="MH181" s="978"/>
      <c r="MI181" s="978"/>
      <c r="MJ181" s="978"/>
      <c r="MK181" s="978"/>
      <c r="ML181" s="978"/>
      <c r="MM181" s="978"/>
      <c r="MN181" s="978"/>
      <c r="MO181" s="978"/>
      <c r="MP181" s="978"/>
      <c r="MQ181" s="978"/>
      <c r="MR181" s="978"/>
      <c r="MS181" s="978"/>
      <c r="MT181" s="978"/>
      <c r="MU181" s="978"/>
      <c r="MV181" s="978"/>
      <c r="MW181" s="978"/>
      <c r="MX181" s="978"/>
      <c r="MY181" s="978"/>
      <c r="MZ181" s="978"/>
      <c r="NA181" s="978"/>
      <c r="NB181" s="978"/>
      <c r="NC181" s="978"/>
      <c r="ND181" s="978"/>
      <c r="NE181" s="978"/>
      <c r="NF181" s="978"/>
      <c r="NG181" s="978"/>
      <c r="NH181" s="978"/>
      <c r="NI181" s="978"/>
      <c r="NJ181" s="978"/>
      <c r="NK181" s="978"/>
      <c r="NL181" s="978"/>
      <c r="NM181" s="978"/>
      <c r="NN181" s="978"/>
      <c r="NO181" s="978"/>
      <c r="NP181" s="978"/>
      <c r="NQ181" s="978"/>
      <c r="NR181" s="978"/>
      <c r="NS181" s="978"/>
      <c r="NT181" s="978"/>
      <c r="NU181" s="978"/>
      <c r="NV181" s="978"/>
      <c r="NW181" s="978"/>
      <c r="NX181" s="978"/>
      <c r="NY181" s="978"/>
      <c r="NZ181" s="978"/>
      <c r="OA181" s="978"/>
      <c r="OB181" s="978"/>
      <c r="OC181" s="978"/>
      <c r="OD181" s="978"/>
      <c r="OE181" s="978"/>
      <c r="OF181" s="978"/>
      <c r="OG181" s="978"/>
      <c r="OH181" s="978"/>
      <c r="OI181" s="978"/>
      <c r="OJ181" s="978"/>
      <c r="OK181" s="978"/>
      <c r="OL181" s="978"/>
      <c r="OM181" s="978"/>
      <c r="ON181" s="978"/>
      <c r="OO181" s="978"/>
      <c r="OP181" s="978"/>
      <c r="OQ181" s="978"/>
      <c r="OR181" s="978"/>
      <c r="OS181" s="978"/>
      <c r="OT181" s="978"/>
      <c r="OU181" s="978"/>
      <c r="OV181" s="978"/>
      <c r="OW181" s="978"/>
      <c r="OX181" s="978"/>
      <c r="OY181" s="978"/>
      <c r="OZ181" s="978"/>
      <c r="PA181" s="978"/>
      <c r="PB181" s="978"/>
      <c r="PC181" s="978"/>
      <c r="PD181" s="978"/>
      <c r="PE181" s="978"/>
      <c r="PF181" s="978"/>
      <c r="PG181" s="978"/>
      <c r="PH181" s="978"/>
      <c r="PI181" s="978"/>
      <c r="PJ181" s="978"/>
      <c r="PK181" s="978"/>
      <c r="PL181" s="978"/>
      <c r="PM181" s="978"/>
      <c r="PN181" s="978"/>
      <c r="PO181" s="978"/>
      <c r="PP181" s="978"/>
      <c r="PQ181" s="978"/>
      <c r="PR181" s="978"/>
      <c r="PS181" s="978"/>
      <c r="PT181" s="978"/>
      <c r="PU181" s="978"/>
      <c r="PV181" s="978"/>
      <c r="PW181" s="978"/>
      <c r="PX181" s="978"/>
      <c r="PY181" s="978"/>
      <c r="PZ181" s="978"/>
      <c r="QA181" s="978"/>
      <c r="QB181" s="978"/>
      <c r="QC181" s="978"/>
      <c r="QD181" s="978"/>
      <c r="QE181" s="978"/>
      <c r="QF181" s="978"/>
      <c r="QG181" s="978"/>
      <c r="QH181" s="978"/>
      <c r="QI181" s="978"/>
      <c r="QJ181" s="978"/>
      <c r="QK181" s="978"/>
      <c r="QL181" s="978"/>
      <c r="QM181" s="978"/>
      <c r="QN181" s="978"/>
      <c r="QO181" s="978"/>
      <c r="QP181" s="978"/>
      <c r="QQ181" s="978"/>
      <c r="QR181" s="978"/>
      <c r="QS181" s="978"/>
      <c r="QT181" s="978"/>
      <c r="QU181" s="978"/>
      <c r="QV181" s="978"/>
      <c r="QW181" s="978"/>
      <c r="QX181" s="978"/>
      <c r="QY181" s="978"/>
      <c r="QZ181" s="978"/>
      <c r="RA181" s="978"/>
      <c r="RB181" s="274"/>
      <c r="RC181" s="274"/>
    </row>
    <row r="182" spans="112:471" ht="17.25">
      <c r="DH182" s="274"/>
      <c r="DI182" s="274"/>
      <c r="DJ182" s="978"/>
      <c r="DK182" s="978"/>
      <c r="DL182" s="978"/>
      <c r="DM182" s="978"/>
      <c r="DN182" s="978"/>
      <c r="DO182" s="978"/>
      <c r="DP182" s="978"/>
      <c r="DQ182" s="978"/>
      <c r="DR182" s="978"/>
      <c r="DS182" s="978"/>
      <c r="DT182" s="978"/>
      <c r="DU182" s="978"/>
      <c r="DV182" s="978"/>
      <c r="DW182" s="978"/>
      <c r="DX182" s="978"/>
      <c r="DY182" s="978"/>
      <c r="DZ182" s="978"/>
      <c r="EA182" s="978"/>
      <c r="EB182" s="978"/>
      <c r="EC182" s="978"/>
      <c r="ED182" s="978"/>
      <c r="EE182" s="978"/>
      <c r="EF182" s="978"/>
      <c r="EG182" s="978"/>
      <c r="EH182" s="978"/>
      <c r="EI182" s="978"/>
      <c r="EJ182" s="978"/>
      <c r="EK182" s="978"/>
      <c r="EL182" s="978"/>
      <c r="EM182" s="978"/>
      <c r="EN182" s="978"/>
      <c r="EO182" s="978"/>
      <c r="EP182" s="978"/>
      <c r="EQ182" s="978"/>
      <c r="ER182" s="978"/>
      <c r="ES182" s="978"/>
      <c r="ET182" s="978"/>
      <c r="EU182" s="978"/>
      <c r="EV182" s="978"/>
      <c r="EW182" s="978"/>
      <c r="EX182" s="978"/>
      <c r="EY182" s="978"/>
      <c r="EZ182" s="978"/>
      <c r="FA182" s="978"/>
      <c r="FB182" s="978"/>
      <c r="FC182" s="978"/>
      <c r="FD182" s="978"/>
      <c r="FE182" s="978"/>
      <c r="FF182" s="978"/>
      <c r="FG182" s="978"/>
      <c r="FH182" s="978"/>
      <c r="FI182" s="978"/>
      <c r="FJ182" s="978"/>
      <c r="FK182" s="978"/>
      <c r="FL182" s="978"/>
      <c r="FM182" s="978"/>
      <c r="FN182" s="978"/>
      <c r="FO182" s="978"/>
      <c r="FP182" s="978"/>
      <c r="FQ182" s="978"/>
      <c r="FR182" s="978"/>
      <c r="FS182" s="978"/>
      <c r="FT182" s="978"/>
      <c r="FU182" s="978"/>
      <c r="FV182" s="978"/>
      <c r="FW182" s="978"/>
      <c r="FX182" s="978"/>
      <c r="FY182" s="978"/>
      <c r="FZ182" s="978"/>
      <c r="GA182" s="978"/>
      <c r="GB182" s="978"/>
      <c r="GC182" s="978"/>
      <c r="GD182" s="978"/>
      <c r="GE182" s="978"/>
      <c r="GF182" s="978"/>
      <c r="GG182" s="978"/>
      <c r="GH182" s="978"/>
      <c r="GI182" s="978"/>
      <c r="GJ182" s="978"/>
      <c r="GK182" s="978"/>
      <c r="GL182" s="978"/>
      <c r="GM182" s="978"/>
      <c r="GN182" s="978"/>
      <c r="GO182" s="978"/>
      <c r="GP182" s="978"/>
      <c r="GQ182" s="978"/>
      <c r="GR182" s="978"/>
      <c r="GS182" s="978"/>
      <c r="GT182" s="978"/>
      <c r="GU182" s="978"/>
      <c r="GV182" s="978"/>
      <c r="GW182" s="978"/>
      <c r="GX182" s="978"/>
      <c r="GY182" s="978"/>
      <c r="GZ182" s="978"/>
      <c r="HA182" s="978"/>
      <c r="HB182" s="978"/>
      <c r="HC182" s="978"/>
      <c r="HD182" s="978"/>
      <c r="HE182" s="978"/>
      <c r="HF182" s="978"/>
      <c r="HG182" s="978"/>
      <c r="HH182" s="978"/>
      <c r="HI182" s="978"/>
      <c r="HJ182" s="978"/>
      <c r="HK182" s="978"/>
      <c r="HL182" s="978"/>
      <c r="HM182" s="978"/>
      <c r="HN182" s="978"/>
      <c r="HO182" s="978"/>
      <c r="HP182" s="978"/>
      <c r="HQ182" s="978"/>
      <c r="HR182" s="978"/>
      <c r="HS182" s="978"/>
      <c r="HT182" s="978"/>
      <c r="HU182" s="978"/>
      <c r="HV182" s="978"/>
      <c r="HW182" s="978"/>
      <c r="HX182" s="978"/>
      <c r="HY182" s="978"/>
      <c r="HZ182" s="978"/>
      <c r="IA182" s="978"/>
      <c r="IB182" s="978"/>
      <c r="IC182" s="978"/>
      <c r="ID182" s="978"/>
      <c r="IE182" s="978"/>
      <c r="IF182" s="978"/>
      <c r="IG182" s="978"/>
      <c r="IH182" s="978"/>
      <c r="II182" s="978"/>
      <c r="IJ182" s="978"/>
      <c r="IK182" s="978"/>
      <c r="IL182" s="978"/>
      <c r="IM182" s="978"/>
      <c r="IN182" s="978"/>
      <c r="IO182" s="978"/>
      <c r="IP182" s="978"/>
      <c r="IQ182" s="978"/>
      <c r="IR182" s="978"/>
      <c r="IS182" s="978"/>
      <c r="IT182" s="978"/>
      <c r="IU182" s="978"/>
      <c r="IV182" s="978"/>
      <c r="IW182" s="978"/>
      <c r="IX182" s="978"/>
      <c r="IY182" s="978"/>
      <c r="IZ182" s="978"/>
      <c r="JA182" s="978"/>
      <c r="JB182" s="978"/>
      <c r="JC182" s="978"/>
      <c r="JD182" s="978"/>
      <c r="JE182" s="978"/>
      <c r="JF182" s="978"/>
      <c r="JG182" s="978"/>
      <c r="JH182" s="978"/>
      <c r="JI182" s="978"/>
      <c r="JJ182" s="978"/>
      <c r="JK182" s="978"/>
      <c r="JL182" s="978"/>
      <c r="JM182" s="978"/>
      <c r="JN182" s="978"/>
      <c r="JO182" s="978"/>
      <c r="JP182" s="978"/>
      <c r="JQ182" s="978"/>
      <c r="JR182" s="978"/>
      <c r="JS182" s="978"/>
      <c r="JT182" s="978"/>
      <c r="JU182" s="978"/>
      <c r="JV182" s="978"/>
      <c r="JW182" s="978"/>
      <c r="JX182" s="978"/>
      <c r="JY182" s="978"/>
      <c r="JZ182" s="978"/>
      <c r="KA182" s="978"/>
      <c r="KB182" s="978"/>
      <c r="KC182" s="978"/>
      <c r="KD182" s="978"/>
      <c r="KE182" s="978"/>
      <c r="KF182" s="978"/>
      <c r="KG182" s="978"/>
      <c r="KH182" s="978"/>
      <c r="KI182" s="978"/>
      <c r="KJ182" s="978"/>
      <c r="KK182" s="978"/>
      <c r="KL182" s="978"/>
      <c r="KM182" s="978"/>
      <c r="KN182" s="978"/>
      <c r="KO182" s="978"/>
      <c r="KP182" s="978"/>
      <c r="KQ182" s="978"/>
      <c r="KR182" s="978"/>
      <c r="KS182" s="978"/>
      <c r="KT182" s="978"/>
      <c r="KU182" s="978"/>
      <c r="KV182" s="978"/>
      <c r="KW182" s="978"/>
      <c r="KX182" s="978"/>
      <c r="KY182" s="978"/>
      <c r="KZ182" s="978"/>
      <c r="LA182" s="978"/>
      <c r="LB182" s="978"/>
      <c r="LC182" s="978"/>
      <c r="LD182" s="978"/>
      <c r="LE182" s="978"/>
      <c r="LF182" s="978"/>
      <c r="LG182" s="978"/>
      <c r="LH182" s="978"/>
      <c r="LI182" s="978"/>
      <c r="LJ182" s="978"/>
      <c r="LK182" s="978"/>
      <c r="LL182" s="978"/>
      <c r="LM182" s="978"/>
      <c r="LN182" s="978"/>
      <c r="LO182" s="978"/>
      <c r="LP182" s="978"/>
      <c r="LQ182" s="978"/>
      <c r="LR182" s="978"/>
      <c r="LS182" s="978"/>
      <c r="LT182" s="978"/>
      <c r="LU182" s="978"/>
      <c r="LV182" s="978"/>
      <c r="LW182" s="978"/>
      <c r="LX182" s="978"/>
      <c r="LY182" s="978"/>
      <c r="LZ182" s="978"/>
      <c r="MA182" s="978"/>
      <c r="MB182" s="978"/>
      <c r="MC182" s="978"/>
      <c r="MD182" s="978"/>
      <c r="ME182" s="978"/>
      <c r="MF182" s="978"/>
      <c r="MG182" s="978"/>
      <c r="MH182" s="978"/>
      <c r="MI182" s="978"/>
      <c r="MJ182" s="978"/>
      <c r="MK182" s="978"/>
      <c r="ML182" s="978"/>
      <c r="MM182" s="978"/>
      <c r="MN182" s="978"/>
      <c r="MO182" s="978"/>
      <c r="MP182" s="978"/>
      <c r="MQ182" s="978"/>
      <c r="MR182" s="978"/>
      <c r="MS182" s="978"/>
      <c r="MT182" s="978"/>
      <c r="MU182" s="978"/>
      <c r="MV182" s="978"/>
      <c r="MW182" s="978"/>
      <c r="MX182" s="978"/>
      <c r="MY182" s="978"/>
      <c r="MZ182" s="978"/>
      <c r="NA182" s="978"/>
      <c r="NB182" s="978"/>
      <c r="NC182" s="978"/>
      <c r="ND182" s="978"/>
      <c r="NE182" s="978"/>
      <c r="NF182" s="978"/>
      <c r="NG182" s="978"/>
      <c r="NH182" s="978"/>
      <c r="NI182" s="978"/>
      <c r="NJ182" s="978"/>
      <c r="NK182" s="978"/>
      <c r="NL182" s="978"/>
      <c r="NM182" s="978"/>
      <c r="NN182" s="978"/>
      <c r="NO182" s="978"/>
      <c r="NP182" s="978"/>
      <c r="NQ182" s="978"/>
      <c r="NR182" s="978"/>
      <c r="NS182" s="978"/>
      <c r="NT182" s="978"/>
      <c r="NU182" s="978"/>
      <c r="NV182" s="978"/>
      <c r="NW182" s="978"/>
      <c r="NX182" s="978"/>
      <c r="NY182" s="978"/>
      <c r="NZ182" s="978"/>
      <c r="OA182" s="978"/>
      <c r="OB182" s="978"/>
      <c r="OC182" s="978"/>
      <c r="OD182" s="978"/>
      <c r="OE182" s="978"/>
      <c r="OF182" s="978"/>
      <c r="OG182" s="978"/>
      <c r="OH182" s="978"/>
      <c r="OI182" s="978"/>
      <c r="OJ182" s="978"/>
      <c r="OK182" s="978"/>
      <c r="OL182" s="978"/>
      <c r="OM182" s="978"/>
      <c r="ON182" s="978"/>
      <c r="OO182" s="978"/>
      <c r="OP182" s="978"/>
      <c r="OQ182" s="978"/>
      <c r="OR182" s="978"/>
      <c r="OS182" s="978"/>
      <c r="OT182" s="978"/>
      <c r="OU182" s="978"/>
      <c r="OV182" s="978"/>
      <c r="OW182" s="978"/>
      <c r="OX182" s="978"/>
      <c r="OY182" s="978"/>
      <c r="OZ182" s="978"/>
      <c r="PA182" s="978"/>
      <c r="PB182" s="978"/>
      <c r="PC182" s="978"/>
      <c r="PD182" s="978"/>
      <c r="PE182" s="978"/>
      <c r="PF182" s="978"/>
      <c r="PG182" s="978"/>
      <c r="PH182" s="978"/>
      <c r="PI182" s="978"/>
      <c r="PJ182" s="978"/>
      <c r="PK182" s="978"/>
      <c r="PL182" s="978"/>
      <c r="PM182" s="978"/>
      <c r="PN182" s="978"/>
      <c r="PO182" s="978"/>
      <c r="PP182" s="978"/>
      <c r="PQ182" s="978"/>
      <c r="PR182" s="978"/>
      <c r="PS182" s="978"/>
      <c r="PT182" s="978"/>
      <c r="PU182" s="978"/>
      <c r="PV182" s="978"/>
      <c r="PW182" s="978"/>
      <c r="PX182" s="978"/>
      <c r="PY182" s="978"/>
      <c r="PZ182" s="978"/>
      <c r="QA182" s="978"/>
      <c r="QB182" s="978"/>
      <c r="QC182" s="978"/>
      <c r="QD182" s="978"/>
      <c r="QE182" s="978"/>
      <c r="QF182" s="978"/>
      <c r="QG182" s="978"/>
      <c r="QH182" s="978"/>
      <c r="QI182" s="978"/>
      <c r="QJ182" s="978"/>
      <c r="QK182" s="978"/>
      <c r="QL182" s="978"/>
      <c r="QM182" s="978"/>
      <c r="QN182" s="978"/>
      <c r="QO182" s="978"/>
      <c r="QP182" s="978"/>
      <c r="QQ182" s="978"/>
      <c r="QR182" s="978"/>
      <c r="QS182" s="978"/>
      <c r="QT182" s="978"/>
      <c r="QU182" s="978"/>
      <c r="QV182" s="978"/>
      <c r="QW182" s="978"/>
      <c r="QX182" s="978"/>
      <c r="QY182" s="978"/>
      <c r="QZ182" s="978"/>
      <c r="RA182" s="978"/>
      <c r="RB182" s="274"/>
      <c r="RC182" s="274"/>
    </row>
    <row r="183" spans="112:471" ht="17.25">
      <c r="DH183" s="274"/>
      <c r="DI183" s="274"/>
      <c r="DJ183" s="978"/>
      <c r="DK183" s="978"/>
      <c r="DL183" s="978"/>
      <c r="DM183" s="978"/>
      <c r="DN183" s="978"/>
      <c r="DO183" s="978"/>
      <c r="DP183" s="978"/>
      <c r="DQ183" s="978"/>
      <c r="DR183" s="978"/>
      <c r="DS183" s="978"/>
      <c r="DT183" s="978"/>
      <c r="DU183" s="978"/>
      <c r="DV183" s="978"/>
      <c r="DW183" s="978"/>
      <c r="DX183" s="978"/>
      <c r="DY183" s="978"/>
      <c r="DZ183" s="978"/>
      <c r="EA183" s="978"/>
      <c r="EB183" s="978"/>
      <c r="EC183" s="978"/>
      <c r="ED183" s="978"/>
      <c r="EE183" s="978"/>
      <c r="EF183" s="978"/>
      <c r="EG183" s="978"/>
      <c r="EH183" s="978"/>
      <c r="EI183" s="978"/>
      <c r="EJ183" s="978"/>
      <c r="EK183" s="978"/>
      <c r="EL183" s="978"/>
      <c r="EM183" s="978"/>
      <c r="EN183" s="978"/>
      <c r="EO183" s="978"/>
      <c r="EP183" s="978"/>
      <c r="EQ183" s="978"/>
      <c r="ER183" s="978"/>
      <c r="ES183" s="978"/>
      <c r="ET183" s="978"/>
      <c r="EU183" s="978"/>
      <c r="EV183" s="978"/>
      <c r="EW183" s="978"/>
      <c r="EX183" s="978"/>
      <c r="EY183" s="978"/>
      <c r="EZ183" s="978"/>
      <c r="FA183" s="978"/>
      <c r="FB183" s="978"/>
      <c r="FC183" s="978"/>
      <c r="FD183" s="978"/>
      <c r="FE183" s="978"/>
      <c r="FF183" s="978"/>
      <c r="FG183" s="978"/>
      <c r="FH183" s="978"/>
      <c r="FI183" s="978"/>
      <c r="FJ183" s="978"/>
      <c r="FK183" s="978"/>
      <c r="FL183" s="978"/>
      <c r="FM183" s="978"/>
      <c r="FN183" s="978"/>
      <c r="FO183" s="978"/>
      <c r="FP183" s="978"/>
      <c r="FQ183" s="978"/>
      <c r="FR183" s="978"/>
      <c r="FS183" s="978"/>
      <c r="FT183" s="978"/>
      <c r="FU183" s="978"/>
      <c r="FV183" s="978"/>
      <c r="FW183" s="978"/>
      <c r="FX183" s="978"/>
      <c r="FY183" s="978"/>
      <c r="FZ183" s="978"/>
      <c r="GA183" s="978"/>
      <c r="GB183" s="978"/>
      <c r="GC183" s="978"/>
      <c r="GD183" s="978"/>
      <c r="GE183" s="978"/>
      <c r="GF183" s="978"/>
      <c r="GG183" s="978"/>
      <c r="GH183" s="978"/>
      <c r="GI183" s="978"/>
      <c r="GJ183" s="978"/>
      <c r="GK183" s="978"/>
      <c r="GL183" s="978"/>
      <c r="GM183" s="978"/>
      <c r="GN183" s="978"/>
      <c r="GO183" s="978"/>
      <c r="GP183" s="978"/>
      <c r="GQ183" s="978"/>
      <c r="GR183" s="978"/>
      <c r="GS183" s="978"/>
      <c r="GT183" s="978"/>
      <c r="GU183" s="978"/>
      <c r="GV183" s="978"/>
      <c r="GW183" s="978"/>
      <c r="GX183" s="978"/>
      <c r="GY183" s="978"/>
      <c r="GZ183" s="978"/>
      <c r="HA183" s="978"/>
      <c r="HB183" s="978"/>
      <c r="HC183" s="978"/>
      <c r="HD183" s="978"/>
      <c r="HE183" s="978"/>
      <c r="HF183" s="978"/>
      <c r="HG183" s="978"/>
      <c r="HH183" s="978"/>
      <c r="HI183" s="978"/>
      <c r="HJ183" s="978"/>
      <c r="HK183" s="978"/>
      <c r="HL183" s="978"/>
      <c r="HM183" s="978"/>
      <c r="HN183" s="978"/>
      <c r="HO183" s="978"/>
      <c r="HP183" s="978"/>
      <c r="HQ183" s="978"/>
      <c r="HR183" s="978"/>
      <c r="HS183" s="978"/>
      <c r="HT183" s="978"/>
      <c r="HU183" s="978"/>
      <c r="HV183" s="978"/>
      <c r="HW183" s="978"/>
      <c r="HX183" s="978"/>
      <c r="HY183" s="978"/>
      <c r="HZ183" s="978"/>
      <c r="IA183" s="978"/>
      <c r="IB183" s="978"/>
      <c r="IC183" s="978"/>
      <c r="ID183" s="978"/>
      <c r="IE183" s="978"/>
      <c r="IF183" s="978"/>
      <c r="IG183" s="978"/>
      <c r="IH183" s="978"/>
      <c r="II183" s="978"/>
      <c r="IJ183" s="978"/>
      <c r="IK183" s="978"/>
      <c r="IL183" s="978"/>
      <c r="IM183" s="978"/>
      <c r="IN183" s="978"/>
      <c r="IO183" s="978"/>
      <c r="IP183" s="978"/>
      <c r="IQ183" s="978"/>
      <c r="IR183" s="978"/>
      <c r="IS183" s="978"/>
      <c r="IT183" s="978"/>
      <c r="IU183" s="978"/>
      <c r="IV183" s="978"/>
      <c r="IW183" s="978"/>
      <c r="IX183" s="978"/>
      <c r="IY183" s="978"/>
      <c r="IZ183" s="978"/>
      <c r="JA183" s="978"/>
      <c r="JB183" s="978"/>
      <c r="JC183" s="978"/>
      <c r="JD183" s="978"/>
      <c r="JE183" s="978"/>
      <c r="JF183" s="978"/>
      <c r="JG183" s="978"/>
      <c r="JH183" s="978"/>
      <c r="JI183" s="978"/>
      <c r="JJ183" s="978"/>
      <c r="JK183" s="978"/>
      <c r="JL183" s="978"/>
      <c r="JM183" s="978"/>
      <c r="JN183" s="978"/>
      <c r="JO183" s="978"/>
      <c r="JP183" s="978"/>
      <c r="JQ183" s="978"/>
      <c r="JR183" s="978"/>
      <c r="JS183" s="978"/>
      <c r="JT183" s="978"/>
      <c r="JU183" s="978"/>
      <c r="JV183" s="978"/>
      <c r="JW183" s="978"/>
      <c r="JX183" s="978"/>
      <c r="JY183" s="978"/>
      <c r="JZ183" s="978"/>
      <c r="KA183" s="978"/>
      <c r="KB183" s="978"/>
      <c r="KC183" s="978"/>
      <c r="KD183" s="978"/>
      <c r="KE183" s="978"/>
      <c r="KF183" s="978"/>
      <c r="KG183" s="978"/>
      <c r="KH183" s="978"/>
      <c r="KI183" s="978"/>
      <c r="KJ183" s="978"/>
      <c r="KK183" s="978"/>
      <c r="KL183" s="978"/>
      <c r="KM183" s="978"/>
      <c r="KN183" s="978"/>
      <c r="KO183" s="978"/>
      <c r="KP183" s="978"/>
      <c r="KQ183" s="978"/>
      <c r="KR183" s="978"/>
      <c r="KS183" s="978"/>
      <c r="KT183" s="978"/>
      <c r="KU183" s="978"/>
      <c r="KV183" s="978"/>
      <c r="KW183" s="978"/>
      <c r="KX183" s="978"/>
      <c r="KY183" s="978"/>
      <c r="KZ183" s="978"/>
      <c r="LA183" s="978"/>
      <c r="LB183" s="978"/>
      <c r="LC183" s="978"/>
      <c r="LD183" s="978"/>
      <c r="LE183" s="978"/>
      <c r="LF183" s="978"/>
      <c r="LG183" s="978"/>
      <c r="LH183" s="978"/>
      <c r="LI183" s="978"/>
      <c r="LJ183" s="978"/>
      <c r="LK183" s="978"/>
      <c r="LL183" s="978"/>
      <c r="LM183" s="978"/>
      <c r="LN183" s="978"/>
      <c r="LO183" s="978"/>
      <c r="LP183" s="978"/>
      <c r="LQ183" s="978"/>
      <c r="LR183" s="978"/>
      <c r="LS183" s="978"/>
      <c r="LT183" s="978"/>
      <c r="LU183" s="978"/>
      <c r="LV183" s="978"/>
      <c r="LW183" s="978"/>
      <c r="LX183" s="978"/>
      <c r="LY183" s="978"/>
      <c r="LZ183" s="978"/>
      <c r="MA183" s="978"/>
      <c r="MB183" s="978"/>
      <c r="MC183" s="978"/>
      <c r="MD183" s="978"/>
      <c r="ME183" s="978"/>
      <c r="MF183" s="978"/>
      <c r="MG183" s="978"/>
      <c r="MH183" s="978"/>
      <c r="MI183" s="978"/>
      <c r="MJ183" s="978"/>
      <c r="MK183" s="978"/>
      <c r="ML183" s="978"/>
      <c r="MM183" s="978"/>
      <c r="MN183" s="978"/>
      <c r="MO183" s="978"/>
      <c r="MP183" s="978"/>
      <c r="MQ183" s="978"/>
      <c r="MR183" s="978"/>
      <c r="MS183" s="978"/>
      <c r="MT183" s="978"/>
      <c r="MU183" s="978"/>
      <c r="MV183" s="978"/>
      <c r="MW183" s="978"/>
      <c r="MX183" s="978"/>
      <c r="MY183" s="978"/>
      <c r="MZ183" s="978"/>
      <c r="NA183" s="978"/>
      <c r="NB183" s="978"/>
      <c r="NC183" s="978"/>
      <c r="ND183" s="978"/>
      <c r="NE183" s="978"/>
      <c r="NF183" s="978"/>
      <c r="NG183" s="978"/>
      <c r="NH183" s="978"/>
      <c r="NI183" s="978"/>
      <c r="NJ183" s="978"/>
      <c r="NK183" s="978"/>
      <c r="NL183" s="978"/>
      <c r="NM183" s="978"/>
      <c r="NN183" s="978"/>
      <c r="NO183" s="978"/>
      <c r="NP183" s="978"/>
      <c r="NQ183" s="978"/>
      <c r="NR183" s="978"/>
      <c r="NS183" s="978"/>
      <c r="NT183" s="978"/>
      <c r="NU183" s="978"/>
      <c r="NV183" s="978"/>
      <c r="NW183" s="978"/>
      <c r="NX183" s="978"/>
      <c r="NY183" s="978"/>
      <c r="NZ183" s="978"/>
      <c r="OA183" s="978"/>
      <c r="OB183" s="978"/>
      <c r="OC183" s="978"/>
      <c r="OD183" s="978"/>
      <c r="OE183" s="978"/>
      <c r="OF183" s="978"/>
      <c r="OG183" s="978"/>
      <c r="OH183" s="978"/>
      <c r="OI183" s="978"/>
      <c r="OJ183" s="978"/>
      <c r="OK183" s="978"/>
      <c r="OL183" s="978"/>
      <c r="OM183" s="978"/>
      <c r="ON183" s="978"/>
      <c r="OO183" s="978"/>
      <c r="OP183" s="978"/>
      <c r="OQ183" s="978"/>
      <c r="OR183" s="978"/>
      <c r="OS183" s="978"/>
      <c r="OT183" s="978"/>
      <c r="OU183" s="978"/>
      <c r="OV183" s="978"/>
      <c r="OW183" s="978"/>
      <c r="OX183" s="978"/>
      <c r="OY183" s="978"/>
      <c r="OZ183" s="978"/>
      <c r="PA183" s="978"/>
      <c r="PB183" s="978"/>
      <c r="PC183" s="978"/>
      <c r="PD183" s="978"/>
      <c r="PE183" s="978"/>
      <c r="PF183" s="978"/>
      <c r="PG183" s="978"/>
      <c r="PH183" s="978"/>
      <c r="PI183" s="978"/>
      <c r="PJ183" s="978"/>
      <c r="PK183" s="978"/>
      <c r="PL183" s="978"/>
      <c r="PM183" s="978"/>
      <c r="PN183" s="978"/>
      <c r="PO183" s="978"/>
      <c r="PP183" s="978"/>
      <c r="PQ183" s="978"/>
      <c r="PR183" s="978"/>
      <c r="PS183" s="978"/>
      <c r="PT183" s="978"/>
      <c r="PU183" s="978"/>
      <c r="PV183" s="978"/>
      <c r="PW183" s="978"/>
      <c r="PX183" s="978"/>
      <c r="PY183" s="978"/>
      <c r="PZ183" s="978"/>
      <c r="QA183" s="978"/>
      <c r="QB183" s="978"/>
      <c r="QC183" s="978"/>
      <c r="QD183" s="978"/>
      <c r="QE183" s="978"/>
      <c r="QF183" s="978"/>
      <c r="QG183" s="978"/>
      <c r="QH183" s="978"/>
      <c r="QI183" s="978"/>
      <c r="QJ183" s="978"/>
      <c r="QK183" s="978"/>
      <c r="QL183" s="978"/>
      <c r="QM183" s="978"/>
      <c r="QN183" s="978"/>
      <c r="QO183" s="978"/>
      <c r="QP183" s="978"/>
      <c r="QQ183" s="978"/>
      <c r="QR183" s="978"/>
      <c r="QS183" s="978"/>
      <c r="QT183" s="978"/>
      <c r="QU183" s="978"/>
      <c r="QV183" s="978"/>
      <c r="QW183" s="978"/>
      <c r="QX183" s="978"/>
      <c r="QY183" s="978"/>
      <c r="QZ183" s="978"/>
      <c r="RA183" s="978"/>
      <c r="RB183" s="274"/>
      <c r="RC183" s="274"/>
    </row>
    <row r="184" spans="112:471" ht="17.25">
      <c r="DH184" s="274"/>
      <c r="DI184" s="274"/>
      <c r="DJ184" s="978"/>
      <c r="DK184" s="978"/>
      <c r="DL184" s="978"/>
      <c r="DM184" s="978"/>
      <c r="DN184" s="978"/>
      <c r="DO184" s="978"/>
      <c r="DP184" s="978"/>
      <c r="DQ184" s="978"/>
      <c r="DR184" s="978"/>
      <c r="DS184" s="978"/>
      <c r="DT184" s="978"/>
      <c r="DU184" s="978"/>
      <c r="DV184" s="978"/>
      <c r="DW184" s="978"/>
      <c r="DX184" s="978"/>
      <c r="DY184" s="978"/>
      <c r="DZ184" s="978"/>
      <c r="EA184" s="978"/>
      <c r="EB184" s="978"/>
      <c r="EC184" s="978"/>
      <c r="ED184" s="978"/>
      <c r="EE184" s="978"/>
      <c r="EF184" s="978"/>
      <c r="EG184" s="978"/>
      <c r="EH184" s="978"/>
      <c r="EI184" s="978"/>
      <c r="EJ184" s="978"/>
      <c r="EK184" s="978"/>
      <c r="EL184" s="978"/>
      <c r="EM184" s="978"/>
      <c r="EN184" s="978"/>
      <c r="EO184" s="978"/>
      <c r="EP184" s="978"/>
      <c r="EQ184" s="978"/>
      <c r="ER184" s="978"/>
      <c r="ES184" s="978"/>
      <c r="ET184" s="978"/>
      <c r="EU184" s="978"/>
      <c r="EV184" s="978"/>
      <c r="EW184" s="978"/>
      <c r="EX184" s="978"/>
      <c r="EY184" s="978"/>
      <c r="EZ184" s="978"/>
      <c r="FA184" s="978"/>
      <c r="FB184" s="978"/>
      <c r="FC184" s="978"/>
      <c r="FD184" s="978"/>
      <c r="FE184" s="978"/>
      <c r="FF184" s="978"/>
      <c r="FG184" s="978"/>
      <c r="FH184" s="978"/>
      <c r="FI184" s="978"/>
      <c r="FJ184" s="978"/>
      <c r="FK184" s="978"/>
      <c r="FL184" s="978"/>
      <c r="FM184" s="978"/>
      <c r="FN184" s="978"/>
      <c r="FO184" s="978"/>
      <c r="FP184" s="978"/>
      <c r="FQ184" s="978"/>
      <c r="FR184" s="978"/>
      <c r="FS184" s="978"/>
      <c r="FT184" s="978"/>
      <c r="FU184" s="978"/>
      <c r="FV184" s="978"/>
      <c r="FW184" s="978"/>
      <c r="FX184" s="978"/>
      <c r="FY184" s="978"/>
      <c r="FZ184" s="978"/>
      <c r="GA184" s="978"/>
      <c r="GB184" s="978"/>
      <c r="GC184" s="978"/>
      <c r="GD184" s="978"/>
      <c r="GE184" s="978"/>
      <c r="GF184" s="978"/>
      <c r="GG184" s="978"/>
      <c r="GH184" s="978"/>
      <c r="GI184" s="978"/>
      <c r="GJ184" s="978"/>
      <c r="GK184" s="978"/>
      <c r="GL184" s="978"/>
      <c r="GM184" s="978"/>
      <c r="GN184" s="978"/>
      <c r="GO184" s="978"/>
      <c r="GP184" s="978"/>
      <c r="GQ184" s="978"/>
      <c r="GR184" s="978"/>
      <c r="GS184" s="978"/>
      <c r="GT184" s="978"/>
      <c r="GU184" s="978"/>
      <c r="GV184" s="978"/>
      <c r="GW184" s="978"/>
      <c r="GX184" s="978"/>
      <c r="GY184" s="978"/>
      <c r="GZ184" s="978"/>
      <c r="HA184" s="978"/>
      <c r="HB184" s="978"/>
      <c r="HC184" s="978"/>
      <c r="HD184" s="978"/>
      <c r="HE184" s="978"/>
      <c r="HF184" s="978"/>
      <c r="HG184" s="978"/>
      <c r="HH184" s="978"/>
      <c r="HI184" s="978"/>
      <c r="HJ184" s="978"/>
      <c r="HK184" s="978"/>
      <c r="HL184" s="978"/>
      <c r="HM184" s="978"/>
      <c r="HN184" s="978"/>
      <c r="HO184" s="978"/>
      <c r="HP184" s="978"/>
      <c r="HQ184" s="978"/>
      <c r="HR184" s="978"/>
      <c r="HS184" s="978"/>
      <c r="HT184" s="978"/>
      <c r="HU184" s="978"/>
      <c r="HV184" s="978"/>
      <c r="HW184" s="978"/>
      <c r="HX184" s="978"/>
      <c r="HY184" s="978"/>
      <c r="HZ184" s="978"/>
      <c r="IA184" s="978"/>
      <c r="IB184" s="978"/>
      <c r="IC184" s="978"/>
      <c r="ID184" s="978"/>
      <c r="IE184" s="978"/>
      <c r="IF184" s="978"/>
      <c r="IG184" s="978"/>
      <c r="IH184" s="978"/>
      <c r="II184" s="978"/>
      <c r="IJ184" s="978"/>
      <c r="IK184" s="978"/>
      <c r="IL184" s="978"/>
      <c r="IM184" s="978"/>
      <c r="IN184" s="978"/>
      <c r="IO184" s="978"/>
      <c r="IP184" s="978"/>
      <c r="IQ184" s="978"/>
      <c r="IR184" s="978"/>
      <c r="IS184" s="978"/>
      <c r="IT184" s="978"/>
      <c r="IU184" s="978"/>
      <c r="IV184" s="978"/>
      <c r="IW184" s="978"/>
      <c r="IX184" s="978"/>
      <c r="IY184" s="978"/>
      <c r="IZ184" s="978"/>
      <c r="JA184" s="978"/>
      <c r="JB184" s="978"/>
      <c r="JC184" s="978"/>
      <c r="JD184" s="978"/>
      <c r="JE184" s="978"/>
      <c r="JF184" s="978"/>
      <c r="JG184" s="978"/>
      <c r="JH184" s="978"/>
      <c r="JI184" s="978"/>
      <c r="JJ184" s="978"/>
      <c r="JK184" s="978"/>
      <c r="JL184" s="978"/>
      <c r="JM184" s="978"/>
      <c r="JN184" s="978"/>
      <c r="JO184" s="978"/>
      <c r="JP184" s="978"/>
      <c r="JQ184" s="978"/>
      <c r="JR184" s="978"/>
      <c r="JS184" s="978"/>
      <c r="JT184" s="978"/>
      <c r="JU184" s="978"/>
      <c r="JV184" s="978"/>
      <c r="JW184" s="978"/>
      <c r="JX184" s="978"/>
      <c r="JY184" s="978"/>
      <c r="JZ184" s="978"/>
      <c r="KA184" s="978"/>
      <c r="KB184" s="978"/>
      <c r="KC184" s="978"/>
      <c r="KD184" s="978"/>
      <c r="KE184" s="978"/>
      <c r="KF184" s="978"/>
      <c r="KG184" s="978"/>
      <c r="KH184" s="978"/>
      <c r="KI184" s="978"/>
      <c r="KJ184" s="978"/>
      <c r="KK184" s="978"/>
      <c r="KL184" s="978"/>
      <c r="KM184" s="978"/>
      <c r="KN184" s="978"/>
      <c r="KO184" s="978"/>
      <c r="KP184" s="978"/>
      <c r="KQ184" s="978"/>
      <c r="KR184" s="978"/>
      <c r="KS184" s="978"/>
      <c r="KT184" s="978"/>
      <c r="KU184" s="978"/>
      <c r="KV184" s="978"/>
      <c r="KW184" s="978"/>
      <c r="KX184" s="978"/>
      <c r="KY184" s="978"/>
      <c r="KZ184" s="978"/>
      <c r="LA184" s="978"/>
      <c r="LB184" s="978"/>
      <c r="LC184" s="978"/>
      <c r="LD184" s="978"/>
      <c r="LE184" s="978"/>
      <c r="LF184" s="978"/>
      <c r="LG184" s="978"/>
      <c r="LH184" s="978"/>
      <c r="LI184" s="978"/>
      <c r="LJ184" s="978"/>
      <c r="LK184" s="978"/>
      <c r="LL184" s="978"/>
      <c r="LM184" s="978"/>
      <c r="LN184" s="978"/>
      <c r="LO184" s="978"/>
      <c r="LP184" s="978"/>
      <c r="LQ184" s="978"/>
      <c r="LR184" s="978"/>
      <c r="LS184" s="978"/>
      <c r="LT184" s="978"/>
      <c r="LU184" s="978"/>
      <c r="LV184" s="978"/>
      <c r="LW184" s="978"/>
      <c r="LX184" s="978"/>
      <c r="LY184" s="978"/>
      <c r="LZ184" s="978"/>
      <c r="MA184" s="978"/>
      <c r="MB184" s="978"/>
      <c r="MC184" s="978"/>
      <c r="MD184" s="978"/>
      <c r="ME184" s="978"/>
      <c r="MF184" s="978"/>
      <c r="MG184" s="978"/>
      <c r="MH184" s="978"/>
      <c r="MI184" s="978"/>
      <c r="MJ184" s="978"/>
      <c r="MK184" s="978"/>
      <c r="ML184" s="978"/>
      <c r="MM184" s="978"/>
      <c r="MN184" s="978"/>
      <c r="MO184" s="978"/>
      <c r="MP184" s="978"/>
      <c r="MQ184" s="978"/>
      <c r="MR184" s="978"/>
      <c r="MS184" s="978"/>
      <c r="MT184" s="978"/>
      <c r="MU184" s="978"/>
      <c r="MV184" s="978"/>
      <c r="MW184" s="978"/>
      <c r="MX184" s="978"/>
      <c r="MY184" s="978"/>
      <c r="MZ184" s="978"/>
      <c r="NA184" s="978"/>
      <c r="NB184" s="978"/>
      <c r="NC184" s="978"/>
      <c r="ND184" s="978"/>
      <c r="NE184" s="978"/>
      <c r="NF184" s="978"/>
      <c r="NG184" s="978"/>
      <c r="NH184" s="978"/>
      <c r="NI184" s="978"/>
      <c r="NJ184" s="978"/>
      <c r="NK184" s="978"/>
      <c r="NL184" s="978"/>
      <c r="NM184" s="978"/>
      <c r="NN184" s="978"/>
      <c r="NO184" s="978"/>
      <c r="NP184" s="978"/>
      <c r="NQ184" s="978"/>
      <c r="NR184" s="978"/>
      <c r="NS184" s="978"/>
      <c r="NT184" s="978"/>
      <c r="NU184" s="978"/>
      <c r="NV184" s="978"/>
      <c r="NW184" s="978"/>
      <c r="NX184" s="978"/>
      <c r="NY184" s="978"/>
      <c r="NZ184" s="978"/>
      <c r="OA184" s="978"/>
      <c r="OB184" s="978"/>
      <c r="OC184" s="978"/>
      <c r="OD184" s="978"/>
      <c r="OE184" s="978"/>
      <c r="OF184" s="978"/>
      <c r="OG184" s="978"/>
      <c r="OH184" s="978"/>
      <c r="OI184" s="978"/>
      <c r="OJ184" s="978"/>
      <c r="OK184" s="978"/>
      <c r="OL184" s="978"/>
      <c r="OM184" s="978"/>
      <c r="ON184" s="978"/>
      <c r="OO184" s="978"/>
      <c r="OP184" s="978"/>
      <c r="OQ184" s="978"/>
      <c r="OR184" s="978"/>
      <c r="OS184" s="978"/>
      <c r="OT184" s="978"/>
      <c r="OU184" s="978"/>
      <c r="OV184" s="978"/>
      <c r="OW184" s="978"/>
      <c r="OX184" s="978"/>
      <c r="OY184" s="978"/>
      <c r="OZ184" s="978"/>
      <c r="PA184" s="978"/>
      <c r="PB184" s="978"/>
      <c r="PC184" s="978"/>
      <c r="PD184" s="978"/>
      <c r="PE184" s="978"/>
      <c r="PF184" s="978"/>
      <c r="PG184" s="978"/>
      <c r="PH184" s="978"/>
      <c r="PI184" s="978"/>
      <c r="PJ184" s="978"/>
      <c r="PK184" s="978"/>
      <c r="PL184" s="978"/>
      <c r="PM184" s="978"/>
      <c r="PN184" s="978"/>
      <c r="PO184" s="978"/>
      <c r="PP184" s="978"/>
      <c r="PQ184" s="978"/>
      <c r="PR184" s="978"/>
      <c r="PS184" s="978"/>
      <c r="PT184" s="978"/>
      <c r="PU184" s="978"/>
      <c r="PV184" s="978"/>
      <c r="PW184" s="978"/>
      <c r="PX184" s="978"/>
      <c r="PY184" s="978"/>
      <c r="PZ184" s="978"/>
      <c r="QA184" s="978"/>
      <c r="QB184" s="978"/>
      <c r="QC184" s="978"/>
      <c r="QD184" s="978"/>
      <c r="QE184" s="978"/>
      <c r="QF184" s="978"/>
      <c r="QG184" s="978"/>
      <c r="QH184" s="978"/>
      <c r="QI184" s="978"/>
      <c r="QJ184" s="978"/>
      <c r="QK184" s="978"/>
      <c r="QL184" s="978"/>
      <c r="QM184" s="978"/>
      <c r="QN184" s="978"/>
      <c r="QO184" s="978"/>
      <c r="QP184" s="978"/>
      <c r="QQ184" s="978"/>
      <c r="QR184" s="978"/>
      <c r="QS184" s="978"/>
      <c r="QT184" s="978"/>
      <c r="QU184" s="978"/>
      <c r="QV184" s="978"/>
      <c r="QW184" s="978"/>
      <c r="QX184" s="978"/>
      <c r="QY184" s="978"/>
      <c r="QZ184" s="978"/>
      <c r="RA184" s="978"/>
      <c r="RB184" s="274"/>
      <c r="RC184" s="274"/>
    </row>
    <row r="185" spans="112:471" ht="17.25">
      <c r="DH185" s="274"/>
      <c r="DI185" s="274"/>
      <c r="DJ185" s="978"/>
      <c r="DK185" s="978"/>
      <c r="DL185" s="978"/>
      <c r="DM185" s="978"/>
      <c r="DN185" s="978"/>
      <c r="DO185" s="978"/>
      <c r="DP185" s="978"/>
      <c r="DQ185" s="978"/>
      <c r="DR185" s="978"/>
      <c r="DS185" s="978"/>
      <c r="DT185" s="978"/>
      <c r="DU185" s="978"/>
      <c r="DV185" s="978"/>
      <c r="DW185" s="978"/>
      <c r="DX185" s="978"/>
      <c r="DY185" s="978"/>
      <c r="DZ185" s="978"/>
      <c r="EA185" s="978"/>
      <c r="EB185" s="978"/>
      <c r="EC185" s="978"/>
      <c r="ED185" s="978"/>
      <c r="EE185" s="978"/>
      <c r="EF185" s="978"/>
      <c r="EG185" s="978"/>
      <c r="EH185" s="978"/>
      <c r="EI185" s="978"/>
      <c r="EJ185" s="978"/>
      <c r="EK185" s="978"/>
      <c r="EL185" s="978"/>
      <c r="EM185" s="978"/>
      <c r="EN185" s="978"/>
      <c r="EO185" s="978"/>
      <c r="EP185" s="978"/>
      <c r="EQ185" s="978"/>
      <c r="ER185" s="978"/>
      <c r="ES185" s="978"/>
      <c r="ET185" s="978"/>
      <c r="EU185" s="978"/>
      <c r="EV185" s="978"/>
      <c r="EW185" s="978"/>
      <c r="EX185" s="978"/>
      <c r="EY185" s="978"/>
      <c r="EZ185" s="978"/>
      <c r="FA185" s="978"/>
      <c r="FB185" s="978"/>
      <c r="FC185" s="978"/>
      <c r="FD185" s="978"/>
      <c r="FE185" s="978"/>
      <c r="FF185" s="978"/>
      <c r="FG185" s="978"/>
      <c r="FH185" s="978"/>
      <c r="FI185" s="978"/>
      <c r="FJ185" s="978"/>
      <c r="FK185" s="978"/>
      <c r="FL185" s="978"/>
      <c r="FM185" s="978"/>
      <c r="FN185" s="978"/>
      <c r="FO185" s="978"/>
      <c r="FP185" s="978"/>
      <c r="FQ185" s="978"/>
      <c r="FR185" s="978"/>
      <c r="FS185" s="978"/>
      <c r="FT185" s="978"/>
      <c r="FU185" s="978"/>
      <c r="FV185" s="978"/>
      <c r="FW185" s="978"/>
      <c r="FX185" s="978"/>
      <c r="FY185" s="978"/>
      <c r="FZ185" s="978"/>
      <c r="GA185" s="978"/>
      <c r="GB185" s="978"/>
      <c r="GC185" s="978"/>
      <c r="GD185" s="978"/>
      <c r="GE185" s="978"/>
      <c r="GF185" s="978"/>
      <c r="GG185" s="978"/>
      <c r="GH185" s="978"/>
      <c r="GI185" s="978"/>
      <c r="GJ185" s="978"/>
      <c r="GK185" s="978"/>
      <c r="GL185" s="978"/>
      <c r="GM185" s="978"/>
      <c r="GN185" s="978"/>
      <c r="GO185" s="978"/>
      <c r="GP185" s="978"/>
      <c r="GQ185" s="978"/>
      <c r="GR185" s="978"/>
      <c r="GS185" s="978"/>
      <c r="GT185" s="978"/>
      <c r="GU185" s="978"/>
      <c r="GV185" s="978"/>
      <c r="GW185" s="978"/>
      <c r="GX185" s="978"/>
      <c r="GY185" s="978"/>
      <c r="GZ185" s="978"/>
      <c r="HA185" s="978"/>
      <c r="HB185" s="978"/>
      <c r="HC185" s="978"/>
      <c r="HD185" s="978"/>
      <c r="HE185" s="978"/>
      <c r="HF185" s="978"/>
      <c r="HG185" s="978"/>
      <c r="HH185" s="978"/>
      <c r="HI185" s="978"/>
      <c r="HJ185" s="978"/>
      <c r="HK185" s="978"/>
      <c r="HL185" s="978"/>
      <c r="HM185" s="978"/>
      <c r="HN185" s="978"/>
      <c r="HO185" s="978"/>
      <c r="HP185" s="978"/>
      <c r="HQ185" s="978"/>
      <c r="HR185" s="978"/>
      <c r="HS185" s="978"/>
      <c r="HT185" s="978"/>
      <c r="HU185" s="978"/>
      <c r="HV185" s="978"/>
      <c r="HW185" s="978"/>
      <c r="HX185" s="978"/>
      <c r="HY185" s="978"/>
      <c r="HZ185" s="978"/>
      <c r="IA185" s="978"/>
      <c r="IB185" s="978"/>
      <c r="IC185" s="978"/>
      <c r="ID185" s="978"/>
      <c r="IE185" s="978"/>
      <c r="IF185" s="978"/>
      <c r="IG185" s="978"/>
      <c r="IH185" s="978"/>
      <c r="II185" s="978"/>
      <c r="IJ185" s="978"/>
      <c r="IK185" s="978"/>
      <c r="IL185" s="978"/>
      <c r="IM185" s="978"/>
      <c r="IN185" s="978"/>
      <c r="IO185" s="978"/>
      <c r="IP185" s="978"/>
      <c r="IQ185" s="978"/>
      <c r="IR185" s="978"/>
      <c r="IS185" s="978"/>
      <c r="IT185" s="978"/>
      <c r="IU185" s="978"/>
      <c r="IV185" s="978"/>
      <c r="IW185" s="978"/>
      <c r="IX185" s="978"/>
      <c r="IY185" s="978"/>
      <c r="IZ185" s="978"/>
      <c r="JA185" s="978"/>
      <c r="JB185" s="978"/>
      <c r="JC185" s="978"/>
      <c r="JD185" s="978"/>
      <c r="JE185" s="978"/>
      <c r="JF185" s="978"/>
      <c r="JG185" s="978"/>
      <c r="JH185" s="978"/>
      <c r="JI185" s="978"/>
      <c r="JJ185" s="978"/>
      <c r="JK185" s="978"/>
      <c r="JL185" s="978"/>
      <c r="JM185" s="978"/>
      <c r="JN185" s="978"/>
      <c r="JO185" s="978"/>
      <c r="JP185" s="978"/>
      <c r="JQ185" s="978"/>
      <c r="JR185" s="978"/>
      <c r="JS185" s="978"/>
      <c r="JT185" s="978"/>
      <c r="JU185" s="978"/>
      <c r="JV185" s="978"/>
      <c r="JW185" s="978"/>
      <c r="JX185" s="978"/>
      <c r="JY185" s="978"/>
      <c r="JZ185" s="978"/>
      <c r="KA185" s="978"/>
      <c r="KB185" s="978"/>
      <c r="KC185" s="978"/>
      <c r="KD185" s="978"/>
      <c r="KE185" s="978"/>
      <c r="KF185" s="978"/>
      <c r="KG185" s="978"/>
      <c r="KH185" s="978"/>
      <c r="KI185" s="978"/>
      <c r="KJ185" s="978"/>
      <c r="KK185" s="978"/>
      <c r="KL185" s="978"/>
      <c r="KM185" s="978"/>
      <c r="KN185" s="978"/>
      <c r="KO185" s="978"/>
      <c r="KP185" s="978"/>
      <c r="KQ185" s="978"/>
      <c r="KR185" s="978"/>
      <c r="KS185" s="978"/>
      <c r="KT185" s="978"/>
      <c r="KU185" s="978"/>
      <c r="KV185" s="978"/>
      <c r="KW185" s="978"/>
      <c r="KX185" s="978"/>
      <c r="KY185" s="978"/>
      <c r="KZ185" s="978"/>
      <c r="LA185" s="978"/>
      <c r="LB185" s="978"/>
      <c r="LC185" s="978"/>
      <c r="LD185" s="978"/>
      <c r="LE185" s="978"/>
      <c r="LF185" s="978"/>
      <c r="LG185" s="978"/>
      <c r="LH185" s="978"/>
      <c r="LI185" s="978"/>
      <c r="LJ185" s="978"/>
      <c r="LK185" s="978"/>
      <c r="LL185" s="978"/>
      <c r="LM185" s="978"/>
      <c r="LN185" s="978"/>
      <c r="LO185" s="978"/>
      <c r="LP185" s="978"/>
      <c r="LQ185" s="978"/>
      <c r="LR185" s="978"/>
      <c r="LS185" s="978"/>
      <c r="LT185" s="978"/>
      <c r="LU185" s="978"/>
      <c r="LV185" s="978"/>
      <c r="LW185" s="978"/>
      <c r="LX185" s="978"/>
      <c r="LY185" s="978"/>
      <c r="LZ185" s="978"/>
      <c r="MA185" s="978"/>
      <c r="MB185" s="978"/>
      <c r="MC185" s="978"/>
      <c r="MD185" s="978"/>
      <c r="ME185" s="978"/>
      <c r="MF185" s="978"/>
      <c r="MG185" s="978"/>
      <c r="MH185" s="978"/>
      <c r="MI185" s="978"/>
      <c r="MJ185" s="978"/>
      <c r="MK185" s="978"/>
      <c r="ML185" s="978"/>
      <c r="MM185" s="978"/>
      <c r="MN185" s="978"/>
      <c r="MO185" s="978"/>
      <c r="MP185" s="978"/>
      <c r="MQ185" s="978"/>
      <c r="MR185" s="978"/>
      <c r="MS185" s="978"/>
      <c r="MT185" s="978"/>
      <c r="MU185" s="978"/>
      <c r="MV185" s="978"/>
      <c r="MW185" s="978"/>
      <c r="MX185" s="978"/>
      <c r="MY185" s="978"/>
      <c r="MZ185" s="978"/>
      <c r="NA185" s="978"/>
      <c r="NB185" s="978"/>
      <c r="NC185" s="978"/>
      <c r="ND185" s="978"/>
      <c r="NE185" s="978"/>
      <c r="NF185" s="978"/>
      <c r="NG185" s="978"/>
      <c r="NH185" s="978"/>
      <c r="NI185" s="978"/>
      <c r="NJ185" s="978"/>
      <c r="NK185" s="978"/>
      <c r="NL185" s="978"/>
      <c r="NM185" s="978"/>
      <c r="NN185" s="978"/>
      <c r="NO185" s="978"/>
      <c r="NP185" s="978"/>
      <c r="NQ185" s="978"/>
      <c r="NR185" s="978"/>
      <c r="NS185" s="978"/>
      <c r="NT185" s="978"/>
      <c r="NU185" s="978"/>
      <c r="NV185" s="978"/>
      <c r="NW185" s="978"/>
      <c r="NX185" s="978"/>
      <c r="NY185" s="978"/>
      <c r="NZ185" s="978"/>
      <c r="OA185" s="978"/>
      <c r="OB185" s="978"/>
      <c r="OC185" s="978"/>
      <c r="OD185" s="978"/>
      <c r="OE185" s="978"/>
      <c r="OF185" s="978"/>
      <c r="OG185" s="978"/>
      <c r="OH185" s="978"/>
      <c r="OI185" s="978"/>
      <c r="OJ185" s="978"/>
      <c r="OK185" s="978"/>
      <c r="OL185" s="978"/>
      <c r="OM185" s="978"/>
      <c r="ON185" s="978"/>
      <c r="OO185" s="978"/>
      <c r="OP185" s="978"/>
      <c r="OQ185" s="978"/>
      <c r="OR185" s="978"/>
      <c r="OS185" s="978"/>
      <c r="OT185" s="978"/>
      <c r="OU185" s="978"/>
      <c r="OV185" s="978"/>
      <c r="OW185" s="978"/>
      <c r="OX185" s="978"/>
      <c r="OY185" s="978"/>
      <c r="OZ185" s="978"/>
      <c r="PA185" s="978"/>
      <c r="PB185" s="978"/>
      <c r="PC185" s="978"/>
      <c r="PD185" s="978"/>
      <c r="PE185" s="978"/>
      <c r="PF185" s="978"/>
      <c r="PG185" s="978"/>
      <c r="PH185" s="978"/>
      <c r="PI185" s="978"/>
      <c r="PJ185" s="978"/>
      <c r="PK185" s="978"/>
      <c r="PL185" s="978"/>
      <c r="PM185" s="978"/>
      <c r="PN185" s="978"/>
      <c r="PO185" s="978"/>
      <c r="PP185" s="978"/>
      <c r="PQ185" s="978"/>
      <c r="PR185" s="978"/>
      <c r="PS185" s="978"/>
      <c r="PT185" s="978"/>
      <c r="PU185" s="978"/>
      <c r="PV185" s="978"/>
      <c r="PW185" s="978"/>
      <c r="PX185" s="978"/>
      <c r="PY185" s="978"/>
      <c r="PZ185" s="978"/>
      <c r="QA185" s="978"/>
      <c r="QB185" s="978"/>
      <c r="QC185" s="978"/>
      <c r="QD185" s="978"/>
      <c r="QE185" s="978"/>
      <c r="QF185" s="978"/>
      <c r="QG185" s="978"/>
      <c r="QH185" s="978"/>
      <c r="QI185" s="978"/>
      <c r="QJ185" s="978"/>
      <c r="QK185" s="978"/>
      <c r="QL185" s="978"/>
      <c r="QM185" s="978"/>
      <c r="QN185" s="978"/>
      <c r="QO185" s="978"/>
      <c r="QP185" s="978"/>
      <c r="QQ185" s="978"/>
      <c r="QR185" s="978"/>
      <c r="QS185" s="978"/>
      <c r="QT185" s="978"/>
      <c r="QU185" s="978"/>
      <c r="QV185" s="978"/>
      <c r="QW185" s="978"/>
      <c r="QX185" s="978"/>
      <c r="QY185" s="978"/>
      <c r="QZ185" s="978"/>
      <c r="RA185" s="978"/>
      <c r="RB185" s="274"/>
      <c r="RC185" s="274"/>
    </row>
    <row r="186" spans="112:471">
      <c r="DH186" s="274"/>
      <c r="DI186" s="274"/>
      <c r="DJ186" s="274"/>
      <c r="DK186" s="274"/>
      <c r="DL186" s="274"/>
      <c r="DM186" s="274"/>
      <c r="DN186" s="274"/>
      <c r="DO186" s="274"/>
      <c r="DP186" s="274"/>
      <c r="DQ186" s="274"/>
      <c r="DR186" s="274"/>
      <c r="DS186" s="274"/>
      <c r="DT186" s="274"/>
      <c r="DU186" s="274"/>
      <c r="DV186" s="274"/>
      <c r="DW186" s="274"/>
      <c r="DX186" s="274"/>
      <c r="DY186" s="274"/>
      <c r="DZ186" s="274"/>
      <c r="EA186" s="274"/>
      <c r="EB186" s="274"/>
      <c r="EC186" s="274"/>
      <c r="ED186" s="274"/>
      <c r="EE186" s="274"/>
      <c r="EF186" s="274"/>
      <c r="EG186" s="274"/>
      <c r="EH186" s="274"/>
      <c r="EI186" s="274"/>
      <c r="EJ186" s="274"/>
      <c r="EK186" s="274"/>
      <c r="EL186" s="274"/>
      <c r="EM186" s="274"/>
      <c r="EN186" s="274"/>
      <c r="EO186" s="274"/>
      <c r="EP186" s="274"/>
      <c r="EQ186" s="274"/>
      <c r="ER186" s="274"/>
      <c r="ES186" s="274"/>
      <c r="ET186" s="274"/>
      <c r="EU186" s="274"/>
      <c r="EV186" s="274"/>
      <c r="EW186" s="274"/>
      <c r="EX186" s="274"/>
      <c r="EY186" s="274"/>
      <c r="EZ186" s="274"/>
      <c r="FA186" s="274"/>
      <c r="FB186" s="274"/>
      <c r="FC186" s="274"/>
      <c r="FD186" s="274"/>
      <c r="FE186" s="274"/>
      <c r="FF186" s="274"/>
      <c r="FG186" s="274"/>
      <c r="FH186" s="274"/>
      <c r="FI186" s="274"/>
      <c r="FJ186" s="274"/>
      <c r="FK186" s="274"/>
      <c r="FL186" s="274"/>
      <c r="FM186" s="274"/>
      <c r="FN186" s="274"/>
      <c r="FO186" s="274"/>
      <c r="FP186" s="274"/>
      <c r="FQ186" s="274"/>
      <c r="FR186" s="274"/>
      <c r="FS186" s="274"/>
      <c r="FT186" s="274"/>
      <c r="FU186" s="274"/>
      <c r="FV186" s="274"/>
      <c r="FW186" s="274"/>
      <c r="FX186" s="274"/>
      <c r="FY186" s="274"/>
      <c r="FZ186" s="274"/>
      <c r="GA186" s="274"/>
      <c r="GB186" s="274"/>
      <c r="GC186" s="274"/>
      <c r="GD186" s="274"/>
      <c r="GE186" s="274"/>
      <c r="GF186" s="274"/>
      <c r="GG186" s="274"/>
      <c r="GH186" s="274"/>
      <c r="GI186" s="274"/>
      <c r="GJ186" s="274"/>
      <c r="GK186" s="274"/>
      <c r="GL186" s="274"/>
      <c r="GM186" s="274"/>
      <c r="GN186" s="274"/>
      <c r="GO186" s="274"/>
      <c r="GP186" s="274"/>
      <c r="GQ186" s="274"/>
      <c r="GR186" s="274"/>
      <c r="GS186" s="274"/>
      <c r="GT186" s="274"/>
      <c r="GU186" s="274"/>
      <c r="GV186" s="274"/>
      <c r="GW186" s="274"/>
      <c r="GX186" s="274"/>
      <c r="GY186" s="274"/>
      <c r="GZ186" s="274"/>
      <c r="HA186" s="274"/>
      <c r="HB186" s="274"/>
      <c r="HC186" s="274"/>
      <c r="HD186" s="274"/>
      <c r="HE186" s="274"/>
      <c r="HF186" s="274"/>
      <c r="HG186" s="274"/>
      <c r="HH186" s="274"/>
      <c r="HI186" s="274"/>
      <c r="HJ186" s="274"/>
      <c r="HK186" s="274"/>
      <c r="HL186" s="274"/>
      <c r="HM186" s="274"/>
      <c r="HN186" s="274"/>
      <c r="HO186" s="274"/>
      <c r="HP186" s="274"/>
      <c r="HQ186" s="274"/>
      <c r="HR186" s="274"/>
      <c r="HS186" s="274"/>
      <c r="HT186" s="274"/>
      <c r="HU186" s="274"/>
      <c r="HV186" s="274"/>
      <c r="HW186" s="274"/>
      <c r="HX186" s="274"/>
      <c r="HY186" s="274"/>
      <c r="HZ186" s="274"/>
      <c r="IA186" s="274"/>
      <c r="IB186" s="274"/>
      <c r="IC186" s="274"/>
      <c r="ID186" s="274"/>
      <c r="IE186" s="274"/>
      <c r="IF186" s="274"/>
      <c r="IG186" s="274"/>
      <c r="IH186" s="274"/>
      <c r="II186" s="274"/>
      <c r="IJ186" s="274"/>
      <c r="IK186" s="274"/>
      <c r="IL186" s="274"/>
      <c r="IM186" s="274"/>
      <c r="IN186" s="274"/>
      <c r="IO186" s="274"/>
      <c r="IP186" s="274"/>
      <c r="IQ186" s="274"/>
      <c r="IR186" s="274"/>
      <c r="IS186" s="274"/>
      <c r="IT186" s="274"/>
      <c r="IU186" s="274"/>
      <c r="IV186" s="274"/>
      <c r="IW186" s="274"/>
      <c r="IX186" s="274"/>
      <c r="IY186" s="274"/>
      <c r="IZ186" s="274"/>
      <c r="JA186" s="274"/>
      <c r="JB186" s="274"/>
      <c r="JC186" s="274"/>
      <c r="JD186" s="274"/>
      <c r="JE186" s="274"/>
      <c r="JF186" s="274"/>
      <c r="JG186" s="274"/>
      <c r="JH186" s="274"/>
      <c r="JI186" s="274"/>
      <c r="JJ186" s="274"/>
      <c r="JK186" s="274"/>
      <c r="JL186" s="274"/>
      <c r="JM186" s="274"/>
      <c r="JN186" s="274"/>
      <c r="JO186" s="274"/>
      <c r="JP186" s="274"/>
      <c r="JQ186" s="274"/>
      <c r="JR186" s="274"/>
      <c r="JS186" s="274"/>
      <c r="JT186" s="274"/>
      <c r="JU186" s="274"/>
      <c r="JV186" s="274"/>
      <c r="JW186" s="274"/>
      <c r="JX186" s="274"/>
      <c r="JY186" s="274"/>
      <c r="JZ186" s="274"/>
      <c r="KA186" s="274"/>
      <c r="KB186" s="274"/>
      <c r="KC186" s="274"/>
      <c r="KD186" s="274"/>
      <c r="KE186" s="274"/>
      <c r="KF186" s="274"/>
      <c r="KG186" s="274"/>
      <c r="KH186" s="274"/>
      <c r="KI186" s="274"/>
      <c r="KJ186" s="274"/>
      <c r="KK186" s="274"/>
      <c r="KL186" s="274"/>
      <c r="KM186" s="274"/>
      <c r="KN186" s="274"/>
      <c r="KO186" s="274"/>
      <c r="KP186" s="274"/>
      <c r="KQ186" s="274"/>
      <c r="KR186" s="274"/>
      <c r="KS186" s="274"/>
      <c r="KT186" s="274"/>
      <c r="KU186" s="274"/>
      <c r="KV186" s="274"/>
      <c r="KW186" s="274"/>
      <c r="KX186" s="274"/>
      <c r="KY186" s="274"/>
      <c r="KZ186" s="274"/>
      <c r="LA186" s="274"/>
      <c r="LB186" s="274"/>
      <c r="LC186" s="274"/>
      <c r="LD186" s="274"/>
      <c r="LE186" s="274"/>
      <c r="LF186" s="274"/>
      <c r="LG186" s="274"/>
      <c r="LH186" s="274"/>
      <c r="LI186" s="274"/>
      <c r="LJ186" s="274"/>
      <c r="LK186" s="274"/>
      <c r="LL186" s="274"/>
      <c r="LM186" s="274"/>
      <c r="LN186" s="274"/>
      <c r="LO186" s="274"/>
      <c r="LP186" s="274"/>
      <c r="LQ186" s="274"/>
      <c r="LR186" s="274"/>
      <c r="LS186" s="274"/>
      <c r="LT186" s="274"/>
      <c r="LU186" s="274"/>
      <c r="LV186" s="274"/>
      <c r="LW186" s="274"/>
      <c r="LX186" s="274"/>
      <c r="LY186" s="274"/>
      <c r="LZ186" s="274"/>
      <c r="MA186" s="274"/>
      <c r="MB186" s="274"/>
      <c r="MC186" s="274"/>
      <c r="MD186" s="274"/>
      <c r="ME186" s="274"/>
      <c r="MF186" s="274"/>
      <c r="MG186" s="274"/>
      <c r="MH186" s="274"/>
      <c r="MI186" s="274"/>
      <c r="MJ186" s="274"/>
      <c r="MK186" s="274"/>
      <c r="ML186" s="274"/>
      <c r="MM186" s="274"/>
      <c r="MN186" s="274"/>
      <c r="MO186" s="274"/>
      <c r="MP186" s="274"/>
      <c r="MQ186" s="274"/>
      <c r="MR186" s="274"/>
      <c r="MS186" s="274"/>
      <c r="MT186" s="274"/>
      <c r="MU186" s="274"/>
      <c r="MV186" s="274"/>
      <c r="MW186" s="274"/>
      <c r="MX186" s="274"/>
      <c r="MY186" s="274"/>
      <c r="MZ186" s="274"/>
      <c r="NA186" s="274"/>
      <c r="NB186" s="274"/>
      <c r="NC186" s="274"/>
      <c r="ND186" s="274"/>
      <c r="NE186" s="274"/>
      <c r="NF186" s="274"/>
      <c r="NG186" s="274"/>
      <c r="NH186" s="274"/>
      <c r="NI186" s="274"/>
      <c r="NJ186" s="274"/>
      <c r="NK186" s="274"/>
      <c r="NL186" s="274"/>
      <c r="NM186" s="274"/>
      <c r="NN186" s="274"/>
      <c r="NO186" s="274"/>
      <c r="NP186" s="274"/>
      <c r="NQ186" s="274"/>
      <c r="NR186" s="274"/>
      <c r="NS186" s="274"/>
      <c r="NT186" s="274"/>
      <c r="NU186" s="274"/>
      <c r="NV186" s="274"/>
      <c r="NW186" s="274"/>
      <c r="NX186" s="274"/>
      <c r="NY186" s="274"/>
      <c r="NZ186" s="274"/>
      <c r="OA186" s="274"/>
      <c r="OB186" s="274"/>
      <c r="OC186" s="274"/>
      <c r="OD186" s="274"/>
      <c r="OE186" s="274"/>
      <c r="OF186" s="274"/>
      <c r="OG186" s="274"/>
      <c r="OH186" s="274"/>
      <c r="OI186" s="274"/>
      <c r="OJ186" s="274"/>
      <c r="OK186" s="274"/>
      <c r="OL186" s="274"/>
      <c r="OM186" s="274"/>
      <c r="ON186" s="274"/>
      <c r="OO186" s="274"/>
      <c r="OP186" s="274"/>
      <c r="OQ186" s="274"/>
      <c r="OR186" s="274"/>
      <c r="OS186" s="274"/>
      <c r="OT186" s="274"/>
      <c r="OU186" s="274"/>
      <c r="OV186" s="274"/>
      <c r="OW186" s="274"/>
      <c r="OX186" s="274"/>
      <c r="OY186" s="274"/>
      <c r="OZ186" s="274"/>
      <c r="PA186" s="274"/>
      <c r="PB186" s="274"/>
      <c r="PC186" s="274"/>
      <c r="PD186" s="274"/>
      <c r="PE186" s="274"/>
      <c r="PF186" s="274"/>
      <c r="PG186" s="274"/>
      <c r="PH186" s="274"/>
      <c r="PI186" s="274"/>
      <c r="PJ186" s="274"/>
      <c r="PK186" s="274"/>
      <c r="PL186" s="274"/>
      <c r="PM186" s="274"/>
      <c r="PN186" s="274"/>
      <c r="PO186" s="274"/>
      <c r="PP186" s="274"/>
      <c r="PQ186" s="274"/>
      <c r="PR186" s="274"/>
      <c r="PS186" s="274"/>
      <c r="PT186" s="274"/>
      <c r="PU186" s="274"/>
      <c r="PV186" s="274"/>
      <c r="PW186" s="274"/>
      <c r="PX186" s="274"/>
      <c r="PY186" s="274"/>
      <c r="PZ186" s="274"/>
      <c r="QA186" s="274"/>
      <c r="QB186" s="274"/>
      <c r="QC186" s="274"/>
      <c r="QD186" s="274"/>
      <c r="QE186" s="274"/>
      <c r="QF186" s="274"/>
      <c r="QG186" s="274"/>
      <c r="QH186" s="274"/>
      <c r="QI186" s="274"/>
      <c r="QJ186" s="274"/>
      <c r="QK186" s="274"/>
      <c r="QL186" s="274"/>
      <c r="QM186" s="274"/>
      <c r="QN186" s="274"/>
      <c r="QO186" s="274"/>
      <c r="QP186" s="274"/>
      <c r="QQ186" s="274"/>
      <c r="QR186" s="274"/>
      <c r="QS186" s="274"/>
      <c r="QT186" s="274"/>
      <c r="QU186" s="274"/>
      <c r="QV186" s="274"/>
      <c r="QW186" s="274"/>
      <c r="QX186" s="274"/>
      <c r="QY186" s="274"/>
      <c r="QZ186" s="274"/>
      <c r="RA186" s="274"/>
      <c r="RB186" s="274"/>
      <c r="RC186" s="274"/>
    </row>
    <row r="187" spans="112:471">
      <c r="DH187" s="274"/>
      <c r="DI187" s="274"/>
      <c r="DJ187" s="274"/>
      <c r="DK187" s="274"/>
      <c r="DL187" s="274"/>
      <c r="DM187" s="274"/>
      <c r="DN187" s="274"/>
      <c r="DO187" s="274"/>
      <c r="DP187" s="274"/>
      <c r="DQ187" s="274"/>
      <c r="DR187" s="274"/>
      <c r="DS187" s="274"/>
      <c r="DT187" s="274"/>
      <c r="DU187" s="274"/>
      <c r="DV187" s="274"/>
      <c r="DW187" s="274"/>
      <c r="DX187" s="274"/>
      <c r="DY187" s="274"/>
      <c r="DZ187" s="274"/>
      <c r="EA187" s="274"/>
      <c r="EB187" s="274"/>
      <c r="EC187" s="274"/>
      <c r="ED187" s="274"/>
      <c r="EE187" s="274"/>
      <c r="EF187" s="274"/>
      <c r="EG187" s="274"/>
      <c r="EH187" s="274"/>
      <c r="EI187" s="274"/>
      <c r="EJ187" s="274"/>
      <c r="EK187" s="274"/>
      <c r="EL187" s="274"/>
      <c r="EM187" s="274"/>
      <c r="EN187" s="274"/>
      <c r="EO187" s="274"/>
      <c r="EP187" s="274"/>
      <c r="EQ187" s="274"/>
      <c r="ER187" s="274"/>
      <c r="ES187" s="274"/>
      <c r="ET187" s="274"/>
      <c r="EU187" s="274"/>
      <c r="EV187" s="274"/>
      <c r="EW187" s="274"/>
      <c r="EX187" s="274"/>
      <c r="EY187" s="274"/>
      <c r="EZ187" s="274"/>
      <c r="FA187" s="274"/>
      <c r="FB187" s="274"/>
      <c r="FC187" s="274"/>
      <c r="FD187" s="274"/>
      <c r="FE187" s="274"/>
      <c r="FF187" s="274"/>
      <c r="FG187" s="274"/>
      <c r="FH187" s="274"/>
      <c r="FI187" s="274"/>
      <c r="FJ187" s="274"/>
      <c r="FK187" s="274"/>
      <c r="FL187" s="274"/>
      <c r="FM187" s="274"/>
      <c r="FN187" s="274"/>
      <c r="FO187" s="274"/>
      <c r="FP187" s="274"/>
      <c r="FQ187" s="274"/>
      <c r="FR187" s="274"/>
      <c r="FS187" s="274"/>
      <c r="FT187" s="274"/>
      <c r="FU187" s="274"/>
      <c r="FV187" s="274"/>
      <c r="FW187" s="274"/>
      <c r="FX187" s="274"/>
      <c r="FY187" s="274"/>
      <c r="FZ187" s="274"/>
      <c r="GA187" s="274"/>
      <c r="GB187" s="274"/>
      <c r="GC187" s="274"/>
      <c r="GD187" s="274"/>
      <c r="GE187" s="274"/>
      <c r="GF187" s="274"/>
      <c r="GG187" s="274"/>
      <c r="GH187" s="274"/>
      <c r="GI187" s="274"/>
      <c r="GJ187" s="274"/>
      <c r="GK187" s="274"/>
      <c r="GL187" s="274"/>
      <c r="GM187" s="274"/>
      <c r="GN187" s="274"/>
      <c r="GO187" s="274"/>
      <c r="GP187" s="274"/>
      <c r="GQ187" s="274"/>
      <c r="GR187" s="274"/>
      <c r="GS187" s="274"/>
      <c r="GT187" s="274"/>
      <c r="GU187" s="274"/>
      <c r="GV187" s="274"/>
      <c r="GW187" s="274"/>
      <c r="GX187" s="274"/>
      <c r="GY187" s="274"/>
      <c r="GZ187" s="274"/>
      <c r="HA187" s="274"/>
      <c r="HB187" s="274"/>
      <c r="HC187" s="274"/>
      <c r="HD187" s="274"/>
      <c r="HE187" s="274"/>
      <c r="HF187" s="274"/>
      <c r="HG187" s="274"/>
      <c r="HH187" s="274"/>
      <c r="HI187" s="274"/>
      <c r="HJ187" s="274"/>
      <c r="HK187" s="274"/>
      <c r="HL187" s="274"/>
      <c r="HM187" s="274"/>
      <c r="HN187" s="274"/>
      <c r="HO187" s="274"/>
      <c r="HP187" s="274"/>
      <c r="HQ187" s="274"/>
      <c r="HR187" s="274"/>
      <c r="HS187" s="274"/>
      <c r="HT187" s="274"/>
      <c r="HU187" s="274"/>
      <c r="HV187" s="274"/>
      <c r="HW187" s="274"/>
      <c r="HX187" s="274"/>
      <c r="HY187" s="274"/>
      <c r="HZ187" s="274"/>
      <c r="IA187" s="274"/>
      <c r="IB187" s="274"/>
      <c r="IC187" s="274"/>
      <c r="ID187" s="274"/>
      <c r="IE187" s="274"/>
      <c r="IF187" s="274"/>
      <c r="IG187" s="274"/>
      <c r="IH187" s="274"/>
      <c r="II187" s="274"/>
      <c r="IJ187" s="274"/>
      <c r="IK187" s="274"/>
      <c r="IL187" s="274"/>
      <c r="IM187" s="274"/>
      <c r="IN187" s="274"/>
      <c r="IO187" s="274"/>
      <c r="IP187" s="274"/>
      <c r="IQ187" s="274"/>
      <c r="IR187" s="274"/>
      <c r="IS187" s="274"/>
      <c r="IT187" s="274"/>
      <c r="IU187" s="274"/>
      <c r="IV187" s="274"/>
      <c r="IW187" s="274"/>
      <c r="IX187" s="274"/>
      <c r="IY187" s="274"/>
      <c r="IZ187" s="274"/>
      <c r="JA187" s="274"/>
      <c r="JB187" s="274"/>
      <c r="JC187" s="274"/>
      <c r="JD187" s="274"/>
      <c r="JE187" s="274"/>
      <c r="JF187" s="274"/>
      <c r="JG187" s="274"/>
      <c r="JH187" s="274"/>
      <c r="JI187" s="274"/>
      <c r="JJ187" s="274"/>
      <c r="JK187" s="274"/>
      <c r="JL187" s="274"/>
      <c r="JM187" s="274"/>
      <c r="JN187" s="274"/>
      <c r="JO187" s="274"/>
      <c r="JP187" s="274"/>
      <c r="JQ187" s="274"/>
      <c r="JR187" s="274"/>
      <c r="JS187" s="274"/>
      <c r="JT187" s="274"/>
      <c r="JU187" s="274"/>
      <c r="JV187" s="274"/>
      <c r="JW187" s="274"/>
      <c r="JX187" s="274"/>
      <c r="JY187" s="274"/>
      <c r="JZ187" s="274"/>
      <c r="KA187" s="274"/>
      <c r="KB187" s="274"/>
      <c r="KC187" s="274"/>
      <c r="KD187" s="274"/>
      <c r="KE187" s="274"/>
      <c r="KF187" s="274"/>
      <c r="KG187" s="274"/>
      <c r="KH187" s="274"/>
      <c r="KI187" s="274"/>
      <c r="KJ187" s="274"/>
      <c r="KK187" s="274"/>
      <c r="KL187" s="274"/>
      <c r="KM187" s="274"/>
      <c r="KN187" s="274"/>
      <c r="KO187" s="274"/>
      <c r="KP187" s="274"/>
      <c r="KQ187" s="274"/>
      <c r="KR187" s="274"/>
      <c r="KS187" s="274"/>
      <c r="KT187" s="274"/>
      <c r="KU187" s="274"/>
      <c r="KV187" s="274"/>
      <c r="KW187" s="274"/>
      <c r="KX187" s="274"/>
      <c r="KY187" s="274"/>
      <c r="KZ187" s="274"/>
      <c r="LA187" s="274"/>
      <c r="LB187" s="274"/>
      <c r="LC187" s="274"/>
      <c r="LD187" s="274"/>
      <c r="LE187" s="274"/>
      <c r="LF187" s="274"/>
      <c r="LG187" s="274"/>
      <c r="LH187" s="274"/>
      <c r="LI187" s="274"/>
      <c r="LJ187" s="274"/>
      <c r="LK187" s="274"/>
      <c r="LL187" s="274"/>
      <c r="LM187" s="274"/>
      <c r="LN187" s="274"/>
      <c r="LO187" s="274"/>
      <c r="LP187" s="274"/>
      <c r="LQ187" s="274"/>
      <c r="LR187" s="274"/>
      <c r="LS187" s="274"/>
      <c r="LT187" s="274"/>
      <c r="LU187" s="274"/>
      <c r="LV187" s="274"/>
      <c r="LW187" s="274"/>
      <c r="LX187" s="274"/>
      <c r="LY187" s="274"/>
      <c r="LZ187" s="274"/>
      <c r="MA187" s="274"/>
      <c r="MB187" s="274"/>
      <c r="MC187" s="274"/>
      <c r="MD187" s="274"/>
      <c r="ME187" s="274"/>
      <c r="MF187" s="274"/>
      <c r="MG187" s="274"/>
      <c r="MH187" s="274"/>
      <c r="MI187" s="274"/>
      <c r="MJ187" s="274"/>
      <c r="MK187" s="274"/>
      <c r="ML187" s="274"/>
      <c r="MM187" s="274"/>
      <c r="MN187" s="274"/>
      <c r="MO187" s="274"/>
      <c r="MP187" s="274"/>
      <c r="MQ187" s="274"/>
      <c r="MR187" s="274"/>
      <c r="MS187" s="274"/>
      <c r="MT187" s="274"/>
      <c r="MU187" s="274"/>
      <c r="MV187" s="274"/>
      <c r="MW187" s="274"/>
      <c r="MX187" s="274"/>
      <c r="MY187" s="274"/>
      <c r="MZ187" s="274"/>
      <c r="NA187" s="274"/>
      <c r="NB187" s="274"/>
      <c r="NC187" s="274"/>
      <c r="ND187" s="274"/>
      <c r="NE187" s="274"/>
      <c r="NF187" s="274"/>
      <c r="NG187" s="274"/>
      <c r="NH187" s="274"/>
      <c r="NI187" s="274"/>
      <c r="NJ187" s="274"/>
      <c r="NK187" s="274"/>
      <c r="NL187" s="274"/>
      <c r="NM187" s="274"/>
      <c r="NN187" s="274"/>
      <c r="NO187" s="274"/>
      <c r="NP187" s="274"/>
      <c r="NQ187" s="274"/>
      <c r="NR187" s="274"/>
      <c r="NS187" s="274"/>
      <c r="NT187" s="274"/>
      <c r="NU187" s="274"/>
      <c r="NV187" s="274"/>
      <c r="NW187" s="274"/>
      <c r="NX187" s="274"/>
      <c r="NY187" s="274"/>
      <c r="NZ187" s="274"/>
      <c r="OA187" s="274"/>
      <c r="OB187" s="274"/>
      <c r="OC187" s="274"/>
      <c r="OD187" s="274"/>
      <c r="OE187" s="274"/>
      <c r="OF187" s="274"/>
      <c r="OG187" s="274"/>
      <c r="OH187" s="274"/>
      <c r="OI187" s="274"/>
      <c r="OJ187" s="274"/>
      <c r="OK187" s="274"/>
      <c r="OL187" s="274"/>
      <c r="OM187" s="274"/>
      <c r="ON187" s="274"/>
      <c r="OO187" s="274"/>
      <c r="OP187" s="274"/>
      <c r="OQ187" s="274"/>
      <c r="OR187" s="274"/>
      <c r="OS187" s="274"/>
      <c r="OT187" s="274"/>
      <c r="OU187" s="274"/>
      <c r="OV187" s="274"/>
      <c r="OW187" s="274"/>
      <c r="OX187" s="274"/>
      <c r="OY187" s="274"/>
      <c r="OZ187" s="274"/>
      <c r="PA187" s="274"/>
      <c r="PB187" s="274"/>
      <c r="PC187" s="274"/>
      <c r="PD187" s="274"/>
      <c r="PE187" s="274"/>
      <c r="PF187" s="274"/>
      <c r="PG187" s="274"/>
      <c r="PH187" s="274"/>
      <c r="PI187" s="274"/>
      <c r="PJ187" s="274"/>
      <c r="PK187" s="274"/>
      <c r="PL187" s="274"/>
      <c r="PM187" s="274"/>
      <c r="PN187" s="274"/>
      <c r="PO187" s="274"/>
      <c r="PP187" s="274"/>
      <c r="PQ187" s="274"/>
      <c r="PR187" s="274"/>
      <c r="PS187" s="274"/>
      <c r="PT187" s="274"/>
      <c r="PU187" s="274"/>
      <c r="PV187" s="274"/>
      <c r="PW187" s="274"/>
      <c r="PX187" s="274"/>
      <c r="PY187" s="274"/>
      <c r="PZ187" s="274"/>
      <c r="QA187" s="274"/>
      <c r="QB187" s="274"/>
      <c r="QC187" s="274"/>
      <c r="QD187" s="274"/>
      <c r="QE187" s="274"/>
      <c r="QF187" s="274"/>
      <c r="QG187" s="274"/>
      <c r="QH187" s="274"/>
      <c r="QI187" s="274"/>
      <c r="QJ187" s="274"/>
      <c r="QK187" s="274"/>
      <c r="QL187" s="274"/>
      <c r="QM187" s="274"/>
      <c r="QN187" s="274"/>
      <c r="QO187" s="274"/>
      <c r="QP187" s="274"/>
      <c r="QQ187" s="274"/>
      <c r="QR187" s="274"/>
      <c r="QS187" s="274"/>
      <c r="QT187" s="274"/>
      <c r="QU187" s="274"/>
      <c r="QV187" s="274"/>
      <c r="QW187" s="274"/>
      <c r="QX187" s="274"/>
      <c r="QY187" s="274"/>
      <c r="QZ187" s="274"/>
      <c r="RA187" s="274"/>
      <c r="RB187" s="274"/>
      <c r="RC187" s="274"/>
    </row>
    <row r="188" spans="112:471" ht="17.25">
      <c r="DH188" s="274"/>
      <c r="DI188" s="274"/>
      <c r="DJ188" s="978"/>
      <c r="DK188" s="274"/>
      <c r="DL188" s="274"/>
      <c r="DM188" s="274"/>
      <c r="DN188" s="274"/>
      <c r="DO188" s="274"/>
      <c r="DP188" s="274"/>
      <c r="DQ188" s="274"/>
      <c r="DR188" s="274"/>
      <c r="DS188" s="274"/>
      <c r="DT188" s="274"/>
      <c r="DU188" s="274"/>
      <c r="DV188" s="274"/>
      <c r="DW188" s="274"/>
      <c r="DX188" s="274"/>
      <c r="DY188" s="274"/>
      <c r="DZ188" s="274"/>
      <c r="EA188" s="274"/>
      <c r="EB188" s="274"/>
      <c r="EC188" s="274"/>
      <c r="ED188" s="274"/>
      <c r="EE188" s="274"/>
      <c r="EF188" s="274"/>
      <c r="EG188" s="274"/>
      <c r="EH188" s="274"/>
      <c r="EI188" s="274"/>
      <c r="EJ188" s="274"/>
      <c r="EK188" s="274"/>
      <c r="EL188" s="274"/>
      <c r="EM188" s="274"/>
      <c r="EN188" s="274"/>
      <c r="EO188" s="274"/>
      <c r="EP188" s="274"/>
      <c r="EQ188" s="274"/>
      <c r="ER188" s="274"/>
      <c r="ES188" s="274"/>
      <c r="ET188" s="274"/>
      <c r="EU188" s="274"/>
      <c r="EV188" s="274"/>
      <c r="EW188" s="274"/>
      <c r="EX188" s="274"/>
      <c r="EY188" s="274"/>
      <c r="EZ188" s="274"/>
      <c r="FA188" s="274"/>
      <c r="FB188" s="274"/>
      <c r="FC188" s="274"/>
      <c r="FD188" s="274"/>
      <c r="FE188" s="274"/>
      <c r="FF188" s="274"/>
      <c r="FG188" s="274"/>
      <c r="FH188" s="274"/>
      <c r="FI188" s="274"/>
      <c r="FJ188" s="274"/>
      <c r="FK188" s="274"/>
      <c r="FL188" s="274"/>
      <c r="FM188" s="274"/>
      <c r="FN188" s="274"/>
      <c r="FO188" s="274"/>
      <c r="FP188" s="274"/>
      <c r="FQ188" s="274"/>
      <c r="FR188" s="274"/>
      <c r="FS188" s="274"/>
      <c r="FT188" s="274"/>
      <c r="FU188" s="274"/>
      <c r="FV188" s="274"/>
      <c r="FW188" s="274"/>
      <c r="FX188" s="274"/>
      <c r="FY188" s="274"/>
      <c r="FZ188" s="274"/>
      <c r="GA188" s="274"/>
      <c r="GB188" s="274"/>
      <c r="GC188" s="274"/>
      <c r="GD188" s="274"/>
      <c r="GE188" s="274"/>
      <c r="GF188" s="274"/>
      <c r="GG188" s="274"/>
      <c r="GH188" s="274"/>
      <c r="GI188" s="274"/>
      <c r="GJ188" s="274"/>
      <c r="GK188" s="274"/>
      <c r="GL188" s="274"/>
      <c r="GM188" s="274"/>
      <c r="GN188" s="274"/>
      <c r="GO188" s="274"/>
      <c r="GP188" s="274"/>
      <c r="GQ188" s="274"/>
      <c r="GR188" s="274"/>
      <c r="GS188" s="274"/>
      <c r="GT188" s="274"/>
      <c r="GU188" s="274"/>
      <c r="GV188" s="274"/>
      <c r="GW188" s="274"/>
      <c r="GX188" s="274"/>
      <c r="GY188" s="274"/>
      <c r="GZ188" s="274"/>
      <c r="HA188" s="274"/>
      <c r="HB188" s="274"/>
      <c r="HC188" s="274"/>
      <c r="HD188" s="274"/>
      <c r="HE188" s="274"/>
      <c r="HF188" s="274"/>
      <c r="HG188" s="274"/>
      <c r="HH188" s="274"/>
      <c r="HI188" s="274"/>
      <c r="HJ188" s="274"/>
      <c r="HK188" s="274"/>
      <c r="HL188" s="274"/>
      <c r="HM188" s="274"/>
      <c r="HN188" s="274"/>
      <c r="HO188" s="274"/>
      <c r="HP188" s="274"/>
      <c r="HQ188" s="274"/>
      <c r="HR188" s="274"/>
      <c r="HS188" s="274"/>
      <c r="HT188" s="274"/>
      <c r="HU188" s="274"/>
      <c r="HV188" s="274"/>
      <c r="HW188" s="274"/>
      <c r="HX188" s="274"/>
      <c r="HY188" s="274"/>
      <c r="HZ188" s="274"/>
      <c r="IA188" s="274"/>
      <c r="IB188" s="274"/>
      <c r="IC188" s="274"/>
      <c r="ID188" s="274"/>
      <c r="IE188" s="274"/>
      <c r="IF188" s="274"/>
      <c r="IG188" s="274"/>
      <c r="IH188" s="274"/>
      <c r="II188" s="274"/>
      <c r="IJ188" s="274"/>
      <c r="IK188" s="274"/>
      <c r="IL188" s="274"/>
      <c r="IM188" s="274"/>
      <c r="IN188" s="274"/>
      <c r="IO188" s="274"/>
      <c r="IP188" s="274"/>
      <c r="IQ188" s="274"/>
      <c r="IR188" s="274"/>
      <c r="IS188" s="274"/>
      <c r="IT188" s="274"/>
      <c r="IU188" s="274"/>
      <c r="IV188" s="274"/>
      <c r="IW188" s="274"/>
      <c r="IX188" s="274"/>
      <c r="IY188" s="274"/>
      <c r="IZ188" s="274"/>
      <c r="JA188" s="274"/>
      <c r="JB188" s="274"/>
      <c r="JC188" s="274"/>
      <c r="JD188" s="274"/>
      <c r="JE188" s="274"/>
      <c r="JF188" s="274"/>
      <c r="JG188" s="274"/>
      <c r="JH188" s="274"/>
      <c r="JI188" s="274"/>
      <c r="JJ188" s="274"/>
      <c r="JK188" s="274"/>
      <c r="JL188" s="274"/>
      <c r="JM188" s="274"/>
      <c r="JN188" s="274"/>
      <c r="JO188" s="274"/>
      <c r="JP188" s="274"/>
      <c r="JQ188" s="274"/>
      <c r="JR188" s="274"/>
      <c r="JS188" s="274"/>
      <c r="JT188" s="274"/>
      <c r="JU188" s="274"/>
      <c r="JV188" s="274"/>
      <c r="JW188" s="274"/>
      <c r="JX188" s="274"/>
      <c r="JY188" s="274"/>
      <c r="JZ188" s="274"/>
      <c r="KA188" s="274"/>
      <c r="KB188" s="274"/>
      <c r="KC188" s="274"/>
      <c r="KD188" s="274"/>
      <c r="KE188" s="274"/>
      <c r="KF188" s="274"/>
      <c r="KG188" s="274"/>
      <c r="KH188" s="274"/>
      <c r="KI188" s="274"/>
      <c r="KJ188" s="274"/>
      <c r="KK188" s="274"/>
      <c r="KL188" s="274"/>
      <c r="KM188" s="274"/>
      <c r="KN188" s="274"/>
      <c r="KO188" s="274"/>
      <c r="KP188" s="274"/>
      <c r="KQ188" s="274"/>
      <c r="KR188" s="274"/>
      <c r="KS188" s="274"/>
      <c r="KT188" s="274"/>
      <c r="KU188" s="274"/>
      <c r="KV188" s="274"/>
      <c r="KW188" s="274"/>
      <c r="KX188" s="274"/>
      <c r="KY188" s="274"/>
      <c r="KZ188" s="274"/>
      <c r="LA188" s="274"/>
      <c r="LB188" s="274"/>
      <c r="LC188" s="274"/>
      <c r="LD188" s="274"/>
      <c r="LE188" s="274"/>
      <c r="LF188" s="274"/>
      <c r="LG188" s="274"/>
      <c r="LH188" s="274"/>
      <c r="LI188" s="274"/>
      <c r="LJ188" s="274"/>
      <c r="LK188" s="274"/>
      <c r="LL188" s="274"/>
      <c r="LM188" s="274"/>
      <c r="LN188" s="274"/>
      <c r="LO188" s="274"/>
      <c r="LP188" s="274"/>
      <c r="LQ188" s="274"/>
      <c r="LR188" s="274"/>
      <c r="LS188" s="274"/>
      <c r="LT188" s="274"/>
      <c r="LU188" s="274"/>
      <c r="LV188" s="274"/>
      <c r="LW188" s="274"/>
      <c r="LX188" s="274"/>
      <c r="LY188" s="274"/>
      <c r="LZ188" s="274"/>
      <c r="MA188" s="274"/>
      <c r="MB188" s="274"/>
      <c r="MC188" s="274"/>
      <c r="MD188" s="274"/>
      <c r="ME188" s="274"/>
      <c r="MF188" s="274"/>
      <c r="MG188" s="274"/>
      <c r="MH188" s="274"/>
      <c r="MI188" s="274"/>
      <c r="MJ188" s="274"/>
      <c r="MK188" s="274"/>
      <c r="ML188" s="274"/>
      <c r="MM188" s="274"/>
      <c r="MN188" s="274"/>
      <c r="MO188" s="274"/>
      <c r="MP188" s="274"/>
      <c r="MQ188" s="274"/>
      <c r="MR188" s="274"/>
      <c r="MS188" s="274"/>
      <c r="MT188" s="274"/>
      <c r="MU188" s="274"/>
      <c r="MV188" s="274"/>
      <c r="MW188" s="274"/>
      <c r="MX188" s="274"/>
      <c r="MY188" s="274"/>
      <c r="MZ188" s="274"/>
      <c r="NA188" s="274"/>
      <c r="NB188" s="274"/>
      <c r="NC188" s="274"/>
      <c r="ND188" s="274"/>
      <c r="NE188" s="274"/>
      <c r="NF188" s="274"/>
      <c r="NG188" s="274"/>
      <c r="NH188" s="274"/>
      <c r="NI188" s="274"/>
      <c r="NJ188" s="274"/>
      <c r="NK188" s="274"/>
      <c r="NL188" s="274"/>
      <c r="NM188" s="274"/>
      <c r="NN188" s="274"/>
      <c r="NO188" s="274"/>
      <c r="NP188" s="274"/>
      <c r="NQ188" s="274"/>
      <c r="NR188" s="274"/>
      <c r="NS188" s="274"/>
      <c r="NT188" s="274"/>
      <c r="NU188" s="274"/>
      <c r="NV188" s="274"/>
      <c r="NW188" s="274"/>
      <c r="NX188" s="274"/>
      <c r="NY188" s="274"/>
      <c r="NZ188" s="274"/>
      <c r="OA188" s="274"/>
      <c r="OB188" s="274"/>
      <c r="OC188" s="274"/>
      <c r="OD188" s="274"/>
      <c r="OE188" s="274"/>
      <c r="OF188" s="274"/>
      <c r="OG188" s="274"/>
      <c r="OH188" s="274"/>
      <c r="OI188" s="274"/>
      <c r="OJ188" s="274"/>
      <c r="OK188" s="274"/>
      <c r="OL188" s="274"/>
      <c r="OM188" s="274"/>
      <c r="ON188" s="274"/>
      <c r="OO188" s="274"/>
      <c r="OP188" s="274"/>
      <c r="OQ188" s="274"/>
      <c r="OR188" s="274"/>
      <c r="OS188" s="274"/>
      <c r="OT188" s="274"/>
      <c r="OU188" s="274"/>
      <c r="OV188" s="274"/>
      <c r="OW188" s="274"/>
      <c r="OX188" s="274"/>
      <c r="OY188" s="274"/>
      <c r="OZ188" s="274"/>
      <c r="PA188" s="274"/>
      <c r="PB188" s="274"/>
      <c r="PC188" s="274"/>
      <c r="PD188" s="274"/>
      <c r="PE188" s="274"/>
      <c r="PF188" s="274"/>
      <c r="PG188" s="274"/>
      <c r="PH188" s="274"/>
      <c r="PI188" s="274"/>
      <c r="PJ188" s="274"/>
      <c r="PK188" s="274"/>
      <c r="PL188" s="274"/>
      <c r="PM188" s="274"/>
      <c r="PN188" s="274"/>
      <c r="PO188" s="274"/>
      <c r="PP188" s="274"/>
      <c r="PQ188" s="274"/>
      <c r="PR188" s="274"/>
      <c r="PS188" s="274"/>
      <c r="PT188" s="274"/>
      <c r="PU188" s="274"/>
      <c r="PV188" s="274"/>
      <c r="PW188" s="274"/>
      <c r="PX188" s="274"/>
      <c r="PY188" s="274"/>
      <c r="PZ188" s="274"/>
      <c r="QA188" s="274"/>
      <c r="QB188" s="274"/>
      <c r="QC188" s="274"/>
      <c r="QD188" s="274"/>
      <c r="QE188" s="274"/>
      <c r="QF188" s="274"/>
      <c r="QG188" s="274"/>
      <c r="QH188" s="274"/>
      <c r="QI188" s="274"/>
      <c r="QJ188" s="274"/>
      <c r="QK188" s="274"/>
      <c r="QL188" s="274"/>
      <c r="QM188" s="274"/>
      <c r="QN188" s="274"/>
      <c r="QO188" s="274"/>
      <c r="QP188" s="274"/>
      <c r="QQ188" s="274"/>
      <c r="QR188" s="274"/>
      <c r="QS188" s="274"/>
      <c r="QT188" s="274"/>
      <c r="QU188" s="274"/>
      <c r="QV188" s="274"/>
      <c r="QW188" s="274"/>
      <c r="QX188" s="274"/>
      <c r="QY188" s="274"/>
      <c r="QZ188" s="274"/>
      <c r="RA188" s="274"/>
      <c r="RB188" s="274"/>
      <c r="RC188" s="274"/>
    </row>
    <row r="189" spans="112:471" ht="17.25">
      <c r="DH189" s="274"/>
      <c r="DI189" s="274"/>
      <c r="DJ189" s="978"/>
      <c r="DK189" s="978"/>
      <c r="DL189" s="978"/>
      <c r="DM189" s="978"/>
      <c r="DN189" s="978"/>
      <c r="DO189" s="978"/>
      <c r="DP189" s="978"/>
      <c r="DQ189" s="978"/>
      <c r="DR189" s="978"/>
      <c r="DS189" s="978"/>
      <c r="DT189" s="978"/>
      <c r="DU189" s="978"/>
      <c r="DV189" s="978"/>
      <c r="DW189" s="978"/>
      <c r="DX189" s="978"/>
      <c r="DY189" s="978"/>
      <c r="DZ189" s="978"/>
      <c r="EA189" s="978"/>
      <c r="EB189" s="978"/>
      <c r="EC189" s="978"/>
      <c r="ED189" s="978"/>
      <c r="EE189" s="978"/>
      <c r="EF189" s="978"/>
      <c r="EG189" s="978"/>
      <c r="EH189" s="978"/>
      <c r="EI189" s="978"/>
      <c r="EJ189" s="978"/>
      <c r="EK189" s="978"/>
      <c r="EL189" s="978"/>
      <c r="EM189" s="978"/>
      <c r="EN189" s="978"/>
      <c r="EO189" s="978"/>
      <c r="EP189" s="978"/>
      <c r="EQ189" s="978"/>
      <c r="ER189" s="978"/>
      <c r="ES189" s="978"/>
      <c r="ET189" s="978"/>
      <c r="EU189" s="978"/>
      <c r="EV189" s="978"/>
      <c r="EW189" s="978"/>
      <c r="EX189" s="978"/>
      <c r="EY189" s="978"/>
      <c r="EZ189" s="978"/>
      <c r="FA189" s="978"/>
      <c r="FB189" s="978"/>
      <c r="FC189" s="978"/>
      <c r="FD189" s="978"/>
      <c r="FE189" s="978"/>
      <c r="FF189" s="978"/>
      <c r="FG189" s="978"/>
      <c r="FH189" s="978"/>
      <c r="FI189" s="978"/>
      <c r="FJ189" s="978"/>
      <c r="FK189" s="978"/>
      <c r="FL189" s="978"/>
      <c r="FM189" s="978"/>
      <c r="FN189" s="978"/>
      <c r="FO189" s="978"/>
      <c r="FP189" s="978"/>
      <c r="FQ189" s="978"/>
      <c r="FR189" s="978"/>
      <c r="FS189" s="978"/>
      <c r="FT189" s="978"/>
      <c r="FU189" s="978"/>
      <c r="FV189" s="978"/>
      <c r="FW189" s="978"/>
      <c r="FX189" s="978"/>
      <c r="FY189" s="978"/>
      <c r="FZ189" s="978"/>
      <c r="GA189" s="978"/>
      <c r="GB189" s="978"/>
      <c r="GC189" s="978"/>
      <c r="GD189" s="978"/>
      <c r="GE189" s="978"/>
      <c r="GF189" s="978"/>
      <c r="GG189" s="978"/>
      <c r="GH189" s="978"/>
      <c r="GI189" s="978"/>
      <c r="GJ189" s="978"/>
      <c r="GK189" s="978"/>
      <c r="GL189" s="978"/>
      <c r="GM189" s="978"/>
      <c r="GN189" s="978"/>
      <c r="GO189" s="978"/>
      <c r="GP189" s="978"/>
      <c r="GQ189" s="978"/>
      <c r="GR189" s="978"/>
      <c r="GS189" s="978"/>
      <c r="GT189" s="978"/>
      <c r="GU189" s="978"/>
      <c r="GV189" s="978"/>
      <c r="GW189" s="978"/>
      <c r="GX189" s="978"/>
      <c r="GY189" s="978"/>
      <c r="GZ189" s="978"/>
      <c r="HA189" s="978"/>
      <c r="HB189" s="978"/>
      <c r="HC189" s="978"/>
      <c r="HD189" s="978"/>
      <c r="HE189" s="978"/>
      <c r="HF189" s="978"/>
      <c r="HG189" s="978"/>
      <c r="HH189" s="978"/>
      <c r="HI189" s="978"/>
      <c r="HJ189" s="978"/>
      <c r="HK189" s="978"/>
      <c r="HL189" s="978"/>
      <c r="HM189" s="978"/>
      <c r="HN189" s="978"/>
      <c r="HO189" s="978"/>
      <c r="HP189" s="978"/>
      <c r="HQ189" s="978"/>
      <c r="HR189" s="978"/>
      <c r="HS189" s="978"/>
      <c r="HT189" s="978"/>
      <c r="HU189" s="978"/>
      <c r="HV189" s="978"/>
      <c r="HW189" s="978"/>
      <c r="HX189" s="978"/>
      <c r="HY189" s="978"/>
      <c r="HZ189" s="978"/>
      <c r="IA189" s="978"/>
      <c r="IB189" s="978"/>
      <c r="IC189" s="978"/>
      <c r="ID189" s="978"/>
      <c r="IE189" s="978"/>
      <c r="IF189" s="978"/>
      <c r="IG189" s="978"/>
      <c r="IH189" s="978"/>
      <c r="II189" s="978"/>
      <c r="IJ189" s="978"/>
      <c r="IK189" s="978"/>
      <c r="IL189" s="978"/>
      <c r="IM189" s="978"/>
      <c r="IN189" s="978"/>
      <c r="IO189" s="978"/>
      <c r="IP189" s="978"/>
      <c r="IQ189" s="978"/>
      <c r="IR189" s="978"/>
      <c r="IS189" s="978"/>
      <c r="IT189" s="978"/>
      <c r="IU189" s="978"/>
      <c r="IV189" s="978"/>
      <c r="IW189" s="978"/>
      <c r="IX189" s="978"/>
      <c r="IY189" s="978"/>
      <c r="IZ189" s="978"/>
      <c r="JA189" s="978"/>
      <c r="JB189" s="978"/>
      <c r="JC189" s="978"/>
      <c r="JD189" s="978"/>
      <c r="JE189" s="978"/>
      <c r="JF189" s="978"/>
      <c r="JG189" s="978"/>
      <c r="JH189" s="978"/>
      <c r="JI189" s="978"/>
      <c r="JJ189" s="978"/>
      <c r="JK189" s="978"/>
      <c r="JL189" s="978"/>
      <c r="JM189" s="978"/>
      <c r="JN189" s="978"/>
      <c r="JO189" s="978"/>
      <c r="JP189" s="978"/>
      <c r="JQ189" s="978"/>
      <c r="JR189" s="978"/>
      <c r="JS189" s="978"/>
      <c r="JT189" s="978"/>
      <c r="JU189" s="978"/>
      <c r="JV189" s="978"/>
      <c r="JW189" s="978"/>
      <c r="JX189" s="978"/>
      <c r="JY189" s="978"/>
      <c r="JZ189" s="978"/>
      <c r="KA189" s="978"/>
      <c r="KB189" s="978"/>
      <c r="KC189" s="978"/>
      <c r="KD189" s="978"/>
      <c r="KE189" s="978"/>
      <c r="KF189" s="978"/>
      <c r="KG189" s="978"/>
      <c r="KH189" s="978"/>
      <c r="KI189" s="978"/>
      <c r="KJ189" s="978"/>
      <c r="KK189" s="978"/>
      <c r="KL189" s="978"/>
      <c r="KM189" s="978"/>
      <c r="KN189" s="978"/>
      <c r="KO189" s="978"/>
      <c r="KP189" s="978"/>
      <c r="KQ189" s="978"/>
      <c r="KR189" s="978"/>
      <c r="KS189" s="978"/>
      <c r="KT189" s="978"/>
      <c r="KU189" s="978"/>
      <c r="KV189" s="978"/>
      <c r="KW189" s="978"/>
      <c r="KX189" s="978"/>
      <c r="KY189" s="978"/>
      <c r="KZ189" s="978"/>
      <c r="LA189" s="978"/>
      <c r="LB189" s="978"/>
      <c r="LC189" s="978"/>
      <c r="LD189" s="978"/>
      <c r="LE189" s="978"/>
      <c r="LF189" s="978"/>
      <c r="LG189" s="978"/>
      <c r="LH189" s="978"/>
      <c r="LI189" s="978"/>
      <c r="LJ189" s="978"/>
      <c r="LK189" s="978"/>
      <c r="LL189" s="978"/>
      <c r="LM189" s="978"/>
      <c r="LN189" s="978"/>
      <c r="LO189" s="978"/>
      <c r="LP189" s="978"/>
      <c r="LQ189" s="978"/>
      <c r="LR189" s="978"/>
      <c r="LS189" s="978"/>
      <c r="LT189" s="978"/>
      <c r="LU189" s="978"/>
      <c r="LV189" s="978"/>
      <c r="LW189" s="978"/>
      <c r="LX189" s="978"/>
      <c r="LY189" s="978"/>
      <c r="LZ189" s="978"/>
      <c r="MA189" s="978"/>
      <c r="MB189" s="978"/>
      <c r="MC189" s="978"/>
      <c r="MD189" s="978"/>
      <c r="ME189" s="978"/>
      <c r="MF189" s="978"/>
      <c r="MG189" s="978"/>
      <c r="MH189" s="978"/>
      <c r="MI189" s="978"/>
      <c r="MJ189" s="978"/>
      <c r="MK189" s="978"/>
      <c r="ML189" s="978"/>
      <c r="MM189" s="978"/>
      <c r="MN189" s="978"/>
      <c r="MO189" s="978"/>
      <c r="MP189" s="978"/>
      <c r="MQ189" s="978"/>
      <c r="MR189" s="978"/>
      <c r="MS189" s="978"/>
      <c r="MT189" s="978"/>
      <c r="MU189" s="978"/>
      <c r="MV189" s="978"/>
      <c r="MW189" s="978"/>
      <c r="MX189" s="978"/>
      <c r="MY189" s="978"/>
      <c r="MZ189" s="978"/>
      <c r="NA189" s="978"/>
      <c r="NB189" s="978"/>
      <c r="NC189" s="978"/>
      <c r="ND189" s="978"/>
      <c r="NE189" s="978"/>
      <c r="NF189" s="978"/>
      <c r="NG189" s="978"/>
      <c r="NH189" s="978"/>
      <c r="NI189" s="978"/>
      <c r="NJ189" s="978"/>
      <c r="NK189" s="978"/>
      <c r="NL189" s="978"/>
      <c r="NM189" s="978"/>
      <c r="NN189" s="978"/>
      <c r="NO189" s="978"/>
      <c r="NP189" s="978"/>
      <c r="NQ189" s="978"/>
      <c r="NR189" s="978"/>
      <c r="NS189" s="978"/>
      <c r="NT189" s="978"/>
      <c r="NU189" s="978"/>
      <c r="NV189" s="978"/>
      <c r="NW189" s="978"/>
      <c r="NX189" s="978"/>
      <c r="NY189" s="978"/>
      <c r="NZ189" s="978"/>
      <c r="OA189" s="978"/>
      <c r="OB189" s="978"/>
      <c r="OC189" s="978"/>
      <c r="OD189" s="978"/>
      <c r="OE189" s="978"/>
      <c r="OF189" s="978"/>
      <c r="OG189" s="978"/>
      <c r="OH189" s="978"/>
      <c r="OI189" s="978"/>
      <c r="OJ189" s="978"/>
      <c r="OK189" s="978"/>
      <c r="OL189" s="978"/>
      <c r="OM189" s="978"/>
      <c r="ON189" s="978"/>
      <c r="OO189" s="978"/>
      <c r="OP189" s="978"/>
      <c r="OQ189" s="978"/>
      <c r="OR189" s="978"/>
      <c r="OS189" s="978"/>
      <c r="OT189" s="978"/>
      <c r="OU189" s="978"/>
      <c r="OV189" s="978"/>
      <c r="OW189" s="978"/>
      <c r="OX189" s="978"/>
      <c r="OY189" s="978"/>
      <c r="OZ189" s="978"/>
      <c r="PA189" s="978"/>
      <c r="PB189" s="978"/>
      <c r="PC189" s="978"/>
      <c r="PD189" s="978"/>
      <c r="PE189" s="978"/>
      <c r="PF189" s="978"/>
      <c r="PG189" s="978"/>
      <c r="PH189" s="978"/>
      <c r="PI189" s="978"/>
      <c r="PJ189" s="978"/>
      <c r="PK189" s="978"/>
      <c r="PL189" s="978"/>
      <c r="PM189" s="978"/>
      <c r="PN189" s="978"/>
      <c r="PO189" s="978"/>
      <c r="PP189" s="978"/>
      <c r="PQ189" s="978"/>
      <c r="PR189" s="978"/>
      <c r="PS189" s="978"/>
      <c r="PT189" s="978"/>
      <c r="PU189" s="978"/>
      <c r="PV189" s="978"/>
      <c r="PW189" s="978"/>
      <c r="PX189" s="978"/>
      <c r="PY189" s="978"/>
      <c r="PZ189" s="978"/>
      <c r="QA189" s="978"/>
      <c r="QB189" s="978"/>
      <c r="QC189" s="978"/>
      <c r="QD189" s="978"/>
      <c r="QE189" s="978"/>
      <c r="QF189" s="978"/>
      <c r="QG189" s="978"/>
      <c r="QH189" s="978"/>
      <c r="QI189" s="978"/>
      <c r="QJ189" s="978"/>
      <c r="QK189" s="978"/>
      <c r="QL189" s="978"/>
      <c r="QM189" s="978"/>
      <c r="QN189" s="978"/>
      <c r="QO189" s="978"/>
      <c r="QP189" s="978"/>
      <c r="QQ189" s="978"/>
      <c r="QR189" s="978"/>
      <c r="QS189" s="978"/>
      <c r="QT189" s="978"/>
      <c r="QU189" s="978"/>
      <c r="QV189" s="978"/>
      <c r="QW189" s="978"/>
      <c r="QX189" s="978"/>
      <c r="QY189" s="978"/>
      <c r="QZ189" s="978"/>
      <c r="RA189" s="978"/>
      <c r="RB189" s="274"/>
      <c r="RC189" s="274"/>
    </row>
    <row r="190" spans="112:471" ht="17.25">
      <c r="DH190" s="274"/>
      <c r="DI190" s="274"/>
      <c r="DJ190" s="978"/>
      <c r="DK190" s="978"/>
      <c r="DL190" s="978"/>
      <c r="DM190" s="978"/>
      <c r="DN190" s="978"/>
      <c r="DO190" s="978"/>
      <c r="DP190" s="978"/>
      <c r="DQ190" s="978"/>
      <c r="DR190" s="978"/>
      <c r="DS190" s="978"/>
      <c r="DT190" s="978"/>
      <c r="DU190" s="978"/>
      <c r="DV190" s="978"/>
      <c r="DW190" s="978"/>
      <c r="DX190" s="978"/>
      <c r="DY190" s="978"/>
      <c r="DZ190" s="978"/>
      <c r="EA190" s="978"/>
      <c r="EB190" s="978"/>
      <c r="EC190" s="978"/>
      <c r="ED190" s="978"/>
      <c r="EE190" s="978"/>
      <c r="EF190" s="978"/>
      <c r="EG190" s="978"/>
      <c r="EH190" s="978"/>
      <c r="EI190" s="978"/>
      <c r="EJ190" s="978"/>
      <c r="EK190" s="978"/>
      <c r="EL190" s="978"/>
      <c r="EM190" s="978"/>
      <c r="EN190" s="978"/>
      <c r="EO190" s="978"/>
      <c r="EP190" s="978"/>
      <c r="EQ190" s="978"/>
      <c r="ER190" s="978"/>
      <c r="ES190" s="978"/>
      <c r="ET190" s="978"/>
      <c r="EU190" s="978"/>
      <c r="EV190" s="978"/>
      <c r="EW190" s="978"/>
      <c r="EX190" s="978"/>
      <c r="EY190" s="978"/>
      <c r="EZ190" s="978"/>
      <c r="FA190" s="978"/>
      <c r="FB190" s="978"/>
      <c r="FC190" s="978"/>
      <c r="FD190" s="978"/>
      <c r="FE190" s="978"/>
      <c r="FF190" s="978"/>
      <c r="FG190" s="978"/>
      <c r="FH190" s="978"/>
      <c r="FI190" s="978"/>
      <c r="FJ190" s="978"/>
      <c r="FK190" s="978"/>
      <c r="FL190" s="978"/>
      <c r="FM190" s="978"/>
      <c r="FN190" s="978"/>
      <c r="FO190" s="978"/>
      <c r="FP190" s="978"/>
      <c r="FQ190" s="978"/>
      <c r="FR190" s="978"/>
      <c r="FS190" s="978"/>
      <c r="FT190" s="978"/>
      <c r="FU190" s="978"/>
      <c r="FV190" s="978"/>
      <c r="FW190" s="978"/>
      <c r="FX190" s="978"/>
      <c r="FY190" s="978"/>
      <c r="FZ190" s="978"/>
      <c r="GA190" s="978"/>
      <c r="GB190" s="978"/>
      <c r="GC190" s="978"/>
      <c r="GD190" s="978"/>
      <c r="GE190" s="978"/>
      <c r="GF190" s="978"/>
      <c r="GG190" s="978"/>
      <c r="GH190" s="978"/>
      <c r="GI190" s="978"/>
      <c r="GJ190" s="978"/>
      <c r="GK190" s="978"/>
      <c r="GL190" s="978"/>
      <c r="GM190" s="978"/>
      <c r="GN190" s="978"/>
      <c r="GO190" s="978"/>
      <c r="GP190" s="978"/>
      <c r="GQ190" s="978"/>
      <c r="GR190" s="978"/>
      <c r="GS190" s="978"/>
      <c r="GT190" s="978"/>
      <c r="GU190" s="978"/>
      <c r="GV190" s="978"/>
      <c r="GW190" s="978"/>
      <c r="GX190" s="978"/>
      <c r="GY190" s="978"/>
      <c r="GZ190" s="978"/>
      <c r="HA190" s="978"/>
      <c r="HB190" s="978"/>
      <c r="HC190" s="978"/>
      <c r="HD190" s="978"/>
      <c r="HE190" s="978"/>
      <c r="HF190" s="978"/>
      <c r="HG190" s="978"/>
      <c r="HH190" s="978"/>
      <c r="HI190" s="978"/>
      <c r="HJ190" s="978"/>
      <c r="HK190" s="978"/>
      <c r="HL190" s="978"/>
      <c r="HM190" s="978"/>
      <c r="HN190" s="978"/>
      <c r="HO190" s="978"/>
      <c r="HP190" s="978"/>
      <c r="HQ190" s="978"/>
      <c r="HR190" s="978"/>
      <c r="HS190" s="978"/>
      <c r="HT190" s="978"/>
      <c r="HU190" s="978"/>
      <c r="HV190" s="978"/>
      <c r="HW190" s="978"/>
      <c r="HX190" s="978"/>
      <c r="HY190" s="978"/>
      <c r="HZ190" s="978"/>
      <c r="IA190" s="978"/>
      <c r="IB190" s="978"/>
      <c r="IC190" s="978"/>
      <c r="ID190" s="978"/>
      <c r="IE190" s="978"/>
      <c r="IF190" s="978"/>
      <c r="IG190" s="978"/>
      <c r="IH190" s="978"/>
      <c r="II190" s="978"/>
      <c r="IJ190" s="978"/>
      <c r="IK190" s="978"/>
      <c r="IL190" s="978"/>
      <c r="IM190" s="978"/>
      <c r="IN190" s="978"/>
      <c r="IO190" s="978"/>
      <c r="IP190" s="978"/>
      <c r="IQ190" s="978"/>
      <c r="IR190" s="978"/>
      <c r="IS190" s="978"/>
      <c r="IT190" s="978"/>
      <c r="IU190" s="978"/>
      <c r="IV190" s="978"/>
      <c r="IW190" s="978"/>
      <c r="IX190" s="978"/>
      <c r="IY190" s="978"/>
      <c r="IZ190" s="978"/>
      <c r="JA190" s="978"/>
      <c r="JB190" s="978"/>
      <c r="JC190" s="978"/>
      <c r="JD190" s="978"/>
      <c r="JE190" s="978"/>
      <c r="JF190" s="978"/>
      <c r="JG190" s="978"/>
      <c r="JH190" s="978"/>
      <c r="JI190" s="978"/>
      <c r="JJ190" s="978"/>
      <c r="JK190" s="978"/>
      <c r="JL190" s="978"/>
      <c r="JM190" s="978"/>
      <c r="JN190" s="978"/>
      <c r="JO190" s="978"/>
      <c r="JP190" s="978"/>
      <c r="JQ190" s="978"/>
      <c r="JR190" s="978"/>
      <c r="JS190" s="978"/>
      <c r="JT190" s="978"/>
      <c r="JU190" s="978"/>
      <c r="JV190" s="978"/>
      <c r="JW190" s="978"/>
      <c r="JX190" s="978"/>
      <c r="JY190" s="978"/>
      <c r="JZ190" s="978"/>
      <c r="KA190" s="978"/>
      <c r="KB190" s="978"/>
      <c r="KC190" s="978"/>
      <c r="KD190" s="978"/>
      <c r="KE190" s="978"/>
      <c r="KF190" s="978"/>
      <c r="KG190" s="978"/>
      <c r="KH190" s="978"/>
      <c r="KI190" s="978"/>
      <c r="KJ190" s="978"/>
      <c r="KK190" s="978"/>
      <c r="KL190" s="978"/>
      <c r="KM190" s="978"/>
      <c r="KN190" s="978"/>
      <c r="KO190" s="978"/>
      <c r="KP190" s="978"/>
      <c r="KQ190" s="978"/>
      <c r="KR190" s="978"/>
      <c r="KS190" s="978"/>
      <c r="KT190" s="978"/>
      <c r="KU190" s="978"/>
      <c r="KV190" s="978"/>
      <c r="KW190" s="978"/>
      <c r="KX190" s="978"/>
      <c r="KY190" s="978"/>
      <c r="KZ190" s="978"/>
      <c r="LA190" s="978"/>
      <c r="LB190" s="978"/>
      <c r="LC190" s="978"/>
      <c r="LD190" s="978"/>
      <c r="LE190" s="978"/>
      <c r="LF190" s="978"/>
      <c r="LG190" s="978"/>
      <c r="LH190" s="978"/>
      <c r="LI190" s="978"/>
      <c r="LJ190" s="978"/>
      <c r="LK190" s="978"/>
      <c r="LL190" s="978"/>
      <c r="LM190" s="978"/>
      <c r="LN190" s="978"/>
      <c r="LO190" s="978"/>
      <c r="LP190" s="978"/>
      <c r="LQ190" s="978"/>
      <c r="LR190" s="978"/>
      <c r="LS190" s="978"/>
      <c r="LT190" s="978"/>
      <c r="LU190" s="978"/>
      <c r="LV190" s="978"/>
      <c r="LW190" s="978"/>
      <c r="LX190" s="978"/>
      <c r="LY190" s="978"/>
      <c r="LZ190" s="978"/>
      <c r="MA190" s="978"/>
      <c r="MB190" s="978"/>
      <c r="MC190" s="978"/>
      <c r="MD190" s="978"/>
      <c r="ME190" s="978"/>
      <c r="MF190" s="978"/>
      <c r="MG190" s="978"/>
      <c r="MH190" s="978"/>
      <c r="MI190" s="978"/>
      <c r="MJ190" s="978"/>
      <c r="MK190" s="978"/>
      <c r="ML190" s="978"/>
      <c r="MM190" s="978"/>
      <c r="MN190" s="978"/>
      <c r="MO190" s="978"/>
      <c r="MP190" s="978"/>
      <c r="MQ190" s="978"/>
      <c r="MR190" s="978"/>
      <c r="MS190" s="978"/>
      <c r="MT190" s="978"/>
      <c r="MU190" s="978"/>
      <c r="MV190" s="978"/>
      <c r="MW190" s="978"/>
      <c r="MX190" s="978"/>
      <c r="MY190" s="978"/>
      <c r="MZ190" s="978"/>
      <c r="NA190" s="978"/>
      <c r="NB190" s="978"/>
      <c r="NC190" s="978"/>
      <c r="ND190" s="978"/>
      <c r="NE190" s="978"/>
      <c r="NF190" s="978"/>
      <c r="NG190" s="978"/>
      <c r="NH190" s="978"/>
      <c r="NI190" s="978"/>
      <c r="NJ190" s="978"/>
      <c r="NK190" s="978"/>
      <c r="NL190" s="978"/>
      <c r="NM190" s="978"/>
      <c r="NN190" s="978"/>
      <c r="NO190" s="978"/>
      <c r="NP190" s="978"/>
      <c r="NQ190" s="978"/>
      <c r="NR190" s="978"/>
      <c r="NS190" s="978"/>
      <c r="NT190" s="978"/>
      <c r="NU190" s="978"/>
      <c r="NV190" s="978"/>
      <c r="NW190" s="978"/>
      <c r="NX190" s="978"/>
      <c r="NY190" s="978"/>
      <c r="NZ190" s="978"/>
      <c r="OA190" s="978"/>
      <c r="OB190" s="978"/>
      <c r="OC190" s="978"/>
      <c r="OD190" s="978"/>
      <c r="OE190" s="978"/>
      <c r="OF190" s="978"/>
      <c r="OG190" s="978"/>
      <c r="OH190" s="978"/>
      <c r="OI190" s="978"/>
      <c r="OJ190" s="978"/>
      <c r="OK190" s="978"/>
      <c r="OL190" s="978"/>
      <c r="OM190" s="978"/>
      <c r="ON190" s="978"/>
      <c r="OO190" s="978"/>
      <c r="OP190" s="978"/>
      <c r="OQ190" s="978"/>
      <c r="OR190" s="978"/>
      <c r="OS190" s="978"/>
      <c r="OT190" s="978"/>
      <c r="OU190" s="978"/>
      <c r="OV190" s="978"/>
      <c r="OW190" s="978"/>
      <c r="OX190" s="978"/>
      <c r="OY190" s="978"/>
      <c r="OZ190" s="978"/>
      <c r="PA190" s="978"/>
      <c r="PB190" s="978"/>
      <c r="PC190" s="978"/>
      <c r="PD190" s="978"/>
      <c r="PE190" s="978"/>
      <c r="PF190" s="978"/>
      <c r="PG190" s="978"/>
      <c r="PH190" s="978"/>
      <c r="PI190" s="978"/>
      <c r="PJ190" s="978"/>
      <c r="PK190" s="978"/>
      <c r="PL190" s="978"/>
      <c r="PM190" s="978"/>
      <c r="PN190" s="978"/>
      <c r="PO190" s="978"/>
      <c r="PP190" s="978"/>
      <c r="PQ190" s="978"/>
      <c r="PR190" s="978"/>
      <c r="PS190" s="978"/>
      <c r="PT190" s="978"/>
      <c r="PU190" s="978"/>
      <c r="PV190" s="978"/>
      <c r="PW190" s="978"/>
      <c r="PX190" s="978"/>
      <c r="PY190" s="978"/>
      <c r="PZ190" s="978"/>
      <c r="QA190" s="978"/>
      <c r="QB190" s="978"/>
      <c r="QC190" s="978"/>
      <c r="QD190" s="978"/>
      <c r="QE190" s="978"/>
      <c r="QF190" s="978"/>
      <c r="QG190" s="978"/>
      <c r="QH190" s="978"/>
      <c r="QI190" s="978"/>
      <c r="QJ190" s="978"/>
      <c r="QK190" s="978"/>
      <c r="QL190" s="978"/>
      <c r="QM190" s="978"/>
      <c r="QN190" s="978"/>
      <c r="QO190" s="978"/>
      <c r="QP190" s="978"/>
      <c r="QQ190" s="978"/>
      <c r="QR190" s="978"/>
      <c r="QS190" s="978"/>
      <c r="QT190" s="978"/>
      <c r="QU190" s="978"/>
      <c r="QV190" s="978"/>
      <c r="QW190" s="978"/>
      <c r="QX190" s="978"/>
      <c r="QY190" s="978"/>
      <c r="QZ190" s="978"/>
      <c r="RA190" s="978"/>
      <c r="RB190" s="274"/>
      <c r="RC190" s="274"/>
    </row>
    <row r="191" spans="112:471" ht="17.25">
      <c r="DH191" s="274"/>
      <c r="DI191" s="274"/>
      <c r="DJ191" s="978"/>
      <c r="DK191" s="978"/>
      <c r="DL191" s="978"/>
      <c r="DM191" s="978"/>
      <c r="DN191" s="978"/>
      <c r="DO191" s="978"/>
      <c r="DP191" s="978"/>
      <c r="DQ191" s="978"/>
      <c r="DR191" s="978"/>
      <c r="DS191" s="978"/>
      <c r="DT191" s="978"/>
      <c r="DU191" s="978"/>
      <c r="DV191" s="978"/>
      <c r="DW191" s="978"/>
      <c r="DX191" s="978"/>
      <c r="DY191" s="978"/>
      <c r="DZ191" s="978"/>
      <c r="EA191" s="978"/>
      <c r="EB191" s="978"/>
      <c r="EC191" s="978"/>
      <c r="ED191" s="978"/>
      <c r="EE191" s="978"/>
      <c r="EF191" s="978"/>
      <c r="EG191" s="978"/>
      <c r="EH191" s="978"/>
      <c r="EI191" s="978"/>
      <c r="EJ191" s="978"/>
      <c r="EK191" s="978"/>
      <c r="EL191" s="978"/>
      <c r="EM191" s="978"/>
      <c r="EN191" s="978"/>
      <c r="EO191" s="978"/>
      <c r="EP191" s="978"/>
      <c r="EQ191" s="978"/>
      <c r="ER191" s="978"/>
      <c r="ES191" s="978"/>
      <c r="ET191" s="978"/>
      <c r="EU191" s="978"/>
      <c r="EV191" s="978"/>
      <c r="EW191" s="978"/>
      <c r="EX191" s="978"/>
      <c r="EY191" s="978"/>
      <c r="EZ191" s="978"/>
      <c r="FA191" s="978"/>
      <c r="FB191" s="978"/>
      <c r="FC191" s="978"/>
      <c r="FD191" s="978"/>
      <c r="FE191" s="978"/>
      <c r="FF191" s="978"/>
      <c r="FG191" s="978"/>
      <c r="FH191" s="978"/>
      <c r="FI191" s="978"/>
      <c r="FJ191" s="978"/>
      <c r="FK191" s="978"/>
      <c r="FL191" s="978"/>
      <c r="FM191" s="978"/>
      <c r="FN191" s="978"/>
      <c r="FO191" s="978"/>
      <c r="FP191" s="978"/>
      <c r="FQ191" s="978"/>
      <c r="FR191" s="978"/>
      <c r="FS191" s="978"/>
      <c r="FT191" s="978"/>
      <c r="FU191" s="978"/>
      <c r="FV191" s="978"/>
      <c r="FW191" s="978"/>
      <c r="FX191" s="978"/>
      <c r="FY191" s="978"/>
      <c r="FZ191" s="978"/>
      <c r="GA191" s="978"/>
      <c r="GB191" s="978"/>
      <c r="GC191" s="978"/>
      <c r="GD191" s="978"/>
      <c r="GE191" s="978"/>
      <c r="GF191" s="978"/>
      <c r="GG191" s="978"/>
      <c r="GH191" s="978"/>
      <c r="GI191" s="978"/>
      <c r="GJ191" s="978"/>
      <c r="GK191" s="978"/>
      <c r="GL191" s="978"/>
      <c r="GM191" s="978"/>
      <c r="GN191" s="978"/>
      <c r="GO191" s="978"/>
      <c r="GP191" s="978"/>
      <c r="GQ191" s="978"/>
      <c r="GR191" s="978"/>
      <c r="GS191" s="978"/>
      <c r="GT191" s="978"/>
      <c r="GU191" s="978"/>
      <c r="GV191" s="978"/>
      <c r="GW191" s="978"/>
      <c r="GX191" s="978"/>
      <c r="GY191" s="978"/>
      <c r="GZ191" s="978"/>
      <c r="HA191" s="978"/>
      <c r="HB191" s="978"/>
      <c r="HC191" s="978"/>
      <c r="HD191" s="978"/>
      <c r="HE191" s="978"/>
      <c r="HF191" s="978"/>
      <c r="HG191" s="978"/>
      <c r="HH191" s="978"/>
      <c r="HI191" s="978"/>
      <c r="HJ191" s="978"/>
      <c r="HK191" s="978"/>
      <c r="HL191" s="978"/>
      <c r="HM191" s="978"/>
      <c r="HN191" s="978"/>
      <c r="HO191" s="978"/>
      <c r="HP191" s="978"/>
      <c r="HQ191" s="978"/>
      <c r="HR191" s="978"/>
      <c r="HS191" s="978"/>
      <c r="HT191" s="978"/>
      <c r="HU191" s="978"/>
      <c r="HV191" s="978"/>
      <c r="HW191" s="978"/>
      <c r="HX191" s="978"/>
      <c r="HY191" s="978"/>
      <c r="HZ191" s="978"/>
      <c r="IA191" s="978"/>
      <c r="IB191" s="978"/>
      <c r="IC191" s="978"/>
      <c r="ID191" s="978"/>
      <c r="IE191" s="978"/>
      <c r="IF191" s="978"/>
      <c r="IG191" s="978"/>
      <c r="IH191" s="978"/>
      <c r="II191" s="978"/>
      <c r="IJ191" s="978"/>
      <c r="IK191" s="978"/>
      <c r="IL191" s="978"/>
      <c r="IM191" s="978"/>
      <c r="IN191" s="978"/>
      <c r="IO191" s="978"/>
      <c r="IP191" s="978"/>
      <c r="IQ191" s="978"/>
      <c r="IR191" s="978"/>
      <c r="IS191" s="978"/>
      <c r="IT191" s="978"/>
      <c r="IU191" s="978"/>
      <c r="IV191" s="978"/>
      <c r="IW191" s="978"/>
      <c r="IX191" s="978"/>
      <c r="IY191" s="978"/>
      <c r="IZ191" s="978"/>
      <c r="JA191" s="978"/>
      <c r="JB191" s="978"/>
      <c r="JC191" s="978"/>
      <c r="JD191" s="978"/>
      <c r="JE191" s="978"/>
      <c r="JF191" s="978"/>
      <c r="JG191" s="978"/>
      <c r="JH191" s="978"/>
      <c r="JI191" s="978"/>
      <c r="JJ191" s="978"/>
      <c r="JK191" s="978"/>
      <c r="JL191" s="978"/>
      <c r="JM191" s="978"/>
      <c r="JN191" s="978"/>
      <c r="JO191" s="978"/>
      <c r="JP191" s="978"/>
      <c r="JQ191" s="978"/>
      <c r="JR191" s="978"/>
      <c r="JS191" s="978"/>
      <c r="JT191" s="978"/>
      <c r="JU191" s="978"/>
      <c r="JV191" s="978"/>
      <c r="JW191" s="978"/>
      <c r="JX191" s="978"/>
      <c r="JY191" s="978"/>
      <c r="JZ191" s="978"/>
      <c r="KA191" s="978"/>
      <c r="KB191" s="978"/>
      <c r="KC191" s="978"/>
      <c r="KD191" s="978"/>
      <c r="KE191" s="978"/>
      <c r="KF191" s="978"/>
      <c r="KG191" s="978"/>
      <c r="KH191" s="978"/>
      <c r="KI191" s="978"/>
      <c r="KJ191" s="978"/>
      <c r="KK191" s="978"/>
      <c r="KL191" s="978"/>
      <c r="KM191" s="978"/>
      <c r="KN191" s="978"/>
      <c r="KO191" s="978"/>
      <c r="KP191" s="978"/>
      <c r="KQ191" s="978"/>
      <c r="KR191" s="978"/>
      <c r="KS191" s="978"/>
      <c r="KT191" s="978"/>
      <c r="KU191" s="978"/>
      <c r="KV191" s="978"/>
      <c r="KW191" s="978"/>
      <c r="KX191" s="978"/>
      <c r="KY191" s="978"/>
      <c r="KZ191" s="978"/>
      <c r="LA191" s="978"/>
      <c r="LB191" s="978"/>
      <c r="LC191" s="978"/>
      <c r="LD191" s="978"/>
      <c r="LE191" s="978"/>
      <c r="LF191" s="978"/>
      <c r="LG191" s="978"/>
      <c r="LH191" s="978"/>
      <c r="LI191" s="978"/>
      <c r="LJ191" s="978"/>
      <c r="LK191" s="978"/>
      <c r="LL191" s="978"/>
      <c r="LM191" s="978"/>
      <c r="LN191" s="978"/>
      <c r="LO191" s="978"/>
      <c r="LP191" s="978"/>
      <c r="LQ191" s="978"/>
      <c r="LR191" s="978"/>
      <c r="LS191" s="978"/>
      <c r="LT191" s="978"/>
      <c r="LU191" s="978"/>
      <c r="LV191" s="978"/>
      <c r="LW191" s="978"/>
      <c r="LX191" s="978"/>
      <c r="LY191" s="978"/>
      <c r="LZ191" s="978"/>
      <c r="MA191" s="978"/>
      <c r="MB191" s="978"/>
      <c r="MC191" s="978"/>
      <c r="MD191" s="978"/>
      <c r="ME191" s="978"/>
      <c r="MF191" s="978"/>
      <c r="MG191" s="978"/>
      <c r="MH191" s="978"/>
      <c r="MI191" s="978"/>
      <c r="MJ191" s="978"/>
      <c r="MK191" s="978"/>
      <c r="ML191" s="978"/>
      <c r="MM191" s="978"/>
      <c r="MN191" s="978"/>
      <c r="MO191" s="978"/>
      <c r="MP191" s="978"/>
      <c r="MQ191" s="978"/>
      <c r="MR191" s="978"/>
      <c r="MS191" s="978"/>
      <c r="MT191" s="978"/>
      <c r="MU191" s="978"/>
      <c r="MV191" s="978"/>
      <c r="MW191" s="978"/>
      <c r="MX191" s="978"/>
      <c r="MY191" s="978"/>
      <c r="MZ191" s="978"/>
      <c r="NA191" s="978"/>
      <c r="NB191" s="978"/>
      <c r="NC191" s="978"/>
      <c r="ND191" s="978"/>
      <c r="NE191" s="978"/>
      <c r="NF191" s="978"/>
      <c r="NG191" s="978"/>
      <c r="NH191" s="978"/>
      <c r="NI191" s="978"/>
      <c r="NJ191" s="978"/>
      <c r="NK191" s="978"/>
      <c r="NL191" s="978"/>
      <c r="NM191" s="978"/>
      <c r="NN191" s="978"/>
      <c r="NO191" s="978"/>
      <c r="NP191" s="978"/>
      <c r="NQ191" s="978"/>
      <c r="NR191" s="978"/>
      <c r="NS191" s="978"/>
      <c r="NT191" s="978"/>
      <c r="NU191" s="978"/>
      <c r="NV191" s="978"/>
      <c r="NW191" s="978"/>
      <c r="NX191" s="978"/>
      <c r="NY191" s="978"/>
      <c r="NZ191" s="978"/>
      <c r="OA191" s="978"/>
      <c r="OB191" s="978"/>
      <c r="OC191" s="978"/>
      <c r="OD191" s="978"/>
      <c r="OE191" s="978"/>
      <c r="OF191" s="978"/>
      <c r="OG191" s="978"/>
      <c r="OH191" s="978"/>
      <c r="OI191" s="978"/>
      <c r="OJ191" s="978"/>
      <c r="OK191" s="978"/>
      <c r="OL191" s="978"/>
      <c r="OM191" s="978"/>
      <c r="ON191" s="978"/>
      <c r="OO191" s="978"/>
      <c r="OP191" s="978"/>
      <c r="OQ191" s="978"/>
      <c r="OR191" s="978"/>
      <c r="OS191" s="978"/>
      <c r="OT191" s="978"/>
      <c r="OU191" s="978"/>
      <c r="OV191" s="978"/>
      <c r="OW191" s="978"/>
      <c r="OX191" s="978"/>
      <c r="OY191" s="978"/>
      <c r="OZ191" s="978"/>
      <c r="PA191" s="978"/>
      <c r="PB191" s="978"/>
      <c r="PC191" s="978"/>
      <c r="PD191" s="978"/>
      <c r="PE191" s="978"/>
      <c r="PF191" s="978"/>
      <c r="PG191" s="978"/>
      <c r="PH191" s="978"/>
      <c r="PI191" s="978"/>
      <c r="PJ191" s="978"/>
      <c r="PK191" s="978"/>
      <c r="PL191" s="978"/>
      <c r="PM191" s="978"/>
      <c r="PN191" s="978"/>
      <c r="PO191" s="978"/>
      <c r="PP191" s="978"/>
      <c r="PQ191" s="978"/>
      <c r="PR191" s="978"/>
      <c r="PS191" s="978"/>
      <c r="PT191" s="978"/>
      <c r="PU191" s="978"/>
      <c r="PV191" s="978"/>
      <c r="PW191" s="978"/>
      <c r="PX191" s="978"/>
      <c r="PY191" s="978"/>
      <c r="PZ191" s="978"/>
      <c r="QA191" s="978"/>
      <c r="QB191" s="978"/>
      <c r="QC191" s="978"/>
      <c r="QD191" s="978"/>
      <c r="QE191" s="978"/>
      <c r="QF191" s="978"/>
      <c r="QG191" s="978"/>
      <c r="QH191" s="978"/>
      <c r="QI191" s="978"/>
      <c r="QJ191" s="978"/>
      <c r="QK191" s="978"/>
      <c r="QL191" s="978"/>
      <c r="QM191" s="978"/>
      <c r="QN191" s="978"/>
      <c r="QO191" s="978"/>
      <c r="QP191" s="978"/>
      <c r="QQ191" s="978"/>
      <c r="QR191" s="978"/>
      <c r="QS191" s="978"/>
      <c r="QT191" s="978"/>
      <c r="QU191" s="978"/>
      <c r="QV191" s="978"/>
      <c r="QW191" s="978"/>
      <c r="QX191" s="978"/>
      <c r="QY191" s="978"/>
      <c r="QZ191" s="978"/>
      <c r="RA191" s="978"/>
      <c r="RB191" s="274"/>
      <c r="RC191" s="274"/>
    </row>
    <row r="192" spans="112:471" ht="17.25">
      <c r="DH192" s="274"/>
      <c r="DI192" s="274"/>
      <c r="DJ192" s="978"/>
      <c r="DK192" s="978"/>
      <c r="DL192" s="978"/>
      <c r="DM192" s="978"/>
      <c r="DN192" s="978"/>
      <c r="DO192" s="978"/>
      <c r="DP192" s="978"/>
      <c r="DQ192" s="978"/>
      <c r="DR192" s="978"/>
      <c r="DS192" s="978"/>
      <c r="DT192" s="978"/>
      <c r="DU192" s="978"/>
      <c r="DV192" s="978"/>
      <c r="DW192" s="978"/>
      <c r="DX192" s="978"/>
      <c r="DY192" s="978"/>
      <c r="DZ192" s="978"/>
      <c r="EA192" s="978"/>
      <c r="EB192" s="978"/>
      <c r="EC192" s="978"/>
      <c r="ED192" s="978"/>
      <c r="EE192" s="978"/>
      <c r="EF192" s="978"/>
      <c r="EG192" s="978"/>
      <c r="EH192" s="978"/>
      <c r="EI192" s="978"/>
      <c r="EJ192" s="978"/>
      <c r="EK192" s="978"/>
      <c r="EL192" s="978"/>
      <c r="EM192" s="978"/>
      <c r="EN192" s="978"/>
      <c r="EO192" s="978"/>
      <c r="EP192" s="978"/>
      <c r="EQ192" s="978"/>
      <c r="ER192" s="978"/>
      <c r="ES192" s="978"/>
      <c r="ET192" s="978"/>
      <c r="EU192" s="978"/>
      <c r="EV192" s="978"/>
      <c r="EW192" s="978"/>
      <c r="EX192" s="978"/>
      <c r="EY192" s="978"/>
      <c r="EZ192" s="978"/>
      <c r="FA192" s="978"/>
      <c r="FB192" s="978"/>
      <c r="FC192" s="978"/>
      <c r="FD192" s="978"/>
      <c r="FE192" s="978"/>
      <c r="FF192" s="978"/>
      <c r="FG192" s="978"/>
      <c r="FH192" s="978"/>
      <c r="FI192" s="978"/>
      <c r="FJ192" s="978"/>
      <c r="FK192" s="978"/>
      <c r="FL192" s="978"/>
      <c r="FM192" s="978"/>
      <c r="FN192" s="978"/>
      <c r="FO192" s="978"/>
      <c r="FP192" s="978"/>
      <c r="FQ192" s="978"/>
      <c r="FR192" s="978"/>
      <c r="FS192" s="978"/>
      <c r="FT192" s="978"/>
      <c r="FU192" s="978"/>
      <c r="FV192" s="978"/>
      <c r="FW192" s="978"/>
      <c r="FX192" s="978"/>
      <c r="FY192" s="978"/>
      <c r="FZ192" s="978"/>
      <c r="GA192" s="978"/>
      <c r="GB192" s="978"/>
      <c r="GC192" s="978"/>
      <c r="GD192" s="978"/>
      <c r="GE192" s="978"/>
      <c r="GF192" s="978"/>
      <c r="GG192" s="978"/>
      <c r="GH192" s="978"/>
      <c r="GI192" s="978"/>
      <c r="GJ192" s="978"/>
      <c r="GK192" s="978"/>
      <c r="GL192" s="978"/>
      <c r="GM192" s="978"/>
      <c r="GN192" s="978"/>
      <c r="GO192" s="978"/>
      <c r="GP192" s="978"/>
      <c r="GQ192" s="978"/>
      <c r="GR192" s="978"/>
      <c r="GS192" s="978"/>
      <c r="GT192" s="978"/>
      <c r="GU192" s="978"/>
      <c r="GV192" s="978"/>
      <c r="GW192" s="978"/>
      <c r="GX192" s="978"/>
      <c r="GY192" s="978"/>
      <c r="GZ192" s="978"/>
      <c r="HA192" s="978"/>
      <c r="HB192" s="978"/>
      <c r="HC192" s="978"/>
      <c r="HD192" s="978"/>
      <c r="HE192" s="978"/>
      <c r="HF192" s="978"/>
      <c r="HG192" s="978"/>
      <c r="HH192" s="978"/>
      <c r="HI192" s="978"/>
      <c r="HJ192" s="978"/>
      <c r="HK192" s="978"/>
      <c r="HL192" s="978"/>
      <c r="HM192" s="978"/>
      <c r="HN192" s="978"/>
      <c r="HO192" s="978"/>
      <c r="HP192" s="978"/>
      <c r="HQ192" s="978"/>
      <c r="HR192" s="978"/>
      <c r="HS192" s="978"/>
      <c r="HT192" s="978"/>
      <c r="HU192" s="978"/>
      <c r="HV192" s="978"/>
      <c r="HW192" s="978"/>
      <c r="HX192" s="978"/>
      <c r="HY192" s="978"/>
      <c r="HZ192" s="978"/>
      <c r="IA192" s="978"/>
      <c r="IB192" s="978"/>
      <c r="IC192" s="978"/>
      <c r="ID192" s="978"/>
      <c r="IE192" s="978"/>
      <c r="IF192" s="978"/>
      <c r="IG192" s="978"/>
      <c r="IH192" s="978"/>
      <c r="II192" s="978"/>
      <c r="IJ192" s="978"/>
      <c r="IK192" s="978"/>
      <c r="IL192" s="978"/>
      <c r="IM192" s="978"/>
      <c r="IN192" s="978"/>
      <c r="IO192" s="978"/>
      <c r="IP192" s="978"/>
      <c r="IQ192" s="978"/>
      <c r="IR192" s="978"/>
      <c r="IS192" s="978"/>
      <c r="IT192" s="978"/>
      <c r="IU192" s="978"/>
      <c r="IV192" s="978"/>
      <c r="IW192" s="978"/>
      <c r="IX192" s="978"/>
      <c r="IY192" s="978"/>
      <c r="IZ192" s="978"/>
      <c r="JA192" s="978"/>
      <c r="JB192" s="978"/>
      <c r="JC192" s="978"/>
      <c r="JD192" s="978"/>
      <c r="JE192" s="978"/>
      <c r="JF192" s="978"/>
      <c r="JG192" s="978"/>
      <c r="JH192" s="978"/>
      <c r="JI192" s="978"/>
      <c r="JJ192" s="978"/>
      <c r="JK192" s="978"/>
      <c r="JL192" s="978"/>
      <c r="JM192" s="978"/>
      <c r="JN192" s="978"/>
      <c r="JO192" s="978"/>
      <c r="JP192" s="978"/>
      <c r="JQ192" s="978"/>
      <c r="JR192" s="978"/>
      <c r="JS192" s="978"/>
      <c r="JT192" s="978"/>
      <c r="JU192" s="978"/>
      <c r="JV192" s="978"/>
      <c r="JW192" s="978"/>
      <c r="JX192" s="978"/>
      <c r="JY192" s="978"/>
      <c r="JZ192" s="978"/>
      <c r="KA192" s="978"/>
      <c r="KB192" s="978"/>
      <c r="KC192" s="978"/>
      <c r="KD192" s="978"/>
      <c r="KE192" s="978"/>
      <c r="KF192" s="978"/>
      <c r="KG192" s="978"/>
      <c r="KH192" s="978"/>
      <c r="KI192" s="978"/>
      <c r="KJ192" s="978"/>
      <c r="KK192" s="978"/>
      <c r="KL192" s="978"/>
      <c r="KM192" s="978"/>
      <c r="KN192" s="978"/>
      <c r="KO192" s="978"/>
      <c r="KP192" s="978"/>
      <c r="KQ192" s="978"/>
      <c r="KR192" s="978"/>
      <c r="KS192" s="978"/>
      <c r="KT192" s="978"/>
      <c r="KU192" s="978"/>
      <c r="KV192" s="978"/>
      <c r="KW192" s="978"/>
      <c r="KX192" s="978"/>
      <c r="KY192" s="978"/>
      <c r="KZ192" s="978"/>
      <c r="LA192" s="978"/>
      <c r="LB192" s="978"/>
      <c r="LC192" s="978"/>
      <c r="LD192" s="978"/>
      <c r="LE192" s="978"/>
      <c r="LF192" s="978"/>
      <c r="LG192" s="978"/>
      <c r="LH192" s="978"/>
      <c r="LI192" s="978"/>
      <c r="LJ192" s="978"/>
      <c r="LK192" s="978"/>
      <c r="LL192" s="978"/>
      <c r="LM192" s="978"/>
      <c r="LN192" s="978"/>
      <c r="LO192" s="978"/>
      <c r="LP192" s="978"/>
      <c r="LQ192" s="978"/>
      <c r="LR192" s="978"/>
      <c r="LS192" s="978"/>
      <c r="LT192" s="978"/>
      <c r="LU192" s="978"/>
      <c r="LV192" s="978"/>
      <c r="LW192" s="978"/>
      <c r="LX192" s="978"/>
      <c r="LY192" s="978"/>
      <c r="LZ192" s="978"/>
      <c r="MA192" s="978"/>
      <c r="MB192" s="978"/>
      <c r="MC192" s="978"/>
      <c r="MD192" s="978"/>
      <c r="ME192" s="978"/>
      <c r="MF192" s="978"/>
      <c r="MG192" s="978"/>
      <c r="MH192" s="978"/>
      <c r="MI192" s="978"/>
      <c r="MJ192" s="978"/>
      <c r="MK192" s="978"/>
      <c r="ML192" s="978"/>
      <c r="MM192" s="978"/>
      <c r="MN192" s="978"/>
      <c r="MO192" s="978"/>
      <c r="MP192" s="978"/>
      <c r="MQ192" s="978"/>
      <c r="MR192" s="978"/>
      <c r="MS192" s="978"/>
      <c r="MT192" s="978"/>
      <c r="MU192" s="978"/>
      <c r="MV192" s="978"/>
      <c r="MW192" s="978"/>
      <c r="MX192" s="978"/>
      <c r="MY192" s="978"/>
      <c r="MZ192" s="978"/>
      <c r="NA192" s="978"/>
      <c r="NB192" s="978"/>
      <c r="NC192" s="978"/>
      <c r="ND192" s="978"/>
      <c r="NE192" s="978"/>
      <c r="NF192" s="978"/>
      <c r="NG192" s="978"/>
      <c r="NH192" s="978"/>
      <c r="NI192" s="978"/>
      <c r="NJ192" s="978"/>
      <c r="NK192" s="978"/>
      <c r="NL192" s="978"/>
      <c r="NM192" s="978"/>
      <c r="NN192" s="978"/>
      <c r="NO192" s="978"/>
      <c r="NP192" s="978"/>
      <c r="NQ192" s="978"/>
      <c r="NR192" s="978"/>
      <c r="NS192" s="978"/>
      <c r="NT192" s="978"/>
      <c r="NU192" s="978"/>
      <c r="NV192" s="978"/>
      <c r="NW192" s="978"/>
      <c r="NX192" s="978"/>
      <c r="NY192" s="978"/>
      <c r="NZ192" s="978"/>
      <c r="OA192" s="978"/>
      <c r="OB192" s="978"/>
      <c r="OC192" s="978"/>
      <c r="OD192" s="978"/>
      <c r="OE192" s="978"/>
      <c r="OF192" s="978"/>
      <c r="OG192" s="978"/>
      <c r="OH192" s="978"/>
      <c r="OI192" s="978"/>
      <c r="OJ192" s="978"/>
      <c r="OK192" s="978"/>
      <c r="OL192" s="978"/>
      <c r="OM192" s="978"/>
      <c r="ON192" s="978"/>
      <c r="OO192" s="978"/>
      <c r="OP192" s="978"/>
      <c r="OQ192" s="978"/>
      <c r="OR192" s="978"/>
      <c r="OS192" s="978"/>
      <c r="OT192" s="978"/>
      <c r="OU192" s="978"/>
      <c r="OV192" s="978"/>
      <c r="OW192" s="978"/>
      <c r="OX192" s="978"/>
      <c r="OY192" s="978"/>
      <c r="OZ192" s="978"/>
      <c r="PA192" s="978"/>
      <c r="PB192" s="978"/>
      <c r="PC192" s="978"/>
      <c r="PD192" s="978"/>
      <c r="PE192" s="978"/>
      <c r="PF192" s="978"/>
      <c r="PG192" s="978"/>
      <c r="PH192" s="978"/>
      <c r="PI192" s="978"/>
      <c r="PJ192" s="978"/>
      <c r="PK192" s="978"/>
      <c r="PL192" s="978"/>
      <c r="PM192" s="978"/>
      <c r="PN192" s="978"/>
      <c r="PO192" s="978"/>
      <c r="PP192" s="978"/>
      <c r="PQ192" s="978"/>
      <c r="PR192" s="978"/>
      <c r="PS192" s="978"/>
      <c r="PT192" s="978"/>
      <c r="PU192" s="978"/>
      <c r="PV192" s="978"/>
      <c r="PW192" s="978"/>
      <c r="PX192" s="978"/>
      <c r="PY192" s="978"/>
      <c r="PZ192" s="978"/>
      <c r="QA192" s="978"/>
      <c r="QB192" s="978"/>
      <c r="QC192" s="978"/>
      <c r="QD192" s="978"/>
      <c r="QE192" s="978"/>
      <c r="QF192" s="978"/>
      <c r="QG192" s="978"/>
      <c r="QH192" s="978"/>
      <c r="QI192" s="978"/>
      <c r="QJ192" s="978"/>
      <c r="QK192" s="978"/>
      <c r="QL192" s="978"/>
      <c r="QM192" s="978"/>
      <c r="QN192" s="978"/>
      <c r="QO192" s="978"/>
      <c r="QP192" s="978"/>
      <c r="QQ192" s="978"/>
      <c r="QR192" s="978"/>
      <c r="QS192" s="978"/>
      <c r="QT192" s="978"/>
      <c r="QU192" s="978"/>
      <c r="QV192" s="978"/>
      <c r="QW192" s="978"/>
      <c r="QX192" s="978"/>
      <c r="QY192" s="978"/>
      <c r="QZ192" s="978"/>
      <c r="RA192" s="978"/>
      <c r="RB192" s="274"/>
      <c r="RC192" s="274"/>
    </row>
    <row r="193" spans="112:471" ht="17.25">
      <c r="DH193" s="274"/>
      <c r="DI193" s="274"/>
      <c r="DJ193" s="978"/>
      <c r="DK193" s="978"/>
      <c r="DL193" s="978"/>
      <c r="DM193" s="978"/>
      <c r="DN193" s="978"/>
      <c r="DO193" s="978"/>
      <c r="DP193" s="978"/>
      <c r="DQ193" s="978"/>
      <c r="DR193" s="978"/>
      <c r="DS193" s="978"/>
      <c r="DT193" s="978"/>
      <c r="DU193" s="978"/>
      <c r="DV193" s="978"/>
      <c r="DW193" s="978"/>
      <c r="DX193" s="978"/>
      <c r="DY193" s="978"/>
      <c r="DZ193" s="978"/>
      <c r="EA193" s="978"/>
      <c r="EB193" s="978"/>
      <c r="EC193" s="978"/>
      <c r="ED193" s="978"/>
      <c r="EE193" s="978"/>
      <c r="EF193" s="978"/>
      <c r="EG193" s="978"/>
      <c r="EH193" s="978"/>
      <c r="EI193" s="978"/>
      <c r="EJ193" s="978"/>
      <c r="EK193" s="978"/>
      <c r="EL193" s="978"/>
      <c r="EM193" s="978"/>
      <c r="EN193" s="978"/>
      <c r="EO193" s="978"/>
      <c r="EP193" s="978"/>
      <c r="EQ193" s="978"/>
      <c r="ER193" s="978"/>
      <c r="ES193" s="978"/>
      <c r="ET193" s="978"/>
      <c r="EU193" s="978"/>
      <c r="EV193" s="978"/>
      <c r="EW193" s="978"/>
      <c r="EX193" s="978"/>
      <c r="EY193" s="978"/>
      <c r="EZ193" s="978"/>
      <c r="FA193" s="978"/>
      <c r="FB193" s="978"/>
      <c r="FC193" s="978"/>
      <c r="FD193" s="978"/>
      <c r="FE193" s="978"/>
      <c r="FF193" s="978"/>
      <c r="FG193" s="978"/>
      <c r="FH193" s="978"/>
      <c r="FI193" s="978"/>
      <c r="FJ193" s="978"/>
      <c r="FK193" s="978"/>
      <c r="FL193" s="978"/>
      <c r="FM193" s="978"/>
      <c r="FN193" s="978"/>
      <c r="FO193" s="978"/>
      <c r="FP193" s="978"/>
      <c r="FQ193" s="978"/>
      <c r="FR193" s="978"/>
      <c r="FS193" s="978"/>
      <c r="FT193" s="978"/>
      <c r="FU193" s="978"/>
      <c r="FV193" s="978"/>
      <c r="FW193" s="978"/>
      <c r="FX193" s="978"/>
      <c r="FY193" s="978"/>
      <c r="FZ193" s="978"/>
      <c r="GA193" s="978"/>
      <c r="GB193" s="978"/>
      <c r="GC193" s="978"/>
      <c r="GD193" s="978"/>
      <c r="GE193" s="978"/>
      <c r="GF193" s="978"/>
      <c r="GG193" s="978"/>
      <c r="GH193" s="978"/>
      <c r="GI193" s="978"/>
      <c r="GJ193" s="978"/>
      <c r="GK193" s="978"/>
      <c r="GL193" s="978"/>
      <c r="GM193" s="978"/>
      <c r="GN193" s="978"/>
      <c r="GO193" s="978"/>
      <c r="GP193" s="978"/>
      <c r="GQ193" s="978"/>
      <c r="GR193" s="978"/>
      <c r="GS193" s="978"/>
      <c r="GT193" s="978"/>
      <c r="GU193" s="978"/>
      <c r="GV193" s="978"/>
      <c r="GW193" s="978"/>
      <c r="GX193" s="978"/>
      <c r="GY193" s="978"/>
      <c r="GZ193" s="978"/>
      <c r="HA193" s="978"/>
      <c r="HB193" s="978"/>
      <c r="HC193" s="978"/>
      <c r="HD193" s="978"/>
      <c r="HE193" s="978"/>
      <c r="HF193" s="978"/>
      <c r="HG193" s="978"/>
      <c r="HH193" s="978"/>
      <c r="HI193" s="978"/>
      <c r="HJ193" s="978"/>
      <c r="HK193" s="978"/>
      <c r="HL193" s="978"/>
      <c r="HM193" s="978"/>
      <c r="HN193" s="978"/>
      <c r="HO193" s="978"/>
      <c r="HP193" s="978"/>
      <c r="HQ193" s="978"/>
      <c r="HR193" s="978"/>
      <c r="HS193" s="978"/>
      <c r="HT193" s="978"/>
      <c r="HU193" s="978"/>
      <c r="HV193" s="978"/>
      <c r="HW193" s="978"/>
      <c r="HX193" s="978"/>
      <c r="HY193" s="978"/>
      <c r="HZ193" s="978"/>
      <c r="IA193" s="978"/>
      <c r="IB193" s="978"/>
      <c r="IC193" s="978"/>
      <c r="ID193" s="978"/>
      <c r="IE193" s="978"/>
      <c r="IF193" s="978"/>
      <c r="IG193" s="978"/>
      <c r="IH193" s="978"/>
      <c r="II193" s="978"/>
      <c r="IJ193" s="978"/>
      <c r="IK193" s="978"/>
      <c r="IL193" s="978"/>
      <c r="IM193" s="978"/>
      <c r="IN193" s="978"/>
      <c r="IO193" s="978"/>
      <c r="IP193" s="978"/>
      <c r="IQ193" s="978"/>
      <c r="IR193" s="978"/>
      <c r="IS193" s="978"/>
      <c r="IT193" s="978"/>
      <c r="IU193" s="978"/>
      <c r="IV193" s="978"/>
      <c r="IW193" s="978"/>
      <c r="IX193" s="978"/>
      <c r="IY193" s="978"/>
      <c r="IZ193" s="978"/>
      <c r="JA193" s="978"/>
      <c r="JB193" s="978"/>
      <c r="JC193" s="978"/>
      <c r="JD193" s="978"/>
      <c r="JE193" s="978"/>
      <c r="JF193" s="978"/>
      <c r="JG193" s="978"/>
      <c r="JH193" s="978"/>
      <c r="JI193" s="978"/>
      <c r="JJ193" s="978"/>
      <c r="JK193" s="978"/>
      <c r="JL193" s="978"/>
      <c r="JM193" s="978"/>
      <c r="JN193" s="978"/>
      <c r="JO193" s="978"/>
      <c r="JP193" s="978"/>
      <c r="JQ193" s="978"/>
      <c r="JR193" s="978"/>
      <c r="JS193" s="978"/>
      <c r="JT193" s="978"/>
      <c r="JU193" s="978"/>
      <c r="JV193" s="978"/>
      <c r="JW193" s="978"/>
      <c r="JX193" s="978"/>
      <c r="JY193" s="978"/>
      <c r="JZ193" s="978"/>
      <c r="KA193" s="978"/>
      <c r="KB193" s="978"/>
      <c r="KC193" s="978"/>
      <c r="KD193" s="978"/>
      <c r="KE193" s="978"/>
      <c r="KF193" s="978"/>
      <c r="KG193" s="978"/>
      <c r="KH193" s="978"/>
      <c r="KI193" s="978"/>
      <c r="KJ193" s="978"/>
      <c r="KK193" s="978"/>
      <c r="KL193" s="978"/>
      <c r="KM193" s="978"/>
      <c r="KN193" s="978"/>
      <c r="KO193" s="978"/>
      <c r="KP193" s="978"/>
      <c r="KQ193" s="978"/>
      <c r="KR193" s="978"/>
      <c r="KS193" s="978"/>
      <c r="KT193" s="978"/>
      <c r="KU193" s="978"/>
      <c r="KV193" s="978"/>
      <c r="KW193" s="978"/>
      <c r="KX193" s="978"/>
      <c r="KY193" s="978"/>
      <c r="KZ193" s="978"/>
      <c r="LA193" s="978"/>
      <c r="LB193" s="978"/>
      <c r="LC193" s="978"/>
      <c r="LD193" s="978"/>
      <c r="LE193" s="978"/>
      <c r="LF193" s="978"/>
      <c r="LG193" s="978"/>
      <c r="LH193" s="978"/>
      <c r="LI193" s="978"/>
      <c r="LJ193" s="978"/>
      <c r="LK193" s="978"/>
      <c r="LL193" s="978"/>
      <c r="LM193" s="978"/>
      <c r="LN193" s="978"/>
      <c r="LO193" s="978"/>
      <c r="LP193" s="978"/>
      <c r="LQ193" s="978"/>
      <c r="LR193" s="978"/>
      <c r="LS193" s="978"/>
      <c r="LT193" s="978"/>
      <c r="LU193" s="978"/>
      <c r="LV193" s="978"/>
      <c r="LW193" s="978"/>
      <c r="LX193" s="978"/>
      <c r="LY193" s="978"/>
      <c r="LZ193" s="978"/>
      <c r="MA193" s="978"/>
      <c r="MB193" s="978"/>
      <c r="MC193" s="978"/>
      <c r="MD193" s="978"/>
      <c r="ME193" s="978"/>
      <c r="MF193" s="978"/>
      <c r="MG193" s="978"/>
      <c r="MH193" s="978"/>
      <c r="MI193" s="978"/>
      <c r="MJ193" s="978"/>
      <c r="MK193" s="978"/>
      <c r="ML193" s="978"/>
      <c r="MM193" s="978"/>
      <c r="MN193" s="978"/>
      <c r="MO193" s="978"/>
      <c r="MP193" s="978"/>
      <c r="MQ193" s="978"/>
      <c r="MR193" s="978"/>
      <c r="MS193" s="978"/>
      <c r="MT193" s="978"/>
      <c r="MU193" s="978"/>
      <c r="MV193" s="978"/>
      <c r="MW193" s="978"/>
      <c r="MX193" s="978"/>
      <c r="MY193" s="978"/>
      <c r="MZ193" s="978"/>
      <c r="NA193" s="978"/>
      <c r="NB193" s="978"/>
      <c r="NC193" s="978"/>
      <c r="ND193" s="978"/>
      <c r="NE193" s="978"/>
      <c r="NF193" s="978"/>
      <c r="NG193" s="978"/>
      <c r="NH193" s="978"/>
      <c r="NI193" s="978"/>
      <c r="NJ193" s="978"/>
      <c r="NK193" s="978"/>
      <c r="NL193" s="978"/>
      <c r="NM193" s="978"/>
      <c r="NN193" s="978"/>
      <c r="NO193" s="978"/>
      <c r="NP193" s="978"/>
      <c r="NQ193" s="978"/>
      <c r="NR193" s="978"/>
      <c r="NS193" s="978"/>
      <c r="NT193" s="978"/>
      <c r="NU193" s="978"/>
      <c r="NV193" s="978"/>
      <c r="NW193" s="978"/>
      <c r="NX193" s="978"/>
      <c r="NY193" s="978"/>
      <c r="NZ193" s="978"/>
      <c r="OA193" s="978"/>
      <c r="OB193" s="978"/>
      <c r="OC193" s="978"/>
      <c r="OD193" s="978"/>
      <c r="OE193" s="978"/>
      <c r="OF193" s="978"/>
      <c r="OG193" s="978"/>
      <c r="OH193" s="978"/>
      <c r="OI193" s="978"/>
      <c r="OJ193" s="978"/>
      <c r="OK193" s="978"/>
      <c r="OL193" s="978"/>
      <c r="OM193" s="978"/>
      <c r="ON193" s="978"/>
      <c r="OO193" s="978"/>
      <c r="OP193" s="978"/>
      <c r="OQ193" s="978"/>
      <c r="OR193" s="978"/>
      <c r="OS193" s="978"/>
      <c r="OT193" s="978"/>
      <c r="OU193" s="978"/>
      <c r="OV193" s="978"/>
      <c r="OW193" s="978"/>
      <c r="OX193" s="978"/>
      <c r="OY193" s="978"/>
      <c r="OZ193" s="978"/>
      <c r="PA193" s="978"/>
      <c r="PB193" s="978"/>
      <c r="PC193" s="978"/>
      <c r="PD193" s="978"/>
      <c r="PE193" s="978"/>
      <c r="PF193" s="978"/>
      <c r="PG193" s="978"/>
      <c r="PH193" s="978"/>
      <c r="PI193" s="978"/>
      <c r="PJ193" s="978"/>
      <c r="PK193" s="978"/>
      <c r="PL193" s="978"/>
      <c r="PM193" s="978"/>
      <c r="PN193" s="978"/>
      <c r="PO193" s="978"/>
      <c r="PP193" s="978"/>
      <c r="PQ193" s="978"/>
      <c r="PR193" s="978"/>
      <c r="PS193" s="978"/>
      <c r="PT193" s="978"/>
      <c r="PU193" s="978"/>
      <c r="PV193" s="978"/>
      <c r="PW193" s="978"/>
      <c r="PX193" s="978"/>
      <c r="PY193" s="978"/>
      <c r="PZ193" s="978"/>
      <c r="QA193" s="978"/>
      <c r="QB193" s="978"/>
      <c r="QC193" s="978"/>
      <c r="QD193" s="978"/>
      <c r="QE193" s="978"/>
      <c r="QF193" s="978"/>
      <c r="QG193" s="978"/>
      <c r="QH193" s="978"/>
      <c r="QI193" s="978"/>
      <c r="QJ193" s="978"/>
      <c r="QK193" s="978"/>
      <c r="QL193" s="978"/>
      <c r="QM193" s="978"/>
      <c r="QN193" s="978"/>
      <c r="QO193" s="978"/>
      <c r="QP193" s="978"/>
      <c r="QQ193" s="978"/>
      <c r="QR193" s="978"/>
      <c r="QS193" s="978"/>
      <c r="QT193" s="978"/>
      <c r="QU193" s="978"/>
      <c r="QV193" s="978"/>
      <c r="QW193" s="978"/>
      <c r="QX193" s="978"/>
      <c r="QY193" s="978"/>
      <c r="QZ193" s="978"/>
      <c r="RA193" s="978"/>
      <c r="RB193" s="274"/>
      <c r="RC193" s="274"/>
    </row>
    <row r="194" spans="112:471" ht="17.25">
      <c r="DH194" s="274"/>
      <c r="DI194" s="274"/>
      <c r="DJ194" s="978"/>
      <c r="DK194" s="978"/>
      <c r="DL194" s="978"/>
      <c r="DM194" s="978"/>
      <c r="DN194" s="978"/>
      <c r="DO194" s="978"/>
      <c r="DP194" s="978"/>
      <c r="DQ194" s="978"/>
      <c r="DR194" s="978"/>
      <c r="DS194" s="978"/>
      <c r="DT194" s="978"/>
      <c r="DU194" s="978"/>
      <c r="DV194" s="978"/>
      <c r="DW194" s="978"/>
      <c r="DX194" s="978"/>
      <c r="DY194" s="978"/>
      <c r="DZ194" s="978"/>
      <c r="EA194" s="978"/>
      <c r="EB194" s="978"/>
      <c r="EC194" s="978"/>
      <c r="ED194" s="978"/>
      <c r="EE194" s="978"/>
      <c r="EF194" s="978"/>
      <c r="EG194" s="978"/>
      <c r="EH194" s="978"/>
      <c r="EI194" s="978"/>
      <c r="EJ194" s="978"/>
      <c r="EK194" s="978"/>
      <c r="EL194" s="978"/>
      <c r="EM194" s="978"/>
      <c r="EN194" s="978"/>
      <c r="EO194" s="978"/>
      <c r="EP194" s="978"/>
      <c r="EQ194" s="978"/>
      <c r="ER194" s="978"/>
      <c r="ES194" s="978"/>
      <c r="ET194" s="978"/>
      <c r="EU194" s="978"/>
      <c r="EV194" s="978"/>
      <c r="EW194" s="978"/>
      <c r="EX194" s="978"/>
      <c r="EY194" s="978"/>
      <c r="EZ194" s="978"/>
      <c r="FA194" s="978"/>
      <c r="FB194" s="978"/>
      <c r="FC194" s="978"/>
      <c r="FD194" s="978"/>
      <c r="FE194" s="978"/>
      <c r="FF194" s="978"/>
      <c r="FG194" s="978"/>
      <c r="FH194" s="978"/>
      <c r="FI194" s="978"/>
      <c r="FJ194" s="978"/>
      <c r="FK194" s="978"/>
      <c r="FL194" s="978"/>
      <c r="FM194" s="978"/>
      <c r="FN194" s="978"/>
      <c r="FO194" s="978"/>
      <c r="FP194" s="978"/>
      <c r="FQ194" s="978"/>
      <c r="FR194" s="978"/>
      <c r="FS194" s="978"/>
      <c r="FT194" s="978"/>
      <c r="FU194" s="978"/>
      <c r="FV194" s="978"/>
      <c r="FW194" s="978"/>
      <c r="FX194" s="978"/>
      <c r="FY194" s="978"/>
      <c r="FZ194" s="978"/>
      <c r="GA194" s="978"/>
      <c r="GB194" s="978"/>
      <c r="GC194" s="978"/>
      <c r="GD194" s="978"/>
      <c r="GE194" s="978"/>
      <c r="GF194" s="978"/>
      <c r="GG194" s="978"/>
      <c r="GH194" s="978"/>
      <c r="GI194" s="978"/>
      <c r="GJ194" s="978"/>
      <c r="GK194" s="978"/>
      <c r="GL194" s="978"/>
      <c r="GM194" s="978"/>
      <c r="GN194" s="978"/>
      <c r="GO194" s="978"/>
      <c r="GP194" s="978"/>
      <c r="GQ194" s="978"/>
      <c r="GR194" s="978"/>
      <c r="GS194" s="978"/>
      <c r="GT194" s="978"/>
      <c r="GU194" s="978"/>
      <c r="GV194" s="978"/>
      <c r="GW194" s="978"/>
      <c r="GX194" s="978"/>
      <c r="GY194" s="978"/>
      <c r="GZ194" s="978"/>
      <c r="HA194" s="978"/>
      <c r="HB194" s="978"/>
      <c r="HC194" s="978"/>
      <c r="HD194" s="978"/>
      <c r="HE194" s="978"/>
      <c r="HF194" s="978"/>
      <c r="HG194" s="978"/>
      <c r="HH194" s="978"/>
      <c r="HI194" s="978"/>
      <c r="HJ194" s="978"/>
      <c r="HK194" s="978"/>
      <c r="HL194" s="978"/>
      <c r="HM194" s="978"/>
      <c r="HN194" s="978"/>
      <c r="HO194" s="978"/>
      <c r="HP194" s="978"/>
      <c r="HQ194" s="978"/>
      <c r="HR194" s="978"/>
      <c r="HS194" s="978"/>
      <c r="HT194" s="978"/>
      <c r="HU194" s="978"/>
      <c r="HV194" s="978"/>
      <c r="HW194" s="978"/>
      <c r="HX194" s="978"/>
      <c r="HY194" s="978"/>
      <c r="HZ194" s="978"/>
      <c r="IA194" s="978"/>
      <c r="IB194" s="978"/>
      <c r="IC194" s="978"/>
      <c r="ID194" s="978"/>
      <c r="IE194" s="978"/>
      <c r="IF194" s="978"/>
      <c r="IG194" s="978"/>
      <c r="IH194" s="978"/>
      <c r="II194" s="978"/>
      <c r="IJ194" s="978"/>
      <c r="IK194" s="978"/>
      <c r="IL194" s="978"/>
      <c r="IM194" s="978"/>
      <c r="IN194" s="978"/>
      <c r="IO194" s="978"/>
      <c r="IP194" s="978"/>
      <c r="IQ194" s="978"/>
      <c r="IR194" s="978"/>
      <c r="IS194" s="978"/>
      <c r="IT194" s="978"/>
      <c r="IU194" s="978"/>
      <c r="IV194" s="978"/>
      <c r="IW194" s="978"/>
      <c r="IX194" s="978"/>
      <c r="IY194" s="978"/>
      <c r="IZ194" s="978"/>
      <c r="JA194" s="978"/>
      <c r="JB194" s="978"/>
      <c r="JC194" s="978"/>
      <c r="JD194" s="978"/>
      <c r="JE194" s="978"/>
      <c r="JF194" s="978"/>
      <c r="JG194" s="978"/>
      <c r="JH194" s="978"/>
      <c r="JI194" s="978"/>
      <c r="JJ194" s="978"/>
      <c r="JK194" s="978"/>
      <c r="JL194" s="978"/>
      <c r="JM194" s="978"/>
      <c r="JN194" s="978"/>
      <c r="JO194" s="978"/>
      <c r="JP194" s="978"/>
      <c r="JQ194" s="978"/>
      <c r="JR194" s="978"/>
      <c r="JS194" s="978"/>
      <c r="JT194" s="978"/>
      <c r="JU194" s="978"/>
      <c r="JV194" s="978"/>
      <c r="JW194" s="978"/>
      <c r="JX194" s="978"/>
      <c r="JY194" s="978"/>
      <c r="JZ194" s="978"/>
      <c r="KA194" s="978"/>
      <c r="KB194" s="978"/>
      <c r="KC194" s="978"/>
      <c r="KD194" s="978"/>
      <c r="KE194" s="978"/>
      <c r="KF194" s="978"/>
      <c r="KG194" s="978"/>
      <c r="KH194" s="978"/>
      <c r="KI194" s="978"/>
      <c r="KJ194" s="978"/>
      <c r="KK194" s="978"/>
      <c r="KL194" s="978"/>
      <c r="KM194" s="978"/>
      <c r="KN194" s="978"/>
      <c r="KO194" s="978"/>
      <c r="KP194" s="978"/>
      <c r="KQ194" s="978"/>
      <c r="KR194" s="978"/>
      <c r="KS194" s="978"/>
      <c r="KT194" s="978"/>
      <c r="KU194" s="978"/>
      <c r="KV194" s="978"/>
      <c r="KW194" s="978"/>
      <c r="KX194" s="978"/>
      <c r="KY194" s="978"/>
      <c r="KZ194" s="978"/>
      <c r="LA194" s="978"/>
      <c r="LB194" s="978"/>
      <c r="LC194" s="978"/>
      <c r="LD194" s="978"/>
      <c r="LE194" s="978"/>
      <c r="LF194" s="978"/>
      <c r="LG194" s="978"/>
      <c r="LH194" s="978"/>
      <c r="LI194" s="978"/>
      <c r="LJ194" s="978"/>
      <c r="LK194" s="978"/>
      <c r="LL194" s="978"/>
      <c r="LM194" s="978"/>
      <c r="LN194" s="978"/>
      <c r="LO194" s="978"/>
      <c r="LP194" s="978"/>
      <c r="LQ194" s="978"/>
      <c r="LR194" s="978"/>
      <c r="LS194" s="978"/>
      <c r="LT194" s="978"/>
      <c r="LU194" s="978"/>
      <c r="LV194" s="978"/>
      <c r="LW194" s="978"/>
      <c r="LX194" s="978"/>
      <c r="LY194" s="978"/>
      <c r="LZ194" s="978"/>
      <c r="MA194" s="978"/>
      <c r="MB194" s="978"/>
      <c r="MC194" s="978"/>
      <c r="MD194" s="978"/>
      <c r="ME194" s="978"/>
      <c r="MF194" s="978"/>
      <c r="MG194" s="978"/>
      <c r="MH194" s="978"/>
      <c r="MI194" s="978"/>
      <c r="MJ194" s="978"/>
      <c r="MK194" s="978"/>
      <c r="ML194" s="978"/>
      <c r="MM194" s="978"/>
      <c r="MN194" s="978"/>
      <c r="MO194" s="978"/>
      <c r="MP194" s="978"/>
      <c r="MQ194" s="978"/>
      <c r="MR194" s="978"/>
      <c r="MS194" s="978"/>
      <c r="MT194" s="978"/>
      <c r="MU194" s="978"/>
      <c r="MV194" s="978"/>
      <c r="MW194" s="978"/>
      <c r="MX194" s="978"/>
      <c r="MY194" s="978"/>
      <c r="MZ194" s="978"/>
      <c r="NA194" s="978"/>
      <c r="NB194" s="978"/>
      <c r="NC194" s="978"/>
      <c r="ND194" s="978"/>
      <c r="NE194" s="978"/>
      <c r="NF194" s="978"/>
      <c r="NG194" s="978"/>
      <c r="NH194" s="978"/>
      <c r="NI194" s="978"/>
      <c r="NJ194" s="978"/>
      <c r="NK194" s="978"/>
      <c r="NL194" s="978"/>
      <c r="NM194" s="978"/>
      <c r="NN194" s="978"/>
      <c r="NO194" s="978"/>
      <c r="NP194" s="978"/>
      <c r="NQ194" s="978"/>
      <c r="NR194" s="978"/>
      <c r="NS194" s="978"/>
      <c r="NT194" s="978"/>
      <c r="NU194" s="978"/>
      <c r="NV194" s="978"/>
      <c r="NW194" s="978"/>
      <c r="NX194" s="978"/>
      <c r="NY194" s="978"/>
      <c r="NZ194" s="978"/>
      <c r="OA194" s="978"/>
      <c r="OB194" s="978"/>
      <c r="OC194" s="978"/>
      <c r="OD194" s="978"/>
      <c r="OE194" s="978"/>
      <c r="OF194" s="978"/>
      <c r="OG194" s="978"/>
      <c r="OH194" s="978"/>
      <c r="OI194" s="978"/>
      <c r="OJ194" s="978"/>
      <c r="OK194" s="978"/>
      <c r="OL194" s="978"/>
      <c r="OM194" s="978"/>
      <c r="ON194" s="978"/>
      <c r="OO194" s="978"/>
      <c r="OP194" s="978"/>
      <c r="OQ194" s="978"/>
      <c r="OR194" s="978"/>
      <c r="OS194" s="978"/>
      <c r="OT194" s="978"/>
      <c r="OU194" s="978"/>
      <c r="OV194" s="978"/>
      <c r="OW194" s="978"/>
      <c r="OX194" s="978"/>
      <c r="OY194" s="978"/>
      <c r="OZ194" s="978"/>
      <c r="PA194" s="978"/>
      <c r="PB194" s="978"/>
      <c r="PC194" s="978"/>
      <c r="PD194" s="978"/>
      <c r="PE194" s="978"/>
      <c r="PF194" s="978"/>
      <c r="PG194" s="978"/>
      <c r="PH194" s="978"/>
      <c r="PI194" s="978"/>
      <c r="PJ194" s="978"/>
      <c r="PK194" s="978"/>
      <c r="PL194" s="978"/>
      <c r="PM194" s="978"/>
      <c r="PN194" s="978"/>
      <c r="PO194" s="978"/>
      <c r="PP194" s="978"/>
      <c r="PQ194" s="978"/>
      <c r="PR194" s="978"/>
      <c r="PS194" s="978"/>
      <c r="PT194" s="978"/>
      <c r="PU194" s="978"/>
      <c r="PV194" s="978"/>
      <c r="PW194" s="978"/>
      <c r="PX194" s="978"/>
      <c r="PY194" s="978"/>
      <c r="PZ194" s="978"/>
      <c r="QA194" s="978"/>
      <c r="QB194" s="978"/>
      <c r="QC194" s="978"/>
      <c r="QD194" s="978"/>
      <c r="QE194" s="978"/>
      <c r="QF194" s="978"/>
      <c r="QG194" s="978"/>
      <c r="QH194" s="978"/>
      <c r="QI194" s="978"/>
      <c r="QJ194" s="978"/>
      <c r="QK194" s="978"/>
      <c r="QL194" s="978"/>
      <c r="QM194" s="978"/>
      <c r="QN194" s="978"/>
      <c r="QO194" s="978"/>
      <c r="QP194" s="978"/>
      <c r="QQ194" s="978"/>
      <c r="QR194" s="978"/>
      <c r="QS194" s="978"/>
      <c r="QT194" s="978"/>
      <c r="QU194" s="978"/>
      <c r="QV194" s="978"/>
      <c r="QW194" s="978"/>
      <c r="QX194" s="978"/>
      <c r="QY194" s="978"/>
      <c r="QZ194" s="978"/>
      <c r="RA194" s="978"/>
      <c r="RB194" s="274"/>
      <c r="RC194" s="274"/>
    </row>
    <row r="195" spans="112:471" ht="17.25">
      <c r="DH195" s="274"/>
      <c r="DI195" s="274"/>
      <c r="DJ195" s="978"/>
      <c r="DK195" s="978"/>
      <c r="DL195" s="978"/>
      <c r="DM195" s="978"/>
      <c r="DN195" s="978"/>
      <c r="DO195" s="978"/>
      <c r="DP195" s="978"/>
      <c r="DQ195" s="978"/>
      <c r="DR195" s="978"/>
      <c r="DS195" s="978"/>
      <c r="DT195" s="978"/>
      <c r="DU195" s="978"/>
      <c r="DV195" s="978"/>
      <c r="DW195" s="978"/>
      <c r="DX195" s="978"/>
      <c r="DY195" s="978"/>
      <c r="DZ195" s="978"/>
      <c r="EA195" s="978"/>
      <c r="EB195" s="978"/>
      <c r="EC195" s="978"/>
      <c r="ED195" s="978"/>
      <c r="EE195" s="978"/>
      <c r="EF195" s="978"/>
      <c r="EG195" s="978"/>
      <c r="EH195" s="978"/>
      <c r="EI195" s="978"/>
      <c r="EJ195" s="978"/>
      <c r="EK195" s="978"/>
      <c r="EL195" s="978"/>
      <c r="EM195" s="978"/>
      <c r="EN195" s="978"/>
      <c r="EO195" s="978"/>
      <c r="EP195" s="978"/>
      <c r="EQ195" s="978"/>
      <c r="ER195" s="978"/>
      <c r="ES195" s="978"/>
      <c r="ET195" s="978"/>
      <c r="EU195" s="978"/>
      <c r="EV195" s="978"/>
      <c r="EW195" s="978"/>
      <c r="EX195" s="978"/>
      <c r="EY195" s="978"/>
      <c r="EZ195" s="978"/>
      <c r="FA195" s="978"/>
      <c r="FB195" s="978"/>
      <c r="FC195" s="978"/>
      <c r="FD195" s="978"/>
      <c r="FE195" s="978"/>
      <c r="FF195" s="978"/>
      <c r="FG195" s="978"/>
      <c r="FH195" s="978"/>
      <c r="FI195" s="978"/>
      <c r="FJ195" s="978"/>
      <c r="FK195" s="978"/>
      <c r="FL195" s="978"/>
      <c r="FM195" s="978"/>
      <c r="FN195" s="978"/>
      <c r="FO195" s="978"/>
      <c r="FP195" s="978"/>
      <c r="FQ195" s="978"/>
      <c r="FR195" s="978"/>
      <c r="FS195" s="978"/>
      <c r="FT195" s="978"/>
      <c r="FU195" s="978"/>
      <c r="FV195" s="978"/>
      <c r="FW195" s="978"/>
      <c r="FX195" s="978"/>
      <c r="FY195" s="978"/>
      <c r="FZ195" s="978"/>
      <c r="GA195" s="978"/>
      <c r="GB195" s="978"/>
      <c r="GC195" s="978"/>
      <c r="GD195" s="978"/>
      <c r="GE195" s="978"/>
      <c r="GF195" s="978"/>
      <c r="GG195" s="978"/>
      <c r="GH195" s="978"/>
      <c r="GI195" s="978"/>
      <c r="GJ195" s="978"/>
      <c r="GK195" s="978"/>
      <c r="GL195" s="978"/>
      <c r="GM195" s="978"/>
      <c r="GN195" s="978"/>
      <c r="GO195" s="978"/>
      <c r="GP195" s="978"/>
      <c r="GQ195" s="978"/>
      <c r="GR195" s="978"/>
      <c r="GS195" s="978"/>
      <c r="GT195" s="978"/>
      <c r="GU195" s="978"/>
      <c r="GV195" s="978"/>
      <c r="GW195" s="978"/>
      <c r="GX195" s="978"/>
      <c r="GY195" s="978"/>
      <c r="GZ195" s="978"/>
      <c r="HA195" s="978"/>
      <c r="HB195" s="978"/>
      <c r="HC195" s="978"/>
      <c r="HD195" s="978"/>
      <c r="HE195" s="978"/>
      <c r="HF195" s="978"/>
      <c r="HG195" s="978"/>
      <c r="HH195" s="978"/>
      <c r="HI195" s="978"/>
      <c r="HJ195" s="978"/>
      <c r="HK195" s="978"/>
      <c r="HL195" s="978"/>
      <c r="HM195" s="978"/>
      <c r="HN195" s="978"/>
      <c r="HO195" s="978"/>
      <c r="HP195" s="978"/>
      <c r="HQ195" s="978"/>
      <c r="HR195" s="978"/>
      <c r="HS195" s="978"/>
      <c r="HT195" s="978"/>
      <c r="HU195" s="978"/>
      <c r="HV195" s="978"/>
      <c r="HW195" s="978"/>
      <c r="HX195" s="978"/>
      <c r="HY195" s="978"/>
      <c r="HZ195" s="978"/>
      <c r="IA195" s="978"/>
      <c r="IB195" s="978"/>
      <c r="IC195" s="978"/>
      <c r="ID195" s="978"/>
      <c r="IE195" s="978"/>
      <c r="IF195" s="978"/>
      <c r="IG195" s="978"/>
      <c r="IH195" s="978"/>
      <c r="II195" s="978"/>
      <c r="IJ195" s="978"/>
      <c r="IK195" s="978"/>
      <c r="IL195" s="978"/>
      <c r="IM195" s="978"/>
      <c r="IN195" s="978"/>
      <c r="IO195" s="978"/>
      <c r="IP195" s="978"/>
      <c r="IQ195" s="978"/>
      <c r="IR195" s="978"/>
      <c r="IS195" s="978"/>
      <c r="IT195" s="978"/>
      <c r="IU195" s="978"/>
      <c r="IV195" s="978"/>
      <c r="IW195" s="978"/>
      <c r="IX195" s="978"/>
      <c r="IY195" s="978"/>
      <c r="IZ195" s="978"/>
      <c r="JA195" s="978"/>
      <c r="JB195" s="978"/>
      <c r="JC195" s="978"/>
      <c r="JD195" s="978"/>
      <c r="JE195" s="978"/>
      <c r="JF195" s="978"/>
      <c r="JG195" s="978"/>
      <c r="JH195" s="978"/>
      <c r="JI195" s="978"/>
      <c r="JJ195" s="978"/>
      <c r="JK195" s="978"/>
      <c r="JL195" s="978"/>
      <c r="JM195" s="978"/>
      <c r="JN195" s="978"/>
      <c r="JO195" s="978"/>
      <c r="JP195" s="978"/>
      <c r="JQ195" s="978"/>
      <c r="JR195" s="978"/>
      <c r="JS195" s="978"/>
      <c r="JT195" s="978"/>
      <c r="JU195" s="978"/>
      <c r="JV195" s="978"/>
      <c r="JW195" s="978"/>
      <c r="JX195" s="978"/>
      <c r="JY195" s="978"/>
      <c r="JZ195" s="978"/>
      <c r="KA195" s="978"/>
      <c r="KB195" s="978"/>
      <c r="KC195" s="978"/>
      <c r="KD195" s="978"/>
      <c r="KE195" s="978"/>
      <c r="KF195" s="978"/>
      <c r="KG195" s="978"/>
      <c r="KH195" s="978"/>
      <c r="KI195" s="978"/>
      <c r="KJ195" s="978"/>
      <c r="KK195" s="978"/>
      <c r="KL195" s="978"/>
      <c r="KM195" s="978"/>
      <c r="KN195" s="978"/>
      <c r="KO195" s="978"/>
      <c r="KP195" s="978"/>
      <c r="KQ195" s="978"/>
      <c r="KR195" s="978"/>
      <c r="KS195" s="978"/>
      <c r="KT195" s="978"/>
      <c r="KU195" s="978"/>
      <c r="KV195" s="978"/>
      <c r="KW195" s="978"/>
      <c r="KX195" s="978"/>
      <c r="KY195" s="978"/>
      <c r="KZ195" s="978"/>
      <c r="LA195" s="978"/>
      <c r="LB195" s="978"/>
      <c r="LC195" s="978"/>
      <c r="LD195" s="978"/>
      <c r="LE195" s="978"/>
      <c r="LF195" s="978"/>
      <c r="LG195" s="978"/>
      <c r="LH195" s="978"/>
      <c r="LI195" s="978"/>
      <c r="LJ195" s="978"/>
      <c r="LK195" s="978"/>
      <c r="LL195" s="978"/>
      <c r="LM195" s="978"/>
      <c r="LN195" s="978"/>
      <c r="LO195" s="978"/>
      <c r="LP195" s="978"/>
      <c r="LQ195" s="978"/>
      <c r="LR195" s="978"/>
      <c r="LS195" s="978"/>
      <c r="LT195" s="978"/>
      <c r="LU195" s="978"/>
      <c r="LV195" s="978"/>
      <c r="LW195" s="978"/>
      <c r="LX195" s="978"/>
      <c r="LY195" s="978"/>
      <c r="LZ195" s="978"/>
      <c r="MA195" s="978"/>
      <c r="MB195" s="978"/>
      <c r="MC195" s="978"/>
      <c r="MD195" s="978"/>
      <c r="ME195" s="978"/>
      <c r="MF195" s="978"/>
      <c r="MG195" s="978"/>
      <c r="MH195" s="978"/>
      <c r="MI195" s="978"/>
      <c r="MJ195" s="978"/>
      <c r="MK195" s="978"/>
      <c r="ML195" s="978"/>
      <c r="MM195" s="978"/>
      <c r="MN195" s="978"/>
      <c r="MO195" s="978"/>
      <c r="MP195" s="978"/>
      <c r="MQ195" s="978"/>
      <c r="MR195" s="978"/>
      <c r="MS195" s="978"/>
      <c r="MT195" s="978"/>
      <c r="MU195" s="978"/>
      <c r="MV195" s="978"/>
      <c r="MW195" s="978"/>
      <c r="MX195" s="978"/>
      <c r="MY195" s="978"/>
      <c r="MZ195" s="978"/>
      <c r="NA195" s="978"/>
      <c r="NB195" s="978"/>
      <c r="NC195" s="978"/>
      <c r="ND195" s="978"/>
      <c r="NE195" s="978"/>
      <c r="NF195" s="978"/>
      <c r="NG195" s="978"/>
      <c r="NH195" s="978"/>
      <c r="NI195" s="978"/>
      <c r="NJ195" s="978"/>
      <c r="NK195" s="978"/>
      <c r="NL195" s="978"/>
      <c r="NM195" s="978"/>
      <c r="NN195" s="978"/>
      <c r="NO195" s="978"/>
      <c r="NP195" s="978"/>
      <c r="NQ195" s="978"/>
      <c r="NR195" s="978"/>
      <c r="NS195" s="978"/>
      <c r="NT195" s="978"/>
      <c r="NU195" s="978"/>
      <c r="NV195" s="978"/>
      <c r="NW195" s="978"/>
      <c r="NX195" s="978"/>
      <c r="NY195" s="978"/>
      <c r="NZ195" s="978"/>
      <c r="OA195" s="978"/>
      <c r="OB195" s="978"/>
      <c r="OC195" s="978"/>
      <c r="OD195" s="978"/>
      <c r="OE195" s="978"/>
      <c r="OF195" s="978"/>
      <c r="OG195" s="978"/>
      <c r="OH195" s="978"/>
      <c r="OI195" s="978"/>
      <c r="OJ195" s="978"/>
      <c r="OK195" s="978"/>
      <c r="OL195" s="978"/>
      <c r="OM195" s="978"/>
      <c r="ON195" s="978"/>
      <c r="OO195" s="978"/>
      <c r="OP195" s="978"/>
      <c r="OQ195" s="978"/>
      <c r="OR195" s="978"/>
      <c r="OS195" s="978"/>
      <c r="OT195" s="978"/>
      <c r="OU195" s="978"/>
      <c r="OV195" s="978"/>
      <c r="OW195" s="978"/>
      <c r="OX195" s="978"/>
      <c r="OY195" s="978"/>
      <c r="OZ195" s="978"/>
      <c r="PA195" s="978"/>
      <c r="PB195" s="978"/>
      <c r="PC195" s="978"/>
      <c r="PD195" s="978"/>
      <c r="PE195" s="978"/>
      <c r="PF195" s="978"/>
      <c r="PG195" s="978"/>
      <c r="PH195" s="978"/>
      <c r="PI195" s="978"/>
      <c r="PJ195" s="978"/>
      <c r="PK195" s="978"/>
      <c r="PL195" s="978"/>
      <c r="PM195" s="978"/>
      <c r="PN195" s="978"/>
      <c r="PO195" s="978"/>
      <c r="PP195" s="978"/>
      <c r="PQ195" s="978"/>
      <c r="PR195" s="978"/>
      <c r="PS195" s="978"/>
      <c r="PT195" s="978"/>
      <c r="PU195" s="978"/>
      <c r="PV195" s="978"/>
      <c r="PW195" s="978"/>
      <c r="PX195" s="978"/>
      <c r="PY195" s="978"/>
      <c r="PZ195" s="978"/>
      <c r="QA195" s="978"/>
      <c r="QB195" s="978"/>
      <c r="QC195" s="978"/>
      <c r="QD195" s="978"/>
      <c r="QE195" s="978"/>
      <c r="QF195" s="978"/>
      <c r="QG195" s="978"/>
      <c r="QH195" s="978"/>
      <c r="QI195" s="978"/>
      <c r="QJ195" s="978"/>
      <c r="QK195" s="978"/>
      <c r="QL195" s="978"/>
      <c r="QM195" s="978"/>
      <c r="QN195" s="978"/>
      <c r="QO195" s="978"/>
      <c r="QP195" s="978"/>
      <c r="QQ195" s="978"/>
      <c r="QR195" s="978"/>
      <c r="QS195" s="978"/>
      <c r="QT195" s="978"/>
      <c r="QU195" s="978"/>
      <c r="QV195" s="978"/>
      <c r="QW195" s="978"/>
      <c r="QX195" s="978"/>
      <c r="QY195" s="978"/>
      <c r="QZ195" s="978"/>
      <c r="RA195" s="978"/>
      <c r="RB195" s="274"/>
      <c r="RC195" s="274"/>
    </row>
    <row r="196" spans="112:471" ht="17.25">
      <c r="DH196" s="274"/>
      <c r="DI196" s="274"/>
      <c r="DJ196" s="978"/>
      <c r="DK196" s="978"/>
      <c r="DL196" s="978"/>
      <c r="DM196" s="978"/>
      <c r="DN196" s="978"/>
      <c r="DO196" s="978"/>
      <c r="DP196" s="978"/>
      <c r="DQ196" s="978"/>
      <c r="DR196" s="978"/>
      <c r="DS196" s="978"/>
      <c r="DT196" s="978"/>
      <c r="DU196" s="978"/>
      <c r="DV196" s="978"/>
      <c r="DW196" s="978"/>
      <c r="DX196" s="978"/>
      <c r="DY196" s="978"/>
      <c r="DZ196" s="978"/>
      <c r="EA196" s="978"/>
      <c r="EB196" s="978"/>
      <c r="EC196" s="978"/>
      <c r="ED196" s="978"/>
      <c r="EE196" s="978"/>
      <c r="EF196" s="978"/>
      <c r="EG196" s="978"/>
      <c r="EH196" s="978"/>
      <c r="EI196" s="978"/>
      <c r="EJ196" s="978"/>
      <c r="EK196" s="978"/>
      <c r="EL196" s="978"/>
      <c r="EM196" s="978"/>
      <c r="EN196" s="978"/>
      <c r="EO196" s="978"/>
      <c r="EP196" s="978"/>
      <c r="EQ196" s="978"/>
      <c r="ER196" s="978"/>
      <c r="ES196" s="978"/>
      <c r="ET196" s="978"/>
      <c r="EU196" s="978"/>
      <c r="EV196" s="978"/>
      <c r="EW196" s="978"/>
      <c r="EX196" s="978"/>
      <c r="EY196" s="978"/>
      <c r="EZ196" s="978"/>
      <c r="FA196" s="978"/>
      <c r="FB196" s="978"/>
      <c r="FC196" s="978"/>
      <c r="FD196" s="978"/>
      <c r="FE196" s="978"/>
      <c r="FF196" s="978"/>
      <c r="FG196" s="978"/>
      <c r="FH196" s="978"/>
      <c r="FI196" s="978"/>
      <c r="FJ196" s="978"/>
      <c r="FK196" s="978"/>
      <c r="FL196" s="978"/>
      <c r="FM196" s="978"/>
      <c r="FN196" s="978"/>
      <c r="FO196" s="978"/>
      <c r="FP196" s="978"/>
      <c r="FQ196" s="978"/>
      <c r="FR196" s="978"/>
      <c r="FS196" s="978"/>
      <c r="FT196" s="978"/>
      <c r="FU196" s="978"/>
      <c r="FV196" s="978"/>
      <c r="FW196" s="978"/>
      <c r="FX196" s="978"/>
      <c r="FY196" s="978"/>
      <c r="FZ196" s="978"/>
      <c r="GA196" s="978"/>
      <c r="GB196" s="978"/>
      <c r="GC196" s="978"/>
      <c r="GD196" s="978"/>
      <c r="GE196" s="978"/>
      <c r="GF196" s="978"/>
      <c r="GG196" s="978"/>
      <c r="GH196" s="978"/>
      <c r="GI196" s="978"/>
      <c r="GJ196" s="978"/>
      <c r="GK196" s="978"/>
      <c r="GL196" s="978"/>
      <c r="GM196" s="978"/>
      <c r="GN196" s="978"/>
      <c r="GO196" s="978"/>
      <c r="GP196" s="978"/>
      <c r="GQ196" s="978"/>
      <c r="GR196" s="978"/>
      <c r="GS196" s="978"/>
      <c r="GT196" s="978"/>
      <c r="GU196" s="978"/>
      <c r="GV196" s="978"/>
      <c r="GW196" s="978"/>
      <c r="GX196" s="978"/>
      <c r="GY196" s="978"/>
      <c r="GZ196" s="978"/>
      <c r="HA196" s="978"/>
      <c r="HB196" s="978"/>
      <c r="HC196" s="978"/>
      <c r="HD196" s="978"/>
      <c r="HE196" s="978"/>
      <c r="HF196" s="978"/>
      <c r="HG196" s="978"/>
      <c r="HH196" s="978"/>
      <c r="HI196" s="978"/>
      <c r="HJ196" s="978"/>
      <c r="HK196" s="978"/>
      <c r="HL196" s="978"/>
      <c r="HM196" s="978"/>
      <c r="HN196" s="978"/>
      <c r="HO196" s="978"/>
      <c r="HP196" s="978"/>
      <c r="HQ196" s="978"/>
      <c r="HR196" s="978"/>
      <c r="HS196" s="978"/>
      <c r="HT196" s="978"/>
      <c r="HU196" s="978"/>
      <c r="HV196" s="978"/>
      <c r="HW196" s="978"/>
      <c r="HX196" s="978"/>
      <c r="HY196" s="978"/>
      <c r="HZ196" s="978"/>
      <c r="IA196" s="978"/>
      <c r="IB196" s="978"/>
      <c r="IC196" s="978"/>
      <c r="ID196" s="978"/>
      <c r="IE196" s="978"/>
      <c r="IF196" s="978"/>
      <c r="IG196" s="978"/>
      <c r="IH196" s="978"/>
      <c r="II196" s="978"/>
      <c r="IJ196" s="978"/>
      <c r="IK196" s="978"/>
      <c r="IL196" s="978"/>
      <c r="IM196" s="978"/>
      <c r="IN196" s="978"/>
      <c r="IO196" s="978"/>
      <c r="IP196" s="978"/>
      <c r="IQ196" s="978"/>
      <c r="IR196" s="978"/>
      <c r="IS196" s="978"/>
      <c r="IT196" s="978"/>
      <c r="IU196" s="978"/>
      <c r="IV196" s="978"/>
      <c r="IW196" s="978"/>
      <c r="IX196" s="978"/>
      <c r="IY196" s="978"/>
      <c r="IZ196" s="978"/>
      <c r="JA196" s="978"/>
      <c r="JB196" s="978"/>
      <c r="JC196" s="978"/>
      <c r="JD196" s="978"/>
      <c r="JE196" s="978"/>
      <c r="JF196" s="978"/>
      <c r="JG196" s="978"/>
      <c r="JH196" s="978"/>
      <c r="JI196" s="978"/>
      <c r="JJ196" s="978"/>
      <c r="JK196" s="978"/>
      <c r="JL196" s="978"/>
      <c r="JM196" s="978"/>
      <c r="JN196" s="978"/>
      <c r="JO196" s="978"/>
      <c r="JP196" s="978"/>
      <c r="JQ196" s="978"/>
      <c r="JR196" s="978"/>
      <c r="JS196" s="978"/>
      <c r="JT196" s="978"/>
      <c r="JU196" s="978"/>
      <c r="JV196" s="978"/>
      <c r="JW196" s="978"/>
      <c r="JX196" s="978"/>
      <c r="JY196" s="978"/>
      <c r="JZ196" s="978"/>
      <c r="KA196" s="978"/>
      <c r="KB196" s="978"/>
      <c r="KC196" s="978"/>
      <c r="KD196" s="978"/>
      <c r="KE196" s="978"/>
      <c r="KF196" s="978"/>
      <c r="KG196" s="978"/>
      <c r="KH196" s="978"/>
      <c r="KI196" s="978"/>
      <c r="KJ196" s="978"/>
      <c r="KK196" s="978"/>
      <c r="KL196" s="978"/>
      <c r="KM196" s="978"/>
      <c r="KN196" s="978"/>
      <c r="KO196" s="978"/>
      <c r="KP196" s="978"/>
      <c r="KQ196" s="978"/>
      <c r="KR196" s="978"/>
      <c r="KS196" s="978"/>
      <c r="KT196" s="978"/>
      <c r="KU196" s="978"/>
      <c r="KV196" s="978"/>
      <c r="KW196" s="978"/>
      <c r="KX196" s="978"/>
      <c r="KY196" s="978"/>
      <c r="KZ196" s="978"/>
      <c r="LA196" s="978"/>
      <c r="LB196" s="978"/>
      <c r="LC196" s="978"/>
      <c r="LD196" s="978"/>
      <c r="LE196" s="978"/>
      <c r="LF196" s="978"/>
      <c r="LG196" s="978"/>
      <c r="LH196" s="978"/>
      <c r="LI196" s="978"/>
      <c r="LJ196" s="978"/>
      <c r="LK196" s="978"/>
      <c r="LL196" s="978"/>
      <c r="LM196" s="978"/>
      <c r="LN196" s="978"/>
      <c r="LO196" s="978"/>
      <c r="LP196" s="978"/>
      <c r="LQ196" s="978"/>
      <c r="LR196" s="978"/>
      <c r="LS196" s="978"/>
      <c r="LT196" s="978"/>
      <c r="LU196" s="978"/>
      <c r="LV196" s="978"/>
      <c r="LW196" s="978"/>
      <c r="LX196" s="978"/>
      <c r="LY196" s="978"/>
      <c r="LZ196" s="978"/>
      <c r="MA196" s="978"/>
      <c r="MB196" s="978"/>
      <c r="MC196" s="978"/>
      <c r="MD196" s="978"/>
      <c r="ME196" s="978"/>
      <c r="MF196" s="978"/>
      <c r="MG196" s="978"/>
      <c r="MH196" s="978"/>
      <c r="MI196" s="978"/>
      <c r="MJ196" s="978"/>
      <c r="MK196" s="978"/>
      <c r="ML196" s="978"/>
      <c r="MM196" s="978"/>
      <c r="MN196" s="978"/>
      <c r="MO196" s="978"/>
      <c r="MP196" s="978"/>
      <c r="MQ196" s="978"/>
      <c r="MR196" s="978"/>
      <c r="MS196" s="978"/>
      <c r="MT196" s="978"/>
      <c r="MU196" s="978"/>
      <c r="MV196" s="978"/>
      <c r="MW196" s="978"/>
      <c r="MX196" s="978"/>
      <c r="MY196" s="978"/>
      <c r="MZ196" s="978"/>
      <c r="NA196" s="978"/>
      <c r="NB196" s="978"/>
      <c r="NC196" s="978"/>
      <c r="ND196" s="978"/>
      <c r="NE196" s="978"/>
      <c r="NF196" s="978"/>
      <c r="NG196" s="978"/>
      <c r="NH196" s="978"/>
      <c r="NI196" s="978"/>
      <c r="NJ196" s="978"/>
      <c r="NK196" s="978"/>
      <c r="NL196" s="978"/>
      <c r="NM196" s="978"/>
      <c r="NN196" s="978"/>
      <c r="NO196" s="978"/>
      <c r="NP196" s="978"/>
      <c r="NQ196" s="978"/>
      <c r="NR196" s="978"/>
      <c r="NS196" s="978"/>
      <c r="NT196" s="978"/>
      <c r="NU196" s="978"/>
      <c r="NV196" s="978"/>
      <c r="NW196" s="978"/>
      <c r="NX196" s="978"/>
      <c r="NY196" s="978"/>
      <c r="NZ196" s="978"/>
      <c r="OA196" s="978"/>
      <c r="OB196" s="978"/>
      <c r="OC196" s="978"/>
      <c r="OD196" s="978"/>
      <c r="OE196" s="978"/>
      <c r="OF196" s="978"/>
      <c r="OG196" s="978"/>
      <c r="OH196" s="978"/>
      <c r="OI196" s="978"/>
      <c r="OJ196" s="978"/>
      <c r="OK196" s="978"/>
      <c r="OL196" s="978"/>
      <c r="OM196" s="978"/>
      <c r="ON196" s="978"/>
      <c r="OO196" s="978"/>
      <c r="OP196" s="978"/>
      <c r="OQ196" s="978"/>
      <c r="OR196" s="978"/>
      <c r="OS196" s="978"/>
      <c r="OT196" s="978"/>
      <c r="OU196" s="978"/>
      <c r="OV196" s="978"/>
      <c r="OW196" s="978"/>
      <c r="OX196" s="978"/>
      <c r="OY196" s="978"/>
      <c r="OZ196" s="978"/>
      <c r="PA196" s="978"/>
      <c r="PB196" s="978"/>
      <c r="PC196" s="978"/>
      <c r="PD196" s="978"/>
      <c r="PE196" s="978"/>
      <c r="PF196" s="978"/>
      <c r="PG196" s="978"/>
      <c r="PH196" s="978"/>
      <c r="PI196" s="978"/>
      <c r="PJ196" s="978"/>
      <c r="PK196" s="978"/>
      <c r="PL196" s="978"/>
      <c r="PM196" s="978"/>
      <c r="PN196" s="978"/>
      <c r="PO196" s="978"/>
      <c r="PP196" s="978"/>
      <c r="PQ196" s="978"/>
      <c r="PR196" s="978"/>
      <c r="PS196" s="978"/>
      <c r="PT196" s="978"/>
      <c r="PU196" s="978"/>
      <c r="PV196" s="978"/>
      <c r="PW196" s="978"/>
      <c r="PX196" s="978"/>
      <c r="PY196" s="978"/>
      <c r="PZ196" s="978"/>
      <c r="QA196" s="978"/>
      <c r="QB196" s="978"/>
      <c r="QC196" s="978"/>
      <c r="QD196" s="978"/>
      <c r="QE196" s="978"/>
      <c r="QF196" s="978"/>
      <c r="QG196" s="978"/>
      <c r="QH196" s="978"/>
      <c r="QI196" s="978"/>
      <c r="QJ196" s="978"/>
      <c r="QK196" s="978"/>
      <c r="QL196" s="978"/>
      <c r="QM196" s="978"/>
      <c r="QN196" s="978"/>
      <c r="QO196" s="978"/>
      <c r="QP196" s="978"/>
      <c r="QQ196" s="978"/>
      <c r="QR196" s="978"/>
      <c r="QS196" s="978"/>
      <c r="QT196" s="978"/>
      <c r="QU196" s="978"/>
      <c r="QV196" s="978"/>
      <c r="QW196" s="978"/>
      <c r="QX196" s="978"/>
      <c r="QY196" s="978"/>
      <c r="QZ196" s="978"/>
      <c r="RA196" s="978"/>
      <c r="RB196" s="274"/>
      <c r="RC196" s="274"/>
    </row>
    <row r="197" spans="112:471">
      <c r="DH197" s="274"/>
      <c r="DI197" s="274"/>
      <c r="DJ197" s="274"/>
      <c r="DK197" s="274"/>
      <c r="DL197" s="274"/>
      <c r="DM197" s="274"/>
      <c r="DN197" s="274"/>
      <c r="DO197" s="274"/>
      <c r="DP197" s="274"/>
      <c r="DQ197" s="274"/>
      <c r="DR197" s="274"/>
      <c r="DS197" s="274"/>
      <c r="DT197" s="274"/>
      <c r="DU197" s="274"/>
      <c r="DV197" s="274"/>
      <c r="DW197" s="274"/>
      <c r="DX197" s="274"/>
      <c r="DY197" s="274"/>
      <c r="DZ197" s="274"/>
      <c r="EA197" s="274"/>
      <c r="EB197" s="274"/>
      <c r="EC197" s="274"/>
      <c r="ED197" s="274"/>
      <c r="EE197" s="274"/>
      <c r="EF197" s="274"/>
      <c r="EG197" s="274"/>
      <c r="EH197" s="274"/>
      <c r="EI197" s="274"/>
      <c r="EJ197" s="274"/>
      <c r="EK197" s="274"/>
      <c r="EL197" s="274"/>
      <c r="EM197" s="274"/>
      <c r="EN197" s="274"/>
      <c r="EO197" s="274"/>
      <c r="EP197" s="274"/>
      <c r="EQ197" s="274"/>
      <c r="ER197" s="274"/>
      <c r="ES197" s="274"/>
      <c r="ET197" s="274"/>
      <c r="EU197" s="274"/>
      <c r="EV197" s="274"/>
      <c r="EW197" s="274"/>
      <c r="EX197" s="274"/>
      <c r="EY197" s="274"/>
      <c r="EZ197" s="274"/>
      <c r="FA197" s="274"/>
      <c r="FB197" s="274"/>
      <c r="FC197" s="274"/>
      <c r="FD197" s="274"/>
      <c r="FE197" s="274"/>
      <c r="FF197" s="274"/>
      <c r="FG197" s="274"/>
      <c r="FH197" s="274"/>
      <c r="FI197" s="274"/>
      <c r="FJ197" s="274"/>
      <c r="FK197" s="274"/>
      <c r="FL197" s="274"/>
      <c r="FM197" s="274"/>
      <c r="FN197" s="274"/>
      <c r="FO197" s="274"/>
      <c r="FP197" s="274"/>
      <c r="FQ197" s="274"/>
      <c r="FR197" s="274"/>
      <c r="FS197" s="274"/>
      <c r="FT197" s="274"/>
      <c r="FU197" s="274"/>
      <c r="FV197" s="274"/>
      <c r="FW197" s="274"/>
      <c r="FX197" s="274"/>
      <c r="FY197" s="274"/>
      <c r="FZ197" s="274"/>
      <c r="GA197" s="274"/>
      <c r="GB197" s="274"/>
      <c r="GC197" s="274"/>
      <c r="GD197" s="274"/>
      <c r="GE197" s="274"/>
      <c r="GF197" s="274"/>
      <c r="GG197" s="274"/>
      <c r="GH197" s="274"/>
      <c r="GI197" s="274"/>
      <c r="GJ197" s="274"/>
      <c r="GK197" s="274"/>
      <c r="GL197" s="274"/>
      <c r="GM197" s="274"/>
      <c r="GN197" s="274"/>
      <c r="GO197" s="274"/>
      <c r="GP197" s="274"/>
      <c r="GQ197" s="274"/>
      <c r="GR197" s="274"/>
      <c r="GS197" s="274"/>
      <c r="GT197" s="274"/>
      <c r="GU197" s="274"/>
      <c r="GV197" s="274"/>
      <c r="GW197" s="274"/>
      <c r="GX197" s="274"/>
      <c r="GY197" s="274"/>
      <c r="GZ197" s="274"/>
      <c r="HA197" s="274"/>
      <c r="HB197" s="274"/>
      <c r="HC197" s="274"/>
      <c r="HD197" s="274"/>
      <c r="HE197" s="274"/>
      <c r="HF197" s="274"/>
      <c r="HG197" s="274"/>
      <c r="HH197" s="274"/>
      <c r="HI197" s="274"/>
      <c r="HJ197" s="274"/>
      <c r="HK197" s="274"/>
      <c r="HL197" s="274"/>
      <c r="HM197" s="274"/>
      <c r="HN197" s="274"/>
      <c r="HO197" s="274"/>
      <c r="HP197" s="274"/>
      <c r="HQ197" s="274"/>
      <c r="HR197" s="274"/>
      <c r="HS197" s="274"/>
      <c r="HT197" s="274"/>
      <c r="HU197" s="274"/>
      <c r="HV197" s="274"/>
      <c r="HW197" s="274"/>
      <c r="HX197" s="274"/>
      <c r="HY197" s="274"/>
      <c r="HZ197" s="274"/>
      <c r="IA197" s="274"/>
      <c r="IB197" s="274"/>
      <c r="IC197" s="274"/>
      <c r="ID197" s="274"/>
      <c r="IE197" s="274"/>
      <c r="IF197" s="274"/>
      <c r="IG197" s="274"/>
      <c r="IH197" s="274"/>
      <c r="II197" s="274"/>
      <c r="IJ197" s="274"/>
      <c r="IK197" s="274"/>
      <c r="IL197" s="274"/>
      <c r="IM197" s="274"/>
      <c r="IN197" s="274"/>
      <c r="IO197" s="274"/>
      <c r="IP197" s="274"/>
      <c r="IQ197" s="274"/>
      <c r="IR197" s="274"/>
      <c r="IS197" s="274"/>
      <c r="IT197" s="274"/>
      <c r="IU197" s="274"/>
      <c r="IV197" s="274"/>
      <c r="IW197" s="274"/>
      <c r="IX197" s="274"/>
      <c r="IY197" s="274"/>
      <c r="IZ197" s="274"/>
      <c r="JA197" s="274"/>
      <c r="JB197" s="274"/>
      <c r="JC197" s="274"/>
      <c r="JD197" s="274"/>
      <c r="JE197" s="274"/>
      <c r="JF197" s="274"/>
      <c r="JG197" s="274"/>
      <c r="JH197" s="274"/>
      <c r="JI197" s="274"/>
      <c r="JJ197" s="274"/>
      <c r="JK197" s="274"/>
      <c r="JL197" s="274"/>
      <c r="JM197" s="274"/>
      <c r="JN197" s="274"/>
      <c r="JO197" s="274"/>
      <c r="JP197" s="274"/>
      <c r="JQ197" s="274"/>
      <c r="JR197" s="274"/>
      <c r="JS197" s="274"/>
      <c r="JT197" s="274"/>
      <c r="JU197" s="274"/>
      <c r="JV197" s="274"/>
      <c r="JW197" s="274"/>
      <c r="JX197" s="274"/>
      <c r="JY197" s="274"/>
      <c r="JZ197" s="274"/>
      <c r="KA197" s="274"/>
      <c r="KB197" s="274"/>
      <c r="KC197" s="274"/>
      <c r="KD197" s="274"/>
      <c r="KE197" s="274"/>
      <c r="KF197" s="274"/>
      <c r="KG197" s="274"/>
      <c r="KH197" s="274"/>
      <c r="KI197" s="274"/>
      <c r="KJ197" s="274"/>
      <c r="KK197" s="274"/>
      <c r="KL197" s="274"/>
      <c r="KM197" s="274"/>
      <c r="KN197" s="274"/>
      <c r="KO197" s="274"/>
      <c r="KP197" s="274"/>
      <c r="KQ197" s="274"/>
      <c r="KR197" s="274"/>
      <c r="KS197" s="274"/>
      <c r="KT197" s="274"/>
      <c r="KU197" s="274"/>
      <c r="KV197" s="274"/>
      <c r="KW197" s="274"/>
      <c r="KX197" s="274"/>
      <c r="KY197" s="274"/>
      <c r="KZ197" s="274"/>
      <c r="LA197" s="274"/>
      <c r="LB197" s="274"/>
      <c r="LC197" s="274"/>
      <c r="LD197" s="274"/>
      <c r="LE197" s="274"/>
      <c r="LF197" s="274"/>
      <c r="LG197" s="274"/>
      <c r="LH197" s="274"/>
      <c r="LI197" s="274"/>
      <c r="LJ197" s="274"/>
      <c r="LK197" s="274"/>
      <c r="LL197" s="274"/>
      <c r="LM197" s="274"/>
      <c r="LN197" s="274"/>
      <c r="LO197" s="274"/>
      <c r="LP197" s="274"/>
      <c r="LQ197" s="274"/>
      <c r="LR197" s="274"/>
      <c r="LS197" s="274"/>
      <c r="LT197" s="274"/>
      <c r="LU197" s="274"/>
      <c r="LV197" s="274"/>
      <c r="LW197" s="274"/>
      <c r="LX197" s="274"/>
      <c r="LY197" s="274"/>
      <c r="LZ197" s="274"/>
      <c r="MA197" s="274"/>
      <c r="MB197" s="274"/>
      <c r="MC197" s="274"/>
      <c r="MD197" s="274"/>
      <c r="ME197" s="274"/>
      <c r="MF197" s="274"/>
      <c r="MG197" s="274"/>
      <c r="MH197" s="274"/>
      <c r="MI197" s="274"/>
      <c r="MJ197" s="274"/>
      <c r="MK197" s="274"/>
      <c r="ML197" s="274"/>
      <c r="MM197" s="274"/>
      <c r="MN197" s="274"/>
      <c r="MO197" s="274"/>
      <c r="MP197" s="274"/>
      <c r="MQ197" s="274"/>
      <c r="MR197" s="274"/>
      <c r="MS197" s="274"/>
      <c r="MT197" s="274"/>
      <c r="MU197" s="274"/>
      <c r="MV197" s="274"/>
      <c r="MW197" s="274"/>
      <c r="MX197" s="274"/>
      <c r="MY197" s="274"/>
      <c r="MZ197" s="274"/>
      <c r="NA197" s="274"/>
      <c r="NB197" s="274"/>
      <c r="NC197" s="274"/>
      <c r="ND197" s="274"/>
      <c r="NE197" s="274"/>
      <c r="NF197" s="274"/>
      <c r="NG197" s="274"/>
      <c r="NH197" s="274"/>
      <c r="NI197" s="274"/>
      <c r="NJ197" s="274"/>
      <c r="NK197" s="274"/>
      <c r="NL197" s="274"/>
      <c r="NM197" s="274"/>
      <c r="NN197" s="274"/>
      <c r="NO197" s="274"/>
      <c r="NP197" s="274"/>
      <c r="NQ197" s="274"/>
      <c r="NR197" s="274"/>
      <c r="NS197" s="274"/>
      <c r="NT197" s="274"/>
      <c r="NU197" s="274"/>
      <c r="NV197" s="274"/>
      <c r="NW197" s="274"/>
      <c r="NX197" s="274"/>
      <c r="NY197" s="274"/>
      <c r="NZ197" s="274"/>
      <c r="OA197" s="274"/>
      <c r="OB197" s="274"/>
      <c r="OC197" s="274"/>
      <c r="OD197" s="274"/>
      <c r="OE197" s="274"/>
      <c r="OF197" s="274"/>
      <c r="OG197" s="274"/>
      <c r="OH197" s="274"/>
      <c r="OI197" s="274"/>
      <c r="OJ197" s="274"/>
      <c r="OK197" s="274"/>
      <c r="OL197" s="274"/>
      <c r="OM197" s="274"/>
      <c r="ON197" s="274"/>
      <c r="OO197" s="274"/>
      <c r="OP197" s="274"/>
      <c r="OQ197" s="274"/>
      <c r="OR197" s="274"/>
      <c r="OS197" s="274"/>
      <c r="OT197" s="274"/>
      <c r="OU197" s="274"/>
      <c r="OV197" s="274"/>
      <c r="OW197" s="274"/>
      <c r="OX197" s="274"/>
      <c r="OY197" s="274"/>
      <c r="OZ197" s="274"/>
      <c r="PA197" s="274"/>
      <c r="PB197" s="274"/>
      <c r="PC197" s="274"/>
      <c r="PD197" s="274"/>
      <c r="PE197" s="274"/>
      <c r="PF197" s="274"/>
      <c r="PG197" s="274"/>
      <c r="PH197" s="274"/>
      <c r="PI197" s="274"/>
      <c r="PJ197" s="274"/>
      <c r="PK197" s="274"/>
      <c r="PL197" s="274"/>
      <c r="PM197" s="274"/>
      <c r="PN197" s="274"/>
      <c r="PO197" s="274"/>
      <c r="PP197" s="274"/>
      <c r="PQ197" s="274"/>
      <c r="PR197" s="274"/>
      <c r="PS197" s="274"/>
      <c r="PT197" s="274"/>
      <c r="PU197" s="274"/>
      <c r="PV197" s="274"/>
      <c r="PW197" s="274"/>
      <c r="PX197" s="274"/>
      <c r="PY197" s="274"/>
      <c r="PZ197" s="274"/>
      <c r="QA197" s="274"/>
      <c r="QB197" s="274"/>
      <c r="QC197" s="274"/>
      <c r="QD197" s="274"/>
      <c r="QE197" s="274"/>
      <c r="QF197" s="274"/>
      <c r="QG197" s="274"/>
      <c r="QH197" s="274"/>
      <c r="QI197" s="274"/>
      <c r="QJ197" s="274"/>
      <c r="QK197" s="274"/>
      <c r="QL197" s="274"/>
      <c r="QM197" s="274"/>
      <c r="QN197" s="274"/>
      <c r="QO197" s="274"/>
      <c r="QP197" s="274"/>
      <c r="QQ197" s="274"/>
      <c r="QR197" s="274"/>
      <c r="QS197" s="274"/>
      <c r="QT197" s="274"/>
      <c r="QU197" s="274"/>
      <c r="QV197" s="274"/>
      <c r="QW197" s="274"/>
      <c r="QX197" s="274"/>
      <c r="QY197" s="274"/>
      <c r="QZ197" s="274"/>
      <c r="RA197" s="274"/>
      <c r="RB197" s="274"/>
      <c r="RC197" s="274"/>
    </row>
    <row r="198" spans="112:471">
      <c r="DH198" s="274"/>
      <c r="DI198" s="274"/>
      <c r="DJ198" s="274"/>
      <c r="DK198" s="274"/>
      <c r="DL198" s="274"/>
      <c r="DM198" s="274"/>
      <c r="DN198" s="274"/>
      <c r="DO198" s="274"/>
      <c r="DP198" s="274"/>
      <c r="DQ198" s="274"/>
      <c r="DR198" s="274"/>
      <c r="DS198" s="274"/>
      <c r="DT198" s="274"/>
      <c r="DU198" s="274"/>
      <c r="DV198" s="274"/>
      <c r="DW198" s="274"/>
      <c r="DX198" s="274"/>
      <c r="DY198" s="274"/>
      <c r="DZ198" s="274"/>
      <c r="EA198" s="274"/>
      <c r="EB198" s="274"/>
      <c r="EC198" s="274"/>
      <c r="ED198" s="274"/>
      <c r="EE198" s="274"/>
      <c r="EF198" s="274"/>
      <c r="EG198" s="274"/>
      <c r="EH198" s="274"/>
      <c r="EI198" s="274"/>
      <c r="EJ198" s="274"/>
      <c r="EK198" s="274"/>
      <c r="EL198" s="274"/>
      <c r="EM198" s="274"/>
      <c r="EN198" s="274"/>
      <c r="EO198" s="274"/>
      <c r="EP198" s="274"/>
      <c r="EQ198" s="274"/>
      <c r="ER198" s="274"/>
      <c r="ES198" s="274"/>
      <c r="ET198" s="274"/>
      <c r="EU198" s="274"/>
      <c r="EV198" s="274"/>
      <c r="EW198" s="274"/>
      <c r="EX198" s="274"/>
      <c r="EY198" s="274"/>
      <c r="EZ198" s="274"/>
      <c r="FA198" s="274"/>
      <c r="FB198" s="274"/>
      <c r="FC198" s="274"/>
      <c r="FD198" s="274"/>
      <c r="FE198" s="274"/>
      <c r="FF198" s="274"/>
      <c r="FG198" s="274"/>
      <c r="FH198" s="274"/>
      <c r="FI198" s="274"/>
      <c r="FJ198" s="274"/>
      <c r="FK198" s="274"/>
      <c r="FL198" s="274"/>
      <c r="FM198" s="274"/>
      <c r="FN198" s="274"/>
      <c r="FO198" s="274"/>
      <c r="FP198" s="274"/>
      <c r="FQ198" s="274"/>
      <c r="FR198" s="274"/>
      <c r="FS198" s="274"/>
      <c r="FT198" s="274"/>
      <c r="FU198" s="274"/>
      <c r="FV198" s="274"/>
      <c r="FW198" s="274"/>
      <c r="FX198" s="274"/>
      <c r="FY198" s="274"/>
      <c r="FZ198" s="274"/>
      <c r="GA198" s="274"/>
      <c r="GB198" s="274"/>
      <c r="GC198" s="274"/>
      <c r="GD198" s="274"/>
      <c r="GE198" s="274"/>
      <c r="GF198" s="274"/>
      <c r="GG198" s="274"/>
      <c r="GH198" s="274"/>
      <c r="GI198" s="274"/>
      <c r="GJ198" s="274"/>
      <c r="GK198" s="274"/>
      <c r="GL198" s="274"/>
      <c r="GM198" s="274"/>
      <c r="GN198" s="274"/>
      <c r="GO198" s="274"/>
      <c r="GP198" s="274"/>
      <c r="GQ198" s="274"/>
      <c r="GR198" s="274"/>
      <c r="GS198" s="274"/>
      <c r="GT198" s="274"/>
      <c r="GU198" s="274"/>
      <c r="GV198" s="274"/>
      <c r="GW198" s="274"/>
      <c r="GX198" s="274"/>
      <c r="GY198" s="274"/>
      <c r="GZ198" s="274"/>
      <c r="HA198" s="274"/>
      <c r="HB198" s="274"/>
      <c r="HC198" s="274"/>
      <c r="HD198" s="274"/>
      <c r="HE198" s="274"/>
      <c r="HF198" s="274"/>
      <c r="HG198" s="274"/>
      <c r="HH198" s="274"/>
      <c r="HI198" s="274"/>
      <c r="HJ198" s="274"/>
      <c r="HK198" s="274"/>
      <c r="HL198" s="274"/>
      <c r="HM198" s="274"/>
      <c r="HN198" s="274"/>
      <c r="HO198" s="274"/>
      <c r="HP198" s="274"/>
      <c r="HQ198" s="274"/>
      <c r="HR198" s="274"/>
      <c r="HS198" s="274"/>
      <c r="HT198" s="274"/>
      <c r="HU198" s="274"/>
      <c r="HV198" s="274"/>
      <c r="HW198" s="274"/>
      <c r="HX198" s="274"/>
      <c r="HY198" s="274"/>
      <c r="HZ198" s="274"/>
      <c r="IA198" s="274"/>
      <c r="IB198" s="274"/>
      <c r="IC198" s="274"/>
      <c r="ID198" s="274"/>
      <c r="IE198" s="274"/>
      <c r="IF198" s="274"/>
      <c r="IG198" s="274"/>
      <c r="IH198" s="274"/>
      <c r="II198" s="274"/>
      <c r="IJ198" s="274"/>
      <c r="IK198" s="274"/>
      <c r="IL198" s="274"/>
      <c r="IM198" s="274"/>
      <c r="IN198" s="274"/>
      <c r="IO198" s="274"/>
      <c r="IP198" s="274"/>
      <c r="IQ198" s="274"/>
      <c r="IR198" s="274"/>
      <c r="IS198" s="274"/>
      <c r="IT198" s="274"/>
      <c r="IU198" s="274"/>
      <c r="IV198" s="274"/>
      <c r="IW198" s="274"/>
      <c r="IX198" s="274"/>
      <c r="IY198" s="274"/>
      <c r="IZ198" s="274"/>
      <c r="JA198" s="274"/>
      <c r="JB198" s="274"/>
      <c r="JC198" s="274"/>
      <c r="JD198" s="274"/>
      <c r="JE198" s="274"/>
      <c r="JF198" s="274"/>
      <c r="JG198" s="274"/>
      <c r="JH198" s="274"/>
      <c r="JI198" s="274"/>
      <c r="JJ198" s="274"/>
      <c r="JK198" s="274"/>
      <c r="JL198" s="274"/>
      <c r="JM198" s="274"/>
      <c r="JN198" s="274"/>
      <c r="JO198" s="274"/>
      <c r="JP198" s="274"/>
      <c r="JQ198" s="274"/>
      <c r="JR198" s="274"/>
      <c r="JS198" s="274"/>
      <c r="JT198" s="274"/>
      <c r="JU198" s="274"/>
      <c r="JV198" s="274"/>
      <c r="JW198" s="274"/>
      <c r="JX198" s="274"/>
      <c r="JY198" s="274"/>
      <c r="JZ198" s="274"/>
      <c r="KA198" s="274"/>
      <c r="KB198" s="274"/>
      <c r="KC198" s="274"/>
      <c r="KD198" s="274"/>
      <c r="KE198" s="274"/>
      <c r="KF198" s="274"/>
      <c r="KG198" s="274"/>
      <c r="KH198" s="274"/>
      <c r="KI198" s="274"/>
      <c r="KJ198" s="274"/>
      <c r="KK198" s="274"/>
      <c r="KL198" s="274"/>
      <c r="KM198" s="274"/>
      <c r="KN198" s="274"/>
      <c r="KO198" s="274"/>
      <c r="KP198" s="274"/>
      <c r="KQ198" s="274"/>
      <c r="KR198" s="274"/>
      <c r="KS198" s="274"/>
      <c r="KT198" s="274"/>
      <c r="KU198" s="274"/>
      <c r="KV198" s="274"/>
      <c r="KW198" s="274"/>
      <c r="KX198" s="274"/>
      <c r="KY198" s="274"/>
      <c r="KZ198" s="274"/>
      <c r="LA198" s="274"/>
      <c r="LB198" s="274"/>
      <c r="LC198" s="274"/>
      <c r="LD198" s="274"/>
      <c r="LE198" s="274"/>
      <c r="LF198" s="274"/>
      <c r="LG198" s="274"/>
      <c r="LH198" s="274"/>
      <c r="LI198" s="274"/>
      <c r="LJ198" s="274"/>
      <c r="LK198" s="274"/>
      <c r="LL198" s="274"/>
      <c r="LM198" s="274"/>
      <c r="LN198" s="274"/>
      <c r="LO198" s="274"/>
      <c r="LP198" s="274"/>
      <c r="LQ198" s="274"/>
      <c r="LR198" s="274"/>
      <c r="LS198" s="274"/>
      <c r="LT198" s="274"/>
      <c r="LU198" s="274"/>
      <c r="LV198" s="274"/>
      <c r="LW198" s="274"/>
      <c r="LX198" s="274"/>
      <c r="LY198" s="274"/>
      <c r="LZ198" s="274"/>
      <c r="MA198" s="274"/>
      <c r="MB198" s="274"/>
      <c r="MC198" s="274"/>
      <c r="MD198" s="274"/>
      <c r="ME198" s="274"/>
      <c r="MF198" s="274"/>
      <c r="MG198" s="274"/>
      <c r="MH198" s="274"/>
      <c r="MI198" s="274"/>
      <c r="MJ198" s="274"/>
      <c r="MK198" s="274"/>
      <c r="ML198" s="274"/>
      <c r="MM198" s="274"/>
      <c r="MN198" s="274"/>
      <c r="MO198" s="274"/>
      <c r="MP198" s="274"/>
      <c r="MQ198" s="274"/>
      <c r="MR198" s="274"/>
      <c r="MS198" s="274"/>
      <c r="MT198" s="274"/>
      <c r="MU198" s="274"/>
      <c r="MV198" s="274"/>
      <c r="MW198" s="274"/>
      <c r="MX198" s="274"/>
      <c r="MY198" s="274"/>
      <c r="MZ198" s="274"/>
      <c r="NA198" s="274"/>
      <c r="NB198" s="274"/>
      <c r="NC198" s="274"/>
      <c r="ND198" s="274"/>
      <c r="NE198" s="274"/>
      <c r="NF198" s="274"/>
      <c r="NG198" s="274"/>
      <c r="NH198" s="274"/>
      <c r="NI198" s="274"/>
      <c r="NJ198" s="274"/>
      <c r="NK198" s="274"/>
      <c r="NL198" s="274"/>
      <c r="NM198" s="274"/>
      <c r="NN198" s="274"/>
      <c r="NO198" s="274"/>
      <c r="NP198" s="274"/>
      <c r="NQ198" s="274"/>
      <c r="NR198" s="274"/>
      <c r="NS198" s="274"/>
      <c r="NT198" s="274"/>
      <c r="NU198" s="274"/>
      <c r="NV198" s="274"/>
      <c r="NW198" s="274"/>
      <c r="NX198" s="274"/>
      <c r="NY198" s="274"/>
      <c r="NZ198" s="274"/>
      <c r="OA198" s="274"/>
      <c r="OB198" s="274"/>
      <c r="OC198" s="274"/>
      <c r="OD198" s="274"/>
      <c r="OE198" s="274"/>
      <c r="OF198" s="274"/>
      <c r="OG198" s="274"/>
      <c r="OH198" s="274"/>
      <c r="OI198" s="274"/>
      <c r="OJ198" s="274"/>
      <c r="OK198" s="274"/>
      <c r="OL198" s="274"/>
      <c r="OM198" s="274"/>
      <c r="ON198" s="274"/>
      <c r="OO198" s="274"/>
      <c r="OP198" s="274"/>
      <c r="OQ198" s="274"/>
      <c r="OR198" s="274"/>
      <c r="OS198" s="274"/>
      <c r="OT198" s="274"/>
      <c r="OU198" s="274"/>
      <c r="OV198" s="274"/>
      <c r="OW198" s="274"/>
      <c r="OX198" s="274"/>
      <c r="OY198" s="274"/>
      <c r="OZ198" s="274"/>
      <c r="PA198" s="274"/>
      <c r="PB198" s="274"/>
      <c r="PC198" s="274"/>
      <c r="PD198" s="274"/>
      <c r="PE198" s="274"/>
      <c r="PF198" s="274"/>
      <c r="PG198" s="274"/>
      <c r="PH198" s="274"/>
      <c r="PI198" s="274"/>
      <c r="PJ198" s="274"/>
      <c r="PK198" s="274"/>
      <c r="PL198" s="274"/>
      <c r="PM198" s="274"/>
      <c r="PN198" s="274"/>
      <c r="PO198" s="274"/>
      <c r="PP198" s="274"/>
      <c r="PQ198" s="274"/>
      <c r="PR198" s="274"/>
      <c r="PS198" s="274"/>
      <c r="PT198" s="274"/>
      <c r="PU198" s="274"/>
      <c r="PV198" s="274"/>
      <c r="PW198" s="274"/>
      <c r="PX198" s="274"/>
      <c r="PY198" s="274"/>
      <c r="PZ198" s="274"/>
      <c r="QA198" s="274"/>
      <c r="QB198" s="274"/>
      <c r="QC198" s="274"/>
      <c r="QD198" s="274"/>
      <c r="QE198" s="274"/>
      <c r="QF198" s="274"/>
      <c r="QG198" s="274"/>
      <c r="QH198" s="274"/>
      <c r="QI198" s="274"/>
      <c r="QJ198" s="274"/>
      <c r="QK198" s="274"/>
      <c r="QL198" s="274"/>
      <c r="QM198" s="274"/>
      <c r="QN198" s="274"/>
      <c r="QO198" s="274"/>
      <c r="QP198" s="274"/>
      <c r="QQ198" s="274"/>
      <c r="QR198" s="274"/>
      <c r="QS198" s="274"/>
      <c r="QT198" s="274"/>
      <c r="QU198" s="274"/>
      <c r="QV198" s="274"/>
      <c r="QW198" s="274"/>
      <c r="QX198" s="274"/>
      <c r="QY198" s="274"/>
      <c r="QZ198" s="274"/>
      <c r="RA198" s="274"/>
      <c r="RB198" s="274"/>
      <c r="RC198" s="274"/>
    </row>
    <row r="199" spans="112:471" ht="17.25">
      <c r="DH199" s="274"/>
      <c r="DI199" s="274"/>
      <c r="DJ199" s="978"/>
      <c r="DK199" s="274"/>
      <c r="DL199" s="274"/>
      <c r="DM199" s="274"/>
      <c r="DN199" s="274"/>
      <c r="DO199" s="274"/>
      <c r="DP199" s="274"/>
      <c r="DQ199" s="274"/>
      <c r="DR199" s="274"/>
      <c r="DS199" s="274"/>
      <c r="DT199" s="274"/>
      <c r="DU199" s="274"/>
      <c r="DV199" s="274"/>
      <c r="DW199" s="274"/>
      <c r="DX199" s="274"/>
      <c r="DY199" s="274"/>
      <c r="DZ199" s="274"/>
      <c r="EA199" s="274"/>
      <c r="EB199" s="274"/>
      <c r="EC199" s="274"/>
      <c r="ED199" s="274"/>
      <c r="EE199" s="274"/>
      <c r="EF199" s="274"/>
      <c r="EG199" s="274"/>
      <c r="EH199" s="274"/>
      <c r="EI199" s="274"/>
      <c r="EJ199" s="274"/>
      <c r="EK199" s="274"/>
      <c r="EL199" s="274"/>
      <c r="EM199" s="274"/>
      <c r="EN199" s="274"/>
      <c r="EO199" s="274"/>
      <c r="EP199" s="274"/>
      <c r="EQ199" s="274"/>
      <c r="ER199" s="274"/>
      <c r="ES199" s="274"/>
      <c r="ET199" s="274"/>
      <c r="EU199" s="274"/>
      <c r="EV199" s="274"/>
      <c r="EW199" s="274"/>
      <c r="EX199" s="274"/>
      <c r="EY199" s="274"/>
      <c r="EZ199" s="274"/>
      <c r="FA199" s="274"/>
      <c r="FB199" s="274"/>
      <c r="FC199" s="274"/>
      <c r="FD199" s="274"/>
      <c r="FE199" s="274"/>
      <c r="FF199" s="274"/>
      <c r="FG199" s="274"/>
      <c r="FH199" s="274"/>
      <c r="FI199" s="274"/>
      <c r="FJ199" s="274"/>
      <c r="FK199" s="274"/>
      <c r="FL199" s="274"/>
      <c r="FM199" s="274"/>
      <c r="FN199" s="274"/>
      <c r="FO199" s="274"/>
      <c r="FP199" s="274"/>
      <c r="FQ199" s="274"/>
      <c r="FR199" s="274"/>
      <c r="FS199" s="274"/>
      <c r="FT199" s="274"/>
      <c r="FU199" s="274"/>
      <c r="FV199" s="274"/>
      <c r="FW199" s="274"/>
      <c r="FX199" s="274"/>
      <c r="FY199" s="274"/>
      <c r="FZ199" s="274"/>
      <c r="GA199" s="274"/>
      <c r="GB199" s="274"/>
      <c r="GC199" s="274"/>
      <c r="GD199" s="274"/>
      <c r="GE199" s="274"/>
      <c r="GF199" s="274"/>
      <c r="GG199" s="274"/>
      <c r="GH199" s="274"/>
      <c r="GI199" s="274"/>
      <c r="GJ199" s="274"/>
      <c r="GK199" s="274"/>
      <c r="GL199" s="274"/>
      <c r="GM199" s="274"/>
      <c r="GN199" s="274"/>
      <c r="GO199" s="274"/>
      <c r="GP199" s="274"/>
      <c r="GQ199" s="274"/>
      <c r="GR199" s="274"/>
      <c r="GS199" s="274"/>
      <c r="GT199" s="274"/>
      <c r="GU199" s="274"/>
      <c r="GV199" s="274"/>
      <c r="GW199" s="274"/>
      <c r="GX199" s="274"/>
      <c r="GY199" s="274"/>
      <c r="GZ199" s="274"/>
      <c r="HA199" s="274"/>
      <c r="HB199" s="274"/>
      <c r="HC199" s="274"/>
      <c r="HD199" s="274"/>
      <c r="HE199" s="274"/>
      <c r="HF199" s="274"/>
      <c r="HG199" s="274"/>
      <c r="HH199" s="274"/>
      <c r="HI199" s="274"/>
      <c r="HJ199" s="274"/>
      <c r="HK199" s="274"/>
      <c r="HL199" s="274"/>
      <c r="HM199" s="274"/>
      <c r="HN199" s="274"/>
      <c r="HO199" s="274"/>
      <c r="HP199" s="274"/>
      <c r="HQ199" s="274"/>
      <c r="HR199" s="274"/>
      <c r="HS199" s="274"/>
      <c r="HT199" s="274"/>
      <c r="HU199" s="274"/>
      <c r="HV199" s="274"/>
      <c r="HW199" s="274"/>
      <c r="HX199" s="274"/>
      <c r="HY199" s="274"/>
      <c r="HZ199" s="274"/>
      <c r="IA199" s="274"/>
      <c r="IB199" s="274"/>
      <c r="IC199" s="274"/>
      <c r="ID199" s="274"/>
      <c r="IE199" s="274"/>
      <c r="IF199" s="274"/>
      <c r="IG199" s="274"/>
      <c r="IH199" s="274"/>
      <c r="II199" s="274"/>
      <c r="IJ199" s="274"/>
      <c r="IK199" s="274"/>
      <c r="IL199" s="274"/>
      <c r="IM199" s="274"/>
      <c r="IN199" s="274"/>
      <c r="IO199" s="274"/>
      <c r="IP199" s="274"/>
      <c r="IQ199" s="274"/>
      <c r="IR199" s="274"/>
      <c r="IS199" s="274"/>
      <c r="IT199" s="274"/>
      <c r="IU199" s="274"/>
      <c r="IV199" s="274"/>
      <c r="IW199" s="274"/>
      <c r="IX199" s="274"/>
      <c r="IY199" s="274"/>
      <c r="IZ199" s="274"/>
      <c r="JA199" s="274"/>
      <c r="JB199" s="274"/>
      <c r="JC199" s="274"/>
      <c r="JD199" s="274"/>
      <c r="JE199" s="274"/>
      <c r="JF199" s="274"/>
      <c r="JG199" s="274"/>
      <c r="JH199" s="274"/>
      <c r="JI199" s="274"/>
      <c r="JJ199" s="274"/>
      <c r="JK199" s="274"/>
      <c r="JL199" s="274"/>
      <c r="JM199" s="274"/>
      <c r="JN199" s="274"/>
      <c r="JO199" s="274"/>
      <c r="JP199" s="274"/>
      <c r="JQ199" s="274"/>
      <c r="JR199" s="274"/>
      <c r="JS199" s="274"/>
      <c r="JT199" s="274"/>
      <c r="JU199" s="274"/>
      <c r="JV199" s="274"/>
      <c r="JW199" s="274"/>
      <c r="JX199" s="274"/>
      <c r="JY199" s="274"/>
      <c r="JZ199" s="274"/>
      <c r="KA199" s="274"/>
      <c r="KB199" s="274"/>
      <c r="KC199" s="274"/>
      <c r="KD199" s="274"/>
      <c r="KE199" s="274"/>
      <c r="KF199" s="274"/>
      <c r="KG199" s="274"/>
      <c r="KH199" s="274"/>
      <c r="KI199" s="274"/>
      <c r="KJ199" s="274"/>
      <c r="KK199" s="274"/>
      <c r="KL199" s="274"/>
      <c r="KM199" s="274"/>
      <c r="KN199" s="274"/>
      <c r="KO199" s="274"/>
      <c r="KP199" s="274"/>
      <c r="KQ199" s="274"/>
      <c r="KR199" s="274"/>
      <c r="KS199" s="274"/>
      <c r="KT199" s="274"/>
      <c r="KU199" s="274"/>
      <c r="KV199" s="274"/>
      <c r="KW199" s="274"/>
      <c r="KX199" s="274"/>
      <c r="KY199" s="274"/>
      <c r="KZ199" s="274"/>
      <c r="LA199" s="274"/>
      <c r="LB199" s="274"/>
      <c r="LC199" s="274"/>
      <c r="LD199" s="274"/>
      <c r="LE199" s="274"/>
      <c r="LF199" s="274"/>
      <c r="LG199" s="274"/>
      <c r="LH199" s="274"/>
      <c r="LI199" s="274"/>
      <c r="LJ199" s="274"/>
      <c r="LK199" s="274"/>
      <c r="LL199" s="274"/>
      <c r="LM199" s="274"/>
      <c r="LN199" s="274"/>
      <c r="LO199" s="274"/>
      <c r="LP199" s="274"/>
      <c r="LQ199" s="274"/>
      <c r="LR199" s="274"/>
      <c r="LS199" s="274"/>
      <c r="LT199" s="274"/>
      <c r="LU199" s="274"/>
      <c r="LV199" s="274"/>
      <c r="LW199" s="274"/>
      <c r="LX199" s="274"/>
      <c r="LY199" s="274"/>
      <c r="LZ199" s="274"/>
      <c r="MA199" s="274"/>
      <c r="MB199" s="274"/>
      <c r="MC199" s="274"/>
      <c r="MD199" s="274"/>
      <c r="ME199" s="274"/>
      <c r="MF199" s="274"/>
      <c r="MG199" s="274"/>
      <c r="MH199" s="274"/>
      <c r="MI199" s="274"/>
      <c r="MJ199" s="274"/>
      <c r="MK199" s="274"/>
      <c r="ML199" s="274"/>
      <c r="MM199" s="274"/>
      <c r="MN199" s="274"/>
      <c r="MO199" s="274"/>
      <c r="MP199" s="274"/>
      <c r="MQ199" s="274"/>
      <c r="MR199" s="274"/>
      <c r="MS199" s="274"/>
      <c r="MT199" s="274"/>
      <c r="MU199" s="274"/>
      <c r="MV199" s="274"/>
      <c r="MW199" s="274"/>
      <c r="MX199" s="274"/>
      <c r="MY199" s="274"/>
      <c r="MZ199" s="274"/>
      <c r="NA199" s="274"/>
      <c r="NB199" s="274"/>
      <c r="NC199" s="274"/>
      <c r="ND199" s="274"/>
      <c r="NE199" s="274"/>
      <c r="NF199" s="274"/>
      <c r="NG199" s="274"/>
      <c r="NH199" s="274"/>
      <c r="NI199" s="274"/>
      <c r="NJ199" s="274"/>
      <c r="NK199" s="274"/>
      <c r="NL199" s="274"/>
      <c r="NM199" s="274"/>
      <c r="NN199" s="274"/>
      <c r="NO199" s="274"/>
      <c r="NP199" s="274"/>
      <c r="NQ199" s="274"/>
      <c r="NR199" s="274"/>
      <c r="NS199" s="274"/>
      <c r="NT199" s="274"/>
      <c r="NU199" s="274"/>
      <c r="NV199" s="274"/>
      <c r="NW199" s="274"/>
      <c r="NX199" s="274"/>
      <c r="NY199" s="274"/>
      <c r="NZ199" s="274"/>
      <c r="OA199" s="274"/>
      <c r="OB199" s="274"/>
      <c r="OC199" s="274"/>
      <c r="OD199" s="274"/>
      <c r="OE199" s="274"/>
      <c r="OF199" s="274"/>
      <c r="OG199" s="274"/>
      <c r="OH199" s="274"/>
      <c r="OI199" s="274"/>
      <c r="OJ199" s="274"/>
      <c r="OK199" s="274"/>
      <c r="OL199" s="274"/>
      <c r="OM199" s="274"/>
      <c r="ON199" s="274"/>
      <c r="OO199" s="274"/>
      <c r="OP199" s="274"/>
      <c r="OQ199" s="274"/>
      <c r="OR199" s="274"/>
      <c r="OS199" s="274"/>
      <c r="OT199" s="274"/>
      <c r="OU199" s="274"/>
      <c r="OV199" s="274"/>
      <c r="OW199" s="274"/>
      <c r="OX199" s="274"/>
      <c r="OY199" s="274"/>
      <c r="OZ199" s="274"/>
      <c r="PA199" s="274"/>
      <c r="PB199" s="274"/>
      <c r="PC199" s="274"/>
      <c r="PD199" s="274"/>
      <c r="PE199" s="274"/>
      <c r="PF199" s="274"/>
      <c r="PG199" s="274"/>
      <c r="PH199" s="274"/>
      <c r="PI199" s="274"/>
      <c r="PJ199" s="274"/>
      <c r="PK199" s="274"/>
      <c r="PL199" s="274"/>
      <c r="PM199" s="274"/>
      <c r="PN199" s="274"/>
      <c r="PO199" s="274"/>
      <c r="PP199" s="274"/>
      <c r="PQ199" s="274"/>
      <c r="PR199" s="274"/>
      <c r="PS199" s="274"/>
      <c r="PT199" s="274"/>
      <c r="PU199" s="274"/>
      <c r="PV199" s="274"/>
      <c r="PW199" s="274"/>
      <c r="PX199" s="274"/>
      <c r="PY199" s="274"/>
      <c r="PZ199" s="274"/>
      <c r="QA199" s="274"/>
      <c r="QB199" s="274"/>
      <c r="QC199" s="274"/>
      <c r="QD199" s="274"/>
      <c r="QE199" s="274"/>
      <c r="QF199" s="274"/>
      <c r="QG199" s="274"/>
      <c r="QH199" s="274"/>
      <c r="QI199" s="274"/>
      <c r="QJ199" s="274"/>
      <c r="QK199" s="274"/>
      <c r="QL199" s="274"/>
      <c r="QM199" s="274"/>
      <c r="QN199" s="274"/>
      <c r="QO199" s="274"/>
      <c r="QP199" s="274"/>
      <c r="QQ199" s="274"/>
      <c r="QR199" s="274"/>
      <c r="QS199" s="274"/>
      <c r="QT199" s="274"/>
      <c r="QU199" s="274"/>
      <c r="QV199" s="274"/>
      <c r="QW199" s="274"/>
      <c r="QX199" s="274"/>
      <c r="QY199" s="274"/>
      <c r="QZ199" s="274"/>
      <c r="RA199" s="274"/>
      <c r="RB199" s="274"/>
      <c r="RC199" s="274"/>
    </row>
    <row r="200" spans="112:471" ht="17.25">
      <c r="DH200" s="274"/>
      <c r="DI200" s="274"/>
      <c r="DJ200" s="978"/>
      <c r="DK200" s="978"/>
      <c r="DL200" s="978"/>
      <c r="DM200" s="978"/>
      <c r="DN200" s="978"/>
      <c r="DO200" s="978"/>
      <c r="DP200" s="978"/>
      <c r="DQ200" s="978"/>
      <c r="DR200" s="978"/>
      <c r="DS200" s="978"/>
      <c r="DT200" s="978"/>
      <c r="DU200" s="978"/>
      <c r="DV200" s="978"/>
      <c r="DW200" s="978"/>
      <c r="DX200" s="978"/>
      <c r="DY200" s="978"/>
      <c r="DZ200" s="978"/>
      <c r="EA200" s="978"/>
      <c r="EB200" s="978"/>
      <c r="EC200" s="978"/>
      <c r="ED200" s="978"/>
      <c r="EE200" s="978"/>
      <c r="EF200" s="978"/>
      <c r="EG200" s="978"/>
      <c r="EH200" s="978"/>
      <c r="EI200" s="978"/>
      <c r="EJ200" s="978"/>
      <c r="EK200" s="978"/>
      <c r="EL200" s="978"/>
      <c r="EM200" s="978"/>
      <c r="EN200" s="978"/>
      <c r="EO200" s="978"/>
      <c r="EP200" s="978"/>
      <c r="EQ200" s="978"/>
      <c r="ER200" s="978"/>
      <c r="ES200" s="978"/>
      <c r="ET200" s="978"/>
      <c r="EU200" s="978"/>
      <c r="EV200" s="978"/>
      <c r="EW200" s="978"/>
      <c r="EX200" s="978"/>
      <c r="EY200" s="978"/>
      <c r="EZ200" s="978"/>
      <c r="FA200" s="978"/>
      <c r="FB200" s="978"/>
      <c r="FC200" s="978"/>
      <c r="FD200" s="978"/>
      <c r="FE200" s="978"/>
      <c r="FF200" s="978"/>
      <c r="FG200" s="978"/>
      <c r="FH200" s="978"/>
      <c r="FI200" s="978"/>
      <c r="FJ200" s="978"/>
      <c r="FK200" s="978"/>
      <c r="FL200" s="978"/>
      <c r="FM200" s="978"/>
      <c r="FN200" s="978"/>
      <c r="FO200" s="978"/>
      <c r="FP200" s="978"/>
      <c r="FQ200" s="978"/>
      <c r="FR200" s="978"/>
      <c r="FS200" s="978"/>
      <c r="FT200" s="978"/>
      <c r="FU200" s="978"/>
      <c r="FV200" s="978"/>
      <c r="FW200" s="978"/>
      <c r="FX200" s="978"/>
      <c r="FY200" s="978"/>
      <c r="FZ200" s="978"/>
      <c r="GA200" s="978"/>
      <c r="GB200" s="978"/>
      <c r="GC200" s="978"/>
      <c r="GD200" s="978"/>
      <c r="GE200" s="978"/>
      <c r="GF200" s="978"/>
      <c r="GG200" s="978"/>
      <c r="GH200" s="978"/>
      <c r="GI200" s="978"/>
      <c r="GJ200" s="978"/>
      <c r="GK200" s="978"/>
      <c r="GL200" s="978"/>
      <c r="GM200" s="978"/>
      <c r="GN200" s="978"/>
      <c r="GO200" s="978"/>
      <c r="GP200" s="978"/>
      <c r="GQ200" s="978"/>
      <c r="GR200" s="978"/>
      <c r="GS200" s="978"/>
      <c r="GT200" s="978"/>
      <c r="GU200" s="978"/>
      <c r="GV200" s="978"/>
      <c r="GW200" s="978"/>
      <c r="GX200" s="978"/>
      <c r="GY200" s="978"/>
      <c r="GZ200" s="978"/>
      <c r="HA200" s="978"/>
      <c r="HB200" s="978"/>
      <c r="HC200" s="978"/>
      <c r="HD200" s="978"/>
      <c r="HE200" s="978"/>
      <c r="HF200" s="978"/>
      <c r="HG200" s="978"/>
      <c r="HH200" s="978"/>
      <c r="HI200" s="978"/>
      <c r="HJ200" s="978"/>
      <c r="HK200" s="978"/>
      <c r="HL200" s="978"/>
      <c r="HM200" s="978"/>
      <c r="HN200" s="978"/>
      <c r="HO200" s="978"/>
      <c r="HP200" s="978"/>
      <c r="HQ200" s="978"/>
      <c r="HR200" s="978"/>
      <c r="HS200" s="978"/>
      <c r="HT200" s="978"/>
      <c r="HU200" s="978"/>
      <c r="HV200" s="978"/>
      <c r="HW200" s="978"/>
      <c r="HX200" s="978"/>
      <c r="HY200" s="978"/>
      <c r="HZ200" s="978"/>
      <c r="IA200" s="978"/>
      <c r="IB200" s="978"/>
      <c r="IC200" s="978"/>
      <c r="ID200" s="978"/>
      <c r="IE200" s="978"/>
      <c r="IF200" s="978"/>
      <c r="IG200" s="978"/>
      <c r="IH200" s="978"/>
      <c r="II200" s="978"/>
      <c r="IJ200" s="978"/>
      <c r="IK200" s="978"/>
      <c r="IL200" s="978"/>
      <c r="IM200" s="978"/>
      <c r="IN200" s="978"/>
      <c r="IO200" s="978"/>
      <c r="IP200" s="978"/>
      <c r="IQ200" s="978"/>
      <c r="IR200" s="978"/>
      <c r="IS200" s="978"/>
      <c r="IT200" s="978"/>
      <c r="IU200" s="978"/>
      <c r="IV200" s="978"/>
      <c r="IW200" s="978"/>
      <c r="IX200" s="978"/>
      <c r="IY200" s="978"/>
      <c r="IZ200" s="978"/>
      <c r="JA200" s="978"/>
      <c r="JB200" s="978"/>
      <c r="JC200" s="978"/>
      <c r="JD200" s="978"/>
      <c r="JE200" s="978"/>
      <c r="JF200" s="978"/>
      <c r="JG200" s="978"/>
      <c r="JH200" s="978"/>
      <c r="JI200" s="978"/>
      <c r="JJ200" s="978"/>
      <c r="JK200" s="978"/>
      <c r="JL200" s="978"/>
      <c r="JM200" s="978"/>
      <c r="JN200" s="978"/>
      <c r="JO200" s="978"/>
      <c r="JP200" s="978"/>
      <c r="JQ200" s="978"/>
      <c r="JR200" s="978"/>
      <c r="JS200" s="978"/>
      <c r="JT200" s="978"/>
      <c r="JU200" s="978"/>
      <c r="JV200" s="978"/>
      <c r="JW200" s="978"/>
      <c r="JX200" s="978"/>
      <c r="JY200" s="978"/>
      <c r="JZ200" s="978"/>
      <c r="KA200" s="978"/>
      <c r="KB200" s="978"/>
      <c r="KC200" s="978"/>
      <c r="KD200" s="978"/>
      <c r="KE200" s="978"/>
      <c r="KF200" s="978"/>
      <c r="KG200" s="978"/>
      <c r="KH200" s="978"/>
      <c r="KI200" s="978"/>
      <c r="KJ200" s="978"/>
      <c r="KK200" s="978"/>
      <c r="KL200" s="978"/>
      <c r="KM200" s="978"/>
      <c r="KN200" s="978"/>
      <c r="KO200" s="978"/>
      <c r="KP200" s="978"/>
      <c r="KQ200" s="978"/>
      <c r="KR200" s="978"/>
      <c r="KS200" s="978"/>
      <c r="KT200" s="978"/>
      <c r="KU200" s="978"/>
      <c r="KV200" s="978"/>
      <c r="KW200" s="978"/>
      <c r="KX200" s="978"/>
      <c r="KY200" s="978"/>
      <c r="KZ200" s="978"/>
      <c r="LA200" s="978"/>
      <c r="LB200" s="978"/>
      <c r="LC200" s="978"/>
      <c r="LD200" s="978"/>
      <c r="LE200" s="978"/>
      <c r="LF200" s="978"/>
      <c r="LG200" s="978"/>
      <c r="LH200" s="978"/>
      <c r="LI200" s="978"/>
      <c r="LJ200" s="978"/>
      <c r="LK200" s="978"/>
      <c r="LL200" s="978"/>
      <c r="LM200" s="978"/>
      <c r="LN200" s="978"/>
      <c r="LO200" s="978"/>
      <c r="LP200" s="978"/>
      <c r="LQ200" s="978"/>
      <c r="LR200" s="978"/>
      <c r="LS200" s="978"/>
      <c r="LT200" s="978"/>
      <c r="LU200" s="978"/>
      <c r="LV200" s="978"/>
      <c r="LW200" s="978"/>
      <c r="LX200" s="978"/>
      <c r="LY200" s="978"/>
      <c r="LZ200" s="978"/>
      <c r="MA200" s="978"/>
      <c r="MB200" s="978"/>
      <c r="MC200" s="978"/>
      <c r="MD200" s="978"/>
      <c r="ME200" s="978"/>
      <c r="MF200" s="978"/>
      <c r="MG200" s="978"/>
      <c r="MH200" s="978"/>
      <c r="MI200" s="978"/>
      <c r="MJ200" s="978"/>
      <c r="MK200" s="978"/>
      <c r="ML200" s="978"/>
      <c r="MM200" s="978"/>
      <c r="MN200" s="978"/>
      <c r="MO200" s="978"/>
      <c r="MP200" s="978"/>
      <c r="MQ200" s="978"/>
      <c r="MR200" s="978"/>
      <c r="MS200" s="978"/>
      <c r="MT200" s="978"/>
      <c r="MU200" s="978"/>
      <c r="MV200" s="978"/>
      <c r="MW200" s="978"/>
      <c r="MX200" s="978"/>
      <c r="MY200" s="978"/>
      <c r="MZ200" s="978"/>
      <c r="NA200" s="978"/>
      <c r="NB200" s="978"/>
      <c r="NC200" s="978"/>
      <c r="ND200" s="978"/>
      <c r="NE200" s="978"/>
      <c r="NF200" s="978"/>
      <c r="NG200" s="978"/>
      <c r="NH200" s="978"/>
      <c r="NI200" s="978"/>
      <c r="NJ200" s="978"/>
      <c r="NK200" s="978"/>
      <c r="NL200" s="978"/>
      <c r="NM200" s="978"/>
      <c r="NN200" s="978"/>
      <c r="NO200" s="978"/>
      <c r="NP200" s="978"/>
      <c r="NQ200" s="978"/>
      <c r="NR200" s="978"/>
      <c r="NS200" s="978"/>
      <c r="NT200" s="978"/>
      <c r="NU200" s="978"/>
      <c r="NV200" s="978"/>
      <c r="NW200" s="978"/>
      <c r="NX200" s="978"/>
      <c r="NY200" s="978"/>
      <c r="NZ200" s="978"/>
      <c r="OA200" s="978"/>
      <c r="OB200" s="978"/>
      <c r="OC200" s="978"/>
      <c r="OD200" s="978"/>
      <c r="OE200" s="978"/>
      <c r="OF200" s="978"/>
      <c r="OG200" s="978"/>
      <c r="OH200" s="978"/>
      <c r="OI200" s="978"/>
      <c r="OJ200" s="978"/>
      <c r="OK200" s="978"/>
      <c r="OL200" s="978"/>
      <c r="OM200" s="978"/>
      <c r="ON200" s="978"/>
      <c r="OO200" s="978"/>
      <c r="OP200" s="978"/>
      <c r="OQ200" s="978"/>
      <c r="OR200" s="978"/>
      <c r="OS200" s="978"/>
      <c r="OT200" s="978"/>
      <c r="OU200" s="978"/>
      <c r="OV200" s="978"/>
      <c r="OW200" s="978"/>
      <c r="OX200" s="978"/>
      <c r="OY200" s="978"/>
      <c r="OZ200" s="978"/>
      <c r="PA200" s="978"/>
      <c r="PB200" s="978"/>
      <c r="PC200" s="978"/>
      <c r="PD200" s="978"/>
      <c r="PE200" s="978"/>
      <c r="PF200" s="978"/>
      <c r="PG200" s="978"/>
      <c r="PH200" s="978"/>
      <c r="PI200" s="978"/>
      <c r="PJ200" s="978"/>
      <c r="PK200" s="978"/>
      <c r="PL200" s="978"/>
      <c r="PM200" s="978"/>
      <c r="PN200" s="978"/>
      <c r="PO200" s="978"/>
      <c r="PP200" s="978"/>
      <c r="PQ200" s="978"/>
      <c r="PR200" s="978"/>
      <c r="PS200" s="978"/>
      <c r="PT200" s="978"/>
      <c r="PU200" s="978"/>
      <c r="PV200" s="978"/>
      <c r="PW200" s="978"/>
      <c r="PX200" s="978"/>
      <c r="PY200" s="978"/>
      <c r="PZ200" s="978"/>
      <c r="QA200" s="978"/>
      <c r="QB200" s="978"/>
      <c r="QC200" s="978"/>
      <c r="QD200" s="978"/>
      <c r="QE200" s="978"/>
      <c r="QF200" s="978"/>
      <c r="QG200" s="978"/>
      <c r="QH200" s="978"/>
      <c r="QI200" s="978"/>
      <c r="QJ200" s="978"/>
      <c r="QK200" s="978"/>
      <c r="QL200" s="978"/>
      <c r="QM200" s="978"/>
      <c r="QN200" s="978"/>
      <c r="QO200" s="978"/>
      <c r="QP200" s="978"/>
      <c r="QQ200" s="978"/>
      <c r="QR200" s="978"/>
      <c r="QS200" s="978"/>
      <c r="QT200" s="978"/>
      <c r="QU200" s="978"/>
      <c r="QV200" s="978"/>
      <c r="QW200" s="978"/>
      <c r="QX200" s="978"/>
      <c r="QY200" s="978"/>
      <c r="QZ200" s="978"/>
      <c r="RA200" s="978"/>
      <c r="RB200" s="274"/>
      <c r="RC200" s="274"/>
    </row>
    <row r="201" spans="112:471" ht="17.25">
      <c r="DH201" s="274"/>
      <c r="DI201" s="274"/>
      <c r="DJ201" s="978"/>
      <c r="DK201" s="978"/>
      <c r="DL201" s="978"/>
      <c r="DM201" s="978"/>
      <c r="DN201" s="978"/>
      <c r="DO201" s="978"/>
      <c r="DP201" s="978"/>
      <c r="DQ201" s="978"/>
      <c r="DR201" s="978"/>
      <c r="DS201" s="978"/>
      <c r="DT201" s="978"/>
      <c r="DU201" s="978"/>
      <c r="DV201" s="978"/>
      <c r="DW201" s="978"/>
      <c r="DX201" s="978"/>
      <c r="DY201" s="978"/>
      <c r="DZ201" s="978"/>
      <c r="EA201" s="978"/>
      <c r="EB201" s="978"/>
      <c r="EC201" s="978"/>
      <c r="ED201" s="978"/>
      <c r="EE201" s="978"/>
      <c r="EF201" s="978"/>
      <c r="EG201" s="978"/>
      <c r="EH201" s="978"/>
      <c r="EI201" s="978"/>
      <c r="EJ201" s="978"/>
      <c r="EK201" s="978"/>
      <c r="EL201" s="978"/>
      <c r="EM201" s="978"/>
      <c r="EN201" s="978"/>
      <c r="EO201" s="978"/>
      <c r="EP201" s="978"/>
      <c r="EQ201" s="978"/>
      <c r="ER201" s="978"/>
      <c r="ES201" s="978"/>
      <c r="ET201" s="978"/>
      <c r="EU201" s="978"/>
      <c r="EV201" s="978"/>
      <c r="EW201" s="978"/>
      <c r="EX201" s="978"/>
      <c r="EY201" s="978"/>
      <c r="EZ201" s="978"/>
      <c r="FA201" s="978"/>
      <c r="FB201" s="978"/>
      <c r="FC201" s="978"/>
      <c r="FD201" s="978"/>
      <c r="FE201" s="978"/>
      <c r="FF201" s="978"/>
      <c r="FG201" s="978"/>
      <c r="FH201" s="978"/>
      <c r="FI201" s="978"/>
      <c r="FJ201" s="978"/>
      <c r="FK201" s="978"/>
      <c r="FL201" s="978"/>
      <c r="FM201" s="978"/>
      <c r="FN201" s="978"/>
      <c r="FO201" s="978"/>
      <c r="FP201" s="978"/>
      <c r="FQ201" s="978"/>
      <c r="FR201" s="978"/>
      <c r="FS201" s="978"/>
      <c r="FT201" s="978"/>
      <c r="FU201" s="978"/>
      <c r="FV201" s="978"/>
      <c r="FW201" s="978"/>
      <c r="FX201" s="978"/>
      <c r="FY201" s="978"/>
      <c r="FZ201" s="978"/>
      <c r="GA201" s="978"/>
      <c r="GB201" s="978"/>
      <c r="GC201" s="978"/>
      <c r="GD201" s="978"/>
      <c r="GE201" s="978"/>
      <c r="GF201" s="978"/>
      <c r="GG201" s="978"/>
      <c r="GH201" s="978"/>
      <c r="GI201" s="978"/>
      <c r="GJ201" s="978"/>
      <c r="GK201" s="978"/>
      <c r="GL201" s="978"/>
      <c r="GM201" s="978"/>
      <c r="GN201" s="978"/>
      <c r="GO201" s="978"/>
      <c r="GP201" s="978"/>
      <c r="GQ201" s="978"/>
      <c r="GR201" s="978"/>
      <c r="GS201" s="978"/>
      <c r="GT201" s="978"/>
      <c r="GU201" s="978"/>
      <c r="GV201" s="978"/>
      <c r="GW201" s="978"/>
      <c r="GX201" s="978"/>
      <c r="GY201" s="978"/>
      <c r="GZ201" s="978"/>
      <c r="HA201" s="978"/>
      <c r="HB201" s="978"/>
      <c r="HC201" s="978"/>
      <c r="HD201" s="978"/>
      <c r="HE201" s="978"/>
      <c r="HF201" s="978"/>
      <c r="HG201" s="978"/>
      <c r="HH201" s="978"/>
      <c r="HI201" s="978"/>
      <c r="HJ201" s="978"/>
      <c r="HK201" s="978"/>
      <c r="HL201" s="978"/>
      <c r="HM201" s="978"/>
      <c r="HN201" s="978"/>
      <c r="HO201" s="978"/>
      <c r="HP201" s="978"/>
      <c r="HQ201" s="978"/>
      <c r="HR201" s="978"/>
      <c r="HS201" s="978"/>
      <c r="HT201" s="978"/>
      <c r="HU201" s="978"/>
      <c r="HV201" s="978"/>
      <c r="HW201" s="978"/>
      <c r="HX201" s="978"/>
      <c r="HY201" s="978"/>
      <c r="HZ201" s="978"/>
      <c r="IA201" s="978"/>
      <c r="IB201" s="978"/>
      <c r="IC201" s="978"/>
      <c r="ID201" s="978"/>
      <c r="IE201" s="978"/>
      <c r="IF201" s="978"/>
      <c r="IG201" s="978"/>
      <c r="IH201" s="978"/>
      <c r="II201" s="978"/>
      <c r="IJ201" s="978"/>
      <c r="IK201" s="978"/>
      <c r="IL201" s="978"/>
      <c r="IM201" s="978"/>
      <c r="IN201" s="978"/>
      <c r="IO201" s="978"/>
      <c r="IP201" s="978"/>
      <c r="IQ201" s="978"/>
      <c r="IR201" s="978"/>
      <c r="IS201" s="978"/>
      <c r="IT201" s="978"/>
      <c r="IU201" s="978"/>
      <c r="IV201" s="978"/>
      <c r="IW201" s="978"/>
      <c r="IX201" s="978"/>
      <c r="IY201" s="978"/>
      <c r="IZ201" s="978"/>
      <c r="JA201" s="978"/>
      <c r="JB201" s="978"/>
      <c r="JC201" s="978"/>
      <c r="JD201" s="978"/>
      <c r="JE201" s="978"/>
      <c r="JF201" s="978"/>
      <c r="JG201" s="978"/>
      <c r="JH201" s="978"/>
      <c r="JI201" s="978"/>
      <c r="JJ201" s="978"/>
      <c r="JK201" s="978"/>
      <c r="JL201" s="978"/>
      <c r="JM201" s="978"/>
      <c r="JN201" s="978"/>
      <c r="JO201" s="978"/>
      <c r="JP201" s="978"/>
      <c r="JQ201" s="978"/>
      <c r="JR201" s="978"/>
      <c r="JS201" s="978"/>
      <c r="JT201" s="978"/>
      <c r="JU201" s="978"/>
      <c r="JV201" s="978"/>
      <c r="JW201" s="978"/>
      <c r="JX201" s="978"/>
      <c r="JY201" s="978"/>
      <c r="JZ201" s="978"/>
      <c r="KA201" s="978"/>
      <c r="KB201" s="978"/>
      <c r="KC201" s="978"/>
      <c r="KD201" s="978"/>
      <c r="KE201" s="978"/>
      <c r="KF201" s="978"/>
      <c r="KG201" s="978"/>
      <c r="KH201" s="978"/>
      <c r="KI201" s="978"/>
      <c r="KJ201" s="978"/>
      <c r="KK201" s="978"/>
      <c r="KL201" s="978"/>
      <c r="KM201" s="978"/>
      <c r="KN201" s="978"/>
      <c r="KO201" s="978"/>
      <c r="KP201" s="978"/>
      <c r="KQ201" s="978"/>
      <c r="KR201" s="978"/>
      <c r="KS201" s="978"/>
      <c r="KT201" s="978"/>
      <c r="KU201" s="978"/>
      <c r="KV201" s="978"/>
      <c r="KW201" s="978"/>
      <c r="KX201" s="978"/>
      <c r="KY201" s="978"/>
      <c r="KZ201" s="978"/>
      <c r="LA201" s="978"/>
      <c r="LB201" s="978"/>
      <c r="LC201" s="978"/>
      <c r="LD201" s="978"/>
      <c r="LE201" s="978"/>
      <c r="LF201" s="978"/>
      <c r="LG201" s="978"/>
      <c r="LH201" s="978"/>
      <c r="LI201" s="978"/>
      <c r="LJ201" s="978"/>
      <c r="LK201" s="978"/>
      <c r="LL201" s="978"/>
      <c r="LM201" s="978"/>
      <c r="LN201" s="978"/>
      <c r="LO201" s="978"/>
      <c r="LP201" s="978"/>
      <c r="LQ201" s="978"/>
      <c r="LR201" s="978"/>
      <c r="LS201" s="978"/>
      <c r="LT201" s="978"/>
      <c r="LU201" s="978"/>
      <c r="LV201" s="978"/>
      <c r="LW201" s="978"/>
      <c r="LX201" s="978"/>
      <c r="LY201" s="978"/>
      <c r="LZ201" s="978"/>
      <c r="MA201" s="978"/>
      <c r="MB201" s="978"/>
      <c r="MC201" s="978"/>
      <c r="MD201" s="978"/>
      <c r="ME201" s="978"/>
      <c r="MF201" s="978"/>
      <c r="MG201" s="978"/>
      <c r="MH201" s="978"/>
      <c r="MI201" s="978"/>
      <c r="MJ201" s="978"/>
      <c r="MK201" s="978"/>
      <c r="ML201" s="978"/>
      <c r="MM201" s="978"/>
      <c r="MN201" s="978"/>
      <c r="MO201" s="978"/>
      <c r="MP201" s="978"/>
      <c r="MQ201" s="978"/>
      <c r="MR201" s="978"/>
      <c r="MS201" s="978"/>
      <c r="MT201" s="978"/>
      <c r="MU201" s="978"/>
      <c r="MV201" s="978"/>
      <c r="MW201" s="978"/>
      <c r="MX201" s="978"/>
      <c r="MY201" s="978"/>
      <c r="MZ201" s="978"/>
      <c r="NA201" s="978"/>
      <c r="NB201" s="978"/>
      <c r="NC201" s="978"/>
      <c r="ND201" s="978"/>
      <c r="NE201" s="978"/>
      <c r="NF201" s="978"/>
      <c r="NG201" s="978"/>
      <c r="NH201" s="978"/>
      <c r="NI201" s="978"/>
      <c r="NJ201" s="978"/>
      <c r="NK201" s="978"/>
      <c r="NL201" s="978"/>
      <c r="NM201" s="978"/>
      <c r="NN201" s="978"/>
      <c r="NO201" s="978"/>
      <c r="NP201" s="978"/>
      <c r="NQ201" s="978"/>
      <c r="NR201" s="978"/>
      <c r="NS201" s="978"/>
      <c r="NT201" s="978"/>
      <c r="NU201" s="978"/>
      <c r="NV201" s="978"/>
      <c r="NW201" s="978"/>
      <c r="NX201" s="978"/>
      <c r="NY201" s="978"/>
      <c r="NZ201" s="978"/>
      <c r="OA201" s="978"/>
      <c r="OB201" s="978"/>
      <c r="OC201" s="978"/>
      <c r="OD201" s="978"/>
      <c r="OE201" s="978"/>
      <c r="OF201" s="978"/>
      <c r="OG201" s="978"/>
      <c r="OH201" s="978"/>
      <c r="OI201" s="978"/>
      <c r="OJ201" s="978"/>
      <c r="OK201" s="978"/>
      <c r="OL201" s="978"/>
      <c r="OM201" s="978"/>
      <c r="ON201" s="978"/>
      <c r="OO201" s="978"/>
      <c r="OP201" s="978"/>
      <c r="OQ201" s="978"/>
      <c r="OR201" s="978"/>
      <c r="OS201" s="978"/>
      <c r="OT201" s="978"/>
      <c r="OU201" s="978"/>
      <c r="OV201" s="978"/>
      <c r="OW201" s="978"/>
      <c r="OX201" s="978"/>
      <c r="OY201" s="978"/>
      <c r="OZ201" s="978"/>
      <c r="PA201" s="978"/>
      <c r="PB201" s="978"/>
      <c r="PC201" s="978"/>
      <c r="PD201" s="978"/>
      <c r="PE201" s="978"/>
      <c r="PF201" s="978"/>
      <c r="PG201" s="978"/>
      <c r="PH201" s="978"/>
      <c r="PI201" s="978"/>
      <c r="PJ201" s="978"/>
      <c r="PK201" s="978"/>
      <c r="PL201" s="978"/>
      <c r="PM201" s="978"/>
      <c r="PN201" s="978"/>
      <c r="PO201" s="978"/>
      <c r="PP201" s="978"/>
      <c r="PQ201" s="978"/>
      <c r="PR201" s="978"/>
      <c r="PS201" s="978"/>
      <c r="PT201" s="978"/>
      <c r="PU201" s="978"/>
      <c r="PV201" s="978"/>
      <c r="PW201" s="978"/>
      <c r="PX201" s="978"/>
      <c r="PY201" s="978"/>
      <c r="PZ201" s="978"/>
      <c r="QA201" s="978"/>
      <c r="QB201" s="978"/>
      <c r="QC201" s="978"/>
      <c r="QD201" s="978"/>
      <c r="QE201" s="978"/>
      <c r="QF201" s="978"/>
      <c r="QG201" s="978"/>
      <c r="QH201" s="978"/>
      <c r="QI201" s="978"/>
      <c r="QJ201" s="978"/>
      <c r="QK201" s="978"/>
      <c r="QL201" s="978"/>
      <c r="QM201" s="978"/>
      <c r="QN201" s="978"/>
      <c r="QO201" s="978"/>
      <c r="QP201" s="978"/>
      <c r="QQ201" s="978"/>
      <c r="QR201" s="978"/>
      <c r="QS201" s="978"/>
      <c r="QT201" s="978"/>
      <c r="QU201" s="978"/>
      <c r="QV201" s="978"/>
      <c r="QW201" s="978"/>
      <c r="QX201" s="978"/>
      <c r="QY201" s="978"/>
      <c r="QZ201" s="978"/>
      <c r="RA201" s="978"/>
      <c r="RB201" s="274"/>
      <c r="RC201" s="274"/>
    </row>
    <row r="202" spans="112:471" ht="17.25">
      <c r="DH202" s="274"/>
      <c r="DI202" s="274"/>
      <c r="DJ202" s="978"/>
      <c r="DK202" s="978"/>
      <c r="DL202" s="978"/>
      <c r="DM202" s="978"/>
      <c r="DN202" s="978"/>
      <c r="DO202" s="978"/>
      <c r="DP202" s="978"/>
      <c r="DQ202" s="978"/>
      <c r="DR202" s="978"/>
      <c r="DS202" s="978"/>
      <c r="DT202" s="978"/>
      <c r="DU202" s="978"/>
      <c r="DV202" s="978"/>
      <c r="DW202" s="978"/>
      <c r="DX202" s="978"/>
      <c r="DY202" s="978"/>
      <c r="DZ202" s="978"/>
      <c r="EA202" s="978"/>
      <c r="EB202" s="978"/>
      <c r="EC202" s="978"/>
      <c r="ED202" s="978"/>
      <c r="EE202" s="978"/>
      <c r="EF202" s="978"/>
      <c r="EG202" s="978"/>
      <c r="EH202" s="978"/>
      <c r="EI202" s="978"/>
      <c r="EJ202" s="978"/>
      <c r="EK202" s="978"/>
      <c r="EL202" s="978"/>
      <c r="EM202" s="978"/>
      <c r="EN202" s="978"/>
      <c r="EO202" s="978"/>
      <c r="EP202" s="978"/>
      <c r="EQ202" s="978"/>
      <c r="ER202" s="978"/>
      <c r="ES202" s="978"/>
      <c r="ET202" s="978"/>
      <c r="EU202" s="978"/>
      <c r="EV202" s="978"/>
      <c r="EW202" s="978"/>
      <c r="EX202" s="978"/>
      <c r="EY202" s="978"/>
      <c r="EZ202" s="978"/>
      <c r="FA202" s="978"/>
      <c r="FB202" s="978"/>
      <c r="FC202" s="978"/>
      <c r="FD202" s="978"/>
      <c r="FE202" s="978"/>
      <c r="FF202" s="978"/>
      <c r="FG202" s="978"/>
      <c r="FH202" s="978"/>
      <c r="FI202" s="978"/>
      <c r="FJ202" s="978"/>
      <c r="FK202" s="978"/>
      <c r="FL202" s="978"/>
      <c r="FM202" s="978"/>
      <c r="FN202" s="978"/>
      <c r="FO202" s="978"/>
      <c r="FP202" s="978"/>
      <c r="FQ202" s="978"/>
      <c r="FR202" s="978"/>
      <c r="FS202" s="978"/>
      <c r="FT202" s="978"/>
      <c r="FU202" s="978"/>
      <c r="FV202" s="978"/>
      <c r="FW202" s="978"/>
      <c r="FX202" s="978"/>
      <c r="FY202" s="978"/>
      <c r="FZ202" s="978"/>
      <c r="GA202" s="978"/>
      <c r="GB202" s="978"/>
      <c r="GC202" s="978"/>
      <c r="GD202" s="978"/>
      <c r="GE202" s="978"/>
      <c r="GF202" s="978"/>
      <c r="GG202" s="978"/>
      <c r="GH202" s="978"/>
      <c r="GI202" s="978"/>
      <c r="GJ202" s="978"/>
      <c r="GK202" s="978"/>
      <c r="GL202" s="978"/>
      <c r="GM202" s="978"/>
      <c r="GN202" s="978"/>
      <c r="GO202" s="978"/>
      <c r="GP202" s="978"/>
      <c r="GQ202" s="978"/>
      <c r="GR202" s="978"/>
      <c r="GS202" s="978"/>
      <c r="GT202" s="978"/>
      <c r="GU202" s="978"/>
      <c r="GV202" s="978"/>
      <c r="GW202" s="978"/>
      <c r="GX202" s="978"/>
      <c r="GY202" s="978"/>
      <c r="GZ202" s="978"/>
      <c r="HA202" s="978"/>
      <c r="HB202" s="978"/>
      <c r="HC202" s="978"/>
      <c r="HD202" s="978"/>
      <c r="HE202" s="978"/>
      <c r="HF202" s="978"/>
      <c r="HG202" s="978"/>
      <c r="HH202" s="978"/>
      <c r="HI202" s="978"/>
      <c r="HJ202" s="978"/>
      <c r="HK202" s="978"/>
      <c r="HL202" s="978"/>
      <c r="HM202" s="978"/>
      <c r="HN202" s="978"/>
      <c r="HO202" s="978"/>
      <c r="HP202" s="978"/>
      <c r="HQ202" s="978"/>
      <c r="HR202" s="978"/>
      <c r="HS202" s="978"/>
      <c r="HT202" s="978"/>
      <c r="HU202" s="978"/>
      <c r="HV202" s="978"/>
      <c r="HW202" s="978"/>
      <c r="HX202" s="978"/>
      <c r="HY202" s="978"/>
      <c r="HZ202" s="978"/>
      <c r="IA202" s="978"/>
      <c r="IB202" s="978"/>
      <c r="IC202" s="978"/>
      <c r="ID202" s="978"/>
      <c r="IE202" s="978"/>
      <c r="IF202" s="978"/>
      <c r="IG202" s="978"/>
      <c r="IH202" s="978"/>
      <c r="II202" s="978"/>
      <c r="IJ202" s="978"/>
      <c r="IK202" s="978"/>
      <c r="IL202" s="978"/>
      <c r="IM202" s="978"/>
      <c r="IN202" s="978"/>
      <c r="IO202" s="978"/>
      <c r="IP202" s="978"/>
      <c r="IQ202" s="978"/>
      <c r="IR202" s="978"/>
      <c r="IS202" s="978"/>
      <c r="IT202" s="978"/>
      <c r="IU202" s="978"/>
      <c r="IV202" s="978"/>
      <c r="IW202" s="978"/>
      <c r="IX202" s="978"/>
      <c r="IY202" s="978"/>
      <c r="IZ202" s="978"/>
      <c r="JA202" s="978"/>
      <c r="JB202" s="978"/>
      <c r="JC202" s="978"/>
      <c r="JD202" s="978"/>
      <c r="JE202" s="978"/>
      <c r="JF202" s="978"/>
      <c r="JG202" s="978"/>
      <c r="JH202" s="978"/>
      <c r="JI202" s="978"/>
      <c r="JJ202" s="978"/>
      <c r="JK202" s="978"/>
      <c r="JL202" s="978"/>
      <c r="JM202" s="978"/>
      <c r="JN202" s="978"/>
      <c r="JO202" s="978"/>
      <c r="JP202" s="978"/>
      <c r="JQ202" s="978"/>
      <c r="JR202" s="978"/>
      <c r="JS202" s="978"/>
      <c r="JT202" s="978"/>
      <c r="JU202" s="978"/>
      <c r="JV202" s="978"/>
      <c r="JW202" s="978"/>
      <c r="JX202" s="978"/>
      <c r="JY202" s="978"/>
      <c r="JZ202" s="978"/>
      <c r="KA202" s="978"/>
      <c r="KB202" s="978"/>
      <c r="KC202" s="978"/>
      <c r="KD202" s="978"/>
      <c r="KE202" s="978"/>
      <c r="KF202" s="978"/>
      <c r="KG202" s="978"/>
      <c r="KH202" s="978"/>
      <c r="KI202" s="978"/>
      <c r="KJ202" s="978"/>
      <c r="KK202" s="978"/>
      <c r="KL202" s="978"/>
      <c r="KM202" s="978"/>
      <c r="KN202" s="978"/>
      <c r="KO202" s="978"/>
      <c r="KP202" s="978"/>
      <c r="KQ202" s="978"/>
      <c r="KR202" s="978"/>
      <c r="KS202" s="978"/>
      <c r="KT202" s="978"/>
      <c r="KU202" s="978"/>
      <c r="KV202" s="978"/>
      <c r="KW202" s="978"/>
      <c r="KX202" s="978"/>
      <c r="KY202" s="978"/>
      <c r="KZ202" s="978"/>
      <c r="LA202" s="978"/>
      <c r="LB202" s="978"/>
      <c r="LC202" s="978"/>
      <c r="LD202" s="978"/>
      <c r="LE202" s="978"/>
      <c r="LF202" s="978"/>
      <c r="LG202" s="978"/>
      <c r="LH202" s="978"/>
      <c r="LI202" s="978"/>
      <c r="LJ202" s="978"/>
      <c r="LK202" s="978"/>
      <c r="LL202" s="978"/>
      <c r="LM202" s="978"/>
      <c r="LN202" s="978"/>
      <c r="LO202" s="978"/>
      <c r="LP202" s="978"/>
      <c r="LQ202" s="978"/>
      <c r="LR202" s="978"/>
      <c r="LS202" s="978"/>
      <c r="LT202" s="978"/>
      <c r="LU202" s="978"/>
      <c r="LV202" s="978"/>
      <c r="LW202" s="978"/>
      <c r="LX202" s="978"/>
      <c r="LY202" s="978"/>
      <c r="LZ202" s="978"/>
      <c r="MA202" s="978"/>
      <c r="MB202" s="978"/>
      <c r="MC202" s="978"/>
      <c r="MD202" s="978"/>
      <c r="ME202" s="978"/>
      <c r="MF202" s="978"/>
      <c r="MG202" s="978"/>
      <c r="MH202" s="978"/>
      <c r="MI202" s="978"/>
      <c r="MJ202" s="978"/>
      <c r="MK202" s="978"/>
      <c r="ML202" s="978"/>
      <c r="MM202" s="978"/>
      <c r="MN202" s="978"/>
      <c r="MO202" s="978"/>
      <c r="MP202" s="978"/>
      <c r="MQ202" s="978"/>
      <c r="MR202" s="978"/>
      <c r="MS202" s="978"/>
      <c r="MT202" s="978"/>
      <c r="MU202" s="978"/>
      <c r="MV202" s="978"/>
      <c r="MW202" s="978"/>
      <c r="MX202" s="978"/>
      <c r="MY202" s="978"/>
      <c r="MZ202" s="978"/>
      <c r="NA202" s="978"/>
      <c r="NB202" s="978"/>
      <c r="NC202" s="978"/>
      <c r="ND202" s="978"/>
      <c r="NE202" s="978"/>
      <c r="NF202" s="978"/>
      <c r="NG202" s="978"/>
      <c r="NH202" s="978"/>
      <c r="NI202" s="978"/>
      <c r="NJ202" s="978"/>
      <c r="NK202" s="978"/>
      <c r="NL202" s="978"/>
      <c r="NM202" s="978"/>
      <c r="NN202" s="978"/>
      <c r="NO202" s="978"/>
      <c r="NP202" s="978"/>
      <c r="NQ202" s="978"/>
      <c r="NR202" s="978"/>
      <c r="NS202" s="978"/>
      <c r="NT202" s="978"/>
      <c r="NU202" s="978"/>
      <c r="NV202" s="978"/>
      <c r="NW202" s="978"/>
      <c r="NX202" s="978"/>
      <c r="NY202" s="978"/>
      <c r="NZ202" s="978"/>
      <c r="OA202" s="978"/>
      <c r="OB202" s="978"/>
      <c r="OC202" s="978"/>
      <c r="OD202" s="978"/>
      <c r="OE202" s="978"/>
      <c r="OF202" s="978"/>
      <c r="OG202" s="978"/>
      <c r="OH202" s="978"/>
      <c r="OI202" s="978"/>
      <c r="OJ202" s="978"/>
      <c r="OK202" s="978"/>
      <c r="OL202" s="978"/>
      <c r="OM202" s="978"/>
      <c r="ON202" s="978"/>
      <c r="OO202" s="978"/>
      <c r="OP202" s="978"/>
      <c r="OQ202" s="978"/>
      <c r="OR202" s="978"/>
      <c r="OS202" s="978"/>
      <c r="OT202" s="978"/>
      <c r="OU202" s="978"/>
      <c r="OV202" s="978"/>
      <c r="OW202" s="978"/>
      <c r="OX202" s="978"/>
      <c r="OY202" s="978"/>
      <c r="OZ202" s="978"/>
      <c r="PA202" s="978"/>
      <c r="PB202" s="978"/>
      <c r="PC202" s="978"/>
      <c r="PD202" s="978"/>
      <c r="PE202" s="978"/>
      <c r="PF202" s="978"/>
      <c r="PG202" s="978"/>
      <c r="PH202" s="978"/>
      <c r="PI202" s="978"/>
      <c r="PJ202" s="978"/>
      <c r="PK202" s="978"/>
      <c r="PL202" s="978"/>
      <c r="PM202" s="978"/>
      <c r="PN202" s="978"/>
      <c r="PO202" s="978"/>
      <c r="PP202" s="978"/>
      <c r="PQ202" s="978"/>
      <c r="PR202" s="978"/>
      <c r="PS202" s="978"/>
      <c r="PT202" s="978"/>
      <c r="PU202" s="978"/>
      <c r="PV202" s="978"/>
      <c r="PW202" s="978"/>
      <c r="PX202" s="978"/>
      <c r="PY202" s="978"/>
      <c r="PZ202" s="978"/>
      <c r="QA202" s="978"/>
      <c r="QB202" s="978"/>
      <c r="QC202" s="978"/>
      <c r="QD202" s="978"/>
      <c r="QE202" s="978"/>
      <c r="QF202" s="978"/>
      <c r="QG202" s="978"/>
      <c r="QH202" s="978"/>
      <c r="QI202" s="978"/>
      <c r="QJ202" s="978"/>
      <c r="QK202" s="978"/>
      <c r="QL202" s="978"/>
      <c r="QM202" s="978"/>
      <c r="QN202" s="978"/>
      <c r="QO202" s="978"/>
      <c r="QP202" s="978"/>
      <c r="QQ202" s="978"/>
      <c r="QR202" s="978"/>
      <c r="QS202" s="978"/>
      <c r="QT202" s="978"/>
      <c r="QU202" s="978"/>
      <c r="QV202" s="978"/>
      <c r="QW202" s="978"/>
      <c r="QX202" s="978"/>
      <c r="QY202" s="978"/>
      <c r="QZ202" s="978"/>
      <c r="RA202" s="978"/>
      <c r="RB202" s="274"/>
      <c r="RC202" s="274"/>
    </row>
    <row r="203" spans="112:471" ht="17.25">
      <c r="DH203" s="274"/>
      <c r="DI203" s="274"/>
      <c r="DJ203" s="978"/>
      <c r="DK203" s="978"/>
      <c r="DL203" s="978"/>
      <c r="DM203" s="978"/>
      <c r="DN203" s="978"/>
      <c r="DO203" s="978"/>
      <c r="DP203" s="978"/>
      <c r="DQ203" s="978"/>
      <c r="DR203" s="978"/>
      <c r="DS203" s="978"/>
      <c r="DT203" s="978"/>
      <c r="DU203" s="978"/>
      <c r="DV203" s="978"/>
      <c r="DW203" s="978"/>
      <c r="DX203" s="978"/>
      <c r="DY203" s="978"/>
      <c r="DZ203" s="978"/>
      <c r="EA203" s="978"/>
      <c r="EB203" s="978"/>
      <c r="EC203" s="978"/>
      <c r="ED203" s="978"/>
      <c r="EE203" s="978"/>
      <c r="EF203" s="978"/>
      <c r="EG203" s="978"/>
      <c r="EH203" s="978"/>
      <c r="EI203" s="978"/>
      <c r="EJ203" s="978"/>
      <c r="EK203" s="978"/>
      <c r="EL203" s="978"/>
      <c r="EM203" s="978"/>
      <c r="EN203" s="978"/>
      <c r="EO203" s="978"/>
      <c r="EP203" s="978"/>
      <c r="EQ203" s="978"/>
      <c r="ER203" s="978"/>
      <c r="ES203" s="978"/>
      <c r="ET203" s="978"/>
      <c r="EU203" s="978"/>
      <c r="EV203" s="978"/>
      <c r="EW203" s="978"/>
      <c r="EX203" s="978"/>
      <c r="EY203" s="978"/>
      <c r="EZ203" s="978"/>
      <c r="FA203" s="978"/>
      <c r="FB203" s="978"/>
      <c r="FC203" s="978"/>
      <c r="FD203" s="978"/>
      <c r="FE203" s="978"/>
      <c r="FF203" s="978"/>
      <c r="FG203" s="978"/>
      <c r="FH203" s="978"/>
      <c r="FI203" s="978"/>
      <c r="FJ203" s="978"/>
      <c r="FK203" s="978"/>
      <c r="FL203" s="978"/>
      <c r="FM203" s="978"/>
      <c r="FN203" s="978"/>
      <c r="FO203" s="978"/>
      <c r="FP203" s="978"/>
      <c r="FQ203" s="978"/>
      <c r="FR203" s="978"/>
      <c r="FS203" s="978"/>
      <c r="FT203" s="978"/>
      <c r="FU203" s="978"/>
      <c r="FV203" s="978"/>
      <c r="FW203" s="978"/>
      <c r="FX203" s="978"/>
      <c r="FY203" s="978"/>
      <c r="FZ203" s="978"/>
      <c r="GA203" s="978"/>
      <c r="GB203" s="978"/>
      <c r="GC203" s="978"/>
      <c r="GD203" s="978"/>
      <c r="GE203" s="978"/>
      <c r="GF203" s="978"/>
      <c r="GG203" s="978"/>
      <c r="GH203" s="978"/>
      <c r="GI203" s="978"/>
      <c r="GJ203" s="978"/>
      <c r="GK203" s="978"/>
      <c r="GL203" s="978"/>
      <c r="GM203" s="978"/>
      <c r="GN203" s="978"/>
      <c r="GO203" s="978"/>
      <c r="GP203" s="978"/>
      <c r="GQ203" s="978"/>
      <c r="GR203" s="978"/>
      <c r="GS203" s="978"/>
      <c r="GT203" s="978"/>
      <c r="GU203" s="978"/>
      <c r="GV203" s="978"/>
      <c r="GW203" s="978"/>
      <c r="GX203" s="978"/>
      <c r="GY203" s="978"/>
      <c r="GZ203" s="978"/>
      <c r="HA203" s="978"/>
      <c r="HB203" s="978"/>
      <c r="HC203" s="978"/>
      <c r="HD203" s="978"/>
      <c r="HE203" s="978"/>
      <c r="HF203" s="978"/>
      <c r="HG203" s="978"/>
      <c r="HH203" s="978"/>
      <c r="HI203" s="978"/>
      <c r="HJ203" s="978"/>
      <c r="HK203" s="978"/>
      <c r="HL203" s="978"/>
      <c r="HM203" s="978"/>
      <c r="HN203" s="978"/>
      <c r="HO203" s="978"/>
      <c r="HP203" s="978"/>
      <c r="HQ203" s="978"/>
      <c r="HR203" s="978"/>
      <c r="HS203" s="978"/>
      <c r="HT203" s="978"/>
      <c r="HU203" s="978"/>
      <c r="HV203" s="978"/>
      <c r="HW203" s="978"/>
      <c r="HX203" s="978"/>
      <c r="HY203" s="978"/>
      <c r="HZ203" s="978"/>
      <c r="IA203" s="978"/>
      <c r="IB203" s="978"/>
      <c r="IC203" s="978"/>
      <c r="ID203" s="978"/>
      <c r="IE203" s="978"/>
      <c r="IF203" s="978"/>
      <c r="IG203" s="978"/>
      <c r="IH203" s="978"/>
      <c r="II203" s="978"/>
      <c r="IJ203" s="978"/>
      <c r="IK203" s="978"/>
      <c r="IL203" s="978"/>
      <c r="IM203" s="978"/>
      <c r="IN203" s="978"/>
      <c r="IO203" s="978"/>
      <c r="IP203" s="978"/>
      <c r="IQ203" s="978"/>
      <c r="IR203" s="978"/>
      <c r="IS203" s="978"/>
      <c r="IT203" s="978"/>
      <c r="IU203" s="978"/>
      <c r="IV203" s="978"/>
      <c r="IW203" s="978"/>
      <c r="IX203" s="978"/>
      <c r="IY203" s="978"/>
      <c r="IZ203" s="978"/>
      <c r="JA203" s="978"/>
      <c r="JB203" s="978"/>
      <c r="JC203" s="978"/>
      <c r="JD203" s="978"/>
      <c r="JE203" s="978"/>
      <c r="JF203" s="978"/>
      <c r="JG203" s="978"/>
      <c r="JH203" s="978"/>
      <c r="JI203" s="978"/>
      <c r="JJ203" s="978"/>
      <c r="JK203" s="978"/>
      <c r="JL203" s="978"/>
      <c r="JM203" s="978"/>
      <c r="JN203" s="978"/>
      <c r="JO203" s="978"/>
      <c r="JP203" s="978"/>
      <c r="JQ203" s="978"/>
      <c r="JR203" s="978"/>
      <c r="JS203" s="978"/>
      <c r="JT203" s="978"/>
      <c r="JU203" s="978"/>
      <c r="JV203" s="978"/>
      <c r="JW203" s="978"/>
      <c r="JX203" s="978"/>
      <c r="JY203" s="978"/>
      <c r="JZ203" s="978"/>
      <c r="KA203" s="978"/>
      <c r="KB203" s="978"/>
      <c r="KC203" s="978"/>
      <c r="KD203" s="978"/>
      <c r="KE203" s="978"/>
      <c r="KF203" s="978"/>
      <c r="KG203" s="978"/>
      <c r="KH203" s="978"/>
      <c r="KI203" s="978"/>
      <c r="KJ203" s="978"/>
      <c r="KK203" s="978"/>
      <c r="KL203" s="978"/>
      <c r="KM203" s="978"/>
      <c r="KN203" s="978"/>
      <c r="KO203" s="978"/>
      <c r="KP203" s="978"/>
      <c r="KQ203" s="978"/>
      <c r="KR203" s="978"/>
      <c r="KS203" s="978"/>
      <c r="KT203" s="978"/>
      <c r="KU203" s="978"/>
      <c r="KV203" s="978"/>
      <c r="KW203" s="978"/>
      <c r="KX203" s="978"/>
      <c r="KY203" s="978"/>
      <c r="KZ203" s="978"/>
      <c r="LA203" s="978"/>
      <c r="LB203" s="978"/>
      <c r="LC203" s="978"/>
      <c r="LD203" s="978"/>
      <c r="LE203" s="978"/>
      <c r="LF203" s="978"/>
      <c r="LG203" s="978"/>
      <c r="LH203" s="978"/>
      <c r="LI203" s="978"/>
      <c r="LJ203" s="978"/>
      <c r="LK203" s="978"/>
      <c r="LL203" s="978"/>
      <c r="LM203" s="978"/>
      <c r="LN203" s="978"/>
      <c r="LO203" s="978"/>
      <c r="LP203" s="978"/>
      <c r="LQ203" s="978"/>
      <c r="LR203" s="978"/>
      <c r="LS203" s="978"/>
      <c r="LT203" s="978"/>
      <c r="LU203" s="978"/>
      <c r="LV203" s="978"/>
      <c r="LW203" s="978"/>
      <c r="LX203" s="978"/>
      <c r="LY203" s="978"/>
      <c r="LZ203" s="978"/>
      <c r="MA203" s="978"/>
      <c r="MB203" s="978"/>
      <c r="MC203" s="978"/>
      <c r="MD203" s="978"/>
      <c r="ME203" s="978"/>
      <c r="MF203" s="978"/>
      <c r="MG203" s="978"/>
      <c r="MH203" s="978"/>
      <c r="MI203" s="978"/>
      <c r="MJ203" s="978"/>
      <c r="MK203" s="978"/>
      <c r="ML203" s="978"/>
      <c r="MM203" s="978"/>
      <c r="MN203" s="978"/>
      <c r="MO203" s="978"/>
      <c r="MP203" s="978"/>
      <c r="MQ203" s="978"/>
      <c r="MR203" s="978"/>
      <c r="MS203" s="978"/>
      <c r="MT203" s="978"/>
      <c r="MU203" s="978"/>
      <c r="MV203" s="978"/>
      <c r="MW203" s="978"/>
      <c r="MX203" s="978"/>
      <c r="MY203" s="978"/>
      <c r="MZ203" s="978"/>
      <c r="NA203" s="978"/>
      <c r="NB203" s="978"/>
      <c r="NC203" s="978"/>
      <c r="ND203" s="978"/>
      <c r="NE203" s="978"/>
      <c r="NF203" s="978"/>
      <c r="NG203" s="978"/>
      <c r="NH203" s="978"/>
      <c r="NI203" s="978"/>
      <c r="NJ203" s="978"/>
      <c r="NK203" s="978"/>
      <c r="NL203" s="978"/>
      <c r="NM203" s="978"/>
      <c r="NN203" s="978"/>
      <c r="NO203" s="978"/>
      <c r="NP203" s="978"/>
      <c r="NQ203" s="978"/>
      <c r="NR203" s="978"/>
      <c r="NS203" s="978"/>
      <c r="NT203" s="978"/>
      <c r="NU203" s="978"/>
      <c r="NV203" s="978"/>
      <c r="NW203" s="978"/>
      <c r="NX203" s="978"/>
      <c r="NY203" s="978"/>
      <c r="NZ203" s="978"/>
      <c r="OA203" s="978"/>
      <c r="OB203" s="978"/>
      <c r="OC203" s="978"/>
      <c r="OD203" s="978"/>
      <c r="OE203" s="978"/>
      <c r="OF203" s="978"/>
      <c r="OG203" s="978"/>
      <c r="OH203" s="978"/>
      <c r="OI203" s="978"/>
      <c r="OJ203" s="978"/>
      <c r="OK203" s="978"/>
      <c r="OL203" s="978"/>
      <c r="OM203" s="978"/>
      <c r="ON203" s="978"/>
      <c r="OO203" s="978"/>
      <c r="OP203" s="978"/>
      <c r="OQ203" s="978"/>
      <c r="OR203" s="978"/>
      <c r="OS203" s="978"/>
      <c r="OT203" s="978"/>
      <c r="OU203" s="978"/>
      <c r="OV203" s="978"/>
      <c r="OW203" s="978"/>
      <c r="OX203" s="978"/>
      <c r="OY203" s="978"/>
      <c r="OZ203" s="978"/>
      <c r="PA203" s="978"/>
      <c r="PB203" s="978"/>
      <c r="PC203" s="978"/>
      <c r="PD203" s="978"/>
      <c r="PE203" s="978"/>
      <c r="PF203" s="978"/>
      <c r="PG203" s="978"/>
      <c r="PH203" s="978"/>
      <c r="PI203" s="978"/>
      <c r="PJ203" s="978"/>
      <c r="PK203" s="978"/>
      <c r="PL203" s="978"/>
      <c r="PM203" s="978"/>
      <c r="PN203" s="978"/>
      <c r="PO203" s="978"/>
      <c r="PP203" s="978"/>
      <c r="PQ203" s="978"/>
      <c r="PR203" s="978"/>
      <c r="PS203" s="978"/>
      <c r="PT203" s="978"/>
      <c r="PU203" s="978"/>
      <c r="PV203" s="978"/>
      <c r="PW203" s="978"/>
      <c r="PX203" s="978"/>
      <c r="PY203" s="978"/>
      <c r="PZ203" s="978"/>
      <c r="QA203" s="978"/>
      <c r="QB203" s="978"/>
      <c r="QC203" s="978"/>
      <c r="QD203" s="978"/>
      <c r="QE203" s="978"/>
      <c r="QF203" s="978"/>
      <c r="QG203" s="978"/>
      <c r="QH203" s="978"/>
      <c r="QI203" s="978"/>
      <c r="QJ203" s="978"/>
      <c r="QK203" s="978"/>
      <c r="QL203" s="978"/>
      <c r="QM203" s="978"/>
      <c r="QN203" s="978"/>
      <c r="QO203" s="978"/>
      <c r="QP203" s="978"/>
      <c r="QQ203" s="978"/>
      <c r="QR203" s="978"/>
      <c r="QS203" s="978"/>
      <c r="QT203" s="978"/>
      <c r="QU203" s="978"/>
      <c r="QV203" s="978"/>
      <c r="QW203" s="978"/>
      <c r="QX203" s="978"/>
      <c r="QY203" s="978"/>
      <c r="QZ203" s="978"/>
      <c r="RA203" s="978"/>
      <c r="RB203" s="274"/>
      <c r="RC203" s="274"/>
    </row>
    <row r="204" spans="112:471" ht="17.25">
      <c r="DH204" s="274"/>
      <c r="DI204" s="274"/>
      <c r="DJ204" s="978"/>
      <c r="DK204" s="978"/>
      <c r="DL204" s="978"/>
      <c r="DM204" s="978"/>
      <c r="DN204" s="978"/>
      <c r="DO204" s="978"/>
      <c r="DP204" s="978"/>
      <c r="DQ204" s="978"/>
      <c r="DR204" s="978"/>
      <c r="DS204" s="978"/>
      <c r="DT204" s="978"/>
      <c r="DU204" s="978"/>
      <c r="DV204" s="978"/>
      <c r="DW204" s="978"/>
      <c r="DX204" s="978"/>
      <c r="DY204" s="978"/>
      <c r="DZ204" s="978"/>
      <c r="EA204" s="978"/>
      <c r="EB204" s="978"/>
      <c r="EC204" s="978"/>
      <c r="ED204" s="978"/>
      <c r="EE204" s="978"/>
      <c r="EF204" s="978"/>
      <c r="EG204" s="978"/>
      <c r="EH204" s="978"/>
      <c r="EI204" s="978"/>
      <c r="EJ204" s="978"/>
      <c r="EK204" s="978"/>
      <c r="EL204" s="978"/>
      <c r="EM204" s="978"/>
      <c r="EN204" s="978"/>
      <c r="EO204" s="978"/>
      <c r="EP204" s="978"/>
      <c r="EQ204" s="978"/>
      <c r="ER204" s="978"/>
      <c r="ES204" s="978"/>
      <c r="ET204" s="978"/>
      <c r="EU204" s="978"/>
      <c r="EV204" s="978"/>
      <c r="EW204" s="978"/>
      <c r="EX204" s="978"/>
      <c r="EY204" s="978"/>
      <c r="EZ204" s="978"/>
      <c r="FA204" s="978"/>
      <c r="FB204" s="978"/>
      <c r="FC204" s="978"/>
      <c r="FD204" s="978"/>
      <c r="FE204" s="978"/>
      <c r="FF204" s="978"/>
      <c r="FG204" s="978"/>
      <c r="FH204" s="978"/>
      <c r="FI204" s="978"/>
      <c r="FJ204" s="978"/>
      <c r="FK204" s="978"/>
      <c r="FL204" s="978"/>
      <c r="FM204" s="978"/>
      <c r="FN204" s="978"/>
      <c r="FO204" s="978"/>
      <c r="FP204" s="978"/>
      <c r="FQ204" s="978"/>
      <c r="FR204" s="978"/>
      <c r="FS204" s="978"/>
      <c r="FT204" s="978"/>
      <c r="FU204" s="978"/>
      <c r="FV204" s="978"/>
      <c r="FW204" s="978"/>
      <c r="FX204" s="978"/>
      <c r="FY204" s="978"/>
      <c r="FZ204" s="978"/>
      <c r="GA204" s="978"/>
      <c r="GB204" s="978"/>
      <c r="GC204" s="978"/>
      <c r="GD204" s="978"/>
      <c r="GE204" s="978"/>
      <c r="GF204" s="978"/>
      <c r="GG204" s="978"/>
      <c r="GH204" s="978"/>
      <c r="GI204" s="978"/>
      <c r="GJ204" s="978"/>
      <c r="GK204" s="978"/>
      <c r="GL204" s="978"/>
      <c r="GM204" s="978"/>
      <c r="GN204" s="978"/>
      <c r="GO204" s="978"/>
      <c r="GP204" s="978"/>
      <c r="GQ204" s="978"/>
      <c r="GR204" s="978"/>
      <c r="GS204" s="978"/>
      <c r="GT204" s="978"/>
      <c r="GU204" s="978"/>
      <c r="GV204" s="978"/>
      <c r="GW204" s="978"/>
      <c r="GX204" s="978"/>
      <c r="GY204" s="978"/>
      <c r="GZ204" s="978"/>
      <c r="HA204" s="978"/>
      <c r="HB204" s="978"/>
      <c r="HC204" s="978"/>
      <c r="HD204" s="978"/>
      <c r="HE204" s="978"/>
      <c r="HF204" s="978"/>
      <c r="HG204" s="978"/>
      <c r="HH204" s="978"/>
      <c r="HI204" s="978"/>
      <c r="HJ204" s="978"/>
      <c r="HK204" s="978"/>
      <c r="HL204" s="978"/>
      <c r="HM204" s="978"/>
      <c r="HN204" s="978"/>
      <c r="HO204" s="978"/>
      <c r="HP204" s="978"/>
      <c r="HQ204" s="978"/>
      <c r="HR204" s="978"/>
      <c r="HS204" s="978"/>
      <c r="HT204" s="978"/>
      <c r="HU204" s="978"/>
      <c r="HV204" s="978"/>
      <c r="HW204" s="978"/>
      <c r="HX204" s="978"/>
      <c r="HY204" s="978"/>
      <c r="HZ204" s="978"/>
      <c r="IA204" s="978"/>
      <c r="IB204" s="978"/>
      <c r="IC204" s="978"/>
      <c r="ID204" s="978"/>
      <c r="IE204" s="978"/>
      <c r="IF204" s="978"/>
      <c r="IG204" s="978"/>
      <c r="IH204" s="978"/>
      <c r="II204" s="978"/>
      <c r="IJ204" s="978"/>
      <c r="IK204" s="978"/>
      <c r="IL204" s="978"/>
      <c r="IM204" s="978"/>
      <c r="IN204" s="978"/>
      <c r="IO204" s="978"/>
      <c r="IP204" s="978"/>
      <c r="IQ204" s="978"/>
      <c r="IR204" s="978"/>
      <c r="IS204" s="978"/>
      <c r="IT204" s="978"/>
      <c r="IU204" s="978"/>
      <c r="IV204" s="978"/>
      <c r="IW204" s="978"/>
      <c r="IX204" s="978"/>
      <c r="IY204" s="978"/>
      <c r="IZ204" s="978"/>
      <c r="JA204" s="978"/>
      <c r="JB204" s="978"/>
      <c r="JC204" s="978"/>
      <c r="JD204" s="978"/>
      <c r="JE204" s="978"/>
      <c r="JF204" s="978"/>
      <c r="JG204" s="978"/>
      <c r="JH204" s="978"/>
      <c r="JI204" s="978"/>
      <c r="JJ204" s="978"/>
      <c r="JK204" s="978"/>
      <c r="JL204" s="978"/>
      <c r="JM204" s="978"/>
      <c r="JN204" s="978"/>
      <c r="JO204" s="978"/>
      <c r="JP204" s="978"/>
      <c r="JQ204" s="978"/>
      <c r="JR204" s="978"/>
      <c r="JS204" s="978"/>
      <c r="JT204" s="978"/>
      <c r="JU204" s="978"/>
      <c r="JV204" s="978"/>
      <c r="JW204" s="978"/>
      <c r="JX204" s="978"/>
      <c r="JY204" s="978"/>
      <c r="JZ204" s="978"/>
      <c r="KA204" s="978"/>
      <c r="KB204" s="978"/>
      <c r="KC204" s="978"/>
      <c r="KD204" s="978"/>
      <c r="KE204" s="978"/>
      <c r="KF204" s="978"/>
      <c r="KG204" s="978"/>
      <c r="KH204" s="978"/>
      <c r="KI204" s="978"/>
      <c r="KJ204" s="978"/>
      <c r="KK204" s="978"/>
      <c r="KL204" s="978"/>
      <c r="KM204" s="978"/>
      <c r="KN204" s="978"/>
      <c r="KO204" s="978"/>
      <c r="KP204" s="978"/>
      <c r="KQ204" s="978"/>
      <c r="KR204" s="978"/>
      <c r="KS204" s="978"/>
      <c r="KT204" s="978"/>
      <c r="KU204" s="978"/>
      <c r="KV204" s="978"/>
      <c r="KW204" s="978"/>
      <c r="KX204" s="978"/>
      <c r="KY204" s="978"/>
      <c r="KZ204" s="978"/>
      <c r="LA204" s="978"/>
      <c r="LB204" s="978"/>
      <c r="LC204" s="978"/>
      <c r="LD204" s="978"/>
      <c r="LE204" s="978"/>
      <c r="LF204" s="978"/>
      <c r="LG204" s="978"/>
      <c r="LH204" s="978"/>
      <c r="LI204" s="978"/>
      <c r="LJ204" s="978"/>
      <c r="LK204" s="978"/>
      <c r="LL204" s="978"/>
      <c r="LM204" s="978"/>
      <c r="LN204" s="978"/>
      <c r="LO204" s="978"/>
      <c r="LP204" s="978"/>
      <c r="LQ204" s="978"/>
      <c r="LR204" s="978"/>
      <c r="LS204" s="978"/>
      <c r="LT204" s="978"/>
      <c r="LU204" s="978"/>
      <c r="LV204" s="978"/>
      <c r="LW204" s="978"/>
      <c r="LX204" s="978"/>
      <c r="LY204" s="978"/>
      <c r="LZ204" s="978"/>
      <c r="MA204" s="978"/>
      <c r="MB204" s="978"/>
      <c r="MC204" s="978"/>
      <c r="MD204" s="978"/>
      <c r="ME204" s="978"/>
      <c r="MF204" s="978"/>
      <c r="MG204" s="978"/>
      <c r="MH204" s="978"/>
      <c r="MI204" s="978"/>
      <c r="MJ204" s="978"/>
      <c r="MK204" s="978"/>
      <c r="ML204" s="978"/>
      <c r="MM204" s="978"/>
      <c r="MN204" s="978"/>
      <c r="MO204" s="978"/>
      <c r="MP204" s="978"/>
      <c r="MQ204" s="978"/>
      <c r="MR204" s="978"/>
      <c r="MS204" s="978"/>
      <c r="MT204" s="978"/>
      <c r="MU204" s="978"/>
      <c r="MV204" s="978"/>
      <c r="MW204" s="978"/>
      <c r="MX204" s="978"/>
      <c r="MY204" s="978"/>
      <c r="MZ204" s="978"/>
      <c r="NA204" s="978"/>
      <c r="NB204" s="978"/>
      <c r="NC204" s="978"/>
      <c r="ND204" s="978"/>
      <c r="NE204" s="978"/>
      <c r="NF204" s="978"/>
      <c r="NG204" s="978"/>
      <c r="NH204" s="978"/>
      <c r="NI204" s="978"/>
      <c r="NJ204" s="978"/>
      <c r="NK204" s="978"/>
      <c r="NL204" s="978"/>
      <c r="NM204" s="978"/>
      <c r="NN204" s="978"/>
      <c r="NO204" s="978"/>
      <c r="NP204" s="978"/>
      <c r="NQ204" s="978"/>
      <c r="NR204" s="978"/>
      <c r="NS204" s="978"/>
      <c r="NT204" s="978"/>
      <c r="NU204" s="978"/>
      <c r="NV204" s="978"/>
      <c r="NW204" s="978"/>
      <c r="NX204" s="978"/>
      <c r="NY204" s="978"/>
      <c r="NZ204" s="978"/>
      <c r="OA204" s="978"/>
      <c r="OB204" s="978"/>
      <c r="OC204" s="978"/>
      <c r="OD204" s="978"/>
      <c r="OE204" s="978"/>
      <c r="OF204" s="978"/>
      <c r="OG204" s="978"/>
      <c r="OH204" s="978"/>
      <c r="OI204" s="978"/>
      <c r="OJ204" s="978"/>
      <c r="OK204" s="978"/>
      <c r="OL204" s="978"/>
      <c r="OM204" s="978"/>
      <c r="ON204" s="978"/>
      <c r="OO204" s="978"/>
      <c r="OP204" s="978"/>
      <c r="OQ204" s="978"/>
      <c r="OR204" s="978"/>
      <c r="OS204" s="978"/>
      <c r="OT204" s="978"/>
      <c r="OU204" s="978"/>
      <c r="OV204" s="978"/>
      <c r="OW204" s="978"/>
      <c r="OX204" s="978"/>
      <c r="OY204" s="978"/>
      <c r="OZ204" s="978"/>
      <c r="PA204" s="978"/>
      <c r="PB204" s="978"/>
      <c r="PC204" s="978"/>
      <c r="PD204" s="978"/>
      <c r="PE204" s="978"/>
      <c r="PF204" s="978"/>
      <c r="PG204" s="978"/>
      <c r="PH204" s="978"/>
      <c r="PI204" s="978"/>
      <c r="PJ204" s="978"/>
      <c r="PK204" s="978"/>
      <c r="PL204" s="978"/>
      <c r="PM204" s="978"/>
      <c r="PN204" s="978"/>
      <c r="PO204" s="978"/>
      <c r="PP204" s="978"/>
      <c r="PQ204" s="978"/>
      <c r="PR204" s="978"/>
      <c r="PS204" s="978"/>
      <c r="PT204" s="978"/>
      <c r="PU204" s="978"/>
      <c r="PV204" s="978"/>
      <c r="PW204" s="978"/>
      <c r="PX204" s="978"/>
      <c r="PY204" s="978"/>
      <c r="PZ204" s="978"/>
      <c r="QA204" s="978"/>
      <c r="QB204" s="978"/>
      <c r="QC204" s="978"/>
      <c r="QD204" s="978"/>
      <c r="QE204" s="978"/>
      <c r="QF204" s="978"/>
      <c r="QG204" s="978"/>
      <c r="QH204" s="978"/>
      <c r="QI204" s="978"/>
      <c r="QJ204" s="978"/>
      <c r="QK204" s="978"/>
      <c r="QL204" s="978"/>
      <c r="QM204" s="978"/>
      <c r="QN204" s="978"/>
      <c r="QO204" s="978"/>
      <c r="QP204" s="978"/>
      <c r="QQ204" s="978"/>
      <c r="QR204" s="978"/>
      <c r="QS204" s="978"/>
      <c r="QT204" s="978"/>
      <c r="QU204" s="978"/>
      <c r="QV204" s="978"/>
      <c r="QW204" s="978"/>
      <c r="QX204" s="978"/>
      <c r="QY204" s="978"/>
      <c r="QZ204" s="978"/>
      <c r="RA204" s="978"/>
      <c r="RB204" s="274"/>
      <c r="RC204" s="274"/>
    </row>
    <row r="205" spans="112:471" ht="17.25">
      <c r="DH205" s="274"/>
      <c r="DI205" s="274"/>
      <c r="DJ205" s="978"/>
      <c r="DK205" s="978"/>
      <c r="DL205" s="978"/>
      <c r="DM205" s="978"/>
      <c r="DN205" s="978"/>
      <c r="DO205" s="978"/>
      <c r="DP205" s="978"/>
      <c r="DQ205" s="978"/>
      <c r="DR205" s="978"/>
      <c r="DS205" s="978"/>
      <c r="DT205" s="978"/>
      <c r="DU205" s="978"/>
      <c r="DV205" s="978"/>
      <c r="DW205" s="978"/>
      <c r="DX205" s="978"/>
      <c r="DY205" s="978"/>
      <c r="DZ205" s="978"/>
      <c r="EA205" s="978"/>
      <c r="EB205" s="978"/>
      <c r="EC205" s="978"/>
      <c r="ED205" s="978"/>
      <c r="EE205" s="978"/>
      <c r="EF205" s="978"/>
      <c r="EG205" s="978"/>
      <c r="EH205" s="978"/>
      <c r="EI205" s="978"/>
      <c r="EJ205" s="978"/>
      <c r="EK205" s="978"/>
      <c r="EL205" s="978"/>
      <c r="EM205" s="978"/>
      <c r="EN205" s="978"/>
      <c r="EO205" s="978"/>
      <c r="EP205" s="978"/>
      <c r="EQ205" s="978"/>
      <c r="ER205" s="978"/>
      <c r="ES205" s="978"/>
      <c r="ET205" s="978"/>
      <c r="EU205" s="978"/>
      <c r="EV205" s="978"/>
      <c r="EW205" s="978"/>
      <c r="EX205" s="978"/>
      <c r="EY205" s="978"/>
      <c r="EZ205" s="978"/>
      <c r="FA205" s="978"/>
      <c r="FB205" s="978"/>
      <c r="FC205" s="978"/>
      <c r="FD205" s="978"/>
      <c r="FE205" s="978"/>
      <c r="FF205" s="978"/>
      <c r="FG205" s="978"/>
      <c r="FH205" s="978"/>
      <c r="FI205" s="978"/>
      <c r="FJ205" s="978"/>
      <c r="FK205" s="978"/>
      <c r="FL205" s="978"/>
      <c r="FM205" s="978"/>
      <c r="FN205" s="978"/>
      <c r="FO205" s="978"/>
      <c r="FP205" s="978"/>
      <c r="FQ205" s="978"/>
      <c r="FR205" s="978"/>
      <c r="FS205" s="978"/>
      <c r="FT205" s="978"/>
      <c r="FU205" s="978"/>
      <c r="FV205" s="978"/>
      <c r="FW205" s="978"/>
      <c r="FX205" s="978"/>
      <c r="FY205" s="978"/>
      <c r="FZ205" s="978"/>
      <c r="GA205" s="978"/>
      <c r="GB205" s="978"/>
      <c r="GC205" s="978"/>
      <c r="GD205" s="978"/>
      <c r="GE205" s="978"/>
      <c r="GF205" s="978"/>
      <c r="GG205" s="978"/>
      <c r="GH205" s="978"/>
      <c r="GI205" s="978"/>
      <c r="GJ205" s="978"/>
      <c r="GK205" s="978"/>
      <c r="GL205" s="978"/>
      <c r="GM205" s="978"/>
      <c r="GN205" s="978"/>
      <c r="GO205" s="978"/>
      <c r="GP205" s="978"/>
      <c r="GQ205" s="978"/>
      <c r="GR205" s="978"/>
      <c r="GS205" s="978"/>
      <c r="GT205" s="978"/>
      <c r="GU205" s="978"/>
      <c r="GV205" s="978"/>
      <c r="GW205" s="978"/>
      <c r="GX205" s="978"/>
      <c r="GY205" s="978"/>
      <c r="GZ205" s="978"/>
      <c r="HA205" s="978"/>
      <c r="HB205" s="978"/>
      <c r="HC205" s="978"/>
      <c r="HD205" s="978"/>
      <c r="HE205" s="978"/>
      <c r="HF205" s="978"/>
      <c r="HG205" s="978"/>
      <c r="HH205" s="978"/>
      <c r="HI205" s="978"/>
      <c r="HJ205" s="978"/>
      <c r="HK205" s="978"/>
      <c r="HL205" s="978"/>
      <c r="HM205" s="978"/>
      <c r="HN205" s="978"/>
      <c r="HO205" s="978"/>
      <c r="HP205" s="978"/>
      <c r="HQ205" s="978"/>
      <c r="HR205" s="978"/>
      <c r="HS205" s="978"/>
      <c r="HT205" s="978"/>
      <c r="HU205" s="978"/>
      <c r="HV205" s="978"/>
      <c r="HW205" s="978"/>
      <c r="HX205" s="978"/>
      <c r="HY205" s="978"/>
      <c r="HZ205" s="978"/>
      <c r="IA205" s="978"/>
      <c r="IB205" s="978"/>
      <c r="IC205" s="978"/>
      <c r="ID205" s="978"/>
      <c r="IE205" s="978"/>
      <c r="IF205" s="978"/>
      <c r="IG205" s="978"/>
      <c r="IH205" s="978"/>
      <c r="II205" s="978"/>
      <c r="IJ205" s="978"/>
      <c r="IK205" s="978"/>
      <c r="IL205" s="978"/>
      <c r="IM205" s="978"/>
      <c r="IN205" s="978"/>
      <c r="IO205" s="978"/>
      <c r="IP205" s="978"/>
      <c r="IQ205" s="978"/>
      <c r="IR205" s="978"/>
      <c r="IS205" s="978"/>
      <c r="IT205" s="978"/>
      <c r="IU205" s="978"/>
      <c r="IV205" s="978"/>
      <c r="IW205" s="978"/>
      <c r="IX205" s="978"/>
      <c r="IY205" s="978"/>
      <c r="IZ205" s="978"/>
      <c r="JA205" s="978"/>
      <c r="JB205" s="978"/>
      <c r="JC205" s="978"/>
      <c r="JD205" s="978"/>
      <c r="JE205" s="978"/>
      <c r="JF205" s="978"/>
      <c r="JG205" s="978"/>
      <c r="JH205" s="978"/>
      <c r="JI205" s="978"/>
      <c r="JJ205" s="978"/>
      <c r="JK205" s="978"/>
      <c r="JL205" s="978"/>
      <c r="JM205" s="978"/>
      <c r="JN205" s="978"/>
      <c r="JO205" s="978"/>
      <c r="JP205" s="978"/>
      <c r="JQ205" s="978"/>
      <c r="JR205" s="978"/>
      <c r="JS205" s="978"/>
      <c r="JT205" s="978"/>
      <c r="JU205" s="978"/>
      <c r="JV205" s="978"/>
      <c r="JW205" s="978"/>
      <c r="JX205" s="978"/>
      <c r="JY205" s="978"/>
      <c r="JZ205" s="978"/>
      <c r="KA205" s="978"/>
      <c r="KB205" s="978"/>
      <c r="KC205" s="978"/>
      <c r="KD205" s="978"/>
      <c r="KE205" s="978"/>
      <c r="KF205" s="978"/>
      <c r="KG205" s="978"/>
      <c r="KH205" s="978"/>
      <c r="KI205" s="978"/>
      <c r="KJ205" s="978"/>
      <c r="KK205" s="978"/>
      <c r="KL205" s="978"/>
      <c r="KM205" s="978"/>
      <c r="KN205" s="978"/>
      <c r="KO205" s="978"/>
      <c r="KP205" s="978"/>
      <c r="KQ205" s="978"/>
      <c r="KR205" s="978"/>
      <c r="KS205" s="978"/>
      <c r="KT205" s="978"/>
      <c r="KU205" s="978"/>
      <c r="KV205" s="978"/>
      <c r="KW205" s="978"/>
      <c r="KX205" s="978"/>
      <c r="KY205" s="978"/>
      <c r="KZ205" s="978"/>
      <c r="LA205" s="978"/>
      <c r="LB205" s="978"/>
      <c r="LC205" s="978"/>
      <c r="LD205" s="978"/>
      <c r="LE205" s="978"/>
      <c r="LF205" s="978"/>
      <c r="LG205" s="978"/>
      <c r="LH205" s="978"/>
      <c r="LI205" s="978"/>
      <c r="LJ205" s="978"/>
      <c r="LK205" s="978"/>
      <c r="LL205" s="978"/>
      <c r="LM205" s="978"/>
      <c r="LN205" s="978"/>
      <c r="LO205" s="978"/>
      <c r="LP205" s="978"/>
      <c r="LQ205" s="978"/>
      <c r="LR205" s="978"/>
      <c r="LS205" s="978"/>
      <c r="LT205" s="978"/>
      <c r="LU205" s="978"/>
      <c r="LV205" s="978"/>
      <c r="LW205" s="978"/>
      <c r="LX205" s="978"/>
      <c r="LY205" s="978"/>
      <c r="LZ205" s="978"/>
      <c r="MA205" s="978"/>
      <c r="MB205" s="978"/>
      <c r="MC205" s="978"/>
      <c r="MD205" s="978"/>
      <c r="ME205" s="978"/>
      <c r="MF205" s="978"/>
      <c r="MG205" s="978"/>
      <c r="MH205" s="978"/>
      <c r="MI205" s="978"/>
      <c r="MJ205" s="978"/>
      <c r="MK205" s="978"/>
      <c r="ML205" s="978"/>
      <c r="MM205" s="978"/>
      <c r="MN205" s="978"/>
      <c r="MO205" s="978"/>
      <c r="MP205" s="978"/>
      <c r="MQ205" s="978"/>
      <c r="MR205" s="978"/>
      <c r="MS205" s="978"/>
      <c r="MT205" s="978"/>
      <c r="MU205" s="978"/>
      <c r="MV205" s="978"/>
      <c r="MW205" s="978"/>
      <c r="MX205" s="978"/>
      <c r="MY205" s="978"/>
      <c r="MZ205" s="978"/>
      <c r="NA205" s="978"/>
      <c r="NB205" s="978"/>
      <c r="NC205" s="978"/>
      <c r="ND205" s="978"/>
      <c r="NE205" s="978"/>
      <c r="NF205" s="978"/>
      <c r="NG205" s="978"/>
      <c r="NH205" s="978"/>
      <c r="NI205" s="978"/>
      <c r="NJ205" s="978"/>
      <c r="NK205" s="978"/>
      <c r="NL205" s="978"/>
      <c r="NM205" s="978"/>
      <c r="NN205" s="978"/>
      <c r="NO205" s="978"/>
      <c r="NP205" s="978"/>
      <c r="NQ205" s="978"/>
      <c r="NR205" s="978"/>
      <c r="NS205" s="978"/>
      <c r="NT205" s="978"/>
      <c r="NU205" s="978"/>
      <c r="NV205" s="978"/>
      <c r="NW205" s="978"/>
      <c r="NX205" s="978"/>
      <c r="NY205" s="978"/>
      <c r="NZ205" s="978"/>
      <c r="OA205" s="978"/>
      <c r="OB205" s="978"/>
      <c r="OC205" s="978"/>
      <c r="OD205" s="978"/>
      <c r="OE205" s="978"/>
      <c r="OF205" s="978"/>
      <c r="OG205" s="978"/>
      <c r="OH205" s="978"/>
      <c r="OI205" s="978"/>
      <c r="OJ205" s="978"/>
      <c r="OK205" s="978"/>
      <c r="OL205" s="978"/>
      <c r="OM205" s="978"/>
      <c r="ON205" s="978"/>
      <c r="OO205" s="978"/>
      <c r="OP205" s="978"/>
      <c r="OQ205" s="978"/>
      <c r="OR205" s="978"/>
      <c r="OS205" s="978"/>
      <c r="OT205" s="978"/>
      <c r="OU205" s="978"/>
      <c r="OV205" s="978"/>
      <c r="OW205" s="978"/>
      <c r="OX205" s="978"/>
      <c r="OY205" s="978"/>
      <c r="OZ205" s="978"/>
      <c r="PA205" s="978"/>
      <c r="PB205" s="978"/>
      <c r="PC205" s="978"/>
      <c r="PD205" s="978"/>
      <c r="PE205" s="978"/>
      <c r="PF205" s="978"/>
      <c r="PG205" s="978"/>
      <c r="PH205" s="978"/>
      <c r="PI205" s="978"/>
      <c r="PJ205" s="978"/>
      <c r="PK205" s="978"/>
      <c r="PL205" s="978"/>
      <c r="PM205" s="978"/>
      <c r="PN205" s="978"/>
      <c r="PO205" s="978"/>
      <c r="PP205" s="978"/>
      <c r="PQ205" s="978"/>
      <c r="PR205" s="978"/>
      <c r="PS205" s="978"/>
      <c r="PT205" s="978"/>
      <c r="PU205" s="978"/>
      <c r="PV205" s="978"/>
      <c r="PW205" s="978"/>
      <c r="PX205" s="978"/>
      <c r="PY205" s="978"/>
      <c r="PZ205" s="978"/>
      <c r="QA205" s="978"/>
      <c r="QB205" s="978"/>
      <c r="QC205" s="978"/>
      <c r="QD205" s="978"/>
      <c r="QE205" s="978"/>
      <c r="QF205" s="978"/>
      <c r="QG205" s="978"/>
      <c r="QH205" s="978"/>
      <c r="QI205" s="978"/>
      <c r="QJ205" s="978"/>
      <c r="QK205" s="978"/>
      <c r="QL205" s="978"/>
      <c r="QM205" s="978"/>
      <c r="QN205" s="978"/>
      <c r="QO205" s="978"/>
      <c r="QP205" s="978"/>
      <c r="QQ205" s="978"/>
      <c r="QR205" s="978"/>
      <c r="QS205" s="978"/>
      <c r="QT205" s="978"/>
      <c r="QU205" s="978"/>
      <c r="QV205" s="978"/>
      <c r="QW205" s="978"/>
      <c r="QX205" s="978"/>
      <c r="QY205" s="978"/>
      <c r="QZ205" s="978"/>
      <c r="RA205" s="978"/>
      <c r="RB205" s="274"/>
      <c r="RC205" s="274"/>
    </row>
    <row r="206" spans="112:471" ht="17.25">
      <c r="DH206" s="274"/>
      <c r="DI206" s="274"/>
      <c r="DJ206" s="978"/>
      <c r="DK206" s="978"/>
      <c r="DL206" s="978"/>
      <c r="DM206" s="978"/>
      <c r="DN206" s="978"/>
      <c r="DO206" s="978"/>
      <c r="DP206" s="978"/>
      <c r="DQ206" s="978"/>
      <c r="DR206" s="978"/>
      <c r="DS206" s="978"/>
      <c r="DT206" s="978"/>
      <c r="DU206" s="978"/>
      <c r="DV206" s="978"/>
      <c r="DW206" s="978"/>
      <c r="DX206" s="978"/>
      <c r="DY206" s="978"/>
      <c r="DZ206" s="978"/>
      <c r="EA206" s="978"/>
      <c r="EB206" s="978"/>
      <c r="EC206" s="978"/>
      <c r="ED206" s="978"/>
      <c r="EE206" s="978"/>
      <c r="EF206" s="978"/>
      <c r="EG206" s="978"/>
      <c r="EH206" s="978"/>
      <c r="EI206" s="978"/>
      <c r="EJ206" s="978"/>
      <c r="EK206" s="978"/>
      <c r="EL206" s="978"/>
      <c r="EM206" s="978"/>
      <c r="EN206" s="978"/>
      <c r="EO206" s="978"/>
      <c r="EP206" s="978"/>
      <c r="EQ206" s="978"/>
      <c r="ER206" s="978"/>
      <c r="ES206" s="978"/>
      <c r="ET206" s="978"/>
      <c r="EU206" s="978"/>
      <c r="EV206" s="978"/>
      <c r="EW206" s="978"/>
      <c r="EX206" s="978"/>
      <c r="EY206" s="978"/>
      <c r="EZ206" s="978"/>
      <c r="FA206" s="978"/>
      <c r="FB206" s="978"/>
      <c r="FC206" s="978"/>
      <c r="FD206" s="978"/>
      <c r="FE206" s="978"/>
      <c r="FF206" s="978"/>
      <c r="FG206" s="978"/>
      <c r="FH206" s="978"/>
      <c r="FI206" s="978"/>
      <c r="FJ206" s="978"/>
      <c r="FK206" s="978"/>
      <c r="FL206" s="978"/>
      <c r="FM206" s="978"/>
      <c r="FN206" s="978"/>
      <c r="FO206" s="978"/>
      <c r="FP206" s="978"/>
      <c r="FQ206" s="978"/>
      <c r="FR206" s="978"/>
      <c r="FS206" s="978"/>
      <c r="FT206" s="978"/>
      <c r="FU206" s="978"/>
      <c r="FV206" s="978"/>
      <c r="FW206" s="978"/>
      <c r="FX206" s="978"/>
      <c r="FY206" s="978"/>
      <c r="FZ206" s="978"/>
      <c r="GA206" s="978"/>
      <c r="GB206" s="978"/>
      <c r="GC206" s="978"/>
      <c r="GD206" s="978"/>
      <c r="GE206" s="978"/>
      <c r="GF206" s="978"/>
      <c r="GG206" s="978"/>
      <c r="GH206" s="978"/>
      <c r="GI206" s="978"/>
      <c r="GJ206" s="978"/>
      <c r="GK206" s="978"/>
      <c r="GL206" s="978"/>
      <c r="GM206" s="978"/>
      <c r="GN206" s="978"/>
      <c r="GO206" s="978"/>
      <c r="GP206" s="978"/>
      <c r="GQ206" s="978"/>
      <c r="GR206" s="978"/>
      <c r="GS206" s="978"/>
      <c r="GT206" s="978"/>
      <c r="GU206" s="978"/>
      <c r="GV206" s="978"/>
      <c r="GW206" s="978"/>
      <c r="GX206" s="978"/>
      <c r="GY206" s="978"/>
      <c r="GZ206" s="978"/>
      <c r="HA206" s="978"/>
      <c r="HB206" s="978"/>
      <c r="HC206" s="978"/>
      <c r="HD206" s="978"/>
      <c r="HE206" s="978"/>
      <c r="HF206" s="978"/>
      <c r="HG206" s="978"/>
      <c r="HH206" s="978"/>
      <c r="HI206" s="978"/>
      <c r="HJ206" s="978"/>
      <c r="HK206" s="978"/>
      <c r="HL206" s="978"/>
      <c r="HM206" s="978"/>
      <c r="HN206" s="978"/>
      <c r="HO206" s="978"/>
      <c r="HP206" s="978"/>
      <c r="HQ206" s="978"/>
      <c r="HR206" s="978"/>
      <c r="HS206" s="978"/>
      <c r="HT206" s="978"/>
      <c r="HU206" s="978"/>
      <c r="HV206" s="978"/>
      <c r="HW206" s="978"/>
      <c r="HX206" s="978"/>
      <c r="HY206" s="978"/>
      <c r="HZ206" s="978"/>
      <c r="IA206" s="978"/>
      <c r="IB206" s="978"/>
      <c r="IC206" s="978"/>
      <c r="ID206" s="978"/>
      <c r="IE206" s="978"/>
      <c r="IF206" s="978"/>
      <c r="IG206" s="978"/>
      <c r="IH206" s="978"/>
      <c r="II206" s="978"/>
      <c r="IJ206" s="978"/>
      <c r="IK206" s="978"/>
      <c r="IL206" s="978"/>
      <c r="IM206" s="978"/>
      <c r="IN206" s="978"/>
      <c r="IO206" s="978"/>
      <c r="IP206" s="978"/>
      <c r="IQ206" s="978"/>
      <c r="IR206" s="978"/>
      <c r="IS206" s="978"/>
      <c r="IT206" s="978"/>
      <c r="IU206" s="978"/>
      <c r="IV206" s="978"/>
      <c r="IW206" s="978"/>
      <c r="IX206" s="978"/>
      <c r="IY206" s="978"/>
      <c r="IZ206" s="978"/>
      <c r="JA206" s="978"/>
      <c r="JB206" s="978"/>
      <c r="JC206" s="978"/>
      <c r="JD206" s="978"/>
      <c r="JE206" s="978"/>
      <c r="JF206" s="978"/>
      <c r="JG206" s="978"/>
      <c r="JH206" s="978"/>
      <c r="JI206" s="978"/>
      <c r="JJ206" s="978"/>
      <c r="JK206" s="978"/>
      <c r="JL206" s="978"/>
      <c r="JM206" s="978"/>
      <c r="JN206" s="978"/>
      <c r="JO206" s="978"/>
      <c r="JP206" s="978"/>
      <c r="JQ206" s="978"/>
      <c r="JR206" s="978"/>
      <c r="JS206" s="978"/>
      <c r="JT206" s="978"/>
      <c r="JU206" s="978"/>
      <c r="JV206" s="978"/>
      <c r="JW206" s="978"/>
      <c r="JX206" s="978"/>
      <c r="JY206" s="978"/>
      <c r="JZ206" s="978"/>
      <c r="KA206" s="978"/>
      <c r="KB206" s="978"/>
      <c r="KC206" s="978"/>
      <c r="KD206" s="978"/>
      <c r="KE206" s="978"/>
      <c r="KF206" s="978"/>
      <c r="KG206" s="978"/>
      <c r="KH206" s="978"/>
      <c r="KI206" s="978"/>
      <c r="KJ206" s="978"/>
      <c r="KK206" s="978"/>
      <c r="KL206" s="978"/>
      <c r="KM206" s="978"/>
      <c r="KN206" s="978"/>
      <c r="KO206" s="978"/>
      <c r="KP206" s="978"/>
      <c r="KQ206" s="978"/>
      <c r="KR206" s="978"/>
      <c r="KS206" s="978"/>
      <c r="KT206" s="978"/>
      <c r="KU206" s="978"/>
      <c r="KV206" s="978"/>
      <c r="KW206" s="978"/>
      <c r="KX206" s="978"/>
      <c r="KY206" s="978"/>
      <c r="KZ206" s="978"/>
      <c r="LA206" s="978"/>
      <c r="LB206" s="978"/>
      <c r="LC206" s="978"/>
      <c r="LD206" s="978"/>
      <c r="LE206" s="978"/>
      <c r="LF206" s="978"/>
      <c r="LG206" s="978"/>
      <c r="LH206" s="978"/>
      <c r="LI206" s="978"/>
      <c r="LJ206" s="978"/>
      <c r="LK206" s="978"/>
      <c r="LL206" s="978"/>
      <c r="LM206" s="978"/>
      <c r="LN206" s="978"/>
      <c r="LO206" s="978"/>
      <c r="LP206" s="978"/>
      <c r="LQ206" s="978"/>
      <c r="LR206" s="978"/>
      <c r="LS206" s="978"/>
      <c r="LT206" s="978"/>
      <c r="LU206" s="978"/>
      <c r="LV206" s="978"/>
      <c r="LW206" s="978"/>
      <c r="LX206" s="978"/>
      <c r="LY206" s="978"/>
      <c r="LZ206" s="978"/>
      <c r="MA206" s="978"/>
      <c r="MB206" s="978"/>
      <c r="MC206" s="978"/>
      <c r="MD206" s="978"/>
      <c r="ME206" s="978"/>
      <c r="MF206" s="978"/>
      <c r="MG206" s="978"/>
      <c r="MH206" s="978"/>
      <c r="MI206" s="978"/>
      <c r="MJ206" s="978"/>
      <c r="MK206" s="978"/>
      <c r="ML206" s="978"/>
      <c r="MM206" s="978"/>
      <c r="MN206" s="978"/>
      <c r="MO206" s="978"/>
      <c r="MP206" s="978"/>
      <c r="MQ206" s="978"/>
      <c r="MR206" s="978"/>
      <c r="MS206" s="978"/>
      <c r="MT206" s="978"/>
      <c r="MU206" s="978"/>
      <c r="MV206" s="978"/>
      <c r="MW206" s="978"/>
      <c r="MX206" s="978"/>
      <c r="MY206" s="978"/>
      <c r="MZ206" s="978"/>
      <c r="NA206" s="978"/>
      <c r="NB206" s="978"/>
      <c r="NC206" s="978"/>
      <c r="ND206" s="978"/>
      <c r="NE206" s="978"/>
      <c r="NF206" s="978"/>
      <c r="NG206" s="978"/>
      <c r="NH206" s="978"/>
      <c r="NI206" s="978"/>
      <c r="NJ206" s="978"/>
      <c r="NK206" s="978"/>
      <c r="NL206" s="978"/>
      <c r="NM206" s="978"/>
      <c r="NN206" s="978"/>
      <c r="NO206" s="978"/>
      <c r="NP206" s="978"/>
      <c r="NQ206" s="978"/>
      <c r="NR206" s="978"/>
      <c r="NS206" s="978"/>
      <c r="NT206" s="978"/>
      <c r="NU206" s="978"/>
      <c r="NV206" s="978"/>
      <c r="NW206" s="978"/>
      <c r="NX206" s="978"/>
      <c r="NY206" s="978"/>
      <c r="NZ206" s="978"/>
      <c r="OA206" s="978"/>
      <c r="OB206" s="978"/>
      <c r="OC206" s="978"/>
      <c r="OD206" s="978"/>
      <c r="OE206" s="978"/>
      <c r="OF206" s="978"/>
      <c r="OG206" s="978"/>
      <c r="OH206" s="978"/>
      <c r="OI206" s="978"/>
      <c r="OJ206" s="978"/>
      <c r="OK206" s="978"/>
      <c r="OL206" s="978"/>
      <c r="OM206" s="978"/>
      <c r="ON206" s="978"/>
      <c r="OO206" s="978"/>
      <c r="OP206" s="978"/>
      <c r="OQ206" s="978"/>
      <c r="OR206" s="978"/>
      <c r="OS206" s="978"/>
      <c r="OT206" s="978"/>
      <c r="OU206" s="978"/>
      <c r="OV206" s="978"/>
      <c r="OW206" s="978"/>
      <c r="OX206" s="978"/>
      <c r="OY206" s="978"/>
      <c r="OZ206" s="978"/>
      <c r="PA206" s="978"/>
      <c r="PB206" s="978"/>
      <c r="PC206" s="978"/>
      <c r="PD206" s="978"/>
      <c r="PE206" s="978"/>
      <c r="PF206" s="978"/>
      <c r="PG206" s="978"/>
      <c r="PH206" s="978"/>
      <c r="PI206" s="978"/>
      <c r="PJ206" s="978"/>
      <c r="PK206" s="978"/>
      <c r="PL206" s="978"/>
      <c r="PM206" s="978"/>
      <c r="PN206" s="978"/>
      <c r="PO206" s="978"/>
      <c r="PP206" s="978"/>
      <c r="PQ206" s="978"/>
      <c r="PR206" s="978"/>
      <c r="PS206" s="978"/>
      <c r="PT206" s="978"/>
      <c r="PU206" s="978"/>
      <c r="PV206" s="978"/>
      <c r="PW206" s="978"/>
      <c r="PX206" s="978"/>
      <c r="PY206" s="978"/>
      <c r="PZ206" s="978"/>
      <c r="QA206" s="978"/>
      <c r="QB206" s="978"/>
      <c r="QC206" s="978"/>
      <c r="QD206" s="978"/>
      <c r="QE206" s="978"/>
      <c r="QF206" s="978"/>
      <c r="QG206" s="978"/>
      <c r="QH206" s="978"/>
      <c r="QI206" s="978"/>
      <c r="QJ206" s="978"/>
      <c r="QK206" s="978"/>
      <c r="QL206" s="978"/>
      <c r="QM206" s="978"/>
      <c r="QN206" s="978"/>
      <c r="QO206" s="978"/>
      <c r="QP206" s="978"/>
      <c r="QQ206" s="978"/>
      <c r="QR206" s="978"/>
      <c r="QS206" s="978"/>
      <c r="QT206" s="978"/>
      <c r="QU206" s="978"/>
      <c r="QV206" s="978"/>
      <c r="QW206" s="978"/>
      <c r="QX206" s="978"/>
      <c r="QY206" s="978"/>
      <c r="QZ206" s="978"/>
      <c r="RA206" s="978"/>
      <c r="RB206" s="274"/>
      <c r="RC206" s="274"/>
    </row>
    <row r="207" spans="112:471" ht="17.25">
      <c r="DH207" s="274"/>
      <c r="DI207" s="274"/>
      <c r="DJ207" s="978"/>
      <c r="DK207" s="978"/>
      <c r="DL207" s="978"/>
      <c r="DM207" s="978"/>
      <c r="DN207" s="978"/>
      <c r="DO207" s="978"/>
      <c r="DP207" s="978"/>
      <c r="DQ207" s="978"/>
      <c r="DR207" s="978"/>
      <c r="DS207" s="978"/>
      <c r="DT207" s="978"/>
      <c r="DU207" s="978"/>
      <c r="DV207" s="978"/>
      <c r="DW207" s="978"/>
      <c r="DX207" s="978"/>
      <c r="DY207" s="978"/>
      <c r="DZ207" s="978"/>
      <c r="EA207" s="978"/>
      <c r="EB207" s="978"/>
      <c r="EC207" s="978"/>
      <c r="ED207" s="978"/>
      <c r="EE207" s="978"/>
      <c r="EF207" s="978"/>
      <c r="EG207" s="978"/>
      <c r="EH207" s="978"/>
      <c r="EI207" s="978"/>
      <c r="EJ207" s="978"/>
      <c r="EK207" s="978"/>
      <c r="EL207" s="978"/>
      <c r="EM207" s="978"/>
      <c r="EN207" s="978"/>
      <c r="EO207" s="978"/>
      <c r="EP207" s="978"/>
      <c r="EQ207" s="978"/>
      <c r="ER207" s="978"/>
      <c r="ES207" s="978"/>
      <c r="ET207" s="978"/>
      <c r="EU207" s="978"/>
      <c r="EV207" s="978"/>
      <c r="EW207" s="978"/>
      <c r="EX207" s="978"/>
      <c r="EY207" s="978"/>
      <c r="EZ207" s="978"/>
      <c r="FA207" s="978"/>
      <c r="FB207" s="978"/>
      <c r="FC207" s="978"/>
      <c r="FD207" s="978"/>
      <c r="FE207" s="978"/>
      <c r="FF207" s="978"/>
      <c r="FG207" s="978"/>
      <c r="FH207" s="978"/>
      <c r="FI207" s="978"/>
      <c r="FJ207" s="978"/>
      <c r="FK207" s="978"/>
      <c r="FL207" s="978"/>
      <c r="FM207" s="978"/>
      <c r="FN207" s="978"/>
      <c r="FO207" s="978"/>
      <c r="FP207" s="978"/>
      <c r="FQ207" s="978"/>
      <c r="FR207" s="978"/>
      <c r="FS207" s="978"/>
      <c r="FT207" s="978"/>
      <c r="FU207" s="978"/>
      <c r="FV207" s="978"/>
      <c r="FW207" s="978"/>
      <c r="FX207" s="978"/>
      <c r="FY207" s="978"/>
      <c r="FZ207" s="978"/>
      <c r="GA207" s="978"/>
      <c r="GB207" s="978"/>
      <c r="GC207" s="978"/>
      <c r="GD207" s="978"/>
      <c r="GE207" s="978"/>
      <c r="GF207" s="978"/>
      <c r="GG207" s="978"/>
      <c r="GH207" s="978"/>
      <c r="GI207" s="978"/>
      <c r="GJ207" s="978"/>
      <c r="GK207" s="978"/>
      <c r="GL207" s="978"/>
      <c r="GM207" s="978"/>
      <c r="GN207" s="978"/>
      <c r="GO207" s="978"/>
      <c r="GP207" s="978"/>
      <c r="GQ207" s="978"/>
      <c r="GR207" s="978"/>
      <c r="GS207" s="978"/>
      <c r="GT207" s="978"/>
      <c r="GU207" s="978"/>
      <c r="GV207" s="978"/>
      <c r="GW207" s="978"/>
      <c r="GX207" s="978"/>
      <c r="GY207" s="978"/>
      <c r="GZ207" s="978"/>
      <c r="HA207" s="978"/>
      <c r="HB207" s="978"/>
      <c r="HC207" s="978"/>
      <c r="HD207" s="978"/>
      <c r="HE207" s="978"/>
      <c r="HF207" s="978"/>
      <c r="HG207" s="978"/>
      <c r="HH207" s="978"/>
      <c r="HI207" s="978"/>
      <c r="HJ207" s="978"/>
      <c r="HK207" s="978"/>
      <c r="HL207" s="978"/>
      <c r="HM207" s="978"/>
      <c r="HN207" s="978"/>
      <c r="HO207" s="978"/>
      <c r="HP207" s="978"/>
      <c r="HQ207" s="978"/>
      <c r="HR207" s="978"/>
      <c r="HS207" s="978"/>
      <c r="HT207" s="978"/>
      <c r="HU207" s="978"/>
      <c r="HV207" s="978"/>
      <c r="HW207" s="978"/>
      <c r="HX207" s="978"/>
      <c r="HY207" s="978"/>
      <c r="HZ207" s="978"/>
      <c r="IA207" s="978"/>
      <c r="IB207" s="978"/>
      <c r="IC207" s="978"/>
      <c r="ID207" s="978"/>
      <c r="IE207" s="978"/>
      <c r="IF207" s="978"/>
      <c r="IG207" s="978"/>
      <c r="IH207" s="978"/>
      <c r="II207" s="978"/>
      <c r="IJ207" s="978"/>
      <c r="IK207" s="978"/>
      <c r="IL207" s="978"/>
      <c r="IM207" s="978"/>
      <c r="IN207" s="978"/>
      <c r="IO207" s="978"/>
      <c r="IP207" s="978"/>
      <c r="IQ207" s="978"/>
      <c r="IR207" s="978"/>
      <c r="IS207" s="978"/>
      <c r="IT207" s="978"/>
      <c r="IU207" s="978"/>
      <c r="IV207" s="978"/>
      <c r="IW207" s="978"/>
      <c r="IX207" s="978"/>
      <c r="IY207" s="978"/>
      <c r="IZ207" s="978"/>
      <c r="JA207" s="978"/>
      <c r="JB207" s="978"/>
      <c r="JC207" s="978"/>
      <c r="JD207" s="978"/>
      <c r="JE207" s="978"/>
      <c r="JF207" s="978"/>
      <c r="JG207" s="978"/>
      <c r="JH207" s="978"/>
      <c r="JI207" s="978"/>
      <c r="JJ207" s="978"/>
      <c r="JK207" s="978"/>
      <c r="JL207" s="978"/>
      <c r="JM207" s="978"/>
      <c r="JN207" s="978"/>
      <c r="JO207" s="978"/>
      <c r="JP207" s="978"/>
      <c r="JQ207" s="978"/>
      <c r="JR207" s="978"/>
      <c r="JS207" s="978"/>
      <c r="JT207" s="978"/>
      <c r="JU207" s="978"/>
      <c r="JV207" s="978"/>
      <c r="JW207" s="978"/>
      <c r="JX207" s="978"/>
      <c r="JY207" s="978"/>
      <c r="JZ207" s="978"/>
      <c r="KA207" s="978"/>
      <c r="KB207" s="978"/>
      <c r="KC207" s="978"/>
      <c r="KD207" s="978"/>
      <c r="KE207" s="978"/>
      <c r="KF207" s="978"/>
      <c r="KG207" s="978"/>
      <c r="KH207" s="978"/>
      <c r="KI207" s="978"/>
      <c r="KJ207" s="978"/>
      <c r="KK207" s="978"/>
      <c r="KL207" s="978"/>
      <c r="KM207" s="978"/>
      <c r="KN207" s="978"/>
      <c r="KO207" s="978"/>
      <c r="KP207" s="978"/>
      <c r="KQ207" s="978"/>
      <c r="KR207" s="978"/>
      <c r="KS207" s="978"/>
      <c r="KT207" s="978"/>
      <c r="KU207" s="978"/>
      <c r="KV207" s="978"/>
      <c r="KW207" s="978"/>
      <c r="KX207" s="978"/>
      <c r="KY207" s="978"/>
      <c r="KZ207" s="978"/>
      <c r="LA207" s="978"/>
      <c r="LB207" s="978"/>
      <c r="LC207" s="978"/>
      <c r="LD207" s="978"/>
      <c r="LE207" s="978"/>
      <c r="LF207" s="978"/>
      <c r="LG207" s="978"/>
      <c r="LH207" s="978"/>
      <c r="LI207" s="978"/>
      <c r="LJ207" s="978"/>
      <c r="LK207" s="978"/>
      <c r="LL207" s="978"/>
      <c r="LM207" s="978"/>
      <c r="LN207" s="978"/>
      <c r="LO207" s="978"/>
      <c r="LP207" s="978"/>
      <c r="LQ207" s="978"/>
      <c r="LR207" s="978"/>
      <c r="LS207" s="978"/>
      <c r="LT207" s="978"/>
      <c r="LU207" s="978"/>
      <c r="LV207" s="978"/>
      <c r="LW207" s="978"/>
      <c r="LX207" s="978"/>
      <c r="LY207" s="978"/>
      <c r="LZ207" s="978"/>
      <c r="MA207" s="978"/>
      <c r="MB207" s="978"/>
      <c r="MC207" s="978"/>
      <c r="MD207" s="978"/>
      <c r="ME207" s="978"/>
      <c r="MF207" s="978"/>
      <c r="MG207" s="978"/>
      <c r="MH207" s="978"/>
      <c r="MI207" s="978"/>
      <c r="MJ207" s="978"/>
      <c r="MK207" s="978"/>
      <c r="ML207" s="978"/>
      <c r="MM207" s="978"/>
      <c r="MN207" s="978"/>
      <c r="MO207" s="978"/>
      <c r="MP207" s="978"/>
      <c r="MQ207" s="978"/>
      <c r="MR207" s="978"/>
      <c r="MS207" s="978"/>
      <c r="MT207" s="978"/>
      <c r="MU207" s="978"/>
      <c r="MV207" s="978"/>
      <c r="MW207" s="978"/>
      <c r="MX207" s="978"/>
      <c r="MY207" s="978"/>
      <c r="MZ207" s="978"/>
      <c r="NA207" s="978"/>
      <c r="NB207" s="978"/>
      <c r="NC207" s="978"/>
      <c r="ND207" s="978"/>
      <c r="NE207" s="978"/>
      <c r="NF207" s="978"/>
      <c r="NG207" s="978"/>
      <c r="NH207" s="978"/>
      <c r="NI207" s="978"/>
      <c r="NJ207" s="978"/>
      <c r="NK207" s="978"/>
      <c r="NL207" s="978"/>
      <c r="NM207" s="978"/>
      <c r="NN207" s="978"/>
      <c r="NO207" s="978"/>
      <c r="NP207" s="978"/>
      <c r="NQ207" s="978"/>
      <c r="NR207" s="978"/>
      <c r="NS207" s="978"/>
      <c r="NT207" s="978"/>
      <c r="NU207" s="978"/>
      <c r="NV207" s="978"/>
      <c r="NW207" s="978"/>
      <c r="NX207" s="978"/>
      <c r="NY207" s="978"/>
      <c r="NZ207" s="978"/>
      <c r="OA207" s="978"/>
      <c r="OB207" s="978"/>
      <c r="OC207" s="978"/>
      <c r="OD207" s="978"/>
      <c r="OE207" s="978"/>
      <c r="OF207" s="978"/>
      <c r="OG207" s="978"/>
      <c r="OH207" s="978"/>
      <c r="OI207" s="978"/>
      <c r="OJ207" s="978"/>
      <c r="OK207" s="978"/>
      <c r="OL207" s="978"/>
      <c r="OM207" s="978"/>
      <c r="ON207" s="978"/>
      <c r="OO207" s="978"/>
      <c r="OP207" s="978"/>
      <c r="OQ207" s="978"/>
      <c r="OR207" s="978"/>
      <c r="OS207" s="978"/>
      <c r="OT207" s="978"/>
      <c r="OU207" s="978"/>
      <c r="OV207" s="978"/>
      <c r="OW207" s="978"/>
      <c r="OX207" s="978"/>
      <c r="OY207" s="978"/>
      <c r="OZ207" s="978"/>
      <c r="PA207" s="978"/>
      <c r="PB207" s="978"/>
      <c r="PC207" s="978"/>
      <c r="PD207" s="978"/>
      <c r="PE207" s="978"/>
      <c r="PF207" s="978"/>
      <c r="PG207" s="978"/>
      <c r="PH207" s="978"/>
      <c r="PI207" s="978"/>
      <c r="PJ207" s="978"/>
      <c r="PK207" s="978"/>
      <c r="PL207" s="978"/>
      <c r="PM207" s="978"/>
      <c r="PN207" s="978"/>
      <c r="PO207" s="978"/>
      <c r="PP207" s="978"/>
      <c r="PQ207" s="978"/>
      <c r="PR207" s="978"/>
      <c r="PS207" s="978"/>
      <c r="PT207" s="978"/>
      <c r="PU207" s="978"/>
      <c r="PV207" s="978"/>
      <c r="PW207" s="978"/>
      <c r="PX207" s="978"/>
      <c r="PY207" s="978"/>
      <c r="PZ207" s="978"/>
      <c r="QA207" s="978"/>
      <c r="QB207" s="978"/>
      <c r="QC207" s="978"/>
      <c r="QD207" s="978"/>
      <c r="QE207" s="978"/>
      <c r="QF207" s="978"/>
      <c r="QG207" s="978"/>
      <c r="QH207" s="978"/>
      <c r="QI207" s="978"/>
      <c r="QJ207" s="978"/>
      <c r="QK207" s="978"/>
      <c r="QL207" s="978"/>
      <c r="QM207" s="978"/>
      <c r="QN207" s="978"/>
      <c r="QO207" s="978"/>
      <c r="QP207" s="978"/>
      <c r="QQ207" s="978"/>
      <c r="QR207" s="978"/>
      <c r="QS207" s="978"/>
      <c r="QT207" s="978"/>
      <c r="QU207" s="978"/>
      <c r="QV207" s="978"/>
      <c r="QW207" s="978"/>
      <c r="QX207" s="978"/>
      <c r="QY207" s="978"/>
      <c r="QZ207" s="978"/>
      <c r="RA207" s="978"/>
      <c r="RB207" s="274"/>
      <c r="RC207" s="274"/>
    </row>
    <row r="208" spans="112:471">
      <c r="DH208" s="274"/>
      <c r="DI208" s="274"/>
      <c r="DJ208" s="274"/>
      <c r="DK208" s="274"/>
      <c r="DL208" s="274"/>
      <c r="DM208" s="274"/>
      <c r="DN208" s="274"/>
      <c r="DO208" s="274"/>
      <c r="DP208" s="274"/>
      <c r="DQ208" s="274"/>
      <c r="DR208" s="274"/>
      <c r="DS208" s="274"/>
      <c r="DT208" s="274"/>
      <c r="DU208" s="274"/>
      <c r="DV208" s="274"/>
      <c r="DW208" s="274"/>
      <c r="DX208" s="274"/>
      <c r="DY208" s="274"/>
      <c r="DZ208" s="274"/>
      <c r="EA208" s="274"/>
      <c r="EB208" s="274"/>
      <c r="EC208" s="274"/>
      <c r="ED208" s="274"/>
      <c r="EE208" s="274"/>
      <c r="EF208" s="274"/>
      <c r="EG208" s="274"/>
      <c r="EH208" s="274"/>
      <c r="EI208" s="274"/>
      <c r="EJ208" s="274"/>
      <c r="EK208" s="274"/>
      <c r="EL208" s="274"/>
      <c r="EM208" s="274"/>
      <c r="EN208" s="274"/>
      <c r="EO208" s="274"/>
      <c r="EP208" s="274"/>
      <c r="EQ208" s="274"/>
      <c r="ER208" s="274"/>
      <c r="ES208" s="274"/>
      <c r="ET208" s="274"/>
      <c r="EU208" s="274"/>
      <c r="EV208" s="274"/>
      <c r="EW208" s="274"/>
      <c r="EX208" s="274"/>
      <c r="EY208" s="274"/>
      <c r="EZ208" s="274"/>
      <c r="FA208" s="274"/>
      <c r="FB208" s="274"/>
      <c r="FC208" s="274"/>
      <c r="FD208" s="274"/>
      <c r="FE208" s="274"/>
      <c r="FF208" s="274"/>
      <c r="FG208" s="274"/>
      <c r="FH208" s="274"/>
      <c r="FI208" s="274"/>
      <c r="FJ208" s="274"/>
      <c r="FK208" s="274"/>
      <c r="FL208" s="274"/>
      <c r="FM208" s="274"/>
      <c r="FN208" s="274"/>
      <c r="FO208" s="274"/>
      <c r="FP208" s="274"/>
      <c r="FQ208" s="274"/>
      <c r="FR208" s="274"/>
      <c r="FS208" s="274"/>
      <c r="FT208" s="274"/>
      <c r="FU208" s="274"/>
      <c r="FV208" s="274"/>
      <c r="FW208" s="274"/>
      <c r="FX208" s="274"/>
      <c r="FY208" s="274"/>
      <c r="FZ208" s="274"/>
      <c r="GA208" s="274"/>
      <c r="GB208" s="274"/>
      <c r="GC208" s="274"/>
      <c r="GD208" s="274"/>
      <c r="GE208" s="274"/>
      <c r="GF208" s="274"/>
      <c r="GG208" s="274"/>
      <c r="GH208" s="274"/>
      <c r="GI208" s="274"/>
      <c r="GJ208" s="274"/>
      <c r="GK208" s="274"/>
      <c r="GL208" s="274"/>
      <c r="GM208" s="274"/>
      <c r="GN208" s="274"/>
      <c r="GO208" s="274"/>
      <c r="GP208" s="274"/>
      <c r="GQ208" s="274"/>
      <c r="GR208" s="274"/>
      <c r="GS208" s="274"/>
      <c r="GT208" s="274"/>
      <c r="GU208" s="274"/>
      <c r="GV208" s="274"/>
      <c r="GW208" s="274"/>
      <c r="GX208" s="274"/>
      <c r="GY208" s="274"/>
      <c r="GZ208" s="274"/>
      <c r="HA208" s="274"/>
      <c r="HB208" s="274"/>
      <c r="HC208" s="274"/>
      <c r="HD208" s="274"/>
      <c r="HE208" s="274"/>
      <c r="HF208" s="274"/>
      <c r="HG208" s="274"/>
      <c r="HH208" s="274"/>
      <c r="HI208" s="274"/>
      <c r="HJ208" s="274"/>
      <c r="HK208" s="274"/>
      <c r="HL208" s="274"/>
      <c r="HM208" s="274"/>
      <c r="HN208" s="274"/>
      <c r="HO208" s="274"/>
      <c r="HP208" s="274"/>
      <c r="HQ208" s="274"/>
      <c r="HR208" s="274"/>
      <c r="HS208" s="274"/>
      <c r="HT208" s="274"/>
      <c r="HU208" s="274"/>
      <c r="HV208" s="274"/>
      <c r="HW208" s="274"/>
      <c r="HX208" s="274"/>
      <c r="HY208" s="274"/>
      <c r="HZ208" s="274"/>
      <c r="IA208" s="274"/>
      <c r="IB208" s="274"/>
      <c r="IC208" s="274"/>
      <c r="ID208" s="274"/>
      <c r="IE208" s="274"/>
      <c r="IF208" s="274"/>
      <c r="IG208" s="274"/>
      <c r="IH208" s="274"/>
      <c r="II208" s="274"/>
      <c r="IJ208" s="274"/>
      <c r="IK208" s="274"/>
      <c r="IL208" s="274"/>
      <c r="IM208" s="274"/>
      <c r="IN208" s="274"/>
      <c r="IO208" s="274"/>
      <c r="IP208" s="274"/>
      <c r="IQ208" s="274"/>
      <c r="IR208" s="274"/>
      <c r="IS208" s="274"/>
      <c r="IT208" s="274"/>
      <c r="IU208" s="274"/>
      <c r="IV208" s="274"/>
      <c r="IW208" s="274"/>
      <c r="IX208" s="274"/>
      <c r="IY208" s="274"/>
      <c r="IZ208" s="274"/>
      <c r="JA208" s="274"/>
      <c r="JB208" s="274"/>
      <c r="JC208" s="274"/>
      <c r="JD208" s="274"/>
      <c r="JE208" s="274"/>
      <c r="JF208" s="274"/>
      <c r="JG208" s="274"/>
      <c r="JH208" s="274"/>
      <c r="JI208" s="274"/>
      <c r="JJ208" s="274"/>
      <c r="JK208" s="274"/>
      <c r="JL208" s="274"/>
      <c r="JM208" s="274"/>
      <c r="JN208" s="274"/>
      <c r="JO208" s="274"/>
      <c r="JP208" s="274"/>
      <c r="JQ208" s="274"/>
      <c r="JR208" s="274"/>
      <c r="JS208" s="274"/>
      <c r="JT208" s="274"/>
      <c r="JU208" s="274"/>
      <c r="JV208" s="274"/>
      <c r="JW208" s="274"/>
      <c r="JX208" s="274"/>
      <c r="JY208" s="274"/>
      <c r="JZ208" s="274"/>
      <c r="KA208" s="274"/>
      <c r="KB208" s="274"/>
      <c r="KC208" s="274"/>
      <c r="KD208" s="274"/>
      <c r="KE208" s="274"/>
      <c r="KF208" s="274"/>
      <c r="KG208" s="274"/>
      <c r="KH208" s="274"/>
      <c r="KI208" s="274"/>
      <c r="KJ208" s="274"/>
      <c r="KK208" s="274"/>
      <c r="KL208" s="274"/>
      <c r="KM208" s="274"/>
      <c r="KN208" s="274"/>
      <c r="KO208" s="274"/>
      <c r="KP208" s="274"/>
      <c r="KQ208" s="274"/>
      <c r="KR208" s="274"/>
      <c r="KS208" s="274"/>
      <c r="KT208" s="274"/>
      <c r="KU208" s="274"/>
      <c r="KV208" s="274"/>
      <c r="KW208" s="274"/>
      <c r="KX208" s="274"/>
      <c r="KY208" s="274"/>
      <c r="KZ208" s="274"/>
      <c r="LA208" s="274"/>
      <c r="LB208" s="274"/>
      <c r="LC208" s="274"/>
      <c r="LD208" s="274"/>
      <c r="LE208" s="274"/>
      <c r="LF208" s="274"/>
      <c r="LG208" s="274"/>
      <c r="LH208" s="274"/>
      <c r="LI208" s="274"/>
      <c r="LJ208" s="274"/>
      <c r="LK208" s="274"/>
      <c r="LL208" s="274"/>
      <c r="LM208" s="274"/>
      <c r="LN208" s="274"/>
      <c r="LO208" s="274"/>
      <c r="LP208" s="274"/>
      <c r="LQ208" s="274"/>
      <c r="LR208" s="274"/>
      <c r="LS208" s="274"/>
      <c r="LT208" s="274"/>
      <c r="LU208" s="274"/>
      <c r="LV208" s="274"/>
      <c r="LW208" s="274"/>
      <c r="LX208" s="274"/>
      <c r="LY208" s="274"/>
      <c r="LZ208" s="274"/>
      <c r="MA208" s="274"/>
      <c r="MB208" s="274"/>
      <c r="MC208" s="274"/>
      <c r="MD208" s="274"/>
      <c r="ME208" s="274"/>
      <c r="MF208" s="274"/>
      <c r="MG208" s="274"/>
      <c r="MH208" s="274"/>
      <c r="MI208" s="274"/>
      <c r="MJ208" s="274"/>
      <c r="MK208" s="274"/>
      <c r="ML208" s="274"/>
      <c r="MM208" s="274"/>
      <c r="MN208" s="274"/>
      <c r="MO208" s="274"/>
      <c r="MP208" s="274"/>
      <c r="MQ208" s="274"/>
      <c r="MR208" s="274"/>
      <c r="MS208" s="274"/>
      <c r="MT208" s="274"/>
      <c r="MU208" s="274"/>
      <c r="MV208" s="274"/>
      <c r="MW208" s="274"/>
      <c r="MX208" s="274"/>
      <c r="MY208" s="274"/>
      <c r="MZ208" s="274"/>
      <c r="NA208" s="274"/>
      <c r="NB208" s="274"/>
      <c r="NC208" s="274"/>
      <c r="ND208" s="274"/>
      <c r="NE208" s="274"/>
      <c r="NF208" s="274"/>
      <c r="NG208" s="274"/>
      <c r="NH208" s="274"/>
      <c r="NI208" s="274"/>
      <c r="NJ208" s="274"/>
      <c r="NK208" s="274"/>
      <c r="NL208" s="274"/>
      <c r="NM208" s="274"/>
      <c r="NN208" s="274"/>
      <c r="NO208" s="274"/>
      <c r="NP208" s="274"/>
      <c r="NQ208" s="274"/>
      <c r="NR208" s="274"/>
      <c r="NS208" s="274"/>
      <c r="NT208" s="274"/>
      <c r="NU208" s="274"/>
      <c r="NV208" s="274"/>
      <c r="NW208" s="274"/>
      <c r="NX208" s="274"/>
      <c r="NY208" s="274"/>
      <c r="NZ208" s="274"/>
      <c r="OA208" s="274"/>
      <c r="OB208" s="274"/>
      <c r="OC208" s="274"/>
      <c r="OD208" s="274"/>
      <c r="OE208" s="274"/>
      <c r="OF208" s="274"/>
      <c r="OG208" s="274"/>
      <c r="OH208" s="274"/>
      <c r="OI208" s="274"/>
      <c r="OJ208" s="274"/>
      <c r="OK208" s="274"/>
      <c r="OL208" s="274"/>
      <c r="OM208" s="274"/>
      <c r="ON208" s="274"/>
      <c r="OO208" s="274"/>
      <c r="OP208" s="274"/>
      <c r="OQ208" s="274"/>
      <c r="OR208" s="274"/>
      <c r="OS208" s="274"/>
      <c r="OT208" s="274"/>
      <c r="OU208" s="274"/>
      <c r="OV208" s="274"/>
      <c r="OW208" s="274"/>
      <c r="OX208" s="274"/>
      <c r="OY208" s="274"/>
      <c r="OZ208" s="274"/>
      <c r="PA208" s="274"/>
      <c r="PB208" s="274"/>
      <c r="PC208" s="274"/>
      <c r="PD208" s="274"/>
      <c r="PE208" s="274"/>
      <c r="PF208" s="274"/>
      <c r="PG208" s="274"/>
      <c r="PH208" s="274"/>
      <c r="PI208" s="274"/>
      <c r="PJ208" s="274"/>
      <c r="PK208" s="274"/>
      <c r="PL208" s="274"/>
      <c r="PM208" s="274"/>
      <c r="PN208" s="274"/>
      <c r="PO208" s="274"/>
      <c r="PP208" s="274"/>
      <c r="PQ208" s="274"/>
      <c r="PR208" s="274"/>
      <c r="PS208" s="274"/>
      <c r="PT208" s="274"/>
      <c r="PU208" s="274"/>
      <c r="PV208" s="274"/>
      <c r="PW208" s="274"/>
      <c r="PX208" s="274"/>
      <c r="PY208" s="274"/>
      <c r="PZ208" s="274"/>
      <c r="QA208" s="274"/>
      <c r="QB208" s="274"/>
      <c r="QC208" s="274"/>
      <c r="QD208" s="274"/>
      <c r="QE208" s="274"/>
      <c r="QF208" s="274"/>
      <c r="QG208" s="274"/>
      <c r="QH208" s="274"/>
      <c r="QI208" s="274"/>
      <c r="QJ208" s="274"/>
      <c r="QK208" s="274"/>
      <c r="QL208" s="274"/>
      <c r="QM208" s="274"/>
      <c r="QN208" s="274"/>
      <c r="QO208" s="274"/>
      <c r="QP208" s="274"/>
      <c r="QQ208" s="274"/>
      <c r="QR208" s="274"/>
      <c r="QS208" s="274"/>
      <c r="QT208" s="274"/>
      <c r="QU208" s="274"/>
      <c r="QV208" s="274"/>
      <c r="QW208" s="274"/>
      <c r="QX208" s="274"/>
      <c r="QY208" s="274"/>
      <c r="QZ208" s="274"/>
      <c r="RA208" s="274"/>
      <c r="RB208" s="274"/>
      <c r="RC208" s="274"/>
    </row>
    <row r="209" spans="112:471">
      <c r="DH209" s="274"/>
      <c r="DI209" s="274"/>
      <c r="DJ209" s="274"/>
      <c r="DK209" s="274"/>
      <c r="DL209" s="274"/>
      <c r="DM209" s="274"/>
      <c r="DN209" s="274"/>
      <c r="DO209" s="274"/>
      <c r="DP209" s="274"/>
      <c r="DQ209" s="274"/>
      <c r="DR209" s="274"/>
      <c r="DS209" s="274"/>
      <c r="DT209" s="274"/>
      <c r="DU209" s="274"/>
      <c r="DV209" s="274"/>
      <c r="DW209" s="274"/>
      <c r="DX209" s="274"/>
      <c r="DY209" s="274"/>
      <c r="DZ209" s="274"/>
      <c r="EA209" s="274"/>
      <c r="EB209" s="274"/>
      <c r="EC209" s="274"/>
      <c r="ED209" s="274"/>
      <c r="EE209" s="274"/>
      <c r="EF209" s="274"/>
      <c r="EG209" s="274"/>
      <c r="EH209" s="274"/>
      <c r="EI209" s="274"/>
      <c r="EJ209" s="274"/>
      <c r="EK209" s="274"/>
      <c r="EL209" s="274"/>
      <c r="EM209" s="274"/>
      <c r="EN209" s="274"/>
      <c r="EO209" s="274"/>
      <c r="EP209" s="274"/>
      <c r="EQ209" s="274"/>
      <c r="ER209" s="274"/>
      <c r="ES209" s="274"/>
      <c r="ET209" s="274"/>
      <c r="EU209" s="274"/>
      <c r="EV209" s="274"/>
      <c r="EW209" s="274"/>
      <c r="EX209" s="274"/>
      <c r="EY209" s="274"/>
      <c r="EZ209" s="274"/>
      <c r="FA209" s="274"/>
      <c r="FB209" s="274"/>
      <c r="FC209" s="274"/>
      <c r="FD209" s="274"/>
      <c r="FE209" s="274"/>
      <c r="FF209" s="274"/>
      <c r="FG209" s="274"/>
      <c r="FH209" s="274"/>
      <c r="FI209" s="274"/>
      <c r="FJ209" s="274"/>
      <c r="FK209" s="274"/>
      <c r="FL209" s="274"/>
      <c r="FM209" s="274"/>
      <c r="FN209" s="274"/>
      <c r="FO209" s="274"/>
      <c r="FP209" s="274"/>
      <c r="FQ209" s="274"/>
      <c r="FR209" s="274"/>
      <c r="FS209" s="274"/>
      <c r="FT209" s="274"/>
      <c r="FU209" s="274"/>
      <c r="FV209" s="274"/>
      <c r="FW209" s="274"/>
      <c r="FX209" s="274"/>
      <c r="FY209" s="274"/>
      <c r="FZ209" s="274"/>
      <c r="GA209" s="274"/>
      <c r="GB209" s="274"/>
      <c r="GC209" s="274"/>
      <c r="GD209" s="274"/>
      <c r="GE209" s="274"/>
      <c r="GF209" s="274"/>
      <c r="GG209" s="274"/>
      <c r="GH209" s="274"/>
      <c r="GI209" s="274"/>
      <c r="GJ209" s="274"/>
      <c r="GK209" s="274"/>
      <c r="GL209" s="274"/>
      <c r="GM209" s="274"/>
      <c r="GN209" s="274"/>
      <c r="GO209" s="274"/>
      <c r="GP209" s="274"/>
      <c r="GQ209" s="274"/>
      <c r="GR209" s="274"/>
      <c r="GS209" s="274"/>
      <c r="GT209" s="274"/>
      <c r="GU209" s="274"/>
      <c r="GV209" s="274"/>
      <c r="GW209" s="274"/>
      <c r="GX209" s="274"/>
      <c r="GY209" s="274"/>
      <c r="GZ209" s="274"/>
      <c r="HA209" s="274"/>
      <c r="HB209" s="274"/>
      <c r="HC209" s="274"/>
      <c r="HD209" s="274"/>
      <c r="HE209" s="274"/>
      <c r="HF209" s="274"/>
      <c r="HG209" s="274"/>
      <c r="HH209" s="274"/>
      <c r="HI209" s="274"/>
      <c r="HJ209" s="274"/>
      <c r="HK209" s="274"/>
      <c r="HL209" s="274"/>
      <c r="HM209" s="274"/>
      <c r="HN209" s="274"/>
      <c r="HO209" s="274"/>
      <c r="HP209" s="274"/>
      <c r="HQ209" s="274"/>
      <c r="HR209" s="274"/>
      <c r="HS209" s="274"/>
      <c r="HT209" s="274"/>
      <c r="HU209" s="274"/>
      <c r="HV209" s="274"/>
      <c r="HW209" s="274"/>
      <c r="HX209" s="274"/>
      <c r="HY209" s="274"/>
      <c r="HZ209" s="274"/>
      <c r="IA209" s="274"/>
      <c r="IB209" s="274"/>
      <c r="IC209" s="274"/>
      <c r="ID209" s="274"/>
      <c r="IE209" s="274"/>
      <c r="IF209" s="274"/>
      <c r="IG209" s="274"/>
      <c r="IH209" s="274"/>
      <c r="II209" s="274"/>
      <c r="IJ209" s="274"/>
      <c r="IK209" s="274"/>
      <c r="IL209" s="274"/>
      <c r="IM209" s="274"/>
      <c r="IN209" s="274"/>
      <c r="IO209" s="274"/>
      <c r="IP209" s="274"/>
      <c r="IQ209" s="274"/>
      <c r="IR209" s="274"/>
      <c r="IS209" s="274"/>
      <c r="IT209" s="274"/>
      <c r="IU209" s="274"/>
      <c r="IV209" s="274"/>
      <c r="IW209" s="274"/>
      <c r="IX209" s="274"/>
      <c r="IY209" s="274"/>
      <c r="IZ209" s="274"/>
      <c r="JA209" s="274"/>
      <c r="JB209" s="274"/>
      <c r="JC209" s="274"/>
      <c r="JD209" s="274"/>
      <c r="JE209" s="274"/>
      <c r="JF209" s="274"/>
      <c r="JG209" s="274"/>
      <c r="JH209" s="274"/>
      <c r="JI209" s="274"/>
      <c r="JJ209" s="274"/>
      <c r="JK209" s="274"/>
      <c r="JL209" s="274"/>
      <c r="JM209" s="274"/>
      <c r="JN209" s="274"/>
      <c r="JO209" s="274"/>
      <c r="JP209" s="274"/>
      <c r="JQ209" s="274"/>
      <c r="JR209" s="274"/>
      <c r="JS209" s="274"/>
      <c r="JT209" s="274"/>
      <c r="JU209" s="274"/>
      <c r="JV209" s="274"/>
      <c r="JW209" s="274"/>
      <c r="JX209" s="274"/>
      <c r="JY209" s="274"/>
      <c r="JZ209" s="274"/>
      <c r="KA209" s="274"/>
      <c r="KB209" s="274"/>
      <c r="KC209" s="274"/>
      <c r="KD209" s="274"/>
      <c r="KE209" s="274"/>
      <c r="KF209" s="274"/>
      <c r="KG209" s="274"/>
      <c r="KH209" s="274"/>
      <c r="KI209" s="274"/>
      <c r="KJ209" s="274"/>
      <c r="KK209" s="274"/>
      <c r="KL209" s="274"/>
      <c r="KM209" s="274"/>
      <c r="KN209" s="274"/>
      <c r="KO209" s="274"/>
      <c r="KP209" s="274"/>
      <c r="KQ209" s="274"/>
      <c r="KR209" s="274"/>
      <c r="KS209" s="274"/>
      <c r="KT209" s="274"/>
      <c r="KU209" s="274"/>
      <c r="KV209" s="274"/>
      <c r="KW209" s="274"/>
      <c r="KX209" s="274"/>
      <c r="KY209" s="274"/>
      <c r="KZ209" s="274"/>
      <c r="LA209" s="274"/>
      <c r="LB209" s="274"/>
      <c r="LC209" s="274"/>
      <c r="LD209" s="274"/>
      <c r="LE209" s="274"/>
      <c r="LF209" s="274"/>
      <c r="LG209" s="274"/>
      <c r="LH209" s="274"/>
      <c r="LI209" s="274"/>
      <c r="LJ209" s="274"/>
      <c r="LK209" s="274"/>
      <c r="LL209" s="274"/>
      <c r="LM209" s="274"/>
      <c r="LN209" s="274"/>
      <c r="LO209" s="274"/>
      <c r="LP209" s="274"/>
      <c r="LQ209" s="274"/>
      <c r="LR209" s="274"/>
      <c r="LS209" s="274"/>
      <c r="LT209" s="274"/>
      <c r="LU209" s="274"/>
      <c r="LV209" s="274"/>
      <c r="LW209" s="274"/>
      <c r="LX209" s="274"/>
      <c r="LY209" s="274"/>
      <c r="LZ209" s="274"/>
      <c r="MA209" s="274"/>
      <c r="MB209" s="274"/>
      <c r="MC209" s="274"/>
      <c r="MD209" s="274"/>
      <c r="ME209" s="274"/>
      <c r="MF209" s="274"/>
      <c r="MG209" s="274"/>
      <c r="MH209" s="274"/>
      <c r="MI209" s="274"/>
      <c r="MJ209" s="274"/>
      <c r="MK209" s="274"/>
      <c r="ML209" s="274"/>
      <c r="MM209" s="274"/>
      <c r="MN209" s="274"/>
      <c r="MO209" s="274"/>
      <c r="MP209" s="274"/>
      <c r="MQ209" s="274"/>
      <c r="MR209" s="274"/>
      <c r="MS209" s="274"/>
      <c r="MT209" s="274"/>
      <c r="MU209" s="274"/>
      <c r="MV209" s="274"/>
      <c r="MW209" s="274"/>
      <c r="MX209" s="274"/>
      <c r="MY209" s="274"/>
      <c r="MZ209" s="274"/>
      <c r="NA209" s="274"/>
      <c r="NB209" s="274"/>
      <c r="NC209" s="274"/>
      <c r="ND209" s="274"/>
      <c r="NE209" s="274"/>
      <c r="NF209" s="274"/>
      <c r="NG209" s="274"/>
      <c r="NH209" s="274"/>
      <c r="NI209" s="274"/>
      <c r="NJ209" s="274"/>
      <c r="NK209" s="274"/>
      <c r="NL209" s="274"/>
      <c r="NM209" s="274"/>
      <c r="NN209" s="274"/>
      <c r="NO209" s="274"/>
      <c r="NP209" s="274"/>
      <c r="NQ209" s="274"/>
      <c r="NR209" s="274"/>
      <c r="NS209" s="274"/>
      <c r="NT209" s="274"/>
      <c r="NU209" s="274"/>
      <c r="NV209" s="274"/>
      <c r="NW209" s="274"/>
      <c r="NX209" s="274"/>
      <c r="NY209" s="274"/>
      <c r="NZ209" s="274"/>
      <c r="OA209" s="274"/>
      <c r="OB209" s="274"/>
      <c r="OC209" s="274"/>
      <c r="OD209" s="274"/>
      <c r="OE209" s="274"/>
      <c r="OF209" s="274"/>
      <c r="OG209" s="274"/>
      <c r="OH209" s="274"/>
      <c r="OI209" s="274"/>
      <c r="OJ209" s="274"/>
      <c r="OK209" s="274"/>
      <c r="OL209" s="274"/>
      <c r="OM209" s="274"/>
      <c r="ON209" s="274"/>
      <c r="OO209" s="274"/>
      <c r="OP209" s="274"/>
      <c r="OQ209" s="274"/>
      <c r="OR209" s="274"/>
      <c r="OS209" s="274"/>
      <c r="OT209" s="274"/>
      <c r="OU209" s="274"/>
      <c r="OV209" s="274"/>
      <c r="OW209" s="274"/>
      <c r="OX209" s="274"/>
      <c r="OY209" s="274"/>
      <c r="OZ209" s="274"/>
      <c r="PA209" s="274"/>
      <c r="PB209" s="274"/>
      <c r="PC209" s="274"/>
      <c r="PD209" s="274"/>
      <c r="PE209" s="274"/>
      <c r="PF209" s="274"/>
      <c r="PG209" s="274"/>
      <c r="PH209" s="274"/>
      <c r="PI209" s="274"/>
      <c r="PJ209" s="274"/>
      <c r="PK209" s="274"/>
      <c r="PL209" s="274"/>
      <c r="PM209" s="274"/>
      <c r="PN209" s="274"/>
      <c r="PO209" s="274"/>
      <c r="PP209" s="274"/>
      <c r="PQ209" s="274"/>
      <c r="PR209" s="274"/>
      <c r="PS209" s="274"/>
      <c r="PT209" s="274"/>
      <c r="PU209" s="274"/>
      <c r="PV209" s="274"/>
      <c r="PW209" s="274"/>
      <c r="PX209" s="274"/>
      <c r="PY209" s="274"/>
      <c r="PZ209" s="274"/>
      <c r="QA209" s="274"/>
      <c r="QB209" s="274"/>
      <c r="QC209" s="274"/>
      <c r="QD209" s="274"/>
      <c r="QE209" s="274"/>
      <c r="QF209" s="274"/>
      <c r="QG209" s="274"/>
      <c r="QH209" s="274"/>
      <c r="QI209" s="274"/>
      <c r="QJ209" s="274"/>
      <c r="QK209" s="274"/>
      <c r="QL209" s="274"/>
      <c r="QM209" s="274"/>
      <c r="QN209" s="274"/>
      <c r="QO209" s="274"/>
      <c r="QP209" s="274"/>
      <c r="QQ209" s="274"/>
      <c r="QR209" s="274"/>
      <c r="QS209" s="274"/>
      <c r="QT209" s="274"/>
      <c r="QU209" s="274"/>
      <c r="QV209" s="274"/>
      <c r="QW209" s="274"/>
      <c r="QX209" s="274"/>
      <c r="QY209" s="274"/>
      <c r="QZ209" s="274"/>
      <c r="RA209" s="274"/>
      <c r="RB209" s="274"/>
      <c r="RC209" s="274"/>
    </row>
    <row r="210" spans="112:471" ht="17.25">
      <c r="DH210" s="274"/>
      <c r="DI210" s="274"/>
      <c r="DJ210" s="978"/>
      <c r="DK210" s="274"/>
      <c r="DL210" s="274"/>
      <c r="DM210" s="274"/>
      <c r="DN210" s="274"/>
      <c r="DO210" s="274"/>
      <c r="DP210" s="274"/>
      <c r="DQ210" s="274"/>
      <c r="DR210" s="274"/>
      <c r="DS210" s="274"/>
      <c r="DT210" s="274"/>
      <c r="DU210" s="274"/>
      <c r="DV210" s="274"/>
      <c r="DW210" s="274"/>
      <c r="DX210" s="274"/>
      <c r="DY210" s="274"/>
      <c r="DZ210" s="274"/>
      <c r="EA210" s="274"/>
      <c r="EB210" s="274"/>
      <c r="EC210" s="274"/>
      <c r="ED210" s="274"/>
      <c r="EE210" s="274"/>
      <c r="EF210" s="274"/>
      <c r="EG210" s="274"/>
      <c r="EH210" s="274"/>
      <c r="EI210" s="274"/>
      <c r="EJ210" s="274"/>
      <c r="EK210" s="274"/>
      <c r="EL210" s="274"/>
      <c r="EM210" s="274"/>
      <c r="EN210" s="274"/>
      <c r="EO210" s="274"/>
      <c r="EP210" s="274"/>
      <c r="EQ210" s="274"/>
      <c r="ER210" s="274"/>
      <c r="ES210" s="274"/>
      <c r="ET210" s="274"/>
      <c r="EU210" s="274"/>
      <c r="EV210" s="274"/>
      <c r="EW210" s="274"/>
      <c r="EX210" s="274"/>
      <c r="EY210" s="274"/>
      <c r="EZ210" s="274"/>
      <c r="FA210" s="274"/>
      <c r="FB210" s="274"/>
      <c r="FC210" s="274"/>
      <c r="FD210" s="274"/>
      <c r="FE210" s="274"/>
      <c r="FF210" s="274"/>
      <c r="FG210" s="274"/>
      <c r="FH210" s="274"/>
      <c r="FI210" s="274"/>
      <c r="FJ210" s="274"/>
      <c r="FK210" s="274"/>
      <c r="FL210" s="274"/>
      <c r="FM210" s="274"/>
      <c r="FN210" s="274"/>
      <c r="FO210" s="274"/>
      <c r="FP210" s="274"/>
      <c r="FQ210" s="274"/>
      <c r="FR210" s="274"/>
      <c r="FS210" s="274"/>
      <c r="FT210" s="274"/>
      <c r="FU210" s="274"/>
      <c r="FV210" s="274"/>
      <c r="FW210" s="274"/>
      <c r="FX210" s="274"/>
      <c r="FY210" s="274"/>
      <c r="FZ210" s="274"/>
      <c r="GA210" s="274"/>
      <c r="GB210" s="274"/>
      <c r="GC210" s="274"/>
      <c r="GD210" s="274"/>
      <c r="GE210" s="274"/>
      <c r="GF210" s="274"/>
      <c r="GG210" s="274"/>
      <c r="GH210" s="274"/>
      <c r="GI210" s="274"/>
      <c r="GJ210" s="274"/>
      <c r="GK210" s="274"/>
      <c r="GL210" s="274"/>
      <c r="GM210" s="274"/>
      <c r="GN210" s="274"/>
      <c r="GO210" s="274"/>
      <c r="GP210" s="274"/>
      <c r="GQ210" s="274"/>
      <c r="GR210" s="274"/>
      <c r="GS210" s="274"/>
      <c r="GT210" s="274"/>
      <c r="GU210" s="274"/>
      <c r="GV210" s="274"/>
      <c r="GW210" s="274"/>
      <c r="GX210" s="274"/>
      <c r="GY210" s="274"/>
      <c r="GZ210" s="274"/>
      <c r="HA210" s="274"/>
      <c r="HB210" s="274"/>
      <c r="HC210" s="274"/>
      <c r="HD210" s="274"/>
      <c r="HE210" s="274"/>
      <c r="HF210" s="274"/>
      <c r="HG210" s="274"/>
      <c r="HH210" s="274"/>
      <c r="HI210" s="274"/>
      <c r="HJ210" s="274"/>
      <c r="HK210" s="274"/>
      <c r="HL210" s="274"/>
      <c r="HM210" s="274"/>
      <c r="HN210" s="274"/>
      <c r="HO210" s="274"/>
      <c r="HP210" s="274"/>
      <c r="HQ210" s="274"/>
      <c r="HR210" s="274"/>
      <c r="HS210" s="274"/>
      <c r="HT210" s="274"/>
      <c r="HU210" s="274"/>
      <c r="HV210" s="274"/>
      <c r="HW210" s="274"/>
      <c r="HX210" s="274"/>
      <c r="HY210" s="274"/>
      <c r="HZ210" s="274"/>
      <c r="IA210" s="274"/>
      <c r="IB210" s="274"/>
      <c r="IC210" s="274"/>
      <c r="ID210" s="274"/>
      <c r="IE210" s="274"/>
      <c r="IF210" s="274"/>
      <c r="IG210" s="274"/>
      <c r="IH210" s="274"/>
      <c r="II210" s="274"/>
      <c r="IJ210" s="274"/>
      <c r="IK210" s="274"/>
      <c r="IL210" s="274"/>
      <c r="IM210" s="274"/>
      <c r="IN210" s="274"/>
      <c r="IO210" s="274"/>
      <c r="IP210" s="274"/>
      <c r="IQ210" s="274"/>
      <c r="IR210" s="274"/>
      <c r="IS210" s="274"/>
      <c r="IT210" s="274"/>
      <c r="IU210" s="274"/>
      <c r="IV210" s="274"/>
      <c r="IW210" s="274"/>
      <c r="IX210" s="274"/>
      <c r="IY210" s="274"/>
      <c r="IZ210" s="274"/>
      <c r="JA210" s="274"/>
      <c r="JB210" s="274"/>
      <c r="JC210" s="274"/>
      <c r="JD210" s="274"/>
      <c r="JE210" s="274"/>
      <c r="JF210" s="274"/>
      <c r="JG210" s="274"/>
      <c r="JH210" s="274"/>
      <c r="JI210" s="274"/>
      <c r="JJ210" s="274"/>
      <c r="JK210" s="274"/>
      <c r="JL210" s="274"/>
      <c r="JM210" s="274"/>
      <c r="JN210" s="274"/>
      <c r="JO210" s="274"/>
      <c r="JP210" s="274"/>
      <c r="JQ210" s="274"/>
      <c r="JR210" s="274"/>
      <c r="JS210" s="274"/>
      <c r="JT210" s="274"/>
      <c r="JU210" s="274"/>
      <c r="JV210" s="274"/>
      <c r="JW210" s="274"/>
      <c r="JX210" s="274"/>
      <c r="JY210" s="274"/>
      <c r="JZ210" s="274"/>
      <c r="KA210" s="274"/>
      <c r="KB210" s="274"/>
      <c r="KC210" s="274"/>
      <c r="KD210" s="274"/>
      <c r="KE210" s="274"/>
      <c r="KF210" s="274"/>
      <c r="KG210" s="274"/>
      <c r="KH210" s="274"/>
      <c r="KI210" s="274"/>
      <c r="KJ210" s="274"/>
      <c r="KK210" s="274"/>
      <c r="KL210" s="274"/>
      <c r="KM210" s="274"/>
      <c r="KN210" s="274"/>
      <c r="KO210" s="274"/>
      <c r="KP210" s="274"/>
      <c r="KQ210" s="274"/>
      <c r="KR210" s="274"/>
      <c r="KS210" s="274"/>
      <c r="KT210" s="274"/>
      <c r="KU210" s="274"/>
      <c r="KV210" s="274"/>
      <c r="KW210" s="274"/>
      <c r="KX210" s="274"/>
      <c r="KY210" s="274"/>
      <c r="KZ210" s="274"/>
      <c r="LA210" s="274"/>
      <c r="LB210" s="274"/>
      <c r="LC210" s="274"/>
      <c r="LD210" s="274"/>
      <c r="LE210" s="274"/>
      <c r="LF210" s="274"/>
      <c r="LG210" s="274"/>
      <c r="LH210" s="274"/>
      <c r="LI210" s="274"/>
      <c r="LJ210" s="274"/>
      <c r="LK210" s="274"/>
      <c r="LL210" s="274"/>
      <c r="LM210" s="274"/>
      <c r="LN210" s="274"/>
      <c r="LO210" s="274"/>
      <c r="LP210" s="274"/>
      <c r="LQ210" s="274"/>
      <c r="LR210" s="274"/>
      <c r="LS210" s="274"/>
      <c r="LT210" s="274"/>
      <c r="LU210" s="274"/>
      <c r="LV210" s="274"/>
      <c r="LW210" s="274"/>
      <c r="LX210" s="274"/>
      <c r="LY210" s="274"/>
      <c r="LZ210" s="274"/>
      <c r="MA210" s="274"/>
      <c r="MB210" s="274"/>
      <c r="MC210" s="274"/>
      <c r="MD210" s="274"/>
      <c r="ME210" s="274"/>
      <c r="MF210" s="274"/>
      <c r="MG210" s="274"/>
      <c r="MH210" s="274"/>
      <c r="MI210" s="274"/>
      <c r="MJ210" s="274"/>
      <c r="MK210" s="274"/>
      <c r="ML210" s="274"/>
      <c r="MM210" s="274"/>
      <c r="MN210" s="274"/>
      <c r="MO210" s="274"/>
      <c r="MP210" s="274"/>
      <c r="MQ210" s="274"/>
      <c r="MR210" s="274"/>
      <c r="MS210" s="274"/>
      <c r="MT210" s="274"/>
      <c r="MU210" s="274"/>
      <c r="MV210" s="274"/>
      <c r="MW210" s="274"/>
      <c r="MX210" s="274"/>
      <c r="MY210" s="274"/>
      <c r="MZ210" s="274"/>
      <c r="NA210" s="274"/>
      <c r="NB210" s="274"/>
      <c r="NC210" s="274"/>
      <c r="ND210" s="274"/>
      <c r="NE210" s="274"/>
      <c r="NF210" s="274"/>
      <c r="NG210" s="274"/>
      <c r="NH210" s="274"/>
      <c r="NI210" s="274"/>
      <c r="NJ210" s="274"/>
      <c r="NK210" s="274"/>
      <c r="NL210" s="274"/>
      <c r="NM210" s="274"/>
      <c r="NN210" s="274"/>
      <c r="NO210" s="274"/>
      <c r="NP210" s="274"/>
      <c r="NQ210" s="274"/>
      <c r="NR210" s="274"/>
      <c r="NS210" s="274"/>
      <c r="NT210" s="274"/>
      <c r="NU210" s="274"/>
      <c r="NV210" s="274"/>
      <c r="NW210" s="274"/>
      <c r="NX210" s="274"/>
      <c r="NY210" s="274"/>
      <c r="NZ210" s="274"/>
      <c r="OA210" s="274"/>
      <c r="OB210" s="274"/>
      <c r="OC210" s="274"/>
      <c r="OD210" s="274"/>
      <c r="OE210" s="274"/>
      <c r="OF210" s="274"/>
      <c r="OG210" s="274"/>
      <c r="OH210" s="274"/>
      <c r="OI210" s="274"/>
      <c r="OJ210" s="274"/>
      <c r="OK210" s="274"/>
      <c r="OL210" s="274"/>
      <c r="OM210" s="274"/>
      <c r="ON210" s="274"/>
      <c r="OO210" s="274"/>
      <c r="OP210" s="274"/>
      <c r="OQ210" s="274"/>
      <c r="OR210" s="274"/>
      <c r="OS210" s="274"/>
      <c r="OT210" s="274"/>
      <c r="OU210" s="274"/>
      <c r="OV210" s="274"/>
      <c r="OW210" s="274"/>
      <c r="OX210" s="274"/>
      <c r="OY210" s="274"/>
      <c r="OZ210" s="274"/>
      <c r="PA210" s="274"/>
      <c r="PB210" s="274"/>
      <c r="PC210" s="274"/>
      <c r="PD210" s="274"/>
      <c r="PE210" s="274"/>
      <c r="PF210" s="274"/>
      <c r="PG210" s="274"/>
      <c r="PH210" s="274"/>
      <c r="PI210" s="274"/>
      <c r="PJ210" s="274"/>
      <c r="PK210" s="274"/>
      <c r="PL210" s="274"/>
      <c r="PM210" s="274"/>
      <c r="PN210" s="274"/>
      <c r="PO210" s="274"/>
      <c r="PP210" s="274"/>
      <c r="PQ210" s="274"/>
      <c r="PR210" s="274"/>
      <c r="PS210" s="274"/>
      <c r="PT210" s="274"/>
      <c r="PU210" s="274"/>
      <c r="PV210" s="274"/>
      <c r="PW210" s="274"/>
      <c r="PX210" s="274"/>
      <c r="PY210" s="274"/>
      <c r="PZ210" s="274"/>
      <c r="QA210" s="274"/>
      <c r="QB210" s="274"/>
      <c r="QC210" s="274"/>
      <c r="QD210" s="274"/>
      <c r="QE210" s="274"/>
      <c r="QF210" s="274"/>
      <c r="QG210" s="274"/>
      <c r="QH210" s="274"/>
      <c r="QI210" s="274"/>
      <c r="QJ210" s="274"/>
      <c r="QK210" s="274"/>
      <c r="QL210" s="274"/>
      <c r="QM210" s="274"/>
      <c r="QN210" s="274"/>
      <c r="QO210" s="274"/>
      <c r="QP210" s="274"/>
      <c r="QQ210" s="274"/>
      <c r="QR210" s="274"/>
      <c r="QS210" s="274"/>
      <c r="QT210" s="274"/>
      <c r="QU210" s="274"/>
      <c r="QV210" s="274"/>
      <c r="QW210" s="274"/>
      <c r="QX210" s="274"/>
      <c r="QY210" s="274"/>
      <c r="QZ210" s="274"/>
      <c r="RA210" s="274"/>
      <c r="RB210" s="274"/>
      <c r="RC210" s="274"/>
    </row>
    <row r="211" spans="112:471" ht="17.25">
      <c r="DH211" s="274"/>
      <c r="DI211" s="274"/>
      <c r="DJ211" s="978"/>
      <c r="DK211" s="978"/>
      <c r="DL211" s="978"/>
      <c r="DM211" s="978"/>
      <c r="DN211" s="978"/>
      <c r="DO211" s="978"/>
      <c r="DP211" s="978"/>
      <c r="DQ211" s="978"/>
      <c r="DR211" s="978"/>
      <c r="DS211" s="978"/>
      <c r="DT211" s="978"/>
      <c r="DU211" s="978"/>
      <c r="DV211" s="978"/>
      <c r="DW211" s="978"/>
      <c r="DX211" s="978"/>
      <c r="DY211" s="978"/>
      <c r="DZ211" s="978"/>
      <c r="EA211" s="978"/>
      <c r="EB211" s="978"/>
      <c r="EC211" s="978"/>
      <c r="ED211" s="978"/>
      <c r="EE211" s="978"/>
      <c r="EF211" s="978"/>
      <c r="EG211" s="978"/>
      <c r="EH211" s="978"/>
      <c r="EI211" s="978"/>
      <c r="EJ211" s="978"/>
      <c r="EK211" s="978"/>
      <c r="EL211" s="978"/>
      <c r="EM211" s="978"/>
      <c r="EN211" s="978"/>
      <c r="EO211" s="978"/>
      <c r="EP211" s="978"/>
      <c r="EQ211" s="978"/>
      <c r="ER211" s="978"/>
      <c r="ES211" s="978"/>
      <c r="ET211" s="978"/>
      <c r="EU211" s="978"/>
      <c r="EV211" s="978"/>
      <c r="EW211" s="978"/>
      <c r="EX211" s="978"/>
      <c r="EY211" s="978"/>
      <c r="EZ211" s="978"/>
      <c r="FA211" s="978"/>
      <c r="FB211" s="978"/>
      <c r="FC211" s="978"/>
      <c r="FD211" s="978"/>
      <c r="FE211" s="978"/>
      <c r="FF211" s="978"/>
      <c r="FG211" s="978"/>
      <c r="FH211" s="978"/>
      <c r="FI211" s="978"/>
      <c r="FJ211" s="978"/>
      <c r="FK211" s="978"/>
      <c r="FL211" s="978"/>
      <c r="FM211" s="978"/>
      <c r="FN211" s="978"/>
      <c r="FO211" s="978"/>
      <c r="FP211" s="978"/>
      <c r="FQ211" s="978"/>
      <c r="FR211" s="978"/>
      <c r="FS211" s="978"/>
      <c r="FT211" s="978"/>
      <c r="FU211" s="978"/>
      <c r="FV211" s="978"/>
      <c r="FW211" s="978"/>
      <c r="FX211" s="978"/>
      <c r="FY211" s="978"/>
      <c r="FZ211" s="978"/>
      <c r="GA211" s="978"/>
      <c r="GB211" s="978"/>
      <c r="GC211" s="978"/>
      <c r="GD211" s="978"/>
      <c r="GE211" s="978"/>
      <c r="GF211" s="978"/>
      <c r="GG211" s="978"/>
      <c r="GH211" s="978"/>
      <c r="GI211" s="978"/>
      <c r="GJ211" s="978"/>
      <c r="GK211" s="978"/>
      <c r="GL211" s="978"/>
      <c r="GM211" s="978"/>
      <c r="GN211" s="978"/>
      <c r="GO211" s="978"/>
      <c r="GP211" s="978"/>
      <c r="GQ211" s="978"/>
      <c r="GR211" s="978"/>
      <c r="GS211" s="978"/>
      <c r="GT211" s="978"/>
      <c r="GU211" s="978"/>
      <c r="GV211" s="978"/>
      <c r="GW211" s="978"/>
      <c r="GX211" s="978"/>
      <c r="GY211" s="978"/>
      <c r="GZ211" s="978"/>
      <c r="HA211" s="978"/>
      <c r="HB211" s="978"/>
      <c r="HC211" s="978"/>
      <c r="HD211" s="978"/>
      <c r="HE211" s="978"/>
      <c r="HF211" s="978"/>
      <c r="HG211" s="978"/>
      <c r="HH211" s="978"/>
      <c r="HI211" s="978"/>
      <c r="HJ211" s="978"/>
      <c r="HK211" s="978"/>
      <c r="HL211" s="978"/>
      <c r="HM211" s="978"/>
      <c r="HN211" s="978"/>
      <c r="HO211" s="978"/>
      <c r="HP211" s="978"/>
      <c r="HQ211" s="978"/>
      <c r="HR211" s="978"/>
      <c r="HS211" s="978"/>
      <c r="HT211" s="978"/>
      <c r="HU211" s="978"/>
      <c r="HV211" s="978"/>
      <c r="HW211" s="978"/>
      <c r="HX211" s="978"/>
      <c r="HY211" s="978"/>
      <c r="HZ211" s="978"/>
      <c r="IA211" s="978"/>
      <c r="IB211" s="978"/>
      <c r="IC211" s="978"/>
      <c r="ID211" s="978"/>
      <c r="IE211" s="978"/>
      <c r="IF211" s="978"/>
      <c r="IG211" s="978"/>
      <c r="IH211" s="978"/>
      <c r="II211" s="978"/>
      <c r="IJ211" s="978"/>
      <c r="IK211" s="978"/>
      <c r="IL211" s="978"/>
      <c r="IM211" s="978"/>
      <c r="IN211" s="978"/>
      <c r="IO211" s="978"/>
      <c r="IP211" s="978"/>
      <c r="IQ211" s="978"/>
      <c r="IR211" s="978"/>
      <c r="IS211" s="978"/>
      <c r="IT211" s="978"/>
      <c r="IU211" s="978"/>
      <c r="IV211" s="978"/>
      <c r="IW211" s="978"/>
      <c r="IX211" s="978"/>
      <c r="IY211" s="978"/>
      <c r="IZ211" s="978"/>
      <c r="JA211" s="978"/>
      <c r="JB211" s="978"/>
      <c r="JC211" s="978"/>
      <c r="JD211" s="978"/>
      <c r="JE211" s="978"/>
      <c r="JF211" s="978"/>
      <c r="JG211" s="978"/>
      <c r="JH211" s="978"/>
      <c r="JI211" s="978"/>
      <c r="JJ211" s="978"/>
      <c r="JK211" s="978"/>
      <c r="JL211" s="978"/>
      <c r="JM211" s="978"/>
      <c r="JN211" s="978"/>
      <c r="JO211" s="978"/>
      <c r="JP211" s="978"/>
      <c r="JQ211" s="978"/>
      <c r="JR211" s="978"/>
      <c r="JS211" s="978"/>
      <c r="JT211" s="978"/>
      <c r="JU211" s="978"/>
      <c r="JV211" s="978"/>
      <c r="JW211" s="978"/>
      <c r="JX211" s="978"/>
      <c r="JY211" s="978"/>
      <c r="JZ211" s="978"/>
      <c r="KA211" s="978"/>
      <c r="KB211" s="978"/>
      <c r="KC211" s="978"/>
      <c r="KD211" s="978"/>
      <c r="KE211" s="978"/>
      <c r="KF211" s="978"/>
      <c r="KG211" s="978"/>
      <c r="KH211" s="978"/>
      <c r="KI211" s="978"/>
      <c r="KJ211" s="978"/>
      <c r="KK211" s="978"/>
      <c r="KL211" s="978"/>
      <c r="KM211" s="978"/>
      <c r="KN211" s="978"/>
      <c r="KO211" s="978"/>
      <c r="KP211" s="978"/>
      <c r="KQ211" s="978"/>
      <c r="KR211" s="978"/>
      <c r="KS211" s="978"/>
      <c r="KT211" s="978"/>
      <c r="KU211" s="978"/>
      <c r="KV211" s="978"/>
      <c r="KW211" s="978"/>
      <c r="KX211" s="978"/>
      <c r="KY211" s="978"/>
      <c r="KZ211" s="978"/>
      <c r="LA211" s="978"/>
      <c r="LB211" s="978"/>
      <c r="LC211" s="978"/>
      <c r="LD211" s="978"/>
      <c r="LE211" s="978"/>
      <c r="LF211" s="978"/>
      <c r="LG211" s="978"/>
      <c r="LH211" s="978"/>
      <c r="LI211" s="978"/>
      <c r="LJ211" s="978"/>
      <c r="LK211" s="978"/>
      <c r="LL211" s="978"/>
      <c r="LM211" s="978"/>
      <c r="LN211" s="978"/>
      <c r="LO211" s="978"/>
      <c r="LP211" s="978"/>
      <c r="LQ211" s="978"/>
      <c r="LR211" s="978"/>
      <c r="LS211" s="978"/>
      <c r="LT211" s="978"/>
      <c r="LU211" s="978"/>
      <c r="LV211" s="978"/>
      <c r="LW211" s="978"/>
      <c r="LX211" s="978"/>
      <c r="LY211" s="978"/>
      <c r="LZ211" s="978"/>
      <c r="MA211" s="978"/>
      <c r="MB211" s="978"/>
      <c r="MC211" s="978"/>
      <c r="MD211" s="978"/>
      <c r="ME211" s="978"/>
      <c r="MF211" s="978"/>
      <c r="MG211" s="978"/>
      <c r="MH211" s="978"/>
      <c r="MI211" s="978"/>
      <c r="MJ211" s="978"/>
      <c r="MK211" s="978"/>
      <c r="ML211" s="978"/>
      <c r="MM211" s="978"/>
      <c r="MN211" s="978"/>
      <c r="MO211" s="978"/>
      <c r="MP211" s="978"/>
      <c r="MQ211" s="978"/>
      <c r="MR211" s="978"/>
      <c r="MS211" s="978"/>
      <c r="MT211" s="978"/>
      <c r="MU211" s="978"/>
      <c r="MV211" s="978"/>
      <c r="MW211" s="978"/>
      <c r="MX211" s="978"/>
      <c r="MY211" s="978"/>
      <c r="MZ211" s="978"/>
      <c r="NA211" s="978"/>
      <c r="NB211" s="978"/>
      <c r="NC211" s="978"/>
      <c r="ND211" s="978"/>
      <c r="NE211" s="978"/>
      <c r="NF211" s="978"/>
      <c r="NG211" s="978"/>
      <c r="NH211" s="978"/>
      <c r="NI211" s="978"/>
      <c r="NJ211" s="978"/>
      <c r="NK211" s="978"/>
      <c r="NL211" s="978"/>
      <c r="NM211" s="978"/>
      <c r="NN211" s="978"/>
      <c r="NO211" s="978"/>
      <c r="NP211" s="978"/>
      <c r="NQ211" s="978"/>
      <c r="NR211" s="978"/>
      <c r="NS211" s="978"/>
      <c r="NT211" s="978"/>
      <c r="NU211" s="978"/>
      <c r="NV211" s="978"/>
      <c r="NW211" s="978"/>
      <c r="NX211" s="978"/>
      <c r="NY211" s="978"/>
      <c r="NZ211" s="978"/>
      <c r="OA211" s="978"/>
      <c r="OB211" s="978"/>
      <c r="OC211" s="978"/>
      <c r="OD211" s="978"/>
      <c r="OE211" s="978"/>
      <c r="OF211" s="978"/>
      <c r="OG211" s="978"/>
      <c r="OH211" s="978"/>
      <c r="OI211" s="978"/>
      <c r="OJ211" s="978"/>
      <c r="OK211" s="978"/>
      <c r="OL211" s="978"/>
      <c r="OM211" s="978"/>
      <c r="ON211" s="978"/>
      <c r="OO211" s="978"/>
      <c r="OP211" s="978"/>
      <c r="OQ211" s="978"/>
      <c r="OR211" s="978"/>
      <c r="OS211" s="978"/>
      <c r="OT211" s="978"/>
      <c r="OU211" s="978"/>
      <c r="OV211" s="978"/>
      <c r="OW211" s="978"/>
      <c r="OX211" s="978"/>
      <c r="OY211" s="978"/>
      <c r="OZ211" s="978"/>
      <c r="PA211" s="978"/>
      <c r="PB211" s="978"/>
      <c r="PC211" s="978"/>
      <c r="PD211" s="978"/>
      <c r="PE211" s="978"/>
      <c r="PF211" s="978"/>
      <c r="PG211" s="978"/>
      <c r="PH211" s="978"/>
      <c r="PI211" s="978"/>
      <c r="PJ211" s="978"/>
      <c r="PK211" s="978"/>
      <c r="PL211" s="978"/>
      <c r="PM211" s="978"/>
      <c r="PN211" s="978"/>
      <c r="PO211" s="978"/>
      <c r="PP211" s="978"/>
      <c r="PQ211" s="978"/>
      <c r="PR211" s="978"/>
      <c r="PS211" s="978"/>
      <c r="PT211" s="978"/>
      <c r="PU211" s="978"/>
      <c r="PV211" s="978"/>
      <c r="PW211" s="978"/>
      <c r="PX211" s="978"/>
      <c r="PY211" s="978"/>
      <c r="PZ211" s="978"/>
      <c r="QA211" s="978"/>
      <c r="QB211" s="978"/>
      <c r="QC211" s="978"/>
      <c r="QD211" s="978"/>
      <c r="QE211" s="978"/>
      <c r="QF211" s="978"/>
      <c r="QG211" s="978"/>
      <c r="QH211" s="978"/>
      <c r="QI211" s="978"/>
      <c r="QJ211" s="978"/>
      <c r="QK211" s="978"/>
      <c r="QL211" s="978"/>
      <c r="QM211" s="978"/>
      <c r="QN211" s="978"/>
      <c r="QO211" s="978"/>
      <c r="QP211" s="978"/>
      <c r="QQ211" s="978"/>
      <c r="QR211" s="978"/>
      <c r="QS211" s="978"/>
      <c r="QT211" s="978"/>
      <c r="QU211" s="978"/>
      <c r="QV211" s="978"/>
      <c r="QW211" s="978"/>
      <c r="QX211" s="978"/>
      <c r="QY211" s="978"/>
      <c r="QZ211" s="978"/>
      <c r="RA211" s="978"/>
      <c r="RB211" s="274"/>
      <c r="RC211" s="274"/>
    </row>
    <row r="212" spans="112:471" ht="17.25">
      <c r="DH212" s="274"/>
      <c r="DI212" s="274"/>
      <c r="DJ212" s="978"/>
      <c r="DK212" s="978"/>
      <c r="DL212" s="978"/>
      <c r="DM212" s="978"/>
      <c r="DN212" s="978"/>
      <c r="DO212" s="978"/>
      <c r="DP212" s="978"/>
      <c r="DQ212" s="978"/>
      <c r="DR212" s="978"/>
      <c r="DS212" s="978"/>
      <c r="DT212" s="978"/>
      <c r="DU212" s="978"/>
      <c r="DV212" s="978"/>
      <c r="DW212" s="978"/>
      <c r="DX212" s="978"/>
      <c r="DY212" s="978"/>
      <c r="DZ212" s="978"/>
      <c r="EA212" s="978"/>
      <c r="EB212" s="978"/>
      <c r="EC212" s="978"/>
      <c r="ED212" s="978"/>
      <c r="EE212" s="978"/>
      <c r="EF212" s="978"/>
      <c r="EG212" s="978"/>
      <c r="EH212" s="978"/>
      <c r="EI212" s="978"/>
      <c r="EJ212" s="978"/>
      <c r="EK212" s="978"/>
      <c r="EL212" s="978"/>
      <c r="EM212" s="978"/>
      <c r="EN212" s="978"/>
      <c r="EO212" s="978"/>
      <c r="EP212" s="978"/>
      <c r="EQ212" s="978"/>
      <c r="ER212" s="978"/>
      <c r="ES212" s="978"/>
      <c r="ET212" s="978"/>
      <c r="EU212" s="978"/>
      <c r="EV212" s="978"/>
      <c r="EW212" s="978"/>
      <c r="EX212" s="978"/>
      <c r="EY212" s="978"/>
      <c r="EZ212" s="978"/>
      <c r="FA212" s="978"/>
      <c r="FB212" s="978"/>
      <c r="FC212" s="978"/>
      <c r="FD212" s="978"/>
      <c r="FE212" s="978"/>
      <c r="FF212" s="978"/>
      <c r="FG212" s="978"/>
      <c r="FH212" s="978"/>
      <c r="FI212" s="978"/>
      <c r="FJ212" s="978"/>
      <c r="FK212" s="978"/>
      <c r="FL212" s="978"/>
      <c r="FM212" s="978"/>
      <c r="FN212" s="978"/>
      <c r="FO212" s="978"/>
      <c r="FP212" s="978"/>
      <c r="FQ212" s="978"/>
      <c r="FR212" s="978"/>
      <c r="FS212" s="978"/>
      <c r="FT212" s="978"/>
      <c r="FU212" s="978"/>
      <c r="FV212" s="978"/>
      <c r="FW212" s="978"/>
      <c r="FX212" s="978"/>
      <c r="FY212" s="978"/>
      <c r="FZ212" s="978"/>
      <c r="GA212" s="978"/>
      <c r="GB212" s="978"/>
      <c r="GC212" s="978"/>
      <c r="GD212" s="978"/>
      <c r="GE212" s="978"/>
      <c r="GF212" s="978"/>
      <c r="GG212" s="978"/>
      <c r="GH212" s="978"/>
      <c r="GI212" s="978"/>
      <c r="GJ212" s="978"/>
      <c r="GK212" s="978"/>
      <c r="GL212" s="978"/>
      <c r="GM212" s="978"/>
      <c r="GN212" s="978"/>
      <c r="GO212" s="978"/>
      <c r="GP212" s="978"/>
      <c r="GQ212" s="978"/>
      <c r="GR212" s="978"/>
      <c r="GS212" s="978"/>
      <c r="GT212" s="978"/>
      <c r="GU212" s="978"/>
      <c r="GV212" s="978"/>
      <c r="GW212" s="978"/>
      <c r="GX212" s="978"/>
      <c r="GY212" s="978"/>
      <c r="GZ212" s="978"/>
      <c r="HA212" s="978"/>
      <c r="HB212" s="978"/>
      <c r="HC212" s="978"/>
      <c r="HD212" s="978"/>
      <c r="HE212" s="978"/>
      <c r="HF212" s="978"/>
      <c r="HG212" s="978"/>
      <c r="HH212" s="978"/>
      <c r="HI212" s="978"/>
      <c r="HJ212" s="978"/>
      <c r="HK212" s="978"/>
      <c r="HL212" s="978"/>
      <c r="HM212" s="978"/>
      <c r="HN212" s="978"/>
      <c r="HO212" s="978"/>
      <c r="HP212" s="978"/>
      <c r="HQ212" s="978"/>
      <c r="HR212" s="978"/>
      <c r="HS212" s="978"/>
      <c r="HT212" s="978"/>
      <c r="HU212" s="978"/>
      <c r="HV212" s="978"/>
      <c r="HW212" s="978"/>
      <c r="HX212" s="978"/>
      <c r="HY212" s="978"/>
      <c r="HZ212" s="978"/>
      <c r="IA212" s="978"/>
      <c r="IB212" s="978"/>
      <c r="IC212" s="978"/>
      <c r="ID212" s="978"/>
      <c r="IE212" s="978"/>
      <c r="IF212" s="978"/>
      <c r="IG212" s="978"/>
      <c r="IH212" s="978"/>
      <c r="II212" s="978"/>
      <c r="IJ212" s="978"/>
      <c r="IK212" s="978"/>
      <c r="IL212" s="978"/>
      <c r="IM212" s="978"/>
      <c r="IN212" s="978"/>
      <c r="IO212" s="978"/>
      <c r="IP212" s="978"/>
      <c r="IQ212" s="978"/>
      <c r="IR212" s="978"/>
      <c r="IS212" s="978"/>
      <c r="IT212" s="978"/>
      <c r="IU212" s="978"/>
      <c r="IV212" s="978"/>
      <c r="IW212" s="978"/>
      <c r="IX212" s="978"/>
      <c r="IY212" s="978"/>
      <c r="IZ212" s="978"/>
      <c r="JA212" s="978"/>
      <c r="JB212" s="978"/>
      <c r="JC212" s="978"/>
      <c r="JD212" s="978"/>
      <c r="JE212" s="978"/>
      <c r="JF212" s="978"/>
      <c r="JG212" s="978"/>
      <c r="JH212" s="978"/>
      <c r="JI212" s="978"/>
      <c r="JJ212" s="978"/>
      <c r="JK212" s="978"/>
      <c r="JL212" s="978"/>
      <c r="JM212" s="978"/>
      <c r="JN212" s="978"/>
      <c r="JO212" s="978"/>
      <c r="JP212" s="978"/>
      <c r="JQ212" s="978"/>
      <c r="JR212" s="978"/>
      <c r="JS212" s="978"/>
      <c r="JT212" s="978"/>
      <c r="JU212" s="978"/>
      <c r="JV212" s="978"/>
      <c r="JW212" s="978"/>
      <c r="JX212" s="978"/>
      <c r="JY212" s="978"/>
      <c r="JZ212" s="978"/>
      <c r="KA212" s="978"/>
      <c r="KB212" s="978"/>
      <c r="KC212" s="978"/>
      <c r="KD212" s="978"/>
      <c r="KE212" s="978"/>
      <c r="KF212" s="978"/>
      <c r="KG212" s="978"/>
      <c r="KH212" s="978"/>
      <c r="KI212" s="978"/>
      <c r="KJ212" s="978"/>
      <c r="KK212" s="978"/>
      <c r="KL212" s="978"/>
      <c r="KM212" s="978"/>
      <c r="KN212" s="978"/>
      <c r="KO212" s="978"/>
      <c r="KP212" s="978"/>
      <c r="KQ212" s="978"/>
      <c r="KR212" s="978"/>
      <c r="KS212" s="978"/>
      <c r="KT212" s="978"/>
      <c r="KU212" s="978"/>
      <c r="KV212" s="978"/>
      <c r="KW212" s="978"/>
      <c r="KX212" s="978"/>
      <c r="KY212" s="978"/>
      <c r="KZ212" s="978"/>
      <c r="LA212" s="978"/>
      <c r="LB212" s="978"/>
      <c r="LC212" s="978"/>
      <c r="LD212" s="978"/>
      <c r="LE212" s="978"/>
      <c r="LF212" s="978"/>
      <c r="LG212" s="978"/>
      <c r="LH212" s="978"/>
      <c r="LI212" s="978"/>
      <c r="LJ212" s="978"/>
      <c r="LK212" s="978"/>
      <c r="LL212" s="978"/>
      <c r="LM212" s="978"/>
      <c r="LN212" s="978"/>
      <c r="LO212" s="978"/>
      <c r="LP212" s="978"/>
      <c r="LQ212" s="978"/>
      <c r="LR212" s="978"/>
      <c r="LS212" s="978"/>
      <c r="LT212" s="978"/>
      <c r="LU212" s="978"/>
      <c r="LV212" s="978"/>
      <c r="LW212" s="978"/>
      <c r="LX212" s="978"/>
      <c r="LY212" s="978"/>
      <c r="LZ212" s="978"/>
      <c r="MA212" s="978"/>
      <c r="MB212" s="978"/>
      <c r="MC212" s="978"/>
      <c r="MD212" s="978"/>
      <c r="ME212" s="978"/>
      <c r="MF212" s="978"/>
      <c r="MG212" s="978"/>
      <c r="MH212" s="978"/>
      <c r="MI212" s="978"/>
      <c r="MJ212" s="978"/>
      <c r="MK212" s="978"/>
      <c r="ML212" s="978"/>
      <c r="MM212" s="978"/>
      <c r="MN212" s="978"/>
      <c r="MO212" s="978"/>
      <c r="MP212" s="978"/>
      <c r="MQ212" s="978"/>
      <c r="MR212" s="978"/>
      <c r="MS212" s="978"/>
      <c r="MT212" s="978"/>
      <c r="MU212" s="978"/>
      <c r="MV212" s="978"/>
      <c r="MW212" s="978"/>
      <c r="MX212" s="978"/>
      <c r="MY212" s="978"/>
      <c r="MZ212" s="978"/>
      <c r="NA212" s="978"/>
      <c r="NB212" s="978"/>
      <c r="NC212" s="978"/>
      <c r="ND212" s="978"/>
      <c r="NE212" s="978"/>
      <c r="NF212" s="978"/>
      <c r="NG212" s="978"/>
      <c r="NH212" s="978"/>
      <c r="NI212" s="978"/>
      <c r="NJ212" s="978"/>
      <c r="NK212" s="978"/>
      <c r="NL212" s="978"/>
      <c r="NM212" s="978"/>
      <c r="NN212" s="978"/>
      <c r="NO212" s="978"/>
      <c r="NP212" s="978"/>
      <c r="NQ212" s="978"/>
      <c r="NR212" s="978"/>
      <c r="NS212" s="978"/>
      <c r="NT212" s="978"/>
      <c r="NU212" s="978"/>
      <c r="NV212" s="978"/>
      <c r="NW212" s="978"/>
      <c r="NX212" s="978"/>
      <c r="NY212" s="978"/>
      <c r="NZ212" s="978"/>
      <c r="OA212" s="978"/>
      <c r="OB212" s="978"/>
      <c r="OC212" s="978"/>
      <c r="OD212" s="978"/>
      <c r="OE212" s="978"/>
      <c r="OF212" s="978"/>
      <c r="OG212" s="978"/>
      <c r="OH212" s="978"/>
      <c r="OI212" s="978"/>
      <c r="OJ212" s="978"/>
      <c r="OK212" s="978"/>
      <c r="OL212" s="978"/>
      <c r="OM212" s="978"/>
      <c r="ON212" s="978"/>
      <c r="OO212" s="978"/>
      <c r="OP212" s="978"/>
      <c r="OQ212" s="978"/>
      <c r="OR212" s="978"/>
      <c r="OS212" s="978"/>
      <c r="OT212" s="978"/>
      <c r="OU212" s="978"/>
      <c r="OV212" s="978"/>
      <c r="OW212" s="978"/>
      <c r="OX212" s="978"/>
      <c r="OY212" s="978"/>
      <c r="OZ212" s="978"/>
      <c r="PA212" s="978"/>
      <c r="PB212" s="978"/>
      <c r="PC212" s="978"/>
      <c r="PD212" s="978"/>
      <c r="PE212" s="978"/>
      <c r="PF212" s="978"/>
      <c r="PG212" s="978"/>
      <c r="PH212" s="978"/>
      <c r="PI212" s="978"/>
      <c r="PJ212" s="978"/>
      <c r="PK212" s="978"/>
      <c r="PL212" s="978"/>
      <c r="PM212" s="978"/>
      <c r="PN212" s="978"/>
      <c r="PO212" s="978"/>
      <c r="PP212" s="978"/>
      <c r="PQ212" s="978"/>
      <c r="PR212" s="978"/>
      <c r="PS212" s="978"/>
      <c r="PT212" s="978"/>
      <c r="PU212" s="978"/>
      <c r="PV212" s="978"/>
      <c r="PW212" s="978"/>
      <c r="PX212" s="978"/>
      <c r="PY212" s="978"/>
      <c r="PZ212" s="978"/>
      <c r="QA212" s="978"/>
      <c r="QB212" s="978"/>
      <c r="QC212" s="978"/>
      <c r="QD212" s="978"/>
      <c r="QE212" s="978"/>
      <c r="QF212" s="978"/>
      <c r="QG212" s="978"/>
      <c r="QH212" s="978"/>
      <c r="QI212" s="978"/>
      <c r="QJ212" s="978"/>
      <c r="QK212" s="978"/>
      <c r="QL212" s="978"/>
      <c r="QM212" s="978"/>
      <c r="QN212" s="978"/>
      <c r="QO212" s="978"/>
      <c r="QP212" s="978"/>
      <c r="QQ212" s="978"/>
      <c r="QR212" s="978"/>
      <c r="QS212" s="978"/>
      <c r="QT212" s="978"/>
      <c r="QU212" s="978"/>
      <c r="QV212" s="978"/>
      <c r="QW212" s="978"/>
      <c r="QX212" s="978"/>
      <c r="QY212" s="978"/>
      <c r="QZ212" s="978"/>
      <c r="RA212" s="978"/>
      <c r="RB212" s="274"/>
      <c r="RC212" s="274"/>
    </row>
    <row r="213" spans="112:471" ht="17.25">
      <c r="DH213" s="274"/>
      <c r="DI213" s="274"/>
      <c r="DJ213" s="978"/>
      <c r="DK213" s="978"/>
      <c r="DL213" s="978"/>
      <c r="DM213" s="978"/>
      <c r="DN213" s="978"/>
      <c r="DO213" s="978"/>
      <c r="DP213" s="978"/>
      <c r="DQ213" s="978"/>
      <c r="DR213" s="978"/>
      <c r="DS213" s="978"/>
      <c r="DT213" s="978"/>
      <c r="DU213" s="978"/>
      <c r="DV213" s="978"/>
      <c r="DW213" s="978"/>
      <c r="DX213" s="978"/>
      <c r="DY213" s="978"/>
      <c r="DZ213" s="978"/>
      <c r="EA213" s="978"/>
      <c r="EB213" s="978"/>
      <c r="EC213" s="978"/>
      <c r="ED213" s="978"/>
      <c r="EE213" s="978"/>
      <c r="EF213" s="978"/>
      <c r="EG213" s="978"/>
      <c r="EH213" s="978"/>
      <c r="EI213" s="978"/>
      <c r="EJ213" s="978"/>
      <c r="EK213" s="978"/>
      <c r="EL213" s="978"/>
      <c r="EM213" s="978"/>
      <c r="EN213" s="978"/>
      <c r="EO213" s="978"/>
      <c r="EP213" s="978"/>
      <c r="EQ213" s="978"/>
      <c r="ER213" s="978"/>
      <c r="ES213" s="978"/>
      <c r="ET213" s="978"/>
      <c r="EU213" s="978"/>
      <c r="EV213" s="978"/>
      <c r="EW213" s="978"/>
      <c r="EX213" s="978"/>
      <c r="EY213" s="978"/>
      <c r="EZ213" s="978"/>
      <c r="FA213" s="978"/>
      <c r="FB213" s="978"/>
      <c r="FC213" s="978"/>
      <c r="FD213" s="978"/>
      <c r="FE213" s="978"/>
      <c r="FF213" s="978"/>
      <c r="FG213" s="978"/>
      <c r="FH213" s="978"/>
      <c r="FI213" s="978"/>
      <c r="FJ213" s="978"/>
      <c r="FK213" s="978"/>
      <c r="FL213" s="978"/>
      <c r="FM213" s="978"/>
      <c r="FN213" s="978"/>
      <c r="FO213" s="978"/>
      <c r="FP213" s="978"/>
      <c r="FQ213" s="978"/>
      <c r="FR213" s="978"/>
      <c r="FS213" s="978"/>
      <c r="FT213" s="978"/>
      <c r="FU213" s="978"/>
      <c r="FV213" s="978"/>
      <c r="FW213" s="978"/>
      <c r="FX213" s="978"/>
      <c r="FY213" s="978"/>
      <c r="FZ213" s="978"/>
      <c r="GA213" s="978"/>
      <c r="GB213" s="978"/>
      <c r="GC213" s="978"/>
      <c r="GD213" s="978"/>
      <c r="GE213" s="978"/>
      <c r="GF213" s="978"/>
      <c r="GG213" s="978"/>
      <c r="GH213" s="978"/>
      <c r="GI213" s="978"/>
      <c r="GJ213" s="978"/>
      <c r="GK213" s="978"/>
      <c r="GL213" s="978"/>
      <c r="GM213" s="978"/>
      <c r="GN213" s="978"/>
      <c r="GO213" s="978"/>
      <c r="GP213" s="978"/>
      <c r="GQ213" s="978"/>
      <c r="GR213" s="978"/>
      <c r="GS213" s="978"/>
      <c r="GT213" s="978"/>
      <c r="GU213" s="978"/>
      <c r="GV213" s="978"/>
      <c r="GW213" s="978"/>
      <c r="GX213" s="978"/>
      <c r="GY213" s="978"/>
      <c r="GZ213" s="978"/>
      <c r="HA213" s="978"/>
      <c r="HB213" s="978"/>
      <c r="HC213" s="978"/>
      <c r="HD213" s="978"/>
      <c r="HE213" s="978"/>
      <c r="HF213" s="978"/>
      <c r="HG213" s="978"/>
      <c r="HH213" s="978"/>
      <c r="HI213" s="978"/>
      <c r="HJ213" s="978"/>
      <c r="HK213" s="978"/>
      <c r="HL213" s="978"/>
      <c r="HM213" s="978"/>
      <c r="HN213" s="978"/>
      <c r="HO213" s="978"/>
      <c r="HP213" s="978"/>
      <c r="HQ213" s="978"/>
      <c r="HR213" s="978"/>
      <c r="HS213" s="978"/>
      <c r="HT213" s="978"/>
      <c r="HU213" s="978"/>
      <c r="HV213" s="978"/>
      <c r="HW213" s="978"/>
      <c r="HX213" s="978"/>
      <c r="HY213" s="978"/>
      <c r="HZ213" s="978"/>
      <c r="IA213" s="978"/>
      <c r="IB213" s="978"/>
      <c r="IC213" s="978"/>
      <c r="ID213" s="978"/>
      <c r="IE213" s="978"/>
      <c r="IF213" s="978"/>
      <c r="IG213" s="978"/>
      <c r="IH213" s="978"/>
      <c r="II213" s="978"/>
      <c r="IJ213" s="978"/>
      <c r="IK213" s="978"/>
      <c r="IL213" s="978"/>
      <c r="IM213" s="978"/>
      <c r="IN213" s="978"/>
      <c r="IO213" s="978"/>
      <c r="IP213" s="978"/>
      <c r="IQ213" s="978"/>
      <c r="IR213" s="978"/>
      <c r="IS213" s="978"/>
      <c r="IT213" s="978"/>
      <c r="IU213" s="978"/>
      <c r="IV213" s="978"/>
      <c r="IW213" s="978"/>
      <c r="IX213" s="978"/>
      <c r="IY213" s="978"/>
      <c r="IZ213" s="978"/>
      <c r="JA213" s="978"/>
      <c r="JB213" s="978"/>
      <c r="JC213" s="978"/>
      <c r="JD213" s="978"/>
      <c r="JE213" s="978"/>
      <c r="JF213" s="978"/>
      <c r="JG213" s="978"/>
      <c r="JH213" s="978"/>
      <c r="JI213" s="978"/>
      <c r="JJ213" s="978"/>
      <c r="JK213" s="978"/>
      <c r="JL213" s="978"/>
      <c r="JM213" s="978"/>
      <c r="JN213" s="978"/>
      <c r="JO213" s="978"/>
      <c r="JP213" s="978"/>
      <c r="JQ213" s="978"/>
      <c r="JR213" s="978"/>
      <c r="JS213" s="978"/>
      <c r="JT213" s="978"/>
      <c r="JU213" s="978"/>
      <c r="JV213" s="978"/>
      <c r="JW213" s="978"/>
      <c r="JX213" s="978"/>
      <c r="JY213" s="978"/>
      <c r="JZ213" s="978"/>
      <c r="KA213" s="978"/>
      <c r="KB213" s="978"/>
      <c r="KC213" s="978"/>
      <c r="KD213" s="978"/>
      <c r="KE213" s="978"/>
      <c r="KF213" s="978"/>
      <c r="KG213" s="978"/>
      <c r="KH213" s="978"/>
      <c r="KI213" s="978"/>
      <c r="KJ213" s="978"/>
      <c r="KK213" s="978"/>
      <c r="KL213" s="978"/>
      <c r="KM213" s="978"/>
      <c r="KN213" s="978"/>
      <c r="KO213" s="978"/>
      <c r="KP213" s="978"/>
      <c r="KQ213" s="978"/>
      <c r="KR213" s="978"/>
      <c r="KS213" s="978"/>
      <c r="KT213" s="978"/>
      <c r="KU213" s="978"/>
      <c r="KV213" s="978"/>
      <c r="KW213" s="978"/>
      <c r="KX213" s="978"/>
      <c r="KY213" s="978"/>
      <c r="KZ213" s="978"/>
      <c r="LA213" s="978"/>
      <c r="LB213" s="978"/>
      <c r="LC213" s="978"/>
      <c r="LD213" s="978"/>
      <c r="LE213" s="978"/>
      <c r="LF213" s="978"/>
      <c r="LG213" s="978"/>
      <c r="LH213" s="978"/>
      <c r="LI213" s="978"/>
      <c r="LJ213" s="978"/>
      <c r="LK213" s="978"/>
      <c r="LL213" s="978"/>
      <c r="LM213" s="978"/>
      <c r="LN213" s="978"/>
      <c r="LO213" s="978"/>
      <c r="LP213" s="978"/>
      <c r="LQ213" s="978"/>
      <c r="LR213" s="978"/>
      <c r="LS213" s="978"/>
      <c r="LT213" s="978"/>
      <c r="LU213" s="978"/>
      <c r="LV213" s="978"/>
      <c r="LW213" s="978"/>
      <c r="LX213" s="978"/>
      <c r="LY213" s="978"/>
      <c r="LZ213" s="978"/>
      <c r="MA213" s="978"/>
      <c r="MB213" s="978"/>
      <c r="MC213" s="978"/>
      <c r="MD213" s="978"/>
      <c r="ME213" s="978"/>
      <c r="MF213" s="978"/>
      <c r="MG213" s="978"/>
      <c r="MH213" s="978"/>
      <c r="MI213" s="978"/>
      <c r="MJ213" s="978"/>
      <c r="MK213" s="978"/>
      <c r="ML213" s="978"/>
      <c r="MM213" s="978"/>
      <c r="MN213" s="978"/>
      <c r="MO213" s="978"/>
      <c r="MP213" s="978"/>
      <c r="MQ213" s="978"/>
      <c r="MR213" s="978"/>
      <c r="MS213" s="978"/>
      <c r="MT213" s="978"/>
      <c r="MU213" s="978"/>
      <c r="MV213" s="978"/>
      <c r="MW213" s="978"/>
      <c r="MX213" s="978"/>
      <c r="MY213" s="978"/>
      <c r="MZ213" s="978"/>
      <c r="NA213" s="978"/>
      <c r="NB213" s="978"/>
      <c r="NC213" s="978"/>
      <c r="ND213" s="978"/>
      <c r="NE213" s="978"/>
      <c r="NF213" s="978"/>
      <c r="NG213" s="978"/>
      <c r="NH213" s="978"/>
      <c r="NI213" s="978"/>
      <c r="NJ213" s="978"/>
      <c r="NK213" s="978"/>
      <c r="NL213" s="978"/>
      <c r="NM213" s="978"/>
      <c r="NN213" s="978"/>
      <c r="NO213" s="978"/>
      <c r="NP213" s="978"/>
      <c r="NQ213" s="978"/>
      <c r="NR213" s="978"/>
      <c r="NS213" s="978"/>
      <c r="NT213" s="978"/>
      <c r="NU213" s="978"/>
      <c r="NV213" s="978"/>
      <c r="NW213" s="978"/>
      <c r="NX213" s="978"/>
      <c r="NY213" s="978"/>
      <c r="NZ213" s="978"/>
      <c r="OA213" s="978"/>
      <c r="OB213" s="978"/>
      <c r="OC213" s="978"/>
      <c r="OD213" s="978"/>
      <c r="OE213" s="978"/>
      <c r="OF213" s="978"/>
      <c r="OG213" s="978"/>
      <c r="OH213" s="978"/>
      <c r="OI213" s="978"/>
      <c r="OJ213" s="978"/>
      <c r="OK213" s="978"/>
      <c r="OL213" s="978"/>
      <c r="OM213" s="978"/>
      <c r="ON213" s="978"/>
      <c r="OO213" s="978"/>
      <c r="OP213" s="978"/>
      <c r="OQ213" s="978"/>
      <c r="OR213" s="978"/>
      <c r="OS213" s="978"/>
      <c r="OT213" s="978"/>
      <c r="OU213" s="978"/>
      <c r="OV213" s="978"/>
      <c r="OW213" s="978"/>
      <c r="OX213" s="978"/>
      <c r="OY213" s="978"/>
      <c r="OZ213" s="978"/>
      <c r="PA213" s="978"/>
      <c r="PB213" s="978"/>
      <c r="PC213" s="978"/>
      <c r="PD213" s="978"/>
      <c r="PE213" s="978"/>
      <c r="PF213" s="978"/>
      <c r="PG213" s="978"/>
      <c r="PH213" s="978"/>
      <c r="PI213" s="978"/>
      <c r="PJ213" s="978"/>
      <c r="PK213" s="978"/>
      <c r="PL213" s="978"/>
      <c r="PM213" s="978"/>
      <c r="PN213" s="978"/>
      <c r="PO213" s="978"/>
      <c r="PP213" s="978"/>
      <c r="PQ213" s="978"/>
      <c r="PR213" s="978"/>
      <c r="PS213" s="978"/>
      <c r="PT213" s="978"/>
      <c r="PU213" s="978"/>
      <c r="PV213" s="978"/>
      <c r="PW213" s="978"/>
      <c r="PX213" s="978"/>
      <c r="PY213" s="978"/>
      <c r="PZ213" s="978"/>
      <c r="QA213" s="978"/>
      <c r="QB213" s="978"/>
      <c r="QC213" s="978"/>
      <c r="QD213" s="978"/>
      <c r="QE213" s="978"/>
      <c r="QF213" s="978"/>
      <c r="QG213" s="978"/>
      <c r="QH213" s="978"/>
      <c r="QI213" s="978"/>
      <c r="QJ213" s="978"/>
      <c r="QK213" s="978"/>
      <c r="QL213" s="978"/>
      <c r="QM213" s="978"/>
      <c r="QN213" s="978"/>
      <c r="QO213" s="978"/>
      <c r="QP213" s="978"/>
      <c r="QQ213" s="978"/>
      <c r="QR213" s="978"/>
      <c r="QS213" s="978"/>
      <c r="QT213" s="978"/>
      <c r="QU213" s="978"/>
      <c r="QV213" s="978"/>
      <c r="QW213" s="978"/>
      <c r="QX213" s="978"/>
      <c r="QY213" s="978"/>
      <c r="QZ213" s="978"/>
      <c r="RA213" s="978"/>
      <c r="RB213" s="274"/>
      <c r="RC213" s="274"/>
    </row>
    <row r="214" spans="112:471" ht="17.25">
      <c r="DH214" s="274"/>
      <c r="DI214" s="274"/>
      <c r="DJ214" s="978"/>
      <c r="DK214" s="978"/>
      <c r="DL214" s="978"/>
      <c r="DM214" s="978"/>
      <c r="DN214" s="978"/>
      <c r="DO214" s="978"/>
      <c r="DP214" s="978"/>
      <c r="DQ214" s="978"/>
      <c r="DR214" s="978"/>
      <c r="DS214" s="978"/>
      <c r="DT214" s="978"/>
      <c r="DU214" s="978"/>
      <c r="DV214" s="978"/>
      <c r="DW214" s="978"/>
      <c r="DX214" s="978"/>
      <c r="DY214" s="978"/>
      <c r="DZ214" s="978"/>
      <c r="EA214" s="978"/>
      <c r="EB214" s="978"/>
      <c r="EC214" s="978"/>
      <c r="ED214" s="978"/>
      <c r="EE214" s="978"/>
      <c r="EF214" s="978"/>
      <c r="EG214" s="978"/>
      <c r="EH214" s="978"/>
      <c r="EI214" s="978"/>
      <c r="EJ214" s="978"/>
      <c r="EK214" s="978"/>
      <c r="EL214" s="978"/>
      <c r="EM214" s="978"/>
      <c r="EN214" s="978"/>
      <c r="EO214" s="978"/>
      <c r="EP214" s="978"/>
      <c r="EQ214" s="978"/>
      <c r="ER214" s="978"/>
      <c r="ES214" s="978"/>
      <c r="ET214" s="978"/>
      <c r="EU214" s="978"/>
      <c r="EV214" s="978"/>
      <c r="EW214" s="978"/>
      <c r="EX214" s="978"/>
      <c r="EY214" s="978"/>
      <c r="EZ214" s="978"/>
      <c r="FA214" s="978"/>
      <c r="FB214" s="978"/>
      <c r="FC214" s="978"/>
      <c r="FD214" s="978"/>
      <c r="FE214" s="978"/>
      <c r="FF214" s="978"/>
      <c r="FG214" s="978"/>
      <c r="FH214" s="978"/>
      <c r="FI214" s="978"/>
      <c r="FJ214" s="978"/>
      <c r="FK214" s="978"/>
      <c r="FL214" s="978"/>
      <c r="FM214" s="978"/>
      <c r="FN214" s="978"/>
      <c r="FO214" s="978"/>
      <c r="FP214" s="978"/>
      <c r="FQ214" s="978"/>
      <c r="FR214" s="978"/>
      <c r="FS214" s="978"/>
      <c r="FT214" s="978"/>
      <c r="FU214" s="978"/>
      <c r="FV214" s="978"/>
      <c r="FW214" s="978"/>
      <c r="FX214" s="978"/>
      <c r="FY214" s="978"/>
      <c r="FZ214" s="978"/>
      <c r="GA214" s="978"/>
      <c r="GB214" s="978"/>
      <c r="GC214" s="978"/>
      <c r="GD214" s="978"/>
      <c r="GE214" s="978"/>
      <c r="GF214" s="978"/>
      <c r="GG214" s="978"/>
      <c r="GH214" s="978"/>
      <c r="GI214" s="978"/>
      <c r="GJ214" s="978"/>
      <c r="GK214" s="978"/>
      <c r="GL214" s="978"/>
      <c r="GM214" s="978"/>
      <c r="GN214" s="978"/>
      <c r="GO214" s="978"/>
      <c r="GP214" s="978"/>
      <c r="GQ214" s="978"/>
      <c r="GR214" s="978"/>
      <c r="GS214" s="978"/>
      <c r="GT214" s="978"/>
      <c r="GU214" s="978"/>
      <c r="GV214" s="978"/>
      <c r="GW214" s="978"/>
      <c r="GX214" s="978"/>
      <c r="GY214" s="978"/>
      <c r="GZ214" s="978"/>
      <c r="HA214" s="978"/>
      <c r="HB214" s="978"/>
      <c r="HC214" s="978"/>
      <c r="HD214" s="978"/>
      <c r="HE214" s="978"/>
      <c r="HF214" s="978"/>
      <c r="HG214" s="978"/>
      <c r="HH214" s="978"/>
      <c r="HI214" s="978"/>
      <c r="HJ214" s="978"/>
      <c r="HK214" s="978"/>
      <c r="HL214" s="978"/>
      <c r="HM214" s="978"/>
      <c r="HN214" s="978"/>
      <c r="HO214" s="978"/>
      <c r="HP214" s="978"/>
      <c r="HQ214" s="978"/>
      <c r="HR214" s="978"/>
      <c r="HS214" s="978"/>
      <c r="HT214" s="978"/>
      <c r="HU214" s="978"/>
      <c r="HV214" s="978"/>
      <c r="HW214" s="978"/>
      <c r="HX214" s="978"/>
      <c r="HY214" s="978"/>
      <c r="HZ214" s="978"/>
      <c r="IA214" s="978"/>
      <c r="IB214" s="978"/>
      <c r="IC214" s="978"/>
      <c r="ID214" s="978"/>
      <c r="IE214" s="978"/>
      <c r="IF214" s="978"/>
      <c r="IG214" s="978"/>
      <c r="IH214" s="978"/>
      <c r="II214" s="978"/>
      <c r="IJ214" s="978"/>
      <c r="IK214" s="978"/>
      <c r="IL214" s="978"/>
      <c r="IM214" s="978"/>
      <c r="IN214" s="978"/>
      <c r="IO214" s="978"/>
      <c r="IP214" s="978"/>
      <c r="IQ214" s="978"/>
      <c r="IR214" s="978"/>
      <c r="IS214" s="978"/>
      <c r="IT214" s="978"/>
      <c r="IU214" s="978"/>
      <c r="IV214" s="978"/>
      <c r="IW214" s="978"/>
      <c r="IX214" s="978"/>
      <c r="IY214" s="978"/>
      <c r="IZ214" s="978"/>
      <c r="JA214" s="978"/>
      <c r="JB214" s="978"/>
      <c r="JC214" s="978"/>
      <c r="JD214" s="978"/>
      <c r="JE214" s="978"/>
      <c r="JF214" s="978"/>
      <c r="JG214" s="978"/>
      <c r="JH214" s="978"/>
      <c r="JI214" s="978"/>
      <c r="JJ214" s="978"/>
      <c r="JK214" s="978"/>
      <c r="JL214" s="978"/>
      <c r="JM214" s="978"/>
      <c r="JN214" s="978"/>
      <c r="JO214" s="978"/>
      <c r="JP214" s="978"/>
      <c r="JQ214" s="978"/>
      <c r="JR214" s="978"/>
      <c r="JS214" s="978"/>
      <c r="JT214" s="978"/>
      <c r="JU214" s="978"/>
      <c r="JV214" s="978"/>
      <c r="JW214" s="978"/>
      <c r="JX214" s="978"/>
      <c r="JY214" s="978"/>
      <c r="JZ214" s="978"/>
      <c r="KA214" s="978"/>
      <c r="KB214" s="978"/>
      <c r="KC214" s="978"/>
      <c r="KD214" s="978"/>
      <c r="KE214" s="978"/>
      <c r="KF214" s="978"/>
      <c r="KG214" s="978"/>
      <c r="KH214" s="978"/>
      <c r="KI214" s="978"/>
      <c r="KJ214" s="978"/>
      <c r="KK214" s="978"/>
      <c r="KL214" s="978"/>
      <c r="KM214" s="978"/>
      <c r="KN214" s="978"/>
      <c r="KO214" s="978"/>
      <c r="KP214" s="978"/>
      <c r="KQ214" s="978"/>
      <c r="KR214" s="978"/>
      <c r="KS214" s="978"/>
      <c r="KT214" s="978"/>
      <c r="KU214" s="978"/>
      <c r="KV214" s="978"/>
      <c r="KW214" s="978"/>
      <c r="KX214" s="978"/>
      <c r="KY214" s="978"/>
      <c r="KZ214" s="978"/>
      <c r="LA214" s="978"/>
      <c r="LB214" s="978"/>
      <c r="LC214" s="978"/>
      <c r="LD214" s="978"/>
      <c r="LE214" s="978"/>
      <c r="LF214" s="978"/>
      <c r="LG214" s="978"/>
      <c r="LH214" s="978"/>
      <c r="LI214" s="978"/>
      <c r="LJ214" s="978"/>
      <c r="LK214" s="978"/>
      <c r="LL214" s="978"/>
      <c r="LM214" s="978"/>
      <c r="LN214" s="978"/>
      <c r="LO214" s="978"/>
      <c r="LP214" s="978"/>
      <c r="LQ214" s="978"/>
      <c r="LR214" s="978"/>
      <c r="LS214" s="978"/>
      <c r="LT214" s="978"/>
      <c r="LU214" s="978"/>
      <c r="LV214" s="978"/>
      <c r="LW214" s="978"/>
      <c r="LX214" s="978"/>
      <c r="LY214" s="978"/>
      <c r="LZ214" s="978"/>
      <c r="MA214" s="978"/>
      <c r="MB214" s="978"/>
      <c r="MC214" s="978"/>
      <c r="MD214" s="978"/>
      <c r="ME214" s="978"/>
      <c r="MF214" s="978"/>
      <c r="MG214" s="978"/>
      <c r="MH214" s="978"/>
      <c r="MI214" s="978"/>
      <c r="MJ214" s="978"/>
      <c r="MK214" s="978"/>
      <c r="ML214" s="978"/>
      <c r="MM214" s="978"/>
      <c r="MN214" s="978"/>
      <c r="MO214" s="978"/>
      <c r="MP214" s="978"/>
      <c r="MQ214" s="978"/>
      <c r="MR214" s="978"/>
      <c r="MS214" s="978"/>
      <c r="MT214" s="978"/>
      <c r="MU214" s="978"/>
      <c r="MV214" s="978"/>
      <c r="MW214" s="978"/>
      <c r="MX214" s="978"/>
      <c r="MY214" s="978"/>
      <c r="MZ214" s="978"/>
      <c r="NA214" s="978"/>
      <c r="NB214" s="978"/>
      <c r="NC214" s="978"/>
      <c r="ND214" s="978"/>
      <c r="NE214" s="978"/>
      <c r="NF214" s="978"/>
      <c r="NG214" s="978"/>
      <c r="NH214" s="978"/>
      <c r="NI214" s="978"/>
      <c r="NJ214" s="978"/>
      <c r="NK214" s="978"/>
      <c r="NL214" s="978"/>
      <c r="NM214" s="978"/>
      <c r="NN214" s="978"/>
      <c r="NO214" s="978"/>
      <c r="NP214" s="978"/>
      <c r="NQ214" s="978"/>
      <c r="NR214" s="978"/>
      <c r="NS214" s="978"/>
      <c r="NT214" s="978"/>
      <c r="NU214" s="978"/>
      <c r="NV214" s="978"/>
      <c r="NW214" s="978"/>
      <c r="NX214" s="978"/>
      <c r="NY214" s="978"/>
      <c r="NZ214" s="978"/>
      <c r="OA214" s="978"/>
      <c r="OB214" s="978"/>
      <c r="OC214" s="978"/>
      <c r="OD214" s="978"/>
      <c r="OE214" s="978"/>
      <c r="OF214" s="978"/>
      <c r="OG214" s="978"/>
      <c r="OH214" s="978"/>
      <c r="OI214" s="978"/>
      <c r="OJ214" s="978"/>
      <c r="OK214" s="978"/>
      <c r="OL214" s="978"/>
      <c r="OM214" s="978"/>
      <c r="ON214" s="978"/>
      <c r="OO214" s="978"/>
      <c r="OP214" s="978"/>
      <c r="OQ214" s="978"/>
      <c r="OR214" s="978"/>
      <c r="OS214" s="978"/>
      <c r="OT214" s="978"/>
      <c r="OU214" s="978"/>
      <c r="OV214" s="978"/>
      <c r="OW214" s="978"/>
      <c r="OX214" s="978"/>
      <c r="OY214" s="978"/>
      <c r="OZ214" s="978"/>
      <c r="PA214" s="978"/>
      <c r="PB214" s="978"/>
      <c r="PC214" s="978"/>
      <c r="PD214" s="978"/>
      <c r="PE214" s="978"/>
      <c r="PF214" s="978"/>
      <c r="PG214" s="978"/>
      <c r="PH214" s="978"/>
      <c r="PI214" s="978"/>
      <c r="PJ214" s="978"/>
      <c r="PK214" s="978"/>
      <c r="PL214" s="978"/>
      <c r="PM214" s="978"/>
      <c r="PN214" s="978"/>
      <c r="PO214" s="978"/>
      <c r="PP214" s="978"/>
      <c r="PQ214" s="978"/>
      <c r="PR214" s="978"/>
      <c r="PS214" s="978"/>
      <c r="PT214" s="978"/>
      <c r="PU214" s="978"/>
      <c r="PV214" s="978"/>
      <c r="PW214" s="978"/>
      <c r="PX214" s="978"/>
      <c r="PY214" s="978"/>
      <c r="PZ214" s="978"/>
      <c r="QA214" s="978"/>
      <c r="QB214" s="978"/>
      <c r="QC214" s="978"/>
      <c r="QD214" s="978"/>
      <c r="QE214" s="978"/>
      <c r="QF214" s="978"/>
      <c r="QG214" s="978"/>
      <c r="QH214" s="978"/>
      <c r="QI214" s="978"/>
      <c r="QJ214" s="978"/>
      <c r="QK214" s="978"/>
      <c r="QL214" s="978"/>
      <c r="QM214" s="978"/>
      <c r="QN214" s="978"/>
      <c r="QO214" s="978"/>
      <c r="QP214" s="978"/>
      <c r="QQ214" s="978"/>
      <c r="QR214" s="978"/>
      <c r="QS214" s="978"/>
      <c r="QT214" s="978"/>
      <c r="QU214" s="978"/>
      <c r="QV214" s="978"/>
      <c r="QW214" s="978"/>
      <c r="QX214" s="978"/>
      <c r="QY214" s="978"/>
      <c r="QZ214" s="978"/>
      <c r="RA214" s="978"/>
      <c r="RB214" s="274"/>
      <c r="RC214" s="274"/>
    </row>
    <row r="215" spans="112:471" ht="17.25">
      <c r="DH215" s="274"/>
      <c r="DI215" s="274"/>
      <c r="DJ215" s="978"/>
      <c r="DK215" s="978"/>
      <c r="DL215" s="978"/>
      <c r="DM215" s="978"/>
      <c r="DN215" s="978"/>
      <c r="DO215" s="978"/>
      <c r="DP215" s="978"/>
      <c r="DQ215" s="978"/>
      <c r="DR215" s="978"/>
      <c r="DS215" s="978"/>
      <c r="DT215" s="978"/>
      <c r="DU215" s="978"/>
      <c r="DV215" s="978"/>
      <c r="DW215" s="978"/>
      <c r="DX215" s="978"/>
      <c r="DY215" s="978"/>
      <c r="DZ215" s="978"/>
      <c r="EA215" s="978"/>
      <c r="EB215" s="978"/>
      <c r="EC215" s="978"/>
      <c r="ED215" s="978"/>
      <c r="EE215" s="978"/>
      <c r="EF215" s="978"/>
      <c r="EG215" s="978"/>
      <c r="EH215" s="978"/>
      <c r="EI215" s="978"/>
      <c r="EJ215" s="978"/>
      <c r="EK215" s="978"/>
      <c r="EL215" s="978"/>
      <c r="EM215" s="978"/>
      <c r="EN215" s="978"/>
      <c r="EO215" s="978"/>
      <c r="EP215" s="978"/>
      <c r="EQ215" s="978"/>
      <c r="ER215" s="978"/>
      <c r="ES215" s="978"/>
      <c r="ET215" s="978"/>
      <c r="EU215" s="978"/>
      <c r="EV215" s="978"/>
      <c r="EW215" s="978"/>
      <c r="EX215" s="978"/>
      <c r="EY215" s="978"/>
      <c r="EZ215" s="978"/>
      <c r="FA215" s="978"/>
      <c r="FB215" s="978"/>
      <c r="FC215" s="978"/>
      <c r="FD215" s="978"/>
      <c r="FE215" s="978"/>
      <c r="FF215" s="978"/>
      <c r="FG215" s="978"/>
      <c r="FH215" s="978"/>
      <c r="FI215" s="978"/>
      <c r="FJ215" s="978"/>
      <c r="FK215" s="978"/>
      <c r="FL215" s="978"/>
      <c r="FM215" s="978"/>
      <c r="FN215" s="978"/>
      <c r="FO215" s="978"/>
      <c r="FP215" s="978"/>
      <c r="FQ215" s="978"/>
      <c r="FR215" s="978"/>
      <c r="FS215" s="978"/>
      <c r="FT215" s="978"/>
      <c r="FU215" s="978"/>
      <c r="FV215" s="978"/>
      <c r="FW215" s="978"/>
      <c r="FX215" s="978"/>
      <c r="FY215" s="978"/>
      <c r="FZ215" s="978"/>
      <c r="GA215" s="978"/>
      <c r="GB215" s="978"/>
      <c r="GC215" s="978"/>
      <c r="GD215" s="978"/>
      <c r="GE215" s="978"/>
      <c r="GF215" s="978"/>
      <c r="GG215" s="978"/>
      <c r="GH215" s="978"/>
      <c r="GI215" s="978"/>
      <c r="GJ215" s="978"/>
      <c r="GK215" s="978"/>
      <c r="GL215" s="978"/>
      <c r="GM215" s="978"/>
      <c r="GN215" s="978"/>
      <c r="GO215" s="978"/>
      <c r="GP215" s="978"/>
      <c r="GQ215" s="978"/>
      <c r="GR215" s="978"/>
      <c r="GS215" s="978"/>
      <c r="GT215" s="978"/>
      <c r="GU215" s="978"/>
      <c r="GV215" s="978"/>
      <c r="GW215" s="978"/>
      <c r="GX215" s="978"/>
      <c r="GY215" s="978"/>
      <c r="GZ215" s="978"/>
      <c r="HA215" s="978"/>
      <c r="HB215" s="978"/>
      <c r="HC215" s="978"/>
      <c r="HD215" s="978"/>
      <c r="HE215" s="978"/>
      <c r="HF215" s="978"/>
      <c r="HG215" s="978"/>
      <c r="HH215" s="978"/>
      <c r="HI215" s="978"/>
      <c r="HJ215" s="978"/>
      <c r="HK215" s="978"/>
      <c r="HL215" s="978"/>
      <c r="HM215" s="978"/>
      <c r="HN215" s="978"/>
      <c r="HO215" s="978"/>
      <c r="HP215" s="978"/>
      <c r="HQ215" s="978"/>
      <c r="HR215" s="978"/>
      <c r="HS215" s="978"/>
      <c r="HT215" s="978"/>
      <c r="HU215" s="978"/>
      <c r="HV215" s="978"/>
      <c r="HW215" s="978"/>
      <c r="HX215" s="978"/>
      <c r="HY215" s="978"/>
      <c r="HZ215" s="978"/>
      <c r="IA215" s="978"/>
      <c r="IB215" s="978"/>
      <c r="IC215" s="978"/>
      <c r="ID215" s="978"/>
      <c r="IE215" s="978"/>
      <c r="IF215" s="978"/>
      <c r="IG215" s="978"/>
      <c r="IH215" s="978"/>
      <c r="II215" s="978"/>
      <c r="IJ215" s="978"/>
      <c r="IK215" s="978"/>
      <c r="IL215" s="978"/>
      <c r="IM215" s="978"/>
      <c r="IN215" s="978"/>
      <c r="IO215" s="978"/>
      <c r="IP215" s="978"/>
      <c r="IQ215" s="978"/>
      <c r="IR215" s="978"/>
      <c r="IS215" s="978"/>
      <c r="IT215" s="978"/>
      <c r="IU215" s="978"/>
      <c r="IV215" s="978"/>
      <c r="IW215" s="978"/>
      <c r="IX215" s="978"/>
      <c r="IY215" s="978"/>
      <c r="IZ215" s="978"/>
      <c r="JA215" s="978"/>
      <c r="JB215" s="978"/>
      <c r="JC215" s="978"/>
      <c r="JD215" s="978"/>
      <c r="JE215" s="978"/>
      <c r="JF215" s="978"/>
      <c r="JG215" s="978"/>
      <c r="JH215" s="978"/>
      <c r="JI215" s="978"/>
      <c r="JJ215" s="978"/>
      <c r="JK215" s="978"/>
      <c r="JL215" s="978"/>
      <c r="JM215" s="978"/>
      <c r="JN215" s="978"/>
      <c r="JO215" s="978"/>
      <c r="JP215" s="978"/>
      <c r="JQ215" s="978"/>
      <c r="JR215" s="978"/>
      <c r="JS215" s="978"/>
      <c r="JT215" s="978"/>
      <c r="JU215" s="978"/>
      <c r="JV215" s="978"/>
      <c r="JW215" s="978"/>
      <c r="JX215" s="978"/>
      <c r="JY215" s="978"/>
      <c r="JZ215" s="978"/>
      <c r="KA215" s="978"/>
      <c r="KB215" s="978"/>
      <c r="KC215" s="978"/>
      <c r="KD215" s="978"/>
      <c r="KE215" s="978"/>
      <c r="KF215" s="978"/>
      <c r="KG215" s="978"/>
      <c r="KH215" s="978"/>
      <c r="KI215" s="978"/>
      <c r="KJ215" s="978"/>
      <c r="KK215" s="978"/>
      <c r="KL215" s="978"/>
      <c r="KM215" s="978"/>
      <c r="KN215" s="978"/>
      <c r="KO215" s="978"/>
      <c r="KP215" s="978"/>
      <c r="KQ215" s="978"/>
      <c r="KR215" s="978"/>
      <c r="KS215" s="978"/>
      <c r="KT215" s="978"/>
      <c r="KU215" s="978"/>
      <c r="KV215" s="978"/>
      <c r="KW215" s="978"/>
      <c r="KX215" s="978"/>
      <c r="KY215" s="978"/>
      <c r="KZ215" s="978"/>
      <c r="LA215" s="978"/>
      <c r="LB215" s="978"/>
      <c r="LC215" s="978"/>
      <c r="LD215" s="978"/>
      <c r="LE215" s="978"/>
      <c r="LF215" s="978"/>
      <c r="LG215" s="978"/>
      <c r="LH215" s="978"/>
      <c r="LI215" s="978"/>
      <c r="LJ215" s="978"/>
      <c r="LK215" s="978"/>
      <c r="LL215" s="978"/>
      <c r="LM215" s="978"/>
      <c r="LN215" s="978"/>
      <c r="LO215" s="978"/>
      <c r="LP215" s="978"/>
      <c r="LQ215" s="978"/>
      <c r="LR215" s="978"/>
      <c r="LS215" s="978"/>
      <c r="LT215" s="978"/>
      <c r="LU215" s="978"/>
      <c r="LV215" s="978"/>
      <c r="LW215" s="978"/>
      <c r="LX215" s="978"/>
      <c r="LY215" s="978"/>
      <c r="LZ215" s="978"/>
      <c r="MA215" s="978"/>
      <c r="MB215" s="978"/>
      <c r="MC215" s="978"/>
      <c r="MD215" s="978"/>
      <c r="ME215" s="978"/>
      <c r="MF215" s="978"/>
      <c r="MG215" s="978"/>
      <c r="MH215" s="978"/>
      <c r="MI215" s="978"/>
      <c r="MJ215" s="978"/>
      <c r="MK215" s="978"/>
      <c r="ML215" s="978"/>
      <c r="MM215" s="978"/>
      <c r="MN215" s="978"/>
      <c r="MO215" s="978"/>
      <c r="MP215" s="978"/>
      <c r="MQ215" s="978"/>
      <c r="MR215" s="978"/>
      <c r="MS215" s="978"/>
      <c r="MT215" s="978"/>
      <c r="MU215" s="978"/>
      <c r="MV215" s="978"/>
      <c r="MW215" s="978"/>
      <c r="MX215" s="978"/>
      <c r="MY215" s="978"/>
      <c r="MZ215" s="978"/>
      <c r="NA215" s="978"/>
      <c r="NB215" s="978"/>
      <c r="NC215" s="978"/>
      <c r="ND215" s="978"/>
      <c r="NE215" s="978"/>
      <c r="NF215" s="978"/>
      <c r="NG215" s="978"/>
      <c r="NH215" s="978"/>
      <c r="NI215" s="978"/>
      <c r="NJ215" s="978"/>
      <c r="NK215" s="978"/>
      <c r="NL215" s="978"/>
      <c r="NM215" s="978"/>
      <c r="NN215" s="978"/>
      <c r="NO215" s="978"/>
      <c r="NP215" s="978"/>
      <c r="NQ215" s="978"/>
      <c r="NR215" s="978"/>
      <c r="NS215" s="978"/>
      <c r="NT215" s="978"/>
      <c r="NU215" s="978"/>
      <c r="NV215" s="978"/>
      <c r="NW215" s="978"/>
      <c r="NX215" s="978"/>
      <c r="NY215" s="978"/>
      <c r="NZ215" s="978"/>
      <c r="OA215" s="978"/>
      <c r="OB215" s="978"/>
      <c r="OC215" s="978"/>
      <c r="OD215" s="978"/>
      <c r="OE215" s="978"/>
      <c r="OF215" s="978"/>
      <c r="OG215" s="978"/>
      <c r="OH215" s="978"/>
      <c r="OI215" s="978"/>
      <c r="OJ215" s="978"/>
      <c r="OK215" s="978"/>
      <c r="OL215" s="978"/>
      <c r="OM215" s="978"/>
      <c r="ON215" s="978"/>
      <c r="OO215" s="978"/>
      <c r="OP215" s="978"/>
      <c r="OQ215" s="978"/>
      <c r="OR215" s="978"/>
      <c r="OS215" s="978"/>
      <c r="OT215" s="978"/>
      <c r="OU215" s="978"/>
      <c r="OV215" s="978"/>
      <c r="OW215" s="978"/>
      <c r="OX215" s="978"/>
      <c r="OY215" s="978"/>
      <c r="OZ215" s="978"/>
      <c r="PA215" s="978"/>
      <c r="PB215" s="978"/>
      <c r="PC215" s="978"/>
      <c r="PD215" s="978"/>
      <c r="PE215" s="978"/>
      <c r="PF215" s="978"/>
      <c r="PG215" s="978"/>
      <c r="PH215" s="978"/>
      <c r="PI215" s="978"/>
      <c r="PJ215" s="978"/>
      <c r="PK215" s="978"/>
      <c r="PL215" s="978"/>
      <c r="PM215" s="978"/>
      <c r="PN215" s="978"/>
      <c r="PO215" s="978"/>
      <c r="PP215" s="978"/>
      <c r="PQ215" s="978"/>
      <c r="PR215" s="978"/>
      <c r="PS215" s="978"/>
      <c r="PT215" s="978"/>
      <c r="PU215" s="978"/>
      <c r="PV215" s="978"/>
      <c r="PW215" s="978"/>
      <c r="PX215" s="978"/>
      <c r="PY215" s="978"/>
      <c r="PZ215" s="978"/>
      <c r="QA215" s="978"/>
      <c r="QB215" s="978"/>
      <c r="QC215" s="978"/>
      <c r="QD215" s="978"/>
      <c r="QE215" s="978"/>
      <c r="QF215" s="978"/>
      <c r="QG215" s="978"/>
      <c r="QH215" s="978"/>
      <c r="QI215" s="978"/>
      <c r="QJ215" s="978"/>
      <c r="QK215" s="978"/>
      <c r="QL215" s="978"/>
      <c r="QM215" s="978"/>
      <c r="QN215" s="978"/>
      <c r="QO215" s="978"/>
      <c r="QP215" s="978"/>
      <c r="QQ215" s="978"/>
      <c r="QR215" s="978"/>
      <c r="QS215" s="978"/>
      <c r="QT215" s="978"/>
      <c r="QU215" s="978"/>
      <c r="QV215" s="978"/>
      <c r="QW215" s="978"/>
      <c r="QX215" s="978"/>
      <c r="QY215" s="978"/>
      <c r="QZ215" s="978"/>
      <c r="RA215" s="978"/>
      <c r="RB215" s="274"/>
      <c r="RC215" s="274"/>
    </row>
    <row r="216" spans="112:471" ht="17.25">
      <c r="DH216" s="274"/>
      <c r="DI216" s="274"/>
      <c r="DJ216" s="978"/>
      <c r="DK216" s="978"/>
      <c r="DL216" s="978"/>
      <c r="DM216" s="978"/>
      <c r="DN216" s="978"/>
      <c r="DO216" s="978"/>
      <c r="DP216" s="978"/>
      <c r="DQ216" s="978"/>
      <c r="DR216" s="978"/>
      <c r="DS216" s="978"/>
      <c r="DT216" s="978"/>
      <c r="DU216" s="978"/>
      <c r="DV216" s="978"/>
      <c r="DW216" s="978"/>
      <c r="DX216" s="978"/>
      <c r="DY216" s="978"/>
      <c r="DZ216" s="978"/>
      <c r="EA216" s="978"/>
      <c r="EB216" s="978"/>
      <c r="EC216" s="978"/>
      <c r="ED216" s="978"/>
      <c r="EE216" s="978"/>
      <c r="EF216" s="978"/>
      <c r="EG216" s="978"/>
      <c r="EH216" s="978"/>
      <c r="EI216" s="978"/>
      <c r="EJ216" s="978"/>
      <c r="EK216" s="978"/>
      <c r="EL216" s="978"/>
      <c r="EM216" s="978"/>
      <c r="EN216" s="978"/>
      <c r="EO216" s="978"/>
      <c r="EP216" s="978"/>
      <c r="EQ216" s="978"/>
      <c r="ER216" s="978"/>
      <c r="ES216" s="978"/>
      <c r="ET216" s="978"/>
      <c r="EU216" s="978"/>
      <c r="EV216" s="978"/>
      <c r="EW216" s="978"/>
      <c r="EX216" s="978"/>
      <c r="EY216" s="978"/>
      <c r="EZ216" s="978"/>
      <c r="FA216" s="978"/>
      <c r="FB216" s="978"/>
      <c r="FC216" s="978"/>
      <c r="FD216" s="978"/>
      <c r="FE216" s="978"/>
      <c r="FF216" s="978"/>
      <c r="FG216" s="978"/>
      <c r="FH216" s="978"/>
      <c r="FI216" s="978"/>
      <c r="FJ216" s="978"/>
      <c r="FK216" s="978"/>
      <c r="FL216" s="978"/>
      <c r="FM216" s="978"/>
      <c r="FN216" s="978"/>
      <c r="FO216" s="978"/>
      <c r="FP216" s="978"/>
      <c r="FQ216" s="978"/>
      <c r="FR216" s="978"/>
      <c r="FS216" s="978"/>
      <c r="FT216" s="978"/>
      <c r="FU216" s="978"/>
      <c r="FV216" s="978"/>
      <c r="FW216" s="978"/>
      <c r="FX216" s="978"/>
      <c r="FY216" s="978"/>
      <c r="FZ216" s="978"/>
      <c r="GA216" s="978"/>
      <c r="GB216" s="978"/>
      <c r="GC216" s="978"/>
      <c r="GD216" s="978"/>
      <c r="GE216" s="978"/>
      <c r="GF216" s="978"/>
      <c r="GG216" s="978"/>
      <c r="GH216" s="978"/>
      <c r="GI216" s="978"/>
      <c r="GJ216" s="978"/>
      <c r="GK216" s="978"/>
      <c r="GL216" s="978"/>
      <c r="GM216" s="978"/>
      <c r="GN216" s="978"/>
      <c r="GO216" s="978"/>
      <c r="GP216" s="978"/>
      <c r="GQ216" s="978"/>
      <c r="GR216" s="978"/>
      <c r="GS216" s="978"/>
      <c r="GT216" s="978"/>
      <c r="GU216" s="978"/>
      <c r="GV216" s="978"/>
      <c r="GW216" s="978"/>
      <c r="GX216" s="978"/>
      <c r="GY216" s="978"/>
      <c r="GZ216" s="978"/>
      <c r="HA216" s="978"/>
      <c r="HB216" s="978"/>
      <c r="HC216" s="978"/>
      <c r="HD216" s="978"/>
      <c r="HE216" s="978"/>
      <c r="HF216" s="978"/>
      <c r="HG216" s="978"/>
      <c r="HH216" s="978"/>
      <c r="HI216" s="978"/>
      <c r="HJ216" s="978"/>
      <c r="HK216" s="978"/>
      <c r="HL216" s="978"/>
      <c r="HM216" s="978"/>
      <c r="HN216" s="978"/>
      <c r="HO216" s="978"/>
      <c r="HP216" s="978"/>
      <c r="HQ216" s="978"/>
      <c r="HR216" s="978"/>
      <c r="HS216" s="978"/>
      <c r="HT216" s="978"/>
      <c r="HU216" s="978"/>
      <c r="HV216" s="978"/>
      <c r="HW216" s="978"/>
      <c r="HX216" s="978"/>
      <c r="HY216" s="978"/>
      <c r="HZ216" s="978"/>
      <c r="IA216" s="978"/>
      <c r="IB216" s="978"/>
      <c r="IC216" s="978"/>
      <c r="ID216" s="978"/>
      <c r="IE216" s="978"/>
      <c r="IF216" s="978"/>
      <c r="IG216" s="978"/>
      <c r="IH216" s="978"/>
      <c r="II216" s="978"/>
      <c r="IJ216" s="978"/>
      <c r="IK216" s="978"/>
      <c r="IL216" s="978"/>
      <c r="IM216" s="978"/>
      <c r="IN216" s="978"/>
      <c r="IO216" s="978"/>
      <c r="IP216" s="978"/>
      <c r="IQ216" s="978"/>
      <c r="IR216" s="978"/>
      <c r="IS216" s="978"/>
      <c r="IT216" s="978"/>
      <c r="IU216" s="978"/>
      <c r="IV216" s="978"/>
      <c r="IW216" s="978"/>
      <c r="IX216" s="978"/>
      <c r="IY216" s="978"/>
      <c r="IZ216" s="978"/>
      <c r="JA216" s="978"/>
      <c r="JB216" s="978"/>
      <c r="JC216" s="978"/>
      <c r="JD216" s="978"/>
      <c r="JE216" s="978"/>
      <c r="JF216" s="978"/>
      <c r="JG216" s="978"/>
      <c r="JH216" s="978"/>
      <c r="JI216" s="978"/>
      <c r="JJ216" s="978"/>
      <c r="JK216" s="978"/>
      <c r="JL216" s="978"/>
      <c r="JM216" s="978"/>
      <c r="JN216" s="978"/>
      <c r="JO216" s="978"/>
      <c r="JP216" s="978"/>
      <c r="JQ216" s="978"/>
      <c r="JR216" s="978"/>
      <c r="JS216" s="978"/>
      <c r="JT216" s="978"/>
      <c r="JU216" s="978"/>
      <c r="JV216" s="978"/>
      <c r="JW216" s="978"/>
      <c r="JX216" s="978"/>
      <c r="JY216" s="978"/>
      <c r="JZ216" s="978"/>
      <c r="KA216" s="978"/>
      <c r="KB216" s="978"/>
      <c r="KC216" s="978"/>
      <c r="KD216" s="978"/>
      <c r="KE216" s="978"/>
      <c r="KF216" s="978"/>
      <c r="KG216" s="978"/>
      <c r="KH216" s="978"/>
      <c r="KI216" s="978"/>
      <c r="KJ216" s="978"/>
      <c r="KK216" s="978"/>
      <c r="KL216" s="978"/>
      <c r="KM216" s="978"/>
      <c r="KN216" s="978"/>
      <c r="KO216" s="978"/>
      <c r="KP216" s="978"/>
      <c r="KQ216" s="978"/>
      <c r="KR216" s="978"/>
      <c r="KS216" s="978"/>
      <c r="KT216" s="978"/>
      <c r="KU216" s="978"/>
      <c r="KV216" s="978"/>
      <c r="KW216" s="978"/>
      <c r="KX216" s="978"/>
      <c r="KY216" s="978"/>
      <c r="KZ216" s="978"/>
      <c r="LA216" s="978"/>
      <c r="LB216" s="978"/>
      <c r="LC216" s="978"/>
      <c r="LD216" s="978"/>
      <c r="LE216" s="978"/>
      <c r="LF216" s="978"/>
      <c r="LG216" s="978"/>
      <c r="LH216" s="978"/>
      <c r="LI216" s="978"/>
      <c r="LJ216" s="978"/>
      <c r="LK216" s="978"/>
      <c r="LL216" s="978"/>
      <c r="LM216" s="978"/>
      <c r="LN216" s="978"/>
      <c r="LO216" s="978"/>
      <c r="LP216" s="978"/>
      <c r="LQ216" s="978"/>
      <c r="LR216" s="978"/>
      <c r="LS216" s="978"/>
      <c r="LT216" s="978"/>
      <c r="LU216" s="978"/>
      <c r="LV216" s="978"/>
      <c r="LW216" s="978"/>
      <c r="LX216" s="978"/>
      <c r="LY216" s="978"/>
      <c r="LZ216" s="978"/>
      <c r="MA216" s="978"/>
      <c r="MB216" s="978"/>
      <c r="MC216" s="978"/>
      <c r="MD216" s="978"/>
      <c r="ME216" s="978"/>
      <c r="MF216" s="978"/>
      <c r="MG216" s="978"/>
      <c r="MH216" s="978"/>
      <c r="MI216" s="978"/>
      <c r="MJ216" s="978"/>
      <c r="MK216" s="978"/>
      <c r="ML216" s="978"/>
      <c r="MM216" s="978"/>
      <c r="MN216" s="978"/>
      <c r="MO216" s="978"/>
      <c r="MP216" s="978"/>
      <c r="MQ216" s="978"/>
      <c r="MR216" s="978"/>
      <c r="MS216" s="978"/>
      <c r="MT216" s="978"/>
      <c r="MU216" s="978"/>
      <c r="MV216" s="978"/>
      <c r="MW216" s="978"/>
      <c r="MX216" s="978"/>
      <c r="MY216" s="978"/>
      <c r="MZ216" s="978"/>
      <c r="NA216" s="978"/>
      <c r="NB216" s="978"/>
      <c r="NC216" s="978"/>
      <c r="ND216" s="978"/>
      <c r="NE216" s="978"/>
      <c r="NF216" s="978"/>
      <c r="NG216" s="978"/>
      <c r="NH216" s="978"/>
      <c r="NI216" s="978"/>
      <c r="NJ216" s="978"/>
      <c r="NK216" s="978"/>
      <c r="NL216" s="978"/>
      <c r="NM216" s="978"/>
      <c r="NN216" s="978"/>
      <c r="NO216" s="978"/>
      <c r="NP216" s="978"/>
      <c r="NQ216" s="978"/>
      <c r="NR216" s="978"/>
      <c r="NS216" s="978"/>
      <c r="NT216" s="978"/>
      <c r="NU216" s="978"/>
      <c r="NV216" s="978"/>
      <c r="NW216" s="978"/>
      <c r="NX216" s="978"/>
      <c r="NY216" s="978"/>
      <c r="NZ216" s="978"/>
      <c r="OA216" s="978"/>
      <c r="OB216" s="978"/>
      <c r="OC216" s="978"/>
      <c r="OD216" s="978"/>
      <c r="OE216" s="978"/>
      <c r="OF216" s="978"/>
      <c r="OG216" s="978"/>
      <c r="OH216" s="978"/>
      <c r="OI216" s="978"/>
      <c r="OJ216" s="978"/>
      <c r="OK216" s="978"/>
      <c r="OL216" s="978"/>
      <c r="OM216" s="978"/>
      <c r="ON216" s="978"/>
      <c r="OO216" s="978"/>
      <c r="OP216" s="978"/>
      <c r="OQ216" s="978"/>
      <c r="OR216" s="978"/>
      <c r="OS216" s="978"/>
      <c r="OT216" s="978"/>
      <c r="OU216" s="978"/>
      <c r="OV216" s="978"/>
      <c r="OW216" s="978"/>
      <c r="OX216" s="978"/>
      <c r="OY216" s="978"/>
      <c r="OZ216" s="978"/>
      <c r="PA216" s="978"/>
      <c r="PB216" s="978"/>
      <c r="PC216" s="978"/>
      <c r="PD216" s="978"/>
      <c r="PE216" s="978"/>
      <c r="PF216" s="978"/>
      <c r="PG216" s="978"/>
      <c r="PH216" s="978"/>
      <c r="PI216" s="978"/>
      <c r="PJ216" s="978"/>
      <c r="PK216" s="978"/>
      <c r="PL216" s="978"/>
      <c r="PM216" s="978"/>
      <c r="PN216" s="978"/>
      <c r="PO216" s="978"/>
      <c r="PP216" s="978"/>
      <c r="PQ216" s="978"/>
      <c r="PR216" s="978"/>
      <c r="PS216" s="978"/>
      <c r="PT216" s="978"/>
      <c r="PU216" s="978"/>
      <c r="PV216" s="978"/>
      <c r="PW216" s="978"/>
      <c r="PX216" s="978"/>
      <c r="PY216" s="978"/>
      <c r="PZ216" s="978"/>
      <c r="QA216" s="978"/>
      <c r="QB216" s="978"/>
      <c r="QC216" s="978"/>
      <c r="QD216" s="978"/>
      <c r="QE216" s="978"/>
      <c r="QF216" s="978"/>
      <c r="QG216" s="978"/>
      <c r="QH216" s="978"/>
      <c r="QI216" s="978"/>
      <c r="QJ216" s="978"/>
      <c r="QK216" s="978"/>
      <c r="QL216" s="978"/>
      <c r="QM216" s="978"/>
      <c r="QN216" s="978"/>
      <c r="QO216" s="978"/>
      <c r="QP216" s="978"/>
      <c r="QQ216" s="978"/>
      <c r="QR216" s="978"/>
      <c r="QS216" s="978"/>
      <c r="QT216" s="978"/>
      <c r="QU216" s="978"/>
      <c r="QV216" s="978"/>
      <c r="QW216" s="978"/>
      <c r="QX216" s="978"/>
      <c r="QY216" s="978"/>
      <c r="QZ216" s="978"/>
      <c r="RA216" s="978"/>
      <c r="RB216" s="274"/>
      <c r="RC216" s="274"/>
    </row>
    <row r="217" spans="112:471" ht="17.25">
      <c r="DH217" s="274"/>
      <c r="DI217" s="274"/>
      <c r="DJ217" s="978"/>
      <c r="DK217" s="978"/>
      <c r="DL217" s="978"/>
      <c r="DM217" s="978"/>
      <c r="DN217" s="978"/>
      <c r="DO217" s="978"/>
      <c r="DP217" s="978"/>
      <c r="DQ217" s="978"/>
      <c r="DR217" s="978"/>
      <c r="DS217" s="978"/>
      <c r="DT217" s="978"/>
      <c r="DU217" s="978"/>
      <c r="DV217" s="978"/>
      <c r="DW217" s="978"/>
      <c r="DX217" s="978"/>
      <c r="DY217" s="978"/>
      <c r="DZ217" s="978"/>
      <c r="EA217" s="978"/>
      <c r="EB217" s="978"/>
      <c r="EC217" s="978"/>
      <c r="ED217" s="978"/>
      <c r="EE217" s="978"/>
      <c r="EF217" s="978"/>
      <c r="EG217" s="978"/>
      <c r="EH217" s="978"/>
      <c r="EI217" s="978"/>
      <c r="EJ217" s="978"/>
      <c r="EK217" s="978"/>
      <c r="EL217" s="978"/>
      <c r="EM217" s="978"/>
      <c r="EN217" s="978"/>
      <c r="EO217" s="978"/>
      <c r="EP217" s="978"/>
      <c r="EQ217" s="978"/>
      <c r="ER217" s="978"/>
      <c r="ES217" s="978"/>
      <c r="ET217" s="978"/>
      <c r="EU217" s="978"/>
      <c r="EV217" s="978"/>
      <c r="EW217" s="978"/>
      <c r="EX217" s="978"/>
      <c r="EY217" s="978"/>
      <c r="EZ217" s="978"/>
      <c r="FA217" s="978"/>
      <c r="FB217" s="978"/>
      <c r="FC217" s="978"/>
      <c r="FD217" s="978"/>
      <c r="FE217" s="978"/>
      <c r="FF217" s="978"/>
      <c r="FG217" s="978"/>
      <c r="FH217" s="978"/>
      <c r="FI217" s="978"/>
      <c r="FJ217" s="978"/>
      <c r="FK217" s="978"/>
      <c r="FL217" s="978"/>
      <c r="FM217" s="978"/>
      <c r="FN217" s="978"/>
      <c r="FO217" s="978"/>
      <c r="FP217" s="978"/>
      <c r="FQ217" s="978"/>
      <c r="FR217" s="978"/>
      <c r="FS217" s="978"/>
      <c r="FT217" s="978"/>
      <c r="FU217" s="978"/>
      <c r="FV217" s="978"/>
      <c r="FW217" s="978"/>
      <c r="FX217" s="978"/>
      <c r="FY217" s="978"/>
      <c r="FZ217" s="978"/>
      <c r="GA217" s="978"/>
      <c r="GB217" s="978"/>
      <c r="GC217" s="978"/>
      <c r="GD217" s="978"/>
      <c r="GE217" s="978"/>
      <c r="GF217" s="978"/>
      <c r="GG217" s="978"/>
      <c r="GH217" s="978"/>
      <c r="GI217" s="978"/>
      <c r="GJ217" s="978"/>
      <c r="GK217" s="978"/>
      <c r="GL217" s="978"/>
      <c r="GM217" s="978"/>
      <c r="GN217" s="978"/>
      <c r="GO217" s="978"/>
      <c r="GP217" s="978"/>
      <c r="GQ217" s="978"/>
      <c r="GR217" s="978"/>
      <c r="GS217" s="978"/>
      <c r="GT217" s="978"/>
      <c r="GU217" s="978"/>
      <c r="GV217" s="978"/>
      <c r="GW217" s="978"/>
      <c r="GX217" s="978"/>
      <c r="GY217" s="978"/>
      <c r="GZ217" s="978"/>
      <c r="HA217" s="978"/>
      <c r="HB217" s="978"/>
      <c r="HC217" s="978"/>
      <c r="HD217" s="978"/>
      <c r="HE217" s="978"/>
      <c r="HF217" s="978"/>
      <c r="HG217" s="978"/>
      <c r="HH217" s="978"/>
      <c r="HI217" s="978"/>
      <c r="HJ217" s="978"/>
      <c r="HK217" s="978"/>
      <c r="HL217" s="978"/>
      <c r="HM217" s="978"/>
      <c r="HN217" s="978"/>
      <c r="HO217" s="978"/>
      <c r="HP217" s="978"/>
      <c r="HQ217" s="978"/>
      <c r="HR217" s="978"/>
      <c r="HS217" s="978"/>
      <c r="HT217" s="978"/>
      <c r="HU217" s="978"/>
      <c r="HV217" s="978"/>
      <c r="HW217" s="978"/>
      <c r="HX217" s="978"/>
      <c r="HY217" s="978"/>
      <c r="HZ217" s="978"/>
      <c r="IA217" s="978"/>
      <c r="IB217" s="978"/>
      <c r="IC217" s="978"/>
      <c r="ID217" s="978"/>
      <c r="IE217" s="978"/>
      <c r="IF217" s="978"/>
      <c r="IG217" s="978"/>
      <c r="IH217" s="978"/>
      <c r="II217" s="978"/>
      <c r="IJ217" s="978"/>
      <c r="IK217" s="978"/>
      <c r="IL217" s="978"/>
      <c r="IM217" s="978"/>
      <c r="IN217" s="978"/>
      <c r="IO217" s="978"/>
      <c r="IP217" s="978"/>
      <c r="IQ217" s="978"/>
      <c r="IR217" s="978"/>
      <c r="IS217" s="978"/>
      <c r="IT217" s="978"/>
      <c r="IU217" s="978"/>
      <c r="IV217" s="978"/>
      <c r="IW217" s="978"/>
      <c r="IX217" s="978"/>
      <c r="IY217" s="978"/>
      <c r="IZ217" s="978"/>
      <c r="JA217" s="978"/>
      <c r="JB217" s="978"/>
      <c r="JC217" s="978"/>
      <c r="JD217" s="978"/>
      <c r="JE217" s="978"/>
      <c r="JF217" s="978"/>
      <c r="JG217" s="978"/>
      <c r="JH217" s="978"/>
      <c r="JI217" s="978"/>
      <c r="JJ217" s="978"/>
      <c r="JK217" s="978"/>
      <c r="JL217" s="978"/>
      <c r="JM217" s="978"/>
      <c r="JN217" s="978"/>
      <c r="JO217" s="978"/>
      <c r="JP217" s="978"/>
      <c r="JQ217" s="978"/>
      <c r="JR217" s="978"/>
      <c r="JS217" s="978"/>
      <c r="JT217" s="978"/>
      <c r="JU217" s="978"/>
      <c r="JV217" s="978"/>
      <c r="JW217" s="978"/>
      <c r="JX217" s="978"/>
      <c r="JY217" s="978"/>
      <c r="JZ217" s="978"/>
      <c r="KA217" s="978"/>
      <c r="KB217" s="978"/>
      <c r="KC217" s="978"/>
      <c r="KD217" s="978"/>
      <c r="KE217" s="978"/>
      <c r="KF217" s="978"/>
      <c r="KG217" s="978"/>
      <c r="KH217" s="978"/>
      <c r="KI217" s="978"/>
      <c r="KJ217" s="978"/>
      <c r="KK217" s="978"/>
      <c r="KL217" s="978"/>
      <c r="KM217" s="978"/>
      <c r="KN217" s="978"/>
      <c r="KO217" s="978"/>
      <c r="KP217" s="978"/>
      <c r="KQ217" s="978"/>
      <c r="KR217" s="978"/>
      <c r="KS217" s="978"/>
      <c r="KT217" s="978"/>
      <c r="KU217" s="978"/>
      <c r="KV217" s="978"/>
      <c r="KW217" s="978"/>
      <c r="KX217" s="978"/>
      <c r="KY217" s="978"/>
      <c r="KZ217" s="978"/>
      <c r="LA217" s="978"/>
      <c r="LB217" s="978"/>
      <c r="LC217" s="978"/>
      <c r="LD217" s="978"/>
      <c r="LE217" s="978"/>
      <c r="LF217" s="978"/>
      <c r="LG217" s="978"/>
      <c r="LH217" s="978"/>
      <c r="LI217" s="978"/>
      <c r="LJ217" s="978"/>
      <c r="LK217" s="978"/>
      <c r="LL217" s="978"/>
      <c r="LM217" s="978"/>
      <c r="LN217" s="978"/>
      <c r="LO217" s="978"/>
      <c r="LP217" s="978"/>
      <c r="LQ217" s="978"/>
      <c r="LR217" s="978"/>
      <c r="LS217" s="978"/>
      <c r="LT217" s="978"/>
      <c r="LU217" s="978"/>
      <c r="LV217" s="978"/>
      <c r="LW217" s="978"/>
      <c r="LX217" s="978"/>
      <c r="LY217" s="978"/>
      <c r="LZ217" s="978"/>
      <c r="MA217" s="978"/>
      <c r="MB217" s="978"/>
      <c r="MC217" s="978"/>
      <c r="MD217" s="978"/>
      <c r="ME217" s="978"/>
      <c r="MF217" s="978"/>
      <c r="MG217" s="978"/>
      <c r="MH217" s="978"/>
      <c r="MI217" s="978"/>
      <c r="MJ217" s="978"/>
      <c r="MK217" s="978"/>
      <c r="ML217" s="978"/>
      <c r="MM217" s="978"/>
      <c r="MN217" s="978"/>
      <c r="MO217" s="978"/>
      <c r="MP217" s="978"/>
      <c r="MQ217" s="978"/>
      <c r="MR217" s="978"/>
      <c r="MS217" s="978"/>
      <c r="MT217" s="978"/>
      <c r="MU217" s="978"/>
      <c r="MV217" s="978"/>
      <c r="MW217" s="978"/>
      <c r="MX217" s="978"/>
      <c r="MY217" s="978"/>
      <c r="MZ217" s="978"/>
      <c r="NA217" s="978"/>
      <c r="NB217" s="978"/>
      <c r="NC217" s="978"/>
      <c r="ND217" s="978"/>
      <c r="NE217" s="978"/>
      <c r="NF217" s="978"/>
      <c r="NG217" s="978"/>
      <c r="NH217" s="978"/>
      <c r="NI217" s="978"/>
      <c r="NJ217" s="978"/>
      <c r="NK217" s="978"/>
      <c r="NL217" s="978"/>
      <c r="NM217" s="978"/>
      <c r="NN217" s="978"/>
      <c r="NO217" s="978"/>
      <c r="NP217" s="978"/>
      <c r="NQ217" s="978"/>
      <c r="NR217" s="978"/>
      <c r="NS217" s="978"/>
      <c r="NT217" s="978"/>
      <c r="NU217" s="978"/>
      <c r="NV217" s="978"/>
      <c r="NW217" s="978"/>
      <c r="NX217" s="978"/>
      <c r="NY217" s="978"/>
      <c r="NZ217" s="978"/>
      <c r="OA217" s="978"/>
      <c r="OB217" s="978"/>
      <c r="OC217" s="978"/>
      <c r="OD217" s="978"/>
      <c r="OE217" s="978"/>
      <c r="OF217" s="978"/>
      <c r="OG217" s="978"/>
      <c r="OH217" s="978"/>
      <c r="OI217" s="978"/>
      <c r="OJ217" s="978"/>
      <c r="OK217" s="978"/>
      <c r="OL217" s="978"/>
      <c r="OM217" s="978"/>
      <c r="ON217" s="978"/>
      <c r="OO217" s="978"/>
      <c r="OP217" s="978"/>
      <c r="OQ217" s="978"/>
      <c r="OR217" s="978"/>
      <c r="OS217" s="978"/>
      <c r="OT217" s="978"/>
      <c r="OU217" s="978"/>
      <c r="OV217" s="978"/>
      <c r="OW217" s="978"/>
      <c r="OX217" s="978"/>
      <c r="OY217" s="978"/>
      <c r="OZ217" s="978"/>
      <c r="PA217" s="978"/>
      <c r="PB217" s="978"/>
      <c r="PC217" s="978"/>
      <c r="PD217" s="978"/>
      <c r="PE217" s="978"/>
      <c r="PF217" s="978"/>
      <c r="PG217" s="978"/>
      <c r="PH217" s="978"/>
      <c r="PI217" s="978"/>
      <c r="PJ217" s="978"/>
      <c r="PK217" s="978"/>
      <c r="PL217" s="978"/>
      <c r="PM217" s="978"/>
      <c r="PN217" s="978"/>
      <c r="PO217" s="978"/>
      <c r="PP217" s="978"/>
      <c r="PQ217" s="978"/>
      <c r="PR217" s="978"/>
      <c r="PS217" s="978"/>
      <c r="PT217" s="978"/>
      <c r="PU217" s="978"/>
      <c r="PV217" s="978"/>
      <c r="PW217" s="978"/>
      <c r="PX217" s="978"/>
      <c r="PY217" s="978"/>
      <c r="PZ217" s="978"/>
      <c r="QA217" s="978"/>
      <c r="QB217" s="978"/>
      <c r="QC217" s="978"/>
      <c r="QD217" s="978"/>
      <c r="QE217" s="978"/>
      <c r="QF217" s="978"/>
      <c r="QG217" s="978"/>
      <c r="QH217" s="978"/>
      <c r="QI217" s="978"/>
      <c r="QJ217" s="978"/>
      <c r="QK217" s="978"/>
      <c r="QL217" s="978"/>
      <c r="QM217" s="978"/>
      <c r="QN217" s="978"/>
      <c r="QO217" s="978"/>
      <c r="QP217" s="978"/>
      <c r="QQ217" s="978"/>
      <c r="QR217" s="978"/>
      <c r="QS217" s="978"/>
      <c r="QT217" s="978"/>
      <c r="QU217" s="978"/>
      <c r="QV217" s="978"/>
      <c r="QW217" s="978"/>
      <c r="QX217" s="978"/>
      <c r="QY217" s="978"/>
      <c r="QZ217" s="978"/>
      <c r="RA217" s="978"/>
      <c r="RB217" s="274"/>
      <c r="RC217" s="274"/>
    </row>
    <row r="218" spans="112:471" ht="17.25">
      <c r="DH218" s="274"/>
      <c r="DI218" s="274"/>
      <c r="DJ218" s="978"/>
      <c r="DK218" s="978"/>
      <c r="DL218" s="978"/>
      <c r="DM218" s="978"/>
      <c r="DN218" s="978"/>
      <c r="DO218" s="978"/>
      <c r="DP218" s="978"/>
      <c r="DQ218" s="978"/>
      <c r="DR218" s="978"/>
      <c r="DS218" s="978"/>
      <c r="DT218" s="978"/>
      <c r="DU218" s="978"/>
      <c r="DV218" s="978"/>
      <c r="DW218" s="978"/>
      <c r="DX218" s="978"/>
      <c r="DY218" s="978"/>
      <c r="DZ218" s="978"/>
      <c r="EA218" s="978"/>
      <c r="EB218" s="978"/>
      <c r="EC218" s="978"/>
      <c r="ED218" s="978"/>
      <c r="EE218" s="978"/>
      <c r="EF218" s="978"/>
      <c r="EG218" s="978"/>
      <c r="EH218" s="978"/>
      <c r="EI218" s="978"/>
      <c r="EJ218" s="978"/>
      <c r="EK218" s="978"/>
      <c r="EL218" s="978"/>
      <c r="EM218" s="978"/>
      <c r="EN218" s="978"/>
      <c r="EO218" s="978"/>
      <c r="EP218" s="978"/>
      <c r="EQ218" s="978"/>
      <c r="ER218" s="978"/>
      <c r="ES218" s="978"/>
      <c r="ET218" s="978"/>
      <c r="EU218" s="978"/>
      <c r="EV218" s="978"/>
      <c r="EW218" s="978"/>
      <c r="EX218" s="978"/>
      <c r="EY218" s="978"/>
      <c r="EZ218" s="978"/>
      <c r="FA218" s="978"/>
      <c r="FB218" s="978"/>
      <c r="FC218" s="978"/>
      <c r="FD218" s="978"/>
      <c r="FE218" s="978"/>
      <c r="FF218" s="978"/>
      <c r="FG218" s="978"/>
      <c r="FH218" s="978"/>
      <c r="FI218" s="978"/>
      <c r="FJ218" s="978"/>
      <c r="FK218" s="978"/>
      <c r="FL218" s="978"/>
      <c r="FM218" s="978"/>
      <c r="FN218" s="978"/>
      <c r="FO218" s="978"/>
      <c r="FP218" s="978"/>
      <c r="FQ218" s="978"/>
      <c r="FR218" s="978"/>
      <c r="FS218" s="978"/>
      <c r="FT218" s="978"/>
      <c r="FU218" s="978"/>
      <c r="FV218" s="978"/>
      <c r="FW218" s="978"/>
      <c r="FX218" s="978"/>
      <c r="FY218" s="978"/>
      <c r="FZ218" s="978"/>
      <c r="GA218" s="978"/>
      <c r="GB218" s="978"/>
      <c r="GC218" s="978"/>
      <c r="GD218" s="978"/>
      <c r="GE218" s="978"/>
      <c r="GF218" s="978"/>
      <c r="GG218" s="978"/>
      <c r="GH218" s="978"/>
      <c r="GI218" s="978"/>
      <c r="GJ218" s="978"/>
      <c r="GK218" s="978"/>
      <c r="GL218" s="978"/>
      <c r="GM218" s="978"/>
      <c r="GN218" s="978"/>
      <c r="GO218" s="978"/>
      <c r="GP218" s="978"/>
      <c r="GQ218" s="978"/>
      <c r="GR218" s="978"/>
      <c r="GS218" s="978"/>
      <c r="GT218" s="978"/>
      <c r="GU218" s="978"/>
      <c r="GV218" s="978"/>
      <c r="GW218" s="978"/>
      <c r="GX218" s="978"/>
      <c r="GY218" s="978"/>
      <c r="GZ218" s="978"/>
      <c r="HA218" s="978"/>
      <c r="HB218" s="978"/>
      <c r="HC218" s="978"/>
      <c r="HD218" s="978"/>
      <c r="HE218" s="978"/>
      <c r="HF218" s="978"/>
      <c r="HG218" s="978"/>
      <c r="HH218" s="978"/>
      <c r="HI218" s="978"/>
      <c r="HJ218" s="978"/>
      <c r="HK218" s="978"/>
      <c r="HL218" s="978"/>
      <c r="HM218" s="978"/>
      <c r="HN218" s="978"/>
      <c r="HO218" s="978"/>
      <c r="HP218" s="978"/>
      <c r="HQ218" s="978"/>
      <c r="HR218" s="978"/>
      <c r="HS218" s="978"/>
      <c r="HT218" s="978"/>
      <c r="HU218" s="978"/>
      <c r="HV218" s="978"/>
      <c r="HW218" s="978"/>
      <c r="HX218" s="978"/>
      <c r="HY218" s="978"/>
      <c r="HZ218" s="978"/>
      <c r="IA218" s="978"/>
      <c r="IB218" s="978"/>
      <c r="IC218" s="978"/>
      <c r="ID218" s="978"/>
      <c r="IE218" s="978"/>
      <c r="IF218" s="978"/>
      <c r="IG218" s="978"/>
      <c r="IH218" s="978"/>
      <c r="II218" s="978"/>
      <c r="IJ218" s="978"/>
      <c r="IK218" s="978"/>
      <c r="IL218" s="978"/>
      <c r="IM218" s="978"/>
      <c r="IN218" s="978"/>
      <c r="IO218" s="978"/>
      <c r="IP218" s="978"/>
      <c r="IQ218" s="978"/>
      <c r="IR218" s="978"/>
      <c r="IS218" s="978"/>
      <c r="IT218" s="978"/>
      <c r="IU218" s="978"/>
      <c r="IV218" s="978"/>
      <c r="IW218" s="978"/>
      <c r="IX218" s="978"/>
      <c r="IY218" s="978"/>
      <c r="IZ218" s="978"/>
      <c r="JA218" s="978"/>
      <c r="JB218" s="978"/>
      <c r="JC218" s="978"/>
      <c r="JD218" s="978"/>
      <c r="JE218" s="978"/>
      <c r="JF218" s="978"/>
      <c r="JG218" s="978"/>
      <c r="JH218" s="978"/>
      <c r="JI218" s="978"/>
      <c r="JJ218" s="978"/>
      <c r="JK218" s="978"/>
      <c r="JL218" s="978"/>
      <c r="JM218" s="978"/>
      <c r="JN218" s="978"/>
      <c r="JO218" s="978"/>
      <c r="JP218" s="978"/>
      <c r="JQ218" s="978"/>
      <c r="JR218" s="978"/>
      <c r="JS218" s="978"/>
      <c r="JT218" s="978"/>
      <c r="JU218" s="978"/>
      <c r="JV218" s="978"/>
      <c r="JW218" s="978"/>
      <c r="JX218" s="978"/>
      <c r="JY218" s="978"/>
      <c r="JZ218" s="978"/>
      <c r="KA218" s="978"/>
      <c r="KB218" s="978"/>
      <c r="KC218" s="978"/>
      <c r="KD218" s="978"/>
      <c r="KE218" s="978"/>
      <c r="KF218" s="978"/>
      <c r="KG218" s="978"/>
      <c r="KH218" s="978"/>
      <c r="KI218" s="978"/>
      <c r="KJ218" s="978"/>
      <c r="KK218" s="978"/>
      <c r="KL218" s="978"/>
      <c r="KM218" s="978"/>
      <c r="KN218" s="978"/>
      <c r="KO218" s="978"/>
      <c r="KP218" s="978"/>
      <c r="KQ218" s="978"/>
      <c r="KR218" s="978"/>
      <c r="KS218" s="978"/>
      <c r="KT218" s="978"/>
      <c r="KU218" s="978"/>
      <c r="KV218" s="978"/>
      <c r="KW218" s="978"/>
      <c r="KX218" s="978"/>
      <c r="KY218" s="978"/>
      <c r="KZ218" s="978"/>
      <c r="LA218" s="978"/>
      <c r="LB218" s="978"/>
      <c r="LC218" s="978"/>
      <c r="LD218" s="978"/>
      <c r="LE218" s="978"/>
      <c r="LF218" s="978"/>
      <c r="LG218" s="978"/>
      <c r="LH218" s="978"/>
      <c r="LI218" s="978"/>
      <c r="LJ218" s="978"/>
      <c r="LK218" s="978"/>
      <c r="LL218" s="978"/>
      <c r="LM218" s="978"/>
      <c r="LN218" s="978"/>
      <c r="LO218" s="978"/>
      <c r="LP218" s="978"/>
      <c r="LQ218" s="978"/>
      <c r="LR218" s="978"/>
      <c r="LS218" s="978"/>
      <c r="LT218" s="978"/>
      <c r="LU218" s="978"/>
      <c r="LV218" s="978"/>
      <c r="LW218" s="978"/>
      <c r="LX218" s="978"/>
      <c r="LY218" s="978"/>
      <c r="LZ218" s="978"/>
      <c r="MA218" s="978"/>
      <c r="MB218" s="978"/>
      <c r="MC218" s="978"/>
      <c r="MD218" s="978"/>
      <c r="ME218" s="978"/>
      <c r="MF218" s="978"/>
      <c r="MG218" s="978"/>
      <c r="MH218" s="978"/>
      <c r="MI218" s="978"/>
      <c r="MJ218" s="978"/>
      <c r="MK218" s="978"/>
      <c r="ML218" s="978"/>
      <c r="MM218" s="978"/>
      <c r="MN218" s="978"/>
      <c r="MO218" s="978"/>
      <c r="MP218" s="978"/>
      <c r="MQ218" s="978"/>
      <c r="MR218" s="978"/>
      <c r="MS218" s="978"/>
      <c r="MT218" s="978"/>
      <c r="MU218" s="978"/>
      <c r="MV218" s="978"/>
      <c r="MW218" s="978"/>
      <c r="MX218" s="978"/>
      <c r="MY218" s="978"/>
      <c r="MZ218" s="978"/>
      <c r="NA218" s="978"/>
      <c r="NB218" s="978"/>
      <c r="NC218" s="978"/>
      <c r="ND218" s="978"/>
      <c r="NE218" s="978"/>
      <c r="NF218" s="978"/>
      <c r="NG218" s="978"/>
      <c r="NH218" s="978"/>
      <c r="NI218" s="978"/>
      <c r="NJ218" s="978"/>
      <c r="NK218" s="978"/>
      <c r="NL218" s="978"/>
      <c r="NM218" s="978"/>
      <c r="NN218" s="978"/>
      <c r="NO218" s="978"/>
      <c r="NP218" s="978"/>
      <c r="NQ218" s="978"/>
      <c r="NR218" s="978"/>
      <c r="NS218" s="978"/>
      <c r="NT218" s="978"/>
      <c r="NU218" s="978"/>
      <c r="NV218" s="978"/>
      <c r="NW218" s="978"/>
      <c r="NX218" s="978"/>
      <c r="NY218" s="978"/>
      <c r="NZ218" s="978"/>
      <c r="OA218" s="978"/>
      <c r="OB218" s="978"/>
      <c r="OC218" s="978"/>
      <c r="OD218" s="978"/>
      <c r="OE218" s="978"/>
      <c r="OF218" s="978"/>
      <c r="OG218" s="978"/>
      <c r="OH218" s="978"/>
      <c r="OI218" s="978"/>
      <c r="OJ218" s="978"/>
      <c r="OK218" s="978"/>
      <c r="OL218" s="978"/>
      <c r="OM218" s="978"/>
      <c r="ON218" s="978"/>
      <c r="OO218" s="978"/>
      <c r="OP218" s="978"/>
      <c r="OQ218" s="978"/>
      <c r="OR218" s="978"/>
      <c r="OS218" s="978"/>
      <c r="OT218" s="978"/>
      <c r="OU218" s="978"/>
      <c r="OV218" s="978"/>
      <c r="OW218" s="978"/>
      <c r="OX218" s="978"/>
      <c r="OY218" s="978"/>
      <c r="OZ218" s="978"/>
      <c r="PA218" s="978"/>
      <c r="PB218" s="978"/>
      <c r="PC218" s="978"/>
      <c r="PD218" s="978"/>
      <c r="PE218" s="978"/>
      <c r="PF218" s="978"/>
      <c r="PG218" s="978"/>
      <c r="PH218" s="978"/>
      <c r="PI218" s="978"/>
      <c r="PJ218" s="978"/>
      <c r="PK218" s="978"/>
      <c r="PL218" s="978"/>
      <c r="PM218" s="978"/>
      <c r="PN218" s="978"/>
      <c r="PO218" s="978"/>
      <c r="PP218" s="978"/>
      <c r="PQ218" s="978"/>
      <c r="PR218" s="978"/>
      <c r="PS218" s="978"/>
      <c r="PT218" s="978"/>
      <c r="PU218" s="978"/>
      <c r="PV218" s="978"/>
      <c r="PW218" s="978"/>
      <c r="PX218" s="978"/>
      <c r="PY218" s="978"/>
      <c r="PZ218" s="978"/>
      <c r="QA218" s="978"/>
      <c r="QB218" s="978"/>
      <c r="QC218" s="978"/>
      <c r="QD218" s="978"/>
      <c r="QE218" s="978"/>
      <c r="QF218" s="978"/>
      <c r="QG218" s="978"/>
      <c r="QH218" s="978"/>
      <c r="QI218" s="978"/>
      <c r="QJ218" s="978"/>
      <c r="QK218" s="978"/>
      <c r="QL218" s="978"/>
      <c r="QM218" s="978"/>
      <c r="QN218" s="978"/>
      <c r="QO218" s="978"/>
      <c r="QP218" s="978"/>
      <c r="QQ218" s="978"/>
      <c r="QR218" s="978"/>
      <c r="QS218" s="978"/>
      <c r="QT218" s="978"/>
      <c r="QU218" s="978"/>
      <c r="QV218" s="978"/>
      <c r="QW218" s="978"/>
      <c r="QX218" s="978"/>
      <c r="QY218" s="978"/>
      <c r="QZ218" s="978"/>
      <c r="RA218" s="978"/>
      <c r="RB218" s="274"/>
      <c r="RC218" s="274"/>
    </row>
    <row r="219" spans="112:471">
      <c r="DH219" s="274"/>
      <c r="DI219" s="274"/>
      <c r="DJ219" s="274"/>
      <c r="DK219" s="274"/>
      <c r="DL219" s="274"/>
      <c r="DM219" s="274"/>
      <c r="DN219" s="274"/>
      <c r="DO219" s="274"/>
      <c r="DP219" s="274"/>
      <c r="DQ219" s="274"/>
      <c r="DR219" s="274"/>
      <c r="DS219" s="274"/>
      <c r="DT219" s="274"/>
      <c r="DU219" s="274"/>
      <c r="DV219" s="274"/>
      <c r="DW219" s="274"/>
      <c r="DX219" s="274"/>
      <c r="DY219" s="274"/>
      <c r="DZ219" s="274"/>
      <c r="EA219" s="274"/>
      <c r="EB219" s="274"/>
      <c r="EC219" s="274"/>
      <c r="ED219" s="274"/>
      <c r="EE219" s="274"/>
      <c r="EF219" s="274"/>
      <c r="EG219" s="274"/>
      <c r="EH219" s="274"/>
      <c r="EI219" s="274"/>
      <c r="EJ219" s="274"/>
      <c r="EK219" s="274"/>
      <c r="EL219" s="274"/>
      <c r="EM219" s="274"/>
      <c r="EN219" s="274"/>
      <c r="EO219" s="274"/>
      <c r="EP219" s="274"/>
      <c r="EQ219" s="274"/>
      <c r="ER219" s="274"/>
      <c r="ES219" s="274"/>
      <c r="ET219" s="274"/>
      <c r="EU219" s="274"/>
      <c r="EV219" s="274"/>
      <c r="EW219" s="274"/>
      <c r="EX219" s="274"/>
      <c r="EY219" s="274"/>
      <c r="EZ219" s="274"/>
      <c r="FA219" s="274"/>
      <c r="FB219" s="274"/>
      <c r="FC219" s="274"/>
      <c r="FD219" s="274"/>
      <c r="FE219" s="274"/>
      <c r="FF219" s="274"/>
      <c r="FG219" s="274"/>
      <c r="FH219" s="274"/>
      <c r="FI219" s="274"/>
      <c r="FJ219" s="274"/>
      <c r="FK219" s="274"/>
      <c r="FL219" s="274"/>
      <c r="FM219" s="274"/>
      <c r="FN219" s="274"/>
      <c r="FO219" s="274"/>
      <c r="FP219" s="274"/>
      <c r="FQ219" s="274"/>
      <c r="FR219" s="274"/>
      <c r="FS219" s="274"/>
      <c r="FT219" s="274"/>
      <c r="FU219" s="274"/>
      <c r="FV219" s="274"/>
      <c r="FW219" s="274"/>
      <c r="FX219" s="274"/>
      <c r="FY219" s="274"/>
      <c r="FZ219" s="274"/>
      <c r="GA219" s="274"/>
      <c r="GB219" s="274"/>
      <c r="GC219" s="274"/>
      <c r="GD219" s="274"/>
      <c r="GE219" s="274"/>
      <c r="GF219" s="274"/>
      <c r="GG219" s="274"/>
      <c r="GH219" s="274"/>
      <c r="GI219" s="274"/>
      <c r="GJ219" s="274"/>
      <c r="GK219" s="274"/>
      <c r="GL219" s="274"/>
      <c r="GM219" s="274"/>
      <c r="GN219" s="274"/>
      <c r="GO219" s="274"/>
      <c r="GP219" s="274"/>
      <c r="GQ219" s="274"/>
      <c r="GR219" s="274"/>
      <c r="GS219" s="274"/>
      <c r="GT219" s="274"/>
      <c r="GU219" s="274"/>
      <c r="GV219" s="274"/>
      <c r="GW219" s="274"/>
      <c r="GX219" s="274"/>
      <c r="GY219" s="274"/>
      <c r="GZ219" s="274"/>
      <c r="HA219" s="274"/>
      <c r="HB219" s="274"/>
      <c r="HC219" s="274"/>
      <c r="HD219" s="274"/>
      <c r="HE219" s="274"/>
      <c r="HF219" s="274"/>
      <c r="HG219" s="274"/>
      <c r="HH219" s="274"/>
      <c r="HI219" s="274"/>
      <c r="HJ219" s="274"/>
      <c r="HK219" s="274"/>
      <c r="HL219" s="274"/>
      <c r="HM219" s="274"/>
      <c r="HN219" s="274"/>
      <c r="HO219" s="274"/>
      <c r="HP219" s="274"/>
      <c r="HQ219" s="274"/>
      <c r="HR219" s="274"/>
      <c r="HS219" s="274"/>
      <c r="HT219" s="274"/>
      <c r="HU219" s="274"/>
      <c r="HV219" s="274"/>
      <c r="HW219" s="274"/>
      <c r="HX219" s="274"/>
      <c r="HY219" s="274"/>
      <c r="HZ219" s="274"/>
      <c r="IA219" s="274"/>
      <c r="IB219" s="274"/>
      <c r="IC219" s="274"/>
      <c r="ID219" s="274"/>
      <c r="IE219" s="274"/>
      <c r="IF219" s="274"/>
      <c r="IG219" s="274"/>
      <c r="IH219" s="274"/>
      <c r="II219" s="274"/>
      <c r="IJ219" s="274"/>
      <c r="IK219" s="274"/>
      <c r="IL219" s="274"/>
      <c r="IM219" s="274"/>
      <c r="IN219" s="274"/>
      <c r="IO219" s="274"/>
      <c r="IP219" s="274"/>
      <c r="IQ219" s="274"/>
      <c r="IR219" s="274"/>
      <c r="IS219" s="274"/>
      <c r="IT219" s="274"/>
      <c r="IU219" s="274"/>
      <c r="IV219" s="274"/>
      <c r="IW219" s="274"/>
      <c r="IX219" s="274"/>
      <c r="IY219" s="274"/>
      <c r="IZ219" s="274"/>
      <c r="JA219" s="274"/>
      <c r="JB219" s="274"/>
      <c r="JC219" s="274"/>
      <c r="JD219" s="274"/>
      <c r="JE219" s="274"/>
      <c r="JF219" s="274"/>
      <c r="JG219" s="274"/>
      <c r="JH219" s="274"/>
      <c r="JI219" s="274"/>
      <c r="JJ219" s="274"/>
      <c r="JK219" s="274"/>
      <c r="JL219" s="274"/>
      <c r="JM219" s="274"/>
      <c r="JN219" s="274"/>
      <c r="JO219" s="274"/>
      <c r="JP219" s="274"/>
      <c r="JQ219" s="274"/>
      <c r="JR219" s="274"/>
      <c r="JS219" s="274"/>
      <c r="JT219" s="274"/>
      <c r="JU219" s="274"/>
      <c r="JV219" s="274"/>
      <c r="JW219" s="274"/>
      <c r="JX219" s="274"/>
      <c r="JY219" s="274"/>
      <c r="JZ219" s="274"/>
      <c r="KA219" s="274"/>
      <c r="KB219" s="274"/>
      <c r="KC219" s="274"/>
      <c r="KD219" s="274"/>
      <c r="KE219" s="274"/>
      <c r="KF219" s="274"/>
      <c r="KG219" s="274"/>
      <c r="KH219" s="274"/>
      <c r="KI219" s="274"/>
      <c r="KJ219" s="274"/>
      <c r="KK219" s="274"/>
      <c r="KL219" s="274"/>
      <c r="KM219" s="274"/>
      <c r="KN219" s="274"/>
      <c r="KO219" s="274"/>
      <c r="KP219" s="274"/>
      <c r="KQ219" s="274"/>
      <c r="KR219" s="274"/>
      <c r="KS219" s="274"/>
      <c r="KT219" s="274"/>
      <c r="KU219" s="274"/>
      <c r="KV219" s="274"/>
      <c r="KW219" s="274"/>
      <c r="KX219" s="274"/>
      <c r="KY219" s="274"/>
      <c r="KZ219" s="274"/>
      <c r="LA219" s="274"/>
      <c r="LB219" s="274"/>
      <c r="LC219" s="274"/>
      <c r="LD219" s="274"/>
      <c r="LE219" s="274"/>
      <c r="LF219" s="274"/>
      <c r="LG219" s="274"/>
      <c r="LH219" s="274"/>
      <c r="LI219" s="274"/>
      <c r="LJ219" s="274"/>
      <c r="LK219" s="274"/>
      <c r="LL219" s="274"/>
      <c r="LM219" s="274"/>
      <c r="LN219" s="274"/>
      <c r="LO219" s="274"/>
      <c r="LP219" s="274"/>
      <c r="LQ219" s="274"/>
      <c r="LR219" s="274"/>
      <c r="LS219" s="274"/>
      <c r="LT219" s="274"/>
      <c r="LU219" s="274"/>
      <c r="LV219" s="274"/>
      <c r="LW219" s="274"/>
      <c r="LX219" s="274"/>
      <c r="LY219" s="274"/>
      <c r="LZ219" s="274"/>
      <c r="MA219" s="274"/>
      <c r="MB219" s="274"/>
      <c r="MC219" s="274"/>
      <c r="MD219" s="274"/>
      <c r="ME219" s="274"/>
      <c r="MF219" s="274"/>
      <c r="MG219" s="274"/>
      <c r="MH219" s="274"/>
      <c r="MI219" s="274"/>
      <c r="MJ219" s="274"/>
      <c r="MK219" s="274"/>
      <c r="ML219" s="274"/>
      <c r="MM219" s="274"/>
      <c r="MN219" s="274"/>
      <c r="MO219" s="274"/>
      <c r="MP219" s="274"/>
      <c r="MQ219" s="274"/>
      <c r="MR219" s="274"/>
      <c r="MS219" s="274"/>
      <c r="MT219" s="274"/>
      <c r="MU219" s="274"/>
      <c r="MV219" s="274"/>
      <c r="MW219" s="274"/>
      <c r="MX219" s="274"/>
      <c r="MY219" s="274"/>
      <c r="MZ219" s="274"/>
      <c r="NA219" s="274"/>
      <c r="NB219" s="274"/>
      <c r="NC219" s="274"/>
      <c r="ND219" s="274"/>
      <c r="NE219" s="274"/>
      <c r="NF219" s="274"/>
      <c r="NG219" s="274"/>
      <c r="NH219" s="274"/>
      <c r="NI219" s="274"/>
      <c r="NJ219" s="274"/>
      <c r="NK219" s="274"/>
      <c r="NL219" s="274"/>
      <c r="NM219" s="274"/>
      <c r="NN219" s="274"/>
      <c r="NO219" s="274"/>
      <c r="NP219" s="274"/>
      <c r="NQ219" s="274"/>
      <c r="NR219" s="274"/>
      <c r="NS219" s="274"/>
      <c r="NT219" s="274"/>
      <c r="NU219" s="274"/>
      <c r="NV219" s="274"/>
      <c r="NW219" s="274"/>
      <c r="NX219" s="274"/>
      <c r="NY219" s="274"/>
      <c r="NZ219" s="274"/>
      <c r="OA219" s="274"/>
      <c r="OB219" s="274"/>
      <c r="OC219" s="274"/>
      <c r="OD219" s="274"/>
      <c r="OE219" s="274"/>
      <c r="OF219" s="274"/>
      <c r="OG219" s="274"/>
      <c r="OH219" s="274"/>
      <c r="OI219" s="274"/>
      <c r="OJ219" s="274"/>
      <c r="OK219" s="274"/>
      <c r="OL219" s="274"/>
      <c r="OM219" s="274"/>
      <c r="ON219" s="274"/>
      <c r="OO219" s="274"/>
      <c r="OP219" s="274"/>
      <c r="OQ219" s="274"/>
      <c r="OR219" s="274"/>
      <c r="OS219" s="274"/>
      <c r="OT219" s="274"/>
      <c r="OU219" s="274"/>
      <c r="OV219" s="274"/>
      <c r="OW219" s="274"/>
      <c r="OX219" s="274"/>
      <c r="OY219" s="274"/>
      <c r="OZ219" s="274"/>
      <c r="PA219" s="274"/>
      <c r="PB219" s="274"/>
      <c r="PC219" s="274"/>
      <c r="PD219" s="274"/>
      <c r="PE219" s="274"/>
      <c r="PF219" s="274"/>
      <c r="PG219" s="274"/>
      <c r="PH219" s="274"/>
      <c r="PI219" s="274"/>
      <c r="PJ219" s="274"/>
      <c r="PK219" s="274"/>
      <c r="PL219" s="274"/>
      <c r="PM219" s="274"/>
      <c r="PN219" s="274"/>
      <c r="PO219" s="274"/>
      <c r="PP219" s="274"/>
      <c r="PQ219" s="274"/>
      <c r="PR219" s="274"/>
      <c r="PS219" s="274"/>
      <c r="PT219" s="274"/>
      <c r="PU219" s="274"/>
      <c r="PV219" s="274"/>
      <c r="PW219" s="274"/>
      <c r="PX219" s="274"/>
      <c r="PY219" s="274"/>
      <c r="PZ219" s="274"/>
      <c r="QA219" s="274"/>
      <c r="QB219" s="274"/>
      <c r="QC219" s="274"/>
      <c r="QD219" s="274"/>
      <c r="QE219" s="274"/>
      <c r="QF219" s="274"/>
      <c r="QG219" s="274"/>
      <c r="QH219" s="274"/>
      <c r="QI219" s="274"/>
      <c r="QJ219" s="274"/>
      <c r="QK219" s="274"/>
      <c r="QL219" s="274"/>
      <c r="QM219" s="274"/>
      <c r="QN219" s="274"/>
      <c r="QO219" s="274"/>
      <c r="QP219" s="274"/>
      <c r="QQ219" s="274"/>
      <c r="QR219" s="274"/>
      <c r="QS219" s="274"/>
      <c r="QT219" s="274"/>
      <c r="QU219" s="274"/>
      <c r="QV219" s="274"/>
      <c r="QW219" s="274"/>
      <c r="QX219" s="274"/>
      <c r="QY219" s="274"/>
      <c r="QZ219" s="274"/>
      <c r="RA219" s="274"/>
      <c r="RB219" s="274"/>
      <c r="RC219" s="274"/>
    </row>
    <row r="220" spans="112:471">
      <c r="DH220" s="274"/>
      <c r="DI220" s="274"/>
      <c r="DJ220" s="274"/>
      <c r="DK220" s="274"/>
      <c r="DL220" s="274"/>
      <c r="DM220" s="274"/>
      <c r="DN220" s="274"/>
      <c r="DO220" s="274"/>
      <c r="DP220" s="274"/>
      <c r="DQ220" s="274"/>
      <c r="DR220" s="274"/>
      <c r="DS220" s="274"/>
      <c r="DT220" s="274"/>
      <c r="DU220" s="274"/>
      <c r="DV220" s="274"/>
      <c r="DW220" s="274"/>
      <c r="DX220" s="274"/>
      <c r="DY220" s="274"/>
      <c r="DZ220" s="274"/>
      <c r="EA220" s="274"/>
      <c r="EB220" s="274"/>
      <c r="EC220" s="274"/>
      <c r="ED220" s="274"/>
      <c r="EE220" s="274"/>
      <c r="EF220" s="274"/>
      <c r="EG220" s="274"/>
      <c r="EH220" s="274"/>
      <c r="EI220" s="274"/>
      <c r="EJ220" s="274"/>
      <c r="EK220" s="274"/>
      <c r="EL220" s="274"/>
      <c r="EM220" s="274"/>
      <c r="EN220" s="274"/>
      <c r="EO220" s="274"/>
      <c r="EP220" s="274"/>
      <c r="EQ220" s="274"/>
      <c r="ER220" s="274"/>
      <c r="ES220" s="274"/>
      <c r="ET220" s="274"/>
      <c r="EU220" s="274"/>
      <c r="EV220" s="274"/>
      <c r="EW220" s="274"/>
      <c r="EX220" s="274"/>
      <c r="EY220" s="274"/>
      <c r="EZ220" s="274"/>
      <c r="FA220" s="274"/>
      <c r="FB220" s="274"/>
      <c r="FC220" s="274"/>
      <c r="FD220" s="274"/>
      <c r="FE220" s="274"/>
      <c r="FF220" s="274"/>
      <c r="FG220" s="274"/>
      <c r="FH220" s="274"/>
      <c r="FI220" s="274"/>
      <c r="FJ220" s="274"/>
      <c r="FK220" s="274"/>
      <c r="FL220" s="274"/>
      <c r="FM220" s="274"/>
      <c r="FN220" s="274"/>
      <c r="FO220" s="274"/>
      <c r="FP220" s="274"/>
      <c r="FQ220" s="274"/>
      <c r="FR220" s="274"/>
      <c r="FS220" s="274"/>
      <c r="FT220" s="274"/>
      <c r="FU220" s="274"/>
      <c r="FV220" s="274"/>
      <c r="FW220" s="274"/>
      <c r="FX220" s="274"/>
      <c r="FY220" s="274"/>
      <c r="FZ220" s="274"/>
      <c r="GA220" s="274"/>
      <c r="GB220" s="274"/>
      <c r="GC220" s="274"/>
      <c r="GD220" s="274"/>
      <c r="GE220" s="274"/>
      <c r="GF220" s="274"/>
      <c r="GG220" s="274"/>
      <c r="GH220" s="274"/>
      <c r="GI220" s="274"/>
      <c r="GJ220" s="274"/>
      <c r="GK220" s="274"/>
      <c r="GL220" s="274"/>
      <c r="GM220" s="274"/>
      <c r="GN220" s="274"/>
      <c r="GO220" s="274"/>
      <c r="GP220" s="274"/>
      <c r="GQ220" s="274"/>
      <c r="GR220" s="274"/>
      <c r="GS220" s="274"/>
      <c r="GT220" s="274"/>
      <c r="GU220" s="274"/>
      <c r="GV220" s="274"/>
      <c r="GW220" s="274"/>
      <c r="GX220" s="274"/>
      <c r="GY220" s="274"/>
      <c r="GZ220" s="274"/>
      <c r="HA220" s="274"/>
      <c r="HB220" s="274"/>
      <c r="HC220" s="274"/>
      <c r="HD220" s="274"/>
      <c r="HE220" s="274"/>
      <c r="HF220" s="274"/>
      <c r="HG220" s="274"/>
      <c r="HH220" s="274"/>
      <c r="HI220" s="274"/>
      <c r="HJ220" s="274"/>
      <c r="HK220" s="274"/>
      <c r="HL220" s="274"/>
      <c r="HM220" s="274"/>
      <c r="HN220" s="274"/>
      <c r="HO220" s="274"/>
      <c r="HP220" s="274"/>
      <c r="HQ220" s="274"/>
      <c r="HR220" s="274"/>
      <c r="HS220" s="274"/>
      <c r="HT220" s="274"/>
      <c r="HU220" s="274"/>
      <c r="HV220" s="274"/>
      <c r="HW220" s="274"/>
      <c r="HX220" s="274"/>
      <c r="HY220" s="274"/>
      <c r="HZ220" s="274"/>
      <c r="IA220" s="274"/>
      <c r="IB220" s="274"/>
      <c r="IC220" s="274"/>
      <c r="ID220" s="274"/>
      <c r="IE220" s="274"/>
      <c r="IF220" s="274"/>
      <c r="IG220" s="274"/>
      <c r="IH220" s="274"/>
      <c r="II220" s="274"/>
      <c r="IJ220" s="274"/>
      <c r="IK220" s="274"/>
      <c r="IL220" s="274"/>
      <c r="IM220" s="274"/>
      <c r="IN220" s="274"/>
      <c r="IO220" s="274"/>
      <c r="IP220" s="274"/>
      <c r="IQ220" s="274"/>
      <c r="IR220" s="274"/>
      <c r="IS220" s="274"/>
      <c r="IT220" s="274"/>
      <c r="IU220" s="274"/>
      <c r="IV220" s="274"/>
      <c r="IW220" s="274"/>
      <c r="IX220" s="274"/>
      <c r="IY220" s="274"/>
      <c r="IZ220" s="274"/>
      <c r="JA220" s="274"/>
      <c r="JB220" s="274"/>
      <c r="JC220" s="274"/>
      <c r="JD220" s="274"/>
      <c r="JE220" s="274"/>
      <c r="JF220" s="274"/>
      <c r="JG220" s="274"/>
      <c r="JH220" s="274"/>
      <c r="JI220" s="274"/>
      <c r="JJ220" s="274"/>
      <c r="JK220" s="274"/>
      <c r="JL220" s="274"/>
      <c r="JM220" s="274"/>
      <c r="JN220" s="274"/>
      <c r="JO220" s="274"/>
      <c r="JP220" s="274"/>
      <c r="JQ220" s="274"/>
      <c r="JR220" s="274"/>
      <c r="JS220" s="274"/>
      <c r="JT220" s="274"/>
      <c r="JU220" s="274"/>
      <c r="JV220" s="274"/>
      <c r="JW220" s="274"/>
      <c r="JX220" s="274"/>
      <c r="JY220" s="274"/>
      <c r="JZ220" s="274"/>
      <c r="KA220" s="274"/>
      <c r="KB220" s="274"/>
      <c r="KC220" s="274"/>
      <c r="KD220" s="274"/>
      <c r="KE220" s="274"/>
      <c r="KF220" s="274"/>
      <c r="KG220" s="274"/>
      <c r="KH220" s="274"/>
      <c r="KI220" s="274"/>
      <c r="KJ220" s="274"/>
      <c r="KK220" s="274"/>
      <c r="KL220" s="274"/>
      <c r="KM220" s="274"/>
      <c r="KN220" s="274"/>
      <c r="KO220" s="274"/>
      <c r="KP220" s="274"/>
      <c r="KQ220" s="274"/>
      <c r="KR220" s="274"/>
      <c r="KS220" s="274"/>
      <c r="KT220" s="274"/>
      <c r="KU220" s="274"/>
      <c r="KV220" s="274"/>
      <c r="KW220" s="274"/>
      <c r="KX220" s="274"/>
      <c r="KY220" s="274"/>
      <c r="KZ220" s="274"/>
      <c r="LA220" s="274"/>
      <c r="LB220" s="274"/>
      <c r="LC220" s="274"/>
      <c r="LD220" s="274"/>
      <c r="LE220" s="274"/>
      <c r="LF220" s="274"/>
      <c r="LG220" s="274"/>
      <c r="LH220" s="274"/>
      <c r="LI220" s="274"/>
      <c r="LJ220" s="274"/>
      <c r="LK220" s="274"/>
      <c r="LL220" s="274"/>
      <c r="LM220" s="274"/>
      <c r="LN220" s="274"/>
      <c r="LO220" s="274"/>
      <c r="LP220" s="274"/>
      <c r="LQ220" s="274"/>
      <c r="LR220" s="274"/>
      <c r="LS220" s="274"/>
      <c r="LT220" s="274"/>
      <c r="LU220" s="274"/>
      <c r="LV220" s="274"/>
      <c r="LW220" s="274"/>
      <c r="LX220" s="274"/>
      <c r="LY220" s="274"/>
      <c r="LZ220" s="274"/>
      <c r="MA220" s="274"/>
      <c r="MB220" s="274"/>
      <c r="MC220" s="274"/>
      <c r="MD220" s="274"/>
      <c r="ME220" s="274"/>
      <c r="MF220" s="274"/>
      <c r="MG220" s="274"/>
      <c r="MH220" s="274"/>
      <c r="MI220" s="274"/>
      <c r="MJ220" s="274"/>
      <c r="MK220" s="274"/>
      <c r="ML220" s="274"/>
      <c r="MM220" s="274"/>
      <c r="MN220" s="274"/>
      <c r="MO220" s="274"/>
      <c r="MP220" s="274"/>
      <c r="MQ220" s="274"/>
      <c r="MR220" s="274"/>
      <c r="MS220" s="274"/>
      <c r="MT220" s="274"/>
      <c r="MU220" s="274"/>
      <c r="MV220" s="274"/>
      <c r="MW220" s="274"/>
      <c r="MX220" s="274"/>
      <c r="MY220" s="274"/>
      <c r="MZ220" s="274"/>
      <c r="NA220" s="274"/>
      <c r="NB220" s="274"/>
      <c r="NC220" s="274"/>
      <c r="ND220" s="274"/>
      <c r="NE220" s="274"/>
      <c r="NF220" s="274"/>
      <c r="NG220" s="274"/>
      <c r="NH220" s="274"/>
      <c r="NI220" s="274"/>
      <c r="NJ220" s="274"/>
      <c r="NK220" s="274"/>
      <c r="NL220" s="274"/>
      <c r="NM220" s="274"/>
      <c r="NN220" s="274"/>
      <c r="NO220" s="274"/>
      <c r="NP220" s="274"/>
      <c r="NQ220" s="274"/>
      <c r="NR220" s="274"/>
      <c r="NS220" s="274"/>
      <c r="NT220" s="274"/>
      <c r="NU220" s="274"/>
      <c r="NV220" s="274"/>
      <c r="NW220" s="274"/>
      <c r="NX220" s="274"/>
      <c r="NY220" s="274"/>
      <c r="NZ220" s="274"/>
      <c r="OA220" s="274"/>
      <c r="OB220" s="274"/>
      <c r="OC220" s="274"/>
      <c r="OD220" s="274"/>
      <c r="OE220" s="274"/>
      <c r="OF220" s="274"/>
      <c r="OG220" s="274"/>
      <c r="OH220" s="274"/>
      <c r="OI220" s="274"/>
      <c r="OJ220" s="274"/>
      <c r="OK220" s="274"/>
      <c r="OL220" s="274"/>
      <c r="OM220" s="274"/>
      <c r="ON220" s="274"/>
      <c r="OO220" s="274"/>
      <c r="OP220" s="274"/>
      <c r="OQ220" s="274"/>
      <c r="OR220" s="274"/>
      <c r="OS220" s="274"/>
      <c r="OT220" s="274"/>
      <c r="OU220" s="274"/>
      <c r="OV220" s="274"/>
      <c r="OW220" s="274"/>
      <c r="OX220" s="274"/>
      <c r="OY220" s="274"/>
      <c r="OZ220" s="274"/>
      <c r="PA220" s="274"/>
      <c r="PB220" s="274"/>
      <c r="PC220" s="274"/>
      <c r="PD220" s="274"/>
      <c r="PE220" s="274"/>
      <c r="PF220" s="274"/>
      <c r="PG220" s="274"/>
      <c r="PH220" s="274"/>
      <c r="PI220" s="274"/>
      <c r="PJ220" s="274"/>
      <c r="PK220" s="274"/>
      <c r="PL220" s="274"/>
      <c r="PM220" s="274"/>
      <c r="PN220" s="274"/>
      <c r="PO220" s="274"/>
      <c r="PP220" s="274"/>
      <c r="PQ220" s="274"/>
      <c r="PR220" s="274"/>
      <c r="PS220" s="274"/>
      <c r="PT220" s="274"/>
      <c r="PU220" s="274"/>
      <c r="PV220" s="274"/>
      <c r="PW220" s="274"/>
      <c r="PX220" s="274"/>
      <c r="PY220" s="274"/>
      <c r="PZ220" s="274"/>
      <c r="QA220" s="274"/>
      <c r="QB220" s="274"/>
      <c r="QC220" s="274"/>
      <c r="QD220" s="274"/>
      <c r="QE220" s="274"/>
      <c r="QF220" s="274"/>
      <c r="QG220" s="274"/>
      <c r="QH220" s="274"/>
      <c r="QI220" s="274"/>
      <c r="QJ220" s="274"/>
      <c r="QK220" s="274"/>
      <c r="QL220" s="274"/>
      <c r="QM220" s="274"/>
      <c r="QN220" s="274"/>
      <c r="QO220" s="274"/>
      <c r="QP220" s="274"/>
      <c r="QQ220" s="274"/>
      <c r="QR220" s="274"/>
      <c r="QS220" s="274"/>
      <c r="QT220" s="274"/>
      <c r="QU220" s="274"/>
      <c r="QV220" s="274"/>
      <c r="QW220" s="274"/>
      <c r="QX220" s="274"/>
      <c r="QY220" s="274"/>
      <c r="QZ220" s="274"/>
      <c r="RA220" s="274"/>
      <c r="RB220" s="274"/>
      <c r="RC220" s="274"/>
    </row>
    <row r="221" spans="112:471" ht="17.25">
      <c r="DH221" s="274"/>
      <c r="DI221" s="274"/>
      <c r="DJ221" s="978"/>
      <c r="DK221" s="274"/>
      <c r="DL221" s="274"/>
      <c r="DM221" s="274"/>
      <c r="DN221" s="274"/>
      <c r="DO221" s="274"/>
      <c r="DP221" s="274"/>
      <c r="DQ221" s="274"/>
      <c r="DR221" s="274"/>
      <c r="DS221" s="274"/>
      <c r="DT221" s="274"/>
      <c r="DU221" s="274"/>
      <c r="DV221" s="274"/>
      <c r="DW221" s="274"/>
      <c r="DX221" s="274"/>
      <c r="DY221" s="274"/>
      <c r="DZ221" s="274"/>
      <c r="EA221" s="274"/>
      <c r="EB221" s="274"/>
      <c r="EC221" s="274"/>
      <c r="ED221" s="274"/>
      <c r="EE221" s="274"/>
      <c r="EF221" s="274"/>
      <c r="EG221" s="274"/>
      <c r="EH221" s="274"/>
      <c r="EI221" s="274"/>
      <c r="EJ221" s="274"/>
      <c r="EK221" s="274"/>
      <c r="EL221" s="274"/>
      <c r="EM221" s="274"/>
      <c r="EN221" s="274"/>
      <c r="EO221" s="274"/>
      <c r="EP221" s="274"/>
      <c r="EQ221" s="274"/>
      <c r="ER221" s="274"/>
      <c r="ES221" s="274"/>
      <c r="ET221" s="274"/>
      <c r="EU221" s="274"/>
      <c r="EV221" s="274"/>
      <c r="EW221" s="274"/>
      <c r="EX221" s="274"/>
      <c r="EY221" s="274"/>
      <c r="EZ221" s="274"/>
      <c r="FA221" s="274"/>
      <c r="FB221" s="274"/>
      <c r="FC221" s="274"/>
      <c r="FD221" s="274"/>
      <c r="FE221" s="274"/>
      <c r="FF221" s="274"/>
      <c r="FG221" s="274"/>
      <c r="FH221" s="274"/>
      <c r="FI221" s="274"/>
      <c r="FJ221" s="274"/>
      <c r="FK221" s="274"/>
      <c r="FL221" s="274"/>
      <c r="FM221" s="274"/>
      <c r="FN221" s="274"/>
      <c r="FO221" s="274"/>
      <c r="FP221" s="274"/>
      <c r="FQ221" s="274"/>
      <c r="FR221" s="274"/>
      <c r="FS221" s="274"/>
      <c r="FT221" s="274"/>
      <c r="FU221" s="274"/>
      <c r="FV221" s="274"/>
      <c r="FW221" s="274"/>
      <c r="FX221" s="274"/>
      <c r="FY221" s="274"/>
      <c r="FZ221" s="274"/>
      <c r="GA221" s="274"/>
      <c r="GB221" s="274"/>
      <c r="GC221" s="274"/>
      <c r="GD221" s="274"/>
      <c r="GE221" s="274"/>
      <c r="GF221" s="274"/>
      <c r="GG221" s="274"/>
      <c r="GH221" s="274"/>
      <c r="GI221" s="274"/>
      <c r="GJ221" s="274"/>
      <c r="GK221" s="274"/>
      <c r="GL221" s="274"/>
      <c r="GM221" s="274"/>
      <c r="GN221" s="274"/>
      <c r="GO221" s="274"/>
      <c r="GP221" s="274"/>
      <c r="GQ221" s="274"/>
      <c r="GR221" s="274"/>
      <c r="GS221" s="274"/>
      <c r="GT221" s="274"/>
      <c r="GU221" s="274"/>
      <c r="GV221" s="274"/>
      <c r="GW221" s="274"/>
      <c r="GX221" s="274"/>
      <c r="GY221" s="274"/>
      <c r="GZ221" s="274"/>
      <c r="HA221" s="274"/>
      <c r="HB221" s="274"/>
      <c r="HC221" s="274"/>
      <c r="HD221" s="274"/>
      <c r="HE221" s="274"/>
      <c r="HF221" s="274"/>
      <c r="HG221" s="274"/>
      <c r="HH221" s="274"/>
      <c r="HI221" s="274"/>
      <c r="HJ221" s="274"/>
      <c r="HK221" s="274"/>
      <c r="HL221" s="274"/>
      <c r="HM221" s="274"/>
      <c r="HN221" s="274"/>
      <c r="HO221" s="274"/>
      <c r="HP221" s="274"/>
      <c r="HQ221" s="274"/>
      <c r="HR221" s="274"/>
      <c r="HS221" s="274"/>
      <c r="HT221" s="274"/>
      <c r="HU221" s="274"/>
      <c r="HV221" s="274"/>
      <c r="HW221" s="274"/>
      <c r="HX221" s="274"/>
      <c r="HY221" s="274"/>
      <c r="HZ221" s="274"/>
      <c r="IA221" s="274"/>
      <c r="IB221" s="274"/>
      <c r="IC221" s="274"/>
      <c r="ID221" s="274"/>
      <c r="IE221" s="274"/>
      <c r="IF221" s="274"/>
      <c r="IG221" s="274"/>
      <c r="IH221" s="274"/>
      <c r="II221" s="274"/>
      <c r="IJ221" s="274"/>
      <c r="IK221" s="274"/>
      <c r="IL221" s="274"/>
      <c r="IM221" s="274"/>
      <c r="IN221" s="274"/>
      <c r="IO221" s="274"/>
      <c r="IP221" s="274"/>
      <c r="IQ221" s="274"/>
      <c r="IR221" s="274"/>
      <c r="IS221" s="274"/>
      <c r="IT221" s="274"/>
      <c r="IU221" s="274"/>
      <c r="IV221" s="274"/>
      <c r="IW221" s="274"/>
      <c r="IX221" s="274"/>
      <c r="IY221" s="274"/>
      <c r="IZ221" s="274"/>
      <c r="JA221" s="274"/>
      <c r="JB221" s="274"/>
      <c r="JC221" s="274"/>
      <c r="JD221" s="274"/>
      <c r="JE221" s="274"/>
      <c r="JF221" s="274"/>
      <c r="JG221" s="274"/>
      <c r="JH221" s="274"/>
      <c r="JI221" s="274"/>
      <c r="JJ221" s="274"/>
      <c r="JK221" s="274"/>
      <c r="JL221" s="274"/>
      <c r="JM221" s="274"/>
      <c r="JN221" s="274"/>
      <c r="JO221" s="274"/>
      <c r="JP221" s="274"/>
      <c r="JQ221" s="274"/>
      <c r="JR221" s="274"/>
      <c r="JS221" s="274"/>
      <c r="JT221" s="274"/>
      <c r="JU221" s="274"/>
      <c r="JV221" s="274"/>
      <c r="JW221" s="274"/>
      <c r="JX221" s="274"/>
      <c r="JY221" s="274"/>
      <c r="JZ221" s="274"/>
      <c r="KA221" s="274"/>
      <c r="KB221" s="274"/>
      <c r="KC221" s="274"/>
      <c r="KD221" s="274"/>
      <c r="KE221" s="274"/>
      <c r="KF221" s="274"/>
      <c r="KG221" s="274"/>
      <c r="KH221" s="274"/>
      <c r="KI221" s="274"/>
      <c r="KJ221" s="274"/>
      <c r="KK221" s="274"/>
      <c r="KL221" s="274"/>
      <c r="KM221" s="274"/>
      <c r="KN221" s="274"/>
      <c r="KO221" s="274"/>
      <c r="KP221" s="274"/>
      <c r="KQ221" s="274"/>
      <c r="KR221" s="274"/>
      <c r="KS221" s="274"/>
      <c r="KT221" s="274"/>
      <c r="KU221" s="274"/>
      <c r="KV221" s="274"/>
      <c r="KW221" s="274"/>
      <c r="KX221" s="274"/>
      <c r="KY221" s="274"/>
      <c r="KZ221" s="274"/>
      <c r="LA221" s="274"/>
      <c r="LB221" s="274"/>
      <c r="LC221" s="274"/>
      <c r="LD221" s="274"/>
      <c r="LE221" s="274"/>
      <c r="LF221" s="274"/>
      <c r="LG221" s="274"/>
      <c r="LH221" s="274"/>
      <c r="LI221" s="274"/>
      <c r="LJ221" s="274"/>
      <c r="LK221" s="274"/>
      <c r="LL221" s="274"/>
      <c r="LM221" s="274"/>
      <c r="LN221" s="274"/>
      <c r="LO221" s="274"/>
      <c r="LP221" s="274"/>
      <c r="LQ221" s="274"/>
      <c r="LR221" s="274"/>
      <c r="LS221" s="274"/>
      <c r="LT221" s="274"/>
      <c r="LU221" s="274"/>
      <c r="LV221" s="274"/>
      <c r="LW221" s="274"/>
      <c r="LX221" s="274"/>
      <c r="LY221" s="274"/>
      <c r="LZ221" s="274"/>
      <c r="MA221" s="274"/>
      <c r="MB221" s="274"/>
      <c r="MC221" s="274"/>
      <c r="MD221" s="274"/>
      <c r="ME221" s="274"/>
      <c r="MF221" s="274"/>
      <c r="MG221" s="274"/>
      <c r="MH221" s="274"/>
      <c r="MI221" s="274"/>
      <c r="MJ221" s="274"/>
      <c r="MK221" s="274"/>
      <c r="ML221" s="274"/>
      <c r="MM221" s="274"/>
      <c r="MN221" s="274"/>
      <c r="MO221" s="274"/>
      <c r="MP221" s="274"/>
      <c r="MQ221" s="274"/>
      <c r="MR221" s="274"/>
      <c r="MS221" s="274"/>
      <c r="MT221" s="274"/>
      <c r="MU221" s="274"/>
      <c r="MV221" s="274"/>
      <c r="MW221" s="274"/>
      <c r="MX221" s="274"/>
      <c r="MY221" s="274"/>
      <c r="MZ221" s="274"/>
      <c r="NA221" s="274"/>
      <c r="NB221" s="274"/>
      <c r="NC221" s="274"/>
      <c r="ND221" s="274"/>
      <c r="NE221" s="274"/>
      <c r="NF221" s="274"/>
      <c r="NG221" s="274"/>
      <c r="NH221" s="274"/>
      <c r="NI221" s="274"/>
      <c r="NJ221" s="274"/>
      <c r="NK221" s="274"/>
      <c r="NL221" s="274"/>
      <c r="NM221" s="274"/>
      <c r="NN221" s="274"/>
      <c r="NO221" s="274"/>
      <c r="NP221" s="274"/>
      <c r="NQ221" s="274"/>
      <c r="NR221" s="274"/>
      <c r="NS221" s="274"/>
      <c r="NT221" s="274"/>
      <c r="NU221" s="274"/>
      <c r="NV221" s="274"/>
      <c r="NW221" s="274"/>
      <c r="NX221" s="274"/>
      <c r="NY221" s="274"/>
      <c r="NZ221" s="274"/>
      <c r="OA221" s="274"/>
      <c r="OB221" s="274"/>
      <c r="OC221" s="274"/>
      <c r="OD221" s="274"/>
      <c r="OE221" s="274"/>
      <c r="OF221" s="274"/>
      <c r="OG221" s="274"/>
      <c r="OH221" s="274"/>
      <c r="OI221" s="274"/>
      <c r="OJ221" s="274"/>
      <c r="OK221" s="274"/>
      <c r="OL221" s="274"/>
      <c r="OM221" s="274"/>
      <c r="ON221" s="274"/>
      <c r="OO221" s="274"/>
      <c r="OP221" s="274"/>
      <c r="OQ221" s="274"/>
      <c r="OR221" s="274"/>
      <c r="OS221" s="274"/>
      <c r="OT221" s="274"/>
      <c r="OU221" s="274"/>
      <c r="OV221" s="274"/>
      <c r="OW221" s="274"/>
      <c r="OX221" s="274"/>
      <c r="OY221" s="274"/>
      <c r="OZ221" s="274"/>
      <c r="PA221" s="274"/>
      <c r="PB221" s="274"/>
      <c r="PC221" s="274"/>
      <c r="PD221" s="274"/>
      <c r="PE221" s="274"/>
      <c r="PF221" s="274"/>
      <c r="PG221" s="274"/>
      <c r="PH221" s="274"/>
      <c r="PI221" s="274"/>
      <c r="PJ221" s="274"/>
      <c r="PK221" s="274"/>
      <c r="PL221" s="274"/>
      <c r="PM221" s="274"/>
      <c r="PN221" s="274"/>
      <c r="PO221" s="274"/>
      <c r="PP221" s="274"/>
      <c r="PQ221" s="274"/>
      <c r="PR221" s="274"/>
      <c r="PS221" s="274"/>
      <c r="PT221" s="274"/>
      <c r="PU221" s="274"/>
      <c r="PV221" s="274"/>
      <c r="PW221" s="274"/>
      <c r="PX221" s="274"/>
      <c r="PY221" s="274"/>
      <c r="PZ221" s="274"/>
      <c r="QA221" s="274"/>
      <c r="QB221" s="274"/>
      <c r="QC221" s="274"/>
      <c r="QD221" s="274"/>
      <c r="QE221" s="274"/>
      <c r="QF221" s="274"/>
      <c r="QG221" s="274"/>
      <c r="QH221" s="274"/>
      <c r="QI221" s="274"/>
      <c r="QJ221" s="274"/>
      <c r="QK221" s="274"/>
      <c r="QL221" s="274"/>
      <c r="QM221" s="274"/>
      <c r="QN221" s="274"/>
      <c r="QO221" s="274"/>
      <c r="QP221" s="274"/>
      <c r="QQ221" s="274"/>
      <c r="QR221" s="274"/>
      <c r="QS221" s="274"/>
      <c r="QT221" s="274"/>
      <c r="QU221" s="274"/>
      <c r="QV221" s="274"/>
      <c r="QW221" s="274"/>
      <c r="QX221" s="274"/>
      <c r="QY221" s="274"/>
      <c r="QZ221" s="274"/>
      <c r="RA221" s="274"/>
      <c r="RB221" s="274"/>
      <c r="RC221" s="274"/>
    </row>
    <row r="222" spans="112:471" ht="17.25">
      <c r="DH222" s="274"/>
      <c r="DI222" s="274"/>
      <c r="DJ222" s="978"/>
      <c r="DK222" s="978"/>
      <c r="DL222" s="978"/>
      <c r="DM222" s="978"/>
      <c r="DN222" s="978"/>
      <c r="DO222" s="978"/>
      <c r="DP222" s="978"/>
      <c r="DQ222" s="978"/>
      <c r="DR222" s="978"/>
      <c r="DS222" s="978"/>
      <c r="DT222" s="978"/>
      <c r="DU222" s="978"/>
      <c r="DV222" s="978"/>
      <c r="DW222" s="978"/>
      <c r="DX222" s="978"/>
      <c r="DY222" s="978"/>
      <c r="DZ222" s="978"/>
      <c r="EA222" s="978"/>
      <c r="EB222" s="978"/>
      <c r="EC222" s="978"/>
      <c r="ED222" s="978"/>
      <c r="EE222" s="978"/>
      <c r="EF222" s="978"/>
      <c r="EG222" s="978"/>
      <c r="EH222" s="978"/>
      <c r="EI222" s="978"/>
      <c r="EJ222" s="978"/>
      <c r="EK222" s="978"/>
      <c r="EL222" s="978"/>
      <c r="EM222" s="978"/>
      <c r="EN222" s="978"/>
      <c r="EO222" s="978"/>
      <c r="EP222" s="978"/>
      <c r="EQ222" s="978"/>
      <c r="ER222" s="978"/>
      <c r="ES222" s="978"/>
      <c r="ET222" s="978"/>
      <c r="EU222" s="978"/>
      <c r="EV222" s="978"/>
      <c r="EW222" s="978"/>
      <c r="EX222" s="978"/>
      <c r="EY222" s="978"/>
      <c r="EZ222" s="978"/>
      <c r="FA222" s="978"/>
      <c r="FB222" s="978"/>
      <c r="FC222" s="978"/>
      <c r="FD222" s="978"/>
      <c r="FE222" s="978"/>
      <c r="FF222" s="978"/>
      <c r="FG222" s="978"/>
      <c r="FH222" s="978"/>
      <c r="FI222" s="978"/>
      <c r="FJ222" s="978"/>
      <c r="FK222" s="978"/>
      <c r="FL222" s="978"/>
      <c r="FM222" s="978"/>
      <c r="FN222" s="978"/>
      <c r="FO222" s="978"/>
      <c r="FP222" s="978"/>
      <c r="FQ222" s="978"/>
      <c r="FR222" s="978"/>
      <c r="FS222" s="978"/>
      <c r="FT222" s="978"/>
      <c r="FU222" s="978"/>
      <c r="FV222" s="978"/>
      <c r="FW222" s="978"/>
      <c r="FX222" s="978"/>
      <c r="FY222" s="978"/>
      <c r="FZ222" s="978"/>
      <c r="GA222" s="978"/>
      <c r="GB222" s="978"/>
      <c r="GC222" s="978"/>
      <c r="GD222" s="978"/>
      <c r="GE222" s="978"/>
      <c r="GF222" s="978"/>
      <c r="GG222" s="978"/>
      <c r="GH222" s="978"/>
      <c r="GI222" s="978"/>
      <c r="GJ222" s="978"/>
      <c r="GK222" s="978"/>
      <c r="GL222" s="978"/>
      <c r="GM222" s="978"/>
      <c r="GN222" s="978"/>
      <c r="GO222" s="978"/>
      <c r="GP222" s="978"/>
      <c r="GQ222" s="978"/>
      <c r="GR222" s="978"/>
      <c r="GS222" s="978"/>
      <c r="GT222" s="978"/>
      <c r="GU222" s="978"/>
      <c r="GV222" s="978"/>
      <c r="GW222" s="978"/>
      <c r="GX222" s="978"/>
      <c r="GY222" s="978"/>
      <c r="GZ222" s="978"/>
      <c r="HA222" s="978"/>
      <c r="HB222" s="978"/>
      <c r="HC222" s="978"/>
      <c r="HD222" s="978"/>
      <c r="HE222" s="978"/>
      <c r="HF222" s="978"/>
      <c r="HG222" s="978"/>
      <c r="HH222" s="978"/>
      <c r="HI222" s="978"/>
      <c r="HJ222" s="978"/>
      <c r="HK222" s="978"/>
      <c r="HL222" s="978"/>
      <c r="HM222" s="978"/>
      <c r="HN222" s="978"/>
      <c r="HO222" s="978"/>
      <c r="HP222" s="978"/>
      <c r="HQ222" s="978"/>
      <c r="HR222" s="978"/>
      <c r="HS222" s="978"/>
      <c r="HT222" s="978"/>
      <c r="HU222" s="978"/>
      <c r="HV222" s="978"/>
      <c r="HW222" s="978"/>
      <c r="HX222" s="978"/>
      <c r="HY222" s="978"/>
      <c r="HZ222" s="978"/>
      <c r="IA222" s="978"/>
      <c r="IB222" s="978"/>
      <c r="IC222" s="978"/>
      <c r="ID222" s="978"/>
      <c r="IE222" s="978"/>
      <c r="IF222" s="978"/>
      <c r="IG222" s="978"/>
      <c r="IH222" s="978"/>
      <c r="II222" s="978"/>
      <c r="IJ222" s="978"/>
      <c r="IK222" s="978"/>
      <c r="IL222" s="978"/>
      <c r="IM222" s="978"/>
      <c r="IN222" s="978"/>
      <c r="IO222" s="978"/>
      <c r="IP222" s="978"/>
      <c r="IQ222" s="978"/>
      <c r="IR222" s="978"/>
      <c r="IS222" s="978"/>
      <c r="IT222" s="978"/>
      <c r="IU222" s="978"/>
      <c r="IV222" s="978"/>
      <c r="IW222" s="978"/>
      <c r="IX222" s="978"/>
      <c r="IY222" s="978"/>
      <c r="IZ222" s="978"/>
      <c r="JA222" s="978"/>
      <c r="JB222" s="978"/>
      <c r="JC222" s="978"/>
      <c r="JD222" s="978"/>
      <c r="JE222" s="978"/>
      <c r="JF222" s="978"/>
      <c r="JG222" s="978"/>
      <c r="JH222" s="978"/>
      <c r="JI222" s="978"/>
      <c r="JJ222" s="978"/>
      <c r="JK222" s="978"/>
      <c r="JL222" s="978"/>
      <c r="JM222" s="978"/>
      <c r="JN222" s="978"/>
      <c r="JO222" s="978"/>
      <c r="JP222" s="978"/>
      <c r="JQ222" s="978"/>
      <c r="JR222" s="978"/>
      <c r="JS222" s="978"/>
      <c r="JT222" s="978"/>
      <c r="JU222" s="978"/>
      <c r="JV222" s="978"/>
      <c r="JW222" s="978"/>
      <c r="JX222" s="978"/>
      <c r="JY222" s="978"/>
      <c r="JZ222" s="978"/>
      <c r="KA222" s="978"/>
      <c r="KB222" s="978"/>
      <c r="KC222" s="978"/>
      <c r="KD222" s="978"/>
      <c r="KE222" s="978"/>
      <c r="KF222" s="978"/>
      <c r="KG222" s="978"/>
      <c r="KH222" s="978"/>
      <c r="KI222" s="978"/>
      <c r="KJ222" s="978"/>
      <c r="KK222" s="978"/>
      <c r="KL222" s="978"/>
      <c r="KM222" s="978"/>
      <c r="KN222" s="978"/>
      <c r="KO222" s="978"/>
      <c r="KP222" s="978"/>
      <c r="KQ222" s="978"/>
      <c r="KR222" s="978"/>
      <c r="KS222" s="978"/>
      <c r="KT222" s="978"/>
      <c r="KU222" s="978"/>
      <c r="KV222" s="978"/>
      <c r="KW222" s="978"/>
      <c r="KX222" s="978"/>
      <c r="KY222" s="978"/>
      <c r="KZ222" s="978"/>
      <c r="LA222" s="978"/>
      <c r="LB222" s="978"/>
      <c r="LC222" s="978"/>
      <c r="LD222" s="978"/>
      <c r="LE222" s="978"/>
      <c r="LF222" s="978"/>
      <c r="LG222" s="978"/>
      <c r="LH222" s="978"/>
      <c r="LI222" s="978"/>
      <c r="LJ222" s="978"/>
      <c r="LK222" s="978"/>
      <c r="LL222" s="978"/>
      <c r="LM222" s="978"/>
      <c r="LN222" s="978"/>
      <c r="LO222" s="978"/>
      <c r="LP222" s="978"/>
      <c r="LQ222" s="978"/>
      <c r="LR222" s="978"/>
      <c r="LS222" s="978"/>
      <c r="LT222" s="978"/>
      <c r="LU222" s="978"/>
      <c r="LV222" s="978"/>
      <c r="LW222" s="978"/>
      <c r="LX222" s="978"/>
      <c r="LY222" s="978"/>
      <c r="LZ222" s="978"/>
      <c r="MA222" s="978"/>
      <c r="MB222" s="978"/>
      <c r="MC222" s="978"/>
      <c r="MD222" s="978"/>
      <c r="ME222" s="978"/>
      <c r="MF222" s="978"/>
      <c r="MG222" s="978"/>
      <c r="MH222" s="978"/>
      <c r="MI222" s="978"/>
      <c r="MJ222" s="978"/>
      <c r="MK222" s="978"/>
      <c r="ML222" s="978"/>
      <c r="MM222" s="978"/>
      <c r="MN222" s="978"/>
      <c r="MO222" s="978"/>
      <c r="MP222" s="978"/>
      <c r="MQ222" s="978"/>
      <c r="MR222" s="978"/>
      <c r="MS222" s="978"/>
      <c r="MT222" s="978"/>
      <c r="MU222" s="978"/>
      <c r="MV222" s="978"/>
      <c r="MW222" s="978"/>
      <c r="MX222" s="978"/>
      <c r="MY222" s="978"/>
      <c r="MZ222" s="978"/>
      <c r="NA222" s="978"/>
      <c r="NB222" s="978"/>
      <c r="NC222" s="978"/>
      <c r="ND222" s="978"/>
      <c r="NE222" s="978"/>
      <c r="NF222" s="978"/>
      <c r="NG222" s="978"/>
      <c r="NH222" s="978"/>
      <c r="NI222" s="978"/>
      <c r="NJ222" s="978"/>
      <c r="NK222" s="978"/>
      <c r="NL222" s="978"/>
      <c r="NM222" s="978"/>
      <c r="NN222" s="978"/>
      <c r="NO222" s="978"/>
      <c r="NP222" s="978"/>
      <c r="NQ222" s="978"/>
      <c r="NR222" s="978"/>
      <c r="NS222" s="978"/>
      <c r="NT222" s="978"/>
      <c r="NU222" s="978"/>
      <c r="NV222" s="978"/>
      <c r="NW222" s="978"/>
      <c r="NX222" s="978"/>
      <c r="NY222" s="978"/>
      <c r="NZ222" s="978"/>
      <c r="OA222" s="978"/>
      <c r="OB222" s="978"/>
      <c r="OC222" s="978"/>
      <c r="OD222" s="978"/>
      <c r="OE222" s="978"/>
      <c r="OF222" s="978"/>
      <c r="OG222" s="978"/>
      <c r="OH222" s="978"/>
      <c r="OI222" s="978"/>
      <c r="OJ222" s="978"/>
      <c r="OK222" s="978"/>
      <c r="OL222" s="978"/>
      <c r="OM222" s="978"/>
      <c r="ON222" s="978"/>
      <c r="OO222" s="978"/>
      <c r="OP222" s="978"/>
      <c r="OQ222" s="978"/>
      <c r="OR222" s="978"/>
      <c r="OS222" s="978"/>
      <c r="OT222" s="978"/>
      <c r="OU222" s="978"/>
      <c r="OV222" s="978"/>
      <c r="OW222" s="978"/>
      <c r="OX222" s="978"/>
      <c r="OY222" s="978"/>
      <c r="OZ222" s="978"/>
      <c r="PA222" s="978"/>
      <c r="PB222" s="978"/>
      <c r="PC222" s="978"/>
      <c r="PD222" s="978"/>
      <c r="PE222" s="978"/>
      <c r="PF222" s="978"/>
      <c r="PG222" s="978"/>
      <c r="PH222" s="978"/>
      <c r="PI222" s="978"/>
      <c r="PJ222" s="978"/>
      <c r="PK222" s="978"/>
      <c r="PL222" s="978"/>
      <c r="PM222" s="978"/>
      <c r="PN222" s="978"/>
      <c r="PO222" s="978"/>
      <c r="PP222" s="978"/>
      <c r="PQ222" s="978"/>
      <c r="PR222" s="978"/>
      <c r="PS222" s="978"/>
      <c r="PT222" s="978"/>
      <c r="PU222" s="978"/>
      <c r="PV222" s="978"/>
      <c r="PW222" s="978"/>
      <c r="PX222" s="978"/>
      <c r="PY222" s="978"/>
      <c r="PZ222" s="978"/>
      <c r="QA222" s="978"/>
      <c r="QB222" s="978"/>
      <c r="QC222" s="978"/>
      <c r="QD222" s="978"/>
      <c r="QE222" s="978"/>
      <c r="QF222" s="978"/>
      <c r="QG222" s="978"/>
      <c r="QH222" s="978"/>
      <c r="QI222" s="978"/>
      <c r="QJ222" s="978"/>
      <c r="QK222" s="978"/>
      <c r="QL222" s="978"/>
      <c r="QM222" s="978"/>
      <c r="QN222" s="978"/>
      <c r="QO222" s="978"/>
      <c r="QP222" s="978"/>
      <c r="QQ222" s="978"/>
      <c r="QR222" s="978"/>
      <c r="QS222" s="978"/>
      <c r="QT222" s="978"/>
      <c r="QU222" s="978"/>
      <c r="QV222" s="978"/>
      <c r="QW222" s="978"/>
      <c r="QX222" s="978"/>
      <c r="QY222" s="978"/>
      <c r="QZ222" s="978"/>
      <c r="RA222" s="978"/>
      <c r="RB222" s="274"/>
      <c r="RC222" s="274"/>
    </row>
    <row r="223" spans="112:471" ht="17.25">
      <c r="DH223" s="274"/>
      <c r="DI223" s="274"/>
      <c r="DJ223" s="978"/>
      <c r="DK223" s="978"/>
      <c r="DL223" s="978"/>
      <c r="DM223" s="978"/>
      <c r="DN223" s="978"/>
      <c r="DO223" s="978"/>
      <c r="DP223" s="978"/>
      <c r="DQ223" s="978"/>
      <c r="DR223" s="978"/>
      <c r="DS223" s="978"/>
      <c r="DT223" s="978"/>
      <c r="DU223" s="978"/>
      <c r="DV223" s="978"/>
      <c r="DW223" s="978"/>
      <c r="DX223" s="978"/>
      <c r="DY223" s="978"/>
      <c r="DZ223" s="978"/>
      <c r="EA223" s="978"/>
      <c r="EB223" s="978"/>
      <c r="EC223" s="978"/>
      <c r="ED223" s="978"/>
      <c r="EE223" s="978"/>
      <c r="EF223" s="978"/>
      <c r="EG223" s="978"/>
      <c r="EH223" s="978"/>
      <c r="EI223" s="978"/>
      <c r="EJ223" s="978"/>
      <c r="EK223" s="978"/>
      <c r="EL223" s="978"/>
      <c r="EM223" s="978"/>
      <c r="EN223" s="978"/>
      <c r="EO223" s="978"/>
      <c r="EP223" s="978"/>
      <c r="EQ223" s="978"/>
      <c r="ER223" s="978"/>
      <c r="ES223" s="978"/>
      <c r="ET223" s="978"/>
      <c r="EU223" s="978"/>
      <c r="EV223" s="978"/>
      <c r="EW223" s="978"/>
      <c r="EX223" s="978"/>
      <c r="EY223" s="978"/>
      <c r="EZ223" s="978"/>
      <c r="FA223" s="978"/>
      <c r="FB223" s="978"/>
      <c r="FC223" s="978"/>
      <c r="FD223" s="978"/>
      <c r="FE223" s="978"/>
      <c r="FF223" s="978"/>
      <c r="FG223" s="978"/>
      <c r="FH223" s="978"/>
      <c r="FI223" s="978"/>
      <c r="FJ223" s="978"/>
      <c r="FK223" s="978"/>
      <c r="FL223" s="978"/>
      <c r="FM223" s="978"/>
      <c r="FN223" s="978"/>
      <c r="FO223" s="978"/>
      <c r="FP223" s="978"/>
      <c r="FQ223" s="978"/>
      <c r="FR223" s="978"/>
      <c r="FS223" s="978"/>
      <c r="FT223" s="978"/>
      <c r="FU223" s="978"/>
      <c r="FV223" s="978"/>
      <c r="FW223" s="978"/>
      <c r="FX223" s="978"/>
      <c r="FY223" s="978"/>
      <c r="FZ223" s="978"/>
      <c r="GA223" s="978"/>
      <c r="GB223" s="978"/>
      <c r="GC223" s="978"/>
      <c r="GD223" s="978"/>
      <c r="GE223" s="978"/>
      <c r="GF223" s="978"/>
      <c r="GG223" s="978"/>
      <c r="GH223" s="978"/>
      <c r="GI223" s="978"/>
      <c r="GJ223" s="978"/>
      <c r="GK223" s="978"/>
      <c r="GL223" s="978"/>
      <c r="GM223" s="978"/>
      <c r="GN223" s="978"/>
      <c r="GO223" s="978"/>
      <c r="GP223" s="978"/>
      <c r="GQ223" s="978"/>
      <c r="GR223" s="978"/>
      <c r="GS223" s="978"/>
      <c r="GT223" s="978"/>
      <c r="GU223" s="978"/>
      <c r="GV223" s="978"/>
      <c r="GW223" s="978"/>
      <c r="GX223" s="978"/>
      <c r="GY223" s="978"/>
      <c r="GZ223" s="978"/>
      <c r="HA223" s="978"/>
      <c r="HB223" s="978"/>
      <c r="HC223" s="978"/>
      <c r="HD223" s="978"/>
      <c r="HE223" s="978"/>
      <c r="HF223" s="978"/>
      <c r="HG223" s="978"/>
      <c r="HH223" s="978"/>
      <c r="HI223" s="978"/>
      <c r="HJ223" s="978"/>
      <c r="HK223" s="978"/>
      <c r="HL223" s="978"/>
      <c r="HM223" s="978"/>
      <c r="HN223" s="978"/>
      <c r="HO223" s="978"/>
      <c r="HP223" s="978"/>
      <c r="HQ223" s="978"/>
      <c r="HR223" s="978"/>
      <c r="HS223" s="978"/>
      <c r="HT223" s="978"/>
      <c r="HU223" s="978"/>
      <c r="HV223" s="978"/>
      <c r="HW223" s="978"/>
      <c r="HX223" s="978"/>
      <c r="HY223" s="978"/>
      <c r="HZ223" s="978"/>
      <c r="IA223" s="978"/>
      <c r="IB223" s="978"/>
      <c r="IC223" s="978"/>
      <c r="ID223" s="978"/>
      <c r="IE223" s="978"/>
      <c r="IF223" s="978"/>
      <c r="IG223" s="978"/>
      <c r="IH223" s="978"/>
      <c r="II223" s="978"/>
      <c r="IJ223" s="978"/>
      <c r="IK223" s="978"/>
      <c r="IL223" s="978"/>
      <c r="IM223" s="978"/>
      <c r="IN223" s="978"/>
      <c r="IO223" s="978"/>
      <c r="IP223" s="978"/>
      <c r="IQ223" s="978"/>
      <c r="IR223" s="978"/>
      <c r="IS223" s="978"/>
      <c r="IT223" s="978"/>
      <c r="IU223" s="978"/>
      <c r="IV223" s="978"/>
      <c r="IW223" s="978"/>
      <c r="IX223" s="978"/>
      <c r="IY223" s="978"/>
      <c r="IZ223" s="978"/>
      <c r="JA223" s="978"/>
      <c r="JB223" s="978"/>
      <c r="JC223" s="978"/>
      <c r="JD223" s="978"/>
      <c r="JE223" s="978"/>
      <c r="JF223" s="978"/>
      <c r="JG223" s="978"/>
      <c r="JH223" s="978"/>
      <c r="JI223" s="978"/>
      <c r="JJ223" s="978"/>
      <c r="JK223" s="978"/>
      <c r="JL223" s="978"/>
      <c r="JM223" s="978"/>
      <c r="JN223" s="978"/>
      <c r="JO223" s="978"/>
      <c r="JP223" s="978"/>
      <c r="JQ223" s="978"/>
      <c r="JR223" s="978"/>
      <c r="JS223" s="978"/>
      <c r="JT223" s="978"/>
      <c r="JU223" s="978"/>
      <c r="JV223" s="978"/>
      <c r="JW223" s="978"/>
      <c r="JX223" s="978"/>
      <c r="JY223" s="978"/>
      <c r="JZ223" s="978"/>
      <c r="KA223" s="978"/>
      <c r="KB223" s="978"/>
      <c r="KC223" s="978"/>
      <c r="KD223" s="978"/>
      <c r="KE223" s="978"/>
      <c r="KF223" s="978"/>
      <c r="KG223" s="978"/>
      <c r="KH223" s="978"/>
      <c r="KI223" s="978"/>
      <c r="KJ223" s="978"/>
      <c r="KK223" s="978"/>
      <c r="KL223" s="978"/>
      <c r="KM223" s="978"/>
      <c r="KN223" s="978"/>
      <c r="KO223" s="978"/>
      <c r="KP223" s="978"/>
      <c r="KQ223" s="978"/>
      <c r="KR223" s="978"/>
      <c r="KS223" s="978"/>
      <c r="KT223" s="978"/>
      <c r="KU223" s="978"/>
      <c r="KV223" s="978"/>
      <c r="KW223" s="978"/>
      <c r="KX223" s="978"/>
      <c r="KY223" s="978"/>
      <c r="KZ223" s="978"/>
      <c r="LA223" s="978"/>
      <c r="LB223" s="978"/>
      <c r="LC223" s="978"/>
      <c r="LD223" s="978"/>
      <c r="LE223" s="978"/>
      <c r="LF223" s="978"/>
      <c r="LG223" s="978"/>
      <c r="LH223" s="978"/>
      <c r="LI223" s="978"/>
      <c r="LJ223" s="978"/>
      <c r="LK223" s="978"/>
      <c r="LL223" s="978"/>
      <c r="LM223" s="978"/>
      <c r="LN223" s="978"/>
      <c r="LO223" s="978"/>
      <c r="LP223" s="978"/>
      <c r="LQ223" s="978"/>
      <c r="LR223" s="978"/>
      <c r="LS223" s="978"/>
      <c r="LT223" s="978"/>
      <c r="LU223" s="978"/>
      <c r="LV223" s="978"/>
      <c r="LW223" s="978"/>
      <c r="LX223" s="978"/>
      <c r="LY223" s="978"/>
      <c r="LZ223" s="978"/>
      <c r="MA223" s="978"/>
      <c r="MB223" s="978"/>
      <c r="MC223" s="978"/>
      <c r="MD223" s="978"/>
      <c r="ME223" s="978"/>
      <c r="MF223" s="978"/>
      <c r="MG223" s="978"/>
      <c r="MH223" s="978"/>
      <c r="MI223" s="978"/>
      <c r="MJ223" s="978"/>
      <c r="MK223" s="978"/>
      <c r="ML223" s="978"/>
      <c r="MM223" s="978"/>
      <c r="MN223" s="978"/>
      <c r="MO223" s="978"/>
      <c r="MP223" s="978"/>
      <c r="MQ223" s="978"/>
      <c r="MR223" s="978"/>
      <c r="MS223" s="978"/>
      <c r="MT223" s="978"/>
      <c r="MU223" s="978"/>
      <c r="MV223" s="978"/>
      <c r="MW223" s="978"/>
      <c r="MX223" s="978"/>
      <c r="MY223" s="978"/>
      <c r="MZ223" s="978"/>
      <c r="NA223" s="978"/>
      <c r="NB223" s="978"/>
      <c r="NC223" s="978"/>
      <c r="ND223" s="978"/>
      <c r="NE223" s="978"/>
      <c r="NF223" s="978"/>
      <c r="NG223" s="978"/>
      <c r="NH223" s="978"/>
      <c r="NI223" s="978"/>
      <c r="NJ223" s="978"/>
      <c r="NK223" s="978"/>
      <c r="NL223" s="978"/>
      <c r="NM223" s="978"/>
      <c r="NN223" s="978"/>
      <c r="NO223" s="978"/>
      <c r="NP223" s="978"/>
      <c r="NQ223" s="978"/>
      <c r="NR223" s="978"/>
      <c r="NS223" s="978"/>
      <c r="NT223" s="978"/>
      <c r="NU223" s="978"/>
      <c r="NV223" s="978"/>
      <c r="NW223" s="978"/>
      <c r="NX223" s="978"/>
      <c r="NY223" s="978"/>
      <c r="NZ223" s="978"/>
      <c r="OA223" s="978"/>
      <c r="OB223" s="978"/>
      <c r="OC223" s="978"/>
      <c r="OD223" s="978"/>
      <c r="OE223" s="978"/>
      <c r="OF223" s="978"/>
      <c r="OG223" s="978"/>
      <c r="OH223" s="978"/>
      <c r="OI223" s="978"/>
      <c r="OJ223" s="978"/>
      <c r="OK223" s="978"/>
      <c r="OL223" s="978"/>
      <c r="OM223" s="978"/>
      <c r="ON223" s="978"/>
      <c r="OO223" s="978"/>
      <c r="OP223" s="978"/>
      <c r="OQ223" s="978"/>
      <c r="OR223" s="978"/>
      <c r="OS223" s="978"/>
      <c r="OT223" s="978"/>
      <c r="OU223" s="978"/>
      <c r="OV223" s="978"/>
      <c r="OW223" s="978"/>
      <c r="OX223" s="978"/>
      <c r="OY223" s="978"/>
      <c r="OZ223" s="978"/>
      <c r="PA223" s="978"/>
      <c r="PB223" s="978"/>
      <c r="PC223" s="978"/>
      <c r="PD223" s="978"/>
      <c r="PE223" s="978"/>
      <c r="PF223" s="978"/>
      <c r="PG223" s="978"/>
      <c r="PH223" s="978"/>
      <c r="PI223" s="978"/>
      <c r="PJ223" s="978"/>
      <c r="PK223" s="978"/>
      <c r="PL223" s="978"/>
      <c r="PM223" s="978"/>
      <c r="PN223" s="978"/>
      <c r="PO223" s="978"/>
      <c r="PP223" s="978"/>
      <c r="PQ223" s="978"/>
      <c r="PR223" s="978"/>
      <c r="PS223" s="978"/>
      <c r="PT223" s="978"/>
      <c r="PU223" s="978"/>
      <c r="PV223" s="978"/>
      <c r="PW223" s="978"/>
      <c r="PX223" s="978"/>
      <c r="PY223" s="978"/>
      <c r="PZ223" s="978"/>
      <c r="QA223" s="978"/>
      <c r="QB223" s="978"/>
      <c r="QC223" s="978"/>
      <c r="QD223" s="978"/>
      <c r="QE223" s="978"/>
      <c r="QF223" s="978"/>
      <c r="QG223" s="978"/>
      <c r="QH223" s="978"/>
      <c r="QI223" s="978"/>
      <c r="QJ223" s="978"/>
      <c r="QK223" s="978"/>
      <c r="QL223" s="978"/>
      <c r="QM223" s="978"/>
      <c r="QN223" s="978"/>
      <c r="QO223" s="978"/>
      <c r="QP223" s="978"/>
      <c r="QQ223" s="978"/>
      <c r="QR223" s="978"/>
      <c r="QS223" s="978"/>
      <c r="QT223" s="978"/>
      <c r="QU223" s="978"/>
      <c r="QV223" s="978"/>
      <c r="QW223" s="978"/>
      <c r="QX223" s="978"/>
      <c r="QY223" s="978"/>
      <c r="QZ223" s="978"/>
      <c r="RA223" s="978"/>
      <c r="RB223" s="274"/>
      <c r="RC223" s="274"/>
    </row>
    <row r="224" spans="112:471" ht="17.25">
      <c r="DH224" s="274"/>
      <c r="DI224" s="274"/>
      <c r="DJ224" s="978"/>
      <c r="DK224" s="978"/>
      <c r="DL224" s="978"/>
      <c r="DM224" s="978"/>
      <c r="DN224" s="978"/>
      <c r="DO224" s="978"/>
      <c r="DP224" s="978"/>
      <c r="DQ224" s="978"/>
      <c r="DR224" s="978"/>
      <c r="DS224" s="978"/>
      <c r="DT224" s="978"/>
      <c r="DU224" s="978"/>
      <c r="DV224" s="978"/>
      <c r="DW224" s="978"/>
      <c r="DX224" s="978"/>
      <c r="DY224" s="978"/>
      <c r="DZ224" s="978"/>
      <c r="EA224" s="978"/>
      <c r="EB224" s="978"/>
      <c r="EC224" s="978"/>
      <c r="ED224" s="978"/>
      <c r="EE224" s="978"/>
      <c r="EF224" s="978"/>
      <c r="EG224" s="978"/>
      <c r="EH224" s="978"/>
      <c r="EI224" s="978"/>
      <c r="EJ224" s="978"/>
      <c r="EK224" s="978"/>
      <c r="EL224" s="978"/>
      <c r="EM224" s="978"/>
      <c r="EN224" s="978"/>
      <c r="EO224" s="978"/>
      <c r="EP224" s="978"/>
      <c r="EQ224" s="978"/>
      <c r="ER224" s="978"/>
      <c r="ES224" s="978"/>
      <c r="ET224" s="978"/>
      <c r="EU224" s="978"/>
      <c r="EV224" s="978"/>
      <c r="EW224" s="978"/>
      <c r="EX224" s="978"/>
      <c r="EY224" s="978"/>
      <c r="EZ224" s="978"/>
      <c r="FA224" s="978"/>
      <c r="FB224" s="978"/>
      <c r="FC224" s="978"/>
      <c r="FD224" s="978"/>
      <c r="FE224" s="978"/>
      <c r="FF224" s="978"/>
      <c r="FG224" s="978"/>
      <c r="FH224" s="978"/>
      <c r="FI224" s="978"/>
      <c r="FJ224" s="978"/>
      <c r="FK224" s="978"/>
      <c r="FL224" s="978"/>
      <c r="FM224" s="978"/>
      <c r="FN224" s="978"/>
      <c r="FO224" s="978"/>
      <c r="FP224" s="978"/>
      <c r="FQ224" s="978"/>
      <c r="FR224" s="978"/>
      <c r="FS224" s="978"/>
      <c r="FT224" s="978"/>
      <c r="FU224" s="978"/>
      <c r="FV224" s="978"/>
      <c r="FW224" s="978"/>
      <c r="FX224" s="978"/>
      <c r="FY224" s="978"/>
      <c r="FZ224" s="978"/>
      <c r="GA224" s="978"/>
      <c r="GB224" s="978"/>
      <c r="GC224" s="978"/>
      <c r="GD224" s="978"/>
      <c r="GE224" s="978"/>
      <c r="GF224" s="978"/>
      <c r="GG224" s="978"/>
      <c r="GH224" s="978"/>
      <c r="GI224" s="978"/>
      <c r="GJ224" s="978"/>
      <c r="GK224" s="978"/>
      <c r="GL224" s="978"/>
      <c r="GM224" s="978"/>
      <c r="GN224" s="978"/>
      <c r="GO224" s="978"/>
      <c r="GP224" s="978"/>
      <c r="GQ224" s="978"/>
      <c r="GR224" s="978"/>
      <c r="GS224" s="978"/>
      <c r="GT224" s="978"/>
      <c r="GU224" s="978"/>
      <c r="GV224" s="978"/>
      <c r="GW224" s="978"/>
      <c r="GX224" s="978"/>
      <c r="GY224" s="978"/>
      <c r="GZ224" s="978"/>
      <c r="HA224" s="978"/>
      <c r="HB224" s="978"/>
      <c r="HC224" s="978"/>
      <c r="HD224" s="978"/>
      <c r="HE224" s="978"/>
      <c r="HF224" s="978"/>
      <c r="HG224" s="978"/>
      <c r="HH224" s="978"/>
      <c r="HI224" s="978"/>
      <c r="HJ224" s="978"/>
      <c r="HK224" s="978"/>
      <c r="HL224" s="978"/>
      <c r="HM224" s="978"/>
      <c r="HN224" s="978"/>
      <c r="HO224" s="978"/>
      <c r="HP224" s="978"/>
      <c r="HQ224" s="978"/>
      <c r="HR224" s="978"/>
      <c r="HS224" s="978"/>
      <c r="HT224" s="978"/>
      <c r="HU224" s="978"/>
      <c r="HV224" s="978"/>
      <c r="HW224" s="978"/>
      <c r="HX224" s="978"/>
      <c r="HY224" s="978"/>
      <c r="HZ224" s="978"/>
      <c r="IA224" s="978"/>
      <c r="IB224" s="978"/>
      <c r="IC224" s="978"/>
      <c r="ID224" s="978"/>
      <c r="IE224" s="978"/>
      <c r="IF224" s="978"/>
      <c r="IG224" s="978"/>
      <c r="IH224" s="978"/>
      <c r="II224" s="978"/>
      <c r="IJ224" s="978"/>
      <c r="IK224" s="978"/>
      <c r="IL224" s="978"/>
      <c r="IM224" s="978"/>
      <c r="IN224" s="978"/>
      <c r="IO224" s="978"/>
      <c r="IP224" s="978"/>
      <c r="IQ224" s="978"/>
      <c r="IR224" s="978"/>
      <c r="IS224" s="978"/>
      <c r="IT224" s="978"/>
      <c r="IU224" s="978"/>
      <c r="IV224" s="978"/>
      <c r="IW224" s="978"/>
      <c r="IX224" s="978"/>
      <c r="IY224" s="978"/>
      <c r="IZ224" s="978"/>
      <c r="JA224" s="978"/>
      <c r="JB224" s="978"/>
      <c r="JC224" s="978"/>
      <c r="JD224" s="978"/>
      <c r="JE224" s="978"/>
      <c r="JF224" s="978"/>
      <c r="JG224" s="978"/>
      <c r="JH224" s="978"/>
      <c r="JI224" s="978"/>
      <c r="JJ224" s="978"/>
      <c r="JK224" s="978"/>
      <c r="JL224" s="978"/>
      <c r="JM224" s="978"/>
      <c r="JN224" s="978"/>
      <c r="JO224" s="978"/>
      <c r="JP224" s="978"/>
      <c r="JQ224" s="978"/>
      <c r="JR224" s="978"/>
      <c r="JS224" s="978"/>
      <c r="JT224" s="978"/>
      <c r="JU224" s="978"/>
      <c r="JV224" s="978"/>
      <c r="JW224" s="978"/>
      <c r="JX224" s="978"/>
      <c r="JY224" s="978"/>
      <c r="JZ224" s="978"/>
      <c r="KA224" s="978"/>
      <c r="KB224" s="978"/>
      <c r="KC224" s="978"/>
      <c r="KD224" s="978"/>
      <c r="KE224" s="978"/>
      <c r="KF224" s="978"/>
      <c r="KG224" s="978"/>
      <c r="KH224" s="978"/>
      <c r="KI224" s="978"/>
      <c r="KJ224" s="978"/>
      <c r="KK224" s="978"/>
      <c r="KL224" s="978"/>
      <c r="KM224" s="978"/>
      <c r="KN224" s="978"/>
      <c r="KO224" s="978"/>
      <c r="KP224" s="978"/>
      <c r="KQ224" s="978"/>
      <c r="KR224" s="978"/>
      <c r="KS224" s="978"/>
      <c r="KT224" s="978"/>
      <c r="KU224" s="978"/>
      <c r="KV224" s="978"/>
      <c r="KW224" s="978"/>
      <c r="KX224" s="978"/>
      <c r="KY224" s="978"/>
      <c r="KZ224" s="978"/>
      <c r="LA224" s="978"/>
      <c r="LB224" s="978"/>
      <c r="LC224" s="978"/>
      <c r="LD224" s="978"/>
      <c r="LE224" s="978"/>
      <c r="LF224" s="978"/>
      <c r="LG224" s="978"/>
      <c r="LH224" s="978"/>
      <c r="LI224" s="978"/>
      <c r="LJ224" s="978"/>
      <c r="LK224" s="978"/>
      <c r="LL224" s="978"/>
      <c r="LM224" s="978"/>
      <c r="LN224" s="978"/>
      <c r="LO224" s="978"/>
      <c r="LP224" s="978"/>
      <c r="LQ224" s="978"/>
      <c r="LR224" s="978"/>
      <c r="LS224" s="978"/>
      <c r="LT224" s="978"/>
      <c r="LU224" s="978"/>
      <c r="LV224" s="978"/>
      <c r="LW224" s="978"/>
      <c r="LX224" s="978"/>
      <c r="LY224" s="978"/>
      <c r="LZ224" s="978"/>
      <c r="MA224" s="978"/>
      <c r="MB224" s="978"/>
      <c r="MC224" s="978"/>
      <c r="MD224" s="978"/>
      <c r="ME224" s="978"/>
      <c r="MF224" s="978"/>
      <c r="MG224" s="978"/>
      <c r="MH224" s="978"/>
      <c r="MI224" s="978"/>
      <c r="MJ224" s="978"/>
      <c r="MK224" s="978"/>
      <c r="ML224" s="978"/>
      <c r="MM224" s="978"/>
      <c r="MN224" s="978"/>
      <c r="MO224" s="978"/>
      <c r="MP224" s="978"/>
      <c r="MQ224" s="978"/>
      <c r="MR224" s="978"/>
      <c r="MS224" s="978"/>
      <c r="MT224" s="978"/>
      <c r="MU224" s="978"/>
      <c r="MV224" s="978"/>
      <c r="MW224" s="978"/>
      <c r="MX224" s="978"/>
      <c r="MY224" s="978"/>
      <c r="MZ224" s="978"/>
      <c r="NA224" s="978"/>
      <c r="NB224" s="978"/>
      <c r="NC224" s="978"/>
      <c r="ND224" s="978"/>
      <c r="NE224" s="978"/>
      <c r="NF224" s="978"/>
      <c r="NG224" s="978"/>
      <c r="NH224" s="978"/>
      <c r="NI224" s="978"/>
      <c r="NJ224" s="978"/>
      <c r="NK224" s="978"/>
      <c r="NL224" s="978"/>
      <c r="NM224" s="978"/>
      <c r="NN224" s="978"/>
      <c r="NO224" s="978"/>
      <c r="NP224" s="978"/>
      <c r="NQ224" s="978"/>
      <c r="NR224" s="978"/>
      <c r="NS224" s="978"/>
      <c r="NT224" s="978"/>
      <c r="NU224" s="978"/>
      <c r="NV224" s="978"/>
      <c r="NW224" s="978"/>
      <c r="NX224" s="978"/>
      <c r="NY224" s="978"/>
      <c r="NZ224" s="978"/>
      <c r="OA224" s="978"/>
      <c r="OB224" s="978"/>
      <c r="OC224" s="978"/>
      <c r="OD224" s="978"/>
      <c r="OE224" s="978"/>
      <c r="OF224" s="978"/>
      <c r="OG224" s="978"/>
      <c r="OH224" s="978"/>
      <c r="OI224" s="978"/>
      <c r="OJ224" s="978"/>
      <c r="OK224" s="978"/>
      <c r="OL224" s="978"/>
      <c r="OM224" s="978"/>
      <c r="ON224" s="978"/>
      <c r="OO224" s="978"/>
      <c r="OP224" s="978"/>
      <c r="OQ224" s="978"/>
      <c r="OR224" s="978"/>
      <c r="OS224" s="978"/>
      <c r="OT224" s="978"/>
      <c r="OU224" s="978"/>
      <c r="OV224" s="978"/>
      <c r="OW224" s="978"/>
      <c r="OX224" s="978"/>
      <c r="OY224" s="978"/>
      <c r="OZ224" s="978"/>
      <c r="PA224" s="978"/>
      <c r="PB224" s="978"/>
      <c r="PC224" s="978"/>
      <c r="PD224" s="978"/>
      <c r="PE224" s="978"/>
      <c r="PF224" s="978"/>
      <c r="PG224" s="978"/>
      <c r="PH224" s="978"/>
      <c r="PI224" s="978"/>
      <c r="PJ224" s="978"/>
      <c r="PK224" s="978"/>
      <c r="PL224" s="978"/>
      <c r="PM224" s="978"/>
      <c r="PN224" s="978"/>
      <c r="PO224" s="978"/>
      <c r="PP224" s="978"/>
      <c r="PQ224" s="978"/>
      <c r="PR224" s="978"/>
      <c r="PS224" s="978"/>
      <c r="PT224" s="978"/>
      <c r="PU224" s="978"/>
      <c r="PV224" s="978"/>
      <c r="PW224" s="978"/>
      <c r="PX224" s="978"/>
      <c r="PY224" s="978"/>
      <c r="PZ224" s="978"/>
      <c r="QA224" s="978"/>
      <c r="QB224" s="978"/>
      <c r="QC224" s="978"/>
      <c r="QD224" s="978"/>
      <c r="QE224" s="978"/>
      <c r="QF224" s="978"/>
      <c r="QG224" s="978"/>
      <c r="QH224" s="978"/>
      <c r="QI224" s="978"/>
      <c r="QJ224" s="978"/>
      <c r="QK224" s="978"/>
      <c r="QL224" s="978"/>
      <c r="QM224" s="978"/>
      <c r="QN224" s="978"/>
      <c r="QO224" s="978"/>
      <c r="QP224" s="978"/>
      <c r="QQ224" s="978"/>
      <c r="QR224" s="978"/>
      <c r="QS224" s="978"/>
      <c r="QT224" s="978"/>
      <c r="QU224" s="978"/>
      <c r="QV224" s="978"/>
      <c r="QW224" s="978"/>
      <c r="QX224" s="978"/>
      <c r="QY224" s="978"/>
      <c r="QZ224" s="978"/>
      <c r="RA224" s="978"/>
      <c r="RB224" s="274"/>
      <c r="RC224" s="274"/>
    </row>
    <row r="225" spans="112:471" ht="17.25">
      <c r="DH225" s="274"/>
      <c r="DI225" s="274"/>
      <c r="DJ225" s="978"/>
      <c r="DK225" s="978"/>
      <c r="DL225" s="978"/>
      <c r="DM225" s="978"/>
      <c r="DN225" s="978"/>
      <c r="DO225" s="978"/>
      <c r="DP225" s="978"/>
      <c r="DQ225" s="978"/>
      <c r="DR225" s="978"/>
      <c r="DS225" s="978"/>
      <c r="DT225" s="978"/>
      <c r="DU225" s="978"/>
      <c r="DV225" s="978"/>
      <c r="DW225" s="978"/>
      <c r="DX225" s="978"/>
      <c r="DY225" s="978"/>
      <c r="DZ225" s="978"/>
      <c r="EA225" s="978"/>
      <c r="EB225" s="978"/>
      <c r="EC225" s="978"/>
      <c r="ED225" s="978"/>
      <c r="EE225" s="978"/>
      <c r="EF225" s="978"/>
      <c r="EG225" s="978"/>
      <c r="EH225" s="978"/>
      <c r="EI225" s="978"/>
      <c r="EJ225" s="978"/>
      <c r="EK225" s="978"/>
      <c r="EL225" s="978"/>
      <c r="EM225" s="978"/>
      <c r="EN225" s="978"/>
      <c r="EO225" s="978"/>
      <c r="EP225" s="978"/>
      <c r="EQ225" s="978"/>
      <c r="ER225" s="978"/>
      <c r="ES225" s="978"/>
      <c r="ET225" s="978"/>
      <c r="EU225" s="978"/>
      <c r="EV225" s="978"/>
      <c r="EW225" s="978"/>
      <c r="EX225" s="978"/>
      <c r="EY225" s="978"/>
      <c r="EZ225" s="978"/>
      <c r="FA225" s="978"/>
      <c r="FB225" s="978"/>
      <c r="FC225" s="978"/>
      <c r="FD225" s="978"/>
      <c r="FE225" s="978"/>
      <c r="FF225" s="978"/>
      <c r="FG225" s="978"/>
      <c r="FH225" s="978"/>
      <c r="FI225" s="978"/>
      <c r="FJ225" s="978"/>
      <c r="FK225" s="978"/>
      <c r="FL225" s="978"/>
      <c r="FM225" s="978"/>
      <c r="FN225" s="978"/>
      <c r="FO225" s="978"/>
      <c r="FP225" s="978"/>
      <c r="FQ225" s="978"/>
      <c r="FR225" s="978"/>
      <c r="FS225" s="978"/>
      <c r="FT225" s="978"/>
      <c r="FU225" s="978"/>
      <c r="FV225" s="978"/>
      <c r="FW225" s="978"/>
      <c r="FX225" s="978"/>
      <c r="FY225" s="978"/>
      <c r="FZ225" s="978"/>
      <c r="GA225" s="978"/>
      <c r="GB225" s="978"/>
      <c r="GC225" s="978"/>
      <c r="GD225" s="978"/>
      <c r="GE225" s="978"/>
      <c r="GF225" s="978"/>
      <c r="GG225" s="978"/>
      <c r="GH225" s="978"/>
      <c r="GI225" s="978"/>
      <c r="GJ225" s="978"/>
      <c r="GK225" s="978"/>
      <c r="GL225" s="978"/>
      <c r="GM225" s="978"/>
      <c r="GN225" s="978"/>
      <c r="GO225" s="978"/>
      <c r="GP225" s="978"/>
      <c r="GQ225" s="978"/>
      <c r="GR225" s="978"/>
      <c r="GS225" s="978"/>
      <c r="GT225" s="978"/>
      <c r="GU225" s="978"/>
      <c r="GV225" s="978"/>
      <c r="GW225" s="978"/>
      <c r="GX225" s="978"/>
      <c r="GY225" s="978"/>
      <c r="GZ225" s="978"/>
      <c r="HA225" s="978"/>
      <c r="HB225" s="978"/>
      <c r="HC225" s="978"/>
      <c r="HD225" s="978"/>
      <c r="HE225" s="978"/>
      <c r="HF225" s="978"/>
      <c r="HG225" s="978"/>
      <c r="HH225" s="978"/>
      <c r="HI225" s="978"/>
      <c r="HJ225" s="978"/>
      <c r="HK225" s="978"/>
      <c r="HL225" s="978"/>
      <c r="HM225" s="978"/>
      <c r="HN225" s="978"/>
      <c r="HO225" s="978"/>
      <c r="HP225" s="978"/>
      <c r="HQ225" s="978"/>
      <c r="HR225" s="978"/>
      <c r="HS225" s="978"/>
      <c r="HT225" s="978"/>
      <c r="HU225" s="978"/>
      <c r="HV225" s="978"/>
      <c r="HW225" s="978"/>
      <c r="HX225" s="978"/>
      <c r="HY225" s="978"/>
      <c r="HZ225" s="978"/>
      <c r="IA225" s="978"/>
      <c r="IB225" s="978"/>
      <c r="IC225" s="978"/>
      <c r="ID225" s="978"/>
      <c r="IE225" s="978"/>
      <c r="IF225" s="978"/>
      <c r="IG225" s="978"/>
      <c r="IH225" s="978"/>
      <c r="II225" s="978"/>
      <c r="IJ225" s="978"/>
      <c r="IK225" s="978"/>
      <c r="IL225" s="978"/>
      <c r="IM225" s="978"/>
      <c r="IN225" s="978"/>
      <c r="IO225" s="978"/>
      <c r="IP225" s="978"/>
      <c r="IQ225" s="978"/>
      <c r="IR225" s="978"/>
      <c r="IS225" s="978"/>
      <c r="IT225" s="978"/>
      <c r="IU225" s="978"/>
      <c r="IV225" s="978"/>
      <c r="IW225" s="978"/>
      <c r="IX225" s="978"/>
      <c r="IY225" s="978"/>
      <c r="IZ225" s="978"/>
      <c r="JA225" s="978"/>
      <c r="JB225" s="978"/>
      <c r="JC225" s="978"/>
      <c r="JD225" s="978"/>
      <c r="JE225" s="978"/>
      <c r="JF225" s="978"/>
      <c r="JG225" s="978"/>
      <c r="JH225" s="978"/>
      <c r="JI225" s="978"/>
      <c r="JJ225" s="978"/>
      <c r="JK225" s="978"/>
      <c r="JL225" s="978"/>
      <c r="JM225" s="978"/>
      <c r="JN225" s="978"/>
      <c r="JO225" s="978"/>
      <c r="JP225" s="978"/>
      <c r="JQ225" s="978"/>
      <c r="JR225" s="978"/>
      <c r="JS225" s="978"/>
      <c r="JT225" s="978"/>
      <c r="JU225" s="978"/>
      <c r="JV225" s="978"/>
      <c r="JW225" s="978"/>
      <c r="JX225" s="978"/>
      <c r="JY225" s="978"/>
      <c r="JZ225" s="978"/>
      <c r="KA225" s="978"/>
      <c r="KB225" s="978"/>
      <c r="KC225" s="978"/>
      <c r="KD225" s="978"/>
      <c r="KE225" s="978"/>
      <c r="KF225" s="978"/>
      <c r="KG225" s="978"/>
      <c r="KH225" s="978"/>
      <c r="KI225" s="978"/>
      <c r="KJ225" s="978"/>
      <c r="KK225" s="978"/>
      <c r="KL225" s="978"/>
      <c r="KM225" s="978"/>
      <c r="KN225" s="978"/>
      <c r="KO225" s="978"/>
      <c r="KP225" s="978"/>
      <c r="KQ225" s="978"/>
      <c r="KR225" s="978"/>
      <c r="KS225" s="978"/>
      <c r="KT225" s="978"/>
      <c r="KU225" s="978"/>
      <c r="KV225" s="978"/>
      <c r="KW225" s="978"/>
      <c r="KX225" s="978"/>
      <c r="KY225" s="978"/>
      <c r="KZ225" s="978"/>
      <c r="LA225" s="978"/>
      <c r="LB225" s="978"/>
      <c r="LC225" s="978"/>
      <c r="LD225" s="978"/>
      <c r="LE225" s="978"/>
      <c r="LF225" s="978"/>
      <c r="LG225" s="978"/>
      <c r="LH225" s="978"/>
      <c r="LI225" s="978"/>
      <c r="LJ225" s="978"/>
      <c r="LK225" s="978"/>
      <c r="LL225" s="978"/>
      <c r="LM225" s="978"/>
      <c r="LN225" s="978"/>
      <c r="LO225" s="978"/>
      <c r="LP225" s="978"/>
      <c r="LQ225" s="978"/>
      <c r="LR225" s="978"/>
      <c r="LS225" s="978"/>
      <c r="LT225" s="978"/>
      <c r="LU225" s="978"/>
      <c r="LV225" s="978"/>
      <c r="LW225" s="978"/>
      <c r="LX225" s="978"/>
      <c r="LY225" s="978"/>
      <c r="LZ225" s="978"/>
      <c r="MA225" s="978"/>
      <c r="MB225" s="978"/>
      <c r="MC225" s="978"/>
      <c r="MD225" s="978"/>
      <c r="ME225" s="978"/>
      <c r="MF225" s="978"/>
      <c r="MG225" s="978"/>
      <c r="MH225" s="978"/>
      <c r="MI225" s="978"/>
      <c r="MJ225" s="978"/>
      <c r="MK225" s="978"/>
      <c r="ML225" s="978"/>
      <c r="MM225" s="978"/>
      <c r="MN225" s="978"/>
      <c r="MO225" s="978"/>
      <c r="MP225" s="978"/>
      <c r="MQ225" s="978"/>
      <c r="MR225" s="978"/>
      <c r="MS225" s="978"/>
      <c r="MT225" s="978"/>
      <c r="MU225" s="978"/>
      <c r="MV225" s="978"/>
      <c r="MW225" s="978"/>
      <c r="MX225" s="978"/>
      <c r="MY225" s="978"/>
      <c r="MZ225" s="978"/>
      <c r="NA225" s="978"/>
      <c r="NB225" s="978"/>
      <c r="NC225" s="978"/>
      <c r="ND225" s="978"/>
      <c r="NE225" s="978"/>
      <c r="NF225" s="978"/>
      <c r="NG225" s="978"/>
      <c r="NH225" s="978"/>
      <c r="NI225" s="978"/>
      <c r="NJ225" s="978"/>
      <c r="NK225" s="978"/>
      <c r="NL225" s="978"/>
      <c r="NM225" s="978"/>
      <c r="NN225" s="978"/>
      <c r="NO225" s="978"/>
      <c r="NP225" s="978"/>
      <c r="NQ225" s="978"/>
      <c r="NR225" s="978"/>
      <c r="NS225" s="978"/>
      <c r="NT225" s="978"/>
      <c r="NU225" s="978"/>
      <c r="NV225" s="978"/>
      <c r="NW225" s="978"/>
      <c r="NX225" s="978"/>
      <c r="NY225" s="978"/>
      <c r="NZ225" s="978"/>
      <c r="OA225" s="978"/>
      <c r="OB225" s="978"/>
      <c r="OC225" s="978"/>
      <c r="OD225" s="978"/>
      <c r="OE225" s="978"/>
      <c r="OF225" s="978"/>
      <c r="OG225" s="978"/>
      <c r="OH225" s="978"/>
      <c r="OI225" s="978"/>
      <c r="OJ225" s="978"/>
      <c r="OK225" s="978"/>
      <c r="OL225" s="978"/>
      <c r="OM225" s="978"/>
      <c r="ON225" s="978"/>
      <c r="OO225" s="978"/>
      <c r="OP225" s="978"/>
      <c r="OQ225" s="978"/>
      <c r="OR225" s="978"/>
      <c r="OS225" s="978"/>
      <c r="OT225" s="978"/>
      <c r="OU225" s="978"/>
      <c r="OV225" s="978"/>
      <c r="OW225" s="978"/>
      <c r="OX225" s="978"/>
      <c r="OY225" s="978"/>
      <c r="OZ225" s="978"/>
      <c r="PA225" s="978"/>
      <c r="PB225" s="978"/>
      <c r="PC225" s="978"/>
      <c r="PD225" s="978"/>
      <c r="PE225" s="978"/>
      <c r="PF225" s="978"/>
      <c r="PG225" s="978"/>
      <c r="PH225" s="978"/>
      <c r="PI225" s="978"/>
      <c r="PJ225" s="978"/>
      <c r="PK225" s="978"/>
      <c r="PL225" s="978"/>
      <c r="PM225" s="978"/>
      <c r="PN225" s="978"/>
      <c r="PO225" s="978"/>
      <c r="PP225" s="978"/>
      <c r="PQ225" s="978"/>
      <c r="PR225" s="978"/>
      <c r="PS225" s="978"/>
      <c r="PT225" s="978"/>
      <c r="PU225" s="978"/>
      <c r="PV225" s="978"/>
      <c r="PW225" s="978"/>
      <c r="PX225" s="978"/>
      <c r="PY225" s="978"/>
      <c r="PZ225" s="978"/>
      <c r="QA225" s="978"/>
      <c r="QB225" s="978"/>
      <c r="QC225" s="978"/>
      <c r="QD225" s="978"/>
      <c r="QE225" s="978"/>
      <c r="QF225" s="978"/>
      <c r="QG225" s="978"/>
      <c r="QH225" s="978"/>
      <c r="QI225" s="978"/>
      <c r="QJ225" s="978"/>
      <c r="QK225" s="978"/>
      <c r="QL225" s="978"/>
      <c r="QM225" s="978"/>
      <c r="QN225" s="978"/>
      <c r="QO225" s="978"/>
      <c r="QP225" s="978"/>
      <c r="QQ225" s="978"/>
      <c r="QR225" s="978"/>
      <c r="QS225" s="978"/>
      <c r="QT225" s="978"/>
      <c r="QU225" s="978"/>
      <c r="QV225" s="978"/>
      <c r="QW225" s="978"/>
      <c r="QX225" s="978"/>
      <c r="QY225" s="978"/>
      <c r="QZ225" s="978"/>
      <c r="RA225" s="978"/>
      <c r="RB225" s="274"/>
      <c r="RC225" s="274"/>
    </row>
    <row r="226" spans="112:471" ht="17.25">
      <c r="DH226" s="274"/>
      <c r="DI226" s="274"/>
      <c r="DJ226" s="978"/>
      <c r="DK226" s="978"/>
      <c r="DL226" s="978"/>
      <c r="DM226" s="978"/>
      <c r="DN226" s="978"/>
      <c r="DO226" s="978"/>
      <c r="DP226" s="978"/>
      <c r="DQ226" s="978"/>
      <c r="DR226" s="978"/>
      <c r="DS226" s="978"/>
      <c r="DT226" s="978"/>
      <c r="DU226" s="978"/>
      <c r="DV226" s="978"/>
      <c r="DW226" s="978"/>
      <c r="DX226" s="978"/>
      <c r="DY226" s="978"/>
      <c r="DZ226" s="978"/>
      <c r="EA226" s="978"/>
      <c r="EB226" s="978"/>
      <c r="EC226" s="978"/>
      <c r="ED226" s="978"/>
      <c r="EE226" s="978"/>
      <c r="EF226" s="978"/>
      <c r="EG226" s="978"/>
      <c r="EH226" s="978"/>
      <c r="EI226" s="978"/>
      <c r="EJ226" s="978"/>
      <c r="EK226" s="978"/>
      <c r="EL226" s="978"/>
      <c r="EM226" s="978"/>
      <c r="EN226" s="978"/>
      <c r="EO226" s="978"/>
      <c r="EP226" s="978"/>
      <c r="EQ226" s="978"/>
      <c r="ER226" s="978"/>
      <c r="ES226" s="978"/>
      <c r="ET226" s="978"/>
      <c r="EU226" s="978"/>
      <c r="EV226" s="978"/>
      <c r="EW226" s="978"/>
      <c r="EX226" s="978"/>
      <c r="EY226" s="978"/>
      <c r="EZ226" s="978"/>
      <c r="FA226" s="978"/>
      <c r="FB226" s="978"/>
      <c r="FC226" s="978"/>
      <c r="FD226" s="978"/>
      <c r="FE226" s="978"/>
      <c r="FF226" s="978"/>
      <c r="FG226" s="978"/>
      <c r="FH226" s="978"/>
      <c r="FI226" s="978"/>
      <c r="FJ226" s="978"/>
      <c r="FK226" s="978"/>
      <c r="FL226" s="978"/>
      <c r="FM226" s="978"/>
      <c r="FN226" s="978"/>
      <c r="FO226" s="978"/>
      <c r="FP226" s="978"/>
      <c r="FQ226" s="978"/>
      <c r="FR226" s="978"/>
      <c r="FS226" s="978"/>
      <c r="FT226" s="978"/>
      <c r="FU226" s="978"/>
      <c r="FV226" s="978"/>
      <c r="FW226" s="978"/>
      <c r="FX226" s="978"/>
      <c r="FY226" s="978"/>
      <c r="FZ226" s="978"/>
      <c r="GA226" s="978"/>
      <c r="GB226" s="978"/>
      <c r="GC226" s="978"/>
      <c r="GD226" s="978"/>
      <c r="GE226" s="978"/>
      <c r="GF226" s="978"/>
      <c r="GG226" s="978"/>
      <c r="GH226" s="978"/>
      <c r="GI226" s="978"/>
      <c r="GJ226" s="978"/>
      <c r="GK226" s="978"/>
      <c r="GL226" s="978"/>
      <c r="GM226" s="978"/>
      <c r="GN226" s="978"/>
      <c r="GO226" s="978"/>
      <c r="GP226" s="978"/>
      <c r="GQ226" s="978"/>
      <c r="GR226" s="978"/>
      <c r="GS226" s="978"/>
      <c r="GT226" s="978"/>
      <c r="GU226" s="978"/>
      <c r="GV226" s="978"/>
      <c r="GW226" s="978"/>
      <c r="GX226" s="978"/>
      <c r="GY226" s="978"/>
      <c r="GZ226" s="978"/>
      <c r="HA226" s="978"/>
      <c r="HB226" s="978"/>
      <c r="HC226" s="978"/>
      <c r="HD226" s="978"/>
      <c r="HE226" s="978"/>
      <c r="HF226" s="978"/>
      <c r="HG226" s="978"/>
      <c r="HH226" s="978"/>
      <c r="HI226" s="978"/>
      <c r="HJ226" s="978"/>
      <c r="HK226" s="978"/>
      <c r="HL226" s="978"/>
      <c r="HM226" s="978"/>
      <c r="HN226" s="978"/>
      <c r="HO226" s="978"/>
      <c r="HP226" s="978"/>
      <c r="HQ226" s="978"/>
      <c r="HR226" s="978"/>
      <c r="HS226" s="978"/>
      <c r="HT226" s="978"/>
      <c r="HU226" s="978"/>
      <c r="HV226" s="978"/>
      <c r="HW226" s="978"/>
      <c r="HX226" s="978"/>
      <c r="HY226" s="978"/>
      <c r="HZ226" s="978"/>
      <c r="IA226" s="978"/>
      <c r="IB226" s="978"/>
      <c r="IC226" s="978"/>
      <c r="ID226" s="978"/>
      <c r="IE226" s="978"/>
      <c r="IF226" s="978"/>
      <c r="IG226" s="978"/>
      <c r="IH226" s="978"/>
      <c r="II226" s="978"/>
      <c r="IJ226" s="978"/>
      <c r="IK226" s="978"/>
      <c r="IL226" s="978"/>
      <c r="IM226" s="978"/>
      <c r="IN226" s="978"/>
      <c r="IO226" s="978"/>
      <c r="IP226" s="978"/>
      <c r="IQ226" s="978"/>
      <c r="IR226" s="978"/>
      <c r="IS226" s="978"/>
      <c r="IT226" s="978"/>
      <c r="IU226" s="978"/>
      <c r="IV226" s="978"/>
      <c r="IW226" s="978"/>
      <c r="IX226" s="978"/>
      <c r="IY226" s="978"/>
      <c r="IZ226" s="978"/>
      <c r="JA226" s="978"/>
      <c r="JB226" s="978"/>
      <c r="JC226" s="978"/>
      <c r="JD226" s="978"/>
      <c r="JE226" s="978"/>
      <c r="JF226" s="978"/>
      <c r="JG226" s="978"/>
      <c r="JH226" s="978"/>
      <c r="JI226" s="978"/>
      <c r="JJ226" s="978"/>
      <c r="JK226" s="978"/>
      <c r="JL226" s="978"/>
      <c r="JM226" s="978"/>
      <c r="JN226" s="978"/>
      <c r="JO226" s="978"/>
      <c r="JP226" s="978"/>
      <c r="JQ226" s="978"/>
      <c r="JR226" s="978"/>
      <c r="JS226" s="978"/>
      <c r="JT226" s="978"/>
      <c r="JU226" s="978"/>
      <c r="JV226" s="978"/>
      <c r="JW226" s="978"/>
      <c r="JX226" s="978"/>
      <c r="JY226" s="978"/>
      <c r="JZ226" s="978"/>
      <c r="KA226" s="978"/>
      <c r="KB226" s="978"/>
      <c r="KC226" s="978"/>
      <c r="KD226" s="978"/>
      <c r="KE226" s="978"/>
      <c r="KF226" s="978"/>
      <c r="KG226" s="978"/>
      <c r="KH226" s="978"/>
      <c r="KI226" s="978"/>
      <c r="KJ226" s="978"/>
      <c r="KK226" s="978"/>
      <c r="KL226" s="978"/>
      <c r="KM226" s="978"/>
      <c r="KN226" s="978"/>
      <c r="KO226" s="978"/>
      <c r="KP226" s="978"/>
      <c r="KQ226" s="978"/>
      <c r="KR226" s="978"/>
      <c r="KS226" s="978"/>
      <c r="KT226" s="978"/>
      <c r="KU226" s="978"/>
      <c r="KV226" s="978"/>
      <c r="KW226" s="978"/>
      <c r="KX226" s="978"/>
      <c r="KY226" s="978"/>
      <c r="KZ226" s="978"/>
      <c r="LA226" s="978"/>
      <c r="LB226" s="978"/>
      <c r="LC226" s="978"/>
      <c r="LD226" s="978"/>
      <c r="LE226" s="978"/>
      <c r="LF226" s="978"/>
      <c r="LG226" s="978"/>
      <c r="LH226" s="978"/>
      <c r="LI226" s="978"/>
      <c r="LJ226" s="978"/>
      <c r="LK226" s="978"/>
      <c r="LL226" s="978"/>
      <c r="LM226" s="978"/>
      <c r="LN226" s="978"/>
      <c r="LO226" s="978"/>
      <c r="LP226" s="978"/>
      <c r="LQ226" s="978"/>
      <c r="LR226" s="978"/>
      <c r="LS226" s="978"/>
      <c r="LT226" s="978"/>
      <c r="LU226" s="978"/>
      <c r="LV226" s="978"/>
      <c r="LW226" s="978"/>
      <c r="LX226" s="978"/>
      <c r="LY226" s="978"/>
      <c r="LZ226" s="978"/>
      <c r="MA226" s="978"/>
      <c r="MB226" s="978"/>
      <c r="MC226" s="978"/>
      <c r="MD226" s="978"/>
      <c r="ME226" s="978"/>
      <c r="MF226" s="978"/>
      <c r="MG226" s="978"/>
      <c r="MH226" s="978"/>
      <c r="MI226" s="978"/>
      <c r="MJ226" s="978"/>
      <c r="MK226" s="978"/>
      <c r="ML226" s="978"/>
      <c r="MM226" s="978"/>
      <c r="MN226" s="978"/>
      <c r="MO226" s="978"/>
      <c r="MP226" s="978"/>
      <c r="MQ226" s="978"/>
      <c r="MR226" s="978"/>
      <c r="MS226" s="978"/>
      <c r="MT226" s="978"/>
      <c r="MU226" s="978"/>
      <c r="MV226" s="978"/>
      <c r="MW226" s="978"/>
      <c r="MX226" s="978"/>
      <c r="MY226" s="978"/>
      <c r="MZ226" s="978"/>
      <c r="NA226" s="978"/>
      <c r="NB226" s="978"/>
      <c r="NC226" s="978"/>
      <c r="ND226" s="978"/>
      <c r="NE226" s="978"/>
      <c r="NF226" s="978"/>
      <c r="NG226" s="978"/>
      <c r="NH226" s="978"/>
      <c r="NI226" s="978"/>
      <c r="NJ226" s="978"/>
      <c r="NK226" s="978"/>
      <c r="NL226" s="978"/>
      <c r="NM226" s="978"/>
      <c r="NN226" s="978"/>
      <c r="NO226" s="978"/>
      <c r="NP226" s="978"/>
      <c r="NQ226" s="978"/>
      <c r="NR226" s="978"/>
      <c r="NS226" s="978"/>
      <c r="NT226" s="978"/>
      <c r="NU226" s="978"/>
      <c r="NV226" s="978"/>
      <c r="NW226" s="978"/>
      <c r="NX226" s="978"/>
      <c r="NY226" s="978"/>
      <c r="NZ226" s="978"/>
      <c r="OA226" s="978"/>
      <c r="OB226" s="978"/>
      <c r="OC226" s="978"/>
      <c r="OD226" s="978"/>
      <c r="OE226" s="978"/>
      <c r="OF226" s="978"/>
      <c r="OG226" s="978"/>
      <c r="OH226" s="978"/>
      <c r="OI226" s="978"/>
      <c r="OJ226" s="978"/>
      <c r="OK226" s="978"/>
      <c r="OL226" s="978"/>
      <c r="OM226" s="978"/>
      <c r="ON226" s="978"/>
      <c r="OO226" s="978"/>
      <c r="OP226" s="978"/>
      <c r="OQ226" s="978"/>
      <c r="OR226" s="978"/>
      <c r="OS226" s="978"/>
      <c r="OT226" s="978"/>
      <c r="OU226" s="978"/>
      <c r="OV226" s="978"/>
      <c r="OW226" s="978"/>
      <c r="OX226" s="978"/>
      <c r="OY226" s="978"/>
      <c r="OZ226" s="978"/>
      <c r="PA226" s="978"/>
      <c r="PB226" s="978"/>
      <c r="PC226" s="978"/>
      <c r="PD226" s="978"/>
      <c r="PE226" s="978"/>
      <c r="PF226" s="978"/>
      <c r="PG226" s="978"/>
      <c r="PH226" s="978"/>
      <c r="PI226" s="978"/>
      <c r="PJ226" s="978"/>
      <c r="PK226" s="978"/>
      <c r="PL226" s="978"/>
      <c r="PM226" s="978"/>
      <c r="PN226" s="978"/>
      <c r="PO226" s="978"/>
      <c r="PP226" s="978"/>
      <c r="PQ226" s="978"/>
      <c r="PR226" s="978"/>
      <c r="PS226" s="978"/>
      <c r="PT226" s="978"/>
      <c r="PU226" s="978"/>
      <c r="PV226" s="978"/>
      <c r="PW226" s="978"/>
      <c r="PX226" s="978"/>
      <c r="PY226" s="978"/>
      <c r="PZ226" s="978"/>
      <c r="QA226" s="978"/>
      <c r="QB226" s="978"/>
      <c r="QC226" s="978"/>
      <c r="QD226" s="978"/>
      <c r="QE226" s="978"/>
      <c r="QF226" s="978"/>
      <c r="QG226" s="978"/>
      <c r="QH226" s="978"/>
      <c r="QI226" s="978"/>
      <c r="QJ226" s="978"/>
      <c r="QK226" s="978"/>
      <c r="QL226" s="978"/>
      <c r="QM226" s="978"/>
      <c r="QN226" s="978"/>
      <c r="QO226" s="978"/>
      <c r="QP226" s="978"/>
      <c r="QQ226" s="978"/>
      <c r="QR226" s="978"/>
      <c r="QS226" s="978"/>
      <c r="QT226" s="978"/>
      <c r="QU226" s="978"/>
      <c r="QV226" s="978"/>
      <c r="QW226" s="978"/>
      <c r="QX226" s="978"/>
      <c r="QY226" s="978"/>
      <c r="QZ226" s="978"/>
      <c r="RA226" s="978"/>
      <c r="RB226" s="274"/>
      <c r="RC226" s="274"/>
    </row>
    <row r="227" spans="112:471" ht="17.25">
      <c r="DH227" s="274"/>
      <c r="DI227" s="274"/>
      <c r="DJ227" s="978"/>
      <c r="DK227" s="978"/>
      <c r="DL227" s="978"/>
      <c r="DM227" s="978"/>
      <c r="DN227" s="978"/>
      <c r="DO227" s="978"/>
      <c r="DP227" s="978"/>
      <c r="DQ227" s="978"/>
      <c r="DR227" s="978"/>
      <c r="DS227" s="978"/>
      <c r="DT227" s="978"/>
      <c r="DU227" s="978"/>
      <c r="DV227" s="978"/>
      <c r="DW227" s="978"/>
      <c r="DX227" s="978"/>
      <c r="DY227" s="978"/>
      <c r="DZ227" s="978"/>
      <c r="EA227" s="978"/>
      <c r="EB227" s="978"/>
      <c r="EC227" s="978"/>
      <c r="ED227" s="978"/>
      <c r="EE227" s="978"/>
      <c r="EF227" s="978"/>
      <c r="EG227" s="978"/>
      <c r="EH227" s="978"/>
      <c r="EI227" s="978"/>
      <c r="EJ227" s="978"/>
      <c r="EK227" s="978"/>
      <c r="EL227" s="978"/>
      <c r="EM227" s="978"/>
      <c r="EN227" s="978"/>
      <c r="EO227" s="978"/>
      <c r="EP227" s="978"/>
      <c r="EQ227" s="978"/>
      <c r="ER227" s="978"/>
      <c r="ES227" s="978"/>
      <c r="ET227" s="978"/>
      <c r="EU227" s="978"/>
      <c r="EV227" s="978"/>
      <c r="EW227" s="978"/>
      <c r="EX227" s="978"/>
      <c r="EY227" s="978"/>
      <c r="EZ227" s="978"/>
      <c r="FA227" s="978"/>
      <c r="FB227" s="978"/>
      <c r="FC227" s="978"/>
      <c r="FD227" s="978"/>
      <c r="FE227" s="978"/>
      <c r="FF227" s="978"/>
      <c r="FG227" s="978"/>
      <c r="FH227" s="978"/>
      <c r="FI227" s="978"/>
      <c r="FJ227" s="978"/>
      <c r="FK227" s="978"/>
      <c r="FL227" s="978"/>
      <c r="FM227" s="978"/>
      <c r="FN227" s="978"/>
      <c r="FO227" s="978"/>
      <c r="FP227" s="978"/>
      <c r="FQ227" s="978"/>
      <c r="FR227" s="978"/>
      <c r="FS227" s="978"/>
      <c r="FT227" s="978"/>
      <c r="FU227" s="978"/>
      <c r="FV227" s="978"/>
      <c r="FW227" s="978"/>
      <c r="FX227" s="978"/>
      <c r="FY227" s="978"/>
      <c r="FZ227" s="978"/>
      <c r="GA227" s="978"/>
      <c r="GB227" s="978"/>
      <c r="GC227" s="978"/>
      <c r="GD227" s="978"/>
      <c r="GE227" s="978"/>
      <c r="GF227" s="978"/>
      <c r="GG227" s="978"/>
      <c r="GH227" s="978"/>
      <c r="GI227" s="978"/>
      <c r="GJ227" s="978"/>
      <c r="GK227" s="978"/>
      <c r="GL227" s="978"/>
      <c r="GM227" s="978"/>
      <c r="GN227" s="978"/>
      <c r="GO227" s="978"/>
      <c r="GP227" s="978"/>
      <c r="GQ227" s="978"/>
      <c r="GR227" s="978"/>
      <c r="GS227" s="978"/>
      <c r="GT227" s="978"/>
      <c r="GU227" s="978"/>
      <c r="GV227" s="978"/>
      <c r="GW227" s="978"/>
      <c r="GX227" s="978"/>
      <c r="GY227" s="978"/>
      <c r="GZ227" s="978"/>
      <c r="HA227" s="978"/>
      <c r="HB227" s="978"/>
      <c r="HC227" s="978"/>
      <c r="HD227" s="978"/>
      <c r="HE227" s="978"/>
      <c r="HF227" s="978"/>
      <c r="HG227" s="978"/>
      <c r="HH227" s="978"/>
      <c r="HI227" s="978"/>
      <c r="HJ227" s="978"/>
      <c r="HK227" s="978"/>
      <c r="HL227" s="978"/>
      <c r="HM227" s="978"/>
      <c r="HN227" s="978"/>
      <c r="HO227" s="978"/>
      <c r="HP227" s="978"/>
      <c r="HQ227" s="978"/>
      <c r="HR227" s="978"/>
      <c r="HS227" s="978"/>
      <c r="HT227" s="978"/>
      <c r="HU227" s="978"/>
      <c r="HV227" s="978"/>
      <c r="HW227" s="978"/>
      <c r="HX227" s="978"/>
      <c r="HY227" s="978"/>
      <c r="HZ227" s="978"/>
      <c r="IA227" s="978"/>
      <c r="IB227" s="978"/>
      <c r="IC227" s="978"/>
      <c r="ID227" s="978"/>
      <c r="IE227" s="978"/>
      <c r="IF227" s="978"/>
      <c r="IG227" s="978"/>
      <c r="IH227" s="978"/>
      <c r="II227" s="978"/>
      <c r="IJ227" s="978"/>
      <c r="IK227" s="978"/>
      <c r="IL227" s="978"/>
      <c r="IM227" s="978"/>
      <c r="IN227" s="978"/>
      <c r="IO227" s="978"/>
      <c r="IP227" s="978"/>
      <c r="IQ227" s="978"/>
      <c r="IR227" s="978"/>
      <c r="IS227" s="978"/>
      <c r="IT227" s="978"/>
      <c r="IU227" s="978"/>
      <c r="IV227" s="978"/>
      <c r="IW227" s="978"/>
      <c r="IX227" s="978"/>
      <c r="IY227" s="978"/>
      <c r="IZ227" s="978"/>
      <c r="JA227" s="978"/>
      <c r="JB227" s="978"/>
      <c r="JC227" s="978"/>
      <c r="JD227" s="978"/>
      <c r="JE227" s="978"/>
      <c r="JF227" s="978"/>
      <c r="JG227" s="978"/>
      <c r="JH227" s="978"/>
      <c r="JI227" s="978"/>
      <c r="JJ227" s="978"/>
      <c r="JK227" s="978"/>
      <c r="JL227" s="978"/>
      <c r="JM227" s="978"/>
      <c r="JN227" s="978"/>
      <c r="JO227" s="978"/>
      <c r="JP227" s="978"/>
      <c r="JQ227" s="978"/>
      <c r="JR227" s="978"/>
      <c r="JS227" s="978"/>
      <c r="JT227" s="978"/>
      <c r="JU227" s="978"/>
      <c r="JV227" s="978"/>
      <c r="JW227" s="978"/>
      <c r="JX227" s="978"/>
      <c r="JY227" s="978"/>
      <c r="JZ227" s="978"/>
      <c r="KA227" s="978"/>
      <c r="KB227" s="978"/>
      <c r="KC227" s="978"/>
      <c r="KD227" s="978"/>
      <c r="KE227" s="978"/>
      <c r="KF227" s="978"/>
      <c r="KG227" s="978"/>
      <c r="KH227" s="978"/>
      <c r="KI227" s="978"/>
      <c r="KJ227" s="978"/>
      <c r="KK227" s="978"/>
      <c r="KL227" s="978"/>
      <c r="KM227" s="978"/>
      <c r="KN227" s="978"/>
      <c r="KO227" s="978"/>
      <c r="KP227" s="978"/>
      <c r="KQ227" s="978"/>
      <c r="KR227" s="978"/>
      <c r="KS227" s="978"/>
      <c r="KT227" s="978"/>
      <c r="KU227" s="978"/>
      <c r="KV227" s="978"/>
      <c r="KW227" s="978"/>
      <c r="KX227" s="978"/>
      <c r="KY227" s="978"/>
      <c r="KZ227" s="978"/>
      <c r="LA227" s="978"/>
      <c r="LB227" s="978"/>
      <c r="LC227" s="978"/>
      <c r="LD227" s="978"/>
      <c r="LE227" s="978"/>
      <c r="LF227" s="978"/>
      <c r="LG227" s="978"/>
      <c r="LH227" s="978"/>
      <c r="LI227" s="978"/>
      <c r="LJ227" s="978"/>
      <c r="LK227" s="978"/>
      <c r="LL227" s="978"/>
      <c r="LM227" s="978"/>
      <c r="LN227" s="978"/>
      <c r="LO227" s="978"/>
      <c r="LP227" s="978"/>
      <c r="LQ227" s="978"/>
      <c r="LR227" s="978"/>
      <c r="LS227" s="978"/>
      <c r="LT227" s="978"/>
      <c r="LU227" s="978"/>
      <c r="LV227" s="978"/>
      <c r="LW227" s="978"/>
      <c r="LX227" s="978"/>
      <c r="LY227" s="978"/>
      <c r="LZ227" s="978"/>
      <c r="MA227" s="978"/>
      <c r="MB227" s="978"/>
      <c r="MC227" s="978"/>
      <c r="MD227" s="978"/>
      <c r="ME227" s="978"/>
      <c r="MF227" s="978"/>
      <c r="MG227" s="978"/>
      <c r="MH227" s="978"/>
      <c r="MI227" s="978"/>
      <c r="MJ227" s="978"/>
      <c r="MK227" s="978"/>
      <c r="ML227" s="978"/>
      <c r="MM227" s="978"/>
      <c r="MN227" s="978"/>
      <c r="MO227" s="978"/>
      <c r="MP227" s="978"/>
      <c r="MQ227" s="978"/>
      <c r="MR227" s="978"/>
      <c r="MS227" s="978"/>
      <c r="MT227" s="978"/>
      <c r="MU227" s="978"/>
      <c r="MV227" s="978"/>
      <c r="MW227" s="978"/>
      <c r="MX227" s="978"/>
      <c r="MY227" s="978"/>
      <c r="MZ227" s="978"/>
      <c r="NA227" s="978"/>
      <c r="NB227" s="978"/>
      <c r="NC227" s="978"/>
      <c r="ND227" s="978"/>
      <c r="NE227" s="978"/>
      <c r="NF227" s="978"/>
      <c r="NG227" s="978"/>
      <c r="NH227" s="978"/>
      <c r="NI227" s="978"/>
      <c r="NJ227" s="978"/>
      <c r="NK227" s="978"/>
      <c r="NL227" s="978"/>
      <c r="NM227" s="978"/>
      <c r="NN227" s="978"/>
      <c r="NO227" s="978"/>
      <c r="NP227" s="978"/>
      <c r="NQ227" s="978"/>
      <c r="NR227" s="978"/>
      <c r="NS227" s="978"/>
      <c r="NT227" s="978"/>
      <c r="NU227" s="978"/>
      <c r="NV227" s="978"/>
      <c r="NW227" s="978"/>
      <c r="NX227" s="978"/>
      <c r="NY227" s="978"/>
      <c r="NZ227" s="978"/>
      <c r="OA227" s="978"/>
      <c r="OB227" s="978"/>
      <c r="OC227" s="978"/>
      <c r="OD227" s="978"/>
      <c r="OE227" s="978"/>
      <c r="OF227" s="978"/>
      <c r="OG227" s="978"/>
      <c r="OH227" s="978"/>
      <c r="OI227" s="978"/>
      <c r="OJ227" s="978"/>
      <c r="OK227" s="978"/>
      <c r="OL227" s="978"/>
      <c r="OM227" s="978"/>
      <c r="ON227" s="978"/>
      <c r="OO227" s="978"/>
      <c r="OP227" s="978"/>
      <c r="OQ227" s="978"/>
      <c r="OR227" s="978"/>
      <c r="OS227" s="978"/>
      <c r="OT227" s="978"/>
      <c r="OU227" s="978"/>
      <c r="OV227" s="978"/>
      <c r="OW227" s="978"/>
      <c r="OX227" s="978"/>
      <c r="OY227" s="978"/>
      <c r="OZ227" s="978"/>
      <c r="PA227" s="978"/>
      <c r="PB227" s="978"/>
      <c r="PC227" s="978"/>
      <c r="PD227" s="978"/>
      <c r="PE227" s="978"/>
      <c r="PF227" s="978"/>
      <c r="PG227" s="978"/>
      <c r="PH227" s="978"/>
      <c r="PI227" s="978"/>
      <c r="PJ227" s="978"/>
      <c r="PK227" s="978"/>
      <c r="PL227" s="978"/>
      <c r="PM227" s="978"/>
      <c r="PN227" s="978"/>
      <c r="PO227" s="978"/>
      <c r="PP227" s="978"/>
      <c r="PQ227" s="978"/>
      <c r="PR227" s="978"/>
      <c r="PS227" s="978"/>
      <c r="PT227" s="978"/>
      <c r="PU227" s="978"/>
      <c r="PV227" s="978"/>
      <c r="PW227" s="978"/>
      <c r="PX227" s="978"/>
      <c r="PY227" s="978"/>
      <c r="PZ227" s="978"/>
      <c r="QA227" s="978"/>
      <c r="QB227" s="978"/>
      <c r="QC227" s="978"/>
      <c r="QD227" s="978"/>
      <c r="QE227" s="978"/>
      <c r="QF227" s="978"/>
      <c r="QG227" s="978"/>
      <c r="QH227" s="978"/>
      <c r="QI227" s="978"/>
      <c r="QJ227" s="978"/>
      <c r="QK227" s="978"/>
      <c r="QL227" s="978"/>
      <c r="QM227" s="978"/>
      <c r="QN227" s="978"/>
      <c r="QO227" s="978"/>
      <c r="QP227" s="978"/>
      <c r="QQ227" s="978"/>
      <c r="QR227" s="978"/>
      <c r="QS227" s="978"/>
      <c r="QT227" s="978"/>
      <c r="QU227" s="978"/>
      <c r="QV227" s="978"/>
      <c r="QW227" s="978"/>
      <c r="QX227" s="978"/>
      <c r="QY227" s="978"/>
      <c r="QZ227" s="978"/>
      <c r="RA227" s="978"/>
      <c r="RB227" s="274"/>
      <c r="RC227" s="274"/>
    </row>
    <row r="228" spans="112:471" ht="17.25">
      <c r="DH228" s="274"/>
      <c r="DI228" s="274"/>
      <c r="DJ228" s="978"/>
      <c r="DK228" s="978"/>
      <c r="DL228" s="978"/>
      <c r="DM228" s="978"/>
      <c r="DN228" s="978"/>
      <c r="DO228" s="978"/>
      <c r="DP228" s="978"/>
      <c r="DQ228" s="978"/>
      <c r="DR228" s="978"/>
      <c r="DS228" s="978"/>
      <c r="DT228" s="978"/>
      <c r="DU228" s="978"/>
      <c r="DV228" s="978"/>
      <c r="DW228" s="978"/>
      <c r="DX228" s="978"/>
      <c r="DY228" s="978"/>
      <c r="DZ228" s="978"/>
      <c r="EA228" s="978"/>
      <c r="EB228" s="978"/>
      <c r="EC228" s="978"/>
      <c r="ED228" s="978"/>
      <c r="EE228" s="978"/>
      <c r="EF228" s="978"/>
      <c r="EG228" s="978"/>
      <c r="EH228" s="978"/>
      <c r="EI228" s="978"/>
      <c r="EJ228" s="978"/>
      <c r="EK228" s="978"/>
      <c r="EL228" s="978"/>
      <c r="EM228" s="978"/>
      <c r="EN228" s="978"/>
      <c r="EO228" s="978"/>
      <c r="EP228" s="978"/>
      <c r="EQ228" s="978"/>
      <c r="ER228" s="978"/>
      <c r="ES228" s="978"/>
      <c r="ET228" s="978"/>
      <c r="EU228" s="978"/>
      <c r="EV228" s="978"/>
      <c r="EW228" s="978"/>
      <c r="EX228" s="978"/>
      <c r="EY228" s="978"/>
      <c r="EZ228" s="978"/>
      <c r="FA228" s="978"/>
      <c r="FB228" s="978"/>
      <c r="FC228" s="978"/>
      <c r="FD228" s="978"/>
      <c r="FE228" s="978"/>
      <c r="FF228" s="978"/>
      <c r="FG228" s="978"/>
      <c r="FH228" s="978"/>
      <c r="FI228" s="978"/>
      <c r="FJ228" s="978"/>
      <c r="FK228" s="978"/>
      <c r="FL228" s="978"/>
      <c r="FM228" s="978"/>
      <c r="FN228" s="978"/>
      <c r="FO228" s="978"/>
      <c r="FP228" s="978"/>
      <c r="FQ228" s="978"/>
      <c r="FR228" s="978"/>
      <c r="FS228" s="978"/>
      <c r="FT228" s="978"/>
      <c r="FU228" s="978"/>
      <c r="FV228" s="978"/>
      <c r="FW228" s="978"/>
      <c r="FX228" s="978"/>
      <c r="FY228" s="978"/>
      <c r="FZ228" s="978"/>
      <c r="GA228" s="978"/>
      <c r="GB228" s="978"/>
      <c r="GC228" s="978"/>
      <c r="GD228" s="978"/>
      <c r="GE228" s="978"/>
      <c r="GF228" s="978"/>
      <c r="GG228" s="978"/>
      <c r="GH228" s="978"/>
      <c r="GI228" s="978"/>
      <c r="GJ228" s="978"/>
      <c r="GK228" s="978"/>
      <c r="GL228" s="978"/>
      <c r="GM228" s="978"/>
      <c r="GN228" s="978"/>
      <c r="GO228" s="978"/>
      <c r="GP228" s="978"/>
      <c r="GQ228" s="978"/>
      <c r="GR228" s="978"/>
      <c r="GS228" s="978"/>
      <c r="GT228" s="978"/>
      <c r="GU228" s="978"/>
      <c r="GV228" s="978"/>
      <c r="GW228" s="978"/>
      <c r="GX228" s="978"/>
      <c r="GY228" s="978"/>
      <c r="GZ228" s="978"/>
      <c r="HA228" s="978"/>
      <c r="HB228" s="978"/>
      <c r="HC228" s="978"/>
      <c r="HD228" s="978"/>
      <c r="HE228" s="978"/>
      <c r="HF228" s="978"/>
      <c r="HG228" s="978"/>
      <c r="HH228" s="978"/>
      <c r="HI228" s="978"/>
      <c r="HJ228" s="978"/>
      <c r="HK228" s="978"/>
      <c r="HL228" s="978"/>
      <c r="HM228" s="978"/>
      <c r="HN228" s="978"/>
      <c r="HO228" s="978"/>
      <c r="HP228" s="978"/>
      <c r="HQ228" s="978"/>
      <c r="HR228" s="978"/>
      <c r="HS228" s="978"/>
      <c r="HT228" s="978"/>
      <c r="HU228" s="978"/>
      <c r="HV228" s="978"/>
      <c r="HW228" s="978"/>
      <c r="HX228" s="978"/>
      <c r="HY228" s="978"/>
      <c r="HZ228" s="978"/>
      <c r="IA228" s="978"/>
      <c r="IB228" s="978"/>
      <c r="IC228" s="978"/>
      <c r="ID228" s="978"/>
      <c r="IE228" s="978"/>
      <c r="IF228" s="978"/>
      <c r="IG228" s="978"/>
      <c r="IH228" s="978"/>
      <c r="II228" s="978"/>
      <c r="IJ228" s="978"/>
      <c r="IK228" s="978"/>
      <c r="IL228" s="978"/>
      <c r="IM228" s="978"/>
      <c r="IN228" s="978"/>
      <c r="IO228" s="978"/>
      <c r="IP228" s="978"/>
      <c r="IQ228" s="978"/>
      <c r="IR228" s="978"/>
      <c r="IS228" s="978"/>
      <c r="IT228" s="978"/>
      <c r="IU228" s="978"/>
      <c r="IV228" s="978"/>
      <c r="IW228" s="978"/>
      <c r="IX228" s="978"/>
      <c r="IY228" s="978"/>
      <c r="IZ228" s="978"/>
      <c r="JA228" s="978"/>
      <c r="JB228" s="978"/>
      <c r="JC228" s="978"/>
      <c r="JD228" s="978"/>
      <c r="JE228" s="978"/>
      <c r="JF228" s="978"/>
      <c r="JG228" s="978"/>
      <c r="JH228" s="978"/>
      <c r="JI228" s="978"/>
      <c r="JJ228" s="978"/>
      <c r="JK228" s="978"/>
      <c r="JL228" s="978"/>
      <c r="JM228" s="978"/>
      <c r="JN228" s="978"/>
      <c r="JO228" s="978"/>
      <c r="JP228" s="978"/>
      <c r="JQ228" s="978"/>
      <c r="JR228" s="978"/>
      <c r="JS228" s="978"/>
      <c r="JT228" s="978"/>
      <c r="JU228" s="978"/>
      <c r="JV228" s="978"/>
      <c r="JW228" s="978"/>
      <c r="JX228" s="978"/>
      <c r="JY228" s="978"/>
      <c r="JZ228" s="978"/>
      <c r="KA228" s="978"/>
      <c r="KB228" s="978"/>
      <c r="KC228" s="978"/>
      <c r="KD228" s="978"/>
      <c r="KE228" s="978"/>
      <c r="KF228" s="978"/>
      <c r="KG228" s="978"/>
      <c r="KH228" s="978"/>
      <c r="KI228" s="978"/>
      <c r="KJ228" s="978"/>
      <c r="KK228" s="978"/>
      <c r="KL228" s="978"/>
      <c r="KM228" s="978"/>
      <c r="KN228" s="978"/>
      <c r="KO228" s="978"/>
      <c r="KP228" s="978"/>
      <c r="KQ228" s="978"/>
      <c r="KR228" s="978"/>
      <c r="KS228" s="978"/>
      <c r="KT228" s="978"/>
      <c r="KU228" s="978"/>
      <c r="KV228" s="978"/>
      <c r="KW228" s="978"/>
      <c r="KX228" s="978"/>
      <c r="KY228" s="978"/>
      <c r="KZ228" s="978"/>
      <c r="LA228" s="978"/>
      <c r="LB228" s="978"/>
      <c r="LC228" s="978"/>
      <c r="LD228" s="978"/>
      <c r="LE228" s="978"/>
      <c r="LF228" s="978"/>
      <c r="LG228" s="978"/>
      <c r="LH228" s="978"/>
      <c r="LI228" s="978"/>
      <c r="LJ228" s="978"/>
      <c r="LK228" s="978"/>
      <c r="LL228" s="978"/>
      <c r="LM228" s="978"/>
      <c r="LN228" s="978"/>
      <c r="LO228" s="978"/>
      <c r="LP228" s="978"/>
      <c r="LQ228" s="978"/>
      <c r="LR228" s="978"/>
      <c r="LS228" s="978"/>
      <c r="LT228" s="978"/>
      <c r="LU228" s="978"/>
      <c r="LV228" s="978"/>
      <c r="LW228" s="978"/>
      <c r="LX228" s="978"/>
      <c r="LY228" s="978"/>
      <c r="LZ228" s="978"/>
      <c r="MA228" s="978"/>
      <c r="MB228" s="978"/>
      <c r="MC228" s="978"/>
      <c r="MD228" s="978"/>
      <c r="ME228" s="978"/>
      <c r="MF228" s="978"/>
      <c r="MG228" s="978"/>
      <c r="MH228" s="978"/>
      <c r="MI228" s="978"/>
      <c r="MJ228" s="978"/>
      <c r="MK228" s="978"/>
      <c r="ML228" s="978"/>
      <c r="MM228" s="978"/>
      <c r="MN228" s="978"/>
      <c r="MO228" s="978"/>
      <c r="MP228" s="978"/>
      <c r="MQ228" s="978"/>
      <c r="MR228" s="978"/>
      <c r="MS228" s="978"/>
      <c r="MT228" s="978"/>
      <c r="MU228" s="978"/>
      <c r="MV228" s="978"/>
      <c r="MW228" s="978"/>
      <c r="MX228" s="978"/>
      <c r="MY228" s="978"/>
      <c r="MZ228" s="978"/>
      <c r="NA228" s="978"/>
      <c r="NB228" s="978"/>
      <c r="NC228" s="978"/>
      <c r="ND228" s="978"/>
      <c r="NE228" s="978"/>
      <c r="NF228" s="978"/>
      <c r="NG228" s="978"/>
      <c r="NH228" s="978"/>
      <c r="NI228" s="978"/>
      <c r="NJ228" s="978"/>
      <c r="NK228" s="978"/>
      <c r="NL228" s="978"/>
      <c r="NM228" s="978"/>
      <c r="NN228" s="978"/>
      <c r="NO228" s="978"/>
      <c r="NP228" s="978"/>
      <c r="NQ228" s="978"/>
      <c r="NR228" s="978"/>
      <c r="NS228" s="978"/>
      <c r="NT228" s="978"/>
      <c r="NU228" s="978"/>
      <c r="NV228" s="978"/>
      <c r="NW228" s="978"/>
      <c r="NX228" s="978"/>
      <c r="NY228" s="978"/>
      <c r="NZ228" s="978"/>
      <c r="OA228" s="978"/>
      <c r="OB228" s="978"/>
      <c r="OC228" s="978"/>
      <c r="OD228" s="978"/>
      <c r="OE228" s="978"/>
      <c r="OF228" s="978"/>
      <c r="OG228" s="978"/>
      <c r="OH228" s="978"/>
      <c r="OI228" s="978"/>
      <c r="OJ228" s="978"/>
      <c r="OK228" s="978"/>
      <c r="OL228" s="978"/>
      <c r="OM228" s="978"/>
      <c r="ON228" s="978"/>
      <c r="OO228" s="978"/>
      <c r="OP228" s="978"/>
      <c r="OQ228" s="978"/>
      <c r="OR228" s="978"/>
      <c r="OS228" s="978"/>
      <c r="OT228" s="978"/>
      <c r="OU228" s="978"/>
      <c r="OV228" s="978"/>
      <c r="OW228" s="978"/>
      <c r="OX228" s="978"/>
      <c r="OY228" s="978"/>
      <c r="OZ228" s="978"/>
      <c r="PA228" s="978"/>
      <c r="PB228" s="978"/>
      <c r="PC228" s="978"/>
      <c r="PD228" s="978"/>
      <c r="PE228" s="978"/>
      <c r="PF228" s="978"/>
      <c r="PG228" s="978"/>
      <c r="PH228" s="978"/>
      <c r="PI228" s="978"/>
      <c r="PJ228" s="978"/>
      <c r="PK228" s="978"/>
      <c r="PL228" s="978"/>
      <c r="PM228" s="978"/>
      <c r="PN228" s="978"/>
      <c r="PO228" s="978"/>
      <c r="PP228" s="978"/>
      <c r="PQ228" s="978"/>
      <c r="PR228" s="978"/>
      <c r="PS228" s="978"/>
      <c r="PT228" s="978"/>
      <c r="PU228" s="978"/>
      <c r="PV228" s="978"/>
      <c r="PW228" s="978"/>
      <c r="PX228" s="978"/>
      <c r="PY228" s="978"/>
      <c r="PZ228" s="978"/>
      <c r="QA228" s="978"/>
      <c r="QB228" s="978"/>
      <c r="QC228" s="978"/>
      <c r="QD228" s="978"/>
      <c r="QE228" s="978"/>
      <c r="QF228" s="978"/>
      <c r="QG228" s="978"/>
      <c r="QH228" s="978"/>
      <c r="QI228" s="978"/>
      <c r="QJ228" s="978"/>
      <c r="QK228" s="978"/>
      <c r="QL228" s="978"/>
      <c r="QM228" s="978"/>
      <c r="QN228" s="978"/>
      <c r="QO228" s="978"/>
      <c r="QP228" s="978"/>
      <c r="QQ228" s="978"/>
      <c r="QR228" s="978"/>
      <c r="QS228" s="978"/>
      <c r="QT228" s="978"/>
      <c r="QU228" s="978"/>
      <c r="QV228" s="978"/>
      <c r="QW228" s="978"/>
      <c r="QX228" s="978"/>
      <c r="QY228" s="978"/>
      <c r="QZ228" s="978"/>
      <c r="RA228" s="978"/>
      <c r="RB228" s="274"/>
      <c r="RC228" s="274"/>
    </row>
    <row r="229" spans="112:471" ht="17.25">
      <c r="DH229" s="274"/>
      <c r="DI229" s="274"/>
      <c r="DJ229" s="978"/>
      <c r="DK229" s="978"/>
      <c r="DL229" s="978"/>
      <c r="DM229" s="978"/>
      <c r="DN229" s="978"/>
      <c r="DO229" s="978"/>
      <c r="DP229" s="978"/>
      <c r="DQ229" s="978"/>
      <c r="DR229" s="978"/>
      <c r="DS229" s="978"/>
      <c r="DT229" s="978"/>
      <c r="DU229" s="978"/>
      <c r="DV229" s="978"/>
      <c r="DW229" s="978"/>
      <c r="DX229" s="978"/>
      <c r="DY229" s="978"/>
      <c r="DZ229" s="978"/>
      <c r="EA229" s="978"/>
      <c r="EB229" s="978"/>
      <c r="EC229" s="978"/>
      <c r="ED229" s="978"/>
      <c r="EE229" s="978"/>
      <c r="EF229" s="978"/>
      <c r="EG229" s="978"/>
      <c r="EH229" s="978"/>
      <c r="EI229" s="978"/>
      <c r="EJ229" s="978"/>
      <c r="EK229" s="978"/>
      <c r="EL229" s="978"/>
      <c r="EM229" s="978"/>
      <c r="EN229" s="978"/>
      <c r="EO229" s="978"/>
      <c r="EP229" s="978"/>
      <c r="EQ229" s="978"/>
      <c r="ER229" s="978"/>
      <c r="ES229" s="978"/>
      <c r="ET229" s="978"/>
      <c r="EU229" s="978"/>
      <c r="EV229" s="978"/>
      <c r="EW229" s="978"/>
      <c r="EX229" s="978"/>
      <c r="EY229" s="978"/>
      <c r="EZ229" s="978"/>
      <c r="FA229" s="978"/>
      <c r="FB229" s="978"/>
      <c r="FC229" s="978"/>
      <c r="FD229" s="978"/>
      <c r="FE229" s="978"/>
      <c r="FF229" s="978"/>
      <c r="FG229" s="978"/>
      <c r="FH229" s="978"/>
      <c r="FI229" s="978"/>
      <c r="FJ229" s="978"/>
      <c r="FK229" s="978"/>
      <c r="FL229" s="978"/>
      <c r="FM229" s="978"/>
      <c r="FN229" s="978"/>
      <c r="FO229" s="978"/>
      <c r="FP229" s="978"/>
      <c r="FQ229" s="978"/>
      <c r="FR229" s="978"/>
      <c r="FS229" s="978"/>
      <c r="FT229" s="978"/>
      <c r="FU229" s="978"/>
      <c r="FV229" s="978"/>
      <c r="FW229" s="978"/>
      <c r="FX229" s="978"/>
      <c r="FY229" s="978"/>
      <c r="FZ229" s="978"/>
      <c r="GA229" s="978"/>
      <c r="GB229" s="978"/>
      <c r="GC229" s="978"/>
      <c r="GD229" s="978"/>
      <c r="GE229" s="978"/>
      <c r="GF229" s="978"/>
      <c r="GG229" s="978"/>
      <c r="GH229" s="978"/>
      <c r="GI229" s="978"/>
      <c r="GJ229" s="978"/>
      <c r="GK229" s="978"/>
      <c r="GL229" s="978"/>
      <c r="GM229" s="978"/>
      <c r="GN229" s="978"/>
      <c r="GO229" s="978"/>
      <c r="GP229" s="978"/>
      <c r="GQ229" s="978"/>
      <c r="GR229" s="978"/>
      <c r="GS229" s="978"/>
      <c r="GT229" s="978"/>
      <c r="GU229" s="978"/>
      <c r="GV229" s="978"/>
      <c r="GW229" s="978"/>
      <c r="GX229" s="978"/>
      <c r="GY229" s="978"/>
      <c r="GZ229" s="978"/>
      <c r="HA229" s="978"/>
      <c r="HB229" s="978"/>
      <c r="HC229" s="978"/>
      <c r="HD229" s="978"/>
      <c r="HE229" s="978"/>
      <c r="HF229" s="978"/>
      <c r="HG229" s="978"/>
      <c r="HH229" s="978"/>
      <c r="HI229" s="978"/>
      <c r="HJ229" s="978"/>
      <c r="HK229" s="978"/>
      <c r="HL229" s="978"/>
      <c r="HM229" s="978"/>
      <c r="HN229" s="978"/>
      <c r="HO229" s="978"/>
      <c r="HP229" s="978"/>
      <c r="HQ229" s="978"/>
      <c r="HR229" s="978"/>
      <c r="HS229" s="978"/>
      <c r="HT229" s="978"/>
      <c r="HU229" s="978"/>
      <c r="HV229" s="978"/>
      <c r="HW229" s="978"/>
      <c r="HX229" s="978"/>
      <c r="HY229" s="978"/>
      <c r="HZ229" s="978"/>
      <c r="IA229" s="978"/>
      <c r="IB229" s="978"/>
      <c r="IC229" s="978"/>
      <c r="ID229" s="978"/>
      <c r="IE229" s="978"/>
      <c r="IF229" s="978"/>
      <c r="IG229" s="978"/>
      <c r="IH229" s="978"/>
      <c r="II229" s="978"/>
      <c r="IJ229" s="978"/>
      <c r="IK229" s="978"/>
      <c r="IL229" s="978"/>
      <c r="IM229" s="978"/>
      <c r="IN229" s="978"/>
      <c r="IO229" s="978"/>
      <c r="IP229" s="978"/>
      <c r="IQ229" s="978"/>
      <c r="IR229" s="978"/>
      <c r="IS229" s="978"/>
      <c r="IT229" s="978"/>
      <c r="IU229" s="978"/>
      <c r="IV229" s="978"/>
      <c r="IW229" s="978"/>
      <c r="IX229" s="978"/>
      <c r="IY229" s="978"/>
      <c r="IZ229" s="978"/>
      <c r="JA229" s="978"/>
      <c r="JB229" s="978"/>
      <c r="JC229" s="978"/>
      <c r="JD229" s="978"/>
      <c r="JE229" s="978"/>
      <c r="JF229" s="978"/>
      <c r="JG229" s="978"/>
      <c r="JH229" s="978"/>
      <c r="JI229" s="978"/>
      <c r="JJ229" s="978"/>
      <c r="JK229" s="978"/>
      <c r="JL229" s="978"/>
      <c r="JM229" s="978"/>
      <c r="JN229" s="978"/>
      <c r="JO229" s="978"/>
      <c r="JP229" s="978"/>
      <c r="JQ229" s="978"/>
      <c r="JR229" s="978"/>
      <c r="JS229" s="978"/>
      <c r="JT229" s="978"/>
      <c r="JU229" s="978"/>
      <c r="JV229" s="978"/>
      <c r="JW229" s="978"/>
      <c r="JX229" s="978"/>
      <c r="JY229" s="978"/>
      <c r="JZ229" s="978"/>
      <c r="KA229" s="978"/>
      <c r="KB229" s="978"/>
      <c r="KC229" s="978"/>
      <c r="KD229" s="978"/>
      <c r="KE229" s="978"/>
      <c r="KF229" s="978"/>
      <c r="KG229" s="978"/>
      <c r="KH229" s="978"/>
      <c r="KI229" s="978"/>
      <c r="KJ229" s="978"/>
      <c r="KK229" s="978"/>
      <c r="KL229" s="978"/>
      <c r="KM229" s="978"/>
      <c r="KN229" s="978"/>
      <c r="KO229" s="978"/>
      <c r="KP229" s="978"/>
      <c r="KQ229" s="978"/>
      <c r="KR229" s="978"/>
      <c r="KS229" s="978"/>
      <c r="KT229" s="978"/>
      <c r="KU229" s="978"/>
      <c r="KV229" s="978"/>
      <c r="KW229" s="978"/>
      <c r="KX229" s="978"/>
      <c r="KY229" s="978"/>
      <c r="KZ229" s="978"/>
      <c r="LA229" s="978"/>
      <c r="LB229" s="978"/>
      <c r="LC229" s="978"/>
      <c r="LD229" s="978"/>
      <c r="LE229" s="978"/>
      <c r="LF229" s="978"/>
      <c r="LG229" s="978"/>
      <c r="LH229" s="978"/>
      <c r="LI229" s="978"/>
      <c r="LJ229" s="978"/>
      <c r="LK229" s="978"/>
      <c r="LL229" s="978"/>
      <c r="LM229" s="978"/>
      <c r="LN229" s="978"/>
      <c r="LO229" s="978"/>
      <c r="LP229" s="978"/>
      <c r="LQ229" s="978"/>
      <c r="LR229" s="978"/>
      <c r="LS229" s="978"/>
      <c r="LT229" s="978"/>
      <c r="LU229" s="978"/>
      <c r="LV229" s="978"/>
      <c r="LW229" s="978"/>
      <c r="LX229" s="978"/>
      <c r="LY229" s="978"/>
      <c r="LZ229" s="978"/>
      <c r="MA229" s="978"/>
      <c r="MB229" s="978"/>
      <c r="MC229" s="978"/>
      <c r="MD229" s="978"/>
      <c r="ME229" s="978"/>
      <c r="MF229" s="978"/>
      <c r="MG229" s="978"/>
      <c r="MH229" s="978"/>
      <c r="MI229" s="978"/>
      <c r="MJ229" s="978"/>
      <c r="MK229" s="978"/>
      <c r="ML229" s="978"/>
      <c r="MM229" s="978"/>
      <c r="MN229" s="978"/>
      <c r="MO229" s="978"/>
      <c r="MP229" s="978"/>
      <c r="MQ229" s="978"/>
      <c r="MR229" s="978"/>
      <c r="MS229" s="978"/>
      <c r="MT229" s="978"/>
      <c r="MU229" s="978"/>
      <c r="MV229" s="978"/>
      <c r="MW229" s="978"/>
      <c r="MX229" s="978"/>
      <c r="MY229" s="978"/>
      <c r="MZ229" s="978"/>
      <c r="NA229" s="978"/>
      <c r="NB229" s="978"/>
      <c r="NC229" s="978"/>
      <c r="ND229" s="978"/>
      <c r="NE229" s="978"/>
      <c r="NF229" s="978"/>
      <c r="NG229" s="978"/>
      <c r="NH229" s="978"/>
      <c r="NI229" s="978"/>
      <c r="NJ229" s="978"/>
      <c r="NK229" s="978"/>
      <c r="NL229" s="978"/>
      <c r="NM229" s="978"/>
      <c r="NN229" s="978"/>
      <c r="NO229" s="978"/>
      <c r="NP229" s="978"/>
      <c r="NQ229" s="978"/>
      <c r="NR229" s="978"/>
      <c r="NS229" s="978"/>
      <c r="NT229" s="978"/>
      <c r="NU229" s="978"/>
      <c r="NV229" s="978"/>
      <c r="NW229" s="978"/>
      <c r="NX229" s="978"/>
      <c r="NY229" s="978"/>
      <c r="NZ229" s="978"/>
      <c r="OA229" s="978"/>
      <c r="OB229" s="978"/>
      <c r="OC229" s="978"/>
      <c r="OD229" s="978"/>
      <c r="OE229" s="978"/>
      <c r="OF229" s="978"/>
      <c r="OG229" s="978"/>
      <c r="OH229" s="978"/>
      <c r="OI229" s="978"/>
      <c r="OJ229" s="978"/>
      <c r="OK229" s="978"/>
      <c r="OL229" s="978"/>
      <c r="OM229" s="978"/>
      <c r="ON229" s="978"/>
      <c r="OO229" s="978"/>
      <c r="OP229" s="978"/>
      <c r="OQ229" s="978"/>
      <c r="OR229" s="978"/>
      <c r="OS229" s="978"/>
      <c r="OT229" s="978"/>
      <c r="OU229" s="978"/>
      <c r="OV229" s="978"/>
      <c r="OW229" s="978"/>
      <c r="OX229" s="978"/>
      <c r="OY229" s="978"/>
      <c r="OZ229" s="978"/>
      <c r="PA229" s="978"/>
      <c r="PB229" s="978"/>
      <c r="PC229" s="978"/>
      <c r="PD229" s="978"/>
      <c r="PE229" s="978"/>
      <c r="PF229" s="978"/>
      <c r="PG229" s="978"/>
      <c r="PH229" s="978"/>
      <c r="PI229" s="978"/>
      <c r="PJ229" s="978"/>
      <c r="PK229" s="978"/>
      <c r="PL229" s="978"/>
      <c r="PM229" s="978"/>
      <c r="PN229" s="978"/>
      <c r="PO229" s="978"/>
      <c r="PP229" s="978"/>
      <c r="PQ229" s="978"/>
      <c r="PR229" s="978"/>
      <c r="PS229" s="978"/>
      <c r="PT229" s="978"/>
      <c r="PU229" s="978"/>
      <c r="PV229" s="978"/>
      <c r="PW229" s="978"/>
      <c r="PX229" s="978"/>
      <c r="PY229" s="978"/>
      <c r="PZ229" s="978"/>
      <c r="QA229" s="978"/>
      <c r="QB229" s="978"/>
      <c r="QC229" s="978"/>
      <c r="QD229" s="978"/>
      <c r="QE229" s="978"/>
      <c r="QF229" s="978"/>
      <c r="QG229" s="978"/>
      <c r="QH229" s="978"/>
      <c r="QI229" s="978"/>
      <c r="QJ229" s="978"/>
      <c r="QK229" s="978"/>
      <c r="QL229" s="978"/>
      <c r="QM229" s="978"/>
      <c r="QN229" s="978"/>
      <c r="QO229" s="978"/>
      <c r="QP229" s="978"/>
      <c r="QQ229" s="978"/>
      <c r="QR229" s="978"/>
      <c r="QS229" s="978"/>
      <c r="QT229" s="978"/>
      <c r="QU229" s="978"/>
      <c r="QV229" s="978"/>
      <c r="QW229" s="978"/>
      <c r="QX229" s="978"/>
      <c r="QY229" s="978"/>
      <c r="QZ229" s="978"/>
      <c r="RA229" s="978"/>
      <c r="RB229" s="274"/>
      <c r="RC229" s="274"/>
    </row>
    <row r="230" spans="112:471">
      <c r="DH230" s="274"/>
      <c r="DI230" s="274"/>
      <c r="DJ230" s="274"/>
      <c r="DK230" s="274"/>
      <c r="DL230" s="274"/>
      <c r="DM230" s="274"/>
      <c r="DN230" s="274"/>
      <c r="DO230" s="274"/>
      <c r="DP230" s="274"/>
      <c r="DQ230" s="274"/>
      <c r="DR230" s="274"/>
      <c r="DS230" s="274"/>
      <c r="DT230" s="274"/>
      <c r="DU230" s="274"/>
      <c r="DV230" s="274"/>
      <c r="DW230" s="274"/>
      <c r="DX230" s="274"/>
      <c r="DY230" s="274"/>
      <c r="DZ230" s="274"/>
      <c r="EA230" s="274"/>
      <c r="EB230" s="274"/>
      <c r="EC230" s="274"/>
      <c r="ED230" s="274"/>
      <c r="EE230" s="274"/>
      <c r="EF230" s="274"/>
      <c r="EG230" s="274"/>
      <c r="EH230" s="274"/>
      <c r="EI230" s="274"/>
      <c r="EJ230" s="274"/>
      <c r="EK230" s="274"/>
      <c r="EL230" s="274"/>
      <c r="EM230" s="274"/>
      <c r="EN230" s="274"/>
      <c r="EO230" s="274"/>
      <c r="EP230" s="274"/>
      <c r="EQ230" s="274"/>
      <c r="ER230" s="274"/>
      <c r="ES230" s="274"/>
      <c r="ET230" s="274"/>
      <c r="EU230" s="274"/>
      <c r="EV230" s="274"/>
      <c r="EW230" s="274"/>
      <c r="EX230" s="274"/>
      <c r="EY230" s="274"/>
      <c r="EZ230" s="274"/>
      <c r="FA230" s="274"/>
      <c r="FB230" s="274"/>
      <c r="FC230" s="274"/>
      <c r="FD230" s="274"/>
      <c r="FE230" s="274"/>
      <c r="FF230" s="274"/>
      <c r="FG230" s="274"/>
      <c r="FH230" s="274"/>
      <c r="FI230" s="274"/>
      <c r="FJ230" s="274"/>
      <c r="FK230" s="274"/>
      <c r="FL230" s="274"/>
      <c r="FM230" s="274"/>
      <c r="FN230" s="274"/>
      <c r="FO230" s="274"/>
      <c r="FP230" s="274"/>
      <c r="FQ230" s="274"/>
      <c r="FR230" s="274"/>
      <c r="FS230" s="274"/>
      <c r="FT230" s="274"/>
      <c r="FU230" s="274"/>
      <c r="FV230" s="274"/>
      <c r="FW230" s="274"/>
      <c r="FX230" s="274"/>
      <c r="FY230" s="274"/>
      <c r="FZ230" s="274"/>
      <c r="GA230" s="274"/>
      <c r="GB230" s="274"/>
      <c r="GC230" s="274"/>
      <c r="GD230" s="274"/>
      <c r="GE230" s="274"/>
      <c r="GF230" s="274"/>
      <c r="GG230" s="274"/>
      <c r="GH230" s="274"/>
      <c r="GI230" s="274"/>
      <c r="GJ230" s="274"/>
      <c r="GK230" s="274"/>
      <c r="GL230" s="274"/>
      <c r="GM230" s="274"/>
      <c r="GN230" s="274"/>
      <c r="GO230" s="274"/>
      <c r="GP230" s="274"/>
      <c r="GQ230" s="274"/>
      <c r="GR230" s="274"/>
      <c r="GS230" s="274"/>
      <c r="GT230" s="274"/>
      <c r="GU230" s="274"/>
      <c r="GV230" s="274"/>
      <c r="GW230" s="274"/>
      <c r="GX230" s="274"/>
      <c r="GY230" s="274"/>
      <c r="GZ230" s="274"/>
      <c r="HA230" s="274"/>
      <c r="HB230" s="274"/>
      <c r="HC230" s="274"/>
      <c r="HD230" s="274"/>
      <c r="HE230" s="274"/>
      <c r="HF230" s="274"/>
      <c r="HG230" s="274"/>
      <c r="HH230" s="274"/>
      <c r="HI230" s="274"/>
      <c r="HJ230" s="274"/>
      <c r="HK230" s="274"/>
      <c r="HL230" s="274"/>
      <c r="HM230" s="274"/>
      <c r="HN230" s="274"/>
      <c r="HO230" s="274"/>
      <c r="HP230" s="274"/>
      <c r="HQ230" s="274"/>
      <c r="HR230" s="274"/>
      <c r="HS230" s="274"/>
      <c r="HT230" s="274"/>
      <c r="HU230" s="274"/>
      <c r="HV230" s="274"/>
      <c r="HW230" s="274"/>
      <c r="HX230" s="274"/>
      <c r="HY230" s="274"/>
      <c r="HZ230" s="274"/>
      <c r="IA230" s="274"/>
      <c r="IB230" s="274"/>
      <c r="IC230" s="274"/>
      <c r="ID230" s="274"/>
      <c r="IE230" s="274"/>
      <c r="IF230" s="274"/>
      <c r="IG230" s="274"/>
      <c r="IH230" s="274"/>
      <c r="II230" s="274"/>
      <c r="IJ230" s="274"/>
      <c r="IK230" s="274"/>
      <c r="IL230" s="274"/>
      <c r="IM230" s="274"/>
      <c r="IN230" s="274"/>
      <c r="IO230" s="274"/>
      <c r="IP230" s="274"/>
      <c r="IQ230" s="274"/>
      <c r="IR230" s="274"/>
      <c r="IS230" s="274"/>
      <c r="IT230" s="274"/>
      <c r="IU230" s="274"/>
      <c r="IV230" s="274"/>
      <c r="IW230" s="274"/>
      <c r="IX230" s="274"/>
      <c r="IY230" s="274"/>
      <c r="IZ230" s="274"/>
      <c r="JA230" s="274"/>
      <c r="JB230" s="274"/>
      <c r="JC230" s="274"/>
      <c r="JD230" s="274"/>
      <c r="JE230" s="274"/>
      <c r="JF230" s="274"/>
      <c r="JG230" s="274"/>
      <c r="JH230" s="274"/>
      <c r="JI230" s="274"/>
      <c r="JJ230" s="274"/>
      <c r="JK230" s="274"/>
      <c r="JL230" s="274"/>
      <c r="JM230" s="274"/>
      <c r="JN230" s="274"/>
      <c r="JO230" s="274"/>
      <c r="JP230" s="274"/>
      <c r="JQ230" s="274"/>
      <c r="JR230" s="274"/>
      <c r="JS230" s="274"/>
      <c r="JT230" s="274"/>
      <c r="JU230" s="274"/>
      <c r="JV230" s="274"/>
      <c r="JW230" s="274"/>
      <c r="JX230" s="274"/>
      <c r="JY230" s="274"/>
      <c r="JZ230" s="274"/>
      <c r="KA230" s="274"/>
      <c r="KB230" s="274"/>
      <c r="KC230" s="274"/>
      <c r="KD230" s="274"/>
      <c r="KE230" s="274"/>
      <c r="KF230" s="274"/>
      <c r="KG230" s="274"/>
      <c r="KH230" s="274"/>
      <c r="KI230" s="274"/>
      <c r="KJ230" s="274"/>
      <c r="KK230" s="274"/>
      <c r="KL230" s="274"/>
      <c r="KM230" s="274"/>
      <c r="KN230" s="274"/>
      <c r="KO230" s="274"/>
      <c r="KP230" s="274"/>
      <c r="KQ230" s="274"/>
      <c r="KR230" s="274"/>
      <c r="KS230" s="274"/>
      <c r="KT230" s="274"/>
      <c r="KU230" s="274"/>
      <c r="KV230" s="274"/>
      <c r="KW230" s="274"/>
      <c r="KX230" s="274"/>
      <c r="KY230" s="274"/>
      <c r="KZ230" s="274"/>
      <c r="LA230" s="274"/>
      <c r="LB230" s="274"/>
      <c r="LC230" s="274"/>
      <c r="LD230" s="274"/>
      <c r="LE230" s="274"/>
      <c r="LF230" s="274"/>
      <c r="LG230" s="274"/>
      <c r="LH230" s="274"/>
      <c r="LI230" s="274"/>
      <c r="LJ230" s="274"/>
      <c r="LK230" s="274"/>
      <c r="LL230" s="274"/>
      <c r="LM230" s="274"/>
      <c r="LN230" s="274"/>
      <c r="LO230" s="274"/>
      <c r="LP230" s="274"/>
      <c r="LQ230" s="274"/>
      <c r="LR230" s="274"/>
      <c r="LS230" s="274"/>
      <c r="LT230" s="274"/>
      <c r="LU230" s="274"/>
      <c r="LV230" s="274"/>
      <c r="LW230" s="274"/>
      <c r="LX230" s="274"/>
      <c r="LY230" s="274"/>
      <c r="LZ230" s="274"/>
      <c r="MA230" s="274"/>
      <c r="MB230" s="274"/>
      <c r="MC230" s="274"/>
      <c r="MD230" s="274"/>
      <c r="ME230" s="274"/>
      <c r="MF230" s="274"/>
      <c r="MG230" s="274"/>
      <c r="MH230" s="274"/>
      <c r="MI230" s="274"/>
      <c r="MJ230" s="274"/>
      <c r="MK230" s="274"/>
      <c r="ML230" s="274"/>
      <c r="MM230" s="274"/>
      <c r="MN230" s="274"/>
      <c r="MO230" s="274"/>
      <c r="MP230" s="274"/>
      <c r="MQ230" s="274"/>
      <c r="MR230" s="274"/>
      <c r="MS230" s="274"/>
      <c r="MT230" s="274"/>
      <c r="MU230" s="274"/>
      <c r="MV230" s="274"/>
      <c r="MW230" s="274"/>
      <c r="MX230" s="274"/>
      <c r="MY230" s="274"/>
      <c r="MZ230" s="274"/>
      <c r="NA230" s="274"/>
      <c r="NB230" s="274"/>
      <c r="NC230" s="274"/>
      <c r="ND230" s="274"/>
      <c r="NE230" s="274"/>
      <c r="NF230" s="274"/>
      <c r="NG230" s="274"/>
      <c r="NH230" s="274"/>
      <c r="NI230" s="274"/>
      <c r="NJ230" s="274"/>
      <c r="NK230" s="274"/>
      <c r="NL230" s="274"/>
      <c r="NM230" s="274"/>
      <c r="NN230" s="274"/>
      <c r="NO230" s="274"/>
      <c r="NP230" s="274"/>
      <c r="NQ230" s="274"/>
      <c r="NR230" s="274"/>
      <c r="NS230" s="274"/>
      <c r="NT230" s="274"/>
      <c r="NU230" s="274"/>
      <c r="NV230" s="274"/>
      <c r="NW230" s="274"/>
      <c r="NX230" s="274"/>
      <c r="NY230" s="274"/>
      <c r="NZ230" s="274"/>
      <c r="OA230" s="274"/>
      <c r="OB230" s="274"/>
      <c r="OC230" s="274"/>
      <c r="OD230" s="274"/>
      <c r="OE230" s="274"/>
      <c r="OF230" s="274"/>
      <c r="OG230" s="274"/>
      <c r="OH230" s="274"/>
      <c r="OI230" s="274"/>
      <c r="OJ230" s="274"/>
      <c r="OK230" s="274"/>
      <c r="OL230" s="274"/>
      <c r="OM230" s="274"/>
      <c r="ON230" s="274"/>
      <c r="OO230" s="274"/>
      <c r="OP230" s="274"/>
      <c r="OQ230" s="274"/>
      <c r="OR230" s="274"/>
      <c r="OS230" s="274"/>
      <c r="OT230" s="274"/>
      <c r="OU230" s="274"/>
      <c r="OV230" s="274"/>
      <c r="OW230" s="274"/>
      <c r="OX230" s="274"/>
      <c r="OY230" s="274"/>
      <c r="OZ230" s="274"/>
      <c r="PA230" s="274"/>
      <c r="PB230" s="274"/>
      <c r="PC230" s="274"/>
      <c r="PD230" s="274"/>
      <c r="PE230" s="274"/>
      <c r="PF230" s="274"/>
      <c r="PG230" s="274"/>
      <c r="PH230" s="274"/>
      <c r="PI230" s="274"/>
      <c r="PJ230" s="274"/>
      <c r="PK230" s="274"/>
      <c r="PL230" s="274"/>
      <c r="PM230" s="274"/>
      <c r="PN230" s="274"/>
      <c r="PO230" s="274"/>
      <c r="PP230" s="274"/>
      <c r="PQ230" s="274"/>
      <c r="PR230" s="274"/>
      <c r="PS230" s="274"/>
      <c r="PT230" s="274"/>
      <c r="PU230" s="274"/>
      <c r="PV230" s="274"/>
      <c r="PW230" s="274"/>
      <c r="PX230" s="274"/>
      <c r="PY230" s="274"/>
      <c r="PZ230" s="274"/>
      <c r="QA230" s="274"/>
      <c r="QB230" s="274"/>
      <c r="QC230" s="274"/>
      <c r="QD230" s="274"/>
      <c r="QE230" s="274"/>
      <c r="QF230" s="274"/>
      <c r="QG230" s="274"/>
      <c r="QH230" s="274"/>
      <c r="QI230" s="274"/>
      <c r="QJ230" s="274"/>
      <c r="QK230" s="274"/>
      <c r="QL230" s="274"/>
      <c r="QM230" s="274"/>
      <c r="QN230" s="274"/>
      <c r="QO230" s="274"/>
      <c r="QP230" s="274"/>
      <c r="QQ230" s="274"/>
      <c r="QR230" s="274"/>
      <c r="QS230" s="274"/>
      <c r="QT230" s="274"/>
      <c r="QU230" s="274"/>
      <c r="QV230" s="274"/>
      <c r="QW230" s="274"/>
      <c r="QX230" s="274"/>
      <c r="QY230" s="274"/>
      <c r="QZ230" s="274"/>
      <c r="RA230" s="274"/>
      <c r="RB230" s="274"/>
      <c r="RC230" s="274"/>
    </row>
    <row r="231" spans="112:471">
      <c r="DH231" s="274"/>
      <c r="DI231" s="274"/>
      <c r="DJ231" s="274"/>
      <c r="DK231" s="274"/>
      <c r="DL231" s="274"/>
      <c r="DM231" s="274"/>
      <c r="DN231" s="274"/>
      <c r="DO231" s="274"/>
      <c r="DP231" s="274"/>
      <c r="DQ231" s="274"/>
      <c r="DR231" s="274"/>
      <c r="DS231" s="274"/>
      <c r="DT231" s="274"/>
      <c r="DU231" s="274"/>
      <c r="DV231" s="274"/>
      <c r="DW231" s="274"/>
      <c r="DX231" s="274"/>
      <c r="DY231" s="274"/>
      <c r="DZ231" s="274"/>
      <c r="EA231" s="274"/>
      <c r="EB231" s="274"/>
      <c r="EC231" s="274"/>
      <c r="ED231" s="274"/>
      <c r="EE231" s="274"/>
      <c r="EF231" s="274"/>
      <c r="EG231" s="274"/>
      <c r="EH231" s="274"/>
      <c r="EI231" s="274"/>
      <c r="EJ231" s="274"/>
      <c r="EK231" s="274"/>
      <c r="EL231" s="274"/>
      <c r="EM231" s="274"/>
      <c r="EN231" s="274"/>
      <c r="EO231" s="274"/>
      <c r="EP231" s="274"/>
      <c r="EQ231" s="274"/>
      <c r="ER231" s="274"/>
      <c r="ES231" s="274"/>
      <c r="ET231" s="274"/>
      <c r="EU231" s="274"/>
      <c r="EV231" s="274"/>
      <c r="EW231" s="274"/>
      <c r="EX231" s="274"/>
      <c r="EY231" s="274"/>
      <c r="EZ231" s="274"/>
      <c r="FA231" s="274"/>
      <c r="FB231" s="274"/>
      <c r="FC231" s="274"/>
      <c r="FD231" s="274"/>
      <c r="FE231" s="274"/>
      <c r="FF231" s="274"/>
      <c r="FG231" s="274"/>
      <c r="FH231" s="274"/>
      <c r="FI231" s="274"/>
      <c r="FJ231" s="274"/>
      <c r="FK231" s="274"/>
      <c r="FL231" s="274"/>
      <c r="FM231" s="274"/>
      <c r="FN231" s="274"/>
      <c r="FO231" s="274"/>
      <c r="FP231" s="274"/>
      <c r="FQ231" s="274"/>
      <c r="FR231" s="274"/>
      <c r="FS231" s="274"/>
      <c r="FT231" s="274"/>
      <c r="FU231" s="274"/>
      <c r="FV231" s="274"/>
      <c r="FW231" s="274"/>
      <c r="FX231" s="274"/>
      <c r="FY231" s="274"/>
      <c r="FZ231" s="274"/>
      <c r="GA231" s="274"/>
      <c r="GB231" s="274"/>
      <c r="GC231" s="274"/>
      <c r="GD231" s="274"/>
      <c r="GE231" s="274"/>
      <c r="GF231" s="274"/>
      <c r="GG231" s="274"/>
      <c r="GH231" s="274"/>
      <c r="GI231" s="274"/>
      <c r="GJ231" s="274"/>
      <c r="GK231" s="274"/>
      <c r="GL231" s="274"/>
      <c r="GM231" s="274"/>
      <c r="GN231" s="274"/>
      <c r="GO231" s="274"/>
      <c r="GP231" s="274"/>
      <c r="GQ231" s="274"/>
      <c r="GR231" s="274"/>
      <c r="GS231" s="274"/>
      <c r="GT231" s="274"/>
      <c r="GU231" s="274"/>
      <c r="GV231" s="274"/>
      <c r="GW231" s="274"/>
      <c r="GX231" s="274"/>
      <c r="GY231" s="274"/>
      <c r="GZ231" s="274"/>
      <c r="HA231" s="274"/>
      <c r="HB231" s="274"/>
      <c r="HC231" s="274"/>
      <c r="HD231" s="274"/>
      <c r="HE231" s="274"/>
      <c r="HF231" s="274"/>
      <c r="HG231" s="274"/>
      <c r="HH231" s="274"/>
      <c r="HI231" s="274"/>
      <c r="HJ231" s="274"/>
      <c r="HK231" s="274"/>
      <c r="HL231" s="274"/>
      <c r="HM231" s="274"/>
      <c r="HN231" s="274"/>
      <c r="HO231" s="274"/>
      <c r="HP231" s="274"/>
      <c r="HQ231" s="274"/>
      <c r="HR231" s="274"/>
      <c r="HS231" s="274"/>
      <c r="HT231" s="274"/>
      <c r="HU231" s="274"/>
      <c r="HV231" s="274"/>
      <c r="HW231" s="274"/>
      <c r="HX231" s="274"/>
      <c r="HY231" s="274"/>
      <c r="HZ231" s="274"/>
      <c r="IA231" s="274"/>
      <c r="IB231" s="274"/>
      <c r="IC231" s="274"/>
      <c r="ID231" s="274"/>
      <c r="IE231" s="274"/>
      <c r="IF231" s="274"/>
      <c r="IG231" s="274"/>
      <c r="IH231" s="274"/>
      <c r="II231" s="274"/>
      <c r="IJ231" s="274"/>
      <c r="IK231" s="274"/>
      <c r="IL231" s="274"/>
      <c r="IM231" s="274"/>
      <c r="IN231" s="274"/>
      <c r="IO231" s="274"/>
      <c r="IP231" s="274"/>
      <c r="IQ231" s="274"/>
      <c r="IR231" s="274"/>
      <c r="IS231" s="274"/>
      <c r="IT231" s="274"/>
      <c r="IU231" s="274"/>
      <c r="IV231" s="274"/>
      <c r="IW231" s="274"/>
      <c r="IX231" s="274"/>
      <c r="IY231" s="274"/>
      <c r="IZ231" s="274"/>
      <c r="JA231" s="274"/>
      <c r="JB231" s="274"/>
      <c r="JC231" s="274"/>
      <c r="JD231" s="274"/>
      <c r="JE231" s="274"/>
      <c r="JF231" s="274"/>
      <c r="JG231" s="274"/>
      <c r="JH231" s="274"/>
      <c r="JI231" s="274"/>
      <c r="JJ231" s="274"/>
      <c r="JK231" s="274"/>
      <c r="JL231" s="274"/>
      <c r="JM231" s="274"/>
      <c r="JN231" s="274"/>
      <c r="JO231" s="274"/>
      <c r="JP231" s="274"/>
      <c r="JQ231" s="274"/>
      <c r="JR231" s="274"/>
      <c r="JS231" s="274"/>
      <c r="JT231" s="274"/>
      <c r="JU231" s="274"/>
      <c r="JV231" s="274"/>
      <c r="JW231" s="274"/>
      <c r="JX231" s="274"/>
      <c r="JY231" s="274"/>
      <c r="JZ231" s="274"/>
      <c r="KA231" s="274"/>
      <c r="KB231" s="274"/>
      <c r="KC231" s="274"/>
      <c r="KD231" s="274"/>
      <c r="KE231" s="274"/>
      <c r="KF231" s="274"/>
      <c r="KG231" s="274"/>
      <c r="KH231" s="274"/>
      <c r="KI231" s="274"/>
      <c r="KJ231" s="274"/>
      <c r="KK231" s="274"/>
      <c r="KL231" s="274"/>
      <c r="KM231" s="274"/>
      <c r="KN231" s="274"/>
      <c r="KO231" s="274"/>
      <c r="KP231" s="274"/>
      <c r="KQ231" s="274"/>
      <c r="KR231" s="274"/>
      <c r="KS231" s="274"/>
      <c r="KT231" s="274"/>
      <c r="KU231" s="274"/>
      <c r="KV231" s="274"/>
      <c r="KW231" s="274"/>
      <c r="KX231" s="274"/>
      <c r="KY231" s="274"/>
      <c r="KZ231" s="274"/>
      <c r="LA231" s="274"/>
      <c r="LB231" s="274"/>
      <c r="LC231" s="274"/>
      <c r="LD231" s="274"/>
      <c r="LE231" s="274"/>
      <c r="LF231" s="274"/>
      <c r="LG231" s="274"/>
      <c r="LH231" s="274"/>
      <c r="LI231" s="274"/>
      <c r="LJ231" s="274"/>
      <c r="LK231" s="274"/>
      <c r="LL231" s="274"/>
      <c r="LM231" s="274"/>
      <c r="LN231" s="274"/>
      <c r="LO231" s="274"/>
      <c r="LP231" s="274"/>
      <c r="LQ231" s="274"/>
      <c r="LR231" s="274"/>
      <c r="LS231" s="274"/>
      <c r="LT231" s="274"/>
      <c r="LU231" s="274"/>
      <c r="LV231" s="274"/>
      <c r="LW231" s="274"/>
      <c r="LX231" s="274"/>
      <c r="LY231" s="274"/>
      <c r="LZ231" s="274"/>
      <c r="MA231" s="274"/>
      <c r="MB231" s="274"/>
      <c r="MC231" s="274"/>
      <c r="MD231" s="274"/>
      <c r="ME231" s="274"/>
      <c r="MF231" s="274"/>
      <c r="MG231" s="274"/>
      <c r="MH231" s="274"/>
      <c r="MI231" s="274"/>
      <c r="MJ231" s="274"/>
      <c r="MK231" s="274"/>
      <c r="ML231" s="274"/>
      <c r="MM231" s="274"/>
      <c r="MN231" s="274"/>
      <c r="MO231" s="274"/>
      <c r="MP231" s="274"/>
      <c r="MQ231" s="274"/>
      <c r="MR231" s="274"/>
      <c r="MS231" s="274"/>
      <c r="MT231" s="274"/>
      <c r="MU231" s="274"/>
      <c r="MV231" s="274"/>
      <c r="MW231" s="274"/>
      <c r="MX231" s="274"/>
      <c r="MY231" s="274"/>
      <c r="MZ231" s="274"/>
      <c r="NA231" s="274"/>
      <c r="NB231" s="274"/>
      <c r="NC231" s="274"/>
      <c r="ND231" s="274"/>
      <c r="NE231" s="274"/>
      <c r="NF231" s="274"/>
      <c r="NG231" s="274"/>
      <c r="NH231" s="274"/>
      <c r="NI231" s="274"/>
      <c r="NJ231" s="274"/>
      <c r="NK231" s="274"/>
      <c r="NL231" s="274"/>
      <c r="NM231" s="274"/>
      <c r="NN231" s="274"/>
      <c r="NO231" s="274"/>
      <c r="NP231" s="274"/>
      <c r="NQ231" s="274"/>
      <c r="NR231" s="274"/>
      <c r="NS231" s="274"/>
      <c r="NT231" s="274"/>
      <c r="NU231" s="274"/>
      <c r="NV231" s="274"/>
      <c r="NW231" s="274"/>
      <c r="NX231" s="274"/>
      <c r="NY231" s="274"/>
      <c r="NZ231" s="274"/>
      <c r="OA231" s="274"/>
      <c r="OB231" s="274"/>
      <c r="OC231" s="274"/>
      <c r="OD231" s="274"/>
      <c r="OE231" s="274"/>
      <c r="OF231" s="274"/>
      <c r="OG231" s="274"/>
      <c r="OH231" s="274"/>
      <c r="OI231" s="274"/>
      <c r="OJ231" s="274"/>
      <c r="OK231" s="274"/>
      <c r="OL231" s="274"/>
      <c r="OM231" s="274"/>
      <c r="ON231" s="274"/>
      <c r="OO231" s="274"/>
      <c r="OP231" s="274"/>
      <c r="OQ231" s="274"/>
      <c r="OR231" s="274"/>
      <c r="OS231" s="274"/>
      <c r="OT231" s="274"/>
      <c r="OU231" s="274"/>
      <c r="OV231" s="274"/>
      <c r="OW231" s="274"/>
      <c r="OX231" s="274"/>
      <c r="OY231" s="274"/>
      <c r="OZ231" s="274"/>
      <c r="PA231" s="274"/>
      <c r="PB231" s="274"/>
      <c r="PC231" s="274"/>
      <c r="PD231" s="274"/>
      <c r="PE231" s="274"/>
      <c r="PF231" s="274"/>
      <c r="PG231" s="274"/>
      <c r="PH231" s="274"/>
      <c r="PI231" s="274"/>
      <c r="PJ231" s="274"/>
      <c r="PK231" s="274"/>
      <c r="PL231" s="274"/>
      <c r="PM231" s="274"/>
      <c r="PN231" s="274"/>
      <c r="PO231" s="274"/>
      <c r="PP231" s="274"/>
      <c r="PQ231" s="274"/>
      <c r="PR231" s="274"/>
      <c r="PS231" s="274"/>
      <c r="PT231" s="274"/>
      <c r="PU231" s="274"/>
      <c r="PV231" s="274"/>
      <c r="PW231" s="274"/>
      <c r="PX231" s="274"/>
      <c r="PY231" s="274"/>
      <c r="PZ231" s="274"/>
      <c r="QA231" s="274"/>
      <c r="QB231" s="274"/>
      <c r="QC231" s="274"/>
      <c r="QD231" s="274"/>
      <c r="QE231" s="274"/>
      <c r="QF231" s="274"/>
      <c r="QG231" s="274"/>
      <c r="QH231" s="274"/>
      <c r="QI231" s="274"/>
      <c r="QJ231" s="274"/>
      <c r="QK231" s="274"/>
      <c r="QL231" s="274"/>
      <c r="QM231" s="274"/>
      <c r="QN231" s="274"/>
      <c r="QO231" s="274"/>
      <c r="QP231" s="274"/>
      <c r="QQ231" s="274"/>
      <c r="QR231" s="274"/>
      <c r="QS231" s="274"/>
      <c r="QT231" s="274"/>
      <c r="QU231" s="274"/>
      <c r="QV231" s="274"/>
      <c r="QW231" s="274"/>
      <c r="QX231" s="274"/>
      <c r="QY231" s="274"/>
      <c r="QZ231" s="274"/>
      <c r="RA231" s="274"/>
      <c r="RB231" s="274"/>
      <c r="RC231" s="274"/>
    </row>
    <row r="232" spans="112:471" ht="17.25">
      <c r="DH232" s="274"/>
      <c r="DI232" s="274"/>
      <c r="DJ232" s="978"/>
      <c r="DK232" s="274"/>
      <c r="DL232" s="274"/>
      <c r="DM232" s="274"/>
      <c r="DN232" s="274"/>
      <c r="DO232" s="274"/>
      <c r="DP232" s="274"/>
      <c r="DQ232" s="274"/>
      <c r="DR232" s="274"/>
      <c r="DS232" s="274"/>
      <c r="DT232" s="274"/>
      <c r="DU232" s="274"/>
      <c r="DV232" s="274"/>
      <c r="DW232" s="274"/>
      <c r="DX232" s="274"/>
      <c r="DY232" s="274"/>
      <c r="DZ232" s="274"/>
      <c r="EA232" s="274"/>
      <c r="EB232" s="274"/>
      <c r="EC232" s="274"/>
      <c r="ED232" s="274"/>
      <c r="EE232" s="274"/>
      <c r="EF232" s="274"/>
      <c r="EG232" s="274"/>
      <c r="EH232" s="274"/>
      <c r="EI232" s="274"/>
      <c r="EJ232" s="274"/>
      <c r="EK232" s="274"/>
      <c r="EL232" s="274"/>
      <c r="EM232" s="274"/>
      <c r="EN232" s="274"/>
      <c r="EO232" s="274"/>
      <c r="EP232" s="274"/>
      <c r="EQ232" s="274"/>
      <c r="ER232" s="274"/>
      <c r="ES232" s="274"/>
      <c r="ET232" s="274"/>
      <c r="EU232" s="274"/>
      <c r="EV232" s="274"/>
      <c r="EW232" s="274"/>
      <c r="EX232" s="274"/>
      <c r="EY232" s="274"/>
      <c r="EZ232" s="274"/>
      <c r="FA232" s="274"/>
      <c r="FB232" s="274"/>
      <c r="FC232" s="274"/>
      <c r="FD232" s="274"/>
      <c r="FE232" s="274"/>
      <c r="FF232" s="274"/>
      <c r="FG232" s="274"/>
      <c r="FH232" s="274"/>
      <c r="FI232" s="274"/>
      <c r="FJ232" s="274"/>
      <c r="FK232" s="274"/>
      <c r="FL232" s="274"/>
      <c r="FM232" s="274"/>
      <c r="FN232" s="274"/>
      <c r="FO232" s="274"/>
      <c r="FP232" s="274"/>
      <c r="FQ232" s="274"/>
      <c r="FR232" s="274"/>
      <c r="FS232" s="274"/>
      <c r="FT232" s="274"/>
      <c r="FU232" s="274"/>
      <c r="FV232" s="274"/>
      <c r="FW232" s="274"/>
      <c r="FX232" s="274"/>
      <c r="FY232" s="274"/>
      <c r="FZ232" s="274"/>
      <c r="GA232" s="274"/>
      <c r="GB232" s="274"/>
      <c r="GC232" s="274"/>
      <c r="GD232" s="274"/>
      <c r="GE232" s="274"/>
      <c r="GF232" s="274"/>
      <c r="GG232" s="274"/>
      <c r="GH232" s="274"/>
      <c r="GI232" s="274"/>
      <c r="GJ232" s="274"/>
      <c r="GK232" s="274"/>
      <c r="GL232" s="274"/>
      <c r="GM232" s="274"/>
      <c r="GN232" s="274"/>
      <c r="GO232" s="274"/>
      <c r="GP232" s="274"/>
      <c r="GQ232" s="274"/>
      <c r="GR232" s="274"/>
      <c r="GS232" s="274"/>
      <c r="GT232" s="274"/>
      <c r="GU232" s="274"/>
      <c r="GV232" s="274"/>
      <c r="GW232" s="274"/>
      <c r="GX232" s="274"/>
      <c r="GY232" s="274"/>
      <c r="GZ232" s="274"/>
      <c r="HA232" s="274"/>
      <c r="HB232" s="274"/>
      <c r="HC232" s="274"/>
      <c r="HD232" s="274"/>
      <c r="HE232" s="274"/>
      <c r="HF232" s="274"/>
      <c r="HG232" s="274"/>
      <c r="HH232" s="274"/>
      <c r="HI232" s="274"/>
      <c r="HJ232" s="274"/>
      <c r="HK232" s="274"/>
      <c r="HL232" s="274"/>
      <c r="HM232" s="274"/>
      <c r="HN232" s="274"/>
      <c r="HO232" s="274"/>
      <c r="HP232" s="274"/>
      <c r="HQ232" s="274"/>
      <c r="HR232" s="274"/>
      <c r="HS232" s="274"/>
      <c r="HT232" s="274"/>
      <c r="HU232" s="274"/>
      <c r="HV232" s="274"/>
      <c r="HW232" s="274"/>
      <c r="HX232" s="274"/>
      <c r="HY232" s="274"/>
      <c r="HZ232" s="274"/>
      <c r="IA232" s="274"/>
      <c r="IB232" s="274"/>
      <c r="IC232" s="274"/>
      <c r="ID232" s="274"/>
      <c r="IE232" s="274"/>
      <c r="IF232" s="274"/>
      <c r="IG232" s="274"/>
      <c r="IH232" s="274"/>
      <c r="II232" s="274"/>
      <c r="IJ232" s="274"/>
      <c r="IK232" s="274"/>
      <c r="IL232" s="274"/>
      <c r="IM232" s="274"/>
      <c r="IN232" s="274"/>
      <c r="IO232" s="274"/>
      <c r="IP232" s="274"/>
      <c r="IQ232" s="274"/>
      <c r="IR232" s="274"/>
      <c r="IS232" s="274"/>
      <c r="IT232" s="274"/>
      <c r="IU232" s="274"/>
      <c r="IV232" s="274"/>
      <c r="IW232" s="274"/>
      <c r="IX232" s="274"/>
      <c r="IY232" s="274"/>
      <c r="IZ232" s="274"/>
      <c r="JA232" s="274"/>
      <c r="JB232" s="274"/>
      <c r="JC232" s="274"/>
      <c r="JD232" s="274"/>
      <c r="JE232" s="274"/>
      <c r="JF232" s="274"/>
      <c r="JG232" s="274"/>
      <c r="JH232" s="274"/>
      <c r="JI232" s="274"/>
      <c r="JJ232" s="274"/>
      <c r="JK232" s="274"/>
      <c r="JL232" s="274"/>
      <c r="JM232" s="274"/>
      <c r="JN232" s="274"/>
      <c r="JO232" s="274"/>
      <c r="JP232" s="274"/>
      <c r="JQ232" s="274"/>
      <c r="JR232" s="274"/>
      <c r="JS232" s="274"/>
      <c r="JT232" s="274"/>
      <c r="JU232" s="274"/>
      <c r="JV232" s="274"/>
      <c r="JW232" s="274"/>
      <c r="JX232" s="274"/>
      <c r="JY232" s="274"/>
      <c r="JZ232" s="274"/>
      <c r="KA232" s="274"/>
      <c r="KB232" s="274"/>
      <c r="KC232" s="274"/>
      <c r="KD232" s="274"/>
      <c r="KE232" s="274"/>
      <c r="KF232" s="274"/>
      <c r="KG232" s="274"/>
      <c r="KH232" s="274"/>
      <c r="KI232" s="274"/>
      <c r="KJ232" s="274"/>
      <c r="KK232" s="274"/>
      <c r="KL232" s="274"/>
      <c r="KM232" s="274"/>
      <c r="KN232" s="274"/>
      <c r="KO232" s="274"/>
      <c r="KP232" s="274"/>
      <c r="KQ232" s="274"/>
      <c r="KR232" s="274"/>
      <c r="KS232" s="274"/>
      <c r="KT232" s="274"/>
      <c r="KU232" s="274"/>
      <c r="KV232" s="274"/>
      <c r="KW232" s="274"/>
      <c r="KX232" s="274"/>
      <c r="KY232" s="274"/>
      <c r="KZ232" s="274"/>
      <c r="LA232" s="274"/>
      <c r="LB232" s="274"/>
      <c r="LC232" s="274"/>
      <c r="LD232" s="274"/>
      <c r="LE232" s="274"/>
      <c r="LF232" s="274"/>
      <c r="LG232" s="274"/>
      <c r="LH232" s="274"/>
      <c r="LI232" s="274"/>
      <c r="LJ232" s="274"/>
      <c r="LK232" s="274"/>
      <c r="LL232" s="274"/>
      <c r="LM232" s="274"/>
      <c r="LN232" s="274"/>
      <c r="LO232" s="274"/>
      <c r="LP232" s="274"/>
      <c r="LQ232" s="274"/>
      <c r="LR232" s="274"/>
      <c r="LS232" s="274"/>
      <c r="LT232" s="274"/>
      <c r="LU232" s="274"/>
      <c r="LV232" s="274"/>
      <c r="LW232" s="274"/>
      <c r="LX232" s="274"/>
      <c r="LY232" s="274"/>
      <c r="LZ232" s="274"/>
      <c r="MA232" s="274"/>
      <c r="MB232" s="274"/>
      <c r="MC232" s="274"/>
      <c r="MD232" s="274"/>
      <c r="ME232" s="274"/>
      <c r="MF232" s="274"/>
      <c r="MG232" s="274"/>
      <c r="MH232" s="274"/>
      <c r="MI232" s="274"/>
      <c r="MJ232" s="274"/>
      <c r="MK232" s="274"/>
      <c r="ML232" s="274"/>
      <c r="MM232" s="274"/>
      <c r="MN232" s="274"/>
      <c r="MO232" s="274"/>
      <c r="MP232" s="274"/>
      <c r="MQ232" s="274"/>
      <c r="MR232" s="274"/>
      <c r="MS232" s="274"/>
      <c r="MT232" s="274"/>
      <c r="MU232" s="274"/>
      <c r="MV232" s="274"/>
      <c r="MW232" s="274"/>
      <c r="MX232" s="274"/>
      <c r="MY232" s="274"/>
      <c r="MZ232" s="274"/>
      <c r="NA232" s="274"/>
      <c r="NB232" s="274"/>
      <c r="NC232" s="274"/>
      <c r="ND232" s="274"/>
      <c r="NE232" s="274"/>
      <c r="NF232" s="274"/>
      <c r="NG232" s="274"/>
      <c r="NH232" s="274"/>
      <c r="NI232" s="274"/>
      <c r="NJ232" s="274"/>
      <c r="NK232" s="274"/>
      <c r="NL232" s="274"/>
      <c r="NM232" s="274"/>
      <c r="NN232" s="274"/>
      <c r="NO232" s="274"/>
      <c r="NP232" s="274"/>
      <c r="NQ232" s="274"/>
      <c r="NR232" s="274"/>
      <c r="NS232" s="274"/>
      <c r="NT232" s="274"/>
      <c r="NU232" s="274"/>
      <c r="NV232" s="274"/>
      <c r="NW232" s="274"/>
      <c r="NX232" s="274"/>
      <c r="NY232" s="274"/>
      <c r="NZ232" s="274"/>
      <c r="OA232" s="274"/>
      <c r="OB232" s="274"/>
      <c r="OC232" s="274"/>
      <c r="OD232" s="274"/>
      <c r="OE232" s="274"/>
      <c r="OF232" s="274"/>
      <c r="OG232" s="274"/>
      <c r="OH232" s="274"/>
      <c r="OI232" s="274"/>
      <c r="OJ232" s="274"/>
      <c r="OK232" s="274"/>
      <c r="OL232" s="274"/>
      <c r="OM232" s="274"/>
      <c r="ON232" s="274"/>
      <c r="OO232" s="274"/>
      <c r="OP232" s="274"/>
      <c r="OQ232" s="274"/>
      <c r="OR232" s="274"/>
      <c r="OS232" s="274"/>
      <c r="OT232" s="274"/>
      <c r="OU232" s="274"/>
      <c r="OV232" s="274"/>
      <c r="OW232" s="274"/>
      <c r="OX232" s="274"/>
      <c r="OY232" s="274"/>
      <c r="OZ232" s="274"/>
      <c r="PA232" s="274"/>
      <c r="PB232" s="274"/>
      <c r="PC232" s="274"/>
      <c r="PD232" s="274"/>
      <c r="PE232" s="274"/>
      <c r="PF232" s="274"/>
      <c r="PG232" s="274"/>
      <c r="PH232" s="274"/>
      <c r="PI232" s="274"/>
      <c r="PJ232" s="274"/>
      <c r="PK232" s="274"/>
      <c r="PL232" s="274"/>
      <c r="PM232" s="274"/>
      <c r="PN232" s="274"/>
      <c r="PO232" s="274"/>
      <c r="PP232" s="274"/>
      <c r="PQ232" s="274"/>
      <c r="PR232" s="274"/>
      <c r="PS232" s="274"/>
      <c r="PT232" s="274"/>
      <c r="PU232" s="274"/>
      <c r="PV232" s="274"/>
      <c r="PW232" s="274"/>
      <c r="PX232" s="274"/>
      <c r="PY232" s="274"/>
      <c r="PZ232" s="274"/>
      <c r="QA232" s="274"/>
      <c r="QB232" s="274"/>
      <c r="QC232" s="274"/>
      <c r="QD232" s="274"/>
      <c r="QE232" s="274"/>
      <c r="QF232" s="274"/>
      <c r="QG232" s="274"/>
      <c r="QH232" s="274"/>
      <c r="QI232" s="274"/>
      <c r="QJ232" s="274"/>
      <c r="QK232" s="274"/>
      <c r="QL232" s="274"/>
      <c r="QM232" s="274"/>
      <c r="QN232" s="274"/>
      <c r="QO232" s="274"/>
      <c r="QP232" s="274"/>
      <c r="QQ232" s="274"/>
      <c r="QR232" s="274"/>
      <c r="QS232" s="274"/>
      <c r="QT232" s="274"/>
      <c r="QU232" s="274"/>
      <c r="QV232" s="274"/>
      <c r="QW232" s="274"/>
      <c r="QX232" s="274"/>
      <c r="QY232" s="274"/>
      <c r="QZ232" s="274"/>
      <c r="RA232" s="274"/>
      <c r="RB232" s="274"/>
      <c r="RC232" s="274"/>
    </row>
    <row r="233" spans="112:471" ht="17.25">
      <c r="DH233" s="274"/>
      <c r="DI233" s="274"/>
      <c r="DJ233" s="978"/>
      <c r="DK233" s="978"/>
      <c r="DL233" s="978"/>
      <c r="DM233" s="978"/>
      <c r="DN233" s="978"/>
      <c r="DO233" s="978"/>
      <c r="DP233" s="978"/>
      <c r="DQ233" s="978"/>
      <c r="DR233" s="978"/>
      <c r="DS233" s="978"/>
      <c r="DT233" s="978"/>
      <c r="DU233" s="978"/>
      <c r="DV233" s="978"/>
      <c r="DW233" s="978"/>
      <c r="DX233" s="978"/>
      <c r="DY233" s="978"/>
      <c r="DZ233" s="978"/>
      <c r="EA233" s="978"/>
      <c r="EB233" s="978"/>
      <c r="EC233" s="978"/>
      <c r="ED233" s="978"/>
      <c r="EE233" s="978"/>
      <c r="EF233" s="978"/>
      <c r="EG233" s="978"/>
      <c r="EH233" s="978"/>
      <c r="EI233" s="978"/>
      <c r="EJ233" s="978"/>
      <c r="EK233" s="978"/>
      <c r="EL233" s="978"/>
      <c r="EM233" s="978"/>
      <c r="EN233" s="978"/>
      <c r="EO233" s="978"/>
      <c r="EP233" s="978"/>
      <c r="EQ233" s="978"/>
      <c r="ER233" s="978"/>
      <c r="ES233" s="978"/>
      <c r="ET233" s="978"/>
      <c r="EU233" s="978"/>
      <c r="EV233" s="978"/>
      <c r="EW233" s="978"/>
      <c r="EX233" s="978"/>
      <c r="EY233" s="978"/>
      <c r="EZ233" s="978"/>
      <c r="FA233" s="978"/>
      <c r="FB233" s="978"/>
      <c r="FC233" s="978"/>
      <c r="FD233" s="978"/>
      <c r="FE233" s="978"/>
      <c r="FF233" s="978"/>
      <c r="FG233" s="978"/>
      <c r="FH233" s="978"/>
      <c r="FI233" s="978"/>
      <c r="FJ233" s="978"/>
      <c r="FK233" s="978"/>
      <c r="FL233" s="978"/>
      <c r="FM233" s="978"/>
      <c r="FN233" s="978"/>
      <c r="FO233" s="978"/>
      <c r="FP233" s="978"/>
      <c r="FQ233" s="978"/>
      <c r="FR233" s="978"/>
      <c r="FS233" s="978"/>
      <c r="FT233" s="978"/>
      <c r="FU233" s="978"/>
      <c r="FV233" s="978"/>
      <c r="FW233" s="978"/>
      <c r="FX233" s="978"/>
      <c r="FY233" s="978"/>
      <c r="FZ233" s="978"/>
      <c r="GA233" s="978"/>
      <c r="GB233" s="978"/>
      <c r="GC233" s="978"/>
      <c r="GD233" s="978"/>
      <c r="GE233" s="978"/>
      <c r="GF233" s="978"/>
      <c r="GG233" s="978"/>
      <c r="GH233" s="978"/>
      <c r="GI233" s="978"/>
      <c r="GJ233" s="978"/>
      <c r="GK233" s="978"/>
      <c r="GL233" s="978"/>
      <c r="GM233" s="978"/>
      <c r="GN233" s="978"/>
      <c r="GO233" s="978"/>
      <c r="GP233" s="978"/>
      <c r="GQ233" s="978"/>
      <c r="GR233" s="978"/>
      <c r="GS233" s="978"/>
      <c r="GT233" s="978"/>
      <c r="GU233" s="978"/>
      <c r="GV233" s="978"/>
      <c r="GW233" s="978"/>
      <c r="GX233" s="978"/>
      <c r="GY233" s="978"/>
      <c r="GZ233" s="978"/>
      <c r="HA233" s="978"/>
      <c r="HB233" s="978"/>
      <c r="HC233" s="978"/>
      <c r="HD233" s="978"/>
      <c r="HE233" s="978"/>
      <c r="HF233" s="978"/>
      <c r="HG233" s="978"/>
      <c r="HH233" s="978"/>
      <c r="HI233" s="978"/>
      <c r="HJ233" s="978"/>
      <c r="HK233" s="978"/>
      <c r="HL233" s="978"/>
      <c r="HM233" s="978"/>
      <c r="HN233" s="978"/>
      <c r="HO233" s="978"/>
      <c r="HP233" s="978"/>
      <c r="HQ233" s="978"/>
      <c r="HR233" s="978"/>
      <c r="HS233" s="978"/>
      <c r="HT233" s="978"/>
      <c r="HU233" s="978"/>
      <c r="HV233" s="978"/>
      <c r="HW233" s="978"/>
      <c r="HX233" s="978"/>
      <c r="HY233" s="978"/>
      <c r="HZ233" s="978"/>
      <c r="IA233" s="978"/>
      <c r="IB233" s="978"/>
      <c r="IC233" s="978"/>
      <c r="ID233" s="978"/>
      <c r="IE233" s="978"/>
      <c r="IF233" s="978"/>
      <c r="IG233" s="978"/>
      <c r="IH233" s="978"/>
      <c r="II233" s="978"/>
      <c r="IJ233" s="978"/>
      <c r="IK233" s="978"/>
      <c r="IL233" s="978"/>
      <c r="IM233" s="978"/>
      <c r="IN233" s="978"/>
      <c r="IO233" s="978"/>
      <c r="IP233" s="978"/>
      <c r="IQ233" s="978"/>
      <c r="IR233" s="978"/>
      <c r="IS233" s="978"/>
      <c r="IT233" s="978"/>
      <c r="IU233" s="978"/>
      <c r="IV233" s="978"/>
      <c r="IW233" s="978"/>
      <c r="IX233" s="978"/>
      <c r="IY233" s="978"/>
      <c r="IZ233" s="978"/>
      <c r="JA233" s="978"/>
      <c r="JB233" s="978"/>
      <c r="JC233" s="978"/>
      <c r="JD233" s="978"/>
      <c r="JE233" s="978"/>
      <c r="JF233" s="978"/>
      <c r="JG233" s="978"/>
      <c r="JH233" s="978"/>
      <c r="JI233" s="978"/>
      <c r="JJ233" s="978"/>
      <c r="JK233" s="978"/>
      <c r="JL233" s="978"/>
      <c r="JM233" s="978"/>
      <c r="JN233" s="978"/>
      <c r="JO233" s="978"/>
      <c r="JP233" s="978"/>
      <c r="JQ233" s="978"/>
      <c r="JR233" s="978"/>
      <c r="JS233" s="978"/>
      <c r="JT233" s="978"/>
      <c r="JU233" s="978"/>
      <c r="JV233" s="978"/>
      <c r="JW233" s="978"/>
      <c r="JX233" s="978"/>
      <c r="JY233" s="978"/>
      <c r="JZ233" s="978"/>
      <c r="KA233" s="978"/>
      <c r="KB233" s="978"/>
      <c r="KC233" s="978"/>
      <c r="KD233" s="978"/>
      <c r="KE233" s="978"/>
      <c r="KF233" s="978"/>
      <c r="KG233" s="978"/>
      <c r="KH233" s="978"/>
      <c r="KI233" s="978"/>
      <c r="KJ233" s="978"/>
      <c r="KK233" s="978"/>
      <c r="KL233" s="978"/>
      <c r="KM233" s="978"/>
      <c r="KN233" s="978"/>
      <c r="KO233" s="978"/>
      <c r="KP233" s="978"/>
      <c r="KQ233" s="978"/>
      <c r="KR233" s="978"/>
      <c r="KS233" s="978"/>
      <c r="KT233" s="978"/>
      <c r="KU233" s="978"/>
      <c r="KV233" s="978"/>
      <c r="KW233" s="978"/>
      <c r="KX233" s="978"/>
      <c r="KY233" s="978"/>
      <c r="KZ233" s="978"/>
      <c r="LA233" s="978"/>
      <c r="LB233" s="978"/>
      <c r="LC233" s="978"/>
      <c r="LD233" s="978"/>
      <c r="LE233" s="978"/>
      <c r="LF233" s="978"/>
      <c r="LG233" s="978"/>
      <c r="LH233" s="978"/>
      <c r="LI233" s="978"/>
      <c r="LJ233" s="978"/>
      <c r="LK233" s="978"/>
      <c r="LL233" s="978"/>
      <c r="LM233" s="978"/>
      <c r="LN233" s="978"/>
      <c r="LO233" s="978"/>
      <c r="LP233" s="978"/>
      <c r="LQ233" s="978"/>
      <c r="LR233" s="978"/>
      <c r="LS233" s="978"/>
      <c r="LT233" s="978"/>
      <c r="LU233" s="978"/>
      <c r="LV233" s="978"/>
      <c r="LW233" s="978"/>
      <c r="LX233" s="978"/>
      <c r="LY233" s="978"/>
      <c r="LZ233" s="978"/>
      <c r="MA233" s="978"/>
      <c r="MB233" s="978"/>
      <c r="MC233" s="978"/>
      <c r="MD233" s="978"/>
      <c r="ME233" s="978"/>
      <c r="MF233" s="978"/>
      <c r="MG233" s="978"/>
      <c r="MH233" s="978"/>
      <c r="MI233" s="978"/>
      <c r="MJ233" s="978"/>
      <c r="MK233" s="978"/>
      <c r="ML233" s="978"/>
      <c r="MM233" s="978"/>
      <c r="MN233" s="978"/>
      <c r="MO233" s="978"/>
      <c r="MP233" s="978"/>
      <c r="MQ233" s="978"/>
      <c r="MR233" s="978"/>
      <c r="MS233" s="978"/>
      <c r="MT233" s="978"/>
      <c r="MU233" s="978"/>
      <c r="MV233" s="978"/>
      <c r="MW233" s="978"/>
      <c r="MX233" s="978"/>
      <c r="MY233" s="978"/>
      <c r="MZ233" s="978"/>
      <c r="NA233" s="978"/>
      <c r="NB233" s="978"/>
      <c r="NC233" s="978"/>
      <c r="ND233" s="978"/>
      <c r="NE233" s="978"/>
      <c r="NF233" s="978"/>
      <c r="NG233" s="978"/>
      <c r="NH233" s="978"/>
      <c r="NI233" s="978"/>
      <c r="NJ233" s="978"/>
      <c r="NK233" s="978"/>
      <c r="NL233" s="978"/>
      <c r="NM233" s="978"/>
      <c r="NN233" s="978"/>
      <c r="NO233" s="978"/>
      <c r="NP233" s="978"/>
      <c r="NQ233" s="978"/>
      <c r="NR233" s="978"/>
      <c r="NS233" s="978"/>
      <c r="NT233" s="978"/>
      <c r="NU233" s="978"/>
      <c r="NV233" s="978"/>
      <c r="NW233" s="978"/>
      <c r="NX233" s="978"/>
      <c r="NY233" s="978"/>
      <c r="NZ233" s="978"/>
      <c r="OA233" s="978"/>
      <c r="OB233" s="978"/>
      <c r="OC233" s="978"/>
      <c r="OD233" s="978"/>
      <c r="OE233" s="978"/>
      <c r="OF233" s="978"/>
      <c r="OG233" s="978"/>
      <c r="OH233" s="978"/>
      <c r="OI233" s="978"/>
      <c r="OJ233" s="978"/>
      <c r="OK233" s="978"/>
      <c r="OL233" s="978"/>
      <c r="OM233" s="978"/>
      <c r="ON233" s="978"/>
      <c r="OO233" s="978"/>
      <c r="OP233" s="978"/>
      <c r="OQ233" s="978"/>
      <c r="OR233" s="978"/>
      <c r="OS233" s="978"/>
      <c r="OT233" s="978"/>
      <c r="OU233" s="978"/>
      <c r="OV233" s="978"/>
      <c r="OW233" s="978"/>
      <c r="OX233" s="978"/>
      <c r="OY233" s="978"/>
      <c r="OZ233" s="978"/>
      <c r="PA233" s="978"/>
      <c r="PB233" s="978"/>
      <c r="PC233" s="978"/>
      <c r="PD233" s="978"/>
      <c r="PE233" s="978"/>
      <c r="PF233" s="978"/>
      <c r="PG233" s="978"/>
      <c r="PH233" s="978"/>
      <c r="PI233" s="978"/>
      <c r="PJ233" s="978"/>
      <c r="PK233" s="978"/>
      <c r="PL233" s="978"/>
      <c r="PM233" s="978"/>
      <c r="PN233" s="978"/>
      <c r="PO233" s="978"/>
      <c r="PP233" s="978"/>
      <c r="PQ233" s="978"/>
      <c r="PR233" s="978"/>
      <c r="PS233" s="978"/>
      <c r="PT233" s="978"/>
      <c r="PU233" s="978"/>
      <c r="PV233" s="978"/>
      <c r="PW233" s="978"/>
      <c r="PX233" s="978"/>
      <c r="PY233" s="978"/>
      <c r="PZ233" s="978"/>
      <c r="QA233" s="978"/>
      <c r="QB233" s="978"/>
      <c r="QC233" s="978"/>
      <c r="QD233" s="978"/>
      <c r="QE233" s="978"/>
      <c r="QF233" s="978"/>
      <c r="QG233" s="978"/>
      <c r="QH233" s="978"/>
      <c r="QI233" s="978"/>
      <c r="QJ233" s="978"/>
      <c r="QK233" s="978"/>
      <c r="QL233" s="978"/>
      <c r="QM233" s="978"/>
      <c r="QN233" s="978"/>
      <c r="QO233" s="978"/>
      <c r="QP233" s="978"/>
      <c r="QQ233" s="978"/>
      <c r="QR233" s="978"/>
      <c r="QS233" s="978"/>
      <c r="QT233" s="978"/>
      <c r="QU233" s="978"/>
      <c r="QV233" s="978"/>
      <c r="QW233" s="978"/>
      <c r="QX233" s="978"/>
      <c r="QY233" s="978"/>
      <c r="QZ233" s="978"/>
      <c r="RA233" s="978"/>
      <c r="RB233" s="274"/>
      <c r="RC233" s="274"/>
    </row>
    <row r="234" spans="112:471" ht="17.25">
      <c r="DH234" s="274"/>
      <c r="DI234" s="274"/>
      <c r="DJ234" s="978"/>
      <c r="DK234" s="978"/>
      <c r="DL234" s="978"/>
      <c r="DM234" s="978"/>
      <c r="DN234" s="978"/>
      <c r="DO234" s="978"/>
      <c r="DP234" s="978"/>
      <c r="DQ234" s="978"/>
      <c r="DR234" s="978"/>
      <c r="DS234" s="978"/>
      <c r="DT234" s="978"/>
      <c r="DU234" s="978"/>
      <c r="DV234" s="978"/>
      <c r="DW234" s="978"/>
      <c r="DX234" s="978"/>
      <c r="DY234" s="978"/>
      <c r="DZ234" s="978"/>
      <c r="EA234" s="978"/>
      <c r="EB234" s="978"/>
      <c r="EC234" s="978"/>
      <c r="ED234" s="978"/>
      <c r="EE234" s="978"/>
      <c r="EF234" s="978"/>
      <c r="EG234" s="978"/>
      <c r="EH234" s="978"/>
      <c r="EI234" s="978"/>
      <c r="EJ234" s="978"/>
      <c r="EK234" s="978"/>
      <c r="EL234" s="978"/>
      <c r="EM234" s="978"/>
      <c r="EN234" s="978"/>
      <c r="EO234" s="978"/>
      <c r="EP234" s="978"/>
      <c r="EQ234" s="978"/>
      <c r="ER234" s="978"/>
      <c r="ES234" s="978"/>
      <c r="ET234" s="978"/>
      <c r="EU234" s="978"/>
      <c r="EV234" s="978"/>
      <c r="EW234" s="978"/>
      <c r="EX234" s="978"/>
      <c r="EY234" s="978"/>
      <c r="EZ234" s="978"/>
      <c r="FA234" s="978"/>
      <c r="FB234" s="978"/>
      <c r="FC234" s="978"/>
      <c r="FD234" s="978"/>
      <c r="FE234" s="978"/>
      <c r="FF234" s="978"/>
      <c r="FG234" s="978"/>
      <c r="FH234" s="978"/>
      <c r="FI234" s="978"/>
      <c r="FJ234" s="978"/>
      <c r="FK234" s="978"/>
      <c r="FL234" s="978"/>
      <c r="FM234" s="978"/>
      <c r="FN234" s="978"/>
      <c r="FO234" s="978"/>
      <c r="FP234" s="978"/>
      <c r="FQ234" s="978"/>
      <c r="FR234" s="978"/>
      <c r="FS234" s="978"/>
      <c r="FT234" s="978"/>
      <c r="FU234" s="978"/>
      <c r="FV234" s="978"/>
      <c r="FW234" s="978"/>
      <c r="FX234" s="978"/>
      <c r="FY234" s="978"/>
      <c r="FZ234" s="978"/>
      <c r="GA234" s="978"/>
      <c r="GB234" s="978"/>
      <c r="GC234" s="978"/>
      <c r="GD234" s="978"/>
      <c r="GE234" s="978"/>
      <c r="GF234" s="978"/>
      <c r="GG234" s="978"/>
      <c r="GH234" s="978"/>
      <c r="GI234" s="978"/>
      <c r="GJ234" s="978"/>
      <c r="GK234" s="978"/>
      <c r="GL234" s="978"/>
      <c r="GM234" s="978"/>
      <c r="GN234" s="978"/>
      <c r="GO234" s="978"/>
      <c r="GP234" s="978"/>
      <c r="GQ234" s="978"/>
      <c r="GR234" s="978"/>
      <c r="GS234" s="978"/>
      <c r="GT234" s="978"/>
      <c r="GU234" s="978"/>
      <c r="GV234" s="978"/>
      <c r="GW234" s="978"/>
      <c r="GX234" s="978"/>
      <c r="GY234" s="978"/>
      <c r="GZ234" s="978"/>
      <c r="HA234" s="978"/>
      <c r="HB234" s="978"/>
      <c r="HC234" s="978"/>
      <c r="HD234" s="978"/>
      <c r="HE234" s="978"/>
      <c r="HF234" s="978"/>
      <c r="HG234" s="978"/>
      <c r="HH234" s="978"/>
      <c r="HI234" s="978"/>
      <c r="HJ234" s="978"/>
      <c r="HK234" s="978"/>
      <c r="HL234" s="978"/>
      <c r="HM234" s="978"/>
      <c r="HN234" s="978"/>
      <c r="HO234" s="978"/>
      <c r="HP234" s="978"/>
      <c r="HQ234" s="978"/>
      <c r="HR234" s="978"/>
      <c r="HS234" s="978"/>
      <c r="HT234" s="978"/>
      <c r="HU234" s="978"/>
      <c r="HV234" s="978"/>
      <c r="HW234" s="978"/>
      <c r="HX234" s="978"/>
      <c r="HY234" s="978"/>
      <c r="HZ234" s="978"/>
      <c r="IA234" s="978"/>
      <c r="IB234" s="978"/>
      <c r="IC234" s="978"/>
      <c r="ID234" s="978"/>
      <c r="IE234" s="978"/>
      <c r="IF234" s="978"/>
      <c r="IG234" s="978"/>
      <c r="IH234" s="978"/>
      <c r="II234" s="978"/>
      <c r="IJ234" s="978"/>
      <c r="IK234" s="978"/>
      <c r="IL234" s="978"/>
      <c r="IM234" s="978"/>
      <c r="IN234" s="978"/>
      <c r="IO234" s="978"/>
      <c r="IP234" s="978"/>
      <c r="IQ234" s="978"/>
      <c r="IR234" s="978"/>
      <c r="IS234" s="978"/>
      <c r="IT234" s="978"/>
      <c r="IU234" s="978"/>
      <c r="IV234" s="978"/>
      <c r="IW234" s="978"/>
      <c r="IX234" s="978"/>
      <c r="IY234" s="978"/>
      <c r="IZ234" s="978"/>
      <c r="JA234" s="978"/>
      <c r="JB234" s="978"/>
      <c r="JC234" s="978"/>
      <c r="JD234" s="978"/>
      <c r="JE234" s="978"/>
      <c r="JF234" s="978"/>
      <c r="JG234" s="978"/>
      <c r="JH234" s="978"/>
      <c r="JI234" s="978"/>
      <c r="JJ234" s="978"/>
      <c r="JK234" s="978"/>
      <c r="JL234" s="978"/>
      <c r="JM234" s="978"/>
      <c r="JN234" s="978"/>
      <c r="JO234" s="978"/>
      <c r="JP234" s="978"/>
      <c r="JQ234" s="978"/>
      <c r="JR234" s="978"/>
      <c r="JS234" s="978"/>
      <c r="JT234" s="978"/>
      <c r="JU234" s="978"/>
      <c r="JV234" s="978"/>
      <c r="JW234" s="978"/>
      <c r="JX234" s="978"/>
      <c r="JY234" s="978"/>
      <c r="JZ234" s="978"/>
      <c r="KA234" s="978"/>
      <c r="KB234" s="978"/>
      <c r="KC234" s="978"/>
      <c r="KD234" s="978"/>
      <c r="KE234" s="978"/>
      <c r="KF234" s="978"/>
      <c r="KG234" s="978"/>
      <c r="KH234" s="978"/>
      <c r="KI234" s="978"/>
      <c r="KJ234" s="978"/>
      <c r="KK234" s="978"/>
      <c r="KL234" s="978"/>
      <c r="KM234" s="978"/>
      <c r="KN234" s="978"/>
      <c r="KO234" s="978"/>
      <c r="KP234" s="978"/>
      <c r="KQ234" s="978"/>
      <c r="KR234" s="978"/>
      <c r="KS234" s="978"/>
      <c r="KT234" s="978"/>
      <c r="KU234" s="978"/>
      <c r="KV234" s="978"/>
      <c r="KW234" s="978"/>
      <c r="KX234" s="978"/>
      <c r="KY234" s="978"/>
      <c r="KZ234" s="978"/>
      <c r="LA234" s="978"/>
      <c r="LB234" s="978"/>
      <c r="LC234" s="978"/>
      <c r="LD234" s="978"/>
      <c r="LE234" s="978"/>
      <c r="LF234" s="978"/>
      <c r="LG234" s="978"/>
      <c r="LH234" s="978"/>
      <c r="LI234" s="978"/>
      <c r="LJ234" s="978"/>
      <c r="LK234" s="978"/>
      <c r="LL234" s="978"/>
      <c r="LM234" s="978"/>
      <c r="LN234" s="978"/>
      <c r="LO234" s="978"/>
      <c r="LP234" s="978"/>
      <c r="LQ234" s="978"/>
      <c r="LR234" s="978"/>
      <c r="LS234" s="978"/>
      <c r="LT234" s="978"/>
      <c r="LU234" s="978"/>
      <c r="LV234" s="978"/>
      <c r="LW234" s="978"/>
      <c r="LX234" s="978"/>
      <c r="LY234" s="978"/>
      <c r="LZ234" s="978"/>
      <c r="MA234" s="978"/>
      <c r="MB234" s="978"/>
      <c r="MC234" s="978"/>
      <c r="MD234" s="978"/>
      <c r="ME234" s="978"/>
      <c r="MF234" s="978"/>
      <c r="MG234" s="978"/>
      <c r="MH234" s="978"/>
      <c r="MI234" s="978"/>
      <c r="MJ234" s="978"/>
      <c r="MK234" s="978"/>
      <c r="ML234" s="978"/>
      <c r="MM234" s="978"/>
      <c r="MN234" s="978"/>
      <c r="MO234" s="978"/>
      <c r="MP234" s="978"/>
      <c r="MQ234" s="978"/>
      <c r="MR234" s="978"/>
      <c r="MS234" s="978"/>
      <c r="MT234" s="978"/>
      <c r="MU234" s="978"/>
      <c r="MV234" s="978"/>
      <c r="MW234" s="978"/>
      <c r="MX234" s="978"/>
      <c r="MY234" s="978"/>
      <c r="MZ234" s="978"/>
      <c r="NA234" s="978"/>
      <c r="NB234" s="978"/>
      <c r="NC234" s="978"/>
      <c r="ND234" s="978"/>
      <c r="NE234" s="978"/>
      <c r="NF234" s="978"/>
      <c r="NG234" s="978"/>
      <c r="NH234" s="978"/>
      <c r="NI234" s="978"/>
      <c r="NJ234" s="978"/>
      <c r="NK234" s="978"/>
      <c r="NL234" s="978"/>
      <c r="NM234" s="978"/>
      <c r="NN234" s="978"/>
      <c r="NO234" s="978"/>
      <c r="NP234" s="978"/>
      <c r="NQ234" s="978"/>
      <c r="NR234" s="978"/>
      <c r="NS234" s="978"/>
      <c r="NT234" s="978"/>
      <c r="NU234" s="978"/>
      <c r="NV234" s="978"/>
      <c r="NW234" s="978"/>
      <c r="NX234" s="978"/>
      <c r="NY234" s="978"/>
      <c r="NZ234" s="978"/>
      <c r="OA234" s="978"/>
      <c r="OB234" s="978"/>
      <c r="OC234" s="978"/>
      <c r="OD234" s="978"/>
      <c r="OE234" s="978"/>
      <c r="OF234" s="978"/>
      <c r="OG234" s="978"/>
      <c r="OH234" s="978"/>
      <c r="OI234" s="978"/>
      <c r="OJ234" s="978"/>
      <c r="OK234" s="978"/>
      <c r="OL234" s="978"/>
      <c r="OM234" s="978"/>
      <c r="ON234" s="978"/>
      <c r="OO234" s="978"/>
      <c r="OP234" s="978"/>
      <c r="OQ234" s="978"/>
      <c r="OR234" s="978"/>
      <c r="OS234" s="978"/>
      <c r="OT234" s="978"/>
      <c r="OU234" s="978"/>
      <c r="OV234" s="978"/>
      <c r="OW234" s="978"/>
      <c r="OX234" s="978"/>
      <c r="OY234" s="978"/>
      <c r="OZ234" s="978"/>
      <c r="PA234" s="978"/>
      <c r="PB234" s="978"/>
      <c r="PC234" s="978"/>
      <c r="PD234" s="978"/>
      <c r="PE234" s="978"/>
      <c r="PF234" s="978"/>
      <c r="PG234" s="978"/>
      <c r="PH234" s="978"/>
      <c r="PI234" s="978"/>
      <c r="PJ234" s="978"/>
      <c r="PK234" s="978"/>
      <c r="PL234" s="978"/>
      <c r="PM234" s="978"/>
      <c r="PN234" s="978"/>
      <c r="PO234" s="978"/>
      <c r="PP234" s="978"/>
      <c r="PQ234" s="978"/>
      <c r="PR234" s="978"/>
      <c r="PS234" s="978"/>
      <c r="PT234" s="978"/>
      <c r="PU234" s="978"/>
      <c r="PV234" s="978"/>
      <c r="PW234" s="978"/>
      <c r="PX234" s="978"/>
      <c r="PY234" s="978"/>
      <c r="PZ234" s="978"/>
      <c r="QA234" s="978"/>
      <c r="QB234" s="978"/>
      <c r="QC234" s="978"/>
      <c r="QD234" s="978"/>
      <c r="QE234" s="978"/>
      <c r="QF234" s="978"/>
      <c r="QG234" s="978"/>
      <c r="QH234" s="978"/>
      <c r="QI234" s="978"/>
      <c r="QJ234" s="978"/>
      <c r="QK234" s="978"/>
      <c r="QL234" s="978"/>
      <c r="QM234" s="978"/>
      <c r="QN234" s="978"/>
      <c r="QO234" s="978"/>
      <c r="QP234" s="978"/>
      <c r="QQ234" s="978"/>
      <c r="QR234" s="978"/>
      <c r="QS234" s="978"/>
      <c r="QT234" s="978"/>
      <c r="QU234" s="978"/>
      <c r="QV234" s="978"/>
      <c r="QW234" s="978"/>
      <c r="QX234" s="978"/>
      <c r="QY234" s="978"/>
      <c r="QZ234" s="978"/>
      <c r="RA234" s="978"/>
      <c r="RB234" s="274"/>
      <c r="RC234" s="274"/>
    </row>
    <row r="235" spans="112:471" ht="17.25">
      <c r="DH235" s="274"/>
      <c r="DI235" s="274"/>
      <c r="DJ235" s="978"/>
      <c r="DK235" s="978"/>
      <c r="DL235" s="978"/>
      <c r="DM235" s="978"/>
      <c r="DN235" s="978"/>
      <c r="DO235" s="978"/>
      <c r="DP235" s="978"/>
      <c r="DQ235" s="978"/>
      <c r="DR235" s="978"/>
      <c r="DS235" s="978"/>
      <c r="DT235" s="978"/>
      <c r="DU235" s="978"/>
      <c r="DV235" s="978"/>
      <c r="DW235" s="978"/>
      <c r="DX235" s="978"/>
      <c r="DY235" s="978"/>
      <c r="DZ235" s="978"/>
      <c r="EA235" s="978"/>
      <c r="EB235" s="978"/>
      <c r="EC235" s="978"/>
      <c r="ED235" s="978"/>
      <c r="EE235" s="978"/>
      <c r="EF235" s="978"/>
      <c r="EG235" s="978"/>
      <c r="EH235" s="978"/>
      <c r="EI235" s="978"/>
      <c r="EJ235" s="978"/>
      <c r="EK235" s="978"/>
      <c r="EL235" s="978"/>
      <c r="EM235" s="978"/>
      <c r="EN235" s="978"/>
      <c r="EO235" s="978"/>
      <c r="EP235" s="978"/>
      <c r="EQ235" s="978"/>
      <c r="ER235" s="978"/>
      <c r="ES235" s="978"/>
      <c r="ET235" s="978"/>
      <c r="EU235" s="978"/>
      <c r="EV235" s="978"/>
      <c r="EW235" s="978"/>
      <c r="EX235" s="978"/>
      <c r="EY235" s="978"/>
      <c r="EZ235" s="978"/>
      <c r="FA235" s="978"/>
      <c r="FB235" s="978"/>
      <c r="FC235" s="978"/>
      <c r="FD235" s="978"/>
      <c r="FE235" s="978"/>
      <c r="FF235" s="978"/>
      <c r="FG235" s="978"/>
      <c r="FH235" s="978"/>
      <c r="FI235" s="978"/>
      <c r="FJ235" s="978"/>
      <c r="FK235" s="978"/>
      <c r="FL235" s="978"/>
      <c r="FM235" s="978"/>
      <c r="FN235" s="978"/>
      <c r="FO235" s="978"/>
      <c r="FP235" s="978"/>
      <c r="FQ235" s="978"/>
      <c r="FR235" s="978"/>
      <c r="FS235" s="978"/>
      <c r="FT235" s="978"/>
      <c r="FU235" s="978"/>
      <c r="FV235" s="978"/>
      <c r="FW235" s="978"/>
      <c r="FX235" s="978"/>
      <c r="FY235" s="978"/>
      <c r="FZ235" s="978"/>
      <c r="GA235" s="978"/>
      <c r="GB235" s="978"/>
      <c r="GC235" s="978"/>
      <c r="GD235" s="978"/>
      <c r="GE235" s="978"/>
      <c r="GF235" s="978"/>
      <c r="GG235" s="978"/>
      <c r="GH235" s="978"/>
      <c r="GI235" s="978"/>
      <c r="GJ235" s="978"/>
      <c r="GK235" s="978"/>
      <c r="GL235" s="978"/>
      <c r="GM235" s="978"/>
      <c r="GN235" s="978"/>
      <c r="GO235" s="978"/>
      <c r="GP235" s="978"/>
      <c r="GQ235" s="978"/>
      <c r="GR235" s="978"/>
      <c r="GS235" s="978"/>
      <c r="GT235" s="978"/>
      <c r="GU235" s="978"/>
      <c r="GV235" s="978"/>
      <c r="GW235" s="978"/>
      <c r="GX235" s="978"/>
      <c r="GY235" s="978"/>
      <c r="GZ235" s="978"/>
      <c r="HA235" s="978"/>
      <c r="HB235" s="978"/>
      <c r="HC235" s="978"/>
      <c r="HD235" s="978"/>
      <c r="HE235" s="978"/>
      <c r="HF235" s="978"/>
      <c r="HG235" s="978"/>
      <c r="HH235" s="978"/>
      <c r="HI235" s="978"/>
      <c r="HJ235" s="978"/>
      <c r="HK235" s="978"/>
      <c r="HL235" s="978"/>
      <c r="HM235" s="978"/>
      <c r="HN235" s="978"/>
      <c r="HO235" s="978"/>
      <c r="HP235" s="978"/>
      <c r="HQ235" s="978"/>
      <c r="HR235" s="978"/>
      <c r="HS235" s="978"/>
      <c r="HT235" s="978"/>
      <c r="HU235" s="978"/>
      <c r="HV235" s="978"/>
      <c r="HW235" s="978"/>
      <c r="HX235" s="978"/>
      <c r="HY235" s="978"/>
      <c r="HZ235" s="978"/>
      <c r="IA235" s="978"/>
      <c r="IB235" s="978"/>
      <c r="IC235" s="978"/>
      <c r="ID235" s="978"/>
      <c r="IE235" s="978"/>
      <c r="IF235" s="978"/>
      <c r="IG235" s="978"/>
      <c r="IH235" s="978"/>
      <c r="II235" s="978"/>
      <c r="IJ235" s="978"/>
      <c r="IK235" s="978"/>
      <c r="IL235" s="978"/>
      <c r="IM235" s="978"/>
      <c r="IN235" s="978"/>
      <c r="IO235" s="978"/>
      <c r="IP235" s="978"/>
      <c r="IQ235" s="978"/>
      <c r="IR235" s="978"/>
      <c r="IS235" s="978"/>
      <c r="IT235" s="978"/>
      <c r="IU235" s="978"/>
      <c r="IV235" s="978"/>
      <c r="IW235" s="978"/>
      <c r="IX235" s="978"/>
      <c r="IY235" s="978"/>
      <c r="IZ235" s="978"/>
      <c r="JA235" s="978"/>
      <c r="JB235" s="978"/>
      <c r="JC235" s="978"/>
      <c r="JD235" s="978"/>
      <c r="JE235" s="978"/>
      <c r="JF235" s="978"/>
      <c r="JG235" s="978"/>
      <c r="JH235" s="978"/>
      <c r="JI235" s="978"/>
      <c r="JJ235" s="978"/>
      <c r="JK235" s="978"/>
      <c r="JL235" s="978"/>
      <c r="JM235" s="978"/>
      <c r="JN235" s="978"/>
      <c r="JO235" s="978"/>
      <c r="JP235" s="978"/>
      <c r="JQ235" s="978"/>
      <c r="JR235" s="978"/>
      <c r="JS235" s="978"/>
      <c r="JT235" s="978"/>
      <c r="JU235" s="978"/>
      <c r="JV235" s="978"/>
      <c r="JW235" s="978"/>
      <c r="JX235" s="978"/>
      <c r="JY235" s="978"/>
      <c r="JZ235" s="978"/>
      <c r="KA235" s="978"/>
      <c r="KB235" s="978"/>
      <c r="KC235" s="978"/>
      <c r="KD235" s="978"/>
      <c r="KE235" s="978"/>
      <c r="KF235" s="978"/>
      <c r="KG235" s="978"/>
      <c r="KH235" s="978"/>
      <c r="KI235" s="978"/>
      <c r="KJ235" s="978"/>
      <c r="KK235" s="978"/>
      <c r="KL235" s="978"/>
      <c r="KM235" s="978"/>
      <c r="KN235" s="978"/>
      <c r="KO235" s="978"/>
      <c r="KP235" s="978"/>
      <c r="KQ235" s="978"/>
      <c r="KR235" s="978"/>
      <c r="KS235" s="978"/>
      <c r="KT235" s="978"/>
      <c r="KU235" s="978"/>
      <c r="KV235" s="978"/>
      <c r="KW235" s="978"/>
      <c r="KX235" s="978"/>
      <c r="KY235" s="978"/>
      <c r="KZ235" s="978"/>
      <c r="LA235" s="978"/>
      <c r="LB235" s="978"/>
      <c r="LC235" s="978"/>
      <c r="LD235" s="978"/>
      <c r="LE235" s="978"/>
      <c r="LF235" s="978"/>
      <c r="LG235" s="978"/>
      <c r="LH235" s="978"/>
      <c r="LI235" s="978"/>
      <c r="LJ235" s="978"/>
      <c r="LK235" s="978"/>
      <c r="LL235" s="978"/>
      <c r="LM235" s="978"/>
      <c r="LN235" s="978"/>
      <c r="LO235" s="978"/>
      <c r="LP235" s="978"/>
      <c r="LQ235" s="978"/>
      <c r="LR235" s="978"/>
      <c r="LS235" s="978"/>
      <c r="LT235" s="978"/>
      <c r="LU235" s="978"/>
      <c r="LV235" s="978"/>
      <c r="LW235" s="978"/>
      <c r="LX235" s="978"/>
      <c r="LY235" s="978"/>
      <c r="LZ235" s="978"/>
      <c r="MA235" s="978"/>
      <c r="MB235" s="978"/>
      <c r="MC235" s="978"/>
      <c r="MD235" s="978"/>
      <c r="ME235" s="978"/>
      <c r="MF235" s="978"/>
      <c r="MG235" s="978"/>
      <c r="MH235" s="978"/>
      <c r="MI235" s="978"/>
      <c r="MJ235" s="978"/>
      <c r="MK235" s="978"/>
      <c r="ML235" s="978"/>
      <c r="MM235" s="978"/>
      <c r="MN235" s="978"/>
      <c r="MO235" s="978"/>
      <c r="MP235" s="978"/>
      <c r="MQ235" s="978"/>
      <c r="MR235" s="978"/>
      <c r="MS235" s="978"/>
      <c r="MT235" s="978"/>
      <c r="MU235" s="978"/>
      <c r="MV235" s="978"/>
      <c r="MW235" s="978"/>
      <c r="MX235" s="978"/>
      <c r="MY235" s="978"/>
      <c r="MZ235" s="978"/>
      <c r="NA235" s="978"/>
      <c r="NB235" s="978"/>
      <c r="NC235" s="978"/>
      <c r="ND235" s="978"/>
      <c r="NE235" s="978"/>
      <c r="NF235" s="978"/>
      <c r="NG235" s="978"/>
      <c r="NH235" s="978"/>
      <c r="NI235" s="978"/>
      <c r="NJ235" s="978"/>
      <c r="NK235" s="978"/>
      <c r="NL235" s="978"/>
      <c r="NM235" s="978"/>
      <c r="NN235" s="978"/>
      <c r="NO235" s="978"/>
      <c r="NP235" s="978"/>
      <c r="NQ235" s="978"/>
      <c r="NR235" s="978"/>
      <c r="NS235" s="978"/>
      <c r="NT235" s="978"/>
      <c r="NU235" s="978"/>
      <c r="NV235" s="978"/>
      <c r="NW235" s="978"/>
      <c r="NX235" s="978"/>
      <c r="NY235" s="978"/>
      <c r="NZ235" s="978"/>
      <c r="OA235" s="978"/>
      <c r="OB235" s="978"/>
      <c r="OC235" s="978"/>
      <c r="OD235" s="978"/>
      <c r="OE235" s="978"/>
      <c r="OF235" s="978"/>
      <c r="OG235" s="978"/>
      <c r="OH235" s="978"/>
      <c r="OI235" s="978"/>
      <c r="OJ235" s="978"/>
      <c r="OK235" s="978"/>
      <c r="OL235" s="978"/>
      <c r="OM235" s="978"/>
      <c r="ON235" s="978"/>
      <c r="OO235" s="978"/>
      <c r="OP235" s="978"/>
      <c r="OQ235" s="978"/>
      <c r="OR235" s="978"/>
      <c r="OS235" s="978"/>
      <c r="OT235" s="978"/>
      <c r="OU235" s="978"/>
      <c r="OV235" s="978"/>
      <c r="OW235" s="978"/>
      <c r="OX235" s="978"/>
      <c r="OY235" s="978"/>
      <c r="OZ235" s="978"/>
      <c r="PA235" s="978"/>
      <c r="PB235" s="978"/>
      <c r="PC235" s="978"/>
      <c r="PD235" s="978"/>
      <c r="PE235" s="978"/>
      <c r="PF235" s="978"/>
      <c r="PG235" s="978"/>
      <c r="PH235" s="978"/>
      <c r="PI235" s="978"/>
      <c r="PJ235" s="978"/>
      <c r="PK235" s="978"/>
      <c r="PL235" s="978"/>
      <c r="PM235" s="978"/>
      <c r="PN235" s="978"/>
      <c r="PO235" s="978"/>
      <c r="PP235" s="978"/>
      <c r="PQ235" s="978"/>
      <c r="PR235" s="978"/>
      <c r="PS235" s="978"/>
      <c r="PT235" s="978"/>
      <c r="PU235" s="978"/>
      <c r="PV235" s="978"/>
      <c r="PW235" s="978"/>
      <c r="PX235" s="978"/>
      <c r="PY235" s="978"/>
      <c r="PZ235" s="978"/>
      <c r="QA235" s="978"/>
      <c r="QB235" s="978"/>
      <c r="QC235" s="978"/>
      <c r="QD235" s="978"/>
      <c r="QE235" s="978"/>
      <c r="QF235" s="978"/>
      <c r="QG235" s="978"/>
      <c r="QH235" s="978"/>
      <c r="QI235" s="978"/>
      <c r="QJ235" s="978"/>
      <c r="QK235" s="978"/>
      <c r="QL235" s="978"/>
      <c r="QM235" s="978"/>
      <c r="QN235" s="978"/>
      <c r="QO235" s="978"/>
      <c r="QP235" s="978"/>
      <c r="QQ235" s="978"/>
      <c r="QR235" s="978"/>
      <c r="QS235" s="978"/>
      <c r="QT235" s="978"/>
      <c r="QU235" s="978"/>
      <c r="QV235" s="978"/>
      <c r="QW235" s="978"/>
      <c r="QX235" s="978"/>
      <c r="QY235" s="978"/>
      <c r="QZ235" s="978"/>
      <c r="RA235" s="978"/>
      <c r="RB235" s="274"/>
      <c r="RC235" s="274"/>
    </row>
    <row r="236" spans="112:471" ht="17.25">
      <c r="DH236" s="274"/>
      <c r="DI236" s="274"/>
      <c r="DJ236" s="978"/>
      <c r="DK236" s="978"/>
      <c r="DL236" s="978"/>
      <c r="DM236" s="978"/>
      <c r="DN236" s="978"/>
      <c r="DO236" s="978"/>
      <c r="DP236" s="978"/>
      <c r="DQ236" s="978"/>
      <c r="DR236" s="978"/>
      <c r="DS236" s="978"/>
      <c r="DT236" s="978"/>
      <c r="DU236" s="978"/>
      <c r="DV236" s="978"/>
      <c r="DW236" s="978"/>
      <c r="DX236" s="978"/>
      <c r="DY236" s="978"/>
      <c r="DZ236" s="978"/>
      <c r="EA236" s="978"/>
      <c r="EB236" s="978"/>
      <c r="EC236" s="978"/>
      <c r="ED236" s="978"/>
      <c r="EE236" s="978"/>
      <c r="EF236" s="978"/>
      <c r="EG236" s="978"/>
      <c r="EH236" s="978"/>
      <c r="EI236" s="978"/>
      <c r="EJ236" s="978"/>
      <c r="EK236" s="978"/>
      <c r="EL236" s="978"/>
      <c r="EM236" s="978"/>
      <c r="EN236" s="978"/>
      <c r="EO236" s="978"/>
      <c r="EP236" s="978"/>
      <c r="EQ236" s="978"/>
      <c r="ER236" s="978"/>
      <c r="ES236" s="978"/>
      <c r="ET236" s="978"/>
      <c r="EU236" s="978"/>
      <c r="EV236" s="978"/>
      <c r="EW236" s="978"/>
      <c r="EX236" s="978"/>
      <c r="EY236" s="978"/>
      <c r="EZ236" s="978"/>
      <c r="FA236" s="978"/>
      <c r="FB236" s="978"/>
      <c r="FC236" s="978"/>
      <c r="FD236" s="978"/>
      <c r="FE236" s="978"/>
      <c r="FF236" s="978"/>
      <c r="FG236" s="978"/>
      <c r="FH236" s="978"/>
      <c r="FI236" s="978"/>
      <c r="FJ236" s="978"/>
      <c r="FK236" s="978"/>
      <c r="FL236" s="978"/>
      <c r="FM236" s="978"/>
      <c r="FN236" s="978"/>
      <c r="FO236" s="978"/>
      <c r="FP236" s="978"/>
      <c r="FQ236" s="978"/>
      <c r="FR236" s="978"/>
      <c r="FS236" s="978"/>
      <c r="FT236" s="978"/>
      <c r="FU236" s="978"/>
      <c r="FV236" s="978"/>
      <c r="FW236" s="978"/>
      <c r="FX236" s="978"/>
      <c r="FY236" s="978"/>
      <c r="FZ236" s="978"/>
      <c r="GA236" s="978"/>
      <c r="GB236" s="978"/>
      <c r="GC236" s="978"/>
      <c r="GD236" s="978"/>
      <c r="GE236" s="978"/>
      <c r="GF236" s="978"/>
      <c r="GG236" s="978"/>
      <c r="GH236" s="978"/>
      <c r="GI236" s="978"/>
      <c r="GJ236" s="978"/>
      <c r="GK236" s="978"/>
      <c r="GL236" s="978"/>
      <c r="GM236" s="978"/>
      <c r="GN236" s="978"/>
      <c r="GO236" s="978"/>
      <c r="GP236" s="978"/>
      <c r="GQ236" s="978"/>
      <c r="GR236" s="978"/>
      <c r="GS236" s="978"/>
      <c r="GT236" s="978"/>
      <c r="GU236" s="978"/>
      <c r="GV236" s="978"/>
      <c r="GW236" s="978"/>
      <c r="GX236" s="978"/>
      <c r="GY236" s="978"/>
      <c r="GZ236" s="978"/>
      <c r="HA236" s="978"/>
      <c r="HB236" s="978"/>
      <c r="HC236" s="978"/>
      <c r="HD236" s="978"/>
      <c r="HE236" s="978"/>
      <c r="HF236" s="978"/>
      <c r="HG236" s="978"/>
      <c r="HH236" s="978"/>
      <c r="HI236" s="978"/>
      <c r="HJ236" s="978"/>
      <c r="HK236" s="978"/>
      <c r="HL236" s="978"/>
      <c r="HM236" s="978"/>
      <c r="HN236" s="978"/>
      <c r="HO236" s="978"/>
      <c r="HP236" s="978"/>
      <c r="HQ236" s="978"/>
      <c r="HR236" s="978"/>
      <c r="HS236" s="978"/>
      <c r="HT236" s="978"/>
      <c r="HU236" s="978"/>
      <c r="HV236" s="978"/>
      <c r="HW236" s="978"/>
      <c r="HX236" s="978"/>
      <c r="HY236" s="978"/>
      <c r="HZ236" s="978"/>
      <c r="IA236" s="978"/>
      <c r="IB236" s="978"/>
      <c r="IC236" s="978"/>
      <c r="ID236" s="978"/>
      <c r="IE236" s="978"/>
      <c r="IF236" s="978"/>
      <c r="IG236" s="978"/>
      <c r="IH236" s="978"/>
      <c r="II236" s="978"/>
      <c r="IJ236" s="978"/>
      <c r="IK236" s="978"/>
      <c r="IL236" s="978"/>
      <c r="IM236" s="978"/>
      <c r="IN236" s="978"/>
      <c r="IO236" s="978"/>
      <c r="IP236" s="978"/>
      <c r="IQ236" s="978"/>
      <c r="IR236" s="978"/>
      <c r="IS236" s="978"/>
      <c r="IT236" s="978"/>
      <c r="IU236" s="978"/>
      <c r="IV236" s="978"/>
      <c r="IW236" s="978"/>
      <c r="IX236" s="978"/>
      <c r="IY236" s="978"/>
      <c r="IZ236" s="978"/>
      <c r="JA236" s="978"/>
      <c r="JB236" s="978"/>
      <c r="JC236" s="978"/>
      <c r="JD236" s="978"/>
      <c r="JE236" s="978"/>
      <c r="JF236" s="978"/>
      <c r="JG236" s="978"/>
      <c r="JH236" s="978"/>
      <c r="JI236" s="978"/>
      <c r="JJ236" s="978"/>
      <c r="JK236" s="978"/>
      <c r="JL236" s="978"/>
      <c r="JM236" s="978"/>
      <c r="JN236" s="978"/>
      <c r="JO236" s="978"/>
      <c r="JP236" s="978"/>
      <c r="JQ236" s="978"/>
      <c r="JR236" s="978"/>
      <c r="JS236" s="978"/>
      <c r="JT236" s="978"/>
      <c r="JU236" s="978"/>
      <c r="JV236" s="978"/>
      <c r="JW236" s="978"/>
      <c r="JX236" s="978"/>
      <c r="JY236" s="978"/>
      <c r="JZ236" s="978"/>
      <c r="KA236" s="978"/>
      <c r="KB236" s="978"/>
      <c r="KC236" s="978"/>
      <c r="KD236" s="978"/>
      <c r="KE236" s="978"/>
      <c r="KF236" s="978"/>
      <c r="KG236" s="978"/>
      <c r="KH236" s="978"/>
      <c r="KI236" s="978"/>
      <c r="KJ236" s="978"/>
      <c r="KK236" s="978"/>
      <c r="KL236" s="978"/>
      <c r="KM236" s="978"/>
      <c r="KN236" s="978"/>
      <c r="KO236" s="978"/>
      <c r="KP236" s="978"/>
      <c r="KQ236" s="978"/>
      <c r="KR236" s="978"/>
      <c r="KS236" s="978"/>
      <c r="KT236" s="978"/>
      <c r="KU236" s="978"/>
      <c r="KV236" s="978"/>
      <c r="KW236" s="978"/>
      <c r="KX236" s="978"/>
      <c r="KY236" s="978"/>
      <c r="KZ236" s="978"/>
      <c r="LA236" s="978"/>
      <c r="LB236" s="978"/>
      <c r="LC236" s="978"/>
      <c r="LD236" s="978"/>
      <c r="LE236" s="978"/>
      <c r="LF236" s="978"/>
      <c r="LG236" s="978"/>
      <c r="LH236" s="978"/>
      <c r="LI236" s="978"/>
      <c r="LJ236" s="978"/>
      <c r="LK236" s="978"/>
      <c r="LL236" s="978"/>
      <c r="LM236" s="978"/>
      <c r="LN236" s="978"/>
      <c r="LO236" s="978"/>
      <c r="LP236" s="978"/>
      <c r="LQ236" s="978"/>
      <c r="LR236" s="978"/>
      <c r="LS236" s="978"/>
      <c r="LT236" s="978"/>
      <c r="LU236" s="978"/>
      <c r="LV236" s="978"/>
      <c r="LW236" s="978"/>
      <c r="LX236" s="978"/>
      <c r="LY236" s="978"/>
      <c r="LZ236" s="978"/>
      <c r="MA236" s="978"/>
      <c r="MB236" s="978"/>
      <c r="MC236" s="978"/>
      <c r="MD236" s="978"/>
      <c r="ME236" s="978"/>
      <c r="MF236" s="978"/>
      <c r="MG236" s="978"/>
      <c r="MH236" s="978"/>
      <c r="MI236" s="978"/>
      <c r="MJ236" s="978"/>
      <c r="MK236" s="978"/>
      <c r="ML236" s="978"/>
      <c r="MM236" s="978"/>
      <c r="MN236" s="978"/>
      <c r="MO236" s="978"/>
      <c r="MP236" s="978"/>
      <c r="MQ236" s="978"/>
      <c r="MR236" s="978"/>
      <c r="MS236" s="978"/>
      <c r="MT236" s="978"/>
      <c r="MU236" s="978"/>
      <c r="MV236" s="978"/>
      <c r="MW236" s="978"/>
      <c r="MX236" s="978"/>
      <c r="MY236" s="978"/>
      <c r="MZ236" s="978"/>
      <c r="NA236" s="978"/>
      <c r="NB236" s="978"/>
      <c r="NC236" s="978"/>
      <c r="ND236" s="978"/>
      <c r="NE236" s="978"/>
      <c r="NF236" s="978"/>
      <c r="NG236" s="978"/>
      <c r="NH236" s="978"/>
      <c r="NI236" s="978"/>
      <c r="NJ236" s="978"/>
      <c r="NK236" s="978"/>
      <c r="NL236" s="978"/>
      <c r="NM236" s="978"/>
      <c r="NN236" s="978"/>
      <c r="NO236" s="978"/>
      <c r="NP236" s="978"/>
      <c r="NQ236" s="978"/>
      <c r="NR236" s="978"/>
      <c r="NS236" s="978"/>
      <c r="NT236" s="978"/>
      <c r="NU236" s="978"/>
      <c r="NV236" s="978"/>
      <c r="NW236" s="978"/>
      <c r="NX236" s="978"/>
      <c r="NY236" s="978"/>
      <c r="NZ236" s="978"/>
      <c r="OA236" s="978"/>
      <c r="OB236" s="978"/>
      <c r="OC236" s="978"/>
      <c r="OD236" s="978"/>
      <c r="OE236" s="978"/>
      <c r="OF236" s="978"/>
      <c r="OG236" s="978"/>
      <c r="OH236" s="978"/>
      <c r="OI236" s="978"/>
      <c r="OJ236" s="978"/>
      <c r="OK236" s="978"/>
      <c r="OL236" s="978"/>
      <c r="OM236" s="978"/>
      <c r="ON236" s="978"/>
      <c r="OO236" s="978"/>
      <c r="OP236" s="978"/>
      <c r="OQ236" s="978"/>
      <c r="OR236" s="978"/>
      <c r="OS236" s="978"/>
      <c r="OT236" s="978"/>
      <c r="OU236" s="978"/>
      <c r="OV236" s="978"/>
      <c r="OW236" s="978"/>
      <c r="OX236" s="978"/>
      <c r="OY236" s="978"/>
      <c r="OZ236" s="978"/>
      <c r="PA236" s="978"/>
      <c r="PB236" s="978"/>
      <c r="PC236" s="978"/>
      <c r="PD236" s="978"/>
      <c r="PE236" s="978"/>
      <c r="PF236" s="978"/>
      <c r="PG236" s="978"/>
      <c r="PH236" s="978"/>
      <c r="PI236" s="978"/>
      <c r="PJ236" s="978"/>
      <c r="PK236" s="978"/>
      <c r="PL236" s="978"/>
      <c r="PM236" s="978"/>
      <c r="PN236" s="978"/>
      <c r="PO236" s="978"/>
      <c r="PP236" s="978"/>
      <c r="PQ236" s="978"/>
      <c r="PR236" s="978"/>
      <c r="PS236" s="978"/>
      <c r="PT236" s="978"/>
      <c r="PU236" s="978"/>
      <c r="PV236" s="978"/>
      <c r="PW236" s="978"/>
      <c r="PX236" s="978"/>
      <c r="PY236" s="978"/>
      <c r="PZ236" s="978"/>
      <c r="QA236" s="978"/>
      <c r="QB236" s="978"/>
      <c r="QC236" s="978"/>
      <c r="QD236" s="978"/>
      <c r="QE236" s="978"/>
      <c r="QF236" s="978"/>
      <c r="QG236" s="978"/>
      <c r="QH236" s="978"/>
      <c r="QI236" s="978"/>
      <c r="QJ236" s="978"/>
      <c r="QK236" s="978"/>
      <c r="QL236" s="978"/>
      <c r="QM236" s="978"/>
      <c r="QN236" s="978"/>
      <c r="QO236" s="978"/>
      <c r="QP236" s="978"/>
      <c r="QQ236" s="978"/>
      <c r="QR236" s="978"/>
      <c r="QS236" s="978"/>
      <c r="QT236" s="978"/>
      <c r="QU236" s="978"/>
      <c r="QV236" s="978"/>
      <c r="QW236" s="978"/>
      <c r="QX236" s="978"/>
      <c r="QY236" s="978"/>
      <c r="QZ236" s="978"/>
      <c r="RA236" s="978"/>
      <c r="RB236" s="274"/>
      <c r="RC236" s="274"/>
    </row>
    <row r="237" spans="112:471" ht="17.25">
      <c r="DH237" s="274"/>
      <c r="DI237" s="274"/>
      <c r="DJ237" s="978"/>
      <c r="DK237" s="978"/>
      <c r="DL237" s="978"/>
      <c r="DM237" s="978"/>
      <c r="DN237" s="978"/>
      <c r="DO237" s="978"/>
      <c r="DP237" s="978"/>
      <c r="DQ237" s="978"/>
      <c r="DR237" s="978"/>
      <c r="DS237" s="978"/>
      <c r="DT237" s="978"/>
      <c r="DU237" s="978"/>
      <c r="DV237" s="978"/>
      <c r="DW237" s="978"/>
      <c r="DX237" s="978"/>
      <c r="DY237" s="978"/>
      <c r="DZ237" s="978"/>
      <c r="EA237" s="978"/>
      <c r="EB237" s="978"/>
      <c r="EC237" s="978"/>
      <c r="ED237" s="978"/>
      <c r="EE237" s="978"/>
      <c r="EF237" s="978"/>
      <c r="EG237" s="978"/>
      <c r="EH237" s="978"/>
      <c r="EI237" s="978"/>
      <c r="EJ237" s="978"/>
      <c r="EK237" s="978"/>
      <c r="EL237" s="978"/>
      <c r="EM237" s="978"/>
      <c r="EN237" s="978"/>
      <c r="EO237" s="978"/>
      <c r="EP237" s="978"/>
      <c r="EQ237" s="978"/>
      <c r="ER237" s="978"/>
      <c r="ES237" s="978"/>
      <c r="ET237" s="978"/>
      <c r="EU237" s="978"/>
      <c r="EV237" s="978"/>
      <c r="EW237" s="978"/>
      <c r="EX237" s="978"/>
      <c r="EY237" s="978"/>
      <c r="EZ237" s="978"/>
      <c r="FA237" s="978"/>
      <c r="FB237" s="978"/>
      <c r="FC237" s="978"/>
      <c r="FD237" s="978"/>
      <c r="FE237" s="978"/>
      <c r="FF237" s="978"/>
      <c r="FG237" s="978"/>
      <c r="FH237" s="978"/>
      <c r="FI237" s="978"/>
      <c r="FJ237" s="978"/>
      <c r="FK237" s="978"/>
      <c r="FL237" s="978"/>
      <c r="FM237" s="978"/>
      <c r="FN237" s="978"/>
      <c r="FO237" s="978"/>
      <c r="FP237" s="978"/>
      <c r="FQ237" s="978"/>
      <c r="FR237" s="978"/>
      <c r="FS237" s="978"/>
      <c r="FT237" s="978"/>
      <c r="FU237" s="978"/>
      <c r="FV237" s="978"/>
      <c r="FW237" s="978"/>
      <c r="FX237" s="978"/>
      <c r="FY237" s="978"/>
      <c r="FZ237" s="978"/>
      <c r="GA237" s="978"/>
      <c r="GB237" s="978"/>
      <c r="GC237" s="978"/>
      <c r="GD237" s="978"/>
      <c r="GE237" s="978"/>
      <c r="GF237" s="978"/>
      <c r="GG237" s="978"/>
      <c r="GH237" s="978"/>
      <c r="GI237" s="978"/>
      <c r="GJ237" s="978"/>
      <c r="GK237" s="978"/>
      <c r="GL237" s="978"/>
      <c r="GM237" s="978"/>
      <c r="GN237" s="978"/>
      <c r="GO237" s="978"/>
      <c r="GP237" s="978"/>
      <c r="GQ237" s="978"/>
      <c r="GR237" s="978"/>
      <c r="GS237" s="978"/>
      <c r="GT237" s="978"/>
      <c r="GU237" s="978"/>
      <c r="GV237" s="978"/>
      <c r="GW237" s="978"/>
      <c r="GX237" s="978"/>
      <c r="GY237" s="978"/>
      <c r="GZ237" s="978"/>
      <c r="HA237" s="978"/>
      <c r="HB237" s="978"/>
      <c r="HC237" s="978"/>
      <c r="HD237" s="978"/>
      <c r="HE237" s="978"/>
      <c r="HF237" s="978"/>
      <c r="HG237" s="978"/>
      <c r="HH237" s="978"/>
      <c r="HI237" s="978"/>
      <c r="HJ237" s="978"/>
      <c r="HK237" s="978"/>
      <c r="HL237" s="978"/>
      <c r="HM237" s="978"/>
      <c r="HN237" s="978"/>
      <c r="HO237" s="978"/>
      <c r="HP237" s="978"/>
      <c r="HQ237" s="978"/>
      <c r="HR237" s="978"/>
      <c r="HS237" s="978"/>
      <c r="HT237" s="978"/>
      <c r="HU237" s="978"/>
      <c r="HV237" s="978"/>
      <c r="HW237" s="978"/>
      <c r="HX237" s="978"/>
      <c r="HY237" s="978"/>
      <c r="HZ237" s="978"/>
      <c r="IA237" s="978"/>
      <c r="IB237" s="978"/>
      <c r="IC237" s="978"/>
      <c r="ID237" s="978"/>
      <c r="IE237" s="978"/>
      <c r="IF237" s="978"/>
      <c r="IG237" s="978"/>
      <c r="IH237" s="978"/>
      <c r="II237" s="978"/>
      <c r="IJ237" s="978"/>
      <c r="IK237" s="978"/>
      <c r="IL237" s="978"/>
      <c r="IM237" s="978"/>
      <c r="IN237" s="978"/>
      <c r="IO237" s="978"/>
      <c r="IP237" s="978"/>
      <c r="IQ237" s="978"/>
      <c r="IR237" s="978"/>
      <c r="IS237" s="978"/>
      <c r="IT237" s="978"/>
      <c r="IU237" s="978"/>
      <c r="IV237" s="978"/>
      <c r="IW237" s="978"/>
      <c r="IX237" s="978"/>
      <c r="IY237" s="978"/>
      <c r="IZ237" s="978"/>
      <c r="JA237" s="978"/>
      <c r="JB237" s="978"/>
      <c r="JC237" s="978"/>
      <c r="JD237" s="978"/>
      <c r="JE237" s="978"/>
      <c r="JF237" s="978"/>
      <c r="JG237" s="978"/>
      <c r="JH237" s="978"/>
      <c r="JI237" s="978"/>
      <c r="JJ237" s="978"/>
      <c r="JK237" s="978"/>
      <c r="JL237" s="978"/>
      <c r="JM237" s="978"/>
      <c r="JN237" s="978"/>
      <c r="JO237" s="978"/>
      <c r="JP237" s="978"/>
      <c r="JQ237" s="978"/>
      <c r="JR237" s="978"/>
      <c r="JS237" s="978"/>
      <c r="JT237" s="978"/>
      <c r="JU237" s="978"/>
      <c r="JV237" s="978"/>
      <c r="JW237" s="978"/>
      <c r="JX237" s="978"/>
      <c r="JY237" s="978"/>
      <c r="JZ237" s="978"/>
      <c r="KA237" s="978"/>
      <c r="KB237" s="978"/>
      <c r="KC237" s="978"/>
      <c r="KD237" s="978"/>
      <c r="KE237" s="978"/>
      <c r="KF237" s="978"/>
      <c r="KG237" s="978"/>
      <c r="KH237" s="978"/>
      <c r="KI237" s="978"/>
      <c r="KJ237" s="978"/>
      <c r="KK237" s="978"/>
      <c r="KL237" s="978"/>
      <c r="KM237" s="978"/>
      <c r="KN237" s="978"/>
      <c r="KO237" s="978"/>
      <c r="KP237" s="978"/>
      <c r="KQ237" s="978"/>
      <c r="KR237" s="978"/>
      <c r="KS237" s="978"/>
      <c r="KT237" s="978"/>
      <c r="KU237" s="978"/>
      <c r="KV237" s="978"/>
      <c r="KW237" s="978"/>
      <c r="KX237" s="978"/>
      <c r="KY237" s="978"/>
      <c r="KZ237" s="978"/>
      <c r="LA237" s="978"/>
      <c r="LB237" s="978"/>
      <c r="LC237" s="978"/>
      <c r="LD237" s="978"/>
      <c r="LE237" s="978"/>
      <c r="LF237" s="978"/>
      <c r="LG237" s="978"/>
      <c r="LH237" s="978"/>
      <c r="LI237" s="978"/>
      <c r="LJ237" s="978"/>
      <c r="LK237" s="978"/>
      <c r="LL237" s="978"/>
      <c r="LM237" s="978"/>
      <c r="LN237" s="978"/>
      <c r="LO237" s="978"/>
      <c r="LP237" s="978"/>
      <c r="LQ237" s="978"/>
      <c r="LR237" s="978"/>
      <c r="LS237" s="978"/>
      <c r="LT237" s="978"/>
      <c r="LU237" s="978"/>
      <c r="LV237" s="978"/>
      <c r="LW237" s="978"/>
      <c r="LX237" s="978"/>
      <c r="LY237" s="978"/>
      <c r="LZ237" s="978"/>
      <c r="MA237" s="978"/>
      <c r="MB237" s="978"/>
      <c r="MC237" s="978"/>
      <c r="MD237" s="978"/>
      <c r="ME237" s="978"/>
      <c r="MF237" s="978"/>
      <c r="MG237" s="978"/>
      <c r="MH237" s="978"/>
      <c r="MI237" s="978"/>
      <c r="MJ237" s="978"/>
      <c r="MK237" s="978"/>
      <c r="ML237" s="978"/>
      <c r="MM237" s="978"/>
      <c r="MN237" s="978"/>
      <c r="MO237" s="978"/>
      <c r="MP237" s="978"/>
      <c r="MQ237" s="978"/>
      <c r="MR237" s="978"/>
      <c r="MS237" s="978"/>
      <c r="MT237" s="978"/>
      <c r="MU237" s="978"/>
      <c r="MV237" s="978"/>
      <c r="MW237" s="978"/>
      <c r="MX237" s="978"/>
      <c r="MY237" s="978"/>
      <c r="MZ237" s="978"/>
      <c r="NA237" s="978"/>
      <c r="NB237" s="978"/>
      <c r="NC237" s="978"/>
      <c r="ND237" s="978"/>
      <c r="NE237" s="978"/>
      <c r="NF237" s="978"/>
      <c r="NG237" s="978"/>
      <c r="NH237" s="978"/>
      <c r="NI237" s="978"/>
      <c r="NJ237" s="978"/>
      <c r="NK237" s="978"/>
      <c r="NL237" s="978"/>
      <c r="NM237" s="978"/>
      <c r="NN237" s="978"/>
      <c r="NO237" s="978"/>
      <c r="NP237" s="978"/>
      <c r="NQ237" s="978"/>
      <c r="NR237" s="978"/>
      <c r="NS237" s="978"/>
      <c r="NT237" s="978"/>
      <c r="NU237" s="978"/>
      <c r="NV237" s="978"/>
      <c r="NW237" s="978"/>
      <c r="NX237" s="978"/>
      <c r="NY237" s="978"/>
      <c r="NZ237" s="978"/>
      <c r="OA237" s="978"/>
      <c r="OB237" s="978"/>
      <c r="OC237" s="978"/>
      <c r="OD237" s="978"/>
      <c r="OE237" s="978"/>
      <c r="OF237" s="978"/>
      <c r="OG237" s="978"/>
      <c r="OH237" s="978"/>
      <c r="OI237" s="978"/>
      <c r="OJ237" s="978"/>
      <c r="OK237" s="978"/>
      <c r="OL237" s="978"/>
      <c r="OM237" s="978"/>
      <c r="ON237" s="978"/>
      <c r="OO237" s="978"/>
      <c r="OP237" s="978"/>
      <c r="OQ237" s="978"/>
      <c r="OR237" s="978"/>
      <c r="OS237" s="978"/>
      <c r="OT237" s="978"/>
      <c r="OU237" s="978"/>
      <c r="OV237" s="978"/>
      <c r="OW237" s="978"/>
      <c r="OX237" s="978"/>
      <c r="OY237" s="978"/>
      <c r="OZ237" s="978"/>
      <c r="PA237" s="978"/>
      <c r="PB237" s="978"/>
      <c r="PC237" s="978"/>
      <c r="PD237" s="978"/>
      <c r="PE237" s="978"/>
      <c r="PF237" s="978"/>
      <c r="PG237" s="978"/>
      <c r="PH237" s="978"/>
      <c r="PI237" s="978"/>
      <c r="PJ237" s="978"/>
      <c r="PK237" s="978"/>
      <c r="PL237" s="978"/>
      <c r="PM237" s="978"/>
      <c r="PN237" s="978"/>
      <c r="PO237" s="978"/>
      <c r="PP237" s="978"/>
      <c r="PQ237" s="978"/>
      <c r="PR237" s="978"/>
      <c r="PS237" s="978"/>
      <c r="PT237" s="978"/>
      <c r="PU237" s="978"/>
      <c r="PV237" s="978"/>
      <c r="PW237" s="978"/>
      <c r="PX237" s="978"/>
      <c r="PY237" s="978"/>
      <c r="PZ237" s="978"/>
      <c r="QA237" s="978"/>
      <c r="QB237" s="978"/>
      <c r="QC237" s="978"/>
      <c r="QD237" s="978"/>
      <c r="QE237" s="978"/>
      <c r="QF237" s="978"/>
      <c r="QG237" s="978"/>
      <c r="QH237" s="978"/>
      <c r="QI237" s="978"/>
      <c r="QJ237" s="978"/>
      <c r="QK237" s="978"/>
      <c r="QL237" s="978"/>
      <c r="QM237" s="978"/>
      <c r="QN237" s="978"/>
      <c r="QO237" s="978"/>
      <c r="QP237" s="978"/>
      <c r="QQ237" s="978"/>
      <c r="QR237" s="978"/>
      <c r="QS237" s="978"/>
      <c r="QT237" s="978"/>
      <c r="QU237" s="978"/>
      <c r="QV237" s="978"/>
      <c r="QW237" s="978"/>
      <c r="QX237" s="978"/>
      <c r="QY237" s="978"/>
      <c r="QZ237" s="978"/>
      <c r="RA237" s="978"/>
      <c r="RB237" s="274"/>
      <c r="RC237" s="274"/>
    </row>
    <row r="238" spans="112:471" ht="17.25">
      <c r="DH238" s="274"/>
      <c r="DI238" s="274"/>
      <c r="DJ238" s="978"/>
      <c r="DK238" s="978"/>
      <c r="DL238" s="978"/>
      <c r="DM238" s="978"/>
      <c r="DN238" s="978"/>
      <c r="DO238" s="978"/>
      <c r="DP238" s="978"/>
      <c r="DQ238" s="978"/>
      <c r="DR238" s="978"/>
      <c r="DS238" s="978"/>
      <c r="DT238" s="978"/>
      <c r="DU238" s="978"/>
      <c r="DV238" s="978"/>
      <c r="DW238" s="978"/>
      <c r="DX238" s="978"/>
      <c r="DY238" s="978"/>
      <c r="DZ238" s="978"/>
      <c r="EA238" s="978"/>
      <c r="EB238" s="978"/>
      <c r="EC238" s="978"/>
      <c r="ED238" s="978"/>
      <c r="EE238" s="978"/>
      <c r="EF238" s="978"/>
      <c r="EG238" s="978"/>
      <c r="EH238" s="978"/>
      <c r="EI238" s="978"/>
      <c r="EJ238" s="978"/>
      <c r="EK238" s="978"/>
      <c r="EL238" s="978"/>
      <c r="EM238" s="978"/>
      <c r="EN238" s="978"/>
      <c r="EO238" s="978"/>
      <c r="EP238" s="978"/>
      <c r="EQ238" s="978"/>
      <c r="ER238" s="978"/>
      <c r="ES238" s="978"/>
      <c r="ET238" s="978"/>
      <c r="EU238" s="978"/>
      <c r="EV238" s="978"/>
      <c r="EW238" s="978"/>
      <c r="EX238" s="978"/>
      <c r="EY238" s="978"/>
      <c r="EZ238" s="978"/>
      <c r="FA238" s="978"/>
      <c r="FB238" s="978"/>
      <c r="FC238" s="978"/>
      <c r="FD238" s="978"/>
      <c r="FE238" s="978"/>
      <c r="FF238" s="978"/>
      <c r="FG238" s="978"/>
      <c r="FH238" s="978"/>
      <c r="FI238" s="978"/>
      <c r="FJ238" s="978"/>
      <c r="FK238" s="978"/>
      <c r="FL238" s="978"/>
      <c r="FM238" s="978"/>
      <c r="FN238" s="978"/>
      <c r="FO238" s="978"/>
      <c r="FP238" s="978"/>
      <c r="FQ238" s="978"/>
      <c r="FR238" s="978"/>
      <c r="FS238" s="978"/>
      <c r="FT238" s="978"/>
      <c r="FU238" s="978"/>
      <c r="FV238" s="978"/>
      <c r="FW238" s="978"/>
      <c r="FX238" s="978"/>
      <c r="FY238" s="978"/>
      <c r="FZ238" s="978"/>
      <c r="GA238" s="978"/>
      <c r="GB238" s="978"/>
      <c r="GC238" s="978"/>
      <c r="GD238" s="978"/>
      <c r="GE238" s="978"/>
      <c r="GF238" s="978"/>
      <c r="GG238" s="978"/>
      <c r="GH238" s="978"/>
      <c r="GI238" s="978"/>
      <c r="GJ238" s="978"/>
      <c r="GK238" s="978"/>
      <c r="GL238" s="978"/>
      <c r="GM238" s="978"/>
      <c r="GN238" s="978"/>
      <c r="GO238" s="978"/>
      <c r="GP238" s="978"/>
      <c r="GQ238" s="978"/>
      <c r="GR238" s="978"/>
      <c r="GS238" s="978"/>
      <c r="GT238" s="978"/>
      <c r="GU238" s="978"/>
      <c r="GV238" s="978"/>
      <c r="GW238" s="978"/>
      <c r="GX238" s="978"/>
      <c r="GY238" s="978"/>
      <c r="GZ238" s="978"/>
      <c r="HA238" s="978"/>
      <c r="HB238" s="978"/>
      <c r="HC238" s="978"/>
      <c r="HD238" s="978"/>
      <c r="HE238" s="978"/>
      <c r="HF238" s="978"/>
      <c r="HG238" s="978"/>
      <c r="HH238" s="978"/>
      <c r="HI238" s="978"/>
      <c r="HJ238" s="978"/>
      <c r="HK238" s="978"/>
      <c r="HL238" s="978"/>
      <c r="HM238" s="978"/>
      <c r="HN238" s="978"/>
      <c r="HO238" s="978"/>
      <c r="HP238" s="978"/>
      <c r="HQ238" s="978"/>
      <c r="HR238" s="978"/>
      <c r="HS238" s="978"/>
      <c r="HT238" s="978"/>
      <c r="HU238" s="978"/>
      <c r="HV238" s="978"/>
      <c r="HW238" s="978"/>
      <c r="HX238" s="978"/>
      <c r="HY238" s="978"/>
      <c r="HZ238" s="978"/>
      <c r="IA238" s="978"/>
      <c r="IB238" s="978"/>
      <c r="IC238" s="978"/>
      <c r="ID238" s="978"/>
      <c r="IE238" s="978"/>
      <c r="IF238" s="978"/>
      <c r="IG238" s="978"/>
      <c r="IH238" s="978"/>
      <c r="II238" s="978"/>
      <c r="IJ238" s="978"/>
      <c r="IK238" s="978"/>
      <c r="IL238" s="978"/>
      <c r="IM238" s="978"/>
      <c r="IN238" s="978"/>
      <c r="IO238" s="978"/>
      <c r="IP238" s="978"/>
      <c r="IQ238" s="978"/>
      <c r="IR238" s="978"/>
      <c r="IS238" s="978"/>
      <c r="IT238" s="978"/>
      <c r="IU238" s="978"/>
      <c r="IV238" s="978"/>
      <c r="IW238" s="978"/>
      <c r="IX238" s="978"/>
      <c r="IY238" s="978"/>
      <c r="IZ238" s="978"/>
      <c r="JA238" s="978"/>
      <c r="JB238" s="978"/>
      <c r="JC238" s="978"/>
      <c r="JD238" s="978"/>
      <c r="JE238" s="978"/>
      <c r="JF238" s="978"/>
      <c r="JG238" s="978"/>
      <c r="JH238" s="978"/>
      <c r="JI238" s="978"/>
      <c r="JJ238" s="978"/>
      <c r="JK238" s="978"/>
      <c r="JL238" s="978"/>
      <c r="JM238" s="978"/>
      <c r="JN238" s="978"/>
      <c r="JO238" s="978"/>
      <c r="JP238" s="978"/>
      <c r="JQ238" s="978"/>
      <c r="JR238" s="978"/>
      <c r="JS238" s="978"/>
      <c r="JT238" s="978"/>
      <c r="JU238" s="978"/>
      <c r="JV238" s="978"/>
      <c r="JW238" s="978"/>
      <c r="JX238" s="978"/>
      <c r="JY238" s="978"/>
      <c r="JZ238" s="978"/>
      <c r="KA238" s="978"/>
      <c r="KB238" s="978"/>
      <c r="KC238" s="978"/>
      <c r="KD238" s="978"/>
      <c r="KE238" s="978"/>
      <c r="KF238" s="978"/>
      <c r="KG238" s="978"/>
      <c r="KH238" s="978"/>
      <c r="KI238" s="978"/>
      <c r="KJ238" s="978"/>
      <c r="KK238" s="978"/>
      <c r="KL238" s="978"/>
      <c r="KM238" s="978"/>
      <c r="KN238" s="978"/>
      <c r="KO238" s="978"/>
      <c r="KP238" s="978"/>
      <c r="KQ238" s="978"/>
      <c r="KR238" s="978"/>
      <c r="KS238" s="978"/>
      <c r="KT238" s="978"/>
      <c r="KU238" s="978"/>
      <c r="KV238" s="978"/>
      <c r="KW238" s="978"/>
      <c r="KX238" s="978"/>
      <c r="KY238" s="978"/>
      <c r="KZ238" s="978"/>
      <c r="LA238" s="978"/>
      <c r="LB238" s="978"/>
      <c r="LC238" s="978"/>
      <c r="LD238" s="978"/>
      <c r="LE238" s="978"/>
      <c r="LF238" s="978"/>
      <c r="LG238" s="978"/>
      <c r="LH238" s="978"/>
      <c r="LI238" s="978"/>
      <c r="LJ238" s="978"/>
      <c r="LK238" s="978"/>
      <c r="LL238" s="978"/>
      <c r="LM238" s="978"/>
      <c r="LN238" s="978"/>
      <c r="LO238" s="978"/>
      <c r="LP238" s="978"/>
      <c r="LQ238" s="978"/>
      <c r="LR238" s="978"/>
      <c r="LS238" s="978"/>
      <c r="LT238" s="978"/>
      <c r="LU238" s="978"/>
      <c r="LV238" s="978"/>
      <c r="LW238" s="978"/>
      <c r="LX238" s="978"/>
      <c r="LY238" s="978"/>
      <c r="LZ238" s="978"/>
      <c r="MA238" s="978"/>
      <c r="MB238" s="978"/>
      <c r="MC238" s="978"/>
      <c r="MD238" s="978"/>
      <c r="ME238" s="978"/>
      <c r="MF238" s="978"/>
      <c r="MG238" s="978"/>
      <c r="MH238" s="978"/>
      <c r="MI238" s="978"/>
      <c r="MJ238" s="978"/>
      <c r="MK238" s="978"/>
      <c r="ML238" s="978"/>
      <c r="MM238" s="978"/>
      <c r="MN238" s="978"/>
      <c r="MO238" s="978"/>
      <c r="MP238" s="978"/>
      <c r="MQ238" s="978"/>
      <c r="MR238" s="978"/>
      <c r="MS238" s="978"/>
      <c r="MT238" s="978"/>
      <c r="MU238" s="978"/>
      <c r="MV238" s="978"/>
      <c r="MW238" s="978"/>
      <c r="MX238" s="978"/>
      <c r="MY238" s="978"/>
      <c r="MZ238" s="978"/>
      <c r="NA238" s="978"/>
      <c r="NB238" s="978"/>
      <c r="NC238" s="978"/>
      <c r="ND238" s="978"/>
      <c r="NE238" s="978"/>
      <c r="NF238" s="978"/>
      <c r="NG238" s="978"/>
      <c r="NH238" s="978"/>
      <c r="NI238" s="978"/>
      <c r="NJ238" s="978"/>
      <c r="NK238" s="978"/>
      <c r="NL238" s="978"/>
      <c r="NM238" s="978"/>
      <c r="NN238" s="978"/>
      <c r="NO238" s="978"/>
      <c r="NP238" s="978"/>
      <c r="NQ238" s="978"/>
      <c r="NR238" s="978"/>
      <c r="NS238" s="978"/>
      <c r="NT238" s="978"/>
      <c r="NU238" s="978"/>
      <c r="NV238" s="978"/>
      <c r="NW238" s="978"/>
      <c r="NX238" s="978"/>
      <c r="NY238" s="978"/>
      <c r="NZ238" s="978"/>
      <c r="OA238" s="978"/>
      <c r="OB238" s="978"/>
      <c r="OC238" s="978"/>
      <c r="OD238" s="978"/>
      <c r="OE238" s="978"/>
      <c r="OF238" s="978"/>
      <c r="OG238" s="978"/>
      <c r="OH238" s="978"/>
      <c r="OI238" s="978"/>
      <c r="OJ238" s="978"/>
      <c r="OK238" s="978"/>
      <c r="OL238" s="978"/>
      <c r="OM238" s="978"/>
      <c r="ON238" s="978"/>
      <c r="OO238" s="978"/>
      <c r="OP238" s="978"/>
      <c r="OQ238" s="978"/>
      <c r="OR238" s="978"/>
      <c r="OS238" s="978"/>
      <c r="OT238" s="978"/>
      <c r="OU238" s="978"/>
      <c r="OV238" s="978"/>
      <c r="OW238" s="978"/>
      <c r="OX238" s="978"/>
      <c r="OY238" s="978"/>
      <c r="OZ238" s="978"/>
      <c r="PA238" s="978"/>
      <c r="PB238" s="978"/>
      <c r="PC238" s="978"/>
      <c r="PD238" s="978"/>
      <c r="PE238" s="978"/>
      <c r="PF238" s="978"/>
      <c r="PG238" s="978"/>
      <c r="PH238" s="978"/>
      <c r="PI238" s="978"/>
      <c r="PJ238" s="978"/>
      <c r="PK238" s="978"/>
      <c r="PL238" s="978"/>
      <c r="PM238" s="978"/>
      <c r="PN238" s="978"/>
      <c r="PO238" s="978"/>
      <c r="PP238" s="978"/>
      <c r="PQ238" s="978"/>
      <c r="PR238" s="978"/>
      <c r="PS238" s="978"/>
      <c r="PT238" s="978"/>
      <c r="PU238" s="978"/>
      <c r="PV238" s="978"/>
      <c r="PW238" s="978"/>
      <c r="PX238" s="978"/>
      <c r="PY238" s="978"/>
      <c r="PZ238" s="978"/>
      <c r="QA238" s="978"/>
      <c r="QB238" s="978"/>
      <c r="QC238" s="978"/>
      <c r="QD238" s="978"/>
      <c r="QE238" s="978"/>
      <c r="QF238" s="978"/>
      <c r="QG238" s="978"/>
      <c r="QH238" s="978"/>
      <c r="QI238" s="978"/>
      <c r="QJ238" s="978"/>
      <c r="QK238" s="978"/>
      <c r="QL238" s="978"/>
      <c r="QM238" s="978"/>
      <c r="QN238" s="978"/>
      <c r="QO238" s="978"/>
      <c r="QP238" s="978"/>
      <c r="QQ238" s="978"/>
      <c r="QR238" s="978"/>
      <c r="QS238" s="978"/>
      <c r="QT238" s="978"/>
      <c r="QU238" s="978"/>
      <c r="QV238" s="978"/>
      <c r="QW238" s="978"/>
      <c r="QX238" s="978"/>
      <c r="QY238" s="978"/>
      <c r="QZ238" s="978"/>
      <c r="RA238" s="978"/>
      <c r="RB238" s="274"/>
      <c r="RC238" s="274"/>
    </row>
    <row r="239" spans="112:471" ht="17.25">
      <c r="DH239" s="274"/>
      <c r="DI239" s="274"/>
      <c r="DJ239" s="978"/>
      <c r="DK239" s="978"/>
      <c r="DL239" s="978"/>
      <c r="DM239" s="978"/>
      <c r="DN239" s="978"/>
      <c r="DO239" s="978"/>
      <c r="DP239" s="978"/>
      <c r="DQ239" s="978"/>
      <c r="DR239" s="978"/>
      <c r="DS239" s="978"/>
      <c r="DT239" s="978"/>
      <c r="DU239" s="978"/>
      <c r="DV239" s="978"/>
      <c r="DW239" s="978"/>
      <c r="DX239" s="978"/>
      <c r="DY239" s="978"/>
      <c r="DZ239" s="978"/>
      <c r="EA239" s="978"/>
      <c r="EB239" s="978"/>
      <c r="EC239" s="978"/>
      <c r="ED239" s="978"/>
      <c r="EE239" s="978"/>
      <c r="EF239" s="978"/>
      <c r="EG239" s="978"/>
      <c r="EH239" s="978"/>
      <c r="EI239" s="978"/>
      <c r="EJ239" s="978"/>
      <c r="EK239" s="978"/>
      <c r="EL239" s="978"/>
      <c r="EM239" s="978"/>
      <c r="EN239" s="978"/>
      <c r="EO239" s="978"/>
      <c r="EP239" s="978"/>
      <c r="EQ239" s="978"/>
      <c r="ER239" s="978"/>
      <c r="ES239" s="978"/>
      <c r="ET239" s="978"/>
      <c r="EU239" s="978"/>
      <c r="EV239" s="978"/>
      <c r="EW239" s="978"/>
      <c r="EX239" s="978"/>
      <c r="EY239" s="978"/>
      <c r="EZ239" s="978"/>
      <c r="FA239" s="978"/>
      <c r="FB239" s="978"/>
      <c r="FC239" s="978"/>
      <c r="FD239" s="978"/>
      <c r="FE239" s="978"/>
      <c r="FF239" s="978"/>
      <c r="FG239" s="978"/>
      <c r="FH239" s="978"/>
      <c r="FI239" s="978"/>
      <c r="FJ239" s="978"/>
      <c r="FK239" s="978"/>
      <c r="FL239" s="978"/>
      <c r="FM239" s="978"/>
      <c r="FN239" s="978"/>
      <c r="FO239" s="978"/>
      <c r="FP239" s="978"/>
      <c r="FQ239" s="978"/>
      <c r="FR239" s="978"/>
      <c r="FS239" s="978"/>
      <c r="FT239" s="978"/>
      <c r="FU239" s="978"/>
      <c r="FV239" s="978"/>
      <c r="FW239" s="978"/>
      <c r="FX239" s="978"/>
      <c r="FY239" s="978"/>
      <c r="FZ239" s="978"/>
      <c r="GA239" s="978"/>
      <c r="GB239" s="978"/>
      <c r="GC239" s="978"/>
      <c r="GD239" s="978"/>
      <c r="GE239" s="978"/>
      <c r="GF239" s="978"/>
      <c r="GG239" s="978"/>
      <c r="GH239" s="978"/>
      <c r="GI239" s="978"/>
      <c r="GJ239" s="978"/>
      <c r="GK239" s="978"/>
      <c r="GL239" s="978"/>
      <c r="GM239" s="978"/>
      <c r="GN239" s="978"/>
      <c r="GO239" s="978"/>
      <c r="GP239" s="978"/>
      <c r="GQ239" s="978"/>
      <c r="GR239" s="978"/>
      <c r="GS239" s="978"/>
      <c r="GT239" s="978"/>
      <c r="GU239" s="978"/>
      <c r="GV239" s="978"/>
      <c r="GW239" s="978"/>
      <c r="GX239" s="978"/>
      <c r="GY239" s="978"/>
      <c r="GZ239" s="978"/>
      <c r="HA239" s="978"/>
      <c r="HB239" s="978"/>
      <c r="HC239" s="978"/>
      <c r="HD239" s="978"/>
      <c r="HE239" s="978"/>
      <c r="HF239" s="978"/>
      <c r="HG239" s="978"/>
      <c r="HH239" s="978"/>
      <c r="HI239" s="978"/>
      <c r="HJ239" s="978"/>
      <c r="HK239" s="978"/>
      <c r="HL239" s="978"/>
      <c r="HM239" s="978"/>
      <c r="HN239" s="978"/>
      <c r="HO239" s="978"/>
      <c r="HP239" s="978"/>
      <c r="HQ239" s="978"/>
      <c r="HR239" s="978"/>
      <c r="HS239" s="978"/>
      <c r="HT239" s="978"/>
      <c r="HU239" s="978"/>
      <c r="HV239" s="978"/>
      <c r="HW239" s="978"/>
      <c r="HX239" s="978"/>
      <c r="HY239" s="978"/>
      <c r="HZ239" s="978"/>
      <c r="IA239" s="978"/>
      <c r="IB239" s="978"/>
      <c r="IC239" s="978"/>
      <c r="ID239" s="978"/>
      <c r="IE239" s="978"/>
      <c r="IF239" s="978"/>
      <c r="IG239" s="978"/>
      <c r="IH239" s="978"/>
      <c r="II239" s="978"/>
      <c r="IJ239" s="978"/>
      <c r="IK239" s="978"/>
      <c r="IL239" s="978"/>
      <c r="IM239" s="978"/>
      <c r="IN239" s="978"/>
      <c r="IO239" s="978"/>
      <c r="IP239" s="978"/>
      <c r="IQ239" s="978"/>
      <c r="IR239" s="978"/>
      <c r="IS239" s="978"/>
      <c r="IT239" s="978"/>
      <c r="IU239" s="978"/>
      <c r="IV239" s="978"/>
      <c r="IW239" s="978"/>
      <c r="IX239" s="978"/>
      <c r="IY239" s="978"/>
      <c r="IZ239" s="978"/>
      <c r="JA239" s="978"/>
      <c r="JB239" s="978"/>
      <c r="JC239" s="978"/>
      <c r="JD239" s="978"/>
      <c r="JE239" s="978"/>
      <c r="JF239" s="978"/>
      <c r="JG239" s="978"/>
      <c r="JH239" s="978"/>
      <c r="JI239" s="978"/>
      <c r="JJ239" s="978"/>
      <c r="JK239" s="978"/>
      <c r="JL239" s="978"/>
      <c r="JM239" s="978"/>
      <c r="JN239" s="978"/>
      <c r="JO239" s="978"/>
      <c r="JP239" s="978"/>
      <c r="JQ239" s="978"/>
      <c r="JR239" s="978"/>
      <c r="JS239" s="978"/>
      <c r="JT239" s="978"/>
      <c r="JU239" s="978"/>
      <c r="JV239" s="978"/>
      <c r="JW239" s="978"/>
      <c r="JX239" s="978"/>
      <c r="JY239" s="978"/>
      <c r="JZ239" s="978"/>
      <c r="KA239" s="978"/>
      <c r="KB239" s="978"/>
      <c r="KC239" s="978"/>
      <c r="KD239" s="978"/>
      <c r="KE239" s="978"/>
      <c r="KF239" s="978"/>
      <c r="KG239" s="978"/>
      <c r="KH239" s="978"/>
      <c r="KI239" s="978"/>
      <c r="KJ239" s="978"/>
      <c r="KK239" s="978"/>
      <c r="KL239" s="978"/>
      <c r="KM239" s="978"/>
      <c r="KN239" s="978"/>
      <c r="KO239" s="978"/>
      <c r="KP239" s="978"/>
      <c r="KQ239" s="978"/>
      <c r="KR239" s="978"/>
      <c r="KS239" s="978"/>
      <c r="KT239" s="978"/>
      <c r="KU239" s="978"/>
      <c r="KV239" s="978"/>
      <c r="KW239" s="978"/>
      <c r="KX239" s="978"/>
      <c r="KY239" s="978"/>
      <c r="KZ239" s="978"/>
      <c r="LA239" s="978"/>
      <c r="LB239" s="978"/>
      <c r="LC239" s="978"/>
      <c r="LD239" s="978"/>
      <c r="LE239" s="978"/>
      <c r="LF239" s="978"/>
      <c r="LG239" s="978"/>
      <c r="LH239" s="978"/>
      <c r="LI239" s="978"/>
      <c r="LJ239" s="978"/>
      <c r="LK239" s="978"/>
      <c r="LL239" s="978"/>
      <c r="LM239" s="978"/>
      <c r="LN239" s="978"/>
      <c r="LO239" s="978"/>
      <c r="LP239" s="978"/>
      <c r="LQ239" s="978"/>
      <c r="LR239" s="978"/>
      <c r="LS239" s="978"/>
      <c r="LT239" s="978"/>
      <c r="LU239" s="978"/>
      <c r="LV239" s="978"/>
      <c r="LW239" s="978"/>
      <c r="LX239" s="978"/>
      <c r="LY239" s="978"/>
      <c r="LZ239" s="978"/>
      <c r="MA239" s="978"/>
      <c r="MB239" s="978"/>
      <c r="MC239" s="978"/>
      <c r="MD239" s="978"/>
      <c r="ME239" s="978"/>
      <c r="MF239" s="978"/>
      <c r="MG239" s="978"/>
      <c r="MH239" s="978"/>
      <c r="MI239" s="978"/>
      <c r="MJ239" s="978"/>
      <c r="MK239" s="978"/>
      <c r="ML239" s="978"/>
      <c r="MM239" s="978"/>
      <c r="MN239" s="978"/>
      <c r="MO239" s="978"/>
      <c r="MP239" s="978"/>
      <c r="MQ239" s="978"/>
      <c r="MR239" s="978"/>
      <c r="MS239" s="978"/>
      <c r="MT239" s="978"/>
      <c r="MU239" s="978"/>
      <c r="MV239" s="978"/>
      <c r="MW239" s="978"/>
      <c r="MX239" s="978"/>
      <c r="MY239" s="978"/>
      <c r="MZ239" s="978"/>
      <c r="NA239" s="978"/>
      <c r="NB239" s="978"/>
      <c r="NC239" s="978"/>
      <c r="ND239" s="978"/>
      <c r="NE239" s="978"/>
      <c r="NF239" s="978"/>
      <c r="NG239" s="978"/>
      <c r="NH239" s="978"/>
      <c r="NI239" s="978"/>
      <c r="NJ239" s="978"/>
      <c r="NK239" s="978"/>
      <c r="NL239" s="978"/>
      <c r="NM239" s="978"/>
      <c r="NN239" s="978"/>
      <c r="NO239" s="978"/>
      <c r="NP239" s="978"/>
      <c r="NQ239" s="978"/>
      <c r="NR239" s="978"/>
      <c r="NS239" s="978"/>
      <c r="NT239" s="978"/>
      <c r="NU239" s="978"/>
      <c r="NV239" s="978"/>
      <c r="NW239" s="978"/>
      <c r="NX239" s="978"/>
      <c r="NY239" s="978"/>
      <c r="NZ239" s="978"/>
      <c r="OA239" s="978"/>
      <c r="OB239" s="978"/>
      <c r="OC239" s="978"/>
      <c r="OD239" s="978"/>
      <c r="OE239" s="978"/>
      <c r="OF239" s="978"/>
      <c r="OG239" s="978"/>
      <c r="OH239" s="978"/>
      <c r="OI239" s="978"/>
      <c r="OJ239" s="978"/>
      <c r="OK239" s="978"/>
      <c r="OL239" s="978"/>
      <c r="OM239" s="978"/>
      <c r="ON239" s="978"/>
      <c r="OO239" s="978"/>
      <c r="OP239" s="978"/>
      <c r="OQ239" s="978"/>
      <c r="OR239" s="978"/>
      <c r="OS239" s="978"/>
      <c r="OT239" s="978"/>
      <c r="OU239" s="978"/>
      <c r="OV239" s="978"/>
      <c r="OW239" s="978"/>
      <c r="OX239" s="978"/>
      <c r="OY239" s="978"/>
      <c r="OZ239" s="978"/>
      <c r="PA239" s="978"/>
      <c r="PB239" s="978"/>
      <c r="PC239" s="978"/>
      <c r="PD239" s="978"/>
      <c r="PE239" s="978"/>
      <c r="PF239" s="978"/>
      <c r="PG239" s="978"/>
      <c r="PH239" s="978"/>
      <c r="PI239" s="978"/>
      <c r="PJ239" s="978"/>
      <c r="PK239" s="978"/>
      <c r="PL239" s="978"/>
      <c r="PM239" s="978"/>
      <c r="PN239" s="978"/>
      <c r="PO239" s="978"/>
      <c r="PP239" s="978"/>
      <c r="PQ239" s="978"/>
      <c r="PR239" s="978"/>
      <c r="PS239" s="978"/>
      <c r="PT239" s="978"/>
      <c r="PU239" s="978"/>
      <c r="PV239" s="978"/>
      <c r="PW239" s="978"/>
      <c r="PX239" s="978"/>
      <c r="PY239" s="978"/>
      <c r="PZ239" s="978"/>
      <c r="QA239" s="978"/>
      <c r="QB239" s="978"/>
      <c r="QC239" s="978"/>
      <c r="QD239" s="978"/>
      <c r="QE239" s="978"/>
      <c r="QF239" s="978"/>
      <c r="QG239" s="978"/>
      <c r="QH239" s="978"/>
      <c r="QI239" s="978"/>
      <c r="QJ239" s="978"/>
      <c r="QK239" s="978"/>
      <c r="QL239" s="978"/>
      <c r="QM239" s="978"/>
      <c r="QN239" s="978"/>
      <c r="QO239" s="978"/>
      <c r="QP239" s="978"/>
      <c r="QQ239" s="978"/>
      <c r="QR239" s="978"/>
      <c r="QS239" s="978"/>
      <c r="QT239" s="978"/>
      <c r="QU239" s="978"/>
      <c r="QV239" s="978"/>
      <c r="QW239" s="978"/>
      <c r="QX239" s="978"/>
      <c r="QY239" s="978"/>
      <c r="QZ239" s="978"/>
      <c r="RA239" s="978"/>
      <c r="RB239" s="274"/>
      <c r="RC239" s="274"/>
    </row>
    <row r="240" spans="112:471" ht="17.25">
      <c r="DH240" s="274"/>
      <c r="DI240" s="274"/>
      <c r="DJ240" s="978"/>
      <c r="DK240" s="978"/>
      <c r="DL240" s="978"/>
      <c r="DM240" s="978"/>
      <c r="DN240" s="978"/>
      <c r="DO240" s="978"/>
      <c r="DP240" s="978"/>
      <c r="DQ240" s="978"/>
      <c r="DR240" s="978"/>
      <c r="DS240" s="978"/>
      <c r="DT240" s="978"/>
      <c r="DU240" s="978"/>
      <c r="DV240" s="978"/>
      <c r="DW240" s="978"/>
      <c r="DX240" s="978"/>
      <c r="DY240" s="978"/>
      <c r="DZ240" s="978"/>
      <c r="EA240" s="978"/>
      <c r="EB240" s="978"/>
      <c r="EC240" s="978"/>
      <c r="ED240" s="978"/>
      <c r="EE240" s="978"/>
      <c r="EF240" s="978"/>
      <c r="EG240" s="978"/>
      <c r="EH240" s="978"/>
      <c r="EI240" s="978"/>
      <c r="EJ240" s="978"/>
      <c r="EK240" s="978"/>
      <c r="EL240" s="978"/>
      <c r="EM240" s="978"/>
      <c r="EN240" s="978"/>
      <c r="EO240" s="978"/>
      <c r="EP240" s="978"/>
      <c r="EQ240" s="978"/>
      <c r="ER240" s="978"/>
      <c r="ES240" s="978"/>
      <c r="ET240" s="978"/>
      <c r="EU240" s="978"/>
      <c r="EV240" s="978"/>
      <c r="EW240" s="978"/>
      <c r="EX240" s="978"/>
      <c r="EY240" s="978"/>
      <c r="EZ240" s="978"/>
      <c r="FA240" s="978"/>
      <c r="FB240" s="978"/>
      <c r="FC240" s="978"/>
      <c r="FD240" s="978"/>
      <c r="FE240" s="978"/>
      <c r="FF240" s="978"/>
      <c r="FG240" s="978"/>
      <c r="FH240" s="978"/>
      <c r="FI240" s="978"/>
      <c r="FJ240" s="978"/>
      <c r="FK240" s="978"/>
      <c r="FL240" s="978"/>
      <c r="FM240" s="978"/>
      <c r="FN240" s="978"/>
      <c r="FO240" s="978"/>
      <c r="FP240" s="978"/>
      <c r="FQ240" s="978"/>
      <c r="FR240" s="978"/>
      <c r="FS240" s="978"/>
      <c r="FT240" s="978"/>
      <c r="FU240" s="978"/>
      <c r="FV240" s="978"/>
      <c r="FW240" s="978"/>
      <c r="FX240" s="978"/>
      <c r="FY240" s="978"/>
      <c r="FZ240" s="978"/>
      <c r="GA240" s="978"/>
      <c r="GB240" s="978"/>
      <c r="GC240" s="978"/>
      <c r="GD240" s="978"/>
      <c r="GE240" s="978"/>
      <c r="GF240" s="978"/>
      <c r="GG240" s="978"/>
      <c r="GH240" s="978"/>
      <c r="GI240" s="978"/>
      <c r="GJ240" s="978"/>
      <c r="GK240" s="978"/>
      <c r="GL240" s="978"/>
      <c r="GM240" s="978"/>
      <c r="GN240" s="978"/>
      <c r="GO240" s="978"/>
      <c r="GP240" s="978"/>
      <c r="GQ240" s="978"/>
      <c r="GR240" s="978"/>
      <c r="GS240" s="978"/>
      <c r="GT240" s="978"/>
      <c r="GU240" s="978"/>
      <c r="GV240" s="978"/>
      <c r="GW240" s="978"/>
      <c r="GX240" s="978"/>
      <c r="GY240" s="978"/>
      <c r="GZ240" s="978"/>
      <c r="HA240" s="978"/>
      <c r="HB240" s="978"/>
      <c r="HC240" s="978"/>
      <c r="HD240" s="978"/>
      <c r="HE240" s="978"/>
      <c r="HF240" s="978"/>
      <c r="HG240" s="978"/>
      <c r="HH240" s="978"/>
      <c r="HI240" s="978"/>
      <c r="HJ240" s="978"/>
      <c r="HK240" s="978"/>
      <c r="HL240" s="978"/>
      <c r="HM240" s="978"/>
      <c r="HN240" s="978"/>
      <c r="HO240" s="978"/>
      <c r="HP240" s="978"/>
      <c r="HQ240" s="978"/>
      <c r="HR240" s="978"/>
      <c r="HS240" s="978"/>
      <c r="HT240" s="978"/>
      <c r="HU240" s="978"/>
      <c r="HV240" s="978"/>
      <c r="HW240" s="978"/>
      <c r="HX240" s="978"/>
      <c r="HY240" s="978"/>
      <c r="HZ240" s="978"/>
      <c r="IA240" s="978"/>
      <c r="IB240" s="978"/>
      <c r="IC240" s="978"/>
      <c r="ID240" s="978"/>
      <c r="IE240" s="978"/>
      <c r="IF240" s="978"/>
      <c r="IG240" s="978"/>
      <c r="IH240" s="978"/>
      <c r="II240" s="978"/>
      <c r="IJ240" s="978"/>
      <c r="IK240" s="978"/>
      <c r="IL240" s="978"/>
      <c r="IM240" s="978"/>
      <c r="IN240" s="978"/>
      <c r="IO240" s="978"/>
      <c r="IP240" s="978"/>
      <c r="IQ240" s="978"/>
      <c r="IR240" s="978"/>
      <c r="IS240" s="978"/>
      <c r="IT240" s="978"/>
      <c r="IU240" s="978"/>
      <c r="IV240" s="978"/>
      <c r="IW240" s="978"/>
      <c r="IX240" s="978"/>
      <c r="IY240" s="978"/>
      <c r="IZ240" s="978"/>
      <c r="JA240" s="978"/>
      <c r="JB240" s="978"/>
      <c r="JC240" s="978"/>
      <c r="JD240" s="978"/>
      <c r="JE240" s="978"/>
      <c r="JF240" s="978"/>
      <c r="JG240" s="978"/>
      <c r="JH240" s="978"/>
      <c r="JI240" s="978"/>
      <c r="JJ240" s="978"/>
      <c r="JK240" s="978"/>
      <c r="JL240" s="978"/>
      <c r="JM240" s="978"/>
      <c r="JN240" s="978"/>
      <c r="JO240" s="978"/>
      <c r="JP240" s="978"/>
      <c r="JQ240" s="978"/>
      <c r="JR240" s="978"/>
      <c r="JS240" s="978"/>
      <c r="JT240" s="978"/>
      <c r="JU240" s="978"/>
      <c r="JV240" s="978"/>
      <c r="JW240" s="978"/>
      <c r="JX240" s="978"/>
      <c r="JY240" s="978"/>
      <c r="JZ240" s="978"/>
      <c r="KA240" s="978"/>
      <c r="KB240" s="978"/>
      <c r="KC240" s="978"/>
      <c r="KD240" s="978"/>
      <c r="KE240" s="978"/>
      <c r="KF240" s="978"/>
      <c r="KG240" s="978"/>
      <c r="KH240" s="978"/>
      <c r="KI240" s="978"/>
      <c r="KJ240" s="978"/>
      <c r="KK240" s="978"/>
      <c r="KL240" s="978"/>
      <c r="KM240" s="978"/>
      <c r="KN240" s="978"/>
      <c r="KO240" s="978"/>
      <c r="KP240" s="978"/>
      <c r="KQ240" s="978"/>
      <c r="KR240" s="978"/>
      <c r="KS240" s="978"/>
      <c r="KT240" s="978"/>
      <c r="KU240" s="978"/>
      <c r="KV240" s="978"/>
      <c r="KW240" s="978"/>
      <c r="KX240" s="978"/>
      <c r="KY240" s="978"/>
      <c r="KZ240" s="978"/>
      <c r="LA240" s="978"/>
      <c r="LB240" s="978"/>
      <c r="LC240" s="978"/>
      <c r="LD240" s="978"/>
      <c r="LE240" s="978"/>
      <c r="LF240" s="978"/>
      <c r="LG240" s="978"/>
      <c r="LH240" s="978"/>
      <c r="LI240" s="978"/>
      <c r="LJ240" s="978"/>
      <c r="LK240" s="978"/>
      <c r="LL240" s="978"/>
      <c r="LM240" s="978"/>
      <c r="LN240" s="978"/>
      <c r="LO240" s="978"/>
      <c r="LP240" s="978"/>
      <c r="LQ240" s="978"/>
      <c r="LR240" s="978"/>
      <c r="LS240" s="978"/>
      <c r="LT240" s="978"/>
      <c r="LU240" s="978"/>
      <c r="LV240" s="978"/>
      <c r="LW240" s="978"/>
      <c r="LX240" s="978"/>
      <c r="LY240" s="978"/>
      <c r="LZ240" s="978"/>
      <c r="MA240" s="978"/>
      <c r="MB240" s="978"/>
      <c r="MC240" s="978"/>
      <c r="MD240" s="978"/>
      <c r="ME240" s="978"/>
      <c r="MF240" s="978"/>
      <c r="MG240" s="978"/>
      <c r="MH240" s="978"/>
      <c r="MI240" s="978"/>
      <c r="MJ240" s="978"/>
      <c r="MK240" s="978"/>
      <c r="ML240" s="978"/>
      <c r="MM240" s="978"/>
      <c r="MN240" s="978"/>
      <c r="MO240" s="978"/>
      <c r="MP240" s="978"/>
      <c r="MQ240" s="978"/>
      <c r="MR240" s="978"/>
      <c r="MS240" s="978"/>
      <c r="MT240" s="978"/>
      <c r="MU240" s="978"/>
      <c r="MV240" s="978"/>
      <c r="MW240" s="978"/>
      <c r="MX240" s="978"/>
      <c r="MY240" s="978"/>
      <c r="MZ240" s="978"/>
      <c r="NA240" s="978"/>
      <c r="NB240" s="978"/>
      <c r="NC240" s="978"/>
      <c r="ND240" s="978"/>
      <c r="NE240" s="978"/>
      <c r="NF240" s="978"/>
      <c r="NG240" s="978"/>
      <c r="NH240" s="978"/>
      <c r="NI240" s="978"/>
      <c r="NJ240" s="978"/>
      <c r="NK240" s="978"/>
      <c r="NL240" s="978"/>
      <c r="NM240" s="978"/>
      <c r="NN240" s="978"/>
      <c r="NO240" s="978"/>
      <c r="NP240" s="978"/>
      <c r="NQ240" s="978"/>
      <c r="NR240" s="978"/>
      <c r="NS240" s="978"/>
      <c r="NT240" s="978"/>
      <c r="NU240" s="978"/>
      <c r="NV240" s="978"/>
      <c r="NW240" s="978"/>
      <c r="NX240" s="978"/>
      <c r="NY240" s="978"/>
      <c r="NZ240" s="978"/>
      <c r="OA240" s="978"/>
      <c r="OB240" s="978"/>
      <c r="OC240" s="978"/>
      <c r="OD240" s="978"/>
      <c r="OE240" s="978"/>
      <c r="OF240" s="978"/>
      <c r="OG240" s="978"/>
      <c r="OH240" s="978"/>
      <c r="OI240" s="978"/>
      <c r="OJ240" s="978"/>
      <c r="OK240" s="978"/>
      <c r="OL240" s="978"/>
      <c r="OM240" s="978"/>
      <c r="ON240" s="978"/>
      <c r="OO240" s="978"/>
      <c r="OP240" s="978"/>
      <c r="OQ240" s="978"/>
      <c r="OR240" s="978"/>
      <c r="OS240" s="978"/>
      <c r="OT240" s="978"/>
      <c r="OU240" s="978"/>
      <c r="OV240" s="978"/>
      <c r="OW240" s="978"/>
      <c r="OX240" s="978"/>
      <c r="OY240" s="978"/>
      <c r="OZ240" s="978"/>
      <c r="PA240" s="978"/>
      <c r="PB240" s="978"/>
      <c r="PC240" s="978"/>
      <c r="PD240" s="978"/>
      <c r="PE240" s="978"/>
      <c r="PF240" s="978"/>
      <c r="PG240" s="978"/>
      <c r="PH240" s="978"/>
      <c r="PI240" s="978"/>
      <c r="PJ240" s="978"/>
      <c r="PK240" s="978"/>
      <c r="PL240" s="978"/>
      <c r="PM240" s="978"/>
      <c r="PN240" s="978"/>
      <c r="PO240" s="978"/>
      <c r="PP240" s="978"/>
      <c r="PQ240" s="978"/>
      <c r="PR240" s="978"/>
      <c r="PS240" s="978"/>
      <c r="PT240" s="978"/>
      <c r="PU240" s="978"/>
      <c r="PV240" s="978"/>
      <c r="PW240" s="978"/>
      <c r="PX240" s="978"/>
      <c r="PY240" s="978"/>
      <c r="PZ240" s="978"/>
      <c r="QA240" s="978"/>
      <c r="QB240" s="978"/>
      <c r="QC240" s="978"/>
      <c r="QD240" s="978"/>
      <c r="QE240" s="978"/>
      <c r="QF240" s="978"/>
      <c r="QG240" s="978"/>
      <c r="QH240" s="978"/>
      <c r="QI240" s="978"/>
      <c r="QJ240" s="978"/>
      <c r="QK240" s="978"/>
      <c r="QL240" s="978"/>
      <c r="QM240" s="978"/>
      <c r="QN240" s="978"/>
      <c r="QO240" s="978"/>
      <c r="QP240" s="978"/>
      <c r="QQ240" s="978"/>
      <c r="QR240" s="978"/>
      <c r="QS240" s="978"/>
      <c r="QT240" s="978"/>
      <c r="QU240" s="978"/>
      <c r="QV240" s="978"/>
      <c r="QW240" s="978"/>
      <c r="QX240" s="978"/>
      <c r="QY240" s="978"/>
      <c r="QZ240" s="978"/>
      <c r="RA240" s="978"/>
      <c r="RB240" s="274"/>
      <c r="RC240" s="274"/>
    </row>
    <row r="241" spans="112:471">
      <c r="DH241" s="274"/>
      <c r="DI241" s="274"/>
      <c r="DJ241" s="274"/>
      <c r="DK241" s="274"/>
      <c r="DL241" s="274"/>
      <c r="DM241" s="274"/>
      <c r="DN241" s="274"/>
      <c r="DO241" s="274"/>
      <c r="DP241" s="274"/>
      <c r="DQ241" s="274"/>
      <c r="DR241" s="274"/>
      <c r="DS241" s="274"/>
      <c r="DT241" s="274"/>
      <c r="DU241" s="274"/>
      <c r="DV241" s="274"/>
      <c r="DW241" s="274"/>
      <c r="DX241" s="274"/>
      <c r="DY241" s="274"/>
      <c r="DZ241" s="274"/>
      <c r="EA241" s="274"/>
      <c r="EB241" s="274"/>
      <c r="EC241" s="274"/>
      <c r="ED241" s="274"/>
      <c r="EE241" s="274"/>
      <c r="EF241" s="274"/>
      <c r="EG241" s="274"/>
      <c r="EH241" s="274"/>
      <c r="EI241" s="274"/>
      <c r="EJ241" s="274"/>
      <c r="EK241" s="274"/>
      <c r="EL241" s="274"/>
      <c r="EM241" s="274"/>
      <c r="EN241" s="274"/>
      <c r="EO241" s="274"/>
      <c r="EP241" s="274"/>
      <c r="EQ241" s="274"/>
      <c r="ER241" s="274"/>
      <c r="ES241" s="274"/>
      <c r="ET241" s="274"/>
      <c r="EU241" s="274"/>
      <c r="EV241" s="274"/>
      <c r="EW241" s="274"/>
      <c r="EX241" s="274"/>
      <c r="EY241" s="274"/>
      <c r="EZ241" s="274"/>
      <c r="FA241" s="274"/>
      <c r="FB241" s="274"/>
      <c r="FC241" s="274"/>
      <c r="FD241" s="274"/>
      <c r="FE241" s="274"/>
      <c r="FF241" s="274"/>
      <c r="FG241" s="274"/>
      <c r="FH241" s="274"/>
      <c r="FI241" s="274"/>
      <c r="FJ241" s="274"/>
      <c r="FK241" s="274"/>
      <c r="FL241" s="274"/>
      <c r="FM241" s="274"/>
      <c r="FN241" s="274"/>
      <c r="FO241" s="274"/>
      <c r="FP241" s="274"/>
      <c r="FQ241" s="274"/>
      <c r="FR241" s="274"/>
      <c r="FS241" s="274"/>
      <c r="FT241" s="274"/>
      <c r="FU241" s="274"/>
      <c r="FV241" s="274"/>
      <c r="FW241" s="274"/>
      <c r="FX241" s="274"/>
      <c r="FY241" s="274"/>
      <c r="FZ241" s="274"/>
      <c r="GA241" s="274"/>
      <c r="GB241" s="274"/>
      <c r="GC241" s="274"/>
      <c r="GD241" s="274"/>
      <c r="GE241" s="274"/>
      <c r="GF241" s="274"/>
      <c r="GG241" s="274"/>
      <c r="GH241" s="274"/>
      <c r="GI241" s="274"/>
      <c r="GJ241" s="274"/>
      <c r="GK241" s="274"/>
      <c r="GL241" s="274"/>
      <c r="GM241" s="274"/>
      <c r="GN241" s="274"/>
      <c r="GO241" s="274"/>
      <c r="GP241" s="274"/>
      <c r="GQ241" s="274"/>
      <c r="GR241" s="274"/>
      <c r="GS241" s="274"/>
      <c r="GT241" s="274"/>
      <c r="GU241" s="274"/>
      <c r="GV241" s="274"/>
      <c r="GW241" s="274"/>
      <c r="GX241" s="274"/>
      <c r="GY241" s="274"/>
      <c r="GZ241" s="274"/>
      <c r="HA241" s="274"/>
      <c r="HB241" s="274"/>
      <c r="HC241" s="274"/>
      <c r="HD241" s="274"/>
      <c r="HE241" s="274"/>
      <c r="HF241" s="274"/>
      <c r="HG241" s="274"/>
      <c r="HH241" s="274"/>
      <c r="HI241" s="274"/>
      <c r="HJ241" s="274"/>
      <c r="HK241" s="274"/>
      <c r="HL241" s="274"/>
      <c r="HM241" s="274"/>
      <c r="HN241" s="274"/>
      <c r="HO241" s="274"/>
      <c r="HP241" s="274"/>
      <c r="HQ241" s="274"/>
      <c r="HR241" s="274"/>
      <c r="HS241" s="274"/>
      <c r="HT241" s="274"/>
      <c r="HU241" s="274"/>
      <c r="HV241" s="274"/>
      <c r="HW241" s="274"/>
      <c r="HX241" s="274"/>
      <c r="HY241" s="274"/>
      <c r="HZ241" s="274"/>
      <c r="IA241" s="274"/>
      <c r="IB241" s="274"/>
      <c r="IC241" s="274"/>
      <c r="ID241" s="274"/>
      <c r="IE241" s="274"/>
      <c r="IF241" s="274"/>
      <c r="IG241" s="274"/>
      <c r="IH241" s="274"/>
      <c r="II241" s="274"/>
      <c r="IJ241" s="274"/>
      <c r="IK241" s="274"/>
      <c r="IL241" s="274"/>
      <c r="IM241" s="274"/>
      <c r="IN241" s="274"/>
      <c r="IO241" s="274"/>
      <c r="IP241" s="274"/>
      <c r="IQ241" s="274"/>
      <c r="IR241" s="274"/>
      <c r="IS241" s="274"/>
      <c r="IT241" s="274"/>
      <c r="IU241" s="274"/>
      <c r="IV241" s="274"/>
      <c r="IW241" s="274"/>
      <c r="IX241" s="274"/>
      <c r="IY241" s="274"/>
      <c r="IZ241" s="274"/>
      <c r="JA241" s="274"/>
      <c r="JB241" s="274"/>
      <c r="JC241" s="274"/>
      <c r="JD241" s="274"/>
      <c r="JE241" s="274"/>
      <c r="JF241" s="274"/>
      <c r="JG241" s="274"/>
      <c r="JH241" s="274"/>
      <c r="JI241" s="274"/>
      <c r="JJ241" s="274"/>
      <c r="JK241" s="274"/>
      <c r="JL241" s="274"/>
      <c r="JM241" s="274"/>
      <c r="JN241" s="274"/>
      <c r="JO241" s="274"/>
      <c r="JP241" s="274"/>
      <c r="JQ241" s="274"/>
      <c r="JR241" s="274"/>
      <c r="JS241" s="274"/>
      <c r="JT241" s="274"/>
      <c r="JU241" s="274"/>
      <c r="JV241" s="274"/>
      <c r="JW241" s="274"/>
      <c r="JX241" s="274"/>
      <c r="JY241" s="274"/>
      <c r="JZ241" s="274"/>
      <c r="KA241" s="274"/>
      <c r="KB241" s="274"/>
      <c r="KC241" s="274"/>
      <c r="KD241" s="274"/>
      <c r="KE241" s="274"/>
      <c r="KF241" s="274"/>
      <c r="KG241" s="274"/>
      <c r="KH241" s="274"/>
      <c r="KI241" s="274"/>
      <c r="KJ241" s="274"/>
      <c r="KK241" s="274"/>
      <c r="KL241" s="274"/>
      <c r="KM241" s="274"/>
      <c r="KN241" s="274"/>
      <c r="KO241" s="274"/>
      <c r="KP241" s="274"/>
      <c r="KQ241" s="274"/>
      <c r="KR241" s="274"/>
      <c r="KS241" s="274"/>
      <c r="KT241" s="274"/>
      <c r="KU241" s="274"/>
      <c r="KV241" s="274"/>
      <c r="KW241" s="274"/>
      <c r="KX241" s="274"/>
      <c r="KY241" s="274"/>
      <c r="KZ241" s="274"/>
      <c r="LA241" s="274"/>
      <c r="LB241" s="274"/>
      <c r="LC241" s="274"/>
      <c r="LD241" s="274"/>
      <c r="LE241" s="274"/>
      <c r="LF241" s="274"/>
      <c r="LG241" s="274"/>
      <c r="LH241" s="274"/>
      <c r="LI241" s="274"/>
      <c r="LJ241" s="274"/>
      <c r="LK241" s="274"/>
      <c r="LL241" s="274"/>
      <c r="LM241" s="274"/>
      <c r="LN241" s="274"/>
      <c r="LO241" s="274"/>
      <c r="LP241" s="274"/>
      <c r="LQ241" s="274"/>
      <c r="LR241" s="274"/>
      <c r="LS241" s="274"/>
      <c r="LT241" s="274"/>
      <c r="LU241" s="274"/>
      <c r="LV241" s="274"/>
      <c r="LW241" s="274"/>
      <c r="LX241" s="274"/>
      <c r="LY241" s="274"/>
      <c r="LZ241" s="274"/>
      <c r="MA241" s="274"/>
      <c r="MB241" s="274"/>
      <c r="MC241" s="274"/>
      <c r="MD241" s="274"/>
      <c r="ME241" s="274"/>
      <c r="MF241" s="274"/>
      <c r="MG241" s="274"/>
      <c r="MH241" s="274"/>
      <c r="MI241" s="274"/>
      <c r="MJ241" s="274"/>
      <c r="MK241" s="274"/>
      <c r="ML241" s="274"/>
      <c r="MM241" s="274"/>
      <c r="MN241" s="274"/>
      <c r="MO241" s="274"/>
      <c r="MP241" s="274"/>
      <c r="MQ241" s="274"/>
      <c r="MR241" s="274"/>
      <c r="MS241" s="274"/>
      <c r="MT241" s="274"/>
      <c r="MU241" s="274"/>
      <c r="MV241" s="274"/>
      <c r="MW241" s="274"/>
      <c r="MX241" s="274"/>
      <c r="MY241" s="274"/>
      <c r="MZ241" s="274"/>
      <c r="NA241" s="274"/>
      <c r="NB241" s="274"/>
      <c r="NC241" s="274"/>
      <c r="ND241" s="274"/>
      <c r="NE241" s="274"/>
      <c r="NF241" s="274"/>
      <c r="NG241" s="274"/>
      <c r="NH241" s="274"/>
      <c r="NI241" s="274"/>
      <c r="NJ241" s="274"/>
      <c r="NK241" s="274"/>
      <c r="NL241" s="274"/>
      <c r="NM241" s="274"/>
      <c r="NN241" s="274"/>
      <c r="NO241" s="274"/>
      <c r="NP241" s="274"/>
      <c r="NQ241" s="274"/>
      <c r="NR241" s="274"/>
      <c r="NS241" s="274"/>
      <c r="NT241" s="274"/>
      <c r="NU241" s="274"/>
      <c r="NV241" s="274"/>
      <c r="NW241" s="274"/>
      <c r="NX241" s="274"/>
      <c r="NY241" s="274"/>
      <c r="NZ241" s="274"/>
      <c r="OA241" s="274"/>
      <c r="OB241" s="274"/>
      <c r="OC241" s="274"/>
      <c r="OD241" s="274"/>
      <c r="OE241" s="274"/>
      <c r="OF241" s="274"/>
      <c r="OG241" s="274"/>
      <c r="OH241" s="274"/>
      <c r="OI241" s="274"/>
      <c r="OJ241" s="274"/>
      <c r="OK241" s="274"/>
      <c r="OL241" s="274"/>
      <c r="OM241" s="274"/>
      <c r="ON241" s="274"/>
      <c r="OO241" s="274"/>
      <c r="OP241" s="274"/>
      <c r="OQ241" s="274"/>
      <c r="OR241" s="274"/>
      <c r="OS241" s="274"/>
      <c r="OT241" s="274"/>
      <c r="OU241" s="274"/>
      <c r="OV241" s="274"/>
      <c r="OW241" s="274"/>
      <c r="OX241" s="274"/>
      <c r="OY241" s="274"/>
      <c r="OZ241" s="274"/>
      <c r="PA241" s="274"/>
      <c r="PB241" s="274"/>
      <c r="PC241" s="274"/>
      <c r="PD241" s="274"/>
      <c r="PE241" s="274"/>
      <c r="PF241" s="274"/>
      <c r="PG241" s="274"/>
      <c r="PH241" s="274"/>
      <c r="PI241" s="274"/>
      <c r="PJ241" s="274"/>
      <c r="PK241" s="274"/>
      <c r="PL241" s="274"/>
      <c r="PM241" s="274"/>
      <c r="PN241" s="274"/>
      <c r="PO241" s="274"/>
      <c r="PP241" s="274"/>
      <c r="PQ241" s="274"/>
      <c r="PR241" s="274"/>
      <c r="PS241" s="274"/>
      <c r="PT241" s="274"/>
      <c r="PU241" s="274"/>
      <c r="PV241" s="274"/>
      <c r="PW241" s="274"/>
      <c r="PX241" s="274"/>
      <c r="PY241" s="274"/>
      <c r="PZ241" s="274"/>
      <c r="QA241" s="274"/>
      <c r="QB241" s="274"/>
      <c r="QC241" s="274"/>
      <c r="QD241" s="274"/>
      <c r="QE241" s="274"/>
      <c r="QF241" s="274"/>
      <c r="QG241" s="274"/>
      <c r="QH241" s="274"/>
      <c r="QI241" s="274"/>
      <c r="QJ241" s="274"/>
      <c r="QK241" s="274"/>
      <c r="QL241" s="274"/>
      <c r="QM241" s="274"/>
      <c r="QN241" s="274"/>
      <c r="QO241" s="274"/>
      <c r="QP241" s="274"/>
      <c r="QQ241" s="274"/>
      <c r="QR241" s="274"/>
      <c r="QS241" s="274"/>
      <c r="QT241" s="274"/>
      <c r="QU241" s="274"/>
      <c r="QV241" s="274"/>
      <c r="QW241" s="274"/>
      <c r="QX241" s="274"/>
      <c r="QY241" s="274"/>
      <c r="QZ241" s="274"/>
      <c r="RA241" s="274"/>
      <c r="RB241" s="274"/>
      <c r="RC241" s="274"/>
    </row>
    <row r="242" spans="112:471">
      <c r="DH242" s="274"/>
      <c r="DI242" s="274"/>
      <c r="DJ242" s="274"/>
      <c r="DK242" s="274"/>
      <c r="DL242" s="274"/>
      <c r="DM242" s="274"/>
      <c r="DN242" s="274"/>
      <c r="DO242" s="274"/>
      <c r="DP242" s="274"/>
      <c r="DQ242" s="274"/>
      <c r="DR242" s="274"/>
      <c r="DS242" s="274"/>
      <c r="DT242" s="274"/>
      <c r="DU242" s="274"/>
      <c r="DV242" s="274"/>
      <c r="DW242" s="274"/>
      <c r="DX242" s="274"/>
      <c r="DY242" s="274"/>
      <c r="DZ242" s="274"/>
      <c r="EA242" s="274"/>
      <c r="EB242" s="274"/>
      <c r="EC242" s="274"/>
      <c r="ED242" s="274"/>
      <c r="EE242" s="274"/>
      <c r="EF242" s="274"/>
      <c r="EG242" s="274"/>
      <c r="EH242" s="274"/>
      <c r="EI242" s="274"/>
      <c r="EJ242" s="274"/>
      <c r="EK242" s="274"/>
      <c r="EL242" s="274"/>
      <c r="EM242" s="274"/>
      <c r="EN242" s="274"/>
      <c r="EO242" s="274"/>
      <c r="EP242" s="274"/>
      <c r="EQ242" s="274"/>
      <c r="ER242" s="274"/>
      <c r="ES242" s="274"/>
      <c r="ET242" s="274"/>
      <c r="EU242" s="274"/>
      <c r="EV242" s="274"/>
      <c r="EW242" s="274"/>
      <c r="EX242" s="274"/>
      <c r="EY242" s="274"/>
      <c r="EZ242" s="274"/>
      <c r="FA242" s="274"/>
      <c r="FB242" s="274"/>
      <c r="FC242" s="274"/>
      <c r="FD242" s="274"/>
      <c r="FE242" s="274"/>
      <c r="FF242" s="274"/>
      <c r="FG242" s="274"/>
      <c r="FH242" s="274"/>
      <c r="FI242" s="274"/>
      <c r="FJ242" s="274"/>
      <c r="FK242" s="274"/>
      <c r="FL242" s="274"/>
      <c r="FM242" s="274"/>
      <c r="FN242" s="274"/>
      <c r="FO242" s="274"/>
      <c r="FP242" s="274"/>
      <c r="FQ242" s="274"/>
      <c r="FR242" s="274"/>
      <c r="FS242" s="274"/>
      <c r="FT242" s="274"/>
      <c r="FU242" s="274"/>
      <c r="FV242" s="274"/>
      <c r="FW242" s="274"/>
      <c r="FX242" s="274"/>
      <c r="FY242" s="274"/>
      <c r="FZ242" s="274"/>
      <c r="GA242" s="274"/>
      <c r="GB242" s="274"/>
      <c r="GC242" s="274"/>
      <c r="GD242" s="274"/>
      <c r="GE242" s="274"/>
      <c r="GF242" s="274"/>
      <c r="GG242" s="274"/>
      <c r="GH242" s="274"/>
      <c r="GI242" s="274"/>
      <c r="GJ242" s="274"/>
      <c r="GK242" s="274"/>
      <c r="GL242" s="274"/>
      <c r="GM242" s="274"/>
      <c r="GN242" s="274"/>
      <c r="GO242" s="274"/>
      <c r="GP242" s="274"/>
      <c r="GQ242" s="274"/>
      <c r="GR242" s="274"/>
      <c r="GS242" s="274"/>
      <c r="GT242" s="274"/>
      <c r="GU242" s="274"/>
      <c r="GV242" s="274"/>
      <c r="GW242" s="274"/>
      <c r="GX242" s="274"/>
      <c r="GY242" s="274"/>
      <c r="GZ242" s="274"/>
      <c r="HA242" s="274"/>
      <c r="HB242" s="274"/>
      <c r="HC242" s="274"/>
      <c r="HD242" s="274"/>
      <c r="HE242" s="274"/>
      <c r="HF242" s="274"/>
      <c r="HG242" s="274"/>
      <c r="HH242" s="274"/>
      <c r="HI242" s="274"/>
      <c r="HJ242" s="274"/>
      <c r="HK242" s="274"/>
      <c r="HL242" s="274"/>
      <c r="HM242" s="274"/>
      <c r="HN242" s="274"/>
      <c r="HO242" s="274"/>
      <c r="HP242" s="274"/>
      <c r="HQ242" s="274"/>
      <c r="HR242" s="274"/>
      <c r="HS242" s="274"/>
      <c r="HT242" s="274"/>
      <c r="HU242" s="274"/>
      <c r="HV242" s="274"/>
      <c r="HW242" s="274"/>
      <c r="HX242" s="274"/>
      <c r="HY242" s="274"/>
      <c r="HZ242" s="274"/>
      <c r="IA242" s="274"/>
      <c r="IB242" s="274"/>
      <c r="IC242" s="274"/>
      <c r="ID242" s="274"/>
      <c r="IE242" s="274"/>
      <c r="IF242" s="274"/>
      <c r="IG242" s="274"/>
      <c r="IH242" s="274"/>
      <c r="II242" s="274"/>
      <c r="IJ242" s="274"/>
      <c r="IK242" s="274"/>
      <c r="IL242" s="274"/>
      <c r="IM242" s="274"/>
      <c r="IN242" s="274"/>
      <c r="IO242" s="274"/>
      <c r="IP242" s="274"/>
      <c r="IQ242" s="274"/>
      <c r="IR242" s="274"/>
      <c r="IS242" s="274"/>
      <c r="IT242" s="274"/>
      <c r="IU242" s="274"/>
      <c r="IV242" s="274"/>
      <c r="IW242" s="274"/>
      <c r="IX242" s="274"/>
      <c r="IY242" s="274"/>
      <c r="IZ242" s="274"/>
      <c r="JA242" s="274"/>
      <c r="JB242" s="274"/>
      <c r="JC242" s="274"/>
      <c r="JD242" s="274"/>
      <c r="JE242" s="274"/>
      <c r="JF242" s="274"/>
      <c r="JG242" s="274"/>
      <c r="JH242" s="274"/>
      <c r="JI242" s="274"/>
      <c r="JJ242" s="274"/>
      <c r="JK242" s="274"/>
      <c r="JL242" s="274"/>
      <c r="JM242" s="274"/>
      <c r="JN242" s="274"/>
      <c r="JO242" s="274"/>
      <c r="JP242" s="274"/>
      <c r="JQ242" s="274"/>
      <c r="JR242" s="274"/>
      <c r="JS242" s="274"/>
      <c r="JT242" s="274"/>
      <c r="JU242" s="274"/>
      <c r="JV242" s="274"/>
      <c r="JW242" s="274"/>
      <c r="JX242" s="274"/>
      <c r="JY242" s="274"/>
      <c r="JZ242" s="274"/>
      <c r="KA242" s="274"/>
      <c r="KB242" s="274"/>
      <c r="KC242" s="274"/>
      <c r="KD242" s="274"/>
      <c r="KE242" s="274"/>
      <c r="KF242" s="274"/>
      <c r="KG242" s="274"/>
      <c r="KH242" s="274"/>
      <c r="KI242" s="274"/>
      <c r="KJ242" s="274"/>
      <c r="KK242" s="274"/>
      <c r="KL242" s="274"/>
      <c r="KM242" s="274"/>
      <c r="KN242" s="274"/>
      <c r="KO242" s="274"/>
      <c r="KP242" s="274"/>
      <c r="KQ242" s="274"/>
      <c r="KR242" s="274"/>
      <c r="KS242" s="274"/>
      <c r="KT242" s="274"/>
      <c r="KU242" s="274"/>
      <c r="KV242" s="274"/>
      <c r="KW242" s="274"/>
      <c r="KX242" s="274"/>
      <c r="KY242" s="274"/>
      <c r="KZ242" s="274"/>
      <c r="LA242" s="274"/>
      <c r="LB242" s="274"/>
      <c r="LC242" s="274"/>
      <c r="LD242" s="274"/>
      <c r="LE242" s="274"/>
      <c r="LF242" s="274"/>
      <c r="LG242" s="274"/>
      <c r="LH242" s="274"/>
      <c r="LI242" s="274"/>
      <c r="LJ242" s="274"/>
      <c r="LK242" s="274"/>
      <c r="LL242" s="274"/>
      <c r="LM242" s="274"/>
      <c r="LN242" s="274"/>
      <c r="LO242" s="274"/>
      <c r="LP242" s="274"/>
      <c r="LQ242" s="274"/>
      <c r="LR242" s="274"/>
      <c r="LS242" s="274"/>
      <c r="LT242" s="274"/>
      <c r="LU242" s="274"/>
      <c r="LV242" s="274"/>
      <c r="LW242" s="274"/>
      <c r="LX242" s="274"/>
      <c r="LY242" s="274"/>
      <c r="LZ242" s="274"/>
      <c r="MA242" s="274"/>
      <c r="MB242" s="274"/>
      <c r="MC242" s="274"/>
      <c r="MD242" s="274"/>
      <c r="ME242" s="274"/>
      <c r="MF242" s="274"/>
      <c r="MG242" s="274"/>
      <c r="MH242" s="274"/>
      <c r="MI242" s="274"/>
      <c r="MJ242" s="274"/>
      <c r="MK242" s="274"/>
      <c r="ML242" s="274"/>
      <c r="MM242" s="274"/>
      <c r="MN242" s="274"/>
      <c r="MO242" s="274"/>
      <c r="MP242" s="274"/>
      <c r="MQ242" s="274"/>
      <c r="MR242" s="274"/>
      <c r="MS242" s="274"/>
      <c r="MT242" s="274"/>
      <c r="MU242" s="274"/>
      <c r="MV242" s="274"/>
      <c r="MW242" s="274"/>
      <c r="MX242" s="274"/>
      <c r="MY242" s="274"/>
      <c r="MZ242" s="274"/>
      <c r="NA242" s="274"/>
      <c r="NB242" s="274"/>
      <c r="NC242" s="274"/>
      <c r="ND242" s="274"/>
      <c r="NE242" s="274"/>
      <c r="NF242" s="274"/>
      <c r="NG242" s="274"/>
      <c r="NH242" s="274"/>
      <c r="NI242" s="274"/>
      <c r="NJ242" s="274"/>
      <c r="NK242" s="274"/>
      <c r="NL242" s="274"/>
      <c r="NM242" s="274"/>
      <c r="NN242" s="274"/>
      <c r="NO242" s="274"/>
      <c r="NP242" s="274"/>
      <c r="NQ242" s="274"/>
      <c r="NR242" s="274"/>
      <c r="NS242" s="274"/>
      <c r="NT242" s="274"/>
      <c r="NU242" s="274"/>
      <c r="NV242" s="274"/>
      <c r="NW242" s="274"/>
      <c r="NX242" s="274"/>
      <c r="NY242" s="274"/>
      <c r="NZ242" s="274"/>
      <c r="OA242" s="274"/>
      <c r="OB242" s="274"/>
      <c r="OC242" s="274"/>
      <c r="OD242" s="274"/>
      <c r="OE242" s="274"/>
      <c r="OF242" s="274"/>
      <c r="OG242" s="274"/>
      <c r="OH242" s="274"/>
      <c r="OI242" s="274"/>
      <c r="OJ242" s="274"/>
      <c r="OK242" s="274"/>
      <c r="OL242" s="274"/>
      <c r="OM242" s="274"/>
      <c r="ON242" s="274"/>
      <c r="OO242" s="274"/>
      <c r="OP242" s="274"/>
      <c r="OQ242" s="274"/>
      <c r="OR242" s="274"/>
      <c r="OS242" s="274"/>
      <c r="OT242" s="274"/>
      <c r="OU242" s="274"/>
      <c r="OV242" s="274"/>
      <c r="OW242" s="274"/>
      <c r="OX242" s="274"/>
      <c r="OY242" s="274"/>
      <c r="OZ242" s="274"/>
      <c r="PA242" s="274"/>
      <c r="PB242" s="274"/>
      <c r="PC242" s="274"/>
      <c r="PD242" s="274"/>
      <c r="PE242" s="274"/>
      <c r="PF242" s="274"/>
      <c r="PG242" s="274"/>
      <c r="PH242" s="274"/>
      <c r="PI242" s="274"/>
      <c r="PJ242" s="274"/>
      <c r="PK242" s="274"/>
      <c r="PL242" s="274"/>
      <c r="PM242" s="274"/>
      <c r="PN242" s="274"/>
      <c r="PO242" s="274"/>
      <c r="PP242" s="274"/>
      <c r="PQ242" s="274"/>
      <c r="PR242" s="274"/>
      <c r="PS242" s="274"/>
      <c r="PT242" s="274"/>
      <c r="PU242" s="274"/>
      <c r="PV242" s="274"/>
      <c r="PW242" s="274"/>
      <c r="PX242" s="274"/>
      <c r="PY242" s="274"/>
      <c r="PZ242" s="274"/>
      <c r="QA242" s="274"/>
      <c r="QB242" s="274"/>
      <c r="QC242" s="274"/>
      <c r="QD242" s="274"/>
      <c r="QE242" s="274"/>
      <c r="QF242" s="274"/>
      <c r="QG242" s="274"/>
      <c r="QH242" s="274"/>
      <c r="QI242" s="274"/>
      <c r="QJ242" s="274"/>
      <c r="QK242" s="274"/>
      <c r="QL242" s="274"/>
      <c r="QM242" s="274"/>
      <c r="QN242" s="274"/>
      <c r="QO242" s="274"/>
      <c r="QP242" s="274"/>
      <c r="QQ242" s="274"/>
      <c r="QR242" s="274"/>
      <c r="QS242" s="274"/>
      <c r="QT242" s="274"/>
      <c r="QU242" s="274"/>
      <c r="QV242" s="274"/>
      <c r="QW242" s="274"/>
      <c r="QX242" s="274"/>
      <c r="QY242" s="274"/>
      <c r="QZ242" s="274"/>
      <c r="RA242" s="274"/>
      <c r="RB242" s="274"/>
      <c r="RC242" s="274"/>
    </row>
    <row r="243" spans="112:471" ht="17.25">
      <c r="DH243" s="274"/>
      <c r="DI243" s="274"/>
      <c r="DJ243" s="978"/>
      <c r="DK243" s="274"/>
      <c r="DL243" s="274"/>
      <c r="DM243" s="274"/>
      <c r="DN243" s="274"/>
      <c r="DO243" s="274"/>
      <c r="DP243" s="274"/>
      <c r="DQ243" s="274"/>
      <c r="DR243" s="274"/>
      <c r="DS243" s="274"/>
      <c r="DT243" s="274"/>
      <c r="DU243" s="274"/>
      <c r="DV243" s="274"/>
      <c r="DW243" s="274"/>
      <c r="DX243" s="274"/>
      <c r="DY243" s="274"/>
      <c r="DZ243" s="274"/>
      <c r="EA243" s="274"/>
      <c r="EB243" s="274"/>
      <c r="EC243" s="274"/>
      <c r="ED243" s="274"/>
      <c r="EE243" s="274"/>
      <c r="EF243" s="274"/>
      <c r="EG243" s="274"/>
      <c r="EH243" s="274"/>
      <c r="EI243" s="274"/>
      <c r="EJ243" s="274"/>
      <c r="EK243" s="274"/>
      <c r="EL243" s="274"/>
      <c r="EM243" s="274"/>
      <c r="EN243" s="274"/>
      <c r="EO243" s="274"/>
      <c r="EP243" s="274"/>
      <c r="EQ243" s="274"/>
      <c r="ER243" s="274"/>
      <c r="ES243" s="274"/>
      <c r="ET243" s="274"/>
      <c r="EU243" s="274"/>
      <c r="EV243" s="274"/>
      <c r="EW243" s="274"/>
      <c r="EX243" s="274"/>
      <c r="EY243" s="274"/>
      <c r="EZ243" s="274"/>
      <c r="FA243" s="274"/>
      <c r="FB243" s="274"/>
      <c r="FC243" s="274"/>
      <c r="FD243" s="274"/>
      <c r="FE243" s="274"/>
      <c r="FF243" s="274"/>
      <c r="FG243" s="274"/>
      <c r="FH243" s="274"/>
      <c r="FI243" s="274"/>
      <c r="FJ243" s="274"/>
      <c r="FK243" s="274"/>
      <c r="FL243" s="274"/>
      <c r="FM243" s="274"/>
      <c r="FN243" s="274"/>
      <c r="FO243" s="274"/>
      <c r="FP243" s="274"/>
      <c r="FQ243" s="274"/>
      <c r="FR243" s="274"/>
      <c r="FS243" s="274"/>
      <c r="FT243" s="274"/>
      <c r="FU243" s="274"/>
      <c r="FV243" s="274"/>
      <c r="FW243" s="274"/>
      <c r="FX243" s="274"/>
      <c r="FY243" s="274"/>
      <c r="FZ243" s="274"/>
      <c r="GA243" s="274"/>
      <c r="GB243" s="274"/>
      <c r="GC243" s="274"/>
      <c r="GD243" s="274"/>
      <c r="GE243" s="274"/>
      <c r="GF243" s="274"/>
      <c r="GG243" s="274"/>
      <c r="GH243" s="274"/>
      <c r="GI243" s="274"/>
      <c r="GJ243" s="274"/>
      <c r="GK243" s="274"/>
      <c r="GL243" s="274"/>
      <c r="GM243" s="274"/>
      <c r="GN243" s="274"/>
      <c r="GO243" s="274"/>
      <c r="GP243" s="274"/>
      <c r="GQ243" s="274"/>
      <c r="GR243" s="274"/>
      <c r="GS243" s="274"/>
      <c r="GT243" s="274"/>
      <c r="GU243" s="274"/>
      <c r="GV243" s="274"/>
      <c r="GW243" s="274"/>
      <c r="GX243" s="274"/>
      <c r="GY243" s="274"/>
      <c r="GZ243" s="274"/>
      <c r="HA243" s="274"/>
      <c r="HB243" s="274"/>
      <c r="HC243" s="274"/>
      <c r="HD243" s="274"/>
      <c r="HE243" s="274"/>
      <c r="HF243" s="274"/>
      <c r="HG243" s="274"/>
      <c r="HH243" s="274"/>
      <c r="HI243" s="274"/>
      <c r="HJ243" s="274"/>
      <c r="HK243" s="274"/>
      <c r="HL243" s="274"/>
      <c r="HM243" s="274"/>
      <c r="HN243" s="274"/>
      <c r="HO243" s="274"/>
      <c r="HP243" s="274"/>
      <c r="HQ243" s="274"/>
      <c r="HR243" s="274"/>
      <c r="HS243" s="274"/>
      <c r="HT243" s="274"/>
      <c r="HU243" s="274"/>
      <c r="HV243" s="274"/>
      <c r="HW243" s="274"/>
      <c r="HX243" s="274"/>
      <c r="HY243" s="274"/>
      <c r="HZ243" s="274"/>
      <c r="IA243" s="274"/>
      <c r="IB243" s="274"/>
      <c r="IC243" s="274"/>
      <c r="ID243" s="274"/>
      <c r="IE243" s="274"/>
      <c r="IF243" s="274"/>
      <c r="IG243" s="274"/>
      <c r="IH243" s="274"/>
      <c r="II243" s="274"/>
      <c r="IJ243" s="274"/>
      <c r="IK243" s="274"/>
      <c r="IL243" s="274"/>
      <c r="IM243" s="274"/>
      <c r="IN243" s="274"/>
      <c r="IO243" s="274"/>
      <c r="IP243" s="274"/>
      <c r="IQ243" s="274"/>
      <c r="IR243" s="274"/>
      <c r="IS243" s="274"/>
      <c r="IT243" s="274"/>
      <c r="IU243" s="274"/>
      <c r="IV243" s="274"/>
      <c r="IW243" s="274"/>
      <c r="IX243" s="274"/>
      <c r="IY243" s="274"/>
      <c r="IZ243" s="274"/>
      <c r="JA243" s="274"/>
      <c r="JB243" s="274"/>
      <c r="JC243" s="274"/>
      <c r="JD243" s="274"/>
      <c r="JE243" s="274"/>
      <c r="JF243" s="274"/>
      <c r="JG243" s="274"/>
      <c r="JH243" s="274"/>
      <c r="JI243" s="274"/>
      <c r="JJ243" s="274"/>
      <c r="JK243" s="274"/>
      <c r="JL243" s="274"/>
      <c r="JM243" s="274"/>
      <c r="JN243" s="274"/>
      <c r="JO243" s="274"/>
      <c r="JP243" s="274"/>
      <c r="JQ243" s="274"/>
      <c r="JR243" s="274"/>
      <c r="JS243" s="274"/>
      <c r="JT243" s="274"/>
      <c r="JU243" s="274"/>
      <c r="JV243" s="274"/>
      <c r="JW243" s="274"/>
      <c r="JX243" s="274"/>
      <c r="JY243" s="274"/>
      <c r="JZ243" s="274"/>
      <c r="KA243" s="274"/>
      <c r="KB243" s="274"/>
      <c r="KC243" s="274"/>
      <c r="KD243" s="274"/>
      <c r="KE243" s="274"/>
      <c r="KF243" s="274"/>
      <c r="KG243" s="274"/>
      <c r="KH243" s="274"/>
      <c r="KI243" s="274"/>
      <c r="KJ243" s="274"/>
      <c r="KK243" s="274"/>
      <c r="KL243" s="274"/>
      <c r="KM243" s="274"/>
      <c r="KN243" s="274"/>
      <c r="KO243" s="274"/>
      <c r="KP243" s="274"/>
      <c r="KQ243" s="274"/>
      <c r="KR243" s="274"/>
      <c r="KS243" s="274"/>
      <c r="KT243" s="274"/>
      <c r="KU243" s="274"/>
      <c r="KV243" s="274"/>
      <c r="KW243" s="274"/>
      <c r="KX243" s="274"/>
      <c r="KY243" s="274"/>
      <c r="KZ243" s="274"/>
      <c r="LA243" s="274"/>
      <c r="LB243" s="274"/>
      <c r="LC243" s="274"/>
      <c r="LD243" s="274"/>
      <c r="LE243" s="274"/>
      <c r="LF243" s="274"/>
      <c r="LG243" s="274"/>
      <c r="LH243" s="274"/>
      <c r="LI243" s="274"/>
      <c r="LJ243" s="274"/>
      <c r="LK243" s="274"/>
      <c r="LL243" s="274"/>
      <c r="LM243" s="274"/>
      <c r="LN243" s="274"/>
      <c r="LO243" s="274"/>
      <c r="LP243" s="274"/>
      <c r="LQ243" s="274"/>
      <c r="LR243" s="274"/>
      <c r="LS243" s="274"/>
      <c r="LT243" s="274"/>
      <c r="LU243" s="274"/>
      <c r="LV243" s="274"/>
      <c r="LW243" s="274"/>
      <c r="LX243" s="274"/>
      <c r="LY243" s="274"/>
      <c r="LZ243" s="274"/>
      <c r="MA243" s="274"/>
      <c r="MB243" s="274"/>
      <c r="MC243" s="274"/>
      <c r="MD243" s="274"/>
      <c r="ME243" s="274"/>
      <c r="MF243" s="274"/>
      <c r="MG243" s="274"/>
      <c r="MH243" s="274"/>
      <c r="MI243" s="274"/>
      <c r="MJ243" s="274"/>
      <c r="MK243" s="274"/>
      <c r="ML243" s="274"/>
      <c r="MM243" s="274"/>
      <c r="MN243" s="274"/>
      <c r="MO243" s="274"/>
      <c r="MP243" s="274"/>
      <c r="MQ243" s="274"/>
      <c r="MR243" s="274"/>
      <c r="MS243" s="274"/>
      <c r="MT243" s="274"/>
      <c r="MU243" s="274"/>
      <c r="MV243" s="274"/>
      <c r="MW243" s="274"/>
      <c r="MX243" s="274"/>
      <c r="MY243" s="274"/>
      <c r="MZ243" s="274"/>
      <c r="NA243" s="274"/>
      <c r="NB243" s="274"/>
      <c r="NC243" s="274"/>
      <c r="ND243" s="274"/>
      <c r="NE243" s="274"/>
      <c r="NF243" s="274"/>
      <c r="NG243" s="274"/>
      <c r="NH243" s="274"/>
      <c r="NI243" s="274"/>
      <c r="NJ243" s="274"/>
      <c r="NK243" s="274"/>
      <c r="NL243" s="274"/>
      <c r="NM243" s="274"/>
      <c r="NN243" s="274"/>
      <c r="NO243" s="274"/>
      <c r="NP243" s="274"/>
      <c r="NQ243" s="274"/>
      <c r="NR243" s="274"/>
      <c r="NS243" s="274"/>
      <c r="NT243" s="274"/>
      <c r="NU243" s="274"/>
      <c r="NV243" s="274"/>
      <c r="NW243" s="274"/>
      <c r="NX243" s="274"/>
      <c r="NY243" s="274"/>
      <c r="NZ243" s="274"/>
      <c r="OA243" s="274"/>
      <c r="OB243" s="274"/>
      <c r="OC243" s="274"/>
      <c r="OD243" s="274"/>
      <c r="OE243" s="274"/>
      <c r="OF243" s="274"/>
      <c r="OG243" s="274"/>
      <c r="OH243" s="274"/>
      <c r="OI243" s="274"/>
      <c r="OJ243" s="274"/>
      <c r="OK243" s="274"/>
      <c r="OL243" s="274"/>
      <c r="OM243" s="274"/>
      <c r="ON243" s="274"/>
      <c r="OO243" s="274"/>
      <c r="OP243" s="274"/>
      <c r="OQ243" s="274"/>
      <c r="OR243" s="274"/>
      <c r="OS243" s="274"/>
      <c r="OT243" s="274"/>
      <c r="OU243" s="274"/>
      <c r="OV243" s="274"/>
      <c r="OW243" s="274"/>
      <c r="OX243" s="274"/>
      <c r="OY243" s="274"/>
      <c r="OZ243" s="274"/>
      <c r="PA243" s="274"/>
      <c r="PB243" s="274"/>
      <c r="PC243" s="274"/>
      <c r="PD243" s="274"/>
      <c r="PE243" s="274"/>
      <c r="PF243" s="274"/>
      <c r="PG243" s="274"/>
      <c r="PH243" s="274"/>
      <c r="PI243" s="274"/>
      <c r="PJ243" s="274"/>
      <c r="PK243" s="274"/>
      <c r="PL243" s="274"/>
      <c r="PM243" s="274"/>
      <c r="PN243" s="274"/>
      <c r="PO243" s="274"/>
      <c r="PP243" s="274"/>
      <c r="PQ243" s="274"/>
      <c r="PR243" s="274"/>
      <c r="PS243" s="274"/>
      <c r="PT243" s="274"/>
      <c r="PU243" s="274"/>
      <c r="PV243" s="274"/>
      <c r="PW243" s="274"/>
      <c r="PX243" s="274"/>
      <c r="PY243" s="274"/>
      <c r="PZ243" s="274"/>
      <c r="QA243" s="274"/>
      <c r="QB243" s="274"/>
      <c r="QC243" s="274"/>
      <c r="QD243" s="274"/>
      <c r="QE243" s="274"/>
      <c r="QF243" s="274"/>
      <c r="QG243" s="274"/>
      <c r="QH243" s="274"/>
      <c r="QI243" s="274"/>
      <c r="QJ243" s="274"/>
      <c r="QK243" s="274"/>
      <c r="QL243" s="274"/>
      <c r="QM243" s="274"/>
      <c r="QN243" s="274"/>
      <c r="QO243" s="274"/>
      <c r="QP243" s="274"/>
      <c r="QQ243" s="274"/>
      <c r="QR243" s="274"/>
      <c r="QS243" s="274"/>
      <c r="QT243" s="274"/>
      <c r="QU243" s="274"/>
      <c r="QV243" s="274"/>
      <c r="QW243" s="274"/>
      <c r="QX243" s="274"/>
      <c r="QY243" s="274"/>
      <c r="QZ243" s="274"/>
      <c r="RA243" s="274"/>
      <c r="RB243" s="274"/>
      <c r="RC243" s="274"/>
    </row>
    <row r="244" spans="112:471" ht="17.25">
      <c r="DH244" s="274"/>
      <c r="DI244" s="274"/>
      <c r="DJ244" s="978"/>
      <c r="DK244" s="978"/>
      <c r="DL244" s="978"/>
      <c r="DM244" s="978"/>
      <c r="DN244" s="978"/>
      <c r="DO244" s="978"/>
      <c r="DP244" s="978"/>
      <c r="DQ244" s="978"/>
      <c r="DR244" s="978"/>
      <c r="DS244" s="978"/>
      <c r="DT244" s="978"/>
      <c r="DU244" s="978"/>
      <c r="DV244" s="978"/>
      <c r="DW244" s="978"/>
      <c r="DX244" s="978"/>
      <c r="DY244" s="978"/>
      <c r="DZ244" s="978"/>
      <c r="EA244" s="978"/>
      <c r="EB244" s="978"/>
      <c r="EC244" s="978"/>
      <c r="ED244" s="978"/>
      <c r="EE244" s="978"/>
      <c r="EF244" s="978"/>
      <c r="EG244" s="978"/>
      <c r="EH244" s="978"/>
      <c r="EI244" s="978"/>
      <c r="EJ244" s="978"/>
      <c r="EK244" s="978"/>
      <c r="EL244" s="978"/>
      <c r="EM244" s="978"/>
      <c r="EN244" s="978"/>
      <c r="EO244" s="978"/>
      <c r="EP244" s="978"/>
      <c r="EQ244" s="978"/>
      <c r="ER244" s="978"/>
      <c r="ES244" s="978"/>
      <c r="ET244" s="978"/>
      <c r="EU244" s="978"/>
      <c r="EV244" s="978"/>
      <c r="EW244" s="978"/>
      <c r="EX244" s="978"/>
      <c r="EY244" s="978"/>
      <c r="EZ244" s="978"/>
      <c r="FA244" s="978"/>
      <c r="FB244" s="978"/>
      <c r="FC244" s="978"/>
      <c r="FD244" s="978"/>
      <c r="FE244" s="978"/>
      <c r="FF244" s="978"/>
      <c r="FG244" s="978"/>
      <c r="FH244" s="978"/>
      <c r="FI244" s="978"/>
      <c r="FJ244" s="978"/>
      <c r="FK244" s="978"/>
      <c r="FL244" s="978"/>
      <c r="FM244" s="978"/>
      <c r="FN244" s="978"/>
      <c r="FO244" s="978"/>
      <c r="FP244" s="978"/>
      <c r="FQ244" s="978"/>
      <c r="FR244" s="978"/>
      <c r="FS244" s="978"/>
      <c r="FT244" s="978"/>
      <c r="FU244" s="978"/>
      <c r="FV244" s="978"/>
      <c r="FW244" s="978"/>
      <c r="FX244" s="978"/>
      <c r="FY244" s="978"/>
      <c r="FZ244" s="978"/>
      <c r="GA244" s="978"/>
      <c r="GB244" s="978"/>
      <c r="GC244" s="978"/>
      <c r="GD244" s="978"/>
      <c r="GE244" s="978"/>
      <c r="GF244" s="978"/>
      <c r="GG244" s="978"/>
      <c r="GH244" s="978"/>
      <c r="GI244" s="978"/>
      <c r="GJ244" s="978"/>
      <c r="GK244" s="978"/>
      <c r="GL244" s="978"/>
      <c r="GM244" s="978"/>
      <c r="GN244" s="978"/>
      <c r="GO244" s="978"/>
      <c r="GP244" s="978"/>
      <c r="GQ244" s="978"/>
      <c r="GR244" s="978"/>
      <c r="GS244" s="978"/>
      <c r="GT244" s="978"/>
      <c r="GU244" s="978"/>
      <c r="GV244" s="978"/>
      <c r="GW244" s="978"/>
      <c r="GX244" s="978"/>
      <c r="GY244" s="978"/>
      <c r="GZ244" s="978"/>
      <c r="HA244" s="978"/>
      <c r="HB244" s="978"/>
      <c r="HC244" s="978"/>
      <c r="HD244" s="978"/>
      <c r="HE244" s="978"/>
      <c r="HF244" s="978"/>
      <c r="HG244" s="978"/>
      <c r="HH244" s="978"/>
      <c r="HI244" s="978"/>
      <c r="HJ244" s="978"/>
      <c r="HK244" s="978"/>
      <c r="HL244" s="978"/>
      <c r="HM244" s="978"/>
      <c r="HN244" s="978"/>
      <c r="HO244" s="978"/>
      <c r="HP244" s="978"/>
      <c r="HQ244" s="978"/>
      <c r="HR244" s="978"/>
      <c r="HS244" s="978"/>
      <c r="HT244" s="978"/>
      <c r="HU244" s="978"/>
      <c r="HV244" s="978"/>
      <c r="HW244" s="978"/>
      <c r="HX244" s="978"/>
      <c r="HY244" s="978"/>
      <c r="HZ244" s="978"/>
      <c r="IA244" s="978"/>
      <c r="IB244" s="978"/>
      <c r="IC244" s="978"/>
      <c r="ID244" s="978"/>
      <c r="IE244" s="978"/>
      <c r="IF244" s="978"/>
      <c r="IG244" s="978"/>
      <c r="IH244" s="978"/>
      <c r="II244" s="978"/>
      <c r="IJ244" s="978"/>
      <c r="IK244" s="978"/>
      <c r="IL244" s="978"/>
      <c r="IM244" s="978"/>
      <c r="IN244" s="978"/>
      <c r="IO244" s="978"/>
      <c r="IP244" s="978"/>
      <c r="IQ244" s="978"/>
      <c r="IR244" s="978"/>
      <c r="IS244" s="978"/>
      <c r="IT244" s="978"/>
      <c r="IU244" s="978"/>
      <c r="IV244" s="978"/>
      <c r="IW244" s="978"/>
      <c r="IX244" s="978"/>
      <c r="IY244" s="978"/>
      <c r="IZ244" s="978"/>
      <c r="JA244" s="978"/>
      <c r="JB244" s="978"/>
      <c r="JC244" s="978"/>
      <c r="JD244" s="978"/>
      <c r="JE244" s="978"/>
      <c r="JF244" s="978"/>
      <c r="JG244" s="978"/>
      <c r="JH244" s="978"/>
      <c r="JI244" s="978"/>
      <c r="JJ244" s="978"/>
      <c r="JK244" s="978"/>
      <c r="JL244" s="978"/>
      <c r="JM244" s="978"/>
      <c r="JN244" s="978"/>
      <c r="JO244" s="978"/>
      <c r="JP244" s="978"/>
      <c r="JQ244" s="978"/>
      <c r="JR244" s="978"/>
      <c r="JS244" s="978"/>
      <c r="JT244" s="978"/>
      <c r="JU244" s="978"/>
      <c r="JV244" s="978"/>
      <c r="JW244" s="978"/>
      <c r="JX244" s="978"/>
      <c r="JY244" s="978"/>
      <c r="JZ244" s="978"/>
      <c r="KA244" s="978"/>
      <c r="KB244" s="978"/>
      <c r="KC244" s="978"/>
      <c r="KD244" s="978"/>
      <c r="KE244" s="978"/>
      <c r="KF244" s="978"/>
      <c r="KG244" s="978"/>
      <c r="KH244" s="978"/>
      <c r="KI244" s="978"/>
      <c r="KJ244" s="978"/>
      <c r="KK244" s="978"/>
      <c r="KL244" s="978"/>
      <c r="KM244" s="978"/>
      <c r="KN244" s="978"/>
      <c r="KO244" s="978"/>
      <c r="KP244" s="978"/>
      <c r="KQ244" s="978"/>
      <c r="KR244" s="978"/>
      <c r="KS244" s="978"/>
      <c r="KT244" s="978"/>
      <c r="KU244" s="978"/>
      <c r="KV244" s="978"/>
      <c r="KW244" s="978"/>
      <c r="KX244" s="978"/>
      <c r="KY244" s="978"/>
      <c r="KZ244" s="978"/>
      <c r="LA244" s="978"/>
      <c r="LB244" s="978"/>
      <c r="LC244" s="978"/>
      <c r="LD244" s="978"/>
      <c r="LE244" s="978"/>
      <c r="LF244" s="978"/>
      <c r="LG244" s="978"/>
      <c r="LH244" s="978"/>
      <c r="LI244" s="978"/>
      <c r="LJ244" s="978"/>
      <c r="LK244" s="978"/>
      <c r="LL244" s="978"/>
      <c r="LM244" s="978"/>
      <c r="LN244" s="978"/>
      <c r="LO244" s="978"/>
      <c r="LP244" s="978"/>
      <c r="LQ244" s="978"/>
      <c r="LR244" s="978"/>
      <c r="LS244" s="978"/>
      <c r="LT244" s="978"/>
      <c r="LU244" s="978"/>
      <c r="LV244" s="978"/>
      <c r="LW244" s="978"/>
      <c r="LX244" s="978"/>
      <c r="LY244" s="978"/>
      <c r="LZ244" s="978"/>
      <c r="MA244" s="978"/>
      <c r="MB244" s="978"/>
      <c r="MC244" s="978"/>
      <c r="MD244" s="978"/>
      <c r="ME244" s="978"/>
      <c r="MF244" s="978"/>
      <c r="MG244" s="978"/>
      <c r="MH244" s="978"/>
      <c r="MI244" s="978"/>
      <c r="MJ244" s="978"/>
      <c r="MK244" s="978"/>
      <c r="ML244" s="978"/>
      <c r="MM244" s="978"/>
      <c r="MN244" s="978"/>
      <c r="MO244" s="978"/>
      <c r="MP244" s="978"/>
      <c r="MQ244" s="978"/>
      <c r="MR244" s="978"/>
      <c r="MS244" s="978"/>
      <c r="MT244" s="978"/>
      <c r="MU244" s="978"/>
      <c r="MV244" s="978"/>
      <c r="MW244" s="978"/>
      <c r="MX244" s="978"/>
      <c r="MY244" s="978"/>
      <c r="MZ244" s="978"/>
      <c r="NA244" s="978"/>
      <c r="NB244" s="978"/>
      <c r="NC244" s="978"/>
      <c r="ND244" s="978"/>
      <c r="NE244" s="978"/>
      <c r="NF244" s="978"/>
      <c r="NG244" s="978"/>
      <c r="NH244" s="978"/>
      <c r="NI244" s="978"/>
      <c r="NJ244" s="978"/>
      <c r="NK244" s="978"/>
      <c r="NL244" s="978"/>
      <c r="NM244" s="978"/>
      <c r="NN244" s="978"/>
      <c r="NO244" s="978"/>
      <c r="NP244" s="978"/>
      <c r="NQ244" s="978"/>
      <c r="NR244" s="978"/>
      <c r="NS244" s="978"/>
      <c r="NT244" s="978"/>
      <c r="NU244" s="978"/>
      <c r="NV244" s="978"/>
      <c r="NW244" s="978"/>
      <c r="NX244" s="978"/>
      <c r="NY244" s="978"/>
      <c r="NZ244" s="978"/>
      <c r="OA244" s="978"/>
      <c r="OB244" s="978"/>
      <c r="OC244" s="978"/>
      <c r="OD244" s="978"/>
      <c r="OE244" s="978"/>
      <c r="OF244" s="978"/>
      <c r="OG244" s="978"/>
      <c r="OH244" s="978"/>
      <c r="OI244" s="978"/>
      <c r="OJ244" s="978"/>
      <c r="OK244" s="978"/>
      <c r="OL244" s="978"/>
      <c r="OM244" s="978"/>
      <c r="ON244" s="978"/>
      <c r="OO244" s="978"/>
      <c r="OP244" s="978"/>
      <c r="OQ244" s="978"/>
      <c r="OR244" s="978"/>
      <c r="OS244" s="978"/>
      <c r="OT244" s="978"/>
      <c r="OU244" s="978"/>
      <c r="OV244" s="978"/>
      <c r="OW244" s="978"/>
      <c r="OX244" s="978"/>
      <c r="OY244" s="978"/>
      <c r="OZ244" s="978"/>
      <c r="PA244" s="978"/>
      <c r="PB244" s="978"/>
      <c r="PC244" s="978"/>
      <c r="PD244" s="978"/>
      <c r="PE244" s="978"/>
      <c r="PF244" s="978"/>
      <c r="PG244" s="978"/>
      <c r="PH244" s="978"/>
      <c r="PI244" s="978"/>
      <c r="PJ244" s="978"/>
      <c r="PK244" s="978"/>
      <c r="PL244" s="978"/>
      <c r="PM244" s="978"/>
      <c r="PN244" s="978"/>
      <c r="PO244" s="978"/>
      <c r="PP244" s="978"/>
      <c r="PQ244" s="978"/>
      <c r="PR244" s="978"/>
      <c r="PS244" s="978"/>
      <c r="PT244" s="978"/>
      <c r="PU244" s="978"/>
      <c r="PV244" s="978"/>
      <c r="PW244" s="978"/>
      <c r="PX244" s="978"/>
      <c r="PY244" s="978"/>
      <c r="PZ244" s="978"/>
      <c r="QA244" s="978"/>
      <c r="QB244" s="978"/>
      <c r="QC244" s="978"/>
      <c r="QD244" s="978"/>
      <c r="QE244" s="978"/>
      <c r="QF244" s="978"/>
      <c r="QG244" s="978"/>
      <c r="QH244" s="978"/>
      <c r="QI244" s="978"/>
      <c r="QJ244" s="978"/>
      <c r="QK244" s="978"/>
      <c r="QL244" s="978"/>
      <c r="QM244" s="978"/>
      <c r="QN244" s="978"/>
      <c r="QO244" s="978"/>
      <c r="QP244" s="978"/>
      <c r="QQ244" s="978"/>
      <c r="QR244" s="978"/>
      <c r="QS244" s="978"/>
      <c r="QT244" s="978"/>
      <c r="QU244" s="978"/>
      <c r="QV244" s="978"/>
      <c r="QW244" s="978"/>
      <c r="QX244" s="978"/>
      <c r="QY244" s="978"/>
      <c r="QZ244" s="978"/>
      <c r="RA244" s="978"/>
      <c r="RB244" s="274"/>
      <c r="RC244" s="274"/>
    </row>
    <row r="245" spans="112:471" ht="17.25">
      <c r="DH245" s="274"/>
      <c r="DI245" s="274"/>
      <c r="DJ245" s="978"/>
      <c r="DK245" s="978"/>
      <c r="DL245" s="978"/>
      <c r="DM245" s="978"/>
      <c r="DN245" s="978"/>
      <c r="DO245" s="978"/>
      <c r="DP245" s="978"/>
      <c r="DQ245" s="978"/>
      <c r="DR245" s="978"/>
      <c r="DS245" s="978"/>
      <c r="DT245" s="978"/>
      <c r="DU245" s="978"/>
      <c r="DV245" s="978"/>
      <c r="DW245" s="978"/>
      <c r="DX245" s="978"/>
      <c r="DY245" s="978"/>
      <c r="DZ245" s="978"/>
      <c r="EA245" s="978"/>
      <c r="EB245" s="978"/>
      <c r="EC245" s="978"/>
      <c r="ED245" s="978"/>
      <c r="EE245" s="978"/>
      <c r="EF245" s="978"/>
      <c r="EG245" s="978"/>
      <c r="EH245" s="978"/>
      <c r="EI245" s="978"/>
      <c r="EJ245" s="978"/>
      <c r="EK245" s="978"/>
      <c r="EL245" s="978"/>
      <c r="EM245" s="978"/>
      <c r="EN245" s="978"/>
      <c r="EO245" s="978"/>
      <c r="EP245" s="978"/>
      <c r="EQ245" s="978"/>
      <c r="ER245" s="978"/>
      <c r="ES245" s="978"/>
      <c r="ET245" s="978"/>
      <c r="EU245" s="978"/>
      <c r="EV245" s="978"/>
      <c r="EW245" s="978"/>
      <c r="EX245" s="978"/>
      <c r="EY245" s="978"/>
      <c r="EZ245" s="978"/>
      <c r="FA245" s="978"/>
      <c r="FB245" s="978"/>
      <c r="FC245" s="978"/>
      <c r="FD245" s="978"/>
      <c r="FE245" s="978"/>
      <c r="FF245" s="978"/>
      <c r="FG245" s="978"/>
      <c r="FH245" s="978"/>
      <c r="FI245" s="978"/>
      <c r="FJ245" s="978"/>
      <c r="FK245" s="978"/>
      <c r="FL245" s="978"/>
      <c r="FM245" s="978"/>
      <c r="FN245" s="978"/>
      <c r="FO245" s="978"/>
      <c r="FP245" s="978"/>
      <c r="FQ245" s="978"/>
      <c r="FR245" s="978"/>
      <c r="FS245" s="978"/>
      <c r="FT245" s="978"/>
      <c r="FU245" s="978"/>
      <c r="FV245" s="978"/>
      <c r="FW245" s="978"/>
      <c r="FX245" s="978"/>
      <c r="FY245" s="978"/>
      <c r="FZ245" s="978"/>
      <c r="GA245" s="978"/>
      <c r="GB245" s="978"/>
      <c r="GC245" s="978"/>
      <c r="GD245" s="978"/>
      <c r="GE245" s="978"/>
      <c r="GF245" s="978"/>
      <c r="GG245" s="978"/>
      <c r="GH245" s="978"/>
      <c r="GI245" s="978"/>
      <c r="GJ245" s="978"/>
      <c r="GK245" s="978"/>
      <c r="GL245" s="978"/>
      <c r="GM245" s="978"/>
      <c r="GN245" s="978"/>
      <c r="GO245" s="978"/>
      <c r="GP245" s="978"/>
      <c r="GQ245" s="978"/>
      <c r="GR245" s="978"/>
      <c r="GS245" s="978"/>
      <c r="GT245" s="978"/>
      <c r="GU245" s="978"/>
      <c r="GV245" s="978"/>
      <c r="GW245" s="978"/>
      <c r="GX245" s="978"/>
      <c r="GY245" s="978"/>
      <c r="GZ245" s="978"/>
      <c r="HA245" s="978"/>
      <c r="HB245" s="978"/>
      <c r="HC245" s="978"/>
      <c r="HD245" s="978"/>
      <c r="HE245" s="978"/>
      <c r="HF245" s="978"/>
      <c r="HG245" s="978"/>
      <c r="HH245" s="978"/>
      <c r="HI245" s="978"/>
      <c r="HJ245" s="978"/>
      <c r="HK245" s="978"/>
      <c r="HL245" s="978"/>
      <c r="HM245" s="978"/>
      <c r="HN245" s="978"/>
      <c r="HO245" s="978"/>
      <c r="HP245" s="978"/>
      <c r="HQ245" s="978"/>
      <c r="HR245" s="978"/>
      <c r="HS245" s="978"/>
      <c r="HT245" s="978"/>
      <c r="HU245" s="978"/>
      <c r="HV245" s="978"/>
      <c r="HW245" s="978"/>
      <c r="HX245" s="978"/>
      <c r="HY245" s="978"/>
      <c r="HZ245" s="978"/>
      <c r="IA245" s="978"/>
      <c r="IB245" s="978"/>
      <c r="IC245" s="978"/>
      <c r="ID245" s="978"/>
      <c r="IE245" s="978"/>
      <c r="IF245" s="978"/>
      <c r="IG245" s="978"/>
      <c r="IH245" s="978"/>
      <c r="II245" s="978"/>
      <c r="IJ245" s="978"/>
      <c r="IK245" s="978"/>
      <c r="IL245" s="978"/>
      <c r="IM245" s="978"/>
      <c r="IN245" s="978"/>
      <c r="IO245" s="978"/>
      <c r="IP245" s="978"/>
      <c r="IQ245" s="978"/>
      <c r="IR245" s="978"/>
      <c r="IS245" s="978"/>
      <c r="IT245" s="978"/>
      <c r="IU245" s="978"/>
      <c r="IV245" s="978"/>
      <c r="IW245" s="978"/>
      <c r="IX245" s="978"/>
      <c r="IY245" s="978"/>
      <c r="IZ245" s="978"/>
      <c r="JA245" s="978"/>
      <c r="JB245" s="978"/>
      <c r="JC245" s="978"/>
      <c r="JD245" s="978"/>
      <c r="JE245" s="978"/>
      <c r="JF245" s="978"/>
      <c r="JG245" s="978"/>
      <c r="JH245" s="978"/>
      <c r="JI245" s="978"/>
      <c r="JJ245" s="978"/>
      <c r="JK245" s="978"/>
      <c r="JL245" s="978"/>
      <c r="JM245" s="978"/>
      <c r="JN245" s="978"/>
      <c r="JO245" s="978"/>
      <c r="JP245" s="978"/>
      <c r="JQ245" s="978"/>
      <c r="JR245" s="978"/>
      <c r="JS245" s="978"/>
      <c r="JT245" s="978"/>
      <c r="JU245" s="978"/>
      <c r="JV245" s="978"/>
      <c r="JW245" s="978"/>
      <c r="JX245" s="978"/>
      <c r="JY245" s="978"/>
      <c r="JZ245" s="978"/>
      <c r="KA245" s="978"/>
      <c r="KB245" s="978"/>
      <c r="KC245" s="978"/>
      <c r="KD245" s="978"/>
      <c r="KE245" s="978"/>
      <c r="KF245" s="978"/>
      <c r="KG245" s="978"/>
      <c r="KH245" s="978"/>
      <c r="KI245" s="978"/>
      <c r="KJ245" s="978"/>
      <c r="KK245" s="978"/>
      <c r="KL245" s="978"/>
      <c r="KM245" s="978"/>
      <c r="KN245" s="978"/>
      <c r="KO245" s="978"/>
      <c r="KP245" s="978"/>
      <c r="KQ245" s="978"/>
      <c r="KR245" s="978"/>
      <c r="KS245" s="978"/>
      <c r="KT245" s="978"/>
      <c r="KU245" s="978"/>
      <c r="KV245" s="978"/>
      <c r="KW245" s="978"/>
      <c r="KX245" s="978"/>
      <c r="KY245" s="978"/>
      <c r="KZ245" s="978"/>
      <c r="LA245" s="978"/>
      <c r="LB245" s="978"/>
      <c r="LC245" s="978"/>
      <c r="LD245" s="978"/>
      <c r="LE245" s="978"/>
      <c r="LF245" s="978"/>
      <c r="LG245" s="978"/>
      <c r="LH245" s="978"/>
      <c r="LI245" s="978"/>
      <c r="LJ245" s="978"/>
      <c r="LK245" s="978"/>
      <c r="LL245" s="978"/>
      <c r="LM245" s="978"/>
      <c r="LN245" s="978"/>
      <c r="LO245" s="978"/>
      <c r="LP245" s="978"/>
      <c r="LQ245" s="978"/>
      <c r="LR245" s="978"/>
      <c r="LS245" s="978"/>
      <c r="LT245" s="978"/>
      <c r="LU245" s="978"/>
      <c r="LV245" s="978"/>
      <c r="LW245" s="978"/>
      <c r="LX245" s="978"/>
      <c r="LY245" s="978"/>
      <c r="LZ245" s="978"/>
      <c r="MA245" s="978"/>
      <c r="MB245" s="978"/>
      <c r="MC245" s="978"/>
      <c r="MD245" s="978"/>
      <c r="ME245" s="978"/>
      <c r="MF245" s="978"/>
      <c r="MG245" s="978"/>
      <c r="MH245" s="978"/>
      <c r="MI245" s="978"/>
      <c r="MJ245" s="978"/>
      <c r="MK245" s="978"/>
      <c r="ML245" s="978"/>
      <c r="MM245" s="978"/>
      <c r="MN245" s="978"/>
      <c r="MO245" s="978"/>
      <c r="MP245" s="978"/>
      <c r="MQ245" s="978"/>
      <c r="MR245" s="978"/>
      <c r="MS245" s="978"/>
      <c r="MT245" s="978"/>
      <c r="MU245" s="978"/>
      <c r="MV245" s="978"/>
      <c r="MW245" s="978"/>
      <c r="MX245" s="978"/>
      <c r="MY245" s="978"/>
      <c r="MZ245" s="978"/>
      <c r="NA245" s="978"/>
      <c r="NB245" s="978"/>
      <c r="NC245" s="978"/>
      <c r="ND245" s="978"/>
      <c r="NE245" s="978"/>
      <c r="NF245" s="978"/>
      <c r="NG245" s="978"/>
      <c r="NH245" s="978"/>
      <c r="NI245" s="978"/>
      <c r="NJ245" s="978"/>
      <c r="NK245" s="978"/>
      <c r="NL245" s="978"/>
      <c r="NM245" s="978"/>
      <c r="NN245" s="978"/>
      <c r="NO245" s="978"/>
      <c r="NP245" s="978"/>
      <c r="NQ245" s="978"/>
      <c r="NR245" s="978"/>
      <c r="NS245" s="978"/>
      <c r="NT245" s="978"/>
      <c r="NU245" s="978"/>
      <c r="NV245" s="978"/>
      <c r="NW245" s="978"/>
      <c r="NX245" s="978"/>
      <c r="NY245" s="978"/>
      <c r="NZ245" s="978"/>
      <c r="OA245" s="978"/>
      <c r="OB245" s="978"/>
      <c r="OC245" s="978"/>
      <c r="OD245" s="978"/>
      <c r="OE245" s="978"/>
      <c r="OF245" s="978"/>
      <c r="OG245" s="978"/>
      <c r="OH245" s="978"/>
      <c r="OI245" s="978"/>
      <c r="OJ245" s="978"/>
      <c r="OK245" s="978"/>
      <c r="OL245" s="978"/>
      <c r="OM245" s="978"/>
      <c r="ON245" s="978"/>
      <c r="OO245" s="978"/>
      <c r="OP245" s="978"/>
      <c r="OQ245" s="978"/>
      <c r="OR245" s="978"/>
      <c r="OS245" s="978"/>
      <c r="OT245" s="978"/>
      <c r="OU245" s="978"/>
      <c r="OV245" s="978"/>
      <c r="OW245" s="978"/>
      <c r="OX245" s="978"/>
      <c r="OY245" s="978"/>
      <c r="OZ245" s="978"/>
      <c r="PA245" s="978"/>
      <c r="PB245" s="978"/>
      <c r="PC245" s="978"/>
      <c r="PD245" s="978"/>
      <c r="PE245" s="978"/>
      <c r="PF245" s="978"/>
      <c r="PG245" s="978"/>
      <c r="PH245" s="978"/>
      <c r="PI245" s="978"/>
      <c r="PJ245" s="978"/>
      <c r="PK245" s="978"/>
      <c r="PL245" s="978"/>
      <c r="PM245" s="978"/>
      <c r="PN245" s="978"/>
      <c r="PO245" s="978"/>
      <c r="PP245" s="978"/>
      <c r="PQ245" s="978"/>
      <c r="PR245" s="978"/>
      <c r="PS245" s="978"/>
      <c r="PT245" s="978"/>
      <c r="PU245" s="978"/>
      <c r="PV245" s="978"/>
      <c r="PW245" s="978"/>
      <c r="PX245" s="978"/>
      <c r="PY245" s="978"/>
      <c r="PZ245" s="978"/>
      <c r="QA245" s="978"/>
      <c r="QB245" s="978"/>
      <c r="QC245" s="978"/>
      <c r="QD245" s="978"/>
      <c r="QE245" s="978"/>
      <c r="QF245" s="978"/>
      <c r="QG245" s="978"/>
      <c r="QH245" s="978"/>
      <c r="QI245" s="978"/>
      <c r="QJ245" s="978"/>
      <c r="QK245" s="978"/>
      <c r="QL245" s="978"/>
      <c r="QM245" s="978"/>
      <c r="QN245" s="978"/>
      <c r="QO245" s="978"/>
      <c r="QP245" s="978"/>
      <c r="QQ245" s="978"/>
      <c r="QR245" s="978"/>
      <c r="QS245" s="978"/>
      <c r="QT245" s="978"/>
      <c r="QU245" s="978"/>
      <c r="QV245" s="978"/>
      <c r="QW245" s="978"/>
      <c r="QX245" s="978"/>
      <c r="QY245" s="978"/>
      <c r="QZ245" s="978"/>
      <c r="RA245" s="978"/>
      <c r="RB245" s="274"/>
      <c r="RC245" s="274"/>
    </row>
    <row r="246" spans="112:471" ht="17.25">
      <c r="DH246" s="274"/>
      <c r="DI246" s="274"/>
      <c r="DJ246" s="978"/>
      <c r="DK246" s="978"/>
      <c r="DL246" s="978"/>
      <c r="DM246" s="978"/>
      <c r="DN246" s="978"/>
      <c r="DO246" s="978"/>
      <c r="DP246" s="978"/>
      <c r="DQ246" s="978"/>
      <c r="DR246" s="978"/>
      <c r="DS246" s="978"/>
      <c r="DT246" s="978"/>
      <c r="DU246" s="978"/>
      <c r="DV246" s="978"/>
      <c r="DW246" s="978"/>
      <c r="DX246" s="978"/>
      <c r="DY246" s="978"/>
      <c r="DZ246" s="978"/>
      <c r="EA246" s="978"/>
      <c r="EB246" s="978"/>
      <c r="EC246" s="978"/>
      <c r="ED246" s="978"/>
      <c r="EE246" s="978"/>
      <c r="EF246" s="978"/>
      <c r="EG246" s="978"/>
      <c r="EH246" s="978"/>
      <c r="EI246" s="978"/>
      <c r="EJ246" s="978"/>
      <c r="EK246" s="978"/>
      <c r="EL246" s="978"/>
      <c r="EM246" s="978"/>
      <c r="EN246" s="978"/>
      <c r="EO246" s="978"/>
      <c r="EP246" s="978"/>
      <c r="EQ246" s="978"/>
      <c r="ER246" s="978"/>
      <c r="ES246" s="978"/>
      <c r="ET246" s="978"/>
      <c r="EU246" s="978"/>
      <c r="EV246" s="978"/>
      <c r="EW246" s="978"/>
      <c r="EX246" s="978"/>
      <c r="EY246" s="978"/>
      <c r="EZ246" s="978"/>
      <c r="FA246" s="978"/>
      <c r="FB246" s="978"/>
      <c r="FC246" s="978"/>
      <c r="FD246" s="978"/>
      <c r="FE246" s="978"/>
      <c r="FF246" s="978"/>
      <c r="FG246" s="978"/>
      <c r="FH246" s="978"/>
      <c r="FI246" s="978"/>
      <c r="FJ246" s="978"/>
      <c r="FK246" s="978"/>
      <c r="FL246" s="978"/>
      <c r="FM246" s="978"/>
      <c r="FN246" s="978"/>
      <c r="FO246" s="978"/>
      <c r="FP246" s="978"/>
      <c r="FQ246" s="978"/>
      <c r="FR246" s="978"/>
      <c r="FS246" s="978"/>
      <c r="FT246" s="978"/>
      <c r="FU246" s="978"/>
      <c r="FV246" s="978"/>
      <c r="FW246" s="978"/>
      <c r="FX246" s="978"/>
      <c r="FY246" s="978"/>
      <c r="FZ246" s="978"/>
      <c r="GA246" s="978"/>
      <c r="GB246" s="978"/>
      <c r="GC246" s="978"/>
      <c r="GD246" s="978"/>
      <c r="GE246" s="978"/>
      <c r="GF246" s="978"/>
      <c r="GG246" s="978"/>
      <c r="GH246" s="978"/>
      <c r="GI246" s="978"/>
      <c r="GJ246" s="978"/>
      <c r="GK246" s="978"/>
      <c r="GL246" s="978"/>
      <c r="GM246" s="978"/>
      <c r="GN246" s="978"/>
      <c r="GO246" s="978"/>
      <c r="GP246" s="978"/>
      <c r="GQ246" s="978"/>
      <c r="GR246" s="978"/>
      <c r="GS246" s="978"/>
      <c r="GT246" s="978"/>
      <c r="GU246" s="978"/>
      <c r="GV246" s="978"/>
      <c r="GW246" s="978"/>
      <c r="GX246" s="978"/>
      <c r="GY246" s="978"/>
      <c r="GZ246" s="978"/>
      <c r="HA246" s="978"/>
      <c r="HB246" s="978"/>
      <c r="HC246" s="978"/>
      <c r="HD246" s="978"/>
      <c r="HE246" s="978"/>
      <c r="HF246" s="978"/>
      <c r="HG246" s="978"/>
      <c r="HH246" s="978"/>
      <c r="HI246" s="978"/>
      <c r="HJ246" s="978"/>
      <c r="HK246" s="978"/>
      <c r="HL246" s="978"/>
      <c r="HM246" s="978"/>
      <c r="HN246" s="978"/>
      <c r="HO246" s="978"/>
      <c r="HP246" s="978"/>
      <c r="HQ246" s="978"/>
      <c r="HR246" s="978"/>
      <c r="HS246" s="978"/>
      <c r="HT246" s="978"/>
      <c r="HU246" s="978"/>
      <c r="HV246" s="978"/>
      <c r="HW246" s="978"/>
      <c r="HX246" s="978"/>
      <c r="HY246" s="978"/>
      <c r="HZ246" s="978"/>
      <c r="IA246" s="978"/>
      <c r="IB246" s="978"/>
      <c r="IC246" s="978"/>
      <c r="ID246" s="978"/>
      <c r="IE246" s="978"/>
      <c r="IF246" s="978"/>
      <c r="IG246" s="978"/>
      <c r="IH246" s="978"/>
      <c r="II246" s="978"/>
      <c r="IJ246" s="978"/>
      <c r="IK246" s="978"/>
      <c r="IL246" s="978"/>
      <c r="IM246" s="978"/>
      <c r="IN246" s="978"/>
      <c r="IO246" s="978"/>
      <c r="IP246" s="978"/>
      <c r="IQ246" s="978"/>
      <c r="IR246" s="978"/>
      <c r="IS246" s="978"/>
      <c r="IT246" s="978"/>
      <c r="IU246" s="978"/>
      <c r="IV246" s="978"/>
      <c r="IW246" s="978"/>
      <c r="IX246" s="978"/>
      <c r="IY246" s="978"/>
      <c r="IZ246" s="978"/>
      <c r="JA246" s="978"/>
      <c r="JB246" s="978"/>
      <c r="JC246" s="978"/>
      <c r="JD246" s="978"/>
      <c r="JE246" s="978"/>
      <c r="JF246" s="978"/>
      <c r="JG246" s="978"/>
      <c r="JH246" s="978"/>
      <c r="JI246" s="978"/>
      <c r="JJ246" s="978"/>
      <c r="JK246" s="978"/>
      <c r="JL246" s="978"/>
      <c r="JM246" s="978"/>
      <c r="JN246" s="978"/>
      <c r="JO246" s="978"/>
      <c r="JP246" s="978"/>
      <c r="JQ246" s="978"/>
      <c r="JR246" s="978"/>
      <c r="JS246" s="978"/>
      <c r="JT246" s="978"/>
      <c r="JU246" s="978"/>
      <c r="JV246" s="978"/>
      <c r="JW246" s="978"/>
      <c r="JX246" s="978"/>
      <c r="JY246" s="978"/>
      <c r="JZ246" s="978"/>
      <c r="KA246" s="978"/>
      <c r="KB246" s="978"/>
      <c r="KC246" s="978"/>
      <c r="KD246" s="978"/>
      <c r="KE246" s="978"/>
      <c r="KF246" s="978"/>
      <c r="KG246" s="978"/>
      <c r="KH246" s="978"/>
      <c r="KI246" s="978"/>
      <c r="KJ246" s="978"/>
      <c r="KK246" s="978"/>
      <c r="KL246" s="978"/>
      <c r="KM246" s="978"/>
      <c r="KN246" s="978"/>
      <c r="KO246" s="978"/>
      <c r="KP246" s="978"/>
      <c r="KQ246" s="978"/>
      <c r="KR246" s="978"/>
      <c r="KS246" s="978"/>
      <c r="KT246" s="978"/>
      <c r="KU246" s="978"/>
      <c r="KV246" s="978"/>
      <c r="KW246" s="978"/>
      <c r="KX246" s="978"/>
      <c r="KY246" s="978"/>
      <c r="KZ246" s="978"/>
      <c r="LA246" s="978"/>
      <c r="LB246" s="978"/>
      <c r="LC246" s="978"/>
      <c r="LD246" s="978"/>
      <c r="LE246" s="978"/>
      <c r="LF246" s="978"/>
      <c r="LG246" s="978"/>
      <c r="LH246" s="978"/>
      <c r="LI246" s="978"/>
      <c r="LJ246" s="978"/>
      <c r="LK246" s="978"/>
      <c r="LL246" s="978"/>
      <c r="LM246" s="978"/>
      <c r="LN246" s="978"/>
      <c r="LO246" s="978"/>
      <c r="LP246" s="978"/>
      <c r="LQ246" s="978"/>
      <c r="LR246" s="978"/>
      <c r="LS246" s="978"/>
      <c r="LT246" s="978"/>
      <c r="LU246" s="978"/>
      <c r="LV246" s="978"/>
      <c r="LW246" s="978"/>
      <c r="LX246" s="978"/>
      <c r="LY246" s="978"/>
      <c r="LZ246" s="978"/>
      <c r="MA246" s="978"/>
      <c r="MB246" s="978"/>
      <c r="MC246" s="978"/>
      <c r="MD246" s="978"/>
      <c r="ME246" s="978"/>
      <c r="MF246" s="978"/>
      <c r="MG246" s="978"/>
      <c r="MH246" s="978"/>
      <c r="MI246" s="978"/>
      <c r="MJ246" s="978"/>
      <c r="MK246" s="978"/>
      <c r="ML246" s="978"/>
      <c r="MM246" s="978"/>
      <c r="MN246" s="978"/>
      <c r="MO246" s="978"/>
      <c r="MP246" s="978"/>
      <c r="MQ246" s="978"/>
      <c r="MR246" s="978"/>
      <c r="MS246" s="978"/>
      <c r="MT246" s="978"/>
      <c r="MU246" s="978"/>
      <c r="MV246" s="978"/>
      <c r="MW246" s="978"/>
      <c r="MX246" s="978"/>
      <c r="MY246" s="978"/>
      <c r="MZ246" s="978"/>
      <c r="NA246" s="978"/>
      <c r="NB246" s="978"/>
      <c r="NC246" s="978"/>
      <c r="ND246" s="978"/>
      <c r="NE246" s="978"/>
      <c r="NF246" s="978"/>
      <c r="NG246" s="978"/>
      <c r="NH246" s="978"/>
      <c r="NI246" s="978"/>
      <c r="NJ246" s="978"/>
      <c r="NK246" s="978"/>
      <c r="NL246" s="978"/>
      <c r="NM246" s="978"/>
      <c r="NN246" s="978"/>
      <c r="NO246" s="978"/>
      <c r="NP246" s="978"/>
      <c r="NQ246" s="978"/>
      <c r="NR246" s="978"/>
      <c r="NS246" s="978"/>
      <c r="NT246" s="978"/>
      <c r="NU246" s="978"/>
      <c r="NV246" s="978"/>
      <c r="NW246" s="978"/>
      <c r="NX246" s="978"/>
      <c r="NY246" s="978"/>
      <c r="NZ246" s="978"/>
      <c r="OA246" s="978"/>
      <c r="OB246" s="978"/>
      <c r="OC246" s="978"/>
      <c r="OD246" s="978"/>
      <c r="OE246" s="978"/>
      <c r="OF246" s="978"/>
      <c r="OG246" s="978"/>
      <c r="OH246" s="978"/>
      <c r="OI246" s="978"/>
      <c r="OJ246" s="978"/>
      <c r="OK246" s="978"/>
      <c r="OL246" s="978"/>
      <c r="OM246" s="978"/>
      <c r="ON246" s="978"/>
      <c r="OO246" s="978"/>
      <c r="OP246" s="978"/>
      <c r="OQ246" s="978"/>
      <c r="OR246" s="978"/>
      <c r="OS246" s="978"/>
      <c r="OT246" s="978"/>
      <c r="OU246" s="978"/>
      <c r="OV246" s="978"/>
      <c r="OW246" s="978"/>
      <c r="OX246" s="978"/>
      <c r="OY246" s="978"/>
      <c r="OZ246" s="978"/>
      <c r="PA246" s="978"/>
      <c r="PB246" s="978"/>
      <c r="PC246" s="978"/>
      <c r="PD246" s="978"/>
      <c r="PE246" s="978"/>
      <c r="PF246" s="978"/>
      <c r="PG246" s="978"/>
      <c r="PH246" s="978"/>
      <c r="PI246" s="978"/>
      <c r="PJ246" s="978"/>
      <c r="PK246" s="978"/>
      <c r="PL246" s="978"/>
      <c r="PM246" s="978"/>
      <c r="PN246" s="978"/>
      <c r="PO246" s="978"/>
      <c r="PP246" s="978"/>
      <c r="PQ246" s="978"/>
      <c r="PR246" s="978"/>
      <c r="PS246" s="978"/>
      <c r="PT246" s="978"/>
      <c r="PU246" s="978"/>
      <c r="PV246" s="978"/>
      <c r="PW246" s="978"/>
      <c r="PX246" s="978"/>
      <c r="PY246" s="978"/>
      <c r="PZ246" s="978"/>
      <c r="QA246" s="978"/>
      <c r="QB246" s="978"/>
      <c r="QC246" s="978"/>
      <c r="QD246" s="978"/>
      <c r="QE246" s="978"/>
      <c r="QF246" s="978"/>
      <c r="QG246" s="978"/>
      <c r="QH246" s="978"/>
      <c r="QI246" s="978"/>
      <c r="QJ246" s="978"/>
      <c r="QK246" s="978"/>
      <c r="QL246" s="978"/>
      <c r="QM246" s="978"/>
      <c r="QN246" s="978"/>
      <c r="QO246" s="978"/>
      <c r="QP246" s="978"/>
      <c r="QQ246" s="978"/>
      <c r="QR246" s="978"/>
      <c r="QS246" s="978"/>
      <c r="QT246" s="978"/>
      <c r="QU246" s="978"/>
      <c r="QV246" s="978"/>
      <c r="QW246" s="978"/>
      <c r="QX246" s="978"/>
      <c r="QY246" s="978"/>
      <c r="QZ246" s="978"/>
      <c r="RA246" s="978"/>
      <c r="RB246" s="274"/>
      <c r="RC246" s="274"/>
    </row>
    <row r="247" spans="112:471" ht="17.25">
      <c r="DH247" s="274"/>
      <c r="DI247" s="274"/>
      <c r="DJ247" s="978"/>
      <c r="DK247" s="978"/>
      <c r="DL247" s="978"/>
      <c r="DM247" s="978"/>
      <c r="DN247" s="978"/>
      <c r="DO247" s="978"/>
      <c r="DP247" s="978"/>
      <c r="DQ247" s="978"/>
      <c r="DR247" s="978"/>
      <c r="DS247" s="978"/>
      <c r="DT247" s="978"/>
      <c r="DU247" s="978"/>
      <c r="DV247" s="978"/>
      <c r="DW247" s="978"/>
      <c r="DX247" s="978"/>
      <c r="DY247" s="978"/>
      <c r="DZ247" s="978"/>
      <c r="EA247" s="978"/>
      <c r="EB247" s="978"/>
      <c r="EC247" s="978"/>
      <c r="ED247" s="978"/>
      <c r="EE247" s="978"/>
      <c r="EF247" s="978"/>
      <c r="EG247" s="978"/>
      <c r="EH247" s="978"/>
      <c r="EI247" s="978"/>
      <c r="EJ247" s="978"/>
      <c r="EK247" s="978"/>
      <c r="EL247" s="978"/>
      <c r="EM247" s="978"/>
      <c r="EN247" s="978"/>
      <c r="EO247" s="978"/>
      <c r="EP247" s="978"/>
      <c r="EQ247" s="978"/>
      <c r="ER247" s="978"/>
      <c r="ES247" s="978"/>
      <c r="ET247" s="978"/>
      <c r="EU247" s="978"/>
      <c r="EV247" s="978"/>
      <c r="EW247" s="978"/>
      <c r="EX247" s="978"/>
      <c r="EY247" s="978"/>
      <c r="EZ247" s="978"/>
      <c r="FA247" s="978"/>
      <c r="FB247" s="978"/>
      <c r="FC247" s="978"/>
      <c r="FD247" s="978"/>
      <c r="FE247" s="978"/>
      <c r="FF247" s="978"/>
      <c r="FG247" s="978"/>
      <c r="FH247" s="978"/>
      <c r="FI247" s="978"/>
      <c r="FJ247" s="978"/>
      <c r="FK247" s="978"/>
      <c r="FL247" s="978"/>
      <c r="FM247" s="978"/>
      <c r="FN247" s="978"/>
      <c r="FO247" s="978"/>
      <c r="FP247" s="978"/>
      <c r="FQ247" s="978"/>
      <c r="FR247" s="978"/>
      <c r="FS247" s="978"/>
      <c r="FT247" s="978"/>
      <c r="FU247" s="978"/>
      <c r="FV247" s="978"/>
      <c r="FW247" s="978"/>
      <c r="FX247" s="978"/>
      <c r="FY247" s="978"/>
      <c r="FZ247" s="978"/>
      <c r="GA247" s="978"/>
      <c r="GB247" s="978"/>
      <c r="GC247" s="978"/>
      <c r="GD247" s="978"/>
      <c r="GE247" s="978"/>
      <c r="GF247" s="978"/>
      <c r="GG247" s="978"/>
      <c r="GH247" s="978"/>
      <c r="GI247" s="978"/>
      <c r="GJ247" s="978"/>
      <c r="GK247" s="978"/>
      <c r="GL247" s="978"/>
      <c r="GM247" s="978"/>
      <c r="GN247" s="978"/>
      <c r="GO247" s="978"/>
      <c r="GP247" s="978"/>
      <c r="GQ247" s="978"/>
      <c r="GR247" s="978"/>
      <c r="GS247" s="978"/>
      <c r="GT247" s="978"/>
      <c r="GU247" s="978"/>
      <c r="GV247" s="978"/>
      <c r="GW247" s="978"/>
      <c r="GX247" s="978"/>
      <c r="GY247" s="978"/>
      <c r="GZ247" s="978"/>
      <c r="HA247" s="978"/>
      <c r="HB247" s="978"/>
      <c r="HC247" s="978"/>
      <c r="HD247" s="978"/>
      <c r="HE247" s="978"/>
      <c r="HF247" s="978"/>
      <c r="HG247" s="978"/>
      <c r="HH247" s="978"/>
      <c r="HI247" s="978"/>
      <c r="HJ247" s="978"/>
      <c r="HK247" s="978"/>
      <c r="HL247" s="978"/>
      <c r="HM247" s="978"/>
      <c r="HN247" s="978"/>
      <c r="HO247" s="978"/>
      <c r="HP247" s="978"/>
      <c r="HQ247" s="978"/>
      <c r="HR247" s="978"/>
      <c r="HS247" s="978"/>
      <c r="HT247" s="978"/>
      <c r="HU247" s="978"/>
      <c r="HV247" s="978"/>
      <c r="HW247" s="978"/>
      <c r="HX247" s="978"/>
      <c r="HY247" s="978"/>
      <c r="HZ247" s="978"/>
      <c r="IA247" s="978"/>
      <c r="IB247" s="978"/>
      <c r="IC247" s="978"/>
      <c r="ID247" s="978"/>
      <c r="IE247" s="978"/>
      <c r="IF247" s="978"/>
      <c r="IG247" s="978"/>
      <c r="IH247" s="978"/>
      <c r="II247" s="978"/>
      <c r="IJ247" s="978"/>
      <c r="IK247" s="978"/>
      <c r="IL247" s="978"/>
      <c r="IM247" s="978"/>
      <c r="IN247" s="978"/>
      <c r="IO247" s="978"/>
      <c r="IP247" s="978"/>
      <c r="IQ247" s="978"/>
      <c r="IR247" s="978"/>
      <c r="IS247" s="978"/>
      <c r="IT247" s="978"/>
      <c r="IU247" s="978"/>
      <c r="IV247" s="978"/>
      <c r="IW247" s="978"/>
      <c r="IX247" s="978"/>
      <c r="IY247" s="978"/>
      <c r="IZ247" s="978"/>
      <c r="JA247" s="978"/>
      <c r="JB247" s="978"/>
      <c r="JC247" s="978"/>
      <c r="JD247" s="978"/>
      <c r="JE247" s="978"/>
      <c r="JF247" s="978"/>
      <c r="JG247" s="978"/>
      <c r="JH247" s="978"/>
      <c r="JI247" s="978"/>
      <c r="JJ247" s="978"/>
      <c r="JK247" s="978"/>
      <c r="JL247" s="978"/>
      <c r="JM247" s="978"/>
      <c r="JN247" s="978"/>
      <c r="JO247" s="978"/>
      <c r="JP247" s="978"/>
      <c r="JQ247" s="978"/>
      <c r="JR247" s="978"/>
      <c r="JS247" s="978"/>
      <c r="JT247" s="978"/>
      <c r="JU247" s="978"/>
      <c r="JV247" s="978"/>
      <c r="JW247" s="978"/>
      <c r="JX247" s="978"/>
      <c r="JY247" s="978"/>
      <c r="JZ247" s="978"/>
      <c r="KA247" s="978"/>
      <c r="KB247" s="978"/>
      <c r="KC247" s="978"/>
      <c r="KD247" s="978"/>
      <c r="KE247" s="978"/>
      <c r="KF247" s="978"/>
      <c r="KG247" s="978"/>
      <c r="KH247" s="978"/>
      <c r="KI247" s="978"/>
      <c r="KJ247" s="978"/>
      <c r="KK247" s="978"/>
      <c r="KL247" s="978"/>
      <c r="KM247" s="978"/>
      <c r="KN247" s="978"/>
      <c r="KO247" s="978"/>
      <c r="KP247" s="978"/>
      <c r="KQ247" s="978"/>
      <c r="KR247" s="978"/>
      <c r="KS247" s="978"/>
      <c r="KT247" s="978"/>
      <c r="KU247" s="978"/>
      <c r="KV247" s="978"/>
      <c r="KW247" s="978"/>
      <c r="KX247" s="978"/>
      <c r="KY247" s="978"/>
      <c r="KZ247" s="978"/>
      <c r="LA247" s="978"/>
      <c r="LB247" s="978"/>
      <c r="LC247" s="978"/>
      <c r="LD247" s="978"/>
      <c r="LE247" s="978"/>
      <c r="LF247" s="978"/>
      <c r="LG247" s="978"/>
      <c r="LH247" s="978"/>
      <c r="LI247" s="978"/>
      <c r="LJ247" s="978"/>
      <c r="LK247" s="978"/>
      <c r="LL247" s="978"/>
      <c r="LM247" s="978"/>
      <c r="LN247" s="978"/>
      <c r="LO247" s="978"/>
      <c r="LP247" s="978"/>
      <c r="LQ247" s="978"/>
      <c r="LR247" s="978"/>
      <c r="LS247" s="978"/>
      <c r="LT247" s="978"/>
      <c r="LU247" s="978"/>
      <c r="LV247" s="978"/>
      <c r="LW247" s="978"/>
      <c r="LX247" s="978"/>
      <c r="LY247" s="978"/>
      <c r="LZ247" s="978"/>
      <c r="MA247" s="978"/>
      <c r="MB247" s="978"/>
      <c r="MC247" s="978"/>
      <c r="MD247" s="978"/>
      <c r="ME247" s="978"/>
      <c r="MF247" s="978"/>
      <c r="MG247" s="978"/>
      <c r="MH247" s="978"/>
      <c r="MI247" s="978"/>
      <c r="MJ247" s="978"/>
      <c r="MK247" s="978"/>
      <c r="ML247" s="978"/>
      <c r="MM247" s="978"/>
      <c r="MN247" s="978"/>
      <c r="MO247" s="978"/>
      <c r="MP247" s="978"/>
      <c r="MQ247" s="978"/>
      <c r="MR247" s="978"/>
      <c r="MS247" s="978"/>
      <c r="MT247" s="978"/>
      <c r="MU247" s="978"/>
      <c r="MV247" s="978"/>
      <c r="MW247" s="978"/>
      <c r="MX247" s="978"/>
      <c r="MY247" s="978"/>
      <c r="MZ247" s="978"/>
      <c r="NA247" s="978"/>
      <c r="NB247" s="978"/>
      <c r="NC247" s="978"/>
      <c r="ND247" s="978"/>
      <c r="NE247" s="978"/>
      <c r="NF247" s="978"/>
      <c r="NG247" s="978"/>
      <c r="NH247" s="978"/>
      <c r="NI247" s="978"/>
      <c r="NJ247" s="978"/>
      <c r="NK247" s="978"/>
      <c r="NL247" s="978"/>
      <c r="NM247" s="978"/>
      <c r="NN247" s="978"/>
      <c r="NO247" s="978"/>
      <c r="NP247" s="978"/>
      <c r="NQ247" s="978"/>
      <c r="NR247" s="978"/>
      <c r="NS247" s="978"/>
      <c r="NT247" s="978"/>
      <c r="NU247" s="978"/>
      <c r="NV247" s="978"/>
      <c r="NW247" s="978"/>
      <c r="NX247" s="978"/>
      <c r="NY247" s="978"/>
      <c r="NZ247" s="978"/>
      <c r="OA247" s="978"/>
      <c r="OB247" s="978"/>
      <c r="OC247" s="978"/>
      <c r="OD247" s="978"/>
      <c r="OE247" s="978"/>
      <c r="OF247" s="978"/>
      <c r="OG247" s="978"/>
      <c r="OH247" s="978"/>
      <c r="OI247" s="978"/>
      <c r="OJ247" s="978"/>
      <c r="OK247" s="978"/>
      <c r="OL247" s="978"/>
      <c r="OM247" s="978"/>
      <c r="ON247" s="978"/>
      <c r="OO247" s="978"/>
      <c r="OP247" s="978"/>
      <c r="OQ247" s="978"/>
      <c r="OR247" s="978"/>
      <c r="OS247" s="978"/>
      <c r="OT247" s="978"/>
      <c r="OU247" s="978"/>
      <c r="OV247" s="978"/>
      <c r="OW247" s="978"/>
      <c r="OX247" s="978"/>
      <c r="OY247" s="978"/>
      <c r="OZ247" s="978"/>
      <c r="PA247" s="978"/>
      <c r="PB247" s="978"/>
      <c r="PC247" s="978"/>
      <c r="PD247" s="978"/>
      <c r="PE247" s="978"/>
      <c r="PF247" s="978"/>
      <c r="PG247" s="978"/>
      <c r="PH247" s="978"/>
      <c r="PI247" s="978"/>
      <c r="PJ247" s="978"/>
      <c r="PK247" s="978"/>
      <c r="PL247" s="978"/>
      <c r="PM247" s="978"/>
      <c r="PN247" s="978"/>
      <c r="PO247" s="978"/>
      <c r="PP247" s="978"/>
      <c r="PQ247" s="978"/>
      <c r="PR247" s="978"/>
      <c r="PS247" s="978"/>
      <c r="PT247" s="978"/>
      <c r="PU247" s="978"/>
      <c r="PV247" s="978"/>
      <c r="PW247" s="978"/>
      <c r="PX247" s="978"/>
      <c r="PY247" s="978"/>
      <c r="PZ247" s="978"/>
      <c r="QA247" s="978"/>
      <c r="QB247" s="978"/>
      <c r="QC247" s="978"/>
      <c r="QD247" s="978"/>
      <c r="QE247" s="978"/>
      <c r="QF247" s="978"/>
      <c r="QG247" s="978"/>
      <c r="QH247" s="978"/>
      <c r="QI247" s="978"/>
      <c r="QJ247" s="978"/>
      <c r="QK247" s="978"/>
      <c r="QL247" s="978"/>
      <c r="QM247" s="978"/>
      <c r="QN247" s="978"/>
      <c r="QO247" s="978"/>
      <c r="QP247" s="978"/>
      <c r="QQ247" s="978"/>
      <c r="QR247" s="978"/>
      <c r="QS247" s="978"/>
      <c r="QT247" s="978"/>
      <c r="QU247" s="978"/>
      <c r="QV247" s="978"/>
      <c r="QW247" s="978"/>
      <c r="QX247" s="978"/>
      <c r="QY247" s="978"/>
      <c r="QZ247" s="978"/>
      <c r="RA247" s="978"/>
      <c r="RB247" s="274"/>
      <c r="RC247" s="274"/>
    </row>
    <row r="248" spans="112:471" ht="17.25">
      <c r="DH248" s="274"/>
      <c r="DI248" s="274"/>
      <c r="DJ248" s="978"/>
      <c r="DK248" s="978"/>
      <c r="DL248" s="978"/>
      <c r="DM248" s="978"/>
      <c r="DN248" s="978"/>
      <c r="DO248" s="978"/>
      <c r="DP248" s="978"/>
      <c r="DQ248" s="978"/>
      <c r="DR248" s="978"/>
      <c r="DS248" s="978"/>
      <c r="DT248" s="978"/>
      <c r="DU248" s="978"/>
      <c r="DV248" s="978"/>
      <c r="DW248" s="978"/>
      <c r="DX248" s="978"/>
      <c r="DY248" s="978"/>
      <c r="DZ248" s="978"/>
      <c r="EA248" s="978"/>
      <c r="EB248" s="978"/>
      <c r="EC248" s="978"/>
      <c r="ED248" s="978"/>
      <c r="EE248" s="978"/>
      <c r="EF248" s="978"/>
      <c r="EG248" s="978"/>
      <c r="EH248" s="978"/>
      <c r="EI248" s="978"/>
      <c r="EJ248" s="978"/>
      <c r="EK248" s="978"/>
      <c r="EL248" s="978"/>
      <c r="EM248" s="978"/>
      <c r="EN248" s="978"/>
      <c r="EO248" s="978"/>
      <c r="EP248" s="978"/>
      <c r="EQ248" s="978"/>
      <c r="ER248" s="978"/>
      <c r="ES248" s="978"/>
      <c r="ET248" s="978"/>
      <c r="EU248" s="978"/>
      <c r="EV248" s="978"/>
      <c r="EW248" s="978"/>
      <c r="EX248" s="978"/>
      <c r="EY248" s="978"/>
      <c r="EZ248" s="978"/>
      <c r="FA248" s="978"/>
      <c r="FB248" s="978"/>
      <c r="FC248" s="978"/>
      <c r="FD248" s="978"/>
      <c r="FE248" s="978"/>
      <c r="FF248" s="978"/>
      <c r="FG248" s="978"/>
      <c r="FH248" s="978"/>
      <c r="FI248" s="978"/>
      <c r="FJ248" s="978"/>
      <c r="FK248" s="978"/>
      <c r="FL248" s="978"/>
      <c r="FM248" s="978"/>
      <c r="FN248" s="978"/>
      <c r="FO248" s="978"/>
      <c r="FP248" s="978"/>
      <c r="FQ248" s="978"/>
      <c r="FR248" s="978"/>
      <c r="FS248" s="978"/>
      <c r="FT248" s="978"/>
      <c r="FU248" s="978"/>
      <c r="FV248" s="978"/>
      <c r="FW248" s="978"/>
      <c r="FX248" s="978"/>
      <c r="FY248" s="978"/>
      <c r="FZ248" s="978"/>
      <c r="GA248" s="978"/>
      <c r="GB248" s="978"/>
      <c r="GC248" s="978"/>
      <c r="GD248" s="978"/>
      <c r="GE248" s="978"/>
      <c r="GF248" s="978"/>
      <c r="GG248" s="978"/>
      <c r="GH248" s="978"/>
      <c r="GI248" s="978"/>
      <c r="GJ248" s="978"/>
      <c r="GK248" s="978"/>
      <c r="GL248" s="978"/>
      <c r="GM248" s="978"/>
      <c r="GN248" s="978"/>
      <c r="GO248" s="978"/>
      <c r="GP248" s="978"/>
      <c r="GQ248" s="978"/>
      <c r="GR248" s="978"/>
      <c r="GS248" s="978"/>
      <c r="GT248" s="978"/>
      <c r="GU248" s="978"/>
      <c r="GV248" s="978"/>
      <c r="GW248" s="978"/>
      <c r="GX248" s="978"/>
      <c r="GY248" s="978"/>
      <c r="GZ248" s="978"/>
      <c r="HA248" s="978"/>
      <c r="HB248" s="978"/>
      <c r="HC248" s="978"/>
      <c r="HD248" s="978"/>
      <c r="HE248" s="978"/>
      <c r="HF248" s="978"/>
      <c r="HG248" s="978"/>
      <c r="HH248" s="978"/>
      <c r="HI248" s="978"/>
      <c r="HJ248" s="978"/>
      <c r="HK248" s="978"/>
      <c r="HL248" s="978"/>
      <c r="HM248" s="978"/>
      <c r="HN248" s="978"/>
      <c r="HO248" s="978"/>
      <c r="HP248" s="978"/>
      <c r="HQ248" s="978"/>
      <c r="HR248" s="978"/>
      <c r="HS248" s="978"/>
      <c r="HT248" s="978"/>
      <c r="HU248" s="978"/>
      <c r="HV248" s="978"/>
      <c r="HW248" s="978"/>
      <c r="HX248" s="978"/>
      <c r="HY248" s="978"/>
      <c r="HZ248" s="978"/>
      <c r="IA248" s="978"/>
      <c r="IB248" s="978"/>
      <c r="IC248" s="978"/>
      <c r="ID248" s="978"/>
      <c r="IE248" s="978"/>
      <c r="IF248" s="978"/>
      <c r="IG248" s="978"/>
      <c r="IH248" s="978"/>
      <c r="II248" s="978"/>
      <c r="IJ248" s="978"/>
      <c r="IK248" s="978"/>
      <c r="IL248" s="978"/>
      <c r="IM248" s="978"/>
      <c r="IN248" s="978"/>
      <c r="IO248" s="978"/>
      <c r="IP248" s="978"/>
      <c r="IQ248" s="978"/>
      <c r="IR248" s="978"/>
      <c r="IS248" s="978"/>
      <c r="IT248" s="978"/>
      <c r="IU248" s="978"/>
      <c r="IV248" s="978"/>
      <c r="IW248" s="978"/>
      <c r="IX248" s="978"/>
      <c r="IY248" s="978"/>
      <c r="IZ248" s="978"/>
      <c r="JA248" s="978"/>
      <c r="JB248" s="978"/>
      <c r="JC248" s="978"/>
      <c r="JD248" s="978"/>
      <c r="JE248" s="978"/>
      <c r="JF248" s="978"/>
      <c r="JG248" s="978"/>
      <c r="JH248" s="978"/>
      <c r="JI248" s="978"/>
      <c r="JJ248" s="978"/>
      <c r="JK248" s="978"/>
      <c r="JL248" s="978"/>
      <c r="JM248" s="978"/>
      <c r="JN248" s="978"/>
      <c r="JO248" s="978"/>
      <c r="JP248" s="978"/>
      <c r="JQ248" s="978"/>
      <c r="JR248" s="978"/>
      <c r="JS248" s="978"/>
      <c r="JT248" s="978"/>
      <c r="JU248" s="978"/>
      <c r="JV248" s="978"/>
      <c r="JW248" s="978"/>
      <c r="JX248" s="978"/>
      <c r="JY248" s="978"/>
      <c r="JZ248" s="978"/>
      <c r="KA248" s="978"/>
      <c r="KB248" s="978"/>
      <c r="KC248" s="978"/>
      <c r="KD248" s="978"/>
      <c r="KE248" s="978"/>
      <c r="KF248" s="978"/>
      <c r="KG248" s="978"/>
      <c r="KH248" s="978"/>
      <c r="KI248" s="978"/>
      <c r="KJ248" s="978"/>
      <c r="KK248" s="978"/>
      <c r="KL248" s="978"/>
      <c r="KM248" s="978"/>
      <c r="KN248" s="978"/>
      <c r="KO248" s="978"/>
      <c r="KP248" s="978"/>
      <c r="KQ248" s="978"/>
      <c r="KR248" s="978"/>
      <c r="KS248" s="978"/>
      <c r="KT248" s="978"/>
      <c r="KU248" s="978"/>
      <c r="KV248" s="978"/>
      <c r="KW248" s="978"/>
      <c r="KX248" s="978"/>
      <c r="KY248" s="978"/>
      <c r="KZ248" s="978"/>
      <c r="LA248" s="978"/>
      <c r="LB248" s="978"/>
      <c r="LC248" s="978"/>
      <c r="LD248" s="978"/>
      <c r="LE248" s="978"/>
      <c r="LF248" s="978"/>
      <c r="LG248" s="978"/>
      <c r="LH248" s="978"/>
      <c r="LI248" s="978"/>
      <c r="LJ248" s="978"/>
      <c r="LK248" s="978"/>
      <c r="LL248" s="978"/>
      <c r="LM248" s="978"/>
      <c r="LN248" s="978"/>
      <c r="LO248" s="978"/>
      <c r="LP248" s="978"/>
      <c r="LQ248" s="978"/>
      <c r="LR248" s="978"/>
      <c r="LS248" s="978"/>
      <c r="LT248" s="978"/>
      <c r="LU248" s="978"/>
      <c r="LV248" s="978"/>
      <c r="LW248" s="978"/>
      <c r="LX248" s="978"/>
      <c r="LY248" s="978"/>
      <c r="LZ248" s="978"/>
      <c r="MA248" s="978"/>
      <c r="MB248" s="978"/>
      <c r="MC248" s="978"/>
      <c r="MD248" s="978"/>
      <c r="ME248" s="978"/>
      <c r="MF248" s="978"/>
      <c r="MG248" s="978"/>
      <c r="MH248" s="978"/>
      <c r="MI248" s="978"/>
      <c r="MJ248" s="978"/>
      <c r="MK248" s="978"/>
      <c r="ML248" s="978"/>
      <c r="MM248" s="978"/>
      <c r="MN248" s="978"/>
      <c r="MO248" s="978"/>
      <c r="MP248" s="978"/>
      <c r="MQ248" s="978"/>
      <c r="MR248" s="978"/>
      <c r="MS248" s="978"/>
      <c r="MT248" s="978"/>
      <c r="MU248" s="978"/>
      <c r="MV248" s="978"/>
      <c r="MW248" s="978"/>
      <c r="MX248" s="978"/>
      <c r="MY248" s="978"/>
      <c r="MZ248" s="978"/>
      <c r="NA248" s="978"/>
      <c r="NB248" s="978"/>
      <c r="NC248" s="978"/>
      <c r="ND248" s="978"/>
      <c r="NE248" s="978"/>
      <c r="NF248" s="978"/>
      <c r="NG248" s="978"/>
      <c r="NH248" s="978"/>
      <c r="NI248" s="978"/>
      <c r="NJ248" s="978"/>
      <c r="NK248" s="978"/>
      <c r="NL248" s="978"/>
      <c r="NM248" s="978"/>
      <c r="NN248" s="978"/>
      <c r="NO248" s="978"/>
      <c r="NP248" s="978"/>
      <c r="NQ248" s="978"/>
      <c r="NR248" s="978"/>
      <c r="NS248" s="978"/>
      <c r="NT248" s="978"/>
      <c r="NU248" s="978"/>
      <c r="NV248" s="978"/>
      <c r="NW248" s="978"/>
      <c r="NX248" s="978"/>
      <c r="NY248" s="978"/>
      <c r="NZ248" s="978"/>
      <c r="OA248" s="978"/>
      <c r="OB248" s="978"/>
      <c r="OC248" s="978"/>
      <c r="OD248" s="978"/>
      <c r="OE248" s="978"/>
      <c r="OF248" s="978"/>
      <c r="OG248" s="978"/>
      <c r="OH248" s="978"/>
      <c r="OI248" s="978"/>
      <c r="OJ248" s="978"/>
      <c r="OK248" s="978"/>
      <c r="OL248" s="978"/>
      <c r="OM248" s="978"/>
      <c r="ON248" s="978"/>
      <c r="OO248" s="978"/>
      <c r="OP248" s="978"/>
      <c r="OQ248" s="978"/>
      <c r="OR248" s="978"/>
      <c r="OS248" s="978"/>
      <c r="OT248" s="978"/>
      <c r="OU248" s="978"/>
      <c r="OV248" s="978"/>
      <c r="OW248" s="978"/>
      <c r="OX248" s="978"/>
      <c r="OY248" s="978"/>
      <c r="OZ248" s="978"/>
      <c r="PA248" s="978"/>
      <c r="PB248" s="978"/>
      <c r="PC248" s="978"/>
      <c r="PD248" s="978"/>
      <c r="PE248" s="978"/>
      <c r="PF248" s="978"/>
      <c r="PG248" s="978"/>
      <c r="PH248" s="978"/>
      <c r="PI248" s="978"/>
      <c r="PJ248" s="978"/>
      <c r="PK248" s="978"/>
      <c r="PL248" s="978"/>
      <c r="PM248" s="978"/>
      <c r="PN248" s="978"/>
      <c r="PO248" s="978"/>
      <c r="PP248" s="978"/>
      <c r="PQ248" s="978"/>
      <c r="PR248" s="978"/>
      <c r="PS248" s="978"/>
      <c r="PT248" s="978"/>
      <c r="PU248" s="978"/>
      <c r="PV248" s="978"/>
      <c r="PW248" s="978"/>
      <c r="PX248" s="978"/>
      <c r="PY248" s="978"/>
      <c r="PZ248" s="978"/>
      <c r="QA248" s="978"/>
      <c r="QB248" s="978"/>
      <c r="QC248" s="978"/>
      <c r="QD248" s="978"/>
      <c r="QE248" s="978"/>
      <c r="QF248" s="978"/>
      <c r="QG248" s="978"/>
      <c r="QH248" s="978"/>
      <c r="QI248" s="978"/>
      <c r="QJ248" s="978"/>
      <c r="QK248" s="978"/>
      <c r="QL248" s="978"/>
      <c r="QM248" s="978"/>
      <c r="QN248" s="978"/>
      <c r="QO248" s="978"/>
      <c r="QP248" s="978"/>
      <c r="QQ248" s="978"/>
      <c r="QR248" s="978"/>
      <c r="QS248" s="978"/>
      <c r="QT248" s="978"/>
      <c r="QU248" s="978"/>
      <c r="QV248" s="978"/>
      <c r="QW248" s="978"/>
      <c r="QX248" s="978"/>
      <c r="QY248" s="978"/>
      <c r="QZ248" s="978"/>
      <c r="RA248" s="978"/>
      <c r="RB248" s="274"/>
      <c r="RC248" s="274"/>
    </row>
    <row r="249" spans="112:471" ht="17.25">
      <c r="DH249" s="274"/>
      <c r="DI249" s="274"/>
      <c r="DJ249" s="978"/>
      <c r="DK249" s="978"/>
      <c r="DL249" s="978"/>
      <c r="DM249" s="978"/>
      <c r="DN249" s="978"/>
      <c r="DO249" s="978"/>
      <c r="DP249" s="978"/>
      <c r="DQ249" s="978"/>
      <c r="DR249" s="978"/>
      <c r="DS249" s="978"/>
      <c r="DT249" s="978"/>
      <c r="DU249" s="978"/>
      <c r="DV249" s="978"/>
      <c r="DW249" s="978"/>
      <c r="DX249" s="978"/>
      <c r="DY249" s="978"/>
      <c r="DZ249" s="978"/>
      <c r="EA249" s="978"/>
      <c r="EB249" s="978"/>
      <c r="EC249" s="978"/>
      <c r="ED249" s="978"/>
      <c r="EE249" s="978"/>
      <c r="EF249" s="978"/>
      <c r="EG249" s="978"/>
      <c r="EH249" s="978"/>
      <c r="EI249" s="978"/>
      <c r="EJ249" s="978"/>
      <c r="EK249" s="978"/>
      <c r="EL249" s="978"/>
      <c r="EM249" s="978"/>
      <c r="EN249" s="978"/>
      <c r="EO249" s="978"/>
      <c r="EP249" s="978"/>
      <c r="EQ249" s="978"/>
      <c r="ER249" s="978"/>
      <c r="ES249" s="978"/>
      <c r="ET249" s="978"/>
      <c r="EU249" s="978"/>
      <c r="EV249" s="978"/>
      <c r="EW249" s="978"/>
      <c r="EX249" s="978"/>
      <c r="EY249" s="978"/>
      <c r="EZ249" s="978"/>
      <c r="FA249" s="978"/>
      <c r="FB249" s="978"/>
      <c r="FC249" s="978"/>
      <c r="FD249" s="978"/>
      <c r="FE249" s="978"/>
      <c r="FF249" s="978"/>
      <c r="FG249" s="978"/>
      <c r="FH249" s="978"/>
      <c r="FI249" s="978"/>
      <c r="FJ249" s="978"/>
      <c r="FK249" s="978"/>
      <c r="FL249" s="978"/>
      <c r="FM249" s="978"/>
      <c r="FN249" s="978"/>
      <c r="FO249" s="978"/>
      <c r="FP249" s="978"/>
      <c r="FQ249" s="978"/>
      <c r="FR249" s="978"/>
      <c r="FS249" s="978"/>
      <c r="FT249" s="978"/>
      <c r="FU249" s="978"/>
      <c r="FV249" s="978"/>
      <c r="FW249" s="978"/>
      <c r="FX249" s="978"/>
      <c r="FY249" s="978"/>
      <c r="FZ249" s="978"/>
      <c r="GA249" s="978"/>
      <c r="GB249" s="978"/>
      <c r="GC249" s="978"/>
      <c r="GD249" s="978"/>
      <c r="GE249" s="978"/>
      <c r="GF249" s="978"/>
      <c r="GG249" s="978"/>
      <c r="GH249" s="978"/>
      <c r="GI249" s="978"/>
      <c r="GJ249" s="978"/>
      <c r="GK249" s="978"/>
      <c r="GL249" s="978"/>
      <c r="GM249" s="978"/>
      <c r="GN249" s="978"/>
      <c r="GO249" s="978"/>
      <c r="GP249" s="978"/>
      <c r="GQ249" s="978"/>
      <c r="GR249" s="978"/>
      <c r="GS249" s="978"/>
      <c r="GT249" s="978"/>
      <c r="GU249" s="978"/>
      <c r="GV249" s="978"/>
      <c r="GW249" s="978"/>
      <c r="GX249" s="978"/>
      <c r="GY249" s="978"/>
      <c r="GZ249" s="978"/>
      <c r="HA249" s="978"/>
      <c r="HB249" s="978"/>
      <c r="HC249" s="978"/>
      <c r="HD249" s="978"/>
      <c r="HE249" s="978"/>
      <c r="HF249" s="978"/>
      <c r="HG249" s="978"/>
      <c r="HH249" s="978"/>
      <c r="HI249" s="978"/>
      <c r="HJ249" s="978"/>
      <c r="HK249" s="978"/>
      <c r="HL249" s="978"/>
      <c r="HM249" s="978"/>
      <c r="HN249" s="978"/>
      <c r="HO249" s="978"/>
      <c r="HP249" s="978"/>
      <c r="HQ249" s="978"/>
      <c r="HR249" s="978"/>
      <c r="HS249" s="978"/>
      <c r="HT249" s="978"/>
      <c r="HU249" s="978"/>
      <c r="HV249" s="978"/>
      <c r="HW249" s="978"/>
      <c r="HX249" s="978"/>
      <c r="HY249" s="978"/>
      <c r="HZ249" s="978"/>
      <c r="IA249" s="978"/>
      <c r="IB249" s="978"/>
      <c r="IC249" s="978"/>
      <c r="ID249" s="978"/>
      <c r="IE249" s="978"/>
      <c r="IF249" s="978"/>
      <c r="IG249" s="978"/>
      <c r="IH249" s="978"/>
      <c r="II249" s="978"/>
      <c r="IJ249" s="978"/>
      <c r="IK249" s="978"/>
      <c r="IL249" s="978"/>
      <c r="IM249" s="978"/>
      <c r="IN249" s="978"/>
      <c r="IO249" s="978"/>
      <c r="IP249" s="978"/>
      <c r="IQ249" s="978"/>
      <c r="IR249" s="978"/>
      <c r="IS249" s="978"/>
      <c r="IT249" s="978"/>
      <c r="IU249" s="978"/>
      <c r="IV249" s="978"/>
      <c r="IW249" s="978"/>
      <c r="IX249" s="978"/>
      <c r="IY249" s="978"/>
      <c r="IZ249" s="978"/>
      <c r="JA249" s="978"/>
      <c r="JB249" s="978"/>
      <c r="JC249" s="978"/>
      <c r="JD249" s="978"/>
      <c r="JE249" s="978"/>
      <c r="JF249" s="978"/>
      <c r="JG249" s="978"/>
      <c r="JH249" s="978"/>
      <c r="JI249" s="978"/>
      <c r="JJ249" s="978"/>
      <c r="JK249" s="978"/>
      <c r="JL249" s="978"/>
      <c r="JM249" s="978"/>
      <c r="JN249" s="978"/>
      <c r="JO249" s="978"/>
      <c r="JP249" s="978"/>
      <c r="JQ249" s="978"/>
      <c r="JR249" s="978"/>
      <c r="JS249" s="978"/>
      <c r="JT249" s="978"/>
      <c r="JU249" s="978"/>
      <c r="JV249" s="978"/>
      <c r="JW249" s="978"/>
      <c r="JX249" s="978"/>
      <c r="JY249" s="978"/>
      <c r="JZ249" s="978"/>
      <c r="KA249" s="978"/>
      <c r="KB249" s="978"/>
      <c r="KC249" s="978"/>
      <c r="KD249" s="978"/>
      <c r="KE249" s="978"/>
      <c r="KF249" s="978"/>
      <c r="KG249" s="978"/>
      <c r="KH249" s="978"/>
      <c r="KI249" s="978"/>
      <c r="KJ249" s="978"/>
      <c r="KK249" s="978"/>
      <c r="KL249" s="978"/>
      <c r="KM249" s="978"/>
      <c r="KN249" s="978"/>
      <c r="KO249" s="978"/>
      <c r="KP249" s="978"/>
      <c r="KQ249" s="978"/>
      <c r="KR249" s="978"/>
      <c r="KS249" s="978"/>
      <c r="KT249" s="978"/>
      <c r="KU249" s="978"/>
      <c r="KV249" s="978"/>
      <c r="KW249" s="978"/>
      <c r="KX249" s="978"/>
      <c r="KY249" s="978"/>
      <c r="KZ249" s="978"/>
      <c r="LA249" s="978"/>
      <c r="LB249" s="978"/>
      <c r="LC249" s="978"/>
      <c r="LD249" s="978"/>
      <c r="LE249" s="978"/>
      <c r="LF249" s="978"/>
      <c r="LG249" s="978"/>
      <c r="LH249" s="978"/>
      <c r="LI249" s="978"/>
      <c r="LJ249" s="978"/>
      <c r="LK249" s="978"/>
      <c r="LL249" s="978"/>
      <c r="LM249" s="978"/>
      <c r="LN249" s="978"/>
      <c r="LO249" s="978"/>
      <c r="LP249" s="978"/>
      <c r="LQ249" s="978"/>
      <c r="LR249" s="978"/>
      <c r="LS249" s="978"/>
      <c r="LT249" s="978"/>
      <c r="LU249" s="978"/>
      <c r="LV249" s="978"/>
      <c r="LW249" s="978"/>
      <c r="LX249" s="978"/>
      <c r="LY249" s="978"/>
      <c r="LZ249" s="978"/>
      <c r="MA249" s="978"/>
      <c r="MB249" s="978"/>
      <c r="MC249" s="978"/>
      <c r="MD249" s="978"/>
      <c r="ME249" s="978"/>
      <c r="MF249" s="978"/>
      <c r="MG249" s="978"/>
      <c r="MH249" s="978"/>
      <c r="MI249" s="978"/>
      <c r="MJ249" s="978"/>
      <c r="MK249" s="978"/>
      <c r="ML249" s="978"/>
      <c r="MM249" s="978"/>
      <c r="MN249" s="978"/>
      <c r="MO249" s="978"/>
      <c r="MP249" s="978"/>
      <c r="MQ249" s="978"/>
      <c r="MR249" s="978"/>
      <c r="MS249" s="978"/>
      <c r="MT249" s="978"/>
      <c r="MU249" s="978"/>
      <c r="MV249" s="978"/>
      <c r="MW249" s="978"/>
      <c r="MX249" s="978"/>
      <c r="MY249" s="978"/>
      <c r="MZ249" s="978"/>
      <c r="NA249" s="978"/>
      <c r="NB249" s="978"/>
      <c r="NC249" s="978"/>
      <c r="ND249" s="978"/>
      <c r="NE249" s="978"/>
      <c r="NF249" s="978"/>
      <c r="NG249" s="978"/>
      <c r="NH249" s="978"/>
      <c r="NI249" s="978"/>
      <c r="NJ249" s="978"/>
      <c r="NK249" s="978"/>
      <c r="NL249" s="978"/>
      <c r="NM249" s="978"/>
      <c r="NN249" s="978"/>
      <c r="NO249" s="978"/>
      <c r="NP249" s="978"/>
      <c r="NQ249" s="978"/>
      <c r="NR249" s="978"/>
      <c r="NS249" s="978"/>
      <c r="NT249" s="978"/>
      <c r="NU249" s="978"/>
      <c r="NV249" s="978"/>
      <c r="NW249" s="978"/>
      <c r="NX249" s="978"/>
      <c r="NY249" s="978"/>
      <c r="NZ249" s="978"/>
      <c r="OA249" s="978"/>
      <c r="OB249" s="978"/>
      <c r="OC249" s="978"/>
      <c r="OD249" s="978"/>
      <c r="OE249" s="978"/>
      <c r="OF249" s="978"/>
      <c r="OG249" s="978"/>
      <c r="OH249" s="978"/>
      <c r="OI249" s="978"/>
      <c r="OJ249" s="978"/>
      <c r="OK249" s="978"/>
      <c r="OL249" s="978"/>
      <c r="OM249" s="978"/>
      <c r="ON249" s="978"/>
      <c r="OO249" s="978"/>
      <c r="OP249" s="978"/>
      <c r="OQ249" s="978"/>
      <c r="OR249" s="978"/>
      <c r="OS249" s="978"/>
      <c r="OT249" s="978"/>
      <c r="OU249" s="978"/>
      <c r="OV249" s="978"/>
      <c r="OW249" s="978"/>
      <c r="OX249" s="978"/>
      <c r="OY249" s="978"/>
      <c r="OZ249" s="978"/>
      <c r="PA249" s="978"/>
      <c r="PB249" s="978"/>
      <c r="PC249" s="978"/>
      <c r="PD249" s="978"/>
      <c r="PE249" s="978"/>
      <c r="PF249" s="978"/>
      <c r="PG249" s="978"/>
      <c r="PH249" s="978"/>
      <c r="PI249" s="978"/>
      <c r="PJ249" s="978"/>
      <c r="PK249" s="978"/>
      <c r="PL249" s="978"/>
      <c r="PM249" s="978"/>
      <c r="PN249" s="978"/>
      <c r="PO249" s="978"/>
      <c r="PP249" s="978"/>
      <c r="PQ249" s="978"/>
      <c r="PR249" s="978"/>
      <c r="PS249" s="978"/>
      <c r="PT249" s="978"/>
      <c r="PU249" s="978"/>
      <c r="PV249" s="978"/>
      <c r="PW249" s="978"/>
      <c r="PX249" s="978"/>
      <c r="PY249" s="978"/>
      <c r="PZ249" s="978"/>
      <c r="QA249" s="978"/>
      <c r="QB249" s="978"/>
      <c r="QC249" s="978"/>
      <c r="QD249" s="978"/>
      <c r="QE249" s="978"/>
      <c r="QF249" s="978"/>
      <c r="QG249" s="978"/>
      <c r="QH249" s="978"/>
      <c r="QI249" s="978"/>
      <c r="QJ249" s="978"/>
      <c r="QK249" s="978"/>
      <c r="QL249" s="978"/>
      <c r="QM249" s="978"/>
      <c r="QN249" s="978"/>
      <c r="QO249" s="978"/>
      <c r="QP249" s="978"/>
      <c r="QQ249" s="978"/>
      <c r="QR249" s="978"/>
      <c r="QS249" s="978"/>
      <c r="QT249" s="978"/>
      <c r="QU249" s="978"/>
      <c r="QV249" s="978"/>
      <c r="QW249" s="978"/>
      <c r="QX249" s="978"/>
      <c r="QY249" s="978"/>
      <c r="QZ249" s="978"/>
      <c r="RA249" s="978"/>
      <c r="RB249" s="274"/>
      <c r="RC249" s="274"/>
    </row>
    <row r="250" spans="112:471" ht="17.25">
      <c r="DH250" s="274"/>
      <c r="DI250" s="274"/>
      <c r="DJ250" s="978"/>
      <c r="DK250" s="978"/>
      <c r="DL250" s="978"/>
      <c r="DM250" s="978"/>
      <c r="DN250" s="978"/>
      <c r="DO250" s="978"/>
      <c r="DP250" s="978"/>
      <c r="DQ250" s="978"/>
      <c r="DR250" s="978"/>
      <c r="DS250" s="978"/>
      <c r="DT250" s="978"/>
      <c r="DU250" s="978"/>
      <c r="DV250" s="978"/>
      <c r="DW250" s="978"/>
      <c r="DX250" s="978"/>
      <c r="DY250" s="978"/>
      <c r="DZ250" s="978"/>
      <c r="EA250" s="978"/>
      <c r="EB250" s="978"/>
      <c r="EC250" s="978"/>
      <c r="ED250" s="978"/>
      <c r="EE250" s="978"/>
      <c r="EF250" s="978"/>
      <c r="EG250" s="978"/>
      <c r="EH250" s="978"/>
      <c r="EI250" s="978"/>
      <c r="EJ250" s="978"/>
      <c r="EK250" s="978"/>
      <c r="EL250" s="978"/>
      <c r="EM250" s="978"/>
      <c r="EN250" s="978"/>
      <c r="EO250" s="978"/>
      <c r="EP250" s="978"/>
      <c r="EQ250" s="978"/>
      <c r="ER250" s="978"/>
      <c r="ES250" s="978"/>
      <c r="ET250" s="978"/>
      <c r="EU250" s="978"/>
      <c r="EV250" s="978"/>
      <c r="EW250" s="978"/>
      <c r="EX250" s="978"/>
      <c r="EY250" s="978"/>
      <c r="EZ250" s="978"/>
      <c r="FA250" s="978"/>
      <c r="FB250" s="978"/>
      <c r="FC250" s="978"/>
      <c r="FD250" s="978"/>
      <c r="FE250" s="978"/>
      <c r="FF250" s="978"/>
      <c r="FG250" s="978"/>
      <c r="FH250" s="978"/>
      <c r="FI250" s="978"/>
      <c r="FJ250" s="978"/>
      <c r="FK250" s="978"/>
      <c r="FL250" s="978"/>
      <c r="FM250" s="978"/>
      <c r="FN250" s="978"/>
      <c r="FO250" s="978"/>
      <c r="FP250" s="978"/>
      <c r="FQ250" s="978"/>
      <c r="FR250" s="978"/>
      <c r="FS250" s="978"/>
      <c r="FT250" s="978"/>
      <c r="FU250" s="978"/>
      <c r="FV250" s="978"/>
      <c r="FW250" s="978"/>
      <c r="FX250" s="978"/>
      <c r="FY250" s="978"/>
      <c r="FZ250" s="978"/>
      <c r="GA250" s="978"/>
      <c r="GB250" s="978"/>
      <c r="GC250" s="978"/>
      <c r="GD250" s="978"/>
      <c r="GE250" s="978"/>
      <c r="GF250" s="978"/>
      <c r="GG250" s="978"/>
      <c r="GH250" s="978"/>
      <c r="GI250" s="978"/>
      <c r="GJ250" s="978"/>
      <c r="GK250" s="978"/>
      <c r="GL250" s="978"/>
      <c r="GM250" s="978"/>
      <c r="GN250" s="978"/>
      <c r="GO250" s="978"/>
      <c r="GP250" s="978"/>
      <c r="GQ250" s="978"/>
      <c r="GR250" s="978"/>
      <c r="GS250" s="978"/>
      <c r="GT250" s="978"/>
      <c r="GU250" s="978"/>
      <c r="GV250" s="978"/>
      <c r="GW250" s="978"/>
      <c r="GX250" s="978"/>
      <c r="GY250" s="978"/>
      <c r="GZ250" s="978"/>
      <c r="HA250" s="978"/>
      <c r="HB250" s="978"/>
      <c r="HC250" s="978"/>
      <c r="HD250" s="978"/>
      <c r="HE250" s="978"/>
      <c r="HF250" s="978"/>
      <c r="HG250" s="978"/>
      <c r="HH250" s="978"/>
      <c r="HI250" s="978"/>
      <c r="HJ250" s="978"/>
      <c r="HK250" s="978"/>
      <c r="HL250" s="978"/>
      <c r="HM250" s="978"/>
      <c r="HN250" s="978"/>
      <c r="HO250" s="978"/>
      <c r="HP250" s="978"/>
      <c r="HQ250" s="978"/>
      <c r="HR250" s="978"/>
      <c r="HS250" s="978"/>
      <c r="HT250" s="978"/>
      <c r="HU250" s="978"/>
      <c r="HV250" s="978"/>
      <c r="HW250" s="978"/>
      <c r="HX250" s="978"/>
      <c r="HY250" s="978"/>
      <c r="HZ250" s="978"/>
      <c r="IA250" s="978"/>
      <c r="IB250" s="978"/>
      <c r="IC250" s="978"/>
      <c r="ID250" s="978"/>
      <c r="IE250" s="978"/>
      <c r="IF250" s="978"/>
      <c r="IG250" s="978"/>
      <c r="IH250" s="978"/>
      <c r="II250" s="978"/>
      <c r="IJ250" s="978"/>
      <c r="IK250" s="978"/>
      <c r="IL250" s="978"/>
      <c r="IM250" s="978"/>
      <c r="IN250" s="978"/>
      <c r="IO250" s="978"/>
      <c r="IP250" s="978"/>
      <c r="IQ250" s="978"/>
      <c r="IR250" s="978"/>
      <c r="IS250" s="978"/>
      <c r="IT250" s="978"/>
      <c r="IU250" s="978"/>
      <c r="IV250" s="978"/>
      <c r="IW250" s="978"/>
      <c r="IX250" s="978"/>
      <c r="IY250" s="978"/>
      <c r="IZ250" s="978"/>
      <c r="JA250" s="978"/>
      <c r="JB250" s="978"/>
      <c r="JC250" s="978"/>
      <c r="JD250" s="978"/>
      <c r="JE250" s="978"/>
      <c r="JF250" s="978"/>
      <c r="JG250" s="978"/>
      <c r="JH250" s="978"/>
      <c r="JI250" s="978"/>
      <c r="JJ250" s="978"/>
      <c r="JK250" s="978"/>
      <c r="JL250" s="978"/>
      <c r="JM250" s="978"/>
      <c r="JN250" s="978"/>
      <c r="JO250" s="978"/>
      <c r="JP250" s="978"/>
      <c r="JQ250" s="978"/>
      <c r="JR250" s="978"/>
      <c r="JS250" s="978"/>
      <c r="JT250" s="978"/>
      <c r="JU250" s="978"/>
      <c r="JV250" s="978"/>
      <c r="JW250" s="978"/>
      <c r="JX250" s="978"/>
      <c r="JY250" s="978"/>
      <c r="JZ250" s="978"/>
      <c r="KA250" s="978"/>
      <c r="KB250" s="978"/>
      <c r="KC250" s="978"/>
      <c r="KD250" s="978"/>
      <c r="KE250" s="978"/>
      <c r="KF250" s="978"/>
      <c r="KG250" s="978"/>
      <c r="KH250" s="978"/>
      <c r="KI250" s="978"/>
      <c r="KJ250" s="978"/>
      <c r="KK250" s="978"/>
      <c r="KL250" s="978"/>
      <c r="KM250" s="978"/>
      <c r="KN250" s="978"/>
      <c r="KO250" s="978"/>
      <c r="KP250" s="978"/>
      <c r="KQ250" s="978"/>
      <c r="KR250" s="978"/>
      <c r="KS250" s="978"/>
      <c r="KT250" s="978"/>
      <c r="KU250" s="978"/>
      <c r="KV250" s="978"/>
      <c r="KW250" s="978"/>
      <c r="KX250" s="978"/>
      <c r="KY250" s="978"/>
      <c r="KZ250" s="978"/>
      <c r="LA250" s="978"/>
      <c r="LB250" s="978"/>
      <c r="LC250" s="978"/>
      <c r="LD250" s="978"/>
      <c r="LE250" s="978"/>
      <c r="LF250" s="978"/>
      <c r="LG250" s="978"/>
      <c r="LH250" s="978"/>
      <c r="LI250" s="978"/>
      <c r="LJ250" s="978"/>
      <c r="LK250" s="978"/>
      <c r="LL250" s="978"/>
      <c r="LM250" s="978"/>
      <c r="LN250" s="978"/>
      <c r="LO250" s="978"/>
      <c r="LP250" s="978"/>
      <c r="LQ250" s="978"/>
      <c r="LR250" s="978"/>
      <c r="LS250" s="978"/>
      <c r="LT250" s="978"/>
      <c r="LU250" s="978"/>
      <c r="LV250" s="978"/>
      <c r="LW250" s="978"/>
      <c r="LX250" s="978"/>
      <c r="LY250" s="978"/>
      <c r="LZ250" s="978"/>
      <c r="MA250" s="978"/>
      <c r="MB250" s="978"/>
      <c r="MC250" s="978"/>
      <c r="MD250" s="978"/>
      <c r="ME250" s="978"/>
      <c r="MF250" s="978"/>
      <c r="MG250" s="978"/>
      <c r="MH250" s="978"/>
      <c r="MI250" s="978"/>
      <c r="MJ250" s="978"/>
      <c r="MK250" s="978"/>
      <c r="ML250" s="978"/>
      <c r="MM250" s="978"/>
      <c r="MN250" s="978"/>
      <c r="MO250" s="978"/>
      <c r="MP250" s="978"/>
      <c r="MQ250" s="978"/>
      <c r="MR250" s="978"/>
      <c r="MS250" s="978"/>
      <c r="MT250" s="978"/>
      <c r="MU250" s="978"/>
      <c r="MV250" s="978"/>
      <c r="MW250" s="978"/>
      <c r="MX250" s="978"/>
      <c r="MY250" s="978"/>
      <c r="MZ250" s="978"/>
      <c r="NA250" s="978"/>
      <c r="NB250" s="978"/>
      <c r="NC250" s="978"/>
      <c r="ND250" s="978"/>
      <c r="NE250" s="978"/>
      <c r="NF250" s="978"/>
      <c r="NG250" s="978"/>
      <c r="NH250" s="978"/>
      <c r="NI250" s="978"/>
      <c r="NJ250" s="978"/>
      <c r="NK250" s="978"/>
      <c r="NL250" s="978"/>
      <c r="NM250" s="978"/>
      <c r="NN250" s="978"/>
      <c r="NO250" s="978"/>
      <c r="NP250" s="978"/>
      <c r="NQ250" s="978"/>
      <c r="NR250" s="978"/>
      <c r="NS250" s="978"/>
      <c r="NT250" s="978"/>
      <c r="NU250" s="978"/>
      <c r="NV250" s="978"/>
      <c r="NW250" s="978"/>
      <c r="NX250" s="978"/>
      <c r="NY250" s="978"/>
      <c r="NZ250" s="978"/>
      <c r="OA250" s="978"/>
      <c r="OB250" s="978"/>
      <c r="OC250" s="978"/>
      <c r="OD250" s="978"/>
      <c r="OE250" s="978"/>
      <c r="OF250" s="978"/>
      <c r="OG250" s="978"/>
      <c r="OH250" s="978"/>
      <c r="OI250" s="978"/>
      <c r="OJ250" s="978"/>
      <c r="OK250" s="978"/>
      <c r="OL250" s="978"/>
      <c r="OM250" s="978"/>
      <c r="ON250" s="978"/>
      <c r="OO250" s="978"/>
      <c r="OP250" s="978"/>
      <c r="OQ250" s="978"/>
      <c r="OR250" s="978"/>
      <c r="OS250" s="978"/>
      <c r="OT250" s="978"/>
      <c r="OU250" s="978"/>
      <c r="OV250" s="978"/>
      <c r="OW250" s="978"/>
      <c r="OX250" s="978"/>
      <c r="OY250" s="978"/>
      <c r="OZ250" s="978"/>
      <c r="PA250" s="978"/>
      <c r="PB250" s="978"/>
      <c r="PC250" s="978"/>
      <c r="PD250" s="978"/>
      <c r="PE250" s="978"/>
      <c r="PF250" s="978"/>
      <c r="PG250" s="978"/>
      <c r="PH250" s="978"/>
      <c r="PI250" s="978"/>
      <c r="PJ250" s="978"/>
      <c r="PK250" s="978"/>
      <c r="PL250" s="978"/>
      <c r="PM250" s="978"/>
      <c r="PN250" s="978"/>
      <c r="PO250" s="978"/>
      <c r="PP250" s="978"/>
      <c r="PQ250" s="978"/>
      <c r="PR250" s="978"/>
      <c r="PS250" s="978"/>
      <c r="PT250" s="978"/>
      <c r="PU250" s="978"/>
      <c r="PV250" s="978"/>
      <c r="PW250" s="978"/>
      <c r="PX250" s="978"/>
      <c r="PY250" s="978"/>
      <c r="PZ250" s="978"/>
      <c r="QA250" s="978"/>
      <c r="QB250" s="978"/>
      <c r="QC250" s="978"/>
      <c r="QD250" s="978"/>
      <c r="QE250" s="978"/>
      <c r="QF250" s="978"/>
      <c r="QG250" s="978"/>
      <c r="QH250" s="978"/>
      <c r="QI250" s="978"/>
      <c r="QJ250" s="978"/>
      <c r="QK250" s="978"/>
      <c r="QL250" s="978"/>
      <c r="QM250" s="978"/>
      <c r="QN250" s="978"/>
      <c r="QO250" s="978"/>
      <c r="QP250" s="978"/>
      <c r="QQ250" s="978"/>
      <c r="QR250" s="978"/>
      <c r="QS250" s="978"/>
      <c r="QT250" s="978"/>
      <c r="QU250" s="978"/>
      <c r="QV250" s="978"/>
      <c r="QW250" s="978"/>
      <c r="QX250" s="978"/>
      <c r="QY250" s="978"/>
      <c r="QZ250" s="978"/>
      <c r="RA250" s="978"/>
      <c r="RB250" s="274"/>
      <c r="RC250" s="274"/>
    </row>
    <row r="251" spans="112:471" ht="17.25">
      <c r="DH251" s="274"/>
      <c r="DI251" s="274"/>
      <c r="DJ251" s="978"/>
      <c r="DK251" s="978"/>
      <c r="DL251" s="978"/>
      <c r="DM251" s="978"/>
      <c r="DN251" s="978"/>
      <c r="DO251" s="978"/>
      <c r="DP251" s="978"/>
      <c r="DQ251" s="978"/>
      <c r="DR251" s="978"/>
      <c r="DS251" s="978"/>
      <c r="DT251" s="978"/>
      <c r="DU251" s="978"/>
      <c r="DV251" s="978"/>
      <c r="DW251" s="978"/>
      <c r="DX251" s="978"/>
      <c r="DY251" s="978"/>
      <c r="DZ251" s="978"/>
      <c r="EA251" s="978"/>
      <c r="EB251" s="978"/>
      <c r="EC251" s="978"/>
      <c r="ED251" s="978"/>
      <c r="EE251" s="978"/>
      <c r="EF251" s="978"/>
      <c r="EG251" s="978"/>
      <c r="EH251" s="978"/>
      <c r="EI251" s="978"/>
      <c r="EJ251" s="978"/>
      <c r="EK251" s="978"/>
      <c r="EL251" s="978"/>
      <c r="EM251" s="978"/>
      <c r="EN251" s="978"/>
      <c r="EO251" s="978"/>
      <c r="EP251" s="978"/>
      <c r="EQ251" s="978"/>
      <c r="ER251" s="978"/>
      <c r="ES251" s="978"/>
      <c r="ET251" s="978"/>
      <c r="EU251" s="978"/>
      <c r="EV251" s="978"/>
      <c r="EW251" s="978"/>
      <c r="EX251" s="978"/>
      <c r="EY251" s="978"/>
      <c r="EZ251" s="978"/>
      <c r="FA251" s="978"/>
      <c r="FB251" s="978"/>
      <c r="FC251" s="978"/>
      <c r="FD251" s="978"/>
      <c r="FE251" s="978"/>
      <c r="FF251" s="978"/>
      <c r="FG251" s="978"/>
      <c r="FH251" s="978"/>
      <c r="FI251" s="978"/>
      <c r="FJ251" s="978"/>
      <c r="FK251" s="978"/>
      <c r="FL251" s="978"/>
      <c r="FM251" s="978"/>
      <c r="FN251" s="978"/>
      <c r="FO251" s="978"/>
      <c r="FP251" s="978"/>
      <c r="FQ251" s="978"/>
      <c r="FR251" s="978"/>
      <c r="FS251" s="978"/>
      <c r="FT251" s="978"/>
      <c r="FU251" s="978"/>
      <c r="FV251" s="978"/>
      <c r="FW251" s="978"/>
      <c r="FX251" s="978"/>
      <c r="FY251" s="978"/>
      <c r="FZ251" s="978"/>
      <c r="GA251" s="978"/>
      <c r="GB251" s="978"/>
      <c r="GC251" s="978"/>
      <c r="GD251" s="978"/>
      <c r="GE251" s="978"/>
      <c r="GF251" s="978"/>
      <c r="GG251" s="978"/>
      <c r="GH251" s="978"/>
      <c r="GI251" s="978"/>
      <c r="GJ251" s="978"/>
      <c r="GK251" s="978"/>
      <c r="GL251" s="978"/>
      <c r="GM251" s="978"/>
      <c r="GN251" s="978"/>
      <c r="GO251" s="978"/>
      <c r="GP251" s="978"/>
      <c r="GQ251" s="978"/>
      <c r="GR251" s="978"/>
      <c r="GS251" s="978"/>
      <c r="GT251" s="978"/>
      <c r="GU251" s="978"/>
      <c r="GV251" s="978"/>
      <c r="GW251" s="978"/>
      <c r="GX251" s="978"/>
      <c r="GY251" s="978"/>
      <c r="GZ251" s="978"/>
      <c r="HA251" s="978"/>
      <c r="HB251" s="978"/>
      <c r="HC251" s="978"/>
      <c r="HD251" s="978"/>
      <c r="HE251" s="978"/>
      <c r="HF251" s="978"/>
      <c r="HG251" s="978"/>
      <c r="HH251" s="978"/>
      <c r="HI251" s="978"/>
      <c r="HJ251" s="978"/>
      <c r="HK251" s="978"/>
      <c r="HL251" s="978"/>
      <c r="HM251" s="978"/>
      <c r="HN251" s="978"/>
      <c r="HO251" s="978"/>
      <c r="HP251" s="978"/>
      <c r="HQ251" s="978"/>
      <c r="HR251" s="978"/>
      <c r="HS251" s="978"/>
      <c r="HT251" s="978"/>
      <c r="HU251" s="978"/>
      <c r="HV251" s="978"/>
      <c r="HW251" s="978"/>
      <c r="HX251" s="978"/>
      <c r="HY251" s="978"/>
      <c r="HZ251" s="978"/>
      <c r="IA251" s="978"/>
      <c r="IB251" s="978"/>
      <c r="IC251" s="978"/>
      <c r="ID251" s="978"/>
      <c r="IE251" s="978"/>
      <c r="IF251" s="978"/>
      <c r="IG251" s="978"/>
      <c r="IH251" s="978"/>
      <c r="II251" s="978"/>
      <c r="IJ251" s="978"/>
      <c r="IK251" s="978"/>
      <c r="IL251" s="978"/>
      <c r="IM251" s="978"/>
      <c r="IN251" s="978"/>
      <c r="IO251" s="978"/>
      <c r="IP251" s="978"/>
      <c r="IQ251" s="978"/>
      <c r="IR251" s="978"/>
      <c r="IS251" s="978"/>
      <c r="IT251" s="978"/>
      <c r="IU251" s="978"/>
      <c r="IV251" s="978"/>
      <c r="IW251" s="978"/>
      <c r="IX251" s="978"/>
      <c r="IY251" s="978"/>
      <c r="IZ251" s="978"/>
      <c r="JA251" s="978"/>
      <c r="JB251" s="978"/>
      <c r="JC251" s="978"/>
      <c r="JD251" s="978"/>
      <c r="JE251" s="978"/>
      <c r="JF251" s="978"/>
      <c r="JG251" s="978"/>
      <c r="JH251" s="978"/>
      <c r="JI251" s="978"/>
      <c r="JJ251" s="978"/>
      <c r="JK251" s="978"/>
      <c r="JL251" s="978"/>
      <c r="JM251" s="978"/>
      <c r="JN251" s="978"/>
      <c r="JO251" s="978"/>
      <c r="JP251" s="978"/>
      <c r="JQ251" s="978"/>
      <c r="JR251" s="978"/>
      <c r="JS251" s="978"/>
      <c r="JT251" s="978"/>
      <c r="JU251" s="978"/>
      <c r="JV251" s="978"/>
      <c r="JW251" s="978"/>
      <c r="JX251" s="978"/>
      <c r="JY251" s="978"/>
      <c r="JZ251" s="978"/>
      <c r="KA251" s="978"/>
      <c r="KB251" s="978"/>
      <c r="KC251" s="978"/>
      <c r="KD251" s="978"/>
      <c r="KE251" s="978"/>
      <c r="KF251" s="978"/>
      <c r="KG251" s="978"/>
      <c r="KH251" s="978"/>
      <c r="KI251" s="978"/>
      <c r="KJ251" s="978"/>
      <c r="KK251" s="978"/>
      <c r="KL251" s="978"/>
      <c r="KM251" s="978"/>
      <c r="KN251" s="978"/>
      <c r="KO251" s="978"/>
      <c r="KP251" s="978"/>
      <c r="KQ251" s="978"/>
      <c r="KR251" s="978"/>
      <c r="KS251" s="978"/>
      <c r="KT251" s="978"/>
      <c r="KU251" s="978"/>
      <c r="KV251" s="978"/>
      <c r="KW251" s="978"/>
      <c r="KX251" s="978"/>
      <c r="KY251" s="978"/>
      <c r="KZ251" s="978"/>
      <c r="LA251" s="978"/>
      <c r="LB251" s="978"/>
      <c r="LC251" s="978"/>
      <c r="LD251" s="978"/>
      <c r="LE251" s="978"/>
      <c r="LF251" s="978"/>
      <c r="LG251" s="978"/>
      <c r="LH251" s="978"/>
      <c r="LI251" s="978"/>
      <c r="LJ251" s="978"/>
      <c r="LK251" s="978"/>
      <c r="LL251" s="978"/>
      <c r="LM251" s="978"/>
      <c r="LN251" s="978"/>
      <c r="LO251" s="978"/>
      <c r="LP251" s="978"/>
      <c r="LQ251" s="978"/>
      <c r="LR251" s="978"/>
      <c r="LS251" s="978"/>
      <c r="LT251" s="978"/>
      <c r="LU251" s="978"/>
      <c r="LV251" s="978"/>
      <c r="LW251" s="978"/>
      <c r="LX251" s="978"/>
      <c r="LY251" s="978"/>
      <c r="LZ251" s="978"/>
      <c r="MA251" s="978"/>
      <c r="MB251" s="978"/>
      <c r="MC251" s="978"/>
      <c r="MD251" s="978"/>
      <c r="ME251" s="978"/>
      <c r="MF251" s="978"/>
      <c r="MG251" s="978"/>
      <c r="MH251" s="978"/>
      <c r="MI251" s="978"/>
      <c r="MJ251" s="978"/>
      <c r="MK251" s="978"/>
      <c r="ML251" s="978"/>
      <c r="MM251" s="978"/>
      <c r="MN251" s="978"/>
      <c r="MO251" s="978"/>
      <c r="MP251" s="978"/>
      <c r="MQ251" s="978"/>
      <c r="MR251" s="978"/>
      <c r="MS251" s="978"/>
      <c r="MT251" s="978"/>
      <c r="MU251" s="978"/>
      <c r="MV251" s="978"/>
      <c r="MW251" s="978"/>
      <c r="MX251" s="978"/>
      <c r="MY251" s="978"/>
      <c r="MZ251" s="978"/>
      <c r="NA251" s="978"/>
      <c r="NB251" s="978"/>
      <c r="NC251" s="978"/>
      <c r="ND251" s="978"/>
      <c r="NE251" s="978"/>
      <c r="NF251" s="978"/>
      <c r="NG251" s="978"/>
      <c r="NH251" s="978"/>
      <c r="NI251" s="978"/>
      <c r="NJ251" s="978"/>
      <c r="NK251" s="978"/>
      <c r="NL251" s="978"/>
      <c r="NM251" s="978"/>
      <c r="NN251" s="978"/>
      <c r="NO251" s="978"/>
      <c r="NP251" s="978"/>
      <c r="NQ251" s="978"/>
      <c r="NR251" s="978"/>
      <c r="NS251" s="978"/>
      <c r="NT251" s="978"/>
      <c r="NU251" s="978"/>
      <c r="NV251" s="978"/>
      <c r="NW251" s="978"/>
      <c r="NX251" s="978"/>
      <c r="NY251" s="978"/>
      <c r="NZ251" s="978"/>
      <c r="OA251" s="978"/>
      <c r="OB251" s="978"/>
      <c r="OC251" s="978"/>
      <c r="OD251" s="978"/>
      <c r="OE251" s="978"/>
      <c r="OF251" s="978"/>
      <c r="OG251" s="978"/>
      <c r="OH251" s="978"/>
      <c r="OI251" s="978"/>
      <c r="OJ251" s="978"/>
      <c r="OK251" s="978"/>
      <c r="OL251" s="978"/>
      <c r="OM251" s="978"/>
      <c r="ON251" s="978"/>
      <c r="OO251" s="978"/>
      <c r="OP251" s="978"/>
      <c r="OQ251" s="978"/>
      <c r="OR251" s="978"/>
      <c r="OS251" s="978"/>
      <c r="OT251" s="978"/>
      <c r="OU251" s="978"/>
      <c r="OV251" s="978"/>
      <c r="OW251" s="978"/>
      <c r="OX251" s="978"/>
      <c r="OY251" s="978"/>
      <c r="OZ251" s="978"/>
      <c r="PA251" s="978"/>
      <c r="PB251" s="978"/>
      <c r="PC251" s="978"/>
      <c r="PD251" s="978"/>
      <c r="PE251" s="978"/>
      <c r="PF251" s="978"/>
      <c r="PG251" s="978"/>
      <c r="PH251" s="978"/>
      <c r="PI251" s="978"/>
      <c r="PJ251" s="978"/>
      <c r="PK251" s="978"/>
      <c r="PL251" s="978"/>
      <c r="PM251" s="978"/>
      <c r="PN251" s="978"/>
      <c r="PO251" s="978"/>
      <c r="PP251" s="978"/>
      <c r="PQ251" s="978"/>
      <c r="PR251" s="978"/>
      <c r="PS251" s="978"/>
      <c r="PT251" s="978"/>
      <c r="PU251" s="978"/>
      <c r="PV251" s="978"/>
      <c r="PW251" s="978"/>
      <c r="PX251" s="978"/>
      <c r="PY251" s="978"/>
      <c r="PZ251" s="978"/>
      <c r="QA251" s="978"/>
      <c r="QB251" s="978"/>
      <c r="QC251" s="978"/>
      <c r="QD251" s="978"/>
      <c r="QE251" s="978"/>
      <c r="QF251" s="978"/>
      <c r="QG251" s="978"/>
      <c r="QH251" s="978"/>
      <c r="QI251" s="978"/>
      <c r="QJ251" s="978"/>
      <c r="QK251" s="978"/>
      <c r="QL251" s="978"/>
      <c r="QM251" s="978"/>
      <c r="QN251" s="978"/>
      <c r="QO251" s="978"/>
      <c r="QP251" s="978"/>
      <c r="QQ251" s="978"/>
      <c r="QR251" s="978"/>
      <c r="QS251" s="978"/>
      <c r="QT251" s="978"/>
      <c r="QU251" s="978"/>
      <c r="QV251" s="978"/>
      <c r="QW251" s="978"/>
      <c r="QX251" s="978"/>
      <c r="QY251" s="978"/>
      <c r="QZ251" s="978"/>
      <c r="RA251" s="978"/>
      <c r="RB251" s="274"/>
      <c r="RC251" s="274"/>
    </row>
    <row r="252" spans="112:471">
      <c r="DH252" s="274"/>
      <c r="DI252" s="274"/>
      <c r="DJ252" s="274"/>
      <c r="DK252" s="274"/>
      <c r="DL252" s="274"/>
      <c r="DM252" s="274"/>
      <c r="DN252" s="274"/>
      <c r="DO252" s="274"/>
      <c r="DP252" s="274"/>
      <c r="DQ252" s="274"/>
      <c r="DR252" s="274"/>
      <c r="DS252" s="274"/>
      <c r="DT252" s="274"/>
      <c r="DU252" s="274"/>
      <c r="DV252" s="274"/>
      <c r="DW252" s="274"/>
      <c r="DX252" s="274"/>
      <c r="DY252" s="274"/>
      <c r="DZ252" s="274"/>
      <c r="EA252" s="274"/>
      <c r="EB252" s="274"/>
      <c r="EC252" s="274"/>
      <c r="ED252" s="274"/>
      <c r="EE252" s="274"/>
      <c r="EF252" s="274"/>
      <c r="EG252" s="274"/>
      <c r="EH252" s="274"/>
      <c r="EI252" s="274"/>
      <c r="EJ252" s="274"/>
      <c r="EK252" s="274"/>
      <c r="EL252" s="274"/>
      <c r="EM252" s="274"/>
      <c r="EN252" s="274"/>
      <c r="EO252" s="274"/>
      <c r="EP252" s="274"/>
      <c r="EQ252" s="274"/>
      <c r="ER252" s="274"/>
      <c r="ES252" s="274"/>
      <c r="ET252" s="274"/>
      <c r="EU252" s="274"/>
      <c r="EV252" s="274"/>
      <c r="EW252" s="274"/>
      <c r="EX252" s="274"/>
      <c r="EY252" s="274"/>
      <c r="EZ252" s="274"/>
      <c r="FA252" s="274"/>
      <c r="FB252" s="274"/>
      <c r="FC252" s="274"/>
      <c r="FD252" s="274"/>
      <c r="FE252" s="274"/>
      <c r="FF252" s="274"/>
      <c r="FG252" s="274"/>
      <c r="FH252" s="274"/>
      <c r="FI252" s="274"/>
      <c r="FJ252" s="274"/>
      <c r="FK252" s="274"/>
      <c r="FL252" s="274"/>
      <c r="FM252" s="274"/>
      <c r="FN252" s="274"/>
      <c r="FO252" s="274"/>
      <c r="FP252" s="274"/>
      <c r="FQ252" s="274"/>
      <c r="FR252" s="274"/>
      <c r="FS252" s="274"/>
      <c r="FT252" s="274"/>
      <c r="FU252" s="274"/>
      <c r="FV252" s="274"/>
      <c r="FW252" s="274"/>
      <c r="FX252" s="274"/>
      <c r="FY252" s="274"/>
      <c r="FZ252" s="274"/>
      <c r="GA252" s="274"/>
      <c r="GB252" s="274"/>
      <c r="GC252" s="274"/>
      <c r="GD252" s="274"/>
      <c r="GE252" s="274"/>
      <c r="GF252" s="274"/>
      <c r="GG252" s="274"/>
      <c r="GH252" s="274"/>
      <c r="GI252" s="274"/>
      <c r="GJ252" s="274"/>
      <c r="GK252" s="274"/>
      <c r="GL252" s="274"/>
      <c r="GM252" s="274"/>
      <c r="GN252" s="274"/>
      <c r="GO252" s="274"/>
      <c r="GP252" s="274"/>
      <c r="GQ252" s="274"/>
      <c r="GR252" s="274"/>
      <c r="GS252" s="274"/>
      <c r="GT252" s="274"/>
      <c r="GU252" s="274"/>
      <c r="GV252" s="274"/>
      <c r="GW252" s="274"/>
      <c r="GX252" s="274"/>
      <c r="GY252" s="274"/>
      <c r="GZ252" s="274"/>
      <c r="HA252" s="274"/>
      <c r="HB252" s="274"/>
      <c r="HC252" s="274"/>
      <c r="HD252" s="274"/>
      <c r="HE252" s="274"/>
      <c r="HF252" s="274"/>
      <c r="HG252" s="274"/>
      <c r="HH252" s="274"/>
      <c r="HI252" s="274"/>
      <c r="HJ252" s="274"/>
      <c r="HK252" s="274"/>
      <c r="HL252" s="274"/>
      <c r="HM252" s="274"/>
      <c r="HN252" s="274"/>
      <c r="HO252" s="274"/>
      <c r="HP252" s="274"/>
      <c r="HQ252" s="274"/>
      <c r="HR252" s="274"/>
      <c r="HS252" s="274"/>
      <c r="HT252" s="274"/>
      <c r="HU252" s="274"/>
      <c r="HV252" s="274"/>
      <c r="HW252" s="274"/>
      <c r="HX252" s="274"/>
      <c r="HY252" s="274"/>
      <c r="HZ252" s="274"/>
      <c r="IA252" s="274"/>
      <c r="IB252" s="274"/>
      <c r="IC252" s="274"/>
      <c r="ID252" s="274"/>
      <c r="IE252" s="274"/>
      <c r="IF252" s="274"/>
      <c r="IG252" s="274"/>
      <c r="IH252" s="274"/>
      <c r="II252" s="274"/>
      <c r="IJ252" s="274"/>
      <c r="IK252" s="274"/>
      <c r="IL252" s="274"/>
      <c r="IM252" s="274"/>
      <c r="IN252" s="274"/>
      <c r="IO252" s="274"/>
      <c r="IP252" s="274"/>
      <c r="IQ252" s="274"/>
      <c r="IR252" s="274"/>
      <c r="IS252" s="274"/>
      <c r="IT252" s="274"/>
      <c r="IU252" s="274"/>
      <c r="IV252" s="274"/>
      <c r="IW252" s="274"/>
      <c r="IX252" s="274"/>
      <c r="IY252" s="274"/>
      <c r="IZ252" s="274"/>
      <c r="JA252" s="274"/>
      <c r="JB252" s="274"/>
      <c r="JC252" s="274"/>
      <c r="JD252" s="274"/>
      <c r="JE252" s="274"/>
      <c r="JF252" s="274"/>
      <c r="JG252" s="274"/>
      <c r="JH252" s="274"/>
      <c r="JI252" s="274"/>
      <c r="JJ252" s="274"/>
      <c r="JK252" s="274"/>
      <c r="JL252" s="274"/>
      <c r="JM252" s="274"/>
      <c r="JN252" s="274"/>
      <c r="JO252" s="274"/>
      <c r="JP252" s="274"/>
      <c r="JQ252" s="274"/>
      <c r="JR252" s="274"/>
      <c r="JS252" s="274"/>
      <c r="JT252" s="274"/>
      <c r="JU252" s="274"/>
      <c r="JV252" s="274"/>
      <c r="JW252" s="274"/>
      <c r="JX252" s="274"/>
      <c r="JY252" s="274"/>
      <c r="JZ252" s="274"/>
      <c r="KA252" s="274"/>
      <c r="KB252" s="274"/>
      <c r="KC252" s="274"/>
      <c r="KD252" s="274"/>
      <c r="KE252" s="274"/>
      <c r="KF252" s="274"/>
      <c r="KG252" s="274"/>
      <c r="KH252" s="274"/>
      <c r="KI252" s="274"/>
      <c r="KJ252" s="274"/>
      <c r="KK252" s="274"/>
      <c r="KL252" s="274"/>
      <c r="KM252" s="274"/>
      <c r="KN252" s="274"/>
      <c r="KO252" s="274"/>
      <c r="KP252" s="274"/>
      <c r="KQ252" s="274"/>
      <c r="KR252" s="274"/>
      <c r="KS252" s="274"/>
      <c r="KT252" s="274"/>
      <c r="KU252" s="274"/>
      <c r="KV252" s="274"/>
      <c r="KW252" s="274"/>
      <c r="KX252" s="274"/>
      <c r="KY252" s="274"/>
      <c r="KZ252" s="274"/>
      <c r="LA252" s="274"/>
      <c r="LB252" s="274"/>
      <c r="LC252" s="274"/>
      <c r="LD252" s="274"/>
      <c r="LE252" s="274"/>
      <c r="LF252" s="274"/>
      <c r="LG252" s="274"/>
      <c r="LH252" s="274"/>
      <c r="LI252" s="274"/>
      <c r="LJ252" s="274"/>
      <c r="LK252" s="274"/>
      <c r="LL252" s="274"/>
      <c r="LM252" s="274"/>
      <c r="LN252" s="274"/>
      <c r="LO252" s="274"/>
      <c r="LP252" s="274"/>
      <c r="LQ252" s="274"/>
      <c r="LR252" s="274"/>
      <c r="LS252" s="274"/>
      <c r="LT252" s="274"/>
      <c r="LU252" s="274"/>
      <c r="LV252" s="274"/>
      <c r="LW252" s="274"/>
      <c r="LX252" s="274"/>
      <c r="LY252" s="274"/>
      <c r="LZ252" s="274"/>
      <c r="MA252" s="274"/>
      <c r="MB252" s="274"/>
      <c r="MC252" s="274"/>
      <c r="MD252" s="274"/>
      <c r="ME252" s="274"/>
      <c r="MF252" s="274"/>
      <c r="MG252" s="274"/>
      <c r="MH252" s="274"/>
      <c r="MI252" s="274"/>
      <c r="MJ252" s="274"/>
      <c r="MK252" s="274"/>
      <c r="ML252" s="274"/>
      <c r="MM252" s="274"/>
      <c r="MN252" s="274"/>
      <c r="MO252" s="274"/>
      <c r="MP252" s="274"/>
      <c r="MQ252" s="274"/>
      <c r="MR252" s="274"/>
      <c r="MS252" s="274"/>
      <c r="MT252" s="274"/>
      <c r="MU252" s="274"/>
      <c r="MV252" s="274"/>
      <c r="MW252" s="274"/>
      <c r="MX252" s="274"/>
      <c r="MY252" s="274"/>
      <c r="MZ252" s="274"/>
      <c r="NA252" s="274"/>
      <c r="NB252" s="274"/>
      <c r="NC252" s="274"/>
      <c r="ND252" s="274"/>
      <c r="NE252" s="274"/>
      <c r="NF252" s="274"/>
      <c r="NG252" s="274"/>
      <c r="NH252" s="274"/>
      <c r="NI252" s="274"/>
      <c r="NJ252" s="274"/>
      <c r="NK252" s="274"/>
      <c r="NL252" s="274"/>
      <c r="NM252" s="274"/>
      <c r="NN252" s="274"/>
      <c r="NO252" s="274"/>
      <c r="NP252" s="274"/>
      <c r="NQ252" s="274"/>
      <c r="NR252" s="274"/>
      <c r="NS252" s="274"/>
      <c r="NT252" s="274"/>
      <c r="NU252" s="274"/>
      <c r="NV252" s="274"/>
      <c r="NW252" s="274"/>
      <c r="NX252" s="274"/>
      <c r="NY252" s="274"/>
      <c r="NZ252" s="274"/>
      <c r="OA252" s="274"/>
      <c r="OB252" s="274"/>
      <c r="OC252" s="274"/>
      <c r="OD252" s="274"/>
      <c r="OE252" s="274"/>
      <c r="OF252" s="274"/>
      <c r="OG252" s="274"/>
      <c r="OH252" s="274"/>
      <c r="OI252" s="274"/>
      <c r="OJ252" s="274"/>
      <c r="OK252" s="274"/>
      <c r="OL252" s="274"/>
      <c r="OM252" s="274"/>
      <c r="ON252" s="274"/>
      <c r="OO252" s="274"/>
      <c r="OP252" s="274"/>
      <c r="OQ252" s="274"/>
      <c r="OR252" s="274"/>
      <c r="OS252" s="274"/>
      <c r="OT252" s="274"/>
      <c r="OU252" s="274"/>
      <c r="OV252" s="274"/>
      <c r="OW252" s="274"/>
      <c r="OX252" s="274"/>
      <c r="OY252" s="274"/>
      <c r="OZ252" s="274"/>
      <c r="PA252" s="274"/>
      <c r="PB252" s="274"/>
      <c r="PC252" s="274"/>
      <c r="PD252" s="274"/>
      <c r="PE252" s="274"/>
      <c r="PF252" s="274"/>
      <c r="PG252" s="274"/>
      <c r="PH252" s="274"/>
      <c r="PI252" s="274"/>
      <c r="PJ252" s="274"/>
      <c r="PK252" s="274"/>
      <c r="PL252" s="274"/>
      <c r="PM252" s="274"/>
      <c r="PN252" s="274"/>
      <c r="PO252" s="274"/>
      <c r="PP252" s="274"/>
      <c r="PQ252" s="274"/>
      <c r="PR252" s="274"/>
      <c r="PS252" s="274"/>
      <c r="PT252" s="274"/>
      <c r="PU252" s="274"/>
      <c r="PV252" s="274"/>
      <c r="PW252" s="274"/>
      <c r="PX252" s="274"/>
      <c r="PY252" s="274"/>
      <c r="PZ252" s="274"/>
      <c r="QA252" s="274"/>
      <c r="QB252" s="274"/>
      <c r="QC252" s="274"/>
      <c r="QD252" s="274"/>
      <c r="QE252" s="274"/>
      <c r="QF252" s="274"/>
      <c r="QG252" s="274"/>
      <c r="QH252" s="274"/>
      <c r="QI252" s="274"/>
      <c r="QJ252" s="274"/>
      <c r="QK252" s="274"/>
      <c r="QL252" s="274"/>
      <c r="QM252" s="274"/>
      <c r="QN252" s="274"/>
      <c r="QO252" s="274"/>
      <c r="QP252" s="274"/>
      <c r="QQ252" s="274"/>
      <c r="QR252" s="274"/>
      <c r="QS252" s="274"/>
      <c r="QT252" s="274"/>
      <c r="QU252" s="274"/>
      <c r="QV252" s="274"/>
      <c r="QW252" s="274"/>
      <c r="QX252" s="274"/>
      <c r="QY252" s="274"/>
      <c r="QZ252" s="274"/>
      <c r="RA252" s="274"/>
      <c r="RB252" s="274"/>
      <c r="RC252" s="274"/>
    </row>
    <row r="253" spans="112:471">
      <c r="DH253" s="274"/>
      <c r="DI253" s="274"/>
      <c r="DJ253" s="274"/>
      <c r="DK253" s="274"/>
      <c r="DL253" s="274"/>
      <c r="DM253" s="274"/>
      <c r="DN253" s="274"/>
      <c r="DO253" s="274"/>
      <c r="DP253" s="274"/>
      <c r="DQ253" s="274"/>
      <c r="DR253" s="274"/>
      <c r="DS253" s="274"/>
      <c r="DT253" s="274"/>
      <c r="DU253" s="274"/>
      <c r="DV253" s="274"/>
      <c r="DW253" s="274"/>
      <c r="DX253" s="274"/>
      <c r="DY253" s="274"/>
      <c r="DZ253" s="274"/>
      <c r="EA253" s="274"/>
      <c r="EB253" s="274"/>
      <c r="EC253" s="274"/>
      <c r="ED253" s="274"/>
      <c r="EE253" s="274"/>
      <c r="EF253" s="274"/>
      <c r="EG253" s="274"/>
      <c r="EH253" s="274"/>
      <c r="EI253" s="274"/>
      <c r="EJ253" s="274"/>
      <c r="EK253" s="274"/>
      <c r="EL253" s="274"/>
      <c r="EM253" s="274"/>
      <c r="EN253" s="274"/>
      <c r="EO253" s="274"/>
      <c r="EP253" s="274"/>
      <c r="EQ253" s="274"/>
      <c r="ER253" s="274"/>
      <c r="ES253" s="274"/>
      <c r="ET253" s="274"/>
      <c r="EU253" s="274"/>
      <c r="EV253" s="274"/>
      <c r="EW253" s="274"/>
      <c r="EX253" s="274"/>
      <c r="EY253" s="274"/>
      <c r="EZ253" s="274"/>
      <c r="FA253" s="274"/>
      <c r="FB253" s="274"/>
      <c r="FC253" s="274"/>
      <c r="FD253" s="274"/>
      <c r="FE253" s="274"/>
      <c r="FF253" s="274"/>
      <c r="FG253" s="274"/>
      <c r="FH253" s="274"/>
      <c r="FI253" s="274"/>
      <c r="FJ253" s="274"/>
      <c r="FK253" s="274"/>
      <c r="FL253" s="274"/>
      <c r="FM253" s="274"/>
      <c r="FN253" s="274"/>
      <c r="FO253" s="274"/>
      <c r="FP253" s="274"/>
      <c r="FQ253" s="274"/>
      <c r="FR253" s="274"/>
      <c r="FS253" s="274"/>
      <c r="FT253" s="274"/>
      <c r="FU253" s="274"/>
      <c r="FV253" s="274"/>
      <c r="FW253" s="274"/>
      <c r="FX253" s="274"/>
      <c r="FY253" s="274"/>
      <c r="FZ253" s="274"/>
      <c r="GA253" s="274"/>
      <c r="GB253" s="274"/>
      <c r="GC253" s="274"/>
      <c r="GD253" s="274"/>
      <c r="GE253" s="274"/>
      <c r="GF253" s="274"/>
      <c r="GG253" s="274"/>
      <c r="GH253" s="274"/>
      <c r="GI253" s="274"/>
      <c r="GJ253" s="274"/>
      <c r="GK253" s="274"/>
      <c r="GL253" s="274"/>
      <c r="GM253" s="274"/>
      <c r="GN253" s="274"/>
      <c r="GO253" s="274"/>
      <c r="GP253" s="274"/>
      <c r="GQ253" s="274"/>
      <c r="GR253" s="274"/>
      <c r="GS253" s="274"/>
      <c r="GT253" s="274"/>
      <c r="GU253" s="274"/>
      <c r="GV253" s="274"/>
      <c r="GW253" s="274"/>
      <c r="GX253" s="274"/>
      <c r="GY253" s="274"/>
      <c r="GZ253" s="274"/>
      <c r="HA253" s="274"/>
      <c r="HB253" s="274"/>
      <c r="HC253" s="274"/>
      <c r="HD253" s="274"/>
      <c r="HE253" s="274"/>
      <c r="HF253" s="274"/>
      <c r="HG253" s="274"/>
      <c r="HH253" s="274"/>
      <c r="HI253" s="274"/>
      <c r="HJ253" s="274"/>
      <c r="HK253" s="274"/>
      <c r="HL253" s="274"/>
      <c r="HM253" s="274"/>
      <c r="HN253" s="274"/>
      <c r="HO253" s="274"/>
      <c r="HP253" s="274"/>
      <c r="HQ253" s="274"/>
      <c r="HR253" s="274"/>
      <c r="HS253" s="274"/>
      <c r="HT253" s="274"/>
      <c r="HU253" s="274"/>
      <c r="HV253" s="274"/>
      <c r="HW253" s="274"/>
      <c r="HX253" s="274"/>
      <c r="HY253" s="274"/>
      <c r="HZ253" s="274"/>
      <c r="IA253" s="274"/>
      <c r="IB253" s="274"/>
      <c r="IC253" s="274"/>
      <c r="ID253" s="274"/>
      <c r="IE253" s="274"/>
      <c r="IF253" s="274"/>
      <c r="IG253" s="274"/>
      <c r="IH253" s="274"/>
      <c r="II253" s="274"/>
      <c r="IJ253" s="274"/>
      <c r="IK253" s="274"/>
      <c r="IL253" s="274"/>
      <c r="IM253" s="274"/>
      <c r="IN253" s="274"/>
      <c r="IO253" s="274"/>
      <c r="IP253" s="274"/>
      <c r="IQ253" s="274"/>
      <c r="IR253" s="274"/>
      <c r="IS253" s="274"/>
      <c r="IT253" s="274"/>
      <c r="IU253" s="274"/>
      <c r="IV253" s="274"/>
      <c r="IW253" s="274"/>
      <c r="IX253" s="274"/>
      <c r="IY253" s="274"/>
      <c r="IZ253" s="274"/>
      <c r="JA253" s="274"/>
      <c r="JB253" s="274"/>
      <c r="JC253" s="274"/>
      <c r="JD253" s="274"/>
      <c r="JE253" s="274"/>
      <c r="JF253" s="274"/>
      <c r="JG253" s="274"/>
      <c r="JH253" s="274"/>
      <c r="JI253" s="274"/>
      <c r="JJ253" s="274"/>
      <c r="JK253" s="274"/>
      <c r="JL253" s="274"/>
      <c r="JM253" s="274"/>
      <c r="JN253" s="274"/>
      <c r="JO253" s="274"/>
      <c r="JP253" s="274"/>
      <c r="JQ253" s="274"/>
      <c r="JR253" s="274"/>
      <c r="JS253" s="274"/>
      <c r="JT253" s="274"/>
      <c r="JU253" s="274"/>
      <c r="JV253" s="274"/>
      <c r="JW253" s="274"/>
      <c r="JX253" s="274"/>
      <c r="JY253" s="274"/>
      <c r="JZ253" s="274"/>
      <c r="KA253" s="274"/>
      <c r="KB253" s="274"/>
      <c r="KC253" s="274"/>
      <c r="KD253" s="274"/>
      <c r="KE253" s="274"/>
      <c r="KF253" s="274"/>
      <c r="KG253" s="274"/>
      <c r="KH253" s="274"/>
      <c r="KI253" s="274"/>
      <c r="KJ253" s="274"/>
      <c r="KK253" s="274"/>
      <c r="KL253" s="274"/>
      <c r="KM253" s="274"/>
      <c r="KN253" s="274"/>
      <c r="KO253" s="274"/>
      <c r="KP253" s="274"/>
      <c r="KQ253" s="274"/>
      <c r="KR253" s="274"/>
      <c r="KS253" s="274"/>
      <c r="KT253" s="274"/>
      <c r="KU253" s="274"/>
      <c r="KV253" s="274"/>
      <c r="KW253" s="274"/>
      <c r="KX253" s="274"/>
      <c r="KY253" s="274"/>
      <c r="KZ253" s="274"/>
      <c r="LA253" s="274"/>
      <c r="LB253" s="274"/>
      <c r="LC253" s="274"/>
      <c r="LD253" s="274"/>
      <c r="LE253" s="274"/>
      <c r="LF253" s="274"/>
      <c r="LG253" s="274"/>
      <c r="LH253" s="274"/>
      <c r="LI253" s="274"/>
      <c r="LJ253" s="274"/>
      <c r="LK253" s="274"/>
      <c r="LL253" s="274"/>
      <c r="LM253" s="274"/>
      <c r="LN253" s="274"/>
      <c r="LO253" s="274"/>
      <c r="LP253" s="274"/>
      <c r="LQ253" s="274"/>
      <c r="LR253" s="274"/>
      <c r="LS253" s="274"/>
      <c r="LT253" s="274"/>
      <c r="LU253" s="274"/>
      <c r="LV253" s="274"/>
      <c r="LW253" s="274"/>
      <c r="LX253" s="274"/>
      <c r="LY253" s="274"/>
      <c r="LZ253" s="274"/>
      <c r="MA253" s="274"/>
      <c r="MB253" s="274"/>
      <c r="MC253" s="274"/>
      <c r="MD253" s="274"/>
      <c r="ME253" s="274"/>
      <c r="MF253" s="274"/>
      <c r="MG253" s="274"/>
      <c r="MH253" s="274"/>
      <c r="MI253" s="274"/>
      <c r="MJ253" s="274"/>
      <c r="MK253" s="274"/>
      <c r="ML253" s="274"/>
      <c r="MM253" s="274"/>
      <c r="MN253" s="274"/>
      <c r="MO253" s="274"/>
      <c r="MP253" s="274"/>
      <c r="MQ253" s="274"/>
      <c r="MR253" s="274"/>
      <c r="MS253" s="274"/>
      <c r="MT253" s="274"/>
      <c r="MU253" s="274"/>
      <c r="MV253" s="274"/>
      <c r="MW253" s="274"/>
      <c r="MX253" s="274"/>
      <c r="MY253" s="274"/>
      <c r="MZ253" s="274"/>
      <c r="NA253" s="274"/>
      <c r="NB253" s="274"/>
      <c r="NC253" s="274"/>
      <c r="ND253" s="274"/>
      <c r="NE253" s="274"/>
      <c r="NF253" s="274"/>
      <c r="NG253" s="274"/>
      <c r="NH253" s="274"/>
      <c r="NI253" s="274"/>
      <c r="NJ253" s="274"/>
      <c r="NK253" s="274"/>
      <c r="NL253" s="274"/>
      <c r="NM253" s="274"/>
      <c r="NN253" s="274"/>
      <c r="NO253" s="274"/>
      <c r="NP253" s="274"/>
      <c r="NQ253" s="274"/>
      <c r="NR253" s="274"/>
      <c r="NS253" s="274"/>
      <c r="NT253" s="274"/>
      <c r="NU253" s="274"/>
      <c r="NV253" s="274"/>
      <c r="NW253" s="274"/>
      <c r="NX253" s="274"/>
      <c r="NY253" s="274"/>
      <c r="NZ253" s="274"/>
      <c r="OA253" s="274"/>
      <c r="OB253" s="274"/>
      <c r="OC253" s="274"/>
      <c r="OD253" s="274"/>
      <c r="OE253" s="274"/>
      <c r="OF253" s="274"/>
      <c r="OG253" s="274"/>
      <c r="OH253" s="274"/>
      <c r="OI253" s="274"/>
      <c r="OJ253" s="274"/>
      <c r="OK253" s="274"/>
      <c r="OL253" s="274"/>
      <c r="OM253" s="274"/>
      <c r="ON253" s="274"/>
      <c r="OO253" s="274"/>
      <c r="OP253" s="274"/>
      <c r="OQ253" s="274"/>
      <c r="OR253" s="274"/>
      <c r="OS253" s="274"/>
      <c r="OT253" s="274"/>
      <c r="OU253" s="274"/>
      <c r="OV253" s="274"/>
      <c r="OW253" s="274"/>
      <c r="OX253" s="274"/>
      <c r="OY253" s="274"/>
      <c r="OZ253" s="274"/>
      <c r="PA253" s="274"/>
      <c r="PB253" s="274"/>
      <c r="PC253" s="274"/>
      <c r="PD253" s="274"/>
      <c r="PE253" s="274"/>
      <c r="PF253" s="274"/>
      <c r="PG253" s="274"/>
      <c r="PH253" s="274"/>
      <c r="PI253" s="274"/>
      <c r="PJ253" s="274"/>
      <c r="PK253" s="274"/>
      <c r="PL253" s="274"/>
      <c r="PM253" s="274"/>
      <c r="PN253" s="274"/>
      <c r="PO253" s="274"/>
      <c r="PP253" s="274"/>
      <c r="PQ253" s="274"/>
      <c r="PR253" s="274"/>
      <c r="PS253" s="274"/>
      <c r="PT253" s="274"/>
      <c r="PU253" s="274"/>
      <c r="PV253" s="274"/>
      <c r="PW253" s="274"/>
      <c r="PX253" s="274"/>
      <c r="PY253" s="274"/>
      <c r="PZ253" s="274"/>
      <c r="QA253" s="274"/>
      <c r="QB253" s="274"/>
      <c r="QC253" s="274"/>
      <c r="QD253" s="274"/>
      <c r="QE253" s="274"/>
      <c r="QF253" s="274"/>
      <c r="QG253" s="274"/>
      <c r="QH253" s="274"/>
      <c r="QI253" s="274"/>
      <c r="QJ253" s="274"/>
      <c r="QK253" s="274"/>
      <c r="QL253" s="274"/>
      <c r="QM253" s="274"/>
      <c r="QN253" s="274"/>
      <c r="QO253" s="274"/>
      <c r="QP253" s="274"/>
      <c r="QQ253" s="274"/>
      <c r="QR253" s="274"/>
      <c r="QS253" s="274"/>
      <c r="QT253" s="274"/>
      <c r="QU253" s="274"/>
      <c r="QV253" s="274"/>
      <c r="QW253" s="274"/>
      <c r="QX253" s="274"/>
      <c r="QY253" s="274"/>
      <c r="QZ253" s="274"/>
      <c r="RA253" s="274"/>
      <c r="RB253" s="274"/>
      <c r="RC253" s="274"/>
    </row>
    <row r="254" spans="112:471" ht="17.25">
      <c r="DH254" s="274"/>
      <c r="DI254" s="274"/>
      <c r="DJ254" s="978"/>
      <c r="DK254" s="274"/>
      <c r="DL254" s="274"/>
      <c r="DM254" s="274"/>
      <c r="DN254" s="274"/>
      <c r="DO254" s="274"/>
      <c r="DP254" s="274"/>
      <c r="DQ254" s="274"/>
      <c r="DR254" s="274"/>
      <c r="DS254" s="274"/>
      <c r="DT254" s="274"/>
      <c r="DU254" s="274"/>
      <c r="DV254" s="274"/>
      <c r="DW254" s="274"/>
      <c r="DX254" s="274"/>
      <c r="DY254" s="274"/>
      <c r="DZ254" s="274"/>
      <c r="EA254" s="274"/>
      <c r="EB254" s="274"/>
      <c r="EC254" s="274"/>
      <c r="ED254" s="274"/>
      <c r="EE254" s="274"/>
      <c r="EF254" s="274"/>
      <c r="EG254" s="274"/>
      <c r="EH254" s="274"/>
      <c r="EI254" s="274"/>
      <c r="EJ254" s="274"/>
      <c r="EK254" s="274"/>
      <c r="EL254" s="274"/>
      <c r="EM254" s="274"/>
      <c r="EN254" s="274"/>
      <c r="EO254" s="274"/>
      <c r="EP254" s="274"/>
      <c r="EQ254" s="274"/>
      <c r="ER254" s="274"/>
      <c r="ES254" s="274"/>
      <c r="ET254" s="274"/>
      <c r="EU254" s="274"/>
      <c r="EV254" s="274"/>
      <c r="EW254" s="274"/>
      <c r="EX254" s="274"/>
      <c r="EY254" s="274"/>
      <c r="EZ254" s="274"/>
      <c r="FA254" s="274"/>
      <c r="FB254" s="274"/>
      <c r="FC254" s="274"/>
      <c r="FD254" s="274"/>
      <c r="FE254" s="274"/>
      <c r="FF254" s="274"/>
      <c r="FG254" s="274"/>
      <c r="FH254" s="274"/>
      <c r="FI254" s="274"/>
      <c r="FJ254" s="274"/>
      <c r="FK254" s="274"/>
      <c r="FL254" s="274"/>
      <c r="FM254" s="274"/>
      <c r="FN254" s="274"/>
      <c r="FO254" s="274"/>
      <c r="FP254" s="274"/>
      <c r="FQ254" s="274"/>
      <c r="FR254" s="274"/>
      <c r="FS254" s="274"/>
      <c r="FT254" s="274"/>
      <c r="FU254" s="274"/>
      <c r="FV254" s="274"/>
      <c r="FW254" s="274"/>
      <c r="FX254" s="274"/>
      <c r="FY254" s="274"/>
      <c r="FZ254" s="274"/>
      <c r="GA254" s="274"/>
      <c r="GB254" s="274"/>
      <c r="GC254" s="274"/>
      <c r="GD254" s="274"/>
      <c r="GE254" s="274"/>
      <c r="GF254" s="274"/>
      <c r="GG254" s="274"/>
      <c r="GH254" s="274"/>
      <c r="GI254" s="274"/>
      <c r="GJ254" s="274"/>
      <c r="GK254" s="274"/>
      <c r="GL254" s="274"/>
      <c r="GM254" s="274"/>
      <c r="GN254" s="274"/>
      <c r="GO254" s="274"/>
      <c r="GP254" s="274"/>
      <c r="GQ254" s="274"/>
      <c r="GR254" s="274"/>
      <c r="GS254" s="274"/>
      <c r="GT254" s="274"/>
      <c r="GU254" s="274"/>
      <c r="GV254" s="274"/>
      <c r="GW254" s="274"/>
      <c r="GX254" s="274"/>
      <c r="GY254" s="274"/>
      <c r="GZ254" s="274"/>
      <c r="HA254" s="274"/>
      <c r="HB254" s="274"/>
      <c r="HC254" s="274"/>
      <c r="HD254" s="274"/>
      <c r="HE254" s="274"/>
      <c r="HF254" s="274"/>
      <c r="HG254" s="274"/>
      <c r="HH254" s="274"/>
      <c r="HI254" s="274"/>
      <c r="HJ254" s="274"/>
      <c r="HK254" s="274"/>
      <c r="HL254" s="274"/>
      <c r="HM254" s="274"/>
      <c r="HN254" s="274"/>
      <c r="HO254" s="274"/>
      <c r="HP254" s="274"/>
      <c r="HQ254" s="274"/>
      <c r="HR254" s="274"/>
      <c r="HS254" s="274"/>
      <c r="HT254" s="274"/>
      <c r="HU254" s="274"/>
      <c r="HV254" s="274"/>
      <c r="HW254" s="274"/>
      <c r="HX254" s="274"/>
      <c r="HY254" s="274"/>
      <c r="HZ254" s="274"/>
      <c r="IA254" s="274"/>
      <c r="IB254" s="274"/>
      <c r="IC254" s="274"/>
      <c r="ID254" s="274"/>
      <c r="IE254" s="274"/>
      <c r="IF254" s="274"/>
      <c r="IG254" s="274"/>
      <c r="IH254" s="274"/>
      <c r="II254" s="274"/>
      <c r="IJ254" s="274"/>
      <c r="IK254" s="274"/>
      <c r="IL254" s="274"/>
      <c r="IM254" s="274"/>
      <c r="IN254" s="274"/>
      <c r="IO254" s="274"/>
      <c r="IP254" s="274"/>
      <c r="IQ254" s="274"/>
      <c r="IR254" s="274"/>
      <c r="IS254" s="274"/>
      <c r="IT254" s="274"/>
      <c r="IU254" s="274"/>
      <c r="IV254" s="274"/>
      <c r="IW254" s="274"/>
      <c r="IX254" s="274"/>
      <c r="IY254" s="274"/>
      <c r="IZ254" s="274"/>
      <c r="JA254" s="274"/>
      <c r="JB254" s="274"/>
      <c r="JC254" s="274"/>
      <c r="JD254" s="274"/>
      <c r="JE254" s="274"/>
      <c r="JF254" s="274"/>
      <c r="JG254" s="274"/>
      <c r="JH254" s="274"/>
      <c r="JI254" s="274"/>
      <c r="JJ254" s="274"/>
      <c r="JK254" s="274"/>
      <c r="JL254" s="274"/>
      <c r="JM254" s="274"/>
      <c r="JN254" s="274"/>
      <c r="JO254" s="274"/>
      <c r="JP254" s="274"/>
      <c r="JQ254" s="274"/>
      <c r="JR254" s="274"/>
      <c r="JS254" s="274"/>
      <c r="JT254" s="274"/>
      <c r="JU254" s="274"/>
      <c r="JV254" s="274"/>
      <c r="JW254" s="274"/>
      <c r="JX254" s="274"/>
      <c r="JY254" s="274"/>
      <c r="JZ254" s="274"/>
      <c r="KA254" s="274"/>
      <c r="KB254" s="274"/>
      <c r="KC254" s="274"/>
      <c r="KD254" s="274"/>
      <c r="KE254" s="274"/>
      <c r="KF254" s="274"/>
      <c r="KG254" s="274"/>
      <c r="KH254" s="274"/>
      <c r="KI254" s="274"/>
      <c r="KJ254" s="274"/>
      <c r="KK254" s="274"/>
      <c r="KL254" s="274"/>
      <c r="KM254" s="274"/>
      <c r="KN254" s="274"/>
      <c r="KO254" s="274"/>
      <c r="KP254" s="274"/>
      <c r="KQ254" s="274"/>
      <c r="KR254" s="274"/>
      <c r="KS254" s="274"/>
      <c r="KT254" s="274"/>
      <c r="KU254" s="274"/>
      <c r="KV254" s="274"/>
      <c r="KW254" s="274"/>
      <c r="KX254" s="274"/>
      <c r="KY254" s="274"/>
      <c r="KZ254" s="274"/>
      <c r="LA254" s="274"/>
      <c r="LB254" s="274"/>
      <c r="LC254" s="274"/>
      <c r="LD254" s="274"/>
      <c r="LE254" s="274"/>
      <c r="LF254" s="274"/>
      <c r="LG254" s="274"/>
      <c r="LH254" s="274"/>
      <c r="LI254" s="274"/>
      <c r="LJ254" s="274"/>
      <c r="LK254" s="274"/>
      <c r="LL254" s="274"/>
      <c r="LM254" s="274"/>
      <c r="LN254" s="274"/>
      <c r="LO254" s="274"/>
      <c r="LP254" s="274"/>
      <c r="LQ254" s="274"/>
      <c r="LR254" s="274"/>
      <c r="LS254" s="274"/>
      <c r="LT254" s="274"/>
      <c r="LU254" s="274"/>
      <c r="LV254" s="274"/>
      <c r="LW254" s="274"/>
      <c r="LX254" s="274"/>
      <c r="LY254" s="274"/>
      <c r="LZ254" s="274"/>
      <c r="MA254" s="274"/>
      <c r="MB254" s="274"/>
      <c r="MC254" s="274"/>
      <c r="MD254" s="274"/>
      <c r="ME254" s="274"/>
      <c r="MF254" s="274"/>
      <c r="MG254" s="274"/>
      <c r="MH254" s="274"/>
      <c r="MI254" s="274"/>
      <c r="MJ254" s="274"/>
      <c r="MK254" s="274"/>
      <c r="ML254" s="274"/>
      <c r="MM254" s="274"/>
      <c r="MN254" s="274"/>
      <c r="MO254" s="274"/>
      <c r="MP254" s="274"/>
      <c r="MQ254" s="274"/>
      <c r="MR254" s="274"/>
      <c r="MS254" s="274"/>
      <c r="MT254" s="274"/>
      <c r="MU254" s="274"/>
      <c r="MV254" s="274"/>
      <c r="MW254" s="274"/>
      <c r="MX254" s="274"/>
      <c r="MY254" s="274"/>
      <c r="MZ254" s="274"/>
      <c r="NA254" s="274"/>
      <c r="NB254" s="274"/>
      <c r="NC254" s="274"/>
      <c r="ND254" s="274"/>
      <c r="NE254" s="274"/>
      <c r="NF254" s="274"/>
      <c r="NG254" s="274"/>
      <c r="NH254" s="274"/>
      <c r="NI254" s="274"/>
      <c r="NJ254" s="274"/>
      <c r="NK254" s="274"/>
      <c r="NL254" s="274"/>
      <c r="NM254" s="274"/>
      <c r="NN254" s="274"/>
      <c r="NO254" s="274"/>
      <c r="NP254" s="274"/>
      <c r="NQ254" s="274"/>
      <c r="NR254" s="274"/>
      <c r="NS254" s="274"/>
      <c r="NT254" s="274"/>
      <c r="NU254" s="274"/>
      <c r="NV254" s="274"/>
      <c r="NW254" s="274"/>
      <c r="NX254" s="274"/>
      <c r="NY254" s="274"/>
      <c r="NZ254" s="274"/>
      <c r="OA254" s="274"/>
      <c r="OB254" s="274"/>
      <c r="OC254" s="274"/>
      <c r="OD254" s="274"/>
      <c r="OE254" s="274"/>
      <c r="OF254" s="274"/>
      <c r="OG254" s="274"/>
      <c r="OH254" s="274"/>
      <c r="OI254" s="274"/>
      <c r="OJ254" s="274"/>
      <c r="OK254" s="274"/>
      <c r="OL254" s="274"/>
      <c r="OM254" s="274"/>
      <c r="ON254" s="274"/>
      <c r="OO254" s="274"/>
      <c r="OP254" s="274"/>
      <c r="OQ254" s="274"/>
      <c r="OR254" s="274"/>
      <c r="OS254" s="274"/>
      <c r="OT254" s="274"/>
      <c r="OU254" s="274"/>
      <c r="OV254" s="274"/>
      <c r="OW254" s="274"/>
      <c r="OX254" s="274"/>
      <c r="OY254" s="274"/>
      <c r="OZ254" s="274"/>
      <c r="PA254" s="274"/>
      <c r="PB254" s="274"/>
      <c r="PC254" s="274"/>
      <c r="PD254" s="274"/>
      <c r="PE254" s="274"/>
      <c r="PF254" s="274"/>
      <c r="PG254" s="274"/>
      <c r="PH254" s="274"/>
      <c r="PI254" s="274"/>
      <c r="PJ254" s="274"/>
      <c r="PK254" s="274"/>
      <c r="PL254" s="274"/>
      <c r="PM254" s="274"/>
      <c r="PN254" s="274"/>
      <c r="PO254" s="274"/>
      <c r="PP254" s="274"/>
      <c r="PQ254" s="274"/>
      <c r="PR254" s="274"/>
      <c r="PS254" s="274"/>
      <c r="PT254" s="274"/>
      <c r="PU254" s="274"/>
      <c r="PV254" s="274"/>
      <c r="PW254" s="274"/>
      <c r="PX254" s="274"/>
      <c r="PY254" s="274"/>
      <c r="PZ254" s="274"/>
      <c r="QA254" s="274"/>
      <c r="QB254" s="274"/>
      <c r="QC254" s="274"/>
      <c r="QD254" s="274"/>
      <c r="QE254" s="274"/>
      <c r="QF254" s="274"/>
      <c r="QG254" s="274"/>
      <c r="QH254" s="274"/>
      <c r="QI254" s="274"/>
      <c r="QJ254" s="274"/>
      <c r="QK254" s="274"/>
      <c r="QL254" s="274"/>
      <c r="QM254" s="274"/>
      <c r="QN254" s="274"/>
      <c r="QO254" s="274"/>
      <c r="QP254" s="274"/>
      <c r="QQ254" s="274"/>
      <c r="QR254" s="274"/>
      <c r="QS254" s="274"/>
      <c r="QT254" s="274"/>
      <c r="QU254" s="274"/>
      <c r="QV254" s="274"/>
      <c r="QW254" s="274"/>
      <c r="QX254" s="274"/>
      <c r="QY254" s="274"/>
      <c r="QZ254" s="274"/>
      <c r="RA254" s="274"/>
      <c r="RB254" s="274"/>
      <c r="RC254" s="274"/>
    </row>
    <row r="255" spans="112:471" ht="17.25">
      <c r="DH255" s="274"/>
      <c r="DI255" s="274"/>
      <c r="DJ255" s="978"/>
      <c r="DK255" s="978"/>
      <c r="DL255" s="978"/>
      <c r="DM255" s="978"/>
      <c r="DN255" s="978"/>
      <c r="DO255" s="978"/>
      <c r="DP255" s="978"/>
      <c r="DQ255" s="978"/>
      <c r="DR255" s="978"/>
      <c r="DS255" s="978"/>
      <c r="DT255" s="978"/>
      <c r="DU255" s="978"/>
      <c r="DV255" s="978"/>
      <c r="DW255" s="978"/>
      <c r="DX255" s="978"/>
      <c r="DY255" s="978"/>
      <c r="DZ255" s="978"/>
      <c r="EA255" s="978"/>
      <c r="EB255" s="978"/>
      <c r="EC255" s="978"/>
      <c r="ED255" s="978"/>
      <c r="EE255" s="978"/>
      <c r="EF255" s="978"/>
      <c r="EG255" s="978"/>
      <c r="EH255" s="978"/>
      <c r="EI255" s="978"/>
      <c r="EJ255" s="978"/>
      <c r="EK255" s="978"/>
      <c r="EL255" s="978"/>
      <c r="EM255" s="978"/>
      <c r="EN255" s="978"/>
      <c r="EO255" s="978"/>
      <c r="EP255" s="978"/>
      <c r="EQ255" s="978"/>
      <c r="ER255" s="978"/>
      <c r="ES255" s="978"/>
      <c r="ET255" s="978"/>
      <c r="EU255" s="978"/>
      <c r="EV255" s="978"/>
      <c r="EW255" s="978"/>
      <c r="EX255" s="978"/>
      <c r="EY255" s="978"/>
      <c r="EZ255" s="978"/>
      <c r="FA255" s="978"/>
      <c r="FB255" s="978"/>
      <c r="FC255" s="978"/>
      <c r="FD255" s="978"/>
      <c r="FE255" s="978"/>
      <c r="FF255" s="978"/>
      <c r="FG255" s="978"/>
      <c r="FH255" s="978"/>
      <c r="FI255" s="978"/>
      <c r="FJ255" s="978"/>
      <c r="FK255" s="978"/>
      <c r="FL255" s="978"/>
      <c r="FM255" s="978"/>
      <c r="FN255" s="978"/>
      <c r="FO255" s="978"/>
      <c r="FP255" s="978"/>
      <c r="FQ255" s="978"/>
      <c r="FR255" s="978"/>
      <c r="FS255" s="978"/>
      <c r="FT255" s="978"/>
      <c r="FU255" s="978"/>
      <c r="FV255" s="978"/>
      <c r="FW255" s="978"/>
      <c r="FX255" s="978"/>
      <c r="FY255" s="978"/>
      <c r="FZ255" s="978"/>
      <c r="GA255" s="978"/>
      <c r="GB255" s="978"/>
      <c r="GC255" s="978"/>
      <c r="GD255" s="978"/>
      <c r="GE255" s="978"/>
      <c r="GF255" s="978"/>
      <c r="GG255" s="978"/>
      <c r="GH255" s="978"/>
      <c r="GI255" s="978"/>
      <c r="GJ255" s="978"/>
      <c r="GK255" s="978"/>
      <c r="GL255" s="978"/>
      <c r="GM255" s="978"/>
      <c r="GN255" s="978"/>
      <c r="GO255" s="978"/>
      <c r="GP255" s="978"/>
      <c r="GQ255" s="978"/>
      <c r="GR255" s="978"/>
      <c r="GS255" s="978"/>
      <c r="GT255" s="978"/>
      <c r="GU255" s="978"/>
      <c r="GV255" s="978"/>
      <c r="GW255" s="978"/>
      <c r="GX255" s="978"/>
      <c r="GY255" s="978"/>
      <c r="GZ255" s="978"/>
      <c r="HA255" s="978"/>
      <c r="HB255" s="978"/>
      <c r="HC255" s="978"/>
      <c r="HD255" s="978"/>
      <c r="HE255" s="978"/>
      <c r="HF255" s="978"/>
      <c r="HG255" s="978"/>
      <c r="HH255" s="978"/>
      <c r="HI255" s="978"/>
      <c r="HJ255" s="978"/>
      <c r="HK255" s="978"/>
      <c r="HL255" s="978"/>
      <c r="HM255" s="978"/>
      <c r="HN255" s="978"/>
      <c r="HO255" s="978"/>
      <c r="HP255" s="978"/>
      <c r="HQ255" s="978"/>
      <c r="HR255" s="978"/>
      <c r="HS255" s="978"/>
      <c r="HT255" s="978"/>
      <c r="HU255" s="978"/>
      <c r="HV255" s="978"/>
      <c r="HW255" s="978"/>
      <c r="HX255" s="978"/>
      <c r="HY255" s="978"/>
      <c r="HZ255" s="978"/>
      <c r="IA255" s="978"/>
      <c r="IB255" s="978"/>
      <c r="IC255" s="978"/>
      <c r="ID255" s="978"/>
      <c r="IE255" s="978"/>
      <c r="IF255" s="978"/>
      <c r="IG255" s="978"/>
      <c r="IH255" s="978"/>
      <c r="II255" s="978"/>
      <c r="IJ255" s="978"/>
      <c r="IK255" s="978"/>
      <c r="IL255" s="978"/>
      <c r="IM255" s="978"/>
      <c r="IN255" s="978"/>
      <c r="IO255" s="978"/>
      <c r="IP255" s="978"/>
      <c r="IQ255" s="978"/>
      <c r="IR255" s="978"/>
      <c r="IS255" s="978"/>
      <c r="IT255" s="978"/>
      <c r="IU255" s="978"/>
      <c r="IV255" s="978"/>
      <c r="IW255" s="978"/>
      <c r="IX255" s="978"/>
      <c r="IY255" s="978"/>
      <c r="IZ255" s="978"/>
      <c r="JA255" s="978"/>
      <c r="JB255" s="978"/>
      <c r="JC255" s="978"/>
      <c r="JD255" s="978"/>
      <c r="JE255" s="978"/>
      <c r="JF255" s="978"/>
      <c r="JG255" s="978"/>
      <c r="JH255" s="978"/>
      <c r="JI255" s="978"/>
      <c r="JJ255" s="978"/>
      <c r="JK255" s="978"/>
      <c r="JL255" s="978"/>
      <c r="JM255" s="978"/>
      <c r="JN255" s="978"/>
      <c r="JO255" s="978"/>
      <c r="JP255" s="978"/>
      <c r="JQ255" s="978"/>
      <c r="JR255" s="978"/>
      <c r="JS255" s="978"/>
      <c r="JT255" s="978"/>
      <c r="JU255" s="978"/>
      <c r="JV255" s="978"/>
      <c r="JW255" s="978"/>
      <c r="JX255" s="978"/>
      <c r="JY255" s="978"/>
      <c r="JZ255" s="978"/>
      <c r="KA255" s="978"/>
      <c r="KB255" s="978"/>
      <c r="KC255" s="978"/>
      <c r="KD255" s="978"/>
      <c r="KE255" s="978"/>
      <c r="KF255" s="978"/>
      <c r="KG255" s="978"/>
      <c r="KH255" s="978"/>
      <c r="KI255" s="978"/>
      <c r="KJ255" s="978"/>
      <c r="KK255" s="978"/>
      <c r="KL255" s="978"/>
      <c r="KM255" s="978"/>
      <c r="KN255" s="978"/>
      <c r="KO255" s="978"/>
      <c r="KP255" s="978"/>
      <c r="KQ255" s="978"/>
      <c r="KR255" s="978"/>
      <c r="KS255" s="978"/>
      <c r="KT255" s="978"/>
      <c r="KU255" s="978"/>
      <c r="KV255" s="978"/>
      <c r="KW255" s="978"/>
      <c r="KX255" s="978"/>
      <c r="KY255" s="978"/>
      <c r="KZ255" s="978"/>
      <c r="LA255" s="978"/>
      <c r="LB255" s="978"/>
      <c r="LC255" s="978"/>
      <c r="LD255" s="978"/>
      <c r="LE255" s="978"/>
      <c r="LF255" s="978"/>
      <c r="LG255" s="978"/>
      <c r="LH255" s="978"/>
      <c r="LI255" s="978"/>
      <c r="LJ255" s="978"/>
      <c r="LK255" s="978"/>
      <c r="LL255" s="978"/>
      <c r="LM255" s="978"/>
      <c r="LN255" s="978"/>
      <c r="LO255" s="978"/>
      <c r="LP255" s="978"/>
      <c r="LQ255" s="978"/>
      <c r="LR255" s="978"/>
      <c r="LS255" s="978"/>
      <c r="LT255" s="978"/>
      <c r="LU255" s="978"/>
      <c r="LV255" s="978"/>
      <c r="LW255" s="978"/>
      <c r="LX255" s="978"/>
      <c r="LY255" s="978"/>
      <c r="LZ255" s="978"/>
      <c r="MA255" s="978"/>
      <c r="MB255" s="978"/>
      <c r="MC255" s="978"/>
      <c r="MD255" s="978"/>
      <c r="ME255" s="978"/>
      <c r="MF255" s="978"/>
      <c r="MG255" s="978"/>
      <c r="MH255" s="978"/>
      <c r="MI255" s="978"/>
      <c r="MJ255" s="978"/>
      <c r="MK255" s="978"/>
      <c r="ML255" s="978"/>
      <c r="MM255" s="978"/>
      <c r="MN255" s="978"/>
      <c r="MO255" s="978"/>
      <c r="MP255" s="978"/>
      <c r="MQ255" s="978"/>
      <c r="MR255" s="978"/>
      <c r="MS255" s="978"/>
      <c r="MT255" s="978"/>
      <c r="MU255" s="978"/>
      <c r="MV255" s="978"/>
      <c r="MW255" s="978"/>
      <c r="MX255" s="978"/>
      <c r="MY255" s="978"/>
      <c r="MZ255" s="978"/>
      <c r="NA255" s="978"/>
      <c r="NB255" s="978"/>
      <c r="NC255" s="978"/>
      <c r="ND255" s="978"/>
      <c r="NE255" s="978"/>
      <c r="NF255" s="978"/>
      <c r="NG255" s="978"/>
      <c r="NH255" s="978"/>
      <c r="NI255" s="978"/>
      <c r="NJ255" s="978"/>
      <c r="NK255" s="978"/>
      <c r="NL255" s="978"/>
      <c r="NM255" s="978"/>
      <c r="NN255" s="978"/>
      <c r="NO255" s="978"/>
      <c r="NP255" s="978"/>
      <c r="NQ255" s="978"/>
      <c r="NR255" s="978"/>
      <c r="NS255" s="978"/>
      <c r="NT255" s="978"/>
      <c r="NU255" s="978"/>
      <c r="NV255" s="978"/>
      <c r="NW255" s="978"/>
      <c r="NX255" s="978"/>
      <c r="NY255" s="978"/>
      <c r="NZ255" s="978"/>
      <c r="OA255" s="978"/>
      <c r="OB255" s="978"/>
      <c r="OC255" s="978"/>
      <c r="OD255" s="978"/>
      <c r="OE255" s="978"/>
      <c r="OF255" s="978"/>
      <c r="OG255" s="978"/>
      <c r="OH255" s="978"/>
      <c r="OI255" s="978"/>
      <c r="OJ255" s="978"/>
      <c r="OK255" s="978"/>
      <c r="OL255" s="978"/>
      <c r="OM255" s="978"/>
      <c r="ON255" s="978"/>
      <c r="OO255" s="978"/>
      <c r="OP255" s="978"/>
      <c r="OQ255" s="978"/>
      <c r="OR255" s="978"/>
      <c r="OS255" s="978"/>
      <c r="OT255" s="978"/>
      <c r="OU255" s="978"/>
      <c r="OV255" s="978"/>
      <c r="OW255" s="978"/>
      <c r="OX255" s="978"/>
      <c r="OY255" s="978"/>
      <c r="OZ255" s="978"/>
      <c r="PA255" s="978"/>
      <c r="PB255" s="978"/>
      <c r="PC255" s="978"/>
      <c r="PD255" s="978"/>
      <c r="PE255" s="978"/>
      <c r="PF255" s="978"/>
      <c r="PG255" s="978"/>
      <c r="PH255" s="978"/>
      <c r="PI255" s="978"/>
      <c r="PJ255" s="978"/>
      <c r="PK255" s="978"/>
      <c r="PL255" s="978"/>
      <c r="PM255" s="978"/>
      <c r="PN255" s="978"/>
      <c r="PO255" s="978"/>
      <c r="PP255" s="978"/>
      <c r="PQ255" s="978"/>
      <c r="PR255" s="978"/>
      <c r="PS255" s="978"/>
      <c r="PT255" s="978"/>
      <c r="PU255" s="978"/>
      <c r="PV255" s="978"/>
      <c r="PW255" s="978"/>
      <c r="PX255" s="978"/>
      <c r="PY255" s="978"/>
      <c r="PZ255" s="978"/>
      <c r="QA255" s="978"/>
      <c r="QB255" s="978"/>
      <c r="QC255" s="978"/>
      <c r="QD255" s="978"/>
      <c r="QE255" s="978"/>
      <c r="QF255" s="978"/>
      <c r="QG255" s="978"/>
      <c r="QH255" s="978"/>
      <c r="QI255" s="978"/>
      <c r="QJ255" s="978"/>
      <c r="QK255" s="978"/>
      <c r="QL255" s="978"/>
      <c r="QM255" s="978"/>
      <c r="QN255" s="978"/>
      <c r="QO255" s="978"/>
      <c r="QP255" s="978"/>
      <c r="QQ255" s="978"/>
      <c r="QR255" s="978"/>
      <c r="QS255" s="978"/>
      <c r="QT255" s="978"/>
      <c r="QU255" s="978"/>
      <c r="QV255" s="978"/>
      <c r="QW255" s="978"/>
      <c r="QX255" s="978"/>
      <c r="QY255" s="978"/>
      <c r="QZ255" s="978"/>
      <c r="RA255" s="978"/>
      <c r="RB255" s="274"/>
      <c r="RC255" s="274"/>
    </row>
    <row r="256" spans="112:471" ht="17.25">
      <c r="DH256" s="274"/>
      <c r="DI256" s="274"/>
      <c r="DJ256" s="978"/>
      <c r="DK256" s="978"/>
      <c r="DL256" s="978"/>
      <c r="DM256" s="978"/>
      <c r="DN256" s="978"/>
      <c r="DO256" s="978"/>
      <c r="DP256" s="978"/>
      <c r="DQ256" s="978"/>
      <c r="DR256" s="978"/>
      <c r="DS256" s="978"/>
      <c r="DT256" s="978"/>
      <c r="DU256" s="978"/>
      <c r="DV256" s="978"/>
      <c r="DW256" s="978"/>
      <c r="DX256" s="978"/>
      <c r="DY256" s="978"/>
      <c r="DZ256" s="978"/>
      <c r="EA256" s="978"/>
      <c r="EB256" s="978"/>
      <c r="EC256" s="978"/>
      <c r="ED256" s="978"/>
      <c r="EE256" s="978"/>
      <c r="EF256" s="978"/>
      <c r="EG256" s="978"/>
      <c r="EH256" s="978"/>
      <c r="EI256" s="978"/>
      <c r="EJ256" s="978"/>
      <c r="EK256" s="978"/>
      <c r="EL256" s="978"/>
      <c r="EM256" s="978"/>
      <c r="EN256" s="978"/>
      <c r="EO256" s="978"/>
      <c r="EP256" s="978"/>
      <c r="EQ256" s="978"/>
      <c r="ER256" s="978"/>
      <c r="ES256" s="978"/>
      <c r="ET256" s="978"/>
      <c r="EU256" s="978"/>
      <c r="EV256" s="978"/>
      <c r="EW256" s="978"/>
      <c r="EX256" s="978"/>
      <c r="EY256" s="978"/>
      <c r="EZ256" s="978"/>
      <c r="FA256" s="978"/>
      <c r="FB256" s="978"/>
      <c r="FC256" s="978"/>
      <c r="FD256" s="978"/>
      <c r="FE256" s="978"/>
      <c r="FF256" s="978"/>
      <c r="FG256" s="978"/>
      <c r="FH256" s="978"/>
      <c r="FI256" s="978"/>
      <c r="FJ256" s="978"/>
      <c r="FK256" s="978"/>
      <c r="FL256" s="978"/>
      <c r="FM256" s="978"/>
      <c r="FN256" s="978"/>
      <c r="FO256" s="978"/>
      <c r="FP256" s="978"/>
      <c r="FQ256" s="978"/>
      <c r="FR256" s="978"/>
      <c r="FS256" s="978"/>
      <c r="FT256" s="978"/>
      <c r="FU256" s="978"/>
      <c r="FV256" s="978"/>
      <c r="FW256" s="978"/>
      <c r="FX256" s="978"/>
      <c r="FY256" s="978"/>
      <c r="FZ256" s="978"/>
      <c r="GA256" s="978"/>
      <c r="GB256" s="978"/>
      <c r="GC256" s="978"/>
      <c r="GD256" s="978"/>
      <c r="GE256" s="978"/>
      <c r="GF256" s="978"/>
      <c r="GG256" s="978"/>
      <c r="GH256" s="978"/>
      <c r="GI256" s="978"/>
      <c r="GJ256" s="978"/>
      <c r="GK256" s="978"/>
      <c r="GL256" s="978"/>
      <c r="GM256" s="978"/>
      <c r="GN256" s="978"/>
      <c r="GO256" s="978"/>
      <c r="GP256" s="978"/>
      <c r="GQ256" s="978"/>
      <c r="GR256" s="978"/>
      <c r="GS256" s="978"/>
      <c r="GT256" s="978"/>
      <c r="GU256" s="978"/>
      <c r="GV256" s="978"/>
      <c r="GW256" s="978"/>
      <c r="GX256" s="978"/>
      <c r="GY256" s="978"/>
      <c r="GZ256" s="978"/>
      <c r="HA256" s="978"/>
      <c r="HB256" s="978"/>
      <c r="HC256" s="978"/>
      <c r="HD256" s="978"/>
      <c r="HE256" s="978"/>
      <c r="HF256" s="978"/>
      <c r="HG256" s="978"/>
      <c r="HH256" s="978"/>
      <c r="HI256" s="978"/>
      <c r="HJ256" s="978"/>
      <c r="HK256" s="978"/>
      <c r="HL256" s="978"/>
      <c r="HM256" s="978"/>
      <c r="HN256" s="978"/>
      <c r="HO256" s="978"/>
      <c r="HP256" s="978"/>
      <c r="HQ256" s="978"/>
      <c r="HR256" s="978"/>
      <c r="HS256" s="978"/>
      <c r="HT256" s="978"/>
      <c r="HU256" s="978"/>
      <c r="HV256" s="978"/>
      <c r="HW256" s="978"/>
      <c r="HX256" s="978"/>
      <c r="HY256" s="978"/>
      <c r="HZ256" s="978"/>
      <c r="IA256" s="978"/>
      <c r="IB256" s="978"/>
      <c r="IC256" s="978"/>
      <c r="ID256" s="978"/>
      <c r="IE256" s="978"/>
      <c r="IF256" s="978"/>
      <c r="IG256" s="978"/>
      <c r="IH256" s="978"/>
      <c r="II256" s="978"/>
      <c r="IJ256" s="978"/>
      <c r="IK256" s="978"/>
      <c r="IL256" s="978"/>
      <c r="IM256" s="978"/>
      <c r="IN256" s="978"/>
      <c r="IO256" s="978"/>
      <c r="IP256" s="978"/>
      <c r="IQ256" s="978"/>
      <c r="IR256" s="978"/>
      <c r="IS256" s="978"/>
      <c r="IT256" s="978"/>
      <c r="IU256" s="978"/>
      <c r="IV256" s="978"/>
      <c r="IW256" s="978"/>
      <c r="IX256" s="978"/>
      <c r="IY256" s="978"/>
      <c r="IZ256" s="978"/>
      <c r="JA256" s="978"/>
      <c r="JB256" s="978"/>
      <c r="JC256" s="978"/>
      <c r="JD256" s="978"/>
      <c r="JE256" s="978"/>
      <c r="JF256" s="978"/>
      <c r="JG256" s="978"/>
      <c r="JH256" s="978"/>
      <c r="JI256" s="978"/>
      <c r="JJ256" s="978"/>
      <c r="JK256" s="978"/>
      <c r="JL256" s="978"/>
      <c r="JM256" s="978"/>
      <c r="JN256" s="978"/>
      <c r="JO256" s="978"/>
      <c r="JP256" s="978"/>
      <c r="JQ256" s="978"/>
      <c r="JR256" s="978"/>
      <c r="JS256" s="978"/>
      <c r="JT256" s="978"/>
      <c r="JU256" s="978"/>
      <c r="JV256" s="978"/>
      <c r="JW256" s="978"/>
      <c r="JX256" s="978"/>
      <c r="JY256" s="978"/>
      <c r="JZ256" s="978"/>
      <c r="KA256" s="978"/>
      <c r="KB256" s="978"/>
      <c r="KC256" s="978"/>
      <c r="KD256" s="978"/>
      <c r="KE256" s="978"/>
      <c r="KF256" s="978"/>
      <c r="KG256" s="978"/>
      <c r="KH256" s="978"/>
      <c r="KI256" s="978"/>
      <c r="KJ256" s="978"/>
      <c r="KK256" s="978"/>
      <c r="KL256" s="978"/>
      <c r="KM256" s="978"/>
      <c r="KN256" s="978"/>
      <c r="KO256" s="978"/>
      <c r="KP256" s="978"/>
      <c r="KQ256" s="978"/>
      <c r="KR256" s="978"/>
      <c r="KS256" s="978"/>
      <c r="KT256" s="978"/>
      <c r="KU256" s="978"/>
      <c r="KV256" s="978"/>
      <c r="KW256" s="978"/>
      <c r="KX256" s="978"/>
      <c r="KY256" s="978"/>
      <c r="KZ256" s="978"/>
      <c r="LA256" s="978"/>
      <c r="LB256" s="978"/>
      <c r="LC256" s="978"/>
      <c r="LD256" s="978"/>
      <c r="LE256" s="978"/>
      <c r="LF256" s="978"/>
      <c r="LG256" s="978"/>
      <c r="LH256" s="978"/>
      <c r="LI256" s="978"/>
      <c r="LJ256" s="978"/>
      <c r="LK256" s="978"/>
      <c r="LL256" s="978"/>
      <c r="LM256" s="978"/>
      <c r="LN256" s="978"/>
      <c r="LO256" s="978"/>
      <c r="LP256" s="978"/>
      <c r="LQ256" s="978"/>
      <c r="LR256" s="978"/>
      <c r="LS256" s="978"/>
      <c r="LT256" s="978"/>
      <c r="LU256" s="978"/>
      <c r="LV256" s="978"/>
      <c r="LW256" s="978"/>
      <c r="LX256" s="978"/>
      <c r="LY256" s="978"/>
      <c r="LZ256" s="978"/>
      <c r="MA256" s="978"/>
      <c r="MB256" s="978"/>
      <c r="MC256" s="978"/>
      <c r="MD256" s="978"/>
      <c r="ME256" s="978"/>
      <c r="MF256" s="978"/>
      <c r="MG256" s="978"/>
      <c r="MH256" s="978"/>
      <c r="MI256" s="978"/>
      <c r="MJ256" s="978"/>
      <c r="MK256" s="978"/>
      <c r="ML256" s="978"/>
      <c r="MM256" s="978"/>
      <c r="MN256" s="978"/>
      <c r="MO256" s="978"/>
      <c r="MP256" s="978"/>
      <c r="MQ256" s="978"/>
      <c r="MR256" s="978"/>
      <c r="MS256" s="978"/>
      <c r="MT256" s="978"/>
      <c r="MU256" s="978"/>
      <c r="MV256" s="978"/>
      <c r="MW256" s="978"/>
      <c r="MX256" s="978"/>
      <c r="MY256" s="978"/>
      <c r="MZ256" s="978"/>
      <c r="NA256" s="978"/>
      <c r="NB256" s="978"/>
      <c r="NC256" s="978"/>
      <c r="ND256" s="978"/>
      <c r="NE256" s="978"/>
      <c r="NF256" s="978"/>
      <c r="NG256" s="978"/>
      <c r="NH256" s="978"/>
      <c r="NI256" s="978"/>
      <c r="NJ256" s="978"/>
      <c r="NK256" s="978"/>
      <c r="NL256" s="978"/>
      <c r="NM256" s="978"/>
      <c r="NN256" s="978"/>
      <c r="NO256" s="978"/>
      <c r="NP256" s="978"/>
      <c r="NQ256" s="978"/>
      <c r="NR256" s="978"/>
      <c r="NS256" s="978"/>
      <c r="NT256" s="978"/>
      <c r="NU256" s="978"/>
      <c r="NV256" s="978"/>
      <c r="NW256" s="978"/>
      <c r="NX256" s="978"/>
      <c r="NY256" s="978"/>
      <c r="NZ256" s="978"/>
      <c r="OA256" s="978"/>
      <c r="OB256" s="978"/>
      <c r="OC256" s="978"/>
      <c r="OD256" s="978"/>
      <c r="OE256" s="978"/>
      <c r="OF256" s="978"/>
      <c r="OG256" s="978"/>
      <c r="OH256" s="978"/>
      <c r="OI256" s="978"/>
      <c r="OJ256" s="978"/>
      <c r="OK256" s="978"/>
      <c r="OL256" s="978"/>
      <c r="OM256" s="978"/>
      <c r="ON256" s="978"/>
      <c r="OO256" s="978"/>
      <c r="OP256" s="978"/>
      <c r="OQ256" s="978"/>
      <c r="OR256" s="978"/>
      <c r="OS256" s="978"/>
      <c r="OT256" s="978"/>
      <c r="OU256" s="978"/>
      <c r="OV256" s="978"/>
      <c r="OW256" s="978"/>
      <c r="OX256" s="978"/>
      <c r="OY256" s="978"/>
      <c r="OZ256" s="978"/>
      <c r="PA256" s="978"/>
      <c r="PB256" s="978"/>
      <c r="PC256" s="978"/>
      <c r="PD256" s="978"/>
      <c r="PE256" s="978"/>
      <c r="PF256" s="978"/>
      <c r="PG256" s="978"/>
      <c r="PH256" s="978"/>
      <c r="PI256" s="978"/>
      <c r="PJ256" s="978"/>
      <c r="PK256" s="978"/>
      <c r="PL256" s="978"/>
      <c r="PM256" s="978"/>
      <c r="PN256" s="978"/>
      <c r="PO256" s="978"/>
      <c r="PP256" s="978"/>
      <c r="PQ256" s="978"/>
      <c r="PR256" s="978"/>
      <c r="PS256" s="978"/>
      <c r="PT256" s="978"/>
      <c r="PU256" s="978"/>
      <c r="PV256" s="978"/>
      <c r="PW256" s="978"/>
      <c r="PX256" s="978"/>
      <c r="PY256" s="978"/>
      <c r="PZ256" s="978"/>
      <c r="QA256" s="978"/>
      <c r="QB256" s="978"/>
      <c r="QC256" s="978"/>
      <c r="QD256" s="978"/>
      <c r="QE256" s="978"/>
      <c r="QF256" s="978"/>
      <c r="QG256" s="978"/>
      <c r="QH256" s="978"/>
      <c r="QI256" s="978"/>
      <c r="QJ256" s="978"/>
      <c r="QK256" s="978"/>
      <c r="QL256" s="978"/>
      <c r="QM256" s="978"/>
      <c r="QN256" s="978"/>
      <c r="QO256" s="978"/>
      <c r="QP256" s="978"/>
      <c r="QQ256" s="978"/>
      <c r="QR256" s="978"/>
      <c r="QS256" s="978"/>
      <c r="QT256" s="978"/>
      <c r="QU256" s="978"/>
      <c r="QV256" s="978"/>
      <c r="QW256" s="978"/>
      <c r="QX256" s="978"/>
      <c r="QY256" s="978"/>
      <c r="QZ256" s="978"/>
      <c r="RA256" s="978"/>
      <c r="RB256" s="274"/>
      <c r="RC256" s="274"/>
    </row>
    <row r="257" spans="112:471" ht="17.25">
      <c r="DH257" s="274"/>
      <c r="DI257" s="274"/>
      <c r="DJ257" s="978"/>
      <c r="DK257" s="978"/>
      <c r="DL257" s="978"/>
      <c r="DM257" s="978"/>
      <c r="DN257" s="978"/>
      <c r="DO257" s="978"/>
      <c r="DP257" s="978"/>
      <c r="DQ257" s="978"/>
      <c r="DR257" s="978"/>
      <c r="DS257" s="978"/>
      <c r="DT257" s="978"/>
      <c r="DU257" s="978"/>
      <c r="DV257" s="978"/>
      <c r="DW257" s="978"/>
      <c r="DX257" s="978"/>
      <c r="DY257" s="978"/>
      <c r="DZ257" s="978"/>
      <c r="EA257" s="978"/>
      <c r="EB257" s="978"/>
      <c r="EC257" s="978"/>
      <c r="ED257" s="978"/>
      <c r="EE257" s="978"/>
      <c r="EF257" s="978"/>
      <c r="EG257" s="978"/>
      <c r="EH257" s="978"/>
      <c r="EI257" s="978"/>
      <c r="EJ257" s="978"/>
      <c r="EK257" s="978"/>
      <c r="EL257" s="978"/>
      <c r="EM257" s="978"/>
      <c r="EN257" s="978"/>
      <c r="EO257" s="978"/>
      <c r="EP257" s="978"/>
      <c r="EQ257" s="978"/>
      <c r="ER257" s="978"/>
      <c r="ES257" s="978"/>
      <c r="ET257" s="978"/>
      <c r="EU257" s="978"/>
      <c r="EV257" s="978"/>
      <c r="EW257" s="978"/>
      <c r="EX257" s="978"/>
      <c r="EY257" s="978"/>
      <c r="EZ257" s="978"/>
      <c r="FA257" s="978"/>
      <c r="FB257" s="978"/>
      <c r="FC257" s="978"/>
      <c r="FD257" s="978"/>
      <c r="FE257" s="978"/>
      <c r="FF257" s="978"/>
      <c r="FG257" s="978"/>
      <c r="FH257" s="978"/>
      <c r="FI257" s="978"/>
      <c r="FJ257" s="978"/>
      <c r="FK257" s="978"/>
      <c r="FL257" s="978"/>
      <c r="FM257" s="978"/>
      <c r="FN257" s="978"/>
      <c r="FO257" s="978"/>
      <c r="FP257" s="978"/>
      <c r="FQ257" s="978"/>
      <c r="FR257" s="978"/>
      <c r="FS257" s="978"/>
      <c r="FT257" s="978"/>
      <c r="FU257" s="978"/>
      <c r="FV257" s="978"/>
      <c r="FW257" s="978"/>
      <c r="FX257" s="978"/>
      <c r="FY257" s="978"/>
      <c r="FZ257" s="978"/>
      <c r="GA257" s="978"/>
      <c r="GB257" s="978"/>
      <c r="GC257" s="978"/>
      <c r="GD257" s="978"/>
      <c r="GE257" s="978"/>
      <c r="GF257" s="978"/>
      <c r="GG257" s="978"/>
      <c r="GH257" s="978"/>
      <c r="GI257" s="978"/>
      <c r="GJ257" s="978"/>
      <c r="GK257" s="978"/>
      <c r="GL257" s="978"/>
      <c r="GM257" s="978"/>
      <c r="GN257" s="978"/>
      <c r="GO257" s="978"/>
      <c r="GP257" s="978"/>
      <c r="GQ257" s="978"/>
      <c r="GR257" s="978"/>
      <c r="GS257" s="978"/>
      <c r="GT257" s="978"/>
      <c r="GU257" s="978"/>
      <c r="GV257" s="978"/>
      <c r="GW257" s="978"/>
      <c r="GX257" s="978"/>
      <c r="GY257" s="978"/>
      <c r="GZ257" s="978"/>
      <c r="HA257" s="978"/>
      <c r="HB257" s="978"/>
      <c r="HC257" s="978"/>
      <c r="HD257" s="978"/>
      <c r="HE257" s="978"/>
      <c r="HF257" s="978"/>
      <c r="HG257" s="978"/>
      <c r="HH257" s="978"/>
      <c r="HI257" s="978"/>
      <c r="HJ257" s="978"/>
      <c r="HK257" s="978"/>
      <c r="HL257" s="978"/>
      <c r="HM257" s="978"/>
      <c r="HN257" s="978"/>
      <c r="HO257" s="978"/>
      <c r="HP257" s="978"/>
      <c r="HQ257" s="978"/>
      <c r="HR257" s="978"/>
      <c r="HS257" s="978"/>
      <c r="HT257" s="978"/>
      <c r="HU257" s="978"/>
      <c r="HV257" s="978"/>
      <c r="HW257" s="978"/>
      <c r="HX257" s="978"/>
      <c r="HY257" s="978"/>
      <c r="HZ257" s="978"/>
      <c r="IA257" s="978"/>
      <c r="IB257" s="978"/>
      <c r="IC257" s="978"/>
      <c r="ID257" s="978"/>
      <c r="IE257" s="978"/>
      <c r="IF257" s="978"/>
      <c r="IG257" s="978"/>
      <c r="IH257" s="978"/>
      <c r="II257" s="978"/>
      <c r="IJ257" s="978"/>
      <c r="IK257" s="978"/>
      <c r="IL257" s="978"/>
      <c r="IM257" s="978"/>
      <c r="IN257" s="978"/>
      <c r="IO257" s="978"/>
      <c r="IP257" s="978"/>
      <c r="IQ257" s="978"/>
      <c r="IR257" s="978"/>
      <c r="IS257" s="978"/>
      <c r="IT257" s="978"/>
      <c r="IU257" s="978"/>
      <c r="IV257" s="978"/>
      <c r="IW257" s="978"/>
      <c r="IX257" s="978"/>
      <c r="IY257" s="978"/>
      <c r="IZ257" s="978"/>
      <c r="JA257" s="978"/>
      <c r="JB257" s="978"/>
      <c r="JC257" s="978"/>
      <c r="JD257" s="978"/>
      <c r="JE257" s="978"/>
      <c r="JF257" s="978"/>
      <c r="JG257" s="978"/>
      <c r="JH257" s="978"/>
      <c r="JI257" s="978"/>
      <c r="JJ257" s="978"/>
      <c r="JK257" s="978"/>
      <c r="JL257" s="978"/>
      <c r="JM257" s="978"/>
      <c r="JN257" s="978"/>
      <c r="JO257" s="978"/>
      <c r="JP257" s="978"/>
      <c r="JQ257" s="978"/>
      <c r="JR257" s="978"/>
      <c r="JS257" s="978"/>
      <c r="JT257" s="978"/>
      <c r="JU257" s="978"/>
      <c r="JV257" s="978"/>
      <c r="JW257" s="978"/>
      <c r="JX257" s="978"/>
      <c r="JY257" s="978"/>
      <c r="JZ257" s="978"/>
      <c r="KA257" s="978"/>
      <c r="KB257" s="978"/>
      <c r="KC257" s="978"/>
      <c r="KD257" s="978"/>
      <c r="KE257" s="978"/>
      <c r="KF257" s="978"/>
      <c r="KG257" s="978"/>
      <c r="KH257" s="978"/>
      <c r="KI257" s="978"/>
      <c r="KJ257" s="978"/>
      <c r="KK257" s="978"/>
      <c r="KL257" s="978"/>
      <c r="KM257" s="978"/>
      <c r="KN257" s="978"/>
      <c r="KO257" s="978"/>
      <c r="KP257" s="978"/>
      <c r="KQ257" s="978"/>
      <c r="KR257" s="978"/>
      <c r="KS257" s="978"/>
      <c r="KT257" s="978"/>
      <c r="KU257" s="978"/>
      <c r="KV257" s="978"/>
      <c r="KW257" s="978"/>
      <c r="KX257" s="978"/>
      <c r="KY257" s="978"/>
      <c r="KZ257" s="978"/>
      <c r="LA257" s="978"/>
      <c r="LB257" s="978"/>
      <c r="LC257" s="978"/>
      <c r="LD257" s="978"/>
      <c r="LE257" s="978"/>
      <c r="LF257" s="978"/>
      <c r="LG257" s="978"/>
      <c r="LH257" s="978"/>
      <c r="LI257" s="978"/>
      <c r="LJ257" s="978"/>
      <c r="LK257" s="978"/>
      <c r="LL257" s="978"/>
      <c r="LM257" s="978"/>
      <c r="LN257" s="978"/>
      <c r="LO257" s="978"/>
      <c r="LP257" s="978"/>
      <c r="LQ257" s="978"/>
      <c r="LR257" s="978"/>
      <c r="LS257" s="978"/>
      <c r="LT257" s="978"/>
      <c r="LU257" s="978"/>
      <c r="LV257" s="978"/>
      <c r="LW257" s="978"/>
      <c r="LX257" s="978"/>
      <c r="LY257" s="978"/>
      <c r="LZ257" s="978"/>
      <c r="MA257" s="978"/>
      <c r="MB257" s="978"/>
      <c r="MC257" s="978"/>
      <c r="MD257" s="978"/>
      <c r="ME257" s="978"/>
      <c r="MF257" s="978"/>
      <c r="MG257" s="978"/>
      <c r="MH257" s="978"/>
      <c r="MI257" s="978"/>
      <c r="MJ257" s="978"/>
      <c r="MK257" s="978"/>
      <c r="ML257" s="978"/>
      <c r="MM257" s="978"/>
      <c r="MN257" s="978"/>
      <c r="MO257" s="978"/>
      <c r="MP257" s="978"/>
      <c r="MQ257" s="978"/>
      <c r="MR257" s="978"/>
      <c r="MS257" s="978"/>
      <c r="MT257" s="978"/>
      <c r="MU257" s="978"/>
      <c r="MV257" s="978"/>
      <c r="MW257" s="978"/>
      <c r="MX257" s="978"/>
      <c r="MY257" s="978"/>
      <c r="MZ257" s="978"/>
      <c r="NA257" s="978"/>
      <c r="NB257" s="978"/>
      <c r="NC257" s="978"/>
      <c r="ND257" s="978"/>
      <c r="NE257" s="978"/>
      <c r="NF257" s="978"/>
      <c r="NG257" s="978"/>
      <c r="NH257" s="978"/>
      <c r="NI257" s="978"/>
      <c r="NJ257" s="978"/>
      <c r="NK257" s="978"/>
      <c r="NL257" s="978"/>
      <c r="NM257" s="978"/>
      <c r="NN257" s="978"/>
      <c r="NO257" s="978"/>
      <c r="NP257" s="978"/>
      <c r="NQ257" s="978"/>
      <c r="NR257" s="978"/>
      <c r="NS257" s="978"/>
      <c r="NT257" s="978"/>
      <c r="NU257" s="978"/>
      <c r="NV257" s="978"/>
      <c r="NW257" s="978"/>
      <c r="NX257" s="978"/>
      <c r="NY257" s="978"/>
      <c r="NZ257" s="978"/>
      <c r="OA257" s="978"/>
      <c r="OB257" s="978"/>
      <c r="OC257" s="978"/>
      <c r="OD257" s="978"/>
      <c r="OE257" s="978"/>
      <c r="OF257" s="978"/>
      <c r="OG257" s="978"/>
      <c r="OH257" s="978"/>
      <c r="OI257" s="978"/>
      <c r="OJ257" s="978"/>
      <c r="OK257" s="978"/>
      <c r="OL257" s="978"/>
      <c r="OM257" s="978"/>
      <c r="ON257" s="978"/>
      <c r="OO257" s="978"/>
      <c r="OP257" s="978"/>
      <c r="OQ257" s="978"/>
      <c r="OR257" s="978"/>
      <c r="OS257" s="978"/>
      <c r="OT257" s="978"/>
      <c r="OU257" s="978"/>
      <c r="OV257" s="978"/>
      <c r="OW257" s="978"/>
      <c r="OX257" s="978"/>
      <c r="OY257" s="978"/>
      <c r="OZ257" s="978"/>
      <c r="PA257" s="978"/>
      <c r="PB257" s="978"/>
      <c r="PC257" s="978"/>
      <c r="PD257" s="978"/>
      <c r="PE257" s="978"/>
      <c r="PF257" s="978"/>
      <c r="PG257" s="978"/>
      <c r="PH257" s="978"/>
      <c r="PI257" s="978"/>
      <c r="PJ257" s="978"/>
      <c r="PK257" s="978"/>
      <c r="PL257" s="978"/>
      <c r="PM257" s="978"/>
      <c r="PN257" s="978"/>
      <c r="PO257" s="978"/>
      <c r="PP257" s="978"/>
      <c r="PQ257" s="978"/>
      <c r="PR257" s="978"/>
      <c r="PS257" s="978"/>
      <c r="PT257" s="978"/>
      <c r="PU257" s="978"/>
      <c r="PV257" s="978"/>
      <c r="PW257" s="978"/>
      <c r="PX257" s="978"/>
      <c r="PY257" s="978"/>
      <c r="PZ257" s="978"/>
      <c r="QA257" s="978"/>
      <c r="QB257" s="978"/>
      <c r="QC257" s="978"/>
      <c r="QD257" s="978"/>
      <c r="QE257" s="978"/>
      <c r="QF257" s="978"/>
      <c r="QG257" s="978"/>
      <c r="QH257" s="978"/>
      <c r="QI257" s="978"/>
      <c r="QJ257" s="978"/>
      <c r="QK257" s="978"/>
      <c r="QL257" s="978"/>
      <c r="QM257" s="978"/>
      <c r="QN257" s="978"/>
      <c r="QO257" s="978"/>
      <c r="QP257" s="978"/>
      <c r="QQ257" s="978"/>
      <c r="QR257" s="978"/>
      <c r="QS257" s="978"/>
      <c r="QT257" s="978"/>
      <c r="QU257" s="978"/>
      <c r="QV257" s="978"/>
      <c r="QW257" s="978"/>
      <c r="QX257" s="978"/>
      <c r="QY257" s="978"/>
      <c r="QZ257" s="978"/>
      <c r="RA257" s="978"/>
      <c r="RB257" s="274"/>
      <c r="RC257" s="274"/>
    </row>
    <row r="258" spans="112:471" ht="17.25">
      <c r="DH258" s="274"/>
      <c r="DI258" s="274"/>
      <c r="DJ258" s="978"/>
      <c r="DK258" s="978"/>
      <c r="DL258" s="978"/>
      <c r="DM258" s="978"/>
      <c r="DN258" s="978"/>
      <c r="DO258" s="978"/>
      <c r="DP258" s="978"/>
      <c r="DQ258" s="978"/>
      <c r="DR258" s="978"/>
      <c r="DS258" s="978"/>
      <c r="DT258" s="978"/>
      <c r="DU258" s="978"/>
      <c r="DV258" s="978"/>
      <c r="DW258" s="978"/>
      <c r="DX258" s="978"/>
      <c r="DY258" s="978"/>
      <c r="DZ258" s="978"/>
      <c r="EA258" s="978"/>
      <c r="EB258" s="978"/>
      <c r="EC258" s="978"/>
      <c r="ED258" s="978"/>
      <c r="EE258" s="978"/>
      <c r="EF258" s="978"/>
      <c r="EG258" s="978"/>
      <c r="EH258" s="978"/>
      <c r="EI258" s="978"/>
      <c r="EJ258" s="978"/>
      <c r="EK258" s="978"/>
      <c r="EL258" s="978"/>
      <c r="EM258" s="978"/>
      <c r="EN258" s="978"/>
      <c r="EO258" s="978"/>
      <c r="EP258" s="978"/>
      <c r="EQ258" s="978"/>
      <c r="ER258" s="978"/>
      <c r="ES258" s="978"/>
      <c r="ET258" s="978"/>
      <c r="EU258" s="978"/>
      <c r="EV258" s="978"/>
      <c r="EW258" s="978"/>
      <c r="EX258" s="978"/>
      <c r="EY258" s="978"/>
      <c r="EZ258" s="978"/>
      <c r="FA258" s="978"/>
      <c r="FB258" s="978"/>
      <c r="FC258" s="978"/>
      <c r="FD258" s="978"/>
      <c r="FE258" s="978"/>
      <c r="FF258" s="978"/>
      <c r="FG258" s="978"/>
      <c r="FH258" s="978"/>
      <c r="FI258" s="978"/>
      <c r="FJ258" s="978"/>
      <c r="FK258" s="978"/>
      <c r="FL258" s="978"/>
      <c r="FM258" s="978"/>
      <c r="FN258" s="978"/>
      <c r="FO258" s="978"/>
      <c r="FP258" s="978"/>
      <c r="FQ258" s="978"/>
      <c r="FR258" s="978"/>
      <c r="FS258" s="978"/>
      <c r="FT258" s="978"/>
      <c r="FU258" s="978"/>
      <c r="FV258" s="978"/>
      <c r="FW258" s="978"/>
      <c r="FX258" s="978"/>
      <c r="FY258" s="978"/>
      <c r="FZ258" s="978"/>
      <c r="GA258" s="978"/>
      <c r="GB258" s="978"/>
      <c r="GC258" s="978"/>
      <c r="GD258" s="978"/>
      <c r="GE258" s="978"/>
      <c r="GF258" s="978"/>
      <c r="GG258" s="978"/>
      <c r="GH258" s="978"/>
      <c r="GI258" s="978"/>
      <c r="GJ258" s="978"/>
      <c r="GK258" s="978"/>
      <c r="GL258" s="978"/>
      <c r="GM258" s="978"/>
      <c r="GN258" s="978"/>
      <c r="GO258" s="978"/>
      <c r="GP258" s="978"/>
      <c r="GQ258" s="978"/>
      <c r="GR258" s="978"/>
      <c r="GS258" s="978"/>
      <c r="GT258" s="978"/>
      <c r="GU258" s="978"/>
      <c r="GV258" s="978"/>
      <c r="GW258" s="978"/>
      <c r="GX258" s="978"/>
      <c r="GY258" s="978"/>
      <c r="GZ258" s="978"/>
      <c r="HA258" s="978"/>
      <c r="HB258" s="978"/>
      <c r="HC258" s="978"/>
      <c r="HD258" s="978"/>
      <c r="HE258" s="978"/>
      <c r="HF258" s="978"/>
      <c r="HG258" s="978"/>
      <c r="HH258" s="978"/>
      <c r="HI258" s="978"/>
      <c r="HJ258" s="978"/>
      <c r="HK258" s="978"/>
      <c r="HL258" s="978"/>
      <c r="HM258" s="978"/>
      <c r="HN258" s="978"/>
      <c r="HO258" s="978"/>
      <c r="HP258" s="978"/>
      <c r="HQ258" s="978"/>
      <c r="HR258" s="978"/>
      <c r="HS258" s="978"/>
      <c r="HT258" s="978"/>
      <c r="HU258" s="978"/>
      <c r="HV258" s="978"/>
      <c r="HW258" s="978"/>
      <c r="HX258" s="978"/>
      <c r="HY258" s="978"/>
      <c r="HZ258" s="978"/>
      <c r="IA258" s="978"/>
      <c r="IB258" s="978"/>
      <c r="IC258" s="978"/>
      <c r="ID258" s="978"/>
      <c r="IE258" s="978"/>
      <c r="IF258" s="978"/>
      <c r="IG258" s="978"/>
      <c r="IH258" s="978"/>
      <c r="II258" s="978"/>
      <c r="IJ258" s="978"/>
      <c r="IK258" s="978"/>
      <c r="IL258" s="978"/>
      <c r="IM258" s="978"/>
      <c r="IN258" s="978"/>
      <c r="IO258" s="978"/>
      <c r="IP258" s="978"/>
      <c r="IQ258" s="978"/>
      <c r="IR258" s="978"/>
      <c r="IS258" s="978"/>
      <c r="IT258" s="978"/>
      <c r="IU258" s="978"/>
      <c r="IV258" s="978"/>
      <c r="IW258" s="978"/>
      <c r="IX258" s="978"/>
      <c r="IY258" s="978"/>
      <c r="IZ258" s="978"/>
      <c r="JA258" s="978"/>
      <c r="JB258" s="978"/>
      <c r="JC258" s="978"/>
      <c r="JD258" s="978"/>
      <c r="JE258" s="978"/>
      <c r="JF258" s="978"/>
      <c r="JG258" s="978"/>
      <c r="JH258" s="978"/>
      <c r="JI258" s="978"/>
      <c r="JJ258" s="978"/>
      <c r="JK258" s="978"/>
      <c r="JL258" s="978"/>
      <c r="JM258" s="978"/>
      <c r="JN258" s="978"/>
      <c r="JO258" s="978"/>
      <c r="JP258" s="978"/>
      <c r="JQ258" s="978"/>
      <c r="JR258" s="978"/>
      <c r="JS258" s="978"/>
      <c r="JT258" s="978"/>
      <c r="JU258" s="978"/>
      <c r="JV258" s="978"/>
      <c r="JW258" s="978"/>
      <c r="JX258" s="978"/>
      <c r="JY258" s="978"/>
      <c r="JZ258" s="978"/>
      <c r="KA258" s="978"/>
      <c r="KB258" s="978"/>
      <c r="KC258" s="978"/>
      <c r="KD258" s="978"/>
      <c r="KE258" s="978"/>
      <c r="KF258" s="978"/>
      <c r="KG258" s="978"/>
      <c r="KH258" s="978"/>
      <c r="KI258" s="978"/>
      <c r="KJ258" s="978"/>
      <c r="KK258" s="978"/>
      <c r="KL258" s="978"/>
      <c r="KM258" s="978"/>
      <c r="KN258" s="978"/>
      <c r="KO258" s="978"/>
      <c r="KP258" s="978"/>
      <c r="KQ258" s="978"/>
      <c r="KR258" s="978"/>
      <c r="KS258" s="978"/>
      <c r="KT258" s="978"/>
      <c r="KU258" s="978"/>
      <c r="KV258" s="978"/>
      <c r="KW258" s="978"/>
      <c r="KX258" s="978"/>
      <c r="KY258" s="978"/>
      <c r="KZ258" s="978"/>
      <c r="LA258" s="978"/>
      <c r="LB258" s="978"/>
      <c r="LC258" s="978"/>
      <c r="LD258" s="978"/>
      <c r="LE258" s="978"/>
      <c r="LF258" s="978"/>
      <c r="LG258" s="978"/>
      <c r="LH258" s="978"/>
      <c r="LI258" s="978"/>
      <c r="LJ258" s="978"/>
      <c r="LK258" s="978"/>
      <c r="LL258" s="978"/>
      <c r="LM258" s="978"/>
      <c r="LN258" s="978"/>
      <c r="LO258" s="978"/>
      <c r="LP258" s="978"/>
      <c r="LQ258" s="978"/>
      <c r="LR258" s="978"/>
      <c r="LS258" s="978"/>
      <c r="LT258" s="978"/>
      <c r="LU258" s="978"/>
      <c r="LV258" s="978"/>
      <c r="LW258" s="978"/>
      <c r="LX258" s="978"/>
      <c r="LY258" s="978"/>
      <c r="LZ258" s="978"/>
      <c r="MA258" s="978"/>
      <c r="MB258" s="978"/>
      <c r="MC258" s="978"/>
      <c r="MD258" s="978"/>
      <c r="ME258" s="978"/>
      <c r="MF258" s="978"/>
      <c r="MG258" s="978"/>
      <c r="MH258" s="978"/>
      <c r="MI258" s="978"/>
      <c r="MJ258" s="978"/>
      <c r="MK258" s="978"/>
      <c r="ML258" s="978"/>
      <c r="MM258" s="978"/>
      <c r="MN258" s="978"/>
      <c r="MO258" s="978"/>
      <c r="MP258" s="978"/>
      <c r="MQ258" s="978"/>
      <c r="MR258" s="978"/>
      <c r="MS258" s="978"/>
      <c r="MT258" s="978"/>
      <c r="MU258" s="978"/>
      <c r="MV258" s="978"/>
      <c r="MW258" s="978"/>
      <c r="MX258" s="978"/>
      <c r="MY258" s="978"/>
      <c r="MZ258" s="978"/>
      <c r="NA258" s="978"/>
      <c r="NB258" s="978"/>
      <c r="NC258" s="978"/>
      <c r="ND258" s="978"/>
      <c r="NE258" s="978"/>
      <c r="NF258" s="978"/>
      <c r="NG258" s="978"/>
      <c r="NH258" s="978"/>
      <c r="NI258" s="978"/>
      <c r="NJ258" s="978"/>
      <c r="NK258" s="978"/>
      <c r="NL258" s="978"/>
      <c r="NM258" s="978"/>
      <c r="NN258" s="978"/>
      <c r="NO258" s="978"/>
      <c r="NP258" s="978"/>
      <c r="NQ258" s="978"/>
      <c r="NR258" s="978"/>
      <c r="NS258" s="978"/>
      <c r="NT258" s="978"/>
      <c r="NU258" s="978"/>
      <c r="NV258" s="978"/>
      <c r="NW258" s="978"/>
      <c r="NX258" s="978"/>
      <c r="NY258" s="978"/>
      <c r="NZ258" s="978"/>
      <c r="OA258" s="978"/>
      <c r="OB258" s="978"/>
      <c r="OC258" s="978"/>
      <c r="OD258" s="978"/>
      <c r="OE258" s="978"/>
      <c r="OF258" s="978"/>
      <c r="OG258" s="978"/>
      <c r="OH258" s="978"/>
      <c r="OI258" s="978"/>
      <c r="OJ258" s="978"/>
      <c r="OK258" s="978"/>
      <c r="OL258" s="978"/>
      <c r="OM258" s="978"/>
      <c r="ON258" s="978"/>
      <c r="OO258" s="978"/>
      <c r="OP258" s="978"/>
      <c r="OQ258" s="978"/>
      <c r="OR258" s="978"/>
      <c r="OS258" s="978"/>
      <c r="OT258" s="978"/>
      <c r="OU258" s="978"/>
      <c r="OV258" s="978"/>
      <c r="OW258" s="978"/>
      <c r="OX258" s="978"/>
      <c r="OY258" s="978"/>
      <c r="OZ258" s="978"/>
      <c r="PA258" s="978"/>
      <c r="PB258" s="978"/>
      <c r="PC258" s="978"/>
      <c r="PD258" s="978"/>
      <c r="PE258" s="978"/>
      <c r="PF258" s="978"/>
      <c r="PG258" s="978"/>
      <c r="PH258" s="978"/>
      <c r="PI258" s="978"/>
      <c r="PJ258" s="978"/>
      <c r="PK258" s="978"/>
      <c r="PL258" s="978"/>
      <c r="PM258" s="978"/>
      <c r="PN258" s="978"/>
      <c r="PO258" s="978"/>
      <c r="PP258" s="978"/>
      <c r="PQ258" s="978"/>
      <c r="PR258" s="978"/>
      <c r="PS258" s="978"/>
      <c r="PT258" s="978"/>
      <c r="PU258" s="978"/>
      <c r="PV258" s="978"/>
      <c r="PW258" s="978"/>
      <c r="PX258" s="978"/>
      <c r="PY258" s="978"/>
      <c r="PZ258" s="978"/>
      <c r="QA258" s="978"/>
      <c r="QB258" s="978"/>
      <c r="QC258" s="978"/>
      <c r="QD258" s="978"/>
      <c r="QE258" s="978"/>
      <c r="QF258" s="978"/>
      <c r="QG258" s="978"/>
      <c r="QH258" s="978"/>
      <c r="QI258" s="978"/>
      <c r="QJ258" s="978"/>
      <c r="QK258" s="978"/>
      <c r="QL258" s="978"/>
      <c r="QM258" s="978"/>
      <c r="QN258" s="978"/>
      <c r="QO258" s="978"/>
      <c r="QP258" s="978"/>
      <c r="QQ258" s="978"/>
      <c r="QR258" s="978"/>
      <c r="QS258" s="978"/>
      <c r="QT258" s="978"/>
      <c r="QU258" s="978"/>
      <c r="QV258" s="978"/>
      <c r="QW258" s="978"/>
      <c r="QX258" s="978"/>
      <c r="QY258" s="978"/>
      <c r="QZ258" s="978"/>
      <c r="RA258" s="978"/>
      <c r="RB258" s="274"/>
      <c r="RC258" s="274"/>
    </row>
    <row r="259" spans="112:471" ht="17.25">
      <c r="DH259" s="274"/>
      <c r="DI259" s="274"/>
      <c r="DJ259" s="978"/>
      <c r="DK259" s="978"/>
      <c r="DL259" s="978"/>
      <c r="DM259" s="978"/>
      <c r="DN259" s="978"/>
      <c r="DO259" s="978"/>
      <c r="DP259" s="978"/>
      <c r="DQ259" s="978"/>
      <c r="DR259" s="978"/>
      <c r="DS259" s="978"/>
      <c r="DT259" s="978"/>
      <c r="DU259" s="978"/>
      <c r="DV259" s="978"/>
      <c r="DW259" s="978"/>
      <c r="DX259" s="978"/>
      <c r="DY259" s="978"/>
      <c r="DZ259" s="978"/>
      <c r="EA259" s="978"/>
      <c r="EB259" s="978"/>
      <c r="EC259" s="978"/>
      <c r="ED259" s="978"/>
      <c r="EE259" s="978"/>
      <c r="EF259" s="978"/>
      <c r="EG259" s="978"/>
      <c r="EH259" s="978"/>
      <c r="EI259" s="978"/>
      <c r="EJ259" s="978"/>
      <c r="EK259" s="978"/>
      <c r="EL259" s="978"/>
      <c r="EM259" s="978"/>
      <c r="EN259" s="978"/>
      <c r="EO259" s="978"/>
      <c r="EP259" s="978"/>
      <c r="EQ259" s="978"/>
      <c r="ER259" s="978"/>
      <c r="ES259" s="978"/>
      <c r="ET259" s="978"/>
      <c r="EU259" s="978"/>
      <c r="EV259" s="978"/>
      <c r="EW259" s="978"/>
      <c r="EX259" s="978"/>
      <c r="EY259" s="978"/>
      <c r="EZ259" s="978"/>
      <c r="FA259" s="978"/>
      <c r="FB259" s="978"/>
      <c r="FC259" s="978"/>
      <c r="FD259" s="978"/>
      <c r="FE259" s="978"/>
      <c r="FF259" s="978"/>
      <c r="FG259" s="978"/>
      <c r="FH259" s="978"/>
      <c r="FI259" s="978"/>
      <c r="FJ259" s="978"/>
      <c r="FK259" s="978"/>
      <c r="FL259" s="978"/>
      <c r="FM259" s="978"/>
      <c r="FN259" s="978"/>
      <c r="FO259" s="978"/>
      <c r="FP259" s="978"/>
      <c r="FQ259" s="978"/>
      <c r="FR259" s="978"/>
      <c r="FS259" s="978"/>
      <c r="FT259" s="978"/>
      <c r="FU259" s="978"/>
      <c r="FV259" s="978"/>
      <c r="FW259" s="978"/>
      <c r="FX259" s="978"/>
      <c r="FY259" s="978"/>
      <c r="FZ259" s="978"/>
      <c r="GA259" s="978"/>
      <c r="GB259" s="978"/>
      <c r="GC259" s="978"/>
      <c r="GD259" s="978"/>
      <c r="GE259" s="978"/>
      <c r="GF259" s="978"/>
      <c r="GG259" s="978"/>
      <c r="GH259" s="978"/>
      <c r="GI259" s="978"/>
      <c r="GJ259" s="978"/>
      <c r="GK259" s="978"/>
      <c r="GL259" s="978"/>
      <c r="GM259" s="978"/>
      <c r="GN259" s="978"/>
      <c r="GO259" s="978"/>
      <c r="GP259" s="978"/>
      <c r="GQ259" s="978"/>
      <c r="GR259" s="978"/>
      <c r="GS259" s="978"/>
      <c r="GT259" s="978"/>
      <c r="GU259" s="978"/>
      <c r="GV259" s="978"/>
      <c r="GW259" s="978"/>
      <c r="GX259" s="978"/>
      <c r="GY259" s="978"/>
      <c r="GZ259" s="978"/>
      <c r="HA259" s="978"/>
      <c r="HB259" s="978"/>
      <c r="HC259" s="978"/>
      <c r="HD259" s="978"/>
      <c r="HE259" s="978"/>
      <c r="HF259" s="978"/>
      <c r="HG259" s="978"/>
      <c r="HH259" s="978"/>
      <c r="HI259" s="978"/>
      <c r="HJ259" s="978"/>
      <c r="HK259" s="978"/>
      <c r="HL259" s="978"/>
      <c r="HM259" s="978"/>
      <c r="HN259" s="978"/>
      <c r="HO259" s="978"/>
      <c r="HP259" s="978"/>
      <c r="HQ259" s="978"/>
      <c r="HR259" s="978"/>
      <c r="HS259" s="978"/>
      <c r="HT259" s="978"/>
      <c r="HU259" s="978"/>
      <c r="HV259" s="978"/>
      <c r="HW259" s="978"/>
      <c r="HX259" s="978"/>
      <c r="HY259" s="978"/>
      <c r="HZ259" s="978"/>
      <c r="IA259" s="978"/>
      <c r="IB259" s="978"/>
      <c r="IC259" s="978"/>
      <c r="ID259" s="978"/>
      <c r="IE259" s="978"/>
      <c r="IF259" s="978"/>
      <c r="IG259" s="978"/>
      <c r="IH259" s="978"/>
      <c r="II259" s="978"/>
      <c r="IJ259" s="978"/>
      <c r="IK259" s="978"/>
      <c r="IL259" s="978"/>
      <c r="IM259" s="978"/>
      <c r="IN259" s="978"/>
      <c r="IO259" s="978"/>
      <c r="IP259" s="978"/>
      <c r="IQ259" s="978"/>
      <c r="IR259" s="978"/>
      <c r="IS259" s="978"/>
      <c r="IT259" s="978"/>
      <c r="IU259" s="978"/>
      <c r="IV259" s="978"/>
      <c r="IW259" s="978"/>
      <c r="IX259" s="978"/>
      <c r="IY259" s="978"/>
      <c r="IZ259" s="978"/>
      <c r="JA259" s="978"/>
      <c r="JB259" s="978"/>
      <c r="JC259" s="978"/>
      <c r="JD259" s="978"/>
      <c r="JE259" s="978"/>
      <c r="JF259" s="978"/>
      <c r="JG259" s="978"/>
      <c r="JH259" s="978"/>
      <c r="JI259" s="978"/>
      <c r="JJ259" s="978"/>
      <c r="JK259" s="978"/>
      <c r="JL259" s="978"/>
      <c r="JM259" s="978"/>
      <c r="JN259" s="978"/>
      <c r="JO259" s="978"/>
      <c r="JP259" s="978"/>
      <c r="JQ259" s="978"/>
      <c r="JR259" s="978"/>
      <c r="JS259" s="978"/>
      <c r="JT259" s="978"/>
      <c r="JU259" s="978"/>
      <c r="JV259" s="978"/>
      <c r="JW259" s="978"/>
      <c r="JX259" s="978"/>
      <c r="JY259" s="978"/>
      <c r="JZ259" s="978"/>
      <c r="KA259" s="978"/>
      <c r="KB259" s="978"/>
      <c r="KC259" s="978"/>
      <c r="KD259" s="978"/>
      <c r="KE259" s="978"/>
      <c r="KF259" s="978"/>
      <c r="KG259" s="978"/>
      <c r="KH259" s="978"/>
      <c r="KI259" s="978"/>
      <c r="KJ259" s="978"/>
      <c r="KK259" s="978"/>
      <c r="KL259" s="978"/>
      <c r="KM259" s="978"/>
      <c r="KN259" s="978"/>
      <c r="KO259" s="978"/>
      <c r="KP259" s="978"/>
      <c r="KQ259" s="978"/>
      <c r="KR259" s="978"/>
      <c r="KS259" s="978"/>
      <c r="KT259" s="978"/>
      <c r="KU259" s="978"/>
      <c r="KV259" s="978"/>
      <c r="KW259" s="978"/>
      <c r="KX259" s="978"/>
      <c r="KY259" s="978"/>
      <c r="KZ259" s="978"/>
      <c r="LA259" s="978"/>
      <c r="LB259" s="978"/>
      <c r="LC259" s="978"/>
      <c r="LD259" s="978"/>
      <c r="LE259" s="978"/>
      <c r="LF259" s="978"/>
      <c r="LG259" s="978"/>
      <c r="LH259" s="978"/>
      <c r="LI259" s="978"/>
      <c r="LJ259" s="978"/>
      <c r="LK259" s="978"/>
      <c r="LL259" s="978"/>
      <c r="LM259" s="978"/>
      <c r="LN259" s="978"/>
      <c r="LO259" s="978"/>
      <c r="LP259" s="978"/>
      <c r="LQ259" s="978"/>
      <c r="LR259" s="978"/>
      <c r="LS259" s="978"/>
      <c r="LT259" s="978"/>
      <c r="LU259" s="978"/>
      <c r="LV259" s="978"/>
      <c r="LW259" s="978"/>
      <c r="LX259" s="978"/>
      <c r="LY259" s="978"/>
      <c r="LZ259" s="978"/>
      <c r="MA259" s="978"/>
      <c r="MB259" s="978"/>
      <c r="MC259" s="978"/>
      <c r="MD259" s="978"/>
      <c r="ME259" s="978"/>
      <c r="MF259" s="978"/>
      <c r="MG259" s="978"/>
      <c r="MH259" s="978"/>
      <c r="MI259" s="978"/>
      <c r="MJ259" s="978"/>
      <c r="MK259" s="978"/>
      <c r="ML259" s="978"/>
      <c r="MM259" s="978"/>
      <c r="MN259" s="978"/>
      <c r="MO259" s="978"/>
      <c r="MP259" s="978"/>
      <c r="MQ259" s="978"/>
      <c r="MR259" s="978"/>
      <c r="MS259" s="978"/>
      <c r="MT259" s="978"/>
      <c r="MU259" s="978"/>
      <c r="MV259" s="978"/>
      <c r="MW259" s="978"/>
      <c r="MX259" s="978"/>
      <c r="MY259" s="978"/>
      <c r="MZ259" s="978"/>
      <c r="NA259" s="978"/>
      <c r="NB259" s="978"/>
      <c r="NC259" s="978"/>
      <c r="ND259" s="978"/>
      <c r="NE259" s="978"/>
      <c r="NF259" s="978"/>
      <c r="NG259" s="978"/>
      <c r="NH259" s="978"/>
      <c r="NI259" s="978"/>
      <c r="NJ259" s="978"/>
      <c r="NK259" s="978"/>
      <c r="NL259" s="978"/>
      <c r="NM259" s="978"/>
      <c r="NN259" s="978"/>
      <c r="NO259" s="978"/>
      <c r="NP259" s="978"/>
      <c r="NQ259" s="978"/>
      <c r="NR259" s="978"/>
      <c r="NS259" s="978"/>
      <c r="NT259" s="978"/>
      <c r="NU259" s="978"/>
      <c r="NV259" s="978"/>
      <c r="NW259" s="978"/>
      <c r="NX259" s="978"/>
      <c r="NY259" s="978"/>
      <c r="NZ259" s="978"/>
      <c r="OA259" s="978"/>
      <c r="OB259" s="978"/>
      <c r="OC259" s="978"/>
      <c r="OD259" s="978"/>
      <c r="OE259" s="978"/>
      <c r="OF259" s="978"/>
      <c r="OG259" s="978"/>
      <c r="OH259" s="978"/>
      <c r="OI259" s="978"/>
      <c r="OJ259" s="978"/>
      <c r="OK259" s="978"/>
      <c r="OL259" s="978"/>
      <c r="OM259" s="978"/>
      <c r="ON259" s="978"/>
      <c r="OO259" s="978"/>
      <c r="OP259" s="978"/>
      <c r="OQ259" s="978"/>
      <c r="OR259" s="978"/>
      <c r="OS259" s="978"/>
      <c r="OT259" s="978"/>
      <c r="OU259" s="978"/>
      <c r="OV259" s="978"/>
      <c r="OW259" s="978"/>
      <c r="OX259" s="978"/>
      <c r="OY259" s="978"/>
      <c r="OZ259" s="978"/>
      <c r="PA259" s="978"/>
      <c r="PB259" s="978"/>
      <c r="PC259" s="978"/>
      <c r="PD259" s="978"/>
      <c r="PE259" s="978"/>
      <c r="PF259" s="978"/>
      <c r="PG259" s="978"/>
      <c r="PH259" s="978"/>
      <c r="PI259" s="978"/>
      <c r="PJ259" s="978"/>
      <c r="PK259" s="978"/>
      <c r="PL259" s="978"/>
      <c r="PM259" s="978"/>
      <c r="PN259" s="978"/>
      <c r="PO259" s="978"/>
      <c r="PP259" s="978"/>
      <c r="PQ259" s="978"/>
      <c r="PR259" s="978"/>
      <c r="PS259" s="978"/>
      <c r="PT259" s="978"/>
      <c r="PU259" s="978"/>
      <c r="PV259" s="978"/>
      <c r="PW259" s="978"/>
      <c r="PX259" s="978"/>
      <c r="PY259" s="978"/>
      <c r="PZ259" s="978"/>
      <c r="QA259" s="978"/>
      <c r="QB259" s="978"/>
      <c r="QC259" s="978"/>
      <c r="QD259" s="978"/>
      <c r="QE259" s="978"/>
      <c r="QF259" s="978"/>
      <c r="QG259" s="978"/>
      <c r="QH259" s="978"/>
      <c r="QI259" s="978"/>
      <c r="QJ259" s="978"/>
      <c r="QK259" s="978"/>
      <c r="QL259" s="978"/>
      <c r="QM259" s="978"/>
      <c r="QN259" s="978"/>
      <c r="QO259" s="978"/>
      <c r="QP259" s="978"/>
      <c r="QQ259" s="978"/>
      <c r="QR259" s="978"/>
      <c r="QS259" s="978"/>
      <c r="QT259" s="978"/>
      <c r="QU259" s="978"/>
      <c r="QV259" s="978"/>
      <c r="QW259" s="978"/>
      <c r="QX259" s="978"/>
      <c r="QY259" s="978"/>
      <c r="QZ259" s="978"/>
      <c r="RA259" s="978"/>
      <c r="RB259" s="274"/>
      <c r="RC259" s="274"/>
    </row>
    <row r="260" spans="112:471" ht="17.25">
      <c r="DH260" s="274"/>
      <c r="DI260" s="274"/>
      <c r="DJ260" s="978"/>
      <c r="DK260" s="978"/>
      <c r="DL260" s="978"/>
      <c r="DM260" s="978"/>
      <c r="DN260" s="978"/>
      <c r="DO260" s="978"/>
      <c r="DP260" s="978"/>
      <c r="DQ260" s="978"/>
      <c r="DR260" s="978"/>
      <c r="DS260" s="978"/>
      <c r="DT260" s="978"/>
      <c r="DU260" s="978"/>
      <c r="DV260" s="978"/>
      <c r="DW260" s="978"/>
      <c r="DX260" s="978"/>
      <c r="DY260" s="978"/>
      <c r="DZ260" s="978"/>
      <c r="EA260" s="978"/>
      <c r="EB260" s="978"/>
      <c r="EC260" s="978"/>
      <c r="ED260" s="978"/>
      <c r="EE260" s="978"/>
      <c r="EF260" s="978"/>
      <c r="EG260" s="978"/>
      <c r="EH260" s="978"/>
      <c r="EI260" s="978"/>
      <c r="EJ260" s="978"/>
      <c r="EK260" s="978"/>
      <c r="EL260" s="978"/>
      <c r="EM260" s="978"/>
      <c r="EN260" s="978"/>
      <c r="EO260" s="978"/>
      <c r="EP260" s="978"/>
      <c r="EQ260" s="978"/>
      <c r="ER260" s="978"/>
      <c r="ES260" s="978"/>
      <c r="ET260" s="978"/>
      <c r="EU260" s="978"/>
      <c r="EV260" s="978"/>
      <c r="EW260" s="978"/>
      <c r="EX260" s="978"/>
      <c r="EY260" s="978"/>
      <c r="EZ260" s="978"/>
      <c r="FA260" s="978"/>
      <c r="FB260" s="978"/>
      <c r="FC260" s="978"/>
      <c r="FD260" s="978"/>
      <c r="FE260" s="978"/>
      <c r="FF260" s="978"/>
      <c r="FG260" s="978"/>
      <c r="FH260" s="978"/>
      <c r="FI260" s="978"/>
      <c r="FJ260" s="978"/>
      <c r="FK260" s="978"/>
      <c r="FL260" s="978"/>
      <c r="FM260" s="978"/>
      <c r="FN260" s="978"/>
      <c r="FO260" s="978"/>
      <c r="FP260" s="978"/>
      <c r="FQ260" s="978"/>
      <c r="FR260" s="978"/>
      <c r="FS260" s="978"/>
      <c r="FT260" s="978"/>
      <c r="FU260" s="978"/>
      <c r="FV260" s="978"/>
      <c r="FW260" s="978"/>
      <c r="FX260" s="978"/>
      <c r="FY260" s="978"/>
      <c r="FZ260" s="978"/>
      <c r="GA260" s="978"/>
      <c r="GB260" s="978"/>
      <c r="GC260" s="978"/>
      <c r="GD260" s="978"/>
      <c r="GE260" s="978"/>
      <c r="GF260" s="978"/>
      <c r="GG260" s="978"/>
      <c r="GH260" s="978"/>
      <c r="GI260" s="978"/>
      <c r="GJ260" s="978"/>
      <c r="GK260" s="978"/>
      <c r="GL260" s="978"/>
      <c r="GM260" s="978"/>
      <c r="GN260" s="978"/>
      <c r="GO260" s="978"/>
      <c r="GP260" s="978"/>
      <c r="GQ260" s="978"/>
      <c r="GR260" s="978"/>
      <c r="GS260" s="978"/>
      <c r="GT260" s="978"/>
      <c r="GU260" s="978"/>
      <c r="GV260" s="978"/>
      <c r="GW260" s="978"/>
      <c r="GX260" s="978"/>
      <c r="GY260" s="978"/>
      <c r="GZ260" s="978"/>
      <c r="HA260" s="978"/>
      <c r="HB260" s="978"/>
      <c r="HC260" s="978"/>
      <c r="HD260" s="978"/>
      <c r="HE260" s="978"/>
      <c r="HF260" s="978"/>
      <c r="HG260" s="978"/>
      <c r="HH260" s="978"/>
      <c r="HI260" s="978"/>
      <c r="HJ260" s="978"/>
      <c r="HK260" s="978"/>
      <c r="HL260" s="978"/>
      <c r="HM260" s="978"/>
      <c r="HN260" s="978"/>
      <c r="HO260" s="978"/>
      <c r="HP260" s="978"/>
      <c r="HQ260" s="978"/>
      <c r="HR260" s="978"/>
      <c r="HS260" s="978"/>
      <c r="HT260" s="978"/>
      <c r="HU260" s="978"/>
      <c r="HV260" s="978"/>
      <c r="HW260" s="978"/>
      <c r="HX260" s="978"/>
      <c r="HY260" s="978"/>
      <c r="HZ260" s="978"/>
      <c r="IA260" s="978"/>
      <c r="IB260" s="978"/>
      <c r="IC260" s="978"/>
      <c r="ID260" s="978"/>
      <c r="IE260" s="978"/>
      <c r="IF260" s="978"/>
      <c r="IG260" s="978"/>
      <c r="IH260" s="978"/>
      <c r="II260" s="978"/>
      <c r="IJ260" s="978"/>
      <c r="IK260" s="978"/>
      <c r="IL260" s="978"/>
      <c r="IM260" s="978"/>
      <c r="IN260" s="978"/>
      <c r="IO260" s="978"/>
      <c r="IP260" s="978"/>
      <c r="IQ260" s="978"/>
      <c r="IR260" s="978"/>
      <c r="IS260" s="978"/>
      <c r="IT260" s="978"/>
      <c r="IU260" s="978"/>
      <c r="IV260" s="978"/>
      <c r="IW260" s="978"/>
      <c r="IX260" s="978"/>
      <c r="IY260" s="978"/>
      <c r="IZ260" s="978"/>
      <c r="JA260" s="978"/>
      <c r="JB260" s="978"/>
      <c r="JC260" s="978"/>
      <c r="JD260" s="978"/>
      <c r="JE260" s="978"/>
      <c r="JF260" s="978"/>
      <c r="JG260" s="978"/>
      <c r="JH260" s="978"/>
      <c r="JI260" s="978"/>
      <c r="JJ260" s="978"/>
      <c r="JK260" s="978"/>
      <c r="JL260" s="978"/>
      <c r="JM260" s="978"/>
      <c r="JN260" s="978"/>
      <c r="JO260" s="978"/>
      <c r="JP260" s="978"/>
      <c r="JQ260" s="978"/>
      <c r="JR260" s="978"/>
      <c r="JS260" s="978"/>
      <c r="JT260" s="978"/>
      <c r="JU260" s="978"/>
      <c r="JV260" s="978"/>
      <c r="JW260" s="978"/>
      <c r="JX260" s="978"/>
      <c r="JY260" s="978"/>
      <c r="JZ260" s="978"/>
      <c r="KA260" s="978"/>
      <c r="KB260" s="978"/>
      <c r="KC260" s="978"/>
      <c r="KD260" s="978"/>
      <c r="KE260" s="978"/>
      <c r="KF260" s="978"/>
      <c r="KG260" s="978"/>
      <c r="KH260" s="978"/>
      <c r="KI260" s="978"/>
      <c r="KJ260" s="978"/>
      <c r="KK260" s="978"/>
      <c r="KL260" s="978"/>
      <c r="KM260" s="978"/>
      <c r="KN260" s="978"/>
      <c r="KO260" s="978"/>
      <c r="KP260" s="978"/>
      <c r="KQ260" s="978"/>
      <c r="KR260" s="978"/>
      <c r="KS260" s="978"/>
      <c r="KT260" s="978"/>
      <c r="KU260" s="978"/>
      <c r="KV260" s="978"/>
      <c r="KW260" s="978"/>
      <c r="KX260" s="978"/>
      <c r="KY260" s="978"/>
      <c r="KZ260" s="978"/>
      <c r="LA260" s="978"/>
      <c r="LB260" s="978"/>
      <c r="LC260" s="978"/>
      <c r="LD260" s="978"/>
      <c r="LE260" s="978"/>
      <c r="LF260" s="978"/>
      <c r="LG260" s="978"/>
      <c r="LH260" s="978"/>
      <c r="LI260" s="978"/>
      <c r="LJ260" s="978"/>
      <c r="LK260" s="978"/>
      <c r="LL260" s="978"/>
      <c r="LM260" s="978"/>
      <c r="LN260" s="978"/>
      <c r="LO260" s="978"/>
      <c r="LP260" s="978"/>
      <c r="LQ260" s="978"/>
      <c r="LR260" s="978"/>
      <c r="LS260" s="978"/>
      <c r="LT260" s="978"/>
      <c r="LU260" s="978"/>
      <c r="LV260" s="978"/>
      <c r="LW260" s="978"/>
      <c r="LX260" s="978"/>
      <c r="LY260" s="978"/>
      <c r="LZ260" s="978"/>
      <c r="MA260" s="978"/>
      <c r="MB260" s="978"/>
      <c r="MC260" s="978"/>
      <c r="MD260" s="978"/>
      <c r="ME260" s="978"/>
      <c r="MF260" s="978"/>
      <c r="MG260" s="978"/>
      <c r="MH260" s="978"/>
      <c r="MI260" s="978"/>
      <c r="MJ260" s="978"/>
      <c r="MK260" s="978"/>
      <c r="ML260" s="978"/>
      <c r="MM260" s="978"/>
      <c r="MN260" s="978"/>
      <c r="MO260" s="978"/>
      <c r="MP260" s="978"/>
      <c r="MQ260" s="978"/>
      <c r="MR260" s="978"/>
      <c r="MS260" s="978"/>
      <c r="MT260" s="978"/>
      <c r="MU260" s="978"/>
      <c r="MV260" s="978"/>
      <c r="MW260" s="978"/>
      <c r="MX260" s="978"/>
      <c r="MY260" s="978"/>
      <c r="MZ260" s="978"/>
      <c r="NA260" s="978"/>
      <c r="NB260" s="978"/>
      <c r="NC260" s="978"/>
      <c r="ND260" s="978"/>
      <c r="NE260" s="978"/>
      <c r="NF260" s="978"/>
      <c r="NG260" s="978"/>
      <c r="NH260" s="978"/>
      <c r="NI260" s="978"/>
      <c r="NJ260" s="978"/>
      <c r="NK260" s="978"/>
      <c r="NL260" s="978"/>
      <c r="NM260" s="978"/>
      <c r="NN260" s="978"/>
      <c r="NO260" s="978"/>
      <c r="NP260" s="978"/>
      <c r="NQ260" s="978"/>
      <c r="NR260" s="978"/>
      <c r="NS260" s="978"/>
      <c r="NT260" s="978"/>
      <c r="NU260" s="978"/>
      <c r="NV260" s="978"/>
      <c r="NW260" s="978"/>
      <c r="NX260" s="978"/>
      <c r="NY260" s="978"/>
      <c r="NZ260" s="978"/>
      <c r="OA260" s="978"/>
      <c r="OB260" s="978"/>
      <c r="OC260" s="978"/>
      <c r="OD260" s="978"/>
      <c r="OE260" s="978"/>
      <c r="OF260" s="978"/>
      <c r="OG260" s="978"/>
      <c r="OH260" s="978"/>
      <c r="OI260" s="978"/>
      <c r="OJ260" s="978"/>
      <c r="OK260" s="978"/>
      <c r="OL260" s="978"/>
      <c r="OM260" s="978"/>
      <c r="ON260" s="978"/>
      <c r="OO260" s="978"/>
      <c r="OP260" s="978"/>
      <c r="OQ260" s="978"/>
      <c r="OR260" s="978"/>
      <c r="OS260" s="978"/>
      <c r="OT260" s="978"/>
      <c r="OU260" s="978"/>
      <c r="OV260" s="978"/>
      <c r="OW260" s="978"/>
      <c r="OX260" s="978"/>
      <c r="OY260" s="978"/>
      <c r="OZ260" s="978"/>
      <c r="PA260" s="978"/>
      <c r="PB260" s="978"/>
      <c r="PC260" s="978"/>
      <c r="PD260" s="978"/>
      <c r="PE260" s="978"/>
      <c r="PF260" s="978"/>
      <c r="PG260" s="978"/>
      <c r="PH260" s="978"/>
      <c r="PI260" s="978"/>
      <c r="PJ260" s="978"/>
      <c r="PK260" s="978"/>
      <c r="PL260" s="978"/>
      <c r="PM260" s="978"/>
      <c r="PN260" s="978"/>
      <c r="PO260" s="978"/>
      <c r="PP260" s="978"/>
      <c r="PQ260" s="978"/>
      <c r="PR260" s="978"/>
      <c r="PS260" s="978"/>
      <c r="PT260" s="978"/>
      <c r="PU260" s="978"/>
      <c r="PV260" s="978"/>
      <c r="PW260" s="978"/>
      <c r="PX260" s="978"/>
      <c r="PY260" s="978"/>
      <c r="PZ260" s="978"/>
      <c r="QA260" s="978"/>
      <c r="QB260" s="978"/>
      <c r="QC260" s="978"/>
      <c r="QD260" s="978"/>
      <c r="QE260" s="978"/>
      <c r="QF260" s="978"/>
      <c r="QG260" s="978"/>
      <c r="QH260" s="978"/>
      <c r="QI260" s="978"/>
      <c r="QJ260" s="978"/>
      <c r="QK260" s="978"/>
      <c r="QL260" s="978"/>
      <c r="QM260" s="978"/>
      <c r="QN260" s="978"/>
      <c r="QO260" s="978"/>
      <c r="QP260" s="978"/>
      <c r="QQ260" s="978"/>
      <c r="QR260" s="978"/>
      <c r="QS260" s="978"/>
      <c r="QT260" s="978"/>
      <c r="QU260" s="978"/>
      <c r="QV260" s="978"/>
      <c r="QW260" s="978"/>
      <c r="QX260" s="978"/>
      <c r="QY260" s="978"/>
      <c r="QZ260" s="978"/>
      <c r="RA260" s="978"/>
      <c r="RB260" s="274"/>
      <c r="RC260" s="274"/>
    </row>
    <row r="261" spans="112:471" ht="17.25">
      <c r="DH261" s="274"/>
      <c r="DI261" s="274"/>
      <c r="DJ261" s="978"/>
      <c r="DK261" s="978"/>
      <c r="DL261" s="978"/>
      <c r="DM261" s="978"/>
      <c r="DN261" s="978"/>
      <c r="DO261" s="978"/>
      <c r="DP261" s="978"/>
      <c r="DQ261" s="978"/>
      <c r="DR261" s="978"/>
      <c r="DS261" s="978"/>
      <c r="DT261" s="978"/>
      <c r="DU261" s="978"/>
      <c r="DV261" s="978"/>
      <c r="DW261" s="978"/>
      <c r="DX261" s="978"/>
      <c r="DY261" s="978"/>
      <c r="DZ261" s="978"/>
      <c r="EA261" s="978"/>
      <c r="EB261" s="978"/>
      <c r="EC261" s="978"/>
      <c r="ED261" s="978"/>
      <c r="EE261" s="978"/>
      <c r="EF261" s="978"/>
      <c r="EG261" s="978"/>
      <c r="EH261" s="978"/>
      <c r="EI261" s="978"/>
      <c r="EJ261" s="978"/>
      <c r="EK261" s="978"/>
      <c r="EL261" s="978"/>
      <c r="EM261" s="978"/>
      <c r="EN261" s="978"/>
      <c r="EO261" s="978"/>
      <c r="EP261" s="978"/>
      <c r="EQ261" s="978"/>
      <c r="ER261" s="978"/>
      <c r="ES261" s="978"/>
      <c r="ET261" s="978"/>
      <c r="EU261" s="978"/>
      <c r="EV261" s="978"/>
      <c r="EW261" s="978"/>
      <c r="EX261" s="978"/>
      <c r="EY261" s="978"/>
      <c r="EZ261" s="978"/>
      <c r="FA261" s="978"/>
      <c r="FB261" s="978"/>
      <c r="FC261" s="978"/>
      <c r="FD261" s="978"/>
      <c r="FE261" s="978"/>
      <c r="FF261" s="978"/>
      <c r="FG261" s="978"/>
      <c r="FH261" s="978"/>
      <c r="FI261" s="978"/>
      <c r="FJ261" s="978"/>
      <c r="FK261" s="978"/>
      <c r="FL261" s="978"/>
      <c r="FM261" s="978"/>
      <c r="FN261" s="978"/>
      <c r="FO261" s="978"/>
      <c r="FP261" s="978"/>
      <c r="FQ261" s="978"/>
      <c r="FR261" s="978"/>
      <c r="FS261" s="978"/>
      <c r="FT261" s="978"/>
      <c r="FU261" s="978"/>
      <c r="FV261" s="978"/>
      <c r="FW261" s="978"/>
      <c r="FX261" s="978"/>
      <c r="FY261" s="978"/>
      <c r="FZ261" s="978"/>
      <c r="GA261" s="978"/>
      <c r="GB261" s="978"/>
      <c r="GC261" s="978"/>
      <c r="GD261" s="978"/>
      <c r="GE261" s="978"/>
      <c r="GF261" s="978"/>
      <c r="GG261" s="978"/>
      <c r="GH261" s="978"/>
      <c r="GI261" s="978"/>
      <c r="GJ261" s="978"/>
      <c r="GK261" s="978"/>
      <c r="GL261" s="978"/>
      <c r="GM261" s="978"/>
      <c r="GN261" s="978"/>
      <c r="GO261" s="978"/>
      <c r="GP261" s="978"/>
      <c r="GQ261" s="978"/>
      <c r="GR261" s="978"/>
      <c r="GS261" s="978"/>
      <c r="GT261" s="978"/>
      <c r="GU261" s="978"/>
      <c r="GV261" s="978"/>
      <c r="GW261" s="978"/>
      <c r="GX261" s="978"/>
      <c r="GY261" s="978"/>
      <c r="GZ261" s="978"/>
      <c r="HA261" s="978"/>
      <c r="HB261" s="978"/>
      <c r="HC261" s="978"/>
      <c r="HD261" s="978"/>
      <c r="HE261" s="978"/>
      <c r="HF261" s="978"/>
      <c r="HG261" s="978"/>
      <c r="HH261" s="978"/>
      <c r="HI261" s="978"/>
      <c r="HJ261" s="978"/>
      <c r="HK261" s="978"/>
      <c r="HL261" s="978"/>
      <c r="HM261" s="978"/>
      <c r="HN261" s="978"/>
      <c r="HO261" s="978"/>
      <c r="HP261" s="978"/>
      <c r="HQ261" s="978"/>
      <c r="HR261" s="978"/>
      <c r="HS261" s="978"/>
      <c r="HT261" s="978"/>
      <c r="HU261" s="978"/>
      <c r="HV261" s="978"/>
      <c r="HW261" s="978"/>
      <c r="HX261" s="978"/>
      <c r="HY261" s="978"/>
      <c r="HZ261" s="978"/>
      <c r="IA261" s="978"/>
      <c r="IB261" s="978"/>
      <c r="IC261" s="978"/>
      <c r="ID261" s="978"/>
      <c r="IE261" s="978"/>
      <c r="IF261" s="978"/>
      <c r="IG261" s="978"/>
      <c r="IH261" s="978"/>
      <c r="II261" s="978"/>
      <c r="IJ261" s="978"/>
      <c r="IK261" s="978"/>
      <c r="IL261" s="978"/>
      <c r="IM261" s="978"/>
      <c r="IN261" s="978"/>
      <c r="IO261" s="978"/>
      <c r="IP261" s="978"/>
      <c r="IQ261" s="978"/>
      <c r="IR261" s="978"/>
      <c r="IS261" s="978"/>
      <c r="IT261" s="978"/>
      <c r="IU261" s="978"/>
      <c r="IV261" s="978"/>
      <c r="IW261" s="978"/>
      <c r="IX261" s="978"/>
      <c r="IY261" s="978"/>
      <c r="IZ261" s="978"/>
      <c r="JA261" s="978"/>
      <c r="JB261" s="978"/>
      <c r="JC261" s="978"/>
      <c r="JD261" s="978"/>
      <c r="JE261" s="978"/>
      <c r="JF261" s="978"/>
      <c r="JG261" s="978"/>
      <c r="JH261" s="978"/>
      <c r="JI261" s="978"/>
      <c r="JJ261" s="978"/>
      <c r="JK261" s="978"/>
      <c r="JL261" s="978"/>
      <c r="JM261" s="978"/>
      <c r="JN261" s="978"/>
      <c r="JO261" s="978"/>
      <c r="JP261" s="978"/>
      <c r="JQ261" s="978"/>
      <c r="JR261" s="978"/>
      <c r="JS261" s="978"/>
      <c r="JT261" s="978"/>
      <c r="JU261" s="978"/>
      <c r="JV261" s="978"/>
      <c r="JW261" s="978"/>
      <c r="JX261" s="978"/>
      <c r="JY261" s="978"/>
      <c r="JZ261" s="978"/>
      <c r="KA261" s="978"/>
      <c r="KB261" s="978"/>
      <c r="KC261" s="978"/>
      <c r="KD261" s="978"/>
      <c r="KE261" s="978"/>
      <c r="KF261" s="978"/>
      <c r="KG261" s="978"/>
      <c r="KH261" s="978"/>
      <c r="KI261" s="978"/>
      <c r="KJ261" s="978"/>
      <c r="KK261" s="978"/>
      <c r="KL261" s="978"/>
      <c r="KM261" s="978"/>
      <c r="KN261" s="978"/>
      <c r="KO261" s="978"/>
      <c r="KP261" s="978"/>
      <c r="KQ261" s="978"/>
      <c r="KR261" s="978"/>
      <c r="KS261" s="978"/>
      <c r="KT261" s="978"/>
      <c r="KU261" s="978"/>
      <c r="KV261" s="978"/>
      <c r="KW261" s="978"/>
      <c r="KX261" s="978"/>
      <c r="KY261" s="978"/>
      <c r="KZ261" s="978"/>
      <c r="LA261" s="978"/>
      <c r="LB261" s="978"/>
      <c r="LC261" s="978"/>
      <c r="LD261" s="978"/>
      <c r="LE261" s="978"/>
      <c r="LF261" s="978"/>
      <c r="LG261" s="978"/>
      <c r="LH261" s="978"/>
      <c r="LI261" s="978"/>
      <c r="LJ261" s="978"/>
      <c r="LK261" s="978"/>
      <c r="LL261" s="978"/>
      <c r="LM261" s="978"/>
      <c r="LN261" s="978"/>
      <c r="LO261" s="978"/>
      <c r="LP261" s="978"/>
      <c r="LQ261" s="978"/>
      <c r="LR261" s="978"/>
      <c r="LS261" s="978"/>
      <c r="LT261" s="978"/>
      <c r="LU261" s="978"/>
      <c r="LV261" s="978"/>
      <c r="LW261" s="978"/>
      <c r="LX261" s="978"/>
      <c r="LY261" s="978"/>
      <c r="LZ261" s="978"/>
      <c r="MA261" s="978"/>
      <c r="MB261" s="978"/>
      <c r="MC261" s="978"/>
      <c r="MD261" s="978"/>
      <c r="ME261" s="978"/>
      <c r="MF261" s="978"/>
      <c r="MG261" s="978"/>
      <c r="MH261" s="978"/>
      <c r="MI261" s="978"/>
      <c r="MJ261" s="978"/>
      <c r="MK261" s="978"/>
      <c r="ML261" s="978"/>
      <c r="MM261" s="978"/>
      <c r="MN261" s="978"/>
      <c r="MO261" s="978"/>
      <c r="MP261" s="978"/>
      <c r="MQ261" s="978"/>
      <c r="MR261" s="978"/>
      <c r="MS261" s="978"/>
      <c r="MT261" s="978"/>
      <c r="MU261" s="978"/>
      <c r="MV261" s="978"/>
      <c r="MW261" s="978"/>
      <c r="MX261" s="978"/>
      <c r="MY261" s="978"/>
      <c r="MZ261" s="978"/>
      <c r="NA261" s="978"/>
      <c r="NB261" s="978"/>
      <c r="NC261" s="978"/>
      <c r="ND261" s="978"/>
      <c r="NE261" s="978"/>
      <c r="NF261" s="978"/>
      <c r="NG261" s="978"/>
      <c r="NH261" s="978"/>
      <c r="NI261" s="978"/>
      <c r="NJ261" s="978"/>
      <c r="NK261" s="978"/>
      <c r="NL261" s="978"/>
      <c r="NM261" s="978"/>
      <c r="NN261" s="978"/>
      <c r="NO261" s="978"/>
      <c r="NP261" s="978"/>
      <c r="NQ261" s="978"/>
      <c r="NR261" s="978"/>
      <c r="NS261" s="978"/>
      <c r="NT261" s="978"/>
      <c r="NU261" s="978"/>
      <c r="NV261" s="978"/>
      <c r="NW261" s="978"/>
      <c r="NX261" s="978"/>
      <c r="NY261" s="978"/>
      <c r="NZ261" s="978"/>
      <c r="OA261" s="978"/>
      <c r="OB261" s="978"/>
      <c r="OC261" s="978"/>
      <c r="OD261" s="978"/>
      <c r="OE261" s="978"/>
      <c r="OF261" s="978"/>
      <c r="OG261" s="978"/>
      <c r="OH261" s="978"/>
      <c r="OI261" s="978"/>
      <c r="OJ261" s="978"/>
      <c r="OK261" s="978"/>
      <c r="OL261" s="978"/>
      <c r="OM261" s="978"/>
      <c r="ON261" s="978"/>
      <c r="OO261" s="978"/>
      <c r="OP261" s="978"/>
      <c r="OQ261" s="978"/>
      <c r="OR261" s="978"/>
      <c r="OS261" s="978"/>
      <c r="OT261" s="978"/>
      <c r="OU261" s="978"/>
      <c r="OV261" s="978"/>
      <c r="OW261" s="978"/>
      <c r="OX261" s="978"/>
      <c r="OY261" s="978"/>
      <c r="OZ261" s="978"/>
      <c r="PA261" s="978"/>
      <c r="PB261" s="978"/>
      <c r="PC261" s="978"/>
      <c r="PD261" s="978"/>
      <c r="PE261" s="978"/>
      <c r="PF261" s="978"/>
      <c r="PG261" s="978"/>
      <c r="PH261" s="978"/>
      <c r="PI261" s="978"/>
      <c r="PJ261" s="978"/>
      <c r="PK261" s="978"/>
      <c r="PL261" s="978"/>
      <c r="PM261" s="978"/>
      <c r="PN261" s="978"/>
      <c r="PO261" s="978"/>
      <c r="PP261" s="978"/>
      <c r="PQ261" s="978"/>
      <c r="PR261" s="978"/>
      <c r="PS261" s="978"/>
      <c r="PT261" s="978"/>
      <c r="PU261" s="978"/>
      <c r="PV261" s="978"/>
      <c r="PW261" s="978"/>
      <c r="PX261" s="978"/>
      <c r="PY261" s="978"/>
      <c r="PZ261" s="978"/>
      <c r="QA261" s="978"/>
      <c r="QB261" s="978"/>
      <c r="QC261" s="978"/>
      <c r="QD261" s="978"/>
      <c r="QE261" s="978"/>
      <c r="QF261" s="978"/>
      <c r="QG261" s="978"/>
      <c r="QH261" s="978"/>
      <c r="QI261" s="978"/>
      <c r="QJ261" s="978"/>
      <c r="QK261" s="978"/>
      <c r="QL261" s="978"/>
      <c r="QM261" s="978"/>
      <c r="QN261" s="978"/>
      <c r="QO261" s="978"/>
      <c r="QP261" s="978"/>
      <c r="QQ261" s="978"/>
      <c r="QR261" s="978"/>
      <c r="QS261" s="978"/>
      <c r="QT261" s="978"/>
      <c r="QU261" s="978"/>
      <c r="QV261" s="978"/>
      <c r="QW261" s="978"/>
      <c r="QX261" s="978"/>
      <c r="QY261" s="978"/>
      <c r="QZ261" s="978"/>
      <c r="RA261" s="978"/>
      <c r="RB261" s="274"/>
      <c r="RC261" s="274"/>
    </row>
    <row r="262" spans="112:471" ht="17.25">
      <c r="DH262" s="274"/>
      <c r="DI262" s="274"/>
      <c r="DJ262" s="978"/>
      <c r="DK262" s="978"/>
      <c r="DL262" s="978"/>
      <c r="DM262" s="978"/>
      <c r="DN262" s="978"/>
      <c r="DO262" s="978"/>
      <c r="DP262" s="978"/>
      <c r="DQ262" s="978"/>
      <c r="DR262" s="978"/>
      <c r="DS262" s="978"/>
      <c r="DT262" s="978"/>
      <c r="DU262" s="978"/>
      <c r="DV262" s="978"/>
      <c r="DW262" s="978"/>
      <c r="DX262" s="978"/>
      <c r="DY262" s="978"/>
      <c r="DZ262" s="978"/>
      <c r="EA262" s="978"/>
      <c r="EB262" s="978"/>
      <c r="EC262" s="978"/>
      <c r="ED262" s="978"/>
      <c r="EE262" s="978"/>
      <c r="EF262" s="978"/>
      <c r="EG262" s="978"/>
      <c r="EH262" s="978"/>
      <c r="EI262" s="978"/>
      <c r="EJ262" s="978"/>
      <c r="EK262" s="978"/>
      <c r="EL262" s="978"/>
      <c r="EM262" s="978"/>
      <c r="EN262" s="978"/>
      <c r="EO262" s="978"/>
      <c r="EP262" s="978"/>
      <c r="EQ262" s="978"/>
      <c r="ER262" s="978"/>
      <c r="ES262" s="978"/>
      <c r="ET262" s="978"/>
      <c r="EU262" s="978"/>
      <c r="EV262" s="978"/>
      <c r="EW262" s="978"/>
      <c r="EX262" s="978"/>
      <c r="EY262" s="978"/>
      <c r="EZ262" s="978"/>
      <c r="FA262" s="978"/>
      <c r="FB262" s="978"/>
      <c r="FC262" s="978"/>
      <c r="FD262" s="978"/>
      <c r="FE262" s="978"/>
      <c r="FF262" s="978"/>
      <c r="FG262" s="978"/>
      <c r="FH262" s="978"/>
      <c r="FI262" s="978"/>
      <c r="FJ262" s="978"/>
      <c r="FK262" s="978"/>
      <c r="FL262" s="978"/>
      <c r="FM262" s="978"/>
      <c r="FN262" s="978"/>
      <c r="FO262" s="978"/>
      <c r="FP262" s="978"/>
      <c r="FQ262" s="978"/>
      <c r="FR262" s="978"/>
      <c r="FS262" s="978"/>
      <c r="FT262" s="978"/>
      <c r="FU262" s="978"/>
      <c r="FV262" s="978"/>
      <c r="FW262" s="978"/>
      <c r="FX262" s="978"/>
      <c r="FY262" s="978"/>
      <c r="FZ262" s="978"/>
      <c r="GA262" s="978"/>
      <c r="GB262" s="978"/>
      <c r="GC262" s="978"/>
      <c r="GD262" s="978"/>
      <c r="GE262" s="978"/>
      <c r="GF262" s="978"/>
      <c r="GG262" s="978"/>
      <c r="GH262" s="978"/>
      <c r="GI262" s="978"/>
      <c r="GJ262" s="978"/>
      <c r="GK262" s="978"/>
      <c r="GL262" s="978"/>
      <c r="GM262" s="978"/>
      <c r="GN262" s="978"/>
      <c r="GO262" s="978"/>
      <c r="GP262" s="978"/>
      <c r="GQ262" s="978"/>
      <c r="GR262" s="978"/>
      <c r="GS262" s="978"/>
      <c r="GT262" s="978"/>
      <c r="GU262" s="978"/>
      <c r="GV262" s="978"/>
      <c r="GW262" s="978"/>
      <c r="GX262" s="978"/>
      <c r="GY262" s="978"/>
      <c r="GZ262" s="978"/>
      <c r="HA262" s="978"/>
      <c r="HB262" s="978"/>
      <c r="HC262" s="978"/>
      <c r="HD262" s="978"/>
      <c r="HE262" s="978"/>
      <c r="HF262" s="978"/>
      <c r="HG262" s="978"/>
      <c r="HH262" s="978"/>
      <c r="HI262" s="978"/>
      <c r="HJ262" s="978"/>
      <c r="HK262" s="978"/>
      <c r="HL262" s="978"/>
      <c r="HM262" s="978"/>
      <c r="HN262" s="978"/>
      <c r="HO262" s="978"/>
      <c r="HP262" s="978"/>
      <c r="HQ262" s="978"/>
      <c r="HR262" s="978"/>
      <c r="HS262" s="978"/>
      <c r="HT262" s="978"/>
      <c r="HU262" s="978"/>
      <c r="HV262" s="978"/>
      <c r="HW262" s="978"/>
      <c r="HX262" s="978"/>
      <c r="HY262" s="978"/>
      <c r="HZ262" s="978"/>
      <c r="IA262" s="978"/>
      <c r="IB262" s="978"/>
      <c r="IC262" s="978"/>
      <c r="ID262" s="978"/>
      <c r="IE262" s="978"/>
      <c r="IF262" s="978"/>
      <c r="IG262" s="978"/>
      <c r="IH262" s="978"/>
      <c r="II262" s="978"/>
      <c r="IJ262" s="978"/>
      <c r="IK262" s="978"/>
      <c r="IL262" s="978"/>
      <c r="IM262" s="978"/>
      <c r="IN262" s="978"/>
      <c r="IO262" s="978"/>
      <c r="IP262" s="978"/>
      <c r="IQ262" s="978"/>
      <c r="IR262" s="978"/>
      <c r="IS262" s="978"/>
      <c r="IT262" s="978"/>
      <c r="IU262" s="978"/>
      <c r="IV262" s="978"/>
      <c r="IW262" s="978"/>
      <c r="IX262" s="978"/>
      <c r="IY262" s="978"/>
      <c r="IZ262" s="978"/>
      <c r="JA262" s="978"/>
      <c r="JB262" s="978"/>
      <c r="JC262" s="978"/>
      <c r="JD262" s="978"/>
      <c r="JE262" s="978"/>
      <c r="JF262" s="978"/>
      <c r="JG262" s="978"/>
      <c r="JH262" s="978"/>
      <c r="JI262" s="978"/>
      <c r="JJ262" s="978"/>
      <c r="JK262" s="978"/>
      <c r="JL262" s="978"/>
      <c r="JM262" s="978"/>
      <c r="JN262" s="978"/>
      <c r="JO262" s="978"/>
      <c r="JP262" s="978"/>
      <c r="JQ262" s="978"/>
      <c r="JR262" s="978"/>
      <c r="JS262" s="978"/>
      <c r="JT262" s="978"/>
      <c r="JU262" s="978"/>
      <c r="JV262" s="978"/>
      <c r="JW262" s="978"/>
      <c r="JX262" s="978"/>
      <c r="JY262" s="978"/>
      <c r="JZ262" s="978"/>
      <c r="KA262" s="978"/>
      <c r="KB262" s="978"/>
      <c r="KC262" s="978"/>
      <c r="KD262" s="978"/>
      <c r="KE262" s="978"/>
      <c r="KF262" s="978"/>
      <c r="KG262" s="978"/>
      <c r="KH262" s="978"/>
      <c r="KI262" s="978"/>
      <c r="KJ262" s="978"/>
      <c r="KK262" s="978"/>
      <c r="KL262" s="978"/>
      <c r="KM262" s="978"/>
      <c r="KN262" s="978"/>
      <c r="KO262" s="978"/>
      <c r="KP262" s="978"/>
      <c r="KQ262" s="978"/>
      <c r="KR262" s="978"/>
      <c r="KS262" s="978"/>
      <c r="KT262" s="978"/>
      <c r="KU262" s="978"/>
      <c r="KV262" s="978"/>
      <c r="KW262" s="978"/>
      <c r="KX262" s="978"/>
      <c r="KY262" s="978"/>
      <c r="KZ262" s="978"/>
      <c r="LA262" s="978"/>
      <c r="LB262" s="978"/>
      <c r="LC262" s="978"/>
      <c r="LD262" s="978"/>
      <c r="LE262" s="978"/>
      <c r="LF262" s="978"/>
      <c r="LG262" s="978"/>
      <c r="LH262" s="978"/>
      <c r="LI262" s="978"/>
      <c r="LJ262" s="978"/>
      <c r="LK262" s="978"/>
      <c r="LL262" s="978"/>
      <c r="LM262" s="978"/>
      <c r="LN262" s="978"/>
      <c r="LO262" s="978"/>
      <c r="LP262" s="978"/>
      <c r="LQ262" s="978"/>
      <c r="LR262" s="978"/>
      <c r="LS262" s="978"/>
      <c r="LT262" s="978"/>
      <c r="LU262" s="978"/>
      <c r="LV262" s="978"/>
      <c r="LW262" s="978"/>
      <c r="LX262" s="978"/>
      <c r="LY262" s="978"/>
      <c r="LZ262" s="978"/>
      <c r="MA262" s="978"/>
      <c r="MB262" s="978"/>
      <c r="MC262" s="978"/>
      <c r="MD262" s="978"/>
      <c r="ME262" s="978"/>
      <c r="MF262" s="978"/>
      <c r="MG262" s="978"/>
      <c r="MH262" s="978"/>
      <c r="MI262" s="978"/>
      <c r="MJ262" s="978"/>
      <c r="MK262" s="978"/>
      <c r="ML262" s="978"/>
      <c r="MM262" s="978"/>
      <c r="MN262" s="978"/>
      <c r="MO262" s="978"/>
      <c r="MP262" s="978"/>
      <c r="MQ262" s="978"/>
      <c r="MR262" s="978"/>
      <c r="MS262" s="978"/>
      <c r="MT262" s="978"/>
      <c r="MU262" s="978"/>
      <c r="MV262" s="978"/>
      <c r="MW262" s="978"/>
      <c r="MX262" s="978"/>
      <c r="MY262" s="978"/>
      <c r="MZ262" s="978"/>
      <c r="NA262" s="978"/>
      <c r="NB262" s="978"/>
      <c r="NC262" s="978"/>
      <c r="ND262" s="978"/>
      <c r="NE262" s="978"/>
      <c r="NF262" s="978"/>
      <c r="NG262" s="978"/>
      <c r="NH262" s="978"/>
      <c r="NI262" s="978"/>
      <c r="NJ262" s="978"/>
      <c r="NK262" s="978"/>
      <c r="NL262" s="978"/>
      <c r="NM262" s="978"/>
      <c r="NN262" s="978"/>
      <c r="NO262" s="978"/>
      <c r="NP262" s="978"/>
      <c r="NQ262" s="978"/>
      <c r="NR262" s="978"/>
      <c r="NS262" s="978"/>
      <c r="NT262" s="978"/>
      <c r="NU262" s="978"/>
      <c r="NV262" s="978"/>
      <c r="NW262" s="978"/>
      <c r="NX262" s="978"/>
      <c r="NY262" s="978"/>
      <c r="NZ262" s="978"/>
      <c r="OA262" s="978"/>
      <c r="OB262" s="978"/>
      <c r="OC262" s="978"/>
      <c r="OD262" s="978"/>
      <c r="OE262" s="978"/>
      <c r="OF262" s="978"/>
      <c r="OG262" s="978"/>
      <c r="OH262" s="978"/>
      <c r="OI262" s="978"/>
      <c r="OJ262" s="978"/>
      <c r="OK262" s="978"/>
      <c r="OL262" s="978"/>
      <c r="OM262" s="978"/>
      <c r="ON262" s="978"/>
      <c r="OO262" s="978"/>
      <c r="OP262" s="978"/>
      <c r="OQ262" s="978"/>
      <c r="OR262" s="978"/>
      <c r="OS262" s="978"/>
      <c r="OT262" s="978"/>
      <c r="OU262" s="978"/>
      <c r="OV262" s="978"/>
      <c r="OW262" s="978"/>
      <c r="OX262" s="978"/>
      <c r="OY262" s="978"/>
      <c r="OZ262" s="978"/>
      <c r="PA262" s="978"/>
      <c r="PB262" s="978"/>
      <c r="PC262" s="978"/>
      <c r="PD262" s="978"/>
      <c r="PE262" s="978"/>
      <c r="PF262" s="978"/>
      <c r="PG262" s="978"/>
      <c r="PH262" s="978"/>
      <c r="PI262" s="978"/>
      <c r="PJ262" s="978"/>
      <c r="PK262" s="978"/>
      <c r="PL262" s="978"/>
      <c r="PM262" s="978"/>
      <c r="PN262" s="978"/>
      <c r="PO262" s="978"/>
      <c r="PP262" s="978"/>
      <c r="PQ262" s="978"/>
      <c r="PR262" s="978"/>
      <c r="PS262" s="978"/>
      <c r="PT262" s="978"/>
      <c r="PU262" s="978"/>
      <c r="PV262" s="978"/>
      <c r="PW262" s="978"/>
      <c r="PX262" s="978"/>
      <c r="PY262" s="978"/>
      <c r="PZ262" s="978"/>
      <c r="QA262" s="978"/>
      <c r="QB262" s="978"/>
      <c r="QC262" s="978"/>
      <c r="QD262" s="978"/>
      <c r="QE262" s="978"/>
      <c r="QF262" s="978"/>
      <c r="QG262" s="978"/>
      <c r="QH262" s="978"/>
      <c r="QI262" s="978"/>
      <c r="QJ262" s="978"/>
      <c r="QK262" s="978"/>
      <c r="QL262" s="978"/>
      <c r="QM262" s="978"/>
      <c r="QN262" s="978"/>
      <c r="QO262" s="978"/>
      <c r="QP262" s="978"/>
      <c r="QQ262" s="978"/>
      <c r="QR262" s="978"/>
      <c r="QS262" s="978"/>
      <c r="QT262" s="978"/>
      <c r="QU262" s="978"/>
      <c r="QV262" s="978"/>
      <c r="QW262" s="978"/>
      <c r="QX262" s="978"/>
      <c r="QY262" s="978"/>
      <c r="QZ262" s="978"/>
      <c r="RA262" s="978"/>
      <c r="RB262" s="274"/>
      <c r="RC262" s="274"/>
    </row>
    <row r="263" spans="112:471">
      <c r="DH263" s="274"/>
      <c r="DI263" s="274"/>
      <c r="DJ263" s="274"/>
      <c r="DK263" s="274"/>
      <c r="DL263" s="274"/>
      <c r="DM263" s="274"/>
      <c r="DN263" s="274"/>
      <c r="DO263" s="274"/>
      <c r="DP263" s="274"/>
      <c r="DQ263" s="274"/>
      <c r="DR263" s="274"/>
      <c r="DS263" s="274"/>
      <c r="DT263" s="274"/>
      <c r="DU263" s="274"/>
      <c r="DV263" s="274"/>
      <c r="DW263" s="274"/>
      <c r="DX263" s="274"/>
      <c r="DY263" s="274"/>
      <c r="DZ263" s="274"/>
      <c r="EA263" s="274"/>
      <c r="EB263" s="274"/>
      <c r="EC263" s="274"/>
      <c r="ED263" s="274"/>
      <c r="EE263" s="274"/>
      <c r="EF263" s="274"/>
      <c r="EG263" s="274"/>
      <c r="EH263" s="274"/>
      <c r="EI263" s="274"/>
      <c r="EJ263" s="274"/>
      <c r="EK263" s="274"/>
      <c r="EL263" s="274"/>
      <c r="EM263" s="274"/>
      <c r="EN263" s="274"/>
      <c r="EO263" s="274"/>
      <c r="EP263" s="274"/>
      <c r="EQ263" s="274"/>
      <c r="ER263" s="274"/>
      <c r="ES263" s="274"/>
      <c r="ET263" s="274"/>
      <c r="EU263" s="274"/>
      <c r="EV263" s="274"/>
      <c r="EW263" s="274"/>
      <c r="EX263" s="274"/>
      <c r="EY263" s="274"/>
      <c r="EZ263" s="274"/>
      <c r="FA263" s="274"/>
      <c r="FB263" s="274"/>
      <c r="FC263" s="274"/>
      <c r="FD263" s="274"/>
      <c r="FE263" s="274"/>
      <c r="FF263" s="274"/>
      <c r="FG263" s="274"/>
      <c r="FH263" s="274"/>
      <c r="FI263" s="274"/>
      <c r="FJ263" s="274"/>
      <c r="FK263" s="274"/>
      <c r="FL263" s="274"/>
      <c r="FM263" s="274"/>
      <c r="FN263" s="274"/>
      <c r="FO263" s="274"/>
      <c r="FP263" s="274"/>
      <c r="FQ263" s="274"/>
      <c r="FR263" s="274"/>
      <c r="FS263" s="274"/>
      <c r="FT263" s="274"/>
      <c r="FU263" s="274"/>
      <c r="FV263" s="274"/>
      <c r="FW263" s="274"/>
      <c r="FX263" s="274"/>
      <c r="FY263" s="274"/>
      <c r="FZ263" s="274"/>
      <c r="GA263" s="274"/>
      <c r="GB263" s="274"/>
      <c r="GC263" s="274"/>
      <c r="GD263" s="274"/>
      <c r="GE263" s="274"/>
      <c r="GF263" s="274"/>
      <c r="GG263" s="274"/>
      <c r="GH263" s="274"/>
      <c r="GI263" s="274"/>
      <c r="GJ263" s="274"/>
      <c r="GK263" s="274"/>
      <c r="GL263" s="274"/>
      <c r="GM263" s="274"/>
      <c r="GN263" s="274"/>
      <c r="GO263" s="274"/>
      <c r="GP263" s="274"/>
      <c r="GQ263" s="274"/>
      <c r="GR263" s="274"/>
      <c r="GS263" s="274"/>
      <c r="GT263" s="274"/>
      <c r="GU263" s="274"/>
      <c r="GV263" s="274"/>
      <c r="GW263" s="274"/>
      <c r="GX263" s="274"/>
      <c r="GY263" s="274"/>
      <c r="GZ263" s="274"/>
      <c r="HA263" s="274"/>
      <c r="HB263" s="274"/>
      <c r="HC263" s="274"/>
      <c r="HD263" s="274"/>
      <c r="HE263" s="274"/>
      <c r="HF263" s="274"/>
      <c r="HG263" s="274"/>
      <c r="HH263" s="274"/>
      <c r="HI263" s="274"/>
      <c r="HJ263" s="274"/>
      <c r="HK263" s="274"/>
      <c r="HL263" s="274"/>
      <c r="HM263" s="274"/>
      <c r="HN263" s="274"/>
      <c r="HO263" s="274"/>
      <c r="HP263" s="274"/>
      <c r="HQ263" s="274"/>
      <c r="HR263" s="274"/>
      <c r="HS263" s="274"/>
      <c r="HT263" s="274"/>
      <c r="HU263" s="274"/>
      <c r="HV263" s="274"/>
      <c r="HW263" s="274"/>
      <c r="HX263" s="274"/>
      <c r="HY263" s="274"/>
      <c r="HZ263" s="274"/>
      <c r="IA263" s="274"/>
      <c r="IB263" s="274"/>
      <c r="IC263" s="274"/>
      <c r="ID263" s="274"/>
      <c r="IE263" s="274"/>
      <c r="IF263" s="274"/>
      <c r="IG263" s="274"/>
      <c r="IH263" s="274"/>
      <c r="II263" s="274"/>
      <c r="IJ263" s="274"/>
      <c r="IK263" s="274"/>
      <c r="IL263" s="274"/>
      <c r="IM263" s="274"/>
      <c r="IN263" s="274"/>
      <c r="IO263" s="274"/>
      <c r="IP263" s="274"/>
      <c r="IQ263" s="274"/>
      <c r="IR263" s="274"/>
      <c r="IS263" s="274"/>
      <c r="IT263" s="274"/>
      <c r="IU263" s="274"/>
      <c r="IV263" s="274"/>
      <c r="IW263" s="274"/>
      <c r="IX263" s="274"/>
      <c r="IY263" s="274"/>
      <c r="IZ263" s="274"/>
      <c r="JA263" s="274"/>
      <c r="JB263" s="274"/>
      <c r="JC263" s="274"/>
      <c r="JD263" s="274"/>
      <c r="JE263" s="274"/>
      <c r="JF263" s="274"/>
      <c r="JG263" s="274"/>
      <c r="JH263" s="274"/>
      <c r="JI263" s="274"/>
      <c r="JJ263" s="274"/>
      <c r="JK263" s="274"/>
      <c r="JL263" s="274"/>
      <c r="JM263" s="274"/>
      <c r="JN263" s="274"/>
      <c r="JO263" s="274"/>
      <c r="JP263" s="274"/>
      <c r="JQ263" s="274"/>
      <c r="JR263" s="274"/>
      <c r="JS263" s="274"/>
      <c r="JT263" s="274"/>
      <c r="JU263" s="274"/>
      <c r="JV263" s="274"/>
      <c r="JW263" s="274"/>
      <c r="JX263" s="274"/>
      <c r="JY263" s="274"/>
      <c r="JZ263" s="274"/>
      <c r="KA263" s="274"/>
      <c r="KB263" s="274"/>
      <c r="KC263" s="274"/>
      <c r="KD263" s="274"/>
      <c r="KE263" s="274"/>
      <c r="KF263" s="274"/>
      <c r="KG263" s="274"/>
      <c r="KH263" s="274"/>
      <c r="KI263" s="274"/>
      <c r="KJ263" s="274"/>
      <c r="KK263" s="274"/>
      <c r="KL263" s="274"/>
      <c r="KM263" s="274"/>
      <c r="KN263" s="274"/>
      <c r="KO263" s="274"/>
      <c r="KP263" s="274"/>
      <c r="KQ263" s="274"/>
      <c r="KR263" s="274"/>
      <c r="KS263" s="274"/>
      <c r="KT263" s="274"/>
      <c r="KU263" s="274"/>
      <c r="KV263" s="274"/>
      <c r="KW263" s="274"/>
      <c r="KX263" s="274"/>
      <c r="KY263" s="274"/>
      <c r="KZ263" s="274"/>
      <c r="LA263" s="274"/>
      <c r="LB263" s="274"/>
      <c r="LC263" s="274"/>
      <c r="LD263" s="274"/>
      <c r="LE263" s="274"/>
      <c r="LF263" s="274"/>
      <c r="LG263" s="274"/>
      <c r="LH263" s="274"/>
      <c r="LI263" s="274"/>
      <c r="LJ263" s="274"/>
      <c r="LK263" s="274"/>
      <c r="LL263" s="274"/>
      <c r="LM263" s="274"/>
      <c r="LN263" s="274"/>
      <c r="LO263" s="274"/>
      <c r="LP263" s="274"/>
      <c r="LQ263" s="274"/>
      <c r="LR263" s="274"/>
      <c r="LS263" s="274"/>
      <c r="LT263" s="274"/>
      <c r="LU263" s="274"/>
      <c r="LV263" s="274"/>
      <c r="LW263" s="274"/>
      <c r="LX263" s="274"/>
      <c r="LY263" s="274"/>
      <c r="LZ263" s="274"/>
      <c r="MA263" s="274"/>
      <c r="MB263" s="274"/>
      <c r="MC263" s="274"/>
      <c r="MD263" s="274"/>
      <c r="ME263" s="274"/>
      <c r="MF263" s="274"/>
      <c r="MG263" s="274"/>
      <c r="MH263" s="274"/>
      <c r="MI263" s="274"/>
      <c r="MJ263" s="274"/>
      <c r="MK263" s="274"/>
      <c r="ML263" s="274"/>
      <c r="MM263" s="274"/>
      <c r="MN263" s="274"/>
      <c r="MO263" s="274"/>
      <c r="MP263" s="274"/>
      <c r="MQ263" s="274"/>
      <c r="MR263" s="274"/>
      <c r="MS263" s="274"/>
      <c r="MT263" s="274"/>
      <c r="MU263" s="274"/>
      <c r="MV263" s="274"/>
      <c r="MW263" s="274"/>
      <c r="MX263" s="274"/>
      <c r="MY263" s="274"/>
      <c r="MZ263" s="274"/>
      <c r="NA263" s="274"/>
      <c r="NB263" s="274"/>
      <c r="NC263" s="274"/>
      <c r="ND263" s="274"/>
      <c r="NE263" s="274"/>
      <c r="NF263" s="274"/>
      <c r="NG263" s="274"/>
      <c r="NH263" s="274"/>
      <c r="NI263" s="274"/>
      <c r="NJ263" s="274"/>
      <c r="NK263" s="274"/>
      <c r="NL263" s="274"/>
      <c r="NM263" s="274"/>
      <c r="NN263" s="274"/>
      <c r="NO263" s="274"/>
      <c r="NP263" s="274"/>
      <c r="NQ263" s="274"/>
      <c r="NR263" s="274"/>
      <c r="NS263" s="274"/>
      <c r="NT263" s="274"/>
      <c r="NU263" s="274"/>
      <c r="NV263" s="274"/>
      <c r="NW263" s="274"/>
      <c r="NX263" s="274"/>
      <c r="NY263" s="274"/>
      <c r="NZ263" s="274"/>
      <c r="OA263" s="274"/>
      <c r="OB263" s="274"/>
      <c r="OC263" s="274"/>
      <c r="OD263" s="274"/>
      <c r="OE263" s="274"/>
      <c r="OF263" s="274"/>
      <c r="OG263" s="274"/>
      <c r="OH263" s="274"/>
      <c r="OI263" s="274"/>
      <c r="OJ263" s="274"/>
      <c r="OK263" s="274"/>
      <c r="OL263" s="274"/>
      <c r="OM263" s="274"/>
      <c r="ON263" s="274"/>
      <c r="OO263" s="274"/>
      <c r="OP263" s="274"/>
      <c r="OQ263" s="274"/>
      <c r="OR263" s="274"/>
      <c r="OS263" s="274"/>
      <c r="OT263" s="274"/>
      <c r="OU263" s="274"/>
      <c r="OV263" s="274"/>
      <c r="OW263" s="274"/>
      <c r="OX263" s="274"/>
      <c r="OY263" s="274"/>
      <c r="OZ263" s="274"/>
      <c r="PA263" s="274"/>
      <c r="PB263" s="274"/>
      <c r="PC263" s="274"/>
      <c r="PD263" s="274"/>
      <c r="PE263" s="274"/>
      <c r="PF263" s="274"/>
      <c r="PG263" s="274"/>
      <c r="PH263" s="274"/>
      <c r="PI263" s="274"/>
      <c r="PJ263" s="274"/>
      <c r="PK263" s="274"/>
      <c r="PL263" s="274"/>
      <c r="PM263" s="274"/>
      <c r="PN263" s="274"/>
      <c r="PO263" s="274"/>
      <c r="PP263" s="274"/>
      <c r="PQ263" s="274"/>
      <c r="PR263" s="274"/>
      <c r="PS263" s="274"/>
      <c r="PT263" s="274"/>
      <c r="PU263" s="274"/>
      <c r="PV263" s="274"/>
      <c r="PW263" s="274"/>
      <c r="PX263" s="274"/>
      <c r="PY263" s="274"/>
      <c r="PZ263" s="274"/>
      <c r="QA263" s="274"/>
      <c r="QB263" s="274"/>
      <c r="QC263" s="274"/>
      <c r="QD263" s="274"/>
      <c r="QE263" s="274"/>
      <c r="QF263" s="274"/>
      <c r="QG263" s="274"/>
      <c r="QH263" s="274"/>
      <c r="QI263" s="274"/>
      <c r="QJ263" s="274"/>
      <c r="QK263" s="274"/>
      <c r="QL263" s="274"/>
      <c r="QM263" s="274"/>
      <c r="QN263" s="274"/>
      <c r="QO263" s="274"/>
      <c r="QP263" s="274"/>
      <c r="QQ263" s="274"/>
      <c r="QR263" s="274"/>
      <c r="QS263" s="274"/>
      <c r="QT263" s="274"/>
      <c r="QU263" s="274"/>
      <c r="QV263" s="274"/>
      <c r="QW263" s="274"/>
      <c r="QX263" s="274"/>
      <c r="QY263" s="274"/>
      <c r="QZ263" s="274"/>
      <c r="RA263" s="274"/>
      <c r="RB263" s="274"/>
      <c r="RC263" s="274"/>
    </row>
    <row r="264" spans="112:471">
      <c r="DH264" s="274"/>
      <c r="DI264" s="274"/>
      <c r="DJ264" s="274"/>
      <c r="DK264" s="274"/>
      <c r="DL264" s="274"/>
      <c r="DM264" s="274"/>
      <c r="DN264" s="274"/>
      <c r="DO264" s="274"/>
      <c r="DP264" s="274"/>
      <c r="DQ264" s="274"/>
      <c r="DR264" s="274"/>
      <c r="DS264" s="274"/>
      <c r="DT264" s="274"/>
      <c r="DU264" s="274"/>
      <c r="DV264" s="274"/>
      <c r="DW264" s="274"/>
      <c r="DX264" s="274"/>
      <c r="DY264" s="274"/>
      <c r="DZ264" s="274"/>
      <c r="EA264" s="274"/>
      <c r="EB264" s="274"/>
      <c r="EC264" s="274"/>
      <c r="ED264" s="274"/>
      <c r="EE264" s="274"/>
      <c r="EF264" s="274"/>
      <c r="EG264" s="274"/>
      <c r="EH264" s="274"/>
      <c r="EI264" s="274"/>
      <c r="EJ264" s="274"/>
      <c r="EK264" s="274"/>
      <c r="EL264" s="274"/>
      <c r="EM264" s="274"/>
      <c r="EN264" s="274"/>
      <c r="EO264" s="274"/>
      <c r="EP264" s="274"/>
      <c r="EQ264" s="274"/>
      <c r="ER264" s="274"/>
      <c r="ES264" s="274"/>
      <c r="ET264" s="274"/>
      <c r="EU264" s="274"/>
      <c r="EV264" s="274"/>
      <c r="EW264" s="274"/>
      <c r="EX264" s="274"/>
      <c r="EY264" s="274"/>
      <c r="EZ264" s="274"/>
      <c r="FA264" s="274"/>
      <c r="FB264" s="274"/>
      <c r="FC264" s="274"/>
      <c r="FD264" s="274"/>
      <c r="FE264" s="274"/>
      <c r="FF264" s="274"/>
      <c r="FG264" s="274"/>
      <c r="FH264" s="274"/>
      <c r="FI264" s="274"/>
      <c r="FJ264" s="274"/>
      <c r="FK264" s="274"/>
      <c r="FL264" s="274"/>
      <c r="FM264" s="274"/>
      <c r="FN264" s="274"/>
      <c r="FO264" s="274"/>
      <c r="FP264" s="274"/>
      <c r="FQ264" s="274"/>
      <c r="FR264" s="274"/>
      <c r="FS264" s="274"/>
      <c r="FT264" s="274"/>
      <c r="FU264" s="274"/>
      <c r="FV264" s="274"/>
      <c r="FW264" s="274"/>
      <c r="FX264" s="274"/>
      <c r="FY264" s="274"/>
      <c r="FZ264" s="274"/>
      <c r="GA264" s="274"/>
      <c r="GB264" s="274"/>
      <c r="GC264" s="274"/>
      <c r="GD264" s="274"/>
      <c r="GE264" s="274"/>
      <c r="GF264" s="274"/>
      <c r="GG264" s="274"/>
      <c r="GH264" s="274"/>
      <c r="GI264" s="274"/>
      <c r="GJ264" s="274"/>
      <c r="GK264" s="274"/>
      <c r="GL264" s="274"/>
      <c r="GM264" s="274"/>
      <c r="GN264" s="274"/>
      <c r="GO264" s="274"/>
      <c r="GP264" s="274"/>
      <c r="GQ264" s="274"/>
      <c r="GR264" s="274"/>
      <c r="GS264" s="274"/>
      <c r="GT264" s="274"/>
      <c r="GU264" s="274"/>
      <c r="GV264" s="274"/>
      <c r="GW264" s="274"/>
      <c r="GX264" s="274"/>
      <c r="GY264" s="274"/>
      <c r="GZ264" s="274"/>
      <c r="HA264" s="274"/>
      <c r="HB264" s="274"/>
      <c r="HC264" s="274"/>
      <c r="HD264" s="274"/>
      <c r="HE264" s="274"/>
      <c r="HF264" s="274"/>
      <c r="HG264" s="274"/>
      <c r="HH264" s="274"/>
      <c r="HI264" s="274"/>
      <c r="HJ264" s="274"/>
      <c r="HK264" s="274"/>
      <c r="HL264" s="274"/>
      <c r="HM264" s="274"/>
      <c r="HN264" s="274"/>
      <c r="HO264" s="274"/>
      <c r="HP264" s="274"/>
      <c r="HQ264" s="274"/>
      <c r="HR264" s="274"/>
      <c r="HS264" s="274"/>
      <c r="HT264" s="274"/>
      <c r="HU264" s="274"/>
      <c r="HV264" s="274"/>
      <c r="HW264" s="274"/>
      <c r="HX264" s="274"/>
      <c r="HY264" s="274"/>
      <c r="HZ264" s="274"/>
      <c r="IA264" s="274"/>
      <c r="IB264" s="274"/>
      <c r="IC264" s="274"/>
      <c r="ID264" s="274"/>
      <c r="IE264" s="274"/>
      <c r="IF264" s="274"/>
      <c r="IG264" s="274"/>
      <c r="IH264" s="274"/>
      <c r="II264" s="274"/>
      <c r="IJ264" s="274"/>
      <c r="IK264" s="274"/>
      <c r="IL264" s="274"/>
      <c r="IM264" s="274"/>
      <c r="IN264" s="274"/>
      <c r="IO264" s="274"/>
      <c r="IP264" s="274"/>
      <c r="IQ264" s="274"/>
      <c r="IR264" s="274"/>
      <c r="IS264" s="274"/>
      <c r="IT264" s="274"/>
      <c r="IU264" s="274"/>
      <c r="IV264" s="274"/>
      <c r="IW264" s="274"/>
      <c r="IX264" s="274"/>
      <c r="IY264" s="274"/>
      <c r="IZ264" s="274"/>
      <c r="JA264" s="274"/>
      <c r="JB264" s="274"/>
      <c r="JC264" s="274"/>
      <c r="JD264" s="274"/>
      <c r="JE264" s="274"/>
      <c r="JF264" s="274"/>
      <c r="JG264" s="274"/>
      <c r="JH264" s="274"/>
      <c r="JI264" s="274"/>
      <c r="JJ264" s="274"/>
      <c r="JK264" s="274"/>
      <c r="JL264" s="274"/>
      <c r="JM264" s="274"/>
      <c r="JN264" s="274"/>
      <c r="JO264" s="274"/>
      <c r="JP264" s="274"/>
      <c r="JQ264" s="274"/>
      <c r="JR264" s="274"/>
      <c r="JS264" s="274"/>
      <c r="JT264" s="274"/>
      <c r="JU264" s="274"/>
      <c r="JV264" s="274"/>
      <c r="JW264" s="274"/>
      <c r="JX264" s="274"/>
      <c r="JY264" s="274"/>
      <c r="JZ264" s="274"/>
      <c r="KA264" s="274"/>
      <c r="KB264" s="274"/>
      <c r="KC264" s="274"/>
      <c r="KD264" s="274"/>
      <c r="KE264" s="274"/>
      <c r="KF264" s="274"/>
      <c r="KG264" s="274"/>
      <c r="KH264" s="274"/>
      <c r="KI264" s="274"/>
      <c r="KJ264" s="274"/>
      <c r="KK264" s="274"/>
      <c r="KL264" s="274"/>
      <c r="KM264" s="274"/>
      <c r="KN264" s="274"/>
      <c r="KO264" s="274"/>
      <c r="KP264" s="274"/>
      <c r="KQ264" s="274"/>
      <c r="KR264" s="274"/>
      <c r="KS264" s="274"/>
      <c r="KT264" s="274"/>
      <c r="KU264" s="274"/>
      <c r="KV264" s="274"/>
      <c r="KW264" s="274"/>
      <c r="KX264" s="274"/>
      <c r="KY264" s="274"/>
      <c r="KZ264" s="274"/>
      <c r="LA264" s="274"/>
      <c r="LB264" s="274"/>
      <c r="LC264" s="274"/>
      <c r="LD264" s="274"/>
      <c r="LE264" s="274"/>
      <c r="LF264" s="274"/>
      <c r="LG264" s="274"/>
      <c r="LH264" s="274"/>
      <c r="LI264" s="274"/>
      <c r="LJ264" s="274"/>
      <c r="LK264" s="274"/>
      <c r="LL264" s="274"/>
      <c r="LM264" s="274"/>
      <c r="LN264" s="274"/>
      <c r="LO264" s="274"/>
      <c r="LP264" s="274"/>
      <c r="LQ264" s="274"/>
      <c r="LR264" s="274"/>
      <c r="LS264" s="274"/>
      <c r="LT264" s="274"/>
      <c r="LU264" s="274"/>
      <c r="LV264" s="274"/>
      <c r="LW264" s="274"/>
      <c r="LX264" s="274"/>
      <c r="LY264" s="274"/>
      <c r="LZ264" s="274"/>
      <c r="MA264" s="274"/>
      <c r="MB264" s="274"/>
      <c r="MC264" s="274"/>
      <c r="MD264" s="274"/>
      <c r="ME264" s="274"/>
      <c r="MF264" s="274"/>
      <c r="MG264" s="274"/>
      <c r="MH264" s="274"/>
      <c r="MI264" s="274"/>
      <c r="MJ264" s="274"/>
      <c r="MK264" s="274"/>
      <c r="ML264" s="274"/>
      <c r="MM264" s="274"/>
      <c r="MN264" s="274"/>
      <c r="MO264" s="274"/>
      <c r="MP264" s="274"/>
      <c r="MQ264" s="274"/>
      <c r="MR264" s="274"/>
      <c r="MS264" s="274"/>
      <c r="MT264" s="274"/>
      <c r="MU264" s="274"/>
      <c r="MV264" s="274"/>
      <c r="MW264" s="274"/>
      <c r="MX264" s="274"/>
      <c r="MY264" s="274"/>
      <c r="MZ264" s="274"/>
      <c r="NA264" s="274"/>
      <c r="NB264" s="274"/>
      <c r="NC264" s="274"/>
      <c r="ND264" s="274"/>
      <c r="NE264" s="274"/>
      <c r="NF264" s="274"/>
      <c r="NG264" s="274"/>
      <c r="NH264" s="274"/>
      <c r="NI264" s="274"/>
      <c r="NJ264" s="274"/>
      <c r="NK264" s="274"/>
      <c r="NL264" s="274"/>
      <c r="NM264" s="274"/>
      <c r="NN264" s="274"/>
      <c r="NO264" s="274"/>
      <c r="NP264" s="274"/>
      <c r="NQ264" s="274"/>
      <c r="NR264" s="274"/>
      <c r="NS264" s="274"/>
      <c r="NT264" s="274"/>
      <c r="NU264" s="274"/>
      <c r="NV264" s="274"/>
      <c r="NW264" s="274"/>
      <c r="NX264" s="274"/>
      <c r="NY264" s="274"/>
      <c r="NZ264" s="274"/>
      <c r="OA264" s="274"/>
      <c r="OB264" s="274"/>
      <c r="OC264" s="274"/>
      <c r="OD264" s="274"/>
      <c r="OE264" s="274"/>
      <c r="OF264" s="274"/>
      <c r="OG264" s="274"/>
      <c r="OH264" s="274"/>
      <c r="OI264" s="274"/>
      <c r="OJ264" s="274"/>
      <c r="OK264" s="274"/>
      <c r="OL264" s="274"/>
      <c r="OM264" s="274"/>
      <c r="ON264" s="274"/>
      <c r="OO264" s="274"/>
      <c r="OP264" s="274"/>
      <c r="OQ264" s="274"/>
      <c r="OR264" s="274"/>
      <c r="OS264" s="274"/>
      <c r="OT264" s="274"/>
      <c r="OU264" s="274"/>
      <c r="OV264" s="274"/>
      <c r="OW264" s="274"/>
      <c r="OX264" s="274"/>
      <c r="OY264" s="274"/>
      <c r="OZ264" s="274"/>
      <c r="PA264" s="274"/>
      <c r="PB264" s="274"/>
      <c r="PC264" s="274"/>
      <c r="PD264" s="274"/>
      <c r="PE264" s="274"/>
      <c r="PF264" s="274"/>
      <c r="PG264" s="274"/>
      <c r="PH264" s="274"/>
      <c r="PI264" s="274"/>
      <c r="PJ264" s="274"/>
      <c r="PK264" s="274"/>
      <c r="PL264" s="274"/>
      <c r="PM264" s="274"/>
      <c r="PN264" s="274"/>
      <c r="PO264" s="274"/>
      <c r="PP264" s="274"/>
      <c r="PQ264" s="274"/>
      <c r="PR264" s="274"/>
      <c r="PS264" s="274"/>
      <c r="PT264" s="274"/>
      <c r="PU264" s="274"/>
      <c r="PV264" s="274"/>
      <c r="PW264" s="274"/>
      <c r="PX264" s="274"/>
      <c r="PY264" s="274"/>
      <c r="PZ264" s="274"/>
      <c r="QA264" s="274"/>
      <c r="QB264" s="274"/>
      <c r="QC264" s="274"/>
      <c r="QD264" s="274"/>
      <c r="QE264" s="274"/>
      <c r="QF264" s="274"/>
      <c r="QG264" s="274"/>
      <c r="QH264" s="274"/>
      <c r="QI264" s="274"/>
      <c r="QJ264" s="274"/>
      <c r="QK264" s="274"/>
      <c r="QL264" s="274"/>
      <c r="QM264" s="274"/>
      <c r="QN264" s="274"/>
      <c r="QO264" s="274"/>
      <c r="QP264" s="274"/>
      <c r="QQ264" s="274"/>
      <c r="QR264" s="274"/>
      <c r="QS264" s="274"/>
      <c r="QT264" s="274"/>
      <c r="QU264" s="274"/>
      <c r="QV264" s="274"/>
      <c r="QW264" s="274"/>
      <c r="QX264" s="274"/>
      <c r="QY264" s="274"/>
      <c r="QZ264" s="274"/>
      <c r="RA264" s="274"/>
      <c r="RB264" s="274"/>
      <c r="RC264" s="274"/>
    </row>
    <row r="265" spans="112:471" ht="17.25">
      <c r="DH265" s="274"/>
      <c r="DI265" s="274"/>
      <c r="DJ265" s="978"/>
      <c r="DK265" s="274"/>
      <c r="DL265" s="274"/>
      <c r="DM265" s="274"/>
      <c r="DN265" s="274"/>
      <c r="DO265" s="274"/>
      <c r="DP265" s="274"/>
      <c r="DQ265" s="274"/>
      <c r="DR265" s="274"/>
      <c r="DS265" s="274"/>
      <c r="DT265" s="274"/>
      <c r="DU265" s="274"/>
      <c r="DV265" s="274"/>
      <c r="DW265" s="274"/>
      <c r="DX265" s="274"/>
      <c r="DY265" s="274"/>
      <c r="DZ265" s="274"/>
      <c r="EA265" s="274"/>
      <c r="EB265" s="274"/>
      <c r="EC265" s="274"/>
      <c r="ED265" s="274"/>
      <c r="EE265" s="274"/>
      <c r="EF265" s="274"/>
      <c r="EG265" s="274"/>
      <c r="EH265" s="274"/>
      <c r="EI265" s="274"/>
      <c r="EJ265" s="274"/>
      <c r="EK265" s="274"/>
      <c r="EL265" s="274"/>
      <c r="EM265" s="274"/>
      <c r="EN265" s="274"/>
      <c r="EO265" s="274"/>
      <c r="EP265" s="274"/>
      <c r="EQ265" s="274"/>
      <c r="ER265" s="274"/>
      <c r="ES265" s="274"/>
      <c r="ET265" s="274"/>
      <c r="EU265" s="274"/>
      <c r="EV265" s="274"/>
      <c r="EW265" s="274"/>
      <c r="EX265" s="274"/>
      <c r="EY265" s="274"/>
      <c r="EZ265" s="274"/>
      <c r="FA265" s="274"/>
      <c r="FB265" s="274"/>
      <c r="FC265" s="274"/>
      <c r="FD265" s="274"/>
      <c r="FE265" s="274"/>
      <c r="FF265" s="274"/>
      <c r="FG265" s="274"/>
      <c r="FH265" s="274"/>
      <c r="FI265" s="274"/>
      <c r="FJ265" s="274"/>
      <c r="FK265" s="274"/>
      <c r="FL265" s="274"/>
      <c r="FM265" s="274"/>
      <c r="FN265" s="274"/>
      <c r="FO265" s="274"/>
      <c r="FP265" s="274"/>
      <c r="FQ265" s="274"/>
      <c r="FR265" s="274"/>
      <c r="FS265" s="274"/>
      <c r="FT265" s="274"/>
      <c r="FU265" s="274"/>
      <c r="FV265" s="274"/>
      <c r="FW265" s="274"/>
      <c r="FX265" s="274"/>
      <c r="FY265" s="274"/>
      <c r="FZ265" s="274"/>
      <c r="GA265" s="274"/>
      <c r="GB265" s="274"/>
      <c r="GC265" s="274"/>
      <c r="GD265" s="274"/>
      <c r="GE265" s="274"/>
      <c r="GF265" s="274"/>
      <c r="GG265" s="274"/>
      <c r="GH265" s="274"/>
      <c r="GI265" s="274"/>
      <c r="GJ265" s="274"/>
      <c r="GK265" s="274"/>
      <c r="GL265" s="274"/>
      <c r="GM265" s="274"/>
      <c r="GN265" s="274"/>
      <c r="GO265" s="274"/>
      <c r="GP265" s="274"/>
      <c r="GQ265" s="274"/>
      <c r="GR265" s="274"/>
      <c r="GS265" s="274"/>
      <c r="GT265" s="274"/>
      <c r="GU265" s="274"/>
      <c r="GV265" s="274"/>
      <c r="GW265" s="274"/>
      <c r="GX265" s="274"/>
      <c r="GY265" s="274"/>
      <c r="GZ265" s="274"/>
      <c r="HA265" s="274"/>
      <c r="HB265" s="274"/>
      <c r="HC265" s="274"/>
      <c r="HD265" s="274"/>
      <c r="HE265" s="274"/>
      <c r="HF265" s="274"/>
      <c r="HG265" s="274"/>
      <c r="HH265" s="274"/>
      <c r="HI265" s="274"/>
      <c r="HJ265" s="274"/>
      <c r="HK265" s="274"/>
      <c r="HL265" s="274"/>
      <c r="HM265" s="274"/>
      <c r="HN265" s="274"/>
      <c r="HO265" s="274"/>
      <c r="HP265" s="274"/>
      <c r="HQ265" s="274"/>
      <c r="HR265" s="274"/>
      <c r="HS265" s="274"/>
      <c r="HT265" s="274"/>
      <c r="HU265" s="274"/>
      <c r="HV265" s="274"/>
      <c r="HW265" s="274"/>
      <c r="HX265" s="274"/>
      <c r="HY265" s="274"/>
      <c r="HZ265" s="274"/>
      <c r="IA265" s="274"/>
      <c r="IB265" s="274"/>
      <c r="IC265" s="274"/>
      <c r="ID265" s="274"/>
      <c r="IE265" s="274"/>
      <c r="IF265" s="274"/>
      <c r="IG265" s="274"/>
      <c r="IH265" s="274"/>
      <c r="II265" s="274"/>
      <c r="IJ265" s="274"/>
      <c r="IK265" s="274"/>
      <c r="IL265" s="274"/>
      <c r="IM265" s="274"/>
      <c r="IN265" s="274"/>
      <c r="IO265" s="274"/>
      <c r="IP265" s="274"/>
      <c r="IQ265" s="274"/>
      <c r="IR265" s="274"/>
      <c r="IS265" s="274"/>
      <c r="IT265" s="274"/>
      <c r="IU265" s="274"/>
      <c r="IV265" s="274"/>
      <c r="IW265" s="274"/>
      <c r="IX265" s="274"/>
      <c r="IY265" s="274"/>
      <c r="IZ265" s="274"/>
      <c r="JA265" s="274"/>
      <c r="JB265" s="274"/>
      <c r="JC265" s="274"/>
      <c r="JD265" s="274"/>
      <c r="JE265" s="274"/>
      <c r="JF265" s="274"/>
      <c r="JG265" s="274"/>
      <c r="JH265" s="274"/>
      <c r="JI265" s="274"/>
      <c r="JJ265" s="274"/>
      <c r="JK265" s="274"/>
      <c r="JL265" s="274"/>
      <c r="JM265" s="274"/>
      <c r="JN265" s="274"/>
      <c r="JO265" s="274"/>
      <c r="JP265" s="274"/>
      <c r="JQ265" s="274"/>
      <c r="JR265" s="274"/>
      <c r="JS265" s="274"/>
      <c r="JT265" s="274"/>
      <c r="JU265" s="274"/>
      <c r="JV265" s="274"/>
      <c r="JW265" s="274"/>
      <c r="JX265" s="274"/>
      <c r="JY265" s="274"/>
      <c r="JZ265" s="274"/>
      <c r="KA265" s="274"/>
      <c r="KB265" s="274"/>
      <c r="KC265" s="274"/>
      <c r="KD265" s="274"/>
      <c r="KE265" s="274"/>
      <c r="KF265" s="274"/>
      <c r="KG265" s="274"/>
      <c r="KH265" s="274"/>
      <c r="KI265" s="274"/>
      <c r="KJ265" s="274"/>
      <c r="KK265" s="274"/>
      <c r="KL265" s="274"/>
      <c r="KM265" s="274"/>
      <c r="KN265" s="274"/>
      <c r="KO265" s="274"/>
      <c r="KP265" s="274"/>
      <c r="KQ265" s="274"/>
      <c r="KR265" s="274"/>
      <c r="KS265" s="274"/>
      <c r="KT265" s="274"/>
      <c r="KU265" s="274"/>
      <c r="KV265" s="274"/>
      <c r="KW265" s="274"/>
      <c r="KX265" s="274"/>
      <c r="KY265" s="274"/>
      <c r="KZ265" s="274"/>
      <c r="LA265" s="274"/>
      <c r="LB265" s="274"/>
      <c r="LC265" s="274"/>
      <c r="LD265" s="274"/>
      <c r="LE265" s="274"/>
      <c r="LF265" s="274"/>
      <c r="LG265" s="274"/>
      <c r="LH265" s="274"/>
      <c r="LI265" s="274"/>
      <c r="LJ265" s="274"/>
      <c r="LK265" s="274"/>
      <c r="LL265" s="274"/>
      <c r="LM265" s="274"/>
      <c r="LN265" s="274"/>
      <c r="LO265" s="274"/>
      <c r="LP265" s="274"/>
      <c r="LQ265" s="274"/>
      <c r="LR265" s="274"/>
      <c r="LS265" s="274"/>
      <c r="LT265" s="274"/>
      <c r="LU265" s="274"/>
      <c r="LV265" s="274"/>
      <c r="LW265" s="274"/>
      <c r="LX265" s="274"/>
      <c r="LY265" s="274"/>
      <c r="LZ265" s="274"/>
      <c r="MA265" s="274"/>
      <c r="MB265" s="274"/>
      <c r="MC265" s="274"/>
      <c r="MD265" s="274"/>
      <c r="ME265" s="274"/>
      <c r="MF265" s="274"/>
      <c r="MG265" s="274"/>
      <c r="MH265" s="274"/>
      <c r="MI265" s="274"/>
      <c r="MJ265" s="274"/>
      <c r="MK265" s="274"/>
      <c r="ML265" s="274"/>
      <c r="MM265" s="274"/>
      <c r="MN265" s="274"/>
      <c r="MO265" s="274"/>
      <c r="MP265" s="274"/>
      <c r="MQ265" s="274"/>
      <c r="MR265" s="274"/>
      <c r="MS265" s="274"/>
      <c r="MT265" s="274"/>
      <c r="MU265" s="274"/>
      <c r="MV265" s="274"/>
      <c r="MW265" s="274"/>
      <c r="MX265" s="274"/>
      <c r="MY265" s="274"/>
      <c r="MZ265" s="274"/>
      <c r="NA265" s="274"/>
      <c r="NB265" s="274"/>
      <c r="NC265" s="274"/>
      <c r="ND265" s="274"/>
      <c r="NE265" s="274"/>
      <c r="NF265" s="274"/>
      <c r="NG265" s="274"/>
      <c r="NH265" s="274"/>
      <c r="NI265" s="274"/>
      <c r="NJ265" s="274"/>
      <c r="NK265" s="274"/>
      <c r="NL265" s="274"/>
      <c r="NM265" s="274"/>
      <c r="NN265" s="274"/>
      <c r="NO265" s="274"/>
      <c r="NP265" s="274"/>
      <c r="NQ265" s="274"/>
      <c r="NR265" s="274"/>
      <c r="NS265" s="274"/>
      <c r="NT265" s="274"/>
      <c r="NU265" s="274"/>
      <c r="NV265" s="274"/>
      <c r="NW265" s="274"/>
      <c r="NX265" s="274"/>
      <c r="NY265" s="274"/>
      <c r="NZ265" s="274"/>
      <c r="OA265" s="274"/>
      <c r="OB265" s="274"/>
      <c r="OC265" s="274"/>
      <c r="OD265" s="274"/>
      <c r="OE265" s="274"/>
      <c r="OF265" s="274"/>
      <c r="OG265" s="274"/>
      <c r="OH265" s="274"/>
      <c r="OI265" s="274"/>
      <c r="OJ265" s="274"/>
      <c r="OK265" s="274"/>
      <c r="OL265" s="274"/>
      <c r="OM265" s="274"/>
      <c r="ON265" s="274"/>
      <c r="OO265" s="274"/>
      <c r="OP265" s="274"/>
      <c r="OQ265" s="274"/>
      <c r="OR265" s="274"/>
      <c r="OS265" s="274"/>
      <c r="OT265" s="274"/>
      <c r="OU265" s="274"/>
      <c r="OV265" s="274"/>
      <c r="OW265" s="274"/>
      <c r="OX265" s="274"/>
      <c r="OY265" s="274"/>
      <c r="OZ265" s="274"/>
      <c r="PA265" s="274"/>
      <c r="PB265" s="274"/>
      <c r="PC265" s="274"/>
      <c r="PD265" s="274"/>
      <c r="PE265" s="274"/>
      <c r="PF265" s="274"/>
      <c r="PG265" s="274"/>
      <c r="PH265" s="274"/>
      <c r="PI265" s="274"/>
      <c r="PJ265" s="274"/>
      <c r="PK265" s="274"/>
      <c r="PL265" s="274"/>
      <c r="PM265" s="274"/>
      <c r="PN265" s="274"/>
      <c r="PO265" s="274"/>
      <c r="PP265" s="274"/>
      <c r="PQ265" s="274"/>
      <c r="PR265" s="274"/>
      <c r="PS265" s="274"/>
      <c r="PT265" s="274"/>
      <c r="PU265" s="274"/>
      <c r="PV265" s="274"/>
      <c r="PW265" s="274"/>
      <c r="PX265" s="274"/>
      <c r="PY265" s="274"/>
      <c r="PZ265" s="274"/>
      <c r="QA265" s="274"/>
      <c r="QB265" s="274"/>
      <c r="QC265" s="274"/>
      <c r="QD265" s="274"/>
      <c r="QE265" s="274"/>
      <c r="QF265" s="274"/>
      <c r="QG265" s="274"/>
      <c r="QH265" s="274"/>
      <c r="QI265" s="274"/>
      <c r="QJ265" s="274"/>
      <c r="QK265" s="274"/>
      <c r="QL265" s="274"/>
      <c r="QM265" s="274"/>
      <c r="QN265" s="274"/>
      <c r="QO265" s="274"/>
      <c r="QP265" s="274"/>
      <c r="QQ265" s="274"/>
      <c r="QR265" s="274"/>
      <c r="QS265" s="274"/>
      <c r="QT265" s="274"/>
      <c r="QU265" s="274"/>
      <c r="QV265" s="274"/>
      <c r="QW265" s="274"/>
      <c r="QX265" s="274"/>
      <c r="QY265" s="274"/>
      <c r="QZ265" s="274"/>
      <c r="RA265" s="274"/>
      <c r="RB265" s="274"/>
      <c r="RC265" s="274"/>
    </row>
    <row r="266" spans="112:471" ht="17.25">
      <c r="DH266" s="274"/>
      <c r="DI266" s="274"/>
      <c r="DJ266" s="978"/>
      <c r="DK266" s="978"/>
      <c r="DL266" s="978"/>
      <c r="DM266" s="978"/>
      <c r="DN266" s="978"/>
      <c r="DO266" s="978"/>
      <c r="DP266" s="978"/>
      <c r="DQ266" s="978"/>
      <c r="DR266" s="978"/>
      <c r="DS266" s="978"/>
      <c r="DT266" s="978"/>
      <c r="DU266" s="978"/>
      <c r="DV266" s="978"/>
      <c r="DW266" s="978"/>
      <c r="DX266" s="978"/>
      <c r="DY266" s="978"/>
      <c r="DZ266" s="978"/>
      <c r="EA266" s="978"/>
      <c r="EB266" s="978"/>
      <c r="EC266" s="978"/>
      <c r="ED266" s="978"/>
      <c r="EE266" s="978"/>
      <c r="EF266" s="978"/>
      <c r="EG266" s="978"/>
      <c r="EH266" s="978"/>
      <c r="EI266" s="978"/>
      <c r="EJ266" s="978"/>
      <c r="EK266" s="978"/>
      <c r="EL266" s="978"/>
      <c r="EM266" s="978"/>
      <c r="EN266" s="978"/>
      <c r="EO266" s="978"/>
      <c r="EP266" s="978"/>
      <c r="EQ266" s="978"/>
      <c r="ER266" s="978"/>
      <c r="ES266" s="978"/>
      <c r="ET266" s="978"/>
      <c r="EU266" s="978"/>
      <c r="EV266" s="978"/>
      <c r="EW266" s="978"/>
      <c r="EX266" s="978"/>
      <c r="EY266" s="978"/>
      <c r="EZ266" s="978"/>
      <c r="FA266" s="978"/>
      <c r="FB266" s="978"/>
      <c r="FC266" s="978"/>
      <c r="FD266" s="978"/>
      <c r="FE266" s="978"/>
      <c r="FF266" s="978"/>
      <c r="FG266" s="978"/>
      <c r="FH266" s="978"/>
      <c r="FI266" s="978"/>
      <c r="FJ266" s="978"/>
      <c r="FK266" s="978"/>
      <c r="FL266" s="978"/>
      <c r="FM266" s="978"/>
      <c r="FN266" s="978"/>
      <c r="FO266" s="978"/>
      <c r="FP266" s="978"/>
      <c r="FQ266" s="978"/>
      <c r="FR266" s="978"/>
      <c r="FS266" s="978"/>
      <c r="FT266" s="978"/>
      <c r="FU266" s="978"/>
      <c r="FV266" s="978"/>
      <c r="FW266" s="978"/>
      <c r="FX266" s="978"/>
      <c r="FY266" s="978"/>
      <c r="FZ266" s="978"/>
      <c r="GA266" s="978"/>
      <c r="GB266" s="978"/>
      <c r="GC266" s="978"/>
      <c r="GD266" s="978"/>
      <c r="GE266" s="978"/>
      <c r="GF266" s="978"/>
      <c r="GG266" s="978"/>
      <c r="GH266" s="978"/>
      <c r="GI266" s="978"/>
      <c r="GJ266" s="978"/>
      <c r="GK266" s="978"/>
      <c r="GL266" s="978"/>
      <c r="GM266" s="978"/>
      <c r="GN266" s="978"/>
      <c r="GO266" s="978"/>
      <c r="GP266" s="978"/>
      <c r="GQ266" s="978"/>
      <c r="GR266" s="978"/>
      <c r="GS266" s="978"/>
      <c r="GT266" s="978"/>
      <c r="GU266" s="978"/>
      <c r="GV266" s="978"/>
      <c r="GW266" s="978"/>
      <c r="GX266" s="978"/>
      <c r="GY266" s="978"/>
      <c r="GZ266" s="978"/>
      <c r="HA266" s="978"/>
      <c r="HB266" s="978"/>
      <c r="HC266" s="978"/>
      <c r="HD266" s="978"/>
      <c r="HE266" s="978"/>
      <c r="HF266" s="978"/>
      <c r="HG266" s="978"/>
      <c r="HH266" s="978"/>
      <c r="HI266" s="978"/>
      <c r="HJ266" s="978"/>
      <c r="HK266" s="978"/>
      <c r="HL266" s="978"/>
      <c r="HM266" s="978"/>
      <c r="HN266" s="978"/>
      <c r="HO266" s="978"/>
      <c r="HP266" s="978"/>
      <c r="HQ266" s="978"/>
      <c r="HR266" s="978"/>
      <c r="HS266" s="978"/>
      <c r="HT266" s="978"/>
      <c r="HU266" s="978"/>
      <c r="HV266" s="978"/>
      <c r="HW266" s="978"/>
      <c r="HX266" s="978"/>
      <c r="HY266" s="978"/>
      <c r="HZ266" s="978"/>
      <c r="IA266" s="978"/>
      <c r="IB266" s="978"/>
      <c r="IC266" s="978"/>
      <c r="ID266" s="978"/>
      <c r="IE266" s="978"/>
      <c r="IF266" s="978"/>
      <c r="IG266" s="978"/>
      <c r="IH266" s="978"/>
      <c r="II266" s="978"/>
      <c r="IJ266" s="978"/>
      <c r="IK266" s="978"/>
      <c r="IL266" s="978"/>
      <c r="IM266" s="978"/>
      <c r="IN266" s="978"/>
      <c r="IO266" s="978"/>
      <c r="IP266" s="978"/>
      <c r="IQ266" s="978"/>
      <c r="IR266" s="978"/>
      <c r="IS266" s="978"/>
      <c r="IT266" s="978"/>
      <c r="IU266" s="978"/>
      <c r="IV266" s="978"/>
      <c r="IW266" s="978"/>
      <c r="IX266" s="978"/>
      <c r="IY266" s="978"/>
      <c r="IZ266" s="978"/>
      <c r="JA266" s="978"/>
      <c r="JB266" s="978"/>
      <c r="JC266" s="978"/>
      <c r="JD266" s="978"/>
      <c r="JE266" s="978"/>
      <c r="JF266" s="978"/>
      <c r="JG266" s="978"/>
      <c r="JH266" s="978"/>
      <c r="JI266" s="978"/>
      <c r="JJ266" s="978"/>
      <c r="JK266" s="978"/>
      <c r="JL266" s="978"/>
      <c r="JM266" s="978"/>
      <c r="JN266" s="978"/>
      <c r="JO266" s="978"/>
      <c r="JP266" s="978"/>
      <c r="JQ266" s="978"/>
      <c r="JR266" s="978"/>
      <c r="JS266" s="978"/>
      <c r="JT266" s="978"/>
      <c r="JU266" s="978"/>
      <c r="JV266" s="978"/>
      <c r="JW266" s="978"/>
      <c r="JX266" s="978"/>
      <c r="JY266" s="978"/>
      <c r="JZ266" s="978"/>
      <c r="KA266" s="978"/>
      <c r="KB266" s="978"/>
      <c r="KC266" s="978"/>
      <c r="KD266" s="978"/>
      <c r="KE266" s="978"/>
      <c r="KF266" s="978"/>
      <c r="KG266" s="978"/>
      <c r="KH266" s="978"/>
      <c r="KI266" s="978"/>
      <c r="KJ266" s="978"/>
      <c r="KK266" s="978"/>
      <c r="KL266" s="978"/>
      <c r="KM266" s="978"/>
      <c r="KN266" s="978"/>
      <c r="KO266" s="978"/>
      <c r="KP266" s="978"/>
      <c r="KQ266" s="978"/>
      <c r="KR266" s="978"/>
      <c r="KS266" s="978"/>
      <c r="KT266" s="978"/>
      <c r="KU266" s="978"/>
      <c r="KV266" s="978"/>
      <c r="KW266" s="978"/>
      <c r="KX266" s="978"/>
      <c r="KY266" s="978"/>
      <c r="KZ266" s="978"/>
      <c r="LA266" s="978"/>
      <c r="LB266" s="978"/>
      <c r="LC266" s="978"/>
      <c r="LD266" s="978"/>
      <c r="LE266" s="978"/>
      <c r="LF266" s="978"/>
      <c r="LG266" s="978"/>
      <c r="LH266" s="978"/>
      <c r="LI266" s="978"/>
      <c r="LJ266" s="978"/>
      <c r="LK266" s="978"/>
      <c r="LL266" s="978"/>
      <c r="LM266" s="978"/>
      <c r="LN266" s="978"/>
      <c r="LO266" s="978"/>
      <c r="LP266" s="978"/>
      <c r="LQ266" s="978"/>
      <c r="LR266" s="978"/>
      <c r="LS266" s="978"/>
      <c r="LT266" s="978"/>
      <c r="LU266" s="978"/>
      <c r="LV266" s="978"/>
      <c r="LW266" s="978"/>
      <c r="LX266" s="978"/>
      <c r="LY266" s="978"/>
      <c r="LZ266" s="978"/>
      <c r="MA266" s="978"/>
      <c r="MB266" s="978"/>
      <c r="MC266" s="978"/>
      <c r="MD266" s="978"/>
      <c r="ME266" s="978"/>
      <c r="MF266" s="978"/>
      <c r="MG266" s="978"/>
      <c r="MH266" s="978"/>
      <c r="MI266" s="978"/>
      <c r="MJ266" s="978"/>
      <c r="MK266" s="978"/>
      <c r="ML266" s="978"/>
      <c r="MM266" s="978"/>
      <c r="MN266" s="978"/>
      <c r="MO266" s="978"/>
      <c r="MP266" s="978"/>
      <c r="MQ266" s="978"/>
      <c r="MR266" s="978"/>
      <c r="MS266" s="978"/>
      <c r="MT266" s="978"/>
      <c r="MU266" s="978"/>
      <c r="MV266" s="978"/>
      <c r="MW266" s="978"/>
      <c r="MX266" s="978"/>
      <c r="MY266" s="978"/>
      <c r="MZ266" s="978"/>
      <c r="NA266" s="978"/>
      <c r="NB266" s="978"/>
      <c r="NC266" s="978"/>
      <c r="ND266" s="978"/>
      <c r="NE266" s="978"/>
      <c r="NF266" s="978"/>
      <c r="NG266" s="978"/>
      <c r="NH266" s="978"/>
      <c r="NI266" s="978"/>
      <c r="NJ266" s="978"/>
      <c r="NK266" s="978"/>
      <c r="NL266" s="978"/>
      <c r="NM266" s="978"/>
      <c r="NN266" s="978"/>
      <c r="NO266" s="978"/>
      <c r="NP266" s="978"/>
      <c r="NQ266" s="978"/>
      <c r="NR266" s="978"/>
      <c r="NS266" s="978"/>
      <c r="NT266" s="978"/>
      <c r="NU266" s="978"/>
      <c r="NV266" s="978"/>
      <c r="NW266" s="978"/>
      <c r="NX266" s="978"/>
      <c r="NY266" s="978"/>
      <c r="NZ266" s="978"/>
      <c r="OA266" s="978"/>
      <c r="OB266" s="978"/>
      <c r="OC266" s="978"/>
      <c r="OD266" s="978"/>
      <c r="OE266" s="978"/>
      <c r="OF266" s="978"/>
      <c r="OG266" s="978"/>
      <c r="OH266" s="978"/>
      <c r="OI266" s="978"/>
      <c r="OJ266" s="978"/>
      <c r="OK266" s="978"/>
      <c r="OL266" s="978"/>
      <c r="OM266" s="978"/>
      <c r="ON266" s="978"/>
      <c r="OO266" s="978"/>
      <c r="OP266" s="978"/>
      <c r="OQ266" s="978"/>
      <c r="OR266" s="978"/>
      <c r="OS266" s="978"/>
      <c r="OT266" s="978"/>
      <c r="OU266" s="978"/>
      <c r="OV266" s="978"/>
      <c r="OW266" s="978"/>
      <c r="OX266" s="978"/>
      <c r="OY266" s="978"/>
      <c r="OZ266" s="978"/>
      <c r="PA266" s="978"/>
      <c r="PB266" s="978"/>
      <c r="PC266" s="978"/>
      <c r="PD266" s="978"/>
      <c r="PE266" s="978"/>
      <c r="PF266" s="978"/>
      <c r="PG266" s="978"/>
      <c r="PH266" s="978"/>
      <c r="PI266" s="978"/>
      <c r="PJ266" s="978"/>
      <c r="PK266" s="978"/>
      <c r="PL266" s="978"/>
      <c r="PM266" s="978"/>
      <c r="PN266" s="978"/>
      <c r="PO266" s="978"/>
      <c r="PP266" s="978"/>
      <c r="PQ266" s="978"/>
      <c r="PR266" s="978"/>
      <c r="PS266" s="978"/>
      <c r="PT266" s="978"/>
      <c r="PU266" s="978"/>
      <c r="PV266" s="978"/>
      <c r="PW266" s="978"/>
      <c r="PX266" s="978"/>
      <c r="PY266" s="978"/>
      <c r="PZ266" s="978"/>
      <c r="QA266" s="978"/>
      <c r="QB266" s="978"/>
      <c r="QC266" s="978"/>
      <c r="QD266" s="978"/>
      <c r="QE266" s="978"/>
      <c r="QF266" s="978"/>
      <c r="QG266" s="978"/>
      <c r="QH266" s="978"/>
      <c r="QI266" s="978"/>
      <c r="QJ266" s="978"/>
      <c r="QK266" s="978"/>
      <c r="QL266" s="978"/>
      <c r="QM266" s="978"/>
      <c r="QN266" s="978"/>
      <c r="QO266" s="978"/>
      <c r="QP266" s="978"/>
      <c r="QQ266" s="978"/>
      <c r="QR266" s="978"/>
      <c r="QS266" s="978"/>
      <c r="QT266" s="978"/>
      <c r="QU266" s="978"/>
      <c r="QV266" s="978"/>
      <c r="QW266" s="978"/>
      <c r="QX266" s="978"/>
      <c r="QY266" s="978"/>
      <c r="QZ266" s="978"/>
      <c r="RA266" s="978"/>
      <c r="RB266" s="274"/>
      <c r="RC266" s="274"/>
    </row>
    <row r="267" spans="112:471" ht="17.25">
      <c r="DH267" s="274"/>
      <c r="DI267" s="274"/>
      <c r="DJ267" s="978"/>
      <c r="DK267" s="978"/>
      <c r="DL267" s="978"/>
      <c r="DM267" s="978"/>
      <c r="DN267" s="978"/>
      <c r="DO267" s="978"/>
      <c r="DP267" s="978"/>
      <c r="DQ267" s="978"/>
      <c r="DR267" s="978"/>
      <c r="DS267" s="978"/>
      <c r="DT267" s="978"/>
      <c r="DU267" s="978"/>
      <c r="DV267" s="978"/>
      <c r="DW267" s="978"/>
      <c r="DX267" s="978"/>
      <c r="DY267" s="978"/>
      <c r="DZ267" s="978"/>
      <c r="EA267" s="978"/>
      <c r="EB267" s="978"/>
      <c r="EC267" s="978"/>
      <c r="ED267" s="978"/>
      <c r="EE267" s="978"/>
      <c r="EF267" s="978"/>
      <c r="EG267" s="978"/>
      <c r="EH267" s="978"/>
      <c r="EI267" s="978"/>
      <c r="EJ267" s="978"/>
      <c r="EK267" s="978"/>
      <c r="EL267" s="978"/>
      <c r="EM267" s="978"/>
      <c r="EN267" s="978"/>
      <c r="EO267" s="978"/>
      <c r="EP267" s="978"/>
      <c r="EQ267" s="978"/>
      <c r="ER267" s="978"/>
      <c r="ES267" s="978"/>
      <c r="ET267" s="978"/>
      <c r="EU267" s="978"/>
      <c r="EV267" s="978"/>
      <c r="EW267" s="978"/>
      <c r="EX267" s="978"/>
      <c r="EY267" s="978"/>
      <c r="EZ267" s="978"/>
      <c r="FA267" s="978"/>
      <c r="FB267" s="978"/>
      <c r="FC267" s="978"/>
      <c r="FD267" s="978"/>
      <c r="FE267" s="978"/>
      <c r="FF267" s="978"/>
      <c r="FG267" s="978"/>
      <c r="FH267" s="978"/>
      <c r="FI267" s="978"/>
      <c r="FJ267" s="978"/>
      <c r="FK267" s="978"/>
      <c r="FL267" s="978"/>
      <c r="FM267" s="978"/>
      <c r="FN267" s="978"/>
      <c r="FO267" s="978"/>
      <c r="FP267" s="978"/>
      <c r="FQ267" s="978"/>
      <c r="FR267" s="978"/>
      <c r="FS267" s="978"/>
      <c r="FT267" s="978"/>
      <c r="FU267" s="978"/>
      <c r="FV267" s="978"/>
      <c r="FW267" s="978"/>
      <c r="FX267" s="978"/>
      <c r="FY267" s="978"/>
      <c r="FZ267" s="978"/>
      <c r="GA267" s="978"/>
      <c r="GB267" s="978"/>
      <c r="GC267" s="978"/>
      <c r="GD267" s="978"/>
      <c r="GE267" s="978"/>
      <c r="GF267" s="978"/>
      <c r="GG267" s="978"/>
      <c r="GH267" s="978"/>
      <c r="GI267" s="978"/>
      <c r="GJ267" s="978"/>
      <c r="GK267" s="978"/>
      <c r="GL267" s="978"/>
      <c r="GM267" s="978"/>
      <c r="GN267" s="978"/>
      <c r="GO267" s="978"/>
      <c r="GP267" s="978"/>
      <c r="GQ267" s="978"/>
      <c r="GR267" s="978"/>
      <c r="GS267" s="978"/>
      <c r="GT267" s="978"/>
      <c r="GU267" s="978"/>
      <c r="GV267" s="978"/>
      <c r="GW267" s="978"/>
      <c r="GX267" s="978"/>
      <c r="GY267" s="978"/>
      <c r="GZ267" s="978"/>
      <c r="HA267" s="978"/>
      <c r="HB267" s="978"/>
      <c r="HC267" s="978"/>
      <c r="HD267" s="978"/>
      <c r="HE267" s="978"/>
      <c r="HF267" s="978"/>
      <c r="HG267" s="978"/>
      <c r="HH267" s="978"/>
      <c r="HI267" s="978"/>
      <c r="HJ267" s="978"/>
      <c r="HK267" s="978"/>
      <c r="HL267" s="978"/>
      <c r="HM267" s="978"/>
      <c r="HN267" s="978"/>
      <c r="HO267" s="978"/>
      <c r="HP267" s="978"/>
      <c r="HQ267" s="978"/>
      <c r="HR267" s="978"/>
      <c r="HS267" s="978"/>
      <c r="HT267" s="978"/>
      <c r="HU267" s="978"/>
      <c r="HV267" s="978"/>
      <c r="HW267" s="978"/>
      <c r="HX267" s="978"/>
      <c r="HY267" s="978"/>
      <c r="HZ267" s="978"/>
      <c r="IA267" s="978"/>
      <c r="IB267" s="978"/>
      <c r="IC267" s="978"/>
      <c r="ID267" s="978"/>
      <c r="IE267" s="978"/>
      <c r="IF267" s="978"/>
      <c r="IG267" s="978"/>
      <c r="IH267" s="978"/>
      <c r="II267" s="978"/>
      <c r="IJ267" s="978"/>
      <c r="IK267" s="978"/>
      <c r="IL267" s="978"/>
      <c r="IM267" s="978"/>
      <c r="IN267" s="978"/>
      <c r="IO267" s="978"/>
      <c r="IP267" s="978"/>
      <c r="IQ267" s="978"/>
      <c r="IR267" s="978"/>
      <c r="IS267" s="978"/>
      <c r="IT267" s="978"/>
      <c r="IU267" s="978"/>
      <c r="IV267" s="978"/>
      <c r="IW267" s="978"/>
      <c r="IX267" s="978"/>
      <c r="IY267" s="978"/>
      <c r="IZ267" s="978"/>
      <c r="JA267" s="978"/>
      <c r="JB267" s="978"/>
      <c r="JC267" s="978"/>
      <c r="JD267" s="978"/>
      <c r="JE267" s="978"/>
      <c r="JF267" s="978"/>
      <c r="JG267" s="978"/>
      <c r="JH267" s="978"/>
      <c r="JI267" s="978"/>
      <c r="JJ267" s="978"/>
      <c r="JK267" s="978"/>
      <c r="JL267" s="978"/>
      <c r="JM267" s="978"/>
      <c r="JN267" s="978"/>
      <c r="JO267" s="978"/>
      <c r="JP267" s="978"/>
      <c r="JQ267" s="978"/>
      <c r="JR267" s="978"/>
      <c r="JS267" s="978"/>
      <c r="JT267" s="978"/>
      <c r="JU267" s="978"/>
      <c r="JV267" s="978"/>
      <c r="JW267" s="978"/>
      <c r="JX267" s="978"/>
      <c r="JY267" s="978"/>
      <c r="JZ267" s="978"/>
      <c r="KA267" s="978"/>
      <c r="KB267" s="978"/>
      <c r="KC267" s="978"/>
      <c r="KD267" s="978"/>
      <c r="KE267" s="978"/>
      <c r="KF267" s="978"/>
      <c r="KG267" s="978"/>
      <c r="KH267" s="978"/>
      <c r="KI267" s="978"/>
      <c r="KJ267" s="978"/>
      <c r="KK267" s="978"/>
      <c r="KL267" s="978"/>
      <c r="KM267" s="978"/>
      <c r="KN267" s="978"/>
      <c r="KO267" s="978"/>
      <c r="KP267" s="978"/>
      <c r="KQ267" s="978"/>
      <c r="KR267" s="978"/>
      <c r="KS267" s="978"/>
      <c r="KT267" s="978"/>
      <c r="KU267" s="978"/>
      <c r="KV267" s="978"/>
      <c r="KW267" s="978"/>
      <c r="KX267" s="978"/>
      <c r="KY267" s="978"/>
      <c r="KZ267" s="978"/>
      <c r="LA267" s="978"/>
      <c r="LB267" s="978"/>
      <c r="LC267" s="978"/>
      <c r="LD267" s="978"/>
      <c r="LE267" s="978"/>
      <c r="LF267" s="978"/>
      <c r="LG267" s="978"/>
      <c r="LH267" s="978"/>
      <c r="LI267" s="978"/>
      <c r="LJ267" s="978"/>
      <c r="LK267" s="978"/>
      <c r="LL267" s="978"/>
      <c r="LM267" s="978"/>
      <c r="LN267" s="978"/>
      <c r="LO267" s="978"/>
      <c r="LP267" s="978"/>
      <c r="LQ267" s="978"/>
      <c r="LR267" s="978"/>
      <c r="LS267" s="978"/>
      <c r="LT267" s="978"/>
      <c r="LU267" s="978"/>
      <c r="LV267" s="978"/>
      <c r="LW267" s="978"/>
      <c r="LX267" s="978"/>
      <c r="LY267" s="978"/>
      <c r="LZ267" s="978"/>
      <c r="MA267" s="978"/>
      <c r="MB267" s="978"/>
      <c r="MC267" s="978"/>
      <c r="MD267" s="978"/>
      <c r="ME267" s="978"/>
      <c r="MF267" s="978"/>
      <c r="MG267" s="978"/>
      <c r="MH267" s="978"/>
      <c r="MI267" s="978"/>
      <c r="MJ267" s="978"/>
      <c r="MK267" s="978"/>
      <c r="ML267" s="978"/>
      <c r="MM267" s="978"/>
      <c r="MN267" s="978"/>
      <c r="MO267" s="978"/>
      <c r="MP267" s="978"/>
      <c r="MQ267" s="978"/>
      <c r="MR267" s="978"/>
      <c r="MS267" s="978"/>
      <c r="MT267" s="978"/>
      <c r="MU267" s="978"/>
      <c r="MV267" s="978"/>
      <c r="MW267" s="978"/>
      <c r="MX267" s="978"/>
      <c r="MY267" s="978"/>
      <c r="MZ267" s="978"/>
      <c r="NA267" s="978"/>
      <c r="NB267" s="978"/>
      <c r="NC267" s="978"/>
      <c r="ND267" s="978"/>
      <c r="NE267" s="978"/>
      <c r="NF267" s="978"/>
      <c r="NG267" s="978"/>
      <c r="NH267" s="978"/>
      <c r="NI267" s="978"/>
      <c r="NJ267" s="978"/>
      <c r="NK267" s="978"/>
      <c r="NL267" s="978"/>
      <c r="NM267" s="978"/>
      <c r="NN267" s="978"/>
      <c r="NO267" s="978"/>
      <c r="NP267" s="978"/>
      <c r="NQ267" s="978"/>
      <c r="NR267" s="978"/>
      <c r="NS267" s="978"/>
      <c r="NT267" s="978"/>
      <c r="NU267" s="978"/>
      <c r="NV267" s="978"/>
      <c r="NW267" s="978"/>
      <c r="NX267" s="978"/>
      <c r="NY267" s="978"/>
      <c r="NZ267" s="978"/>
      <c r="OA267" s="978"/>
      <c r="OB267" s="978"/>
      <c r="OC267" s="978"/>
      <c r="OD267" s="978"/>
      <c r="OE267" s="978"/>
      <c r="OF267" s="978"/>
      <c r="OG267" s="978"/>
      <c r="OH267" s="978"/>
      <c r="OI267" s="978"/>
      <c r="OJ267" s="978"/>
      <c r="OK267" s="978"/>
      <c r="OL267" s="978"/>
      <c r="OM267" s="978"/>
      <c r="ON267" s="978"/>
      <c r="OO267" s="978"/>
      <c r="OP267" s="978"/>
      <c r="OQ267" s="978"/>
      <c r="OR267" s="978"/>
      <c r="OS267" s="978"/>
      <c r="OT267" s="978"/>
      <c r="OU267" s="978"/>
      <c r="OV267" s="978"/>
      <c r="OW267" s="978"/>
      <c r="OX267" s="978"/>
      <c r="OY267" s="978"/>
      <c r="OZ267" s="978"/>
      <c r="PA267" s="978"/>
      <c r="PB267" s="978"/>
      <c r="PC267" s="978"/>
      <c r="PD267" s="978"/>
      <c r="PE267" s="978"/>
      <c r="PF267" s="978"/>
      <c r="PG267" s="978"/>
      <c r="PH267" s="978"/>
      <c r="PI267" s="978"/>
      <c r="PJ267" s="978"/>
      <c r="PK267" s="978"/>
      <c r="PL267" s="978"/>
      <c r="PM267" s="978"/>
      <c r="PN267" s="978"/>
      <c r="PO267" s="978"/>
      <c r="PP267" s="978"/>
      <c r="PQ267" s="978"/>
      <c r="PR267" s="978"/>
      <c r="PS267" s="978"/>
      <c r="PT267" s="978"/>
      <c r="PU267" s="978"/>
      <c r="PV267" s="978"/>
      <c r="PW267" s="978"/>
      <c r="PX267" s="978"/>
      <c r="PY267" s="978"/>
      <c r="PZ267" s="978"/>
      <c r="QA267" s="978"/>
      <c r="QB267" s="978"/>
      <c r="QC267" s="978"/>
      <c r="QD267" s="978"/>
      <c r="QE267" s="978"/>
      <c r="QF267" s="978"/>
      <c r="QG267" s="978"/>
      <c r="QH267" s="978"/>
      <c r="QI267" s="978"/>
      <c r="QJ267" s="978"/>
      <c r="QK267" s="978"/>
      <c r="QL267" s="978"/>
      <c r="QM267" s="978"/>
      <c r="QN267" s="978"/>
      <c r="QO267" s="978"/>
      <c r="QP267" s="978"/>
      <c r="QQ267" s="978"/>
      <c r="QR267" s="978"/>
      <c r="QS267" s="978"/>
      <c r="QT267" s="978"/>
      <c r="QU267" s="978"/>
      <c r="QV267" s="978"/>
      <c r="QW267" s="978"/>
      <c r="QX267" s="978"/>
      <c r="QY267" s="978"/>
      <c r="QZ267" s="978"/>
      <c r="RA267" s="978"/>
      <c r="RB267" s="274"/>
      <c r="RC267" s="274"/>
    </row>
    <row r="268" spans="112:471" ht="17.25">
      <c r="DH268" s="274"/>
      <c r="DI268" s="274"/>
      <c r="DJ268" s="978"/>
      <c r="DK268" s="978"/>
      <c r="DL268" s="978"/>
      <c r="DM268" s="978"/>
      <c r="DN268" s="978"/>
      <c r="DO268" s="978"/>
      <c r="DP268" s="978"/>
      <c r="DQ268" s="978"/>
      <c r="DR268" s="978"/>
      <c r="DS268" s="978"/>
      <c r="DT268" s="978"/>
      <c r="DU268" s="978"/>
      <c r="DV268" s="978"/>
      <c r="DW268" s="978"/>
      <c r="DX268" s="978"/>
      <c r="DY268" s="978"/>
      <c r="DZ268" s="978"/>
      <c r="EA268" s="978"/>
      <c r="EB268" s="978"/>
      <c r="EC268" s="978"/>
      <c r="ED268" s="978"/>
      <c r="EE268" s="978"/>
      <c r="EF268" s="978"/>
      <c r="EG268" s="978"/>
      <c r="EH268" s="978"/>
      <c r="EI268" s="978"/>
      <c r="EJ268" s="978"/>
      <c r="EK268" s="978"/>
      <c r="EL268" s="978"/>
      <c r="EM268" s="978"/>
      <c r="EN268" s="978"/>
      <c r="EO268" s="978"/>
      <c r="EP268" s="978"/>
      <c r="EQ268" s="978"/>
      <c r="ER268" s="978"/>
      <c r="ES268" s="978"/>
      <c r="ET268" s="978"/>
      <c r="EU268" s="978"/>
      <c r="EV268" s="978"/>
      <c r="EW268" s="978"/>
      <c r="EX268" s="978"/>
      <c r="EY268" s="978"/>
      <c r="EZ268" s="978"/>
      <c r="FA268" s="978"/>
      <c r="FB268" s="978"/>
      <c r="FC268" s="978"/>
      <c r="FD268" s="978"/>
      <c r="FE268" s="978"/>
      <c r="FF268" s="978"/>
      <c r="FG268" s="978"/>
      <c r="FH268" s="978"/>
      <c r="FI268" s="978"/>
      <c r="FJ268" s="978"/>
      <c r="FK268" s="978"/>
      <c r="FL268" s="978"/>
      <c r="FM268" s="978"/>
      <c r="FN268" s="978"/>
      <c r="FO268" s="978"/>
      <c r="FP268" s="978"/>
      <c r="FQ268" s="978"/>
      <c r="FR268" s="978"/>
      <c r="FS268" s="978"/>
      <c r="FT268" s="978"/>
      <c r="FU268" s="978"/>
      <c r="FV268" s="978"/>
      <c r="FW268" s="978"/>
      <c r="FX268" s="978"/>
      <c r="FY268" s="978"/>
      <c r="FZ268" s="978"/>
      <c r="GA268" s="978"/>
      <c r="GB268" s="978"/>
      <c r="GC268" s="978"/>
      <c r="GD268" s="978"/>
      <c r="GE268" s="978"/>
      <c r="GF268" s="978"/>
      <c r="GG268" s="978"/>
      <c r="GH268" s="978"/>
      <c r="GI268" s="978"/>
      <c r="GJ268" s="978"/>
      <c r="GK268" s="978"/>
      <c r="GL268" s="978"/>
      <c r="GM268" s="978"/>
      <c r="GN268" s="978"/>
      <c r="GO268" s="978"/>
      <c r="GP268" s="978"/>
      <c r="GQ268" s="978"/>
      <c r="GR268" s="978"/>
      <c r="GS268" s="978"/>
      <c r="GT268" s="978"/>
      <c r="GU268" s="978"/>
      <c r="GV268" s="978"/>
      <c r="GW268" s="978"/>
      <c r="GX268" s="978"/>
      <c r="GY268" s="978"/>
      <c r="GZ268" s="978"/>
      <c r="HA268" s="978"/>
      <c r="HB268" s="978"/>
      <c r="HC268" s="978"/>
      <c r="HD268" s="978"/>
      <c r="HE268" s="978"/>
      <c r="HF268" s="978"/>
      <c r="HG268" s="978"/>
      <c r="HH268" s="978"/>
      <c r="HI268" s="978"/>
      <c r="HJ268" s="978"/>
      <c r="HK268" s="978"/>
      <c r="HL268" s="978"/>
      <c r="HM268" s="978"/>
      <c r="HN268" s="978"/>
      <c r="HO268" s="978"/>
      <c r="HP268" s="978"/>
      <c r="HQ268" s="978"/>
      <c r="HR268" s="978"/>
      <c r="HS268" s="978"/>
      <c r="HT268" s="978"/>
      <c r="HU268" s="978"/>
      <c r="HV268" s="978"/>
      <c r="HW268" s="978"/>
      <c r="HX268" s="978"/>
      <c r="HY268" s="978"/>
      <c r="HZ268" s="978"/>
      <c r="IA268" s="978"/>
      <c r="IB268" s="978"/>
      <c r="IC268" s="978"/>
      <c r="ID268" s="978"/>
      <c r="IE268" s="978"/>
      <c r="IF268" s="978"/>
      <c r="IG268" s="978"/>
      <c r="IH268" s="978"/>
      <c r="II268" s="978"/>
      <c r="IJ268" s="978"/>
      <c r="IK268" s="978"/>
      <c r="IL268" s="978"/>
      <c r="IM268" s="978"/>
      <c r="IN268" s="978"/>
      <c r="IO268" s="978"/>
      <c r="IP268" s="978"/>
      <c r="IQ268" s="978"/>
      <c r="IR268" s="978"/>
      <c r="IS268" s="978"/>
      <c r="IT268" s="978"/>
      <c r="IU268" s="978"/>
      <c r="IV268" s="978"/>
      <c r="IW268" s="978"/>
      <c r="IX268" s="978"/>
      <c r="IY268" s="978"/>
      <c r="IZ268" s="978"/>
      <c r="JA268" s="978"/>
      <c r="JB268" s="978"/>
      <c r="JC268" s="978"/>
      <c r="JD268" s="978"/>
      <c r="JE268" s="978"/>
      <c r="JF268" s="978"/>
      <c r="JG268" s="978"/>
      <c r="JH268" s="978"/>
      <c r="JI268" s="978"/>
      <c r="JJ268" s="978"/>
      <c r="JK268" s="978"/>
      <c r="JL268" s="978"/>
      <c r="JM268" s="978"/>
      <c r="JN268" s="978"/>
      <c r="JO268" s="978"/>
      <c r="JP268" s="978"/>
      <c r="JQ268" s="978"/>
      <c r="JR268" s="978"/>
      <c r="JS268" s="978"/>
      <c r="JT268" s="978"/>
      <c r="JU268" s="978"/>
      <c r="JV268" s="978"/>
      <c r="JW268" s="978"/>
      <c r="JX268" s="978"/>
      <c r="JY268" s="978"/>
      <c r="JZ268" s="978"/>
      <c r="KA268" s="978"/>
      <c r="KB268" s="978"/>
      <c r="KC268" s="978"/>
      <c r="KD268" s="978"/>
      <c r="KE268" s="978"/>
      <c r="KF268" s="978"/>
      <c r="KG268" s="978"/>
      <c r="KH268" s="978"/>
      <c r="KI268" s="978"/>
      <c r="KJ268" s="978"/>
      <c r="KK268" s="978"/>
      <c r="KL268" s="978"/>
      <c r="KM268" s="978"/>
      <c r="KN268" s="978"/>
      <c r="KO268" s="978"/>
      <c r="KP268" s="978"/>
      <c r="KQ268" s="978"/>
      <c r="KR268" s="978"/>
      <c r="KS268" s="978"/>
      <c r="KT268" s="978"/>
      <c r="KU268" s="978"/>
      <c r="KV268" s="978"/>
      <c r="KW268" s="978"/>
      <c r="KX268" s="978"/>
      <c r="KY268" s="978"/>
      <c r="KZ268" s="978"/>
      <c r="LA268" s="978"/>
      <c r="LB268" s="978"/>
      <c r="LC268" s="978"/>
      <c r="LD268" s="978"/>
      <c r="LE268" s="978"/>
      <c r="LF268" s="978"/>
      <c r="LG268" s="978"/>
      <c r="LH268" s="978"/>
      <c r="LI268" s="978"/>
      <c r="LJ268" s="978"/>
      <c r="LK268" s="978"/>
      <c r="LL268" s="978"/>
      <c r="LM268" s="978"/>
      <c r="LN268" s="978"/>
      <c r="LO268" s="978"/>
      <c r="LP268" s="978"/>
      <c r="LQ268" s="978"/>
      <c r="LR268" s="978"/>
      <c r="LS268" s="978"/>
      <c r="LT268" s="978"/>
      <c r="LU268" s="978"/>
      <c r="LV268" s="978"/>
      <c r="LW268" s="978"/>
      <c r="LX268" s="978"/>
      <c r="LY268" s="978"/>
      <c r="LZ268" s="978"/>
      <c r="MA268" s="978"/>
      <c r="MB268" s="978"/>
      <c r="MC268" s="978"/>
      <c r="MD268" s="978"/>
      <c r="ME268" s="978"/>
      <c r="MF268" s="978"/>
      <c r="MG268" s="978"/>
      <c r="MH268" s="978"/>
      <c r="MI268" s="978"/>
      <c r="MJ268" s="978"/>
      <c r="MK268" s="978"/>
      <c r="ML268" s="978"/>
      <c r="MM268" s="978"/>
      <c r="MN268" s="978"/>
      <c r="MO268" s="978"/>
      <c r="MP268" s="978"/>
      <c r="MQ268" s="978"/>
      <c r="MR268" s="978"/>
      <c r="MS268" s="978"/>
      <c r="MT268" s="978"/>
      <c r="MU268" s="978"/>
      <c r="MV268" s="978"/>
      <c r="MW268" s="978"/>
      <c r="MX268" s="978"/>
      <c r="MY268" s="978"/>
      <c r="MZ268" s="978"/>
      <c r="NA268" s="978"/>
      <c r="NB268" s="978"/>
      <c r="NC268" s="978"/>
      <c r="ND268" s="978"/>
      <c r="NE268" s="978"/>
      <c r="NF268" s="978"/>
      <c r="NG268" s="978"/>
      <c r="NH268" s="978"/>
      <c r="NI268" s="978"/>
      <c r="NJ268" s="978"/>
      <c r="NK268" s="978"/>
      <c r="NL268" s="978"/>
      <c r="NM268" s="978"/>
      <c r="NN268" s="978"/>
      <c r="NO268" s="978"/>
      <c r="NP268" s="978"/>
      <c r="NQ268" s="978"/>
      <c r="NR268" s="978"/>
      <c r="NS268" s="978"/>
      <c r="NT268" s="978"/>
      <c r="NU268" s="978"/>
      <c r="NV268" s="978"/>
      <c r="NW268" s="978"/>
      <c r="NX268" s="978"/>
      <c r="NY268" s="978"/>
      <c r="NZ268" s="978"/>
      <c r="OA268" s="978"/>
      <c r="OB268" s="978"/>
      <c r="OC268" s="978"/>
      <c r="OD268" s="978"/>
      <c r="OE268" s="978"/>
      <c r="OF268" s="978"/>
      <c r="OG268" s="978"/>
      <c r="OH268" s="978"/>
      <c r="OI268" s="978"/>
      <c r="OJ268" s="978"/>
      <c r="OK268" s="978"/>
      <c r="OL268" s="978"/>
      <c r="OM268" s="978"/>
      <c r="ON268" s="978"/>
      <c r="OO268" s="978"/>
      <c r="OP268" s="978"/>
      <c r="OQ268" s="978"/>
      <c r="OR268" s="978"/>
      <c r="OS268" s="978"/>
      <c r="OT268" s="978"/>
      <c r="OU268" s="978"/>
      <c r="OV268" s="978"/>
      <c r="OW268" s="978"/>
      <c r="OX268" s="978"/>
      <c r="OY268" s="978"/>
      <c r="OZ268" s="978"/>
      <c r="PA268" s="978"/>
      <c r="PB268" s="978"/>
      <c r="PC268" s="978"/>
      <c r="PD268" s="978"/>
      <c r="PE268" s="978"/>
      <c r="PF268" s="978"/>
      <c r="PG268" s="978"/>
      <c r="PH268" s="978"/>
      <c r="PI268" s="978"/>
      <c r="PJ268" s="978"/>
      <c r="PK268" s="978"/>
      <c r="PL268" s="978"/>
      <c r="PM268" s="978"/>
      <c r="PN268" s="978"/>
      <c r="PO268" s="978"/>
      <c r="PP268" s="978"/>
      <c r="PQ268" s="978"/>
      <c r="PR268" s="978"/>
      <c r="PS268" s="978"/>
      <c r="PT268" s="978"/>
      <c r="PU268" s="978"/>
      <c r="PV268" s="978"/>
      <c r="PW268" s="978"/>
      <c r="PX268" s="978"/>
      <c r="PY268" s="978"/>
      <c r="PZ268" s="978"/>
      <c r="QA268" s="978"/>
      <c r="QB268" s="978"/>
      <c r="QC268" s="978"/>
      <c r="QD268" s="978"/>
      <c r="QE268" s="978"/>
      <c r="QF268" s="978"/>
      <c r="QG268" s="978"/>
      <c r="QH268" s="978"/>
      <c r="QI268" s="978"/>
      <c r="QJ268" s="978"/>
      <c r="QK268" s="978"/>
      <c r="QL268" s="978"/>
      <c r="QM268" s="978"/>
      <c r="QN268" s="978"/>
      <c r="QO268" s="978"/>
      <c r="QP268" s="978"/>
      <c r="QQ268" s="978"/>
      <c r="QR268" s="978"/>
      <c r="QS268" s="978"/>
      <c r="QT268" s="978"/>
      <c r="QU268" s="978"/>
      <c r="QV268" s="978"/>
      <c r="QW268" s="978"/>
      <c r="QX268" s="978"/>
      <c r="QY268" s="978"/>
      <c r="QZ268" s="978"/>
      <c r="RA268" s="978"/>
      <c r="RB268" s="274"/>
      <c r="RC268" s="274"/>
    </row>
    <row r="269" spans="112:471" ht="17.25">
      <c r="DH269" s="274"/>
      <c r="DI269" s="274"/>
      <c r="DJ269" s="978"/>
      <c r="DK269" s="978"/>
      <c r="DL269" s="978"/>
      <c r="DM269" s="978"/>
      <c r="DN269" s="978"/>
      <c r="DO269" s="978"/>
      <c r="DP269" s="978"/>
      <c r="DQ269" s="978"/>
      <c r="DR269" s="978"/>
      <c r="DS269" s="978"/>
      <c r="DT269" s="978"/>
      <c r="DU269" s="978"/>
      <c r="DV269" s="978"/>
      <c r="DW269" s="978"/>
      <c r="DX269" s="978"/>
      <c r="DY269" s="978"/>
      <c r="DZ269" s="978"/>
      <c r="EA269" s="978"/>
      <c r="EB269" s="978"/>
      <c r="EC269" s="978"/>
      <c r="ED269" s="978"/>
      <c r="EE269" s="978"/>
      <c r="EF269" s="978"/>
      <c r="EG269" s="978"/>
      <c r="EH269" s="978"/>
      <c r="EI269" s="978"/>
      <c r="EJ269" s="978"/>
      <c r="EK269" s="978"/>
      <c r="EL269" s="978"/>
      <c r="EM269" s="978"/>
      <c r="EN269" s="978"/>
      <c r="EO269" s="978"/>
      <c r="EP269" s="978"/>
      <c r="EQ269" s="978"/>
      <c r="ER269" s="978"/>
      <c r="ES269" s="978"/>
      <c r="ET269" s="978"/>
      <c r="EU269" s="978"/>
      <c r="EV269" s="978"/>
      <c r="EW269" s="978"/>
      <c r="EX269" s="978"/>
      <c r="EY269" s="978"/>
      <c r="EZ269" s="978"/>
      <c r="FA269" s="978"/>
      <c r="FB269" s="978"/>
      <c r="FC269" s="978"/>
      <c r="FD269" s="978"/>
      <c r="FE269" s="978"/>
      <c r="FF269" s="978"/>
      <c r="FG269" s="978"/>
      <c r="FH269" s="978"/>
      <c r="FI269" s="978"/>
      <c r="FJ269" s="978"/>
      <c r="FK269" s="978"/>
      <c r="FL269" s="978"/>
      <c r="FM269" s="978"/>
      <c r="FN269" s="978"/>
      <c r="FO269" s="978"/>
      <c r="FP269" s="978"/>
      <c r="FQ269" s="978"/>
      <c r="FR269" s="978"/>
      <c r="FS269" s="978"/>
      <c r="FT269" s="978"/>
      <c r="FU269" s="978"/>
      <c r="FV269" s="978"/>
      <c r="FW269" s="978"/>
      <c r="FX269" s="978"/>
      <c r="FY269" s="978"/>
      <c r="FZ269" s="978"/>
      <c r="GA269" s="978"/>
      <c r="GB269" s="978"/>
      <c r="GC269" s="978"/>
      <c r="GD269" s="978"/>
      <c r="GE269" s="978"/>
      <c r="GF269" s="978"/>
      <c r="GG269" s="978"/>
      <c r="GH269" s="978"/>
      <c r="GI269" s="978"/>
      <c r="GJ269" s="978"/>
      <c r="GK269" s="978"/>
      <c r="GL269" s="978"/>
      <c r="GM269" s="978"/>
      <c r="GN269" s="978"/>
      <c r="GO269" s="978"/>
      <c r="GP269" s="978"/>
      <c r="GQ269" s="978"/>
      <c r="GR269" s="978"/>
      <c r="GS269" s="978"/>
      <c r="GT269" s="978"/>
      <c r="GU269" s="978"/>
      <c r="GV269" s="978"/>
      <c r="GW269" s="978"/>
      <c r="GX269" s="978"/>
      <c r="GY269" s="978"/>
      <c r="GZ269" s="978"/>
      <c r="HA269" s="978"/>
      <c r="HB269" s="978"/>
      <c r="HC269" s="978"/>
      <c r="HD269" s="978"/>
      <c r="HE269" s="978"/>
      <c r="HF269" s="978"/>
      <c r="HG269" s="978"/>
      <c r="HH269" s="978"/>
      <c r="HI269" s="978"/>
      <c r="HJ269" s="978"/>
      <c r="HK269" s="978"/>
      <c r="HL269" s="978"/>
      <c r="HM269" s="978"/>
      <c r="HN269" s="978"/>
      <c r="HO269" s="978"/>
      <c r="HP269" s="978"/>
      <c r="HQ269" s="978"/>
      <c r="HR269" s="978"/>
      <c r="HS269" s="978"/>
      <c r="HT269" s="978"/>
      <c r="HU269" s="978"/>
      <c r="HV269" s="978"/>
      <c r="HW269" s="978"/>
      <c r="HX269" s="978"/>
      <c r="HY269" s="978"/>
      <c r="HZ269" s="978"/>
      <c r="IA269" s="978"/>
      <c r="IB269" s="978"/>
      <c r="IC269" s="978"/>
      <c r="ID269" s="978"/>
      <c r="IE269" s="978"/>
      <c r="IF269" s="978"/>
      <c r="IG269" s="978"/>
      <c r="IH269" s="978"/>
      <c r="II269" s="978"/>
      <c r="IJ269" s="978"/>
      <c r="IK269" s="978"/>
      <c r="IL269" s="978"/>
      <c r="IM269" s="978"/>
      <c r="IN269" s="978"/>
      <c r="IO269" s="978"/>
      <c r="IP269" s="978"/>
      <c r="IQ269" s="978"/>
      <c r="IR269" s="978"/>
      <c r="IS269" s="978"/>
      <c r="IT269" s="978"/>
      <c r="IU269" s="978"/>
      <c r="IV269" s="978"/>
      <c r="IW269" s="978"/>
      <c r="IX269" s="978"/>
      <c r="IY269" s="978"/>
      <c r="IZ269" s="978"/>
      <c r="JA269" s="978"/>
      <c r="JB269" s="978"/>
      <c r="JC269" s="978"/>
      <c r="JD269" s="978"/>
      <c r="JE269" s="978"/>
      <c r="JF269" s="978"/>
      <c r="JG269" s="978"/>
      <c r="JH269" s="978"/>
      <c r="JI269" s="978"/>
      <c r="JJ269" s="978"/>
      <c r="JK269" s="978"/>
      <c r="JL269" s="978"/>
      <c r="JM269" s="978"/>
      <c r="JN269" s="978"/>
      <c r="JO269" s="978"/>
      <c r="JP269" s="978"/>
      <c r="JQ269" s="978"/>
      <c r="JR269" s="978"/>
      <c r="JS269" s="978"/>
      <c r="JT269" s="978"/>
      <c r="JU269" s="978"/>
      <c r="JV269" s="978"/>
      <c r="JW269" s="978"/>
      <c r="JX269" s="978"/>
      <c r="JY269" s="978"/>
      <c r="JZ269" s="978"/>
      <c r="KA269" s="978"/>
      <c r="KB269" s="978"/>
      <c r="KC269" s="978"/>
      <c r="KD269" s="978"/>
      <c r="KE269" s="978"/>
      <c r="KF269" s="978"/>
      <c r="KG269" s="978"/>
      <c r="KH269" s="978"/>
      <c r="KI269" s="978"/>
      <c r="KJ269" s="978"/>
      <c r="KK269" s="978"/>
      <c r="KL269" s="978"/>
      <c r="KM269" s="978"/>
      <c r="KN269" s="978"/>
      <c r="KO269" s="978"/>
      <c r="KP269" s="978"/>
      <c r="KQ269" s="978"/>
      <c r="KR269" s="978"/>
      <c r="KS269" s="978"/>
      <c r="KT269" s="978"/>
      <c r="KU269" s="978"/>
      <c r="KV269" s="978"/>
      <c r="KW269" s="978"/>
      <c r="KX269" s="978"/>
      <c r="KY269" s="978"/>
      <c r="KZ269" s="978"/>
      <c r="LA269" s="978"/>
      <c r="LB269" s="978"/>
      <c r="LC269" s="978"/>
      <c r="LD269" s="978"/>
      <c r="LE269" s="978"/>
      <c r="LF269" s="978"/>
      <c r="LG269" s="978"/>
      <c r="LH269" s="978"/>
      <c r="LI269" s="978"/>
      <c r="LJ269" s="978"/>
      <c r="LK269" s="978"/>
      <c r="LL269" s="978"/>
      <c r="LM269" s="978"/>
      <c r="LN269" s="978"/>
      <c r="LO269" s="978"/>
      <c r="LP269" s="978"/>
      <c r="LQ269" s="978"/>
      <c r="LR269" s="978"/>
      <c r="LS269" s="978"/>
      <c r="LT269" s="978"/>
      <c r="LU269" s="978"/>
      <c r="LV269" s="978"/>
      <c r="LW269" s="978"/>
      <c r="LX269" s="978"/>
      <c r="LY269" s="978"/>
      <c r="LZ269" s="978"/>
      <c r="MA269" s="978"/>
      <c r="MB269" s="978"/>
      <c r="MC269" s="978"/>
      <c r="MD269" s="978"/>
      <c r="ME269" s="978"/>
      <c r="MF269" s="978"/>
      <c r="MG269" s="978"/>
      <c r="MH269" s="978"/>
      <c r="MI269" s="978"/>
      <c r="MJ269" s="978"/>
      <c r="MK269" s="978"/>
      <c r="ML269" s="978"/>
      <c r="MM269" s="978"/>
      <c r="MN269" s="978"/>
      <c r="MO269" s="978"/>
      <c r="MP269" s="978"/>
      <c r="MQ269" s="978"/>
      <c r="MR269" s="978"/>
      <c r="MS269" s="978"/>
      <c r="MT269" s="978"/>
      <c r="MU269" s="978"/>
      <c r="MV269" s="978"/>
      <c r="MW269" s="978"/>
      <c r="MX269" s="978"/>
      <c r="MY269" s="978"/>
      <c r="MZ269" s="978"/>
      <c r="NA269" s="978"/>
      <c r="NB269" s="978"/>
      <c r="NC269" s="978"/>
      <c r="ND269" s="978"/>
      <c r="NE269" s="978"/>
      <c r="NF269" s="978"/>
      <c r="NG269" s="978"/>
      <c r="NH269" s="978"/>
      <c r="NI269" s="978"/>
      <c r="NJ269" s="978"/>
      <c r="NK269" s="978"/>
      <c r="NL269" s="978"/>
      <c r="NM269" s="978"/>
      <c r="NN269" s="978"/>
      <c r="NO269" s="978"/>
      <c r="NP269" s="978"/>
      <c r="NQ269" s="978"/>
      <c r="NR269" s="978"/>
      <c r="NS269" s="978"/>
      <c r="NT269" s="978"/>
      <c r="NU269" s="978"/>
      <c r="NV269" s="978"/>
      <c r="NW269" s="978"/>
      <c r="NX269" s="978"/>
      <c r="NY269" s="978"/>
      <c r="NZ269" s="978"/>
      <c r="OA269" s="978"/>
      <c r="OB269" s="978"/>
      <c r="OC269" s="978"/>
      <c r="OD269" s="978"/>
      <c r="OE269" s="978"/>
      <c r="OF269" s="978"/>
      <c r="OG269" s="978"/>
      <c r="OH269" s="978"/>
      <c r="OI269" s="978"/>
      <c r="OJ269" s="978"/>
      <c r="OK269" s="978"/>
      <c r="OL269" s="978"/>
      <c r="OM269" s="978"/>
      <c r="ON269" s="978"/>
      <c r="OO269" s="978"/>
      <c r="OP269" s="978"/>
      <c r="OQ269" s="978"/>
      <c r="OR269" s="978"/>
      <c r="OS269" s="978"/>
      <c r="OT269" s="978"/>
      <c r="OU269" s="978"/>
      <c r="OV269" s="978"/>
      <c r="OW269" s="978"/>
      <c r="OX269" s="978"/>
      <c r="OY269" s="978"/>
      <c r="OZ269" s="978"/>
      <c r="PA269" s="978"/>
      <c r="PB269" s="978"/>
      <c r="PC269" s="978"/>
      <c r="PD269" s="978"/>
      <c r="PE269" s="978"/>
      <c r="PF269" s="978"/>
      <c r="PG269" s="978"/>
      <c r="PH269" s="978"/>
      <c r="PI269" s="978"/>
      <c r="PJ269" s="978"/>
      <c r="PK269" s="978"/>
      <c r="PL269" s="978"/>
      <c r="PM269" s="978"/>
      <c r="PN269" s="978"/>
      <c r="PO269" s="978"/>
      <c r="PP269" s="978"/>
      <c r="PQ269" s="978"/>
      <c r="PR269" s="978"/>
      <c r="PS269" s="978"/>
      <c r="PT269" s="978"/>
      <c r="PU269" s="978"/>
      <c r="PV269" s="978"/>
      <c r="PW269" s="978"/>
      <c r="PX269" s="978"/>
      <c r="PY269" s="978"/>
      <c r="PZ269" s="978"/>
      <c r="QA269" s="978"/>
      <c r="QB269" s="978"/>
      <c r="QC269" s="978"/>
      <c r="QD269" s="978"/>
      <c r="QE269" s="978"/>
      <c r="QF269" s="978"/>
      <c r="QG269" s="978"/>
      <c r="QH269" s="978"/>
      <c r="QI269" s="978"/>
      <c r="QJ269" s="978"/>
      <c r="QK269" s="978"/>
      <c r="QL269" s="978"/>
      <c r="QM269" s="978"/>
      <c r="QN269" s="978"/>
      <c r="QO269" s="978"/>
      <c r="QP269" s="978"/>
      <c r="QQ269" s="978"/>
      <c r="QR269" s="978"/>
      <c r="QS269" s="978"/>
      <c r="QT269" s="978"/>
      <c r="QU269" s="978"/>
      <c r="QV269" s="978"/>
      <c r="QW269" s="978"/>
      <c r="QX269" s="978"/>
      <c r="QY269" s="978"/>
      <c r="QZ269" s="978"/>
      <c r="RA269" s="978"/>
      <c r="RB269" s="274"/>
      <c r="RC269" s="274"/>
    </row>
    <row r="270" spans="112:471" ht="17.25">
      <c r="DH270" s="274"/>
      <c r="DI270" s="274"/>
      <c r="DJ270" s="978"/>
      <c r="DK270" s="978"/>
      <c r="DL270" s="978"/>
      <c r="DM270" s="978"/>
      <c r="DN270" s="978"/>
      <c r="DO270" s="978"/>
      <c r="DP270" s="978"/>
      <c r="DQ270" s="978"/>
      <c r="DR270" s="978"/>
      <c r="DS270" s="978"/>
      <c r="DT270" s="978"/>
      <c r="DU270" s="978"/>
      <c r="DV270" s="978"/>
      <c r="DW270" s="978"/>
      <c r="DX270" s="978"/>
      <c r="DY270" s="978"/>
      <c r="DZ270" s="978"/>
      <c r="EA270" s="978"/>
      <c r="EB270" s="978"/>
      <c r="EC270" s="978"/>
      <c r="ED270" s="978"/>
      <c r="EE270" s="978"/>
      <c r="EF270" s="978"/>
      <c r="EG270" s="978"/>
      <c r="EH270" s="978"/>
      <c r="EI270" s="978"/>
      <c r="EJ270" s="978"/>
      <c r="EK270" s="978"/>
      <c r="EL270" s="978"/>
      <c r="EM270" s="978"/>
      <c r="EN270" s="978"/>
      <c r="EO270" s="978"/>
      <c r="EP270" s="978"/>
      <c r="EQ270" s="978"/>
      <c r="ER270" s="978"/>
      <c r="ES270" s="978"/>
      <c r="ET270" s="978"/>
      <c r="EU270" s="978"/>
      <c r="EV270" s="978"/>
      <c r="EW270" s="978"/>
      <c r="EX270" s="978"/>
      <c r="EY270" s="978"/>
      <c r="EZ270" s="978"/>
      <c r="FA270" s="978"/>
      <c r="FB270" s="978"/>
      <c r="FC270" s="978"/>
      <c r="FD270" s="978"/>
      <c r="FE270" s="978"/>
      <c r="FF270" s="978"/>
      <c r="FG270" s="978"/>
      <c r="FH270" s="978"/>
      <c r="FI270" s="978"/>
      <c r="FJ270" s="978"/>
      <c r="FK270" s="978"/>
      <c r="FL270" s="978"/>
      <c r="FM270" s="978"/>
      <c r="FN270" s="978"/>
      <c r="FO270" s="978"/>
      <c r="FP270" s="978"/>
      <c r="FQ270" s="978"/>
      <c r="FR270" s="978"/>
      <c r="FS270" s="978"/>
      <c r="FT270" s="978"/>
      <c r="FU270" s="978"/>
      <c r="FV270" s="978"/>
      <c r="FW270" s="978"/>
      <c r="FX270" s="978"/>
      <c r="FY270" s="978"/>
      <c r="FZ270" s="978"/>
      <c r="GA270" s="978"/>
      <c r="GB270" s="978"/>
      <c r="GC270" s="978"/>
      <c r="GD270" s="978"/>
      <c r="GE270" s="978"/>
      <c r="GF270" s="978"/>
      <c r="GG270" s="978"/>
      <c r="GH270" s="978"/>
      <c r="GI270" s="978"/>
      <c r="GJ270" s="978"/>
      <c r="GK270" s="978"/>
      <c r="GL270" s="978"/>
      <c r="GM270" s="978"/>
      <c r="GN270" s="978"/>
      <c r="GO270" s="978"/>
      <c r="GP270" s="978"/>
      <c r="GQ270" s="978"/>
      <c r="GR270" s="978"/>
      <c r="GS270" s="978"/>
      <c r="GT270" s="978"/>
      <c r="GU270" s="978"/>
      <c r="GV270" s="978"/>
      <c r="GW270" s="978"/>
      <c r="GX270" s="978"/>
      <c r="GY270" s="978"/>
      <c r="GZ270" s="978"/>
      <c r="HA270" s="978"/>
      <c r="HB270" s="978"/>
      <c r="HC270" s="978"/>
      <c r="HD270" s="978"/>
      <c r="HE270" s="978"/>
      <c r="HF270" s="978"/>
      <c r="HG270" s="978"/>
      <c r="HH270" s="978"/>
      <c r="HI270" s="978"/>
      <c r="HJ270" s="978"/>
      <c r="HK270" s="978"/>
      <c r="HL270" s="978"/>
      <c r="HM270" s="978"/>
      <c r="HN270" s="978"/>
      <c r="HO270" s="978"/>
      <c r="HP270" s="978"/>
      <c r="HQ270" s="978"/>
      <c r="HR270" s="978"/>
      <c r="HS270" s="978"/>
      <c r="HT270" s="978"/>
      <c r="HU270" s="978"/>
      <c r="HV270" s="978"/>
      <c r="HW270" s="978"/>
      <c r="HX270" s="978"/>
      <c r="HY270" s="978"/>
      <c r="HZ270" s="978"/>
      <c r="IA270" s="978"/>
      <c r="IB270" s="978"/>
      <c r="IC270" s="978"/>
      <c r="ID270" s="978"/>
      <c r="IE270" s="978"/>
      <c r="IF270" s="978"/>
      <c r="IG270" s="978"/>
      <c r="IH270" s="978"/>
      <c r="II270" s="978"/>
      <c r="IJ270" s="978"/>
      <c r="IK270" s="978"/>
      <c r="IL270" s="978"/>
      <c r="IM270" s="978"/>
      <c r="IN270" s="978"/>
      <c r="IO270" s="978"/>
      <c r="IP270" s="978"/>
      <c r="IQ270" s="978"/>
      <c r="IR270" s="978"/>
      <c r="IS270" s="978"/>
      <c r="IT270" s="978"/>
      <c r="IU270" s="978"/>
      <c r="IV270" s="978"/>
      <c r="IW270" s="978"/>
      <c r="IX270" s="978"/>
      <c r="IY270" s="978"/>
      <c r="IZ270" s="978"/>
      <c r="JA270" s="978"/>
      <c r="JB270" s="978"/>
      <c r="JC270" s="978"/>
      <c r="JD270" s="978"/>
      <c r="JE270" s="978"/>
      <c r="JF270" s="978"/>
      <c r="JG270" s="978"/>
      <c r="JH270" s="978"/>
      <c r="JI270" s="978"/>
      <c r="JJ270" s="978"/>
      <c r="JK270" s="978"/>
      <c r="JL270" s="978"/>
      <c r="JM270" s="978"/>
      <c r="JN270" s="978"/>
      <c r="JO270" s="978"/>
      <c r="JP270" s="978"/>
      <c r="JQ270" s="978"/>
      <c r="JR270" s="978"/>
      <c r="JS270" s="978"/>
      <c r="JT270" s="978"/>
      <c r="JU270" s="978"/>
      <c r="JV270" s="978"/>
      <c r="JW270" s="978"/>
      <c r="JX270" s="978"/>
      <c r="JY270" s="978"/>
      <c r="JZ270" s="978"/>
      <c r="KA270" s="978"/>
      <c r="KB270" s="978"/>
      <c r="KC270" s="978"/>
      <c r="KD270" s="978"/>
      <c r="KE270" s="978"/>
      <c r="KF270" s="978"/>
      <c r="KG270" s="978"/>
      <c r="KH270" s="978"/>
      <c r="KI270" s="978"/>
      <c r="KJ270" s="978"/>
      <c r="KK270" s="978"/>
      <c r="KL270" s="978"/>
      <c r="KM270" s="978"/>
      <c r="KN270" s="978"/>
      <c r="KO270" s="978"/>
      <c r="KP270" s="978"/>
      <c r="KQ270" s="978"/>
      <c r="KR270" s="978"/>
      <c r="KS270" s="978"/>
      <c r="KT270" s="978"/>
      <c r="KU270" s="978"/>
      <c r="KV270" s="978"/>
      <c r="KW270" s="978"/>
      <c r="KX270" s="978"/>
      <c r="KY270" s="978"/>
      <c r="KZ270" s="978"/>
      <c r="LA270" s="978"/>
      <c r="LB270" s="978"/>
      <c r="LC270" s="978"/>
      <c r="LD270" s="978"/>
      <c r="LE270" s="978"/>
      <c r="LF270" s="978"/>
      <c r="LG270" s="978"/>
      <c r="LH270" s="978"/>
      <c r="LI270" s="978"/>
      <c r="LJ270" s="978"/>
      <c r="LK270" s="978"/>
      <c r="LL270" s="978"/>
      <c r="LM270" s="978"/>
      <c r="LN270" s="978"/>
      <c r="LO270" s="978"/>
      <c r="LP270" s="978"/>
      <c r="LQ270" s="978"/>
      <c r="LR270" s="978"/>
      <c r="LS270" s="978"/>
      <c r="LT270" s="978"/>
      <c r="LU270" s="978"/>
      <c r="LV270" s="978"/>
      <c r="LW270" s="978"/>
      <c r="LX270" s="978"/>
      <c r="LY270" s="978"/>
      <c r="LZ270" s="978"/>
      <c r="MA270" s="978"/>
      <c r="MB270" s="978"/>
      <c r="MC270" s="978"/>
      <c r="MD270" s="978"/>
      <c r="ME270" s="978"/>
      <c r="MF270" s="978"/>
      <c r="MG270" s="978"/>
      <c r="MH270" s="978"/>
      <c r="MI270" s="978"/>
      <c r="MJ270" s="978"/>
      <c r="MK270" s="978"/>
      <c r="ML270" s="978"/>
      <c r="MM270" s="978"/>
      <c r="MN270" s="978"/>
      <c r="MO270" s="978"/>
      <c r="MP270" s="978"/>
      <c r="MQ270" s="978"/>
      <c r="MR270" s="978"/>
      <c r="MS270" s="978"/>
      <c r="MT270" s="978"/>
      <c r="MU270" s="978"/>
      <c r="MV270" s="978"/>
      <c r="MW270" s="978"/>
      <c r="MX270" s="978"/>
      <c r="MY270" s="978"/>
      <c r="MZ270" s="978"/>
      <c r="NA270" s="978"/>
      <c r="NB270" s="978"/>
      <c r="NC270" s="978"/>
      <c r="ND270" s="978"/>
      <c r="NE270" s="978"/>
      <c r="NF270" s="978"/>
      <c r="NG270" s="978"/>
      <c r="NH270" s="978"/>
      <c r="NI270" s="978"/>
      <c r="NJ270" s="978"/>
      <c r="NK270" s="978"/>
      <c r="NL270" s="978"/>
      <c r="NM270" s="978"/>
      <c r="NN270" s="978"/>
      <c r="NO270" s="978"/>
      <c r="NP270" s="978"/>
      <c r="NQ270" s="978"/>
      <c r="NR270" s="978"/>
      <c r="NS270" s="978"/>
      <c r="NT270" s="978"/>
      <c r="NU270" s="978"/>
      <c r="NV270" s="978"/>
      <c r="NW270" s="978"/>
      <c r="NX270" s="978"/>
      <c r="NY270" s="978"/>
      <c r="NZ270" s="978"/>
      <c r="OA270" s="978"/>
      <c r="OB270" s="978"/>
      <c r="OC270" s="978"/>
      <c r="OD270" s="978"/>
      <c r="OE270" s="978"/>
      <c r="OF270" s="978"/>
      <c r="OG270" s="978"/>
      <c r="OH270" s="978"/>
      <c r="OI270" s="978"/>
      <c r="OJ270" s="978"/>
      <c r="OK270" s="978"/>
      <c r="OL270" s="978"/>
      <c r="OM270" s="978"/>
      <c r="ON270" s="978"/>
      <c r="OO270" s="978"/>
      <c r="OP270" s="978"/>
      <c r="OQ270" s="978"/>
      <c r="OR270" s="978"/>
      <c r="OS270" s="978"/>
      <c r="OT270" s="978"/>
      <c r="OU270" s="978"/>
      <c r="OV270" s="978"/>
      <c r="OW270" s="978"/>
      <c r="OX270" s="978"/>
      <c r="OY270" s="978"/>
      <c r="OZ270" s="978"/>
      <c r="PA270" s="978"/>
      <c r="PB270" s="978"/>
      <c r="PC270" s="978"/>
      <c r="PD270" s="978"/>
      <c r="PE270" s="978"/>
      <c r="PF270" s="978"/>
      <c r="PG270" s="978"/>
      <c r="PH270" s="978"/>
      <c r="PI270" s="978"/>
      <c r="PJ270" s="978"/>
      <c r="PK270" s="978"/>
      <c r="PL270" s="978"/>
      <c r="PM270" s="978"/>
      <c r="PN270" s="978"/>
      <c r="PO270" s="978"/>
      <c r="PP270" s="978"/>
      <c r="PQ270" s="978"/>
      <c r="PR270" s="978"/>
      <c r="PS270" s="978"/>
      <c r="PT270" s="978"/>
      <c r="PU270" s="978"/>
      <c r="PV270" s="978"/>
      <c r="PW270" s="978"/>
      <c r="PX270" s="978"/>
      <c r="PY270" s="978"/>
      <c r="PZ270" s="978"/>
      <c r="QA270" s="978"/>
      <c r="QB270" s="978"/>
      <c r="QC270" s="978"/>
      <c r="QD270" s="978"/>
      <c r="QE270" s="978"/>
      <c r="QF270" s="978"/>
      <c r="QG270" s="978"/>
      <c r="QH270" s="978"/>
      <c r="QI270" s="978"/>
      <c r="QJ270" s="978"/>
      <c r="QK270" s="978"/>
      <c r="QL270" s="978"/>
      <c r="QM270" s="978"/>
      <c r="QN270" s="978"/>
      <c r="QO270" s="978"/>
      <c r="QP270" s="978"/>
      <c r="QQ270" s="978"/>
      <c r="QR270" s="978"/>
      <c r="QS270" s="978"/>
      <c r="QT270" s="978"/>
      <c r="QU270" s="978"/>
      <c r="QV270" s="978"/>
      <c r="QW270" s="978"/>
      <c r="QX270" s="978"/>
      <c r="QY270" s="978"/>
      <c r="QZ270" s="978"/>
      <c r="RA270" s="978"/>
      <c r="RB270" s="274"/>
      <c r="RC270" s="274"/>
    </row>
    <row r="271" spans="112:471" ht="17.25">
      <c r="DH271" s="274"/>
      <c r="DI271" s="274"/>
      <c r="DJ271" s="978"/>
      <c r="DK271" s="978"/>
      <c r="DL271" s="978"/>
      <c r="DM271" s="978"/>
      <c r="DN271" s="978"/>
      <c r="DO271" s="978"/>
      <c r="DP271" s="978"/>
      <c r="DQ271" s="978"/>
      <c r="DR271" s="978"/>
      <c r="DS271" s="978"/>
      <c r="DT271" s="978"/>
      <c r="DU271" s="978"/>
      <c r="DV271" s="978"/>
      <c r="DW271" s="978"/>
      <c r="DX271" s="978"/>
      <c r="DY271" s="978"/>
      <c r="DZ271" s="978"/>
      <c r="EA271" s="978"/>
      <c r="EB271" s="978"/>
      <c r="EC271" s="978"/>
      <c r="ED271" s="978"/>
      <c r="EE271" s="978"/>
      <c r="EF271" s="978"/>
      <c r="EG271" s="978"/>
      <c r="EH271" s="978"/>
      <c r="EI271" s="978"/>
      <c r="EJ271" s="978"/>
      <c r="EK271" s="978"/>
      <c r="EL271" s="978"/>
      <c r="EM271" s="978"/>
      <c r="EN271" s="978"/>
      <c r="EO271" s="978"/>
      <c r="EP271" s="978"/>
      <c r="EQ271" s="978"/>
      <c r="ER271" s="978"/>
      <c r="ES271" s="978"/>
      <c r="ET271" s="978"/>
      <c r="EU271" s="978"/>
      <c r="EV271" s="978"/>
      <c r="EW271" s="978"/>
      <c r="EX271" s="978"/>
      <c r="EY271" s="978"/>
      <c r="EZ271" s="978"/>
      <c r="FA271" s="978"/>
      <c r="FB271" s="978"/>
      <c r="FC271" s="978"/>
      <c r="FD271" s="978"/>
      <c r="FE271" s="978"/>
      <c r="FF271" s="978"/>
      <c r="FG271" s="978"/>
      <c r="FH271" s="978"/>
      <c r="FI271" s="978"/>
      <c r="FJ271" s="978"/>
      <c r="FK271" s="978"/>
      <c r="FL271" s="978"/>
      <c r="FM271" s="978"/>
      <c r="FN271" s="978"/>
      <c r="FO271" s="978"/>
      <c r="FP271" s="978"/>
      <c r="FQ271" s="978"/>
      <c r="FR271" s="978"/>
      <c r="FS271" s="978"/>
      <c r="FT271" s="978"/>
      <c r="FU271" s="978"/>
      <c r="FV271" s="978"/>
      <c r="FW271" s="978"/>
      <c r="FX271" s="978"/>
      <c r="FY271" s="978"/>
      <c r="FZ271" s="978"/>
      <c r="GA271" s="978"/>
      <c r="GB271" s="978"/>
      <c r="GC271" s="978"/>
      <c r="GD271" s="978"/>
      <c r="GE271" s="978"/>
      <c r="GF271" s="978"/>
      <c r="GG271" s="978"/>
      <c r="GH271" s="978"/>
      <c r="GI271" s="978"/>
      <c r="GJ271" s="978"/>
      <c r="GK271" s="978"/>
      <c r="GL271" s="978"/>
      <c r="GM271" s="978"/>
      <c r="GN271" s="978"/>
      <c r="GO271" s="978"/>
      <c r="GP271" s="978"/>
      <c r="GQ271" s="978"/>
      <c r="GR271" s="978"/>
      <c r="GS271" s="978"/>
      <c r="GT271" s="978"/>
      <c r="GU271" s="978"/>
      <c r="GV271" s="978"/>
      <c r="GW271" s="978"/>
      <c r="GX271" s="978"/>
      <c r="GY271" s="978"/>
      <c r="GZ271" s="978"/>
      <c r="HA271" s="978"/>
      <c r="HB271" s="978"/>
      <c r="HC271" s="978"/>
      <c r="HD271" s="978"/>
      <c r="HE271" s="978"/>
      <c r="HF271" s="978"/>
      <c r="HG271" s="978"/>
      <c r="HH271" s="978"/>
      <c r="HI271" s="978"/>
      <c r="HJ271" s="978"/>
      <c r="HK271" s="978"/>
      <c r="HL271" s="978"/>
      <c r="HM271" s="978"/>
      <c r="HN271" s="978"/>
      <c r="HO271" s="978"/>
      <c r="HP271" s="978"/>
      <c r="HQ271" s="978"/>
      <c r="HR271" s="978"/>
      <c r="HS271" s="978"/>
      <c r="HT271" s="978"/>
      <c r="HU271" s="978"/>
      <c r="HV271" s="978"/>
      <c r="HW271" s="978"/>
      <c r="HX271" s="978"/>
      <c r="HY271" s="978"/>
      <c r="HZ271" s="978"/>
      <c r="IA271" s="978"/>
      <c r="IB271" s="978"/>
      <c r="IC271" s="978"/>
      <c r="ID271" s="978"/>
      <c r="IE271" s="978"/>
      <c r="IF271" s="978"/>
      <c r="IG271" s="978"/>
      <c r="IH271" s="978"/>
      <c r="II271" s="978"/>
      <c r="IJ271" s="978"/>
      <c r="IK271" s="978"/>
      <c r="IL271" s="978"/>
      <c r="IM271" s="978"/>
      <c r="IN271" s="978"/>
      <c r="IO271" s="978"/>
      <c r="IP271" s="978"/>
      <c r="IQ271" s="978"/>
      <c r="IR271" s="978"/>
      <c r="IS271" s="978"/>
      <c r="IT271" s="978"/>
      <c r="IU271" s="978"/>
      <c r="IV271" s="978"/>
      <c r="IW271" s="978"/>
      <c r="IX271" s="978"/>
      <c r="IY271" s="978"/>
      <c r="IZ271" s="978"/>
      <c r="JA271" s="978"/>
      <c r="JB271" s="978"/>
      <c r="JC271" s="978"/>
      <c r="JD271" s="978"/>
      <c r="JE271" s="978"/>
      <c r="JF271" s="978"/>
      <c r="JG271" s="978"/>
      <c r="JH271" s="978"/>
      <c r="JI271" s="978"/>
      <c r="JJ271" s="978"/>
      <c r="JK271" s="978"/>
      <c r="JL271" s="978"/>
      <c r="JM271" s="978"/>
      <c r="JN271" s="978"/>
      <c r="JO271" s="978"/>
      <c r="JP271" s="978"/>
      <c r="JQ271" s="978"/>
      <c r="JR271" s="978"/>
      <c r="JS271" s="978"/>
      <c r="JT271" s="978"/>
      <c r="JU271" s="978"/>
      <c r="JV271" s="978"/>
      <c r="JW271" s="978"/>
      <c r="JX271" s="978"/>
      <c r="JY271" s="978"/>
      <c r="JZ271" s="978"/>
      <c r="KA271" s="978"/>
      <c r="KB271" s="978"/>
      <c r="KC271" s="978"/>
      <c r="KD271" s="978"/>
      <c r="KE271" s="978"/>
      <c r="KF271" s="978"/>
      <c r="KG271" s="978"/>
      <c r="KH271" s="978"/>
      <c r="KI271" s="978"/>
      <c r="KJ271" s="978"/>
      <c r="KK271" s="978"/>
      <c r="KL271" s="978"/>
      <c r="KM271" s="978"/>
      <c r="KN271" s="978"/>
      <c r="KO271" s="978"/>
      <c r="KP271" s="978"/>
      <c r="KQ271" s="978"/>
      <c r="KR271" s="978"/>
      <c r="KS271" s="978"/>
      <c r="KT271" s="978"/>
      <c r="KU271" s="978"/>
      <c r="KV271" s="978"/>
      <c r="KW271" s="978"/>
      <c r="KX271" s="978"/>
      <c r="KY271" s="978"/>
      <c r="KZ271" s="978"/>
      <c r="LA271" s="978"/>
      <c r="LB271" s="978"/>
      <c r="LC271" s="978"/>
      <c r="LD271" s="978"/>
      <c r="LE271" s="978"/>
      <c r="LF271" s="978"/>
      <c r="LG271" s="978"/>
      <c r="LH271" s="978"/>
      <c r="LI271" s="978"/>
      <c r="LJ271" s="978"/>
      <c r="LK271" s="978"/>
      <c r="LL271" s="978"/>
      <c r="LM271" s="978"/>
      <c r="LN271" s="978"/>
      <c r="LO271" s="978"/>
      <c r="LP271" s="978"/>
      <c r="LQ271" s="978"/>
      <c r="LR271" s="978"/>
      <c r="LS271" s="978"/>
      <c r="LT271" s="978"/>
      <c r="LU271" s="978"/>
      <c r="LV271" s="978"/>
      <c r="LW271" s="978"/>
      <c r="LX271" s="978"/>
      <c r="LY271" s="978"/>
      <c r="LZ271" s="978"/>
      <c r="MA271" s="978"/>
      <c r="MB271" s="978"/>
      <c r="MC271" s="978"/>
      <c r="MD271" s="978"/>
      <c r="ME271" s="978"/>
      <c r="MF271" s="978"/>
      <c r="MG271" s="978"/>
      <c r="MH271" s="978"/>
      <c r="MI271" s="978"/>
      <c r="MJ271" s="978"/>
      <c r="MK271" s="978"/>
      <c r="ML271" s="978"/>
      <c r="MM271" s="978"/>
      <c r="MN271" s="978"/>
      <c r="MO271" s="978"/>
      <c r="MP271" s="978"/>
      <c r="MQ271" s="978"/>
      <c r="MR271" s="978"/>
      <c r="MS271" s="978"/>
      <c r="MT271" s="978"/>
      <c r="MU271" s="978"/>
      <c r="MV271" s="978"/>
      <c r="MW271" s="978"/>
      <c r="MX271" s="978"/>
      <c r="MY271" s="978"/>
      <c r="MZ271" s="978"/>
      <c r="NA271" s="978"/>
      <c r="NB271" s="978"/>
      <c r="NC271" s="978"/>
      <c r="ND271" s="978"/>
      <c r="NE271" s="978"/>
      <c r="NF271" s="978"/>
      <c r="NG271" s="978"/>
      <c r="NH271" s="978"/>
      <c r="NI271" s="978"/>
      <c r="NJ271" s="978"/>
      <c r="NK271" s="978"/>
      <c r="NL271" s="978"/>
      <c r="NM271" s="978"/>
      <c r="NN271" s="978"/>
      <c r="NO271" s="978"/>
      <c r="NP271" s="978"/>
      <c r="NQ271" s="978"/>
      <c r="NR271" s="978"/>
      <c r="NS271" s="978"/>
      <c r="NT271" s="978"/>
      <c r="NU271" s="978"/>
      <c r="NV271" s="978"/>
      <c r="NW271" s="978"/>
      <c r="NX271" s="978"/>
      <c r="NY271" s="978"/>
      <c r="NZ271" s="978"/>
      <c r="OA271" s="978"/>
      <c r="OB271" s="978"/>
      <c r="OC271" s="978"/>
      <c r="OD271" s="978"/>
      <c r="OE271" s="978"/>
      <c r="OF271" s="978"/>
      <c r="OG271" s="978"/>
      <c r="OH271" s="978"/>
      <c r="OI271" s="978"/>
      <c r="OJ271" s="978"/>
      <c r="OK271" s="978"/>
      <c r="OL271" s="978"/>
      <c r="OM271" s="978"/>
      <c r="ON271" s="978"/>
      <c r="OO271" s="978"/>
      <c r="OP271" s="978"/>
      <c r="OQ271" s="978"/>
      <c r="OR271" s="978"/>
      <c r="OS271" s="978"/>
      <c r="OT271" s="978"/>
      <c r="OU271" s="978"/>
      <c r="OV271" s="978"/>
      <c r="OW271" s="978"/>
      <c r="OX271" s="978"/>
      <c r="OY271" s="978"/>
      <c r="OZ271" s="978"/>
      <c r="PA271" s="978"/>
      <c r="PB271" s="978"/>
      <c r="PC271" s="978"/>
      <c r="PD271" s="978"/>
      <c r="PE271" s="978"/>
      <c r="PF271" s="978"/>
      <c r="PG271" s="978"/>
      <c r="PH271" s="978"/>
      <c r="PI271" s="978"/>
      <c r="PJ271" s="978"/>
      <c r="PK271" s="978"/>
      <c r="PL271" s="978"/>
      <c r="PM271" s="978"/>
      <c r="PN271" s="978"/>
      <c r="PO271" s="978"/>
      <c r="PP271" s="978"/>
      <c r="PQ271" s="978"/>
      <c r="PR271" s="978"/>
      <c r="PS271" s="978"/>
      <c r="PT271" s="978"/>
      <c r="PU271" s="978"/>
      <c r="PV271" s="978"/>
      <c r="PW271" s="978"/>
      <c r="PX271" s="978"/>
      <c r="PY271" s="978"/>
      <c r="PZ271" s="978"/>
      <c r="QA271" s="978"/>
      <c r="QB271" s="978"/>
      <c r="QC271" s="978"/>
      <c r="QD271" s="978"/>
      <c r="QE271" s="978"/>
      <c r="QF271" s="978"/>
      <c r="QG271" s="978"/>
      <c r="QH271" s="978"/>
      <c r="QI271" s="978"/>
      <c r="QJ271" s="978"/>
      <c r="QK271" s="978"/>
      <c r="QL271" s="978"/>
      <c r="QM271" s="978"/>
      <c r="QN271" s="978"/>
      <c r="QO271" s="978"/>
      <c r="QP271" s="978"/>
      <c r="QQ271" s="978"/>
      <c r="QR271" s="978"/>
      <c r="QS271" s="978"/>
      <c r="QT271" s="978"/>
      <c r="QU271" s="978"/>
      <c r="QV271" s="978"/>
      <c r="QW271" s="978"/>
      <c r="QX271" s="978"/>
      <c r="QY271" s="978"/>
      <c r="QZ271" s="978"/>
      <c r="RA271" s="978"/>
      <c r="RB271" s="274"/>
      <c r="RC271" s="274"/>
    </row>
    <row r="272" spans="112:471" ht="17.25">
      <c r="DH272" s="274"/>
      <c r="DI272" s="274"/>
      <c r="DJ272" s="978"/>
      <c r="DK272" s="978"/>
      <c r="DL272" s="978"/>
      <c r="DM272" s="978"/>
      <c r="DN272" s="978"/>
      <c r="DO272" s="978"/>
      <c r="DP272" s="978"/>
      <c r="DQ272" s="978"/>
      <c r="DR272" s="978"/>
      <c r="DS272" s="978"/>
      <c r="DT272" s="978"/>
      <c r="DU272" s="978"/>
      <c r="DV272" s="978"/>
      <c r="DW272" s="978"/>
      <c r="DX272" s="978"/>
      <c r="DY272" s="978"/>
      <c r="DZ272" s="978"/>
      <c r="EA272" s="978"/>
      <c r="EB272" s="978"/>
      <c r="EC272" s="978"/>
      <c r="ED272" s="978"/>
      <c r="EE272" s="978"/>
      <c r="EF272" s="978"/>
      <c r="EG272" s="978"/>
      <c r="EH272" s="978"/>
      <c r="EI272" s="978"/>
      <c r="EJ272" s="978"/>
      <c r="EK272" s="978"/>
      <c r="EL272" s="978"/>
      <c r="EM272" s="978"/>
      <c r="EN272" s="978"/>
      <c r="EO272" s="978"/>
      <c r="EP272" s="978"/>
      <c r="EQ272" s="978"/>
      <c r="ER272" s="978"/>
      <c r="ES272" s="978"/>
      <c r="ET272" s="978"/>
      <c r="EU272" s="978"/>
      <c r="EV272" s="978"/>
      <c r="EW272" s="978"/>
      <c r="EX272" s="978"/>
      <c r="EY272" s="978"/>
      <c r="EZ272" s="978"/>
      <c r="FA272" s="978"/>
      <c r="FB272" s="978"/>
      <c r="FC272" s="978"/>
      <c r="FD272" s="978"/>
      <c r="FE272" s="978"/>
      <c r="FF272" s="978"/>
      <c r="FG272" s="978"/>
      <c r="FH272" s="978"/>
      <c r="FI272" s="978"/>
      <c r="FJ272" s="978"/>
      <c r="FK272" s="978"/>
      <c r="FL272" s="978"/>
      <c r="FM272" s="978"/>
      <c r="FN272" s="978"/>
      <c r="FO272" s="978"/>
      <c r="FP272" s="978"/>
      <c r="FQ272" s="978"/>
      <c r="FR272" s="978"/>
      <c r="FS272" s="978"/>
      <c r="FT272" s="978"/>
      <c r="FU272" s="978"/>
      <c r="FV272" s="978"/>
      <c r="FW272" s="978"/>
      <c r="FX272" s="978"/>
      <c r="FY272" s="978"/>
      <c r="FZ272" s="978"/>
      <c r="GA272" s="978"/>
      <c r="GB272" s="978"/>
      <c r="GC272" s="978"/>
      <c r="GD272" s="978"/>
      <c r="GE272" s="978"/>
      <c r="GF272" s="978"/>
      <c r="GG272" s="978"/>
      <c r="GH272" s="978"/>
      <c r="GI272" s="978"/>
      <c r="GJ272" s="978"/>
      <c r="GK272" s="978"/>
      <c r="GL272" s="978"/>
      <c r="GM272" s="978"/>
      <c r="GN272" s="978"/>
      <c r="GO272" s="978"/>
      <c r="GP272" s="978"/>
      <c r="GQ272" s="978"/>
      <c r="GR272" s="978"/>
      <c r="GS272" s="978"/>
      <c r="GT272" s="978"/>
      <c r="GU272" s="978"/>
      <c r="GV272" s="978"/>
      <c r="GW272" s="978"/>
      <c r="GX272" s="978"/>
      <c r="GY272" s="978"/>
      <c r="GZ272" s="978"/>
      <c r="HA272" s="978"/>
      <c r="HB272" s="978"/>
      <c r="HC272" s="978"/>
      <c r="HD272" s="978"/>
      <c r="HE272" s="978"/>
      <c r="HF272" s="978"/>
      <c r="HG272" s="978"/>
      <c r="HH272" s="978"/>
      <c r="HI272" s="978"/>
      <c r="HJ272" s="978"/>
      <c r="HK272" s="978"/>
      <c r="HL272" s="978"/>
      <c r="HM272" s="978"/>
      <c r="HN272" s="978"/>
      <c r="HO272" s="978"/>
      <c r="HP272" s="978"/>
      <c r="HQ272" s="978"/>
      <c r="HR272" s="978"/>
      <c r="HS272" s="978"/>
      <c r="HT272" s="978"/>
      <c r="HU272" s="978"/>
      <c r="HV272" s="978"/>
      <c r="HW272" s="978"/>
      <c r="HX272" s="978"/>
      <c r="HY272" s="978"/>
      <c r="HZ272" s="978"/>
      <c r="IA272" s="978"/>
      <c r="IB272" s="978"/>
      <c r="IC272" s="978"/>
      <c r="ID272" s="978"/>
      <c r="IE272" s="978"/>
      <c r="IF272" s="978"/>
      <c r="IG272" s="978"/>
      <c r="IH272" s="978"/>
      <c r="II272" s="978"/>
      <c r="IJ272" s="978"/>
      <c r="IK272" s="978"/>
      <c r="IL272" s="978"/>
      <c r="IM272" s="978"/>
      <c r="IN272" s="978"/>
      <c r="IO272" s="978"/>
      <c r="IP272" s="978"/>
      <c r="IQ272" s="978"/>
      <c r="IR272" s="978"/>
      <c r="IS272" s="978"/>
      <c r="IT272" s="978"/>
      <c r="IU272" s="978"/>
      <c r="IV272" s="978"/>
      <c r="IW272" s="978"/>
      <c r="IX272" s="978"/>
      <c r="IY272" s="978"/>
      <c r="IZ272" s="978"/>
      <c r="JA272" s="978"/>
      <c r="JB272" s="978"/>
      <c r="JC272" s="978"/>
      <c r="JD272" s="978"/>
      <c r="JE272" s="978"/>
      <c r="JF272" s="978"/>
      <c r="JG272" s="978"/>
      <c r="JH272" s="978"/>
      <c r="JI272" s="978"/>
      <c r="JJ272" s="978"/>
      <c r="JK272" s="978"/>
      <c r="JL272" s="978"/>
      <c r="JM272" s="978"/>
      <c r="JN272" s="978"/>
      <c r="JO272" s="978"/>
      <c r="JP272" s="978"/>
      <c r="JQ272" s="978"/>
      <c r="JR272" s="978"/>
      <c r="JS272" s="978"/>
      <c r="JT272" s="978"/>
      <c r="JU272" s="978"/>
      <c r="JV272" s="978"/>
      <c r="JW272" s="978"/>
      <c r="JX272" s="978"/>
      <c r="JY272" s="978"/>
      <c r="JZ272" s="978"/>
      <c r="KA272" s="978"/>
      <c r="KB272" s="978"/>
      <c r="KC272" s="978"/>
      <c r="KD272" s="978"/>
      <c r="KE272" s="978"/>
      <c r="KF272" s="978"/>
      <c r="KG272" s="978"/>
      <c r="KH272" s="978"/>
      <c r="KI272" s="978"/>
      <c r="KJ272" s="978"/>
      <c r="KK272" s="978"/>
      <c r="KL272" s="978"/>
      <c r="KM272" s="978"/>
      <c r="KN272" s="978"/>
      <c r="KO272" s="978"/>
      <c r="KP272" s="978"/>
      <c r="KQ272" s="978"/>
      <c r="KR272" s="978"/>
      <c r="KS272" s="978"/>
      <c r="KT272" s="978"/>
      <c r="KU272" s="978"/>
      <c r="KV272" s="978"/>
      <c r="KW272" s="978"/>
      <c r="KX272" s="978"/>
      <c r="KY272" s="978"/>
      <c r="KZ272" s="978"/>
      <c r="LA272" s="978"/>
      <c r="LB272" s="978"/>
      <c r="LC272" s="978"/>
      <c r="LD272" s="978"/>
      <c r="LE272" s="978"/>
      <c r="LF272" s="978"/>
      <c r="LG272" s="978"/>
      <c r="LH272" s="978"/>
      <c r="LI272" s="978"/>
      <c r="LJ272" s="978"/>
      <c r="LK272" s="978"/>
      <c r="LL272" s="978"/>
      <c r="LM272" s="978"/>
      <c r="LN272" s="978"/>
      <c r="LO272" s="978"/>
      <c r="LP272" s="978"/>
      <c r="LQ272" s="978"/>
      <c r="LR272" s="978"/>
      <c r="LS272" s="978"/>
      <c r="LT272" s="978"/>
      <c r="LU272" s="978"/>
      <c r="LV272" s="978"/>
      <c r="LW272" s="978"/>
      <c r="LX272" s="978"/>
      <c r="LY272" s="978"/>
      <c r="LZ272" s="978"/>
      <c r="MA272" s="978"/>
      <c r="MB272" s="978"/>
      <c r="MC272" s="978"/>
      <c r="MD272" s="978"/>
      <c r="ME272" s="978"/>
      <c r="MF272" s="978"/>
      <c r="MG272" s="978"/>
      <c r="MH272" s="978"/>
      <c r="MI272" s="978"/>
      <c r="MJ272" s="978"/>
      <c r="MK272" s="978"/>
      <c r="ML272" s="978"/>
      <c r="MM272" s="978"/>
      <c r="MN272" s="978"/>
      <c r="MO272" s="978"/>
      <c r="MP272" s="978"/>
      <c r="MQ272" s="978"/>
      <c r="MR272" s="978"/>
      <c r="MS272" s="978"/>
      <c r="MT272" s="978"/>
      <c r="MU272" s="978"/>
      <c r="MV272" s="978"/>
      <c r="MW272" s="978"/>
      <c r="MX272" s="978"/>
      <c r="MY272" s="978"/>
      <c r="MZ272" s="978"/>
      <c r="NA272" s="978"/>
      <c r="NB272" s="978"/>
      <c r="NC272" s="978"/>
      <c r="ND272" s="978"/>
      <c r="NE272" s="978"/>
      <c r="NF272" s="978"/>
      <c r="NG272" s="978"/>
      <c r="NH272" s="978"/>
      <c r="NI272" s="978"/>
      <c r="NJ272" s="978"/>
      <c r="NK272" s="978"/>
      <c r="NL272" s="978"/>
      <c r="NM272" s="978"/>
      <c r="NN272" s="978"/>
      <c r="NO272" s="978"/>
      <c r="NP272" s="978"/>
      <c r="NQ272" s="978"/>
      <c r="NR272" s="978"/>
      <c r="NS272" s="978"/>
      <c r="NT272" s="978"/>
      <c r="NU272" s="978"/>
      <c r="NV272" s="978"/>
      <c r="NW272" s="978"/>
      <c r="NX272" s="978"/>
      <c r="NY272" s="978"/>
      <c r="NZ272" s="978"/>
      <c r="OA272" s="978"/>
      <c r="OB272" s="978"/>
      <c r="OC272" s="978"/>
      <c r="OD272" s="978"/>
      <c r="OE272" s="978"/>
      <c r="OF272" s="978"/>
      <c r="OG272" s="978"/>
      <c r="OH272" s="978"/>
      <c r="OI272" s="978"/>
      <c r="OJ272" s="978"/>
      <c r="OK272" s="978"/>
      <c r="OL272" s="978"/>
      <c r="OM272" s="978"/>
      <c r="ON272" s="978"/>
      <c r="OO272" s="978"/>
      <c r="OP272" s="978"/>
      <c r="OQ272" s="978"/>
      <c r="OR272" s="978"/>
      <c r="OS272" s="978"/>
      <c r="OT272" s="978"/>
      <c r="OU272" s="978"/>
      <c r="OV272" s="978"/>
      <c r="OW272" s="978"/>
      <c r="OX272" s="978"/>
      <c r="OY272" s="978"/>
      <c r="OZ272" s="978"/>
      <c r="PA272" s="978"/>
      <c r="PB272" s="978"/>
      <c r="PC272" s="978"/>
      <c r="PD272" s="978"/>
      <c r="PE272" s="978"/>
      <c r="PF272" s="978"/>
      <c r="PG272" s="978"/>
      <c r="PH272" s="978"/>
      <c r="PI272" s="978"/>
      <c r="PJ272" s="978"/>
      <c r="PK272" s="978"/>
      <c r="PL272" s="978"/>
      <c r="PM272" s="978"/>
      <c r="PN272" s="978"/>
      <c r="PO272" s="978"/>
      <c r="PP272" s="978"/>
      <c r="PQ272" s="978"/>
      <c r="PR272" s="978"/>
      <c r="PS272" s="978"/>
      <c r="PT272" s="978"/>
      <c r="PU272" s="978"/>
      <c r="PV272" s="978"/>
      <c r="PW272" s="978"/>
      <c r="PX272" s="978"/>
      <c r="PY272" s="978"/>
      <c r="PZ272" s="978"/>
      <c r="QA272" s="978"/>
      <c r="QB272" s="978"/>
      <c r="QC272" s="978"/>
      <c r="QD272" s="978"/>
      <c r="QE272" s="978"/>
      <c r="QF272" s="978"/>
      <c r="QG272" s="978"/>
      <c r="QH272" s="978"/>
      <c r="QI272" s="978"/>
      <c r="QJ272" s="978"/>
      <c r="QK272" s="978"/>
      <c r="QL272" s="978"/>
      <c r="QM272" s="978"/>
      <c r="QN272" s="978"/>
      <c r="QO272" s="978"/>
      <c r="QP272" s="978"/>
      <c r="QQ272" s="978"/>
      <c r="QR272" s="978"/>
      <c r="QS272" s="978"/>
      <c r="QT272" s="978"/>
      <c r="QU272" s="978"/>
      <c r="QV272" s="978"/>
      <c r="QW272" s="978"/>
      <c r="QX272" s="978"/>
      <c r="QY272" s="978"/>
      <c r="QZ272" s="978"/>
      <c r="RA272" s="978"/>
      <c r="RB272" s="274"/>
      <c r="RC272" s="274"/>
    </row>
    <row r="273" spans="112:471" ht="17.25">
      <c r="DH273" s="274"/>
      <c r="DI273" s="274"/>
      <c r="DJ273" s="978"/>
      <c r="DK273" s="978"/>
      <c r="DL273" s="978"/>
      <c r="DM273" s="978"/>
      <c r="DN273" s="978"/>
      <c r="DO273" s="978"/>
      <c r="DP273" s="978"/>
      <c r="DQ273" s="978"/>
      <c r="DR273" s="978"/>
      <c r="DS273" s="978"/>
      <c r="DT273" s="978"/>
      <c r="DU273" s="978"/>
      <c r="DV273" s="978"/>
      <c r="DW273" s="978"/>
      <c r="DX273" s="978"/>
      <c r="DY273" s="978"/>
      <c r="DZ273" s="978"/>
      <c r="EA273" s="978"/>
      <c r="EB273" s="978"/>
      <c r="EC273" s="978"/>
      <c r="ED273" s="978"/>
      <c r="EE273" s="978"/>
      <c r="EF273" s="978"/>
      <c r="EG273" s="978"/>
      <c r="EH273" s="978"/>
      <c r="EI273" s="978"/>
      <c r="EJ273" s="978"/>
      <c r="EK273" s="978"/>
      <c r="EL273" s="978"/>
      <c r="EM273" s="978"/>
      <c r="EN273" s="978"/>
      <c r="EO273" s="978"/>
      <c r="EP273" s="978"/>
      <c r="EQ273" s="978"/>
      <c r="ER273" s="978"/>
      <c r="ES273" s="978"/>
      <c r="ET273" s="978"/>
      <c r="EU273" s="978"/>
      <c r="EV273" s="978"/>
      <c r="EW273" s="978"/>
      <c r="EX273" s="978"/>
      <c r="EY273" s="978"/>
      <c r="EZ273" s="978"/>
      <c r="FA273" s="978"/>
      <c r="FB273" s="978"/>
      <c r="FC273" s="978"/>
      <c r="FD273" s="978"/>
      <c r="FE273" s="978"/>
      <c r="FF273" s="978"/>
      <c r="FG273" s="978"/>
      <c r="FH273" s="978"/>
      <c r="FI273" s="978"/>
      <c r="FJ273" s="978"/>
      <c r="FK273" s="978"/>
      <c r="FL273" s="978"/>
      <c r="FM273" s="978"/>
      <c r="FN273" s="978"/>
      <c r="FO273" s="978"/>
      <c r="FP273" s="978"/>
      <c r="FQ273" s="978"/>
      <c r="FR273" s="978"/>
      <c r="FS273" s="978"/>
      <c r="FT273" s="978"/>
      <c r="FU273" s="978"/>
      <c r="FV273" s="978"/>
      <c r="FW273" s="978"/>
      <c r="FX273" s="978"/>
      <c r="FY273" s="978"/>
      <c r="FZ273" s="978"/>
      <c r="GA273" s="978"/>
      <c r="GB273" s="978"/>
      <c r="GC273" s="978"/>
      <c r="GD273" s="978"/>
      <c r="GE273" s="978"/>
      <c r="GF273" s="978"/>
      <c r="GG273" s="978"/>
      <c r="GH273" s="978"/>
      <c r="GI273" s="978"/>
      <c r="GJ273" s="978"/>
      <c r="GK273" s="978"/>
      <c r="GL273" s="978"/>
      <c r="GM273" s="978"/>
      <c r="GN273" s="978"/>
      <c r="GO273" s="978"/>
      <c r="GP273" s="978"/>
      <c r="GQ273" s="978"/>
      <c r="GR273" s="978"/>
      <c r="GS273" s="978"/>
      <c r="GT273" s="978"/>
      <c r="GU273" s="978"/>
      <c r="GV273" s="978"/>
      <c r="GW273" s="978"/>
      <c r="GX273" s="978"/>
      <c r="GY273" s="978"/>
      <c r="GZ273" s="978"/>
      <c r="HA273" s="978"/>
      <c r="HB273" s="978"/>
      <c r="HC273" s="978"/>
      <c r="HD273" s="978"/>
      <c r="HE273" s="978"/>
      <c r="HF273" s="978"/>
      <c r="HG273" s="978"/>
      <c r="HH273" s="978"/>
      <c r="HI273" s="978"/>
      <c r="HJ273" s="978"/>
      <c r="HK273" s="978"/>
      <c r="HL273" s="978"/>
      <c r="HM273" s="978"/>
      <c r="HN273" s="978"/>
      <c r="HO273" s="978"/>
      <c r="HP273" s="978"/>
      <c r="HQ273" s="978"/>
      <c r="HR273" s="978"/>
      <c r="HS273" s="978"/>
      <c r="HT273" s="978"/>
      <c r="HU273" s="978"/>
      <c r="HV273" s="978"/>
      <c r="HW273" s="978"/>
      <c r="HX273" s="978"/>
      <c r="HY273" s="978"/>
      <c r="HZ273" s="978"/>
      <c r="IA273" s="978"/>
      <c r="IB273" s="978"/>
      <c r="IC273" s="978"/>
      <c r="ID273" s="978"/>
      <c r="IE273" s="978"/>
      <c r="IF273" s="978"/>
      <c r="IG273" s="978"/>
      <c r="IH273" s="978"/>
      <c r="II273" s="978"/>
      <c r="IJ273" s="978"/>
      <c r="IK273" s="978"/>
      <c r="IL273" s="978"/>
      <c r="IM273" s="978"/>
      <c r="IN273" s="978"/>
      <c r="IO273" s="978"/>
      <c r="IP273" s="978"/>
      <c r="IQ273" s="978"/>
      <c r="IR273" s="978"/>
      <c r="IS273" s="978"/>
      <c r="IT273" s="978"/>
      <c r="IU273" s="978"/>
      <c r="IV273" s="978"/>
      <c r="IW273" s="978"/>
      <c r="IX273" s="978"/>
      <c r="IY273" s="978"/>
      <c r="IZ273" s="978"/>
      <c r="JA273" s="978"/>
      <c r="JB273" s="978"/>
      <c r="JC273" s="978"/>
      <c r="JD273" s="978"/>
      <c r="JE273" s="978"/>
      <c r="JF273" s="978"/>
      <c r="JG273" s="978"/>
      <c r="JH273" s="978"/>
      <c r="JI273" s="978"/>
      <c r="JJ273" s="978"/>
      <c r="JK273" s="978"/>
      <c r="JL273" s="978"/>
      <c r="JM273" s="978"/>
      <c r="JN273" s="978"/>
      <c r="JO273" s="978"/>
      <c r="JP273" s="978"/>
      <c r="JQ273" s="978"/>
      <c r="JR273" s="978"/>
      <c r="JS273" s="978"/>
      <c r="JT273" s="978"/>
      <c r="JU273" s="978"/>
      <c r="JV273" s="978"/>
      <c r="JW273" s="978"/>
      <c r="JX273" s="978"/>
      <c r="JY273" s="978"/>
      <c r="JZ273" s="978"/>
      <c r="KA273" s="978"/>
      <c r="KB273" s="978"/>
      <c r="KC273" s="978"/>
      <c r="KD273" s="978"/>
      <c r="KE273" s="978"/>
      <c r="KF273" s="978"/>
      <c r="KG273" s="978"/>
      <c r="KH273" s="978"/>
      <c r="KI273" s="978"/>
      <c r="KJ273" s="978"/>
      <c r="KK273" s="978"/>
      <c r="KL273" s="978"/>
      <c r="KM273" s="978"/>
      <c r="KN273" s="978"/>
      <c r="KO273" s="978"/>
      <c r="KP273" s="978"/>
      <c r="KQ273" s="978"/>
      <c r="KR273" s="978"/>
      <c r="KS273" s="978"/>
      <c r="KT273" s="978"/>
      <c r="KU273" s="978"/>
      <c r="KV273" s="978"/>
      <c r="KW273" s="978"/>
      <c r="KX273" s="978"/>
      <c r="KY273" s="978"/>
      <c r="KZ273" s="978"/>
      <c r="LA273" s="978"/>
      <c r="LB273" s="978"/>
      <c r="LC273" s="978"/>
      <c r="LD273" s="978"/>
      <c r="LE273" s="978"/>
      <c r="LF273" s="978"/>
      <c r="LG273" s="978"/>
      <c r="LH273" s="978"/>
      <c r="LI273" s="978"/>
      <c r="LJ273" s="978"/>
      <c r="LK273" s="978"/>
      <c r="LL273" s="978"/>
      <c r="LM273" s="978"/>
      <c r="LN273" s="978"/>
      <c r="LO273" s="978"/>
      <c r="LP273" s="978"/>
      <c r="LQ273" s="978"/>
      <c r="LR273" s="978"/>
      <c r="LS273" s="978"/>
      <c r="LT273" s="978"/>
      <c r="LU273" s="978"/>
      <c r="LV273" s="978"/>
      <c r="LW273" s="978"/>
      <c r="LX273" s="978"/>
      <c r="LY273" s="978"/>
      <c r="LZ273" s="978"/>
      <c r="MA273" s="978"/>
      <c r="MB273" s="978"/>
      <c r="MC273" s="978"/>
      <c r="MD273" s="978"/>
      <c r="ME273" s="978"/>
      <c r="MF273" s="978"/>
      <c r="MG273" s="978"/>
      <c r="MH273" s="978"/>
      <c r="MI273" s="978"/>
      <c r="MJ273" s="978"/>
      <c r="MK273" s="978"/>
      <c r="ML273" s="978"/>
      <c r="MM273" s="978"/>
      <c r="MN273" s="978"/>
      <c r="MO273" s="978"/>
      <c r="MP273" s="978"/>
      <c r="MQ273" s="978"/>
      <c r="MR273" s="978"/>
      <c r="MS273" s="978"/>
      <c r="MT273" s="978"/>
      <c r="MU273" s="978"/>
      <c r="MV273" s="978"/>
      <c r="MW273" s="978"/>
      <c r="MX273" s="978"/>
      <c r="MY273" s="978"/>
      <c r="MZ273" s="978"/>
      <c r="NA273" s="978"/>
      <c r="NB273" s="978"/>
      <c r="NC273" s="978"/>
      <c r="ND273" s="978"/>
      <c r="NE273" s="978"/>
      <c r="NF273" s="978"/>
      <c r="NG273" s="978"/>
      <c r="NH273" s="978"/>
      <c r="NI273" s="978"/>
      <c r="NJ273" s="978"/>
      <c r="NK273" s="978"/>
      <c r="NL273" s="978"/>
      <c r="NM273" s="978"/>
      <c r="NN273" s="978"/>
      <c r="NO273" s="978"/>
      <c r="NP273" s="978"/>
      <c r="NQ273" s="978"/>
      <c r="NR273" s="978"/>
      <c r="NS273" s="978"/>
      <c r="NT273" s="978"/>
      <c r="NU273" s="978"/>
      <c r="NV273" s="978"/>
      <c r="NW273" s="978"/>
      <c r="NX273" s="978"/>
      <c r="NY273" s="978"/>
      <c r="NZ273" s="978"/>
      <c r="OA273" s="978"/>
      <c r="OB273" s="978"/>
      <c r="OC273" s="978"/>
      <c r="OD273" s="978"/>
      <c r="OE273" s="978"/>
      <c r="OF273" s="978"/>
      <c r="OG273" s="978"/>
      <c r="OH273" s="978"/>
      <c r="OI273" s="978"/>
      <c r="OJ273" s="978"/>
      <c r="OK273" s="978"/>
      <c r="OL273" s="978"/>
      <c r="OM273" s="978"/>
      <c r="ON273" s="978"/>
      <c r="OO273" s="978"/>
      <c r="OP273" s="978"/>
      <c r="OQ273" s="978"/>
      <c r="OR273" s="978"/>
      <c r="OS273" s="978"/>
      <c r="OT273" s="978"/>
      <c r="OU273" s="978"/>
      <c r="OV273" s="978"/>
      <c r="OW273" s="978"/>
      <c r="OX273" s="978"/>
      <c r="OY273" s="978"/>
      <c r="OZ273" s="978"/>
      <c r="PA273" s="978"/>
      <c r="PB273" s="978"/>
      <c r="PC273" s="978"/>
      <c r="PD273" s="978"/>
      <c r="PE273" s="978"/>
      <c r="PF273" s="978"/>
      <c r="PG273" s="978"/>
      <c r="PH273" s="978"/>
      <c r="PI273" s="978"/>
      <c r="PJ273" s="978"/>
      <c r="PK273" s="978"/>
      <c r="PL273" s="978"/>
      <c r="PM273" s="978"/>
      <c r="PN273" s="978"/>
      <c r="PO273" s="978"/>
      <c r="PP273" s="978"/>
      <c r="PQ273" s="978"/>
      <c r="PR273" s="978"/>
      <c r="PS273" s="978"/>
      <c r="PT273" s="978"/>
      <c r="PU273" s="978"/>
      <c r="PV273" s="978"/>
      <c r="PW273" s="978"/>
      <c r="PX273" s="978"/>
      <c r="PY273" s="978"/>
      <c r="PZ273" s="978"/>
      <c r="QA273" s="978"/>
      <c r="QB273" s="978"/>
      <c r="QC273" s="978"/>
      <c r="QD273" s="978"/>
      <c r="QE273" s="978"/>
      <c r="QF273" s="978"/>
      <c r="QG273" s="978"/>
      <c r="QH273" s="978"/>
      <c r="QI273" s="978"/>
      <c r="QJ273" s="978"/>
      <c r="QK273" s="978"/>
      <c r="QL273" s="978"/>
      <c r="QM273" s="978"/>
      <c r="QN273" s="978"/>
      <c r="QO273" s="978"/>
      <c r="QP273" s="978"/>
      <c r="QQ273" s="978"/>
      <c r="QR273" s="978"/>
      <c r="QS273" s="978"/>
      <c r="QT273" s="978"/>
      <c r="QU273" s="978"/>
      <c r="QV273" s="978"/>
      <c r="QW273" s="978"/>
      <c r="QX273" s="978"/>
      <c r="QY273" s="978"/>
      <c r="QZ273" s="978"/>
      <c r="RA273" s="978"/>
      <c r="RB273" s="274"/>
      <c r="RC273" s="274"/>
    </row>
    <row r="274" spans="112:471">
      <c r="DH274" s="274"/>
      <c r="DI274" s="274"/>
      <c r="DJ274" s="274"/>
      <c r="DK274" s="274"/>
      <c r="DL274" s="274"/>
      <c r="DM274" s="274"/>
      <c r="DN274" s="274"/>
      <c r="DO274" s="274"/>
      <c r="DP274" s="274"/>
      <c r="DQ274" s="274"/>
      <c r="DR274" s="274"/>
      <c r="DS274" s="274"/>
      <c r="DT274" s="274"/>
      <c r="DU274" s="274"/>
      <c r="DV274" s="274"/>
      <c r="DW274" s="274"/>
      <c r="DX274" s="274"/>
      <c r="DY274" s="274"/>
      <c r="DZ274" s="274"/>
      <c r="EA274" s="274"/>
      <c r="EB274" s="274"/>
      <c r="EC274" s="274"/>
      <c r="ED274" s="274"/>
      <c r="EE274" s="274"/>
      <c r="EF274" s="274"/>
      <c r="EG274" s="274"/>
      <c r="EH274" s="274"/>
      <c r="EI274" s="274"/>
      <c r="EJ274" s="274"/>
      <c r="EK274" s="274"/>
      <c r="EL274" s="274"/>
      <c r="EM274" s="274"/>
      <c r="EN274" s="274"/>
      <c r="EO274" s="274"/>
      <c r="EP274" s="274"/>
      <c r="EQ274" s="274"/>
      <c r="ER274" s="274"/>
      <c r="ES274" s="274"/>
      <c r="ET274" s="274"/>
      <c r="EU274" s="274"/>
      <c r="EV274" s="274"/>
      <c r="EW274" s="274"/>
      <c r="EX274" s="274"/>
      <c r="EY274" s="274"/>
      <c r="EZ274" s="274"/>
      <c r="FA274" s="274"/>
      <c r="FB274" s="274"/>
      <c r="FC274" s="274"/>
      <c r="FD274" s="274"/>
      <c r="FE274" s="274"/>
      <c r="FF274" s="274"/>
      <c r="FG274" s="274"/>
      <c r="FH274" s="274"/>
      <c r="FI274" s="274"/>
      <c r="FJ274" s="274"/>
      <c r="FK274" s="274"/>
      <c r="FL274" s="274"/>
      <c r="FM274" s="274"/>
      <c r="FN274" s="274"/>
      <c r="FO274" s="274"/>
      <c r="FP274" s="274"/>
      <c r="FQ274" s="274"/>
      <c r="FR274" s="274"/>
      <c r="FS274" s="274"/>
      <c r="FT274" s="274"/>
      <c r="FU274" s="274"/>
      <c r="FV274" s="274"/>
      <c r="FW274" s="274"/>
      <c r="FX274" s="274"/>
      <c r="FY274" s="274"/>
      <c r="FZ274" s="274"/>
      <c r="GA274" s="274"/>
      <c r="GB274" s="274"/>
      <c r="GC274" s="274"/>
      <c r="GD274" s="274"/>
      <c r="GE274" s="274"/>
      <c r="GF274" s="274"/>
      <c r="GG274" s="274"/>
      <c r="GH274" s="274"/>
      <c r="GI274" s="274"/>
      <c r="GJ274" s="274"/>
      <c r="GK274" s="274"/>
      <c r="GL274" s="274"/>
      <c r="GM274" s="274"/>
      <c r="GN274" s="274"/>
      <c r="GO274" s="274"/>
      <c r="GP274" s="274"/>
      <c r="GQ274" s="274"/>
      <c r="GR274" s="274"/>
      <c r="GS274" s="274"/>
      <c r="GT274" s="274"/>
      <c r="GU274" s="274"/>
      <c r="GV274" s="274"/>
      <c r="GW274" s="274"/>
      <c r="GX274" s="274"/>
      <c r="GY274" s="274"/>
      <c r="GZ274" s="274"/>
      <c r="HA274" s="274"/>
      <c r="HB274" s="274"/>
      <c r="HC274" s="274"/>
      <c r="HD274" s="274"/>
      <c r="HE274" s="274"/>
      <c r="HF274" s="274"/>
      <c r="HG274" s="274"/>
      <c r="HH274" s="274"/>
      <c r="HI274" s="274"/>
      <c r="HJ274" s="274"/>
      <c r="HK274" s="274"/>
      <c r="HL274" s="274"/>
      <c r="HM274" s="274"/>
      <c r="HN274" s="274"/>
      <c r="HO274" s="274"/>
      <c r="HP274" s="274"/>
      <c r="HQ274" s="274"/>
      <c r="HR274" s="274"/>
      <c r="HS274" s="274"/>
      <c r="HT274" s="274"/>
      <c r="HU274" s="274"/>
      <c r="HV274" s="274"/>
      <c r="HW274" s="274"/>
      <c r="HX274" s="274"/>
      <c r="HY274" s="274"/>
      <c r="HZ274" s="274"/>
      <c r="IA274" s="274"/>
      <c r="IB274" s="274"/>
      <c r="IC274" s="274"/>
      <c r="ID274" s="274"/>
      <c r="IE274" s="274"/>
      <c r="IF274" s="274"/>
      <c r="IG274" s="274"/>
      <c r="IH274" s="274"/>
      <c r="II274" s="274"/>
      <c r="IJ274" s="274"/>
      <c r="IK274" s="274"/>
      <c r="IL274" s="274"/>
      <c r="IM274" s="274"/>
      <c r="IN274" s="274"/>
      <c r="IO274" s="274"/>
      <c r="IP274" s="274"/>
      <c r="IQ274" s="274"/>
      <c r="IR274" s="274"/>
      <c r="IS274" s="274"/>
      <c r="IT274" s="274"/>
      <c r="IU274" s="274"/>
      <c r="IV274" s="274"/>
      <c r="IW274" s="274"/>
      <c r="IX274" s="274"/>
      <c r="IY274" s="274"/>
      <c r="IZ274" s="274"/>
      <c r="JA274" s="274"/>
      <c r="JB274" s="274"/>
      <c r="JC274" s="274"/>
      <c r="JD274" s="274"/>
      <c r="JE274" s="274"/>
      <c r="JF274" s="274"/>
      <c r="JG274" s="274"/>
      <c r="JH274" s="274"/>
      <c r="JI274" s="274"/>
      <c r="JJ274" s="274"/>
      <c r="JK274" s="274"/>
      <c r="JL274" s="274"/>
      <c r="JM274" s="274"/>
      <c r="JN274" s="274"/>
      <c r="JO274" s="274"/>
      <c r="JP274" s="274"/>
      <c r="JQ274" s="274"/>
      <c r="JR274" s="274"/>
      <c r="JS274" s="274"/>
      <c r="JT274" s="274"/>
      <c r="JU274" s="274"/>
      <c r="JV274" s="274"/>
      <c r="JW274" s="274"/>
      <c r="JX274" s="274"/>
      <c r="JY274" s="274"/>
      <c r="JZ274" s="274"/>
      <c r="KA274" s="274"/>
      <c r="KB274" s="274"/>
      <c r="KC274" s="274"/>
      <c r="KD274" s="274"/>
      <c r="KE274" s="274"/>
      <c r="KF274" s="274"/>
      <c r="KG274" s="274"/>
      <c r="KH274" s="274"/>
      <c r="KI274" s="274"/>
      <c r="KJ274" s="274"/>
      <c r="KK274" s="274"/>
      <c r="KL274" s="274"/>
      <c r="KM274" s="274"/>
      <c r="KN274" s="274"/>
      <c r="KO274" s="274"/>
      <c r="KP274" s="274"/>
      <c r="KQ274" s="274"/>
      <c r="KR274" s="274"/>
      <c r="KS274" s="274"/>
      <c r="KT274" s="274"/>
      <c r="KU274" s="274"/>
      <c r="KV274" s="274"/>
      <c r="KW274" s="274"/>
      <c r="KX274" s="274"/>
      <c r="KY274" s="274"/>
      <c r="KZ274" s="274"/>
      <c r="LA274" s="274"/>
      <c r="LB274" s="274"/>
      <c r="LC274" s="274"/>
      <c r="LD274" s="274"/>
      <c r="LE274" s="274"/>
      <c r="LF274" s="274"/>
      <c r="LG274" s="274"/>
      <c r="LH274" s="274"/>
      <c r="LI274" s="274"/>
      <c r="LJ274" s="274"/>
      <c r="LK274" s="274"/>
      <c r="LL274" s="274"/>
      <c r="LM274" s="274"/>
      <c r="LN274" s="274"/>
      <c r="LO274" s="274"/>
      <c r="LP274" s="274"/>
      <c r="LQ274" s="274"/>
      <c r="LR274" s="274"/>
      <c r="LS274" s="274"/>
      <c r="LT274" s="274"/>
      <c r="LU274" s="274"/>
      <c r="LV274" s="274"/>
      <c r="LW274" s="274"/>
      <c r="LX274" s="274"/>
      <c r="LY274" s="274"/>
      <c r="LZ274" s="274"/>
      <c r="MA274" s="274"/>
      <c r="MB274" s="274"/>
      <c r="MC274" s="274"/>
      <c r="MD274" s="274"/>
      <c r="ME274" s="274"/>
      <c r="MF274" s="274"/>
      <c r="MG274" s="274"/>
      <c r="MH274" s="274"/>
      <c r="MI274" s="274"/>
      <c r="MJ274" s="274"/>
      <c r="MK274" s="274"/>
      <c r="ML274" s="274"/>
      <c r="MM274" s="274"/>
      <c r="MN274" s="274"/>
      <c r="MO274" s="274"/>
      <c r="MP274" s="274"/>
      <c r="MQ274" s="274"/>
      <c r="MR274" s="274"/>
      <c r="MS274" s="274"/>
      <c r="MT274" s="274"/>
      <c r="MU274" s="274"/>
      <c r="MV274" s="274"/>
      <c r="MW274" s="274"/>
      <c r="MX274" s="274"/>
      <c r="MY274" s="274"/>
      <c r="MZ274" s="274"/>
      <c r="NA274" s="274"/>
      <c r="NB274" s="274"/>
      <c r="NC274" s="274"/>
      <c r="ND274" s="274"/>
      <c r="NE274" s="274"/>
      <c r="NF274" s="274"/>
      <c r="NG274" s="274"/>
      <c r="NH274" s="274"/>
      <c r="NI274" s="274"/>
      <c r="NJ274" s="274"/>
      <c r="NK274" s="274"/>
      <c r="NL274" s="274"/>
      <c r="NM274" s="274"/>
      <c r="NN274" s="274"/>
      <c r="NO274" s="274"/>
      <c r="NP274" s="274"/>
      <c r="NQ274" s="274"/>
      <c r="NR274" s="274"/>
      <c r="NS274" s="274"/>
      <c r="NT274" s="274"/>
      <c r="NU274" s="274"/>
      <c r="NV274" s="274"/>
      <c r="NW274" s="274"/>
      <c r="NX274" s="274"/>
      <c r="NY274" s="274"/>
      <c r="NZ274" s="274"/>
      <c r="OA274" s="274"/>
      <c r="OB274" s="274"/>
      <c r="OC274" s="274"/>
      <c r="OD274" s="274"/>
      <c r="OE274" s="274"/>
      <c r="OF274" s="274"/>
      <c r="OG274" s="274"/>
      <c r="OH274" s="274"/>
      <c r="OI274" s="274"/>
      <c r="OJ274" s="274"/>
      <c r="OK274" s="274"/>
      <c r="OL274" s="274"/>
      <c r="OM274" s="274"/>
      <c r="ON274" s="274"/>
      <c r="OO274" s="274"/>
      <c r="OP274" s="274"/>
      <c r="OQ274" s="274"/>
      <c r="OR274" s="274"/>
      <c r="OS274" s="274"/>
      <c r="OT274" s="274"/>
      <c r="OU274" s="274"/>
      <c r="OV274" s="274"/>
      <c r="OW274" s="274"/>
      <c r="OX274" s="274"/>
      <c r="OY274" s="274"/>
      <c r="OZ274" s="274"/>
      <c r="PA274" s="274"/>
      <c r="PB274" s="274"/>
      <c r="PC274" s="274"/>
      <c r="PD274" s="274"/>
      <c r="PE274" s="274"/>
      <c r="PF274" s="274"/>
      <c r="PG274" s="274"/>
      <c r="PH274" s="274"/>
      <c r="PI274" s="274"/>
      <c r="PJ274" s="274"/>
      <c r="PK274" s="274"/>
      <c r="PL274" s="274"/>
      <c r="PM274" s="274"/>
      <c r="PN274" s="274"/>
      <c r="PO274" s="274"/>
      <c r="PP274" s="274"/>
      <c r="PQ274" s="274"/>
      <c r="PR274" s="274"/>
      <c r="PS274" s="274"/>
      <c r="PT274" s="274"/>
      <c r="PU274" s="274"/>
      <c r="PV274" s="274"/>
      <c r="PW274" s="274"/>
      <c r="PX274" s="274"/>
      <c r="PY274" s="274"/>
      <c r="PZ274" s="274"/>
      <c r="QA274" s="274"/>
      <c r="QB274" s="274"/>
      <c r="QC274" s="274"/>
      <c r="QD274" s="274"/>
      <c r="QE274" s="274"/>
      <c r="QF274" s="274"/>
      <c r="QG274" s="274"/>
      <c r="QH274" s="274"/>
      <c r="QI274" s="274"/>
      <c r="QJ274" s="274"/>
      <c r="QK274" s="274"/>
      <c r="QL274" s="274"/>
      <c r="QM274" s="274"/>
      <c r="QN274" s="274"/>
      <c r="QO274" s="274"/>
      <c r="QP274" s="274"/>
      <c r="QQ274" s="274"/>
      <c r="QR274" s="274"/>
      <c r="QS274" s="274"/>
      <c r="QT274" s="274"/>
      <c r="QU274" s="274"/>
      <c r="QV274" s="274"/>
      <c r="QW274" s="274"/>
      <c r="QX274" s="274"/>
      <c r="QY274" s="274"/>
      <c r="QZ274" s="274"/>
      <c r="RA274" s="274"/>
      <c r="RB274" s="274"/>
      <c r="RC274" s="274"/>
    </row>
    <row r="275" spans="112:471">
      <c r="DH275" s="274"/>
      <c r="DI275" s="274"/>
      <c r="DJ275" s="274"/>
      <c r="DK275" s="274"/>
      <c r="DL275" s="274"/>
      <c r="DM275" s="274"/>
      <c r="DN275" s="274"/>
      <c r="DO275" s="274"/>
      <c r="DP275" s="274"/>
      <c r="DQ275" s="274"/>
      <c r="DR275" s="274"/>
      <c r="DS275" s="274"/>
      <c r="DT275" s="274"/>
      <c r="DU275" s="274"/>
      <c r="DV275" s="274"/>
      <c r="DW275" s="274"/>
      <c r="DX275" s="274"/>
      <c r="DY275" s="274"/>
      <c r="DZ275" s="274"/>
      <c r="EA275" s="274"/>
      <c r="EB275" s="274"/>
      <c r="EC275" s="274"/>
      <c r="ED275" s="274"/>
      <c r="EE275" s="274"/>
      <c r="EF275" s="274"/>
      <c r="EG275" s="274"/>
      <c r="EH275" s="274"/>
      <c r="EI275" s="274"/>
      <c r="EJ275" s="274"/>
      <c r="EK275" s="274"/>
      <c r="EL275" s="274"/>
      <c r="EM275" s="274"/>
      <c r="EN275" s="274"/>
      <c r="EO275" s="274"/>
      <c r="EP275" s="274"/>
      <c r="EQ275" s="274"/>
      <c r="ER275" s="274"/>
      <c r="ES275" s="274"/>
      <c r="ET275" s="274"/>
      <c r="EU275" s="274"/>
      <c r="EV275" s="274"/>
      <c r="EW275" s="274"/>
      <c r="EX275" s="274"/>
      <c r="EY275" s="274"/>
      <c r="EZ275" s="274"/>
      <c r="FA275" s="274"/>
      <c r="FB275" s="274"/>
      <c r="FC275" s="274"/>
      <c r="FD275" s="274"/>
      <c r="FE275" s="274"/>
      <c r="FF275" s="274"/>
      <c r="FG275" s="274"/>
      <c r="FH275" s="274"/>
      <c r="FI275" s="274"/>
      <c r="FJ275" s="274"/>
      <c r="FK275" s="274"/>
      <c r="FL275" s="274"/>
      <c r="FM275" s="274"/>
      <c r="FN275" s="274"/>
      <c r="FO275" s="274"/>
      <c r="FP275" s="274"/>
      <c r="FQ275" s="274"/>
      <c r="FR275" s="274"/>
      <c r="FS275" s="274"/>
      <c r="FT275" s="274"/>
      <c r="FU275" s="274"/>
      <c r="FV275" s="274"/>
      <c r="FW275" s="274"/>
      <c r="FX275" s="274"/>
      <c r="FY275" s="274"/>
      <c r="FZ275" s="274"/>
      <c r="GA275" s="274"/>
      <c r="GB275" s="274"/>
      <c r="GC275" s="274"/>
      <c r="GD275" s="274"/>
      <c r="GE275" s="274"/>
      <c r="GF275" s="274"/>
      <c r="GG275" s="274"/>
      <c r="GH275" s="274"/>
      <c r="GI275" s="274"/>
      <c r="GJ275" s="274"/>
      <c r="GK275" s="274"/>
      <c r="GL275" s="274"/>
      <c r="GM275" s="274"/>
      <c r="GN275" s="274"/>
      <c r="GO275" s="274"/>
      <c r="GP275" s="274"/>
      <c r="GQ275" s="274"/>
      <c r="GR275" s="274"/>
      <c r="GS275" s="274"/>
      <c r="GT275" s="274"/>
      <c r="GU275" s="274"/>
      <c r="GV275" s="274"/>
      <c r="GW275" s="274"/>
      <c r="GX275" s="274"/>
      <c r="GY275" s="274"/>
      <c r="GZ275" s="274"/>
      <c r="HA275" s="274"/>
      <c r="HB275" s="274"/>
      <c r="HC275" s="274"/>
      <c r="HD275" s="274"/>
      <c r="HE275" s="274"/>
      <c r="HF275" s="274"/>
      <c r="HG275" s="274"/>
      <c r="HH275" s="274"/>
      <c r="HI275" s="274"/>
      <c r="HJ275" s="274"/>
      <c r="HK275" s="274"/>
      <c r="HL275" s="274"/>
      <c r="HM275" s="274"/>
      <c r="HN275" s="274"/>
      <c r="HO275" s="274"/>
      <c r="HP275" s="274"/>
      <c r="HQ275" s="274"/>
      <c r="HR275" s="274"/>
      <c r="HS275" s="274"/>
      <c r="HT275" s="274"/>
      <c r="HU275" s="274"/>
      <c r="HV275" s="274"/>
      <c r="HW275" s="274"/>
      <c r="HX275" s="274"/>
      <c r="HY275" s="274"/>
      <c r="HZ275" s="274"/>
      <c r="IA275" s="274"/>
      <c r="IB275" s="274"/>
      <c r="IC275" s="274"/>
      <c r="ID275" s="274"/>
      <c r="IE275" s="274"/>
      <c r="IF275" s="274"/>
      <c r="IG275" s="274"/>
      <c r="IH275" s="274"/>
      <c r="II275" s="274"/>
      <c r="IJ275" s="274"/>
      <c r="IK275" s="274"/>
      <c r="IL275" s="274"/>
      <c r="IM275" s="274"/>
      <c r="IN275" s="274"/>
      <c r="IO275" s="274"/>
      <c r="IP275" s="274"/>
      <c r="IQ275" s="274"/>
      <c r="IR275" s="274"/>
      <c r="IS275" s="274"/>
      <c r="IT275" s="274"/>
      <c r="IU275" s="274"/>
      <c r="IV275" s="274"/>
      <c r="IW275" s="274"/>
      <c r="IX275" s="274"/>
      <c r="IY275" s="274"/>
      <c r="IZ275" s="274"/>
      <c r="JA275" s="274"/>
      <c r="JB275" s="274"/>
      <c r="JC275" s="274"/>
      <c r="JD275" s="274"/>
      <c r="JE275" s="274"/>
      <c r="JF275" s="274"/>
      <c r="JG275" s="274"/>
      <c r="JH275" s="274"/>
      <c r="JI275" s="274"/>
      <c r="JJ275" s="274"/>
      <c r="JK275" s="274"/>
      <c r="JL275" s="274"/>
      <c r="JM275" s="274"/>
      <c r="JN275" s="274"/>
      <c r="JO275" s="274"/>
      <c r="JP275" s="274"/>
      <c r="JQ275" s="274"/>
      <c r="JR275" s="274"/>
      <c r="JS275" s="274"/>
      <c r="JT275" s="274"/>
      <c r="JU275" s="274"/>
      <c r="JV275" s="274"/>
      <c r="JW275" s="274"/>
      <c r="JX275" s="274"/>
      <c r="JY275" s="274"/>
      <c r="JZ275" s="274"/>
      <c r="KA275" s="274"/>
      <c r="KB275" s="274"/>
      <c r="KC275" s="274"/>
      <c r="KD275" s="274"/>
      <c r="KE275" s="274"/>
      <c r="KF275" s="274"/>
      <c r="KG275" s="274"/>
      <c r="KH275" s="274"/>
      <c r="KI275" s="274"/>
      <c r="KJ275" s="274"/>
      <c r="KK275" s="274"/>
      <c r="KL275" s="274"/>
      <c r="KM275" s="274"/>
      <c r="KN275" s="274"/>
      <c r="KO275" s="274"/>
      <c r="KP275" s="274"/>
      <c r="KQ275" s="274"/>
      <c r="KR275" s="274"/>
      <c r="KS275" s="274"/>
      <c r="KT275" s="274"/>
      <c r="KU275" s="274"/>
      <c r="KV275" s="274"/>
      <c r="KW275" s="274"/>
      <c r="KX275" s="274"/>
      <c r="KY275" s="274"/>
      <c r="KZ275" s="274"/>
      <c r="LA275" s="274"/>
      <c r="LB275" s="274"/>
      <c r="LC275" s="274"/>
      <c r="LD275" s="274"/>
      <c r="LE275" s="274"/>
      <c r="LF275" s="274"/>
      <c r="LG275" s="274"/>
      <c r="LH275" s="274"/>
      <c r="LI275" s="274"/>
      <c r="LJ275" s="274"/>
      <c r="LK275" s="274"/>
      <c r="LL275" s="274"/>
      <c r="LM275" s="274"/>
      <c r="LN275" s="274"/>
      <c r="LO275" s="274"/>
      <c r="LP275" s="274"/>
      <c r="LQ275" s="274"/>
      <c r="LR275" s="274"/>
      <c r="LS275" s="274"/>
      <c r="LT275" s="274"/>
      <c r="LU275" s="274"/>
      <c r="LV275" s="274"/>
      <c r="LW275" s="274"/>
      <c r="LX275" s="274"/>
      <c r="LY275" s="274"/>
      <c r="LZ275" s="274"/>
      <c r="MA275" s="274"/>
      <c r="MB275" s="274"/>
      <c r="MC275" s="274"/>
      <c r="MD275" s="274"/>
      <c r="ME275" s="274"/>
      <c r="MF275" s="274"/>
      <c r="MG275" s="274"/>
      <c r="MH275" s="274"/>
      <c r="MI275" s="274"/>
      <c r="MJ275" s="274"/>
      <c r="MK275" s="274"/>
      <c r="ML275" s="274"/>
      <c r="MM275" s="274"/>
      <c r="MN275" s="274"/>
      <c r="MO275" s="274"/>
      <c r="MP275" s="274"/>
      <c r="MQ275" s="274"/>
      <c r="MR275" s="274"/>
      <c r="MS275" s="274"/>
      <c r="MT275" s="274"/>
      <c r="MU275" s="274"/>
      <c r="MV275" s="274"/>
      <c r="MW275" s="274"/>
      <c r="MX275" s="274"/>
      <c r="MY275" s="274"/>
      <c r="MZ275" s="274"/>
      <c r="NA275" s="274"/>
      <c r="NB275" s="274"/>
      <c r="NC275" s="274"/>
      <c r="ND275" s="274"/>
      <c r="NE275" s="274"/>
      <c r="NF275" s="274"/>
      <c r="NG275" s="274"/>
      <c r="NH275" s="274"/>
      <c r="NI275" s="274"/>
      <c r="NJ275" s="274"/>
      <c r="NK275" s="274"/>
      <c r="NL275" s="274"/>
      <c r="NM275" s="274"/>
      <c r="NN275" s="274"/>
      <c r="NO275" s="274"/>
      <c r="NP275" s="274"/>
      <c r="NQ275" s="274"/>
      <c r="NR275" s="274"/>
      <c r="NS275" s="274"/>
      <c r="NT275" s="274"/>
      <c r="NU275" s="274"/>
      <c r="NV275" s="274"/>
      <c r="NW275" s="274"/>
      <c r="NX275" s="274"/>
      <c r="NY275" s="274"/>
      <c r="NZ275" s="274"/>
      <c r="OA275" s="274"/>
      <c r="OB275" s="274"/>
      <c r="OC275" s="274"/>
      <c r="OD275" s="274"/>
      <c r="OE275" s="274"/>
      <c r="OF275" s="274"/>
      <c r="OG275" s="274"/>
      <c r="OH275" s="274"/>
      <c r="OI275" s="274"/>
      <c r="OJ275" s="274"/>
      <c r="OK275" s="274"/>
      <c r="OL275" s="274"/>
      <c r="OM275" s="274"/>
      <c r="ON275" s="274"/>
      <c r="OO275" s="274"/>
      <c r="OP275" s="274"/>
      <c r="OQ275" s="274"/>
      <c r="OR275" s="274"/>
      <c r="OS275" s="274"/>
      <c r="OT275" s="274"/>
      <c r="OU275" s="274"/>
      <c r="OV275" s="274"/>
      <c r="OW275" s="274"/>
      <c r="OX275" s="274"/>
      <c r="OY275" s="274"/>
      <c r="OZ275" s="274"/>
      <c r="PA275" s="274"/>
      <c r="PB275" s="274"/>
      <c r="PC275" s="274"/>
      <c r="PD275" s="274"/>
      <c r="PE275" s="274"/>
      <c r="PF275" s="274"/>
      <c r="PG275" s="274"/>
      <c r="PH275" s="274"/>
      <c r="PI275" s="274"/>
      <c r="PJ275" s="274"/>
      <c r="PK275" s="274"/>
      <c r="PL275" s="274"/>
      <c r="PM275" s="274"/>
      <c r="PN275" s="274"/>
      <c r="PO275" s="274"/>
      <c r="PP275" s="274"/>
      <c r="PQ275" s="274"/>
      <c r="PR275" s="274"/>
      <c r="PS275" s="274"/>
      <c r="PT275" s="274"/>
      <c r="PU275" s="274"/>
      <c r="PV275" s="274"/>
      <c r="PW275" s="274"/>
      <c r="PX275" s="274"/>
      <c r="PY275" s="274"/>
      <c r="PZ275" s="274"/>
      <c r="QA275" s="274"/>
      <c r="QB275" s="274"/>
      <c r="QC275" s="274"/>
      <c r="QD275" s="274"/>
      <c r="QE275" s="274"/>
      <c r="QF275" s="274"/>
      <c r="QG275" s="274"/>
      <c r="QH275" s="274"/>
      <c r="QI275" s="274"/>
      <c r="QJ275" s="274"/>
      <c r="QK275" s="274"/>
      <c r="QL275" s="274"/>
      <c r="QM275" s="274"/>
      <c r="QN275" s="274"/>
      <c r="QO275" s="274"/>
      <c r="QP275" s="274"/>
      <c r="QQ275" s="274"/>
      <c r="QR275" s="274"/>
      <c r="QS275" s="274"/>
      <c r="QT275" s="274"/>
      <c r="QU275" s="274"/>
      <c r="QV275" s="274"/>
      <c r="QW275" s="274"/>
      <c r="QX275" s="274"/>
      <c r="QY275" s="274"/>
      <c r="QZ275" s="274"/>
      <c r="RA275" s="274"/>
      <c r="RB275" s="274"/>
      <c r="RC275" s="274"/>
    </row>
    <row r="276" spans="112:471" ht="17.25">
      <c r="DH276" s="274"/>
      <c r="DI276" s="274"/>
      <c r="DJ276" s="978"/>
      <c r="DK276" s="274"/>
      <c r="DL276" s="274"/>
      <c r="DM276" s="274"/>
      <c r="DN276" s="274"/>
      <c r="DO276" s="274"/>
      <c r="DP276" s="274"/>
      <c r="DQ276" s="274"/>
      <c r="DR276" s="274"/>
      <c r="DS276" s="274"/>
      <c r="DT276" s="274"/>
      <c r="DU276" s="274"/>
      <c r="DV276" s="274"/>
      <c r="DW276" s="274"/>
      <c r="DX276" s="274"/>
      <c r="DY276" s="274"/>
      <c r="DZ276" s="274"/>
      <c r="EA276" s="274"/>
      <c r="EB276" s="274"/>
      <c r="EC276" s="274"/>
      <c r="ED276" s="274"/>
      <c r="EE276" s="274"/>
      <c r="EF276" s="274"/>
      <c r="EG276" s="274"/>
      <c r="EH276" s="274"/>
      <c r="EI276" s="274"/>
      <c r="EJ276" s="274"/>
      <c r="EK276" s="274"/>
      <c r="EL276" s="274"/>
      <c r="EM276" s="274"/>
      <c r="EN276" s="274"/>
      <c r="EO276" s="274"/>
      <c r="EP276" s="274"/>
      <c r="EQ276" s="274"/>
      <c r="ER276" s="274"/>
      <c r="ES276" s="274"/>
      <c r="ET276" s="274"/>
      <c r="EU276" s="274"/>
      <c r="EV276" s="274"/>
      <c r="EW276" s="274"/>
      <c r="EX276" s="274"/>
      <c r="EY276" s="274"/>
      <c r="EZ276" s="274"/>
      <c r="FA276" s="274"/>
      <c r="FB276" s="274"/>
      <c r="FC276" s="274"/>
      <c r="FD276" s="274"/>
      <c r="FE276" s="274"/>
      <c r="FF276" s="274"/>
      <c r="FG276" s="274"/>
      <c r="FH276" s="274"/>
      <c r="FI276" s="274"/>
      <c r="FJ276" s="274"/>
      <c r="FK276" s="274"/>
      <c r="FL276" s="274"/>
      <c r="FM276" s="274"/>
      <c r="FN276" s="274"/>
      <c r="FO276" s="274"/>
      <c r="FP276" s="274"/>
      <c r="FQ276" s="274"/>
      <c r="FR276" s="274"/>
      <c r="FS276" s="274"/>
      <c r="FT276" s="274"/>
      <c r="FU276" s="274"/>
      <c r="FV276" s="274"/>
      <c r="FW276" s="274"/>
      <c r="FX276" s="274"/>
      <c r="FY276" s="274"/>
      <c r="FZ276" s="274"/>
      <c r="GA276" s="274"/>
      <c r="GB276" s="274"/>
      <c r="GC276" s="274"/>
      <c r="GD276" s="274"/>
      <c r="GE276" s="274"/>
      <c r="GF276" s="274"/>
      <c r="GG276" s="274"/>
      <c r="GH276" s="274"/>
      <c r="GI276" s="274"/>
      <c r="GJ276" s="274"/>
      <c r="GK276" s="274"/>
      <c r="GL276" s="274"/>
      <c r="GM276" s="274"/>
      <c r="GN276" s="274"/>
      <c r="GO276" s="274"/>
      <c r="GP276" s="274"/>
      <c r="GQ276" s="274"/>
      <c r="GR276" s="274"/>
      <c r="GS276" s="274"/>
      <c r="GT276" s="274"/>
      <c r="GU276" s="274"/>
      <c r="GV276" s="274"/>
      <c r="GW276" s="274"/>
      <c r="GX276" s="274"/>
      <c r="GY276" s="274"/>
      <c r="GZ276" s="274"/>
      <c r="HA276" s="274"/>
      <c r="HB276" s="274"/>
      <c r="HC276" s="274"/>
      <c r="HD276" s="274"/>
      <c r="HE276" s="274"/>
      <c r="HF276" s="274"/>
      <c r="HG276" s="274"/>
      <c r="HH276" s="274"/>
      <c r="HI276" s="274"/>
      <c r="HJ276" s="274"/>
      <c r="HK276" s="274"/>
      <c r="HL276" s="274"/>
      <c r="HM276" s="274"/>
      <c r="HN276" s="274"/>
      <c r="HO276" s="274"/>
      <c r="HP276" s="274"/>
      <c r="HQ276" s="274"/>
      <c r="HR276" s="274"/>
      <c r="HS276" s="274"/>
      <c r="HT276" s="274"/>
      <c r="HU276" s="274"/>
      <c r="HV276" s="274"/>
      <c r="HW276" s="274"/>
      <c r="HX276" s="274"/>
      <c r="HY276" s="274"/>
      <c r="HZ276" s="274"/>
      <c r="IA276" s="274"/>
      <c r="IB276" s="274"/>
      <c r="IC276" s="274"/>
      <c r="ID276" s="274"/>
      <c r="IE276" s="274"/>
      <c r="IF276" s="274"/>
      <c r="IG276" s="274"/>
      <c r="IH276" s="274"/>
      <c r="II276" s="274"/>
      <c r="IJ276" s="274"/>
      <c r="IK276" s="274"/>
      <c r="IL276" s="274"/>
      <c r="IM276" s="274"/>
      <c r="IN276" s="274"/>
      <c r="IO276" s="274"/>
      <c r="IP276" s="274"/>
      <c r="IQ276" s="274"/>
      <c r="IR276" s="274"/>
      <c r="IS276" s="274"/>
      <c r="IT276" s="274"/>
      <c r="IU276" s="274"/>
      <c r="IV276" s="274"/>
      <c r="IW276" s="274"/>
      <c r="IX276" s="274"/>
      <c r="IY276" s="274"/>
      <c r="IZ276" s="274"/>
      <c r="JA276" s="274"/>
      <c r="JB276" s="274"/>
      <c r="JC276" s="274"/>
      <c r="JD276" s="274"/>
      <c r="JE276" s="274"/>
      <c r="JF276" s="274"/>
      <c r="JG276" s="274"/>
      <c r="JH276" s="274"/>
      <c r="JI276" s="274"/>
      <c r="JJ276" s="274"/>
      <c r="JK276" s="274"/>
      <c r="JL276" s="274"/>
      <c r="JM276" s="274"/>
      <c r="JN276" s="274"/>
      <c r="JO276" s="274"/>
      <c r="JP276" s="274"/>
      <c r="JQ276" s="274"/>
      <c r="JR276" s="274"/>
      <c r="JS276" s="274"/>
      <c r="JT276" s="274"/>
      <c r="JU276" s="274"/>
      <c r="JV276" s="274"/>
      <c r="JW276" s="274"/>
      <c r="JX276" s="274"/>
      <c r="JY276" s="274"/>
      <c r="JZ276" s="274"/>
      <c r="KA276" s="274"/>
      <c r="KB276" s="274"/>
      <c r="KC276" s="274"/>
      <c r="KD276" s="274"/>
      <c r="KE276" s="274"/>
      <c r="KF276" s="274"/>
      <c r="KG276" s="274"/>
      <c r="KH276" s="274"/>
      <c r="KI276" s="274"/>
      <c r="KJ276" s="274"/>
      <c r="KK276" s="274"/>
      <c r="KL276" s="274"/>
      <c r="KM276" s="274"/>
      <c r="KN276" s="274"/>
      <c r="KO276" s="274"/>
      <c r="KP276" s="274"/>
      <c r="KQ276" s="274"/>
      <c r="KR276" s="274"/>
      <c r="KS276" s="274"/>
      <c r="KT276" s="274"/>
      <c r="KU276" s="274"/>
      <c r="KV276" s="274"/>
      <c r="KW276" s="274"/>
      <c r="KX276" s="274"/>
      <c r="KY276" s="274"/>
      <c r="KZ276" s="274"/>
      <c r="LA276" s="274"/>
      <c r="LB276" s="274"/>
      <c r="LC276" s="274"/>
      <c r="LD276" s="274"/>
      <c r="LE276" s="274"/>
      <c r="LF276" s="274"/>
      <c r="LG276" s="274"/>
      <c r="LH276" s="274"/>
      <c r="LI276" s="274"/>
      <c r="LJ276" s="274"/>
      <c r="LK276" s="274"/>
      <c r="LL276" s="274"/>
      <c r="LM276" s="274"/>
      <c r="LN276" s="274"/>
      <c r="LO276" s="274"/>
      <c r="LP276" s="274"/>
      <c r="LQ276" s="274"/>
      <c r="LR276" s="274"/>
      <c r="LS276" s="274"/>
      <c r="LT276" s="274"/>
      <c r="LU276" s="274"/>
      <c r="LV276" s="274"/>
      <c r="LW276" s="274"/>
      <c r="LX276" s="274"/>
      <c r="LY276" s="274"/>
      <c r="LZ276" s="274"/>
      <c r="MA276" s="274"/>
      <c r="MB276" s="274"/>
      <c r="MC276" s="274"/>
      <c r="MD276" s="274"/>
      <c r="ME276" s="274"/>
      <c r="MF276" s="274"/>
      <c r="MG276" s="274"/>
      <c r="MH276" s="274"/>
      <c r="MI276" s="274"/>
      <c r="MJ276" s="274"/>
      <c r="MK276" s="274"/>
      <c r="ML276" s="274"/>
      <c r="MM276" s="274"/>
      <c r="MN276" s="274"/>
      <c r="MO276" s="274"/>
      <c r="MP276" s="274"/>
      <c r="MQ276" s="274"/>
      <c r="MR276" s="274"/>
      <c r="MS276" s="274"/>
      <c r="MT276" s="274"/>
      <c r="MU276" s="274"/>
      <c r="MV276" s="274"/>
      <c r="MW276" s="274"/>
      <c r="MX276" s="274"/>
      <c r="MY276" s="274"/>
      <c r="MZ276" s="274"/>
      <c r="NA276" s="274"/>
      <c r="NB276" s="274"/>
      <c r="NC276" s="274"/>
      <c r="ND276" s="274"/>
      <c r="NE276" s="274"/>
      <c r="NF276" s="274"/>
      <c r="NG276" s="274"/>
      <c r="NH276" s="274"/>
      <c r="NI276" s="274"/>
      <c r="NJ276" s="274"/>
      <c r="NK276" s="274"/>
      <c r="NL276" s="274"/>
      <c r="NM276" s="274"/>
      <c r="NN276" s="274"/>
      <c r="NO276" s="274"/>
      <c r="NP276" s="274"/>
      <c r="NQ276" s="274"/>
      <c r="NR276" s="274"/>
      <c r="NS276" s="274"/>
      <c r="NT276" s="274"/>
      <c r="NU276" s="274"/>
      <c r="NV276" s="274"/>
      <c r="NW276" s="274"/>
      <c r="NX276" s="274"/>
      <c r="NY276" s="274"/>
      <c r="NZ276" s="274"/>
      <c r="OA276" s="274"/>
      <c r="OB276" s="274"/>
      <c r="OC276" s="274"/>
      <c r="OD276" s="274"/>
      <c r="OE276" s="274"/>
      <c r="OF276" s="274"/>
      <c r="OG276" s="274"/>
      <c r="OH276" s="274"/>
      <c r="OI276" s="274"/>
      <c r="OJ276" s="274"/>
      <c r="OK276" s="274"/>
      <c r="OL276" s="274"/>
      <c r="OM276" s="274"/>
      <c r="ON276" s="274"/>
      <c r="OO276" s="274"/>
      <c r="OP276" s="274"/>
      <c r="OQ276" s="274"/>
      <c r="OR276" s="274"/>
      <c r="OS276" s="274"/>
      <c r="OT276" s="274"/>
      <c r="OU276" s="274"/>
      <c r="OV276" s="274"/>
      <c r="OW276" s="274"/>
      <c r="OX276" s="274"/>
      <c r="OY276" s="274"/>
      <c r="OZ276" s="274"/>
      <c r="PA276" s="274"/>
      <c r="PB276" s="274"/>
      <c r="PC276" s="274"/>
      <c r="PD276" s="274"/>
      <c r="PE276" s="274"/>
      <c r="PF276" s="274"/>
      <c r="PG276" s="274"/>
      <c r="PH276" s="274"/>
      <c r="PI276" s="274"/>
      <c r="PJ276" s="274"/>
      <c r="PK276" s="274"/>
      <c r="PL276" s="274"/>
      <c r="PM276" s="274"/>
      <c r="PN276" s="274"/>
      <c r="PO276" s="274"/>
      <c r="PP276" s="274"/>
      <c r="PQ276" s="274"/>
      <c r="PR276" s="274"/>
      <c r="PS276" s="274"/>
      <c r="PT276" s="274"/>
      <c r="PU276" s="274"/>
      <c r="PV276" s="274"/>
      <c r="PW276" s="274"/>
      <c r="PX276" s="274"/>
      <c r="PY276" s="274"/>
      <c r="PZ276" s="274"/>
      <c r="QA276" s="274"/>
      <c r="QB276" s="274"/>
      <c r="QC276" s="274"/>
      <c r="QD276" s="274"/>
      <c r="QE276" s="274"/>
      <c r="QF276" s="274"/>
      <c r="QG276" s="274"/>
      <c r="QH276" s="274"/>
      <c r="QI276" s="274"/>
      <c r="QJ276" s="274"/>
      <c r="QK276" s="274"/>
      <c r="QL276" s="274"/>
      <c r="QM276" s="274"/>
      <c r="QN276" s="274"/>
      <c r="QO276" s="274"/>
      <c r="QP276" s="274"/>
      <c r="QQ276" s="274"/>
      <c r="QR276" s="274"/>
      <c r="QS276" s="274"/>
      <c r="QT276" s="274"/>
      <c r="QU276" s="274"/>
      <c r="QV276" s="274"/>
      <c r="QW276" s="274"/>
      <c r="QX276" s="274"/>
      <c r="QY276" s="274"/>
      <c r="QZ276" s="274"/>
      <c r="RA276" s="274"/>
      <c r="RB276" s="274"/>
      <c r="RC276" s="274"/>
    </row>
    <row r="277" spans="112:471" ht="17.25">
      <c r="DH277" s="274"/>
      <c r="DI277" s="274"/>
      <c r="DJ277" s="978"/>
      <c r="DK277" s="978"/>
      <c r="DL277" s="978"/>
      <c r="DM277" s="978"/>
      <c r="DN277" s="978"/>
      <c r="DO277" s="978"/>
      <c r="DP277" s="978"/>
      <c r="DQ277" s="978"/>
      <c r="DR277" s="978"/>
      <c r="DS277" s="978"/>
      <c r="DT277" s="978"/>
      <c r="DU277" s="978"/>
      <c r="DV277" s="978"/>
      <c r="DW277" s="978"/>
      <c r="DX277" s="978"/>
      <c r="DY277" s="978"/>
      <c r="DZ277" s="978"/>
      <c r="EA277" s="978"/>
      <c r="EB277" s="978"/>
      <c r="EC277" s="978"/>
      <c r="ED277" s="978"/>
      <c r="EE277" s="978"/>
      <c r="EF277" s="978"/>
      <c r="EG277" s="978"/>
      <c r="EH277" s="978"/>
      <c r="EI277" s="978"/>
      <c r="EJ277" s="978"/>
      <c r="EK277" s="978"/>
      <c r="EL277" s="978"/>
      <c r="EM277" s="978"/>
      <c r="EN277" s="978"/>
      <c r="EO277" s="978"/>
      <c r="EP277" s="978"/>
      <c r="EQ277" s="978"/>
      <c r="ER277" s="978"/>
      <c r="ES277" s="978"/>
      <c r="ET277" s="978"/>
      <c r="EU277" s="978"/>
      <c r="EV277" s="978"/>
      <c r="EW277" s="978"/>
      <c r="EX277" s="978"/>
      <c r="EY277" s="978"/>
      <c r="EZ277" s="978"/>
      <c r="FA277" s="978"/>
      <c r="FB277" s="978"/>
      <c r="FC277" s="978"/>
      <c r="FD277" s="978"/>
      <c r="FE277" s="978"/>
      <c r="FF277" s="978"/>
      <c r="FG277" s="978"/>
      <c r="FH277" s="978"/>
      <c r="FI277" s="978"/>
      <c r="FJ277" s="978"/>
      <c r="FK277" s="978"/>
      <c r="FL277" s="978"/>
      <c r="FM277" s="978"/>
      <c r="FN277" s="978"/>
      <c r="FO277" s="978"/>
      <c r="FP277" s="978"/>
      <c r="FQ277" s="978"/>
      <c r="FR277" s="978"/>
      <c r="FS277" s="978"/>
      <c r="FT277" s="978"/>
      <c r="FU277" s="978"/>
      <c r="FV277" s="978"/>
      <c r="FW277" s="978"/>
      <c r="FX277" s="978"/>
      <c r="FY277" s="978"/>
      <c r="FZ277" s="978"/>
      <c r="GA277" s="978"/>
      <c r="GB277" s="978"/>
      <c r="GC277" s="978"/>
      <c r="GD277" s="978"/>
      <c r="GE277" s="978"/>
      <c r="GF277" s="978"/>
      <c r="GG277" s="978"/>
      <c r="GH277" s="978"/>
      <c r="GI277" s="978"/>
      <c r="GJ277" s="978"/>
      <c r="GK277" s="978"/>
      <c r="GL277" s="978"/>
      <c r="GM277" s="978"/>
      <c r="GN277" s="978"/>
      <c r="GO277" s="978"/>
      <c r="GP277" s="978"/>
      <c r="GQ277" s="978"/>
      <c r="GR277" s="978"/>
      <c r="GS277" s="978"/>
      <c r="GT277" s="978"/>
      <c r="GU277" s="978"/>
      <c r="GV277" s="978"/>
      <c r="GW277" s="978"/>
      <c r="GX277" s="978"/>
      <c r="GY277" s="978"/>
      <c r="GZ277" s="978"/>
      <c r="HA277" s="978"/>
      <c r="HB277" s="978"/>
      <c r="HC277" s="978"/>
      <c r="HD277" s="978"/>
      <c r="HE277" s="978"/>
      <c r="HF277" s="978"/>
      <c r="HG277" s="978"/>
      <c r="HH277" s="978"/>
      <c r="HI277" s="978"/>
      <c r="HJ277" s="978"/>
      <c r="HK277" s="978"/>
      <c r="HL277" s="978"/>
      <c r="HM277" s="978"/>
      <c r="HN277" s="978"/>
      <c r="HO277" s="978"/>
      <c r="HP277" s="978"/>
      <c r="HQ277" s="978"/>
      <c r="HR277" s="978"/>
      <c r="HS277" s="978"/>
      <c r="HT277" s="978"/>
      <c r="HU277" s="978"/>
      <c r="HV277" s="978"/>
      <c r="HW277" s="978"/>
      <c r="HX277" s="978"/>
      <c r="HY277" s="978"/>
      <c r="HZ277" s="978"/>
      <c r="IA277" s="978"/>
      <c r="IB277" s="978"/>
      <c r="IC277" s="978"/>
      <c r="ID277" s="978"/>
      <c r="IE277" s="978"/>
      <c r="IF277" s="978"/>
      <c r="IG277" s="978"/>
      <c r="IH277" s="978"/>
      <c r="II277" s="978"/>
      <c r="IJ277" s="978"/>
      <c r="IK277" s="978"/>
      <c r="IL277" s="978"/>
      <c r="IM277" s="978"/>
      <c r="IN277" s="978"/>
      <c r="IO277" s="978"/>
      <c r="IP277" s="978"/>
      <c r="IQ277" s="978"/>
      <c r="IR277" s="978"/>
      <c r="IS277" s="978"/>
      <c r="IT277" s="978"/>
      <c r="IU277" s="978"/>
      <c r="IV277" s="978"/>
      <c r="IW277" s="978"/>
      <c r="IX277" s="978"/>
      <c r="IY277" s="978"/>
      <c r="IZ277" s="978"/>
      <c r="JA277" s="978"/>
      <c r="JB277" s="978"/>
      <c r="JC277" s="978"/>
      <c r="JD277" s="978"/>
      <c r="JE277" s="978"/>
      <c r="JF277" s="978"/>
      <c r="JG277" s="978"/>
      <c r="JH277" s="978"/>
      <c r="JI277" s="978"/>
      <c r="JJ277" s="978"/>
      <c r="JK277" s="978"/>
      <c r="JL277" s="978"/>
      <c r="JM277" s="978"/>
      <c r="JN277" s="978"/>
      <c r="JO277" s="978"/>
      <c r="JP277" s="978"/>
      <c r="JQ277" s="978"/>
      <c r="JR277" s="978"/>
      <c r="JS277" s="978"/>
      <c r="JT277" s="978"/>
      <c r="JU277" s="978"/>
      <c r="JV277" s="978"/>
      <c r="JW277" s="978"/>
      <c r="JX277" s="978"/>
      <c r="JY277" s="978"/>
      <c r="JZ277" s="978"/>
      <c r="KA277" s="978"/>
      <c r="KB277" s="978"/>
      <c r="KC277" s="978"/>
      <c r="KD277" s="978"/>
      <c r="KE277" s="978"/>
      <c r="KF277" s="978"/>
      <c r="KG277" s="978"/>
      <c r="KH277" s="978"/>
      <c r="KI277" s="978"/>
      <c r="KJ277" s="978"/>
      <c r="KK277" s="978"/>
      <c r="KL277" s="978"/>
      <c r="KM277" s="978"/>
      <c r="KN277" s="978"/>
      <c r="KO277" s="978"/>
      <c r="KP277" s="978"/>
      <c r="KQ277" s="978"/>
      <c r="KR277" s="978"/>
      <c r="KS277" s="978"/>
      <c r="KT277" s="978"/>
      <c r="KU277" s="978"/>
      <c r="KV277" s="978"/>
      <c r="KW277" s="978"/>
      <c r="KX277" s="978"/>
      <c r="KY277" s="978"/>
      <c r="KZ277" s="978"/>
      <c r="LA277" s="978"/>
      <c r="LB277" s="978"/>
      <c r="LC277" s="978"/>
      <c r="LD277" s="978"/>
      <c r="LE277" s="978"/>
      <c r="LF277" s="978"/>
      <c r="LG277" s="978"/>
      <c r="LH277" s="978"/>
      <c r="LI277" s="978"/>
      <c r="LJ277" s="978"/>
      <c r="LK277" s="978"/>
      <c r="LL277" s="978"/>
      <c r="LM277" s="978"/>
      <c r="LN277" s="978"/>
      <c r="LO277" s="978"/>
      <c r="LP277" s="978"/>
      <c r="LQ277" s="978"/>
      <c r="LR277" s="978"/>
      <c r="LS277" s="978"/>
      <c r="LT277" s="978"/>
      <c r="LU277" s="978"/>
      <c r="LV277" s="978"/>
      <c r="LW277" s="978"/>
      <c r="LX277" s="978"/>
      <c r="LY277" s="978"/>
      <c r="LZ277" s="978"/>
      <c r="MA277" s="978"/>
      <c r="MB277" s="978"/>
      <c r="MC277" s="978"/>
      <c r="MD277" s="978"/>
      <c r="ME277" s="978"/>
      <c r="MF277" s="978"/>
      <c r="MG277" s="978"/>
      <c r="MH277" s="978"/>
      <c r="MI277" s="978"/>
      <c r="MJ277" s="978"/>
      <c r="MK277" s="978"/>
      <c r="ML277" s="978"/>
      <c r="MM277" s="978"/>
      <c r="MN277" s="978"/>
      <c r="MO277" s="978"/>
      <c r="MP277" s="978"/>
      <c r="MQ277" s="978"/>
      <c r="MR277" s="978"/>
      <c r="MS277" s="978"/>
      <c r="MT277" s="978"/>
      <c r="MU277" s="978"/>
      <c r="MV277" s="978"/>
      <c r="MW277" s="978"/>
      <c r="MX277" s="978"/>
      <c r="MY277" s="978"/>
      <c r="MZ277" s="978"/>
      <c r="NA277" s="978"/>
      <c r="NB277" s="978"/>
      <c r="NC277" s="978"/>
      <c r="ND277" s="978"/>
      <c r="NE277" s="978"/>
      <c r="NF277" s="978"/>
      <c r="NG277" s="978"/>
      <c r="NH277" s="978"/>
      <c r="NI277" s="978"/>
      <c r="NJ277" s="978"/>
      <c r="NK277" s="978"/>
      <c r="NL277" s="978"/>
      <c r="NM277" s="978"/>
      <c r="NN277" s="978"/>
      <c r="NO277" s="978"/>
      <c r="NP277" s="978"/>
      <c r="NQ277" s="978"/>
      <c r="NR277" s="978"/>
      <c r="NS277" s="978"/>
      <c r="NT277" s="978"/>
      <c r="NU277" s="978"/>
      <c r="NV277" s="978"/>
      <c r="NW277" s="978"/>
      <c r="NX277" s="978"/>
      <c r="NY277" s="978"/>
      <c r="NZ277" s="978"/>
      <c r="OA277" s="978"/>
      <c r="OB277" s="978"/>
      <c r="OC277" s="978"/>
      <c r="OD277" s="978"/>
      <c r="OE277" s="978"/>
      <c r="OF277" s="978"/>
      <c r="OG277" s="978"/>
      <c r="OH277" s="978"/>
      <c r="OI277" s="978"/>
      <c r="OJ277" s="978"/>
      <c r="OK277" s="978"/>
      <c r="OL277" s="978"/>
      <c r="OM277" s="978"/>
      <c r="ON277" s="978"/>
      <c r="OO277" s="978"/>
      <c r="OP277" s="978"/>
      <c r="OQ277" s="978"/>
      <c r="OR277" s="978"/>
      <c r="OS277" s="978"/>
      <c r="OT277" s="978"/>
      <c r="OU277" s="978"/>
      <c r="OV277" s="978"/>
      <c r="OW277" s="978"/>
      <c r="OX277" s="978"/>
      <c r="OY277" s="978"/>
      <c r="OZ277" s="978"/>
      <c r="PA277" s="978"/>
      <c r="PB277" s="978"/>
      <c r="PC277" s="978"/>
      <c r="PD277" s="978"/>
      <c r="PE277" s="978"/>
      <c r="PF277" s="978"/>
      <c r="PG277" s="978"/>
      <c r="PH277" s="978"/>
      <c r="PI277" s="978"/>
      <c r="PJ277" s="978"/>
      <c r="PK277" s="978"/>
      <c r="PL277" s="978"/>
      <c r="PM277" s="978"/>
      <c r="PN277" s="978"/>
      <c r="PO277" s="978"/>
      <c r="PP277" s="978"/>
      <c r="PQ277" s="978"/>
      <c r="PR277" s="978"/>
      <c r="PS277" s="978"/>
      <c r="PT277" s="978"/>
      <c r="PU277" s="978"/>
      <c r="PV277" s="978"/>
      <c r="PW277" s="978"/>
      <c r="PX277" s="978"/>
      <c r="PY277" s="978"/>
      <c r="PZ277" s="978"/>
      <c r="QA277" s="978"/>
      <c r="QB277" s="978"/>
      <c r="QC277" s="978"/>
      <c r="QD277" s="978"/>
      <c r="QE277" s="978"/>
      <c r="QF277" s="978"/>
      <c r="QG277" s="978"/>
      <c r="QH277" s="978"/>
      <c r="QI277" s="978"/>
      <c r="QJ277" s="978"/>
      <c r="QK277" s="978"/>
      <c r="QL277" s="978"/>
      <c r="QM277" s="978"/>
      <c r="QN277" s="978"/>
      <c r="QO277" s="978"/>
      <c r="QP277" s="978"/>
      <c r="QQ277" s="978"/>
      <c r="QR277" s="978"/>
      <c r="QS277" s="978"/>
      <c r="QT277" s="978"/>
      <c r="QU277" s="978"/>
      <c r="QV277" s="978"/>
      <c r="QW277" s="978"/>
      <c r="QX277" s="978"/>
      <c r="QY277" s="978"/>
      <c r="QZ277" s="978"/>
      <c r="RA277" s="978"/>
      <c r="RB277" s="274"/>
      <c r="RC277" s="274"/>
    </row>
    <row r="278" spans="112:471" ht="17.25">
      <c r="DH278" s="274"/>
      <c r="DI278" s="274"/>
      <c r="DJ278" s="978"/>
      <c r="DK278" s="978"/>
      <c r="DL278" s="978"/>
      <c r="DM278" s="978"/>
      <c r="DN278" s="978"/>
      <c r="DO278" s="978"/>
      <c r="DP278" s="978"/>
      <c r="DQ278" s="978"/>
      <c r="DR278" s="978"/>
      <c r="DS278" s="978"/>
      <c r="DT278" s="978"/>
      <c r="DU278" s="978"/>
      <c r="DV278" s="978"/>
      <c r="DW278" s="978"/>
      <c r="DX278" s="978"/>
      <c r="DY278" s="978"/>
      <c r="DZ278" s="978"/>
      <c r="EA278" s="978"/>
      <c r="EB278" s="978"/>
      <c r="EC278" s="978"/>
      <c r="ED278" s="978"/>
      <c r="EE278" s="978"/>
      <c r="EF278" s="978"/>
      <c r="EG278" s="978"/>
      <c r="EH278" s="978"/>
      <c r="EI278" s="978"/>
      <c r="EJ278" s="978"/>
      <c r="EK278" s="978"/>
      <c r="EL278" s="978"/>
      <c r="EM278" s="978"/>
      <c r="EN278" s="978"/>
      <c r="EO278" s="978"/>
      <c r="EP278" s="978"/>
      <c r="EQ278" s="978"/>
      <c r="ER278" s="978"/>
      <c r="ES278" s="978"/>
      <c r="ET278" s="978"/>
      <c r="EU278" s="978"/>
      <c r="EV278" s="978"/>
      <c r="EW278" s="978"/>
      <c r="EX278" s="978"/>
      <c r="EY278" s="978"/>
      <c r="EZ278" s="978"/>
      <c r="FA278" s="978"/>
      <c r="FB278" s="978"/>
      <c r="FC278" s="978"/>
      <c r="FD278" s="978"/>
      <c r="FE278" s="978"/>
      <c r="FF278" s="978"/>
      <c r="FG278" s="978"/>
      <c r="FH278" s="978"/>
      <c r="FI278" s="978"/>
      <c r="FJ278" s="978"/>
      <c r="FK278" s="978"/>
      <c r="FL278" s="978"/>
      <c r="FM278" s="978"/>
      <c r="FN278" s="978"/>
      <c r="FO278" s="978"/>
      <c r="FP278" s="978"/>
      <c r="FQ278" s="978"/>
      <c r="FR278" s="978"/>
      <c r="FS278" s="978"/>
      <c r="FT278" s="978"/>
      <c r="FU278" s="978"/>
      <c r="FV278" s="978"/>
      <c r="FW278" s="978"/>
      <c r="FX278" s="978"/>
      <c r="FY278" s="978"/>
      <c r="FZ278" s="978"/>
      <c r="GA278" s="978"/>
      <c r="GB278" s="978"/>
      <c r="GC278" s="978"/>
      <c r="GD278" s="978"/>
      <c r="GE278" s="978"/>
      <c r="GF278" s="978"/>
      <c r="GG278" s="978"/>
      <c r="GH278" s="978"/>
      <c r="GI278" s="978"/>
      <c r="GJ278" s="978"/>
      <c r="GK278" s="978"/>
      <c r="GL278" s="978"/>
      <c r="GM278" s="978"/>
      <c r="GN278" s="978"/>
      <c r="GO278" s="978"/>
      <c r="GP278" s="978"/>
      <c r="GQ278" s="978"/>
      <c r="GR278" s="978"/>
      <c r="GS278" s="978"/>
      <c r="GT278" s="978"/>
      <c r="GU278" s="978"/>
      <c r="GV278" s="978"/>
      <c r="GW278" s="978"/>
      <c r="GX278" s="978"/>
      <c r="GY278" s="978"/>
      <c r="GZ278" s="978"/>
      <c r="HA278" s="978"/>
      <c r="HB278" s="978"/>
      <c r="HC278" s="978"/>
      <c r="HD278" s="978"/>
      <c r="HE278" s="978"/>
      <c r="HF278" s="978"/>
      <c r="HG278" s="978"/>
      <c r="HH278" s="978"/>
      <c r="HI278" s="978"/>
      <c r="HJ278" s="978"/>
      <c r="HK278" s="978"/>
      <c r="HL278" s="978"/>
      <c r="HM278" s="978"/>
      <c r="HN278" s="978"/>
      <c r="HO278" s="978"/>
      <c r="HP278" s="978"/>
      <c r="HQ278" s="978"/>
      <c r="HR278" s="978"/>
      <c r="HS278" s="978"/>
      <c r="HT278" s="978"/>
      <c r="HU278" s="978"/>
      <c r="HV278" s="978"/>
      <c r="HW278" s="978"/>
      <c r="HX278" s="978"/>
      <c r="HY278" s="978"/>
      <c r="HZ278" s="978"/>
      <c r="IA278" s="978"/>
      <c r="IB278" s="978"/>
      <c r="IC278" s="978"/>
      <c r="ID278" s="978"/>
      <c r="IE278" s="978"/>
      <c r="IF278" s="978"/>
      <c r="IG278" s="978"/>
      <c r="IH278" s="978"/>
      <c r="II278" s="978"/>
      <c r="IJ278" s="978"/>
      <c r="IK278" s="978"/>
      <c r="IL278" s="978"/>
      <c r="IM278" s="978"/>
      <c r="IN278" s="978"/>
      <c r="IO278" s="978"/>
      <c r="IP278" s="978"/>
      <c r="IQ278" s="978"/>
      <c r="IR278" s="978"/>
      <c r="IS278" s="978"/>
      <c r="IT278" s="978"/>
      <c r="IU278" s="978"/>
      <c r="IV278" s="978"/>
      <c r="IW278" s="978"/>
      <c r="IX278" s="978"/>
      <c r="IY278" s="978"/>
      <c r="IZ278" s="978"/>
      <c r="JA278" s="978"/>
      <c r="JB278" s="978"/>
      <c r="JC278" s="978"/>
      <c r="JD278" s="978"/>
      <c r="JE278" s="978"/>
      <c r="JF278" s="978"/>
      <c r="JG278" s="978"/>
      <c r="JH278" s="978"/>
      <c r="JI278" s="978"/>
      <c r="JJ278" s="978"/>
      <c r="JK278" s="978"/>
      <c r="JL278" s="978"/>
      <c r="JM278" s="978"/>
      <c r="JN278" s="978"/>
      <c r="JO278" s="978"/>
      <c r="JP278" s="978"/>
      <c r="JQ278" s="978"/>
      <c r="JR278" s="978"/>
      <c r="JS278" s="978"/>
      <c r="JT278" s="978"/>
      <c r="JU278" s="978"/>
      <c r="JV278" s="978"/>
      <c r="JW278" s="978"/>
      <c r="JX278" s="978"/>
      <c r="JY278" s="978"/>
      <c r="JZ278" s="978"/>
      <c r="KA278" s="978"/>
      <c r="KB278" s="978"/>
      <c r="KC278" s="978"/>
      <c r="KD278" s="978"/>
      <c r="KE278" s="978"/>
      <c r="KF278" s="978"/>
      <c r="KG278" s="978"/>
      <c r="KH278" s="978"/>
      <c r="KI278" s="978"/>
      <c r="KJ278" s="978"/>
      <c r="KK278" s="978"/>
      <c r="KL278" s="978"/>
      <c r="KM278" s="978"/>
      <c r="KN278" s="978"/>
      <c r="KO278" s="978"/>
      <c r="KP278" s="978"/>
      <c r="KQ278" s="978"/>
      <c r="KR278" s="978"/>
      <c r="KS278" s="978"/>
      <c r="KT278" s="978"/>
      <c r="KU278" s="978"/>
      <c r="KV278" s="978"/>
      <c r="KW278" s="978"/>
      <c r="KX278" s="978"/>
      <c r="KY278" s="978"/>
      <c r="KZ278" s="978"/>
      <c r="LA278" s="978"/>
      <c r="LB278" s="978"/>
      <c r="LC278" s="978"/>
      <c r="LD278" s="978"/>
      <c r="LE278" s="978"/>
      <c r="LF278" s="978"/>
      <c r="LG278" s="978"/>
      <c r="LH278" s="978"/>
      <c r="LI278" s="978"/>
      <c r="LJ278" s="978"/>
      <c r="LK278" s="978"/>
      <c r="LL278" s="978"/>
      <c r="LM278" s="978"/>
      <c r="LN278" s="978"/>
      <c r="LO278" s="978"/>
      <c r="LP278" s="978"/>
      <c r="LQ278" s="978"/>
      <c r="LR278" s="978"/>
      <c r="LS278" s="978"/>
      <c r="LT278" s="978"/>
      <c r="LU278" s="978"/>
      <c r="LV278" s="978"/>
      <c r="LW278" s="978"/>
      <c r="LX278" s="978"/>
      <c r="LY278" s="978"/>
      <c r="LZ278" s="978"/>
      <c r="MA278" s="978"/>
      <c r="MB278" s="978"/>
      <c r="MC278" s="978"/>
      <c r="MD278" s="978"/>
      <c r="ME278" s="978"/>
      <c r="MF278" s="978"/>
      <c r="MG278" s="978"/>
      <c r="MH278" s="978"/>
      <c r="MI278" s="978"/>
      <c r="MJ278" s="978"/>
      <c r="MK278" s="978"/>
      <c r="ML278" s="978"/>
      <c r="MM278" s="978"/>
      <c r="MN278" s="978"/>
      <c r="MO278" s="978"/>
      <c r="MP278" s="978"/>
      <c r="MQ278" s="978"/>
      <c r="MR278" s="978"/>
      <c r="MS278" s="978"/>
      <c r="MT278" s="978"/>
      <c r="MU278" s="978"/>
      <c r="MV278" s="978"/>
      <c r="MW278" s="978"/>
      <c r="MX278" s="978"/>
      <c r="MY278" s="978"/>
      <c r="MZ278" s="978"/>
      <c r="NA278" s="978"/>
      <c r="NB278" s="978"/>
      <c r="NC278" s="978"/>
      <c r="ND278" s="978"/>
      <c r="NE278" s="978"/>
      <c r="NF278" s="978"/>
      <c r="NG278" s="978"/>
      <c r="NH278" s="978"/>
      <c r="NI278" s="978"/>
      <c r="NJ278" s="978"/>
      <c r="NK278" s="978"/>
      <c r="NL278" s="978"/>
      <c r="NM278" s="978"/>
      <c r="NN278" s="978"/>
      <c r="NO278" s="978"/>
      <c r="NP278" s="978"/>
      <c r="NQ278" s="978"/>
      <c r="NR278" s="978"/>
      <c r="NS278" s="978"/>
      <c r="NT278" s="978"/>
      <c r="NU278" s="978"/>
      <c r="NV278" s="978"/>
      <c r="NW278" s="978"/>
      <c r="NX278" s="978"/>
      <c r="NY278" s="978"/>
      <c r="NZ278" s="978"/>
      <c r="OA278" s="978"/>
      <c r="OB278" s="978"/>
      <c r="OC278" s="978"/>
      <c r="OD278" s="978"/>
      <c r="OE278" s="978"/>
      <c r="OF278" s="978"/>
      <c r="OG278" s="978"/>
      <c r="OH278" s="978"/>
      <c r="OI278" s="978"/>
      <c r="OJ278" s="978"/>
      <c r="OK278" s="978"/>
      <c r="OL278" s="978"/>
      <c r="OM278" s="978"/>
      <c r="ON278" s="978"/>
      <c r="OO278" s="978"/>
      <c r="OP278" s="978"/>
      <c r="OQ278" s="978"/>
      <c r="OR278" s="978"/>
      <c r="OS278" s="978"/>
      <c r="OT278" s="978"/>
      <c r="OU278" s="978"/>
      <c r="OV278" s="978"/>
      <c r="OW278" s="978"/>
      <c r="OX278" s="978"/>
      <c r="OY278" s="978"/>
      <c r="OZ278" s="978"/>
      <c r="PA278" s="978"/>
      <c r="PB278" s="978"/>
      <c r="PC278" s="978"/>
      <c r="PD278" s="978"/>
      <c r="PE278" s="978"/>
      <c r="PF278" s="978"/>
      <c r="PG278" s="978"/>
      <c r="PH278" s="978"/>
      <c r="PI278" s="978"/>
      <c r="PJ278" s="978"/>
      <c r="PK278" s="978"/>
      <c r="PL278" s="978"/>
      <c r="PM278" s="978"/>
      <c r="PN278" s="978"/>
      <c r="PO278" s="978"/>
      <c r="PP278" s="978"/>
      <c r="PQ278" s="978"/>
      <c r="PR278" s="978"/>
      <c r="PS278" s="978"/>
      <c r="PT278" s="978"/>
      <c r="PU278" s="978"/>
      <c r="PV278" s="978"/>
      <c r="PW278" s="978"/>
      <c r="PX278" s="978"/>
      <c r="PY278" s="978"/>
      <c r="PZ278" s="978"/>
      <c r="QA278" s="978"/>
      <c r="QB278" s="978"/>
      <c r="QC278" s="978"/>
      <c r="QD278" s="978"/>
      <c r="QE278" s="978"/>
      <c r="QF278" s="978"/>
      <c r="QG278" s="978"/>
      <c r="QH278" s="978"/>
      <c r="QI278" s="978"/>
      <c r="QJ278" s="978"/>
      <c r="QK278" s="978"/>
      <c r="QL278" s="978"/>
      <c r="QM278" s="978"/>
      <c r="QN278" s="978"/>
      <c r="QO278" s="978"/>
      <c r="QP278" s="978"/>
      <c r="QQ278" s="978"/>
      <c r="QR278" s="978"/>
      <c r="QS278" s="978"/>
      <c r="QT278" s="978"/>
      <c r="QU278" s="978"/>
      <c r="QV278" s="978"/>
      <c r="QW278" s="978"/>
      <c r="QX278" s="978"/>
      <c r="QY278" s="978"/>
      <c r="QZ278" s="978"/>
      <c r="RA278" s="978"/>
      <c r="RB278" s="274"/>
      <c r="RC278" s="274"/>
    </row>
    <row r="279" spans="112:471" ht="17.25">
      <c r="DH279" s="274"/>
      <c r="DI279" s="274"/>
      <c r="DJ279" s="978"/>
      <c r="DK279" s="978"/>
      <c r="DL279" s="978"/>
      <c r="DM279" s="978"/>
      <c r="DN279" s="978"/>
      <c r="DO279" s="978"/>
      <c r="DP279" s="978"/>
      <c r="DQ279" s="978"/>
      <c r="DR279" s="978"/>
      <c r="DS279" s="978"/>
      <c r="DT279" s="978"/>
      <c r="DU279" s="978"/>
      <c r="DV279" s="978"/>
      <c r="DW279" s="978"/>
      <c r="DX279" s="978"/>
      <c r="DY279" s="978"/>
      <c r="DZ279" s="978"/>
      <c r="EA279" s="978"/>
      <c r="EB279" s="978"/>
      <c r="EC279" s="978"/>
      <c r="ED279" s="978"/>
      <c r="EE279" s="978"/>
      <c r="EF279" s="978"/>
      <c r="EG279" s="978"/>
      <c r="EH279" s="978"/>
      <c r="EI279" s="978"/>
      <c r="EJ279" s="978"/>
      <c r="EK279" s="978"/>
      <c r="EL279" s="978"/>
      <c r="EM279" s="978"/>
      <c r="EN279" s="978"/>
      <c r="EO279" s="978"/>
      <c r="EP279" s="978"/>
      <c r="EQ279" s="978"/>
      <c r="ER279" s="978"/>
      <c r="ES279" s="978"/>
      <c r="ET279" s="978"/>
      <c r="EU279" s="978"/>
      <c r="EV279" s="978"/>
      <c r="EW279" s="978"/>
      <c r="EX279" s="978"/>
      <c r="EY279" s="978"/>
      <c r="EZ279" s="978"/>
      <c r="FA279" s="978"/>
      <c r="FB279" s="978"/>
      <c r="FC279" s="978"/>
      <c r="FD279" s="978"/>
      <c r="FE279" s="978"/>
      <c r="FF279" s="978"/>
      <c r="FG279" s="978"/>
      <c r="FH279" s="978"/>
      <c r="FI279" s="978"/>
      <c r="FJ279" s="978"/>
      <c r="FK279" s="978"/>
      <c r="FL279" s="978"/>
      <c r="FM279" s="978"/>
      <c r="FN279" s="978"/>
      <c r="FO279" s="978"/>
      <c r="FP279" s="978"/>
      <c r="FQ279" s="978"/>
      <c r="FR279" s="978"/>
      <c r="FS279" s="978"/>
      <c r="FT279" s="978"/>
      <c r="FU279" s="978"/>
      <c r="FV279" s="978"/>
      <c r="FW279" s="978"/>
      <c r="FX279" s="978"/>
      <c r="FY279" s="978"/>
      <c r="FZ279" s="978"/>
      <c r="GA279" s="978"/>
      <c r="GB279" s="978"/>
      <c r="GC279" s="978"/>
      <c r="GD279" s="978"/>
      <c r="GE279" s="978"/>
      <c r="GF279" s="978"/>
      <c r="GG279" s="978"/>
      <c r="GH279" s="978"/>
      <c r="GI279" s="978"/>
      <c r="GJ279" s="978"/>
      <c r="GK279" s="978"/>
      <c r="GL279" s="978"/>
      <c r="GM279" s="978"/>
      <c r="GN279" s="978"/>
      <c r="GO279" s="978"/>
      <c r="GP279" s="978"/>
      <c r="GQ279" s="978"/>
      <c r="GR279" s="978"/>
      <c r="GS279" s="978"/>
      <c r="GT279" s="978"/>
      <c r="GU279" s="978"/>
      <c r="GV279" s="978"/>
      <c r="GW279" s="978"/>
      <c r="GX279" s="978"/>
      <c r="GY279" s="978"/>
      <c r="GZ279" s="978"/>
      <c r="HA279" s="978"/>
      <c r="HB279" s="978"/>
      <c r="HC279" s="978"/>
      <c r="HD279" s="978"/>
      <c r="HE279" s="978"/>
      <c r="HF279" s="978"/>
      <c r="HG279" s="978"/>
      <c r="HH279" s="978"/>
      <c r="HI279" s="978"/>
      <c r="HJ279" s="978"/>
      <c r="HK279" s="978"/>
      <c r="HL279" s="978"/>
      <c r="HM279" s="978"/>
      <c r="HN279" s="978"/>
      <c r="HO279" s="978"/>
      <c r="HP279" s="978"/>
      <c r="HQ279" s="978"/>
      <c r="HR279" s="978"/>
      <c r="HS279" s="978"/>
      <c r="HT279" s="978"/>
      <c r="HU279" s="978"/>
      <c r="HV279" s="978"/>
      <c r="HW279" s="978"/>
      <c r="HX279" s="978"/>
      <c r="HY279" s="978"/>
      <c r="HZ279" s="978"/>
      <c r="IA279" s="978"/>
      <c r="IB279" s="978"/>
      <c r="IC279" s="978"/>
      <c r="ID279" s="978"/>
      <c r="IE279" s="978"/>
      <c r="IF279" s="978"/>
      <c r="IG279" s="978"/>
      <c r="IH279" s="978"/>
      <c r="II279" s="978"/>
      <c r="IJ279" s="978"/>
      <c r="IK279" s="978"/>
      <c r="IL279" s="978"/>
      <c r="IM279" s="978"/>
      <c r="IN279" s="978"/>
      <c r="IO279" s="978"/>
      <c r="IP279" s="978"/>
      <c r="IQ279" s="978"/>
      <c r="IR279" s="978"/>
      <c r="IS279" s="978"/>
      <c r="IT279" s="978"/>
      <c r="IU279" s="978"/>
      <c r="IV279" s="978"/>
      <c r="IW279" s="978"/>
      <c r="IX279" s="978"/>
      <c r="IY279" s="978"/>
      <c r="IZ279" s="978"/>
      <c r="JA279" s="978"/>
      <c r="JB279" s="978"/>
      <c r="JC279" s="978"/>
      <c r="JD279" s="978"/>
      <c r="JE279" s="978"/>
      <c r="JF279" s="978"/>
      <c r="JG279" s="978"/>
      <c r="JH279" s="978"/>
      <c r="JI279" s="978"/>
      <c r="JJ279" s="978"/>
      <c r="JK279" s="978"/>
      <c r="JL279" s="978"/>
      <c r="JM279" s="978"/>
      <c r="JN279" s="978"/>
      <c r="JO279" s="978"/>
      <c r="JP279" s="978"/>
      <c r="JQ279" s="978"/>
      <c r="JR279" s="978"/>
      <c r="JS279" s="978"/>
      <c r="JT279" s="978"/>
      <c r="JU279" s="978"/>
      <c r="JV279" s="978"/>
      <c r="JW279" s="978"/>
      <c r="JX279" s="978"/>
      <c r="JY279" s="978"/>
      <c r="JZ279" s="978"/>
      <c r="KA279" s="978"/>
      <c r="KB279" s="978"/>
      <c r="KC279" s="978"/>
      <c r="KD279" s="978"/>
      <c r="KE279" s="978"/>
      <c r="KF279" s="978"/>
      <c r="KG279" s="978"/>
      <c r="KH279" s="978"/>
      <c r="KI279" s="978"/>
      <c r="KJ279" s="978"/>
      <c r="KK279" s="978"/>
      <c r="KL279" s="978"/>
      <c r="KM279" s="978"/>
      <c r="KN279" s="978"/>
      <c r="KO279" s="978"/>
      <c r="KP279" s="978"/>
      <c r="KQ279" s="978"/>
      <c r="KR279" s="978"/>
      <c r="KS279" s="978"/>
      <c r="KT279" s="978"/>
      <c r="KU279" s="978"/>
      <c r="KV279" s="978"/>
      <c r="KW279" s="978"/>
      <c r="KX279" s="978"/>
      <c r="KY279" s="978"/>
      <c r="KZ279" s="978"/>
      <c r="LA279" s="978"/>
      <c r="LB279" s="978"/>
      <c r="LC279" s="978"/>
      <c r="LD279" s="978"/>
      <c r="LE279" s="978"/>
      <c r="LF279" s="978"/>
      <c r="LG279" s="978"/>
      <c r="LH279" s="978"/>
      <c r="LI279" s="978"/>
      <c r="LJ279" s="978"/>
      <c r="LK279" s="978"/>
      <c r="LL279" s="978"/>
      <c r="LM279" s="978"/>
      <c r="LN279" s="978"/>
      <c r="LO279" s="978"/>
      <c r="LP279" s="978"/>
      <c r="LQ279" s="978"/>
      <c r="LR279" s="978"/>
      <c r="LS279" s="978"/>
      <c r="LT279" s="978"/>
      <c r="LU279" s="978"/>
      <c r="LV279" s="978"/>
      <c r="LW279" s="978"/>
      <c r="LX279" s="978"/>
      <c r="LY279" s="978"/>
      <c r="LZ279" s="978"/>
      <c r="MA279" s="978"/>
      <c r="MB279" s="978"/>
      <c r="MC279" s="978"/>
      <c r="MD279" s="978"/>
      <c r="ME279" s="978"/>
      <c r="MF279" s="978"/>
      <c r="MG279" s="978"/>
      <c r="MH279" s="978"/>
      <c r="MI279" s="978"/>
      <c r="MJ279" s="978"/>
      <c r="MK279" s="978"/>
      <c r="ML279" s="978"/>
      <c r="MM279" s="978"/>
      <c r="MN279" s="978"/>
      <c r="MO279" s="978"/>
      <c r="MP279" s="978"/>
      <c r="MQ279" s="978"/>
      <c r="MR279" s="978"/>
      <c r="MS279" s="978"/>
      <c r="MT279" s="978"/>
      <c r="MU279" s="978"/>
      <c r="MV279" s="978"/>
      <c r="MW279" s="978"/>
      <c r="MX279" s="978"/>
      <c r="MY279" s="978"/>
      <c r="MZ279" s="978"/>
      <c r="NA279" s="978"/>
      <c r="NB279" s="978"/>
      <c r="NC279" s="978"/>
      <c r="ND279" s="978"/>
      <c r="NE279" s="978"/>
      <c r="NF279" s="978"/>
      <c r="NG279" s="978"/>
      <c r="NH279" s="978"/>
      <c r="NI279" s="978"/>
      <c r="NJ279" s="978"/>
      <c r="NK279" s="978"/>
      <c r="NL279" s="978"/>
      <c r="NM279" s="978"/>
      <c r="NN279" s="978"/>
      <c r="NO279" s="978"/>
      <c r="NP279" s="978"/>
      <c r="NQ279" s="978"/>
      <c r="NR279" s="978"/>
      <c r="NS279" s="978"/>
      <c r="NT279" s="978"/>
      <c r="NU279" s="978"/>
      <c r="NV279" s="978"/>
      <c r="NW279" s="978"/>
      <c r="NX279" s="978"/>
      <c r="NY279" s="978"/>
      <c r="NZ279" s="978"/>
      <c r="OA279" s="978"/>
      <c r="OB279" s="978"/>
      <c r="OC279" s="978"/>
      <c r="OD279" s="978"/>
      <c r="OE279" s="978"/>
      <c r="OF279" s="978"/>
      <c r="OG279" s="978"/>
      <c r="OH279" s="978"/>
      <c r="OI279" s="978"/>
      <c r="OJ279" s="978"/>
      <c r="OK279" s="978"/>
      <c r="OL279" s="978"/>
      <c r="OM279" s="978"/>
      <c r="ON279" s="978"/>
      <c r="OO279" s="978"/>
      <c r="OP279" s="978"/>
      <c r="OQ279" s="978"/>
      <c r="OR279" s="978"/>
      <c r="OS279" s="978"/>
      <c r="OT279" s="978"/>
      <c r="OU279" s="978"/>
      <c r="OV279" s="978"/>
      <c r="OW279" s="978"/>
      <c r="OX279" s="978"/>
      <c r="OY279" s="978"/>
      <c r="OZ279" s="978"/>
      <c r="PA279" s="978"/>
      <c r="PB279" s="978"/>
      <c r="PC279" s="978"/>
      <c r="PD279" s="978"/>
      <c r="PE279" s="978"/>
      <c r="PF279" s="978"/>
      <c r="PG279" s="978"/>
      <c r="PH279" s="978"/>
      <c r="PI279" s="978"/>
      <c r="PJ279" s="978"/>
      <c r="PK279" s="978"/>
      <c r="PL279" s="978"/>
      <c r="PM279" s="978"/>
      <c r="PN279" s="978"/>
      <c r="PO279" s="978"/>
      <c r="PP279" s="978"/>
      <c r="PQ279" s="978"/>
      <c r="PR279" s="978"/>
      <c r="PS279" s="978"/>
      <c r="PT279" s="978"/>
      <c r="PU279" s="978"/>
      <c r="PV279" s="978"/>
      <c r="PW279" s="978"/>
      <c r="PX279" s="978"/>
      <c r="PY279" s="978"/>
      <c r="PZ279" s="978"/>
      <c r="QA279" s="978"/>
      <c r="QB279" s="978"/>
      <c r="QC279" s="978"/>
      <c r="QD279" s="978"/>
      <c r="QE279" s="978"/>
      <c r="QF279" s="978"/>
      <c r="QG279" s="978"/>
      <c r="QH279" s="978"/>
      <c r="QI279" s="978"/>
      <c r="QJ279" s="978"/>
      <c r="QK279" s="978"/>
      <c r="QL279" s="978"/>
      <c r="QM279" s="978"/>
      <c r="QN279" s="978"/>
      <c r="QO279" s="978"/>
      <c r="QP279" s="978"/>
      <c r="QQ279" s="978"/>
      <c r="QR279" s="978"/>
      <c r="QS279" s="978"/>
      <c r="QT279" s="978"/>
      <c r="QU279" s="978"/>
      <c r="QV279" s="978"/>
      <c r="QW279" s="978"/>
      <c r="QX279" s="978"/>
      <c r="QY279" s="978"/>
      <c r="QZ279" s="978"/>
      <c r="RA279" s="978"/>
      <c r="RB279" s="274"/>
      <c r="RC279" s="274"/>
    </row>
    <row r="280" spans="112:471" ht="17.25">
      <c r="DH280" s="274"/>
      <c r="DI280" s="274"/>
      <c r="DJ280" s="978"/>
      <c r="DK280" s="978"/>
      <c r="DL280" s="978"/>
      <c r="DM280" s="978"/>
      <c r="DN280" s="978"/>
      <c r="DO280" s="978"/>
      <c r="DP280" s="978"/>
      <c r="DQ280" s="978"/>
      <c r="DR280" s="978"/>
      <c r="DS280" s="978"/>
      <c r="DT280" s="978"/>
      <c r="DU280" s="978"/>
      <c r="DV280" s="978"/>
      <c r="DW280" s="978"/>
      <c r="DX280" s="978"/>
      <c r="DY280" s="978"/>
      <c r="DZ280" s="978"/>
      <c r="EA280" s="978"/>
      <c r="EB280" s="978"/>
      <c r="EC280" s="978"/>
      <c r="ED280" s="978"/>
      <c r="EE280" s="978"/>
      <c r="EF280" s="978"/>
      <c r="EG280" s="978"/>
      <c r="EH280" s="978"/>
      <c r="EI280" s="978"/>
      <c r="EJ280" s="978"/>
      <c r="EK280" s="978"/>
      <c r="EL280" s="978"/>
      <c r="EM280" s="978"/>
      <c r="EN280" s="978"/>
      <c r="EO280" s="978"/>
      <c r="EP280" s="978"/>
      <c r="EQ280" s="978"/>
      <c r="ER280" s="978"/>
      <c r="ES280" s="978"/>
      <c r="ET280" s="978"/>
      <c r="EU280" s="978"/>
      <c r="EV280" s="978"/>
      <c r="EW280" s="978"/>
      <c r="EX280" s="978"/>
      <c r="EY280" s="978"/>
      <c r="EZ280" s="978"/>
      <c r="FA280" s="978"/>
      <c r="FB280" s="978"/>
      <c r="FC280" s="978"/>
      <c r="FD280" s="978"/>
      <c r="FE280" s="978"/>
      <c r="FF280" s="978"/>
      <c r="FG280" s="978"/>
      <c r="FH280" s="978"/>
      <c r="FI280" s="978"/>
      <c r="FJ280" s="978"/>
      <c r="FK280" s="978"/>
      <c r="FL280" s="978"/>
      <c r="FM280" s="978"/>
      <c r="FN280" s="978"/>
      <c r="FO280" s="978"/>
      <c r="FP280" s="978"/>
      <c r="FQ280" s="978"/>
      <c r="FR280" s="978"/>
      <c r="FS280" s="978"/>
      <c r="FT280" s="978"/>
      <c r="FU280" s="978"/>
      <c r="FV280" s="978"/>
      <c r="FW280" s="978"/>
      <c r="FX280" s="978"/>
      <c r="FY280" s="978"/>
      <c r="FZ280" s="978"/>
      <c r="GA280" s="978"/>
      <c r="GB280" s="978"/>
      <c r="GC280" s="978"/>
      <c r="GD280" s="978"/>
      <c r="GE280" s="978"/>
      <c r="GF280" s="978"/>
      <c r="GG280" s="978"/>
      <c r="GH280" s="978"/>
      <c r="GI280" s="978"/>
      <c r="GJ280" s="978"/>
      <c r="GK280" s="978"/>
      <c r="GL280" s="978"/>
      <c r="GM280" s="978"/>
      <c r="GN280" s="978"/>
      <c r="GO280" s="978"/>
      <c r="GP280" s="978"/>
      <c r="GQ280" s="978"/>
      <c r="GR280" s="978"/>
      <c r="GS280" s="978"/>
      <c r="GT280" s="978"/>
      <c r="GU280" s="978"/>
      <c r="GV280" s="978"/>
      <c r="GW280" s="978"/>
      <c r="GX280" s="978"/>
      <c r="GY280" s="978"/>
      <c r="GZ280" s="978"/>
      <c r="HA280" s="978"/>
      <c r="HB280" s="978"/>
      <c r="HC280" s="978"/>
      <c r="HD280" s="978"/>
      <c r="HE280" s="978"/>
      <c r="HF280" s="978"/>
      <c r="HG280" s="978"/>
      <c r="HH280" s="978"/>
      <c r="HI280" s="978"/>
      <c r="HJ280" s="978"/>
      <c r="HK280" s="978"/>
      <c r="HL280" s="978"/>
      <c r="HM280" s="978"/>
      <c r="HN280" s="978"/>
      <c r="HO280" s="978"/>
      <c r="HP280" s="978"/>
      <c r="HQ280" s="978"/>
      <c r="HR280" s="978"/>
      <c r="HS280" s="978"/>
      <c r="HT280" s="978"/>
      <c r="HU280" s="978"/>
      <c r="HV280" s="978"/>
      <c r="HW280" s="978"/>
      <c r="HX280" s="978"/>
      <c r="HY280" s="978"/>
      <c r="HZ280" s="978"/>
      <c r="IA280" s="978"/>
      <c r="IB280" s="978"/>
      <c r="IC280" s="978"/>
      <c r="ID280" s="978"/>
      <c r="IE280" s="978"/>
      <c r="IF280" s="978"/>
      <c r="IG280" s="978"/>
      <c r="IH280" s="978"/>
      <c r="II280" s="978"/>
      <c r="IJ280" s="978"/>
      <c r="IK280" s="978"/>
      <c r="IL280" s="978"/>
      <c r="IM280" s="978"/>
      <c r="IN280" s="978"/>
      <c r="IO280" s="978"/>
      <c r="IP280" s="978"/>
      <c r="IQ280" s="978"/>
      <c r="IR280" s="978"/>
      <c r="IS280" s="978"/>
      <c r="IT280" s="978"/>
      <c r="IU280" s="978"/>
      <c r="IV280" s="978"/>
      <c r="IW280" s="978"/>
      <c r="IX280" s="978"/>
      <c r="IY280" s="978"/>
      <c r="IZ280" s="978"/>
      <c r="JA280" s="978"/>
      <c r="JB280" s="978"/>
      <c r="JC280" s="978"/>
      <c r="JD280" s="978"/>
      <c r="JE280" s="978"/>
      <c r="JF280" s="978"/>
      <c r="JG280" s="978"/>
      <c r="JH280" s="978"/>
      <c r="JI280" s="978"/>
      <c r="JJ280" s="978"/>
      <c r="JK280" s="978"/>
      <c r="JL280" s="978"/>
      <c r="JM280" s="978"/>
      <c r="JN280" s="978"/>
      <c r="JO280" s="978"/>
      <c r="JP280" s="978"/>
      <c r="JQ280" s="978"/>
      <c r="JR280" s="978"/>
      <c r="JS280" s="978"/>
      <c r="JT280" s="978"/>
      <c r="JU280" s="978"/>
      <c r="JV280" s="978"/>
      <c r="JW280" s="978"/>
      <c r="JX280" s="978"/>
      <c r="JY280" s="978"/>
      <c r="JZ280" s="978"/>
      <c r="KA280" s="978"/>
      <c r="KB280" s="978"/>
      <c r="KC280" s="978"/>
      <c r="KD280" s="978"/>
      <c r="KE280" s="978"/>
      <c r="KF280" s="978"/>
      <c r="KG280" s="978"/>
      <c r="KH280" s="978"/>
      <c r="KI280" s="978"/>
      <c r="KJ280" s="978"/>
      <c r="KK280" s="978"/>
      <c r="KL280" s="978"/>
      <c r="KM280" s="978"/>
      <c r="KN280" s="978"/>
      <c r="KO280" s="978"/>
      <c r="KP280" s="978"/>
      <c r="KQ280" s="978"/>
      <c r="KR280" s="978"/>
      <c r="KS280" s="978"/>
      <c r="KT280" s="978"/>
      <c r="KU280" s="978"/>
      <c r="KV280" s="978"/>
      <c r="KW280" s="978"/>
      <c r="KX280" s="978"/>
      <c r="KY280" s="978"/>
      <c r="KZ280" s="978"/>
      <c r="LA280" s="978"/>
      <c r="LB280" s="978"/>
      <c r="LC280" s="978"/>
      <c r="LD280" s="978"/>
      <c r="LE280" s="978"/>
      <c r="LF280" s="978"/>
      <c r="LG280" s="978"/>
      <c r="LH280" s="978"/>
      <c r="LI280" s="978"/>
      <c r="LJ280" s="978"/>
      <c r="LK280" s="978"/>
      <c r="LL280" s="978"/>
      <c r="LM280" s="978"/>
      <c r="LN280" s="978"/>
      <c r="LO280" s="978"/>
      <c r="LP280" s="978"/>
      <c r="LQ280" s="978"/>
      <c r="LR280" s="978"/>
      <c r="LS280" s="978"/>
      <c r="LT280" s="978"/>
      <c r="LU280" s="978"/>
      <c r="LV280" s="978"/>
      <c r="LW280" s="978"/>
      <c r="LX280" s="978"/>
      <c r="LY280" s="978"/>
      <c r="LZ280" s="978"/>
      <c r="MA280" s="978"/>
      <c r="MB280" s="978"/>
      <c r="MC280" s="978"/>
      <c r="MD280" s="978"/>
      <c r="ME280" s="978"/>
      <c r="MF280" s="978"/>
      <c r="MG280" s="978"/>
      <c r="MH280" s="978"/>
      <c r="MI280" s="978"/>
      <c r="MJ280" s="978"/>
      <c r="MK280" s="978"/>
      <c r="ML280" s="978"/>
      <c r="MM280" s="978"/>
      <c r="MN280" s="978"/>
      <c r="MO280" s="978"/>
      <c r="MP280" s="978"/>
      <c r="MQ280" s="978"/>
      <c r="MR280" s="978"/>
      <c r="MS280" s="978"/>
      <c r="MT280" s="978"/>
      <c r="MU280" s="978"/>
      <c r="MV280" s="978"/>
      <c r="MW280" s="978"/>
      <c r="MX280" s="978"/>
      <c r="MY280" s="978"/>
      <c r="MZ280" s="978"/>
      <c r="NA280" s="978"/>
      <c r="NB280" s="978"/>
      <c r="NC280" s="978"/>
      <c r="ND280" s="978"/>
      <c r="NE280" s="978"/>
      <c r="NF280" s="978"/>
      <c r="NG280" s="978"/>
      <c r="NH280" s="978"/>
      <c r="NI280" s="978"/>
      <c r="NJ280" s="978"/>
      <c r="NK280" s="978"/>
      <c r="NL280" s="978"/>
      <c r="NM280" s="978"/>
      <c r="NN280" s="978"/>
      <c r="NO280" s="978"/>
      <c r="NP280" s="978"/>
      <c r="NQ280" s="978"/>
      <c r="NR280" s="978"/>
      <c r="NS280" s="978"/>
      <c r="NT280" s="978"/>
      <c r="NU280" s="978"/>
      <c r="NV280" s="978"/>
      <c r="NW280" s="978"/>
      <c r="NX280" s="978"/>
      <c r="NY280" s="978"/>
      <c r="NZ280" s="978"/>
      <c r="OA280" s="978"/>
      <c r="OB280" s="978"/>
      <c r="OC280" s="978"/>
      <c r="OD280" s="978"/>
      <c r="OE280" s="978"/>
      <c r="OF280" s="978"/>
      <c r="OG280" s="978"/>
      <c r="OH280" s="978"/>
      <c r="OI280" s="978"/>
      <c r="OJ280" s="978"/>
      <c r="OK280" s="978"/>
      <c r="OL280" s="978"/>
      <c r="OM280" s="978"/>
      <c r="ON280" s="978"/>
      <c r="OO280" s="978"/>
      <c r="OP280" s="978"/>
      <c r="OQ280" s="978"/>
      <c r="OR280" s="978"/>
      <c r="OS280" s="978"/>
      <c r="OT280" s="978"/>
      <c r="OU280" s="978"/>
      <c r="OV280" s="978"/>
      <c r="OW280" s="978"/>
      <c r="OX280" s="978"/>
      <c r="OY280" s="978"/>
      <c r="OZ280" s="978"/>
      <c r="PA280" s="978"/>
      <c r="PB280" s="978"/>
      <c r="PC280" s="978"/>
      <c r="PD280" s="978"/>
      <c r="PE280" s="978"/>
      <c r="PF280" s="978"/>
      <c r="PG280" s="978"/>
      <c r="PH280" s="978"/>
      <c r="PI280" s="978"/>
      <c r="PJ280" s="978"/>
      <c r="PK280" s="978"/>
      <c r="PL280" s="978"/>
      <c r="PM280" s="978"/>
      <c r="PN280" s="978"/>
      <c r="PO280" s="978"/>
      <c r="PP280" s="978"/>
      <c r="PQ280" s="978"/>
      <c r="PR280" s="978"/>
      <c r="PS280" s="978"/>
      <c r="PT280" s="978"/>
      <c r="PU280" s="978"/>
      <c r="PV280" s="978"/>
      <c r="PW280" s="978"/>
      <c r="PX280" s="978"/>
      <c r="PY280" s="978"/>
      <c r="PZ280" s="978"/>
      <c r="QA280" s="978"/>
      <c r="QB280" s="978"/>
      <c r="QC280" s="978"/>
      <c r="QD280" s="978"/>
      <c r="QE280" s="978"/>
      <c r="QF280" s="978"/>
      <c r="QG280" s="978"/>
      <c r="QH280" s="978"/>
      <c r="QI280" s="978"/>
      <c r="QJ280" s="978"/>
      <c r="QK280" s="978"/>
      <c r="QL280" s="978"/>
      <c r="QM280" s="978"/>
      <c r="QN280" s="978"/>
      <c r="QO280" s="978"/>
      <c r="QP280" s="978"/>
      <c r="QQ280" s="978"/>
      <c r="QR280" s="978"/>
      <c r="QS280" s="978"/>
      <c r="QT280" s="978"/>
      <c r="QU280" s="978"/>
      <c r="QV280" s="978"/>
      <c r="QW280" s="978"/>
      <c r="QX280" s="978"/>
      <c r="QY280" s="978"/>
      <c r="QZ280" s="978"/>
      <c r="RA280" s="978"/>
      <c r="RB280" s="274"/>
      <c r="RC280" s="274"/>
    </row>
    <row r="281" spans="112:471" ht="17.25">
      <c r="DH281" s="274"/>
      <c r="DI281" s="274"/>
      <c r="DJ281" s="978"/>
      <c r="DK281" s="978"/>
      <c r="DL281" s="978"/>
      <c r="DM281" s="978"/>
      <c r="DN281" s="978"/>
      <c r="DO281" s="978"/>
      <c r="DP281" s="978"/>
      <c r="DQ281" s="978"/>
      <c r="DR281" s="978"/>
      <c r="DS281" s="978"/>
      <c r="DT281" s="978"/>
      <c r="DU281" s="978"/>
      <c r="DV281" s="978"/>
      <c r="DW281" s="978"/>
      <c r="DX281" s="978"/>
      <c r="DY281" s="978"/>
      <c r="DZ281" s="978"/>
      <c r="EA281" s="978"/>
      <c r="EB281" s="978"/>
      <c r="EC281" s="978"/>
      <c r="ED281" s="978"/>
      <c r="EE281" s="978"/>
      <c r="EF281" s="978"/>
      <c r="EG281" s="978"/>
      <c r="EH281" s="978"/>
      <c r="EI281" s="978"/>
      <c r="EJ281" s="978"/>
      <c r="EK281" s="978"/>
      <c r="EL281" s="978"/>
      <c r="EM281" s="978"/>
      <c r="EN281" s="978"/>
      <c r="EO281" s="978"/>
      <c r="EP281" s="978"/>
      <c r="EQ281" s="978"/>
      <c r="ER281" s="978"/>
      <c r="ES281" s="978"/>
      <c r="ET281" s="978"/>
      <c r="EU281" s="978"/>
      <c r="EV281" s="978"/>
      <c r="EW281" s="978"/>
      <c r="EX281" s="978"/>
      <c r="EY281" s="978"/>
      <c r="EZ281" s="978"/>
      <c r="FA281" s="978"/>
      <c r="FB281" s="978"/>
      <c r="FC281" s="978"/>
      <c r="FD281" s="978"/>
      <c r="FE281" s="978"/>
      <c r="FF281" s="978"/>
      <c r="FG281" s="978"/>
      <c r="FH281" s="978"/>
      <c r="FI281" s="978"/>
      <c r="FJ281" s="978"/>
      <c r="FK281" s="978"/>
      <c r="FL281" s="978"/>
      <c r="FM281" s="978"/>
      <c r="FN281" s="978"/>
      <c r="FO281" s="978"/>
      <c r="FP281" s="978"/>
      <c r="FQ281" s="978"/>
      <c r="FR281" s="978"/>
      <c r="FS281" s="978"/>
      <c r="FT281" s="978"/>
      <c r="FU281" s="978"/>
      <c r="FV281" s="978"/>
      <c r="FW281" s="978"/>
      <c r="FX281" s="978"/>
      <c r="FY281" s="978"/>
      <c r="FZ281" s="978"/>
      <c r="GA281" s="978"/>
      <c r="GB281" s="978"/>
      <c r="GC281" s="978"/>
      <c r="GD281" s="978"/>
      <c r="GE281" s="978"/>
      <c r="GF281" s="978"/>
      <c r="GG281" s="978"/>
      <c r="GH281" s="978"/>
      <c r="GI281" s="978"/>
      <c r="GJ281" s="978"/>
      <c r="GK281" s="978"/>
      <c r="GL281" s="978"/>
      <c r="GM281" s="978"/>
      <c r="GN281" s="978"/>
      <c r="GO281" s="978"/>
      <c r="GP281" s="978"/>
      <c r="GQ281" s="978"/>
      <c r="GR281" s="978"/>
      <c r="GS281" s="978"/>
      <c r="GT281" s="978"/>
      <c r="GU281" s="978"/>
      <c r="GV281" s="978"/>
      <c r="GW281" s="978"/>
      <c r="GX281" s="978"/>
      <c r="GY281" s="978"/>
      <c r="GZ281" s="978"/>
      <c r="HA281" s="978"/>
      <c r="HB281" s="978"/>
      <c r="HC281" s="978"/>
      <c r="HD281" s="978"/>
      <c r="HE281" s="978"/>
      <c r="HF281" s="978"/>
      <c r="HG281" s="978"/>
      <c r="HH281" s="978"/>
      <c r="HI281" s="978"/>
      <c r="HJ281" s="978"/>
      <c r="HK281" s="978"/>
      <c r="HL281" s="978"/>
      <c r="HM281" s="978"/>
      <c r="HN281" s="978"/>
      <c r="HO281" s="978"/>
      <c r="HP281" s="978"/>
      <c r="HQ281" s="978"/>
      <c r="HR281" s="978"/>
      <c r="HS281" s="978"/>
      <c r="HT281" s="978"/>
      <c r="HU281" s="978"/>
      <c r="HV281" s="978"/>
      <c r="HW281" s="978"/>
      <c r="HX281" s="978"/>
      <c r="HY281" s="978"/>
      <c r="HZ281" s="978"/>
      <c r="IA281" s="978"/>
      <c r="IB281" s="978"/>
      <c r="IC281" s="978"/>
      <c r="ID281" s="978"/>
      <c r="IE281" s="978"/>
      <c r="IF281" s="978"/>
      <c r="IG281" s="978"/>
      <c r="IH281" s="978"/>
      <c r="II281" s="978"/>
      <c r="IJ281" s="978"/>
      <c r="IK281" s="978"/>
      <c r="IL281" s="978"/>
      <c r="IM281" s="978"/>
      <c r="IN281" s="978"/>
      <c r="IO281" s="978"/>
      <c r="IP281" s="978"/>
      <c r="IQ281" s="978"/>
      <c r="IR281" s="978"/>
      <c r="IS281" s="978"/>
      <c r="IT281" s="978"/>
      <c r="IU281" s="978"/>
      <c r="IV281" s="978"/>
      <c r="IW281" s="978"/>
      <c r="IX281" s="978"/>
      <c r="IY281" s="978"/>
      <c r="IZ281" s="978"/>
      <c r="JA281" s="978"/>
      <c r="JB281" s="978"/>
      <c r="JC281" s="978"/>
      <c r="JD281" s="978"/>
      <c r="JE281" s="978"/>
      <c r="JF281" s="978"/>
      <c r="JG281" s="978"/>
      <c r="JH281" s="978"/>
      <c r="JI281" s="978"/>
      <c r="JJ281" s="978"/>
      <c r="JK281" s="978"/>
      <c r="JL281" s="978"/>
      <c r="JM281" s="978"/>
      <c r="JN281" s="978"/>
      <c r="JO281" s="978"/>
      <c r="JP281" s="978"/>
      <c r="JQ281" s="978"/>
      <c r="JR281" s="978"/>
      <c r="JS281" s="978"/>
      <c r="JT281" s="978"/>
      <c r="JU281" s="978"/>
      <c r="JV281" s="978"/>
      <c r="JW281" s="978"/>
      <c r="JX281" s="978"/>
      <c r="JY281" s="978"/>
      <c r="JZ281" s="978"/>
      <c r="KA281" s="978"/>
      <c r="KB281" s="978"/>
      <c r="KC281" s="978"/>
      <c r="KD281" s="978"/>
      <c r="KE281" s="978"/>
      <c r="KF281" s="978"/>
      <c r="KG281" s="978"/>
      <c r="KH281" s="978"/>
      <c r="KI281" s="978"/>
      <c r="KJ281" s="978"/>
      <c r="KK281" s="978"/>
      <c r="KL281" s="978"/>
      <c r="KM281" s="978"/>
      <c r="KN281" s="978"/>
      <c r="KO281" s="978"/>
      <c r="KP281" s="978"/>
      <c r="KQ281" s="978"/>
      <c r="KR281" s="978"/>
      <c r="KS281" s="978"/>
      <c r="KT281" s="978"/>
      <c r="KU281" s="978"/>
      <c r="KV281" s="978"/>
      <c r="KW281" s="978"/>
      <c r="KX281" s="978"/>
      <c r="KY281" s="978"/>
      <c r="KZ281" s="978"/>
      <c r="LA281" s="978"/>
      <c r="LB281" s="978"/>
      <c r="LC281" s="978"/>
      <c r="LD281" s="978"/>
      <c r="LE281" s="978"/>
      <c r="LF281" s="978"/>
      <c r="LG281" s="978"/>
      <c r="LH281" s="978"/>
      <c r="LI281" s="978"/>
      <c r="LJ281" s="978"/>
      <c r="LK281" s="978"/>
      <c r="LL281" s="978"/>
      <c r="LM281" s="978"/>
      <c r="LN281" s="978"/>
      <c r="LO281" s="978"/>
      <c r="LP281" s="978"/>
      <c r="LQ281" s="978"/>
      <c r="LR281" s="978"/>
      <c r="LS281" s="978"/>
      <c r="LT281" s="978"/>
      <c r="LU281" s="978"/>
      <c r="LV281" s="978"/>
      <c r="LW281" s="978"/>
      <c r="LX281" s="978"/>
      <c r="LY281" s="978"/>
      <c r="LZ281" s="978"/>
      <c r="MA281" s="978"/>
      <c r="MB281" s="978"/>
      <c r="MC281" s="978"/>
      <c r="MD281" s="978"/>
      <c r="ME281" s="978"/>
      <c r="MF281" s="978"/>
      <c r="MG281" s="978"/>
      <c r="MH281" s="978"/>
      <c r="MI281" s="978"/>
      <c r="MJ281" s="978"/>
      <c r="MK281" s="978"/>
      <c r="ML281" s="978"/>
      <c r="MM281" s="978"/>
      <c r="MN281" s="978"/>
      <c r="MO281" s="978"/>
      <c r="MP281" s="978"/>
      <c r="MQ281" s="978"/>
      <c r="MR281" s="978"/>
      <c r="MS281" s="978"/>
      <c r="MT281" s="978"/>
      <c r="MU281" s="978"/>
      <c r="MV281" s="978"/>
      <c r="MW281" s="978"/>
      <c r="MX281" s="978"/>
      <c r="MY281" s="978"/>
      <c r="MZ281" s="978"/>
      <c r="NA281" s="978"/>
      <c r="NB281" s="978"/>
      <c r="NC281" s="978"/>
      <c r="ND281" s="978"/>
      <c r="NE281" s="978"/>
      <c r="NF281" s="978"/>
      <c r="NG281" s="978"/>
      <c r="NH281" s="978"/>
      <c r="NI281" s="978"/>
      <c r="NJ281" s="978"/>
      <c r="NK281" s="978"/>
      <c r="NL281" s="978"/>
      <c r="NM281" s="978"/>
      <c r="NN281" s="978"/>
      <c r="NO281" s="978"/>
      <c r="NP281" s="978"/>
      <c r="NQ281" s="978"/>
      <c r="NR281" s="978"/>
      <c r="NS281" s="978"/>
      <c r="NT281" s="978"/>
      <c r="NU281" s="978"/>
      <c r="NV281" s="978"/>
      <c r="NW281" s="978"/>
      <c r="NX281" s="978"/>
      <c r="NY281" s="978"/>
      <c r="NZ281" s="978"/>
      <c r="OA281" s="978"/>
      <c r="OB281" s="978"/>
      <c r="OC281" s="978"/>
      <c r="OD281" s="978"/>
      <c r="OE281" s="978"/>
      <c r="OF281" s="978"/>
      <c r="OG281" s="978"/>
      <c r="OH281" s="978"/>
      <c r="OI281" s="978"/>
      <c r="OJ281" s="978"/>
      <c r="OK281" s="978"/>
      <c r="OL281" s="978"/>
      <c r="OM281" s="978"/>
      <c r="ON281" s="978"/>
      <c r="OO281" s="978"/>
      <c r="OP281" s="978"/>
      <c r="OQ281" s="978"/>
      <c r="OR281" s="978"/>
      <c r="OS281" s="978"/>
      <c r="OT281" s="978"/>
      <c r="OU281" s="978"/>
      <c r="OV281" s="978"/>
      <c r="OW281" s="978"/>
      <c r="OX281" s="978"/>
      <c r="OY281" s="978"/>
      <c r="OZ281" s="978"/>
      <c r="PA281" s="978"/>
      <c r="PB281" s="978"/>
      <c r="PC281" s="978"/>
      <c r="PD281" s="978"/>
      <c r="PE281" s="978"/>
      <c r="PF281" s="978"/>
      <c r="PG281" s="978"/>
      <c r="PH281" s="978"/>
      <c r="PI281" s="978"/>
      <c r="PJ281" s="978"/>
      <c r="PK281" s="978"/>
      <c r="PL281" s="978"/>
      <c r="PM281" s="978"/>
      <c r="PN281" s="978"/>
      <c r="PO281" s="978"/>
      <c r="PP281" s="978"/>
      <c r="PQ281" s="978"/>
      <c r="PR281" s="978"/>
      <c r="PS281" s="978"/>
      <c r="PT281" s="978"/>
      <c r="PU281" s="978"/>
      <c r="PV281" s="978"/>
      <c r="PW281" s="978"/>
      <c r="PX281" s="978"/>
      <c r="PY281" s="978"/>
      <c r="PZ281" s="978"/>
      <c r="QA281" s="978"/>
      <c r="QB281" s="978"/>
      <c r="QC281" s="978"/>
      <c r="QD281" s="978"/>
      <c r="QE281" s="978"/>
      <c r="QF281" s="978"/>
      <c r="QG281" s="978"/>
      <c r="QH281" s="978"/>
      <c r="QI281" s="978"/>
      <c r="QJ281" s="978"/>
      <c r="QK281" s="978"/>
      <c r="QL281" s="978"/>
      <c r="QM281" s="978"/>
      <c r="QN281" s="978"/>
      <c r="QO281" s="978"/>
      <c r="QP281" s="978"/>
      <c r="QQ281" s="978"/>
      <c r="QR281" s="978"/>
      <c r="QS281" s="978"/>
      <c r="QT281" s="978"/>
      <c r="QU281" s="978"/>
      <c r="QV281" s="978"/>
      <c r="QW281" s="978"/>
      <c r="QX281" s="978"/>
      <c r="QY281" s="978"/>
      <c r="QZ281" s="978"/>
      <c r="RA281" s="978"/>
      <c r="RB281" s="274"/>
      <c r="RC281" s="274"/>
    </row>
    <row r="282" spans="112:471" ht="17.25">
      <c r="DH282" s="274"/>
      <c r="DI282" s="274"/>
      <c r="DJ282" s="978"/>
      <c r="DK282" s="978"/>
      <c r="DL282" s="978"/>
      <c r="DM282" s="978"/>
      <c r="DN282" s="978"/>
      <c r="DO282" s="978"/>
      <c r="DP282" s="978"/>
      <c r="DQ282" s="978"/>
      <c r="DR282" s="978"/>
      <c r="DS282" s="978"/>
      <c r="DT282" s="978"/>
      <c r="DU282" s="978"/>
      <c r="DV282" s="978"/>
      <c r="DW282" s="978"/>
      <c r="DX282" s="978"/>
      <c r="DY282" s="978"/>
      <c r="DZ282" s="978"/>
      <c r="EA282" s="978"/>
      <c r="EB282" s="978"/>
      <c r="EC282" s="978"/>
      <c r="ED282" s="978"/>
      <c r="EE282" s="978"/>
      <c r="EF282" s="978"/>
      <c r="EG282" s="978"/>
      <c r="EH282" s="978"/>
      <c r="EI282" s="978"/>
      <c r="EJ282" s="978"/>
      <c r="EK282" s="978"/>
      <c r="EL282" s="978"/>
      <c r="EM282" s="978"/>
      <c r="EN282" s="978"/>
      <c r="EO282" s="978"/>
      <c r="EP282" s="978"/>
      <c r="EQ282" s="978"/>
      <c r="ER282" s="978"/>
      <c r="ES282" s="978"/>
      <c r="ET282" s="978"/>
      <c r="EU282" s="978"/>
      <c r="EV282" s="978"/>
      <c r="EW282" s="978"/>
      <c r="EX282" s="978"/>
      <c r="EY282" s="978"/>
      <c r="EZ282" s="978"/>
      <c r="FA282" s="978"/>
      <c r="FB282" s="978"/>
      <c r="FC282" s="978"/>
      <c r="FD282" s="978"/>
      <c r="FE282" s="978"/>
      <c r="FF282" s="978"/>
      <c r="FG282" s="978"/>
      <c r="FH282" s="978"/>
      <c r="FI282" s="978"/>
      <c r="FJ282" s="978"/>
      <c r="FK282" s="978"/>
      <c r="FL282" s="978"/>
      <c r="FM282" s="978"/>
      <c r="FN282" s="978"/>
      <c r="FO282" s="978"/>
      <c r="FP282" s="978"/>
      <c r="FQ282" s="978"/>
      <c r="FR282" s="978"/>
      <c r="FS282" s="978"/>
      <c r="FT282" s="978"/>
      <c r="FU282" s="978"/>
      <c r="FV282" s="978"/>
      <c r="FW282" s="978"/>
      <c r="FX282" s="978"/>
      <c r="FY282" s="978"/>
      <c r="FZ282" s="978"/>
      <c r="GA282" s="978"/>
      <c r="GB282" s="978"/>
      <c r="GC282" s="978"/>
      <c r="GD282" s="978"/>
      <c r="GE282" s="978"/>
      <c r="GF282" s="978"/>
      <c r="GG282" s="978"/>
      <c r="GH282" s="978"/>
      <c r="GI282" s="978"/>
      <c r="GJ282" s="978"/>
      <c r="GK282" s="978"/>
      <c r="GL282" s="978"/>
      <c r="GM282" s="978"/>
      <c r="GN282" s="978"/>
      <c r="GO282" s="978"/>
      <c r="GP282" s="978"/>
      <c r="GQ282" s="978"/>
      <c r="GR282" s="978"/>
      <c r="GS282" s="978"/>
      <c r="GT282" s="978"/>
      <c r="GU282" s="978"/>
      <c r="GV282" s="978"/>
      <c r="GW282" s="978"/>
      <c r="GX282" s="978"/>
      <c r="GY282" s="978"/>
      <c r="GZ282" s="978"/>
      <c r="HA282" s="978"/>
      <c r="HB282" s="978"/>
      <c r="HC282" s="978"/>
      <c r="HD282" s="978"/>
      <c r="HE282" s="978"/>
      <c r="HF282" s="978"/>
      <c r="HG282" s="978"/>
      <c r="HH282" s="978"/>
      <c r="HI282" s="978"/>
      <c r="HJ282" s="978"/>
      <c r="HK282" s="978"/>
      <c r="HL282" s="978"/>
      <c r="HM282" s="978"/>
      <c r="HN282" s="978"/>
      <c r="HO282" s="978"/>
      <c r="HP282" s="978"/>
      <c r="HQ282" s="978"/>
      <c r="HR282" s="978"/>
      <c r="HS282" s="978"/>
      <c r="HT282" s="978"/>
      <c r="HU282" s="978"/>
      <c r="HV282" s="978"/>
      <c r="HW282" s="978"/>
      <c r="HX282" s="978"/>
      <c r="HY282" s="978"/>
      <c r="HZ282" s="978"/>
      <c r="IA282" s="978"/>
      <c r="IB282" s="978"/>
      <c r="IC282" s="978"/>
      <c r="ID282" s="978"/>
      <c r="IE282" s="978"/>
      <c r="IF282" s="978"/>
      <c r="IG282" s="978"/>
      <c r="IH282" s="978"/>
      <c r="II282" s="978"/>
      <c r="IJ282" s="978"/>
      <c r="IK282" s="978"/>
      <c r="IL282" s="978"/>
      <c r="IM282" s="978"/>
      <c r="IN282" s="978"/>
      <c r="IO282" s="978"/>
      <c r="IP282" s="978"/>
      <c r="IQ282" s="978"/>
      <c r="IR282" s="978"/>
      <c r="IS282" s="978"/>
      <c r="IT282" s="978"/>
      <c r="IU282" s="978"/>
      <c r="IV282" s="978"/>
      <c r="IW282" s="978"/>
      <c r="IX282" s="978"/>
      <c r="IY282" s="978"/>
      <c r="IZ282" s="978"/>
      <c r="JA282" s="978"/>
      <c r="JB282" s="978"/>
      <c r="JC282" s="978"/>
      <c r="JD282" s="978"/>
      <c r="JE282" s="978"/>
      <c r="JF282" s="978"/>
      <c r="JG282" s="978"/>
      <c r="JH282" s="978"/>
      <c r="JI282" s="978"/>
      <c r="JJ282" s="978"/>
      <c r="JK282" s="978"/>
      <c r="JL282" s="978"/>
      <c r="JM282" s="978"/>
      <c r="JN282" s="978"/>
      <c r="JO282" s="978"/>
      <c r="JP282" s="978"/>
      <c r="JQ282" s="978"/>
      <c r="JR282" s="978"/>
      <c r="JS282" s="978"/>
      <c r="JT282" s="978"/>
      <c r="JU282" s="978"/>
      <c r="JV282" s="978"/>
      <c r="JW282" s="978"/>
      <c r="JX282" s="978"/>
      <c r="JY282" s="978"/>
      <c r="JZ282" s="978"/>
      <c r="KA282" s="978"/>
      <c r="KB282" s="978"/>
      <c r="KC282" s="978"/>
      <c r="KD282" s="978"/>
      <c r="KE282" s="978"/>
      <c r="KF282" s="978"/>
      <c r="KG282" s="978"/>
      <c r="KH282" s="978"/>
      <c r="KI282" s="978"/>
      <c r="KJ282" s="978"/>
      <c r="KK282" s="978"/>
      <c r="KL282" s="978"/>
      <c r="KM282" s="978"/>
      <c r="KN282" s="978"/>
      <c r="KO282" s="978"/>
      <c r="KP282" s="978"/>
      <c r="KQ282" s="978"/>
      <c r="KR282" s="978"/>
      <c r="KS282" s="978"/>
      <c r="KT282" s="978"/>
      <c r="KU282" s="978"/>
      <c r="KV282" s="978"/>
      <c r="KW282" s="978"/>
      <c r="KX282" s="978"/>
      <c r="KY282" s="978"/>
      <c r="KZ282" s="978"/>
      <c r="LA282" s="978"/>
      <c r="LB282" s="978"/>
      <c r="LC282" s="978"/>
      <c r="LD282" s="978"/>
      <c r="LE282" s="978"/>
      <c r="LF282" s="978"/>
      <c r="LG282" s="978"/>
      <c r="LH282" s="978"/>
      <c r="LI282" s="978"/>
      <c r="LJ282" s="978"/>
      <c r="LK282" s="978"/>
      <c r="LL282" s="978"/>
      <c r="LM282" s="978"/>
      <c r="LN282" s="978"/>
      <c r="LO282" s="978"/>
      <c r="LP282" s="978"/>
      <c r="LQ282" s="978"/>
      <c r="LR282" s="978"/>
      <c r="LS282" s="978"/>
      <c r="LT282" s="978"/>
      <c r="LU282" s="978"/>
      <c r="LV282" s="978"/>
      <c r="LW282" s="978"/>
      <c r="LX282" s="978"/>
      <c r="LY282" s="978"/>
      <c r="LZ282" s="978"/>
      <c r="MA282" s="978"/>
      <c r="MB282" s="978"/>
      <c r="MC282" s="978"/>
      <c r="MD282" s="978"/>
      <c r="ME282" s="978"/>
      <c r="MF282" s="978"/>
      <c r="MG282" s="978"/>
      <c r="MH282" s="978"/>
      <c r="MI282" s="978"/>
      <c r="MJ282" s="978"/>
      <c r="MK282" s="978"/>
      <c r="ML282" s="978"/>
      <c r="MM282" s="978"/>
      <c r="MN282" s="978"/>
      <c r="MO282" s="978"/>
      <c r="MP282" s="978"/>
      <c r="MQ282" s="978"/>
      <c r="MR282" s="978"/>
      <c r="MS282" s="978"/>
      <c r="MT282" s="978"/>
      <c r="MU282" s="978"/>
      <c r="MV282" s="978"/>
      <c r="MW282" s="978"/>
      <c r="MX282" s="978"/>
      <c r="MY282" s="978"/>
      <c r="MZ282" s="978"/>
      <c r="NA282" s="978"/>
      <c r="NB282" s="978"/>
      <c r="NC282" s="978"/>
      <c r="ND282" s="978"/>
      <c r="NE282" s="978"/>
      <c r="NF282" s="978"/>
      <c r="NG282" s="978"/>
      <c r="NH282" s="978"/>
      <c r="NI282" s="978"/>
      <c r="NJ282" s="978"/>
      <c r="NK282" s="978"/>
      <c r="NL282" s="978"/>
      <c r="NM282" s="978"/>
      <c r="NN282" s="978"/>
      <c r="NO282" s="978"/>
      <c r="NP282" s="978"/>
      <c r="NQ282" s="978"/>
      <c r="NR282" s="978"/>
      <c r="NS282" s="978"/>
      <c r="NT282" s="978"/>
      <c r="NU282" s="978"/>
      <c r="NV282" s="978"/>
      <c r="NW282" s="978"/>
      <c r="NX282" s="978"/>
      <c r="NY282" s="978"/>
      <c r="NZ282" s="978"/>
      <c r="OA282" s="978"/>
      <c r="OB282" s="978"/>
      <c r="OC282" s="978"/>
      <c r="OD282" s="978"/>
      <c r="OE282" s="978"/>
      <c r="OF282" s="978"/>
      <c r="OG282" s="978"/>
      <c r="OH282" s="978"/>
      <c r="OI282" s="978"/>
      <c r="OJ282" s="978"/>
      <c r="OK282" s="978"/>
      <c r="OL282" s="978"/>
      <c r="OM282" s="978"/>
      <c r="ON282" s="978"/>
      <c r="OO282" s="978"/>
      <c r="OP282" s="978"/>
      <c r="OQ282" s="978"/>
      <c r="OR282" s="978"/>
      <c r="OS282" s="978"/>
      <c r="OT282" s="978"/>
      <c r="OU282" s="978"/>
      <c r="OV282" s="978"/>
      <c r="OW282" s="978"/>
      <c r="OX282" s="978"/>
      <c r="OY282" s="978"/>
      <c r="OZ282" s="978"/>
      <c r="PA282" s="978"/>
      <c r="PB282" s="978"/>
      <c r="PC282" s="978"/>
      <c r="PD282" s="978"/>
      <c r="PE282" s="978"/>
      <c r="PF282" s="978"/>
      <c r="PG282" s="978"/>
      <c r="PH282" s="978"/>
      <c r="PI282" s="978"/>
      <c r="PJ282" s="978"/>
      <c r="PK282" s="978"/>
      <c r="PL282" s="978"/>
      <c r="PM282" s="978"/>
      <c r="PN282" s="978"/>
      <c r="PO282" s="978"/>
      <c r="PP282" s="978"/>
      <c r="PQ282" s="978"/>
      <c r="PR282" s="978"/>
      <c r="PS282" s="978"/>
      <c r="PT282" s="978"/>
      <c r="PU282" s="978"/>
      <c r="PV282" s="978"/>
      <c r="PW282" s="978"/>
      <c r="PX282" s="978"/>
      <c r="PY282" s="978"/>
      <c r="PZ282" s="978"/>
      <c r="QA282" s="978"/>
      <c r="QB282" s="978"/>
      <c r="QC282" s="978"/>
      <c r="QD282" s="978"/>
      <c r="QE282" s="978"/>
      <c r="QF282" s="978"/>
      <c r="QG282" s="978"/>
      <c r="QH282" s="978"/>
      <c r="QI282" s="978"/>
      <c r="QJ282" s="978"/>
      <c r="QK282" s="978"/>
      <c r="QL282" s="978"/>
      <c r="QM282" s="978"/>
      <c r="QN282" s="978"/>
      <c r="QO282" s="978"/>
      <c r="QP282" s="978"/>
      <c r="QQ282" s="978"/>
      <c r="QR282" s="978"/>
      <c r="QS282" s="978"/>
      <c r="QT282" s="978"/>
      <c r="QU282" s="978"/>
      <c r="QV282" s="978"/>
      <c r="QW282" s="978"/>
      <c r="QX282" s="978"/>
      <c r="QY282" s="978"/>
      <c r="QZ282" s="978"/>
      <c r="RA282" s="978"/>
      <c r="RB282" s="274"/>
      <c r="RC282" s="274"/>
    </row>
    <row r="283" spans="112:471" ht="17.25">
      <c r="DH283" s="274"/>
      <c r="DI283" s="274"/>
      <c r="DJ283" s="978"/>
      <c r="DK283" s="978"/>
      <c r="DL283" s="978"/>
      <c r="DM283" s="978"/>
      <c r="DN283" s="978"/>
      <c r="DO283" s="978"/>
      <c r="DP283" s="978"/>
      <c r="DQ283" s="978"/>
      <c r="DR283" s="978"/>
      <c r="DS283" s="978"/>
      <c r="DT283" s="978"/>
      <c r="DU283" s="978"/>
      <c r="DV283" s="978"/>
      <c r="DW283" s="978"/>
      <c r="DX283" s="978"/>
      <c r="DY283" s="978"/>
      <c r="DZ283" s="978"/>
      <c r="EA283" s="978"/>
      <c r="EB283" s="978"/>
      <c r="EC283" s="978"/>
      <c r="ED283" s="978"/>
      <c r="EE283" s="978"/>
      <c r="EF283" s="978"/>
      <c r="EG283" s="978"/>
      <c r="EH283" s="978"/>
      <c r="EI283" s="978"/>
      <c r="EJ283" s="978"/>
      <c r="EK283" s="978"/>
      <c r="EL283" s="978"/>
      <c r="EM283" s="978"/>
      <c r="EN283" s="978"/>
      <c r="EO283" s="978"/>
      <c r="EP283" s="978"/>
      <c r="EQ283" s="978"/>
      <c r="ER283" s="978"/>
      <c r="ES283" s="978"/>
      <c r="ET283" s="978"/>
      <c r="EU283" s="978"/>
      <c r="EV283" s="978"/>
      <c r="EW283" s="978"/>
      <c r="EX283" s="978"/>
      <c r="EY283" s="978"/>
      <c r="EZ283" s="978"/>
      <c r="FA283" s="978"/>
      <c r="FB283" s="978"/>
      <c r="FC283" s="978"/>
      <c r="FD283" s="978"/>
      <c r="FE283" s="978"/>
      <c r="FF283" s="978"/>
      <c r="FG283" s="978"/>
      <c r="FH283" s="978"/>
      <c r="FI283" s="978"/>
      <c r="FJ283" s="978"/>
      <c r="FK283" s="978"/>
      <c r="FL283" s="978"/>
      <c r="FM283" s="978"/>
      <c r="FN283" s="978"/>
      <c r="FO283" s="978"/>
      <c r="FP283" s="978"/>
      <c r="FQ283" s="978"/>
      <c r="FR283" s="978"/>
      <c r="FS283" s="978"/>
      <c r="FT283" s="978"/>
      <c r="FU283" s="978"/>
      <c r="FV283" s="978"/>
      <c r="FW283" s="978"/>
      <c r="FX283" s="978"/>
      <c r="FY283" s="978"/>
      <c r="FZ283" s="978"/>
      <c r="GA283" s="978"/>
      <c r="GB283" s="978"/>
      <c r="GC283" s="978"/>
      <c r="GD283" s="978"/>
      <c r="GE283" s="978"/>
      <c r="GF283" s="978"/>
      <c r="GG283" s="978"/>
      <c r="GH283" s="978"/>
      <c r="GI283" s="978"/>
      <c r="GJ283" s="978"/>
      <c r="GK283" s="978"/>
      <c r="GL283" s="978"/>
      <c r="GM283" s="978"/>
      <c r="GN283" s="978"/>
      <c r="GO283" s="978"/>
      <c r="GP283" s="978"/>
      <c r="GQ283" s="978"/>
      <c r="GR283" s="978"/>
      <c r="GS283" s="978"/>
      <c r="GT283" s="978"/>
      <c r="GU283" s="978"/>
      <c r="GV283" s="978"/>
      <c r="GW283" s="978"/>
      <c r="GX283" s="978"/>
      <c r="GY283" s="978"/>
      <c r="GZ283" s="978"/>
      <c r="HA283" s="978"/>
      <c r="HB283" s="978"/>
      <c r="HC283" s="978"/>
      <c r="HD283" s="978"/>
      <c r="HE283" s="978"/>
      <c r="HF283" s="978"/>
      <c r="HG283" s="978"/>
      <c r="HH283" s="978"/>
      <c r="HI283" s="978"/>
      <c r="HJ283" s="978"/>
      <c r="HK283" s="978"/>
      <c r="HL283" s="978"/>
      <c r="HM283" s="978"/>
      <c r="HN283" s="978"/>
      <c r="HO283" s="978"/>
      <c r="HP283" s="978"/>
      <c r="HQ283" s="978"/>
      <c r="HR283" s="978"/>
      <c r="HS283" s="978"/>
      <c r="HT283" s="978"/>
      <c r="HU283" s="978"/>
      <c r="HV283" s="978"/>
      <c r="HW283" s="978"/>
      <c r="HX283" s="978"/>
      <c r="HY283" s="978"/>
      <c r="HZ283" s="978"/>
      <c r="IA283" s="978"/>
      <c r="IB283" s="978"/>
      <c r="IC283" s="978"/>
      <c r="ID283" s="978"/>
      <c r="IE283" s="978"/>
      <c r="IF283" s="978"/>
      <c r="IG283" s="978"/>
      <c r="IH283" s="978"/>
      <c r="II283" s="978"/>
      <c r="IJ283" s="978"/>
      <c r="IK283" s="978"/>
      <c r="IL283" s="978"/>
      <c r="IM283" s="978"/>
      <c r="IN283" s="978"/>
      <c r="IO283" s="978"/>
      <c r="IP283" s="978"/>
      <c r="IQ283" s="978"/>
      <c r="IR283" s="978"/>
      <c r="IS283" s="978"/>
      <c r="IT283" s="978"/>
      <c r="IU283" s="978"/>
      <c r="IV283" s="978"/>
      <c r="IW283" s="978"/>
      <c r="IX283" s="978"/>
      <c r="IY283" s="978"/>
      <c r="IZ283" s="978"/>
      <c r="JA283" s="978"/>
      <c r="JB283" s="978"/>
      <c r="JC283" s="978"/>
      <c r="JD283" s="978"/>
      <c r="JE283" s="978"/>
      <c r="JF283" s="978"/>
      <c r="JG283" s="978"/>
      <c r="JH283" s="978"/>
      <c r="JI283" s="978"/>
      <c r="JJ283" s="978"/>
      <c r="JK283" s="978"/>
      <c r="JL283" s="978"/>
      <c r="JM283" s="978"/>
      <c r="JN283" s="978"/>
      <c r="JO283" s="978"/>
      <c r="JP283" s="978"/>
      <c r="JQ283" s="978"/>
      <c r="JR283" s="978"/>
      <c r="JS283" s="978"/>
      <c r="JT283" s="978"/>
      <c r="JU283" s="978"/>
      <c r="JV283" s="978"/>
      <c r="JW283" s="978"/>
      <c r="JX283" s="978"/>
      <c r="JY283" s="978"/>
      <c r="JZ283" s="978"/>
      <c r="KA283" s="978"/>
      <c r="KB283" s="978"/>
      <c r="KC283" s="978"/>
      <c r="KD283" s="978"/>
      <c r="KE283" s="978"/>
      <c r="KF283" s="978"/>
      <c r="KG283" s="978"/>
      <c r="KH283" s="978"/>
      <c r="KI283" s="978"/>
      <c r="KJ283" s="978"/>
      <c r="KK283" s="978"/>
      <c r="KL283" s="978"/>
      <c r="KM283" s="978"/>
      <c r="KN283" s="978"/>
      <c r="KO283" s="978"/>
      <c r="KP283" s="978"/>
      <c r="KQ283" s="978"/>
      <c r="KR283" s="978"/>
      <c r="KS283" s="978"/>
      <c r="KT283" s="978"/>
      <c r="KU283" s="978"/>
      <c r="KV283" s="978"/>
      <c r="KW283" s="978"/>
      <c r="KX283" s="978"/>
      <c r="KY283" s="978"/>
      <c r="KZ283" s="978"/>
      <c r="LA283" s="978"/>
      <c r="LB283" s="978"/>
      <c r="LC283" s="978"/>
      <c r="LD283" s="978"/>
      <c r="LE283" s="978"/>
      <c r="LF283" s="978"/>
      <c r="LG283" s="978"/>
      <c r="LH283" s="978"/>
      <c r="LI283" s="978"/>
      <c r="LJ283" s="978"/>
      <c r="LK283" s="978"/>
      <c r="LL283" s="978"/>
      <c r="LM283" s="978"/>
      <c r="LN283" s="978"/>
      <c r="LO283" s="978"/>
      <c r="LP283" s="978"/>
      <c r="LQ283" s="978"/>
      <c r="LR283" s="978"/>
      <c r="LS283" s="978"/>
      <c r="LT283" s="978"/>
      <c r="LU283" s="978"/>
      <c r="LV283" s="978"/>
      <c r="LW283" s="978"/>
      <c r="LX283" s="978"/>
      <c r="LY283" s="978"/>
      <c r="LZ283" s="978"/>
      <c r="MA283" s="978"/>
      <c r="MB283" s="978"/>
      <c r="MC283" s="978"/>
      <c r="MD283" s="978"/>
      <c r="ME283" s="978"/>
      <c r="MF283" s="978"/>
      <c r="MG283" s="978"/>
      <c r="MH283" s="978"/>
      <c r="MI283" s="978"/>
      <c r="MJ283" s="978"/>
      <c r="MK283" s="978"/>
      <c r="ML283" s="978"/>
      <c r="MM283" s="978"/>
      <c r="MN283" s="978"/>
      <c r="MO283" s="978"/>
      <c r="MP283" s="978"/>
      <c r="MQ283" s="978"/>
      <c r="MR283" s="978"/>
      <c r="MS283" s="978"/>
      <c r="MT283" s="978"/>
      <c r="MU283" s="978"/>
      <c r="MV283" s="978"/>
      <c r="MW283" s="978"/>
      <c r="MX283" s="978"/>
      <c r="MY283" s="978"/>
      <c r="MZ283" s="978"/>
      <c r="NA283" s="978"/>
      <c r="NB283" s="978"/>
      <c r="NC283" s="978"/>
      <c r="ND283" s="978"/>
      <c r="NE283" s="978"/>
      <c r="NF283" s="978"/>
      <c r="NG283" s="978"/>
      <c r="NH283" s="978"/>
      <c r="NI283" s="978"/>
      <c r="NJ283" s="978"/>
      <c r="NK283" s="978"/>
      <c r="NL283" s="978"/>
      <c r="NM283" s="978"/>
      <c r="NN283" s="978"/>
      <c r="NO283" s="978"/>
      <c r="NP283" s="978"/>
      <c r="NQ283" s="978"/>
      <c r="NR283" s="978"/>
      <c r="NS283" s="978"/>
      <c r="NT283" s="978"/>
      <c r="NU283" s="978"/>
      <c r="NV283" s="978"/>
      <c r="NW283" s="978"/>
      <c r="NX283" s="978"/>
      <c r="NY283" s="978"/>
      <c r="NZ283" s="978"/>
      <c r="OA283" s="978"/>
      <c r="OB283" s="978"/>
      <c r="OC283" s="978"/>
      <c r="OD283" s="978"/>
      <c r="OE283" s="978"/>
      <c r="OF283" s="978"/>
      <c r="OG283" s="978"/>
      <c r="OH283" s="978"/>
      <c r="OI283" s="978"/>
      <c r="OJ283" s="978"/>
      <c r="OK283" s="978"/>
      <c r="OL283" s="978"/>
      <c r="OM283" s="978"/>
      <c r="ON283" s="978"/>
      <c r="OO283" s="978"/>
      <c r="OP283" s="978"/>
      <c r="OQ283" s="978"/>
      <c r="OR283" s="978"/>
      <c r="OS283" s="978"/>
      <c r="OT283" s="978"/>
      <c r="OU283" s="978"/>
      <c r="OV283" s="978"/>
      <c r="OW283" s="978"/>
      <c r="OX283" s="978"/>
      <c r="OY283" s="978"/>
      <c r="OZ283" s="978"/>
      <c r="PA283" s="978"/>
      <c r="PB283" s="978"/>
      <c r="PC283" s="978"/>
      <c r="PD283" s="978"/>
      <c r="PE283" s="978"/>
      <c r="PF283" s="978"/>
      <c r="PG283" s="978"/>
      <c r="PH283" s="978"/>
      <c r="PI283" s="978"/>
      <c r="PJ283" s="978"/>
      <c r="PK283" s="978"/>
      <c r="PL283" s="978"/>
      <c r="PM283" s="978"/>
      <c r="PN283" s="978"/>
      <c r="PO283" s="978"/>
      <c r="PP283" s="978"/>
      <c r="PQ283" s="978"/>
      <c r="PR283" s="978"/>
      <c r="PS283" s="978"/>
      <c r="PT283" s="978"/>
      <c r="PU283" s="978"/>
      <c r="PV283" s="978"/>
      <c r="PW283" s="978"/>
      <c r="PX283" s="978"/>
      <c r="PY283" s="978"/>
      <c r="PZ283" s="978"/>
      <c r="QA283" s="978"/>
      <c r="QB283" s="978"/>
      <c r="QC283" s="978"/>
      <c r="QD283" s="978"/>
      <c r="QE283" s="978"/>
      <c r="QF283" s="978"/>
      <c r="QG283" s="978"/>
      <c r="QH283" s="978"/>
      <c r="QI283" s="978"/>
      <c r="QJ283" s="978"/>
      <c r="QK283" s="978"/>
      <c r="QL283" s="978"/>
      <c r="QM283" s="978"/>
      <c r="QN283" s="978"/>
      <c r="QO283" s="978"/>
      <c r="QP283" s="978"/>
      <c r="QQ283" s="978"/>
      <c r="QR283" s="978"/>
      <c r="QS283" s="978"/>
      <c r="QT283" s="978"/>
      <c r="QU283" s="978"/>
      <c r="QV283" s="978"/>
      <c r="QW283" s="978"/>
      <c r="QX283" s="978"/>
      <c r="QY283" s="978"/>
      <c r="QZ283" s="978"/>
      <c r="RA283" s="978"/>
      <c r="RB283" s="274"/>
      <c r="RC283" s="274"/>
    </row>
    <row r="284" spans="112:471" ht="17.25">
      <c r="DH284" s="274"/>
      <c r="DI284" s="274"/>
      <c r="DJ284" s="978"/>
      <c r="DK284" s="978"/>
      <c r="DL284" s="978"/>
      <c r="DM284" s="978"/>
      <c r="DN284" s="978"/>
      <c r="DO284" s="978"/>
      <c r="DP284" s="978"/>
      <c r="DQ284" s="978"/>
      <c r="DR284" s="978"/>
      <c r="DS284" s="978"/>
      <c r="DT284" s="978"/>
      <c r="DU284" s="978"/>
      <c r="DV284" s="978"/>
      <c r="DW284" s="978"/>
      <c r="DX284" s="978"/>
      <c r="DY284" s="978"/>
      <c r="DZ284" s="978"/>
      <c r="EA284" s="978"/>
      <c r="EB284" s="978"/>
      <c r="EC284" s="978"/>
      <c r="ED284" s="978"/>
      <c r="EE284" s="978"/>
      <c r="EF284" s="978"/>
      <c r="EG284" s="978"/>
      <c r="EH284" s="978"/>
      <c r="EI284" s="978"/>
      <c r="EJ284" s="978"/>
      <c r="EK284" s="978"/>
      <c r="EL284" s="978"/>
      <c r="EM284" s="978"/>
      <c r="EN284" s="978"/>
      <c r="EO284" s="978"/>
      <c r="EP284" s="978"/>
      <c r="EQ284" s="978"/>
      <c r="ER284" s="978"/>
      <c r="ES284" s="978"/>
      <c r="ET284" s="978"/>
      <c r="EU284" s="978"/>
      <c r="EV284" s="978"/>
      <c r="EW284" s="978"/>
      <c r="EX284" s="978"/>
      <c r="EY284" s="978"/>
      <c r="EZ284" s="978"/>
      <c r="FA284" s="978"/>
      <c r="FB284" s="978"/>
      <c r="FC284" s="978"/>
      <c r="FD284" s="978"/>
      <c r="FE284" s="978"/>
      <c r="FF284" s="978"/>
      <c r="FG284" s="978"/>
      <c r="FH284" s="978"/>
      <c r="FI284" s="978"/>
      <c r="FJ284" s="978"/>
      <c r="FK284" s="978"/>
      <c r="FL284" s="978"/>
      <c r="FM284" s="978"/>
      <c r="FN284" s="978"/>
      <c r="FO284" s="978"/>
      <c r="FP284" s="978"/>
      <c r="FQ284" s="978"/>
      <c r="FR284" s="978"/>
      <c r="FS284" s="978"/>
      <c r="FT284" s="978"/>
      <c r="FU284" s="978"/>
      <c r="FV284" s="978"/>
      <c r="FW284" s="978"/>
      <c r="FX284" s="978"/>
      <c r="FY284" s="978"/>
      <c r="FZ284" s="978"/>
      <c r="GA284" s="978"/>
      <c r="GB284" s="978"/>
      <c r="GC284" s="978"/>
      <c r="GD284" s="978"/>
      <c r="GE284" s="978"/>
      <c r="GF284" s="978"/>
      <c r="GG284" s="978"/>
      <c r="GH284" s="978"/>
      <c r="GI284" s="978"/>
      <c r="GJ284" s="978"/>
      <c r="GK284" s="978"/>
      <c r="GL284" s="978"/>
      <c r="GM284" s="978"/>
      <c r="GN284" s="978"/>
      <c r="GO284" s="978"/>
      <c r="GP284" s="978"/>
      <c r="GQ284" s="978"/>
      <c r="GR284" s="978"/>
      <c r="GS284" s="978"/>
      <c r="GT284" s="978"/>
      <c r="GU284" s="978"/>
      <c r="GV284" s="978"/>
      <c r="GW284" s="978"/>
      <c r="GX284" s="978"/>
      <c r="GY284" s="978"/>
      <c r="GZ284" s="978"/>
      <c r="HA284" s="978"/>
      <c r="HB284" s="978"/>
      <c r="HC284" s="978"/>
      <c r="HD284" s="978"/>
      <c r="HE284" s="978"/>
      <c r="HF284" s="978"/>
      <c r="HG284" s="978"/>
      <c r="HH284" s="978"/>
      <c r="HI284" s="978"/>
      <c r="HJ284" s="978"/>
      <c r="HK284" s="978"/>
      <c r="HL284" s="978"/>
      <c r="HM284" s="978"/>
      <c r="HN284" s="978"/>
      <c r="HO284" s="978"/>
      <c r="HP284" s="978"/>
      <c r="HQ284" s="978"/>
      <c r="HR284" s="978"/>
      <c r="HS284" s="978"/>
      <c r="HT284" s="978"/>
      <c r="HU284" s="978"/>
      <c r="HV284" s="978"/>
      <c r="HW284" s="978"/>
      <c r="HX284" s="978"/>
      <c r="HY284" s="978"/>
      <c r="HZ284" s="978"/>
      <c r="IA284" s="978"/>
      <c r="IB284" s="978"/>
      <c r="IC284" s="978"/>
      <c r="ID284" s="978"/>
      <c r="IE284" s="978"/>
      <c r="IF284" s="978"/>
      <c r="IG284" s="978"/>
      <c r="IH284" s="978"/>
      <c r="II284" s="978"/>
      <c r="IJ284" s="978"/>
      <c r="IK284" s="978"/>
      <c r="IL284" s="978"/>
      <c r="IM284" s="978"/>
      <c r="IN284" s="978"/>
      <c r="IO284" s="978"/>
      <c r="IP284" s="978"/>
      <c r="IQ284" s="978"/>
      <c r="IR284" s="978"/>
      <c r="IS284" s="978"/>
      <c r="IT284" s="978"/>
      <c r="IU284" s="978"/>
      <c r="IV284" s="978"/>
      <c r="IW284" s="978"/>
      <c r="IX284" s="978"/>
      <c r="IY284" s="978"/>
      <c r="IZ284" s="978"/>
      <c r="JA284" s="978"/>
      <c r="JB284" s="978"/>
      <c r="JC284" s="978"/>
      <c r="JD284" s="978"/>
      <c r="JE284" s="978"/>
      <c r="JF284" s="978"/>
      <c r="JG284" s="978"/>
      <c r="JH284" s="978"/>
      <c r="JI284" s="978"/>
      <c r="JJ284" s="978"/>
      <c r="JK284" s="978"/>
      <c r="JL284" s="978"/>
      <c r="JM284" s="978"/>
      <c r="JN284" s="978"/>
      <c r="JO284" s="978"/>
      <c r="JP284" s="978"/>
      <c r="JQ284" s="978"/>
      <c r="JR284" s="978"/>
      <c r="JS284" s="978"/>
      <c r="JT284" s="978"/>
      <c r="JU284" s="978"/>
      <c r="JV284" s="978"/>
      <c r="JW284" s="978"/>
      <c r="JX284" s="978"/>
      <c r="JY284" s="978"/>
      <c r="JZ284" s="978"/>
      <c r="KA284" s="978"/>
      <c r="KB284" s="978"/>
      <c r="KC284" s="978"/>
      <c r="KD284" s="978"/>
      <c r="KE284" s="978"/>
      <c r="KF284" s="978"/>
      <c r="KG284" s="978"/>
      <c r="KH284" s="978"/>
      <c r="KI284" s="978"/>
      <c r="KJ284" s="978"/>
      <c r="KK284" s="978"/>
      <c r="KL284" s="978"/>
      <c r="KM284" s="978"/>
      <c r="KN284" s="978"/>
      <c r="KO284" s="978"/>
      <c r="KP284" s="978"/>
      <c r="KQ284" s="978"/>
      <c r="KR284" s="978"/>
      <c r="KS284" s="978"/>
      <c r="KT284" s="978"/>
      <c r="KU284" s="978"/>
      <c r="KV284" s="978"/>
      <c r="KW284" s="978"/>
      <c r="KX284" s="978"/>
      <c r="KY284" s="978"/>
      <c r="KZ284" s="978"/>
      <c r="LA284" s="978"/>
      <c r="LB284" s="978"/>
      <c r="LC284" s="978"/>
      <c r="LD284" s="978"/>
      <c r="LE284" s="978"/>
      <c r="LF284" s="978"/>
      <c r="LG284" s="978"/>
      <c r="LH284" s="978"/>
      <c r="LI284" s="978"/>
      <c r="LJ284" s="978"/>
      <c r="LK284" s="978"/>
      <c r="LL284" s="978"/>
      <c r="LM284" s="978"/>
      <c r="LN284" s="978"/>
      <c r="LO284" s="978"/>
      <c r="LP284" s="978"/>
      <c r="LQ284" s="978"/>
      <c r="LR284" s="978"/>
      <c r="LS284" s="978"/>
      <c r="LT284" s="978"/>
      <c r="LU284" s="978"/>
      <c r="LV284" s="978"/>
      <c r="LW284" s="978"/>
      <c r="LX284" s="978"/>
      <c r="LY284" s="978"/>
      <c r="LZ284" s="978"/>
      <c r="MA284" s="978"/>
      <c r="MB284" s="978"/>
      <c r="MC284" s="978"/>
      <c r="MD284" s="978"/>
      <c r="ME284" s="978"/>
      <c r="MF284" s="978"/>
      <c r="MG284" s="978"/>
      <c r="MH284" s="978"/>
      <c r="MI284" s="978"/>
      <c r="MJ284" s="978"/>
      <c r="MK284" s="978"/>
      <c r="ML284" s="978"/>
      <c r="MM284" s="978"/>
      <c r="MN284" s="978"/>
      <c r="MO284" s="978"/>
      <c r="MP284" s="978"/>
      <c r="MQ284" s="978"/>
      <c r="MR284" s="978"/>
      <c r="MS284" s="978"/>
      <c r="MT284" s="978"/>
      <c r="MU284" s="978"/>
      <c r="MV284" s="978"/>
      <c r="MW284" s="978"/>
      <c r="MX284" s="978"/>
      <c r="MY284" s="978"/>
      <c r="MZ284" s="978"/>
      <c r="NA284" s="978"/>
      <c r="NB284" s="978"/>
      <c r="NC284" s="978"/>
      <c r="ND284" s="978"/>
      <c r="NE284" s="978"/>
      <c r="NF284" s="978"/>
      <c r="NG284" s="978"/>
      <c r="NH284" s="978"/>
      <c r="NI284" s="978"/>
      <c r="NJ284" s="978"/>
      <c r="NK284" s="978"/>
      <c r="NL284" s="978"/>
      <c r="NM284" s="978"/>
      <c r="NN284" s="978"/>
      <c r="NO284" s="978"/>
      <c r="NP284" s="978"/>
      <c r="NQ284" s="978"/>
      <c r="NR284" s="978"/>
      <c r="NS284" s="978"/>
      <c r="NT284" s="978"/>
      <c r="NU284" s="978"/>
      <c r="NV284" s="978"/>
      <c r="NW284" s="978"/>
      <c r="NX284" s="978"/>
      <c r="NY284" s="978"/>
      <c r="NZ284" s="978"/>
      <c r="OA284" s="978"/>
      <c r="OB284" s="978"/>
      <c r="OC284" s="978"/>
      <c r="OD284" s="978"/>
      <c r="OE284" s="978"/>
      <c r="OF284" s="978"/>
      <c r="OG284" s="978"/>
      <c r="OH284" s="978"/>
      <c r="OI284" s="978"/>
      <c r="OJ284" s="978"/>
      <c r="OK284" s="978"/>
      <c r="OL284" s="978"/>
      <c r="OM284" s="978"/>
      <c r="ON284" s="978"/>
      <c r="OO284" s="978"/>
      <c r="OP284" s="978"/>
      <c r="OQ284" s="978"/>
      <c r="OR284" s="978"/>
      <c r="OS284" s="978"/>
      <c r="OT284" s="978"/>
      <c r="OU284" s="978"/>
      <c r="OV284" s="978"/>
      <c r="OW284" s="978"/>
      <c r="OX284" s="978"/>
      <c r="OY284" s="978"/>
      <c r="OZ284" s="978"/>
      <c r="PA284" s="978"/>
      <c r="PB284" s="978"/>
      <c r="PC284" s="978"/>
      <c r="PD284" s="978"/>
      <c r="PE284" s="978"/>
      <c r="PF284" s="978"/>
      <c r="PG284" s="978"/>
      <c r="PH284" s="978"/>
      <c r="PI284" s="978"/>
      <c r="PJ284" s="978"/>
      <c r="PK284" s="978"/>
      <c r="PL284" s="978"/>
      <c r="PM284" s="978"/>
      <c r="PN284" s="978"/>
      <c r="PO284" s="978"/>
      <c r="PP284" s="978"/>
      <c r="PQ284" s="978"/>
      <c r="PR284" s="978"/>
      <c r="PS284" s="978"/>
      <c r="PT284" s="978"/>
      <c r="PU284" s="978"/>
      <c r="PV284" s="978"/>
      <c r="PW284" s="978"/>
      <c r="PX284" s="978"/>
      <c r="PY284" s="978"/>
      <c r="PZ284" s="978"/>
      <c r="QA284" s="978"/>
      <c r="QB284" s="978"/>
      <c r="QC284" s="978"/>
      <c r="QD284" s="978"/>
      <c r="QE284" s="978"/>
      <c r="QF284" s="978"/>
      <c r="QG284" s="978"/>
      <c r="QH284" s="978"/>
      <c r="QI284" s="978"/>
      <c r="QJ284" s="978"/>
      <c r="QK284" s="978"/>
      <c r="QL284" s="978"/>
      <c r="QM284" s="978"/>
      <c r="QN284" s="978"/>
      <c r="QO284" s="978"/>
      <c r="QP284" s="978"/>
      <c r="QQ284" s="978"/>
      <c r="QR284" s="978"/>
      <c r="QS284" s="978"/>
      <c r="QT284" s="978"/>
      <c r="QU284" s="978"/>
      <c r="QV284" s="978"/>
      <c r="QW284" s="978"/>
      <c r="QX284" s="978"/>
      <c r="QY284" s="978"/>
      <c r="QZ284" s="978"/>
      <c r="RA284" s="978"/>
      <c r="RB284" s="274"/>
      <c r="RC284" s="274"/>
    </row>
    <row r="285" spans="112:471">
      <c r="DH285" s="274"/>
      <c r="DI285" s="274"/>
      <c r="DJ285" s="274"/>
      <c r="DK285" s="274"/>
      <c r="DL285" s="274"/>
      <c r="DM285" s="274"/>
      <c r="DN285" s="274"/>
      <c r="DO285" s="274"/>
      <c r="DP285" s="274"/>
      <c r="DQ285" s="274"/>
      <c r="DR285" s="274"/>
      <c r="DS285" s="274"/>
      <c r="DT285" s="274"/>
      <c r="DU285" s="274"/>
      <c r="DV285" s="274"/>
      <c r="DW285" s="274"/>
      <c r="DX285" s="274"/>
      <c r="DY285" s="274"/>
      <c r="DZ285" s="274"/>
      <c r="EA285" s="274"/>
      <c r="EB285" s="274"/>
      <c r="EC285" s="274"/>
      <c r="ED285" s="274"/>
      <c r="EE285" s="274"/>
      <c r="EF285" s="274"/>
      <c r="EG285" s="274"/>
      <c r="EH285" s="274"/>
      <c r="EI285" s="274"/>
      <c r="EJ285" s="274"/>
      <c r="EK285" s="274"/>
      <c r="EL285" s="274"/>
      <c r="EM285" s="274"/>
      <c r="EN285" s="274"/>
      <c r="EO285" s="274"/>
      <c r="EP285" s="274"/>
      <c r="EQ285" s="274"/>
      <c r="ER285" s="274"/>
      <c r="ES285" s="274"/>
      <c r="ET285" s="274"/>
      <c r="EU285" s="274"/>
      <c r="EV285" s="274"/>
      <c r="EW285" s="274"/>
      <c r="EX285" s="274"/>
      <c r="EY285" s="274"/>
      <c r="EZ285" s="274"/>
      <c r="FA285" s="274"/>
      <c r="FB285" s="274"/>
      <c r="FC285" s="274"/>
      <c r="FD285" s="274"/>
      <c r="FE285" s="274"/>
      <c r="FF285" s="274"/>
      <c r="FG285" s="274"/>
      <c r="FH285" s="274"/>
      <c r="FI285" s="274"/>
      <c r="FJ285" s="274"/>
      <c r="FK285" s="274"/>
      <c r="FL285" s="274"/>
      <c r="FM285" s="274"/>
      <c r="FN285" s="274"/>
      <c r="FO285" s="274"/>
      <c r="FP285" s="274"/>
      <c r="FQ285" s="274"/>
      <c r="FR285" s="274"/>
      <c r="FS285" s="274"/>
      <c r="FT285" s="274"/>
      <c r="FU285" s="274"/>
      <c r="FV285" s="274"/>
      <c r="FW285" s="274"/>
      <c r="FX285" s="274"/>
      <c r="FY285" s="274"/>
      <c r="FZ285" s="274"/>
      <c r="GA285" s="274"/>
      <c r="GB285" s="274"/>
      <c r="GC285" s="274"/>
      <c r="GD285" s="274"/>
      <c r="GE285" s="274"/>
      <c r="GF285" s="274"/>
      <c r="GG285" s="274"/>
      <c r="GH285" s="274"/>
      <c r="GI285" s="274"/>
      <c r="GJ285" s="274"/>
      <c r="GK285" s="274"/>
      <c r="GL285" s="274"/>
      <c r="GM285" s="274"/>
      <c r="GN285" s="274"/>
      <c r="GO285" s="274"/>
      <c r="GP285" s="274"/>
      <c r="GQ285" s="274"/>
      <c r="GR285" s="274"/>
      <c r="GS285" s="274"/>
      <c r="GT285" s="274"/>
      <c r="GU285" s="274"/>
      <c r="GV285" s="274"/>
      <c r="GW285" s="274"/>
      <c r="GX285" s="274"/>
      <c r="GY285" s="274"/>
      <c r="GZ285" s="274"/>
      <c r="HA285" s="274"/>
      <c r="HB285" s="274"/>
      <c r="HC285" s="274"/>
      <c r="HD285" s="274"/>
      <c r="HE285" s="274"/>
      <c r="HF285" s="274"/>
      <c r="HG285" s="274"/>
      <c r="HH285" s="274"/>
      <c r="HI285" s="274"/>
      <c r="HJ285" s="274"/>
      <c r="HK285" s="274"/>
      <c r="HL285" s="274"/>
      <c r="HM285" s="274"/>
      <c r="HN285" s="274"/>
      <c r="HO285" s="274"/>
      <c r="HP285" s="274"/>
      <c r="HQ285" s="274"/>
      <c r="HR285" s="274"/>
      <c r="HS285" s="274"/>
      <c r="HT285" s="274"/>
      <c r="HU285" s="274"/>
      <c r="HV285" s="274"/>
      <c r="HW285" s="274"/>
      <c r="HX285" s="274"/>
      <c r="HY285" s="274"/>
      <c r="HZ285" s="274"/>
      <c r="IA285" s="274"/>
      <c r="IB285" s="274"/>
      <c r="IC285" s="274"/>
      <c r="ID285" s="274"/>
      <c r="IE285" s="274"/>
      <c r="IF285" s="274"/>
      <c r="IG285" s="274"/>
      <c r="IH285" s="274"/>
      <c r="II285" s="274"/>
      <c r="IJ285" s="274"/>
      <c r="IK285" s="274"/>
      <c r="IL285" s="274"/>
      <c r="IM285" s="274"/>
      <c r="IN285" s="274"/>
      <c r="IO285" s="274"/>
      <c r="IP285" s="274"/>
      <c r="IQ285" s="274"/>
      <c r="IR285" s="274"/>
      <c r="IS285" s="274"/>
      <c r="IT285" s="274"/>
      <c r="IU285" s="274"/>
      <c r="IV285" s="274"/>
      <c r="IW285" s="274"/>
      <c r="IX285" s="274"/>
      <c r="IY285" s="274"/>
      <c r="IZ285" s="274"/>
      <c r="JA285" s="274"/>
      <c r="JB285" s="274"/>
      <c r="JC285" s="274"/>
      <c r="JD285" s="274"/>
      <c r="JE285" s="274"/>
      <c r="JF285" s="274"/>
      <c r="JG285" s="274"/>
      <c r="JH285" s="274"/>
      <c r="JI285" s="274"/>
      <c r="JJ285" s="274"/>
      <c r="JK285" s="274"/>
      <c r="JL285" s="274"/>
      <c r="JM285" s="274"/>
      <c r="JN285" s="274"/>
      <c r="JO285" s="274"/>
      <c r="JP285" s="274"/>
      <c r="JQ285" s="274"/>
      <c r="JR285" s="274"/>
      <c r="JS285" s="274"/>
      <c r="JT285" s="274"/>
      <c r="JU285" s="274"/>
      <c r="JV285" s="274"/>
      <c r="JW285" s="274"/>
      <c r="JX285" s="274"/>
      <c r="JY285" s="274"/>
      <c r="JZ285" s="274"/>
      <c r="KA285" s="274"/>
      <c r="KB285" s="274"/>
      <c r="KC285" s="274"/>
      <c r="KD285" s="274"/>
      <c r="KE285" s="274"/>
      <c r="KF285" s="274"/>
      <c r="KG285" s="274"/>
      <c r="KH285" s="274"/>
      <c r="KI285" s="274"/>
      <c r="KJ285" s="274"/>
      <c r="KK285" s="274"/>
      <c r="KL285" s="274"/>
      <c r="KM285" s="274"/>
      <c r="KN285" s="274"/>
      <c r="KO285" s="274"/>
      <c r="KP285" s="274"/>
      <c r="KQ285" s="274"/>
      <c r="KR285" s="274"/>
      <c r="KS285" s="274"/>
      <c r="KT285" s="274"/>
      <c r="KU285" s="274"/>
      <c r="KV285" s="274"/>
      <c r="KW285" s="274"/>
      <c r="KX285" s="274"/>
      <c r="KY285" s="274"/>
      <c r="KZ285" s="274"/>
      <c r="LA285" s="274"/>
      <c r="LB285" s="274"/>
      <c r="LC285" s="274"/>
      <c r="LD285" s="274"/>
      <c r="LE285" s="274"/>
      <c r="LF285" s="274"/>
      <c r="LG285" s="274"/>
      <c r="LH285" s="274"/>
      <c r="LI285" s="274"/>
      <c r="LJ285" s="274"/>
      <c r="LK285" s="274"/>
      <c r="LL285" s="274"/>
      <c r="LM285" s="274"/>
      <c r="LN285" s="274"/>
      <c r="LO285" s="274"/>
      <c r="LP285" s="274"/>
      <c r="LQ285" s="274"/>
      <c r="LR285" s="274"/>
      <c r="LS285" s="274"/>
      <c r="LT285" s="274"/>
      <c r="LU285" s="274"/>
      <c r="LV285" s="274"/>
      <c r="LW285" s="274"/>
      <c r="LX285" s="274"/>
      <c r="LY285" s="274"/>
      <c r="LZ285" s="274"/>
      <c r="MA285" s="274"/>
      <c r="MB285" s="274"/>
      <c r="MC285" s="274"/>
      <c r="MD285" s="274"/>
      <c r="ME285" s="274"/>
      <c r="MF285" s="274"/>
      <c r="MG285" s="274"/>
      <c r="MH285" s="274"/>
      <c r="MI285" s="274"/>
      <c r="MJ285" s="274"/>
      <c r="MK285" s="274"/>
      <c r="ML285" s="274"/>
      <c r="MM285" s="274"/>
      <c r="MN285" s="274"/>
      <c r="MO285" s="274"/>
      <c r="MP285" s="274"/>
      <c r="MQ285" s="274"/>
      <c r="MR285" s="274"/>
      <c r="MS285" s="274"/>
      <c r="MT285" s="274"/>
      <c r="MU285" s="274"/>
      <c r="MV285" s="274"/>
      <c r="MW285" s="274"/>
      <c r="MX285" s="274"/>
      <c r="MY285" s="274"/>
      <c r="MZ285" s="274"/>
      <c r="NA285" s="274"/>
      <c r="NB285" s="274"/>
      <c r="NC285" s="274"/>
      <c r="ND285" s="274"/>
      <c r="NE285" s="274"/>
      <c r="NF285" s="274"/>
      <c r="NG285" s="274"/>
      <c r="NH285" s="274"/>
      <c r="NI285" s="274"/>
      <c r="NJ285" s="274"/>
      <c r="NK285" s="274"/>
      <c r="NL285" s="274"/>
      <c r="NM285" s="274"/>
      <c r="NN285" s="274"/>
      <c r="NO285" s="274"/>
      <c r="NP285" s="274"/>
      <c r="NQ285" s="274"/>
      <c r="NR285" s="274"/>
      <c r="NS285" s="274"/>
      <c r="NT285" s="274"/>
      <c r="NU285" s="274"/>
      <c r="NV285" s="274"/>
      <c r="NW285" s="274"/>
      <c r="NX285" s="274"/>
      <c r="NY285" s="274"/>
      <c r="NZ285" s="274"/>
      <c r="OA285" s="274"/>
      <c r="OB285" s="274"/>
      <c r="OC285" s="274"/>
      <c r="OD285" s="274"/>
      <c r="OE285" s="274"/>
      <c r="OF285" s="274"/>
      <c r="OG285" s="274"/>
      <c r="OH285" s="274"/>
      <c r="OI285" s="274"/>
      <c r="OJ285" s="274"/>
      <c r="OK285" s="274"/>
      <c r="OL285" s="274"/>
      <c r="OM285" s="274"/>
      <c r="ON285" s="274"/>
      <c r="OO285" s="274"/>
      <c r="OP285" s="274"/>
      <c r="OQ285" s="274"/>
      <c r="OR285" s="274"/>
      <c r="OS285" s="274"/>
      <c r="OT285" s="274"/>
      <c r="OU285" s="274"/>
      <c r="OV285" s="274"/>
      <c r="OW285" s="274"/>
      <c r="OX285" s="274"/>
      <c r="OY285" s="274"/>
      <c r="OZ285" s="274"/>
      <c r="PA285" s="274"/>
      <c r="PB285" s="274"/>
      <c r="PC285" s="274"/>
      <c r="PD285" s="274"/>
      <c r="PE285" s="274"/>
      <c r="PF285" s="274"/>
      <c r="PG285" s="274"/>
      <c r="PH285" s="274"/>
      <c r="PI285" s="274"/>
      <c r="PJ285" s="274"/>
      <c r="PK285" s="274"/>
      <c r="PL285" s="274"/>
      <c r="PM285" s="274"/>
      <c r="PN285" s="274"/>
      <c r="PO285" s="274"/>
      <c r="PP285" s="274"/>
      <c r="PQ285" s="274"/>
      <c r="PR285" s="274"/>
      <c r="PS285" s="274"/>
      <c r="PT285" s="274"/>
      <c r="PU285" s="274"/>
      <c r="PV285" s="274"/>
      <c r="PW285" s="274"/>
      <c r="PX285" s="274"/>
      <c r="PY285" s="274"/>
      <c r="PZ285" s="274"/>
      <c r="QA285" s="274"/>
      <c r="QB285" s="274"/>
      <c r="QC285" s="274"/>
      <c r="QD285" s="274"/>
      <c r="QE285" s="274"/>
      <c r="QF285" s="274"/>
      <c r="QG285" s="274"/>
      <c r="QH285" s="274"/>
      <c r="QI285" s="274"/>
      <c r="QJ285" s="274"/>
      <c r="QK285" s="274"/>
      <c r="QL285" s="274"/>
      <c r="QM285" s="274"/>
      <c r="QN285" s="274"/>
      <c r="QO285" s="274"/>
      <c r="QP285" s="274"/>
      <c r="QQ285" s="274"/>
      <c r="QR285" s="274"/>
      <c r="QS285" s="274"/>
      <c r="QT285" s="274"/>
      <c r="QU285" s="274"/>
      <c r="QV285" s="274"/>
      <c r="QW285" s="274"/>
      <c r="QX285" s="274"/>
      <c r="QY285" s="274"/>
      <c r="QZ285" s="274"/>
      <c r="RA285" s="274"/>
      <c r="RB285" s="274"/>
      <c r="RC285" s="274"/>
    </row>
    <row r="286" spans="112:471">
      <c r="DH286" s="274"/>
      <c r="DI286" s="274"/>
      <c r="DJ286" s="274"/>
      <c r="DK286" s="274"/>
      <c r="DL286" s="274"/>
      <c r="DM286" s="274"/>
      <c r="DN286" s="274"/>
      <c r="DO286" s="274"/>
      <c r="DP286" s="274"/>
      <c r="DQ286" s="274"/>
      <c r="DR286" s="274"/>
      <c r="DS286" s="274"/>
      <c r="DT286" s="274"/>
      <c r="DU286" s="274"/>
      <c r="DV286" s="274"/>
      <c r="DW286" s="274"/>
      <c r="DX286" s="274"/>
      <c r="DY286" s="274"/>
      <c r="DZ286" s="274"/>
      <c r="EA286" s="274"/>
      <c r="EB286" s="274"/>
      <c r="EC286" s="274"/>
      <c r="ED286" s="274"/>
      <c r="EE286" s="274"/>
      <c r="EF286" s="274"/>
      <c r="EG286" s="274"/>
      <c r="EH286" s="274"/>
      <c r="EI286" s="274"/>
      <c r="EJ286" s="274"/>
      <c r="EK286" s="274"/>
      <c r="EL286" s="274"/>
      <c r="EM286" s="274"/>
      <c r="EN286" s="274"/>
      <c r="EO286" s="274"/>
      <c r="EP286" s="274"/>
      <c r="EQ286" s="274"/>
      <c r="ER286" s="274"/>
      <c r="ES286" s="274"/>
      <c r="ET286" s="274"/>
      <c r="EU286" s="274"/>
      <c r="EV286" s="274"/>
      <c r="EW286" s="274"/>
      <c r="EX286" s="274"/>
      <c r="EY286" s="274"/>
      <c r="EZ286" s="274"/>
      <c r="FA286" s="274"/>
      <c r="FB286" s="274"/>
      <c r="FC286" s="274"/>
      <c r="FD286" s="274"/>
      <c r="FE286" s="274"/>
      <c r="FF286" s="274"/>
      <c r="FG286" s="274"/>
      <c r="FH286" s="274"/>
      <c r="FI286" s="274"/>
      <c r="FJ286" s="274"/>
      <c r="FK286" s="274"/>
      <c r="FL286" s="274"/>
      <c r="FM286" s="274"/>
      <c r="FN286" s="274"/>
      <c r="FO286" s="274"/>
      <c r="FP286" s="274"/>
      <c r="FQ286" s="274"/>
      <c r="FR286" s="274"/>
      <c r="FS286" s="274"/>
      <c r="FT286" s="274"/>
      <c r="FU286" s="274"/>
      <c r="FV286" s="274"/>
      <c r="FW286" s="274"/>
      <c r="FX286" s="274"/>
      <c r="FY286" s="274"/>
      <c r="FZ286" s="274"/>
      <c r="GA286" s="274"/>
      <c r="GB286" s="274"/>
      <c r="GC286" s="274"/>
      <c r="GD286" s="274"/>
      <c r="GE286" s="274"/>
      <c r="GF286" s="274"/>
      <c r="GG286" s="274"/>
      <c r="GH286" s="274"/>
      <c r="GI286" s="274"/>
      <c r="GJ286" s="274"/>
      <c r="GK286" s="274"/>
      <c r="GL286" s="274"/>
      <c r="GM286" s="274"/>
      <c r="GN286" s="274"/>
      <c r="GO286" s="274"/>
      <c r="GP286" s="274"/>
      <c r="GQ286" s="274"/>
      <c r="GR286" s="274"/>
      <c r="GS286" s="274"/>
      <c r="GT286" s="274"/>
      <c r="GU286" s="274"/>
      <c r="GV286" s="274"/>
      <c r="GW286" s="274"/>
      <c r="GX286" s="274"/>
      <c r="GY286" s="274"/>
      <c r="GZ286" s="274"/>
      <c r="HA286" s="274"/>
      <c r="HB286" s="274"/>
      <c r="HC286" s="274"/>
      <c r="HD286" s="274"/>
      <c r="HE286" s="274"/>
      <c r="HF286" s="274"/>
      <c r="HG286" s="274"/>
      <c r="HH286" s="274"/>
      <c r="HI286" s="274"/>
      <c r="HJ286" s="274"/>
      <c r="HK286" s="274"/>
      <c r="HL286" s="274"/>
      <c r="HM286" s="274"/>
      <c r="HN286" s="274"/>
      <c r="HO286" s="274"/>
      <c r="HP286" s="274"/>
      <c r="HQ286" s="274"/>
      <c r="HR286" s="274"/>
      <c r="HS286" s="274"/>
      <c r="HT286" s="274"/>
      <c r="HU286" s="274"/>
      <c r="HV286" s="274"/>
      <c r="HW286" s="274"/>
      <c r="HX286" s="274"/>
      <c r="HY286" s="274"/>
      <c r="HZ286" s="274"/>
      <c r="IA286" s="274"/>
      <c r="IB286" s="274"/>
      <c r="IC286" s="274"/>
      <c r="ID286" s="274"/>
      <c r="IE286" s="274"/>
      <c r="IF286" s="274"/>
      <c r="IG286" s="274"/>
      <c r="IH286" s="274"/>
      <c r="II286" s="274"/>
      <c r="IJ286" s="274"/>
      <c r="IK286" s="274"/>
      <c r="IL286" s="274"/>
      <c r="IM286" s="274"/>
      <c r="IN286" s="274"/>
      <c r="IO286" s="274"/>
      <c r="IP286" s="274"/>
      <c r="IQ286" s="274"/>
      <c r="IR286" s="274"/>
      <c r="IS286" s="274"/>
      <c r="IT286" s="274"/>
      <c r="IU286" s="274"/>
      <c r="IV286" s="274"/>
      <c r="IW286" s="274"/>
      <c r="IX286" s="274"/>
      <c r="IY286" s="274"/>
      <c r="IZ286" s="274"/>
      <c r="JA286" s="274"/>
      <c r="JB286" s="274"/>
      <c r="JC286" s="274"/>
      <c r="JD286" s="274"/>
      <c r="JE286" s="274"/>
      <c r="JF286" s="274"/>
      <c r="JG286" s="274"/>
      <c r="JH286" s="274"/>
      <c r="JI286" s="274"/>
      <c r="JJ286" s="274"/>
      <c r="JK286" s="274"/>
      <c r="JL286" s="274"/>
      <c r="JM286" s="274"/>
      <c r="JN286" s="274"/>
      <c r="JO286" s="274"/>
      <c r="JP286" s="274"/>
      <c r="JQ286" s="274"/>
      <c r="JR286" s="274"/>
      <c r="JS286" s="274"/>
      <c r="JT286" s="274"/>
      <c r="JU286" s="274"/>
      <c r="JV286" s="274"/>
      <c r="JW286" s="274"/>
      <c r="JX286" s="274"/>
      <c r="JY286" s="274"/>
      <c r="JZ286" s="274"/>
      <c r="KA286" s="274"/>
      <c r="KB286" s="274"/>
      <c r="KC286" s="274"/>
      <c r="KD286" s="274"/>
      <c r="KE286" s="274"/>
      <c r="KF286" s="274"/>
      <c r="KG286" s="274"/>
      <c r="KH286" s="274"/>
      <c r="KI286" s="274"/>
      <c r="KJ286" s="274"/>
      <c r="KK286" s="274"/>
      <c r="KL286" s="274"/>
      <c r="KM286" s="274"/>
      <c r="KN286" s="274"/>
      <c r="KO286" s="274"/>
      <c r="KP286" s="274"/>
      <c r="KQ286" s="274"/>
      <c r="KR286" s="274"/>
      <c r="KS286" s="274"/>
      <c r="KT286" s="274"/>
      <c r="KU286" s="274"/>
      <c r="KV286" s="274"/>
      <c r="KW286" s="274"/>
      <c r="KX286" s="274"/>
      <c r="KY286" s="274"/>
      <c r="KZ286" s="274"/>
      <c r="LA286" s="274"/>
      <c r="LB286" s="274"/>
      <c r="LC286" s="274"/>
      <c r="LD286" s="274"/>
      <c r="LE286" s="274"/>
      <c r="LF286" s="274"/>
      <c r="LG286" s="274"/>
      <c r="LH286" s="274"/>
      <c r="LI286" s="274"/>
      <c r="LJ286" s="274"/>
      <c r="LK286" s="274"/>
      <c r="LL286" s="274"/>
      <c r="LM286" s="274"/>
      <c r="LN286" s="274"/>
      <c r="LO286" s="274"/>
      <c r="LP286" s="274"/>
      <c r="LQ286" s="274"/>
      <c r="LR286" s="274"/>
      <c r="LS286" s="274"/>
      <c r="LT286" s="274"/>
      <c r="LU286" s="274"/>
      <c r="LV286" s="274"/>
      <c r="LW286" s="274"/>
      <c r="LX286" s="274"/>
      <c r="LY286" s="274"/>
      <c r="LZ286" s="274"/>
      <c r="MA286" s="274"/>
      <c r="MB286" s="274"/>
      <c r="MC286" s="274"/>
      <c r="MD286" s="274"/>
      <c r="ME286" s="274"/>
      <c r="MF286" s="274"/>
      <c r="MG286" s="274"/>
      <c r="MH286" s="274"/>
      <c r="MI286" s="274"/>
      <c r="MJ286" s="274"/>
      <c r="MK286" s="274"/>
      <c r="ML286" s="274"/>
      <c r="MM286" s="274"/>
      <c r="MN286" s="274"/>
      <c r="MO286" s="274"/>
      <c r="MP286" s="274"/>
      <c r="MQ286" s="274"/>
      <c r="MR286" s="274"/>
      <c r="MS286" s="274"/>
      <c r="MT286" s="274"/>
      <c r="MU286" s="274"/>
      <c r="MV286" s="274"/>
      <c r="MW286" s="274"/>
      <c r="MX286" s="274"/>
      <c r="MY286" s="274"/>
      <c r="MZ286" s="274"/>
      <c r="NA286" s="274"/>
      <c r="NB286" s="274"/>
      <c r="NC286" s="274"/>
      <c r="ND286" s="274"/>
      <c r="NE286" s="274"/>
      <c r="NF286" s="274"/>
      <c r="NG286" s="274"/>
      <c r="NH286" s="274"/>
      <c r="NI286" s="274"/>
      <c r="NJ286" s="274"/>
      <c r="NK286" s="274"/>
      <c r="NL286" s="274"/>
      <c r="NM286" s="274"/>
      <c r="NN286" s="274"/>
      <c r="NO286" s="274"/>
      <c r="NP286" s="274"/>
      <c r="NQ286" s="274"/>
      <c r="NR286" s="274"/>
      <c r="NS286" s="274"/>
      <c r="NT286" s="274"/>
      <c r="NU286" s="274"/>
      <c r="NV286" s="274"/>
      <c r="NW286" s="274"/>
      <c r="NX286" s="274"/>
      <c r="NY286" s="274"/>
      <c r="NZ286" s="274"/>
      <c r="OA286" s="274"/>
      <c r="OB286" s="274"/>
      <c r="OC286" s="274"/>
      <c r="OD286" s="274"/>
      <c r="OE286" s="274"/>
      <c r="OF286" s="274"/>
      <c r="OG286" s="274"/>
      <c r="OH286" s="274"/>
      <c r="OI286" s="274"/>
      <c r="OJ286" s="274"/>
      <c r="OK286" s="274"/>
      <c r="OL286" s="274"/>
      <c r="OM286" s="274"/>
      <c r="ON286" s="274"/>
      <c r="OO286" s="274"/>
      <c r="OP286" s="274"/>
      <c r="OQ286" s="274"/>
      <c r="OR286" s="274"/>
      <c r="OS286" s="274"/>
      <c r="OT286" s="274"/>
      <c r="OU286" s="274"/>
      <c r="OV286" s="274"/>
      <c r="OW286" s="274"/>
      <c r="OX286" s="274"/>
      <c r="OY286" s="274"/>
      <c r="OZ286" s="274"/>
      <c r="PA286" s="274"/>
      <c r="PB286" s="274"/>
      <c r="PC286" s="274"/>
      <c r="PD286" s="274"/>
      <c r="PE286" s="274"/>
      <c r="PF286" s="274"/>
      <c r="PG286" s="274"/>
      <c r="PH286" s="274"/>
      <c r="PI286" s="274"/>
      <c r="PJ286" s="274"/>
      <c r="PK286" s="274"/>
      <c r="PL286" s="274"/>
      <c r="PM286" s="274"/>
      <c r="PN286" s="274"/>
      <c r="PO286" s="274"/>
      <c r="PP286" s="274"/>
      <c r="PQ286" s="274"/>
      <c r="PR286" s="274"/>
      <c r="PS286" s="274"/>
      <c r="PT286" s="274"/>
      <c r="PU286" s="274"/>
      <c r="PV286" s="274"/>
      <c r="PW286" s="274"/>
      <c r="PX286" s="274"/>
      <c r="PY286" s="274"/>
      <c r="PZ286" s="274"/>
      <c r="QA286" s="274"/>
      <c r="QB286" s="274"/>
      <c r="QC286" s="274"/>
      <c r="QD286" s="274"/>
      <c r="QE286" s="274"/>
      <c r="QF286" s="274"/>
      <c r="QG286" s="274"/>
      <c r="QH286" s="274"/>
      <c r="QI286" s="274"/>
      <c r="QJ286" s="274"/>
      <c r="QK286" s="274"/>
      <c r="QL286" s="274"/>
      <c r="QM286" s="274"/>
      <c r="QN286" s="274"/>
      <c r="QO286" s="274"/>
      <c r="QP286" s="274"/>
      <c r="QQ286" s="274"/>
      <c r="QR286" s="274"/>
      <c r="QS286" s="274"/>
      <c r="QT286" s="274"/>
      <c r="QU286" s="274"/>
      <c r="QV286" s="274"/>
      <c r="QW286" s="274"/>
      <c r="QX286" s="274"/>
      <c r="QY286" s="274"/>
      <c r="QZ286" s="274"/>
      <c r="RA286" s="274"/>
      <c r="RB286" s="274"/>
      <c r="RC286" s="274"/>
    </row>
    <row r="287" spans="112:471" ht="17.25">
      <c r="DH287" s="274"/>
      <c r="DI287" s="274"/>
      <c r="DJ287" s="978"/>
      <c r="DK287" s="274"/>
      <c r="DL287" s="274"/>
      <c r="DM287" s="274"/>
      <c r="DN287" s="274"/>
      <c r="DO287" s="274"/>
      <c r="DP287" s="274"/>
      <c r="DQ287" s="274"/>
      <c r="DR287" s="274"/>
      <c r="DS287" s="274"/>
      <c r="DT287" s="274"/>
      <c r="DU287" s="274"/>
      <c r="DV287" s="274"/>
      <c r="DW287" s="274"/>
      <c r="DX287" s="274"/>
      <c r="DY287" s="274"/>
      <c r="DZ287" s="274"/>
      <c r="EA287" s="274"/>
      <c r="EB287" s="274"/>
      <c r="EC287" s="274"/>
      <c r="ED287" s="274"/>
      <c r="EE287" s="274"/>
      <c r="EF287" s="274"/>
      <c r="EG287" s="274"/>
      <c r="EH287" s="274"/>
      <c r="EI287" s="274"/>
      <c r="EJ287" s="274"/>
      <c r="EK287" s="274"/>
      <c r="EL287" s="274"/>
      <c r="EM287" s="274"/>
      <c r="EN287" s="274"/>
      <c r="EO287" s="274"/>
      <c r="EP287" s="274"/>
      <c r="EQ287" s="274"/>
      <c r="ER287" s="274"/>
      <c r="ES287" s="274"/>
      <c r="ET287" s="274"/>
      <c r="EU287" s="274"/>
      <c r="EV287" s="274"/>
      <c r="EW287" s="274"/>
      <c r="EX287" s="274"/>
      <c r="EY287" s="274"/>
      <c r="EZ287" s="274"/>
      <c r="FA287" s="274"/>
      <c r="FB287" s="274"/>
      <c r="FC287" s="274"/>
      <c r="FD287" s="274"/>
      <c r="FE287" s="274"/>
      <c r="FF287" s="274"/>
      <c r="FG287" s="274"/>
      <c r="FH287" s="274"/>
      <c r="FI287" s="274"/>
      <c r="FJ287" s="274"/>
      <c r="FK287" s="274"/>
      <c r="FL287" s="274"/>
      <c r="FM287" s="274"/>
      <c r="FN287" s="274"/>
      <c r="FO287" s="274"/>
      <c r="FP287" s="274"/>
      <c r="FQ287" s="274"/>
      <c r="FR287" s="274"/>
      <c r="FS287" s="274"/>
      <c r="FT287" s="274"/>
      <c r="FU287" s="274"/>
      <c r="FV287" s="274"/>
      <c r="FW287" s="274"/>
      <c r="FX287" s="274"/>
      <c r="FY287" s="274"/>
      <c r="FZ287" s="274"/>
      <c r="GA287" s="274"/>
      <c r="GB287" s="274"/>
      <c r="GC287" s="274"/>
      <c r="GD287" s="274"/>
      <c r="GE287" s="274"/>
      <c r="GF287" s="274"/>
      <c r="GG287" s="274"/>
      <c r="GH287" s="274"/>
      <c r="GI287" s="274"/>
      <c r="GJ287" s="274"/>
      <c r="GK287" s="274"/>
      <c r="GL287" s="274"/>
      <c r="GM287" s="274"/>
      <c r="GN287" s="274"/>
      <c r="GO287" s="274"/>
      <c r="GP287" s="274"/>
      <c r="GQ287" s="274"/>
      <c r="GR287" s="274"/>
      <c r="GS287" s="274"/>
      <c r="GT287" s="274"/>
      <c r="GU287" s="274"/>
      <c r="GV287" s="274"/>
      <c r="GW287" s="274"/>
      <c r="GX287" s="274"/>
      <c r="GY287" s="274"/>
      <c r="GZ287" s="274"/>
      <c r="HA287" s="274"/>
      <c r="HB287" s="274"/>
      <c r="HC287" s="274"/>
      <c r="HD287" s="274"/>
      <c r="HE287" s="274"/>
      <c r="HF287" s="274"/>
      <c r="HG287" s="274"/>
      <c r="HH287" s="274"/>
      <c r="HI287" s="274"/>
      <c r="HJ287" s="274"/>
      <c r="HK287" s="274"/>
      <c r="HL287" s="274"/>
      <c r="HM287" s="274"/>
      <c r="HN287" s="274"/>
      <c r="HO287" s="274"/>
      <c r="HP287" s="274"/>
      <c r="HQ287" s="274"/>
      <c r="HR287" s="274"/>
      <c r="HS287" s="274"/>
      <c r="HT287" s="274"/>
      <c r="HU287" s="274"/>
      <c r="HV287" s="274"/>
      <c r="HW287" s="274"/>
      <c r="HX287" s="274"/>
      <c r="HY287" s="274"/>
      <c r="HZ287" s="274"/>
      <c r="IA287" s="274"/>
      <c r="IB287" s="274"/>
      <c r="IC287" s="274"/>
      <c r="ID287" s="274"/>
      <c r="IE287" s="274"/>
      <c r="IF287" s="274"/>
      <c r="IG287" s="274"/>
      <c r="IH287" s="274"/>
      <c r="II287" s="274"/>
      <c r="IJ287" s="274"/>
      <c r="IK287" s="274"/>
      <c r="IL287" s="274"/>
      <c r="IM287" s="274"/>
      <c r="IN287" s="274"/>
      <c r="IO287" s="274"/>
      <c r="IP287" s="274"/>
      <c r="IQ287" s="274"/>
      <c r="IR287" s="274"/>
      <c r="IS287" s="274"/>
      <c r="IT287" s="274"/>
      <c r="IU287" s="274"/>
      <c r="IV287" s="274"/>
      <c r="IW287" s="274"/>
      <c r="IX287" s="274"/>
      <c r="IY287" s="274"/>
      <c r="IZ287" s="274"/>
      <c r="JA287" s="274"/>
      <c r="JB287" s="274"/>
      <c r="JC287" s="274"/>
      <c r="JD287" s="274"/>
      <c r="JE287" s="274"/>
      <c r="JF287" s="274"/>
      <c r="JG287" s="274"/>
      <c r="JH287" s="274"/>
      <c r="JI287" s="274"/>
      <c r="JJ287" s="274"/>
      <c r="JK287" s="274"/>
      <c r="JL287" s="274"/>
      <c r="JM287" s="274"/>
      <c r="JN287" s="274"/>
      <c r="JO287" s="274"/>
      <c r="JP287" s="274"/>
      <c r="JQ287" s="274"/>
      <c r="JR287" s="274"/>
      <c r="JS287" s="274"/>
      <c r="JT287" s="274"/>
      <c r="JU287" s="274"/>
      <c r="JV287" s="274"/>
      <c r="JW287" s="274"/>
      <c r="JX287" s="274"/>
      <c r="JY287" s="274"/>
      <c r="JZ287" s="274"/>
      <c r="KA287" s="274"/>
      <c r="KB287" s="274"/>
      <c r="KC287" s="274"/>
      <c r="KD287" s="274"/>
      <c r="KE287" s="274"/>
      <c r="KF287" s="274"/>
      <c r="KG287" s="274"/>
      <c r="KH287" s="274"/>
      <c r="KI287" s="274"/>
      <c r="KJ287" s="274"/>
      <c r="KK287" s="274"/>
      <c r="KL287" s="274"/>
      <c r="KM287" s="274"/>
      <c r="KN287" s="274"/>
      <c r="KO287" s="274"/>
      <c r="KP287" s="274"/>
      <c r="KQ287" s="274"/>
      <c r="KR287" s="274"/>
      <c r="KS287" s="274"/>
      <c r="KT287" s="274"/>
      <c r="KU287" s="274"/>
      <c r="KV287" s="274"/>
      <c r="KW287" s="274"/>
      <c r="KX287" s="274"/>
      <c r="KY287" s="274"/>
      <c r="KZ287" s="274"/>
      <c r="LA287" s="274"/>
      <c r="LB287" s="274"/>
      <c r="LC287" s="274"/>
      <c r="LD287" s="274"/>
      <c r="LE287" s="274"/>
      <c r="LF287" s="274"/>
      <c r="LG287" s="274"/>
      <c r="LH287" s="274"/>
      <c r="LI287" s="274"/>
      <c r="LJ287" s="274"/>
      <c r="LK287" s="274"/>
      <c r="LL287" s="274"/>
      <c r="LM287" s="274"/>
      <c r="LN287" s="274"/>
      <c r="LO287" s="274"/>
      <c r="LP287" s="274"/>
      <c r="LQ287" s="274"/>
      <c r="LR287" s="274"/>
      <c r="LS287" s="274"/>
      <c r="LT287" s="274"/>
      <c r="LU287" s="274"/>
      <c r="LV287" s="274"/>
      <c r="LW287" s="274"/>
      <c r="LX287" s="274"/>
      <c r="LY287" s="274"/>
      <c r="LZ287" s="274"/>
      <c r="MA287" s="274"/>
      <c r="MB287" s="274"/>
      <c r="MC287" s="274"/>
      <c r="MD287" s="274"/>
      <c r="ME287" s="274"/>
      <c r="MF287" s="274"/>
      <c r="MG287" s="274"/>
      <c r="MH287" s="274"/>
      <c r="MI287" s="274"/>
      <c r="MJ287" s="274"/>
      <c r="MK287" s="274"/>
      <c r="ML287" s="274"/>
      <c r="MM287" s="274"/>
      <c r="MN287" s="274"/>
      <c r="MO287" s="274"/>
      <c r="MP287" s="274"/>
      <c r="MQ287" s="274"/>
      <c r="MR287" s="274"/>
      <c r="MS287" s="274"/>
      <c r="MT287" s="274"/>
      <c r="MU287" s="274"/>
      <c r="MV287" s="274"/>
      <c r="MW287" s="274"/>
      <c r="MX287" s="274"/>
      <c r="MY287" s="274"/>
      <c r="MZ287" s="274"/>
      <c r="NA287" s="274"/>
      <c r="NB287" s="274"/>
      <c r="NC287" s="274"/>
      <c r="ND287" s="274"/>
      <c r="NE287" s="274"/>
      <c r="NF287" s="274"/>
      <c r="NG287" s="274"/>
      <c r="NH287" s="274"/>
      <c r="NI287" s="274"/>
      <c r="NJ287" s="274"/>
      <c r="NK287" s="274"/>
      <c r="NL287" s="274"/>
      <c r="NM287" s="274"/>
      <c r="NN287" s="274"/>
      <c r="NO287" s="274"/>
      <c r="NP287" s="274"/>
      <c r="NQ287" s="274"/>
      <c r="NR287" s="274"/>
      <c r="NS287" s="274"/>
      <c r="NT287" s="274"/>
      <c r="NU287" s="274"/>
      <c r="NV287" s="274"/>
      <c r="NW287" s="274"/>
      <c r="NX287" s="274"/>
      <c r="NY287" s="274"/>
      <c r="NZ287" s="274"/>
      <c r="OA287" s="274"/>
      <c r="OB287" s="274"/>
      <c r="OC287" s="274"/>
      <c r="OD287" s="274"/>
      <c r="OE287" s="274"/>
      <c r="OF287" s="274"/>
      <c r="OG287" s="274"/>
      <c r="OH287" s="274"/>
      <c r="OI287" s="274"/>
      <c r="OJ287" s="274"/>
      <c r="OK287" s="274"/>
      <c r="OL287" s="274"/>
      <c r="OM287" s="274"/>
      <c r="ON287" s="274"/>
      <c r="OO287" s="274"/>
      <c r="OP287" s="274"/>
      <c r="OQ287" s="274"/>
      <c r="OR287" s="274"/>
      <c r="OS287" s="274"/>
      <c r="OT287" s="274"/>
      <c r="OU287" s="274"/>
      <c r="OV287" s="274"/>
      <c r="OW287" s="274"/>
      <c r="OX287" s="274"/>
      <c r="OY287" s="274"/>
      <c r="OZ287" s="274"/>
      <c r="PA287" s="274"/>
      <c r="PB287" s="274"/>
      <c r="PC287" s="274"/>
      <c r="PD287" s="274"/>
      <c r="PE287" s="274"/>
      <c r="PF287" s="274"/>
      <c r="PG287" s="274"/>
      <c r="PH287" s="274"/>
      <c r="PI287" s="274"/>
      <c r="PJ287" s="274"/>
      <c r="PK287" s="274"/>
      <c r="PL287" s="274"/>
      <c r="PM287" s="274"/>
      <c r="PN287" s="274"/>
      <c r="PO287" s="274"/>
      <c r="PP287" s="274"/>
      <c r="PQ287" s="274"/>
      <c r="PR287" s="274"/>
      <c r="PS287" s="274"/>
      <c r="PT287" s="274"/>
      <c r="PU287" s="274"/>
      <c r="PV287" s="274"/>
      <c r="PW287" s="274"/>
      <c r="PX287" s="274"/>
      <c r="PY287" s="274"/>
      <c r="PZ287" s="274"/>
      <c r="QA287" s="274"/>
      <c r="QB287" s="274"/>
      <c r="QC287" s="274"/>
      <c r="QD287" s="274"/>
      <c r="QE287" s="274"/>
      <c r="QF287" s="274"/>
      <c r="QG287" s="274"/>
      <c r="QH287" s="274"/>
      <c r="QI287" s="274"/>
      <c r="QJ287" s="274"/>
      <c r="QK287" s="274"/>
      <c r="QL287" s="274"/>
      <c r="QM287" s="274"/>
      <c r="QN287" s="274"/>
      <c r="QO287" s="274"/>
      <c r="QP287" s="274"/>
      <c r="QQ287" s="274"/>
      <c r="QR287" s="274"/>
      <c r="QS287" s="274"/>
      <c r="QT287" s="274"/>
      <c r="QU287" s="274"/>
      <c r="QV287" s="274"/>
      <c r="QW287" s="274"/>
      <c r="QX287" s="274"/>
      <c r="QY287" s="274"/>
      <c r="QZ287" s="274"/>
      <c r="RA287" s="274"/>
      <c r="RB287" s="274"/>
      <c r="RC287" s="274"/>
    </row>
    <row r="288" spans="112:471" ht="17.25">
      <c r="DH288" s="274"/>
      <c r="DI288" s="274"/>
      <c r="DJ288" s="978"/>
      <c r="DK288" s="978"/>
      <c r="DL288" s="978"/>
      <c r="DM288" s="978"/>
      <c r="DN288" s="978"/>
      <c r="DO288" s="978"/>
      <c r="DP288" s="978"/>
      <c r="DQ288" s="978"/>
      <c r="DR288" s="978"/>
      <c r="DS288" s="978"/>
      <c r="DT288" s="978"/>
      <c r="DU288" s="978"/>
      <c r="DV288" s="978"/>
      <c r="DW288" s="978"/>
      <c r="DX288" s="978"/>
      <c r="DY288" s="978"/>
      <c r="DZ288" s="978"/>
      <c r="EA288" s="978"/>
      <c r="EB288" s="978"/>
      <c r="EC288" s="978"/>
      <c r="ED288" s="978"/>
      <c r="EE288" s="978"/>
      <c r="EF288" s="978"/>
      <c r="EG288" s="978"/>
      <c r="EH288" s="978"/>
      <c r="EI288" s="978"/>
      <c r="EJ288" s="978"/>
      <c r="EK288" s="978"/>
      <c r="EL288" s="978"/>
      <c r="EM288" s="978"/>
      <c r="EN288" s="978"/>
      <c r="EO288" s="978"/>
      <c r="EP288" s="978"/>
      <c r="EQ288" s="978"/>
      <c r="ER288" s="978"/>
      <c r="ES288" s="978"/>
      <c r="ET288" s="978"/>
      <c r="EU288" s="978"/>
      <c r="EV288" s="978"/>
      <c r="EW288" s="978"/>
      <c r="EX288" s="978"/>
      <c r="EY288" s="978"/>
      <c r="EZ288" s="978"/>
      <c r="FA288" s="978"/>
      <c r="FB288" s="978"/>
      <c r="FC288" s="978"/>
      <c r="FD288" s="978"/>
      <c r="FE288" s="978"/>
      <c r="FF288" s="978"/>
      <c r="FG288" s="978"/>
      <c r="FH288" s="978"/>
      <c r="FI288" s="978"/>
      <c r="FJ288" s="978"/>
      <c r="FK288" s="978"/>
      <c r="FL288" s="978"/>
      <c r="FM288" s="978"/>
      <c r="FN288" s="978"/>
      <c r="FO288" s="978"/>
      <c r="FP288" s="978"/>
      <c r="FQ288" s="978"/>
      <c r="FR288" s="978"/>
      <c r="FS288" s="978"/>
      <c r="FT288" s="978"/>
      <c r="FU288" s="978"/>
      <c r="FV288" s="978"/>
      <c r="FW288" s="978"/>
      <c r="FX288" s="978"/>
      <c r="FY288" s="978"/>
      <c r="FZ288" s="978"/>
      <c r="GA288" s="978"/>
      <c r="GB288" s="978"/>
      <c r="GC288" s="978"/>
      <c r="GD288" s="978"/>
      <c r="GE288" s="978"/>
      <c r="GF288" s="978"/>
      <c r="GG288" s="978"/>
      <c r="GH288" s="978"/>
      <c r="GI288" s="978"/>
      <c r="GJ288" s="978"/>
      <c r="GK288" s="978"/>
      <c r="GL288" s="978"/>
      <c r="GM288" s="978"/>
      <c r="GN288" s="978"/>
      <c r="GO288" s="978"/>
      <c r="GP288" s="978"/>
      <c r="GQ288" s="978"/>
      <c r="GR288" s="978"/>
      <c r="GS288" s="978"/>
      <c r="GT288" s="978"/>
      <c r="GU288" s="978"/>
      <c r="GV288" s="978"/>
      <c r="GW288" s="978"/>
      <c r="GX288" s="978"/>
      <c r="GY288" s="978"/>
      <c r="GZ288" s="978"/>
      <c r="HA288" s="978"/>
      <c r="HB288" s="978"/>
      <c r="HC288" s="978"/>
      <c r="HD288" s="978"/>
      <c r="HE288" s="978"/>
      <c r="HF288" s="978"/>
      <c r="HG288" s="978"/>
      <c r="HH288" s="978"/>
      <c r="HI288" s="978"/>
      <c r="HJ288" s="978"/>
      <c r="HK288" s="978"/>
      <c r="HL288" s="978"/>
      <c r="HM288" s="978"/>
      <c r="HN288" s="978"/>
      <c r="HO288" s="978"/>
      <c r="HP288" s="978"/>
      <c r="HQ288" s="978"/>
      <c r="HR288" s="978"/>
      <c r="HS288" s="978"/>
      <c r="HT288" s="978"/>
      <c r="HU288" s="978"/>
      <c r="HV288" s="978"/>
      <c r="HW288" s="978"/>
      <c r="HX288" s="978"/>
      <c r="HY288" s="978"/>
      <c r="HZ288" s="978"/>
      <c r="IA288" s="978"/>
      <c r="IB288" s="978"/>
      <c r="IC288" s="978"/>
      <c r="ID288" s="978"/>
      <c r="IE288" s="978"/>
      <c r="IF288" s="978"/>
      <c r="IG288" s="978"/>
      <c r="IH288" s="978"/>
      <c r="II288" s="978"/>
      <c r="IJ288" s="978"/>
      <c r="IK288" s="978"/>
      <c r="IL288" s="978"/>
      <c r="IM288" s="978"/>
      <c r="IN288" s="978"/>
      <c r="IO288" s="978"/>
      <c r="IP288" s="978"/>
      <c r="IQ288" s="978"/>
      <c r="IR288" s="978"/>
      <c r="IS288" s="978"/>
      <c r="IT288" s="978"/>
      <c r="IU288" s="978"/>
      <c r="IV288" s="978"/>
      <c r="IW288" s="978"/>
      <c r="IX288" s="978"/>
      <c r="IY288" s="978"/>
      <c r="IZ288" s="978"/>
      <c r="JA288" s="978"/>
      <c r="JB288" s="978"/>
      <c r="JC288" s="978"/>
      <c r="JD288" s="978"/>
      <c r="JE288" s="978"/>
      <c r="JF288" s="978"/>
      <c r="JG288" s="978"/>
      <c r="JH288" s="978"/>
      <c r="JI288" s="978"/>
      <c r="JJ288" s="978"/>
      <c r="JK288" s="978"/>
      <c r="JL288" s="978"/>
      <c r="JM288" s="978"/>
      <c r="JN288" s="978"/>
      <c r="JO288" s="978"/>
      <c r="JP288" s="978"/>
      <c r="JQ288" s="978"/>
      <c r="JR288" s="978"/>
      <c r="JS288" s="978"/>
      <c r="JT288" s="978"/>
      <c r="JU288" s="978"/>
      <c r="JV288" s="978"/>
      <c r="JW288" s="978"/>
      <c r="JX288" s="978"/>
      <c r="JY288" s="978"/>
      <c r="JZ288" s="978"/>
      <c r="KA288" s="978"/>
      <c r="KB288" s="978"/>
      <c r="KC288" s="978"/>
      <c r="KD288" s="978"/>
      <c r="KE288" s="978"/>
      <c r="KF288" s="978"/>
      <c r="KG288" s="978"/>
      <c r="KH288" s="978"/>
      <c r="KI288" s="978"/>
      <c r="KJ288" s="978"/>
      <c r="KK288" s="978"/>
      <c r="KL288" s="978"/>
      <c r="KM288" s="978"/>
      <c r="KN288" s="978"/>
      <c r="KO288" s="978"/>
      <c r="KP288" s="978"/>
      <c r="KQ288" s="978"/>
      <c r="KR288" s="978"/>
      <c r="KS288" s="978"/>
      <c r="KT288" s="978"/>
      <c r="KU288" s="978"/>
      <c r="KV288" s="978"/>
      <c r="KW288" s="978"/>
      <c r="KX288" s="978"/>
      <c r="KY288" s="978"/>
      <c r="KZ288" s="978"/>
      <c r="LA288" s="978"/>
      <c r="LB288" s="978"/>
      <c r="LC288" s="978"/>
      <c r="LD288" s="978"/>
      <c r="LE288" s="978"/>
      <c r="LF288" s="978"/>
      <c r="LG288" s="978"/>
      <c r="LH288" s="978"/>
      <c r="LI288" s="978"/>
      <c r="LJ288" s="978"/>
      <c r="LK288" s="978"/>
      <c r="LL288" s="978"/>
      <c r="LM288" s="978"/>
      <c r="LN288" s="978"/>
      <c r="LO288" s="978"/>
      <c r="LP288" s="978"/>
      <c r="LQ288" s="978"/>
      <c r="LR288" s="978"/>
      <c r="LS288" s="978"/>
      <c r="LT288" s="978"/>
      <c r="LU288" s="978"/>
      <c r="LV288" s="978"/>
      <c r="LW288" s="978"/>
      <c r="LX288" s="978"/>
      <c r="LY288" s="978"/>
      <c r="LZ288" s="978"/>
      <c r="MA288" s="978"/>
      <c r="MB288" s="978"/>
      <c r="MC288" s="978"/>
      <c r="MD288" s="978"/>
      <c r="ME288" s="978"/>
      <c r="MF288" s="978"/>
      <c r="MG288" s="978"/>
      <c r="MH288" s="978"/>
      <c r="MI288" s="978"/>
      <c r="MJ288" s="978"/>
      <c r="MK288" s="978"/>
      <c r="ML288" s="978"/>
      <c r="MM288" s="978"/>
      <c r="MN288" s="978"/>
      <c r="MO288" s="978"/>
      <c r="MP288" s="978"/>
      <c r="MQ288" s="978"/>
      <c r="MR288" s="978"/>
      <c r="MS288" s="978"/>
      <c r="MT288" s="978"/>
      <c r="MU288" s="978"/>
      <c r="MV288" s="978"/>
      <c r="MW288" s="978"/>
      <c r="MX288" s="978"/>
      <c r="MY288" s="978"/>
      <c r="MZ288" s="978"/>
      <c r="NA288" s="978"/>
      <c r="NB288" s="978"/>
      <c r="NC288" s="978"/>
      <c r="ND288" s="978"/>
      <c r="NE288" s="978"/>
      <c r="NF288" s="978"/>
      <c r="NG288" s="978"/>
      <c r="NH288" s="978"/>
      <c r="NI288" s="978"/>
      <c r="NJ288" s="978"/>
      <c r="NK288" s="978"/>
      <c r="NL288" s="978"/>
      <c r="NM288" s="978"/>
      <c r="NN288" s="978"/>
      <c r="NO288" s="978"/>
      <c r="NP288" s="978"/>
      <c r="NQ288" s="978"/>
      <c r="NR288" s="978"/>
      <c r="NS288" s="978"/>
      <c r="NT288" s="978"/>
      <c r="NU288" s="978"/>
      <c r="NV288" s="978"/>
      <c r="NW288" s="978"/>
      <c r="NX288" s="978"/>
      <c r="NY288" s="978"/>
      <c r="NZ288" s="978"/>
      <c r="OA288" s="978"/>
      <c r="OB288" s="978"/>
      <c r="OC288" s="978"/>
      <c r="OD288" s="978"/>
      <c r="OE288" s="978"/>
      <c r="OF288" s="978"/>
      <c r="OG288" s="978"/>
      <c r="OH288" s="978"/>
      <c r="OI288" s="978"/>
      <c r="OJ288" s="978"/>
      <c r="OK288" s="978"/>
      <c r="OL288" s="978"/>
      <c r="OM288" s="978"/>
      <c r="ON288" s="978"/>
      <c r="OO288" s="978"/>
      <c r="OP288" s="978"/>
      <c r="OQ288" s="978"/>
      <c r="OR288" s="978"/>
      <c r="OS288" s="978"/>
      <c r="OT288" s="978"/>
      <c r="OU288" s="978"/>
      <c r="OV288" s="978"/>
      <c r="OW288" s="978"/>
      <c r="OX288" s="978"/>
      <c r="OY288" s="978"/>
      <c r="OZ288" s="978"/>
      <c r="PA288" s="978"/>
      <c r="PB288" s="978"/>
      <c r="PC288" s="978"/>
      <c r="PD288" s="978"/>
      <c r="PE288" s="978"/>
      <c r="PF288" s="978"/>
      <c r="PG288" s="978"/>
      <c r="PH288" s="978"/>
      <c r="PI288" s="978"/>
      <c r="PJ288" s="978"/>
      <c r="PK288" s="978"/>
      <c r="PL288" s="978"/>
      <c r="PM288" s="978"/>
      <c r="PN288" s="978"/>
      <c r="PO288" s="978"/>
      <c r="PP288" s="978"/>
      <c r="PQ288" s="978"/>
      <c r="PR288" s="978"/>
      <c r="PS288" s="978"/>
      <c r="PT288" s="978"/>
      <c r="PU288" s="978"/>
      <c r="PV288" s="978"/>
      <c r="PW288" s="978"/>
      <c r="PX288" s="978"/>
      <c r="PY288" s="978"/>
      <c r="PZ288" s="978"/>
      <c r="QA288" s="978"/>
      <c r="QB288" s="978"/>
      <c r="QC288" s="978"/>
      <c r="QD288" s="978"/>
      <c r="QE288" s="978"/>
      <c r="QF288" s="978"/>
      <c r="QG288" s="978"/>
      <c r="QH288" s="978"/>
      <c r="QI288" s="978"/>
      <c r="QJ288" s="978"/>
      <c r="QK288" s="978"/>
      <c r="QL288" s="978"/>
      <c r="QM288" s="978"/>
      <c r="QN288" s="978"/>
      <c r="QO288" s="978"/>
      <c r="QP288" s="978"/>
      <c r="QQ288" s="978"/>
      <c r="QR288" s="978"/>
      <c r="QS288" s="978"/>
      <c r="QT288" s="978"/>
      <c r="QU288" s="978"/>
      <c r="QV288" s="978"/>
      <c r="QW288" s="978"/>
      <c r="QX288" s="978"/>
      <c r="QY288" s="978"/>
      <c r="QZ288" s="978"/>
      <c r="RA288" s="978"/>
      <c r="RB288" s="274"/>
      <c r="RC288" s="274"/>
    </row>
    <row r="289" spans="112:471" ht="17.25">
      <c r="DH289" s="274"/>
      <c r="DI289" s="274"/>
      <c r="DJ289" s="978"/>
      <c r="DK289" s="978"/>
      <c r="DL289" s="978"/>
      <c r="DM289" s="978"/>
      <c r="DN289" s="978"/>
      <c r="DO289" s="978"/>
      <c r="DP289" s="978"/>
      <c r="DQ289" s="978"/>
      <c r="DR289" s="978"/>
      <c r="DS289" s="978"/>
      <c r="DT289" s="978"/>
      <c r="DU289" s="978"/>
      <c r="DV289" s="978"/>
      <c r="DW289" s="978"/>
      <c r="DX289" s="978"/>
      <c r="DY289" s="978"/>
      <c r="DZ289" s="978"/>
      <c r="EA289" s="978"/>
      <c r="EB289" s="978"/>
      <c r="EC289" s="978"/>
      <c r="ED289" s="978"/>
      <c r="EE289" s="978"/>
      <c r="EF289" s="978"/>
      <c r="EG289" s="978"/>
      <c r="EH289" s="978"/>
      <c r="EI289" s="978"/>
      <c r="EJ289" s="978"/>
      <c r="EK289" s="978"/>
      <c r="EL289" s="978"/>
      <c r="EM289" s="978"/>
      <c r="EN289" s="978"/>
      <c r="EO289" s="978"/>
      <c r="EP289" s="978"/>
      <c r="EQ289" s="978"/>
      <c r="ER289" s="978"/>
      <c r="ES289" s="978"/>
      <c r="ET289" s="978"/>
      <c r="EU289" s="978"/>
      <c r="EV289" s="978"/>
      <c r="EW289" s="978"/>
      <c r="EX289" s="978"/>
      <c r="EY289" s="978"/>
      <c r="EZ289" s="978"/>
      <c r="FA289" s="978"/>
      <c r="FB289" s="978"/>
      <c r="FC289" s="978"/>
      <c r="FD289" s="978"/>
      <c r="FE289" s="978"/>
      <c r="FF289" s="978"/>
      <c r="FG289" s="978"/>
      <c r="FH289" s="978"/>
      <c r="FI289" s="978"/>
      <c r="FJ289" s="978"/>
      <c r="FK289" s="978"/>
      <c r="FL289" s="978"/>
      <c r="FM289" s="978"/>
      <c r="FN289" s="978"/>
      <c r="FO289" s="978"/>
      <c r="FP289" s="978"/>
      <c r="FQ289" s="978"/>
      <c r="FR289" s="978"/>
      <c r="FS289" s="978"/>
      <c r="FT289" s="978"/>
      <c r="FU289" s="978"/>
      <c r="FV289" s="978"/>
      <c r="FW289" s="978"/>
      <c r="FX289" s="978"/>
      <c r="FY289" s="978"/>
      <c r="FZ289" s="978"/>
      <c r="GA289" s="978"/>
      <c r="GB289" s="978"/>
      <c r="GC289" s="978"/>
      <c r="GD289" s="978"/>
      <c r="GE289" s="978"/>
      <c r="GF289" s="978"/>
      <c r="GG289" s="978"/>
      <c r="GH289" s="978"/>
      <c r="GI289" s="978"/>
      <c r="GJ289" s="978"/>
      <c r="GK289" s="978"/>
      <c r="GL289" s="978"/>
      <c r="GM289" s="978"/>
      <c r="GN289" s="978"/>
      <c r="GO289" s="978"/>
      <c r="GP289" s="978"/>
      <c r="GQ289" s="978"/>
      <c r="GR289" s="978"/>
      <c r="GS289" s="978"/>
      <c r="GT289" s="978"/>
      <c r="GU289" s="978"/>
      <c r="GV289" s="978"/>
      <c r="GW289" s="978"/>
      <c r="GX289" s="978"/>
      <c r="GY289" s="978"/>
      <c r="GZ289" s="978"/>
      <c r="HA289" s="978"/>
      <c r="HB289" s="978"/>
      <c r="HC289" s="978"/>
      <c r="HD289" s="978"/>
      <c r="HE289" s="978"/>
      <c r="HF289" s="978"/>
      <c r="HG289" s="978"/>
      <c r="HH289" s="978"/>
      <c r="HI289" s="978"/>
      <c r="HJ289" s="978"/>
      <c r="HK289" s="978"/>
      <c r="HL289" s="978"/>
      <c r="HM289" s="978"/>
      <c r="HN289" s="978"/>
      <c r="HO289" s="978"/>
      <c r="HP289" s="978"/>
      <c r="HQ289" s="978"/>
      <c r="HR289" s="978"/>
      <c r="HS289" s="978"/>
      <c r="HT289" s="978"/>
      <c r="HU289" s="978"/>
      <c r="HV289" s="978"/>
      <c r="HW289" s="978"/>
      <c r="HX289" s="978"/>
      <c r="HY289" s="978"/>
      <c r="HZ289" s="978"/>
      <c r="IA289" s="978"/>
      <c r="IB289" s="978"/>
      <c r="IC289" s="978"/>
      <c r="ID289" s="978"/>
      <c r="IE289" s="978"/>
      <c r="IF289" s="978"/>
      <c r="IG289" s="978"/>
      <c r="IH289" s="978"/>
      <c r="II289" s="978"/>
      <c r="IJ289" s="978"/>
      <c r="IK289" s="978"/>
      <c r="IL289" s="978"/>
      <c r="IM289" s="978"/>
      <c r="IN289" s="978"/>
      <c r="IO289" s="978"/>
      <c r="IP289" s="978"/>
      <c r="IQ289" s="978"/>
      <c r="IR289" s="978"/>
      <c r="IS289" s="978"/>
      <c r="IT289" s="978"/>
      <c r="IU289" s="978"/>
      <c r="IV289" s="978"/>
      <c r="IW289" s="978"/>
      <c r="IX289" s="978"/>
      <c r="IY289" s="978"/>
      <c r="IZ289" s="978"/>
      <c r="JA289" s="978"/>
      <c r="JB289" s="978"/>
      <c r="JC289" s="978"/>
      <c r="JD289" s="978"/>
      <c r="JE289" s="978"/>
      <c r="JF289" s="978"/>
      <c r="JG289" s="978"/>
      <c r="JH289" s="978"/>
      <c r="JI289" s="978"/>
      <c r="JJ289" s="978"/>
      <c r="JK289" s="978"/>
      <c r="JL289" s="978"/>
      <c r="JM289" s="978"/>
      <c r="JN289" s="978"/>
      <c r="JO289" s="978"/>
      <c r="JP289" s="978"/>
      <c r="JQ289" s="978"/>
      <c r="JR289" s="978"/>
      <c r="JS289" s="978"/>
      <c r="JT289" s="978"/>
      <c r="JU289" s="978"/>
      <c r="JV289" s="978"/>
      <c r="JW289" s="978"/>
      <c r="JX289" s="978"/>
      <c r="JY289" s="978"/>
      <c r="JZ289" s="978"/>
      <c r="KA289" s="978"/>
      <c r="KB289" s="978"/>
      <c r="KC289" s="978"/>
      <c r="KD289" s="978"/>
      <c r="KE289" s="978"/>
      <c r="KF289" s="978"/>
      <c r="KG289" s="978"/>
      <c r="KH289" s="978"/>
      <c r="KI289" s="978"/>
      <c r="KJ289" s="978"/>
      <c r="KK289" s="978"/>
      <c r="KL289" s="978"/>
      <c r="KM289" s="978"/>
      <c r="KN289" s="978"/>
      <c r="KO289" s="978"/>
      <c r="KP289" s="978"/>
      <c r="KQ289" s="978"/>
      <c r="KR289" s="978"/>
      <c r="KS289" s="978"/>
      <c r="KT289" s="978"/>
      <c r="KU289" s="978"/>
      <c r="KV289" s="978"/>
      <c r="KW289" s="978"/>
      <c r="KX289" s="978"/>
      <c r="KY289" s="978"/>
      <c r="KZ289" s="978"/>
      <c r="LA289" s="978"/>
      <c r="LB289" s="978"/>
      <c r="LC289" s="978"/>
      <c r="LD289" s="978"/>
      <c r="LE289" s="978"/>
      <c r="LF289" s="978"/>
      <c r="LG289" s="978"/>
      <c r="LH289" s="978"/>
      <c r="LI289" s="978"/>
      <c r="LJ289" s="978"/>
      <c r="LK289" s="978"/>
      <c r="LL289" s="978"/>
      <c r="LM289" s="978"/>
      <c r="LN289" s="978"/>
      <c r="LO289" s="978"/>
      <c r="LP289" s="978"/>
      <c r="LQ289" s="978"/>
      <c r="LR289" s="978"/>
      <c r="LS289" s="978"/>
      <c r="LT289" s="978"/>
      <c r="LU289" s="978"/>
      <c r="LV289" s="978"/>
      <c r="LW289" s="978"/>
      <c r="LX289" s="978"/>
      <c r="LY289" s="978"/>
      <c r="LZ289" s="978"/>
      <c r="MA289" s="978"/>
      <c r="MB289" s="978"/>
      <c r="MC289" s="978"/>
      <c r="MD289" s="978"/>
      <c r="ME289" s="978"/>
      <c r="MF289" s="978"/>
      <c r="MG289" s="978"/>
      <c r="MH289" s="978"/>
      <c r="MI289" s="978"/>
      <c r="MJ289" s="978"/>
      <c r="MK289" s="978"/>
      <c r="ML289" s="978"/>
      <c r="MM289" s="978"/>
      <c r="MN289" s="978"/>
      <c r="MO289" s="978"/>
      <c r="MP289" s="978"/>
      <c r="MQ289" s="978"/>
      <c r="MR289" s="978"/>
      <c r="MS289" s="978"/>
      <c r="MT289" s="978"/>
      <c r="MU289" s="978"/>
      <c r="MV289" s="978"/>
      <c r="MW289" s="978"/>
      <c r="MX289" s="978"/>
      <c r="MY289" s="978"/>
      <c r="MZ289" s="978"/>
      <c r="NA289" s="978"/>
      <c r="NB289" s="978"/>
      <c r="NC289" s="978"/>
      <c r="ND289" s="978"/>
      <c r="NE289" s="978"/>
      <c r="NF289" s="978"/>
      <c r="NG289" s="978"/>
      <c r="NH289" s="978"/>
      <c r="NI289" s="978"/>
      <c r="NJ289" s="978"/>
      <c r="NK289" s="978"/>
      <c r="NL289" s="978"/>
      <c r="NM289" s="978"/>
      <c r="NN289" s="978"/>
      <c r="NO289" s="978"/>
      <c r="NP289" s="978"/>
      <c r="NQ289" s="978"/>
      <c r="NR289" s="978"/>
      <c r="NS289" s="978"/>
      <c r="NT289" s="978"/>
      <c r="NU289" s="978"/>
      <c r="NV289" s="978"/>
      <c r="NW289" s="978"/>
      <c r="NX289" s="978"/>
      <c r="NY289" s="978"/>
      <c r="NZ289" s="978"/>
      <c r="OA289" s="978"/>
      <c r="OB289" s="978"/>
      <c r="OC289" s="978"/>
      <c r="OD289" s="978"/>
      <c r="OE289" s="978"/>
      <c r="OF289" s="978"/>
      <c r="OG289" s="978"/>
      <c r="OH289" s="978"/>
      <c r="OI289" s="978"/>
      <c r="OJ289" s="978"/>
      <c r="OK289" s="978"/>
      <c r="OL289" s="978"/>
      <c r="OM289" s="978"/>
      <c r="ON289" s="978"/>
      <c r="OO289" s="978"/>
      <c r="OP289" s="978"/>
      <c r="OQ289" s="978"/>
      <c r="OR289" s="978"/>
      <c r="OS289" s="978"/>
      <c r="OT289" s="978"/>
      <c r="OU289" s="978"/>
      <c r="OV289" s="978"/>
      <c r="OW289" s="978"/>
      <c r="OX289" s="978"/>
      <c r="OY289" s="978"/>
      <c r="OZ289" s="978"/>
      <c r="PA289" s="978"/>
      <c r="PB289" s="978"/>
      <c r="PC289" s="978"/>
      <c r="PD289" s="978"/>
      <c r="PE289" s="978"/>
      <c r="PF289" s="978"/>
      <c r="PG289" s="978"/>
      <c r="PH289" s="978"/>
      <c r="PI289" s="978"/>
      <c r="PJ289" s="978"/>
      <c r="PK289" s="978"/>
      <c r="PL289" s="978"/>
      <c r="PM289" s="978"/>
      <c r="PN289" s="978"/>
      <c r="PO289" s="978"/>
      <c r="PP289" s="978"/>
      <c r="PQ289" s="978"/>
      <c r="PR289" s="978"/>
      <c r="PS289" s="978"/>
      <c r="PT289" s="978"/>
      <c r="PU289" s="978"/>
      <c r="PV289" s="978"/>
      <c r="PW289" s="978"/>
      <c r="PX289" s="978"/>
      <c r="PY289" s="978"/>
      <c r="PZ289" s="978"/>
      <c r="QA289" s="978"/>
      <c r="QB289" s="978"/>
      <c r="QC289" s="978"/>
      <c r="QD289" s="978"/>
      <c r="QE289" s="978"/>
      <c r="QF289" s="978"/>
      <c r="QG289" s="978"/>
      <c r="QH289" s="978"/>
      <c r="QI289" s="978"/>
      <c r="QJ289" s="978"/>
      <c r="QK289" s="978"/>
      <c r="QL289" s="978"/>
      <c r="QM289" s="978"/>
      <c r="QN289" s="978"/>
      <c r="QO289" s="978"/>
      <c r="QP289" s="978"/>
      <c r="QQ289" s="978"/>
      <c r="QR289" s="978"/>
      <c r="QS289" s="978"/>
      <c r="QT289" s="978"/>
      <c r="QU289" s="978"/>
      <c r="QV289" s="978"/>
      <c r="QW289" s="978"/>
      <c r="QX289" s="978"/>
      <c r="QY289" s="978"/>
      <c r="QZ289" s="978"/>
      <c r="RA289" s="978"/>
      <c r="RB289" s="274"/>
      <c r="RC289" s="274"/>
    </row>
    <row r="290" spans="112:471" ht="17.25">
      <c r="DH290" s="274"/>
      <c r="DI290" s="274"/>
      <c r="DJ290" s="978"/>
      <c r="DK290" s="978"/>
      <c r="DL290" s="978"/>
      <c r="DM290" s="978"/>
      <c r="DN290" s="978"/>
      <c r="DO290" s="978"/>
      <c r="DP290" s="978"/>
      <c r="DQ290" s="978"/>
      <c r="DR290" s="978"/>
      <c r="DS290" s="978"/>
      <c r="DT290" s="978"/>
      <c r="DU290" s="978"/>
      <c r="DV290" s="978"/>
      <c r="DW290" s="978"/>
      <c r="DX290" s="978"/>
      <c r="DY290" s="978"/>
      <c r="DZ290" s="978"/>
      <c r="EA290" s="978"/>
      <c r="EB290" s="978"/>
      <c r="EC290" s="978"/>
      <c r="ED290" s="978"/>
      <c r="EE290" s="978"/>
      <c r="EF290" s="978"/>
      <c r="EG290" s="978"/>
      <c r="EH290" s="978"/>
      <c r="EI290" s="978"/>
      <c r="EJ290" s="978"/>
      <c r="EK290" s="978"/>
      <c r="EL290" s="978"/>
      <c r="EM290" s="978"/>
      <c r="EN290" s="978"/>
      <c r="EO290" s="978"/>
      <c r="EP290" s="978"/>
      <c r="EQ290" s="978"/>
      <c r="ER290" s="978"/>
      <c r="ES290" s="978"/>
      <c r="ET290" s="978"/>
      <c r="EU290" s="978"/>
      <c r="EV290" s="978"/>
      <c r="EW290" s="978"/>
      <c r="EX290" s="978"/>
      <c r="EY290" s="978"/>
      <c r="EZ290" s="978"/>
      <c r="FA290" s="978"/>
      <c r="FB290" s="978"/>
      <c r="FC290" s="978"/>
      <c r="FD290" s="978"/>
      <c r="FE290" s="978"/>
      <c r="FF290" s="978"/>
      <c r="FG290" s="978"/>
      <c r="FH290" s="978"/>
      <c r="FI290" s="978"/>
      <c r="FJ290" s="978"/>
      <c r="FK290" s="978"/>
      <c r="FL290" s="978"/>
      <c r="FM290" s="978"/>
      <c r="FN290" s="978"/>
      <c r="FO290" s="978"/>
      <c r="FP290" s="978"/>
      <c r="FQ290" s="978"/>
      <c r="FR290" s="978"/>
      <c r="FS290" s="978"/>
      <c r="FT290" s="978"/>
      <c r="FU290" s="978"/>
      <c r="FV290" s="978"/>
      <c r="FW290" s="978"/>
      <c r="FX290" s="978"/>
      <c r="FY290" s="978"/>
      <c r="FZ290" s="978"/>
      <c r="GA290" s="978"/>
      <c r="GB290" s="978"/>
      <c r="GC290" s="978"/>
      <c r="GD290" s="978"/>
      <c r="GE290" s="978"/>
      <c r="GF290" s="978"/>
      <c r="GG290" s="978"/>
      <c r="GH290" s="978"/>
      <c r="GI290" s="978"/>
      <c r="GJ290" s="978"/>
      <c r="GK290" s="978"/>
      <c r="GL290" s="978"/>
      <c r="GM290" s="978"/>
      <c r="GN290" s="978"/>
      <c r="GO290" s="978"/>
      <c r="GP290" s="978"/>
      <c r="GQ290" s="978"/>
      <c r="GR290" s="978"/>
      <c r="GS290" s="978"/>
      <c r="GT290" s="978"/>
      <c r="GU290" s="978"/>
      <c r="GV290" s="978"/>
      <c r="GW290" s="978"/>
      <c r="GX290" s="978"/>
      <c r="GY290" s="978"/>
      <c r="GZ290" s="978"/>
      <c r="HA290" s="978"/>
      <c r="HB290" s="978"/>
      <c r="HC290" s="978"/>
      <c r="HD290" s="978"/>
      <c r="HE290" s="978"/>
      <c r="HF290" s="978"/>
      <c r="HG290" s="978"/>
      <c r="HH290" s="978"/>
      <c r="HI290" s="978"/>
      <c r="HJ290" s="978"/>
      <c r="HK290" s="978"/>
      <c r="HL290" s="978"/>
      <c r="HM290" s="978"/>
      <c r="HN290" s="978"/>
      <c r="HO290" s="978"/>
      <c r="HP290" s="978"/>
      <c r="HQ290" s="978"/>
      <c r="HR290" s="978"/>
      <c r="HS290" s="978"/>
      <c r="HT290" s="978"/>
      <c r="HU290" s="978"/>
      <c r="HV290" s="978"/>
      <c r="HW290" s="978"/>
      <c r="HX290" s="978"/>
      <c r="HY290" s="978"/>
      <c r="HZ290" s="978"/>
      <c r="IA290" s="978"/>
      <c r="IB290" s="978"/>
      <c r="IC290" s="978"/>
      <c r="ID290" s="978"/>
      <c r="IE290" s="978"/>
      <c r="IF290" s="978"/>
      <c r="IG290" s="978"/>
      <c r="IH290" s="978"/>
      <c r="II290" s="978"/>
      <c r="IJ290" s="978"/>
      <c r="IK290" s="978"/>
      <c r="IL290" s="978"/>
      <c r="IM290" s="978"/>
      <c r="IN290" s="978"/>
      <c r="IO290" s="978"/>
      <c r="IP290" s="978"/>
      <c r="IQ290" s="978"/>
      <c r="IR290" s="978"/>
      <c r="IS290" s="978"/>
      <c r="IT290" s="978"/>
      <c r="IU290" s="978"/>
      <c r="IV290" s="978"/>
      <c r="IW290" s="978"/>
      <c r="IX290" s="978"/>
      <c r="IY290" s="978"/>
      <c r="IZ290" s="978"/>
      <c r="JA290" s="978"/>
      <c r="JB290" s="978"/>
      <c r="JC290" s="978"/>
      <c r="JD290" s="978"/>
      <c r="JE290" s="978"/>
      <c r="JF290" s="978"/>
      <c r="JG290" s="978"/>
      <c r="JH290" s="978"/>
      <c r="JI290" s="978"/>
      <c r="JJ290" s="978"/>
      <c r="JK290" s="978"/>
      <c r="JL290" s="978"/>
      <c r="JM290" s="978"/>
      <c r="JN290" s="978"/>
      <c r="JO290" s="978"/>
      <c r="JP290" s="978"/>
      <c r="JQ290" s="978"/>
      <c r="JR290" s="978"/>
      <c r="JS290" s="978"/>
      <c r="JT290" s="978"/>
      <c r="JU290" s="978"/>
      <c r="JV290" s="978"/>
      <c r="JW290" s="978"/>
      <c r="JX290" s="978"/>
      <c r="JY290" s="978"/>
      <c r="JZ290" s="978"/>
      <c r="KA290" s="978"/>
      <c r="KB290" s="978"/>
      <c r="KC290" s="978"/>
      <c r="KD290" s="978"/>
      <c r="KE290" s="978"/>
      <c r="KF290" s="978"/>
      <c r="KG290" s="978"/>
      <c r="KH290" s="978"/>
      <c r="KI290" s="978"/>
      <c r="KJ290" s="978"/>
      <c r="KK290" s="978"/>
      <c r="KL290" s="978"/>
      <c r="KM290" s="978"/>
      <c r="KN290" s="978"/>
      <c r="KO290" s="978"/>
      <c r="KP290" s="978"/>
      <c r="KQ290" s="978"/>
      <c r="KR290" s="978"/>
      <c r="KS290" s="978"/>
      <c r="KT290" s="978"/>
      <c r="KU290" s="978"/>
      <c r="KV290" s="978"/>
      <c r="KW290" s="978"/>
      <c r="KX290" s="978"/>
      <c r="KY290" s="978"/>
      <c r="KZ290" s="978"/>
      <c r="LA290" s="978"/>
      <c r="LB290" s="978"/>
      <c r="LC290" s="978"/>
      <c r="LD290" s="978"/>
      <c r="LE290" s="978"/>
      <c r="LF290" s="978"/>
      <c r="LG290" s="978"/>
      <c r="LH290" s="978"/>
      <c r="LI290" s="978"/>
      <c r="LJ290" s="978"/>
      <c r="LK290" s="978"/>
      <c r="LL290" s="978"/>
      <c r="LM290" s="978"/>
      <c r="LN290" s="978"/>
      <c r="LO290" s="978"/>
      <c r="LP290" s="978"/>
      <c r="LQ290" s="978"/>
      <c r="LR290" s="978"/>
      <c r="LS290" s="978"/>
      <c r="LT290" s="978"/>
      <c r="LU290" s="978"/>
      <c r="LV290" s="978"/>
      <c r="LW290" s="978"/>
      <c r="LX290" s="978"/>
      <c r="LY290" s="978"/>
      <c r="LZ290" s="978"/>
      <c r="MA290" s="978"/>
      <c r="MB290" s="978"/>
      <c r="MC290" s="978"/>
      <c r="MD290" s="978"/>
      <c r="ME290" s="978"/>
      <c r="MF290" s="978"/>
      <c r="MG290" s="978"/>
      <c r="MH290" s="978"/>
      <c r="MI290" s="978"/>
      <c r="MJ290" s="978"/>
      <c r="MK290" s="978"/>
      <c r="ML290" s="978"/>
      <c r="MM290" s="978"/>
      <c r="MN290" s="978"/>
      <c r="MO290" s="978"/>
      <c r="MP290" s="978"/>
      <c r="MQ290" s="978"/>
      <c r="MR290" s="978"/>
      <c r="MS290" s="978"/>
      <c r="MT290" s="978"/>
      <c r="MU290" s="978"/>
      <c r="MV290" s="978"/>
      <c r="MW290" s="978"/>
      <c r="MX290" s="978"/>
      <c r="MY290" s="978"/>
      <c r="MZ290" s="978"/>
      <c r="NA290" s="978"/>
      <c r="NB290" s="978"/>
      <c r="NC290" s="978"/>
      <c r="ND290" s="978"/>
      <c r="NE290" s="978"/>
      <c r="NF290" s="978"/>
      <c r="NG290" s="978"/>
      <c r="NH290" s="978"/>
      <c r="NI290" s="978"/>
      <c r="NJ290" s="978"/>
      <c r="NK290" s="978"/>
      <c r="NL290" s="978"/>
      <c r="NM290" s="978"/>
      <c r="NN290" s="978"/>
      <c r="NO290" s="978"/>
      <c r="NP290" s="978"/>
      <c r="NQ290" s="978"/>
      <c r="NR290" s="978"/>
      <c r="NS290" s="978"/>
      <c r="NT290" s="978"/>
      <c r="NU290" s="978"/>
      <c r="NV290" s="978"/>
      <c r="NW290" s="978"/>
      <c r="NX290" s="978"/>
      <c r="NY290" s="978"/>
      <c r="NZ290" s="978"/>
      <c r="OA290" s="978"/>
      <c r="OB290" s="978"/>
      <c r="OC290" s="978"/>
      <c r="OD290" s="978"/>
      <c r="OE290" s="978"/>
      <c r="OF290" s="978"/>
      <c r="OG290" s="978"/>
      <c r="OH290" s="978"/>
      <c r="OI290" s="978"/>
      <c r="OJ290" s="978"/>
      <c r="OK290" s="978"/>
      <c r="OL290" s="978"/>
      <c r="OM290" s="978"/>
      <c r="ON290" s="978"/>
      <c r="OO290" s="978"/>
      <c r="OP290" s="978"/>
      <c r="OQ290" s="978"/>
      <c r="OR290" s="978"/>
      <c r="OS290" s="978"/>
      <c r="OT290" s="978"/>
      <c r="OU290" s="978"/>
      <c r="OV290" s="978"/>
      <c r="OW290" s="978"/>
      <c r="OX290" s="978"/>
      <c r="OY290" s="978"/>
      <c r="OZ290" s="978"/>
      <c r="PA290" s="978"/>
      <c r="PB290" s="978"/>
      <c r="PC290" s="978"/>
      <c r="PD290" s="978"/>
      <c r="PE290" s="978"/>
      <c r="PF290" s="978"/>
      <c r="PG290" s="978"/>
      <c r="PH290" s="978"/>
      <c r="PI290" s="978"/>
      <c r="PJ290" s="978"/>
      <c r="PK290" s="978"/>
      <c r="PL290" s="978"/>
      <c r="PM290" s="978"/>
      <c r="PN290" s="978"/>
      <c r="PO290" s="978"/>
      <c r="PP290" s="978"/>
      <c r="PQ290" s="978"/>
      <c r="PR290" s="978"/>
      <c r="PS290" s="978"/>
      <c r="PT290" s="978"/>
      <c r="PU290" s="978"/>
      <c r="PV290" s="978"/>
      <c r="PW290" s="978"/>
      <c r="PX290" s="978"/>
      <c r="PY290" s="978"/>
      <c r="PZ290" s="978"/>
      <c r="QA290" s="978"/>
      <c r="QB290" s="978"/>
      <c r="QC290" s="978"/>
      <c r="QD290" s="978"/>
      <c r="QE290" s="978"/>
      <c r="QF290" s="978"/>
      <c r="QG290" s="978"/>
      <c r="QH290" s="978"/>
      <c r="QI290" s="978"/>
      <c r="QJ290" s="978"/>
      <c r="QK290" s="978"/>
      <c r="QL290" s="978"/>
      <c r="QM290" s="978"/>
      <c r="QN290" s="978"/>
      <c r="QO290" s="978"/>
      <c r="QP290" s="978"/>
      <c r="QQ290" s="978"/>
      <c r="QR290" s="978"/>
      <c r="QS290" s="978"/>
      <c r="QT290" s="978"/>
      <c r="QU290" s="978"/>
      <c r="QV290" s="978"/>
      <c r="QW290" s="978"/>
      <c r="QX290" s="978"/>
      <c r="QY290" s="978"/>
      <c r="QZ290" s="978"/>
      <c r="RA290" s="978"/>
      <c r="RB290" s="274"/>
      <c r="RC290" s="274"/>
    </row>
    <row r="291" spans="112:471" ht="17.25">
      <c r="DH291" s="274"/>
      <c r="DI291" s="274"/>
      <c r="DJ291" s="978"/>
      <c r="DK291" s="978"/>
      <c r="DL291" s="978"/>
      <c r="DM291" s="978"/>
      <c r="DN291" s="978"/>
      <c r="DO291" s="978"/>
      <c r="DP291" s="978"/>
      <c r="DQ291" s="978"/>
      <c r="DR291" s="978"/>
      <c r="DS291" s="978"/>
      <c r="DT291" s="978"/>
      <c r="DU291" s="978"/>
      <c r="DV291" s="978"/>
      <c r="DW291" s="978"/>
      <c r="DX291" s="978"/>
      <c r="DY291" s="978"/>
      <c r="DZ291" s="978"/>
      <c r="EA291" s="978"/>
      <c r="EB291" s="978"/>
      <c r="EC291" s="978"/>
      <c r="ED291" s="978"/>
      <c r="EE291" s="978"/>
      <c r="EF291" s="978"/>
      <c r="EG291" s="978"/>
      <c r="EH291" s="978"/>
      <c r="EI291" s="978"/>
      <c r="EJ291" s="978"/>
      <c r="EK291" s="978"/>
      <c r="EL291" s="978"/>
      <c r="EM291" s="978"/>
      <c r="EN291" s="978"/>
      <c r="EO291" s="978"/>
      <c r="EP291" s="978"/>
      <c r="EQ291" s="978"/>
      <c r="ER291" s="978"/>
      <c r="ES291" s="978"/>
      <c r="ET291" s="978"/>
      <c r="EU291" s="978"/>
      <c r="EV291" s="978"/>
      <c r="EW291" s="978"/>
      <c r="EX291" s="978"/>
      <c r="EY291" s="978"/>
      <c r="EZ291" s="978"/>
      <c r="FA291" s="978"/>
      <c r="FB291" s="978"/>
      <c r="FC291" s="978"/>
      <c r="FD291" s="978"/>
      <c r="FE291" s="978"/>
      <c r="FF291" s="978"/>
      <c r="FG291" s="978"/>
      <c r="FH291" s="978"/>
      <c r="FI291" s="978"/>
      <c r="FJ291" s="978"/>
      <c r="FK291" s="978"/>
      <c r="FL291" s="978"/>
      <c r="FM291" s="978"/>
      <c r="FN291" s="978"/>
      <c r="FO291" s="978"/>
      <c r="FP291" s="978"/>
      <c r="FQ291" s="978"/>
      <c r="FR291" s="978"/>
      <c r="FS291" s="978"/>
      <c r="FT291" s="978"/>
      <c r="FU291" s="978"/>
      <c r="FV291" s="978"/>
      <c r="FW291" s="978"/>
      <c r="FX291" s="978"/>
      <c r="FY291" s="978"/>
      <c r="FZ291" s="978"/>
      <c r="GA291" s="978"/>
      <c r="GB291" s="978"/>
      <c r="GC291" s="978"/>
      <c r="GD291" s="978"/>
      <c r="GE291" s="978"/>
      <c r="GF291" s="978"/>
      <c r="GG291" s="978"/>
      <c r="GH291" s="978"/>
      <c r="GI291" s="978"/>
      <c r="GJ291" s="978"/>
      <c r="GK291" s="978"/>
      <c r="GL291" s="978"/>
      <c r="GM291" s="978"/>
      <c r="GN291" s="978"/>
      <c r="GO291" s="978"/>
      <c r="GP291" s="978"/>
      <c r="GQ291" s="978"/>
      <c r="GR291" s="978"/>
      <c r="GS291" s="978"/>
      <c r="GT291" s="978"/>
      <c r="GU291" s="978"/>
      <c r="GV291" s="978"/>
      <c r="GW291" s="978"/>
      <c r="GX291" s="978"/>
      <c r="GY291" s="978"/>
      <c r="GZ291" s="978"/>
      <c r="HA291" s="978"/>
      <c r="HB291" s="978"/>
      <c r="HC291" s="978"/>
      <c r="HD291" s="978"/>
      <c r="HE291" s="978"/>
      <c r="HF291" s="978"/>
      <c r="HG291" s="978"/>
      <c r="HH291" s="978"/>
      <c r="HI291" s="978"/>
      <c r="HJ291" s="978"/>
      <c r="HK291" s="978"/>
      <c r="HL291" s="978"/>
      <c r="HM291" s="978"/>
      <c r="HN291" s="978"/>
      <c r="HO291" s="978"/>
      <c r="HP291" s="978"/>
      <c r="HQ291" s="978"/>
      <c r="HR291" s="978"/>
      <c r="HS291" s="978"/>
      <c r="HT291" s="978"/>
      <c r="HU291" s="978"/>
      <c r="HV291" s="978"/>
      <c r="HW291" s="978"/>
      <c r="HX291" s="978"/>
      <c r="HY291" s="978"/>
      <c r="HZ291" s="978"/>
      <c r="IA291" s="978"/>
      <c r="IB291" s="978"/>
      <c r="IC291" s="978"/>
      <c r="ID291" s="978"/>
      <c r="IE291" s="978"/>
      <c r="IF291" s="978"/>
      <c r="IG291" s="978"/>
      <c r="IH291" s="978"/>
      <c r="II291" s="978"/>
      <c r="IJ291" s="978"/>
      <c r="IK291" s="978"/>
      <c r="IL291" s="978"/>
      <c r="IM291" s="978"/>
      <c r="IN291" s="978"/>
      <c r="IO291" s="978"/>
      <c r="IP291" s="978"/>
      <c r="IQ291" s="978"/>
      <c r="IR291" s="978"/>
      <c r="IS291" s="978"/>
      <c r="IT291" s="978"/>
      <c r="IU291" s="978"/>
      <c r="IV291" s="978"/>
      <c r="IW291" s="978"/>
      <c r="IX291" s="978"/>
      <c r="IY291" s="978"/>
      <c r="IZ291" s="978"/>
      <c r="JA291" s="978"/>
      <c r="JB291" s="978"/>
      <c r="JC291" s="978"/>
      <c r="JD291" s="978"/>
      <c r="JE291" s="978"/>
      <c r="JF291" s="978"/>
      <c r="JG291" s="978"/>
      <c r="JH291" s="978"/>
      <c r="JI291" s="978"/>
      <c r="JJ291" s="978"/>
      <c r="JK291" s="978"/>
      <c r="JL291" s="978"/>
      <c r="JM291" s="978"/>
      <c r="JN291" s="978"/>
      <c r="JO291" s="978"/>
      <c r="JP291" s="978"/>
      <c r="JQ291" s="978"/>
      <c r="JR291" s="978"/>
      <c r="JS291" s="978"/>
      <c r="JT291" s="978"/>
      <c r="JU291" s="978"/>
      <c r="JV291" s="978"/>
      <c r="JW291" s="978"/>
      <c r="JX291" s="978"/>
      <c r="JY291" s="978"/>
      <c r="JZ291" s="978"/>
      <c r="KA291" s="978"/>
      <c r="KB291" s="978"/>
      <c r="KC291" s="978"/>
      <c r="KD291" s="978"/>
      <c r="KE291" s="978"/>
      <c r="KF291" s="978"/>
      <c r="KG291" s="978"/>
      <c r="KH291" s="978"/>
      <c r="KI291" s="978"/>
      <c r="KJ291" s="978"/>
      <c r="KK291" s="978"/>
      <c r="KL291" s="978"/>
      <c r="KM291" s="978"/>
      <c r="KN291" s="978"/>
      <c r="KO291" s="978"/>
      <c r="KP291" s="978"/>
      <c r="KQ291" s="978"/>
      <c r="KR291" s="978"/>
      <c r="KS291" s="978"/>
      <c r="KT291" s="978"/>
      <c r="KU291" s="978"/>
      <c r="KV291" s="978"/>
      <c r="KW291" s="978"/>
      <c r="KX291" s="978"/>
      <c r="KY291" s="978"/>
      <c r="KZ291" s="978"/>
      <c r="LA291" s="978"/>
      <c r="LB291" s="978"/>
      <c r="LC291" s="978"/>
      <c r="LD291" s="978"/>
      <c r="LE291" s="978"/>
      <c r="LF291" s="978"/>
      <c r="LG291" s="978"/>
      <c r="LH291" s="978"/>
      <c r="LI291" s="978"/>
      <c r="LJ291" s="978"/>
      <c r="LK291" s="978"/>
      <c r="LL291" s="978"/>
      <c r="LM291" s="978"/>
      <c r="LN291" s="978"/>
      <c r="LO291" s="978"/>
      <c r="LP291" s="978"/>
      <c r="LQ291" s="978"/>
      <c r="LR291" s="978"/>
      <c r="LS291" s="978"/>
      <c r="LT291" s="978"/>
      <c r="LU291" s="978"/>
      <c r="LV291" s="978"/>
      <c r="LW291" s="978"/>
      <c r="LX291" s="978"/>
      <c r="LY291" s="978"/>
      <c r="LZ291" s="978"/>
      <c r="MA291" s="978"/>
      <c r="MB291" s="978"/>
      <c r="MC291" s="978"/>
      <c r="MD291" s="978"/>
      <c r="ME291" s="978"/>
      <c r="MF291" s="978"/>
      <c r="MG291" s="978"/>
      <c r="MH291" s="978"/>
      <c r="MI291" s="978"/>
      <c r="MJ291" s="978"/>
      <c r="MK291" s="978"/>
      <c r="ML291" s="978"/>
      <c r="MM291" s="978"/>
      <c r="MN291" s="978"/>
      <c r="MO291" s="978"/>
      <c r="MP291" s="978"/>
      <c r="MQ291" s="978"/>
      <c r="MR291" s="978"/>
      <c r="MS291" s="978"/>
      <c r="MT291" s="978"/>
      <c r="MU291" s="978"/>
      <c r="MV291" s="978"/>
      <c r="MW291" s="978"/>
      <c r="MX291" s="978"/>
      <c r="MY291" s="978"/>
      <c r="MZ291" s="978"/>
      <c r="NA291" s="978"/>
      <c r="NB291" s="978"/>
      <c r="NC291" s="978"/>
      <c r="ND291" s="978"/>
      <c r="NE291" s="978"/>
      <c r="NF291" s="978"/>
      <c r="NG291" s="978"/>
      <c r="NH291" s="978"/>
      <c r="NI291" s="978"/>
      <c r="NJ291" s="978"/>
      <c r="NK291" s="978"/>
      <c r="NL291" s="978"/>
      <c r="NM291" s="978"/>
      <c r="NN291" s="978"/>
      <c r="NO291" s="978"/>
      <c r="NP291" s="978"/>
      <c r="NQ291" s="978"/>
      <c r="NR291" s="978"/>
      <c r="NS291" s="978"/>
      <c r="NT291" s="978"/>
      <c r="NU291" s="978"/>
      <c r="NV291" s="978"/>
      <c r="NW291" s="978"/>
      <c r="NX291" s="978"/>
      <c r="NY291" s="978"/>
      <c r="NZ291" s="978"/>
      <c r="OA291" s="978"/>
      <c r="OB291" s="978"/>
      <c r="OC291" s="978"/>
      <c r="OD291" s="978"/>
      <c r="OE291" s="978"/>
      <c r="OF291" s="978"/>
      <c r="OG291" s="978"/>
      <c r="OH291" s="978"/>
      <c r="OI291" s="978"/>
      <c r="OJ291" s="978"/>
      <c r="OK291" s="978"/>
      <c r="OL291" s="978"/>
      <c r="OM291" s="978"/>
      <c r="ON291" s="978"/>
      <c r="OO291" s="978"/>
      <c r="OP291" s="978"/>
      <c r="OQ291" s="978"/>
      <c r="OR291" s="978"/>
      <c r="OS291" s="978"/>
      <c r="OT291" s="978"/>
      <c r="OU291" s="978"/>
      <c r="OV291" s="978"/>
      <c r="OW291" s="978"/>
      <c r="OX291" s="978"/>
      <c r="OY291" s="978"/>
      <c r="OZ291" s="978"/>
      <c r="PA291" s="978"/>
      <c r="PB291" s="978"/>
      <c r="PC291" s="978"/>
      <c r="PD291" s="978"/>
      <c r="PE291" s="978"/>
      <c r="PF291" s="978"/>
      <c r="PG291" s="978"/>
      <c r="PH291" s="978"/>
      <c r="PI291" s="978"/>
      <c r="PJ291" s="978"/>
      <c r="PK291" s="978"/>
      <c r="PL291" s="978"/>
      <c r="PM291" s="978"/>
      <c r="PN291" s="978"/>
      <c r="PO291" s="978"/>
      <c r="PP291" s="978"/>
      <c r="PQ291" s="978"/>
      <c r="PR291" s="978"/>
      <c r="PS291" s="978"/>
      <c r="PT291" s="978"/>
      <c r="PU291" s="978"/>
      <c r="PV291" s="978"/>
      <c r="PW291" s="978"/>
      <c r="PX291" s="978"/>
      <c r="PY291" s="978"/>
      <c r="PZ291" s="978"/>
      <c r="QA291" s="978"/>
      <c r="QB291" s="978"/>
      <c r="QC291" s="978"/>
      <c r="QD291" s="978"/>
      <c r="QE291" s="978"/>
      <c r="QF291" s="978"/>
      <c r="QG291" s="978"/>
      <c r="QH291" s="978"/>
      <c r="QI291" s="978"/>
      <c r="QJ291" s="978"/>
      <c r="QK291" s="978"/>
      <c r="QL291" s="978"/>
      <c r="QM291" s="978"/>
      <c r="QN291" s="978"/>
      <c r="QO291" s="978"/>
      <c r="QP291" s="978"/>
      <c r="QQ291" s="978"/>
      <c r="QR291" s="978"/>
      <c r="QS291" s="978"/>
      <c r="QT291" s="978"/>
      <c r="QU291" s="978"/>
      <c r="QV291" s="978"/>
      <c r="QW291" s="978"/>
      <c r="QX291" s="978"/>
      <c r="QY291" s="978"/>
      <c r="QZ291" s="978"/>
      <c r="RA291" s="978"/>
      <c r="RB291" s="274"/>
      <c r="RC291" s="274"/>
    </row>
    <row r="292" spans="112:471" ht="17.25">
      <c r="DH292" s="274"/>
      <c r="DI292" s="274"/>
      <c r="DJ292" s="978"/>
      <c r="DK292" s="978"/>
      <c r="DL292" s="978"/>
      <c r="DM292" s="978"/>
      <c r="DN292" s="978"/>
      <c r="DO292" s="978"/>
      <c r="DP292" s="978"/>
      <c r="DQ292" s="978"/>
      <c r="DR292" s="978"/>
      <c r="DS292" s="978"/>
      <c r="DT292" s="978"/>
      <c r="DU292" s="978"/>
      <c r="DV292" s="978"/>
      <c r="DW292" s="978"/>
      <c r="DX292" s="978"/>
      <c r="DY292" s="978"/>
      <c r="DZ292" s="978"/>
      <c r="EA292" s="978"/>
      <c r="EB292" s="978"/>
      <c r="EC292" s="978"/>
      <c r="ED292" s="978"/>
      <c r="EE292" s="978"/>
      <c r="EF292" s="978"/>
      <c r="EG292" s="978"/>
      <c r="EH292" s="978"/>
      <c r="EI292" s="978"/>
      <c r="EJ292" s="978"/>
      <c r="EK292" s="978"/>
      <c r="EL292" s="978"/>
      <c r="EM292" s="978"/>
      <c r="EN292" s="978"/>
      <c r="EO292" s="978"/>
      <c r="EP292" s="978"/>
      <c r="EQ292" s="978"/>
      <c r="ER292" s="978"/>
      <c r="ES292" s="978"/>
      <c r="ET292" s="978"/>
      <c r="EU292" s="978"/>
      <c r="EV292" s="978"/>
      <c r="EW292" s="978"/>
      <c r="EX292" s="978"/>
      <c r="EY292" s="978"/>
      <c r="EZ292" s="978"/>
      <c r="FA292" s="978"/>
      <c r="FB292" s="978"/>
      <c r="FC292" s="978"/>
      <c r="FD292" s="978"/>
      <c r="FE292" s="978"/>
      <c r="FF292" s="978"/>
      <c r="FG292" s="978"/>
      <c r="FH292" s="978"/>
      <c r="FI292" s="978"/>
      <c r="FJ292" s="978"/>
      <c r="FK292" s="978"/>
      <c r="FL292" s="978"/>
      <c r="FM292" s="978"/>
      <c r="FN292" s="978"/>
      <c r="FO292" s="978"/>
      <c r="FP292" s="978"/>
      <c r="FQ292" s="978"/>
      <c r="FR292" s="978"/>
      <c r="FS292" s="978"/>
      <c r="FT292" s="978"/>
      <c r="FU292" s="978"/>
      <c r="FV292" s="978"/>
      <c r="FW292" s="978"/>
      <c r="FX292" s="978"/>
      <c r="FY292" s="978"/>
      <c r="FZ292" s="978"/>
      <c r="GA292" s="978"/>
      <c r="GB292" s="978"/>
      <c r="GC292" s="978"/>
      <c r="GD292" s="978"/>
      <c r="GE292" s="978"/>
      <c r="GF292" s="978"/>
      <c r="GG292" s="978"/>
      <c r="GH292" s="978"/>
      <c r="GI292" s="978"/>
      <c r="GJ292" s="978"/>
      <c r="GK292" s="978"/>
      <c r="GL292" s="978"/>
      <c r="GM292" s="978"/>
      <c r="GN292" s="978"/>
      <c r="GO292" s="978"/>
      <c r="GP292" s="978"/>
      <c r="GQ292" s="978"/>
      <c r="GR292" s="978"/>
      <c r="GS292" s="978"/>
      <c r="GT292" s="978"/>
      <c r="GU292" s="978"/>
      <c r="GV292" s="978"/>
      <c r="GW292" s="978"/>
      <c r="GX292" s="978"/>
      <c r="GY292" s="978"/>
      <c r="GZ292" s="978"/>
      <c r="HA292" s="978"/>
      <c r="HB292" s="978"/>
      <c r="HC292" s="978"/>
      <c r="HD292" s="978"/>
      <c r="HE292" s="978"/>
      <c r="HF292" s="978"/>
      <c r="HG292" s="978"/>
      <c r="HH292" s="978"/>
      <c r="HI292" s="978"/>
      <c r="HJ292" s="978"/>
      <c r="HK292" s="978"/>
      <c r="HL292" s="978"/>
      <c r="HM292" s="978"/>
      <c r="HN292" s="978"/>
      <c r="HO292" s="978"/>
      <c r="HP292" s="978"/>
      <c r="HQ292" s="978"/>
      <c r="HR292" s="978"/>
      <c r="HS292" s="978"/>
      <c r="HT292" s="978"/>
      <c r="HU292" s="978"/>
      <c r="HV292" s="978"/>
      <c r="HW292" s="978"/>
      <c r="HX292" s="978"/>
      <c r="HY292" s="978"/>
      <c r="HZ292" s="978"/>
      <c r="IA292" s="978"/>
      <c r="IB292" s="978"/>
      <c r="IC292" s="978"/>
      <c r="ID292" s="978"/>
      <c r="IE292" s="978"/>
      <c r="IF292" s="978"/>
      <c r="IG292" s="978"/>
      <c r="IH292" s="978"/>
      <c r="II292" s="978"/>
      <c r="IJ292" s="978"/>
      <c r="IK292" s="978"/>
      <c r="IL292" s="978"/>
      <c r="IM292" s="978"/>
      <c r="IN292" s="978"/>
      <c r="IO292" s="978"/>
      <c r="IP292" s="978"/>
      <c r="IQ292" s="978"/>
      <c r="IR292" s="978"/>
      <c r="IS292" s="978"/>
      <c r="IT292" s="978"/>
      <c r="IU292" s="978"/>
      <c r="IV292" s="978"/>
      <c r="IW292" s="978"/>
      <c r="IX292" s="978"/>
      <c r="IY292" s="978"/>
      <c r="IZ292" s="978"/>
      <c r="JA292" s="978"/>
      <c r="JB292" s="978"/>
      <c r="JC292" s="978"/>
      <c r="JD292" s="978"/>
      <c r="JE292" s="978"/>
      <c r="JF292" s="978"/>
      <c r="JG292" s="978"/>
      <c r="JH292" s="978"/>
      <c r="JI292" s="978"/>
      <c r="JJ292" s="978"/>
      <c r="JK292" s="978"/>
      <c r="JL292" s="978"/>
      <c r="JM292" s="978"/>
      <c r="JN292" s="978"/>
      <c r="JO292" s="978"/>
      <c r="JP292" s="978"/>
      <c r="JQ292" s="978"/>
      <c r="JR292" s="978"/>
      <c r="JS292" s="978"/>
      <c r="JT292" s="978"/>
      <c r="JU292" s="978"/>
      <c r="JV292" s="978"/>
      <c r="JW292" s="978"/>
      <c r="JX292" s="978"/>
      <c r="JY292" s="978"/>
      <c r="JZ292" s="978"/>
      <c r="KA292" s="978"/>
      <c r="KB292" s="978"/>
      <c r="KC292" s="978"/>
      <c r="KD292" s="978"/>
      <c r="KE292" s="978"/>
      <c r="KF292" s="978"/>
      <c r="KG292" s="978"/>
      <c r="KH292" s="978"/>
      <c r="KI292" s="978"/>
      <c r="KJ292" s="978"/>
      <c r="KK292" s="978"/>
      <c r="KL292" s="978"/>
      <c r="KM292" s="978"/>
      <c r="KN292" s="978"/>
      <c r="KO292" s="978"/>
      <c r="KP292" s="978"/>
      <c r="KQ292" s="978"/>
      <c r="KR292" s="978"/>
      <c r="KS292" s="978"/>
      <c r="KT292" s="978"/>
      <c r="KU292" s="978"/>
      <c r="KV292" s="978"/>
      <c r="KW292" s="978"/>
      <c r="KX292" s="978"/>
      <c r="KY292" s="978"/>
      <c r="KZ292" s="978"/>
      <c r="LA292" s="978"/>
      <c r="LB292" s="978"/>
      <c r="LC292" s="978"/>
      <c r="LD292" s="978"/>
      <c r="LE292" s="978"/>
      <c r="LF292" s="978"/>
      <c r="LG292" s="978"/>
      <c r="LH292" s="978"/>
      <c r="LI292" s="978"/>
      <c r="LJ292" s="978"/>
      <c r="LK292" s="978"/>
      <c r="LL292" s="978"/>
      <c r="LM292" s="978"/>
      <c r="LN292" s="978"/>
      <c r="LO292" s="978"/>
      <c r="LP292" s="978"/>
      <c r="LQ292" s="978"/>
      <c r="LR292" s="978"/>
      <c r="LS292" s="978"/>
      <c r="LT292" s="978"/>
      <c r="LU292" s="978"/>
      <c r="LV292" s="978"/>
      <c r="LW292" s="978"/>
      <c r="LX292" s="978"/>
      <c r="LY292" s="978"/>
      <c r="LZ292" s="978"/>
      <c r="MA292" s="978"/>
      <c r="MB292" s="978"/>
      <c r="MC292" s="978"/>
      <c r="MD292" s="978"/>
      <c r="ME292" s="978"/>
      <c r="MF292" s="978"/>
      <c r="MG292" s="978"/>
      <c r="MH292" s="978"/>
      <c r="MI292" s="978"/>
      <c r="MJ292" s="978"/>
      <c r="MK292" s="978"/>
      <c r="ML292" s="978"/>
      <c r="MM292" s="978"/>
      <c r="MN292" s="978"/>
      <c r="MO292" s="978"/>
      <c r="MP292" s="978"/>
      <c r="MQ292" s="978"/>
      <c r="MR292" s="978"/>
      <c r="MS292" s="978"/>
      <c r="MT292" s="978"/>
      <c r="MU292" s="978"/>
      <c r="MV292" s="978"/>
      <c r="MW292" s="978"/>
      <c r="MX292" s="978"/>
      <c r="MY292" s="978"/>
      <c r="MZ292" s="978"/>
      <c r="NA292" s="978"/>
      <c r="NB292" s="978"/>
      <c r="NC292" s="978"/>
      <c r="ND292" s="978"/>
      <c r="NE292" s="978"/>
      <c r="NF292" s="978"/>
      <c r="NG292" s="978"/>
      <c r="NH292" s="978"/>
      <c r="NI292" s="978"/>
      <c r="NJ292" s="978"/>
      <c r="NK292" s="978"/>
      <c r="NL292" s="978"/>
      <c r="NM292" s="978"/>
      <c r="NN292" s="978"/>
      <c r="NO292" s="978"/>
      <c r="NP292" s="978"/>
      <c r="NQ292" s="978"/>
      <c r="NR292" s="978"/>
      <c r="NS292" s="978"/>
      <c r="NT292" s="978"/>
      <c r="NU292" s="978"/>
      <c r="NV292" s="978"/>
      <c r="NW292" s="978"/>
      <c r="NX292" s="978"/>
      <c r="NY292" s="978"/>
      <c r="NZ292" s="978"/>
      <c r="OA292" s="978"/>
      <c r="OB292" s="978"/>
      <c r="OC292" s="978"/>
      <c r="OD292" s="978"/>
      <c r="OE292" s="978"/>
      <c r="OF292" s="978"/>
      <c r="OG292" s="978"/>
      <c r="OH292" s="978"/>
      <c r="OI292" s="978"/>
      <c r="OJ292" s="978"/>
      <c r="OK292" s="978"/>
      <c r="OL292" s="978"/>
      <c r="OM292" s="978"/>
      <c r="ON292" s="978"/>
      <c r="OO292" s="978"/>
      <c r="OP292" s="978"/>
      <c r="OQ292" s="978"/>
      <c r="OR292" s="978"/>
      <c r="OS292" s="978"/>
      <c r="OT292" s="978"/>
      <c r="OU292" s="978"/>
      <c r="OV292" s="978"/>
      <c r="OW292" s="978"/>
      <c r="OX292" s="978"/>
      <c r="OY292" s="978"/>
      <c r="OZ292" s="978"/>
      <c r="PA292" s="978"/>
      <c r="PB292" s="978"/>
      <c r="PC292" s="978"/>
      <c r="PD292" s="978"/>
      <c r="PE292" s="978"/>
      <c r="PF292" s="978"/>
      <c r="PG292" s="978"/>
      <c r="PH292" s="978"/>
      <c r="PI292" s="978"/>
      <c r="PJ292" s="978"/>
      <c r="PK292" s="978"/>
      <c r="PL292" s="978"/>
      <c r="PM292" s="978"/>
      <c r="PN292" s="978"/>
      <c r="PO292" s="978"/>
      <c r="PP292" s="978"/>
      <c r="PQ292" s="978"/>
      <c r="PR292" s="978"/>
      <c r="PS292" s="978"/>
      <c r="PT292" s="978"/>
      <c r="PU292" s="978"/>
      <c r="PV292" s="978"/>
      <c r="PW292" s="978"/>
      <c r="PX292" s="978"/>
      <c r="PY292" s="978"/>
      <c r="PZ292" s="978"/>
      <c r="QA292" s="978"/>
      <c r="QB292" s="978"/>
      <c r="QC292" s="978"/>
      <c r="QD292" s="978"/>
      <c r="QE292" s="978"/>
      <c r="QF292" s="978"/>
      <c r="QG292" s="978"/>
      <c r="QH292" s="978"/>
      <c r="QI292" s="978"/>
      <c r="QJ292" s="978"/>
      <c r="QK292" s="978"/>
      <c r="QL292" s="978"/>
      <c r="QM292" s="978"/>
      <c r="QN292" s="978"/>
      <c r="QO292" s="978"/>
      <c r="QP292" s="978"/>
      <c r="QQ292" s="978"/>
      <c r="QR292" s="978"/>
      <c r="QS292" s="978"/>
      <c r="QT292" s="978"/>
      <c r="QU292" s="978"/>
      <c r="QV292" s="978"/>
      <c r="QW292" s="978"/>
      <c r="QX292" s="978"/>
      <c r="QY292" s="978"/>
      <c r="QZ292" s="978"/>
      <c r="RA292" s="978"/>
      <c r="RB292" s="274"/>
      <c r="RC292" s="274"/>
    </row>
    <row r="293" spans="112:471" ht="17.25">
      <c r="DH293" s="274"/>
      <c r="DI293" s="274"/>
      <c r="DJ293" s="978"/>
      <c r="DK293" s="978"/>
      <c r="DL293" s="978"/>
      <c r="DM293" s="978"/>
      <c r="DN293" s="978"/>
      <c r="DO293" s="978"/>
      <c r="DP293" s="978"/>
      <c r="DQ293" s="978"/>
      <c r="DR293" s="978"/>
      <c r="DS293" s="978"/>
      <c r="DT293" s="978"/>
      <c r="DU293" s="978"/>
      <c r="DV293" s="978"/>
      <c r="DW293" s="978"/>
      <c r="DX293" s="978"/>
      <c r="DY293" s="978"/>
      <c r="DZ293" s="978"/>
      <c r="EA293" s="978"/>
      <c r="EB293" s="978"/>
      <c r="EC293" s="978"/>
      <c r="ED293" s="978"/>
      <c r="EE293" s="978"/>
      <c r="EF293" s="978"/>
      <c r="EG293" s="978"/>
      <c r="EH293" s="978"/>
      <c r="EI293" s="978"/>
      <c r="EJ293" s="978"/>
      <c r="EK293" s="978"/>
      <c r="EL293" s="978"/>
      <c r="EM293" s="978"/>
      <c r="EN293" s="978"/>
      <c r="EO293" s="978"/>
      <c r="EP293" s="978"/>
      <c r="EQ293" s="978"/>
      <c r="ER293" s="978"/>
      <c r="ES293" s="978"/>
      <c r="ET293" s="978"/>
      <c r="EU293" s="978"/>
      <c r="EV293" s="978"/>
      <c r="EW293" s="978"/>
      <c r="EX293" s="978"/>
      <c r="EY293" s="978"/>
      <c r="EZ293" s="978"/>
      <c r="FA293" s="978"/>
      <c r="FB293" s="978"/>
      <c r="FC293" s="978"/>
      <c r="FD293" s="978"/>
      <c r="FE293" s="978"/>
      <c r="FF293" s="978"/>
      <c r="FG293" s="978"/>
      <c r="FH293" s="978"/>
      <c r="FI293" s="978"/>
      <c r="FJ293" s="978"/>
      <c r="FK293" s="978"/>
      <c r="FL293" s="978"/>
      <c r="FM293" s="978"/>
      <c r="FN293" s="978"/>
      <c r="FO293" s="978"/>
      <c r="FP293" s="978"/>
      <c r="FQ293" s="978"/>
      <c r="FR293" s="978"/>
      <c r="FS293" s="978"/>
      <c r="FT293" s="978"/>
      <c r="FU293" s="978"/>
      <c r="FV293" s="978"/>
      <c r="FW293" s="978"/>
      <c r="FX293" s="978"/>
      <c r="FY293" s="978"/>
      <c r="FZ293" s="978"/>
      <c r="GA293" s="978"/>
      <c r="GB293" s="978"/>
      <c r="GC293" s="978"/>
      <c r="GD293" s="978"/>
      <c r="GE293" s="978"/>
      <c r="GF293" s="978"/>
      <c r="GG293" s="978"/>
      <c r="GH293" s="978"/>
      <c r="GI293" s="978"/>
      <c r="GJ293" s="978"/>
      <c r="GK293" s="978"/>
      <c r="GL293" s="978"/>
      <c r="GM293" s="978"/>
      <c r="GN293" s="978"/>
      <c r="GO293" s="978"/>
      <c r="GP293" s="978"/>
      <c r="GQ293" s="978"/>
      <c r="GR293" s="978"/>
      <c r="GS293" s="978"/>
      <c r="GT293" s="978"/>
      <c r="GU293" s="978"/>
      <c r="GV293" s="978"/>
      <c r="GW293" s="978"/>
      <c r="GX293" s="978"/>
      <c r="GY293" s="978"/>
      <c r="GZ293" s="978"/>
      <c r="HA293" s="978"/>
      <c r="HB293" s="978"/>
      <c r="HC293" s="978"/>
      <c r="HD293" s="978"/>
      <c r="HE293" s="978"/>
      <c r="HF293" s="978"/>
      <c r="HG293" s="978"/>
      <c r="HH293" s="978"/>
      <c r="HI293" s="978"/>
      <c r="HJ293" s="978"/>
      <c r="HK293" s="978"/>
      <c r="HL293" s="978"/>
      <c r="HM293" s="978"/>
      <c r="HN293" s="978"/>
      <c r="HO293" s="978"/>
      <c r="HP293" s="978"/>
      <c r="HQ293" s="978"/>
      <c r="HR293" s="978"/>
      <c r="HS293" s="978"/>
      <c r="HT293" s="978"/>
      <c r="HU293" s="978"/>
      <c r="HV293" s="978"/>
      <c r="HW293" s="978"/>
      <c r="HX293" s="978"/>
      <c r="HY293" s="978"/>
      <c r="HZ293" s="978"/>
      <c r="IA293" s="978"/>
      <c r="IB293" s="978"/>
      <c r="IC293" s="978"/>
      <c r="ID293" s="978"/>
      <c r="IE293" s="978"/>
      <c r="IF293" s="978"/>
      <c r="IG293" s="978"/>
      <c r="IH293" s="978"/>
      <c r="II293" s="978"/>
      <c r="IJ293" s="978"/>
      <c r="IK293" s="978"/>
      <c r="IL293" s="978"/>
      <c r="IM293" s="978"/>
      <c r="IN293" s="978"/>
      <c r="IO293" s="978"/>
      <c r="IP293" s="978"/>
      <c r="IQ293" s="978"/>
      <c r="IR293" s="978"/>
      <c r="IS293" s="978"/>
      <c r="IT293" s="978"/>
      <c r="IU293" s="978"/>
      <c r="IV293" s="978"/>
      <c r="IW293" s="978"/>
      <c r="IX293" s="978"/>
      <c r="IY293" s="978"/>
      <c r="IZ293" s="978"/>
      <c r="JA293" s="978"/>
      <c r="JB293" s="978"/>
      <c r="JC293" s="978"/>
      <c r="JD293" s="978"/>
      <c r="JE293" s="978"/>
      <c r="JF293" s="978"/>
      <c r="JG293" s="978"/>
      <c r="JH293" s="978"/>
      <c r="JI293" s="978"/>
      <c r="JJ293" s="978"/>
      <c r="JK293" s="978"/>
      <c r="JL293" s="978"/>
      <c r="JM293" s="978"/>
      <c r="JN293" s="978"/>
      <c r="JO293" s="978"/>
      <c r="JP293" s="978"/>
      <c r="JQ293" s="978"/>
      <c r="JR293" s="978"/>
      <c r="JS293" s="978"/>
      <c r="JT293" s="978"/>
      <c r="JU293" s="978"/>
      <c r="JV293" s="978"/>
      <c r="JW293" s="978"/>
      <c r="JX293" s="978"/>
      <c r="JY293" s="978"/>
      <c r="JZ293" s="978"/>
      <c r="KA293" s="978"/>
      <c r="KB293" s="978"/>
      <c r="KC293" s="978"/>
      <c r="KD293" s="978"/>
      <c r="KE293" s="978"/>
      <c r="KF293" s="978"/>
      <c r="KG293" s="978"/>
      <c r="KH293" s="978"/>
      <c r="KI293" s="978"/>
      <c r="KJ293" s="978"/>
      <c r="KK293" s="978"/>
      <c r="KL293" s="978"/>
      <c r="KM293" s="978"/>
      <c r="KN293" s="978"/>
      <c r="KO293" s="978"/>
      <c r="KP293" s="978"/>
      <c r="KQ293" s="978"/>
      <c r="KR293" s="978"/>
      <c r="KS293" s="978"/>
      <c r="KT293" s="978"/>
      <c r="KU293" s="978"/>
      <c r="KV293" s="978"/>
      <c r="KW293" s="978"/>
      <c r="KX293" s="978"/>
      <c r="KY293" s="978"/>
      <c r="KZ293" s="978"/>
      <c r="LA293" s="978"/>
      <c r="LB293" s="978"/>
      <c r="LC293" s="978"/>
      <c r="LD293" s="978"/>
      <c r="LE293" s="978"/>
      <c r="LF293" s="978"/>
      <c r="LG293" s="978"/>
      <c r="LH293" s="978"/>
      <c r="LI293" s="978"/>
      <c r="LJ293" s="978"/>
      <c r="LK293" s="978"/>
      <c r="LL293" s="978"/>
      <c r="LM293" s="978"/>
      <c r="LN293" s="978"/>
      <c r="LO293" s="978"/>
      <c r="LP293" s="978"/>
      <c r="LQ293" s="978"/>
      <c r="LR293" s="978"/>
      <c r="LS293" s="978"/>
      <c r="LT293" s="978"/>
      <c r="LU293" s="978"/>
      <c r="LV293" s="978"/>
      <c r="LW293" s="978"/>
      <c r="LX293" s="978"/>
      <c r="LY293" s="978"/>
      <c r="LZ293" s="978"/>
      <c r="MA293" s="978"/>
      <c r="MB293" s="978"/>
      <c r="MC293" s="978"/>
      <c r="MD293" s="978"/>
      <c r="ME293" s="978"/>
      <c r="MF293" s="978"/>
      <c r="MG293" s="978"/>
      <c r="MH293" s="978"/>
      <c r="MI293" s="978"/>
      <c r="MJ293" s="978"/>
      <c r="MK293" s="978"/>
      <c r="ML293" s="978"/>
      <c r="MM293" s="978"/>
      <c r="MN293" s="978"/>
      <c r="MO293" s="978"/>
      <c r="MP293" s="978"/>
      <c r="MQ293" s="978"/>
      <c r="MR293" s="978"/>
      <c r="MS293" s="978"/>
      <c r="MT293" s="978"/>
      <c r="MU293" s="978"/>
      <c r="MV293" s="978"/>
      <c r="MW293" s="978"/>
      <c r="MX293" s="978"/>
      <c r="MY293" s="978"/>
      <c r="MZ293" s="978"/>
      <c r="NA293" s="978"/>
      <c r="NB293" s="978"/>
      <c r="NC293" s="978"/>
      <c r="ND293" s="978"/>
      <c r="NE293" s="978"/>
      <c r="NF293" s="978"/>
      <c r="NG293" s="978"/>
      <c r="NH293" s="978"/>
      <c r="NI293" s="978"/>
      <c r="NJ293" s="978"/>
      <c r="NK293" s="978"/>
      <c r="NL293" s="978"/>
      <c r="NM293" s="978"/>
      <c r="NN293" s="978"/>
      <c r="NO293" s="978"/>
      <c r="NP293" s="978"/>
      <c r="NQ293" s="978"/>
      <c r="NR293" s="978"/>
      <c r="NS293" s="978"/>
      <c r="NT293" s="978"/>
      <c r="NU293" s="978"/>
      <c r="NV293" s="978"/>
      <c r="NW293" s="978"/>
      <c r="NX293" s="978"/>
      <c r="NY293" s="978"/>
      <c r="NZ293" s="978"/>
      <c r="OA293" s="978"/>
      <c r="OB293" s="978"/>
      <c r="OC293" s="978"/>
      <c r="OD293" s="978"/>
      <c r="OE293" s="978"/>
      <c r="OF293" s="978"/>
      <c r="OG293" s="978"/>
      <c r="OH293" s="978"/>
      <c r="OI293" s="978"/>
      <c r="OJ293" s="978"/>
      <c r="OK293" s="978"/>
      <c r="OL293" s="978"/>
      <c r="OM293" s="978"/>
      <c r="ON293" s="978"/>
      <c r="OO293" s="978"/>
      <c r="OP293" s="978"/>
      <c r="OQ293" s="978"/>
      <c r="OR293" s="978"/>
      <c r="OS293" s="978"/>
      <c r="OT293" s="978"/>
      <c r="OU293" s="978"/>
      <c r="OV293" s="978"/>
      <c r="OW293" s="978"/>
      <c r="OX293" s="978"/>
      <c r="OY293" s="978"/>
      <c r="OZ293" s="978"/>
      <c r="PA293" s="978"/>
      <c r="PB293" s="978"/>
      <c r="PC293" s="978"/>
      <c r="PD293" s="978"/>
      <c r="PE293" s="978"/>
      <c r="PF293" s="978"/>
      <c r="PG293" s="978"/>
      <c r="PH293" s="978"/>
      <c r="PI293" s="978"/>
      <c r="PJ293" s="978"/>
      <c r="PK293" s="978"/>
      <c r="PL293" s="978"/>
      <c r="PM293" s="978"/>
      <c r="PN293" s="978"/>
      <c r="PO293" s="978"/>
      <c r="PP293" s="978"/>
      <c r="PQ293" s="978"/>
      <c r="PR293" s="978"/>
      <c r="PS293" s="978"/>
      <c r="PT293" s="978"/>
      <c r="PU293" s="978"/>
      <c r="PV293" s="978"/>
      <c r="PW293" s="978"/>
      <c r="PX293" s="978"/>
      <c r="PY293" s="978"/>
      <c r="PZ293" s="978"/>
      <c r="QA293" s="978"/>
      <c r="QB293" s="978"/>
      <c r="QC293" s="978"/>
      <c r="QD293" s="978"/>
      <c r="QE293" s="978"/>
      <c r="QF293" s="978"/>
      <c r="QG293" s="978"/>
      <c r="QH293" s="978"/>
      <c r="QI293" s="978"/>
      <c r="QJ293" s="978"/>
      <c r="QK293" s="978"/>
      <c r="QL293" s="978"/>
      <c r="QM293" s="978"/>
      <c r="QN293" s="978"/>
      <c r="QO293" s="978"/>
      <c r="QP293" s="978"/>
      <c r="QQ293" s="978"/>
      <c r="QR293" s="978"/>
      <c r="QS293" s="978"/>
      <c r="QT293" s="978"/>
      <c r="QU293" s="978"/>
      <c r="QV293" s="978"/>
      <c r="QW293" s="978"/>
      <c r="QX293" s="978"/>
      <c r="QY293" s="978"/>
      <c r="QZ293" s="978"/>
      <c r="RA293" s="978"/>
      <c r="RB293" s="274"/>
      <c r="RC293" s="274"/>
    </row>
    <row r="294" spans="112:471" ht="17.25">
      <c r="DH294" s="274"/>
      <c r="DI294" s="274"/>
      <c r="DJ294" s="978"/>
      <c r="DK294" s="978"/>
      <c r="DL294" s="978"/>
      <c r="DM294" s="978"/>
      <c r="DN294" s="978"/>
      <c r="DO294" s="978"/>
      <c r="DP294" s="978"/>
      <c r="DQ294" s="978"/>
      <c r="DR294" s="978"/>
      <c r="DS294" s="978"/>
      <c r="DT294" s="978"/>
      <c r="DU294" s="978"/>
      <c r="DV294" s="978"/>
      <c r="DW294" s="978"/>
      <c r="DX294" s="978"/>
      <c r="DY294" s="978"/>
      <c r="DZ294" s="978"/>
      <c r="EA294" s="978"/>
      <c r="EB294" s="978"/>
      <c r="EC294" s="978"/>
      <c r="ED294" s="978"/>
      <c r="EE294" s="978"/>
      <c r="EF294" s="978"/>
      <c r="EG294" s="978"/>
      <c r="EH294" s="978"/>
      <c r="EI294" s="978"/>
      <c r="EJ294" s="978"/>
      <c r="EK294" s="978"/>
      <c r="EL294" s="978"/>
      <c r="EM294" s="978"/>
      <c r="EN294" s="978"/>
      <c r="EO294" s="978"/>
      <c r="EP294" s="978"/>
      <c r="EQ294" s="978"/>
      <c r="ER294" s="978"/>
      <c r="ES294" s="978"/>
      <c r="ET294" s="978"/>
      <c r="EU294" s="978"/>
      <c r="EV294" s="978"/>
      <c r="EW294" s="978"/>
      <c r="EX294" s="978"/>
      <c r="EY294" s="978"/>
      <c r="EZ294" s="978"/>
      <c r="FA294" s="978"/>
      <c r="FB294" s="978"/>
      <c r="FC294" s="978"/>
      <c r="FD294" s="978"/>
      <c r="FE294" s="978"/>
      <c r="FF294" s="978"/>
      <c r="FG294" s="978"/>
      <c r="FH294" s="978"/>
      <c r="FI294" s="978"/>
      <c r="FJ294" s="978"/>
      <c r="FK294" s="978"/>
      <c r="FL294" s="978"/>
      <c r="FM294" s="978"/>
      <c r="FN294" s="978"/>
      <c r="FO294" s="978"/>
      <c r="FP294" s="978"/>
      <c r="FQ294" s="978"/>
      <c r="FR294" s="978"/>
      <c r="FS294" s="978"/>
      <c r="FT294" s="978"/>
      <c r="FU294" s="978"/>
      <c r="FV294" s="978"/>
      <c r="FW294" s="978"/>
      <c r="FX294" s="978"/>
      <c r="FY294" s="978"/>
      <c r="FZ294" s="978"/>
      <c r="GA294" s="978"/>
      <c r="GB294" s="978"/>
      <c r="GC294" s="978"/>
      <c r="GD294" s="978"/>
      <c r="GE294" s="978"/>
      <c r="GF294" s="978"/>
      <c r="GG294" s="978"/>
      <c r="GH294" s="978"/>
      <c r="GI294" s="978"/>
      <c r="GJ294" s="978"/>
      <c r="GK294" s="978"/>
      <c r="GL294" s="978"/>
      <c r="GM294" s="978"/>
      <c r="GN294" s="978"/>
      <c r="GO294" s="978"/>
      <c r="GP294" s="978"/>
      <c r="GQ294" s="978"/>
      <c r="GR294" s="978"/>
      <c r="GS294" s="978"/>
      <c r="GT294" s="978"/>
      <c r="GU294" s="978"/>
      <c r="GV294" s="978"/>
      <c r="GW294" s="978"/>
      <c r="GX294" s="978"/>
      <c r="GY294" s="978"/>
      <c r="GZ294" s="978"/>
      <c r="HA294" s="978"/>
      <c r="HB294" s="978"/>
      <c r="HC294" s="978"/>
      <c r="HD294" s="978"/>
      <c r="HE294" s="978"/>
      <c r="HF294" s="978"/>
      <c r="HG294" s="978"/>
      <c r="HH294" s="978"/>
      <c r="HI294" s="978"/>
      <c r="HJ294" s="978"/>
      <c r="HK294" s="978"/>
      <c r="HL294" s="978"/>
      <c r="HM294" s="978"/>
      <c r="HN294" s="978"/>
      <c r="HO294" s="978"/>
      <c r="HP294" s="978"/>
      <c r="HQ294" s="978"/>
      <c r="HR294" s="978"/>
      <c r="HS294" s="978"/>
      <c r="HT294" s="978"/>
      <c r="HU294" s="978"/>
      <c r="HV294" s="978"/>
      <c r="HW294" s="978"/>
      <c r="HX294" s="978"/>
      <c r="HY294" s="978"/>
      <c r="HZ294" s="978"/>
      <c r="IA294" s="978"/>
      <c r="IB294" s="978"/>
      <c r="IC294" s="978"/>
      <c r="ID294" s="978"/>
      <c r="IE294" s="978"/>
      <c r="IF294" s="978"/>
      <c r="IG294" s="978"/>
      <c r="IH294" s="978"/>
      <c r="II294" s="978"/>
      <c r="IJ294" s="978"/>
      <c r="IK294" s="978"/>
      <c r="IL294" s="978"/>
      <c r="IM294" s="978"/>
      <c r="IN294" s="978"/>
      <c r="IO294" s="978"/>
      <c r="IP294" s="978"/>
      <c r="IQ294" s="978"/>
      <c r="IR294" s="978"/>
      <c r="IS294" s="978"/>
      <c r="IT294" s="978"/>
      <c r="IU294" s="978"/>
      <c r="IV294" s="978"/>
      <c r="IW294" s="978"/>
      <c r="IX294" s="978"/>
      <c r="IY294" s="978"/>
      <c r="IZ294" s="978"/>
      <c r="JA294" s="978"/>
      <c r="JB294" s="978"/>
      <c r="JC294" s="978"/>
      <c r="JD294" s="978"/>
      <c r="JE294" s="978"/>
      <c r="JF294" s="978"/>
      <c r="JG294" s="978"/>
      <c r="JH294" s="978"/>
      <c r="JI294" s="978"/>
      <c r="JJ294" s="978"/>
      <c r="JK294" s="978"/>
      <c r="JL294" s="978"/>
      <c r="JM294" s="978"/>
      <c r="JN294" s="978"/>
      <c r="JO294" s="978"/>
      <c r="JP294" s="978"/>
      <c r="JQ294" s="978"/>
      <c r="JR294" s="978"/>
      <c r="JS294" s="978"/>
      <c r="JT294" s="978"/>
      <c r="JU294" s="978"/>
      <c r="JV294" s="978"/>
      <c r="JW294" s="978"/>
      <c r="JX294" s="978"/>
      <c r="JY294" s="978"/>
      <c r="JZ294" s="978"/>
      <c r="KA294" s="978"/>
      <c r="KB294" s="978"/>
      <c r="KC294" s="978"/>
      <c r="KD294" s="978"/>
      <c r="KE294" s="978"/>
      <c r="KF294" s="978"/>
      <c r="KG294" s="978"/>
      <c r="KH294" s="978"/>
      <c r="KI294" s="978"/>
      <c r="KJ294" s="978"/>
      <c r="KK294" s="978"/>
      <c r="KL294" s="978"/>
      <c r="KM294" s="978"/>
      <c r="KN294" s="978"/>
      <c r="KO294" s="978"/>
      <c r="KP294" s="978"/>
      <c r="KQ294" s="978"/>
      <c r="KR294" s="978"/>
      <c r="KS294" s="978"/>
      <c r="KT294" s="978"/>
      <c r="KU294" s="978"/>
      <c r="KV294" s="978"/>
      <c r="KW294" s="978"/>
      <c r="KX294" s="978"/>
      <c r="KY294" s="978"/>
      <c r="KZ294" s="978"/>
      <c r="LA294" s="978"/>
      <c r="LB294" s="978"/>
      <c r="LC294" s="978"/>
      <c r="LD294" s="978"/>
      <c r="LE294" s="978"/>
      <c r="LF294" s="978"/>
      <c r="LG294" s="978"/>
      <c r="LH294" s="978"/>
      <c r="LI294" s="978"/>
      <c r="LJ294" s="978"/>
      <c r="LK294" s="978"/>
      <c r="LL294" s="978"/>
      <c r="LM294" s="978"/>
      <c r="LN294" s="978"/>
      <c r="LO294" s="978"/>
      <c r="LP294" s="978"/>
      <c r="LQ294" s="978"/>
      <c r="LR294" s="978"/>
      <c r="LS294" s="978"/>
      <c r="LT294" s="978"/>
      <c r="LU294" s="978"/>
      <c r="LV294" s="978"/>
      <c r="LW294" s="978"/>
      <c r="LX294" s="978"/>
      <c r="LY294" s="978"/>
      <c r="LZ294" s="978"/>
      <c r="MA294" s="978"/>
      <c r="MB294" s="978"/>
      <c r="MC294" s="978"/>
      <c r="MD294" s="978"/>
      <c r="ME294" s="978"/>
      <c r="MF294" s="978"/>
      <c r="MG294" s="978"/>
      <c r="MH294" s="978"/>
      <c r="MI294" s="978"/>
      <c r="MJ294" s="978"/>
      <c r="MK294" s="978"/>
      <c r="ML294" s="978"/>
      <c r="MM294" s="978"/>
      <c r="MN294" s="978"/>
      <c r="MO294" s="978"/>
      <c r="MP294" s="978"/>
      <c r="MQ294" s="978"/>
      <c r="MR294" s="978"/>
      <c r="MS294" s="978"/>
      <c r="MT294" s="978"/>
      <c r="MU294" s="978"/>
      <c r="MV294" s="978"/>
      <c r="MW294" s="978"/>
      <c r="MX294" s="978"/>
      <c r="MY294" s="978"/>
      <c r="MZ294" s="978"/>
      <c r="NA294" s="978"/>
      <c r="NB294" s="978"/>
      <c r="NC294" s="978"/>
      <c r="ND294" s="978"/>
      <c r="NE294" s="978"/>
      <c r="NF294" s="978"/>
      <c r="NG294" s="978"/>
      <c r="NH294" s="978"/>
      <c r="NI294" s="978"/>
      <c r="NJ294" s="978"/>
      <c r="NK294" s="978"/>
      <c r="NL294" s="978"/>
      <c r="NM294" s="978"/>
      <c r="NN294" s="978"/>
      <c r="NO294" s="978"/>
      <c r="NP294" s="978"/>
      <c r="NQ294" s="978"/>
      <c r="NR294" s="978"/>
      <c r="NS294" s="978"/>
      <c r="NT294" s="978"/>
      <c r="NU294" s="978"/>
      <c r="NV294" s="978"/>
      <c r="NW294" s="978"/>
      <c r="NX294" s="978"/>
      <c r="NY294" s="978"/>
      <c r="NZ294" s="978"/>
      <c r="OA294" s="978"/>
      <c r="OB294" s="978"/>
      <c r="OC294" s="978"/>
      <c r="OD294" s="978"/>
      <c r="OE294" s="978"/>
      <c r="OF294" s="978"/>
      <c r="OG294" s="978"/>
      <c r="OH294" s="978"/>
      <c r="OI294" s="978"/>
      <c r="OJ294" s="978"/>
      <c r="OK294" s="978"/>
      <c r="OL294" s="978"/>
      <c r="OM294" s="978"/>
      <c r="ON294" s="978"/>
      <c r="OO294" s="978"/>
      <c r="OP294" s="978"/>
      <c r="OQ294" s="978"/>
      <c r="OR294" s="978"/>
      <c r="OS294" s="978"/>
      <c r="OT294" s="978"/>
      <c r="OU294" s="978"/>
      <c r="OV294" s="978"/>
      <c r="OW294" s="978"/>
      <c r="OX294" s="978"/>
      <c r="OY294" s="978"/>
      <c r="OZ294" s="978"/>
      <c r="PA294" s="978"/>
      <c r="PB294" s="978"/>
      <c r="PC294" s="978"/>
      <c r="PD294" s="978"/>
      <c r="PE294" s="978"/>
      <c r="PF294" s="978"/>
      <c r="PG294" s="978"/>
      <c r="PH294" s="978"/>
      <c r="PI294" s="978"/>
      <c r="PJ294" s="978"/>
      <c r="PK294" s="978"/>
      <c r="PL294" s="978"/>
      <c r="PM294" s="978"/>
      <c r="PN294" s="978"/>
      <c r="PO294" s="978"/>
      <c r="PP294" s="978"/>
      <c r="PQ294" s="978"/>
      <c r="PR294" s="978"/>
      <c r="PS294" s="978"/>
      <c r="PT294" s="978"/>
      <c r="PU294" s="978"/>
      <c r="PV294" s="978"/>
      <c r="PW294" s="978"/>
      <c r="PX294" s="978"/>
      <c r="PY294" s="978"/>
      <c r="PZ294" s="978"/>
      <c r="QA294" s="978"/>
      <c r="QB294" s="978"/>
      <c r="QC294" s="978"/>
      <c r="QD294" s="978"/>
      <c r="QE294" s="978"/>
      <c r="QF294" s="978"/>
      <c r="QG294" s="978"/>
      <c r="QH294" s="978"/>
      <c r="QI294" s="978"/>
      <c r="QJ294" s="978"/>
      <c r="QK294" s="978"/>
      <c r="QL294" s="978"/>
      <c r="QM294" s="978"/>
      <c r="QN294" s="978"/>
      <c r="QO294" s="978"/>
      <c r="QP294" s="978"/>
      <c r="QQ294" s="978"/>
      <c r="QR294" s="978"/>
      <c r="QS294" s="978"/>
      <c r="QT294" s="978"/>
      <c r="QU294" s="978"/>
      <c r="QV294" s="978"/>
      <c r="QW294" s="978"/>
      <c r="QX294" s="978"/>
      <c r="QY294" s="978"/>
      <c r="QZ294" s="978"/>
      <c r="RA294" s="978"/>
      <c r="RB294" s="274"/>
      <c r="RC294" s="274"/>
    </row>
    <row r="295" spans="112:471" ht="17.25">
      <c r="DH295" s="274"/>
      <c r="DI295" s="274"/>
      <c r="DJ295" s="978"/>
      <c r="DK295" s="978"/>
      <c r="DL295" s="978"/>
      <c r="DM295" s="978"/>
      <c r="DN295" s="978"/>
      <c r="DO295" s="978"/>
      <c r="DP295" s="978"/>
      <c r="DQ295" s="978"/>
      <c r="DR295" s="978"/>
      <c r="DS295" s="978"/>
      <c r="DT295" s="978"/>
      <c r="DU295" s="978"/>
      <c r="DV295" s="978"/>
      <c r="DW295" s="978"/>
      <c r="DX295" s="978"/>
      <c r="DY295" s="978"/>
      <c r="DZ295" s="978"/>
      <c r="EA295" s="978"/>
      <c r="EB295" s="978"/>
      <c r="EC295" s="978"/>
      <c r="ED295" s="978"/>
      <c r="EE295" s="978"/>
      <c r="EF295" s="978"/>
      <c r="EG295" s="978"/>
      <c r="EH295" s="978"/>
      <c r="EI295" s="978"/>
      <c r="EJ295" s="978"/>
      <c r="EK295" s="978"/>
      <c r="EL295" s="978"/>
      <c r="EM295" s="978"/>
      <c r="EN295" s="978"/>
      <c r="EO295" s="978"/>
      <c r="EP295" s="978"/>
      <c r="EQ295" s="978"/>
      <c r="ER295" s="978"/>
      <c r="ES295" s="978"/>
      <c r="ET295" s="978"/>
      <c r="EU295" s="978"/>
      <c r="EV295" s="978"/>
      <c r="EW295" s="978"/>
      <c r="EX295" s="978"/>
      <c r="EY295" s="978"/>
      <c r="EZ295" s="978"/>
      <c r="FA295" s="978"/>
      <c r="FB295" s="978"/>
      <c r="FC295" s="978"/>
      <c r="FD295" s="978"/>
      <c r="FE295" s="978"/>
      <c r="FF295" s="978"/>
      <c r="FG295" s="978"/>
      <c r="FH295" s="978"/>
      <c r="FI295" s="978"/>
      <c r="FJ295" s="978"/>
      <c r="FK295" s="978"/>
      <c r="FL295" s="978"/>
      <c r="FM295" s="978"/>
      <c r="FN295" s="978"/>
      <c r="FO295" s="978"/>
      <c r="FP295" s="978"/>
      <c r="FQ295" s="978"/>
      <c r="FR295" s="978"/>
      <c r="FS295" s="978"/>
      <c r="FT295" s="978"/>
      <c r="FU295" s="978"/>
      <c r="FV295" s="978"/>
      <c r="FW295" s="978"/>
      <c r="FX295" s="978"/>
      <c r="FY295" s="978"/>
      <c r="FZ295" s="978"/>
      <c r="GA295" s="978"/>
      <c r="GB295" s="978"/>
      <c r="GC295" s="978"/>
      <c r="GD295" s="978"/>
      <c r="GE295" s="978"/>
      <c r="GF295" s="978"/>
      <c r="GG295" s="978"/>
      <c r="GH295" s="978"/>
      <c r="GI295" s="978"/>
      <c r="GJ295" s="978"/>
      <c r="GK295" s="978"/>
      <c r="GL295" s="978"/>
      <c r="GM295" s="978"/>
      <c r="GN295" s="978"/>
      <c r="GO295" s="978"/>
      <c r="GP295" s="978"/>
      <c r="GQ295" s="978"/>
      <c r="GR295" s="978"/>
      <c r="GS295" s="978"/>
      <c r="GT295" s="978"/>
      <c r="GU295" s="978"/>
      <c r="GV295" s="978"/>
      <c r="GW295" s="978"/>
      <c r="GX295" s="978"/>
      <c r="GY295" s="978"/>
      <c r="GZ295" s="978"/>
      <c r="HA295" s="978"/>
      <c r="HB295" s="978"/>
      <c r="HC295" s="978"/>
      <c r="HD295" s="978"/>
      <c r="HE295" s="978"/>
      <c r="HF295" s="978"/>
      <c r="HG295" s="978"/>
      <c r="HH295" s="978"/>
      <c r="HI295" s="978"/>
      <c r="HJ295" s="978"/>
      <c r="HK295" s="978"/>
      <c r="HL295" s="978"/>
      <c r="HM295" s="978"/>
      <c r="HN295" s="978"/>
      <c r="HO295" s="978"/>
      <c r="HP295" s="978"/>
      <c r="HQ295" s="978"/>
      <c r="HR295" s="978"/>
      <c r="HS295" s="978"/>
      <c r="HT295" s="978"/>
      <c r="HU295" s="978"/>
      <c r="HV295" s="978"/>
      <c r="HW295" s="978"/>
      <c r="HX295" s="978"/>
      <c r="HY295" s="978"/>
      <c r="HZ295" s="978"/>
      <c r="IA295" s="978"/>
      <c r="IB295" s="978"/>
      <c r="IC295" s="978"/>
      <c r="ID295" s="978"/>
      <c r="IE295" s="978"/>
      <c r="IF295" s="978"/>
      <c r="IG295" s="978"/>
      <c r="IH295" s="978"/>
      <c r="II295" s="978"/>
      <c r="IJ295" s="978"/>
      <c r="IK295" s="978"/>
      <c r="IL295" s="978"/>
      <c r="IM295" s="978"/>
      <c r="IN295" s="978"/>
      <c r="IO295" s="978"/>
      <c r="IP295" s="978"/>
      <c r="IQ295" s="978"/>
      <c r="IR295" s="978"/>
      <c r="IS295" s="978"/>
      <c r="IT295" s="978"/>
      <c r="IU295" s="978"/>
      <c r="IV295" s="978"/>
      <c r="IW295" s="978"/>
      <c r="IX295" s="978"/>
      <c r="IY295" s="978"/>
      <c r="IZ295" s="978"/>
      <c r="JA295" s="978"/>
      <c r="JB295" s="978"/>
      <c r="JC295" s="978"/>
      <c r="JD295" s="978"/>
      <c r="JE295" s="978"/>
      <c r="JF295" s="978"/>
      <c r="JG295" s="978"/>
      <c r="JH295" s="978"/>
      <c r="JI295" s="978"/>
      <c r="JJ295" s="978"/>
      <c r="JK295" s="978"/>
      <c r="JL295" s="978"/>
      <c r="JM295" s="978"/>
      <c r="JN295" s="978"/>
      <c r="JO295" s="978"/>
      <c r="JP295" s="978"/>
      <c r="JQ295" s="978"/>
      <c r="JR295" s="978"/>
      <c r="JS295" s="978"/>
      <c r="JT295" s="978"/>
      <c r="JU295" s="978"/>
      <c r="JV295" s="978"/>
      <c r="JW295" s="978"/>
      <c r="JX295" s="978"/>
      <c r="JY295" s="978"/>
      <c r="JZ295" s="978"/>
      <c r="KA295" s="978"/>
      <c r="KB295" s="978"/>
      <c r="KC295" s="978"/>
      <c r="KD295" s="978"/>
      <c r="KE295" s="978"/>
      <c r="KF295" s="978"/>
      <c r="KG295" s="978"/>
      <c r="KH295" s="978"/>
      <c r="KI295" s="978"/>
      <c r="KJ295" s="978"/>
      <c r="KK295" s="978"/>
      <c r="KL295" s="978"/>
      <c r="KM295" s="978"/>
      <c r="KN295" s="978"/>
      <c r="KO295" s="978"/>
      <c r="KP295" s="978"/>
      <c r="KQ295" s="978"/>
      <c r="KR295" s="978"/>
      <c r="KS295" s="978"/>
      <c r="KT295" s="978"/>
      <c r="KU295" s="978"/>
      <c r="KV295" s="978"/>
      <c r="KW295" s="978"/>
      <c r="KX295" s="978"/>
      <c r="KY295" s="978"/>
      <c r="KZ295" s="978"/>
      <c r="LA295" s="978"/>
      <c r="LB295" s="978"/>
      <c r="LC295" s="978"/>
      <c r="LD295" s="978"/>
      <c r="LE295" s="978"/>
      <c r="LF295" s="978"/>
      <c r="LG295" s="978"/>
      <c r="LH295" s="978"/>
      <c r="LI295" s="978"/>
      <c r="LJ295" s="978"/>
      <c r="LK295" s="978"/>
      <c r="LL295" s="978"/>
      <c r="LM295" s="978"/>
      <c r="LN295" s="978"/>
      <c r="LO295" s="978"/>
      <c r="LP295" s="978"/>
      <c r="LQ295" s="978"/>
      <c r="LR295" s="978"/>
      <c r="LS295" s="978"/>
      <c r="LT295" s="978"/>
      <c r="LU295" s="978"/>
      <c r="LV295" s="978"/>
      <c r="LW295" s="978"/>
      <c r="LX295" s="978"/>
      <c r="LY295" s="978"/>
      <c r="LZ295" s="978"/>
      <c r="MA295" s="978"/>
      <c r="MB295" s="978"/>
      <c r="MC295" s="978"/>
      <c r="MD295" s="978"/>
      <c r="ME295" s="978"/>
      <c r="MF295" s="978"/>
      <c r="MG295" s="978"/>
      <c r="MH295" s="978"/>
      <c r="MI295" s="978"/>
      <c r="MJ295" s="978"/>
      <c r="MK295" s="978"/>
      <c r="ML295" s="978"/>
      <c r="MM295" s="978"/>
      <c r="MN295" s="978"/>
      <c r="MO295" s="978"/>
      <c r="MP295" s="978"/>
      <c r="MQ295" s="978"/>
      <c r="MR295" s="978"/>
      <c r="MS295" s="978"/>
      <c r="MT295" s="978"/>
      <c r="MU295" s="978"/>
      <c r="MV295" s="978"/>
      <c r="MW295" s="978"/>
      <c r="MX295" s="978"/>
      <c r="MY295" s="978"/>
      <c r="MZ295" s="978"/>
      <c r="NA295" s="978"/>
      <c r="NB295" s="978"/>
      <c r="NC295" s="978"/>
      <c r="ND295" s="978"/>
      <c r="NE295" s="978"/>
      <c r="NF295" s="978"/>
      <c r="NG295" s="978"/>
      <c r="NH295" s="978"/>
      <c r="NI295" s="978"/>
      <c r="NJ295" s="978"/>
      <c r="NK295" s="978"/>
      <c r="NL295" s="978"/>
      <c r="NM295" s="978"/>
      <c r="NN295" s="978"/>
      <c r="NO295" s="978"/>
      <c r="NP295" s="978"/>
      <c r="NQ295" s="978"/>
      <c r="NR295" s="978"/>
      <c r="NS295" s="978"/>
      <c r="NT295" s="978"/>
      <c r="NU295" s="978"/>
      <c r="NV295" s="978"/>
      <c r="NW295" s="978"/>
      <c r="NX295" s="978"/>
      <c r="NY295" s="978"/>
      <c r="NZ295" s="978"/>
      <c r="OA295" s="978"/>
      <c r="OB295" s="978"/>
      <c r="OC295" s="978"/>
      <c r="OD295" s="978"/>
      <c r="OE295" s="978"/>
      <c r="OF295" s="978"/>
      <c r="OG295" s="978"/>
      <c r="OH295" s="978"/>
      <c r="OI295" s="978"/>
      <c r="OJ295" s="978"/>
      <c r="OK295" s="978"/>
      <c r="OL295" s="978"/>
      <c r="OM295" s="978"/>
      <c r="ON295" s="978"/>
      <c r="OO295" s="978"/>
      <c r="OP295" s="978"/>
      <c r="OQ295" s="978"/>
      <c r="OR295" s="978"/>
      <c r="OS295" s="978"/>
      <c r="OT295" s="978"/>
      <c r="OU295" s="978"/>
      <c r="OV295" s="978"/>
      <c r="OW295" s="978"/>
      <c r="OX295" s="978"/>
      <c r="OY295" s="978"/>
      <c r="OZ295" s="978"/>
      <c r="PA295" s="978"/>
      <c r="PB295" s="978"/>
      <c r="PC295" s="978"/>
      <c r="PD295" s="978"/>
      <c r="PE295" s="978"/>
      <c r="PF295" s="978"/>
      <c r="PG295" s="978"/>
      <c r="PH295" s="978"/>
      <c r="PI295" s="978"/>
      <c r="PJ295" s="978"/>
      <c r="PK295" s="978"/>
      <c r="PL295" s="978"/>
      <c r="PM295" s="978"/>
      <c r="PN295" s="978"/>
      <c r="PO295" s="978"/>
      <c r="PP295" s="978"/>
      <c r="PQ295" s="978"/>
      <c r="PR295" s="978"/>
      <c r="PS295" s="978"/>
      <c r="PT295" s="978"/>
      <c r="PU295" s="978"/>
      <c r="PV295" s="978"/>
      <c r="PW295" s="978"/>
      <c r="PX295" s="978"/>
      <c r="PY295" s="978"/>
      <c r="PZ295" s="978"/>
      <c r="QA295" s="978"/>
      <c r="QB295" s="978"/>
      <c r="QC295" s="978"/>
      <c r="QD295" s="978"/>
      <c r="QE295" s="978"/>
      <c r="QF295" s="978"/>
      <c r="QG295" s="978"/>
      <c r="QH295" s="978"/>
      <c r="QI295" s="978"/>
      <c r="QJ295" s="978"/>
      <c r="QK295" s="978"/>
      <c r="QL295" s="978"/>
      <c r="QM295" s="978"/>
      <c r="QN295" s="978"/>
      <c r="QO295" s="978"/>
      <c r="QP295" s="978"/>
      <c r="QQ295" s="978"/>
      <c r="QR295" s="978"/>
      <c r="QS295" s="978"/>
      <c r="QT295" s="978"/>
      <c r="QU295" s="978"/>
      <c r="QV295" s="978"/>
      <c r="QW295" s="978"/>
      <c r="QX295" s="978"/>
      <c r="QY295" s="978"/>
      <c r="QZ295" s="978"/>
      <c r="RA295" s="978"/>
      <c r="RB295" s="274"/>
      <c r="RC295" s="274"/>
    </row>
    <row r="296" spans="112:471">
      <c r="DH296" s="274"/>
      <c r="DI296" s="274"/>
      <c r="DJ296" s="274"/>
      <c r="DK296" s="274"/>
      <c r="DL296" s="274"/>
      <c r="DM296" s="274"/>
      <c r="DN296" s="274"/>
      <c r="DO296" s="274"/>
      <c r="DP296" s="274"/>
      <c r="DQ296" s="274"/>
      <c r="DR296" s="274"/>
      <c r="DS296" s="274"/>
      <c r="DT296" s="274"/>
      <c r="DU296" s="274"/>
      <c r="DV296" s="274"/>
      <c r="DW296" s="274"/>
      <c r="DX296" s="274"/>
      <c r="DY296" s="274"/>
      <c r="DZ296" s="274"/>
      <c r="EA296" s="274"/>
      <c r="EB296" s="274"/>
      <c r="EC296" s="274"/>
      <c r="ED296" s="274"/>
      <c r="EE296" s="274"/>
      <c r="EF296" s="274"/>
      <c r="EG296" s="274"/>
      <c r="EH296" s="274"/>
      <c r="EI296" s="274"/>
      <c r="EJ296" s="274"/>
      <c r="EK296" s="274"/>
      <c r="EL296" s="274"/>
      <c r="EM296" s="274"/>
      <c r="EN296" s="274"/>
      <c r="EO296" s="274"/>
      <c r="EP296" s="274"/>
      <c r="EQ296" s="274"/>
      <c r="ER296" s="274"/>
      <c r="ES296" s="274"/>
      <c r="ET296" s="274"/>
      <c r="EU296" s="274"/>
      <c r="EV296" s="274"/>
      <c r="EW296" s="274"/>
      <c r="EX296" s="274"/>
      <c r="EY296" s="274"/>
      <c r="EZ296" s="274"/>
      <c r="FA296" s="274"/>
      <c r="FB296" s="274"/>
      <c r="FC296" s="274"/>
      <c r="FD296" s="274"/>
      <c r="FE296" s="274"/>
      <c r="FF296" s="274"/>
      <c r="FG296" s="274"/>
      <c r="FH296" s="274"/>
      <c r="FI296" s="274"/>
      <c r="FJ296" s="274"/>
      <c r="FK296" s="274"/>
      <c r="FL296" s="274"/>
      <c r="FM296" s="274"/>
      <c r="FN296" s="274"/>
      <c r="FO296" s="274"/>
      <c r="FP296" s="274"/>
      <c r="FQ296" s="274"/>
      <c r="FR296" s="274"/>
      <c r="FS296" s="274"/>
      <c r="FT296" s="274"/>
      <c r="FU296" s="274"/>
      <c r="FV296" s="274"/>
      <c r="FW296" s="274"/>
      <c r="FX296" s="274"/>
      <c r="FY296" s="274"/>
      <c r="FZ296" s="274"/>
      <c r="GA296" s="274"/>
      <c r="GB296" s="274"/>
      <c r="GC296" s="274"/>
      <c r="GD296" s="274"/>
      <c r="GE296" s="274"/>
      <c r="GF296" s="274"/>
      <c r="GG296" s="274"/>
      <c r="GH296" s="274"/>
      <c r="GI296" s="274"/>
      <c r="GJ296" s="274"/>
      <c r="GK296" s="274"/>
      <c r="GL296" s="274"/>
      <c r="GM296" s="274"/>
      <c r="GN296" s="274"/>
      <c r="GO296" s="274"/>
      <c r="GP296" s="274"/>
      <c r="GQ296" s="274"/>
      <c r="GR296" s="274"/>
      <c r="GS296" s="274"/>
      <c r="GT296" s="274"/>
      <c r="GU296" s="274"/>
      <c r="GV296" s="274"/>
      <c r="GW296" s="274"/>
      <c r="GX296" s="274"/>
      <c r="GY296" s="274"/>
      <c r="GZ296" s="274"/>
      <c r="HA296" s="274"/>
      <c r="HB296" s="274"/>
      <c r="HC296" s="274"/>
      <c r="HD296" s="274"/>
      <c r="HE296" s="274"/>
      <c r="HF296" s="274"/>
      <c r="HG296" s="274"/>
      <c r="HH296" s="274"/>
      <c r="HI296" s="274"/>
      <c r="HJ296" s="274"/>
      <c r="HK296" s="274"/>
      <c r="HL296" s="274"/>
      <c r="HM296" s="274"/>
      <c r="HN296" s="274"/>
      <c r="HO296" s="274"/>
      <c r="HP296" s="274"/>
      <c r="HQ296" s="274"/>
      <c r="HR296" s="274"/>
      <c r="HS296" s="274"/>
      <c r="HT296" s="274"/>
      <c r="HU296" s="274"/>
      <c r="HV296" s="274"/>
      <c r="HW296" s="274"/>
      <c r="HX296" s="274"/>
      <c r="HY296" s="274"/>
      <c r="HZ296" s="274"/>
      <c r="IA296" s="274"/>
      <c r="IB296" s="274"/>
      <c r="IC296" s="274"/>
      <c r="ID296" s="274"/>
      <c r="IE296" s="274"/>
      <c r="IF296" s="274"/>
      <c r="IG296" s="274"/>
      <c r="IH296" s="274"/>
      <c r="II296" s="274"/>
      <c r="IJ296" s="274"/>
      <c r="IK296" s="274"/>
      <c r="IL296" s="274"/>
      <c r="IM296" s="274"/>
      <c r="IN296" s="274"/>
      <c r="IO296" s="274"/>
      <c r="IP296" s="274"/>
      <c r="IQ296" s="274"/>
      <c r="IR296" s="274"/>
      <c r="IS296" s="274"/>
      <c r="IT296" s="274"/>
      <c r="IU296" s="274"/>
      <c r="IV296" s="274"/>
      <c r="IW296" s="274"/>
      <c r="IX296" s="274"/>
      <c r="IY296" s="274"/>
      <c r="IZ296" s="274"/>
      <c r="JA296" s="274"/>
      <c r="JB296" s="274"/>
      <c r="JC296" s="274"/>
      <c r="JD296" s="274"/>
      <c r="JE296" s="274"/>
      <c r="JF296" s="274"/>
      <c r="JG296" s="274"/>
      <c r="JH296" s="274"/>
      <c r="JI296" s="274"/>
      <c r="JJ296" s="274"/>
      <c r="JK296" s="274"/>
      <c r="JL296" s="274"/>
      <c r="JM296" s="274"/>
      <c r="JN296" s="274"/>
      <c r="JO296" s="274"/>
      <c r="JP296" s="274"/>
      <c r="JQ296" s="274"/>
      <c r="JR296" s="274"/>
      <c r="JS296" s="274"/>
      <c r="JT296" s="274"/>
      <c r="JU296" s="274"/>
      <c r="JV296" s="274"/>
      <c r="JW296" s="274"/>
      <c r="JX296" s="274"/>
      <c r="JY296" s="274"/>
      <c r="JZ296" s="274"/>
      <c r="KA296" s="274"/>
      <c r="KB296" s="274"/>
      <c r="KC296" s="274"/>
      <c r="KD296" s="274"/>
      <c r="KE296" s="274"/>
      <c r="KF296" s="274"/>
      <c r="KG296" s="274"/>
      <c r="KH296" s="274"/>
      <c r="KI296" s="274"/>
      <c r="KJ296" s="274"/>
      <c r="KK296" s="274"/>
      <c r="KL296" s="274"/>
      <c r="KM296" s="274"/>
      <c r="KN296" s="274"/>
      <c r="KO296" s="274"/>
      <c r="KP296" s="274"/>
      <c r="KQ296" s="274"/>
      <c r="KR296" s="274"/>
      <c r="KS296" s="274"/>
      <c r="KT296" s="274"/>
      <c r="KU296" s="274"/>
      <c r="KV296" s="274"/>
      <c r="KW296" s="274"/>
      <c r="KX296" s="274"/>
      <c r="KY296" s="274"/>
      <c r="KZ296" s="274"/>
      <c r="LA296" s="274"/>
      <c r="LB296" s="274"/>
      <c r="LC296" s="274"/>
      <c r="LD296" s="274"/>
      <c r="LE296" s="274"/>
      <c r="LF296" s="274"/>
      <c r="LG296" s="274"/>
      <c r="LH296" s="274"/>
      <c r="LI296" s="274"/>
      <c r="LJ296" s="274"/>
      <c r="LK296" s="274"/>
      <c r="LL296" s="274"/>
      <c r="LM296" s="274"/>
      <c r="LN296" s="274"/>
      <c r="LO296" s="274"/>
      <c r="LP296" s="274"/>
      <c r="LQ296" s="274"/>
      <c r="LR296" s="274"/>
      <c r="LS296" s="274"/>
      <c r="LT296" s="274"/>
      <c r="LU296" s="274"/>
      <c r="LV296" s="274"/>
      <c r="LW296" s="274"/>
      <c r="LX296" s="274"/>
      <c r="LY296" s="274"/>
      <c r="LZ296" s="274"/>
      <c r="MA296" s="274"/>
      <c r="MB296" s="274"/>
      <c r="MC296" s="274"/>
      <c r="MD296" s="274"/>
      <c r="ME296" s="274"/>
      <c r="MF296" s="274"/>
      <c r="MG296" s="274"/>
      <c r="MH296" s="274"/>
      <c r="MI296" s="274"/>
      <c r="MJ296" s="274"/>
      <c r="MK296" s="274"/>
      <c r="ML296" s="274"/>
      <c r="MM296" s="274"/>
      <c r="MN296" s="274"/>
      <c r="MO296" s="274"/>
      <c r="MP296" s="274"/>
      <c r="MQ296" s="274"/>
      <c r="MR296" s="274"/>
      <c r="MS296" s="274"/>
      <c r="MT296" s="274"/>
      <c r="MU296" s="274"/>
      <c r="MV296" s="274"/>
      <c r="MW296" s="274"/>
      <c r="MX296" s="274"/>
      <c r="MY296" s="274"/>
      <c r="MZ296" s="274"/>
      <c r="NA296" s="274"/>
      <c r="NB296" s="274"/>
      <c r="NC296" s="274"/>
      <c r="ND296" s="274"/>
      <c r="NE296" s="274"/>
      <c r="NF296" s="274"/>
      <c r="NG296" s="274"/>
      <c r="NH296" s="274"/>
      <c r="NI296" s="274"/>
      <c r="NJ296" s="274"/>
      <c r="NK296" s="274"/>
      <c r="NL296" s="274"/>
      <c r="NM296" s="274"/>
      <c r="NN296" s="274"/>
      <c r="NO296" s="274"/>
      <c r="NP296" s="274"/>
      <c r="NQ296" s="274"/>
      <c r="NR296" s="274"/>
      <c r="NS296" s="274"/>
      <c r="NT296" s="274"/>
      <c r="NU296" s="274"/>
      <c r="NV296" s="274"/>
      <c r="NW296" s="274"/>
      <c r="NX296" s="274"/>
      <c r="NY296" s="274"/>
      <c r="NZ296" s="274"/>
      <c r="OA296" s="274"/>
      <c r="OB296" s="274"/>
      <c r="OC296" s="274"/>
      <c r="OD296" s="274"/>
      <c r="OE296" s="274"/>
      <c r="OF296" s="274"/>
      <c r="OG296" s="274"/>
      <c r="OH296" s="274"/>
      <c r="OI296" s="274"/>
      <c r="OJ296" s="274"/>
      <c r="OK296" s="274"/>
      <c r="OL296" s="274"/>
      <c r="OM296" s="274"/>
      <c r="ON296" s="274"/>
      <c r="OO296" s="274"/>
      <c r="OP296" s="274"/>
      <c r="OQ296" s="274"/>
      <c r="OR296" s="274"/>
      <c r="OS296" s="274"/>
      <c r="OT296" s="274"/>
      <c r="OU296" s="274"/>
      <c r="OV296" s="274"/>
      <c r="OW296" s="274"/>
      <c r="OX296" s="274"/>
      <c r="OY296" s="274"/>
      <c r="OZ296" s="274"/>
      <c r="PA296" s="274"/>
      <c r="PB296" s="274"/>
      <c r="PC296" s="274"/>
      <c r="PD296" s="274"/>
      <c r="PE296" s="274"/>
      <c r="PF296" s="274"/>
      <c r="PG296" s="274"/>
      <c r="PH296" s="274"/>
      <c r="PI296" s="274"/>
      <c r="PJ296" s="274"/>
      <c r="PK296" s="274"/>
      <c r="PL296" s="274"/>
      <c r="PM296" s="274"/>
      <c r="PN296" s="274"/>
      <c r="PO296" s="274"/>
      <c r="PP296" s="274"/>
      <c r="PQ296" s="274"/>
      <c r="PR296" s="274"/>
      <c r="PS296" s="274"/>
      <c r="PT296" s="274"/>
      <c r="PU296" s="274"/>
      <c r="PV296" s="274"/>
      <c r="PW296" s="274"/>
      <c r="PX296" s="274"/>
      <c r="PY296" s="274"/>
      <c r="PZ296" s="274"/>
      <c r="QA296" s="274"/>
      <c r="QB296" s="274"/>
      <c r="QC296" s="274"/>
      <c r="QD296" s="274"/>
      <c r="QE296" s="274"/>
      <c r="QF296" s="274"/>
      <c r="QG296" s="274"/>
      <c r="QH296" s="274"/>
      <c r="QI296" s="274"/>
      <c r="QJ296" s="274"/>
      <c r="QK296" s="274"/>
      <c r="QL296" s="274"/>
      <c r="QM296" s="274"/>
      <c r="QN296" s="274"/>
      <c r="QO296" s="274"/>
      <c r="QP296" s="274"/>
      <c r="QQ296" s="274"/>
      <c r="QR296" s="274"/>
      <c r="QS296" s="274"/>
      <c r="QT296" s="274"/>
      <c r="QU296" s="274"/>
      <c r="QV296" s="274"/>
      <c r="QW296" s="274"/>
      <c r="QX296" s="274"/>
      <c r="QY296" s="274"/>
      <c r="QZ296" s="274"/>
      <c r="RA296" s="274"/>
      <c r="RB296" s="274"/>
      <c r="RC296" s="274"/>
    </row>
    <row r="297" spans="112:471">
      <c r="DH297" s="274"/>
      <c r="DI297" s="274"/>
      <c r="DJ297" s="274"/>
      <c r="DK297" s="274"/>
      <c r="DL297" s="274"/>
      <c r="DM297" s="274"/>
      <c r="DN297" s="274"/>
      <c r="DO297" s="274"/>
      <c r="DP297" s="274"/>
      <c r="DQ297" s="274"/>
      <c r="DR297" s="274"/>
      <c r="DS297" s="274"/>
      <c r="DT297" s="274"/>
      <c r="DU297" s="274"/>
      <c r="DV297" s="274"/>
      <c r="DW297" s="274"/>
      <c r="DX297" s="274"/>
      <c r="DY297" s="274"/>
      <c r="DZ297" s="274"/>
      <c r="EA297" s="274"/>
      <c r="EB297" s="274"/>
      <c r="EC297" s="274"/>
      <c r="ED297" s="274"/>
      <c r="EE297" s="274"/>
      <c r="EF297" s="274"/>
      <c r="EG297" s="274"/>
      <c r="EH297" s="274"/>
      <c r="EI297" s="274"/>
      <c r="EJ297" s="274"/>
      <c r="EK297" s="274"/>
      <c r="EL297" s="274"/>
      <c r="EM297" s="274"/>
      <c r="EN297" s="274"/>
      <c r="EO297" s="274"/>
      <c r="EP297" s="274"/>
      <c r="EQ297" s="274"/>
      <c r="ER297" s="274"/>
      <c r="ES297" s="274"/>
      <c r="ET297" s="274"/>
      <c r="EU297" s="274"/>
      <c r="EV297" s="274"/>
      <c r="EW297" s="274"/>
      <c r="EX297" s="274"/>
      <c r="EY297" s="274"/>
      <c r="EZ297" s="274"/>
      <c r="FA297" s="274"/>
      <c r="FB297" s="274"/>
      <c r="FC297" s="274"/>
      <c r="FD297" s="274"/>
      <c r="FE297" s="274"/>
      <c r="FF297" s="274"/>
      <c r="FG297" s="274"/>
      <c r="FH297" s="274"/>
      <c r="FI297" s="274"/>
      <c r="FJ297" s="274"/>
      <c r="FK297" s="274"/>
      <c r="FL297" s="274"/>
      <c r="FM297" s="274"/>
      <c r="FN297" s="274"/>
      <c r="FO297" s="274"/>
      <c r="FP297" s="274"/>
      <c r="FQ297" s="274"/>
      <c r="FR297" s="274"/>
      <c r="FS297" s="274"/>
      <c r="FT297" s="274"/>
      <c r="FU297" s="274"/>
      <c r="FV297" s="274"/>
      <c r="FW297" s="274"/>
      <c r="FX297" s="274"/>
      <c r="FY297" s="274"/>
      <c r="FZ297" s="274"/>
      <c r="GA297" s="274"/>
      <c r="GB297" s="274"/>
      <c r="GC297" s="274"/>
      <c r="GD297" s="274"/>
      <c r="GE297" s="274"/>
      <c r="GF297" s="274"/>
      <c r="GG297" s="274"/>
      <c r="GH297" s="274"/>
      <c r="GI297" s="274"/>
      <c r="GJ297" s="274"/>
      <c r="GK297" s="274"/>
      <c r="GL297" s="274"/>
      <c r="GM297" s="274"/>
      <c r="GN297" s="274"/>
      <c r="GO297" s="274"/>
      <c r="GP297" s="274"/>
      <c r="GQ297" s="274"/>
      <c r="GR297" s="274"/>
      <c r="GS297" s="274"/>
      <c r="GT297" s="274"/>
      <c r="GU297" s="274"/>
      <c r="GV297" s="274"/>
      <c r="GW297" s="274"/>
      <c r="GX297" s="274"/>
      <c r="GY297" s="274"/>
      <c r="GZ297" s="274"/>
      <c r="HA297" s="274"/>
      <c r="HB297" s="274"/>
      <c r="HC297" s="274"/>
      <c r="HD297" s="274"/>
      <c r="HE297" s="274"/>
      <c r="HF297" s="274"/>
      <c r="HG297" s="274"/>
      <c r="HH297" s="274"/>
      <c r="HI297" s="274"/>
      <c r="HJ297" s="274"/>
      <c r="HK297" s="274"/>
      <c r="HL297" s="274"/>
      <c r="HM297" s="274"/>
      <c r="HN297" s="274"/>
      <c r="HO297" s="274"/>
      <c r="HP297" s="274"/>
      <c r="HQ297" s="274"/>
      <c r="HR297" s="274"/>
      <c r="HS297" s="274"/>
      <c r="HT297" s="274"/>
      <c r="HU297" s="274"/>
      <c r="HV297" s="274"/>
      <c r="HW297" s="274"/>
      <c r="HX297" s="274"/>
      <c r="HY297" s="274"/>
      <c r="HZ297" s="274"/>
      <c r="IA297" s="274"/>
      <c r="IB297" s="274"/>
      <c r="IC297" s="274"/>
      <c r="ID297" s="274"/>
      <c r="IE297" s="274"/>
      <c r="IF297" s="274"/>
      <c r="IG297" s="274"/>
      <c r="IH297" s="274"/>
      <c r="II297" s="274"/>
      <c r="IJ297" s="274"/>
      <c r="IK297" s="274"/>
      <c r="IL297" s="274"/>
      <c r="IM297" s="274"/>
      <c r="IN297" s="274"/>
      <c r="IO297" s="274"/>
      <c r="IP297" s="274"/>
      <c r="IQ297" s="274"/>
      <c r="IR297" s="274"/>
      <c r="IS297" s="274"/>
      <c r="IT297" s="274"/>
      <c r="IU297" s="274"/>
      <c r="IV297" s="274"/>
      <c r="IW297" s="274"/>
      <c r="IX297" s="274"/>
      <c r="IY297" s="274"/>
      <c r="IZ297" s="274"/>
      <c r="JA297" s="274"/>
      <c r="JB297" s="274"/>
      <c r="JC297" s="274"/>
      <c r="JD297" s="274"/>
      <c r="JE297" s="274"/>
      <c r="JF297" s="274"/>
      <c r="JG297" s="274"/>
      <c r="JH297" s="274"/>
      <c r="JI297" s="274"/>
      <c r="JJ297" s="274"/>
      <c r="JK297" s="274"/>
      <c r="JL297" s="274"/>
      <c r="JM297" s="274"/>
      <c r="JN297" s="274"/>
      <c r="JO297" s="274"/>
      <c r="JP297" s="274"/>
      <c r="JQ297" s="274"/>
      <c r="JR297" s="274"/>
      <c r="JS297" s="274"/>
      <c r="JT297" s="274"/>
      <c r="JU297" s="274"/>
      <c r="JV297" s="274"/>
      <c r="JW297" s="274"/>
      <c r="JX297" s="274"/>
      <c r="JY297" s="274"/>
      <c r="JZ297" s="274"/>
      <c r="KA297" s="274"/>
      <c r="KB297" s="274"/>
      <c r="KC297" s="274"/>
      <c r="KD297" s="274"/>
      <c r="KE297" s="274"/>
      <c r="KF297" s="274"/>
      <c r="KG297" s="274"/>
      <c r="KH297" s="274"/>
      <c r="KI297" s="274"/>
      <c r="KJ297" s="274"/>
      <c r="KK297" s="274"/>
      <c r="KL297" s="274"/>
      <c r="KM297" s="274"/>
      <c r="KN297" s="274"/>
      <c r="KO297" s="274"/>
      <c r="KP297" s="274"/>
      <c r="KQ297" s="274"/>
      <c r="KR297" s="274"/>
      <c r="KS297" s="274"/>
      <c r="KT297" s="274"/>
      <c r="KU297" s="274"/>
      <c r="KV297" s="274"/>
      <c r="KW297" s="274"/>
      <c r="KX297" s="274"/>
      <c r="KY297" s="274"/>
      <c r="KZ297" s="274"/>
      <c r="LA297" s="274"/>
      <c r="LB297" s="274"/>
      <c r="LC297" s="274"/>
      <c r="LD297" s="274"/>
      <c r="LE297" s="274"/>
      <c r="LF297" s="274"/>
      <c r="LG297" s="274"/>
      <c r="LH297" s="274"/>
      <c r="LI297" s="274"/>
      <c r="LJ297" s="274"/>
      <c r="LK297" s="274"/>
      <c r="LL297" s="274"/>
      <c r="LM297" s="274"/>
      <c r="LN297" s="274"/>
      <c r="LO297" s="274"/>
      <c r="LP297" s="274"/>
      <c r="LQ297" s="274"/>
      <c r="LR297" s="274"/>
      <c r="LS297" s="274"/>
      <c r="LT297" s="274"/>
      <c r="LU297" s="274"/>
      <c r="LV297" s="274"/>
      <c r="LW297" s="274"/>
      <c r="LX297" s="274"/>
      <c r="LY297" s="274"/>
      <c r="LZ297" s="274"/>
      <c r="MA297" s="274"/>
      <c r="MB297" s="274"/>
      <c r="MC297" s="274"/>
      <c r="MD297" s="274"/>
      <c r="ME297" s="274"/>
      <c r="MF297" s="274"/>
      <c r="MG297" s="274"/>
      <c r="MH297" s="274"/>
      <c r="MI297" s="274"/>
      <c r="MJ297" s="274"/>
      <c r="MK297" s="274"/>
      <c r="ML297" s="274"/>
      <c r="MM297" s="274"/>
      <c r="MN297" s="274"/>
      <c r="MO297" s="274"/>
      <c r="MP297" s="274"/>
      <c r="MQ297" s="274"/>
      <c r="MR297" s="274"/>
      <c r="MS297" s="274"/>
      <c r="MT297" s="274"/>
      <c r="MU297" s="274"/>
      <c r="MV297" s="274"/>
      <c r="MW297" s="274"/>
      <c r="MX297" s="274"/>
      <c r="MY297" s="274"/>
      <c r="MZ297" s="274"/>
      <c r="NA297" s="274"/>
      <c r="NB297" s="274"/>
      <c r="NC297" s="274"/>
      <c r="ND297" s="274"/>
      <c r="NE297" s="274"/>
      <c r="NF297" s="274"/>
      <c r="NG297" s="274"/>
      <c r="NH297" s="274"/>
      <c r="NI297" s="274"/>
      <c r="NJ297" s="274"/>
      <c r="NK297" s="274"/>
      <c r="NL297" s="274"/>
      <c r="NM297" s="274"/>
      <c r="NN297" s="274"/>
      <c r="NO297" s="274"/>
      <c r="NP297" s="274"/>
      <c r="NQ297" s="274"/>
      <c r="NR297" s="274"/>
      <c r="NS297" s="274"/>
      <c r="NT297" s="274"/>
      <c r="NU297" s="274"/>
      <c r="NV297" s="274"/>
      <c r="NW297" s="274"/>
      <c r="NX297" s="274"/>
      <c r="NY297" s="274"/>
      <c r="NZ297" s="274"/>
      <c r="OA297" s="274"/>
      <c r="OB297" s="274"/>
      <c r="OC297" s="274"/>
      <c r="OD297" s="274"/>
      <c r="OE297" s="274"/>
      <c r="OF297" s="274"/>
      <c r="OG297" s="274"/>
      <c r="OH297" s="274"/>
      <c r="OI297" s="274"/>
      <c r="OJ297" s="274"/>
      <c r="OK297" s="274"/>
      <c r="OL297" s="274"/>
      <c r="OM297" s="274"/>
      <c r="ON297" s="274"/>
      <c r="OO297" s="274"/>
      <c r="OP297" s="274"/>
      <c r="OQ297" s="274"/>
      <c r="OR297" s="274"/>
      <c r="OS297" s="274"/>
      <c r="OT297" s="274"/>
      <c r="OU297" s="274"/>
      <c r="OV297" s="274"/>
      <c r="OW297" s="274"/>
      <c r="OX297" s="274"/>
      <c r="OY297" s="274"/>
      <c r="OZ297" s="274"/>
      <c r="PA297" s="274"/>
      <c r="PB297" s="274"/>
      <c r="PC297" s="274"/>
      <c r="PD297" s="274"/>
      <c r="PE297" s="274"/>
      <c r="PF297" s="274"/>
      <c r="PG297" s="274"/>
      <c r="PH297" s="274"/>
      <c r="PI297" s="274"/>
      <c r="PJ297" s="274"/>
      <c r="PK297" s="274"/>
      <c r="PL297" s="274"/>
      <c r="PM297" s="274"/>
      <c r="PN297" s="274"/>
      <c r="PO297" s="274"/>
      <c r="PP297" s="274"/>
      <c r="PQ297" s="274"/>
      <c r="PR297" s="274"/>
      <c r="PS297" s="274"/>
      <c r="PT297" s="274"/>
      <c r="PU297" s="274"/>
      <c r="PV297" s="274"/>
      <c r="PW297" s="274"/>
      <c r="PX297" s="274"/>
      <c r="PY297" s="274"/>
      <c r="PZ297" s="274"/>
      <c r="QA297" s="274"/>
      <c r="QB297" s="274"/>
      <c r="QC297" s="274"/>
      <c r="QD297" s="274"/>
      <c r="QE297" s="274"/>
      <c r="QF297" s="274"/>
      <c r="QG297" s="274"/>
      <c r="QH297" s="274"/>
      <c r="QI297" s="274"/>
      <c r="QJ297" s="274"/>
      <c r="QK297" s="274"/>
      <c r="QL297" s="274"/>
      <c r="QM297" s="274"/>
      <c r="QN297" s="274"/>
      <c r="QO297" s="274"/>
      <c r="QP297" s="274"/>
      <c r="QQ297" s="274"/>
      <c r="QR297" s="274"/>
      <c r="QS297" s="274"/>
      <c r="QT297" s="274"/>
      <c r="QU297" s="274"/>
      <c r="QV297" s="274"/>
      <c r="QW297" s="274"/>
      <c r="QX297" s="274"/>
      <c r="QY297" s="274"/>
      <c r="QZ297" s="274"/>
      <c r="RA297" s="274"/>
      <c r="RB297" s="274"/>
      <c r="RC297" s="274"/>
    </row>
    <row r="298" spans="112:471" ht="17.25">
      <c r="DH298" s="274"/>
      <c r="DI298" s="274"/>
      <c r="DJ298" s="978"/>
      <c r="DK298" s="274"/>
      <c r="DL298" s="274"/>
      <c r="DM298" s="274"/>
      <c r="DN298" s="274"/>
      <c r="DO298" s="274"/>
      <c r="DP298" s="274"/>
      <c r="DQ298" s="274"/>
      <c r="DR298" s="274"/>
      <c r="DS298" s="274"/>
      <c r="DT298" s="274"/>
      <c r="DU298" s="274"/>
      <c r="DV298" s="274"/>
      <c r="DW298" s="274"/>
      <c r="DX298" s="274"/>
      <c r="DY298" s="274"/>
      <c r="DZ298" s="274"/>
      <c r="EA298" s="274"/>
      <c r="EB298" s="274"/>
      <c r="EC298" s="274"/>
      <c r="ED298" s="274"/>
      <c r="EE298" s="274"/>
      <c r="EF298" s="274"/>
      <c r="EG298" s="274"/>
      <c r="EH298" s="274"/>
      <c r="EI298" s="274"/>
      <c r="EJ298" s="274"/>
      <c r="EK298" s="274"/>
      <c r="EL298" s="274"/>
      <c r="EM298" s="274"/>
      <c r="EN298" s="274"/>
      <c r="EO298" s="274"/>
      <c r="EP298" s="274"/>
      <c r="EQ298" s="274"/>
      <c r="ER298" s="274"/>
      <c r="ES298" s="274"/>
      <c r="ET298" s="274"/>
      <c r="EU298" s="274"/>
      <c r="EV298" s="274"/>
      <c r="EW298" s="274"/>
      <c r="EX298" s="274"/>
      <c r="EY298" s="274"/>
      <c r="EZ298" s="274"/>
      <c r="FA298" s="274"/>
      <c r="FB298" s="274"/>
      <c r="FC298" s="274"/>
      <c r="FD298" s="274"/>
      <c r="FE298" s="274"/>
      <c r="FF298" s="274"/>
      <c r="FG298" s="274"/>
      <c r="FH298" s="274"/>
      <c r="FI298" s="274"/>
      <c r="FJ298" s="274"/>
      <c r="FK298" s="274"/>
      <c r="FL298" s="274"/>
      <c r="FM298" s="274"/>
      <c r="FN298" s="274"/>
      <c r="FO298" s="274"/>
      <c r="FP298" s="274"/>
      <c r="FQ298" s="274"/>
      <c r="FR298" s="274"/>
      <c r="FS298" s="274"/>
      <c r="FT298" s="274"/>
      <c r="FU298" s="274"/>
      <c r="FV298" s="274"/>
      <c r="FW298" s="274"/>
      <c r="FX298" s="274"/>
      <c r="FY298" s="274"/>
      <c r="FZ298" s="274"/>
      <c r="GA298" s="274"/>
      <c r="GB298" s="274"/>
      <c r="GC298" s="274"/>
      <c r="GD298" s="274"/>
      <c r="GE298" s="274"/>
      <c r="GF298" s="274"/>
      <c r="GG298" s="274"/>
      <c r="GH298" s="274"/>
      <c r="GI298" s="274"/>
      <c r="GJ298" s="274"/>
      <c r="GK298" s="274"/>
      <c r="GL298" s="274"/>
      <c r="GM298" s="274"/>
      <c r="GN298" s="274"/>
      <c r="GO298" s="274"/>
      <c r="GP298" s="274"/>
      <c r="GQ298" s="274"/>
      <c r="GR298" s="274"/>
      <c r="GS298" s="274"/>
      <c r="GT298" s="274"/>
      <c r="GU298" s="274"/>
      <c r="GV298" s="274"/>
      <c r="GW298" s="274"/>
      <c r="GX298" s="274"/>
      <c r="GY298" s="274"/>
      <c r="GZ298" s="274"/>
      <c r="HA298" s="274"/>
      <c r="HB298" s="274"/>
      <c r="HC298" s="274"/>
      <c r="HD298" s="274"/>
      <c r="HE298" s="274"/>
      <c r="HF298" s="274"/>
      <c r="HG298" s="274"/>
      <c r="HH298" s="274"/>
      <c r="HI298" s="274"/>
      <c r="HJ298" s="274"/>
      <c r="HK298" s="274"/>
      <c r="HL298" s="274"/>
      <c r="HM298" s="274"/>
      <c r="HN298" s="274"/>
      <c r="HO298" s="274"/>
      <c r="HP298" s="274"/>
      <c r="HQ298" s="274"/>
      <c r="HR298" s="274"/>
      <c r="HS298" s="274"/>
      <c r="HT298" s="274"/>
      <c r="HU298" s="274"/>
      <c r="HV298" s="274"/>
      <c r="HW298" s="274"/>
      <c r="HX298" s="274"/>
      <c r="HY298" s="274"/>
      <c r="HZ298" s="274"/>
      <c r="IA298" s="274"/>
      <c r="IB298" s="274"/>
      <c r="IC298" s="274"/>
      <c r="ID298" s="274"/>
      <c r="IE298" s="274"/>
      <c r="IF298" s="274"/>
      <c r="IG298" s="274"/>
      <c r="IH298" s="274"/>
      <c r="II298" s="274"/>
      <c r="IJ298" s="274"/>
      <c r="IK298" s="274"/>
      <c r="IL298" s="274"/>
      <c r="IM298" s="274"/>
      <c r="IN298" s="274"/>
      <c r="IO298" s="274"/>
      <c r="IP298" s="274"/>
      <c r="IQ298" s="274"/>
      <c r="IR298" s="274"/>
      <c r="IS298" s="274"/>
      <c r="IT298" s="274"/>
      <c r="IU298" s="274"/>
      <c r="IV298" s="274"/>
      <c r="IW298" s="274"/>
      <c r="IX298" s="274"/>
      <c r="IY298" s="274"/>
      <c r="IZ298" s="274"/>
      <c r="JA298" s="274"/>
      <c r="JB298" s="274"/>
      <c r="JC298" s="274"/>
      <c r="JD298" s="274"/>
      <c r="JE298" s="274"/>
      <c r="JF298" s="274"/>
      <c r="JG298" s="274"/>
      <c r="JH298" s="274"/>
      <c r="JI298" s="274"/>
      <c r="JJ298" s="274"/>
      <c r="JK298" s="274"/>
      <c r="JL298" s="274"/>
      <c r="JM298" s="274"/>
      <c r="JN298" s="274"/>
      <c r="JO298" s="274"/>
      <c r="JP298" s="274"/>
      <c r="JQ298" s="274"/>
      <c r="JR298" s="274"/>
      <c r="JS298" s="274"/>
      <c r="JT298" s="274"/>
      <c r="JU298" s="274"/>
      <c r="JV298" s="274"/>
      <c r="JW298" s="274"/>
      <c r="JX298" s="274"/>
      <c r="JY298" s="274"/>
      <c r="JZ298" s="274"/>
      <c r="KA298" s="274"/>
      <c r="KB298" s="274"/>
      <c r="KC298" s="274"/>
      <c r="KD298" s="274"/>
      <c r="KE298" s="274"/>
      <c r="KF298" s="274"/>
      <c r="KG298" s="274"/>
      <c r="KH298" s="274"/>
      <c r="KI298" s="274"/>
      <c r="KJ298" s="274"/>
      <c r="KK298" s="274"/>
      <c r="KL298" s="274"/>
      <c r="KM298" s="274"/>
      <c r="KN298" s="274"/>
      <c r="KO298" s="274"/>
      <c r="KP298" s="274"/>
      <c r="KQ298" s="274"/>
      <c r="KR298" s="274"/>
      <c r="KS298" s="274"/>
      <c r="KT298" s="274"/>
      <c r="KU298" s="274"/>
      <c r="KV298" s="274"/>
      <c r="KW298" s="274"/>
      <c r="KX298" s="274"/>
      <c r="KY298" s="274"/>
      <c r="KZ298" s="274"/>
      <c r="LA298" s="274"/>
      <c r="LB298" s="274"/>
      <c r="LC298" s="274"/>
      <c r="LD298" s="274"/>
      <c r="LE298" s="274"/>
      <c r="LF298" s="274"/>
      <c r="LG298" s="274"/>
      <c r="LH298" s="274"/>
      <c r="LI298" s="274"/>
      <c r="LJ298" s="274"/>
      <c r="LK298" s="274"/>
      <c r="LL298" s="274"/>
      <c r="LM298" s="274"/>
      <c r="LN298" s="274"/>
      <c r="LO298" s="274"/>
      <c r="LP298" s="274"/>
      <c r="LQ298" s="274"/>
      <c r="LR298" s="274"/>
      <c r="LS298" s="274"/>
      <c r="LT298" s="274"/>
      <c r="LU298" s="274"/>
      <c r="LV298" s="274"/>
      <c r="LW298" s="274"/>
      <c r="LX298" s="274"/>
      <c r="LY298" s="274"/>
      <c r="LZ298" s="274"/>
      <c r="MA298" s="274"/>
      <c r="MB298" s="274"/>
      <c r="MC298" s="274"/>
      <c r="MD298" s="274"/>
      <c r="ME298" s="274"/>
      <c r="MF298" s="274"/>
      <c r="MG298" s="274"/>
      <c r="MH298" s="274"/>
      <c r="MI298" s="274"/>
      <c r="MJ298" s="274"/>
      <c r="MK298" s="274"/>
      <c r="ML298" s="274"/>
      <c r="MM298" s="274"/>
      <c r="MN298" s="274"/>
      <c r="MO298" s="274"/>
      <c r="MP298" s="274"/>
      <c r="MQ298" s="274"/>
      <c r="MR298" s="274"/>
      <c r="MS298" s="274"/>
      <c r="MT298" s="274"/>
      <c r="MU298" s="274"/>
      <c r="MV298" s="274"/>
      <c r="MW298" s="274"/>
      <c r="MX298" s="274"/>
      <c r="MY298" s="274"/>
      <c r="MZ298" s="274"/>
      <c r="NA298" s="274"/>
      <c r="NB298" s="274"/>
      <c r="NC298" s="274"/>
      <c r="ND298" s="274"/>
      <c r="NE298" s="274"/>
      <c r="NF298" s="274"/>
      <c r="NG298" s="274"/>
      <c r="NH298" s="274"/>
      <c r="NI298" s="274"/>
      <c r="NJ298" s="274"/>
      <c r="NK298" s="274"/>
      <c r="NL298" s="274"/>
      <c r="NM298" s="274"/>
      <c r="NN298" s="274"/>
      <c r="NO298" s="274"/>
      <c r="NP298" s="274"/>
      <c r="NQ298" s="274"/>
      <c r="NR298" s="274"/>
      <c r="NS298" s="274"/>
      <c r="NT298" s="274"/>
      <c r="NU298" s="274"/>
      <c r="NV298" s="274"/>
      <c r="NW298" s="274"/>
      <c r="NX298" s="274"/>
      <c r="NY298" s="274"/>
      <c r="NZ298" s="274"/>
      <c r="OA298" s="274"/>
      <c r="OB298" s="274"/>
      <c r="OC298" s="274"/>
      <c r="OD298" s="274"/>
      <c r="OE298" s="274"/>
      <c r="OF298" s="274"/>
      <c r="OG298" s="274"/>
      <c r="OH298" s="274"/>
      <c r="OI298" s="274"/>
      <c r="OJ298" s="274"/>
      <c r="OK298" s="274"/>
      <c r="OL298" s="274"/>
      <c r="OM298" s="274"/>
      <c r="ON298" s="274"/>
      <c r="OO298" s="274"/>
      <c r="OP298" s="274"/>
      <c r="OQ298" s="274"/>
      <c r="OR298" s="274"/>
      <c r="OS298" s="274"/>
      <c r="OT298" s="274"/>
      <c r="OU298" s="274"/>
      <c r="OV298" s="274"/>
      <c r="OW298" s="274"/>
      <c r="OX298" s="274"/>
      <c r="OY298" s="274"/>
      <c r="OZ298" s="274"/>
      <c r="PA298" s="274"/>
      <c r="PB298" s="274"/>
      <c r="PC298" s="274"/>
      <c r="PD298" s="274"/>
      <c r="PE298" s="274"/>
      <c r="PF298" s="274"/>
      <c r="PG298" s="274"/>
      <c r="PH298" s="274"/>
      <c r="PI298" s="274"/>
      <c r="PJ298" s="274"/>
      <c r="PK298" s="274"/>
      <c r="PL298" s="274"/>
      <c r="PM298" s="274"/>
      <c r="PN298" s="274"/>
      <c r="PO298" s="274"/>
      <c r="PP298" s="274"/>
      <c r="PQ298" s="274"/>
      <c r="PR298" s="274"/>
      <c r="PS298" s="274"/>
      <c r="PT298" s="274"/>
      <c r="PU298" s="274"/>
      <c r="PV298" s="274"/>
      <c r="PW298" s="274"/>
      <c r="PX298" s="274"/>
      <c r="PY298" s="274"/>
      <c r="PZ298" s="274"/>
      <c r="QA298" s="274"/>
      <c r="QB298" s="274"/>
      <c r="QC298" s="274"/>
      <c r="QD298" s="274"/>
      <c r="QE298" s="274"/>
      <c r="QF298" s="274"/>
      <c r="QG298" s="274"/>
      <c r="QH298" s="274"/>
      <c r="QI298" s="274"/>
      <c r="QJ298" s="274"/>
      <c r="QK298" s="274"/>
      <c r="QL298" s="274"/>
      <c r="QM298" s="274"/>
      <c r="QN298" s="274"/>
      <c r="QO298" s="274"/>
      <c r="QP298" s="274"/>
      <c r="QQ298" s="274"/>
      <c r="QR298" s="274"/>
      <c r="QS298" s="274"/>
      <c r="QT298" s="274"/>
      <c r="QU298" s="274"/>
      <c r="QV298" s="274"/>
      <c r="QW298" s="274"/>
      <c r="QX298" s="274"/>
      <c r="QY298" s="274"/>
      <c r="QZ298" s="274"/>
      <c r="RA298" s="274"/>
      <c r="RB298" s="274"/>
      <c r="RC298" s="274"/>
    </row>
    <row r="299" spans="112:471" ht="17.25">
      <c r="DH299" s="274"/>
      <c r="DI299" s="274"/>
      <c r="DJ299" s="978"/>
      <c r="DK299" s="978"/>
      <c r="DL299" s="978"/>
      <c r="DM299" s="978"/>
      <c r="DN299" s="978"/>
      <c r="DO299" s="978"/>
      <c r="DP299" s="978"/>
      <c r="DQ299" s="978"/>
      <c r="DR299" s="978"/>
      <c r="DS299" s="978"/>
      <c r="DT299" s="978"/>
      <c r="DU299" s="978"/>
      <c r="DV299" s="978"/>
      <c r="DW299" s="978"/>
      <c r="DX299" s="978"/>
      <c r="DY299" s="978"/>
      <c r="DZ299" s="978"/>
      <c r="EA299" s="978"/>
      <c r="EB299" s="978"/>
      <c r="EC299" s="978"/>
      <c r="ED299" s="978"/>
      <c r="EE299" s="978"/>
      <c r="EF299" s="978"/>
      <c r="EG299" s="978"/>
      <c r="EH299" s="978"/>
      <c r="EI299" s="978"/>
      <c r="EJ299" s="978"/>
      <c r="EK299" s="978"/>
      <c r="EL299" s="978"/>
      <c r="EM299" s="978"/>
      <c r="EN299" s="978"/>
      <c r="EO299" s="978"/>
      <c r="EP299" s="978"/>
      <c r="EQ299" s="978"/>
      <c r="ER299" s="978"/>
      <c r="ES299" s="978"/>
      <c r="ET299" s="978"/>
      <c r="EU299" s="978"/>
      <c r="EV299" s="978"/>
      <c r="EW299" s="978"/>
      <c r="EX299" s="978"/>
      <c r="EY299" s="978"/>
      <c r="EZ299" s="978"/>
      <c r="FA299" s="978"/>
      <c r="FB299" s="978"/>
      <c r="FC299" s="978"/>
      <c r="FD299" s="978"/>
      <c r="FE299" s="978"/>
      <c r="FF299" s="978"/>
      <c r="FG299" s="978"/>
      <c r="FH299" s="978"/>
      <c r="FI299" s="978"/>
      <c r="FJ299" s="978"/>
      <c r="FK299" s="978"/>
      <c r="FL299" s="978"/>
      <c r="FM299" s="978"/>
      <c r="FN299" s="978"/>
      <c r="FO299" s="978"/>
      <c r="FP299" s="978"/>
      <c r="FQ299" s="978"/>
      <c r="FR299" s="978"/>
      <c r="FS299" s="978"/>
      <c r="FT299" s="978"/>
      <c r="FU299" s="978"/>
      <c r="FV299" s="978"/>
      <c r="FW299" s="978"/>
      <c r="FX299" s="978"/>
      <c r="FY299" s="978"/>
      <c r="FZ299" s="978"/>
      <c r="GA299" s="978"/>
      <c r="GB299" s="978"/>
      <c r="GC299" s="978"/>
      <c r="GD299" s="978"/>
      <c r="GE299" s="978"/>
      <c r="GF299" s="978"/>
      <c r="GG299" s="978"/>
      <c r="GH299" s="978"/>
      <c r="GI299" s="978"/>
      <c r="GJ299" s="978"/>
      <c r="GK299" s="978"/>
      <c r="GL299" s="978"/>
      <c r="GM299" s="978"/>
      <c r="GN299" s="978"/>
      <c r="GO299" s="978"/>
      <c r="GP299" s="978"/>
      <c r="GQ299" s="978"/>
      <c r="GR299" s="978"/>
      <c r="GS299" s="978"/>
      <c r="GT299" s="978"/>
      <c r="GU299" s="978"/>
      <c r="GV299" s="978"/>
      <c r="GW299" s="978"/>
      <c r="GX299" s="978"/>
      <c r="GY299" s="978"/>
      <c r="GZ299" s="978"/>
      <c r="HA299" s="978"/>
      <c r="HB299" s="978"/>
      <c r="HC299" s="978"/>
      <c r="HD299" s="978"/>
      <c r="HE299" s="978"/>
      <c r="HF299" s="978"/>
      <c r="HG299" s="978"/>
      <c r="HH299" s="978"/>
      <c r="HI299" s="978"/>
      <c r="HJ299" s="978"/>
      <c r="HK299" s="978"/>
      <c r="HL299" s="978"/>
      <c r="HM299" s="978"/>
      <c r="HN299" s="978"/>
      <c r="HO299" s="978"/>
      <c r="HP299" s="978"/>
      <c r="HQ299" s="978"/>
      <c r="HR299" s="978"/>
      <c r="HS299" s="978"/>
      <c r="HT299" s="978"/>
      <c r="HU299" s="978"/>
      <c r="HV299" s="978"/>
      <c r="HW299" s="978"/>
      <c r="HX299" s="978"/>
      <c r="HY299" s="978"/>
      <c r="HZ299" s="978"/>
      <c r="IA299" s="978"/>
      <c r="IB299" s="978"/>
      <c r="IC299" s="978"/>
      <c r="ID299" s="978"/>
      <c r="IE299" s="978"/>
      <c r="IF299" s="978"/>
      <c r="IG299" s="978"/>
      <c r="IH299" s="978"/>
      <c r="II299" s="978"/>
      <c r="IJ299" s="978"/>
      <c r="IK299" s="978"/>
      <c r="IL299" s="978"/>
      <c r="IM299" s="978"/>
      <c r="IN299" s="978"/>
      <c r="IO299" s="978"/>
      <c r="IP299" s="978"/>
      <c r="IQ299" s="978"/>
      <c r="IR299" s="978"/>
      <c r="IS299" s="978"/>
      <c r="IT299" s="978"/>
      <c r="IU299" s="978"/>
      <c r="IV299" s="978"/>
      <c r="IW299" s="978"/>
      <c r="IX299" s="978"/>
      <c r="IY299" s="978"/>
      <c r="IZ299" s="978"/>
      <c r="JA299" s="978"/>
      <c r="JB299" s="978"/>
      <c r="JC299" s="978"/>
      <c r="JD299" s="978"/>
      <c r="JE299" s="978"/>
      <c r="JF299" s="978"/>
      <c r="JG299" s="978"/>
      <c r="JH299" s="978"/>
      <c r="JI299" s="978"/>
      <c r="JJ299" s="978"/>
      <c r="JK299" s="978"/>
      <c r="JL299" s="978"/>
      <c r="JM299" s="978"/>
      <c r="JN299" s="978"/>
      <c r="JO299" s="978"/>
      <c r="JP299" s="978"/>
      <c r="JQ299" s="978"/>
      <c r="JR299" s="978"/>
      <c r="JS299" s="978"/>
      <c r="JT299" s="978"/>
      <c r="JU299" s="978"/>
      <c r="JV299" s="978"/>
      <c r="JW299" s="978"/>
      <c r="JX299" s="978"/>
      <c r="JY299" s="978"/>
      <c r="JZ299" s="978"/>
      <c r="KA299" s="978"/>
      <c r="KB299" s="978"/>
      <c r="KC299" s="978"/>
      <c r="KD299" s="978"/>
      <c r="KE299" s="978"/>
      <c r="KF299" s="978"/>
      <c r="KG299" s="978"/>
      <c r="KH299" s="978"/>
      <c r="KI299" s="978"/>
      <c r="KJ299" s="978"/>
      <c r="KK299" s="978"/>
      <c r="KL299" s="978"/>
      <c r="KM299" s="978"/>
      <c r="KN299" s="978"/>
      <c r="KO299" s="978"/>
      <c r="KP299" s="978"/>
      <c r="KQ299" s="978"/>
      <c r="KR299" s="978"/>
      <c r="KS299" s="978"/>
      <c r="KT299" s="978"/>
      <c r="KU299" s="978"/>
      <c r="KV299" s="978"/>
      <c r="KW299" s="978"/>
      <c r="KX299" s="978"/>
      <c r="KY299" s="978"/>
      <c r="KZ299" s="978"/>
      <c r="LA299" s="978"/>
      <c r="LB299" s="978"/>
      <c r="LC299" s="978"/>
      <c r="LD299" s="978"/>
      <c r="LE299" s="978"/>
      <c r="LF299" s="978"/>
      <c r="LG299" s="978"/>
      <c r="LH299" s="978"/>
      <c r="LI299" s="978"/>
      <c r="LJ299" s="978"/>
      <c r="LK299" s="978"/>
      <c r="LL299" s="978"/>
      <c r="LM299" s="978"/>
      <c r="LN299" s="978"/>
      <c r="LO299" s="978"/>
      <c r="LP299" s="978"/>
      <c r="LQ299" s="978"/>
      <c r="LR299" s="978"/>
      <c r="LS299" s="978"/>
      <c r="LT299" s="978"/>
      <c r="LU299" s="978"/>
      <c r="LV299" s="978"/>
      <c r="LW299" s="978"/>
      <c r="LX299" s="978"/>
      <c r="LY299" s="978"/>
      <c r="LZ299" s="978"/>
      <c r="MA299" s="978"/>
      <c r="MB299" s="978"/>
      <c r="MC299" s="978"/>
      <c r="MD299" s="978"/>
      <c r="ME299" s="978"/>
      <c r="MF299" s="978"/>
      <c r="MG299" s="978"/>
      <c r="MH299" s="978"/>
      <c r="MI299" s="978"/>
      <c r="MJ299" s="978"/>
      <c r="MK299" s="978"/>
      <c r="ML299" s="978"/>
      <c r="MM299" s="978"/>
      <c r="MN299" s="978"/>
      <c r="MO299" s="978"/>
      <c r="MP299" s="978"/>
      <c r="MQ299" s="978"/>
      <c r="MR299" s="978"/>
      <c r="MS299" s="978"/>
      <c r="MT299" s="978"/>
      <c r="MU299" s="978"/>
      <c r="MV299" s="978"/>
      <c r="MW299" s="978"/>
      <c r="MX299" s="978"/>
      <c r="MY299" s="978"/>
      <c r="MZ299" s="978"/>
      <c r="NA299" s="978"/>
      <c r="NB299" s="978"/>
      <c r="NC299" s="978"/>
      <c r="ND299" s="978"/>
      <c r="NE299" s="978"/>
      <c r="NF299" s="978"/>
      <c r="NG299" s="978"/>
      <c r="NH299" s="978"/>
      <c r="NI299" s="978"/>
      <c r="NJ299" s="978"/>
      <c r="NK299" s="978"/>
      <c r="NL299" s="978"/>
      <c r="NM299" s="978"/>
      <c r="NN299" s="978"/>
      <c r="NO299" s="978"/>
      <c r="NP299" s="978"/>
      <c r="NQ299" s="978"/>
      <c r="NR299" s="978"/>
      <c r="NS299" s="978"/>
      <c r="NT299" s="978"/>
      <c r="NU299" s="978"/>
      <c r="NV299" s="978"/>
      <c r="NW299" s="978"/>
      <c r="NX299" s="978"/>
      <c r="NY299" s="978"/>
      <c r="NZ299" s="978"/>
      <c r="OA299" s="978"/>
      <c r="OB299" s="978"/>
      <c r="OC299" s="978"/>
      <c r="OD299" s="978"/>
      <c r="OE299" s="978"/>
      <c r="OF299" s="978"/>
      <c r="OG299" s="978"/>
      <c r="OH299" s="978"/>
      <c r="OI299" s="978"/>
      <c r="OJ299" s="978"/>
      <c r="OK299" s="978"/>
      <c r="OL299" s="978"/>
      <c r="OM299" s="978"/>
      <c r="ON299" s="978"/>
      <c r="OO299" s="978"/>
      <c r="OP299" s="978"/>
      <c r="OQ299" s="978"/>
      <c r="OR299" s="978"/>
      <c r="OS299" s="978"/>
      <c r="OT299" s="978"/>
      <c r="OU299" s="978"/>
      <c r="OV299" s="978"/>
      <c r="OW299" s="978"/>
      <c r="OX299" s="978"/>
      <c r="OY299" s="978"/>
      <c r="OZ299" s="978"/>
      <c r="PA299" s="978"/>
      <c r="PB299" s="978"/>
      <c r="PC299" s="978"/>
      <c r="PD299" s="978"/>
      <c r="PE299" s="978"/>
      <c r="PF299" s="978"/>
      <c r="PG299" s="978"/>
      <c r="PH299" s="978"/>
      <c r="PI299" s="978"/>
      <c r="PJ299" s="978"/>
      <c r="PK299" s="978"/>
      <c r="PL299" s="978"/>
      <c r="PM299" s="978"/>
      <c r="PN299" s="978"/>
      <c r="PO299" s="978"/>
      <c r="PP299" s="978"/>
      <c r="PQ299" s="978"/>
      <c r="PR299" s="978"/>
      <c r="PS299" s="978"/>
      <c r="PT299" s="978"/>
      <c r="PU299" s="978"/>
      <c r="PV299" s="978"/>
      <c r="PW299" s="978"/>
      <c r="PX299" s="978"/>
      <c r="PY299" s="978"/>
      <c r="PZ299" s="978"/>
      <c r="QA299" s="978"/>
      <c r="QB299" s="978"/>
      <c r="QC299" s="978"/>
      <c r="QD299" s="978"/>
      <c r="QE299" s="978"/>
      <c r="QF299" s="978"/>
      <c r="QG299" s="978"/>
      <c r="QH299" s="978"/>
      <c r="QI299" s="978"/>
      <c r="QJ299" s="978"/>
      <c r="QK299" s="978"/>
      <c r="QL299" s="978"/>
      <c r="QM299" s="978"/>
      <c r="QN299" s="978"/>
      <c r="QO299" s="978"/>
      <c r="QP299" s="978"/>
      <c r="QQ299" s="978"/>
      <c r="QR299" s="978"/>
      <c r="QS299" s="978"/>
      <c r="QT299" s="978"/>
      <c r="QU299" s="978"/>
      <c r="QV299" s="978"/>
      <c r="QW299" s="978"/>
      <c r="QX299" s="978"/>
      <c r="QY299" s="978"/>
      <c r="QZ299" s="978"/>
      <c r="RA299" s="978"/>
      <c r="RB299" s="274"/>
      <c r="RC299" s="274"/>
    </row>
    <row r="300" spans="112:471" ht="17.25">
      <c r="DH300" s="274"/>
      <c r="DI300" s="274"/>
      <c r="DJ300" s="978"/>
      <c r="DK300" s="978"/>
      <c r="DL300" s="978"/>
      <c r="DM300" s="978"/>
      <c r="DN300" s="978"/>
      <c r="DO300" s="978"/>
      <c r="DP300" s="978"/>
      <c r="DQ300" s="978"/>
      <c r="DR300" s="978"/>
      <c r="DS300" s="978"/>
      <c r="DT300" s="978"/>
      <c r="DU300" s="978"/>
      <c r="DV300" s="978"/>
      <c r="DW300" s="978"/>
      <c r="DX300" s="978"/>
      <c r="DY300" s="978"/>
      <c r="DZ300" s="978"/>
      <c r="EA300" s="978"/>
      <c r="EB300" s="978"/>
      <c r="EC300" s="978"/>
      <c r="ED300" s="978"/>
      <c r="EE300" s="978"/>
      <c r="EF300" s="978"/>
      <c r="EG300" s="978"/>
      <c r="EH300" s="978"/>
      <c r="EI300" s="978"/>
      <c r="EJ300" s="978"/>
      <c r="EK300" s="978"/>
      <c r="EL300" s="978"/>
      <c r="EM300" s="978"/>
      <c r="EN300" s="978"/>
      <c r="EO300" s="978"/>
      <c r="EP300" s="978"/>
      <c r="EQ300" s="978"/>
      <c r="ER300" s="978"/>
      <c r="ES300" s="978"/>
      <c r="ET300" s="978"/>
      <c r="EU300" s="978"/>
      <c r="EV300" s="978"/>
      <c r="EW300" s="978"/>
      <c r="EX300" s="978"/>
      <c r="EY300" s="978"/>
      <c r="EZ300" s="978"/>
      <c r="FA300" s="978"/>
      <c r="FB300" s="978"/>
      <c r="FC300" s="978"/>
      <c r="FD300" s="978"/>
      <c r="FE300" s="978"/>
      <c r="FF300" s="978"/>
      <c r="FG300" s="978"/>
      <c r="FH300" s="978"/>
      <c r="FI300" s="978"/>
      <c r="FJ300" s="978"/>
      <c r="FK300" s="978"/>
      <c r="FL300" s="978"/>
      <c r="FM300" s="978"/>
      <c r="FN300" s="978"/>
      <c r="FO300" s="978"/>
      <c r="FP300" s="978"/>
      <c r="FQ300" s="978"/>
      <c r="FR300" s="978"/>
      <c r="FS300" s="978"/>
      <c r="FT300" s="978"/>
      <c r="FU300" s="978"/>
      <c r="FV300" s="978"/>
      <c r="FW300" s="978"/>
      <c r="FX300" s="978"/>
      <c r="FY300" s="978"/>
      <c r="FZ300" s="978"/>
      <c r="GA300" s="978"/>
      <c r="GB300" s="978"/>
      <c r="GC300" s="978"/>
      <c r="GD300" s="978"/>
      <c r="GE300" s="978"/>
      <c r="GF300" s="978"/>
      <c r="GG300" s="978"/>
      <c r="GH300" s="978"/>
      <c r="GI300" s="978"/>
      <c r="GJ300" s="978"/>
      <c r="GK300" s="978"/>
      <c r="GL300" s="978"/>
      <c r="GM300" s="978"/>
      <c r="GN300" s="978"/>
      <c r="GO300" s="978"/>
      <c r="GP300" s="978"/>
      <c r="GQ300" s="978"/>
      <c r="GR300" s="978"/>
      <c r="GS300" s="978"/>
      <c r="GT300" s="978"/>
      <c r="GU300" s="978"/>
      <c r="GV300" s="978"/>
      <c r="GW300" s="978"/>
      <c r="GX300" s="978"/>
      <c r="GY300" s="978"/>
      <c r="GZ300" s="978"/>
      <c r="HA300" s="978"/>
      <c r="HB300" s="978"/>
      <c r="HC300" s="978"/>
      <c r="HD300" s="978"/>
      <c r="HE300" s="978"/>
      <c r="HF300" s="978"/>
      <c r="HG300" s="978"/>
      <c r="HH300" s="978"/>
      <c r="HI300" s="978"/>
      <c r="HJ300" s="978"/>
      <c r="HK300" s="978"/>
      <c r="HL300" s="978"/>
      <c r="HM300" s="978"/>
      <c r="HN300" s="978"/>
      <c r="HO300" s="978"/>
      <c r="HP300" s="978"/>
      <c r="HQ300" s="978"/>
      <c r="HR300" s="978"/>
      <c r="HS300" s="978"/>
      <c r="HT300" s="978"/>
      <c r="HU300" s="978"/>
      <c r="HV300" s="978"/>
      <c r="HW300" s="978"/>
      <c r="HX300" s="978"/>
      <c r="HY300" s="978"/>
      <c r="HZ300" s="978"/>
      <c r="IA300" s="978"/>
      <c r="IB300" s="978"/>
      <c r="IC300" s="978"/>
      <c r="ID300" s="978"/>
      <c r="IE300" s="978"/>
      <c r="IF300" s="978"/>
      <c r="IG300" s="978"/>
      <c r="IH300" s="978"/>
      <c r="II300" s="978"/>
      <c r="IJ300" s="978"/>
      <c r="IK300" s="978"/>
      <c r="IL300" s="978"/>
      <c r="IM300" s="978"/>
      <c r="IN300" s="978"/>
      <c r="IO300" s="978"/>
      <c r="IP300" s="978"/>
      <c r="IQ300" s="978"/>
      <c r="IR300" s="978"/>
      <c r="IS300" s="978"/>
      <c r="IT300" s="978"/>
      <c r="IU300" s="978"/>
      <c r="IV300" s="978"/>
      <c r="IW300" s="978"/>
      <c r="IX300" s="978"/>
      <c r="IY300" s="978"/>
      <c r="IZ300" s="978"/>
      <c r="JA300" s="978"/>
      <c r="JB300" s="978"/>
      <c r="JC300" s="978"/>
      <c r="JD300" s="978"/>
      <c r="JE300" s="978"/>
      <c r="JF300" s="978"/>
      <c r="JG300" s="978"/>
      <c r="JH300" s="978"/>
      <c r="JI300" s="978"/>
      <c r="JJ300" s="978"/>
      <c r="JK300" s="978"/>
      <c r="JL300" s="978"/>
      <c r="JM300" s="978"/>
      <c r="JN300" s="978"/>
      <c r="JO300" s="978"/>
      <c r="JP300" s="978"/>
      <c r="JQ300" s="978"/>
      <c r="JR300" s="978"/>
      <c r="JS300" s="978"/>
      <c r="JT300" s="978"/>
      <c r="JU300" s="978"/>
      <c r="JV300" s="978"/>
      <c r="JW300" s="978"/>
      <c r="JX300" s="978"/>
      <c r="JY300" s="978"/>
      <c r="JZ300" s="978"/>
      <c r="KA300" s="978"/>
      <c r="KB300" s="978"/>
      <c r="KC300" s="978"/>
      <c r="KD300" s="978"/>
      <c r="KE300" s="978"/>
      <c r="KF300" s="978"/>
      <c r="KG300" s="978"/>
      <c r="KH300" s="978"/>
      <c r="KI300" s="978"/>
      <c r="KJ300" s="978"/>
      <c r="KK300" s="978"/>
      <c r="KL300" s="978"/>
      <c r="KM300" s="978"/>
      <c r="KN300" s="978"/>
      <c r="KO300" s="978"/>
      <c r="KP300" s="978"/>
      <c r="KQ300" s="978"/>
      <c r="KR300" s="978"/>
      <c r="KS300" s="978"/>
      <c r="KT300" s="978"/>
      <c r="KU300" s="978"/>
      <c r="KV300" s="978"/>
      <c r="KW300" s="978"/>
      <c r="KX300" s="978"/>
      <c r="KY300" s="978"/>
      <c r="KZ300" s="978"/>
      <c r="LA300" s="978"/>
      <c r="LB300" s="978"/>
      <c r="LC300" s="978"/>
      <c r="LD300" s="978"/>
      <c r="LE300" s="978"/>
      <c r="LF300" s="978"/>
      <c r="LG300" s="978"/>
      <c r="LH300" s="978"/>
      <c r="LI300" s="978"/>
      <c r="LJ300" s="978"/>
      <c r="LK300" s="978"/>
      <c r="LL300" s="978"/>
      <c r="LM300" s="978"/>
      <c r="LN300" s="978"/>
      <c r="LO300" s="978"/>
      <c r="LP300" s="978"/>
      <c r="LQ300" s="978"/>
      <c r="LR300" s="978"/>
      <c r="LS300" s="978"/>
      <c r="LT300" s="978"/>
      <c r="LU300" s="978"/>
      <c r="LV300" s="978"/>
      <c r="LW300" s="978"/>
      <c r="LX300" s="978"/>
      <c r="LY300" s="978"/>
      <c r="LZ300" s="978"/>
      <c r="MA300" s="978"/>
      <c r="MB300" s="978"/>
      <c r="MC300" s="978"/>
      <c r="MD300" s="978"/>
      <c r="ME300" s="978"/>
      <c r="MF300" s="978"/>
      <c r="MG300" s="978"/>
      <c r="MH300" s="978"/>
      <c r="MI300" s="978"/>
      <c r="MJ300" s="978"/>
      <c r="MK300" s="978"/>
      <c r="ML300" s="978"/>
      <c r="MM300" s="978"/>
      <c r="MN300" s="978"/>
      <c r="MO300" s="978"/>
      <c r="MP300" s="978"/>
      <c r="MQ300" s="978"/>
      <c r="MR300" s="978"/>
      <c r="MS300" s="978"/>
      <c r="MT300" s="978"/>
      <c r="MU300" s="978"/>
      <c r="MV300" s="978"/>
      <c r="MW300" s="978"/>
      <c r="MX300" s="978"/>
      <c r="MY300" s="978"/>
      <c r="MZ300" s="978"/>
      <c r="NA300" s="978"/>
      <c r="NB300" s="978"/>
      <c r="NC300" s="978"/>
      <c r="ND300" s="978"/>
      <c r="NE300" s="978"/>
      <c r="NF300" s="978"/>
      <c r="NG300" s="978"/>
      <c r="NH300" s="978"/>
      <c r="NI300" s="978"/>
      <c r="NJ300" s="978"/>
      <c r="NK300" s="978"/>
      <c r="NL300" s="978"/>
      <c r="NM300" s="978"/>
      <c r="NN300" s="978"/>
      <c r="NO300" s="978"/>
      <c r="NP300" s="978"/>
      <c r="NQ300" s="978"/>
      <c r="NR300" s="978"/>
      <c r="NS300" s="978"/>
      <c r="NT300" s="978"/>
      <c r="NU300" s="978"/>
      <c r="NV300" s="978"/>
      <c r="NW300" s="978"/>
      <c r="NX300" s="978"/>
      <c r="NY300" s="978"/>
      <c r="NZ300" s="978"/>
      <c r="OA300" s="978"/>
      <c r="OB300" s="978"/>
      <c r="OC300" s="978"/>
      <c r="OD300" s="978"/>
      <c r="OE300" s="978"/>
      <c r="OF300" s="978"/>
      <c r="OG300" s="978"/>
      <c r="OH300" s="978"/>
      <c r="OI300" s="978"/>
      <c r="OJ300" s="978"/>
      <c r="OK300" s="978"/>
      <c r="OL300" s="978"/>
      <c r="OM300" s="978"/>
      <c r="ON300" s="978"/>
      <c r="OO300" s="978"/>
      <c r="OP300" s="978"/>
      <c r="OQ300" s="978"/>
      <c r="OR300" s="978"/>
      <c r="OS300" s="978"/>
      <c r="OT300" s="978"/>
      <c r="OU300" s="978"/>
      <c r="OV300" s="978"/>
      <c r="OW300" s="978"/>
      <c r="OX300" s="978"/>
      <c r="OY300" s="978"/>
      <c r="OZ300" s="978"/>
      <c r="PA300" s="978"/>
      <c r="PB300" s="978"/>
      <c r="PC300" s="978"/>
      <c r="PD300" s="978"/>
      <c r="PE300" s="978"/>
      <c r="PF300" s="978"/>
      <c r="PG300" s="978"/>
      <c r="PH300" s="978"/>
      <c r="PI300" s="978"/>
      <c r="PJ300" s="978"/>
      <c r="PK300" s="978"/>
      <c r="PL300" s="978"/>
      <c r="PM300" s="978"/>
      <c r="PN300" s="978"/>
      <c r="PO300" s="978"/>
      <c r="PP300" s="978"/>
      <c r="PQ300" s="978"/>
      <c r="PR300" s="978"/>
      <c r="PS300" s="978"/>
      <c r="PT300" s="978"/>
      <c r="PU300" s="978"/>
      <c r="PV300" s="978"/>
      <c r="PW300" s="978"/>
      <c r="PX300" s="978"/>
      <c r="PY300" s="978"/>
      <c r="PZ300" s="978"/>
      <c r="QA300" s="978"/>
      <c r="QB300" s="978"/>
      <c r="QC300" s="978"/>
      <c r="QD300" s="978"/>
      <c r="QE300" s="978"/>
      <c r="QF300" s="978"/>
      <c r="QG300" s="978"/>
      <c r="QH300" s="978"/>
      <c r="QI300" s="978"/>
      <c r="QJ300" s="978"/>
      <c r="QK300" s="978"/>
      <c r="QL300" s="978"/>
      <c r="QM300" s="978"/>
      <c r="QN300" s="978"/>
      <c r="QO300" s="978"/>
      <c r="QP300" s="978"/>
      <c r="QQ300" s="978"/>
      <c r="QR300" s="978"/>
      <c r="QS300" s="978"/>
      <c r="QT300" s="978"/>
      <c r="QU300" s="978"/>
      <c r="QV300" s="978"/>
      <c r="QW300" s="978"/>
      <c r="QX300" s="978"/>
      <c r="QY300" s="978"/>
      <c r="QZ300" s="978"/>
      <c r="RA300" s="978"/>
      <c r="RB300" s="274"/>
      <c r="RC300" s="274"/>
    </row>
    <row r="301" spans="112:471" ht="17.25">
      <c r="DH301" s="274"/>
      <c r="DI301" s="274"/>
      <c r="DJ301" s="978"/>
      <c r="DK301" s="978"/>
      <c r="DL301" s="978"/>
      <c r="DM301" s="978"/>
      <c r="DN301" s="978"/>
      <c r="DO301" s="978"/>
      <c r="DP301" s="978"/>
      <c r="DQ301" s="978"/>
      <c r="DR301" s="978"/>
      <c r="DS301" s="978"/>
      <c r="DT301" s="978"/>
      <c r="DU301" s="978"/>
      <c r="DV301" s="978"/>
      <c r="DW301" s="978"/>
      <c r="DX301" s="978"/>
      <c r="DY301" s="978"/>
      <c r="DZ301" s="978"/>
      <c r="EA301" s="978"/>
      <c r="EB301" s="978"/>
      <c r="EC301" s="978"/>
      <c r="ED301" s="978"/>
      <c r="EE301" s="978"/>
      <c r="EF301" s="978"/>
      <c r="EG301" s="978"/>
      <c r="EH301" s="978"/>
      <c r="EI301" s="978"/>
      <c r="EJ301" s="978"/>
      <c r="EK301" s="978"/>
      <c r="EL301" s="978"/>
      <c r="EM301" s="978"/>
      <c r="EN301" s="978"/>
      <c r="EO301" s="978"/>
      <c r="EP301" s="978"/>
      <c r="EQ301" s="978"/>
      <c r="ER301" s="978"/>
      <c r="ES301" s="978"/>
      <c r="ET301" s="978"/>
      <c r="EU301" s="978"/>
      <c r="EV301" s="978"/>
      <c r="EW301" s="978"/>
      <c r="EX301" s="978"/>
      <c r="EY301" s="978"/>
      <c r="EZ301" s="978"/>
      <c r="FA301" s="978"/>
      <c r="FB301" s="978"/>
      <c r="FC301" s="978"/>
      <c r="FD301" s="978"/>
      <c r="FE301" s="978"/>
      <c r="FF301" s="978"/>
      <c r="FG301" s="978"/>
      <c r="FH301" s="978"/>
      <c r="FI301" s="978"/>
      <c r="FJ301" s="978"/>
      <c r="FK301" s="978"/>
      <c r="FL301" s="978"/>
      <c r="FM301" s="978"/>
      <c r="FN301" s="978"/>
      <c r="FO301" s="978"/>
      <c r="FP301" s="978"/>
      <c r="FQ301" s="978"/>
      <c r="FR301" s="978"/>
      <c r="FS301" s="978"/>
      <c r="FT301" s="978"/>
      <c r="FU301" s="978"/>
      <c r="FV301" s="978"/>
      <c r="FW301" s="978"/>
      <c r="FX301" s="978"/>
      <c r="FY301" s="978"/>
      <c r="FZ301" s="978"/>
      <c r="GA301" s="978"/>
      <c r="GB301" s="978"/>
      <c r="GC301" s="978"/>
      <c r="GD301" s="978"/>
      <c r="GE301" s="978"/>
      <c r="GF301" s="978"/>
      <c r="GG301" s="978"/>
      <c r="GH301" s="978"/>
      <c r="GI301" s="978"/>
      <c r="GJ301" s="978"/>
      <c r="GK301" s="978"/>
      <c r="GL301" s="978"/>
      <c r="GM301" s="978"/>
      <c r="GN301" s="978"/>
      <c r="GO301" s="978"/>
      <c r="GP301" s="978"/>
      <c r="GQ301" s="978"/>
      <c r="GR301" s="978"/>
      <c r="GS301" s="978"/>
      <c r="GT301" s="978"/>
      <c r="GU301" s="978"/>
      <c r="GV301" s="978"/>
      <c r="GW301" s="978"/>
      <c r="GX301" s="978"/>
      <c r="GY301" s="978"/>
      <c r="GZ301" s="978"/>
      <c r="HA301" s="978"/>
      <c r="HB301" s="978"/>
      <c r="HC301" s="978"/>
      <c r="HD301" s="978"/>
      <c r="HE301" s="978"/>
      <c r="HF301" s="978"/>
      <c r="HG301" s="978"/>
      <c r="HH301" s="978"/>
      <c r="HI301" s="978"/>
      <c r="HJ301" s="978"/>
      <c r="HK301" s="978"/>
      <c r="HL301" s="978"/>
      <c r="HM301" s="978"/>
      <c r="HN301" s="978"/>
      <c r="HO301" s="978"/>
      <c r="HP301" s="978"/>
      <c r="HQ301" s="978"/>
      <c r="HR301" s="978"/>
      <c r="HS301" s="978"/>
      <c r="HT301" s="978"/>
      <c r="HU301" s="978"/>
      <c r="HV301" s="978"/>
      <c r="HW301" s="978"/>
      <c r="HX301" s="978"/>
      <c r="HY301" s="978"/>
      <c r="HZ301" s="978"/>
      <c r="IA301" s="978"/>
      <c r="IB301" s="978"/>
      <c r="IC301" s="978"/>
      <c r="ID301" s="978"/>
      <c r="IE301" s="978"/>
      <c r="IF301" s="978"/>
      <c r="IG301" s="978"/>
      <c r="IH301" s="978"/>
      <c r="II301" s="978"/>
      <c r="IJ301" s="978"/>
      <c r="IK301" s="978"/>
      <c r="IL301" s="978"/>
      <c r="IM301" s="978"/>
      <c r="IN301" s="978"/>
      <c r="IO301" s="978"/>
      <c r="IP301" s="978"/>
      <c r="IQ301" s="978"/>
      <c r="IR301" s="978"/>
      <c r="IS301" s="978"/>
      <c r="IT301" s="978"/>
      <c r="IU301" s="978"/>
      <c r="IV301" s="978"/>
      <c r="IW301" s="978"/>
      <c r="IX301" s="978"/>
      <c r="IY301" s="978"/>
      <c r="IZ301" s="978"/>
      <c r="JA301" s="978"/>
      <c r="JB301" s="978"/>
      <c r="JC301" s="978"/>
      <c r="JD301" s="978"/>
      <c r="JE301" s="978"/>
      <c r="JF301" s="978"/>
      <c r="JG301" s="978"/>
      <c r="JH301" s="978"/>
      <c r="JI301" s="978"/>
      <c r="JJ301" s="978"/>
      <c r="JK301" s="978"/>
      <c r="JL301" s="978"/>
      <c r="JM301" s="978"/>
      <c r="JN301" s="978"/>
      <c r="JO301" s="978"/>
      <c r="JP301" s="978"/>
      <c r="JQ301" s="978"/>
      <c r="JR301" s="978"/>
      <c r="JS301" s="978"/>
      <c r="JT301" s="978"/>
      <c r="JU301" s="978"/>
      <c r="JV301" s="978"/>
      <c r="JW301" s="978"/>
      <c r="JX301" s="978"/>
      <c r="JY301" s="978"/>
      <c r="JZ301" s="978"/>
      <c r="KA301" s="978"/>
      <c r="KB301" s="978"/>
      <c r="KC301" s="978"/>
      <c r="KD301" s="978"/>
      <c r="KE301" s="978"/>
      <c r="KF301" s="978"/>
      <c r="KG301" s="978"/>
      <c r="KH301" s="978"/>
      <c r="KI301" s="978"/>
      <c r="KJ301" s="978"/>
      <c r="KK301" s="978"/>
      <c r="KL301" s="978"/>
      <c r="KM301" s="978"/>
      <c r="KN301" s="978"/>
      <c r="KO301" s="978"/>
      <c r="KP301" s="978"/>
      <c r="KQ301" s="978"/>
      <c r="KR301" s="978"/>
      <c r="KS301" s="978"/>
      <c r="KT301" s="978"/>
      <c r="KU301" s="978"/>
      <c r="KV301" s="978"/>
      <c r="KW301" s="978"/>
      <c r="KX301" s="978"/>
      <c r="KY301" s="978"/>
      <c r="KZ301" s="978"/>
      <c r="LA301" s="978"/>
      <c r="LB301" s="978"/>
      <c r="LC301" s="978"/>
      <c r="LD301" s="978"/>
      <c r="LE301" s="978"/>
      <c r="LF301" s="978"/>
      <c r="LG301" s="978"/>
      <c r="LH301" s="978"/>
      <c r="LI301" s="978"/>
      <c r="LJ301" s="978"/>
      <c r="LK301" s="978"/>
      <c r="LL301" s="978"/>
      <c r="LM301" s="978"/>
      <c r="LN301" s="978"/>
      <c r="LO301" s="978"/>
      <c r="LP301" s="978"/>
      <c r="LQ301" s="978"/>
      <c r="LR301" s="978"/>
      <c r="LS301" s="978"/>
      <c r="LT301" s="978"/>
      <c r="LU301" s="978"/>
      <c r="LV301" s="978"/>
      <c r="LW301" s="978"/>
      <c r="LX301" s="978"/>
      <c r="LY301" s="978"/>
      <c r="LZ301" s="978"/>
      <c r="MA301" s="978"/>
      <c r="MB301" s="978"/>
      <c r="MC301" s="978"/>
      <c r="MD301" s="978"/>
      <c r="ME301" s="978"/>
      <c r="MF301" s="978"/>
      <c r="MG301" s="978"/>
      <c r="MH301" s="978"/>
      <c r="MI301" s="978"/>
      <c r="MJ301" s="978"/>
      <c r="MK301" s="978"/>
      <c r="ML301" s="978"/>
      <c r="MM301" s="978"/>
      <c r="MN301" s="978"/>
      <c r="MO301" s="978"/>
      <c r="MP301" s="978"/>
      <c r="MQ301" s="978"/>
      <c r="MR301" s="978"/>
      <c r="MS301" s="978"/>
      <c r="MT301" s="978"/>
      <c r="MU301" s="978"/>
      <c r="MV301" s="978"/>
      <c r="MW301" s="978"/>
      <c r="MX301" s="978"/>
      <c r="MY301" s="978"/>
      <c r="MZ301" s="978"/>
      <c r="NA301" s="978"/>
      <c r="NB301" s="978"/>
      <c r="NC301" s="978"/>
      <c r="ND301" s="978"/>
      <c r="NE301" s="978"/>
      <c r="NF301" s="978"/>
      <c r="NG301" s="978"/>
      <c r="NH301" s="978"/>
      <c r="NI301" s="978"/>
      <c r="NJ301" s="978"/>
      <c r="NK301" s="978"/>
      <c r="NL301" s="978"/>
      <c r="NM301" s="978"/>
      <c r="NN301" s="978"/>
      <c r="NO301" s="978"/>
      <c r="NP301" s="978"/>
      <c r="NQ301" s="978"/>
      <c r="NR301" s="978"/>
      <c r="NS301" s="978"/>
      <c r="NT301" s="978"/>
      <c r="NU301" s="978"/>
      <c r="NV301" s="978"/>
      <c r="NW301" s="978"/>
      <c r="NX301" s="978"/>
      <c r="NY301" s="978"/>
      <c r="NZ301" s="978"/>
      <c r="OA301" s="978"/>
      <c r="OB301" s="978"/>
      <c r="OC301" s="978"/>
      <c r="OD301" s="978"/>
      <c r="OE301" s="978"/>
      <c r="OF301" s="978"/>
      <c r="OG301" s="978"/>
      <c r="OH301" s="978"/>
      <c r="OI301" s="978"/>
      <c r="OJ301" s="978"/>
      <c r="OK301" s="978"/>
      <c r="OL301" s="978"/>
      <c r="OM301" s="978"/>
      <c r="ON301" s="978"/>
      <c r="OO301" s="978"/>
      <c r="OP301" s="978"/>
      <c r="OQ301" s="978"/>
      <c r="OR301" s="978"/>
      <c r="OS301" s="978"/>
      <c r="OT301" s="978"/>
      <c r="OU301" s="978"/>
      <c r="OV301" s="978"/>
      <c r="OW301" s="978"/>
      <c r="OX301" s="978"/>
      <c r="OY301" s="978"/>
      <c r="OZ301" s="978"/>
      <c r="PA301" s="978"/>
      <c r="PB301" s="978"/>
      <c r="PC301" s="978"/>
      <c r="PD301" s="978"/>
      <c r="PE301" s="978"/>
      <c r="PF301" s="978"/>
      <c r="PG301" s="978"/>
      <c r="PH301" s="978"/>
      <c r="PI301" s="978"/>
      <c r="PJ301" s="978"/>
      <c r="PK301" s="978"/>
      <c r="PL301" s="978"/>
      <c r="PM301" s="978"/>
      <c r="PN301" s="978"/>
      <c r="PO301" s="978"/>
      <c r="PP301" s="978"/>
      <c r="PQ301" s="978"/>
      <c r="PR301" s="978"/>
      <c r="PS301" s="978"/>
      <c r="PT301" s="978"/>
      <c r="PU301" s="978"/>
      <c r="PV301" s="978"/>
      <c r="PW301" s="978"/>
      <c r="PX301" s="978"/>
      <c r="PY301" s="978"/>
      <c r="PZ301" s="978"/>
      <c r="QA301" s="978"/>
      <c r="QB301" s="978"/>
      <c r="QC301" s="978"/>
      <c r="QD301" s="978"/>
      <c r="QE301" s="978"/>
      <c r="QF301" s="978"/>
      <c r="QG301" s="978"/>
      <c r="QH301" s="978"/>
      <c r="QI301" s="978"/>
      <c r="QJ301" s="978"/>
      <c r="QK301" s="978"/>
      <c r="QL301" s="978"/>
      <c r="QM301" s="978"/>
      <c r="QN301" s="978"/>
      <c r="QO301" s="978"/>
      <c r="QP301" s="978"/>
      <c r="QQ301" s="978"/>
      <c r="QR301" s="978"/>
      <c r="QS301" s="978"/>
      <c r="QT301" s="978"/>
      <c r="QU301" s="978"/>
      <c r="QV301" s="978"/>
      <c r="QW301" s="978"/>
      <c r="QX301" s="978"/>
      <c r="QY301" s="978"/>
      <c r="QZ301" s="978"/>
      <c r="RA301" s="978"/>
      <c r="RB301" s="274"/>
      <c r="RC301" s="274"/>
    </row>
    <row r="302" spans="112:471" ht="17.25">
      <c r="DH302" s="274"/>
      <c r="DI302" s="274"/>
      <c r="DJ302" s="978"/>
      <c r="DK302" s="978"/>
      <c r="DL302" s="978"/>
      <c r="DM302" s="978"/>
      <c r="DN302" s="978"/>
      <c r="DO302" s="978"/>
      <c r="DP302" s="978"/>
      <c r="DQ302" s="978"/>
      <c r="DR302" s="978"/>
      <c r="DS302" s="978"/>
      <c r="DT302" s="978"/>
      <c r="DU302" s="978"/>
      <c r="DV302" s="978"/>
      <c r="DW302" s="978"/>
      <c r="DX302" s="978"/>
      <c r="DY302" s="978"/>
      <c r="DZ302" s="978"/>
      <c r="EA302" s="978"/>
      <c r="EB302" s="978"/>
      <c r="EC302" s="978"/>
      <c r="ED302" s="978"/>
      <c r="EE302" s="978"/>
      <c r="EF302" s="978"/>
      <c r="EG302" s="978"/>
      <c r="EH302" s="978"/>
      <c r="EI302" s="978"/>
      <c r="EJ302" s="978"/>
      <c r="EK302" s="978"/>
      <c r="EL302" s="978"/>
      <c r="EM302" s="978"/>
      <c r="EN302" s="978"/>
      <c r="EO302" s="978"/>
      <c r="EP302" s="978"/>
      <c r="EQ302" s="978"/>
      <c r="ER302" s="978"/>
      <c r="ES302" s="978"/>
      <c r="ET302" s="978"/>
      <c r="EU302" s="978"/>
      <c r="EV302" s="978"/>
      <c r="EW302" s="978"/>
      <c r="EX302" s="978"/>
      <c r="EY302" s="978"/>
      <c r="EZ302" s="978"/>
      <c r="FA302" s="978"/>
      <c r="FB302" s="978"/>
      <c r="FC302" s="978"/>
      <c r="FD302" s="978"/>
      <c r="FE302" s="978"/>
      <c r="FF302" s="978"/>
      <c r="FG302" s="978"/>
      <c r="FH302" s="978"/>
      <c r="FI302" s="978"/>
      <c r="FJ302" s="978"/>
      <c r="FK302" s="978"/>
      <c r="FL302" s="978"/>
      <c r="FM302" s="978"/>
      <c r="FN302" s="978"/>
      <c r="FO302" s="978"/>
      <c r="FP302" s="978"/>
      <c r="FQ302" s="978"/>
      <c r="FR302" s="978"/>
      <c r="FS302" s="978"/>
      <c r="FT302" s="978"/>
      <c r="FU302" s="978"/>
      <c r="FV302" s="978"/>
      <c r="FW302" s="978"/>
      <c r="FX302" s="978"/>
      <c r="FY302" s="978"/>
      <c r="FZ302" s="978"/>
      <c r="GA302" s="978"/>
      <c r="GB302" s="978"/>
      <c r="GC302" s="978"/>
      <c r="GD302" s="978"/>
      <c r="GE302" s="978"/>
      <c r="GF302" s="978"/>
      <c r="GG302" s="978"/>
      <c r="GH302" s="978"/>
      <c r="GI302" s="978"/>
      <c r="GJ302" s="978"/>
      <c r="GK302" s="978"/>
      <c r="GL302" s="978"/>
      <c r="GM302" s="978"/>
      <c r="GN302" s="978"/>
      <c r="GO302" s="978"/>
      <c r="GP302" s="978"/>
      <c r="GQ302" s="978"/>
      <c r="GR302" s="978"/>
      <c r="GS302" s="978"/>
      <c r="GT302" s="978"/>
      <c r="GU302" s="978"/>
      <c r="GV302" s="978"/>
      <c r="GW302" s="978"/>
      <c r="GX302" s="978"/>
      <c r="GY302" s="978"/>
      <c r="GZ302" s="978"/>
      <c r="HA302" s="978"/>
      <c r="HB302" s="978"/>
      <c r="HC302" s="978"/>
      <c r="HD302" s="978"/>
      <c r="HE302" s="978"/>
      <c r="HF302" s="978"/>
      <c r="HG302" s="978"/>
      <c r="HH302" s="978"/>
      <c r="HI302" s="978"/>
      <c r="HJ302" s="978"/>
      <c r="HK302" s="978"/>
      <c r="HL302" s="978"/>
      <c r="HM302" s="978"/>
      <c r="HN302" s="978"/>
      <c r="HO302" s="978"/>
      <c r="HP302" s="978"/>
      <c r="HQ302" s="978"/>
      <c r="HR302" s="978"/>
      <c r="HS302" s="978"/>
      <c r="HT302" s="978"/>
      <c r="HU302" s="978"/>
      <c r="HV302" s="978"/>
      <c r="HW302" s="978"/>
      <c r="HX302" s="978"/>
      <c r="HY302" s="978"/>
      <c r="HZ302" s="978"/>
      <c r="IA302" s="978"/>
      <c r="IB302" s="978"/>
      <c r="IC302" s="978"/>
      <c r="ID302" s="978"/>
      <c r="IE302" s="978"/>
      <c r="IF302" s="978"/>
      <c r="IG302" s="978"/>
      <c r="IH302" s="978"/>
      <c r="II302" s="978"/>
      <c r="IJ302" s="978"/>
      <c r="IK302" s="978"/>
      <c r="IL302" s="978"/>
      <c r="IM302" s="978"/>
      <c r="IN302" s="978"/>
      <c r="IO302" s="978"/>
      <c r="IP302" s="978"/>
      <c r="IQ302" s="978"/>
      <c r="IR302" s="978"/>
      <c r="IS302" s="978"/>
      <c r="IT302" s="978"/>
      <c r="IU302" s="978"/>
      <c r="IV302" s="978"/>
      <c r="IW302" s="978"/>
      <c r="IX302" s="978"/>
      <c r="IY302" s="978"/>
      <c r="IZ302" s="978"/>
      <c r="JA302" s="978"/>
      <c r="JB302" s="978"/>
      <c r="JC302" s="978"/>
      <c r="JD302" s="978"/>
      <c r="JE302" s="978"/>
      <c r="JF302" s="978"/>
      <c r="JG302" s="978"/>
      <c r="JH302" s="978"/>
      <c r="JI302" s="978"/>
      <c r="JJ302" s="978"/>
      <c r="JK302" s="978"/>
      <c r="JL302" s="978"/>
      <c r="JM302" s="978"/>
      <c r="JN302" s="978"/>
      <c r="JO302" s="978"/>
      <c r="JP302" s="978"/>
      <c r="JQ302" s="978"/>
      <c r="JR302" s="978"/>
      <c r="JS302" s="978"/>
      <c r="JT302" s="978"/>
      <c r="JU302" s="978"/>
      <c r="JV302" s="978"/>
      <c r="JW302" s="978"/>
      <c r="JX302" s="978"/>
      <c r="JY302" s="978"/>
      <c r="JZ302" s="978"/>
      <c r="KA302" s="978"/>
      <c r="KB302" s="978"/>
      <c r="KC302" s="978"/>
      <c r="KD302" s="978"/>
      <c r="KE302" s="978"/>
      <c r="KF302" s="978"/>
      <c r="KG302" s="978"/>
      <c r="KH302" s="978"/>
      <c r="KI302" s="978"/>
      <c r="KJ302" s="978"/>
      <c r="KK302" s="978"/>
      <c r="KL302" s="978"/>
      <c r="KM302" s="978"/>
      <c r="KN302" s="978"/>
      <c r="KO302" s="978"/>
      <c r="KP302" s="978"/>
      <c r="KQ302" s="978"/>
      <c r="KR302" s="978"/>
      <c r="KS302" s="978"/>
      <c r="KT302" s="978"/>
      <c r="KU302" s="978"/>
      <c r="KV302" s="978"/>
      <c r="KW302" s="978"/>
      <c r="KX302" s="978"/>
      <c r="KY302" s="978"/>
      <c r="KZ302" s="978"/>
      <c r="LA302" s="978"/>
      <c r="LB302" s="978"/>
      <c r="LC302" s="978"/>
      <c r="LD302" s="978"/>
      <c r="LE302" s="978"/>
      <c r="LF302" s="978"/>
      <c r="LG302" s="978"/>
      <c r="LH302" s="978"/>
      <c r="LI302" s="978"/>
      <c r="LJ302" s="978"/>
      <c r="LK302" s="978"/>
      <c r="LL302" s="978"/>
      <c r="LM302" s="978"/>
      <c r="LN302" s="978"/>
      <c r="LO302" s="978"/>
      <c r="LP302" s="978"/>
      <c r="LQ302" s="978"/>
      <c r="LR302" s="978"/>
      <c r="LS302" s="978"/>
      <c r="LT302" s="978"/>
      <c r="LU302" s="978"/>
      <c r="LV302" s="978"/>
      <c r="LW302" s="978"/>
      <c r="LX302" s="978"/>
      <c r="LY302" s="978"/>
      <c r="LZ302" s="978"/>
      <c r="MA302" s="978"/>
      <c r="MB302" s="978"/>
      <c r="MC302" s="978"/>
      <c r="MD302" s="978"/>
      <c r="ME302" s="978"/>
      <c r="MF302" s="978"/>
      <c r="MG302" s="978"/>
      <c r="MH302" s="978"/>
      <c r="MI302" s="978"/>
      <c r="MJ302" s="978"/>
      <c r="MK302" s="978"/>
      <c r="ML302" s="978"/>
      <c r="MM302" s="978"/>
      <c r="MN302" s="978"/>
      <c r="MO302" s="978"/>
      <c r="MP302" s="978"/>
      <c r="MQ302" s="978"/>
      <c r="MR302" s="978"/>
      <c r="MS302" s="978"/>
      <c r="MT302" s="978"/>
      <c r="MU302" s="978"/>
      <c r="MV302" s="978"/>
      <c r="MW302" s="978"/>
      <c r="MX302" s="978"/>
      <c r="MY302" s="978"/>
      <c r="MZ302" s="978"/>
      <c r="NA302" s="978"/>
      <c r="NB302" s="978"/>
      <c r="NC302" s="978"/>
      <c r="ND302" s="978"/>
      <c r="NE302" s="978"/>
      <c r="NF302" s="978"/>
      <c r="NG302" s="978"/>
      <c r="NH302" s="978"/>
      <c r="NI302" s="978"/>
      <c r="NJ302" s="978"/>
      <c r="NK302" s="978"/>
      <c r="NL302" s="978"/>
      <c r="NM302" s="978"/>
      <c r="NN302" s="978"/>
      <c r="NO302" s="978"/>
      <c r="NP302" s="978"/>
      <c r="NQ302" s="978"/>
      <c r="NR302" s="978"/>
      <c r="NS302" s="978"/>
      <c r="NT302" s="978"/>
      <c r="NU302" s="978"/>
      <c r="NV302" s="978"/>
      <c r="NW302" s="978"/>
      <c r="NX302" s="978"/>
      <c r="NY302" s="978"/>
      <c r="NZ302" s="978"/>
      <c r="OA302" s="978"/>
      <c r="OB302" s="978"/>
      <c r="OC302" s="978"/>
      <c r="OD302" s="978"/>
      <c r="OE302" s="978"/>
      <c r="OF302" s="978"/>
      <c r="OG302" s="978"/>
      <c r="OH302" s="978"/>
      <c r="OI302" s="978"/>
      <c r="OJ302" s="978"/>
      <c r="OK302" s="978"/>
      <c r="OL302" s="978"/>
      <c r="OM302" s="978"/>
      <c r="ON302" s="978"/>
      <c r="OO302" s="978"/>
      <c r="OP302" s="978"/>
      <c r="OQ302" s="978"/>
      <c r="OR302" s="978"/>
      <c r="OS302" s="978"/>
      <c r="OT302" s="978"/>
      <c r="OU302" s="978"/>
      <c r="OV302" s="978"/>
      <c r="OW302" s="978"/>
      <c r="OX302" s="978"/>
      <c r="OY302" s="978"/>
      <c r="OZ302" s="978"/>
      <c r="PA302" s="978"/>
      <c r="PB302" s="978"/>
      <c r="PC302" s="978"/>
      <c r="PD302" s="978"/>
      <c r="PE302" s="978"/>
      <c r="PF302" s="978"/>
      <c r="PG302" s="978"/>
      <c r="PH302" s="978"/>
      <c r="PI302" s="978"/>
      <c r="PJ302" s="978"/>
      <c r="PK302" s="978"/>
      <c r="PL302" s="978"/>
      <c r="PM302" s="978"/>
      <c r="PN302" s="978"/>
      <c r="PO302" s="978"/>
      <c r="PP302" s="978"/>
      <c r="PQ302" s="978"/>
      <c r="PR302" s="978"/>
      <c r="PS302" s="978"/>
      <c r="PT302" s="978"/>
      <c r="PU302" s="978"/>
      <c r="PV302" s="978"/>
      <c r="PW302" s="978"/>
      <c r="PX302" s="978"/>
      <c r="PY302" s="978"/>
      <c r="PZ302" s="978"/>
      <c r="QA302" s="978"/>
      <c r="QB302" s="978"/>
      <c r="QC302" s="978"/>
      <c r="QD302" s="978"/>
      <c r="QE302" s="978"/>
      <c r="QF302" s="978"/>
      <c r="QG302" s="978"/>
      <c r="QH302" s="978"/>
      <c r="QI302" s="978"/>
      <c r="QJ302" s="978"/>
      <c r="QK302" s="978"/>
      <c r="QL302" s="978"/>
      <c r="QM302" s="978"/>
      <c r="QN302" s="978"/>
      <c r="QO302" s="978"/>
      <c r="QP302" s="978"/>
      <c r="QQ302" s="978"/>
      <c r="QR302" s="978"/>
      <c r="QS302" s="978"/>
      <c r="QT302" s="978"/>
      <c r="QU302" s="978"/>
      <c r="QV302" s="978"/>
      <c r="QW302" s="978"/>
      <c r="QX302" s="978"/>
      <c r="QY302" s="978"/>
      <c r="QZ302" s="978"/>
      <c r="RA302" s="978"/>
      <c r="RB302" s="274"/>
      <c r="RC302" s="274"/>
    </row>
    <row r="303" spans="112:471" ht="17.25">
      <c r="DH303" s="274"/>
      <c r="DI303" s="274"/>
      <c r="DJ303" s="978"/>
      <c r="DK303" s="978"/>
      <c r="DL303" s="978"/>
      <c r="DM303" s="978"/>
      <c r="DN303" s="978"/>
      <c r="DO303" s="978"/>
      <c r="DP303" s="978"/>
      <c r="DQ303" s="978"/>
      <c r="DR303" s="978"/>
      <c r="DS303" s="978"/>
      <c r="DT303" s="978"/>
      <c r="DU303" s="978"/>
      <c r="DV303" s="978"/>
      <c r="DW303" s="978"/>
      <c r="DX303" s="978"/>
      <c r="DY303" s="978"/>
      <c r="DZ303" s="978"/>
      <c r="EA303" s="978"/>
      <c r="EB303" s="978"/>
      <c r="EC303" s="978"/>
      <c r="ED303" s="978"/>
      <c r="EE303" s="978"/>
      <c r="EF303" s="978"/>
      <c r="EG303" s="978"/>
      <c r="EH303" s="978"/>
      <c r="EI303" s="978"/>
      <c r="EJ303" s="978"/>
      <c r="EK303" s="978"/>
      <c r="EL303" s="978"/>
      <c r="EM303" s="978"/>
      <c r="EN303" s="978"/>
      <c r="EO303" s="978"/>
      <c r="EP303" s="978"/>
      <c r="EQ303" s="978"/>
      <c r="ER303" s="978"/>
      <c r="ES303" s="978"/>
      <c r="ET303" s="978"/>
      <c r="EU303" s="978"/>
      <c r="EV303" s="978"/>
      <c r="EW303" s="978"/>
      <c r="EX303" s="978"/>
      <c r="EY303" s="978"/>
      <c r="EZ303" s="978"/>
      <c r="FA303" s="978"/>
      <c r="FB303" s="978"/>
      <c r="FC303" s="978"/>
      <c r="FD303" s="978"/>
      <c r="FE303" s="978"/>
      <c r="FF303" s="978"/>
      <c r="FG303" s="978"/>
      <c r="FH303" s="978"/>
      <c r="FI303" s="978"/>
      <c r="FJ303" s="978"/>
      <c r="FK303" s="978"/>
      <c r="FL303" s="978"/>
      <c r="FM303" s="978"/>
      <c r="FN303" s="978"/>
      <c r="FO303" s="978"/>
      <c r="FP303" s="978"/>
      <c r="FQ303" s="978"/>
      <c r="FR303" s="978"/>
      <c r="FS303" s="978"/>
      <c r="FT303" s="978"/>
      <c r="FU303" s="978"/>
      <c r="FV303" s="978"/>
      <c r="FW303" s="978"/>
      <c r="FX303" s="978"/>
      <c r="FY303" s="978"/>
      <c r="FZ303" s="978"/>
      <c r="GA303" s="978"/>
      <c r="GB303" s="978"/>
      <c r="GC303" s="978"/>
      <c r="GD303" s="978"/>
      <c r="GE303" s="978"/>
      <c r="GF303" s="978"/>
      <c r="GG303" s="978"/>
      <c r="GH303" s="978"/>
      <c r="GI303" s="978"/>
      <c r="GJ303" s="978"/>
      <c r="GK303" s="978"/>
      <c r="GL303" s="978"/>
      <c r="GM303" s="978"/>
      <c r="GN303" s="978"/>
      <c r="GO303" s="978"/>
      <c r="GP303" s="978"/>
      <c r="GQ303" s="978"/>
      <c r="GR303" s="978"/>
      <c r="GS303" s="978"/>
      <c r="GT303" s="978"/>
      <c r="GU303" s="978"/>
      <c r="GV303" s="978"/>
      <c r="GW303" s="978"/>
      <c r="GX303" s="978"/>
      <c r="GY303" s="978"/>
      <c r="GZ303" s="978"/>
      <c r="HA303" s="978"/>
      <c r="HB303" s="978"/>
      <c r="HC303" s="978"/>
      <c r="HD303" s="978"/>
      <c r="HE303" s="978"/>
      <c r="HF303" s="978"/>
      <c r="HG303" s="978"/>
      <c r="HH303" s="978"/>
      <c r="HI303" s="978"/>
      <c r="HJ303" s="978"/>
      <c r="HK303" s="978"/>
      <c r="HL303" s="978"/>
      <c r="HM303" s="978"/>
      <c r="HN303" s="978"/>
      <c r="HO303" s="978"/>
      <c r="HP303" s="978"/>
      <c r="HQ303" s="978"/>
      <c r="HR303" s="978"/>
      <c r="HS303" s="978"/>
      <c r="HT303" s="978"/>
      <c r="HU303" s="978"/>
      <c r="HV303" s="978"/>
      <c r="HW303" s="978"/>
      <c r="HX303" s="978"/>
      <c r="HY303" s="978"/>
      <c r="HZ303" s="978"/>
      <c r="IA303" s="978"/>
      <c r="IB303" s="978"/>
      <c r="IC303" s="978"/>
      <c r="ID303" s="978"/>
      <c r="IE303" s="978"/>
      <c r="IF303" s="978"/>
      <c r="IG303" s="978"/>
      <c r="IH303" s="978"/>
      <c r="II303" s="978"/>
      <c r="IJ303" s="978"/>
      <c r="IK303" s="978"/>
      <c r="IL303" s="978"/>
      <c r="IM303" s="978"/>
      <c r="IN303" s="978"/>
      <c r="IO303" s="978"/>
      <c r="IP303" s="978"/>
      <c r="IQ303" s="978"/>
      <c r="IR303" s="978"/>
      <c r="IS303" s="978"/>
      <c r="IT303" s="978"/>
      <c r="IU303" s="978"/>
      <c r="IV303" s="978"/>
      <c r="IW303" s="978"/>
      <c r="IX303" s="978"/>
      <c r="IY303" s="978"/>
      <c r="IZ303" s="978"/>
      <c r="JA303" s="978"/>
      <c r="JB303" s="978"/>
      <c r="JC303" s="978"/>
      <c r="JD303" s="978"/>
      <c r="JE303" s="978"/>
      <c r="JF303" s="978"/>
      <c r="JG303" s="978"/>
      <c r="JH303" s="978"/>
      <c r="JI303" s="978"/>
      <c r="JJ303" s="978"/>
      <c r="JK303" s="978"/>
      <c r="JL303" s="978"/>
      <c r="JM303" s="978"/>
      <c r="JN303" s="978"/>
      <c r="JO303" s="978"/>
      <c r="JP303" s="978"/>
      <c r="JQ303" s="978"/>
      <c r="JR303" s="978"/>
      <c r="JS303" s="978"/>
      <c r="JT303" s="978"/>
      <c r="JU303" s="978"/>
      <c r="JV303" s="978"/>
      <c r="JW303" s="978"/>
      <c r="JX303" s="978"/>
      <c r="JY303" s="978"/>
      <c r="JZ303" s="978"/>
      <c r="KA303" s="978"/>
      <c r="KB303" s="978"/>
      <c r="KC303" s="978"/>
      <c r="KD303" s="978"/>
      <c r="KE303" s="978"/>
      <c r="KF303" s="978"/>
      <c r="KG303" s="978"/>
      <c r="KH303" s="978"/>
      <c r="KI303" s="978"/>
      <c r="KJ303" s="978"/>
      <c r="KK303" s="978"/>
      <c r="KL303" s="978"/>
      <c r="KM303" s="978"/>
      <c r="KN303" s="978"/>
      <c r="KO303" s="978"/>
      <c r="KP303" s="978"/>
      <c r="KQ303" s="978"/>
      <c r="KR303" s="978"/>
      <c r="KS303" s="978"/>
      <c r="KT303" s="978"/>
      <c r="KU303" s="978"/>
      <c r="KV303" s="978"/>
      <c r="KW303" s="978"/>
      <c r="KX303" s="978"/>
      <c r="KY303" s="978"/>
      <c r="KZ303" s="978"/>
      <c r="LA303" s="978"/>
      <c r="LB303" s="978"/>
      <c r="LC303" s="978"/>
      <c r="LD303" s="978"/>
      <c r="LE303" s="978"/>
      <c r="LF303" s="978"/>
      <c r="LG303" s="978"/>
      <c r="LH303" s="978"/>
      <c r="LI303" s="978"/>
      <c r="LJ303" s="978"/>
      <c r="LK303" s="978"/>
      <c r="LL303" s="978"/>
      <c r="LM303" s="978"/>
      <c r="LN303" s="978"/>
      <c r="LO303" s="978"/>
      <c r="LP303" s="978"/>
      <c r="LQ303" s="978"/>
      <c r="LR303" s="978"/>
      <c r="LS303" s="978"/>
      <c r="LT303" s="978"/>
      <c r="LU303" s="978"/>
      <c r="LV303" s="978"/>
      <c r="LW303" s="978"/>
      <c r="LX303" s="978"/>
      <c r="LY303" s="978"/>
      <c r="LZ303" s="978"/>
      <c r="MA303" s="978"/>
      <c r="MB303" s="978"/>
      <c r="MC303" s="978"/>
      <c r="MD303" s="978"/>
      <c r="ME303" s="978"/>
      <c r="MF303" s="978"/>
      <c r="MG303" s="978"/>
      <c r="MH303" s="978"/>
      <c r="MI303" s="978"/>
      <c r="MJ303" s="978"/>
      <c r="MK303" s="978"/>
      <c r="ML303" s="978"/>
      <c r="MM303" s="978"/>
      <c r="MN303" s="978"/>
      <c r="MO303" s="978"/>
      <c r="MP303" s="978"/>
      <c r="MQ303" s="978"/>
      <c r="MR303" s="978"/>
      <c r="MS303" s="978"/>
      <c r="MT303" s="978"/>
      <c r="MU303" s="978"/>
      <c r="MV303" s="978"/>
      <c r="MW303" s="978"/>
      <c r="MX303" s="978"/>
      <c r="MY303" s="978"/>
      <c r="MZ303" s="978"/>
      <c r="NA303" s="978"/>
      <c r="NB303" s="978"/>
      <c r="NC303" s="978"/>
      <c r="ND303" s="978"/>
      <c r="NE303" s="978"/>
      <c r="NF303" s="978"/>
      <c r="NG303" s="978"/>
      <c r="NH303" s="978"/>
      <c r="NI303" s="978"/>
      <c r="NJ303" s="978"/>
      <c r="NK303" s="978"/>
      <c r="NL303" s="978"/>
      <c r="NM303" s="978"/>
      <c r="NN303" s="978"/>
      <c r="NO303" s="978"/>
      <c r="NP303" s="978"/>
      <c r="NQ303" s="978"/>
      <c r="NR303" s="978"/>
      <c r="NS303" s="978"/>
      <c r="NT303" s="978"/>
      <c r="NU303" s="978"/>
      <c r="NV303" s="978"/>
      <c r="NW303" s="978"/>
      <c r="NX303" s="978"/>
      <c r="NY303" s="978"/>
      <c r="NZ303" s="978"/>
      <c r="OA303" s="978"/>
      <c r="OB303" s="978"/>
      <c r="OC303" s="978"/>
      <c r="OD303" s="978"/>
      <c r="OE303" s="978"/>
      <c r="OF303" s="978"/>
      <c r="OG303" s="978"/>
      <c r="OH303" s="978"/>
      <c r="OI303" s="978"/>
      <c r="OJ303" s="978"/>
      <c r="OK303" s="978"/>
      <c r="OL303" s="978"/>
      <c r="OM303" s="978"/>
      <c r="ON303" s="978"/>
      <c r="OO303" s="978"/>
      <c r="OP303" s="978"/>
      <c r="OQ303" s="978"/>
      <c r="OR303" s="978"/>
      <c r="OS303" s="978"/>
      <c r="OT303" s="978"/>
      <c r="OU303" s="978"/>
      <c r="OV303" s="978"/>
      <c r="OW303" s="978"/>
      <c r="OX303" s="978"/>
      <c r="OY303" s="978"/>
      <c r="OZ303" s="978"/>
      <c r="PA303" s="978"/>
      <c r="PB303" s="978"/>
      <c r="PC303" s="978"/>
      <c r="PD303" s="978"/>
      <c r="PE303" s="978"/>
      <c r="PF303" s="978"/>
      <c r="PG303" s="978"/>
      <c r="PH303" s="978"/>
      <c r="PI303" s="978"/>
      <c r="PJ303" s="978"/>
      <c r="PK303" s="978"/>
      <c r="PL303" s="978"/>
      <c r="PM303" s="978"/>
      <c r="PN303" s="978"/>
      <c r="PO303" s="978"/>
      <c r="PP303" s="978"/>
      <c r="PQ303" s="978"/>
      <c r="PR303" s="978"/>
      <c r="PS303" s="978"/>
      <c r="PT303" s="978"/>
      <c r="PU303" s="978"/>
      <c r="PV303" s="978"/>
      <c r="PW303" s="978"/>
      <c r="PX303" s="978"/>
      <c r="PY303" s="978"/>
      <c r="PZ303" s="978"/>
      <c r="QA303" s="978"/>
      <c r="QB303" s="978"/>
      <c r="QC303" s="978"/>
      <c r="QD303" s="978"/>
      <c r="QE303" s="978"/>
      <c r="QF303" s="978"/>
      <c r="QG303" s="978"/>
      <c r="QH303" s="978"/>
      <c r="QI303" s="978"/>
      <c r="QJ303" s="978"/>
      <c r="QK303" s="978"/>
      <c r="QL303" s="978"/>
      <c r="QM303" s="978"/>
      <c r="QN303" s="978"/>
      <c r="QO303" s="978"/>
      <c r="QP303" s="978"/>
      <c r="QQ303" s="978"/>
      <c r="QR303" s="978"/>
      <c r="QS303" s="978"/>
      <c r="QT303" s="978"/>
      <c r="QU303" s="978"/>
      <c r="QV303" s="978"/>
      <c r="QW303" s="978"/>
      <c r="QX303" s="978"/>
      <c r="QY303" s="978"/>
      <c r="QZ303" s="978"/>
      <c r="RA303" s="978"/>
      <c r="RB303" s="274"/>
      <c r="RC303" s="274"/>
    </row>
    <row r="304" spans="112:471" ht="17.25">
      <c r="DH304" s="274"/>
      <c r="DI304" s="274"/>
      <c r="DJ304" s="978"/>
      <c r="DK304" s="978"/>
      <c r="DL304" s="978"/>
      <c r="DM304" s="978"/>
      <c r="DN304" s="978"/>
      <c r="DO304" s="978"/>
      <c r="DP304" s="978"/>
      <c r="DQ304" s="978"/>
      <c r="DR304" s="978"/>
      <c r="DS304" s="978"/>
      <c r="DT304" s="978"/>
      <c r="DU304" s="978"/>
      <c r="DV304" s="978"/>
      <c r="DW304" s="978"/>
      <c r="DX304" s="978"/>
      <c r="DY304" s="978"/>
      <c r="DZ304" s="978"/>
      <c r="EA304" s="978"/>
      <c r="EB304" s="978"/>
      <c r="EC304" s="978"/>
      <c r="ED304" s="978"/>
      <c r="EE304" s="978"/>
      <c r="EF304" s="978"/>
      <c r="EG304" s="978"/>
      <c r="EH304" s="978"/>
      <c r="EI304" s="978"/>
      <c r="EJ304" s="978"/>
      <c r="EK304" s="978"/>
      <c r="EL304" s="978"/>
      <c r="EM304" s="978"/>
      <c r="EN304" s="978"/>
      <c r="EO304" s="978"/>
      <c r="EP304" s="978"/>
      <c r="EQ304" s="978"/>
      <c r="ER304" s="978"/>
      <c r="ES304" s="978"/>
      <c r="ET304" s="978"/>
      <c r="EU304" s="978"/>
      <c r="EV304" s="978"/>
      <c r="EW304" s="978"/>
      <c r="EX304" s="978"/>
      <c r="EY304" s="978"/>
      <c r="EZ304" s="978"/>
      <c r="FA304" s="978"/>
      <c r="FB304" s="978"/>
      <c r="FC304" s="978"/>
      <c r="FD304" s="978"/>
      <c r="FE304" s="978"/>
      <c r="FF304" s="978"/>
      <c r="FG304" s="978"/>
      <c r="FH304" s="978"/>
      <c r="FI304" s="978"/>
      <c r="FJ304" s="978"/>
      <c r="FK304" s="978"/>
      <c r="FL304" s="978"/>
      <c r="FM304" s="978"/>
      <c r="FN304" s="978"/>
      <c r="FO304" s="978"/>
      <c r="FP304" s="978"/>
      <c r="FQ304" s="978"/>
      <c r="FR304" s="978"/>
      <c r="FS304" s="978"/>
      <c r="FT304" s="978"/>
      <c r="FU304" s="978"/>
      <c r="FV304" s="978"/>
      <c r="FW304" s="978"/>
      <c r="FX304" s="978"/>
      <c r="FY304" s="978"/>
      <c r="FZ304" s="978"/>
      <c r="GA304" s="978"/>
      <c r="GB304" s="978"/>
      <c r="GC304" s="978"/>
      <c r="GD304" s="978"/>
      <c r="GE304" s="978"/>
      <c r="GF304" s="978"/>
      <c r="GG304" s="978"/>
      <c r="GH304" s="978"/>
      <c r="GI304" s="978"/>
      <c r="GJ304" s="978"/>
      <c r="GK304" s="978"/>
      <c r="GL304" s="978"/>
      <c r="GM304" s="978"/>
      <c r="GN304" s="978"/>
      <c r="GO304" s="978"/>
      <c r="GP304" s="978"/>
      <c r="GQ304" s="978"/>
      <c r="GR304" s="978"/>
      <c r="GS304" s="978"/>
      <c r="GT304" s="978"/>
      <c r="GU304" s="978"/>
      <c r="GV304" s="978"/>
      <c r="GW304" s="978"/>
      <c r="GX304" s="978"/>
      <c r="GY304" s="978"/>
      <c r="GZ304" s="978"/>
      <c r="HA304" s="978"/>
      <c r="HB304" s="978"/>
      <c r="HC304" s="978"/>
      <c r="HD304" s="978"/>
      <c r="HE304" s="978"/>
      <c r="HF304" s="978"/>
      <c r="HG304" s="978"/>
      <c r="HH304" s="978"/>
      <c r="HI304" s="978"/>
      <c r="HJ304" s="978"/>
      <c r="HK304" s="978"/>
      <c r="HL304" s="978"/>
      <c r="HM304" s="978"/>
      <c r="HN304" s="978"/>
      <c r="HO304" s="978"/>
      <c r="HP304" s="978"/>
      <c r="HQ304" s="978"/>
      <c r="HR304" s="978"/>
      <c r="HS304" s="978"/>
      <c r="HT304" s="978"/>
      <c r="HU304" s="978"/>
      <c r="HV304" s="978"/>
      <c r="HW304" s="978"/>
      <c r="HX304" s="978"/>
      <c r="HY304" s="978"/>
      <c r="HZ304" s="978"/>
      <c r="IA304" s="978"/>
      <c r="IB304" s="978"/>
      <c r="IC304" s="978"/>
      <c r="ID304" s="978"/>
      <c r="IE304" s="978"/>
      <c r="IF304" s="978"/>
      <c r="IG304" s="978"/>
      <c r="IH304" s="978"/>
      <c r="II304" s="978"/>
      <c r="IJ304" s="978"/>
      <c r="IK304" s="978"/>
      <c r="IL304" s="978"/>
      <c r="IM304" s="978"/>
      <c r="IN304" s="978"/>
      <c r="IO304" s="978"/>
      <c r="IP304" s="978"/>
      <c r="IQ304" s="978"/>
      <c r="IR304" s="978"/>
      <c r="IS304" s="978"/>
      <c r="IT304" s="978"/>
      <c r="IU304" s="978"/>
      <c r="IV304" s="978"/>
      <c r="IW304" s="978"/>
      <c r="IX304" s="978"/>
      <c r="IY304" s="978"/>
      <c r="IZ304" s="978"/>
      <c r="JA304" s="978"/>
      <c r="JB304" s="978"/>
      <c r="JC304" s="978"/>
      <c r="JD304" s="978"/>
      <c r="JE304" s="978"/>
      <c r="JF304" s="978"/>
      <c r="JG304" s="978"/>
      <c r="JH304" s="978"/>
      <c r="JI304" s="978"/>
      <c r="JJ304" s="978"/>
      <c r="JK304" s="978"/>
      <c r="JL304" s="978"/>
      <c r="JM304" s="978"/>
      <c r="JN304" s="978"/>
      <c r="JO304" s="978"/>
      <c r="JP304" s="978"/>
      <c r="JQ304" s="978"/>
      <c r="JR304" s="978"/>
      <c r="JS304" s="978"/>
      <c r="JT304" s="978"/>
      <c r="JU304" s="978"/>
      <c r="JV304" s="978"/>
      <c r="JW304" s="978"/>
      <c r="JX304" s="978"/>
      <c r="JY304" s="978"/>
      <c r="JZ304" s="978"/>
      <c r="KA304" s="978"/>
      <c r="KB304" s="978"/>
      <c r="KC304" s="978"/>
      <c r="KD304" s="978"/>
      <c r="KE304" s="978"/>
      <c r="KF304" s="978"/>
      <c r="KG304" s="978"/>
      <c r="KH304" s="978"/>
      <c r="KI304" s="978"/>
      <c r="KJ304" s="978"/>
      <c r="KK304" s="978"/>
      <c r="KL304" s="978"/>
      <c r="KM304" s="978"/>
      <c r="KN304" s="978"/>
      <c r="KO304" s="978"/>
      <c r="KP304" s="978"/>
      <c r="KQ304" s="978"/>
      <c r="KR304" s="978"/>
      <c r="KS304" s="978"/>
      <c r="KT304" s="978"/>
      <c r="KU304" s="978"/>
      <c r="KV304" s="978"/>
      <c r="KW304" s="978"/>
      <c r="KX304" s="978"/>
      <c r="KY304" s="978"/>
      <c r="KZ304" s="978"/>
      <c r="LA304" s="978"/>
      <c r="LB304" s="978"/>
      <c r="LC304" s="978"/>
      <c r="LD304" s="978"/>
      <c r="LE304" s="978"/>
      <c r="LF304" s="978"/>
      <c r="LG304" s="978"/>
      <c r="LH304" s="978"/>
      <c r="LI304" s="978"/>
      <c r="LJ304" s="978"/>
      <c r="LK304" s="978"/>
      <c r="LL304" s="978"/>
      <c r="LM304" s="978"/>
      <c r="LN304" s="978"/>
      <c r="LO304" s="978"/>
      <c r="LP304" s="978"/>
      <c r="LQ304" s="978"/>
      <c r="LR304" s="978"/>
      <c r="LS304" s="978"/>
      <c r="LT304" s="978"/>
      <c r="LU304" s="978"/>
      <c r="LV304" s="978"/>
      <c r="LW304" s="978"/>
      <c r="LX304" s="978"/>
      <c r="LY304" s="978"/>
      <c r="LZ304" s="978"/>
      <c r="MA304" s="978"/>
      <c r="MB304" s="978"/>
      <c r="MC304" s="978"/>
      <c r="MD304" s="978"/>
      <c r="ME304" s="978"/>
      <c r="MF304" s="978"/>
      <c r="MG304" s="978"/>
      <c r="MH304" s="978"/>
      <c r="MI304" s="978"/>
      <c r="MJ304" s="978"/>
      <c r="MK304" s="978"/>
      <c r="ML304" s="978"/>
      <c r="MM304" s="978"/>
      <c r="MN304" s="978"/>
      <c r="MO304" s="978"/>
      <c r="MP304" s="978"/>
      <c r="MQ304" s="978"/>
      <c r="MR304" s="978"/>
      <c r="MS304" s="978"/>
      <c r="MT304" s="978"/>
      <c r="MU304" s="978"/>
      <c r="MV304" s="978"/>
      <c r="MW304" s="978"/>
      <c r="MX304" s="978"/>
      <c r="MY304" s="978"/>
      <c r="MZ304" s="978"/>
      <c r="NA304" s="978"/>
      <c r="NB304" s="978"/>
      <c r="NC304" s="978"/>
      <c r="ND304" s="978"/>
      <c r="NE304" s="978"/>
      <c r="NF304" s="978"/>
      <c r="NG304" s="978"/>
      <c r="NH304" s="978"/>
      <c r="NI304" s="978"/>
      <c r="NJ304" s="978"/>
      <c r="NK304" s="978"/>
      <c r="NL304" s="978"/>
      <c r="NM304" s="978"/>
      <c r="NN304" s="978"/>
      <c r="NO304" s="978"/>
      <c r="NP304" s="978"/>
      <c r="NQ304" s="978"/>
      <c r="NR304" s="978"/>
      <c r="NS304" s="978"/>
      <c r="NT304" s="978"/>
      <c r="NU304" s="978"/>
      <c r="NV304" s="978"/>
      <c r="NW304" s="978"/>
      <c r="NX304" s="978"/>
      <c r="NY304" s="978"/>
      <c r="NZ304" s="978"/>
      <c r="OA304" s="978"/>
      <c r="OB304" s="978"/>
      <c r="OC304" s="978"/>
      <c r="OD304" s="978"/>
      <c r="OE304" s="978"/>
      <c r="OF304" s="978"/>
      <c r="OG304" s="978"/>
      <c r="OH304" s="978"/>
      <c r="OI304" s="978"/>
      <c r="OJ304" s="978"/>
      <c r="OK304" s="978"/>
      <c r="OL304" s="978"/>
      <c r="OM304" s="978"/>
      <c r="ON304" s="978"/>
      <c r="OO304" s="978"/>
      <c r="OP304" s="978"/>
      <c r="OQ304" s="978"/>
      <c r="OR304" s="978"/>
      <c r="OS304" s="978"/>
      <c r="OT304" s="978"/>
      <c r="OU304" s="978"/>
      <c r="OV304" s="978"/>
      <c r="OW304" s="978"/>
      <c r="OX304" s="978"/>
      <c r="OY304" s="978"/>
      <c r="OZ304" s="978"/>
      <c r="PA304" s="978"/>
      <c r="PB304" s="978"/>
      <c r="PC304" s="978"/>
      <c r="PD304" s="978"/>
      <c r="PE304" s="978"/>
      <c r="PF304" s="978"/>
      <c r="PG304" s="978"/>
      <c r="PH304" s="978"/>
      <c r="PI304" s="978"/>
      <c r="PJ304" s="978"/>
      <c r="PK304" s="978"/>
      <c r="PL304" s="978"/>
      <c r="PM304" s="978"/>
      <c r="PN304" s="978"/>
      <c r="PO304" s="978"/>
      <c r="PP304" s="978"/>
      <c r="PQ304" s="978"/>
      <c r="PR304" s="978"/>
      <c r="PS304" s="978"/>
      <c r="PT304" s="978"/>
      <c r="PU304" s="978"/>
      <c r="PV304" s="978"/>
      <c r="PW304" s="978"/>
      <c r="PX304" s="978"/>
      <c r="PY304" s="978"/>
      <c r="PZ304" s="978"/>
      <c r="QA304" s="978"/>
      <c r="QB304" s="978"/>
      <c r="QC304" s="978"/>
      <c r="QD304" s="978"/>
      <c r="QE304" s="978"/>
      <c r="QF304" s="978"/>
      <c r="QG304" s="978"/>
      <c r="QH304" s="978"/>
      <c r="QI304" s="978"/>
      <c r="QJ304" s="978"/>
      <c r="QK304" s="978"/>
      <c r="QL304" s="978"/>
      <c r="QM304" s="978"/>
      <c r="QN304" s="978"/>
      <c r="QO304" s="978"/>
      <c r="QP304" s="978"/>
      <c r="QQ304" s="978"/>
      <c r="QR304" s="978"/>
      <c r="QS304" s="978"/>
      <c r="QT304" s="978"/>
      <c r="QU304" s="978"/>
      <c r="QV304" s="978"/>
      <c r="QW304" s="978"/>
      <c r="QX304" s="978"/>
      <c r="QY304" s="978"/>
      <c r="QZ304" s="978"/>
      <c r="RA304" s="978"/>
      <c r="RB304" s="274"/>
      <c r="RC304" s="274"/>
    </row>
    <row r="305" spans="112:471" ht="17.25">
      <c r="DH305" s="274"/>
      <c r="DI305" s="274"/>
      <c r="DJ305" s="978"/>
      <c r="DK305" s="978"/>
      <c r="DL305" s="978"/>
      <c r="DM305" s="978"/>
      <c r="DN305" s="978"/>
      <c r="DO305" s="978"/>
      <c r="DP305" s="978"/>
      <c r="DQ305" s="978"/>
      <c r="DR305" s="978"/>
      <c r="DS305" s="978"/>
      <c r="DT305" s="978"/>
      <c r="DU305" s="978"/>
      <c r="DV305" s="978"/>
      <c r="DW305" s="978"/>
      <c r="DX305" s="978"/>
      <c r="DY305" s="978"/>
      <c r="DZ305" s="978"/>
      <c r="EA305" s="978"/>
      <c r="EB305" s="978"/>
      <c r="EC305" s="978"/>
      <c r="ED305" s="978"/>
      <c r="EE305" s="978"/>
      <c r="EF305" s="978"/>
      <c r="EG305" s="978"/>
      <c r="EH305" s="978"/>
      <c r="EI305" s="978"/>
      <c r="EJ305" s="978"/>
      <c r="EK305" s="978"/>
      <c r="EL305" s="978"/>
      <c r="EM305" s="978"/>
      <c r="EN305" s="978"/>
      <c r="EO305" s="978"/>
      <c r="EP305" s="978"/>
      <c r="EQ305" s="978"/>
      <c r="ER305" s="978"/>
      <c r="ES305" s="978"/>
      <c r="ET305" s="978"/>
      <c r="EU305" s="978"/>
      <c r="EV305" s="978"/>
      <c r="EW305" s="978"/>
      <c r="EX305" s="978"/>
      <c r="EY305" s="978"/>
      <c r="EZ305" s="978"/>
      <c r="FA305" s="978"/>
      <c r="FB305" s="978"/>
      <c r="FC305" s="978"/>
      <c r="FD305" s="978"/>
      <c r="FE305" s="978"/>
      <c r="FF305" s="978"/>
      <c r="FG305" s="978"/>
      <c r="FH305" s="978"/>
      <c r="FI305" s="978"/>
      <c r="FJ305" s="978"/>
      <c r="FK305" s="978"/>
      <c r="FL305" s="978"/>
      <c r="FM305" s="978"/>
      <c r="FN305" s="978"/>
      <c r="FO305" s="978"/>
      <c r="FP305" s="978"/>
      <c r="FQ305" s="978"/>
      <c r="FR305" s="978"/>
      <c r="FS305" s="978"/>
      <c r="FT305" s="978"/>
      <c r="FU305" s="978"/>
      <c r="FV305" s="978"/>
      <c r="FW305" s="978"/>
      <c r="FX305" s="978"/>
      <c r="FY305" s="978"/>
      <c r="FZ305" s="978"/>
      <c r="GA305" s="978"/>
      <c r="GB305" s="978"/>
      <c r="GC305" s="978"/>
      <c r="GD305" s="978"/>
      <c r="GE305" s="978"/>
      <c r="GF305" s="978"/>
      <c r="GG305" s="978"/>
      <c r="GH305" s="978"/>
      <c r="GI305" s="978"/>
      <c r="GJ305" s="978"/>
      <c r="GK305" s="978"/>
      <c r="GL305" s="978"/>
      <c r="GM305" s="978"/>
      <c r="GN305" s="978"/>
      <c r="GO305" s="978"/>
      <c r="GP305" s="978"/>
      <c r="GQ305" s="978"/>
      <c r="GR305" s="978"/>
      <c r="GS305" s="978"/>
      <c r="GT305" s="978"/>
      <c r="GU305" s="978"/>
      <c r="GV305" s="978"/>
      <c r="GW305" s="978"/>
      <c r="GX305" s="978"/>
      <c r="GY305" s="978"/>
      <c r="GZ305" s="978"/>
      <c r="HA305" s="978"/>
      <c r="HB305" s="978"/>
      <c r="HC305" s="978"/>
      <c r="HD305" s="978"/>
      <c r="HE305" s="978"/>
      <c r="HF305" s="978"/>
      <c r="HG305" s="978"/>
      <c r="HH305" s="978"/>
      <c r="HI305" s="978"/>
      <c r="HJ305" s="978"/>
      <c r="HK305" s="978"/>
      <c r="HL305" s="978"/>
      <c r="HM305" s="978"/>
      <c r="HN305" s="978"/>
      <c r="HO305" s="978"/>
      <c r="HP305" s="978"/>
      <c r="HQ305" s="978"/>
      <c r="HR305" s="978"/>
      <c r="HS305" s="978"/>
      <c r="HT305" s="978"/>
      <c r="HU305" s="978"/>
      <c r="HV305" s="978"/>
      <c r="HW305" s="978"/>
      <c r="HX305" s="978"/>
      <c r="HY305" s="978"/>
      <c r="HZ305" s="978"/>
      <c r="IA305" s="978"/>
      <c r="IB305" s="978"/>
      <c r="IC305" s="978"/>
      <c r="ID305" s="978"/>
      <c r="IE305" s="978"/>
      <c r="IF305" s="978"/>
      <c r="IG305" s="978"/>
      <c r="IH305" s="978"/>
      <c r="II305" s="978"/>
      <c r="IJ305" s="978"/>
      <c r="IK305" s="978"/>
      <c r="IL305" s="978"/>
      <c r="IM305" s="978"/>
      <c r="IN305" s="978"/>
      <c r="IO305" s="978"/>
      <c r="IP305" s="978"/>
      <c r="IQ305" s="978"/>
      <c r="IR305" s="978"/>
      <c r="IS305" s="978"/>
      <c r="IT305" s="978"/>
      <c r="IU305" s="978"/>
      <c r="IV305" s="978"/>
      <c r="IW305" s="978"/>
      <c r="IX305" s="978"/>
      <c r="IY305" s="978"/>
      <c r="IZ305" s="978"/>
      <c r="JA305" s="978"/>
      <c r="JB305" s="978"/>
      <c r="JC305" s="978"/>
      <c r="JD305" s="978"/>
      <c r="JE305" s="978"/>
      <c r="JF305" s="978"/>
      <c r="JG305" s="978"/>
      <c r="JH305" s="978"/>
      <c r="JI305" s="978"/>
      <c r="JJ305" s="978"/>
      <c r="JK305" s="978"/>
      <c r="JL305" s="978"/>
      <c r="JM305" s="978"/>
      <c r="JN305" s="978"/>
      <c r="JO305" s="978"/>
      <c r="JP305" s="978"/>
      <c r="JQ305" s="978"/>
      <c r="JR305" s="978"/>
      <c r="JS305" s="978"/>
      <c r="JT305" s="978"/>
      <c r="JU305" s="978"/>
      <c r="JV305" s="978"/>
      <c r="JW305" s="978"/>
      <c r="JX305" s="978"/>
      <c r="JY305" s="978"/>
      <c r="JZ305" s="978"/>
      <c r="KA305" s="978"/>
      <c r="KB305" s="978"/>
      <c r="KC305" s="978"/>
      <c r="KD305" s="978"/>
      <c r="KE305" s="978"/>
      <c r="KF305" s="978"/>
      <c r="KG305" s="978"/>
      <c r="KH305" s="978"/>
      <c r="KI305" s="978"/>
      <c r="KJ305" s="978"/>
      <c r="KK305" s="978"/>
      <c r="KL305" s="978"/>
      <c r="KM305" s="978"/>
      <c r="KN305" s="978"/>
      <c r="KO305" s="978"/>
      <c r="KP305" s="978"/>
      <c r="KQ305" s="978"/>
      <c r="KR305" s="978"/>
      <c r="KS305" s="978"/>
      <c r="KT305" s="978"/>
      <c r="KU305" s="978"/>
      <c r="KV305" s="978"/>
      <c r="KW305" s="978"/>
      <c r="KX305" s="978"/>
      <c r="KY305" s="978"/>
      <c r="KZ305" s="978"/>
      <c r="LA305" s="978"/>
      <c r="LB305" s="978"/>
      <c r="LC305" s="978"/>
      <c r="LD305" s="978"/>
      <c r="LE305" s="978"/>
      <c r="LF305" s="978"/>
      <c r="LG305" s="978"/>
      <c r="LH305" s="978"/>
      <c r="LI305" s="978"/>
      <c r="LJ305" s="978"/>
      <c r="LK305" s="978"/>
      <c r="LL305" s="978"/>
      <c r="LM305" s="978"/>
      <c r="LN305" s="978"/>
      <c r="LO305" s="978"/>
      <c r="LP305" s="978"/>
      <c r="LQ305" s="978"/>
      <c r="LR305" s="978"/>
      <c r="LS305" s="978"/>
      <c r="LT305" s="978"/>
      <c r="LU305" s="978"/>
      <c r="LV305" s="978"/>
      <c r="LW305" s="978"/>
      <c r="LX305" s="978"/>
      <c r="LY305" s="978"/>
      <c r="LZ305" s="978"/>
      <c r="MA305" s="978"/>
      <c r="MB305" s="978"/>
      <c r="MC305" s="978"/>
      <c r="MD305" s="978"/>
      <c r="ME305" s="978"/>
      <c r="MF305" s="978"/>
      <c r="MG305" s="978"/>
      <c r="MH305" s="978"/>
      <c r="MI305" s="978"/>
      <c r="MJ305" s="978"/>
      <c r="MK305" s="978"/>
      <c r="ML305" s="978"/>
      <c r="MM305" s="978"/>
      <c r="MN305" s="978"/>
      <c r="MO305" s="978"/>
      <c r="MP305" s="978"/>
      <c r="MQ305" s="978"/>
      <c r="MR305" s="978"/>
      <c r="MS305" s="978"/>
      <c r="MT305" s="978"/>
      <c r="MU305" s="978"/>
      <c r="MV305" s="978"/>
      <c r="MW305" s="978"/>
      <c r="MX305" s="978"/>
      <c r="MY305" s="978"/>
      <c r="MZ305" s="978"/>
      <c r="NA305" s="978"/>
      <c r="NB305" s="978"/>
      <c r="NC305" s="978"/>
      <c r="ND305" s="978"/>
      <c r="NE305" s="978"/>
      <c r="NF305" s="978"/>
      <c r="NG305" s="978"/>
      <c r="NH305" s="978"/>
      <c r="NI305" s="978"/>
      <c r="NJ305" s="978"/>
      <c r="NK305" s="978"/>
      <c r="NL305" s="978"/>
      <c r="NM305" s="978"/>
      <c r="NN305" s="978"/>
      <c r="NO305" s="978"/>
      <c r="NP305" s="978"/>
      <c r="NQ305" s="978"/>
      <c r="NR305" s="978"/>
      <c r="NS305" s="978"/>
      <c r="NT305" s="978"/>
      <c r="NU305" s="978"/>
      <c r="NV305" s="978"/>
      <c r="NW305" s="978"/>
      <c r="NX305" s="978"/>
      <c r="NY305" s="978"/>
      <c r="NZ305" s="978"/>
      <c r="OA305" s="978"/>
      <c r="OB305" s="978"/>
      <c r="OC305" s="978"/>
      <c r="OD305" s="978"/>
      <c r="OE305" s="978"/>
      <c r="OF305" s="978"/>
      <c r="OG305" s="978"/>
      <c r="OH305" s="978"/>
      <c r="OI305" s="978"/>
      <c r="OJ305" s="978"/>
      <c r="OK305" s="978"/>
      <c r="OL305" s="978"/>
      <c r="OM305" s="978"/>
      <c r="ON305" s="978"/>
      <c r="OO305" s="978"/>
      <c r="OP305" s="978"/>
      <c r="OQ305" s="978"/>
      <c r="OR305" s="978"/>
      <c r="OS305" s="978"/>
      <c r="OT305" s="978"/>
      <c r="OU305" s="978"/>
      <c r="OV305" s="978"/>
      <c r="OW305" s="978"/>
      <c r="OX305" s="978"/>
      <c r="OY305" s="978"/>
      <c r="OZ305" s="978"/>
      <c r="PA305" s="978"/>
      <c r="PB305" s="978"/>
      <c r="PC305" s="978"/>
      <c r="PD305" s="978"/>
      <c r="PE305" s="978"/>
      <c r="PF305" s="978"/>
      <c r="PG305" s="978"/>
      <c r="PH305" s="978"/>
      <c r="PI305" s="978"/>
      <c r="PJ305" s="978"/>
      <c r="PK305" s="978"/>
      <c r="PL305" s="978"/>
      <c r="PM305" s="978"/>
      <c r="PN305" s="978"/>
      <c r="PO305" s="978"/>
      <c r="PP305" s="978"/>
      <c r="PQ305" s="978"/>
      <c r="PR305" s="978"/>
      <c r="PS305" s="978"/>
      <c r="PT305" s="978"/>
      <c r="PU305" s="978"/>
      <c r="PV305" s="978"/>
      <c r="PW305" s="978"/>
      <c r="PX305" s="978"/>
      <c r="PY305" s="978"/>
      <c r="PZ305" s="978"/>
      <c r="QA305" s="978"/>
      <c r="QB305" s="978"/>
      <c r="QC305" s="978"/>
      <c r="QD305" s="978"/>
      <c r="QE305" s="978"/>
      <c r="QF305" s="978"/>
      <c r="QG305" s="978"/>
      <c r="QH305" s="978"/>
      <c r="QI305" s="978"/>
      <c r="QJ305" s="978"/>
      <c r="QK305" s="978"/>
      <c r="QL305" s="978"/>
      <c r="QM305" s="978"/>
      <c r="QN305" s="978"/>
      <c r="QO305" s="978"/>
      <c r="QP305" s="978"/>
      <c r="QQ305" s="978"/>
      <c r="QR305" s="978"/>
      <c r="QS305" s="978"/>
      <c r="QT305" s="978"/>
      <c r="QU305" s="978"/>
      <c r="QV305" s="978"/>
      <c r="QW305" s="978"/>
      <c r="QX305" s="978"/>
      <c r="QY305" s="978"/>
      <c r="QZ305" s="978"/>
      <c r="RA305" s="978"/>
      <c r="RB305" s="274"/>
      <c r="RC305" s="274"/>
    </row>
    <row r="306" spans="112:471" ht="17.25">
      <c r="DH306" s="274"/>
      <c r="DI306" s="274"/>
      <c r="DJ306" s="978"/>
      <c r="DK306" s="978"/>
      <c r="DL306" s="978"/>
      <c r="DM306" s="978"/>
      <c r="DN306" s="978"/>
      <c r="DO306" s="978"/>
      <c r="DP306" s="978"/>
      <c r="DQ306" s="978"/>
      <c r="DR306" s="978"/>
      <c r="DS306" s="978"/>
      <c r="DT306" s="978"/>
      <c r="DU306" s="978"/>
      <c r="DV306" s="978"/>
      <c r="DW306" s="978"/>
      <c r="DX306" s="978"/>
      <c r="DY306" s="978"/>
      <c r="DZ306" s="978"/>
      <c r="EA306" s="978"/>
      <c r="EB306" s="978"/>
      <c r="EC306" s="978"/>
      <c r="ED306" s="978"/>
      <c r="EE306" s="978"/>
      <c r="EF306" s="978"/>
      <c r="EG306" s="978"/>
      <c r="EH306" s="978"/>
      <c r="EI306" s="978"/>
      <c r="EJ306" s="978"/>
      <c r="EK306" s="978"/>
      <c r="EL306" s="978"/>
      <c r="EM306" s="978"/>
      <c r="EN306" s="978"/>
      <c r="EO306" s="978"/>
      <c r="EP306" s="978"/>
      <c r="EQ306" s="978"/>
      <c r="ER306" s="978"/>
      <c r="ES306" s="978"/>
      <c r="ET306" s="978"/>
      <c r="EU306" s="978"/>
      <c r="EV306" s="978"/>
      <c r="EW306" s="978"/>
      <c r="EX306" s="978"/>
      <c r="EY306" s="978"/>
      <c r="EZ306" s="978"/>
      <c r="FA306" s="978"/>
      <c r="FB306" s="978"/>
      <c r="FC306" s="978"/>
      <c r="FD306" s="978"/>
      <c r="FE306" s="978"/>
      <c r="FF306" s="978"/>
      <c r="FG306" s="978"/>
      <c r="FH306" s="978"/>
      <c r="FI306" s="978"/>
      <c r="FJ306" s="978"/>
      <c r="FK306" s="978"/>
      <c r="FL306" s="978"/>
      <c r="FM306" s="978"/>
      <c r="FN306" s="978"/>
      <c r="FO306" s="978"/>
      <c r="FP306" s="978"/>
      <c r="FQ306" s="978"/>
      <c r="FR306" s="978"/>
      <c r="FS306" s="978"/>
      <c r="FT306" s="978"/>
      <c r="FU306" s="978"/>
      <c r="FV306" s="978"/>
      <c r="FW306" s="978"/>
      <c r="FX306" s="978"/>
      <c r="FY306" s="978"/>
      <c r="FZ306" s="978"/>
      <c r="GA306" s="978"/>
      <c r="GB306" s="978"/>
      <c r="GC306" s="978"/>
      <c r="GD306" s="978"/>
      <c r="GE306" s="978"/>
      <c r="GF306" s="978"/>
      <c r="GG306" s="978"/>
      <c r="GH306" s="978"/>
      <c r="GI306" s="978"/>
      <c r="GJ306" s="978"/>
      <c r="GK306" s="978"/>
      <c r="GL306" s="978"/>
      <c r="GM306" s="978"/>
      <c r="GN306" s="978"/>
      <c r="GO306" s="978"/>
      <c r="GP306" s="978"/>
      <c r="GQ306" s="978"/>
      <c r="GR306" s="978"/>
      <c r="GS306" s="978"/>
      <c r="GT306" s="978"/>
      <c r="GU306" s="978"/>
      <c r="GV306" s="978"/>
      <c r="GW306" s="978"/>
      <c r="GX306" s="978"/>
      <c r="GY306" s="978"/>
      <c r="GZ306" s="978"/>
      <c r="HA306" s="978"/>
      <c r="HB306" s="978"/>
      <c r="HC306" s="978"/>
      <c r="HD306" s="978"/>
      <c r="HE306" s="978"/>
      <c r="HF306" s="978"/>
      <c r="HG306" s="978"/>
      <c r="HH306" s="978"/>
      <c r="HI306" s="978"/>
      <c r="HJ306" s="978"/>
      <c r="HK306" s="978"/>
      <c r="HL306" s="978"/>
      <c r="HM306" s="978"/>
      <c r="HN306" s="978"/>
      <c r="HO306" s="978"/>
      <c r="HP306" s="978"/>
      <c r="HQ306" s="978"/>
      <c r="HR306" s="978"/>
      <c r="HS306" s="978"/>
      <c r="HT306" s="978"/>
      <c r="HU306" s="978"/>
      <c r="HV306" s="978"/>
      <c r="HW306" s="978"/>
      <c r="HX306" s="978"/>
      <c r="HY306" s="978"/>
      <c r="HZ306" s="978"/>
      <c r="IA306" s="978"/>
      <c r="IB306" s="978"/>
      <c r="IC306" s="978"/>
      <c r="ID306" s="978"/>
      <c r="IE306" s="978"/>
      <c r="IF306" s="978"/>
      <c r="IG306" s="978"/>
      <c r="IH306" s="978"/>
      <c r="II306" s="978"/>
      <c r="IJ306" s="978"/>
      <c r="IK306" s="978"/>
      <c r="IL306" s="978"/>
      <c r="IM306" s="978"/>
      <c r="IN306" s="978"/>
      <c r="IO306" s="978"/>
      <c r="IP306" s="978"/>
      <c r="IQ306" s="978"/>
      <c r="IR306" s="978"/>
      <c r="IS306" s="978"/>
      <c r="IT306" s="978"/>
      <c r="IU306" s="978"/>
      <c r="IV306" s="978"/>
      <c r="IW306" s="978"/>
      <c r="IX306" s="978"/>
      <c r="IY306" s="978"/>
      <c r="IZ306" s="978"/>
      <c r="JA306" s="978"/>
      <c r="JB306" s="978"/>
      <c r="JC306" s="978"/>
      <c r="JD306" s="978"/>
      <c r="JE306" s="978"/>
      <c r="JF306" s="978"/>
      <c r="JG306" s="978"/>
      <c r="JH306" s="978"/>
      <c r="JI306" s="978"/>
      <c r="JJ306" s="978"/>
      <c r="JK306" s="978"/>
      <c r="JL306" s="978"/>
      <c r="JM306" s="978"/>
      <c r="JN306" s="978"/>
      <c r="JO306" s="978"/>
      <c r="JP306" s="978"/>
      <c r="JQ306" s="978"/>
      <c r="JR306" s="978"/>
      <c r="JS306" s="978"/>
      <c r="JT306" s="978"/>
      <c r="JU306" s="978"/>
      <c r="JV306" s="978"/>
      <c r="JW306" s="978"/>
      <c r="JX306" s="978"/>
      <c r="JY306" s="978"/>
      <c r="JZ306" s="978"/>
      <c r="KA306" s="978"/>
      <c r="KB306" s="978"/>
      <c r="KC306" s="978"/>
      <c r="KD306" s="978"/>
      <c r="KE306" s="978"/>
      <c r="KF306" s="978"/>
      <c r="KG306" s="978"/>
      <c r="KH306" s="978"/>
      <c r="KI306" s="978"/>
      <c r="KJ306" s="978"/>
      <c r="KK306" s="978"/>
      <c r="KL306" s="978"/>
      <c r="KM306" s="978"/>
      <c r="KN306" s="978"/>
      <c r="KO306" s="978"/>
      <c r="KP306" s="978"/>
      <c r="KQ306" s="978"/>
      <c r="KR306" s="978"/>
      <c r="KS306" s="978"/>
      <c r="KT306" s="978"/>
      <c r="KU306" s="978"/>
      <c r="KV306" s="978"/>
      <c r="KW306" s="978"/>
      <c r="KX306" s="978"/>
      <c r="KY306" s="978"/>
      <c r="KZ306" s="978"/>
      <c r="LA306" s="978"/>
      <c r="LB306" s="978"/>
      <c r="LC306" s="978"/>
      <c r="LD306" s="978"/>
      <c r="LE306" s="978"/>
      <c r="LF306" s="978"/>
      <c r="LG306" s="978"/>
      <c r="LH306" s="978"/>
      <c r="LI306" s="978"/>
      <c r="LJ306" s="978"/>
      <c r="LK306" s="978"/>
      <c r="LL306" s="978"/>
      <c r="LM306" s="978"/>
      <c r="LN306" s="978"/>
      <c r="LO306" s="978"/>
      <c r="LP306" s="978"/>
      <c r="LQ306" s="978"/>
      <c r="LR306" s="978"/>
      <c r="LS306" s="978"/>
      <c r="LT306" s="978"/>
      <c r="LU306" s="978"/>
      <c r="LV306" s="978"/>
      <c r="LW306" s="978"/>
      <c r="LX306" s="978"/>
      <c r="LY306" s="978"/>
      <c r="LZ306" s="978"/>
      <c r="MA306" s="978"/>
      <c r="MB306" s="978"/>
      <c r="MC306" s="978"/>
      <c r="MD306" s="978"/>
      <c r="ME306" s="978"/>
      <c r="MF306" s="978"/>
      <c r="MG306" s="978"/>
      <c r="MH306" s="978"/>
      <c r="MI306" s="978"/>
      <c r="MJ306" s="978"/>
      <c r="MK306" s="978"/>
      <c r="ML306" s="978"/>
      <c r="MM306" s="978"/>
      <c r="MN306" s="978"/>
      <c r="MO306" s="978"/>
      <c r="MP306" s="978"/>
      <c r="MQ306" s="978"/>
      <c r="MR306" s="978"/>
      <c r="MS306" s="978"/>
      <c r="MT306" s="978"/>
      <c r="MU306" s="978"/>
      <c r="MV306" s="978"/>
      <c r="MW306" s="978"/>
      <c r="MX306" s="978"/>
      <c r="MY306" s="978"/>
      <c r="MZ306" s="978"/>
      <c r="NA306" s="978"/>
      <c r="NB306" s="978"/>
      <c r="NC306" s="978"/>
      <c r="ND306" s="978"/>
      <c r="NE306" s="978"/>
      <c r="NF306" s="978"/>
      <c r="NG306" s="978"/>
      <c r="NH306" s="978"/>
      <c r="NI306" s="978"/>
      <c r="NJ306" s="978"/>
      <c r="NK306" s="978"/>
      <c r="NL306" s="978"/>
      <c r="NM306" s="978"/>
      <c r="NN306" s="978"/>
      <c r="NO306" s="978"/>
      <c r="NP306" s="978"/>
      <c r="NQ306" s="978"/>
      <c r="NR306" s="978"/>
      <c r="NS306" s="978"/>
      <c r="NT306" s="978"/>
      <c r="NU306" s="978"/>
      <c r="NV306" s="978"/>
      <c r="NW306" s="978"/>
      <c r="NX306" s="978"/>
      <c r="NY306" s="978"/>
      <c r="NZ306" s="978"/>
      <c r="OA306" s="978"/>
      <c r="OB306" s="978"/>
      <c r="OC306" s="978"/>
      <c r="OD306" s="978"/>
      <c r="OE306" s="978"/>
      <c r="OF306" s="978"/>
      <c r="OG306" s="978"/>
      <c r="OH306" s="978"/>
      <c r="OI306" s="978"/>
      <c r="OJ306" s="978"/>
      <c r="OK306" s="978"/>
      <c r="OL306" s="978"/>
      <c r="OM306" s="978"/>
      <c r="ON306" s="978"/>
      <c r="OO306" s="978"/>
      <c r="OP306" s="978"/>
      <c r="OQ306" s="978"/>
      <c r="OR306" s="978"/>
      <c r="OS306" s="978"/>
      <c r="OT306" s="978"/>
      <c r="OU306" s="978"/>
      <c r="OV306" s="978"/>
      <c r="OW306" s="978"/>
      <c r="OX306" s="978"/>
      <c r="OY306" s="978"/>
      <c r="OZ306" s="978"/>
      <c r="PA306" s="978"/>
      <c r="PB306" s="978"/>
      <c r="PC306" s="978"/>
      <c r="PD306" s="978"/>
      <c r="PE306" s="978"/>
      <c r="PF306" s="978"/>
      <c r="PG306" s="978"/>
      <c r="PH306" s="978"/>
      <c r="PI306" s="978"/>
      <c r="PJ306" s="978"/>
      <c r="PK306" s="978"/>
      <c r="PL306" s="978"/>
      <c r="PM306" s="978"/>
      <c r="PN306" s="978"/>
      <c r="PO306" s="978"/>
      <c r="PP306" s="978"/>
      <c r="PQ306" s="978"/>
      <c r="PR306" s="978"/>
      <c r="PS306" s="978"/>
      <c r="PT306" s="978"/>
      <c r="PU306" s="978"/>
      <c r="PV306" s="978"/>
      <c r="PW306" s="978"/>
      <c r="PX306" s="978"/>
      <c r="PY306" s="978"/>
      <c r="PZ306" s="978"/>
      <c r="QA306" s="978"/>
      <c r="QB306" s="978"/>
      <c r="QC306" s="978"/>
      <c r="QD306" s="978"/>
      <c r="QE306" s="978"/>
      <c r="QF306" s="978"/>
      <c r="QG306" s="978"/>
      <c r="QH306" s="978"/>
      <c r="QI306" s="978"/>
      <c r="QJ306" s="978"/>
      <c r="QK306" s="978"/>
      <c r="QL306" s="978"/>
      <c r="QM306" s="978"/>
      <c r="QN306" s="978"/>
      <c r="QO306" s="978"/>
      <c r="QP306" s="978"/>
      <c r="QQ306" s="978"/>
      <c r="QR306" s="978"/>
      <c r="QS306" s="978"/>
      <c r="QT306" s="978"/>
      <c r="QU306" s="978"/>
      <c r="QV306" s="978"/>
      <c r="QW306" s="978"/>
      <c r="QX306" s="978"/>
      <c r="QY306" s="978"/>
      <c r="QZ306" s="978"/>
      <c r="RA306" s="978"/>
      <c r="RB306" s="274"/>
      <c r="RC306" s="274"/>
    </row>
    <row r="307" spans="112:471">
      <c r="DH307" s="274"/>
      <c r="DI307" s="274"/>
      <c r="DJ307" s="274"/>
      <c r="DK307" s="274"/>
      <c r="DL307" s="274"/>
      <c r="DM307" s="274"/>
      <c r="DN307" s="274"/>
      <c r="DO307" s="274"/>
      <c r="DP307" s="274"/>
      <c r="DQ307" s="274"/>
      <c r="DR307" s="274"/>
      <c r="DS307" s="274"/>
      <c r="DT307" s="274"/>
      <c r="DU307" s="274"/>
      <c r="DV307" s="274"/>
      <c r="DW307" s="274"/>
      <c r="DX307" s="274"/>
      <c r="DY307" s="274"/>
      <c r="DZ307" s="274"/>
      <c r="EA307" s="274"/>
      <c r="EB307" s="274"/>
      <c r="EC307" s="274"/>
      <c r="ED307" s="274"/>
      <c r="EE307" s="274"/>
      <c r="EF307" s="274"/>
      <c r="EG307" s="274"/>
      <c r="EH307" s="274"/>
      <c r="EI307" s="274"/>
      <c r="EJ307" s="274"/>
      <c r="EK307" s="274"/>
      <c r="EL307" s="274"/>
      <c r="EM307" s="274"/>
      <c r="EN307" s="274"/>
      <c r="EO307" s="274"/>
      <c r="EP307" s="274"/>
      <c r="EQ307" s="274"/>
      <c r="ER307" s="274"/>
      <c r="ES307" s="274"/>
      <c r="ET307" s="274"/>
      <c r="EU307" s="274"/>
      <c r="EV307" s="274"/>
      <c r="EW307" s="274"/>
      <c r="EX307" s="274"/>
      <c r="EY307" s="274"/>
      <c r="EZ307" s="274"/>
      <c r="FA307" s="274"/>
      <c r="FB307" s="274"/>
      <c r="FC307" s="274"/>
      <c r="FD307" s="274"/>
      <c r="FE307" s="274"/>
      <c r="FF307" s="274"/>
      <c r="FG307" s="274"/>
      <c r="FH307" s="274"/>
      <c r="FI307" s="274"/>
      <c r="FJ307" s="274"/>
      <c r="FK307" s="274"/>
      <c r="FL307" s="274"/>
      <c r="FM307" s="274"/>
      <c r="FN307" s="274"/>
      <c r="FO307" s="274"/>
      <c r="FP307" s="274"/>
      <c r="FQ307" s="274"/>
      <c r="FR307" s="274"/>
      <c r="FS307" s="274"/>
      <c r="FT307" s="274"/>
      <c r="FU307" s="274"/>
      <c r="FV307" s="274"/>
      <c r="FW307" s="274"/>
      <c r="FX307" s="274"/>
      <c r="FY307" s="274"/>
      <c r="FZ307" s="274"/>
      <c r="GA307" s="274"/>
      <c r="GB307" s="274"/>
      <c r="GC307" s="274"/>
      <c r="GD307" s="274"/>
      <c r="GE307" s="274"/>
      <c r="GF307" s="274"/>
      <c r="GG307" s="274"/>
      <c r="GH307" s="274"/>
      <c r="GI307" s="274"/>
      <c r="GJ307" s="274"/>
      <c r="GK307" s="274"/>
      <c r="GL307" s="274"/>
      <c r="GM307" s="274"/>
      <c r="GN307" s="274"/>
      <c r="GO307" s="274"/>
      <c r="GP307" s="274"/>
      <c r="GQ307" s="274"/>
      <c r="GR307" s="274"/>
      <c r="GS307" s="274"/>
      <c r="GT307" s="274"/>
      <c r="GU307" s="274"/>
      <c r="GV307" s="274"/>
      <c r="GW307" s="274"/>
      <c r="GX307" s="274"/>
      <c r="GY307" s="274"/>
      <c r="GZ307" s="274"/>
      <c r="HA307" s="274"/>
      <c r="HB307" s="274"/>
      <c r="HC307" s="274"/>
      <c r="HD307" s="274"/>
      <c r="HE307" s="274"/>
      <c r="HF307" s="274"/>
      <c r="HG307" s="274"/>
      <c r="HH307" s="274"/>
      <c r="HI307" s="274"/>
      <c r="HJ307" s="274"/>
      <c r="HK307" s="274"/>
      <c r="HL307" s="274"/>
      <c r="HM307" s="274"/>
      <c r="HN307" s="274"/>
      <c r="HO307" s="274"/>
      <c r="HP307" s="274"/>
      <c r="HQ307" s="274"/>
      <c r="HR307" s="274"/>
      <c r="HS307" s="274"/>
      <c r="HT307" s="274"/>
      <c r="HU307" s="274"/>
      <c r="HV307" s="274"/>
      <c r="HW307" s="274"/>
      <c r="HX307" s="274"/>
      <c r="HY307" s="274"/>
      <c r="HZ307" s="274"/>
      <c r="IA307" s="274"/>
      <c r="IB307" s="274"/>
      <c r="IC307" s="274"/>
      <c r="ID307" s="274"/>
      <c r="IE307" s="274"/>
      <c r="IF307" s="274"/>
      <c r="IG307" s="274"/>
      <c r="IH307" s="274"/>
      <c r="II307" s="274"/>
      <c r="IJ307" s="274"/>
      <c r="IK307" s="274"/>
      <c r="IL307" s="274"/>
      <c r="IM307" s="274"/>
      <c r="IN307" s="274"/>
      <c r="IO307" s="274"/>
      <c r="IP307" s="274"/>
      <c r="IQ307" s="274"/>
      <c r="IR307" s="274"/>
      <c r="IS307" s="274"/>
      <c r="IT307" s="274"/>
      <c r="IU307" s="274"/>
      <c r="IV307" s="274"/>
      <c r="IW307" s="274"/>
      <c r="IX307" s="274"/>
      <c r="IY307" s="274"/>
      <c r="IZ307" s="274"/>
      <c r="JA307" s="274"/>
      <c r="JB307" s="274"/>
      <c r="JC307" s="274"/>
      <c r="JD307" s="274"/>
      <c r="JE307" s="274"/>
      <c r="JF307" s="274"/>
      <c r="JG307" s="274"/>
      <c r="JH307" s="274"/>
      <c r="JI307" s="274"/>
      <c r="JJ307" s="274"/>
      <c r="JK307" s="274"/>
      <c r="JL307" s="274"/>
      <c r="JM307" s="274"/>
      <c r="JN307" s="274"/>
      <c r="JO307" s="274"/>
      <c r="JP307" s="274"/>
      <c r="JQ307" s="274"/>
      <c r="JR307" s="274"/>
      <c r="JS307" s="274"/>
      <c r="JT307" s="274"/>
      <c r="JU307" s="274"/>
      <c r="JV307" s="274"/>
      <c r="JW307" s="274"/>
      <c r="JX307" s="274"/>
      <c r="JY307" s="274"/>
      <c r="JZ307" s="274"/>
      <c r="KA307" s="274"/>
      <c r="KB307" s="274"/>
      <c r="KC307" s="274"/>
      <c r="KD307" s="274"/>
      <c r="KE307" s="274"/>
      <c r="KF307" s="274"/>
      <c r="KG307" s="274"/>
      <c r="KH307" s="274"/>
      <c r="KI307" s="274"/>
      <c r="KJ307" s="274"/>
      <c r="KK307" s="274"/>
      <c r="KL307" s="274"/>
      <c r="KM307" s="274"/>
      <c r="KN307" s="274"/>
      <c r="KO307" s="274"/>
      <c r="KP307" s="274"/>
      <c r="KQ307" s="274"/>
      <c r="KR307" s="274"/>
      <c r="KS307" s="274"/>
      <c r="KT307" s="274"/>
      <c r="KU307" s="274"/>
      <c r="KV307" s="274"/>
      <c r="KW307" s="274"/>
      <c r="KX307" s="274"/>
      <c r="KY307" s="274"/>
      <c r="KZ307" s="274"/>
      <c r="LA307" s="274"/>
      <c r="LB307" s="274"/>
      <c r="LC307" s="274"/>
      <c r="LD307" s="274"/>
      <c r="LE307" s="274"/>
      <c r="LF307" s="274"/>
      <c r="LG307" s="274"/>
      <c r="LH307" s="274"/>
      <c r="LI307" s="274"/>
      <c r="LJ307" s="274"/>
      <c r="LK307" s="274"/>
      <c r="LL307" s="274"/>
      <c r="LM307" s="274"/>
      <c r="LN307" s="274"/>
      <c r="LO307" s="274"/>
      <c r="LP307" s="274"/>
      <c r="LQ307" s="274"/>
      <c r="LR307" s="274"/>
      <c r="LS307" s="274"/>
      <c r="LT307" s="274"/>
      <c r="LU307" s="274"/>
      <c r="LV307" s="274"/>
      <c r="LW307" s="274"/>
      <c r="LX307" s="274"/>
      <c r="LY307" s="274"/>
      <c r="LZ307" s="274"/>
      <c r="MA307" s="274"/>
      <c r="MB307" s="274"/>
      <c r="MC307" s="274"/>
      <c r="MD307" s="274"/>
      <c r="ME307" s="274"/>
      <c r="MF307" s="274"/>
      <c r="MG307" s="274"/>
      <c r="MH307" s="274"/>
      <c r="MI307" s="274"/>
      <c r="MJ307" s="274"/>
      <c r="MK307" s="274"/>
      <c r="ML307" s="274"/>
      <c r="MM307" s="274"/>
      <c r="MN307" s="274"/>
      <c r="MO307" s="274"/>
      <c r="MP307" s="274"/>
      <c r="MQ307" s="274"/>
      <c r="MR307" s="274"/>
      <c r="MS307" s="274"/>
      <c r="MT307" s="274"/>
      <c r="MU307" s="274"/>
      <c r="MV307" s="274"/>
      <c r="MW307" s="274"/>
      <c r="MX307" s="274"/>
      <c r="MY307" s="274"/>
      <c r="MZ307" s="274"/>
      <c r="NA307" s="274"/>
      <c r="NB307" s="274"/>
      <c r="NC307" s="274"/>
      <c r="ND307" s="274"/>
      <c r="NE307" s="274"/>
      <c r="NF307" s="274"/>
      <c r="NG307" s="274"/>
      <c r="NH307" s="274"/>
      <c r="NI307" s="274"/>
      <c r="NJ307" s="274"/>
      <c r="NK307" s="274"/>
      <c r="NL307" s="274"/>
      <c r="NM307" s="274"/>
      <c r="NN307" s="274"/>
      <c r="NO307" s="274"/>
      <c r="NP307" s="274"/>
      <c r="NQ307" s="274"/>
      <c r="NR307" s="274"/>
      <c r="NS307" s="274"/>
      <c r="NT307" s="274"/>
      <c r="NU307" s="274"/>
      <c r="NV307" s="274"/>
      <c r="NW307" s="274"/>
      <c r="NX307" s="274"/>
      <c r="NY307" s="274"/>
      <c r="NZ307" s="274"/>
      <c r="OA307" s="274"/>
      <c r="OB307" s="274"/>
      <c r="OC307" s="274"/>
      <c r="OD307" s="274"/>
      <c r="OE307" s="274"/>
      <c r="OF307" s="274"/>
      <c r="OG307" s="274"/>
      <c r="OH307" s="274"/>
      <c r="OI307" s="274"/>
      <c r="OJ307" s="274"/>
      <c r="OK307" s="274"/>
      <c r="OL307" s="274"/>
      <c r="OM307" s="274"/>
      <c r="ON307" s="274"/>
      <c r="OO307" s="274"/>
      <c r="OP307" s="274"/>
      <c r="OQ307" s="274"/>
      <c r="OR307" s="274"/>
      <c r="OS307" s="274"/>
      <c r="OT307" s="274"/>
      <c r="OU307" s="274"/>
      <c r="OV307" s="274"/>
      <c r="OW307" s="274"/>
      <c r="OX307" s="274"/>
      <c r="OY307" s="274"/>
      <c r="OZ307" s="274"/>
      <c r="PA307" s="274"/>
      <c r="PB307" s="274"/>
      <c r="PC307" s="274"/>
      <c r="PD307" s="274"/>
      <c r="PE307" s="274"/>
      <c r="PF307" s="274"/>
      <c r="PG307" s="274"/>
      <c r="PH307" s="274"/>
      <c r="PI307" s="274"/>
      <c r="PJ307" s="274"/>
      <c r="PK307" s="274"/>
      <c r="PL307" s="274"/>
      <c r="PM307" s="274"/>
      <c r="PN307" s="274"/>
      <c r="PO307" s="274"/>
      <c r="PP307" s="274"/>
      <c r="PQ307" s="274"/>
      <c r="PR307" s="274"/>
      <c r="PS307" s="274"/>
      <c r="PT307" s="274"/>
      <c r="PU307" s="274"/>
      <c r="PV307" s="274"/>
      <c r="PW307" s="274"/>
      <c r="PX307" s="274"/>
      <c r="PY307" s="274"/>
      <c r="PZ307" s="274"/>
      <c r="QA307" s="274"/>
      <c r="QB307" s="274"/>
      <c r="QC307" s="274"/>
      <c r="QD307" s="274"/>
      <c r="QE307" s="274"/>
      <c r="QF307" s="274"/>
      <c r="QG307" s="274"/>
      <c r="QH307" s="274"/>
      <c r="QI307" s="274"/>
      <c r="QJ307" s="274"/>
      <c r="QK307" s="274"/>
      <c r="QL307" s="274"/>
      <c r="QM307" s="274"/>
      <c r="QN307" s="274"/>
      <c r="QO307" s="274"/>
      <c r="QP307" s="274"/>
      <c r="QQ307" s="274"/>
      <c r="QR307" s="274"/>
      <c r="QS307" s="274"/>
      <c r="QT307" s="274"/>
      <c r="QU307" s="274"/>
      <c r="QV307" s="274"/>
      <c r="QW307" s="274"/>
      <c r="QX307" s="274"/>
      <c r="QY307" s="274"/>
      <c r="QZ307" s="274"/>
      <c r="RA307" s="274"/>
      <c r="RB307" s="274"/>
      <c r="RC307" s="274"/>
    </row>
    <row r="308" spans="112:471">
      <c r="DH308" s="274"/>
      <c r="DI308" s="274"/>
      <c r="DJ308" s="274"/>
      <c r="DK308" s="274"/>
      <c r="DL308" s="274"/>
      <c r="DM308" s="274"/>
      <c r="DN308" s="274"/>
      <c r="DO308" s="274"/>
      <c r="DP308" s="274"/>
      <c r="DQ308" s="274"/>
      <c r="DR308" s="274"/>
      <c r="DS308" s="274"/>
      <c r="DT308" s="274"/>
      <c r="DU308" s="274"/>
      <c r="DV308" s="274"/>
      <c r="DW308" s="274"/>
      <c r="DX308" s="274"/>
      <c r="DY308" s="274"/>
      <c r="DZ308" s="274"/>
      <c r="EA308" s="274"/>
      <c r="EB308" s="274"/>
      <c r="EC308" s="274"/>
      <c r="ED308" s="274"/>
      <c r="EE308" s="274"/>
      <c r="EF308" s="274"/>
      <c r="EG308" s="274"/>
      <c r="EH308" s="274"/>
      <c r="EI308" s="274"/>
      <c r="EJ308" s="274"/>
      <c r="EK308" s="274"/>
      <c r="EL308" s="274"/>
      <c r="EM308" s="274"/>
      <c r="EN308" s="274"/>
      <c r="EO308" s="274"/>
      <c r="EP308" s="274"/>
      <c r="EQ308" s="274"/>
      <c r="ER308" s="274"/>
      <c r="ES308" s="274"/>
      <c r="ET308" s="274"/>
      <c r="EU308" s="274"/>
      <c r="EV308" s="274"/>
      <c r="EW308" s="274"/>
      <c r="EX308" s="274"/>
      <c r="EY308" s="274"/>
      <c r="EZ308" s="274"/>
      <c r="FA308" s="274"/>
      <c r="FB308" s="274"/>
      <c r="FC308" s="274"/>
      <c r="FD308" s="274"/>
      <c r="FE308" s="274"/>
      <c r="FF308" s="274"/>
      <c r="FG308" s="274"/>
      <c r="FH308" s="274"/>
      <c r="FI308" s="274"/>
      <c r="FJ308" s="274"/>
      <c r="FK308" s="274"/>
      <c r="FL308" s="274"/>
      <c r="FM308" s="274"/>
      <c r="FN308" s="274"/>
      <c r="FO308" s="274"/>
      <c r="FP308" s="274"/>
      <c r="FQ308" s="274"/>
      <c r="FR308" s="274"/>
      <c r="FS308" s="274"/>
      <c r="FT308" s="274"/>
      <c r="FU308" s="274"/>
      <c r="FV308" s="274"/>
      <c r="FW308" s="274"/>
      <c r="FX308" s="274"/>
      <c r="FY308" s="274"/>
      <c r="FZ308" s="274"/>
      <c r="GA308" s="274"/>
      <c r="GB308" s="274"/>
      <c r="GC308" s="274"/>
      <c r="GD308" s="274"/>
      <c r="GE308" s="274"/>
      <c r="GF308" s="274"/>
      <c r="GG308" s="274"/>
      <c r="GH308" s="274"/>
      <c r="GI308" s="274"/>
      <c r="GJ308" s="274"/>
      <c r="GK308" s="274"/>
      <c r="GL308" s="274"/>
      <c r="GM308" s="274"/>
      <c r="GN308" s="274"/>
      <c r="GO308" s="274"/>
      <c r="GP308" s="274"/>
      <c r="GQ308" s="274"/>
      <c r="GR308" s="274"/>
      <c r="GS308" s="274"/>
      <c r="GT308" s="274"/>
      <c r="GU308" s="274"/>
      <c r="GV308" s="274"/>
      <c r="GW308" s="274"/>
      <c r="GX308" s="274"/>
      <c r="GY308" s="274"/>
      <c r="GZ308" s="274"/>
      <c r="HA308" s="274"/>
      <c r="HB308" s="274"/>
      <c r="HC308" s="274"/>
      <c r="HD308" s="274"/>
      <c r="HE308" s="274"/>
      <c r="HF308" s="274"/>
      <c r="HG308" s="274"/>
      <c r="HH308" s="274"/>
      <c r="HI308" s="274"/>
      <c r="HJ308" s="274"/>
      <c r="HK308" s="274"/>
      <c r="HL308" s="274"/>
      <c r="HM308" s="274"/>
      <c r="HN308" s="274"/>
      <c r="HO308" s="274"/>
      <c r="HP308" s="274"/>
      <c r="HQ308" s="274"/>
      <c r="HR308" s="274"/>
      <c r="HS308" s="274"/>
      <c r="HT308" s="274"/>
      <c r="HU308" s="274"/>
      <c r="HV308" s="274"/>
      <c r="HW308" s="274"/>
      <c r="HX308" s="274"/>
      <c r="HY308" s="274"/>
      <c r="HZ308" s="274"/>
      <c r="IA308" s="274"/>
      <c r="IB308" s="274"/>
      <c r="IC308" s="274"/>
      <c r="ID308" s="274"/>
      <c r="IE308" s="274"/>
      <c r="IF308" s="274"/>
      <c r="IG308" s="274"/>
      <c r="IH308" s="274"/>
      <c r="II308" s="274"/>
      <c r="IJ308" s="274"/>
      <c r="IK308" s="274"/>
      <c r="IL308" s="274"/>
      <c r="IM308" s="274"/>
      <c r="IN308" s="274"/>
      <c r="IO308" s="274"/>
      <c r="IP308" s="274"/>
      <c r="IQ308" s="274"/>
      <c r="IR308" s="274"/>
      <c r="IS308" s="274"/>
      <c r="IT308" s="274"/>
      <c r="IU308" s="274"/>
      <c r="IV308" s="274"/>
      <c r="IW308" s="274"/>
      <c r="IX308" s="274"/>
      <c r="IY308" s="274"/>
      <c r="IZ308" s="274"/>
      <c r="JA308" s="274"/>
      <c r="JB308" s="274"/>
      <c r="JC308" s="274"/>
      <c r="JD308" s="274"/>
      <c r="JE308" s="274"/>
      <c r="JF308" s="274"/>
      <c r="JG308" s="274"/>
      <c r="JH308" s="274"/>
      <c r="JI308" s="274"/>
      <c r="JJ308" s="274"/>
      <c r="JK308" s="274"/>
      <c r="JL308" s="274"/>
      <c r="JM308" s="274"/>
      <c r="JN308" s="274"/>
      <c r="JO308" s="274"/>
      <c r="JP308" s="274"/>
      <c r="JQ308" s="274"/>
      <c r="JR308" s="274"/>
      <c r="JS308" s="274"/>
      <c r="JT308" s="274"/>
      <c r="JU308" s="274"/>
      <c r="JV308" s="274"/>
      <c r="JW308" s="274"/>
      <c r="JX308" s="274"/>
      <c r="JY308" s="274"/>
      <c r="JZ308" s="274"/>
      <c r="KA308" s="274"/>
      <c r="KB308" s="274"/>
      <c r="KC308" s="274"/>
      <c r="KD308" s="274"/>
      <c r="KE308" s="274"/>
      <c r="KF308" s="274"/>
      <c r="KG308" s="274"/>
      <c r="KH308" s="274"/>
      <c r="KI308" s="274"/>
      <c r="KJ308" s="274"/>
      <c r="KK308" s="274"/>
      <c r="KL308" s="274"/>
      <c r="KM308" s="274"/>
      <c r="KN308" s="274"/>
      <c r="KO308" s="274"/>
      <c r="KP308" s="274"/>
      <c r="KQ308" s="274"/>
      <c r="KR308" s="274"/>
      <c r="KS308" s="274"/>
      <c r="KT308" s="274"/>
      <c r="KU308" s="274"/>
      <c r="KV308" s="274"/>
      <c r="KW308" s="274"/>
      <c r="KX308" s="274"/>
      <c r="KY308" s="274"/>
      <c r="KZ308" s="274"/>
      <c r="LA308" s="274"/>
      <c r="LB308" s="274"/>
      <c r="LC308" s="274"/>
      <c r="LD308" s="274"/>
      <c r="LE308" s="274"/>
      <c r="LF308" s="274"/>
      <c r="LG308" s="274"/>
      <c r="LH308" s="274"/>
      <c r="LI308" s="274"/>
      <c r="LJ308" s="274"/>
      <c r="LK308" s="274"/>
      <c r="LL308" s="274"/>
      <c r="LM308" s="274"/>
      <c r="LN308" s="274"/>
      <c r="LO308" s="274"/>
      <c r="LP308" s="274"/>
      <c r="LQ308" s="274"/>
      <c r="LR308" s="274"/>
      <c r="LS308" s="274"/>
      <c r="LT308" s="274"/>
      <c r="LU308" s="274"/>
      <c r="LV308" s="274"/>
      <c r="LW308" s="274"/>
      <c r="LX308" s="274"/>
      <c r="LY308" s="274"/>
      <c r="LZ308" s="274"/>
      <c r="MA308" s="274"/>
      <c r="MB308" s="274"/>
      <c r="MC308" s="274"/>
      <c r="MD308" s="274"/>
      <c r="ME308" s="274"/>
      <c r="MF308" s="274"/>
      <c r="MG308" s="274"/>
      <c r="MH308" s="274"/>
      <c r="MI308" s="274"/>
      <c r="MJ308" s="274"/>
      <c r="MK308" s="274"/>
      <c r="ML308" s="274"/>
      <c r="MM308" s="274"/>
      <c r="MN308" s="274"/>
      <c r="MO308" s="274"/>
      <c r="MP308" s="274"/>
      <c r="MQ308" s="274"/>
      <c r="MR308" s="274"/>
      <c r="MS308" s="274"/>
      <c r="MT308" s="274"/>
      <c r="MU308" s="274"/>
      <c r="MV308" s="274"/>
      <c r="MW308" s="274"/>
      <c r="MX308" s="274"/>
      <c r="MY308" s="274"/>
      <c r="MZ308" s="274"/>
      <c r="NA308" s="274"/>
      <c r="NB308" s="274"/>
      <c r="NC308" s="274"/>
      <c r="ND308" s="274"/>
      <c r="NE308" s="274"/>
      <c r="NF308" s="274"/>
      <c r="NG308" s="274"/>
      <c r="NH308" s="274"/>
      <c r="NI308" s="274"/>
      <c r="NJ308" s="274"/>
      <c r="NK308" s="274"/>
      <c r="NL308" s="274"/>
      <c r="NM308" s="274"/>
      <c r="NN308" s="274"/>
      <c r="NO308" s="274"/>
      <c r="NP308" s="274"/>
      <c r="NQ308" s="274"/>
      <c r="NR308" s="274"/>
      <c r="NS308" s="274"/>
      <c r="NT308" s="274"/>
      <c r="NU308" s="274"/>
      <c r="NV308" s="274"/>
      <c r="NW308" s="274"/>
      <c r="NX308" s="274"/>
      <c r="NY308" s="274"/>
      <c r="NZ308" s="274"/>
      <c r="OA308" s="274"/>
      <c r="OB308" s="274"/>
      <c r="OC308" s="274"/>
      <c r="OD308" s="274"/>
      <c r="OE308" s="274"/>
      <c r="OF308" s="274"/>
      <c r="OG308" s="274"/>
      <c r="OH308" s="274"/>
      <c r="OI308" s="274"/>
      <c r="OJ308" s="274"/>
      <c r="OK308" s="274"/>
      <c r="OL308" s="274"/>
      <c r="OM308" s="274"/>
      <c r="ON308" s="274"/>
      <c r="OO308" s="274"/>
      <c r="OP308" s="274"/>
      <c r="OQ308" s="274"/>
      <c r="OR308" s="274"/>
      <c r="OS308" s="274"/>
      <c r="OT308" s="274"/>
      <c r="OU308" s="274"/>
      <c r="OV308" s="274"/>
      <c r="OW308" s="274"/>
      <c r="OX308" s="274"/>
      <c r="OY308" s="274"/>
      <c r="OZ308" s="274"/>
      <c r="PA308" s="274"/>
      <c r="PB308" s="274"/>
      <c r="PC308" s="274"/>
      <c r="PD308" s="274"/>
      <c r="PE308" s="274"/>
      <c r="PF308" s="274"/>
      <c r="PG308" s="274"/>
      <c r="PH308" s="274"/>
      <c r="PI308" s="274"/>
      <c r="PJ308" s="274"/>
      <c r="PK308" s="274"/>
      <c r="PL308" s="274"/>
      <c r="PM308" s="274"/>
      <c r="PN308" s="274"/>
      <c r="PO308" s="274"/>
      <c r="PP308" s="274"/>
      <c r="PQ308" s="274"/>
      <c r="PR308" s="274"/>
      <c r="PS308" s="274"/>
      <c r="PT308" s="274"/>
      <c r="PU308" s="274"/>
      <c r="PV308" s="274"/>
      <c r="PW308" s="274"/>
      <c r="PX308" s="274"/>
      <c r="PY308" s="274"/>
      <c r="PZ308" s="274"/>
      <c r="QA308" s="274"/>
      <c r="QB308" s="274"/>
      <c r="QC308" s="274"/>
      <c r="QD308" s="274"/>
      <c r="QE308" s="274"/>
      <c r="QF308" s="274"/>
      <c r="QG308" s="274"/>
      <c r="QH308" s="274"/>
      <c r="QI308" s="274"/>
      <c r="QJ308" s="274"/>
      <c r="QK308" s="274"/>
      <c r="QL308" s="274"/>
      <c r="QM308" s="274"/>
      <c r="QN308" s="274"/>
      <c r="QO308" s="274"/>
      <c r="QP308" s="274"/>
      <c r="QQ308" s="274"/>
      <c r="QR308" s="274"/>
      <c r="QS308" s="274"/>
      <c r="QT308" s="274"/>
      <c r="QU308" s="274"/>
      <c r="QV308" s="274"/>
      <c r="QW308" s="274"/>
      <c r="QX308" s="274"/>
      <c r="QY308" s="274"/>
      <c r="QZ308" s="274"/>
      <c r="RA308" s="274"/>
      <c r="RB308" s="274"/>
      <c r="RC308" s="274"/>
    </row>
    <row r="309" spans="112:471" ht="17.25">
      <c r="DH309" s="274"/>
      <c r="DI309" s="274"/>
      <c r="DJ309" s="978"/>
      <c r="DK309" s="274"/>
      <c r="DL309" s="274"/>
      <c r="DM309" s="274"/>
      <c r="DN309" s="274"/>
      <c r="DO309" s="274"/>
      <c r="DP309" s="274"/>
      <c r="DQ309" s="274"/>
      <c r="DR309" s="274"/>
      <c r="DS309" s="274"/>
      <c r="DT309" s="274"/>
      <c r="DU309" s="274"/>
      <c r="DV309" s="274"/>
      <c r="DW309" s="274"/>
      <c r="DX309" s="274"/>
      <c r="DY309" s="274"/>
      <c r="DZ309" s="274"/>
      <c r="EA309" s="274"/>
      <c r="EB309" s="274"/>
      <c r="EC309" s="274"/>
      <c r="ED309" s="274"/>
      <c r="EE309" s="274"/>
      <c r="EF309" s="274"/>
      <c r="EG309" s="274"/>
      <c r="EH309" s="274"/>
      <c r="EI309" s="274"/>
      <c r="EJ309" s="274"/>
      <c r="EK309" s="274"/>
      <c r="EL309" s="274"/>
      <c r="EM309" s="274"/>
      <c r="EN309" s="274"/>
      <c r="EO309" s="274"/>
      <c r="EP309" s="274"/>
      <c r="EQ309" s="274"/>
      <c r="ER309" s="274"/>
      <c r="ES309" s="274"/>
      <c r="ET309" s="274"/>
      <c r="EU309" s="274"/>
      <c r="EV309" s="274"/>
      <c r="EW309" s="274"/>
      <c r="EX309" s="274"/>
      <c r="EY309" s="274"/>
      <c r="EZ309" s="274"/>
      <c r="FA309" s="274"/>
      <c r="FB309" s="274"/>
      <c r="FC309" s="274"/>
      <c r="FD309" s="274"/>
      <c r="FE309" s="274"/>
      <c r="FF309" s="274"/>
      <c r="FG309" s="274"/>
      <c r="FH309" s="274"/>
      <c r="FI309" s="274"/>
      <c r="FJ309" s="274"/>
      <c r="FK309" s="274"/>
      <c r="FL309" s="274"/>
      <c r="FM309" s="274"/>
      <c r="FN309" s="274"/>
      <c r="FO309" s="274"/>
      <c r="FP309" s="274"/>
      <c r="FQ309" s="274"/>
      <c r="FR309" s="274"/>
      <c r="FS309" s="274"/>
      <c r="FT309" s="274"/>
      <c r="FU309" s="274"/>
      <c r="FV309" s="274"/>
      <c r="FW309" s="274"/>
      <c r="FX309" s="274"/>
      <c r="FY309" s="274"/>
      <c r="FZ309" s="274"/>
      <c r="GA309" s="274"/>
      <c r="GB309" s="274"/>
      <c r="GC309" s="274"/>
      <c r="GD309" s="274"/>
      <c r="GE309" s="274"/>
      <c r="GF309" s="274"/>
      <c r="GG309" s="274"/>
      <c r="GH309" s="274"/>
      <c r="GI309" s="274"/>
      <c r="GJ309" s="274"/>
      <c r="GK309" s="274"/>
      <c r="GL309" s="274"/>
      <c r="GM309" s="274"/>
      <c r="GN309" s="274"/>
      <c r="GO309" s="274"/>
      <c r="GP309" s="274"/>
      <c r="GQ309" s="274"/>
      <c r="GR309" s="274"/>
      <c r="GS309" s="274"/>
      <c r="GT309" s="274"/>
      <c r="GU309" s="274"/>
      <c r="GV309" s="274"/>
      <c r="GW309" s="274"/>
      <c r="GX309" s="274"/>
      <c r="GY309" s="274"/>
      <c r="GZ309" s="274"/>
      <c r="HA309" s="274"/>
      <c r="HB309" s="274"/>
      <c r="HC309" s="274"/>
      <c r="HD309" s="274"/>
      <c r="HE309" s="274"/>
      <c r="HF309" s="274"/>
      <c r="HG309" s="274"/>
      <c r="HH309" s="274"/>
      <c r="HI309" s="274"/>
      <c r="HJ309" s="274"/>
      <c r="HK309" s="274"/>
      <c r="HL309" s="274"/>
      <c r="HM309" s="274"/>
      <c r="HN309" s="274"/>
      <c r="HO309" s="274"/>
      <c r="HP309" s="274"/>
      <c r="HQ309" s="274"/>
      <c r="HR309" s="274"/>
      <c r="HS309" s="274"/>
      <c r="HT309" s="274"/>
      <c r="HU309" s="274"/>
      <c r="HV309" s="274"/>
      <c r="HW309" s="274"/>
      <c r="HX309" s="274"/>
      <c r="HY309" s="274"/>
      <c r="HZ309" s="274"/>
      <c r="IA309" s="274"/>
      <c r="IB309" s="274"/>
      <c r="IC309" s="274"/>
      <c r="ID309" s="274"/>
      <c r="IE309" s="274"/>
      <c r="IF309" s="274"/>
      <c r="IG309" s="274"/>
      <c r="IH309" s="274"/>
      <c r="II309" s="274"/>
      <c r="IJ309" s="274"/>
      <c r="IK309" s="274"/>
      <c r="IL309" s="274"/>
      <c r="IM309" s="274"/>
      <c r="IN309" s="274"/>
      <c r="IO309" s="274"/>
      <c r="IP309" s="274"/>
      <c r="IQ309" s="274"/>
      <c r="IR309" s="274"/>
      <c r="IS309" s="274"/>
      <c r="IT309" s="274"/>
      <c r="IU309" s="274"/>
      <c r="IV309" s="274"/>
      <c r="IW309" s="274"/>
      <c r="IX309" s="274"/>
      <c r="IY309" s="274"/>
      <c r="IZ309" s="274"/>
      <c r="JA309" s="274"/>
      <c r="JB309" s="274"/>
      <c r="JC309" s="274"/>
      <c r="JD309" s="274"/>
      <c r="JE309" s="274"/>
      <c r="JF309" s="274"/>
      <c r="JG309" s="274"/>
      <c r="JH309" s="274"/>
      <c r="JI309" s="274"/>
      <c r="JJ309" s="274"/>
      <c r="JK309" s="274"/>
      <c r="JL309" s="274"/>
      <c r="JM309" s="274"/>
      <c r="JN309" s="274"/>
      <c r="JO309" s="274"/>
      <c r="JP309" s="274"/>
      <c r="JQ309" s="274"/>
      <c r="JR309" s="274"/>
      <c r="JS309" s="274"/>
      <c r="JT309" s="274"/>
      <c r="JU309" s="274"/>
      <c r="JV309" s="274"/>
      <c r="JW309" s="274"/>
      <c r="JX309" s="274"/>
      <c r="JY309" s="274"/>
      <c r="JZ309" s="274"/>
      <c r="KA309" s="274"/>
      <c r="KB309" s="274"/>
      <c r="KC309" s="274"/>
      <c r="KD309" s="274"/>
      <c r="KE309" s="274"/>
      <c r="KF309" s="274"/>
      <c r="KG309" s="274"/>
      <c r="KH309" s="274"/>
      <c r="KI309" s="274"/>
      <c r="KJ309" s="274"/>
      <c r="KK309" s="274"/>
      <c r="KL309" s="274"/>
      <c r="KM309" s="274"/>
      <c r="KN309" s="274"/>
      <c r="KO309" s="274"/>
      <c r="KP309" s="274"/>
      <c r="KQ309" s="274"/>
      <c r="KR309" s="274"/>
      <c r="KS309" s="274"/>
      <c r="KT309" s="274"/>
      <c r="KU309" s="274"/>
      <c r="KV309" s="274"/>
      <c r="KW309" s="274"/>
      <c r="KX309" s="274"/>
      <c r="KY309" s="274"/>
      <c r="KZ309" s="274"/>
      <c r="LA309" s="274"/>
      <c r="LB309" s="274"/>
      <c r="LC309" s="274"/>
      <c r="LD309" s="274"/>
      <c r="LE309" s="274"/>
      <c r="LF309" s="274"/>
      <c r="LG309" s="274"/>
      <c r="LH309" s="274"/>
      <c r="LI309" s="274"/>
      <c r="LJ309" s="274"/>
      <c r="LK309" s="274"/>
      <c r="LL309" s="274"/>
      <c r="LM309" s="274"/>
      <c r="LN309" s="274"/>
      <c r="LO309" s="274"/>
      <c r="LP309" s="274"/>
      <c r="LQ309" s="274"/>
      <c r="LR309" s="274"/>
      <c r="LS309" s="274"/>
      <c r="LT309" s="274"/>
      <c r="LU309" s="274"/>
      <c r="LV309" s="274"/>
      <c r="LW309" s="274"/>
      <c r="LX309" s="274"/>
      <c r="LY309" s="274"/>
      <c r="LZ309" s="274"/>
      <c r="MA309" s="274"/>
      <c r="MB309" s="274"/>
      <c r="MC309" s="274"/>
      <c r="MD309" s="274"/>
      <c r="ME309" s="274"/>
      <c r="MF309" s="274"/>
      <c r="MG309" s="274"/>
      <c r="MH309" s="274"/>
      <c r="MI309" s="274"/>
      <c r="MJ309" s="274"/>
      <c r="MK309" s="274"/>
      <c r="ML309" s="274"/>
      <c r="MM309" s="274"/>
      <c r="MN309" s="274"/>
      <c r="MO309" s="274"/>
      <c r="MP309" s="274"/>
      <c r="MQ309" s="274"/>
      <c r="MR309" s="274"/>
      <c r="MS309" s="274"/>
      <c r="MT309" s="274"/>
      <c r="MU309" s="274"/>
      <c r="MV309" s="274"/>
      <c r="MW309" s="274"/>
      <c r="MX309" s="274"/>
      <c r="MY309" s="274"/>
      <c r="MZ309" s="274"/>
      <c r="NA309" s="274"/>
      <c r="NB309" s="274"/>
      <c r="NC309" s="274"/>
      <c r="ND309" s="274"/>
      <c r="NE309" s="274"/>
      <c r="NF309" s="274"/>
      <c r="NG309" s="274"/>
      <c r="NH309" s="274"/>
      <c r="NI309" s="274"/>
      <c r="NJ309" s="274"/>
      <c r="NK309" s="274"/>
      <c r="NL309" s="274"/>
      <c r="NM309" s="274"/>
      <c r="NN309" s="274"/>
      <c r="NO309" s="274"/>
      <c r="NP309" s="274"/>
      <c r="NQ309" s="274"/>
      <c r="NR309" s="274"/>
      <c r="NS309" s="274"/>
      <c r="NT309" s="274"/>
      <c r="NU309" s="274"/>
      <c r="NV309" s="274"/>
      <c r="NW309" s="274"/>
      <c r="NX309" s="274"/>
      <c r="NY309" s="274"/>
      <c r="NZ309" s="274"/>
      <c r="OA309" s="274"/>
      <c r="OB309" s="274"/>
      <c r="OC309" s="274"/>
      <c r="OD309" s="274"/>
      <c r="OE309" s="274"/>
      <c r="OF309" s="274"/>
      <c r="OG309" s="274"/>
      <c r="OH309" s="274"/>
      <c r="OI309" s="274"/>
      <c r="OJ309" s="274"/>
      <c r="OK309" s="274"/>
      <c r="OL309" s="274"/>
      <c r="OM309" s="274"/>
      <c r="ON309" s="274"/>
      <c r="OO309" s="274"/>
      <c r="OP309" s="274"/>
      <c r="OQ309" s="274"/>
      <c r="OR309" s="274"/>
      <c r="OS309" s="274"/>
      <c r="OT309" s="274"/>
      <c r="OU309" s="274"/>
      <c r="OV309" s="274"/>
      <c r="OW309" s="274"/>
      <c r="OX309" s="274"/>
      <c r="OY309" s="274"/>
      <c r="OZ309" s="274"/>
      <c r="PA309" s="274"/>
      <c r="PB309" s="274"/>
      <c r="PC309" s="274"/>
      <c r="PD309" s="274"/>
      <c r="PE309" s="274"/>
      <c r="PF309" s="274"/>
      <c r="PG309" s="274"/>
      <c r="PH309" s="274"/>
      <c r="PI309" s="274"/>
      <c r="PJ309" s="274"/>
      <c r="PK309" s="274"/>
      <c r="PL309" s="274"/>
      <c r="PM309" s="274"/>
      <c r="PN309" s="274"/>
      <c r="PO309" s="274"/>
      <c r="PP309" s="274"/>
      <c r="PQ309" s="274"/>
      <c r="PR309" s="274"/>
      <c r="PS309" s="274"/>
      <c r="PT309" s="274"/>
      <c r="PU309" s="274"/>
      <c r="PV309" s="274"/>
      <c r="PW309" s="274"/>
      <c r="PX309" s="274"/>
      <c r="PY309" s="274"/>
      <c r="PZ309" s="274"/>
      <c r="QA309" s="274"/>
      <c r="QB309" s="274"/>
      <c r="QC309" s="274"/>
      <c r="QD309" s="274"/>
      <c r="QE309" s="274"/>
      <c r="QF309" s="274"/>
      <c r="QG309" s="274"/>
      <c r="QH309" s="274"/>
      <c r="QI309" s="274"/>
      <c r="QJ309" s="274"/>
      <c r="QK309" s="274"/>
      <c r="QL309" s="274"/>
      <c r="QM309" s="274"/>
      <c r="QN309" s="274"/>
      <c r="QO309" s="274"/>
      <c r="QP309" s="274"/>
      <c r="QQ309" s="274"/>
      <c r="QR309" s="274"/>
      <c r="QS309" s="274"/>
      <c r="QT309" s="274"/>
      <c r="QU309" s="274"/>
      <c r="QV309" s="274"/>
      <c r="QW309" s="274"/>
      <c r="QX309" s="274"/>
      <c r="QY309" s="274"/>
      <c r="QZ309" s="274"/>
      <c r="RA309" s="274"/>
      <c r="RB309" s="274"/>
      <c r="RC309" s="274"/>
    </row>
    <row r="310" spans="112:471" ht="17.25">
      <c r="DH310" s="274"/>
      <c r="DI310" s="274"/>
      <c r="DJ310" s="978"/>
      <c r="DK310" s="978"/>
      <c r="DL310" s="978"/>
      <c r="DM310" s="978"/>
      <c r="DN310" s="978"/>
      <c r="DO310" s="978"/>
      <c r="DP310" s="978"/>
      <c r="DQ310" s="978"/>
      <c r="DR310" s="978"/>
      <c r="DS310" s="978"/>
      <c r="DT310" s="978"/>
      <c r="DU310" s="978"/>
      <c r="DV310" s="978"/>
      <c r="DW310" s="978"/>
      <c r="DX310" s="978"/>
      <c r="DY310" s="978"/>
      <c r="DZ310" s="978"/>
      <c r="EA310" s="978"/>
      <c r="EB310" s="978"/>
      <c r="EC310" s="978"/>
      <c r="ED310" s="978"/>
      <c r="EE310" s="978"/>
      <c r="EF310" s="978"/>
      <c r="EG310" s="978"/>
      <c r="EH310" s="978"/>
      <c r="EI310" s="978"/>
      <c r="EJ310" s="978"/>
      <c r="EK310" s="978"/>
      <c r="EL310" s="978"/>
      <c r="EM310" s="978"/>
      <c r="EN310" s="978"/>
      <c r="EO310" s="978"/>
      <c r="EP310" s="978"/>
      <c r="EQ310" s="978"/>
      <c r="ER310" s="978"/>
      <c r="ES310" s="978"/>
      <c r="ET310" s="978"/>
      <c r="EU310" s="978"/>
      <c r="EV310" s="978"/>
      <c r="EW310" s="978"/>
      <c r="EX310" s="978"/>
      <c r="EY310" s="978"/>
      <c r="EZ310" s="978"/>
      <c r="FA310" s="978"/>
      <c r="FB310" s="978"/>
      <c r="FC310" s="978"/>
      <c r="FD310" s="978"/>
      <c r="FE310" s="978"/>
      <c r="FF310" s="978"/>
      <c r="FG310" s="978"/>
      <c r="FH310" s="978"/>
      <c r="FI310" s="978"/>
      <c r="FJ310" s="978"/>
      <c r="FK310" s="978"/>
      <c r="FL310" s="978"/>
      <c r="FM310" s="978"/>
      <c r="FN310" s="978"/>
      <c r="FO310" s="978"/>
      <c r="FP310" s="978"/>
      <c r="FQ310" s="978"/>
      <c r="FR310" s="978"/>
      <c r="FS310" s="978"/>
      <c r="FT310" s="978"/>
      <c r="FU310" s="978"/>
      <c r="FV310" s="978"/>
      <c r="FW310" s="978"/>
      <c r="FX310" s="978"/>
      <c r="FY310" s="978"/>
      <c r="FZ310" s="978"/>
      <c r="GA310" s="978"/>
      <c r="GB310" s="978"/>
      <c r="GC310" s="978"/>
      <c r="GD310" s="978"/>
      <c r="GE310" s="978"/>
      <c r="GF310" s="978"/>
      <c r="GG310" s="978"/>
      <c r="GH310" s="978"/>
      <c r="GI310" s="978"/>
      <c r="GJ310" s="978"/>
      <c r="GK310" s="978"/>
      <c r="GL310" s="978"/>
      <c r="GM310" s="978"/>
      <c r="GN310" s="978"/>
      <c r="GO310" s="978"/>
      <c r="GP310" s="978"/>
      <c r="GQ310" s="978"/>
      <c r="GR310" s="978"/>
      <c r="GS310" s="978"/>
      <c r="GT310" s="978"/>
      <c r="GU310" s="978"/>
      <c r="GV310" s="978"/>
      <c r="GW310" s="978"/>
      <c r="GX310" s="978"/>
      <c r="GY310" s="978"/>
      <c r="GZ310" s="978"/>
      <c r="HA310" s="978"/>
      <c r="HB310" s="978"/>
      <c r="HC310" s="978"/>
      <c r="HD310" s="978"/>
      <c r="HE310" s="978"/>
      <c r="HF310" s="978"/>
      <c r="HG310" s="978"/>
      <c r="HH310" s="978"/>
      <c r="HI310" s="978"/>
      <c r="HJ310" s="978"/>
      <c r="HK310" s="978"/>
      <c r="HL310" s="978"/>
      <c r="HM310" s="978"/>
      <c r="HN310" s="978"/>
      <c r="HO310" s="978"/>
      <c r="HP310" s="978"/>
      <c r="HQ310" s="978"/>
      <c r="HR310" s="978"/>
      <c r="HS310" s="978"/>
      <c r="HT310" s="978"/>
      <c r="HU310" s="978"/>
      <c r="HV310" s="978"/>
      <c r="HW310" s="978"/>
      <c r="HX310" s="978"/>
      <c r="HY310" s="978"/>
      <c r="HZ310" s="978"/>
      <c r="IA310" s="978"/>
      <c r="IB310" s="978"/>
      <c r="IC310" s="978"/>
      <c r="ID310" s="978"/>
      <c r="IE310" s="978"/>
      <c r="IF310" s="978"/>
      <c r="IG310" s="978"/>
      <c r="IH310" s="978"/>
      <c r="II310" s="978"/>
      <c r="IJ310" s="978"/>
      <c r="IK310" s="978"/>
      <c r="IL310" s="978"/>
      <c r="IM310" s="978"/>
      <c r="IN310" s="978"/>
      <c r="IO310" s="978"/>
      <c r="IP310" s="978"/>
      <c r="IQ310" s="978"/>
      <c r="IR310" s="978"/>
      <c r="IS310" s="978"/>
      <c r="IT310" s="978"/>
      <c r="IU310" s="978"/>
      <c r="IV310" s="978"/>
      <c r="IW310" s="978"/>
      <c r="IX310" s="978"/>
      <c r="IY310" s="978"/>
      <c r="IZ310" s="978"/>
      <c r="JA310" s="978"/>
      <c r="JB310" s="978"/>
      <c r="JC310" s="978"/>
      <c r="JD310" s="978"/>
      <c r="JE310" s="978"/>
      <c r="JF310" s="978"/>
      <c r="JG310" s="978"/>
      <c r="JH310" s="978"/>
      <c r="JI310" s="978"/>
      <c r="JJ310" s="978"/>
      <c r="JK310" s="978"/>
      <c r="JL310" s="978"/>
      <c r="JM310" s="978"/>
      <c r="JN310" s="978"/>
      <c r="JO310" s="978"/>
      <c r="JP310" s="978"/>
      <c r="JQ310" s="978"/>
      <c r="JR310" s="978"/>
      <c r="JS310" s="978"/>
      <c r="JT310" s="978"/>
      <c r="JU310" s="978"/>
      <c r="JV310" s="978"/>
      <c r="JW310" s="978"/>
      <c r="JX310" s="978"/>
      <c r="JY310" s="978"/>
      <c r="JZ310" s="978"/>
      <c r="KA310" s="978"/>
      <c r="KB310" s="978"/>
      <c r="KC310" s="978"/>
      <c r="KD310" s="978"/>
      <c r="KE310" s="978"/>
      <c r="KF310" s="978"/>
      <c r="KG310" s="978"/>
      <c r="KH310" s="978"/>
      <c r="KI310" s="978"/>
      <c r="KJ310" s="978"/>
      <c r="KK310" s="978"/>
      <c r="KL310" s="978"/>
      <c r="KM310" s="978"/>
      <c r="KN310" s="978"/>
      <c r="KO310" s="978"/>
      <c r="KP310" s="978"/>
      <c r="KQ310" s="978"/>
      <c r="KR310" s="978"/>
      <c r="KS310" s="978"/>
      <c r="KT310" s="978"/>
      <c r="KU310" s="978"/>
      <c r="KV310" s="978"/>
      <c r="KW310" s="978"/>
      <c r="KX310" s="978"/>
      <c r="KY310" s="978"/>
      <c r="KZ310" s="978"/>
      <c r="LA310" s="978"/>
      <c r="LB310" s="978"/>
      <c r="LC310" s="978"/>
      <c r="LD310" s="978"/>
      <c r="LE310" s="978"/>
      <c r="LF310" s="978"/>
      <c r="LG310" s="978"/>
      <c r="LH310" s="978"/>
      <c r="LI310" s="978"/>
      <c r="LJ310" s="978"/>
      <c r="LK310" s="978"/>
      <c r="LL310" s="978"/>
      <c r="LM310" s="978"/>
      <c r="LN310" s="978"/>
      <c r="LO310" s="978"/>
      <c r="LP310" s="978"/>
      <c r="LQ310" s="978"/>
      <c r="LR310" s="978"/>
      <c r="LS310" s="978"/>
      <c r="LT310" s="978"/>
      <c r="LU310" s="978"/>
      <c r="LV310" s="978"/>
      <c r="LW310" s="978"/>
      <c r="LX310" s="978"/>
      <c r="LY310" s="978"/>
      <c r="LZ310" s="978"/>
      <c r="MA310" s="978"/>
      <c r="MB310" s="978"/>
      <c r="MC310" s="978"/>
      <c r="MD310" s="978"/>
      <c r="ME310" s="978"/>
      <c r="MF310" s="978"/>
      <c r="MG310" s="978"/>
      <c r="MH310" s="978"/>
      <c r="MI310" s="978"/>
      <c r="MJ310" s="978"/>
      <c r="MK310" s="978"/>
      <c r="ML310" s="978"/>
      <c r="MM310" s="978"/>
      <c r="MN310" s="978"/>
      <c r="MO310" s="978"/>
      <c r="MP310" s="978"/>
      <c r="MQ310" s="978"/>
      <c r="MR310" s="978"/>
      <c r="MS310" s="978"/>
      <c r="MT310" s="978"/>
      <c r="MU310" s="978"/>
      <c r="MV310" s="978"/>
      <c r="MW310" s="978"/>
      <c r="MX310" s="978"/>
      <c r="MY310" s="978"/>
      <c r="MZ310" s="978"/>
      <c r="NA310" s="978"/>
      <c r="NB310" s="978"/>
      <c r="NC310" s="978"/>
      <c r="ND310" s="978"/>
      <c r="NE310" s="978"/>
      <c r="NF310" s="978"/>
      <c r="NG310" s="978"/>
      <c r="NH310" s="978"/>
      <c r="NI310" s="978"/>
      <c r="NJ310" s="978"/>
      <c r="NK310" s="978"/>
      <c r="NL310" s="978"/>
      <c r="NM310" s="978"/>
      <c r="NN310" s="978"/>
      <c r="NO310" s="978"/>
      <c r="NP310" s="978"/>
      <c r="NQ310" s="978"/>
      <c r="NR310" s="978"/>
      <c r="NS310" s="978"/>
      <c r="NT310" s="978"/>
      <c r="NU310" s="978"/>
      <c r="NV310" s="978"/>
      <c r="NW310" s="978"/>
      <c r="NX310" s="978"/>
      <c r="NY310" s="978"/>
      <c r="NZ310" s="978"/>
      <c r="OA310" s="978"/>
      <c r="OB310" s="978"/>
      <c r="OC310" s="978"/>
      <c r="OD310" s="978"/>
      <c r="OE310" s="978"/>
      <c r="OF310" s="978"/>
      <c r="OG310" s="978"/>
      <c r="OH310" s="978"/>
      <c r="OI310" s="978"/>
      <c r="OJ310" s="978"/>
      <c r="OK310" s="978"/>
      <c r="OL310" s="978"/>
      <c r="OM310" s="978"/>
      <c r="ON310" s="978"/>
      <c r="OO310" s="978"/>
      <c r="OP310" s="978"/>
      <c r="OQ310" s="978"/>
      <c r="OR310" s="978"/>
      <c r="OS310" s="978"/>
      <c r="OT310" s="978"/>
      <c r="OU310" s="978"/>
      <c r="OV310" s="978"/>
      <c r="OW310" s="978"/>
      <c r="OX310" s="978"/>
      <c r="OY310" s="978"/>
      <c r="OZ310" s="978"/>
      <c r="PA310" s="978"/>
      <c r="PB310" s="978"/>
      <c r="PC310" s="978"/>
      <c r="PD310" s="978"/>
      <c r="PE310" s="978"/>
      <c r="PF310" s="978"/>
      <c r="PG310" s="978"/>
      <c r="PH310" s="978"/>
      <c r="PI310" s="978"/>
      <c r="PJ310" s="978"/>
      <c r="PK310" s="978"/>
      <c r="PL310" s="978"/>
      <c r="PM310" s="978"/>
      <c r="PN310" s="978"/>
      <c r="PO310" s="978"/>
      <c r="PP310" s="978"/>
      <c r="PQ310" s="978"/>
      <c r="PR310" s="978"/>
      <c r="PS310" s="978"/>
      <c r="PT310" s="978"/>
      <c r="PU310" s="978"/>
      <c r="PV310" s="978"/>
      <c r="PW310" s="978"/>
      <c r="PX310" s="978"/>
      <c r="PY310" s="978"/>
      <c r="PZ310" s="978"/>
      <c r="QA310" s="978"/>
      <c r="QB310" s="978"/>
      <c r="QC310" s="978"/>
      <c r="QD310" s="978"/>
      <c r="QE310" s="978"/>
      <c r="QF310" s="978"/>
      <c r="QG310" s="978"/>
      <c r="QH310" s="978"/>
      <c r="QI310" s="978"/>
      <c r="QJ310" s="978"/>
      <c r="QK310" s="978"/>
      <c r="QL310" s="978"/>
      <c r="QM310" s="978"/>
      <c r="QN310" s="978"/>
      <c r="QO310" s="978"/>
      <c r="QP310" s="978"/>
      <c r="QQ310" s="978"/>
      <c r="QR310" s="978"/>
      <c r="QS310" s="978"/>
      <c r="QT310" s="978"/>
      <c r="QU310" s="978"/>
      <c r="QV310" s="978"/>
      <c r="QW310" s="978"/>
      <c r="QX310" s="978"/>
      <c r="QY310" s="978"/>
      <c r="QZ310" s="978"/>
      <c r="RA310" s="978"/>
      <c r="RB310" s="274"/>
      <c r="RC310" s="274"/>
    </row>
    <row r="311" spans="112:471" ht="17.25">
      <c r="DH311" s="274"/>
      <c r="DI311" s="274"/>
      <c r="DJ311" s="978"/>
      <c r="DK311" s="978"/>
      <c r="DL311" s="978"/>
      <c r="DM311" s="978"/>
      <c r="DN311" s="978"/>
      <c r="DO311" s="978"/>
      <c r="DP311" s="978"/>
      <c r="DQ311" s="978"/>
      <c r="DR311" s="978"/>
      <c r="DS311" s="978"/>
      <c r="DT311" s="978"/>
      <c r="DU311" s="978"/>
      <c r="DV311" s="978"/>
      <c r="DW311" s="978"/>
      <c r="DX311" s="978"/>
      <c r="DY311" s="978"/>
      <c r="DZ311" s="978"/>
      <c r="EA311" s="978"/>
      <c r="EB311" s="978"/>
      <c r="EC311" s="978"/>
      <c r="ED311" s="978"/>
      <c r="EE311" s="978"/>
      <c r="EF311" s="978"/>
      <c r="EG311" s="978"/>
      <c r="EH311" s="978"/>
      <c r="EI311" s="978"/>
      <c r="EJ311" s="978"/>
      <c r="EK311" s="978"/>
      <c r="EL311" s="978"/>
      <c r="EM311" s="978"/>
      <c r="EN311" s="978"/>
      <c r="EO311" s="978"/>
      <c r="EP311" s="978"/>
      <c r="EQ311" s="978"/>
      <c r="ER311" s="978"/>
      <c r="ES311" s="978"/>
      <c r="ET311" s="978"/>
      <c r="EU311" s="978"/>
      <c r="EV311" s="978"/>
      <c r="EW311" s="978"/>
      <c r="EX311" s="978"/>
      <c r="EY311" s="978"/>
      <c r="EZ311" s="978"/>
      <c r="FA311" s="978"/>
      <c r="FB311" s="978"/>
      <c r="FC311" s="978"/>
      <c r="FD311" s="978"/>
      <c r="FE311" s="978"/>
      <c r="FF311" s="978"/>
      <c r="FG311" s="978"/>
      <c r="FH311" s="978"/>
      <c r="FI311" s="978"/>
      <c r="FJ311" s="978"/>
      <c r="FK311" s="978"/>
      <c r="FL311" s="978"/>
      <c r="FM311" s="978"/>
      <c r="FN311" s="978"/>
      <c r="FO311" s="978"/>
      <c r="FP311" s="978"/>
      <c r="FQ311" s="978"/>
      <c r="FR311" s="978"/>
      <c r="FS311" s="978"/>
      <c r="FT311" s="978"/>
      <c r="FU311" s="978"/>
      <c r="FV311" s="978"/>
      <c r="FW311" s="978"/>
      <c r="FX311" s="978"/>
      <c r="FY311" s="978"/>
      <c r="FZ311" s="978"/>
      <c r="GA311" s="978"/>
      <c r="GB311" s="978"/>
      <c r="GC311" s="978"/>
      <c r="GD311" s="978"/>
      <c r="GE311" s="978"/>
      <c r="GF311" s="978"/>
      <c r="GG311" s="978"/>
      <c r="GH311" s="978"/>
      <c r="GI311" s="978"/>
      <c r="GJ311" s="978"/>
      <c r="GK311" s="978"/>
      <c r="GL311" s="978"/>
      <c r="GM311" s="978"/>
      <c r="GN311" s="978"/>
      <c r="GO311" s="978"/>
      <c r="GP311" s="978"/>
      <c r="GQ311" s="978"/>
      <c r="GR311" s="978"/>
      <c r="GS311" s="978"/>
      <c r="GT311" s="978"/>
      <c r="GU311" s="978"/>
      <c r="GV311" s="978"/>
      <c r="GW311" s="978"/>
      <c r="GX311" s="978"/>
      <c r="GY311" s="978"/>
      <c r="GZ311" s="978"/>
      <c r="HA311" s="978"/>
      <c r="HB311" s="978"/>
      <c r="HC311" s="978"/>
      <c r="HD311" s="978"/>
      <c r="HE311" s="978"/>
      <c r="HF311" s="978"/>
      <c r="HG311" s="978"/>
      <c r="HH311" s="978"/>
      <c r="HI311" s="978"/>
      <c r="HJ311" s="978"/>
      <c r="HK311" s="978"/>
      <c r="HL311" s="978"/>
      <c r="HM311" s="978"/>
      <c r="HN311" s="978"/>
      <c r="HO311" s="978"/>
      <c r="HP311" s="978"/>
      <c r="HQ311" s="978"/>
      <c r="HR311" s="978"/>
      <c r="HS311" s="978"/>
      <c r="HT311" s="978"/>
      <c r="HU311" s="978"/>
      <c r="HV311" s="978"/>
      <c r="HW311" s="978"/>
      <c r="HX311" s="978"/>
      <c r="HY311" s="978"/>
      <c r="HZ311" s="978"/>
      <c r="IA311" s="978"/>
      <c r="IB311" s="978"/>
      <c r="IC311" s="978"/>
      <c r="ID311" s="978"/>
      <c r="IE311" s="978"/>
      <c r="IF311" s="978"/>
      <c r="IG311" s="978"/>
      <c r="IH311" s="978"/>
      <c r="II311" s="978"/>
      <c r="IJ311" s="978"/>
      <c r="IK311" s="978"/>
      <c r="IL311" s="978"/>
      <c r="IM311" s="978"/>
      <c r="IN311" s="978"/>
      <c r="IO311" s="978"/>
      <c r="IP311" s="978"/>
      <c r="IQ311" s="978"/>
      <c r="IR311" s="978"/>
      <c r="IS311" s="978"/>
      <c r="IT311" s="978"/>
      <c r="IU311" s="978"/>
      <c r="IV311" s="978"/>
      <c r="IW311" s="978"/>
      <c r="IX311" s="978"/>
      <c r="IY311" s="978"/>
      <c r="IZ311" s="978"/>
      <c r="JA311" s="978"/>
      <c r="JB311" s="978"/>
      <c r="JC311" s="978"/>
      <c r="JD311" s="978"/>
      <c r="JE311" s="978"/>
      <c r="JF311" s="978"/>
      <c r="JG311" s="978"/>
      <c r="JH311" s="978"/>
      <c r="JI311" s="978"/>
      <c r="JJ311" s="978"/>
      <c r="JK311" s="978"/>
      <c r="JL311" s="978"/>
      <c r="JM311" s="978"/>
      <c r="JN311" s="978"/>
      <c r="JO311" s="978"/>
      <c r="JP311" s="978"/>
      <c r="JQ311" s="978"/>
      <c r="JR311" s="978"/>
      <c r="JS311" s="978"/>
      <c r="JT311" s="978"/>
      <c r="JU311" s="978"/>
      <c r="JV311" s="978"/>
      <c r="JW311" s="978"/>
      <c r="JX311" s="978"/>
      <c r="JY311" s="978"/>
      <c r="JZ311" s="978"/>
      <c r="KA311" s="978"/>
      <c r="KB311" s="978"/>
      <c r="KC311" s="978"/>
      <c r="KD311" s="978"/>
      <c r="KE311" s="978"/>
      <c r="KF311" s="978"/>
      <c r="KG311" s="978"/>
      <c r="KH311" s="978"/>
      <c r="KI311" s="978"/>
      <c r="KJ311" s="978"/>
      <c r="KK311" s="978"/>
      <c r="KL311" s="978"/>
      <c r="KM311" s="978"/>
      <c r="KN311" s="978"/>
      <c r="KO311" s="978"/>
      <c r="KP311" s="978"/>
      <c r="KQ311" s="978"/>
      <c r="KR311" s="978"/>
      <c r="KS311" s="978"/>
      <c r="KT311" s="978"/>
      <c r="KU311" s="978"/>
      <c r="KV311" s="978"/>
      <c r="KW311" s="978"/>
      <c r="KX311" s="978"/>
      <c r="KY311" s="978"/>
      <c r="KZ311" s="978"/>
      <c r="LA311" s="978"/>
      <c r="LB311" s="978"/>
      <c r="LC311" s="978"/>
      <c r="LD311" s="978"/>
      <c r="LE311" s="978"/>
      <c r="LF311" s="978"/>
      <c r="LG311" s="978"/>
      <c r="LH311" s="978"/>
      <c r="LI311" s="978"/>
      <c r="LJ311" s="978"/>
      <c r="LK311" s="978"/>
      <c r="LL311" s="978"/>
      <c r="LM311" s="978"/>
      <c r="LN311" s="978"/>
      <c r="LO311" s="978"/>
      <c r="LP311" s="978"/>
      <c r="LQ311" s="978"/>
      <c r="LR311" s="978"/>
      <c r="LS311" s="978"/>
      <c r="LT311" s="978"/>
      <c r="LU311" s="978"/>
      <c r="LV311" s="978"/>
      <c r="LW311" s="978"/>
      <c r="LX311" s="978"/>
      <c r="LY311" s="978"/>
      <c r="LZ311" s="978"/>
      <c r="MA311" s="978"/>
      <c r="MB311" s="978"/>
      <c r="MC311" s="978"/>
      <c r="MD311" s="978"/>
      <c r="ME311" s="978"/>
      <c r="MF311" s="978"/>
      <c r="MG311" s="978"/>
      <c r="MH311" s="978"/>
      <c r="MI311" s="978"/>
      <c r="MJ311" s="978"/>
      <c r="MK311" s="978"/>
      <c r="ML311" s="978"/>
      <c r="MM311" s="978"/>
      <c r="MN311" s="978"/>
      <c r="MO311" s="978"/>
      <c r="MP311" s="978"/>
      <c r="MQ311" s="978"/>
      <c r="MR311" s="978"/>
      <c r="MS311" s="978"/>
      <c r="MT311" s="978"/>
      <c r="MU311" s="978"/>
      <c r="MV311" s="978"/>
      <c r="MW311" s="978"/>
      <c r="MX311" s="978"/>
      <c r="MY311" s="978"/>
      <c r="MZ311" s="978"/>
      <c r="NA311" s="978"/>
      <c r="NB311" s="978"/>
      <c r="NC311" s="978"/>
      <c r="ND311" s="978"/>
      <c r="NE311" s="978"/>
      <c r="NF311" s="978"/>
      <c r="NG311" s="978"/>
      <c r="NH311" s="978"/>
      <c r="NI311" s="978"/>
      <c r="NJ311" s="978"/>
      <c r="NK311" s="978"/>
      <c r="NL311" s="978"/>
      <c r="NM311" s="978"/>
      <c r="NN311" s="978"/>
      <c r="NO311" s="978"/>
      <c r="NP311" s="978"/>
      <c r="NQ311" s="978"/>
      <c r="NR311" s="978"/>
      <c r="NS311" s="978"/>
      <c r="NT311" s="978"/>
      <c r="NU311" s="978"/>
      <c r="NV311" s="978"/>
      <c r="NW311" s="978"/>
      <c r="NX311" s="978"/>
      <c r="NY311" s="978"/>
      <c r="NZ311" s="978"/>
      <c r="OA311" s="978"/>
      <c r="OB311" s="978"/>
      <c r="OC311" s="978"/>
      <c r="OD311" s="978"/>
      <c r="OE311" s="978"/>
      <c r="OF311" s="978"/>
      <c r="OG311" s="978"/>
      <c r="OH311" s="978"/>
      <c r="OI311" s="978"/>
      <c r="OJ311" s="978"/>
      <c r="OK311" s="978"/>
      <c r="OL311" s="978"/>
      <c r="OM311" s="978"/>
      <c r="ON311" s="978"/>
      <c r="OO311" s="978"/>
      <c r="OP311" s="978"/>
      <c r="OQ311" s="978"/>
      <c r="OR311" s="978"/>
      <c r="OS311" s="978"/>
      <c r="OT311" s="978"/>
      <c r="OU311" s="978"/>
      <c r="OV311" s="978"/>
      <c r="OW311" s="978"/>
      <c r="OX311" s="978"/>
      <c r="OY311" s="978"/>
      <c r="OZ311" s="978"/>
      <c r="PA311" s="978"/>
      <c r="PB311" s="978"/>
      <c r="PC311" s="978"/>
      <c r="PD311" s="978"/>
      <c r="PE311" s="978"/>
      <c r="PF311" s="978"/>
      <c r="PG311" s="978"/>
      <c r="PH311" s="978"/>
      <c r="PI311" s="978"/>
      <c r="PJ311" s="978"/>
      <c r="PK311" s="978"/>
      <c r="PL311" s="978"/>
      <c r="PM311" s="978"/>
      <c r="PN311" s="978"/>
      <c r="PO311" s="978"/>
      <c r="PP311" s="978"/>
      <c r="PQ311" s="978"/>
      <c r="PR311" s="978"/>
      <c r="PS311" s="978"/>
      <c r="PT311" s="978"/>
      <c r="PU311" s="978"/>
      <c r="PV311" s="978"/>
      <c r="PW311" s="978"/>
      <c r="PX311" s="978"/>
      <c r="PY311" s="978"/>
      <c r="PZ311" s="978"/>
      <c r="QA311" s="978"/>
      <c r="QB311" s="978"/>
      <c r="QC311" s="978"/>
      <c r="QD311" s="978"/>
      <c r="QE311" s="978"/>
      <c r="QF311" s="978"/>
      <c r="QG311" s="978"/>
      <c r="QH311" s="978"/>
      <c r="QI311" s="978"/>
      <c r="QJ311" s="978"/>
      <c r="QK311" s="978"/>
      <c r="QL311" s="978"/>
      <c r="QM311" s="978"/>
      <c r="QN311" s="978"/>
      <c r="QO311" s="978"/>
      <c r="QP311" s="978"/>
      <c r="QQ311" s="978"/>
      <c r="QR311" s="978"/>
      <c r="QS311" s="978"/>
      <c r="QT311" s="978"/>
      <c r="QU311" s="978"/>
      <c r="QV311" s="978"/>
      <c r="QW311" s="978"/>
      <c r="QX311" s="978"/>
      <c r="QY311" s="978"/>
      <c r="QZ311" s="978"/>
      <c r="RA311" s="978"/>
      <c r="RB311" s="274"/>
      <c r="RC311" s="274"/>
    </row>
    <row r="312" spans="112:471" ht="17.25">
      <c r="DH312" s="274"/>
      <c r="DI312" s="274"/>
      <c r="DJ312" s="978"/>
      <c r="DK312" s="978"/>
      <c r="DL312" s="978"/>
      <c r="DM312" s="978"/>
      <c r="DN312" s="978"/>
      <c r="DO312" s="978"/>
      <c r="DP312" s="978"/>
      <c r="DQ312" s="978"/>
      <c r="DR312" s="978"/>
      <c r="DS312" s="978"/>
      <c r="DT312" s="978"/>
      <c r="DU312" s="978"/>
      <c r="DV312" s="978"/>
      <c r="DW312" s="978"/>
      <c r="DX312" s="978"/>
      <c r="DY312" s="978"/>
      <c r="DZ312" s="978"/>
      <c r="EA312" s="978"/>
      <c r="EB312" s="978"/>
      <c r="EC312" s="978"/>
      <c r="ED312" s="978"/>
      <c r="EE312" s="978"/>
      <c r="EF312" s="978"/>
      <c r="EG312" s="978"/>
      <c r="EH312" s="978"/>
      <c r="EI312" s="978"/>
      <c r="EJ312" s="978"/>
      <c r="EK312" s="978"/>
      <c r="EL312" s="978"/>
      <c r="EM312" s="978"/>
      <c r="EN312" s="978"/>
      <c r="EO312" s="978"/>
      <c r="EP312" s="978"/>
      <c r="EQ312" s="978"/>
      <c r="ER312" s="978"/>
      <c r="ES312" s="978"/>
      <c r="ET312" s="978"/>
      <c r="EU312" s="978"/>
      <c r="EV312" s="978"/>
      <c r="EW312" s="978"/>
      <c r="EX312" s="978"/>
      <c r="EY312" s="978"/>
      <c r="EZ312" s="978"/>
      <c r="FA312" s="978"/>
      <c r="FB312" s="978"/>
      <c r="FC312" s="978"/>
      <c r="FD312" s="978"/>
      <c r="FE312" s="978"/>
      <c r="FF312" s="978"/>
      <c r="FG312" s="978"/>
      <c r="FH312" s="978"/>
      <c r="FI312" s="978"/>
      <c r="FJ312" s="978"/>
      <c r="FK312" s="978"/>
      <c r="FL312" s="978"/>
      <c r="FM312" s="978"/>
      <c r="FN312" s="978"/>
      <c r="FO312" s="978"/>
      <c r="FP312" s="978"/>
      <c r="FQ312" s="978"/>
      <c r="FR312" s="978"/>
      <c r="FS312" s="978"/>
      <c r="FT312" s="978"/>
      <c r="FU312" s="978"/>
      <c r="FV312" s="978"/>
      <c r="FW312" s="978"/>
      <c r="FX312" s="978"/>
      <c r="FY312" s="978"/>
      <c r="FZ312" s="978"/>
      <c r="GA312" s="978"/>
      <c r="GB312" s="978"/>
      <c r="GC312" s="978"/>
      <c r="GD312" s="978"/>
      <c r="GE312" s="978"/>
      <c r="GF312" s="978"/>
      <c r="GG312" s="978"/>
      <c r="GH312" s="978"/>
      <c r="GI312" s="978"/>
      <c r="GJ312" s="978"/>
      <c r="GK312" s="978"/>
      <c r="GL312" s="978"/>
      <c r="GM312" s="978"/>
      <c r="GN312" s="978"/>
      <c r="GO312" s="978"/>
      <c r="GP312" s="978"/>
      <c r="GQ312" s="978"/>
      <c r="GR312" s="978"/>
      <c r="GS312" s="978"/>
      <c r="GT312" s="978"/>
      <c r="GU312" s="978"/>
      <c r="GV312" s="978"/>
      <c r="GW312" s="978"/>
      <c r="GX312" s="978"/>
      <c r="GY312" s="978"/>
      <c r="GZ312" s="978"/>
      <c r="HA312" s="978"/>
      <c r="HB312" s="978"/>
      <c r="HC312" s="978"/>
      <c r="HD312" s="978"/>
      <c r="HE312" s="978"/>
      <c r="HF312" s="978"/>
      <c r="HG312" s="978"/>
      <c r="HH312" s="978"/>
      <c r="HI312" s="978"/>
      <c r="HJ312" s="978"/>
      <c r="HK312" s="978"/>
      <c r="HL312" s="978"/>
      <c r="HM312" s="978"/>
      <c r="HN312" s="978"/>
      <c r="HO312" s="978"/>
      <c r="HP312" s="978"/>
      <c r="HQ312" s="978"/>
      <c r="HR312" s="978"/>
      <c r="HS312" s="978"/>
      <c r="HT312" s="978"/>
      <c r="HU312" s="978"/>
      <c r="HV312" s="978"/>
      <c r="HW312" s="978"/>
      <c r="HX312" s="978"/>
      <c r="HY312" s="978"/>
      <c r="HZ312" s="978"/>
      <c r="IA312" s="978"/>
      <c r="IB312" s="978"/>
      <c r="IC312" s="978"/>
      <c r="ID312" s="978"/>
      <c r="IE312" s="978"/>
      <c r="IF312" s="978"/>
      <c r="IG312" s="978"/>
      <c r="IH312" s="978"/>
      <c r="II312" s="978"/>
      <c r="IJ312" s="978"/>
      <c r="IK312" s="978"/>
      <c r="IL312" s="978"/>
      <c r="IM312" s="978"/>
      <c r="IN312" s="978"/>
      <c r="IO312" s="978"/>
      <c r="IP312" s="978"/>
      <c r="IQ312" s="978"/>
      <c r="IR312" s="978"/>
      <c r="IS312" s="978"/>
      <c r="IT312" s="978"/>
      <c r="IU312" s="978"/>
      <c r="IV312" s="978"/>
      <c r="IW312" s="978"/>
      <c r="IX312" s="978"/>
      <c r="IY312" s="978"/>
      <c r="IZ312" s="978"/>
      <c r="JA312" s="978"/>
      <c r="JB312" s="978"/>
      <c r="JC312" s="978"/>
      <c r="JD312" s="978"/>
      <c r="JE312" s="978"/>
      <c r="JF312" s="978"/>
      <c r="JG312" s="978"/>
      <c r="JH312" s="978"/>
      <c r="JI312" s="978"/>
      <c r="JJ312" s="978"/>
      <c r="JK312" s="978"/>
      <c r="JL312" s="978"/>
      <c r="JM312" s="978"/>
      <c r="JN312" s="978"/>
      <c r="JO312" s="978"/>
      <c r="JP312" s="978"/>
      <c r="JQ312" s="978"/>
      <c r="JR312" s="978"/>
      <c r="JS312" s="978"/>
      <c r="JT312" s="978"/>
      <c r="JU312" s="978"/>
      <c r="JV312" s="978"/>
      <c r="JW312" s="978"/>
      <c r="JX312" s="978"/>
      <c r="JY312" s="978"/>
      <c r="JZ312" s="978"/>
      <c r="KA312" s="978"/>
      <c r="KB312" s="978"/>
      <c r="KC312" s="978"/>
      <c r="KD312" s="978"/>
      <c r="KE312" s="978"/>
      <c r="KF312" s="978"/>
      <c r="KG312" s="978"/>
      <c r="KH312" s="978"/>
      <c r="KI312" s="978"/>
      <c r="KJ312" s="978"/>
      <c r="KK312" s="978"/>
      <c r="KL312" s="978"/>
      <c r="KM312" s="978"/>
      <c r="KN312" s="978"/>
      <c r="KO312" s="978"/>
      <c r="KP312" s="978"/>
      <c r="KQ312" s="978"/>
      <c r="KR312" s="978"/>
      <c r="KS312" s="978"/>
      <c r="KT312" s="978"/>
      <c r="KU312" s="978"/>
      <c r="KV312" s="978"/>
      <c r="KW312" s="978"/>
      <c r="KX312" s="978"/>
      <c r="KY312" s="978"/>
      <c r="KZ312" s="978"/>
      <c r="LA312" s="978"/>
      <c r="LB312" s="978"/>
      <c r="LC312" s="978"/>
      <c r="LD312" s="978"/>
      <c r="LE312" s="978"/>
      <c r="LF312" s="978"/>
      <c r="LG312" s="978"/>
      <c r="LH312" s="978"/>
      <c r="LI312" s="978"/>
      <c r="LJ312" s="978"/>
      <c r="LK312" s="978"/>
      <c r="LL312" s="978"/>
      <c r="LM312" s="978"/>
      <c r="LN312" s="978"/>
      <c r="LO312" s="978"/>
      <c r="LP312" s="978"/>
      <c r="LQ312" s="978"/>
      <c r="LR312" s="978"/>
      <c r="LS312" s="978"/>
      <c r="LT312" s="978"/>
      <c r="LU312" s="978"/>
      <c r="LV312" s="978"/>
      <c r="LW312" s="978"/>
      <c r="LX312" s="978"/>
      <c r="LY312" s="978"/>
      <c r="LZ312" s="978"/>
      <c r="MA312" s="978"/>
      <c r="MB312" s="978"/>
      <c r="MC312" s="978"/>
      <c r="MD312" s="978"/>
      <c r="ME312" s="978"/>
      <c r="MF312" s="978"/>
      <c r="MG312" s="978"/>
      <c r="MH312" s="978"/>
      <c r="MI312" s="978"/>
      <c r="MJ312" s="978"/>
      <c r="MK312" s="978"/>
      <c r="ML312" s="978"/>
      <c r="MM312" s="978"/>
      <c r="MN312" s="978"/>
      <c r="MO312" s="978"/>
      <c r="MP312" s="978"/>
      <c r="MQ312" s="978"/>
      <c r="MR312" s="978"/>
      <c r="MS312" s="978"/>
      <c r="MT312" s="978"/>
      <c r="MU312" s="978"/>
      <c r="MV312" s="978"/>
      <c r="MW312" s="978"/>
      <c r="MX312" s="978"/>
      <c r="MY312" s="978"/>
      <c r="MZ312" s="978"/>
      <c r="NA312" s="978"/>
      <c r="NB312" s="978"/>
      <c r="NC312" s="978"/>
      <c r="ND312" s="978"/>
      <c r="NE312" s="978"/>
      <c r="NF312" s="978"/>
      <c r="NG312" s="978"/>
      <c r="NH312" s="978"/>
      <c r="NI312" s="978"/>
      <c r="NJ312" s="978"/>
      <c r="NK312" s="978"/>
      <c r="NL312" s="978"/>
      <c r="NM312" s="978"/>
      <c r="NN312" s="978"/>
      <c r="NO312" s="978"/>
      <c r="NP312" s="978"/>
      <c r="NQ312" s="978"/>
      <c r="NR312" s="978"/>
      <c r="NS312" s="978"/>
      <c r="NT312" s="978"/>
      <c r="NU312" s="978"/>
      <c r="NV312" s="978"/>
      <c r="NW312" s="978"/>
      <c r="NX312" s="978"/>
      <c r="NY312" s="978"/>
      <c r="NZ312" s="978"/>
      <c r="OA312" s="978"/>
      <c r="OB312" s="978"/>
      <c r="OC312" s="978"/>
      <c r="OD312" s="978"/>
      <c r="OE312" s="978"/>
      <c r="OF312" s="978"/>
      <c r="OG312" s="978"/>
      <c r="OH312" s="978"/>
      <c r="OI312" s="978"/>
      <c r="OJ312" s="978"/>
      <c r="OK312" s="978"/>
      <c r="OL312" s="978"/>
      <c r="OM312" s="978"/>
      <c r="ON312" s="978"/>
      <c r="OO312" s="978"/>
      <c r="OP312" s="978"/>
      <c r="OQ312" s="978"/>
      <c r="OR312" s="978"/>
      <c r="OS312" s="978"/>
      <c r="OT312" s="978"/>
      <c r="OU312" s="978"/>
      <c r="OV312" s="978"/>
      <c r="OW312" s="978"/>
      <c r="OX312" s="978"/>
      <c r="OY312" s="978"/>
      <c r="OZ312" s="978"/>
      <c r="PA312" s="978"/>
      <c r="PB312" s="978"/>
      <c r="PC312" s="978"/>
      <c r="PD312" s="978"/>
      <c r="PE312" s="978"/>
      <c r="PF312" s="978"/>
      <c r="PG312" s="978"/>
      <c r="PH312" s="978"/>
      <c r="PI312" s="978"/>
      <c r="PJ312" s="978"/>
      <c r="PK312" s="978"/>
      <c r="PL312" s="978"/>
      <c r="PM312" s="978"/>
      <c r="PN312" s="978"/>
      <c r="PO312" s="978"/>
      <c r="PP312" s="978"/>
      <c r="PQ312" s="978"/>
      <c r="PR312" s="978"/>
      <c r="PS312" s="978"/>
      <c r="PT312" s="978"/>
      <c r="PU312" s="978"/>
      <c r="PV312" s="978"/>
      <c r="PW312" s="978"/>
      <c r="PX312" s="978"/>
      <c r="PY312" s="978"/>
      <c r="PZ312" s="978"/>
      <c r="QA312" s="978"/>
      <c r="QB312" s="978"/>
      <c r="QC312" s="978"/>
      <c r="QD312" s="978"/>
      <c r="QE312" s="978"/>
      <c r="QF312" s="978"/>
      <c r="QG312" s="978"/>
      <c r="QH312" s="978"/>
      <c r="QI312" s="978"/>
      <c r="QJ312" s="978"/>
      <c r="QK312" s="978"/>
      <c r="QL312" s="978"/>
      <c r="QM312" s="978"/>
      <c r="QN312" s="978"/>
      <c r="QO312" s="978"/>
      <c r="QP312" s="978"/>
      <c r="QQ312" s="978"/>
      <c r="QR312" s="978"/>
      <c r="QS312" s="978"/>
      <c r="QT312" s="978"/>
      <c r="QU312" s="978"/>
      <c r="QV312" s="978"/>
      <c r="QW312" s="978"/>
      <c r="QX312" s="978"/>
      <c r="QY312" s="978"/>
      <c r="QZ312" s="978"/>
      <c r="RA312" s="978"/>
      <c r="RB312" s="274"/>
      <c r="RC312" s="274"/>
    </row>
    <row r="313" spans="112:471" ht="17.25">
      <c r="DH313" s="274"/>
      <c r="DI313" s="274"/>
      <c r="DJ313" s="978"/>
      <c r="DK313" s="978"/>
      <c r="DL313" s="978"/>
      <c r="DM313" s="978"/>
      <c r="DN313" s="978"/>
      <c r="DO313" s="978"/>
      <c r="DP313" s="978"/>
      <c r="DQ313" s="978"/>
      <c r="DR313" s="978"/>
      <c r="DS313" s="978"/>
      <c r="DT313" s="978"/>
      <c r="DU313" s="978"/>
      <c r="DV313" s="978"/>
      <c r="DW313" s="978"/>
      <c r="DX313" s="978"/>
      <c r="DY313" s="978"/>
      <c r="DZ313" s="978"/>
      <c r="EA313" s="978"/>
      <c r="EB313" s="978"/>
      <c r="EC313" s="978"/>
      <c r="ED313" s="978"/>
      <c r="EE313" s="978"/>
      <c r="EF313" s="978"/>
      <c r="EG313" s="978"/>
      <c r="EH313" s="978"/>
      <c r="EI313" s="978"/>
      <c r="EJ313" s="978"/>
      <c r="EK313" s="978"/>
      <c r="EL313" s="978"/>
      <c r="EM313" s="978"/>
      <c r="EN313" s="978"/>
      <c r="EO313" s="978"/>
      <c r="EP313" s="978"/>
      <c r="EQ313" s="978"/>
      <c r="ER313" s="978"/>
      <c r="ES313" s="978"/>
      <c r="ET313" s="978"/>
      <c r="EU313" s="978"/>
      <c r="EV313" s="978"/>
      <c r="EW313" s="978"/>
      <c r="EX313" s="978"/>
      <c r="EY313" s="978"/>
      <c r="EZ313" s="978"/>
      <c r="FA313" s="978"/>
      <c r="FB313" s="978"/>
      <c r="FC313" s="978"/>
      <c r="FD313" s="978"/>
      <c r="FE313" s="978"/>
      <c r="FF313" s="978"/>
      <c r="FG313" s="978"/>
      <c r="FH313" s="978"/>
      <c r="FI313" s="978"/>
      <c r="FJ313" s="978"/>
      <c r="FK313" s="978"/>
      <c r="FL313" s="978"/>
      <c r="FM313" s="978"/>
      <c r="FN313" s="978"/>
      <c r="FO313" s="978"/>
      <c r="FP313" s="978"/>
      <c r="FQ313" s="978"/>
      <c r="FR313" s="978"/>
      <c r="FS313" s="978"/>
      <c r="FT313" s="978"/>
      <c r="FU313" s="978"/>
      <c r="FV313" s="978"/>
      <c r="FW313" s="978"/>
      <c r="FX313" s="978"/>
      <c r="FY313" s="978"/>
      <c r="FZ313" s="978"/>
      <c r="GA313" s="978"/>
      <c r="GB313" s="978"/>
      <c r="GC313" s="978"/>
      <c r="GD313" s="978"/>
      <c r="GE313" s="978"/>
      <c r="GF313" s="978"/>
      <c r="GG313" s="978"/>
      <c r="GH313" s="978"/>
      <c r="GI313" s="978"/>
      <c r="GJ313" s="978"/>
      <c r="GK313" s="978"/>
      <c r="GL313" s="978"/>
      <c r="GM313" s="978"/>
      <c r="GN313" s="978"/>
      <c r="GO313" s="978"/>
      <c r="GP313" s="978"/>
      <c r="GQ313" s="978"/>
      <c r="GR313" s="978"/>
      <c r="GS313" s="978"/>
      <c r="GT313" s="978"/>
      <c r="GU313" s="978"/>
      <c r="GV313" s="978"/>
      <c r="GW313" s="978"/>
      <c r="GX313" s="978"/>
      <c r="GY313" s="978"/>
      <c r="GZ313" s="978"/>
      <c r="HA313" s="978"/>
      <c r="HB313" s="978"/>
      <c r="HC313" s="978"/>
      <c r="HD313" s="978"/>
      <c r="HE313" s="978"/>
      <c r="HF313" s="978"/>
      <c r="HG313" s="978"/>
      <c r="HH313" s="978"/>
      <c r="HI313" s="978"/>
      <c r="HJ313" s="978"/>
      <c r="HK313" s="978"/>
      <c r="HL313" s="978"/>
      <c r="HM313" s="978"/>
      <c r="HN313" s="978"/>
      <c r="HO313" s="978"/>
      <c r="HP313" s="978"/>
      <c r="HQ313" s="978"/>
      <c r="HR313" s="978"/>
      <c r="HS313" s="978"/>
      <c r="HT313" s="978"/>
      <c r="HU313" s="978"/>
      <c r="HV313" s="978"/>
      <c r="HW313" s="978"/>
      <c r="HX313" s="978"/>
      <c r="HY313" s="978"/>
      <c r="HZ313" s="978"/>
      <c r="IA313" s="978"/>
      <c r="IB313" s="978"/>
      <c r="IC313" s="978"/>
      <c r="ID313" s="978"/>
      <c r="IE313" s="978"/>
      <c r="IF313" s="978"/>
      <c r="IG313" s="978"/>
      <c r="IH313" s="978"/>
      <c r="II313" s="978"/>
      <c r="IJ313" s="978"/>
      <c r="IK313" s="978"/>
      <c r="IL313" s="978"/>
      <c r="IM313" s="978"/>
      <c r="IN313" s="978"/>
      <c r="IO313" s="978"/>
      <c r="IP313" s="978"/>
      <c r="IQ313" s="978"/>
      <c r="IR313" s="978"/>
      <c r="IS313" s="978"/>
      <c r="IT313" s="978"/>
      <c r="IU313" s="978"/>
      <c r="IV313" s="978"/>
      <c r="IW313" s="978"/>
      <c r="IX313" s="978"/>
      <c r="IY313" s="978"/>
      <c r="IZ313" s="978"/>
      <c r="JA313" s="978"/>
      <c r="JB313" s="978"/>
      <c r="JC313" s="978"/>
      <c r="JD313" s="978"/>
      <c r="JE313" s="978"/>
      <c r="JF313" s="978"/>
      <c r="JG313" s="978"/>
      <c r="JH313" s="978"/>
      <c r="JI313" s="978"/>
      <c r="JJ313" s="978"/>
      <c r="JK313" s="978"/>
      <c r="JL313" s="978"/>
      <c r="JM313" s="978"/>
      <c r="JN313" s="978"/>
      <c r="JO313" s="978"/>
      <c r="JP313" s="978"/>
      <c r="JQ313" s="978"/>
      <c r="JR313" s="978"/>
      <c r="JS313" s="978"/>
      <c r="JT313" s="978"/>
      <c r="JU313" s="978"/>
      <c r="JV313" s="978"/>
      <c r="JW313" s="978"/>
      <c r="JX313" s="978"/>
      <c r="JY313" s="978"/>
      <c r="JZ313" s="978"/>
      <c r="KA313" s="978"/>
      <c r="KB313" s="978"/>
      <c r="KC313" s="978"/>
      <c r="KD313" s="978"/>
      <c r="KE313" s="978"/>
      <c r="KF313" s="978"/>
      <c r="KG313" s="978"/>
      <c r="KH313" s="978"/>
      <c r="KI313" s="978"/>
      <c r="KJ313" s="978"/>
      <c r="KK313" s="978"/>
      <c r="KL313" s="978"/>
      <c r="KM313" s="978"/>
      <c r="KN313" s="978"/>
      <c r="KO313" s="978"/>
      <c r="KP313" s="978"/>
      <c r="KQ313" s="978"/>
      <c r="KR313" s="978"/>
      <c r="KS313" s="978"/>
      <c r="KT313" s="978"/>
      <c r="KU313" s="978"/>
      <c r="KV313" s="978"/>
      <c r="KW313" s="978"/>
      <c r="KX313" s="978"/>
      <c r="KY313" s="978"/>
      <c r="KZ313" s="978"/>
      <c r="LA313" s="978"/>
      <c r="LB313" s="978"/>
      <c r="LC313" s="978"/>
      <c r="LD313" s="978"/>
      <c r="LE313" s="978"/>
      <c r="LF313" s="978"/>
      <c r="LG313" s="978"/>
      <c r="LH313" s="978"/>
      <c r="LI313" s="978"/>
      <c r="LJ313" s="978"/>
      <c r="LK313" s="978"/>
      <c r="LL313" s="978"/>
      <c r="LM313" s="978"/>
      <c r="LN313" s="978"/>
      <c r="LO313" s="978"/>
      <c r="LP313" s="978"/>
      <c r="LQ313" s="978"/>
      <c r="LR313" s="978"/>
      <c r="LS313" s="978"/>
      <c r="LT313" s="978"/>
      <c r="LU313" s="978"/>
      <c r="LV313" s="978"/>
      <c r="LW313" s="978"/>
      <c r="LX313" s="978"/>
      <c r="LY313" s="978"/>
      <c r="LZ313" s="978"/>
      <c r="MA313" s="978"/>
      <c r="MB313" s="978"/>
      <c r="MC313" s="978"/>
      <c r="MD313" s="978"/>
      <c r="ME313" s="978"/>
      <c r="MF313" s="978"/>
      <c r="MG313" s="978"/>
      <c r="MH313" s="978"/>
      <c r="MI313" s="978"/>
      <c r="MJ313" s="978"/>
      <c r="MK313" s="978"/>
      <c r="ML313" s="978"/>
      <c r="MM313" s="978"/>
      <c r="MN313" s="978"/>
      <c r="MO313" s="978"/>
      <c r="MP313" s="978"/>
      <c r="MQ313" s="978"/>
      <c r="MR313" s="978"/>
      <c r="MS313" s="978"/>
      <c r="MT313" s="978"/>
      <c r="MU313" s="978"/>
      <c r="MV313" s="978"/>
      <c r="MW313" s="978"/>
      <c r="MX313" s="978"/>
      <c r="MY313" s="978"/>
      <c r="MZ313" s="978"/>
      <c r="NA313" s="978"/>
      <c r="NB313" s="978"/>
      <c r="NC313" s="978"/>
      <c r="ND313" s="978"/>
      <c r="NE313" s="978"/>
      <c r="NF313" s="978"/>
      <c r="NG313" s="978"/>
      <c r="NH313" s="978"/>
      <c r="NI313" s="978"/>
      <c r="NJ313" s="978"/>
      <c r="NK313" s="978"/>
      <c r="NL313" s="978"/>
      <c r="NM313" s="978"/>
      <c r="NN313" s="978"/>
      <c r="NO313" s="978"/>
      <c r="NP313" s="978"/>
      <c r="NQ313" s="978"/>
      <c r="NR313" s="978"/>
      <c r="NS313" s="978"/>
      <c r="NT313" s="978"/>
      <c r="NU313" s="978"/>
      <c r="NV313" s="978"/>
      <c r="NW313" s="978"/>
      <c r="NX313" s="978"/>
      <c r="NY313" s="978"/>
      <c r="NZ313" s="978"/>
      <c r="OA313" s="978"/>
      <c r="OB313" s="978"/>
      <c r="OC313" s="978"/>
      <c r="OD313" s="978"/>
      <c r="OE313" s="978"/>
      <c r="OF313" s="978"/>
      <c r="OG313" s="978"/>
      <c r="OH313" s="978"/>
      <c r="OI313" s="978"/>
      <c r="OJ313" s="978"/>
      <c r="OK313" s="978"/>
      <c r="OL313" s="978"/>
      <c r="OM313" s="978"/>
      <c r="ON313" s="978"/>
      <c r="OO313" s="978"/>
      <c r="OP313" s="978"/>
      <c r="OQ313" s="978"/>
      <c r="OR313" s="978"/>
      <c r="OS313" s="978"/>
      <c r="OT313" s="978"/>
      <c r="OU313" s="978"/>
      <c r="OV313" s="978"/>
      <c r="OW313" s="978"/>
      <c r="OX313" s="978"/>
      <c r="OY313" s="978"/>
      <c r="OZ313" s="978"/>
      <c r="PA313" s="978"/>
      <c r="PB313" s="978"/>
      <c r="PC313" s="978"/>
      <c r="PD313" s="978"/>
      <c r="PE313" s="978"/>
      <c r="PF313" s="978"/>
      <c r="PG313" s="978"/>
      <c r="PH313" s="978"/>
      <c r="PI313" s="978"/>
      <c r="PJ313" s="978"/>
      <c r="PK313" s="978"/>
      <c r="PL313" s="978"/>
      <c r="PM313" s="978"/>
      <c r="PN313" s="978"/>
      <c r="PO313" s="978"/>
      <c r="PP313" s="978"/>
      <c r="PQ313" s="978"/>
      <c r="PR313" s="978"/>
      <c r="PS313" s="978"/>
      <c r="PT313" s="978"/>
      <c r="PU313" s="978"/>
      <c r="PV313" s="978"/>
      <c r="PW313" s="978"/>
      <c r="PX313" s="978"/>
      <c r="PY313" s="978"/>
      <c r="PZ313" s="978"/>
      <c r="QA313" s="978"/>
      <c r="QB313" s="978"/>
      <c r="QC313" s="978"/>
      <c r="QD313" s="978"/>
      <c r="QE313" s="978"/>
      <c r="QF313" s="978"/>
      <c r="QG313" s="978"/>
      <c r="QH313" s="978"/>
      <c r="QI313" s="978"/>
      <c r="QJ313" s="978"/>
      <c r="QK313" s="978"/>
      <c r="QL313" s="978"/>
      <c r="QM313" s="978"/>
      <c r="QN313" s="978"/>
      <c r="QO313" s="978"/>
      <c r="QP313" s="978"/>
      <c r="QQ313" s="978"/>
      <c r="QR313" s="978"/>
      <c r="QS313" s="978"/>
      <c r="QT313" s="978"/>
      <c r="QU313" s="978"/>
      <c r="QV313" s="978"/>
      <c r="QW313" s="978"/>
      <c r="QX313" s="978"/>
      <c r="QY313" s="978"/>
      <c r="QZ313" s="978"/>
      <c r="RA313" s="978"/>
      <c r="RB313" s="274"/>
      <c r="RC313" s="274"/>
    </row>
    <row r="314" spans="112:471" ht="17.25">
      <c r="DH314" s="274"/>
      <c r="DI314" s="274"/>
      <c r="DJ314" s="978"/>
      <c r="DK314" s="978"/>
      <c r="DL314" s="978"/>
      <c r="DM314" s="978"/>
      <c r="DN314" s="978"/>
      <c r="DO314" s="978"/>
      <c r="DP314" s="978"/>
      <c r="DQ314" s="978"/>
      <c r="DR314" s="978"/>
      <c r="DS314" s="978"/>
      <c r="DT314" s="978"/>
      <c r="DU314" s="978"/>
      <c r="DV314" s="978"/>
      <c r="DW314" s="978"/>
      <c r="DX314" s="978"/>
      <c r="DY314" s="978"/>
      <c r="DZ314" s="978"/>
      <c r="EA314" s="978"/>
      <c r="EB314" s="978"/>
      <c r="EC314" s="978"/>
      <c r="ED314" s="978"/>
      <c r="EE314" s="978"/>
      <c r="EF314" s="978"/>
      <c r="EG314" s="978"/>
      <c r="EH314" s="978"/>
      <c r="EI314" s="978"/>
      <c r="EJ314" s="978"/>
      <c r="EK314" s="978"/>
      <c r="EL314" s="978"/>
      <c r="EM314" s="978"/>
      <c r="EN314" s="978"/>
      <c r="EO314" s="978"/>
      <c r="EP314" s="978"/>
      <c r="EQ314" s="978"/>
      <c r="ER314" s="978"/>
      <c r="ES314" s="978"/>
      <c r="ET314" s="978"/>
      <c r="EU314" s="978"/>
      <c r="EV314" s="978"/>
      <c r="EW314" s="978"/>
      <c r="EX314" s="978"/>
      <c r="EY314" s="978"/>
      <c r="EZ314" s="978"/>
      <c r="FA314" s="978"/>
      <c r="FB314" s="978"/>
      <c r="FC314" s="978"/>
      <c r="FD314" s="978"/>
      <c r="FE314" s="978"/>
      <c r="FF314" s="978"/>
      <c r="FG314" s="978"/>
      <c r="FH314" s="978"/>
      <c r="FI314" s="978"/>
      <c r="FJ314" s="978"/>
      <c r="FK314" s="978"/>
      <c r="FL314" s="978"/>
      <c r="FM314" s="978"/>
      <c r="FN314" s="978"/>
      <c r="FO314" s="978"/>
      <c r="FP314" s="978"/>
      <c r="FQ314" s="978"/>
      <c r="FR314" s="978"/>
      <c r="FS314" s="978"/>
      <c r="FT314" s="978"/>
      <c r="FU314" s="978"/>
      <c r="FV314" s="978"/>
      <c r="FW314" s="978"/>
      <c r="FX314" s="978"/>
      <c r="FY314" s="978"/>
      <c r="FZ314" s="978"/>
      <c r="GA314" s="978"/>
      <c r="GB314" s="978"/>
      <c r="GC314" s="978"/>
      <c r="GD314" s="978"/>
      <c r="GE314" s="978"/>
      <c r="GF314" s="978"/>
      <c r="GG314" s="978"/>
      <c r="GH314" s="978"/>
      <c r="GI314" s="978"/>
      <c r="GJ314" s="978"/>
      <c r="GK314" s="978"/>
      <c r="GL314" s="978"/>
      <c r="GM314" s="978"/>
      <c r="GN314" s="978"/>
      <c r="GO314" s="978"/>
      <c r="GP314" s="978"/>
      <c r="GQ314" s="978"/>
      <c r="GR314" s="978"/>
      <c r="GS314" s="978"/>
      <c r="GT314" s="978"/>
      <c r="GU314" s="978"/>
      <c r="GV314" s="978"/>
      <c r="GW314" s="978"/>
      <c r="GX314" s="978"/>
      <c r="GY314" s="978"/>
      <c r="GZ314" s="978"/>
      <c r="HA314" s="978"/>
      <c r="HB314" s="978"/>
      <c r="HC314" s="978"/>
      <c r="HD314" s="978"/>
      <c r="HE314" s="978"/>
      <c r="HF314" s="978"/>
      <c r="HG314" s="978"/>
      <c r="HH314" s="978"/>
      <c r="HI314" s="978"/>
      <c r="HJ314" s="978"/>
      <c r="HK314" s="978"/>
      <c r="HL314" s="978"/>
      <c r="HM314" s="978"/>
      <c r="HN314" s="978"/>
      <c r="HO314" s="978"/>
      <c r="HP314" s="978"/>
      <c r="HQ314" s="978"/>
      <c r="HR314" s="978"/>
      <c r="HS314" s="978"/>
      <c r="HT314" s="978"/>
      <c r="HU314" s="978"/>
      <c r="HV314" s="978"/>
      <c r="HW314" s="978"/>
      <c r="HX314" s="978"/>
      <c r="HY314" s="978"/>
      <c r="HZ314" s="978"/>
      <c r="IA314" s="978"/>
      <c r="IB314" s="978"/>
      <c r="IC314" s="978"/>
      <c r="ID314" s="978"/>
      <c r="IE314" s="978"/>
      <c r="IF314" s="978"/>
      <c r="IG314" s="978"/>
      <c r="IH314" s="978"/>
      <c r="II314" s="978"/>
      <c r="IJ314" s="978"/>
      <c r="IK314" s="978"/>
      <c r="IL314" s="978"/>
      <c r="IM314" s="978"/>
      <c r="IN314" s="978"/>
      <c r="IO314" s="978"/>
      <c r="IP314" s="978"/>
      <c r="IQ314" s="978"/>
      <c r="IR314" s="978"/>
      <c r="IS314" s="978"/>
      <c r="IT314" s="978"/>
      <c r="IU314" s="978"/>
      <c r="IV314" s="978"/>
      <c r="IW314" s="978"/>
      <c r="IX314" s="978"/>
      <c r="IY314" s="978"/>
      <c r="IZ314" s="978"/>
      <c r="JA314" s="978"/>
      <c r="JB314" s="978"/>
      <c r="JC314" s="978"/>
      <c r="JD314" s="978"/>
      <c r="JE314" s="978"/>
      <c r="JF314" s="978"/>
      <c r="JG314" s="978"/>
      <c r="JH314" s="978"/>
      <c r="JI314" s="978"/>
      <c r="JJ314" s="978"/>
      <c r="JK314" s="978"/>
      <c r="JL314" s="978"/>
      <c r="JM314" s="978"/>
      <c r="JN314" s="978"/>
      <c r="JO314" s="978"/>
      <c r="JP314" s="978"/>
      <c r="JQ314" s="978"/>
      <c r="JR314" s="978"/>
      <c r="JS314" s="978"/>
      <c r="JT314" s="978"/>
      <c r="JU314" s="978"/>
      <c r="JV314" s="978"/>
      <c r="JW314" s="978"/>
      <c r="JX314" s="978"/>
      <c r="JY314" s="978"/>
      <c r="JZ314" s="978"/>
      <c r="KA314" s="978"/>
      <c r="KB314" s="978"/>
      <c r="KC314" s="978"/>
      <c r="KD314" s="978"/>
      <c r="KE314" s="978"/>
      <c r="KF314" s="978"/>
      <c r="KG314" s="978"/>
      <c r="KH314" s="978"/>
      <c r="KI314" s="978"/>
      <c r="KJ314" s="978"/>
      <c r="KK314" s="978"/>
      <c r="KL314" s="978"/>
      <c r="KM314" s="978"/>
      <c r="KN314" s="978"/>
      <c r="KO314" s="978"/>
      <c r="KP314" s="978"/>
      <c r="KQ314" s="978"/>
      <c r="KR314" s="978"/>
      <c r="KS314" s="978"/>
      <c r="KT314" s="978"/>
      <c r="KU314" s="978"/>
      <c r="KV314" s="978"/>
      <c r="KW314" s="978"/>
      <c r="KX314" s="978"/>
      <c r="KY314" s="978"/>
      <c r="KZ314" s="978"/>
      <c r="LA314" s="978"/>
      <c r="LB314" s="978"/>
      <c r="LC314" s="978"/>
      <c r="LD314" s="978"/>
      <c r="LE314" s="978"/>
      <c r="LF314" s="978"/>
      <c r="LG314" s="978"/>
      <c r="LH314" s="978"/>
      <c r="LI314" s="978"/>
      <c r="LJ314" s="978"/>
      <c r="LK314" s="978"/>
      <c r="LL314" s="978"/>
      <c r="LM314" s="978"/>
      <c r="LN314" s="978"/>
      <c r="LO314" s="978"/>
      <c r="LP314" s="978"/>
      <c r="LQ314" s="978"/>
      <c r="LR314" s="978"/>
      <c r="LS314" s="978"/>
      <c r="LT314" s="978"/>
      <c r="LU314" s="978"/>
      <c r="LV314" s="978"/>
      <c r="LW314" s="978"/>
      <c r="LX314" s="978"/>
      <c r="LY314" s="978"/>
      <c r="LZ314" s="978"/>
      <c r="MA314" s="978"/>
      <c r="MB314" s="978"/>
      <c r="MC314" s="978"/>
      <c r="MD314" s="978"/>
      <c r="ME314" s="978"/>
      <c r="MF314" s="978"/>
      <c r="MG314" s="978"/>
      <c r="MH314" s="978"/>
      <c r="MI314" s="978"/>
      <c r="MJ314" s="978"/>
      <c r="MK314" s="978"/>
      <c r="ML314" s="978"/>
      <c r="MM314" s="978"/>
      <c r="MN314" s="978"/>
      <c r="MO314" s="978"/>
      <c r="MP314" s="978"/>
      <c r="MQ314" s="978"/>
      <c r="MR314" s="978"/>
      <c r="MS314" s="978"/>
      <c r="MT314" s="978"/>
      <c r="MU314" s="978"/>
      <c r="MV314" s="978"/>
      <c r="MW314" s="978"/>
      <c r="MX314" s="978"/>
      <c r="MY314" s="978"/>
      <c r="MZ314" s="978"/>
      <c r="NA314" s="978"/>
      <c r="NB314" s="978"/>
      <c r="NC314" s="978"/>
      <c r="ND314" s="978"/>
      <c r="NE314" s="978"/>
      <c r="NF314" s="978"/>
      <c r="NG314" s="978"/>
      <c r="NH314" s="978"/>
      <c r="NI314" s="978"/>
      <c r="NJ314" s="978"/>
      <c r="NK314" s="978"/>
      <c r="NL314" s="978"/>
      <c r="NM314" s="978"/>
      <c r="NN314" s="978"/>
      <c r="NO314" s="978"/>
      <c r="NP314" s="978"/>
      <c r="NQ314" s="978"/>
      <c r="NR314" s="978"/>
      <c r="NS314" s="978"/>
      <c r="NT314" s="978"/>
      <c r="NU314" s="978"/>
      <c r="NV314" s="978"/>
      <c r="NW314" s="978"/>
      <c r="NX314" s="978"/>
      <c r="NY314" s="978"/>
      <c r="NZ314" s="978"/>
      <c r="OA314" s="978"/>
      <c r="OB314" s="978"/>
      <c r="OC314" s="978"/>
      <c r="OD314" s="978"/>
      <c r="OE314" s="978"/>
      <c r="OF314" s="978"/>
      <c r="OG314" s="978"/>
      <c r="OH314" s="978"/>
      <c r="OI314" s="978"/>
      <c r="OJ314" s="978"/>
      <c r="OK314" s="978"/>
      <c r="OL314" s="978"/>
      <c r="OM314" s="978"/>
      <c r="ON314" s="978"/>
      <c r="OO314" s="978"/>
      <c r="OP314" s="978"/>
      <c r="OQ314" s="978"/>
      <c r="OR314" s="978"/>
      <c r="OS314" s="978"/>
      <c r="OT314" s="978"/>
      <c r="OU314" s="978"/>
      <c r="OV314" s="978"/>
      <c r="OW314" s="978"/>
      <c r="OX314" s="978"/>
      <c r="OY314" s="978"/>
      <c r="OZ314" s="978"/>
      <c r="PA314" s="978"/>
      <c r="PB314" s="978"/>
      <c r="PC314" s="978"/>
      <c r="PD314" s="978"/>
      <c r="PE314" s="978"/>
      <c r="PF314" s="978"/>
      <c r="PG314" s="978"/>
      <c r="PH314" s="978"/>
      <c r="PI314" s="978"/>
      <c r="PJ314" s="978"/>
      <c r="PK314" s="978"/>
      <c r="PL314" s="978"/>
      <c r="PM314" s="978"/>
      <c r="PN314" s="978"/>
      <c r="PO314" s="978"/>
      <c r="PP314" s="978"/>
      <c r="PQ314" s="978"/>
      <c r="PR314" s="978"/>
      <c r="PS314" s="978"/>
      <c r="PT314" s="978"/>
      <c r="PU314" s="978"/>
      <c r="PV314" s="978"/>
      <c r="PW314" s="978"/>
      <c r="PX314" s="978"/>
      <c r="PY314" s="978"/>
      <c r="PZ314" s="978"/>
      <c r="QA314" s="978"/>
      <c r="QB314" s="978"/>
      <c r="QC314" s="978"/>
      <c r="QD314" s="978"/>
      <c r="QE314" s="978"/>
      <c r="QF314" s="978"/>
      <c r="QG314" s="978"/>
      <c r="QH314" s="978"/>
      <c r="QI314" s="978"/>
      <c r="QJ314" s="978"/>
      <c r="QK314" s="978"/>
      <c r="QL314" s="978"/>
      <c r="QM314" s="978"/>
      <c r="QN314" s="978"/>
      <c r="QO314" s="978"/>
      <c r="QP314" s="978"/>
      <c r="QQ314" s="978"/>
      <c r="QR314" s="978"/>
      <c r="QS314" s="978"/>
      <c r="QT314" s="978"/>
      <c r="QU314" s="978"/>
      <c r="QV314" s="978"/>
      <c r="QW314" s="978"/>
      <c r="QX314" s="978"/>
      <c r="QY314" s="978"/>
      <c r="QZ314" s="978"/>
      <c r="RA314" s="978"/>
      <c r="RB314" s="274"/>
      <c r="RC314" s="274"/>
    </row>
    <row r="315" spans="112:471" ht="17.25">
      <c r="DH315" s="274"/>
      <c r="DI315" s="274"/>
      <c r="DJ315" s="978"/>
      <c r="DK315" s="978"/>
      <c r="DL315" s="978"/>
      <c r="DM315" s="978"/>
      <c r="DN315" s="978"/>
      <c r="DO315" s="978"/>
      <c r="DP315" s="978"/>
      <c r="DQ315" s="978"/>
      <c r="DR315" s="978"/>
      <c r="DS315" s="978"/>
      <c r="DT315" s="978"/>
      <c r="DU315" s="978"/>
      <c r="DV315" s="978"/>
      <c r="DW315" s="978"/>
      <c r="DX315" s="978"/>
      <c r="DY315" s="978"/>
      <c r="DZ315" s="978"/>
      <c r="EA315" s="978"/>
      <c r="EB315" s="978"/>
      <c r="EC315" s="978"/>
      <c r="ED315" s="978"/>
      <c r="EE315" s="978"/>
      <c r="EF315" s="978"/>
      <c r="EG315" s="978"/>
      <c r="EH315" s="978"/>
      <c r="EI315" s="978"/>
      <c r="EJ315" s="978"/>
      <c r="EK315" s="978"/>
      <c r="EL315" s="978"/>
      <c r="EM315" s="978"/>
      <c r="EN315" s="978"/>
      <c r="EO315" s="978"/>
      <c r="EP315" s="978"/>
      <c r="EQ315" s="978"/>
      <c r="ER315" s="978"/>
      <c r="ES315" s="978"/>
      <c r="ET315" s="978"/>
      <c r="EU315" s="978"/>
      <c r="EV315" s="978"/>
      <c r="EW315" s="978"/>
      <c r="EX315" s="978"/>
      <c r="EY315" s="978"/>
      <c r="EZ315" s="978"/>
      <c r="FA315" s="978"/>
      <c r="FB315" s="978"/>
      <c r="FC315" s="978"/>
      <c r="FD315" s="978"/>
      <c r="FE315" s="978"/>
      <c r="FF315" s="978"/>
      <c r="FG315" s="978"/>
      <c r="FH315" s="978"/>
      <c r="FI315" s="978"/>
      <c r="FJ315" s="978"/>
      <c r="FK315" s="978"/>
      <c r="FL315" s="978"/>
      <c r="FM315" s="978"/>
      <c r="FN315" s="978"/>
      <c r="FO315" s="978"/>
      <c r="FP315" s="978"/>
      <c r="FQ315" s="978"/>
      <c r="FR315" s="978"/>
      <c r="FS315" s="978"/>
      <c r="FT315" s="978"/>
      <c r="FU315" s="978"/>
      <c r="FV315" s="978"/>
      <c r="FW315" s="978"/>
      <c r="FX315" s="978"/>
      <c r="FY315" s="978"/>
      <c r="FZ315" s="978"/>
      <c r="GA315" s="978"/>
      <c r="GB315" s="978"/>
      <c r="GC315" s="978"/>
      <c r="GD315" s="978"/>
      <c r="GE315" s="978"/>
      <c r="GF315" s="978"/>
      <c r="GG315" s="978"/>
      <c r="GH315" s="978"/>
      <c r="GI315" s="978"/>
      <c r="GJ315" s="978"/>
      <c r="GK315" s="978"/>
      <c r="GL315" s="978"/>
      <c r="GM315" s="978"/>
      <c r="GN315" s="978"/>
      <c r="GO315" s="978"/>
      <c r="GP315" s="978"/>
      <c r="GQ315" s="978"/>
      <c r="GR315" s="978"/>
      <c r="GS315" s="978"/>
      <c r="GT315" s="978"/>
      <c r="GU315" s="978"/>
      <c r="GV315" s="978"/>
      <c r="GW315" s="978"/>
      <c r="GX315" s="978"/>
      <c r="GY315" s="978"/>
      <c r="GZ315" s="978"/>
      <c r="HA315" s="978"/>
      <c r="HB315" s="978"/>
      <c r="HC315" s="978"/>
      <c r="HD315" s="978"/>
      <c r="HE315" s="978"/>
      <c r="HF315" s="978"/>
      <c r="HG315" s="978"/>
      <c r="HH315" s="978"/>
      <c r="HI315" s="978"/>
      <c r="HJ315" s="978"/>
      <c r="HK315" s="978"/>
      <c r="HL315" s="978"/>
      <c r="HM315" s="978"/>
      <c r="HN315" s="978"/>
      <c r="HO315" s="978"/>
      <c r="HP315" s="978"/>
      <c r="HQ315" s="978"/>
      <c r="HR315" s="978"/>
      <c r="HS315" s="978"/>
      <c r="HT315" s="978"/>
      <c r="HU315" s="978"/>
      <c r="HV315" s="978"/>
      <c r="HW315" s="978"/>
      <c r="HX315" s="978"/>
      <c r="HY315" s="978"/>
      <c r="HZ315" s="978"/>
      <c r="IA315" s="978"/>
      <c r="IB315" s="978"/>
      <c r="IC315" s="978"/>
      <c r="ID315" s="978"/>
      <c r="IE315" s="978"/>
      <c r="IF315" s="978"/>
      <c r="IG315" s="978"/>
      <c r="IH315" s="978"/>
      <c r="II315" s="978"/>
      <c r="IJ315" s="978"/>
      <c r="IK315" s="978"/>
      <c r="IL315" s="978"/>
      <c r="IM315" s="978"/>
      <c r="IN315" s="978"/>
      <c r="IO315" s="978"/>
      <c r="IP315" s="978"/>
      <c r="IQ315" s="978"/>
      <c r="IR315" s="978"/>
      <c r="IS315" s="978"/>
      <c r="IT315" s="978"/>
      <c r="IU315" s="978"/>
      <c r="IV315" s="978"/>
      <c r="IW315" s="978"/>
      <c r="IX315" s="978"/>
      <c r="IY315" s="978"/>
      <c r="IZ315" s="978"/>
      <c r="JA315" s="978"/>
      <c r="JB315" s="978"/>
      <c r="JC315" s="978"/>
      <c r="JD315" s="978"/>
      <c r="JE315" s="978"/>
      <c r="JF315" s="978"/>
      <c r="JG315" s="978"/>
      <c r="JH315" s="978"/>
      <c r="JI315" s="978"/>
      <c r="JJ315" s="978"/>
      <c r="JK315" s="978"/>
      <c r="JL315" s="978"/>
      <c r="JM315" s="978"/>
      <c r="JN315" s="978"/>
      <c r="JO315" s="978"/>
      <c r="JP315" s="978"/>
      <c r="JQ315" s="978"/>
      <c r="JR315" s="978"/>
      <c r="JS315" s="978"/>
      <c r="JT315" s="978"/>
      <c r="JU315" s="978"/>
      <c r="JV315" s="978"/>
      <c r="JW315" s="978"/>
      <c r="JX315" s="978"/>
      <c r="JY315" s="978"/>
      <c r="JZ315" s="978"/>
      <c r="KA315" s="978"/>
      <c r="KB315" s="978"/>
      <c r="KC315" s="978"/>
      <c r="KD315" s="978"/>
      <c r="KE315" s="978"/>
      <c r="KF315" s="978"/>
      <c r="KG315" s="978"/>
      <c r="KH315" s="978"/>
      <c r="KI315" s="978"/>
      <c r="KJ315" s="978"/>
      <c r="KK315" s="978"/>
      <c r="KL315" s="978"/>
      <c r="KM315" s="978"/>
      <c r="KN315" s="978"/>
      <c r="KO315" s="978"/>
      <c r="KP315" s="978"/>
      <c r="KQ315" s="978"/>
      <c r="KR315" s="978"/>
      <c r="KS315" s="978"/>
      <c r="KT315" s="978"/>
      <c r="KU315" s="978"/>
      <c r="KV315" s="978"/>
      <c r="KW315" s="978"/>
      <c r="KX315" s="978"/>
      <c r="KY315" s="978"/>
      <c r="KZ315" s="978"/>
      <c r="LA315" s="978"/>
      <c r="LB315" s="978"/>
      <c r="LC315" s="978"/>
      <c r="LD315" s="978"/>
      <c r="LE315" s="978"/>
      <c r="LF315" s="978"/>
      <c r="LG315" s="978"/>
      <c r="LH315" s="978"/>
      <c r="LI315" s="978"/>
      <c r="LJ315" s="978"/>
      <c r="LK315" s="978"/>
      <c r="LL315" s="978"/>
      <c r="LM315" s="978"/>
      <c r="LN315" s="978"/>
      <c r="LO315" s="978"/>
      <c r="LP315" s="978"/>
      <c r="LQ315" s="978"/>
      <c r="LR315" s="978"/>
      <c r="LS315" s="978"/>
      <c r="LT315" s="978"/>
      <c r="LU315" s="978"/>
      <c r="LV315" s="978"/>
      <c r="LW315" s="978"/>
      <c r="LX315" s="978"/>
      <c r="LY315" s="978"/>
      <c r="LZ315" s="978"/>
      <c r="MA315" s="978"/>
      <c r="MB315" s="978"/>
      <c r="MC315" s="978"/>
      <c r="MD315" s="978"/>
      <c r="ME315" s="978"/>
      <c r="MF315" s="978"/>
      <c r="MG315" s="978"/>
      <c r="MH315" s="978"/>
      <c r="MI315" s="978"/>
      <c r="MJ315" s="978"/>
      <c r="MK315" s="978"/>
      <c r="ML315" s="978"/>
      <c r="MM315" s="978"/>
      <c r="MN315" s="978"/>
      <c r="MO315" s="978"/>
      <c r="MP315" s="978"/>
      <c r="MQ315" s="978"/>
      <c r="MR315" s="978"/>
      <c r="MS315" s="978"/>
      <c r="MT315" s="978"/>
      <c r="MU315" s="978"/>
      <c r="MV315" s="978"/>
      <c r="MW315" s="978"/>
      <c r="MX315" s="978"/>
      <c r="MY315" s="978"/>
      <c r="MZ315" s="978"/>
      <c r="NA315" s="978"/>
      <c r="NB315" s="978"/>
      <c r="NC315" s="978"/>
      <c r="ND315" s="978"/>
      <c r="NE315" s="978"/>
      <c r="NF315" s="978"/>
      <c r="NG315" s="978"/>
      <c r="NH315" s="978"/>
      <c r="NI315" s="978"/>
      <c r="NJ315" s="978"/>
      <c r="NK315" s="978"/>
      <c r="NL315" s="978"/>
      <c r="NM315" s="978"/>
      <c r="NN315" s="978"/>
      <c r="NO315" s="978"/>
      <c r="NP315" s="978"/>
      <c r="NQ315" s="978"/>
      <c r="NR315" s="978"/>
      <c r="NS315" s="978"/>
      <c r="NT315" s="978"/>
      <c r="NU315" s="978"/>
      <c r="NV315" s="978"/>
      <c r="NW315" s="978"/>
      <c r="NX315" s="978"/>
      <c r="NY315" s="978"/>
      <c r="NZ315" s="978"/>
      <c r="OA315" s="978"/>
      <c r="OB315" s="978"/>
      <c r="OC315" s="978"/>
      <c r="OD315" s="978"/>
      <c r="OE315" s="978"/>
      <c r="OF315" s="978"/>
      <c r="OG315" s="978"/>
      <c r="OH315" s="978"/>
      <c r="OI315" s="978"/>
      <c r="OJ315" s="978"/>
      <c r="OK315" s="978"/>
      <c r="OL315" s="978"/>
      <c r="OM315" s="978"/>
      <c r="ON315" s="978"/>
      <c r="OO315" s="978"/>
      <c r="OP315" s="978"/>
      <c r="OQ315" s="978"/>
      <c r="OR315" s="978"/>
      <c r="OS315" s="978"/>
      <c r="OT315" s="978"/>
      <c r="OU315" s="978"/>
      <c r="OV315" s="978"/>
      <c r="OW315" s="978"/>
      <c r="OX315" s="978"/>
      <c r="OY315" s="978"/>
      <c r="OZ315" s="978"/>
      <c r="PA315" s="978"/>
      <c r="PB315" s="978"/>
      <c r="PC315" s="978"/>
      <c r="PD315" s="978"/>
      <c r="PE315" s="978"/>
      <c r="PF315" s="978"/>
      <c r="PG315" s="978"/>
      <c r="PH315" s="978"/>
      <c r="PI315" s="978"/>
      <c r="PJ315" s="978"/>
      <c r="PK315" s="978"/>
      <c r="PL315" s="978"/>
      <c r="PM315" s="978"/>
      <c r="PN315" s="978"/>
      <c r="PO315" s="978"/>
      <c r="PP315" s="978"/>
      <c r="PQ315" s="978"/>
      <c r="PR315" s="978"/>
      <c r="PS315" s="978"/>
      <c r="PT315" s="978"/>
      <c r="PU315" s="978"/>
      <c r="PV315" s="978"/>
      <c r="PW315" s="978"/>
      <c r="PX315" s="978"/>
      <c r="PY315" s="978"/>
      <c r="PZ315" s="978"/>
      <c r="QA315" s="978"/>
      <c r="QB315" s="978"/>
      <c r="QC315" s="978"/>
      <c r="QD315" s="978"/>
      <c r="QE315" s="978"/>
      <c r="QF315" s="978"/>
      <c r="QG315" s="978"/>
      <c r="QH315" s="978"/>
      <c r="QI315" s="978"/>
      <c r="QJ315" s="978"/>
      <c r="QK315" s="978"/>
      <c r="QL315" s="978"/>
      <c r="QM315" s="978"/>
      <c r="QN315" s="978"/>
      <c r="QO315" s="978"/>
      <c r="QP315" s="978"/>
      <c r="QQ315" s="978"/>
      <c r="QR315" s="978"/>
      <c r="QS315" s="978"/>
      <c r="QT315" s="978"/>
      <c r="QU315" s="978"/>
      <c r="QV315" s="978"/>
      <c r="QW315" s="978"/>
      <c r="QX315" s="978"/>
      <c r="QY315" s="978"/>
      <c r="QZ315" s="978"/>
      <c r="RA315" s="978"/>
      <c r="RB315" s="274"/>
      <c r="RC315" s="274"/>
    </row>
    <row r="316" spans="112:471" ht="17.25">
      <c r="DH316" s="274"/>
      <c r="DI316" s="274"/>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c r="HK316" s="978"/>
      <c r="HL316" s="978"/>
      <c r="HM316" s="978"/>
      <c r="HN316" s="978"/>
      <c r="HO316" s="978"/>
      <c r="HP316" s="978"/>
      <c r="HQ316" s="978"/>
      <c r="HR316" s="978"/>
      <c r="HS316" s="978"/>
      <c r="HT316" s="978"/>
      <c r="HU316" s="978"/>
      <c r="HV316" s="978"/>
      <c r="HW316" s="978"/>
      <c r="HX316" s="978"/>
      <c r="HY316" s="978"/>
      <c r="HZ316" s="978"/>
      <c r="IA316" s="978"/>
      <c r="IB316" s="978"/>
      <c r="IC316" s="978"/>
      <c r="ID316" s="978"/>
      <c r="IE316" s="978"/>
      <c r="IF316" s="978"/>
      <c r="IG316" s="978"/>
      <c r="IH316" s="978"/>
      <c r="II316" s="978"/>
      <c r="IJ316" s="978"/>
      <c r="IK316" s="978"/>
      <c r="IL316" s="978"/>
      <c r="IM316" s="978"/>
      <c r="IN316" s="978"/>
      <c r="IO316" s="978"/>
      <c r="IP316" s="978"/>
      <c r="IQ316" s="978"/>
      <c r="IR316" s="978"/>
      <c r="IS316" s="978"/>
      <c r="IT316" s="978"/>
      <c r="IU316" s="978"/>
      <c r="IV316" s="978"/>
      <c r="IW316" s="978"/>
      <c r="IX316" s="978"/>
      <c r="IY316" s="978"/>
      <c r="IZ316" s="978"/>
      <c r="JA316" s="978"/>
      <c r="JB316" s="978"/>
      <c r="JC316" s="978"/>
      <c r="JD316" s="978"/>
      <c r="JE316" s="978"/>
      <c r="JF316" s="978"/>
      <c r="JG316" s="978"/>
      <c r="JH316" s="978"/>
      <c r="JI316" s="978"/>
      <c r="JJ316" s="978"/>
      <c r="JK316" s="978"/>
      <c r="JL316" s="978"/>
      <c r="JM316" s="978"/>
      <c r="JN316" s="978"/>
      <c r="JO316" s="978"/>
      <c r="JP316" s="978"/>
      <c r="JQ316" s="978"/>
      <c r="JR316" s="978"/>
      <c r="JS316" s="978"/>
      <c r="JT316" s="978"/>
      <c r="JU316" s="978"/>
      <c r="JV316" s="978"/>
      <c r="JW316" s="978"/>
      <c r="JX316" s="978"/>
      <c r="JY316" s="978"/>
      <c r="JZ316" s="978"/>
      <c r="KA316" s="978"/>
      <c r="KB316" s="978"/>
      <c r="KC316" s="978"/>
      <c r="KD316" s="978"/>
      <c r="KE316" s="978"/>
      <c r="KF316" s="978"/>
      <c r="KG316" s="978"/>
      <c r="KH316" s="978"/>
      <c r="KI316" s="978"/>
      <c r="KJ316" s="978"/>
      <c r="KK316" s="978"/>
      <c r="KL316" s="978"/>
      <c r="KM316" s="978"/>
      <c r="KN316" s="978"/>
      <c r="KO316" s="978"/>
      <c r="KP316" s="978"/>
      <c r="KQ316" s="978"/>
      <c r="KR316" s="978"/>
      <c r="KS316" s="978"/>
      <c r="KT316" s="978"/>
      <c r="KU316" s="978"/>
      <c r="KV316" s="978"/>
      <c r="KW316" s="978"/>
      <c r="KX316" s="978"/>
      <c r="KY316" s="978"/>
      <c r="KZ316" s="978"/>
      <c r="LA316" s="978"/>
      <c r="LB316" s="978"/>
      <c r="LC316" s="978"/>
      <c r="LD316" s="978"/>
      <c r="LE316" s="978"/>
      <c r="LF316" s="978"/>
      <c r="LG316" s="978"/>
      <c r="LH316" s="978"/>
      <c r="LI316" s="978"/>
      <c r="LJ316" s="978"/>
      <c r="LK316" s="978"/>
      <c r="LL316" s="978"/>
      <c r="LM316" s="978"/>
      <c r="LN316" s="978"/>
      <c r="LO316" s="978"/>
      <c r="LP316" s="978"/>
      <c r="LQ316" s="978"/>
      <c r="LR316" s="978"/>
      <c r="LS316" s="978"/>
      <c r="LT316" s="978"/>
      <c r="LU316" s="978"/>
      <c r="LV316" s="978"/>
      <c r="LW316" s="978"/>
      <c r="LX316" s="978"/>
      <c r="LY316" s="978"/>
      <c r="LZ316" s="978"/>
      <c r="MA316" s="978"/>
      <c r="MB316" s="978"/>
      <c r="MC316" s="978"/>
      <c r="MD316" s="978"/>
      <c r="ME316" s="978"/>
      <c r="MF316" s="978"/>
      <c r="MG316" s="978"/>
      <c r="MH316" s="978"/>
      <c r="MI316" s="978"/>
      <c r="MJ316" s="978"/>
      <c r="MK316" s="978"/>
      <c r="ML316" s="978"/>
      <c r="MM316" s="978"/>
      <c r="MN316" s="978"/>
      <c r="MO316" s="978"/>
      <c r="MP316" s="978"/>
      <c r="MQ316" s="978"/>
      <c r="MR316" s="978"/>
      <c r="MS316" s="978"/>
      <c r="MT316" s="978"/>
      <c r="MU316" s="978"/>
      <c r="MV316" s="978"/>
      <c r="MW316" s="978"/>
      <c r="MX316" s="978"/>
      <c r="MY316" s="978"/>
      <c r="MZ316" s="978"/>
      <c r="NA316" s="978"/>
      <c r="NB316" s="978"/>
      <c r="NC316" s="978"/>
      <c r="ND316" s="978"/>
      <c r="NE316" s="978"/>
      <c r="NF316" s="978"/>
      <c r="NG316" s="978"/>
      <c r="NH316" s="978"/>
      <c r="NI316" s="978"/>
      <c r="NJ316" s="978"/>
      <c r="NK316" s="978"/>
      <c r="NL316" s="978"/>
      <c r="NM316" s="978"/>
      <c r="NN316" s="978"/>
      <c r="NO316" s="978"/>
      <c r="NP316" s="978"/>
      <c r="NQ316" s="978"/>
      <c r="NR316" s="978"/>
      <c r="NS316" s="978"/>
      <c r="NT316" s="978"/>
      <c r="NU316" s="978"/>
      <c r="NV316" s="978"/>
      <c r="NW316" s="978"/>
      <c r="NX316" s="978"/>
      <c r="NY316" s="978"/>
      <c r="NZ316" s="978"/>
      <c r="OA316" s="978"/>
      <c r="OB316" s="978"/>
      <c r="OC316" s="978"/>
      <c r="OD316" s="978"/>
      <c r="OE316" s="978"/>
      <c r="OF316" s="978"/>
      <c r="OG316" s="978"/>
      <c r="OH316" s="978"/>
      <c r="OI316" s="978"/>
      <c r="OJ316" s="978"/>
      <c r="OK316" s="978"/>
      <c r="OL316" s="978"/>
      <c r="OM316" s="978"/>
      <c r="ON316" s="978"/>
      <c r="OO316" s="978"/>
      <c r="OP316" s="978"/>
      <c r="OQ316" s="978"/>
      <c r="OR316" s="978"/>
      <c r="OS316" s="978"/>
      <c r="OT316" s="978"/>
      <c r="OU316" s="978"/>
      <c r="OV316" s="978"/>
      <c r="OW316" s="978"/>
      <c r="OX316" s="978"/>
      <c r="OY316" s="978"/>
      <c r="OZ316" s="978"/>
      <c r="PA316" s="978"/>
      <c r="PB316" s="978"/>
      <c r="PC316" s="978"/>
      <c r="PD316" s="978"/>
      <c r="PE316" s="978"/>
      <c r="PF316" s="978"/>
      <c r="PG316" s="978"/>
      <c r="PH316" s="978"/>
      <c r="PI316" s="978"/>
      <c r="PJ316" s="978"/>
      <c r="PK316" s="978"/>
      <c r="PL316" s="978"/>
      <c r="PM316" s="978"/>
      <c r="PN316" s="978"/>
      <c r="PO316" s="978"/>
      <c r="PP316" s="978"/>
      <c r="PQ316" s="978"/>
      <c r="PR316" s="978"/>
      <c r="PS316" s="978"/>
      <c r="PT316" s="978"/>
      <c r="PU316" s="978"/>
      <c r="PV316" s="978"/>
      <c r="PW316" s="978"/>
      <c r="PX316" s="978"/>
      <c r="PY316" s="978"/>
      <c r="PZ316" s="978"/>
      <c r="QA316" s="978"/>
      <c r="QB316" s="978"/>
      <c r="QC316" s="978"/>
      <c r="QD316" s="978"/>
      <c r="QE316" s="978"/>
      <c r="QF316" s="978"/>
      <c r="QG316" s="978"/>
      <c r="QH316" s="978"/>
      <c r="QI316" s="978"/>
      <c r="QJ316" s="978"/>
      <c r="QK316" s="978"/>
      <c r="QL316" s="978"/>
      <c r="QM316" s="978"/>
      <c r="QN316" s="978"/>
      <c r="QO316" s="978"/>
      <c r="QP316" s="978"/>
      <c r="QQ316" s="978"/>
      <c r="QR316" s="978"/>
      <c r="QS316" s="978"/>
      <c r="QT316" s="978"/>
      <c r="QU316" s="978"/>
      <c r="QV316" s="978"/>
      <c r="QW316" s="978"/>
      <c r="QX316" s="978"/>
      <c r="QY316" s="978"/>
      <c r="QZ316" s="978"/>
      <c r="RA316" s="978"/>
      <c r="RB316" s="274"/>
      <c r="RC316" s="274"/>
    </row>
    <row r="317" spans="112:471" ht="17.25">
      <c r="DH317" s="274"/>
      <c r="DI317" s="274"/>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c r="HK317" s="978"/>
      <c r="HL317" s="978"/>
      <c r="HM317" s="978"/>
      <c r="HN317" s="978"/>
      <c r="HO317" s="978"/>
      <c r="HP317" s="978"/>
      <c r="HQ317" s="978"/>
      <c r="HR317" s="978"/>
      <c r="HS317" s="978"/>
      <c r="HT317" s="978"/>
      <c r="HU317" s="978"/>
      <c r="HV317" s="978"/>
      <c r="HW317" s="978"/>
      <c r="HX317" s="978"/>
      <c r="HY317" s="978"/>
      <c r="HZ317" s="978"/>
      <c r="IA317" s="978"/>
      <c r="IB317" s="978"/>
      <c r="IC317" s="978"/>
      <c r="ID317" s="978"/>
      <c r="IE317" s="978"/>
      <c r="IF317" s="978"/>
      <c r="IG317" s="978"/>
      <c r="IH317" s="978"/>
      <c r="II317" s="978"/>
      <c r="IJ317" s="978"/>
      <c r="IK317" s="978"/>
      <c r="IL317" s="978"/>
      <c r="IM317" s="978"/>
      <c r="IN317" s="978"/>
      <c r="IO317" s="978"/>
      <c r="IP317" s="978"/>
      <c r="IQ317" s="978"/>
      <c r="IR317" s="978"/>
      <c r="IS317" s="978"/>
      <c r="IT317" s="978"/>
      <c r="IU317" s="978"/>
      <c r="IV317" s="978"/>
      <c r="IW317" s="978"/>
      <c r="IX317" s="978"/>
      <c r="IY317" s="978"/>
      <c r="IZ317" s="978"/>
      <c r="JA317" s="978"/>
      <c r="JB317" s="978"/>
      <c r="JC317" s="978"/>
      <c r="JD317" s="978"/>
      <c r="JE317" s="978"/>
      <c r="JF317" s="978"/>
      <c r="JG317" s="978"/>
      <c r="JH317" s="978"/>
      <c r="JI317" s="978"/>
      <c r="JJ317" s="978"/>
      <c r="JK317" s="978"/>
      <c r="JL317" s="978"/>
      <c r="JM317" s="978"/>
      <c r="JN317" s="978"/>
      <c r="JO317" s="978"/>
      <c r="JP317" s="978"/>
      <c r="JQ317" s="978"/>
      <c r="JR317" s="978"/>
      <c r="JS317" s="978"/>
      <c r="JT317" s="978"/>
      <c r="JU317" s="978"/>
      <c r="JV317" s="978"/>
      <c r="JW317" s="978"/>
      <c r="JX317" s="978"/>
      <c r="JY317" s="978"/>
      <c r="JZ317" s="978"/>
      <c r="KA317" s="978"/>
      <c r="KB317" s="978"/>
      <c r="KC317" s="978"/>
      <c r="KD317" s="978"/>
      <c r="KE317" s="978"/>
      <c r="KF317" s="978"/>
      <c r="KG317" s="978"/>
      <c r="KH317" s="978"/>
      <c r="KI317" s="978"/>
      <c r="KJ317" s="978"/>
      <c r="KK317" s="978"/>
      <c r="KL317" s="978"/>
      <c r="KM317" s="978"/>
      <c r="KN317" s="978"/>
      <c r="KO317" s="978"/>
      <c r="KP317" s="978"/>
      <c r="KQ317" s="978"/>
      <c r="KR317" s="978"/>
      <c r="KS317" s="978"/>
      <c r="KT317" s="978"/>
      <c r="KU317" s="978"/>
      <c r="KV317" s="978"/>
      <c r="KW317" s="978"/>
      <c r="KX317" s="978"/>
      <c r="KY317" s="978"/>
      <c r="KZ317" s="978"/>
      <c r="LA317" s="978"/>
      <c r="LB317" s="978"/>
      <c r="LC317" s="978"/>
      <c r="LD317" s="978"/>
      <c r="LE317" s="978"/>
      <c r="LF317" s="978"/>
      <c r="LG317" s="978"/>
      <c r="LH317" s="978"/>
      <c r="LI317" s="978"/>
      <c r="LJ317" s="978"/>
      <c r="LK317" s="978"/>
      <c r="LL317" s="978"/>
      <c r="LM317" s="978"/>
      <c r="LN317" s="978"/>
      <c r="LO317" s="978"/>
      <c r="LP317" s="978"/>
      <c r="LQ317" s="978"/>
      <c r="LR317" s="978"/>
      <c r="LS317" s="978"/>
      <c r="LT317" s="978"/>
      <c r="LU317" s="978"/>
      <c r="LV317" s="978"/>
      <c r="LW317" s="978"/>
      <c r="LX317" s="978"/>
      <c r="LY317" s="978"/>
      <c r="LZ317" s="978"/>
      <c r="MA317" s="978"/>
      <c r="MB317" s="978"/>
      <c r="MC317" s="978"/>
      <c r="MD317" s="978"/>
      <c r="ME317" s="978"/>
      <c r="MF317" s="978"/>
      <c r="MG317" s="978"/>
      <c r="MH317" s="978"/>
      <c r="MI317" s="978"/>
      <c r="MJ317" s="978"/>
      <c r="MK317" s="978"/>
      <c r="ML317" s="978"/>
      <c r="MM317" s="978"/>
      <c r="MN317" s="978"/>
      <c r="MO317" s="978"/>
      <c r="MP317" s="978"/>
      <c r="MQ317" s="978"/>
      <c r="MR317" s="978"/>
      <c r="MS317" s="978"/>
      <c r="MT317" s="978"/>
      <c r="MU317" s="978"/>
      <c r="MV317" s="978"/>
      <c r="MW317" s="978"/>
      <c r="MX317" s="978"/>
      <c r="MY317" s="978"/>
      <c r="MZ317" s="978"/>
      <c r="NA317" s="978"/>
      <c r="NB317" s="978"/>
      <c r="NC317" s="978"/>
      <c r="ND317" s="978"/>
      <c r="NE317" s="978"/>
      <c r="NF317" s="978"/>
      <c r="NG317" s="978"/>
      <c r="NH317" s="978"/>
      <c r="NI317" s="978"/>
      <c r="NJ317" s="978"/>
      <c r="NK317" s="978"/>
      <c r="NL317" s="978"/>
      <c r="NM317" s="978"/>
      <c r="NN317" s="978"/>
      <c r="NO317" s="978"/>
      <c r="NP317" s="978"/>
      <c r="NQ317" s="978"/>
      <c r="NR317" s="978"/>
      <c r="NS317" s="978"/>
      <c r="NT317" s="978"/>
      <c r="NU317" s="978"/>
      <c r="NV317" s="978"/>
      <c r="NW317" s="978"/>
      <c r="NX317" s="978"/>
      <c r="NY317" s="978"/>
      <c r="NZ317" s="978"/>
      <c r="OA317" s="978"/>
      <c r="OB317" s="978"/>
      <c r="OC317" s="978"/>
      <c r="OD317" s="978"/>
      <c r="OE317" s="978"/>
      <c r="OF317" s="978"/>
      <c r="OG317" s="978"/>
      <c r="OH317" s="978"/>
      <c r="OI317" s="978"/>
      <c r="OJ317" s="978"/>
      <c r="OK317" s="978"/>
      <c r="OL317" s="978"/>
      <c r="OM317" s="978"/>
      <c r="ON317" s="978"/>
      <c r="OO317" s="978"/>
      <c r="OP317" s="978"/>
      <c r="OQ317" s="978"/>
      <c r="OR317" s="978"/>
      <c r="OS317" s="978"/>
      <c r="OT317" s="978"/>
      <c r="OU317" s="978"/>
      <c r="OV317" s="978"/>
      <c r="OW317" s="978"/>
      <c r="OX317" s="978"/>
      <c r="OY317" s="978"/>
      <c r="OZ317" s="978"/>
      <c r="PA317" s="978"/>
      <c r="PB317" s="978"/>
      <c r="PC317" s="978"/>
      <c r="PD317" s="978"/>
      <c r="PE317" s="978"/>
      <c r="PF317" s="978"/>
      <c r="PG317" s="978"/>
      <c r="PH317" s="978"/>
      <c r="PI317" s="978"/>
      <c r="PJ317" s="978"/>
      <c r="PK317" s="978"/>
      <c r="PL317" s="978"/>
      <c r="PM317" s="978"/>
      <c r="PN317" s="978"/>
      <c r="PO317" s="978"/>
      <c r="PP317" s="978"/>
      <c r="PQ317" s="978"/>
      <c r="PR317" s="978"/>
      <c r="PS317" s="978"/>
      <c r="PT317" s="978"/>
      <c r="PU317" s="978"/>
      <c r="PV317" s="978"/>
      <c r="PW317" s="978"/>
      <c r="PX317" s="978"/>
      <c r="PY317" s="978"/>
      <c r="PZ317" s="978"/>
      <c r="QA317" s="978"/>
      <c r="QB317" s="978"/>
      <c r="QC317" s="978"/>
      <c r="QD317" s="978"/>
      <c r="QE317" s="978"/>
      <c r="QF317" s="978"/>
      <c r="QG317" s="978"/>
      <c r="QH317" s="978"/>
      <c r="QI317" s="978"/>
      <c r="QJ317" s="978"/>
      <c r="QK317" s="978"/>
      <c r="QL317" s="978"/>
      <c r="QM317" s="978"/>
      <c r="QN317" s="978"/>
      <c r="QO317" s="978"/>
      <c r="QP317" s="978"/>
      <c r="QQ317" s="978"/>
      <c r="QR317" s="978"/>
      <c r="QS317" s="978"/>
      <c r="QT317" s="978"/>
      <c r="QU317" s="978"/>
      <c r="QV317" s="978"/>
      <c r="QW317" s="978"/>
      <c r="QX317" s="978"/>
      <c r="QY317" s="978"/>
      <c r="QZ317" s="978"/>
      <c r="RA317" s="978"/>
      <c r="RB317" s="274"/>
      <c r="RC317" s="274"/>
    </row>
    <row r="318" spans="112:471">
      <c r="DH318" s="274"/>
      <c r="DI318" s="274"/>
      <c r="DJ318" s="274"/>
      <c r="DK318" s="274"/>
      <c r="DL318" s="274"/>
      <c r="DM318" s="274"/>
      <c r="DN318" s="274"/>
      <c r="DO318" s="274"/>
      <c r="DP318" s="274"/>
      <c r="DQ318" s="274"/>
      <c r="DR318" s="274"/>
      <c r="DS318" s="274"/>
      <c r="DT318" s="274"/>
      <c r="DU318" s="274"/>
      <c r="DV318" s="274"/>
      <c r="DW318" s="274"/>
      <c r="DX318" s="274"/>
      <c r="DY318" s="274"/>
      <c r="DZ318" s="274"/>
      <c r="EA318" s="274"/>
      <c r="EB318" s="274"/>
      <c r="EC318" s="274"/>
      <c r="ED318" s="274"/>
      <c r="EE318" s="274"/>
      <c r="EF318" s="274"/>
      <c r="EG318" s="274"/>
      <c r="EH318" s="274"/>
      <c r="EI318" s="274"/>
      <c r="EJ318" s="274"/>
      <c r="EK318" s="274"/>
      <c r="EL318" s="274"/>
      <c r="EM318" s="274"/>
      <c r="EN318" s="274"/>
      <c r="EO318" s="274"/>
      <c r="EP318" s="274"/>
      <c r="EQ318" s="274"/>
      <c r="ER318" s="274"/>
      <c r="ES318" s="274"/>
      <c r="ET318" s="274"/>
      <c r="EU318" s="274"/>
      <c r="EV318" s="274"/>
      <c r="EW318" s="274"/>
      <c r="EX318" s="274"/>
      <c r="EY318" s="274"/>
      <c r="EZ318" s="274"/>
      <c r="FA318" s="274"/>
      <c r="FB318" s="274"/>
      <c r="FC318" s="274"/>
      <c r="FD318" s="274"/>
      <c r="FE318" s="274"/>
      <c r="FF318" s="274"/>
      <c r="FG318" s="274"/>
      <c r="FH318" s="274"/>
      <c r="FI318" s="274"/>
      <c r="FJ318" s="274"/>
      <c r="FK318" s="274"/>
      <c r="FL318" s="274"/>
      <c r="FM318" s="274"/>
      <c r="FN318" s="274"/>
      <c r="FO318" s="274"/>
      <c r="FP318" s="274"/>
      <c r="FQ318" s="274"/>
      <c r="FR318" s="274"/>
      <c r="FS318" s="274"/>
      <c r="FT318" s="274"/>
      <c r="FU318" s="274"/>
      <c r="FV318" s="274"/>
      <c r="FW318" s="274"/>
      <c r="FX318" s="274"/>
      <c r="FY318" s="274"/>
      <c r="FZ318" s="274"/>
      <c r="GA318" s="274"/>
      <c r="GB318" s="274"/>
      <c r="GC318" s="274"/>
      <c r="GD318" s="274"/>
      <c r="GE318" s="274"/>
      <c r="GF318" s="274"/>
      <c r="GG318" s="274"/>
      <c r="GH318" s="274"/>
      <c r="GI318" s="274"/>
      <c r="GJ318" s="274"/>
      <c r="GK318" s="274"/>
      <c r="GL318" s="274"/>
      <c r="GM318" s="274"/>
      <c r="GN318" s="274"/>
      <c r="GO318" s="274"/>
      <c r="GP318" s="274"/>
      <c r="GQ318" s="274"/>
      <c r="GR318" s="274"/>
      <c r="GS318" s="274"/>
      <c r="GT318" s="274"/>
      <c r="GU318" s="274"/>
      <c r="GV318" s="274"/>
      <c r="GW318" s="274"/>
      <c r="GX318" s="274"/>
      <c r="GY318" s="274"/>
      <c r="GZ318" s="274"/>
      <c r="HA318" s="274"/>
      <c r="HB318" s="274"/>
      <c r="HC318" s="274"/>
      <c r="HD318" s="274"/>
      <c r="HE318" s="274"/>
      <c r="HF318" s="274"/>
      <c r="HG318" s="274"/>
      <c r="HH318" s="274"/>
      <c r="HI318" s="274"/>
      <c r="HJ318" s="274"/>
      <c r="HK318" s="274"/>
      <c r="HL318" s="274"/>
      <c r="HM318" s="274"/>
      <c r="HN318" s="274"/>
      <c r="HO318" s="274"/>
      <c r="HP318" s="274"/>
      <c r="HQ318" s="274"/>
      <c r="HR318" s="274"/>
      <c r="HS318" s="274"/>
      <c r="HT318" s="274"/>
      <c r="HU318" s="274"/>
      <c r="HV318" s="274"/>
      <c r="HW318" s="274"/>
      <c r="HX318" s="274"/>
      <c r="HY318" s="274"/>
      <c r="HZ318" s="274"/>
      <c r="IA318" s="274"/>
      <c r="IB318" s="274"/>
      <c r="IC318" s="274"/>
      <c r="ID318" s="274"/>
      <c r="IE318" s="274"/>
      <c r="IF318" s="274"/>
      <c r="IG318" s="274"/>
      <c r="IH318" s="274"/>
      <c r="II318" s="274"/>
      <c r="IJ318" s="274"/>
      <c r="IK318" s="274"/>
      <c r="IL318" s="274"/>
      <c r="IM318" s="274"/>
      <c r="IN318" s="274"/>
      <c r="IO318" s="274"/>
      <c r="IP318" s="274"/>
      <c r="IQ318" s="274"/>
      <c r="IR318" s="274"/>
      <c r="IS318" s="274"/>
      <c r="IT318" s="274"/>
      <c r="IU318" s="274"/>
      <c r="IV318" s="274"/>
      <c r="IW318" s="274"/>
      <c r="IX318" s="274"/>
      <c r="IY318" s="274"/>
      <c r="IZ318" s="274"/>
      <c r="JA318" s="274"/>
      <c r="JB318" s="274"/>
      <c r="JC318" s="274"/>
      <c r="JD318" s="274"/>
      <c r="JE318" s="274"/>
      <c r="JF318" s="274"/>
      <c r="JG318" s="274"/>
      <c r="JH318" s="274"/>
      <c r="JI318" s="274"/>
      <c r="JJ318" s="274"/>
      <c r="JK318" s="274"/>
      <c r="JL318" s="274"/>
      <c r="JM318" s="274"/>
      <c r="JN318" s="274"/>
      <c r="JO318" s="274"/>
      <c r="JP318" s="274"/>
      <c r="JQ318" s="274"/>
      <c r="JR318" s="274"/>
      <c r="JS318" s="274"/>
      <c r="JT318" s="274"/>
      <c r="JU318" s="274"/>
      <c r="JV318" s="274"/>
      <c r="JW318" s="274"/>
      <c r="JX318" s="274"/>
      <c r="JY318" s="274"/>
      <c r="JZ318" s="274"/>
      <c r="KA318" s="274"/>
      <c r="KB318" s="274"/>
      <c r="KC318" s="274"/>
      <c r="KD318" s="274"/>
      <c r="KE318" s="274"/>
      <c r="KF318" s="274"/>
      <c r="KG318" s="274"/>
      <c r="KH318" s="274"/>
      <c r="KI318" s="274"/>
      <c r="KJ318" s="274"/>
      <c r="KK318" s="274"/>
      <c r="KL318" s="274"/>
      <c r="KM318" s="274"/>
      <c r="KN318" s="274"/>
      <c r="KO318" s="274"/>
      <c r="KP318" s="274"/>
      <c r="KQ318" s="274"/>
      <c r="KR318" s="274"/>
      <c r="KS318" s="274"/>
      <c r="KT318" s="274"/>
      <c r="KU318" s="274"/>
      <c r="KV318" s="274"/>
      <c r="KW318" s="274"/>
      <c r="KX318" s="274"/>
      <c r="KY318" s="274"/>
      <c r="KZ318" s="274"/>
      <c r="LA318" s="274"/>
      <c r="LB318" s="274"/>
      <c r="LC318" s="274"/>
      <c r="LD318" s="274"/>
      <c r="LE318" s="274"/>
      <c r="LF318" s="274"/>
      <c r="LG318" s="274"/>
      <c r="LH318" s="274"/>
      <c r="LI318" s="274"/>
      <c r="LJ318" s="274"/>
      <c r="LK318" s="274"/>
      <c r="LL318" s="274"/>
      <c r="LM318" s="274"/>
      <c r="LN318" s="274"/>
      <c r="LO318" s="274"/>
      <c r="LP318" s="274"/>
      <c r="LQ318" s="274"/>
      <c r="LR318" s="274"/>
      <c r="LS318" s="274"/>
      <c r="LT318" s="274"/>
      <c r="LU318" s="274"/>
      <c r="LV318" s="274"/>
      <c r="LW318" s="274"/>
      <c r="LX318" s="274"/>
      <c r="LY318" s="274"/>
      <c r="LZ318" s="274"/>
      <c r="MA318" s="274"/>
      <c r="MB318" s="274"/>
      <c r="MC318" s="274"/>
      <c r="MD318" s="274"/>
      <c r="ME318" s="274"/>
      <c r="MF318" s="274"/>
      <c r="MG318" s="274"/>
      <c r="MH318" s="274"/>
      <c r="MI318" s="274"/>
      <c r="MJ318" s="274"/>
      <c r="MK318" s="274"/>
      <c r="ML318" s="274"/>
      <c r="MM318" s="274"/>
      <c r="MN318" s="274"/>
      <c r="MO318" s="274"/>
      <c r="MP318" s="274"/>
      <c r="MQ318" s="274"/>
      <c r="MR318" s="274"/>
      <c r="MS318" s="274"/>
      <c r="MT318" s="274"/>
      <c r="MU318" s="274"/>
      <c r="MV318" s="274"/>
      <c r="MW318" s="274"/>
      <c r="MX318" s="274"/>
      <c r="MY318" s="274"/>
      <c r="MZ318" s="274"/>
      <c r="NA318" s="274"/>
      <c r="NB318" s="274"/>
      <c r="NC318" s="274"/>
      <c r="ND318" s="274"/>
      <c r="NE318" s="274"/>
      <c r="NF318" s="274"/>
      <c r="NG318" s="274"/>
      <c r="NH318" s="274"/>
      <c r="NI318" s="274"/>
      <c r="NJ318" s="274"/>
      <c r="NK318" s="274"/>
      <c r="NL318" s="274"/>
      <c r="NM318" s="274"/>
      <c r="NN318" s="274"/>
      <c r="NO318" s="274"/>
      <c r="NP318" s="274"/>
      <c r="NQ318" s="274"/>
      <c r="NR318" s="274"/>
      <c r="NS318" s="274"/>
      <c r="NT318" s="274"/>
      <c r="NU318" s="274"/>
      <c r="NV318" s="274"/>
      <c r="NW318" s="274"/>
      <c r="NX318" s="274"/>
      <c r="NY318" s="274"/>
      <c r="NZ318" s="274"/>
      <c r="OA318" s="274"/>
      <c r="OB318" s="274"/>
      <c r="OC318" s="274"/>
      <c r="OD318" s="274"/>
      <c r="OE318" s="274"/>
      <c r="OF318" s="274"/>
      <c r="OG318" s="274"/>
      <c r="OH318" s="274"/>
      <c r="OI318" s="274"/>
      <c r="OJ318" s="274"/>
      <c r="OK318" s="274"/>
      <c r="OL318" s="274"/>
      <c r="OM318" s="274"/>
      <c r="ON318" s="274"/>
      <c r="OO318" s="274"/>
      <c r="OP318" s="274"/>
      <c r="OQ318" s="274"/>
      <c r="OR318" s="274"/>
      <c r="OS318" s="274"/>
      <c r="OT318" s="274"/>
      <c r="OU318" s="274"/>
      <c r="OV318" s="274"/>
      <c r="OW318" s="274"/>
      <c r="OX318" s="274"/>
      <c r="OY318" s="274"/>
      <c r="OZ318" s="274"/>
      <c r="PA318" s="274"/>
      <c r="PB318" s="274"/>
      <c r="PC318" s="274"/>
      <c r="PD318" s="274"/>
      <c r="PE318" s="274"/>
      <c r="PF318" s="274"/>
      <c r="PG318" s="274"/>
      <c r="PH318" s="274"/>
      <c r="PI318" s="274"/>
      <c r="PJ318" s="274"/>
      <c r="PK318" s="274"/>
      <c r="PL318" s="274"/>
      <c r="PM318" s="274"/>
      <c r="PN318" s="274"/>
      <c r="PO318" s="274"/>
      <c r="PP318" s="274"/>
      <c r="PQ318" s="274"/>
      <c r="PR318" s="274"/>
      <c r="PS318" s="274"/>
      <c r="PT318" s="274"/>
      <c r="PU318" s="274"/>
      <c r="PV318" s="274"/>
      <c r="PW318" s="274"/>
      <c r="PX318" s="274"/>
      <c r="PY318" s="274"/>
      <c r="PZ318" s="274"/>
      <c r="QA318" s="274"/>
      <c r="QB318" s="274"/>
      <c r="QC318" s="274"/>
      <c r="QD318" s="274"/>
      <c r="QE318" s="274"/>
      <c r="QF318" s="274"/>
      <c r="QG318" s="274"/>
      <c r="QH318" s="274"/>
      <c r="QI318" s="274"/>
      <c r="QJ318" s="274"/>
      <c r="QK318" s="274"/>
      <c r="QL318" s="274"/>
      <c r="QM318" s="274"/>
      <c r="QN318" s="274"/>
      <c r="QO318" s="274"/>
      <c r="QP318" s="274"/>
      <c r="QQ318" s="274"/>
      <c r="QR318" s="274"/>
      <c r="QS318" s="274"/>
      <c r="QT318" s="274"/>
      <c r="QU318" s="274"/>
      <c r="QV318" s="274"/>
      <c r="QW318" s="274"/>
      <c r="QX318" s="274"/>
      <c r="QY318" s="274"/>
      <c r="QZ318" s="274"/>
      <c r="RA318" s="274"/>
      <c r="RB318" s="274"/>
      <c r="RC318" s="274"/>
    </row>
    <row r="319" spans="112:471">
      <c r="DH319" s="274"/>
      <c r="DI319" s="274"/>
      <c r="DJ319" s="274"/>
      <c r="DK319" s="274"/>
      <c r="DL319" s="274"/>
      <c r="DM319" s="274"/>
      <c r="DN319" s="274"/>
      <c r="DO319" s="274"/>
      <c r="DP319" s="274"/>
      <c r="DQ319" s="274"/>
      <c r="DR319" s="274"/>
      <c r="DS319" s="274"/>
      <c r="DT319" s="274"/>
      <c r="DU319" s="274"/>
      <c r="DV319" s="274"/>
      <c r="DW319" s="274"/>
      <c r="DX319" s="274"/>
      <c r="DY319" s="274"/>
      <c r="DZ319" s="274"/>
      <c r="EA319" s="274"/>
      <c r="EB319" s="274"/>
      <c r="EC319" s="274"/>
      <c r="ED319" s="274"/>
      <c r="EE319" s="274"/>
      <c r="EF319" s="274"/>
      <c r="EG319" s="274"/>
      <c r="EH319" s="274"/>
      <c r="EI319" s="274"/>
      <c r="EJ319" s="274"/>
      <c r="EK319" s="274"/>
      <c r="EL319" s="274"/>
      <c r="EM319" s="274"/>
      <c r="EN319" s="274"/>
      <c r="EO319" s="274"/>
      <c r="EP319" s="274"/>
      <c r="EQ319" s="274"/>
      <c r="ER319" s="274"/>
      <c r="ES319" s="274"/>
      <c r="ET319" s="274"/>
      <c r="EU319" s="274"/>
      <c r="EV319" s="274"/>
      <c r="EW319" s="274"/>
      <c r="EX319" s="274"/>
      <c r="EY319" s="274"/>
      <c r="EZ319" s="274"/>
      <c r="FA319" s="274"/>
      <c r="FB319" s="274"/>
      <c r="FC319" s="274"/>
      <c r="FD319" s="274"/>
      <c r="FE319" s="274"/>
      <c r="FF319" s="274"/>
      <c r="FG319" s="274"/>
      <c r="FH319" s="274"/>
      <c r="FI319" s="274"/>
      <c r="FJ319" s="274"/>
      <c r="FK319" s="274"/>
      <c r="FL319" s="274"/>
      <c r="FM319" s="274"/>
      <c r="FN319" s="274"/>
      <c r="FO319" s="274"/>
      <c r="FP319" s="274"/>
      <c r="FQ319" s="274"/>
      <c r="FR319" s="274"/>
      <c r="FS319" s="274"/>
      <c r="FT319" s="274"/>
      <c r="FU319" s="274"/>
      <c r="FV319" s="274"/>
      <c r="FW319" s="274"/>
      <c r="FX319" s="274"/>
      <c r="FY319" s="274"/>
      <c r="FZ319" s="274"/>
      <c r="GA319" s="274"/>
      <c r="GB319" s="274"/>
      <c r="GC319" s="274"/>
      <c r="GD319" s="274"/>
      <c r="GE319" s="274"/>
      <c r="GF319" s="274"/>
      <c r="GG319" s="274"/>
      <c r="GH319" s="274"/>
      <c r="GI319" s="274"/>
      <c r="GJ319" s="274"/>
      <c r="GK319" s="274"/>
      <c r="GL319" s="274"/>
      <c r="GM319" s="274"/>
      <c r="GN319" s="274"/>
      <c r="GO319" s="274"/>
      <c r="GP319" s="274"/>
      <c r="GQ319" s="274"/>
      <c r="GR319" s="274"/>
      <c r="GS319" s="274"/>
      <c r="GT319" s="274"/>
      <c r="GU319" s="274"/>
      <c r="GV319" s="274"/>
      <c r="GW319" s="274"/>
      <c r="GX319" s="274"/>
      <c r="GY319" s="274"/>
      <c r="GZ319" s="274"/>
      <c r="HA319" s="274"/>
      <c r="HB319" s="274"/>
      <c r="HC319" s="274"/>
      <c r="HD319" s="274"/>
      <c r="HE319" s="274"/>
      <c r="HF319" s="274"/>
      <c r="HG319" s="274"/>
      <c r="HH319" s="274"/>
      <c r="HI319" s="274"/>
      <c r="HJ319" s="274"/>
      <c r="HK319" s="274"/>
      <c r="HL319" s="274"/>
      <c r="HM319" s="274"/>
      <c r="HN319" s="274"/>
      <c r="HO319" s="274"/>
      <c r="HP319" s="274"/>
      <c r="HQ319" s="274"/>
      <c r="HR319" s="274"/>
      <c r="HS319" s="274"/>
      <c r="HT319" s="274"/>
      <c r="HU319" s="274"/>
      <c r="HV319" s="274"/>
      <c r="HW319" s="274"/>
      <c r="HX319" s="274"/>
      <c r="HY319" s="274"/>
      <c r="HZ319" s="274"/>
      <c r="IA319" s="274"/>
      <c r="IB319" s="274"/>
      <c r="IC319" s="274"/>
      <c r="ID319" s="274"/>
      <c r="IE319" s="274"/>
      <c r="IF319" s="274"/>
      <c r="IG319" s="274"/>
      <c r="IH319" s="274"/>
      <c r="II319" s="274"/>
      <c r="IJ319" s="274"/>
      <c r="IK319" s="274"/>
      <c r="IL319" s="274"/>
      <c r="IM319" s="274"/>
      <c r="IN319" s="274"/>
      <c r="IO319" s="274"/>
      <c r="IP319" s="274"/>
      <c r="IQ319" s="274"/>
      <c r="IR319" s="274"/>
      <c r="IS319" s="274"/>
      <c r="IT319" s="274"/>
      <c r="IU319" s="274"/>
      <c r="IV319" s="274"/>
      <c r="IW319" s="274"/>
      <c r="IX319" s="274"/>
      <c r="IY319" s="274"/>
      <c r="IZ319" s="274"/>
      <c r="JA319" s="274"/>
      <c r="JB319" s="274"/>
      <c r="JC319" s="274"/>
      <c r="JD319" s="274"/>
      <c r="JE319" s="274"/>
      <c r="JF319" s="274"/>
      <c r="JG319" s="274"/>
      <c r="JH319" s="274"/>
      <c r="JI319" s="274"/>
      <c r="JJ319" s="274"/>
      <c r="JK319" s="274"/>
      <c r="JL319" s="274"/>
      <c r="JM319" s="274"/>
      <c r="JN319" s="274"/>
      <c r="JO319" s="274"/>
      <c r="JP319" s="274"/>
      <c r="JQ319" s="274"/>
      <c r="JR319" s="274"/>
      <c r="JS319" s="274"/>
      <c r="JT319" s="274"/>
      <c r="JU319" s="274"/>
      <c r="JV319" s="274"/>
      <c r="JW319" s="274"/>
      <c r="JX319" s="274"/>
      <c r="JY319" s="274"/>
      <c r="JZ319" s="274"/>
      <c r="KA319" s="274"/>
      <c r="KB319" s="274"/>
      <c r="KC319" s="274"/>
      <c r="KD319" s="274"/>
      <c r="KE319" s="274"/>
      <c r="KF319" s="274"/>
      <c r="KG319" s="274"/>
      <c r="KH319" s="274"/>
      <c r="KI319" s="274"/>
      <c r="KJ319" s="274"/>
      <c r="KK319" s="274"/>
      <c r="KL319" s="274"/>
      <c r="KM319" s="274"/>
      <c r="KN319" s="274"/>
      <c r="KO319" s="274"/>
      <c r="KP319" s="274"/>
      <c r="KQ319" s="274"/>
      <c r="KR319" s="274"/>
      <c r="KS319" s="274"/>
      <c r="KT319" s="274"/>
      <c r="KU319" s="274"/>
      <c r="KV319" s="274"/>
      <c r="KW319" s="274"/>
      <c r="KX319" s="274"/>
      <c r="KY319" s="274"/>
      <c r="KZ319" s="274"/>
      <c r="LA319" s="274"/>
      <c r="LB319" s="274"/>
      <c r="LC319" s="274"/>
      <c r="LD319" s="274"/>
      <c r="LE319" s="274"/>
      <c r="LF319" s="274"/>
      <c r="LG319" s="274"/>
      <c r="LH319" s="274"/>
      <c r="LI319" s="274"/>
      <c r="LJ319" s="274"/>
      <c r="LK319" s="274"/>
      <c r="LL319" s="274"/>
      <c r="LM319" s="274"/>
      <c r="LN319" s="274"/>
      <c r="LO319" s="274"/>
      <c r="LP319" s="274"/>
      <c r="LQ319" s="274"/>
      <c r="LR319" s="274"/>
      <c r="LS319" s="274"/>
      <c r="LT319" s="274"/>
      <c r="LU319" s="274"/>
      <c r="LV319" s="274"/>
      <c r="LW319" s="274"/>
      <c r="LX319" s="274"/>
      <c r="LY319" s="274"/>
      <c r="LZ319" s="274"/>
      <c r="MA319" s="274"/>
      <c r="MB319" s="274"/>
      <c r="MC319" s="274"/>
      <c r="MD319" s="274"/>
      <c r="ME319" s="274"/>
      <c r="MF319" s="274"/>
      <c r="MG319" s="274"/>
      <c r="MH319" s="274"/>
      <c r="MI319" s="274"/>
      <c r="MJ319" s="274"/>
      <c r="MK319" s="274"/>
      <c r="ML319" s="274"/>
      <c r="MM319" s="274"/>
      <c r="MN319" s="274"/>
      <c r="MO319" s="274"/>
      <c r="MP319" s="274"/>
      <c r="MQ319" s="274"/>
      <c r="MR319" s="274"/>
      <c r="MS319" s="274"/>
      <c r="MT319" s="274"/>
      <c r="MU319" s="274"/>
      <c r="MV319" s="274"/>
      <c r="MW319" s="274"/>
      <c r="MX319" s="274"/>
      <c r="MY319" s="274"/>
      <c r="MZ319" s="274"/>
      <c r="NA319" s="274"/>
      <c r="NB319" s="274"/>
      <c r="NC319" s="274"/>
      <c r="ND319" s="274"/>
      <c r="NE319" s="274"/>
      <c r="NF319" s="274"/>
      <c r="NG319" s="274"/>
      <c r="NH319" s="274"/>
      <c r="NI319" s="274"/>
      <c r="NJ319" s="274"/>
      <c r="NK319" s="274"/>
      <c r="NL319" s="274"/>
      <c r="NM319" s="274"/>
      <c r="NN319" s="274"/>
      <c r="NO319" s="274"/>
      <c r="NP319" s="274"/>
      <c r="NQ319" s="274"/>
      <c r="NR319" s="274"/>
      <c r="NS319" s="274"/>
      <c r="NT319" s="274"/>
      <c r="NU319" s="274"/>
      <c r="NV319" s="274"/>
      <c r="NW319" s="274"/>
      <c r="NX319" s="274"/>
      <c r="NY319" s="274"/>
      <c r="NZ319" s="274"/>
      <c r="OA319" s="274"/>
      <c r="OB319" s="274"/>
      <c r="OC319" s="274"/>
      <c r="OD319" s="274"/>
      <c r="OE319" s="274"/>
      <c r="OF319" s="274"/>
      <c r="OG319" s="274"/>
      <c r="OH319" s="274"/>
      <c r="OI319" s="274"/>
      <c r="OJ319" s="274"/>
      <c r="OK319" s="274"/>
      <c r="OL319" s="274"/>
      <c r="OM319" s="274"/>
      <c r="ON319" s="274"/>
      <c r="OO319" s="274"/>
      <c r="OP319" s="274"/>
      <c r="OQ319" s="274"/>
      <c r="OR319" s="274"/>
      <c r="OS319" s="274"/>
      <c r="OT319" s="274"/>
      <c r="OU319" s="274"/>
      <c r="OV319" s="274"/>
      <c r="OW319" s="274"/>
      <c r="OX319" s="274"/>
      <c r="OY319" s="274"/>
      <c r="OZ319" s="274"/>
      <c r="PA319" s="274"/>
      <c r="PB319" s="274"/>
      <c r="PC319" s="274"/>
      <c r="PD319" s="274"/>
      <c r="PE319" s="274"/>
      <c r="PF319" s="274"/>
      <c r="PG319" s="274"/>
      <c r="PH319" s="274"/>
      <c r="PI319" s="274"/>
      <c r="PJ319" s="274"/>
      <c r="PK319" s="274"/>
      <c r="PL319" s="274"/>
      <c r="PM319" s="274"/>
      <c r="PN319" s="274"/>
      <c r="PO319" s="274"/>
      <c r="PP319" s="274"/>
      <c r="PQ319" s="274"/>
      <c r="PR319" s="274"/>
      <c r="PS319" s="274"/>
      <c r="PT319" s="274"/>
      <c r="PU319" s="274"/>
      <c r="PV319" s="274"/>
      <c r="PW319" s="274"/>
      <c r="PX319" s="274"/>
      <c r="PY319" s="274"/>
      <c r="PZ319" s="274"/>
      <c r="QA319" s="274"/>
      <c r="QB319" s="274"/>
      <c r="QC319" s="274"/>
      <c r="QD319" s="274"/>
      <c r="QE319" s="274"/>
      <c r="QF319" s="274"/>
      <c r="QG319" s="274"/>
      <c r="QH319" s="274"/>
      <c r="QI319" s="274"/>
      <c r="QJ319" s="274"/>
      <c r="QK319" s="274"/>
      <c r="QL319" s="274"/>
      <c r="QM319" s="274"/>
      <c r="QN319" s="274"/>
      <c r="QO319" s="274"/>
      <c r="QP319" s="274"/>
      <c r="QQ319" s="274"/>
      <c r="QR319" s="274"/>
      <c r="QS319" s="274"/>
      <c r="QT319" s="274"/>
      <c r="QU319" s="274"/>
      <c r="QV319" s="274"/>
      <c r="QW319" s="274"/>
      <c r="QX319" s="274"/>
      <c r="QY319" s="274"/>
      <c r="QZ319" s="274"/>
      <c r="RA319" s="274"/>
      <c r="RB319" s="274"/>
      <c r="RC319" s="274"/>
    </row>
    <row r="320" spans="112:471" ht="17.25">
      <c r="DH320" s="274"/>
      <c r="DI320" s="274"/>
      <c r="DJ320" s="978"/>
      <c r="DK320" s="274"/>
      <c r="DL320" s="274"/>
      <c r="DM320" s="274"/>
      <c r="DN320" s="274"/>
      <c r="DO320" s="274"/>
      <c r="DP320" s="274"/>
      <c r="DQ320" s="274"/>
      <c r="DR320" s="274"/>
      <c r="DS320" s="274"/>
      <c r="DT320" s="274"/>
      <c r="DU320" s="274"/>
      <c r="DV320" s="274"/>
      <c r="DW320" s="274"/>
      <c r="DX320" s="274"/>
      <c r="DY320" s="274"/>
      <c r="DZ320" s="274"/>
      <c r="EA320" s="274"/>
      <c r="EB320" s="274"/>
      <c r="EC320" s="274"/>
      <c r="ED320" s="274"/>
      <c r="EE320" s="274"/>
      <c r="EF320" s="274"/>
      <c r="EG320" s="274"/>
      <c r="EH320" s="274"/>
      <c r="EI320" s="274"/>
      <c r="EJ320" s="274"/>
      <c r="EK320" s="274"/>
      <c r="EL320" s="274"/>
      <c r="EM320" s="274"/>
      <c r="EN320" s="274"/>
      <c r="EO320" s="274"/>
      <c r="EP320" s="274"/>
      <c r="EQ320" s="274"/>
      <c r="ER320" s="274"/>
      <c r="ES320" s="274"/>
      <c r="ET320" s="274"/>
      <c r="EU320" s="274"/>
      <c r="EV320" s="274"/>
      <c r="EW320" s="274"/>
      <c r="EX320" s="274"/>
      <c r="EY320" s="274"/>
      <c r="EZ320" s="274"/>
      <c r="FA320" s="274"/>
      <c r="FB320" s="274"/>
      <c r="FC320" s="274"/>
      <c r="FD320" s="274"/>
      <c r="FE320" s="274"/>
      <c r="FF320" s="274"/>
      <c r="FG320" s="274"/>
      <c r="FH320" s="274"/>
      <c r="FI320" s="274"/>
      <c r="FJ320" s="274"/>
      <c r="FK320" s="274"/>
      <c r="FL320" s="274"/>
      <c r="FM320" s="274"/>
      <c r="FN320" s="274"/>
      <c r="FO320" s="274"/>
      <c r="FP320" s="274"/>
      <c r="FQ320" s="274"/>
      <c r="FR320" s="274"/>
      <c r="FS320" s="274"/>
      <c r="FT320" s="274"/>
      <c r="FU320" s="274"/>
      <c r="FV320" s="274"/>
      <c r="FW320" s="274"/>
      <c r="FX320" s="274"/>
      <c r="FY320" s="274"/>
      <c r="FZ320" s="274"/>
      <c r="GA320" s="274"/>
      <c r="GB320" s="274"/>
      <c r="GC320" s="274"/>
      <c r="GD320" s="274"/>
      <c r="GE320" s="274"/>
      <c r="GF320" s="274"/>
      <c r="GG320" s="274"/>
      <c r="GH320" s="274"/>
      <c r="GI320" s="274"/>
      <c r="GJ320" s="274"/>
      <c r="GK320" s="274"/>
      <c r="GL320" s="274"/>
      <c r="GM320" s="274"/>
      <c r="GN320" s="274"/>
      <c r="GO320" s="274"/>
      <c r="GP320" s="274"/>
      <c r="GQ320" s="274"/>
      <c r="GR320" s="274"/>
      <c r="GS320" s="274"/>
      <c r="GT320" s="274"/>
      <c r="GU320" s="274"/>
      <c r="GV320" s="274"/>
      <c r="GW320" s="274"/>
      <c r="GX320" s="274"/>
      <c r="GY320" s="274"/>
      <c r="GZ320" s="274"/>
      <c r="HA320" s="274"/>
      <c r="HB320" s="274"/>
      <c r="HC320" s="274"/>
      <c r="HD320" s="274"/>
      <c r="HE320" s="274"/>
      <c r="HF320" s="274"/>
      <c r="HG320" s="274"/>
      <c r="HH320" s="274"/>
      <c r="HI320" s="274"/>
      <c r="HJ320" s="274"/>
      <c r="HK320" s="274"/>
      <c r="HL320" s="274"/>
      <c r="HM320" s="274"/>
      <c r="HN320" s="274"/>
      <c r="HO320" s="274"/>
      <c r="HP320" s="274"/>
      <c r="HQ320" s="274"/>
      <c r="HR320" s="274"/>
      <c r="HS320" s="274"/>
      <c r="HT320" s="274"/>
      <c r="HU320" s="274"/>
      <c r="HV320" s="274"/>
      <c r="HW320" s="274"/>
      <c r="HX320" s="274"/>
      <c r="HY320" s="274"/>
      <c r="HZ320" s="274"/>
      <c r="IA320" s="274"/>
      <c r="IB320" s="274"/>
      <c r="IC320" s="274"/>
      <c r="ID320" s="274"/>
      <c r="IE320" s="274"/>
      <c r="IF320" s="274"/>
      <c r="IG320" s="274"/>
      <c r="IH320" s="274"/>
      <c r="II320" s="274"/>
      <c r="IJ320" s="274"/>
      <c r="IK320" s="274"/>
      <c r="IL320" s="274"/>
      <c r="IM320" s="274"/>
      <c r="IN320" s="274"/>
      <c r="IO320" s="274"/>
      <c r="IP320" s="274"/>
      <c r="IQ320" s="274"/>
      <c r="IR320" s="274"/>
      <c r="IS320" s="274"/>
      <c r="IT320" s="274"/>
      <c r="IU320" s="274"/>
      <c r="IV320" s="274"/>
      <c r="IW320" s="274"/>
      <c r="IX320" s="274"/>
      <c r="IY320" s="274"/>
      <c r="IZ320" s="274"/>
      <c r="JA320" s="274"/>
      <c r="JB320" s="274"/>
      <c r="JC320" s="274"/>
      <c r="JD320" s="274"/>
      <c r="JE320" s="274"/>
      <c r="JF320" s="274"/>
      <c r="JG320" s="274"/>
      <c r="JH320" s="274"/>
      <c r="JI320" s="274"/>
      <c r="JJ320" s="274"/>
      <c r="JK320" s="274"/>
      <c r="JL320" s="274"/>
      <c r="JM320" s="274"/>
      <c r="JN320" s="274"/>
      <c r="JO320" s="274"/>
      <c r="JP320" s="274"/>
      <c r="JQ320" s="274"/>
      <c r="JR320" s="274"/>
      <c r="JS320" s="274"/>
      <c r="JT320" s="274"/>
      <c r="JU320" s="274"/>
      <c r="JV320" s="274"/>
      <c r="JW320" s="274"/>
      <c r="JX320" s="274"/>
      <c r="JY320" s="274"/>
      <c r="JZ320" s="274"/>
      <c r="KA320" s="274"/>
      <c r="KB320" s="274"/>
      <c r="KC320" s="274"/>
      <c r="KD320" s="274"/>
      <c r="KE320" s="274"/>
      <c r="KF320" s="274"/>
      <c r="KG320" s="274"/>
      <c r="KH320" s="274"/>
      <c r="KI320" s="274"/>
      <c r="KJ320" s="274"/>
      <c r="KK320" s="274"/>
      <c r="KL320" s="274"/>
      <c r="KM320" s="274"/>
      <c r="KN320" s="274"/>
      <c r="KO320" s="274"/>
      <c r="KP320" s="274"/>
      <c r="KQ320" s="274"/>
      <c r="KR320" s="274"/>
      <c r="KS320" s="274"/>
      <c r="KT320" s="274"/>
      <c r="KU320" s="274"/>
      <c r="KV320" s="274"/>
      <c r="KW320" s="274"/>
      <c r="KX320" s="274"/>
      <c r="KY320" s="274"/>
      <c r="KZ320" s="274"/>
      <c r="LA320" s="274"/>
      <c r="LB320" s="274"/>
      <c r="LC320" s="274"/>
      <c r="LD320" s="274"/>
      <c r="LE320" s="274"/>
      <c r="LF320" s="274"/>
      <c r="LG320" s="274"/>
      <c r="LH320" s="274"/>
      <c r="LI320" s="274"/>
      <c r="LJ320" s="274"/>
      <c r="LK320" s="274"/>
      <c r="LL320" s="274"/>
      <c r="LM320" s="274"/>
      <c r="LN320" s="274"/>
      <c r="LO320" s="274"/>
      <c r="LP320" s="274"/>
      <c r="LQ320" s="274"/>
      <c r="LR320" s="274"/>
      <c r="LS320" s="274"/>
      <c r="LT320" s="274"/>
      <c r="LU320" s="274"/>
      <c r="LV320" s="274"/>
      <c r="LW320" s="274"/>
      <c r="LX320" s="274"/>
      <c r="LY320" s="274"/>
      <c r="LZ320" s="274"/>
      <c r="MA320" s="274"/>
      <c r="MB320" s="274"/>
      <c r="MC320" s="274"/>
      <c r="MD320" s="274"/>
      <c r="ME320" s="274"/>
      <c r="MF320" s="274"/>
      <c r="MG320" s="274"/>
      <c r="MH320" s="274"/>
      <c r="MI320" s="274"/>
      <c r="MJ320" s="274"/>
      <c r="MK320" s="274"/>
      <c r="ML320" s="274"/>
      <c r="MM320" s="274"/>
      <c r="MN320" s="274"/>
      <c r="MO320" s="274"/>
      <c r="MP320" s="274"/>
      <c r="MQ320" s="274"/>
      <c r="MR320" s="274"/>
      <c r="MS320" s="274"/>
      <c r="MT320" s="274"/>
      <c r="MU320" s="274"/>
      <c r="MV320" s="274"/>
      <c r="MW320" s="274"/>
      <c r="MX320" s="274"/>
      <c r="MY320" s="274"/>
      <c r="MZ320" s="274"/>
      <c r="NA320" s="274"/>
      <c r="NB320" s="274"/>
      <c r="NC320" s="274"/>
      <c r="ND320" s="274"/>
      <c r="NE320" s="274"/>
      <c r="NF320" s="274"/>
      <c r="NG320" s="274"/>
      <c r="NH320" s="274"/>
      <c r="NI320" s="274"/>
      <c r="NJ320" s="274"/>
      <c r="NK320" s="274"/>
      <c r="NL320" s="274"/>
      <c r="NM320" s="274"/>
      <c r="NN320" s="274"/>
      <c r="NO320" s="274"/>
      <c r="NP320" s="274"/>
      <c r="NQ320" s="274"/>
      <c r="NR320" s="274"/>
      <c r="NS320" s="274"/>
      <c r="NT320" s="274"/>
      <c r="NU320" s="274"/>
      <c r="NV320" s="274"/>
      <c r="NW320" s="274"/>
      <c r="NX320" s="274"/>
      <c r="NY320" s="274"/>
      <c r="NZ320" s="274"/>
      <c r="OA320" s="274"/>
      <c r="OB320" s="274"/>
      <c r="OC320" s="274"/>
      <c r="OD320" s="274"/>
      <c r="OE320" s="274"/>
      <c r="OF320" s="274"/>
      <c r="OG320" s="274"/>
      <c r="OH320" s="274"/>
      <c r="OI320" s="274"/>
      <c r="OJ320" s="274"/>
      <c r="OK320" s="274"/>
      <c r="OL320" s="274"/>
      <c r="OM320" s="274"/>
      <c r="ON320" s="274"/>
      <c r="OO320" s="274"/>
      <c r="OP320" s="274"/>
      <c r="OQ320" s="274"/>
      <c r="OR320" s="274"/>
      <c r="OS320" s="274"/>
      <c r="OT320" s="274"/>
      <c r="OU320" s="274"/>
      <c r="OV320" s="274"/>
      <c r="OW320" s="274"/>
      <c r="OX320" s="274"/>
      <c r="OY320" s="274"/>
      <c r="OZ320" s="274"/>
      <c r="PA320" s="274"/>
      <c r="PB320" s="274"/>
      <c r="PC320" s="274"/>
      <c r="PD320" s="274"/>
      <c r="PE320" s="274"/>
      <c r="PF320" s="274"/>
      <c r="PG320" s="274"/>
      <c r="PH320" s="274"/>
      <c r="PI320" s="274"/>
      <c r="PJ320" s="274"/>
      <c r="PK320" s="274"/>
      <c r="PL320" s="274"/>
      <c r="PM320" s="274"/>
      <c r="PN320" s="274"/>
      <c r="PO320" s="274"/>
      <c r="PP320" s="274"/>
      <c r="PQ320" s="274"/>
      <c r="PR320" s="274"/>
      <c r="PS320" s="274"/>
      <c r="PT320" s="274"/>
      <c r="PU320" s="274"/>
      <c r="PV320" s="274"/>
      <c r="PW320" s="274"/>
      <c r="PX320" s="274"/>
      <c r="PY320" s="274"/>
      <c r="PZ320" s="274"/>
      <c r="QA320" s="274"/>
      <c r="QB320" s="274"/>
      <c r="QC320" s="274"/>
      <c r="QD320" s="274"/>
      <c r="QE320" s="274"/>
      <c r="QF320" s="274"/>
      <c r="QG320" s="274"/>
      <c r="QH320" s="274"/>
      <c r="QI320" s="274"/>
      <c r="QJ320" s="274"/>
      <c r="QK320" s="274"/>
      <c r="QL320" s="274"/>
      <c r="QM320" s="274"/>
      <c r="QN320" s="274"/>
      <c r="QO320" s="274"/>
      <c r="QP320" s="274"/>
      <c r="QQ320" s="274"/>
      <c r="QR320" s="274"/>
      <c r="QS320" s="274"/>
      <c r="QT320" s="274"/>
      <c r="QU320" s="274"/>
      <c r="QV320" s="274"/>
      <c r="QW320" s="274"/>
      <c r="QX320" s="274"/>
      <c r="QY320" s="274"/>
      <c r="QZ320" s="274"/>
      <c r="RA320" s="274"/>
      <c r="RB320" s="274"/>
      <c r="RC320" s="274"/>
    </row>
    <row r="321" spans="112:471" ht="17.25">
      <c r="DH321" s="274"/>
      <c r="DI321" s="274"/>
      <c r="DJ321" s="978"/>
      <c r="DK321" s="978"/>
      <c r="DL321" s="978"/>
      <c r="DM321" s="978"/>
      <c r="DN321" s="978"/>
      <c r="DO321" s="978"/>
      <c r="DP321" s="978"/>
      <c r="DQ321" s="978"/>
      <c r="DR321" s="978"/>
      <c r="DS321" s="978"/>
      <c r="DT321" s="978"/>
      <c r="DU321" s="978"/>
      <c r="DV321" s="978"/>
      <c r="DW321" s="978"/>
      <c r="DX321" s="978"/>
      <c r="DY321" s="978"/>
      <c r="DZ321" s="978"/>
      <c r="EA321" s="978"/>
      <c r="EB321" s="978"/>
      <c r="EC321" s="978"/>
      <c r="ED321" s="978"/>
      <c r="EE321" s="978"/>
      <c r="EF321" s="978"/>
      <c r="EG321" s="978"/>
      <c r="EH321" s="978"/>
      <c r="EI321" s="978"/>
      <c r="EJ321" s="978"/>
      <c r="EK321" s="978"/>
      <c r="EL321" s="978"/>
      <c r="EM321" s="978"/>
      <c r="EN321" s="978"/>
      <c r="EO321" s="978"/>
      <c r="EP321" s="978"/>
      <c r="EQ321" s="978"/>
      <c r="ER321" s="978"/>
      <c r="ES321" s="978"/>
      <c r="ET321" s="978"/>
      <c r="EU321" s="978"/>
      <c r="EV321" s="978"/>
      <c r="EW321" s="978"/>
      <c r="EX321" s="978"/>
      <c r="EY321" s="978"/>
      <c r="EZ321" s="978"/>
      <c r="FA321" s="978"/>
      <c r="FB321" s="978"/>
      <c r="FC321" s="978"/>
      <c r="FD321" s="978"/>
      <c r="FE321" s="978"/>
      <c r="FF321" s="978"/>
      <c r="FG321" s="978"/>
      <c r="FH321" s="978"/>
      <c r="FI321" s="978"/>
      <c r="FJ321" s="978"/>
      <c r="FK321" s="978"/>
      <c r="FL321" s="978"/>
      <c r="FM321" s="978"/>
      <c r="FN321" s="978"/>
      <c r="FO321" s="978"/>
      <c r="FP321" s="978"/>
      <c r="FQ321" s="978"/>
      <c r="FR321" s="978"/>
      <c r="FS321" s="978"/>
      <c r="FT321" s="978"/>
      <c r="FU321" s="978"/>
      <c r="FV321" s="978"/>
      <c r="FW321" s="978"/>
      <c r="FX321" s="978"/>
      <c r="FY321" s="978"/>
      <c r="FZ321" s="978"/>
      <c r="GA321" s="978"/>
      <c r="GB321" s="978"/>
      <c r="GC321" s="978"/>
      <c r="GD321" s="978"/>
      <c r="GE321" s="978"/>
      <c r="GF321" s="978"/>
      <c r="GG321" s="978"/>
      <c r="GH321" s="978"/>
      <c r="GI321" s="978"/>
      <c r="GJ321" s="978"/>
      <c r="GK321" s="978"/>
      <c r="GL321" s="978"/>
      <c r="GM321" s="978"/>
      <c r="GN321" s="978"/>
      <c r="GO321" s="978"/>
      <c r="GP321" s="978"/>
      <c r="GQ321" s="978"/>
      <c r="GR321" s="978"/>
      <c r="GS321" s="978"/>
      <c r="GT321" s="978"/>
      <c r="GU321" s="978"/>
      <c r="GV321" s="978"/>
      <c r="GW321" s="978"/>
      <c r="GX321" s="978"/>
      <c r="GY321" s="978"/>
      <c r="GZ321" s="978"/>
      <c r="HA321" s="978"/>
      <c r="HB321" s="978"/>
      <c r="HC321" s="978"/>
      <c r="HD321" s="978"/>
      <c r="HE321" s="978"/>
      <c r="HF321" s="978"/>
      <c r="HG321" s="978"/>
      <c r="HH321" s="978"/>
      <c r="HI321" s="978"/>
      <c r="HJ321" s="978"/>
      <c r="HK321" s="978"/>
      <c r="HL321" s="978"/>
      <c r="HM321" s="978"/>
      <c r="HN321" s="978"/>
      <c r="HO321" s="978"/>
      <c r="HP321" s="978"/>
      <c r="HQ321" s="978"/>
      <c r="HR321" s="978"/>
      <c r="HS321" s="978"/>
      <c r="HT321" s="978"/>
      <c r="HU321" s="978"/>
      <c r="HV321" s="978"/>
      <c r="HW321" s="978"/>
      <c r="HX321" s="978"/>
      <c r="HY321" s="978"/>
      <c r="HZ321" s="978"/>
      <c r="IA321" s="978"/>
      <c r="IB321" s="978"/>
      <c r="IC321" s="978"/>
      <c r="ID321" s="978"/>
      <c r="IE321" s="978"/>
      <c r="IF321" s="978"/>
      <c r="IG321" s="978"/>
      <c r="IH321" s="978"/>
      <c r="II321" s="978"/>
      <c r="IJ321" s="978"/>
      <c r="IK321" s="978"/>
      <c r="IL321" s="978"/>
      <c r="IM321" s="978"/>
      <c r="IN321" s="978"/>
      <c r="IO321" s="978"/>
      <c r="IP321" s="978"/>
      <c r="IQ321" s="978"/>
      <c r="IR321" s="978"/>
      <c r="IS321" s="978"/>
      <c r="IT321" s="978"/>
      <c r="IU321" s="978"/>
      <c r="IV321" s="978"/>
      <c r="IW321" s="978"/>
      <c r="IX321" s="978"/>
      <c r="IY321" s="978"/>
      <c r="IZ321" s="978"/>
      <c r="JA321" s="978"/>
      <c r="JB321" s="978"/>
      <c r="JC321" s="978"/>
      <c r="JD321" s="978"/>
      <c r="JE321" s="978"/>
      <c r="JF321" s="978"/>
      <c r="JG321" s="978"/>
      <c r="JH321" s="978"/>
      <c r="JI321" s="978"/>
      <c r="JJ321" s="978"/>
      <c r="JK321" s="978"/>
      <c r="JL321" s="978"/>
      <c r="JM321" s="978"/>
      <c r="JN321" s="978"/>
      <c r="JO321" s="978"/>
      <c r="JP321" s="978"/>
      <c r="JQ321" s="978"/>
      <c r="JR321" s="978"/>
      <c r="JS321" s="978"/>
      <c r="JT321" s="978"/>
      <c r="JU321" s="978"/>
      <c r="JV321" s="978"/>
      <c r="JW321" s="978"/>
      <c r="JX321" s="978"/>
      <c r="JY321" s="978"/>
      <c r="JZ321" s="978"/>
      <c r="KA321" s="978"/>
      <c r="KB321" s="978"/>
      <c r="KC321" s="978"/>
      <c r="KD321" s="978"/>
      <c r="KE321" s="978"/>
      <c r="KF321" s="978"/>
      <c r="KG321" s="978"/>
      <c r="KH321" s="978"/>
      <c r="KI321" s="978"/>
      <c r="KJ321" s="978"/>
      <c r="KK321" s="978"/>
      <c r="KL321" s="978"/>
      <c r="KM321" s="978"/>
      <c r="KN321" s="978"/>
      <c r="KO321" s="978"/>
      <c r="KP321" s="978"/>
      <c r="KQ321" s="978"/>
      <c r="KR321" s="978"/>
      <c r="KS321" s="978"/>
      <c r="KT321" s="978"/>
      <c r="KU321" s="978"/>
      <c r="KV321" s="978"/>
      <c r="KW321" s="978"/>
      <c r="KX321" s="978"/>
      <c r="KY321" s="978"/>
      <c r="KZ321" s="978"/>
      <c r="LA321" s="978"/>
      <c r="LB321" s="978"/>
      <c r="LC321" s="978"/>
      <c r="LD321" s="978"/>
      <c r="LE321" s="978"/>
      <c r="LF321" s="978"/>
      <c r="LG321" s="978"/>
      <c r="LH321" s="978"/>
      <c r="LI321" s="978"/>
      <c r="LJ321" s="978"/>
      <c r="LK321" s="978"/>
      <c r="LL321" s="978"/>
      <c r="LM321" s="978"/>
      <c r="LN321" s="978"/>
      <c r="LO321" s="978"/>
      <c r="LP321" s="978"/>
      <c r="LQ321" s="978"/>
      <c r="LR321" s="978"/>
      <c r="LS321" s="978"/>
      <c r="LT321" s="978"/>
      <c r="LU321" s="978"/>
      <c r="LV321" s="978"/>
      <c r="LW321" s="978"/>
      <c r="LX321" s="978"/>
      <c r="LY321" s="978"/>
      <c r="LZ321" s="978"/>
      <c r="MA321" s="978"/>
      <c r="MB321" s="978"/>
      <c r="MC321" s="978"/>
      <c r="MD321" s="978"/>
      <c r="ME321" s="978"/>
      <c r="MF321" s="978"/>
      <c r="MG321" s="978"/>
      <c r="MH321" s="978"/>
      <c r="MI321" s="978"/>
      <c r="MJ321" s="978"/>
      <c r="MK321" s="978"/>
      <c r="ML321" s="978"/>
      <c r="MM321" s="978"/>
      <c r="MN321" s="978"/>
      <c r="MO321" s="978"/>
      <c r="MP321" s="978"/>
      <c r="MQ321" s="978"/>
      <c r="MR321" s="978"/>
      <c r="MS321" s="978"/>
      <c r="MT321" s="978"/>
      <c r="MU321" s="978"/>
      <c r="MV321" s="978"/>
      <c r="MW321" s="978"/>
      <c r="MX321" s="978"/>
      <c r="MY321" s="978"/>
      <c r="MZ321" s="978"/>
      <c r="NA321" s="978"/>
      <c r="NB321" s="978"/>
      <c r="NC321" s="978"/>
      <c r="ND321" s="978"/>
      <c r="NE321" s="978"/>
      <c r="NF321" s="978"/>
      <c r="NG321" s="978"/>
      <c r="NH321" s="978"/>
      <c r="NI321" s="978"/>
      <c r="NJ321" s="978"/>
      <c r="NK321" s="978"/>
      <c r="NL321" s="978"/>
      <c r="NM321" s="978"/>
      <c r="NN321" s="978"/>
      <c r="NO321" s="978"/>
      <c r="NP321" s="978"/>
      <c r="NQ321" s="978"/>
      <c r="NR321" s="978"/>
      <c r="NS321" s="978"/>
      <c r="NT321" s="978"/>
      <c r="NU321" s="978"/>
      <c r="NV321" s="978"/>
      <c r="NW321" s="978"/>
      <c r="NX321" s="978"/>
      <c r="NY321" s="978"/>
      <c r="NZ321" s="978"/>
      <c r="OA321" s="978"/>
      <c r="OB321" s="978"/>
      <c r="OC321" s="978"/>
      <c r="OD321" s="978"/>
      <c r="OE321" s="978"/>
      <c r="OF321" s="978"/>
      <c r="OG321" s="978"/>
      <c r="OH321" s="978"/>
      <c r="OI321" s="978"/>
      <c r="OJ321" s="978"/>
      <c r="OK321" s="978"/>
      <c r="OL321" s="978"/>
      <c r="OM321" s="978"/>
      <c r="ON321" s="978"/>
      <c r="OO321" s="978"/>
      <c r="OP321" s="978"/>
      <c r="OQ321" s="978"/>
      <c r="OR321" s="978"/>
      <c r="OS321" s="978"/>
      <c r="OT321" s="978"/>
      <c r="OU321" s="978"/>
      <c r="OV321" s="978"/>
      <c r="OW321" s="978"/>
      <c r="OX321" s="978"/>
      <c r="OY321" s="978"/>
      <c r="OZ321" s="978"/>
      <c r="PA321" s="978"/>
      <c r="PB321" s="978"/>
      <c r="PC321" s="978"/>
      <c r="PD321" s="978"/>
      <c r="PE321" s="978"/>
      <c r="PF321" s="978"/>
      <c r="PG321" s="978"/>
      <c r="PH321" s="978"/>
      <c r="PI321" s="978"/>
      <c r="PJ321" s="978"/>
      <c r="PK321" s="978"/>
      <c r="PL321" s="978"/>
      <c r="PM321" s="978"/>
      <c r="PN321" s="978"/>
      <c r="PO321" s="978"/>
      <c r="PP321" s="978"/>
      <c r="PQ321" s="978"/>
      <c r="PR321" s="978"/>
      <c r="PS321" s="978"/>
      <c r="PT321" s="978"/>
      <c r="PU321" s="978"/>
      <c r="PV321" s="978"/>
      <c r="PW321" s="978"/>
      <c r="PX321" s="978"/>
      <c r="PY321" s="978"/>
      <c r="PZ321" s="978"/>
      <c r="QA321" s="978"/>
      <c r="QB321" s="978"/>
      <c r="QC321" s="978"/>
      <c r="QD321" s="978"/>
      <c r="QE321" s="978"/>
      <c r="QF321" s="978"/>
      <c r="QG321" s="978"/>
      <c r="QH321" s="978"/>
      <c r="QI321" s="978"/>
      <c r="QJ321" s="978"/>
      <c r="QK321" s="978"/>
      <c r="QL321" s="978"/>
      <c r="QM321" s="978"/>
      <c r="QN321" s="978"/>
      <c r="QO321" s="978"/>
      <c r="QP321" s="978"/>
      <c r="QQ321" s="978"/>
      <c r="QR321" s="978"/>
      <c r="QS321" s="978"/>
      <c r="QT321" s="978"/>
      <c r="QU321" s="978"/>
      <c r="QV321" s="978"/>
      <c r="QW321" s="978"/>
      <c r="QX321" s="978"/>
      <c r="QY321" s="978"/>
      <c r="QZ321" s="978"/>
      <c r="RA321" s="978"/>
      <c r="RB321" s="274"/>
      <c r="RC321" s="274"/>
    </row>
    <row r="322" spans="112:471" ht="17.25">
      <c r="DH322" s="274"/>
      <c r="DI322" s="274"/>
      <c r="DJ322" s="978"/>
      <c r="DK322" s="978"/>
      <c r="DL322" s="978"/>
      <c r="DM322" s="978"/>
      <c r="DN322" s="978"/>
      <c r="DO322" s="978"/>
      <c r="DP322" s="978"/>
      <c r="DQ322" s="978"/>
      <c r="DR322" s="978"/>
      <c r="DS322" s="978"/>
      <c r="DT322" s="978"/>
      <c r="DU322" s="978"/>
      <c r="DV322" s="978"/>
      <c r="DW322" s="978"/>
      <c r="DX322" s="978"/>
      <c r="DY322" s="978"/>
      <c r="DZ322" s="978"/>
      <c r="EA322" s="978"/>
      <c r="EB322" s="978"/>
      <c r="EC322" s="978"/>
      <c r="ED322" s="978"/>
      <c r="EE322" s="978"/>
      <c r="EF322" s="978"/>
      <c r="EG322" s="978"/>
      <c r="EH322" s="978"/>
      <c r="EI322" s="978"/>
      <c r="EJ322" s="978"/>
      <c r="EK322" s="978"/>
      <c r="EL322" s="978"/>
      <c r="EM322" s="978"/>
      <c r="EN322" s="978"/>
      <c r="EO322" s="978"/>
      <c r="EP322" s="978"/>
      <c r="EQ322" s="978"/>
      <c r="ER322" s="978"/>
      <c r="ES322" s="978"/>
      <c r="ET322" s="978"/>
      <c r="EU322" s="978"/>
      <c r="EV322" s="978"/>
      <c r="EW322" s="978"/>
      <c r="EX322" s="978"/>
      <c r="EY322" s="978"/>
      <c r="EZ322" s="978"/>
      <c r="FA322" s="978"/>
      <c r="FB322" s="978"/>
      <c r="FC322" s="978"/>
      <c r="FD322" s="978"/>
      <c r="FE322" s="978"/>
      <c r="FF322" s="978"/>
      <c r="FG322" s="978"/>
      <c r="FH322" s="978"/>
      <c r="FI322" s="978"/>
      <c r="FJ322" s="978"/>
      <c r="FK322" s="978"/>
      <c r="FL322" s="978"/>
      <c r="FM322" s="978"/>
      <c r="FN322" s="978"/>
      <c r="FO322" s="978"/>
      <c r="FP322" s="978"/>
      <c r="FQ322" s="978"/>
      <c r="FR322" s="978"/>
      <c r="FS322" s="978"/>
      <c r="FT322" s="978"/>
      <c r="FU322" s="978"/>
      <c r="FV322" s="978"/>
      <c r="FW322" s="978"/>
      <c r="FX322" s="978"/>
      <c r="FY322" s="978"/>
      <c r="FZ322" s="978"/>
      <c r="GA322" s="978"/>
      <c r="GB322" s="978"/>
      <c r="GC322" s="978"/>
      <c r="GD322" s="978"/>
      <c r="GE322" s="978"/>
      <c r="GF322" s="978"/>
      <c r="GG322" s="978"/>
      <c r="GH322" s="978"/>
      <c r="GI322" s="978"/>
      <c r="GJ322" s="978"/>
      <c r="GK322" s="978"/>
      <c r="GL322" s="978"/>
      <c r="GM322" s="978"/>
      <c r="GN322" s="978"/>
      <c r="GO322" s="978"/>
      <c r="GP322" s="978"/>
      <c r="GQ322" s="978"/>
      <c r="GR322" s="978"/>
      <c r="GS322" s="978"/>
      <c r="GT322" s="978"/>
      <c r="GU322" s="978"/>
      <c r="GV322" s="978"/>
      <c r="GW322" s="978"/>
      <c r="GX322" s="978"/>
      <c r="GY322" s="978"/>
      <c r="GZ322" s="978"/>
      <c r="HA322" s="978"/>
      <c r="HB322" s="978"/>
      <c r="HC322" s="978"/>
      <c r="HD322" s="978"/>
      <c r="HE322" s="978"/>
      <c r="HF322" s="978"/>
      <c r="HG322" s="978"/>
      <c r="HH322" s="978"/>
      <c r="HI322" s="978"/>
      <c r="HJ322" s="978"/>
      <c r="HK322" s="978"/>
      <c r="HL322" s="978"/>
      <c r="HM322" s="978"/>
      <c r="HN322" s="978"/>
      <c r="HO322" s="978"/>
      <c r="HP322" s="978"/>
      <c r="HQ322" s="978"/>
      <c r="HR322" s="978"/>
      <c r="HS322" s="978"/>
      <c r="HT322" s="978"/>
      <c r="HU322" s="978"/>
      <c r="HV322" s="978"/>
      <c r="HW322" s="978"/>
      <c r="HX322" s="978"/>
      <c r="HY322" s="978"/>
      <c r="HZ322" s="978"/>
      <c r="IA322" s="978"/>
      <c r="IB322" s="978"/>
      <c r="IC322" s="978"/>
      <c r="ID322" s="978"/>
      <c r="IE322" s="978"/>
      <c r="IF322" s="978"/>
      <c r="IG322" s="978"/>
      <c r="IH322" s="978"/>
      <c r="II322" s="978"/>
      <c r="IJ322" s="978"/>
      <c r="IK322" s="978"/>
      <c r="IL322" s="978"/>
      <c r="IM322" s="978"/>
      <c r="IN322" s="978"/>
      <c r="IO322" s="978"/>
      <c r="IP322" s="978"/>
      <c r="IQ322" s="978"/>
      <c r="IR322" s="978"/>
      <c r="IS322" s="978"/>
      <c r="IT322" s="978"/>
      <c r="IU322" s="978"/>
      <c r="IV322" s="978"/>
      <c r="IW322" s="978"/>
      <c r="IX322" s="978"/>
      <c r="IY322" s="978"/>
      <c r="IZ322" s="978"/>
      <c r="JA322" s="978"/>
      <c r="JB322" s="978"/>
      <c r="JC322" s="978"/>
      <c r="JD322" s="978"/>
      <c r="JE322" s="978"/>
      <c r="JF322" s="978"/>
      <c r="JG322" s="978"/>
      <c r="JH322" s="978"/>
      <c r="JI322" s="978"/>
      <c r="JJ322" s="978"/>
      <c r="JK322" s="978"/>
      <c r="JL322" s="978"/>
      <c r="JM322" s="978"/>
      <c r="JN322" s="978"/>
      <c r="JO322" s="978"/>
      <c r="JP322" s="978"/>
      <c r="JQ322" s="978"/>
      <c r="JR322" s="978"/>
      <c r="JS322" s="978"/>
      <c r="JT322" s="978"/>
      <c r="JU322" s="978"/>
      <c r="JV322" s="978"/>
      <c r="JW322" s="978"/>
      <c r="JX322" s="978"/>
      <c r="JY322" s="978"/>
      <c r="JZ322" s="978"/>
      <c r="KA322" s="978"/>
      <c r="KB322" s="978"/>
      <c r="KC322" s="978"/>
      <c r="KD322" s="978"/>
      <c r="KE322" s="978"/>
      <c r="KF322" s="978"/>
      <c r="KG322" s="978"/>
      <c r="KH322" s="978"/>
      <c r="KI322" s="978"/>
      <c r="KJ322" s="978"/>
      <c r="KK322" s="978"/>
      <c r="KL322" s="978"/>
      <c r="KM322" s="978"/>
      <c r="KN322" s="978"/>
      <c r="KO322" s="978"/>
      <c r="KP322" s="978"/>
      <c r="KQ322" s="978"/>
      <c r="KR322" s="978"/>
      <c r="KS322" s="978"/>
      <c r="KT322" s="978"/>
      <c r="KU322" s="978"/>
      <c r="KV322" s="978"/>
      <c r="KW322" s="978"/>
      <c r="KX322" s="978"/>
      <c r="KY322" s="978"/>
      <c r="KZ322" s="978"/>
      <c r="LA322" s="978"/>
      <c r="LB322" s="978"/>
      <c r="LC322" s="978"/>
      <c r="LD322" s="978"/>
      <c r="LE322" s="978"/>
      <c r="LF322" s="978"/>
      <c r="LG322" s="978"/>
      <c r="LH322" s="978"/>
      <c r="LI322" s="978"/>
      <c r="LJ322" s="978"/>
      <c r="LK322" s="978"/>
      <c r="LL322" s="978"/>
      <c r="LM322" s="978"/>
      <c r="LN322" s="978"/>
      <c r="LO322" s="978"/>
      <c r="LP322" s="978"/>
      <c r="LQ322" s="978"/>
      <c r="LR322" s="978"/>
      <c r="LS322" s="978"/>
      <c r="LT322" s="978"/>
      <c r="LU322" s="978"/>
      <c r="LV322" s="978"/>
      <c r="LW322" s="978"/>
      <c r="LX322" s="978"/>
      <c r="LY322" s="978"/>
      <c r="LZ322" s="978"/>
      <c r="MA322" s="978"/>
      <c r="MB322" s="978"/>
      <c r="MC322" s="978"/>
      <c r="MD322" s="978"/>
      <c r="ME322" s="978"/>
      <c r="MF322" s="978"/>
      <c r="MG322" s="978"/>
      <c r="MH322" s="978"/>
      <c r="MI322" s="978"/>
      <c r="MJ322" s="978"/>
      <c r="MK322" s="978"/>
      <c r="ML322" s="978"/>
      <c r="MM322" s="978"/>
      <c r="MN322" s="978"/>
      <c r="MO322" s="978"/>
      <c r="MP322" s="978"/>
      <c r="MQ322" s="978"/>
      <c r="MR322" s="978"/>
      <c r="MS322" s="978"/>
      <c r="MT322" s="978"/>
      <c r="MU322" s="978"/>
      <c r="MV322" s="978"/>
      <c r="MW322" s="978"/>
      <c r="MX322" s="978"/>
      <c r="MY322" s="978"/>
      <c r="MZ322" s="978"/>
      <c r="NA322" s="978"/>
      <c r="NB322" s="978"/>
      <c r="NC322" s="978"/>
      <c r="ND322" s="978"/>
      <c r="NE322" s="978"/>
      <c r="NF322" s="978"/>
      <c r="NG322" s="978"/>
      <c r="NH322" s="978"/>
      <c r="NI322" s="978"/>
      <c r="NJ322" s="978"/>
      <c r="NK322" s="978"/>
      <c r="NL322" s="978"/>
      <c r="NM322" s="978"/>
      <c r="NN322" s="978"/>
      <c r="NO322" s="978"/>
      <c r="NP322" s="978"/>
      <c r="NQ322" s="978"/>
      <c r="NR322" s="978"/>
      <c r="NS322" s="978"/>
      <c r="NT322" s="978"/>
      <c r="NU322" s="978"/>
      <c r="NV322" s="978"/>
      <c r="NW322" s="978"/>
      <c r="NX322" s="978"/>
      <c r="NY322" s="978"/>
      <c r="NZ322" s="978"/>
      <c r="OA322" s="978"/>
      <c r="OB322" s="978"/>
      <c r="OC322" s="978"/>
      <c r="OD322" s="978"/>
      <c r="OE322" s="978"/>
      <c r="OF322" s="978"/>
      <c r="OG322" s="978"/>
      <c r="OH322" s="978"/>
      <c r="OI322" s="978"/>
      <c r="OJ322" s="978"/>
      <c r="OK322" s="978"/>
      <c r="OL322" s="978"/>
      <c r="OM322" s="978"/>
      <c r="ON322" s="978"/>
      <c r="OO322" s="978"/>
      <c r="OP322" s="978"/>
      <c r="OQ322" s="978"/>
      <c r="OR322" s="978"/>
      <c r="OS322" s="978"/>
      <c r="OT322" s="978"/>
      <c r="OU322" s="978"/>
      <c r="OV322" s="978"/>
      <c r="OW322" s="978"/>
      <c r="OX322" s="978"/>
      <c r="OY322" s="978"/>
      <c r="OZ322" s="978"/>
      <c r="PA322" s="978"/>
      <c r="PB322" s="978"/>
      <c r="PC322" s="978"/>
      <c r="PD322" s="978"/>
      <c r="PE322" s="978"/>
      <c r="PF322" s="978"/>
      <c r="PG322" s="978"/>
      <c r="PH322" s="978"/>
      <c r="PI322" s="978"/>
      <c r="PJ322" s="978"/>
      <c r="PK322" s="978"/>
      <c r="PL322" s="978"/>
      <c r="PM322" s="978"/>
      <c r="PN322" s="978"/>
      <c r="PO322" s="978"/>
      <c r="PP322" s="978"/>
      <c r="PQ322" s="978"/>
      <c r="PR322" s="978"/>
      <c r="PS322" s="978"/>
      <c r="PT322" s="978"/>
      <c r="PU322" s="978"/>
      <c r="PV322" s="978"/>
      <c r="PW322" s="978"/>
      <c r="PX322" s="978"/>
      <c r="PY322" s="978"/>
      <c r="PZ322" s="978"/>
      <c r="QA322" s="978"/>
      <c r="QB322" s="978"/>
      <c r="QC322" s="978"/>
      <c r="QD322" s="978"/>
      <c r="QE322" s="978"/>
      <c r="QF322" s="978"/>
      <c r="QG322" s="978"/>
      <c r="QH322" s="978"/>
      <c r="QI322" s="978"/>
      <c r="QJ322" s="978"/>
      <c r="QK322" s="978"/>
      <c r="QL322" s="978"/>
      <c r="QM322" s="978"/>
      <c r="QN322" s="978"/>
      <c r="QO322" s="978"/>
      <c r="QP322" s="978"/>
      <c r="QQ322" s="978"/>
      <c r="QR322" s="978"/>
      <c r="QS322" s="978"/>
      <c r="QT322" s="978"/>
      <c r="QU322" s="978"/>
      <c r="QV322" s="978"/>
      <c r="QW322" s="978"/>
      <c r="QX322" s="978"/>
      <c r="QY322" s="978"/>
      <c r="QZ322" s="978"/>
      <c r="RA322" s="978"/>
      <c r="RB322" s="274"/>
      <c r="RC322" s="274"/>
    </row>
    <row r="323" spans="112:471" ht="17.25">
      <c r="DH323" s="274"/>
      <c r="DI323" s="274"/>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c r="FC323" s="978"/>
      <c r="FD323" s="978"/>
      <c r="FE323" s="978"/>
      <c r="FF323" s="978"/>
      <c r="FG323" s="978"/>
      <c r="FH323" s="978"/>
      <c r="FI323" s="978"/>
      <c r="FJ323" s="978"/>
      <c r="FK323" s="978"/>
      <c r="FL323" s="978"/>
      <c r="FM323" s="978"/>
      <c r="FN323" s="978"/>
      <c r="FO323" s="978"/>
      <c r="FP323" s="978"/>
      <c r="FQ323" s="978"/>
      <c r="FR323" s="978"/>
      <c r="FS323" s="978"/>
      <c r="FT323" s="978"/>
      <c r="FU323" s="978"/>
      <c r="FV323" s="978"/>
      <c r="FW323" s="978"/>
      <c r="FX323" s="978"/>
      <c r="FY323" s="978"/>
      <c r="FZ323" s="978"/>
      <c r="GA323" s="978"/>
      <c r="GB323" s="978"/>
      <c r="GC323" s="978"/>
      <c r="GD323" s="978"/>
      <c r="GE323" s="978"/>
      <c r="GF323" s="978"/>
      <c r="GG323" s="978"/>
      <c r="GH323" s="978"/>
      <c r="GI323" s="978"/>
      <c r="GJ323" s="978"/>
      <c r="GK323" s="978"/>
      <c r="GL323" s="978"/>
      <c r="GM323" s="978"/>
      <c r="GN323" s="978"/>
      <c r="GO323" s="978"/>
      <c r="GP323" s="978"/>
      <c r="GQ323" s="978"/>
      <c r="GR323" s="978"/>
      <c r="GS323" s="978"/>
      <c r="GT323" s="978"/>
      <c r="GU323" s="978"/>
      <c r="GV323" s="978"/>
      <c r="GW323" s="978"/>
      <c r="GX323" s="978"/>
      <c r="GY323" s="978"/>
      <c r="GZ323" s="978"/>
      <c r="HA323" s="978"/>
      <c r="HB323" s="978"/>
      <c r="HC323" s="978"/>
      <c r="HD323" s="978"/>
      <c r="HE323" s="978"/>
      <c r="HF323" s="978"/>
      <c r="HG323" s="978"/>
      <c r="HH323" s="978"/>
      <c r="HI323" s="978"/>
      <c r="HJ323" s="978"/>
      <c r="HK323" s="978"/>
      <c r="HL323" s="978"/>
      <c r="HM323" s="978"/>
      <c r="HN323" s="978"/>
      <c r="HO323" s="978"/>
      <c r="HP323" s="978"/>
      <c r="HQ323" s="978"/>
      <c r="HR323" s="978"/>
      <c r="HS323" s="978"/>
      <c r="HT323" s="978"/>
      <c r="HU323" s="978"/>
      <c r="HV323" s="978"/>
      <c r="HW323" s="978"/>
      <c r="HX323" s="978"/>
      <c r="HY323" s="978"/>
      <c r="HZ323" s="978"/>
      <c r="IA323" s="978"/>
      <c r="IB323" s="978"/>
      <c r="IC323" s="978"/>
      <c r="ID323" s="978"/>
      <c r="IE323" s="978"/>
      <c r="IF323" s="978"/>
      <c r="IG323" s="978"/>
      <c r="IH323" s="978"/>
      <c r="II323" s="978"/>
      <c r="IJ323" s="978"/>
      <c r="IK323" s="978"/>
      <c r="IL323" s="978"/>
      <c r="IM323" s="978"/>
      <c r="IN323" s="978"/>
      <c r="IO323" s="978"/>
      <c r="IP323" s="978"/>
      <c r="IQ323" s="978"/>
      <c r="IR323" s="978"/>
      <c r="IS323" s="978"/>
      <c r="IT323" s="978"/>
      <c r="IU323" s="978"/>
      <c r="IV323" s="978"/>
      <c r="IW323" s="978"/>
      <c r="IX323" s="978"/>
      <c r="IY323" s="978"/>
      <c r="IZ323" s="978"/>
      <c r="JA323" s="978"/>
      <c r="JB323" s="978"/>
      <c r="JC323" s="978"/>
      <c r="JD323" s="978"/>
      <c r="JE323" s="978"/>
      <c r="JF323" s="978"/>
      <c r="JG323" s="978"/>
      <c r="JH323" s="978"/>
      <c r="JI323" s="978"/>
      <c r="JJ323" s="978"/>
      <c r="JK323" s="978"/>
      <c r="JL323" s="978"/>
      <c r="JM323" s="978"/>
      <c r="JN323" s="978"/>
      <c r="JO323" s="978"/>
      <c r="JP323" s="978"/>
      <c r="JQ323" s="978"/>
      <c r="JR323" s="978"/>
      <c r="JS323" s="978"/>
      <c r="JT323" s="978"/>
      <c r="JU323" s="978"/>
      <c r="JV323" s="978"/>
      <c r="JW323" s="978"/>
      <c r="JX323" s="978"/>
      <c r="JY323" s="978"/>
      <c r="JZ323" s="978"/>
      <c r="KA323" s="978"/>
      <c r="KB323" s="978"/>
      <c r="KC323" s="978"/>
      <c r="KD323" s="978"/>
      <c r="KE323" s="978"/>
      <c r="KF323" s="978"/>
      <c r="KG323" s="978"/>
      <c r="KH323" s="978"/>
      <c r="KI323" s="978"/>
      <c r="KJ323" s="978"/>
      <c r="KK323" s="978"/>
      <c r="KL323" s="978"/>
      <c r="KM323" s="978"/>
      <c r="KN323" s="978"/>
      <c r="KO323" s="978"/>
      <c r="KP323" s="978"/>
      <c r="KQ323" s="978"/>
      <c r="KR323" s="978"/>
      <c r="KS323" s="978"/>
      <c r="KT323" s="978"/>
      <c r="KU323" s="978"/>
      <c r="KV323" s="978"/>
      <c r="KW323" s="978"/>
      <c r="KX323" s="978"/>
      <c r="KY323" s="978"/>
      <c r="KZ323" s="978"/>
      <c r="LA323" s="978"/>
      <c r="LB323" s="978"/>
      <c r="LC323" s="978"/>
      <c r="LD323" s="978"/>
      <c r="LE323" s="978"/>
      <c r="LF323" s="978"/>
      <c r="LG323" s="978"/>
      <c r="LH323" s="978"/>
      <c r="LI323" s="978"/>
      <c r="LJ323" s="978"/>
      <c r="LK323" s="978"/>
      <c r="LL323" s="978"/>
      <c r="LM323" s="978"/>
      <c r="LN323" s="978"/>
      <c r="LO323" s="978"/>
      <c r="LP323" s="978"/>
      <c r="LQ323" s="978"/>
      <c r="LR323" s="978"/>
      <c r="LS323" s="978"/>
      <c r="LT323" s="978"/>
      <c r="LU323" s="978"/>
      <c r="LV323" s="978"/>
      <c r="LW323" s="978"/>
      <c r="LX323" s="978"/>
      <c r="LY323" s="978"/>
      <c r="LZ323" s="978"/>
      <c r="MA323" s="978"/>
      <c r="MB323" s="978"/>
      <c r="MC323" s="978"/>
      <c r="MD323" s="978"/>
      <c r="ME323" s="978"/>
      <c r="MF323" s="978"/>
      <c r="MG323" s="978"/>
      <c r="MH323" s="978"/>
      <c r="MI323" s="978"/>
      <c r="MJ323" s="978"/>
      <c r="MK323" s="978"/>
      <c r="ML323" s="978"/>
      <c r="MM323" s="978"/>
      <c r="MN323" s="978"/>
      <c r="MO323" s="978"/>
      <c r="MP323" s="978"/>
      <c r="MQ323" s="978"/>
      <c r="MR323" s="978"/>
      <c r="MS323" s="978"/>
      <c r="MT323" s="978"/>
      <c r="MU323" s="978"/>
      <c r="MV323" s="978"/>
      <c r="MW323" s="978"/>
      <c r="MX323" s="978"/>
      <c r="MY323" s="978"/>
      <c r="MZ323" s="978"/>
      <c r="NA323" s="978"/>
      <c r="NB323" s="978"/>
      <c r="NC323" s="978"/>
      <c r="ND323" s="978"/>
      <c r="NE323" s="978"/>
      <c r="NF323" s="978"/>
      <c r="NG323" s="978"/>
      <c r="NH323" s="978"/>
      <c r="NI323" s="978"/>
      <c r="NJ323" s="978"/>
      <c r="NK323" s="978"/>
      <c r="NL323" s="978"/>
      <c r="NM323" s="978"/>
      <c r="NN323" s="978"/>
      <c r="NO323" s="978"/>
      <c r="NP323" s="978"/>
      <c r="NQ323" s="978"/>
      <c r="NR323" s="978"/>
      <c r="NS323" s="978"/>
      <c r="NT323" s="978"/>
      <c r="NU323" s="978"/>
      <c r="NV323" s="978"/>
      <c r="NW323" s="978"/>
      <c r="NX323" s="978"/>
      <c r="NY323" s="978"/>
      <c r="NZ323" s="978"/>
      <c r="OA323" s="978"/>
      <c r="OB323" s="978"/>
      <c r="OC323" s="978"/>
      <c r="OD323" s="978"/>
      <c r="OE323" s="978"/>
      <c r="OF323" s="978"/>
      <c r="OG323" s="978"/>
      <c r="OH323" s="978"/>
      <c r="OI323" s="978"/>
      <c r="OJ323" s="978"/>
      <c r="OK323" s="978"/>
      <c r="OL323" s="978"/>
      <c r="OM323" s="978"/>
      <c r="ON323" s="978"/>
      <c r="OO323" s="978"/>
      <c r="OP323" s="978"/>
      <c r="OQ323" s="978"/>
      <c r="OR323" s="978"/>
      <c r="OS323" s="978"/>
      <c r="OT323" s="978"/>
      <c r="OU323" s="978"/>
      <c r="OV323" s="978"/>
      <c r="OW323" s="978"/>
      <c r="OX323" s="978"/>
      <c r="OY323" s="978"/>
      <c r="OZ323" s="978"/>
      <c r="PA323" s="978"/>
      <c r="PB323" s="978"/>
      <c r="PC323" s="978"/>
      <c r="PD323" s="978"/>
      <c r="PE323" s="978"/>
      <c r="PF323" s="978"/>
      <c r="PG323" s="978"/>
      <c r="PH323" s="978"/>
      <c r="PI323" s="978"/>
      <c r="PJ323" s="978"/>
      <c r="PK323" s="978"/>
      <c r="PL323" s="978"/>
      <c r="PM323" s="978"/>
      <c r="PN323" s="978"/>
      <c r="PO323" s="978"/>
      <c r="PP323" s="978"/>
      <c r="PQ323" s="978"/>
      <c r="PR323" s="978"/>
      <c r="PS323" s="978"/>
      <c r="PT323" s="978"/>
      <c r="PU323" s="978"/>
      <c r="PV323" s="978"/>
      <c r="PW323" s="978"/>
      <c r="PX323" s="978"/>
      <c r="PY323" s="978"/>
      <c r="PZ323" s="978"/>
      <c r="QA323" s="978"/>
      <c r="QB323" s="978"/>
      <c r="QC323" s="978"/>
      <c r="QD323" s="978"/>
      <c r="QE323" s="978"/>
      <c r="QF323" s="978"/>
      <c r="QG323" s="978"/>
      <c r="QH323" s="978"/>
      <c r="QI323" s="978"/>
      <c r="QJ323" s="978"/>
      <c r="QK323" s="978"/>
      <c r="QL323" s="978"/>
      <c r="QM323" s="978"/>
      <c r="QN323" s="978"/>
      <c r="QO323" s="978"/>
      <c r="QP323" s="978"/>
      <c r="QQ323" s="978"/>
      <c r="QR323" s="978"/>
      <c r="QS323" s="978"/>
      <c r="QT323" s="978"/>
      <c r="QU323" s="978"/>
      <c r="QV323" s="978"/>
      <c r="QW323" s="978"/>
      <c r="QX323" s="978"/>
      <c r="QY323" s="978"/>
      <c r="QZ323" s="978"/>
      <c r="RA323" s="978"/>
      <c r="RB323" s="274"/>
      <c r="RC323" s="274"/>
    </row>
    <row r="324" spans="112:471" ht="17.25">
      <c r="DH324" s="274"/>
      <c r="DI324" s="274"/>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c r="FC324" s="978"/>
      <c r="FD324" s="978"/>
      <c r="FE324" s="978"/>
      <c r="FF324" s="978"/>
      <c r="FG324" s="978"/>
      <c r="FH324" s="978"/>
      <c r="FI324" s="978"/>
      <c r="FJ324" s="978"/>
      <c r="FK324" s="978"/>
      <c r="FL324" s="978"/>
      <c r="FM324" s="978"/>
      <c r="FN324" s="978"/>
      <c r="FO324" s="978"/>
      <c r="FP324" s="978"/>
      <c r="FQ324" s="978"/>
      <c r="FR324" s="978"/>
      <c r="FS324" s="978"/>
      <c r="FT324" s="978"/>
      <c r="FU324" s="978"/>
      <c r="FV324" s="978"/>
      <c r="FW324" s="978"/>
      <c r="FX324" s="978"/>
      <c r="FY324" s="978"/>
      <c r="FZ324" s="978"/>
      <c r="GA324" s="978"/>
      <c r="GB324" s="978"/>
      <c r="GC324" s="978"/>
      <c r="GD324" s="978"/>
      <c r="GE324" s="978"/>
      <c r="GF324" s="978"/>
      <c r="GG324" s="978"/>
      <c r="GH324" s="978"/>
      <c r="GI324" s="978"/>
      <c r="GJ324" s="978"/>
      <c r="GK324" s="978"/>
      <c r="GL324" s="978"/>
      <c r="GM324" s="978"/>
      <c r="GN324" s="978"/>
      <c r="GO324" s="978"/>
      <c r="GP324" s="978"/>
      <c r="GQ324" s="978"/>
      <c r="GR324" s="978"/>
      <c r="GS324" s="978"/>
      <c r="GT324" s="978"/>
      <c r="GU324" s="978"/>
      <c r="GV324" s="978"/>
      <c r="GW324" s="978"/>
      <c r="GX324" s="978"/>
      <c r="GY324" s="978"/>
      <c r="GZ324" s="978"/>
      <c r="HA324" s="978"/>
      <c r="HB324" s="978"/>
      <c r="HC324" s="978"/>
      <c r="HD324" s="978"/>
      <c r="HE324" s="978"/>
      <c r="HF324" s="978"/>
      <c r="HG324" s="978"/>
      <c r="HH324" s="978"/>
      <c r="HI324" s="978"/>
      <c r="HJ324" s="978"/>
      <c r="HK324" s="978"/>
      <c r="HL324" s="978"/>
      <c r="HM324" s="978"/>
      <c r="HN324" s="978"/>
      <c r="HO324" s="978"/>
      <c r="HP324" s="978"/>
      <c r="HQ324" s="978"/>
      <c r="HR324" s="978"/>
      <c r="HS324" s="978"/>
      <c r="HT324" s="978"/>
      <c r="HU324" s="978"/>
      <c r="HV324" s="978"/>
      <c r="HW324" s="978"/>
      <c r="HX324" s="978"/>
      <c r="HY324" s="978"/>
      <c r="HZ324" s="978"/>
      <c r="IA324" s="978"/>
      <c r="IB324" s="978"/>
      <c r="IC324" s="978"/>
      <c r="ID324" s="978"/>
      <c r="IE324" s="978"/>
      <c r="IF324" s="978"/>
      <c r="IG324" s="978"/>
      <c r="IH324" s="978"/>
      <c r="II324" s="978"/>
      <c r="IJ324" s="978"/>
      <c r="IK324" s="978"/>
      <c r="IL324" s="978"/>
      <c r="IM324" s="978"/>
      <c r="IN324" s="978"/>
      <c r="IO324" s="978"/>
      <c r="IP324" s="978"/>
      <c r="IQ324" s="978"/>
      <c r="IR324" s="978"/>
      <c r="IS324" s="978"/>
      <c r="IT324" s="978"/>
      <c r="IU324" s="978"/>
      <c r="IV324" s="978"/>
      <c r="IW324" s="978"/>
      <c r="IX324" s="978"/>
      <c r="IY324" s="978"/>
      <c r="IZ324" s="978"/>
      <c r="JA324" s="978"/>
      <c r="JB324" s="978"/>
      <c r="JC324" s="978"/>
      <c r="JD324" s="978"/>
      <c r="JE324" s="978"/>
      <c r="JF324" s="978"/>
      <c r="JG324" s="978"/>
      <c r="JH324" s="978"/>
      <c r="JI324" s="978"/>
      <c r="JJ324" s="978"/>
      <c r="JK324" s="978"/>
      <c r="JL324" s="978"/>
      <c r="JM324" s="978"/>
      <c r="JN324" s="978"/>
      <c r="JO324" s="978"/>
      <c r="JP324" s="978"/>
      <c r="JQ324" s="978"/>
      <c r="JR324" s="978"/>
      <c r="JS324" s="978"/>
      <c r="JT324" s="978"/>
      <c r="JU324" s="978"/>
      <c r="JV324" s="978"/>
      <c r="JW324" s="978"/>
      <c r="JX324" s="978"/>
      <c r="JY324" s="978"/>
      <c r="JZ324" s="978"/>
      <c r="KA324" s="978"/>
      <c r="KB324" s="978"/>
      <c r="KC324" s="978"/>
      <c r="KD324" s="978"/>
      <c r="KE324" s="978"/>
      <c r="KF324" s="978"/>
      <c r="KG324" s="978"/>
      <c r="KH324" s="978"/>
      <c r="KI324" s="978"/>
      <c r="KJ324" s="978"/>
      <c r="KK324" s="978"/>
      <c r="KL324" s="978"/>
      <c r="KM324" s="978"/>
      <c r="KN324" s="978"/>
      <c r="KO324" s="978"/>
      <c r="KP324" s="978"/>
      <c r="KQ324" s="978"/>
      <c r="KR324" s="978"/>
      <c r="KS324" s="978"/>
      <c r="KT324" s="978"/>
      <c r="KU324" s="978"/>
      <c r="KV324" s="978"/>
      <c r="KW324" s="978"/>
      <c r="KX324" s="978"/>
      <c r="KY324" s="978"/>
      <c r="KZ324" s="978"/>
      <c r="LA324" s="978"/>
      <c r="LB324" s="978"/>
      <c r="LC324" s="978"/>
      <c r="LD324" s="978"/>
      <c r="LE324" s="978"/>
      <c r="LF324" s="978"/>
      <c r="LG324" s="978"/>
      <c r="LH324" s="978"/>
      <c r="LI324" s="978"/>
      <c r="LJ324" s="978"/>
      <c r="LK324" s="978"/>
      <c r="LL324" s="978"/>
      <c r="LM324" s="978"/>
      <c r="LN324" s="978"/>
      <c r="LO324" s="978"/>
      <c r="LP324" s="978"/>
      <c r="LQ324" s="978"/>
      <c r="LR324" s="978"/>
      <c r="LS324" s="978"/>
      <c r="LT324" s="978"/>
      <c r="LU324" s="978"/>
      <c r="LV324" s="978"/>
      <c r="LW324" s="978"/>
      <c r="LX324" s="978"/>
      <c r="LY324" s="978"/>
      <c r="LZ324" s="978"/>
      <c r="MA324" s="978"/>
      <c r="MB324" s="978"/>
      <c r="MC324" s="978"/>
      <c r="MD324" s="978"/>
      <c r="ME324" s="978"/>
      <c r="MF324" s="978"/>
      <c r="MG324" s="978"/>
      <c r="MH324" s="978"/>
      <c r="MI324" s="978"/>
      <c r="MJ324" s="978"/>
      <c r="MK324" s="978"/>
      <c r="ML324" s="978"/>
      <c r="MM324" s="978"/>
      <c r="MN324" s="978"/>
      <c r="MO324" s="978"/>
      <c r="MP324" s="978"/>
      <c r="MQ324" s="978"/>
      <c r="MR324" s="978"/>
      <c r="MS324" s="978"/>
      <c r="MT324" s="978"/>
      <c r="MU324" s="978"/>
      <c r="MV324" s="978"/>
      <c r="MW324" s="978"/>
      <c r="MX324" s="978"/>
      <c r="MY324" s="978"/>
      <c r="MZ324" s="978"/>
      <c r="NA324" s="978"/>
      <c r="NB324" s="978"/>
      <c r="NC324" s="978"/>
      <c r="ND324" s="978"/>
      <c r="NE324" s="978"/>
      <c r="NF324" s="978"/>
      <c r="NG324" s="978"/>
      <c r="NH324" s="978"/>
      <c r="NI324" s="978"/>
      <c r="NJ324" s="978"/>
      <c r="NK324" s="978"/>
      <c r="NL324" s="978"/>
      <c r="NM324" s="978"/>
      <c r="NN324" s="978"/>
      <c r="NO324" s="978"/>
      <c r="NP324" s="978"/>
      <c r="NQ324" s="978"/>
      <c r="NR324" s="978"/>
      <c r="NS324" s="978"/>
      <c r="NT324" s="978"/>
      <c r="NU324" s="978"/>
      <c r="NV324" s="978"/>
      <c r="NW324" s="978"/>
      <c r="NX324" s="978"/>
      <c r="NY324" s="978"/>
      <c r="NZ324" s="978"/>
      <c r="OA324" s="978"/>
      <c r="OB324" s="978"/>
      <c r="OC324" s="978"/>
      <c r="OD324" s="978"/>
      <c r="OE324" s="978"/>
      <c r="OF324" s="978"/>
      <c r="OG324" s="978"/>
      <c r="OH324" s="978"/>
      <c r="OI324" s="978"/>
      <c r="OJ324" s="978"/>
      <c r="OK324" s="978"/>
      <c r="OL324" s="978"/>
      <c r="OM324" s="978"/>
      <c r="ON324" s="978"/>
      <c r="OO324" s="978"/>
      <c r="OP324" s="978"/>
      <c r="OQ324" s="978"/>
      <c r="OR324" s="978"/>
      <c r="OS324" s="978"/>
      <c r="OT324" s="978"/>
      <c r="OU324" s="978"/>
      <c r="OV324" s="978"/>
      <c r="OW324" s="978"/>
      <c r="OX324" s="978"/>
      <c r="OY324" s="978"/>
      <c r="OZ324" s="978"/>
      <c r="PA324" s="978"/>
      <c r="PB324" s="978"/>
      <c r="PC324" s="978"/>
      <c r="PD324" s="978"/>
      <c r="PE324" s="978"/>
      <c r="PF324" s="978"/>
      <c r="PG324" s="978"/>
      <c r="PH324" s="978"/>
      <c r="PI324" s="978"/>
      <c r="PJ324" s="978"/>
      <c r="PK324" s="978"/>
      <c r="PL324" s="978"/>
      <c r="PM324" s="978"/>
      <c r="PN324" s="978"/>
      <c r="PO324" s="978"/>
      <c r="PP324" s="978"/>
      <c r="PQ324" s="978"/>
      <c r="PR324" s="978"/>
      <c r="PS324" s="978"/>
      <c r="PT324" s="978"/>
      <c r="PU324" s="978"/>
      <c r="PV324" s="978"/>
      <c r="PW324" s="978"/>
      <c r="PX324" s="978"/>
      <c r="PY324" s="978"/>
      <c r="PZ324" s="978"/>
      <c r="QA324" s="978"/>
      <c r="QB324" s="978"/>
      <c r="QC324" s="978"/>
      <c r="QD324" s="978"/>
      <c r="QE324" s="978"/>
      <c r="QF324" s="978"/>
      <c r="QG324" s="978"/>
      <c r="QH324" s="978"/>
      <c r="QI324" s="978"/>
      <c r="QJ324" s="978"/>
      <c r="QK324" s="978"/>
      <c r="QL324" s="978"/>
      <c r="QM324" s="978"/>
      <c r="QN324" s="978"/>
      <c r="QO324" s="978"/>
      <c r="QP324" s="978"/>
      <c r="QQ324" s="978"/>
      <c r="QR324" s="978"/>
      <c r="QS324" s="978"/>
      <c r="QT324" s="978"/>
      <c r="QU324" s="978"/>
      <c r="QV324" s="978"/>
      <c r="QW324" s="978"/>
      <c r="QX324" s="978"/>
      <c r="QY324" s="978"/>
      <c r="QZ324" s="978"/>
      <c r="RA324" s="978"/>
      <c r="RB324" s="274"/>
      <c r="RC324" s="274"/>
    </row>
    <row r="325" spans="112:471" ht="17.25">
      <c r="DH325" s="274"/>
      <c r="DI325" s="274"/>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c r="FC325" s="978"/>
      <c r="FD325" s="978"/>
      <c r="FE325" s="978"/>
      <c r="FF325" s="978"/>
      <c r="FG325" s="978"/>
      <c r="FH325" s="978"/>
      <c r="FI325" s="978"/>
      <c r="FJ325" s="978"/>
      <c r="FK325" s="978"/>
      <c r="FL325" s="978"/>
      <c r="FM325" s="978"/>
      <c r="FN325" s="978"/>
      <c r="FO325" s="978"/>
      <c r="FP325" s="978"/>
      <c r="FQ325" s="978"/>
      <c r="FR325" s="978"/>
      <c r="FS325" s="978"/>
      <c r="FT325" s="978"/>
      <c r="FU325" s="978"/>
      <c r="FV325" s="978"/>
      <c r="FW325" s="978"/>
      <c r="FX325" s="978"/>
      <c r="FY325" s="978"/>
      <c r="FZ325" s="978"/>
      <c r="GA325" s="978"/>
      <c r="GB325" s="978"/>
      <c r="GC325" s="978"/>
      <c r="GD325" s="978"/>
      <c r="GE325" s="978"/>
      <c r="GF325" s="978"/>
      <c r="GG325" s="978"/>
      <c r="GH325" s="978"/>
      <c r="GI325" s="978"/>
      <c r="GJ325" s="978"/>
      <c r="GK325" s="978"/>
      <c r="GL325" s="978"/>
      <c r="GM325" s="978"/>
      <c r="GN325" s="978"/>
      <c r="GO325" s="978"/>
      <c r="GP325" s="978"/>
      <c r="GQ325" s="978"/>
      <c r="GR325" s="978"/>
      <c r="GS325" s="978"/>
      <c r="GT325" s="978"/>
      <c r="GU325" s="978"/>
      <c r="GV325" s="978"/>
      <c r="GW325" s="978"/>
      <c r="GX325" s="978"/>
      <c r="GY325" s="978"/>
      <c r="GZ325" s="978"/>
      <c r="HA325" s="978"/>
      <c r="HB325" s="978"/>
      <c r="HC325" s="978"/>
      <c r="HD325" s="978"/>
      <c r="HE325" s="978"/>
      <c r="HF325" s="978"/>
      <c r="HG325" s="978"/>
      <c r="HH325" s="978"/>
      <c r="HI325" s="978"/>
      <c r="HJ325" s="978"/>
      <c r="HK325" s="978"/>
      <c r="HL325" s="978"/>
      <c r="HM325" s="978"/>
      <c r="HN325" s="978"/>
      <c r="HO325" s="978"/>
      <c r="HP325" s="978"/>
      <c r="HQ325" s="978"/>
      <c r="HR325" s="978"/>
      <c r="HS325" s="978"/>
      <c r="HT325" s="978"/>
      <c r="HU325" s="978"/>
      <c r="HV325" s="978"/>
      <c r="HW325" s="978"/>
      <c r="HX325" s="978"/>
      <c r="HY325" s="978"/>
      <c r="HZ325" s="978"/>
      <c r="IA325" s="978"/>
      <c r="IB325" s="978"/>
      <c r="IC325" s="978"/>
      <c r="ID325" s="978"/>
      <c r="IE325" s="978"/>
      <c r="IF325" s="978"/>
      <c r="IG325" s="978"/>
      <c r="IH325" s="978"/>
      <c r="II325" s="978"/>
      <c r="IJ325" s="978"/>
      <c r="IK325" s="978"/>
      <c r="IL325" s="978"/>
      <c r="IM325" s="978"/>
      <c r="IN325" s="978"/>
      <c r="IO325" s="978"/>
      <c r="IP325" s="978"/>
      <c r="IQ325" s="978"/>
      <c r="IR325" s="978"/>
      <c r="IS325" s="978"/>
      <c r="IT325" s="978"/>
      <c r="IU325" s="978"/>
      <c r="IV325" s="978"/>
      <c r="IW325" s="978"/>
      <c r="IX325" s="978"/>
      <c r="IY325" s="978"/>
      <c r="IZ325" s="978"/>
      <c r="JA325" s="978"/>
      <c r="JB325" s="978"/>
      <c r="JC325" s="978"/>
      <c r="JD325" s="978"/>
      <c r="JE325" s="978"/>
      <c r="JF325" s="978"/>
      <c r="JG325" s="978"/>
      <c r="JH325" s="978"/>
      <c r="JI325" s="978"/>
      <c r="JJ325" s="978"/>
      <c r="JK325" s="978"/>
      <c r="JL325" s="978"/>
      <c r="JM325" s="978"/>
      <c r="JN325" s="978"/>
      <c r="JO325" s="978"/>
      <c r="JP325" s="978"/>
      <c r="JQ325" s="978"/>
      <c r="JR325" s="978"/>
      <c r="JS325" s="978"/>
      <c r="JT325" s="978"/>
      <c r="JU325" s="978"/>
      <c r="JV325" s="978"/>
      <c r="JW325" s="978"/>
      <c r="JX325" s="978"/>
      <c r="JY325" s="978"/>
      <c r="JZ325" s="978"/>
      <c r="KA325" s="978"/>
      <c r="KB325" s="978"/>
      <c r="KC325" s="978"/>
      <c r="KD325" s="978"/>
      <c r="KE325" s="978"/>
      <c r="KF325" s="978"/>
      <c r="KG325" s="978"/>
      <c r="KH325" s="978"/>
      <c r="KI325" s="978"/>
      <c r="KJ325" s="978"/>
      <c r="KK325" s="978"/>
      <c r="KL325" s="978"/>
      <c r="KM325" s="978"/>
      <c r="KN325" s="978"/>
      <c r="KO325" s="978"/>
      <c r="KP325" s="978"/>
      <c r="KQ325" s="978"/>
      <c r="KR325" s="978"/>
      <c r="KS325" s="978"/>
      <c r="KT325" s="978"/>
      <c r="KU325" s="978"/>
      <c r="KV325" s="978"/>
      <c r="KW325" s="978"/>
      <c r="KX325" s="978"/>
      <c r="KY325" s="978"/>
      <c r="KZ325" s="978"/>
      <c r="LA325" s="978"/>
      <c r="LB325" s="978"/>
      <c r="LC325" s="978"/>
      <c r="LD325" s="978"/>
      <c r="LE325" s="978"/>
      <c r="LF325" s="978"/>
      <c r="LG325" s="978"/>
      <c r="LH325" s="978"/>
      <c r="LI325" s="978"/>
      <c r="LJ325" s="978"/>
      <c r="LK325" s="978"/>
      <c r="LL325" s="978"/>
      <c r="LM325" s="978"/>
      <c r="LN325" s="978"/>
      <c r="LO325" s="978"/>
      <c r="LP325" s="978"/>
      <c r="LQ325" s="978"/>
      <c r="LR325" s="978"/>
      <c r="LS325" s="978"/>
      <c r="LT325" s="978"/>
      <c r="LU325" s="978"/>
      <c r="LV325" s="978"/>
      <c r="LW325" s="978"/>
      <c r="LX325" s="978"/>
      <c r="LY325" s="978"/>
      <c r="LZ325" s="978"/>
      <c r="MA325" s="978"/>
      <c r="MB325" s="978"/>
      <c r="MC325" s="978"/>
      <c r="MD325" s="978"/>
      <c r="ME325" s="978"/>
      <c r="MF325" s="978"/>
      <c r="MG325" s="978"/>
      <c r="MH325" s="978"/>
      <c r="MI325" s="978"/>
      <c r="MJ325" s="978"/>
      <c r="MK325" s="978"/>
      <c r="ML325" s="978"/>
      <c r="MM325" s="978"/>
      <c r="MN325" s="978"/>
      <c r="MO325" s="978"/>
      <c r="MP325" s="978"/>
      <c r="MQ325" s="978"/>
      <c r="MR325" s="978"/>
      <c r="MS325" s="978"/>
      <c r="MT325" s="978"/>
      <c r="MU325" s="978"/>
      <c r="MV325" s="978"/>
      <c r="MW325" s="978"/>
      <c r="MX325" s="978"/>
      <c r="MY325" s="978"/>
      <c r="MZ325" s="978"/>
      <c r="NA325" s="978"/>
      <c r="NB325" s="978"/>
      <c r="NC325" s="978"/>
      <c r="ND325" s="978"/>
      <c r="NE325" s="978"/>
      <c r="NF325" s="978"/>
      <c r="NG325" s="978"/>
      <c r="NH325" s="978"/>
      <c r="NI325" s="978"/>
      <c r="NJ325" s="978"/>
      <c r="NK325" s="978"/>
      <c r="NL325" s="978"/>
      <c r="NM325" s="978"/>
      <c r="NN325" s="978"/>
      <c r="NO325" s="978"/>
      <c r="NP325" s="978"/>
      <c r="NQ325" s="978"/>
      <c r="NR325" s="978"/>
      <c r="NS325" s="978"/>
      <c r="NT325" s="978"/>
      <c r="NU325" s="978"/>
      <c r="NV325" s="978"/>
      <c r="NW325" s="978"/>
      <c r="NX325" s="978"/>
      <c r="NY325" s="978"/>
      <c r="NZ325" s="978"/>
      <c r="OA325" s="978"/>
      <c r="OB325" s="978"/>
      <c r="OC325" s="978"/>
      <c r="OD325" s="978"/>
      <c r="OE325" s="978"/>
      <c r="OF325" s="978"/>
      <c r="OG325" s="978"/>
      <c r="OH325" s="978"/>
      <c r="OI325" s="978"/>
      <c r="OJ325" s="978"/>
      <c r="OK325" s="978"/>
      <c r="OL325" s="978"/>
      <c r="OM325" s="978"/>
      <c r="ON325" s="978"/>
      <c r="OO325" s="978"/>
      <c r="OP325" s="978"/>
      <c r="OQ325" s="978"/>
      <c r="OR325" s="978"/>
      <c r="OS325" s="978"/>
      <c r="OT325" s="978"/>
      <c r="OU325" s="978"/>
      <c r="OV325" s="978"/>
      <c r="OW325" s="978"/>
      <c r="OX325" s="978"/>
      <c r="OY325" s="978"/>
      <c r="OZ325" s="978"/>
      <c r="PA325" s="978"/>
      <c r="PB325" s="978"/>
      <c r="PC325" s="978"/>
      <c r="PD325" s="978"/>
      <c r="PE325" s="978"/>
      <c r="PF325" s="978"/>
      <c r="PG325" s="978"/>
      <c r="PH325" s="978"/>
      <c r="PI325" s="978"/>
      <c r="PJ325" s="978"/>
      <c r="PK325" s="978"/>
      <c r="PL325" s="978"/>
      <c r="PM325" s="978"/>
      <c r="PN325" s="978"/>
      <c r="PO325" s="978"/>
      <c r="PP325" s="978"/>
      <c r="PQ325" s="978"/>
      <c r="PR325" s="978"/>
      <c r="PS325" s="978"/>
      <c r="PT325" s="978"/>
      <c r="PU325" s="978"/>
      <c r="PV325" s="978"/>
      <c r="PW325" s="978"/>
      <c r="PX325" s="978"/>
      <c r="PY325" s="978"/>
      <c r="PZ325" s="978"/>
      <c r="QA325" s="978"/>
      <c r="QB325" s="978"/>
      <c r="QC325" s="978"/>
      <c r="QD325" s="978"/>
      <c r="QE325" s="978"/>
      <c r="QF325" s="978"/>
      <c r="QG325" s="978"/>
      <c r="QH325" s="978"/>
      <c r="QI325" s="978"/>
      <c r="QJ325" s="978"/>
      <c r="QK325" s="978"/>
      <c r="QL325" s="978"/>
      <c r="QM325" s="978"/>
      <c r="QN325" s="978"/>
      <c r="QO325" s="978"/>
      <c r="QP325" s="978"/>
      <c r="QQ325" s="978"/>
      <c r="QR325" s="978"/>
      <c r="QS325" s="978"/>
      <c r="QT325" s="978"/>
      <c r="QU325" s="978"/>
      <c r="QV325" s="978"/>
      <c r="QW325" s="978"/>
      <c r="QX325" s="978"/>
      <c r="QY325" s="978"/>
      <c r="QZ325" s="978"/>
      <c r="RA325" s="978"/>
      <c r="RB325" s="274"/>
      <c r="RC325" s="274"/>
    </row>
    <row r="326" spans="112:471" ht="17.25">
      <c r="DH326" s="274"/>
      <c r="DI326" s="274"/>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c r="FC326" s="978"/>
      <c r="FD326" s="978"/>
      <c r="FE326" s="978"/>
      <c r="FF326" s="978"/>
      <c r="FG326" s="978"/>
      <c r="FH326" s="978"/>
      <c r="FI326" s="978"/>
      <c r="FJ326" s="978"/>
      <c r="FK326" s="978"/>
      <c r="FL326" s="978"/>
      <c r="FM326" s="978"/>
      <c r="FN326" s="978"/>
      <c r="FO326" s="978"/>
      <c r="FP326" s="978"/>
      <c r="FQ326" s="978"/>
      <c r="FR326" s="978"/>
      <c r="FS326" s="978"/>
      <c r="FT326" s="978"/>
      <c r="FU326" s="978"/>
      <c r="FV326" s="978"/>
      <c r="FW326" s="978"/>
      <c r="FX326" s="978"/>
      <c r="FY326" s="978"/>
      <c r="FZ326" s="978"/>
      <c r="GA326" s="978"/>
      <c r="GB326" s="978"/>
      <c r="GC326" s="978"/>
      <c r="GD326" s="978"/>
      <c r="GE326" s="978"/>
      <c r="GF326" s="978"/>
      <c r="GG326" s="978"/>
      <c r="GH326" s="978"/>
      <c r="GI326" s="978"/>
      <c r="GJ326" s="978"/>
      <c r="GK326" s="978"/>
      <c r="GL326" s="978"/>
      <c r="GM326" s="978"/>
      <c r="GN326" s="978"/>
      <c r="GO326" s="978"/>
      <c r="GP326" s="978"/>
      <c r="GQ326" s="978"/>
      <c r="GR326" s="978"/>
      <c r="GS326" s="978"/>
      <c r="GT326" s="978"/>
      <c r="GU326" s="978"/>
      <c r="GV326" s="978"/>
      <c r="GW326" s="978"/>
      <c r="GX326" s="978"/>
      <c r="GY326" s="978"/>
      <c r="GZ326" s="978"/>
      <c r="HA326" s="978"/>
      <c r="HB326" s="978"/>
      <c r="HC326" s="978"/>
      <c r="HD326" s="978"/>
      <c r="HE326" s="978"/>
      <c r="HF326" s="978"/>
      <c r="HG326" s="978"/>
      <c r="HH326" s="978"/>
      <c r="HI326" s="978"/>
      <c r="HJ326" s="978"/>
      <c r="HK326" s="978"/>
      <c r="HL326" s="978"/>
      <c r="HM326" s="978"/>
      <c r="HN326" s="978"/>
      <c r="HO326" s="978"/>
      <c r="HP326" s="978"/>
      <c r="HQ326" s="978"/>
      <c r="HR326" s="978"/>
      <c r="HS326" s="978"/>
      <c r="HT326" s="978"/>
      <c r="HU326" s="978"/>
      <c r="HV326" s="978"/>
      <c r="HW326" s="978"/>
      <c r="HX326" s="978"/>
      <c r="HY326" s="978"/>
      <c r="HZ326" s="978"/>
      <c r="IA326" s="978"/>
      <c r="IB326" s="978"/>
      <c r="IC326" s="978"/>
      <c r="ID326" s="978"/>
      <c r="IE326" s="978"/>
      <c r="IF326" s="978"/>
      <c r="IG326" s="978"/>
      <c r="IH326" s="978"/>
      <c r="II326" s="978"/>
      <c r="IJ326" s="978"/>
      <c r="IK326" s="978"/>
      <c r="IL326" s="978"/>
      <c r="IM326" s="978"/>
      <c r="IN326" s="978"/>
      <c r="IO326" s="978"/>
      <c r="IP326" s="978"/>
      <c r="IQ326" s="978"/>
      <c r="IR326" s="978"/>
      <c r="IS326" s="978"/>
      <c r="IT326" s="978"/>
      <c r="IU326" s="978"/>
      <c r="IV326" s="978"/>
      <c r="IW326" s="978"/>
      <c r="IX326" s="978"/>
      <c r="IY326" s="978"/>
      <c r="IZ326" s="978"/>
      <c r="JA326" s="978"/>
      <c r="JB326" s="978"/>
      <c r="JC326" s="978"/>
      <c r="JD326" s="978"/>
      <c r="JE326" s="978"/>
      <c r="JF326" s="978"/>
      <c r="JG326" s="978"/>
      <c r="JH326" s="978"/>
      <c r="JI326" s="978"/>
      <c r="JJ326" s="978"/>
      <c r="JK326" s="978"/>
      <c r="JL326" s="978"/>
      <c r="JM326" s="978"/>
      <c r="JN326" s="978"/>
      <c r="JO326" s="978"/>
      <c r="JP326" s="978"/>
      <c r="JQ326" s="978"/>
      <c r="JR326" s="978"/>
      <c r="JS326" s="978"/>
      <c r="JT326" s="978"/>
      <c r="JU326" s="978"/>
      <c r="JV326" s="978"/>
      <c r="JW326" s="978"/>
      <c r="JX326" s="978"/>
      <c r="JY326" s="978"/>
      <c r="JZ326" s="978"/>
      <c r="KA326" s="978"/>
      <c r="KB326" s="978"/>
      <c r="KC326" s="978"/>
      <c r="KD326" s="978"/>
      <c r="KE326" s="978"/>
      <c r="KF326" s="978"/>
      <c r="KG326" s="978"/>
      <c r="KH326" s="978"/>
      <c r="KI326" s="978"/>
      <c r="KJ326" s="978"/>
      <c r="KK326" s="978"/>
      <c r="KL326" s="978"/>
      <c r="KM326" s="978"/>
      <c r="KN326" s="978"/>
      <c r="KO326" s="978"/>
      <c r="KP326" s="978"/>
      <c r="KQ326" s="978"/>
      <c r="KR326" s="978"/>
      <c r="KS326" s="978"/>
      <c r="KT326" s="978"/>
      <c r="KU326" s="978"/>
      <c r="KV326" s="978"/>
      <c r="KW326" s="978"/>
      <c r="KX326" s="978"/>
      <c r="KY326" s="978"/>
      <c r="KZ326" s="978"/>
      <c r="LA326" s="978"/>
      <c r="LB326" s="978"/>
      <c r="LC326" s="978"/>
      <c r="LD326" s="978"/>
      <c r="LE326" s="978"/>
      <c r="LF326" s="978"/>
      <c r="LG326" s="978"/>
      <c r="LH326" s="978"/>
      <c r="LI326" s="978"/>
      <c r="LJ326" s="978"/>
      <c r="LK326" s="978"/>
      <c r="LL326" s="978"/>
      <c r="LM326" s="978"/>
      <c r="LN326" s="978"/>
      <c r="LO326" s="978"/>
      <c r="LP326" s="978"/>
      <c r="LQ326" s="978"/>
      <c r="LR326" s="978"/>
      <c r="LS326" s="978"/>
      <c r="LT326" s="978"/>
      <c r="LU326" s="978"/>
      <c r="LV326" s="978"/>
      <c r="LW326" s="978"/>
      <c r="LX326" s="978"/>
      <c r="LY326" s="978"/>
      <c r="LZ326" s="978"/>
      <c r="MA326" s="978"/>
      <c r="MB326" s="978"/>
      <c r="MC326" s="978"/>
      <c r="MD326" s="978"/>
      <c r="ME326" s="978"/>
      <c r="MF326" s="978"/>
      <c r="MG326" s="978"/>
      <c r="MH326" s="978"/>
      <c r="MI326" s="978"/>
      <c r="MJ326" s="978"/>
      <c r="MK326" s="978"/>
      <c r="ML326" s="978"/>
      <c r="MM326" s="978"/>
      <c r="MN326" s="978"/>
      <c r="MO326" s="978"/>
      <c r="MP326" s="978"/>
      <c r="MQ326" s="978"/>
      <c r="MR326" s="978"/>
      <c r="MS326" s="978"/>
      <c r="MT326" s="978"/>
      <c r="MU326" s="978"/>
      <c r="MV326" s="978"/>
      <c r="MW326" s="978"/>
      <c r="MX326" s="978"/>
      <c r="MY326" s="978"/>
      <c r="MZ326" s="978"/>
      <c r="NA326" s="978"/>
      <c r="NB326" s="978"/>
      <c r="NC326" s="978"/>
      <c r="ND326" s="978"/>
      <c r="NE326" s="978"/>
      <c r="NF326" s="978"/>
      <c r="NG326" s="978"/>
      <c r="NH326" s="978"/>
      <c r="NI326" s="978"/>
      <c r="NJ326" s="978"/>
      <c r="NK326" s="978"/>
      <c r="NL326" s="978"/>
      <c r="NM326" s="978"/>
      <c r="NN326" s="978"/>
      <c r="NO326" s="978"/>
      <c r="NP326" s="978"/>
      <c r="NQ326" s="978"/>
      <c r="NR326" s="978"/>
      <c r="NS326" s="978"/>
      <c r="NT326" s="978"/>
      <c r="NU326" s="978"/>
      <c r="NV326" s="978"/>
      <c r="NW326" s="978"/>
      <c r="NX326" s="978"/>
      <c r="NY326" s="978"/>
      <c r="NZ326" s="978"/>
      <c r="OA326" s="978"/>
      <c r="OB326" s="978"/>
      <c r="OC326" s="978"/>
      <c r="OD326" s="978"/>
      <c r="OE326" s="978"/>
      <c r="OF326" s="978"/>
      <c r="OG326" s="978"/>
      <c r="OH326" s="978"/>
      <c r="OI326" s="978"/>
      <c r="OJ326" s="978"/>
      <c r="OK326" s="978"/>
      <c r="OL326" s="978"/>
      <c r="OM326" s="978"/>
      <c r="ON326" s="978"/>
      <c r="OO326" s="978"/>
      <c r="OP326" s="978"/>
      <c r="OQ326" s="978"/>
      <c r="OR326" s="978"/>
      <c r="OS326" s="978"/>
      <c r="OT326" s="978"/>
      <c r="OU326" s="978"/>
      <c r="OV326" s="978"/>
      <c r="OW326" s="978"/>
      <c r="OX326" s="978"/>
      <c r="OY326" s="978"/>
      <c r="OZ326" s="978"/>
      <c r="PA326" s="978"/>
      <c r="PB326" s="978"/>
      <c r="PC326" s="978"/>
      <c r="PD326" s="978"/>
      <c r="PE326" s="978"/>
      <c r="PF326" s="978"/>
      <c r="PG326" s="978"/>
      <c r="PH326" s="978"/>
      <c r="PI326" s="978"/>
      <c r="PJ326" s="978"/>
      <c r="PK326" s="978"/>
      <c r="PL326" s="978"/>
      <c r="PM326" s="978"/>
      <c r="PN326" s="978"/>
      <c r="PO326" s="978"/>
      <c r="PP326" s="978"/>
      <c r="PQ326" s="978"/>
      <c r="PR326" s="978"/>
      <c r="PS326" s="978"/>
      <c r="PT326" s="978"/>
      <c r="PU326" s="978"/>
      <c r="PV326" s="978"/>
      <c r="PW326" s="978"/>
      <c r="PX326" s="978"/>
      <c r="PY326" s="978"/>
      <c r="PZ326" s="978"/>
      <c r="QA326" s="978"/>
      <c r="QB326" s="978"/>
      <c r="QC326" s="978"/>
      <c r="QD326" s="978"/>
      <c r="QE326" s="978"/>
      <c r="QF326" s="978"/>
      <c r="QG326" s="978"/>
      <c r="QH326" s="978"/>
      <c r="QI326" s="978"/>
      <c r="QJ326" s="978"/>
      <c r="QK326" s="978"/>
      <c r="QL326" s="978"/>
      <c r="QM326" s="978"/>
      <c r="QN326" s="978"/>
      <c r="QO326" s="978"/>
      <c r="QP326" s="978"/>
      <c r="QQ326" s="978"/>
      <c r="QR326" s="978"/>
      <c r="QS326" s="978"/>
      <c r="QT326" s="978"/>
      <c r="QU326" s="978"/>
      <c r="QV326" s="978"/>
      <c r="QW326" s="978"/>
      <c r="QX326" s="978"/>
      <c r="QY326" s="978"/>
      <c r="QZ326" s="978"/>
      <c r="RA326" s="978"/>
      <c r="RB326" s="274"/>
      <c r="RC326" s="274"/>
    </row>
    <row r="327" spans="112:471" ht="17.25">
      <c r="DH327" s="274"/>
      <c r="DI327" s="274"/>
      <c r="DJ327" s="978"/>
      <c r="DK327" s="978"/>
      <c r="DL327" s="978"/>
      <c r="DM327" s="978"/>
      <c r="DN327" s="978"/>
      <c r="DO327" s="978"/>
      <c r="DP327" s="978"/>
      <c r="DQ327" s="978"/>
      <c r="DR327" s="978"/>
      <c r="DS327" s="978"/>
      <c r="DT327" s="978"/>
      <c r="DU327" s="978"/>
      <c r="DV327" s="978"/>
      <c r="DW327" s="978"/>
      <c r="DX327" s="978"/>
      <c r="DY327" s="978"/>
      <c r="DZ327" s="978"/>
      <c r="EA327" s="978"/>
      <c r="EB327" s="978"/>
      <c r="EC327" s="978"/>
      <c r="ED327" s="978"/>
      <c r="EE327" s="978"/>
      <c r="EF327" s="978"/>
      <c r="EG327" s="978"/>
      <c r="EH327" s="978"/>
      <c r="EI327" s="978"/>
      <c r="EJ327" s="978"/>
      <c r="EK327" s="978"/>
      <c r="EL327" s="978"/>
      <c r="EM327" s="978"/>
      <c r="EN327" s="978"/>
      <c r="EO327" s="978"/>
      <c r="EP327" s="978"/>
      <c r="EQ327" s="978"/>
      <c r="ER327" s="978"/>
      <c r="ES327" s="978"/>
      <c r="ET327" s="978"/>
      <c r="EU327" s="978"/>
      <c r="EV327" s="978"/>
      <c r="EW327" s="978"/>
      <c r="EX327" s="978"/>
      <c r="EY327" s="978"/>
      <c r="EZ327" s="978"/>
      <c r="FA327" s="978"/>
      <c r="FB327" s="978"/>
      <c r="FC327" s="978"/>
      <c r="FD327" s="978"/>
      <c r="FE327" s="978"/>
      <c r="FF327" s="978"/>
      <c r="FG327" s="978"/>
      <c r="FH327" s="978"/>
      <c r="FI327" s="978"/>
      <c r="FJ327" s="978"/>
      <c r="FK327" s="978"/>
      <c r="FL327" s="978"/>
      <c r="FM327" s="978"/>
      <c r="FN327" s="978"/>
      <c r="FO327" s="978"/>
      <c r="FP327" s="978"/>
      <c r="FQ327" s="978"/>
      <c r="FR327" s="978"/>
      <c r="FS327" s="978"/>
      <c r="FT327" s="978"/>
      <c r="FU327" s="978"/>
      <c r="FV327" s="978"/>
      <c r="FW327" s="978"/>
      <c r="FX327" s="978"/>
      <c r="FY327" s="978"/>
      <c r="FZ327" s="978"/>
      <c r="GA327" s="978"/>
      <c r="GB327" s="978"/>
      <c r="GC327" s="978"/>
      <c r="GD327" s="978"/>
      <c r="GE327" s="978"/>
      <c r="GF327" s="978"/>
      <c r="GG327" s="978"/>
      <c r="GH327" s="978"/>
      <c r="GI327" s="978"/>
      <c r="GJ327" s="978"/>
      <c r="GK327" s="978"/>
      <c r="GL327" s="978"/>
      <c r="GM327" s="978"/>
      <c r="GN327" s="978"/>
      <c r="GO327" s="978"/>
      <c r="GP327" s="978"/>
      <c r="GQ327" s="978"/>
      <c r="GR327" s="978"/>
      <c r="GS327" s="978"/>
      <c r="GT327" s="978"/>
      <c r="GU327" s="978"/>
      <c r="GV327" s="978"/>
      <c r="GW327" s="978"/>
      <c r="GX327" s="978"/>
      <c r="GY327" s="978"/>
      <c r="GZ327" s="978"/>
      <c r="HA327" s="978"/>
      <c r="HB327" s="978"/>
      <c r="HC327" s="978"/>
      <c r="HD327" s="978"/>
      <c r="HE327" s="978"/>
      <c r="HF327" s="978"/>
      <c r="HG327" s="978"/>
      <c r="HH327" s="978"/>
      <c r="HI327" s="978"/>
      <c r="HJ327" s="978"/>
      <c r="HK327" s="978"/>
      <c r="HL327" s="978"/>
      <c r="HM327" s="978"/>
      <c r="HN327" s="978"/>
      <c r="HO327" s="978"/>
      <c r="HP327" s="978"/>
      <c r="HQ327" s="978"/>
      <c r="HR327" s="978"/>
      <c r="HS327" s="978"/>
      <c r="HT327" s="978"/>
      <c r="HU327" s="978"/>
      <c r="HV327" s="978"/>
      <c r="HW327" s="978"/>
      <c r="HX327" s="978"/>
      <c r="HY327" s="978"/>
      <c r="HZ327" s="978"/>
      <c r="IA327" s="978"/>
      <c r="IB327" s="978"/>
      <c r="IC327" s="978"/>
      <c r="ID327" s="978"/>
      <c r="IE327" s="978"/>
      <c r="IF327" s="978"/>
      <c r="IG327" s="978"/>
      <c r="IH327" s="978"/>
      <c r="II327" s="978"/>
      <c r="IJ327" s="978"/>
      <c r="IK327" s="978"/>
      <c r="IL327" s="978"/>
      <c r="IM327" s="978"/>
      <c r="IN327" s="978"/>
      <c r="IO327" s="978"/>
      <c r="IP327" s="978"/>
      <c r="IQ327" s="978"/>
      <c r="IR327" s="978"/>
      <c r="IS327" s="978"/>
      <c r="IT327" s="978"/>
      <c r="IU327" s="978"/>
      <c r="IV327" s="978"/>
      <c r="IW327" s="978"/>
      <c r="IX327" s="978"/>
      <c r="IY327" s="978"/>
      <c r="IZ327" s="978"/>
      <c r="JA327" s="978"/>
      <c r="JB327" s="978"/>
      <c r="JC327" s="978"/>
      <c r="JD327" s="978"/>
      <c r="JE327" s="978"/>
      <c r="JF327" s="978"/>
      <c r="JG327" s="978"/>
      <c r="JH327" s="978"/>
      <c r="JI327" s="978"/>
      <c r="JJ327" s="978"/>
      <c r="JK327" s="978"/>
      <c r="JL327" s="978"/>
      <c r="JM327" s="978"/>
      <c r="JN327" s="978"/>
      <c r="JO327" s="978"/>
      <c r="JP327" s="978"/>
      <c r="JQ327" s="978"/>
      <c r="JR327" s="978"/>
      <c r="JS327" s="978"/>
      <c r="JT327" s="978"/>
      <c r="JU327" s="978"/>
      <c r="JV327" s="978"/>
      <c r="JW327" s="978"/>
      <c r="JX327" s="978"/>
      <c r="JY327" s="978"/>
      <c r="JZ327" s="978"/>
      <c r="KA327" s="978"/>
      <c r="KB327" s="978"/>
      <c r="KC327" s="978"/>
      <c r="KD327" s="978"/>
      <c r="KE327" s="978"/>
      <c r="KF327" s="978"/>
      <c r="KG327" s="978"/>
      <c r="KH327" s="978"/>
      <c r="KI327" s="978"/>
      <c r="KJ327" s="978"/>
      <c r="KK327" s="978"/>
      <c r="KL327" s="978"/>
      <c r="KM327" s="978"/>
      <c r="KN327" s="978"/>
      <c r="KO327" s="978"/>
      <c r="KP327" s="978"/>
      <c r="KQ327" s="978"/>
      <c r="KR327" s="978"/>
      <c r="KS327" s="978"/>
      <c r="KT327" s="978"/>
      <c r="KU327" s="978"/>
      <c r="KV327" s="978"/>
      <c r="KW327" s="978"/>
      <c r="KX327" s="978"/>
      <c r="KY327" s="978"/>
      <c r="KZ327" s="978"/>
      <c r="LA327" s="978"/>
      <c r="LB327" s="978"/>
      <c r="LC327" s="978"/>
      <c r="LD327" s="978"/>
      <c r="LE327" s="978"/>
      <c r="LF327" s="978"/>
      <c r="LG327" s="978"/>
      <c r="LH327" s="978"/>
      <c r="LI327" s="978"/>
      <c r="LJ327" s="978"/>
      <c r="LK327" s="978"/>
      <c r="LL327" s="978"/>
      <c r="LM327" s="978"/>
      <c r="LN327" s="978"/>
      <c r="LO327" s="978"/>
      <c r="LP327" s="978"/>
      <c r="LQ327" s="978"/>
      <c r="LR327" s="978"/>
      <c r="LS327" s="978"/>
      <c r="LT327" s="978"/>
      <c r="LU327" s="978"/>
      <c r="LV327" s="978"/>
      <c r="LW327" s="978"/>
      <c r="LX327" s="978"/>
      <c r="LY327" s="978"/>
      <c r="LZ327" s="978"/>
      <c r="MA327" s="978"/>
      <c r="MB327" s="978"/>
      <c r="MC327" s="978"/>
      <c r="MD327" s="978"/>
      <c r="ME327" s="978"/>
      <c r="MF327" s="978"/>
      <c r="MG327" s="978"/>
      <c r="MH327" s="978"/>
      <c r="MI327" s="978"/>
      <c r="MJ327" s="978"/>
      <c r="MK327" s="978"/>
      <c r="ML327" s="978"/>
      <c r="MM327" s="978"/>
      <c r="MN327" s="978"/>
      <c r="MO327" s="978"/>
      <c r="MP327" s="978"/>
      <c r="MQ327" s="978"/>
      <c r="MR327" s="978"/>
      <c r="MS327" s="978"/>
      <c r="MT327" s="978"/>
      <c r="MU327" s="978"/>
      <c r="MV327" s="978"/>
      <c r="MW327" s="978"/>
      <c r="MX327" s="978"/>
      <c r="MY327" s="978"/>
      <c r="MZ327" s="978"/>
      <c r="NA327" s="978"/>
      <c r="NB327" s="978"/>
      <c r="NC327" s="978"/>
      <c r="ND327" s="978"/>
      <c r="NE327" s="978"/>
      <c r="NF327" s="978"/>
      <c r="NG327" s="978"/>
      <c r="NH327" s="978"/>
      <c r="NI327" s="978"/>
      <c r="NJ327" s="978"/>
      <c r="NK327" s="978"/>
      <c r="NL327" s="978"/>
      <c r="NM327" s="978"/>
      <c r="NN327" s="978"/>
      <c r="NO327" s="978"/>
      <c r="NP327" s="978"/>
      <c r="NQ327" s="978"/>
      <c r="NR327" s="978"/>
      <c r="NS327" s="978"/>
      <c r="NT327" s="978"/>
      <c r="NU327" s="978"/>
      <c r="NV327" s="978"/>
      <c r="NW327" s="978"/>
      <c r="NX327" s="978"/>
      <c r="NY327" s="978"/>
      <c r="NZ327" s="978"/>
      <c r="OA327" s="978"/>
      <c r="OB327" s="978"/>
      <c r="OC327" s="978"/>
      <c r="OD327" s="978"/>
      <c r="OE327" s="978"/>
      <c r="OF327" s="978"/>
      <c r="OG327" s="978"/>
      <c r="OH327" s="978"/>
      <c r="OI327" s="978"/>
      <c r="OJ327" s="978"/>
      <c r="OK327" s="978"/>
      <c r="OL327" s="978"/>
      <c r="OM327" s="978"/>
      <c r="ON327" s="978"/>
      <c r="OO327" s="978"/>
      <c r="OP327" s="978"/>
      <c r="OQ327" s="978"/>
      <c r="OR327" s="978"/>
      <c r="OS327" s="978"/>
      <c r="OT327" s="978"/>
      <c r="OU327" s="978"/>
      <c r="OV327" s="978"/>
      <c r="OW327" s="978"/>
      <c r="OX327" s="978"/>
      <c r="OY327" s="978"/>
      <c r="OZ327" s="978"/>
      <c r="PA327" s="978"/>
      <c r="PB327" s="978"/>
      <c r="PC327" s="978"/>
      <c r="PD327" s="978"/>
      <c r="PE327" s="978"/>
      <c r="PF327" s="978"/>
      <c r="PG327" s="978"/>
      <c r="PH327" s="978"/>
      <c r="PI327" s="978"/>
      <c r="PJ327" s="978"/>
      <c r="PK327" s="978"/>
      <c r="PL327" s="978"/>
      <c r="PM327" s="978"/>
      <c r="PN327" s="978"/>
      <c r="PO327" s="978"/>
      <c r="PP327" s="978"/>
      <c r="PQ327" s="978"/>
      <c r="PR327" s="978"/>
      <c r="PS327" s="978"/>
      <c r="PT327" s="978"/>
      <c r="PU327" s="978"/>
      <c r="PV327" s="978"/>
      <c r="PW327" s="978"/>
      <c r="PX327" s="978"/>
      <c r="PY327" s="978"/>
      <c r="PZ327" s="978"/>
      <c r="QA327" s="978"/>
      <c r="QB327" s="978"/>
      <c r="QC327" s="978"/>
      <c r="QD327" s="978"/>
      <c r="QE327" s="978"/>
      <c r="QF327" s="978"/>
      <c r="QG327" s="978"/>
      <c r="QH327" s="978"/>
      <c r="QI327" s="978"/>
      <c r="QJ327" s="978"/>
      <c r="QK327" s="978"/>
      <c r="QL327" s="978"/>
      <c r="QM327" s="978"/>
      <c r="QN327" s="978"/>
      <c r="QO327" s="978"/>
      <c r="QP327" s="978"/>
      <c r="QQ327" s="978"/>
      <c r="QR327" s="978"/>
      <c r="QS327" s="978"/>
      <c r="QT327" s="978"/>
      <c r="QU327" s="978"/>
      <c r="QV327" s="978"/>
      <c r="QW327" s="978"/>
      <c r="QX327" s="978"/>
      <c r="QY327" s="978"/>
      <c r="QZ327" s="978"/>
      <c r="RA327" s="978"/>
      <c r="RB327" s="274"/>
      <c r="RC327" s="274"/>
    </row>
    <row r="328" spans="112:471" ht="17.25">
      <c r="DH328" s="274"/>
      <c r="DI328" s="274"/>
      <c r="DJ328" s="978"/>
      <c r="DK328" s="978"/>
      <c r="DL328" s="978"/>
      <c r="DM328" s="978"/>
      <c r="DN328" s="978"/>
      <c r="DO328" s="978"/>
      <c r="DP328" s="978"/>
      <c r="DQ328" s="978"/>
      <c r="DR328" s="978"/>
      <c r="DS328" s="978"/>
      <c r="DT328" s="978"/>
      <c r="DU328" s="978"/>
      <c r="DV328" s="978"/>
      <c r="DW328" s="978"/>
      <c r="DX328" s="978"/>
      <c r="DY328" s="978"/>
      <c r="DZ328" s="978"/>
      <c r="EA328" s="978"/>
      <c r="EB328" s="978"/>
      <c r="EC328" s="978"/>
      <c r="ED328" s="978"/>
      <c r="EE328" s="978"/>
      <c r="EF328" s="978"/>
      <c r="EG328" s="978"/>
      <c r="EH328" s="978"/>
      <c r="EI328" s="978"/>
      <c r="EJ328" s="978"/>
      <c r="EK328" s="978"/>
      <c r="EL328" s="978"/>
      <c r="EM328" s="978"/>
      <c r="EN328" s="978"/>
      <c r="EO328" s="978"/>
      <c r="EP328" s="978"/>
      <c r="EQ328" s="978"/>
      <c r="ER328" s="978"/>
      <c r="ES328" s="978"/>
      <c r="ET328" s="978"/>
      <c r="EU328" s="978"/>
      <c r="EV328" s="978"/>
      <c r="EW328" s="978"/>
      <c r="EX328" s="978"/>
      <c r="EY328" s="978"/>
      <c r="EZ328" s="978"/>
      <c r="FA328" s="978"/>
      <c r="FB328" s="978"/>
      <c r="FC328" s="978"/>
      <c r="FD328" s="978"/>
      <c r="FE328" s="978"/>
      <c r="FF328" s="978"/>
      <c r="FG328" s="978"/>
      <c r="FH328" s="978"/>
      <c r="FI328" s="978"/>
      <c r="FJ328" s="978"/>
      <c r="FK328" s="978"/>
      <c r="FL328" s="978"/>
      <c r="FM328" s="978"/>
      <c r="FN328" s="978"/>
      <c r="FO328" s="978"/>
      <c r="FP328" s="978"/>
      <c r="FQ328" s="978"/>
      <c r="FR328" s="978"/>
      <c r="FS328" s="978"/>
      <c r="FT328" s="978"/>
      <c r="FU328" s="978"/>
      <c r="FV328" s="978"/>
      <c r="FW328" s="978"/>
      <c r="FX328" s="978"/>
      <c r="FY328" s="978"/>
      <c r="FZ328" s="978"/>
      <c r="GA328" s="978"/>
      <c r="GB328" s="978"/>
      <c r="GC328" s="978"/>
      <c r="GD328" s="978"/>
      <c r="GE328" s="978"/>
      <c r="GF328" s="978"/>
      <c r="GG328" s="978"/>
      <c r="GH328" s="978"/>
      <c r="GI328" s="978"/>
      <c r="GJ328" s="978"/>
      <c r="GK328" s="978"/>
      <c r="GL328" s="978"/>
      <c r="GM328" s="978"/>
      <c r="GN328" s="978"/>
      <c r="GO328" s="978"/>
      <c r="GP328" s="978"/>
      <c r="GQ328" s="978"/>
      <c r="GR328" s="978"/>
      <c r="GS328" s="978"/>
      <c r="GT328" s="978"/>
      <c r="GU328" s="978"/>
      <c r="GV328" s="978"/>
      <c r="GW328" s="978"/>
      <c r="GX328" s="978"/>
      <c r="GY328" s="978"/>
      <c r="GZ328" s="978"/>
      <c r="HA328" s="978"/>
      <c r="HB328" s="978"/>
      <c r="HC328" s="978"/>
      <c r="HD328" s="978"/>
      <c r="HE328" s="978"/>
      <c r="HF328" s="978"/>
      <c r="HG328" s="978"/>
      <c r="HH328" s="978"/>
      <c r="HI328" s="978"/>
      <c r="HJ328" s="978"/>
      <c r="HK328" s="978"/>
      <c r="HL328" s="978"/>
      <c r="HM328" s="978"/>
      <c r="HN328" s="978"/>
      <c r="HO328" s="978"/>
      <c r="HP328" s="978"/>
      <c r="HQ328" s="978"/>
      <c r="HR328" s="978"/>
      <c r="HS328" s="978"/>
      <c r="HT328" s="978"/>
      <c r="HU328" s="978"/>
      <c r="HV328" s="978"/>
      <c r="HW328" s="978"/>
      <c r="HX328" s="978"/>
      <c r="HY328" s="978"/>
      <c r="HZ328" s="978"/>
      <c r="IA328" s="978"/>
      <c r="IB328" s="978"/>
      <c r="IC328" s="978"/>
      <c r="ID328" s="978"/>
      <c r="IE328" s="978"/>
      <c r="IF328" s="978"/>
      <c r="IG328" s="978"/>
      <c r="IH328" s="978"/>
      <c r="II328" s="978"/>
      <c r="IJ328" s="978"/>
      <c r="IK328" s="978"/>
      <c r="IL328" s="978"/>
      <c r="IM328" s="978"/>
      <c r="IN328" s="978"/>
      <c r="IO328" s="978"/>
      <c r="IP328" s="978"/>
      <c r="IQ328" s="978"/>
      <c r="IR328" s="978"/>
      <c r="IS328" s="978"/>
      <c r="IT328" s="978"/>
      <c r="IU328" s="978"/>
      <c r="IV328" s="978"/>
      <c r="IW328" s="978"/>
      <c r="IX328" s="978"/>
      <c r="IY328" s="978"/>
      <c r="IZ328" s="978"/>
      <c r="JA328" s="978"/>
      <c r="JB328" s="978"/>
      <c r="JC328" s="978"/>
      <c r="JD328" s="978"/>
      <c r="JE328" s="978"/>
      <c r="JF328" s="978"/>
      <c r="JG328" s="978"/>
      <c r="JH328" s="978"/>
      <c r="JI328" s="978"/>
      <c r="JJ328" s="978"/>
      <c r="JK328" s="978"/>
      <c r="JL328" s="978"/>
      <c r="JM328" s="978"/>
      <c r="JN328" s="978"/>
      <c r="JO328" s="978"/>
      <c r="JP328" s="978"/>
      <c r="JQ328" s="978"/>
      <c r="JR328" s="978"/>
      <c r="JS328" s="978"/>
      <c r="JT328" s="978"/>
      <c r="JU328" s="978"/>
      <c r="JV328" s="978"/>
      <c r="JW328" s="978"/>
      <c r="JX328" s="978"/>
      <c r="JY328" s="978"/>
      <c r="JZ328" s="978"/>
      <c r="KA328" s="978"/>
      <c r="KB328" s="978"/>
      <c r="KC328" s="978"/>
      <c r="KD328" s="978"/>
      <c r="KE328" s="978"/>
      <c r="KF328" s="978"/>
      <c r="KG328" s="978"/>
      <c r="KH328" s="978"/>
      <c r="KI328" s="978"/>
      <c r="KJ328" s="978"/>
      <c r="KK328" s="978"/>
      <c r="KL328" s="978"/>
      <c r="KM328" s="978"/>
      <c r="KN328" s="978"/>
      <c r="KO328" s="978"/>
      <c r="KP328" s="978"/>
      <c r="KQ328" s="978"/>
      <c r="KR328" s="978"/>
      <c r="KS328" s="978"/>
      <c r="KT328" s="978"/>
      <c r="KU328" s="978"/>
      <c r="KV328" s="978"/>
      <c r="KW328" s="978"/>
      <c r="KX328" s="978"/>
      <c r="KY328" s="978"/>
      <c r="KZ328" s="978"/>
      <c r="LA328" s="978"/>
      <c r="LB328" s="978"/>
      <c r="LC328" s="978"/>
      <c r="LD328" s="978"/>
      <c r="LE328" s="978"/>
      <c r="LF328" s="978"/>
      <c r="LG328" s="978"/>
      <c r="LH328" s="978"/>
      <c r="LI328" s="978"/>
      <c r="LJ328" s="978"/>
      <c r="LK328" s="978"/>
      <c r="LL328" s="978"/>
      <c r="LM328" s="978"/>
      <c r="LN328" s="978"/>
      <c r="LO328" s="978"/>
      <c r="LP328" s="978"/>
      <c r="LQ328" s="978"/>
      <c r="LR328" s="978"/>
      <c r="LS328" s="978"/>
      <c r="LT328" s="978"/>
      <c r="LU328" s="978"/>
      <c r="LV328" s="978"/>
      <c r="LW328" s="978"/>
      <c r="LX328" s="978"/>
      <c r="LY328" s="978"/>
      <c r="LZ328" s="978"/>
      <c r="MA328" s="978"/>
      <c r="MB328" s="978"/>
      <c r="MC328" s="978"/>
      <c r="MD328" s="978"/>
      <c r="ME328" s="978"/>
      <c r="MF328" s="978"/>
      <c r="MG328" s="978"/>
      <c r="MH328" s="978"/>
      <c r="MI328" s="978"/>
      <c r="MJ328" s="978"/>
      <c r="MK328" s="978"/>
      <c r="ML328" s="978"/>
      <c r="MM328" s="978"/>
      <c r="MN328" s="978"/>
      <c r="MO328" s="978"/>
      <c r="MP328" s="978"/>
      <c r="MQ328" s="978"/>
      <c r="MR328" s="978"/>
      <c r="MS328" s="978"/>
      <c r="MT328" s="978"/>
      <c r="MU328" s="978"/>
      <c r="MV328" s="978"/>
      <c r="MW328" s="978"/>
      <c r="MX328" s="978"/>
      <c r="MY328" s="978"/>
      <c r="MZ328" s="978"/>
      <c r="NA328" s="978"/>
      <c r="NB328" s="978"/>
      <c r="NC328" s="978"/>
      <c r="ND328" s="978"/>
      <c r="NE328" s="978"/>
      <c r="NF328" s="978"/>
      <c r="NG328" s="978"/>
      <c r="NH328" s="978"/>
      <c r="NI328" s="978"/>
      <c r="NJ328" s="978"/>
      <c r="NK328" s="978"/>
      <c r="NL328" s="978"/>
      <c r="NM328" s="978"/>
      <c r="NN328" s="978"/>
      <c r="NO328" s="978"/>
      <c r="NP328" s="978"/>
      <c r="NQ328" s="978"/>
      <c r="NR328" s="978"/>
      <c r="NS328" s="978"/>
      <c r="NT328" s="978"/>
      <c r="NU328" s="978"/>
      <c r="NV328" s="978"/>
      <c r="NW328" s="978"/>
      <c r="NX328" s="978"/>
      <c r="NY328" s="978"/>
      <c r="NZ328" s="978"/>
      <c r="OA328" s="978"/>
      <c r="OB328" s="978"/>
      <c r="OC328" s="978"/>
      <c r="OD328" s="978"/>
      <c r="OE328" s="978"/>
      <c r="OF328" s="978"/>
      <c r="OG328" s="978"/>
      <c r="OH328" s="978"/>
      <c r="OI328" s="978"/>
      <c r="OJ328" s="978"/>
      <c r="OK328" s="978"/>
      <c r="OL328" s="978"/>
      <c r="OM328" s="978"/>
      <c r="ON328" s="978"/>
      <c r="OO328" s="978"/>
      <c r="OP328" s="978"/>
      <c r="OQ328" s="978"/>
      <c r="OR328" s="978"/>
      <c r="OS328" s="978"/>
      <c r="OT328" s="978"/>
      <c r="OU328" s="978"/>
      <c r="OV328" s="978"/>
      <c r="OW328" s="978"/>
      <c r="OX328" s="978"/>
      <c r="OY328" s="978"/>
      <c r="OZ328" s="978"/>
      <c r="PA328" s="978"/>
      <c r="PB328" s="978"/>
      <c r="PC328" s="978"/>
      <c r="PD328" s="978"/>
      <c r="PE328" s="978"/>
      <c r="PF328" s="978"/>
      <c r="PG328" s="978"/>
      <c r="PH328" s="978"/>
      <c r="PI328" s="978"/>
      <c r="PJ328" s="978"/>
      <c r="PK328" s="978"/>
      <c r="PL328" s="978"/>
      <c r="PM328" s="978"/>
      <c r="PN328" s="978"/>
      <c r="PO328" s="978"/>
      <c r="PP328" s="978"/>
      <c r="PQ328" s="978"/>
      <c r="PR328" s="978"/>
      <c r="PS328" s="978"/>
      <c r="PT328" s="978"/>
      <c r="PU328" s="978"/>
      <c r="PV328" s="978"/>
      <c r="PW328" s="978"/>
      <c r="PX328" s="978"/>
      <c r="PY328" s="978"/>
      <c r="PZ328" s="978"/>
      <c r="QA328" s="978"/>
      <c r="QB328" s="978"/>
      <c r="QC328" s="978"/>
      <c r="QD328" s="978"/>
      <c r="QE328" s="978"/>
      <c r="QF328" s="978"/>
      <c r="QG328" s="978"/>
      <c r="QH328" s="978"/>
      <c r="QI328" s="978"/>
      <c r="QJ328" s="978"/>
      <c r="QK328" s="978"/>
      <c r="QL328" s="978"/>
      <c r="QM328" s="978"/>
      <c r="QN328" s="978"/>
      <c r="QO328" s="978"/>
      <c r="QP328" s="978"/>
      <c r="QQ328" s="978"/>
      <c r="QR328" s="978"/>
      <c r="QS328" s="978"/>
      <c r="QT328" s="978"/>
      <c r="QU328" s="978"/>
      <c r="QV328" s="978"/>
      <c r="QW328" s="978"/>
      <c r="QX328" s="978"/>
      <c r="QY328" s="978"/>
      <c r="QZ328" s="978"/>
      <c r="RA328" s="978"/>
      <c r="RB328" s="274"/>
      <c r="RC328" s="274"/>
    </row>
    <row r="329" spans="112:471">
      <c r="DH329" s="274"/>
      <c r="DI329" s="274"/>
      <c r="DJ329" s="274"/>
      <c r="DK329" s="274"/>
      <c r="DL329" s="274"/>
      <c r="DM329" s="274"/>
      <c r="DN329" s="274"/>
      <c r="DO329" s="274"/>
      <c r="DP329" s="274"/>
      <c r="DQ329" s="274"/>
      <c r="DR329" s="274"/>
      <c r="DS329" s="274"/>
      <c r="DT329" s="274"/>
      <c r="DU329" s="274"/>
      <c r="DV329" s="274"/>
      <c r="DW329" s="274"/>
      <c r="DX329" s="274"/>
      <c r="DY329" s="274"/>
      <c r="DZ329" s="274"/>
      <c r="EA329" s="274"/>
      <c r="EB329" s="274"/>
      <c r="EC329" s="274"/>
      <c r="ED329" s="274"/>
      <c r="EE329" s="274"/>
      <c r="EF329" s="274"/>
      <c r="EG329" s="274"/>
      <c r="EH329" s="274"/>
      <c r="EI329" s="274"/>
      <c r="EJ329" s="274"/>
      <c r="EK329" s="274"/>
      <c r="EL329" s="274"/>
      <c r="EM329" s="274"/>
      <c r="EN329" s="274"/>
      <c r="EO329" s="274"/>
      <c r="EP329" s="274"/>
      <c r="EQ329" s="274"/>
      <c r="ER329" s="274"/>
      <c r="ES329" s="274"/>
      <c r="ET329" s="274"/>
      <c r="EU329" s="274"/>
      <c r="EV329" s="274"/>
      <c r="EW329" s="274"/>
      <c r="EX329" s="274"/>
      <c r="EY329" s="274"/>
      <c r="EZ329" s="274"/>
      <c r="FA329" s="274"/>
      <c r="FB329" s="274"/>
      <c r="FC329" s="274"/>
      <c r="FD329" s="274"/>
      <c r="FE329" s="274"/>
      <c r="FF329" s="274"/>
      <c r="FG329" s="274"/>
      <c r="FH329" s="274"/>
      <c r="FI329" s="274"/>
      <c r="FJ329" s="274"/>
      <c r="FK329" s="274"/>
      <c r="FL329" s="274"/>
      <c r="FM329" s="274"/>
      <c r="FN329" s="274"/>
      <c r="FO329" s="274"/>
      <c r="FP329" s="274"/>
      <c r="FQ329" s="274"/>
      <c r="FR329" s="274"/>
      <c r="FS329" s="274"/>
      <c r="FT329" s="274"/>
      <c r="FU329" s="274"/>
      <c r="FV329" s="274"/>
      <c r="FW329" s="274"/>
      <c r="FX329" s="274"/>
      <c r="FY329" s="274"/>
      <c r="FZ329" s="274"/>
      <c r="GA329" s="274"/>
      <c r="GB329" s="274"/>
      <c r="GC329" s="274"/>
      <c r="GD329" s="274"/>
      <c r="GE329" s="274"/>
      <c r="GF329" s="274"/>
      <c r="GG329" s="274"/>
      <c r="GH329" s="274"/>
      <c r="GI329" s="274"/>
      <c r="GJ329" s="274"/>
      <c r="GK329" s="274"/>
      <c r="GL329" s="274"/>
      <c r="GM329" s="274"/>
      <c r="GN329" s="274"/>
      <c r="GO329" s="274"/>
      <c r="GP329" s="274"/>
      <c r="GQ329" s="274"/>
      <c r="GR329" s="274"/>
      <c r="GS329" s="274"/>
      <c r="GT329" s="274"/>
      <c r="GU329" s="274"/>
      <c r="GV329" s="274"/>
      <c r="GW329" s="274"/>
      <c r="GX329" s="274"/>
      <c r="GY329" s="274"/>
      <c r="GZ329" s="274"/>
      <c r="HA329" s="274"/>
      <c r="HB329" s="274"/>
      <c r="HC329" s="274"/>
      <c r="HD329" s="274"/>
      <c r="HE329" s="274"/>
      <c r="HF329" s="274"/>
      <c r="HG329" s="274"/>
      <c r="HH329" s="274"/>
      <c r="HI329" s="274"/>
      <c r="HJ329" s="274"/>
      <c r="HK329" s="274"/>
      <c r="HL329" s="274"/>
      <c r="HM329" s="274"/>
      <c r="HN329" s="274"/>
      <c r="HO329" s="274"/>
      <c r="HP329" s="274"/>
      <c r="HQ329" s="274"/>
      <c r="HR329" s="274"/>
      <c r="HS329" s="274"/>
      <c r="HT329" s="274"/>
      <c r="HU329" s="274"/>
      <c r="HV329" s="274"/>
      <c r="HW329" s="274"/>
      <c r="HX329" s="274"/>
      <c r="HY329" s="274"/>
      <c r="HZ329" s="274"/>
      <c r="IA329" s="274"/>
      <c r="IB329" s="274"/>
      <c r="IC329" s="274"/>
      <c r="ID329" s="274"/>
      <c r="IE329" s="274"/>
      <c r="IF329" s="274"/>
      <c r="IG329" s="274"/>
      <c r="IH329" s="274"/>
      <c r="II329" s="274"/>
      <c r="IJ329" s="274"/>
      <c r="IK329" s="274"/>
      <c r="IL329" s="274"/>
      <c r="IM329" s="274"/>
      <c r="IN329" s="274"/>
      <c r="IO329" s="274"/>
      <c r="IP329" s="274"/>
      <c r="IQ329" s="274"/>
      <c r="IR329" s="274"/>
      <c r="IS329" s="274"/>
      <c r="IT329" s="274"/>
      <c r="IU329" s="274"/>
      <c r="IV329" s="274"/>
      <c r="IW329" s="274"/>
      <c r="IX329" s="274"/>
      <c r="IY329" s="274"/>
      <c r="IZ329" s="274"/>
      <c r="JA329" s="274"/>
      <c r="JB329" s="274"/>
      <c r="JC329" s="274"/>
      <c r="JD329" s="274"/>
      <c r="JE329" s="274"/>
      <c r="JF329" s="274"/>
      <c r="JG329" s="274"/>
      <c r="JH329" s="274"/>
      <c r="JI329" s="274"/>
      <c r="JJ329" s="274"/>
      <c r="JK329" s="274"/>
      <c r="JL329" s="274"/>
      <c r="JM329" s="274"/>
      <c r="JN329" s="274"/>
      <c r="JO329" s="274"/>
      <c r="JP329" s="274"/>
      <c r="JQ329" s="274"/>
      <c r="JR329" s="274"/>
      <c r="JS329" s="274"/>
      <c r="JT329" s="274"/>
      <c r="JU329" s="274"/>
      <c r="JV329" s="274"/>
      <c r="JW329" s="274"/>
      <c r="JX329" s="274"/>
      <c r="JY329" s="274"/>
      <c r="JZ329" s="274"/>
      <c r="KA329" s="274"/>
      <c r="KB329" s="274"/>
      <c r="KC329" s="274"/>
      <c r="KD329" s="274"/>
      <c r="KE329" s="274"/>
      <c r="KF329" s="274"/>
      <c r="KG329" s="274"/>
      <c r="KH329" s="274"/>
      <c r="KI329" s="274"/>
      <c r="KJ329" s="274"/>
      <c r="KK329" s="274"/>
      <c r="KL329" s="274"/>
      <c r="KM329" s="274"/>
      <c r="KN329" s="274"/>
      <c r="KO329" s="274"/>
      <c r="KP329" s="274"/>
      <c r="KQ329" s="274"/>
      <c r="KR329" s="274"/>
      <c r="KS329" s="274"/>
      <c r="KT329" s="274"/>
      <c r="KU329" s="274"/>
      <c r="KV329" s="274"/>
      <c r="KW329" s="274"/>
      <c r="KX329" s="274"/>
      <c r="KY329" s="274"/>
      <c r="KZ329" s="274"/>
      <c r="LA329" s="274"/>
      <c r="LB329" s="274"/>
      <c r="LC329" s="274"/>
      <c r="LD329" s="274"/>
      <c r="LE329" s="274"/>
      <c r="LF329" s="274"/>
      <c r="LG329" s="274"/>
      <c r="LH329" s="274"/>
      <c r="LI329" s="274"/>
      <c r="LJ329" s="274"/>
      <c r="LK329" s="274"/>
      <c r="LL329" s="274"/>
      <c r="LM329" s="274"/>
      <c r="LN329" s="274"/>
      <c r="LO329" s="274"/>
      <c r="LP329" s="274"/>
      <c r="LQ329" s="274"/>
      <c r="LR329" s="274"/>
      <c r="LS329" s="274"/>
      <c r="LT329" s="274"/>
      <c r="LU329" s="274"/>
      <c r="LV329" s="274"/>
      <c r="LW329" s="274"/>
      <c r="LX329" s="274"/>
      <c r="LY329" s="274"/>
      <c r="LZ329" s="274"/>
      <c r="MA329" s="274"/>
      <c r="MB329" s="274"/>
      <c r="MC329" s="274"/>
      <c r="MD329" s="274"/>
      <c r="ME329" s="274"/>
      <c r="MF329" s="274"/>
      <c r="MG329" s="274"/>
      <c r="MH329" s="274"/>
      <c r="MI329" s="274"/>
      <c r="MJ329" s="274"/>
      <c r="MK329" s="274"/>
      <c r="ML329" s="274"/>
      <c r="MM329" s="274"/>
      <c r="MN329" s="274"/>
      <c r="MO329" s="274"/>
      <c r="MP329" s="274"/>
      <c r="MQ329" s="274"/>
      <c r="MR329" s="274"/>
      <c r="MS329" s="274"/>
      <c r="MT329" s="274"/>
      <c r="MU329" s="274"/>
      <c r="MV329" s="274"/>
      <c r="MW329" s="274"/>
      <c r="MX329" s="274"/>
      <c r="MY329" s="274"/>
      <c r="MZ329" s="274"/>
      <c r="NA329" s="274"/>
      <c r="NB329" s="274"/>
      <c r="NC329" s="274"/>
      <c r="ND329" s="274"/>
      <c r="NE329" s="274"/>
      <c r="NF329" s="274"/>
      <c r="NG329" s="274"/>
      <c r="NH329" s="274"/>
      <c r="NI329" s="274"/>
      <c r="NJ329" s="274"/>
      <c r="NK329" s="274"/>
      <c r="NL329" s="274"/>
      <c r="NM329" s="274"/>
      <c r="NN329" s="274"/>
      <c r="NO329" s="274"/>
      <c r="NP329" s="274"/>
      <c r="NQ329" s="274"/>
      <c r="NR329" s="274"/>
      <c r="NS329" s="274"/>
      <c r="NT329" s="274"/>
      <c r="NU329" s="274"/>
      <c r="NV329" s="274"/>
      <c r="NW329" s="274"/>
      <c r="NX329" s="274"/>
      <c r="NY329" s="274"/>
      <c r="NZ329" s="274"/>
      <c r="OA329" s="274"/>
      <c r="OB329" s="274"/>
      <c r="OC329" s="274"/>
      <c r="OD329" s="274"/>
      <c r="OE329" s="274"/>
      <c r="OF329" s="274"/>
      <c r="OG329" s="274"/>
      <c r="OH329" s="274"/>
      <c r="OI329" s="274"/>
      <c r="OJ329" s="274"/>
      <c r="OK329" s="274"/>
      <c r="OL329" s="274"/>
      <c r="OM329" s="274"/>
      <c r="ON329" s="274"/>
      <c r="OO329" s="274"/>
      <c r="OP329" s="274"/>
      <c r="OQ329" s="274"/>
      <c r="OR329" s="274"/>
      <c r="OS329" s="274"/>
      <c r="OT329" s="274"/>
      <c r="OU329" s="274"/>
      <c r="OV329" s="274"/>
      <c r="OW329" s="274"/>
      <c r="OX329" s="274"/>
      <c r="OY329" s="274"/>
      <c r="OZ329" s="274"/>
      <c r="PA329" s="274"/>
      <c r="PB329" s="274"/>
      <c r="PC329" s="274"/>
      <c r="PD329" s="274"/>
      <c r="PE329" s="274"/>
      <c r="PF329" s="274"/>
      <c r="PG329" s="274"/>
      <c r="PH329" s="274"/>
      <c r="PI329" s="274"/>
      <c r="PJ329" s="274"/>
      <c r="PK329" s="274"/>
      <c r="PL329" s="274"/>
      <c r="PM329" s="274"/>
      <c r="PN329" s="274"/>
      <c r="PO329" s="274"/>
      <c r="PP329" s="274"/>
      <c r="PQ329" s="274"/>
      <c r="PR329" s="274"/>
      <c r="PS329" s="274"/>
      <c r="PT329" s="274"/>
      <c r="PU329" s="274"/>
      <c r="PV329" s="274"/>
      <c r="PW329" s="274"/>
      <c r="PX329" s="274"/>
      <c r="PY329" s="274"/>
      <c r="PZ329" s="274"/>
      <c r="QA329" s="274"/>
      <c r="QB329" s="274"/>
      <c r="QC329" s="274"/>
      <c r="QD329" s="274"/>
      <c r="QE329" s="274"/>
      <c r="QF329" s="274"/>
      <c r="QG329" s="274"/>
      <c r="QH329" s="274"/>
      <c r="QI329" s="274"/>
      <c r="QJ329" s="274"/>
      <c r="QK329" s="274"/>
      <c r="QL329" s="274"/>
      <c r="QM329" s="274"/>
      <c r="QN329" s="274"/>
      <c r="QO329" s="274"/>
      <c r="QP329" s="274"/>
      <c r="QQ329" s="274"/>
      <c r="QR329" s="274"/>
      <c r="QS329" s="274"/>
      <c r="QT329" s="274"/>
      <c r="QU329" s="274"/>
      <c r="QV329" s="274"/>
      <c r="QW329" s="274"/>
      <c r="QX329" s="274"/>
      <c r="QY329" s="274"/>
      <c r="QZ329" s="274"/>
      <c r="RA329" s="274"/>
      <c r="RB329" s="274"/>
      <c r="RC329" s="274"/>
    </row>
    <row r="330" spans="112:471">
      <c r="DH330" s="274"/>
      <c r="DI330" s="274"/>
      <c r="DJ330" s="274"/>
      <c r="DK330" s="274"/>
      <c r="DL330" s="274"/>
      <c r="DM330" s="274"/>
      <c r="DN330" s="274"/>
      <c r="DO330" s="274"/>
      <c r="DP330" s="274"/>
      <c r="DQ330" s="274"/>
      <c r="DR330" s="274"/>
      <c r="DS330" s="274"/>
      <c r="DT330" s="274"/>
      <c r="DU330" s="274"/>
      <c r="DV330" s="274"/>
      <c r="DW330" s="274"/>
      <c r="DX330" s="274"/>
      <c r="DY330" s="274"/>
      <c r="DZ330" s="274"/>
      <c r="EA330" s="274"/>
      <c r="EB330" s="274"/>
      <c r="EC330" s="274"/>
      <c r="ED330" s="274"/>
      <c r="EE330" s="274"/>
      <c r="EF330" s="274"/>
      <c r="EG330" s="274"/>
      <c r="EH330" s="274"/>
      <c r="EI330" s="274"/>
      <c r="EJ330" s="274"/>
      <c r="EK330" s="274"/>
      <c r="EL330" s="274"/>
      <c r="EM330" s="274"/>
      <c r="EN330" s="274"/>
      <c r="EO330" s="274"/>
      <c r="EP330" s="274"/>
      <c r="EQ330" s="274"/>
      <c r="ER330" s="274"/>
      <c r="ES330" s="274"/>
      <c r="ET330" s="274"/>
      <c r="EU330" s="274"/>
      <c r="EV330" s="274"/>
      <c r="EW330" s="274"/>
      <c r="EX330" s="274"/>
      <c r="EY330" s="274"/>
      <c r="EZ330" s="274"/>
      <c r="FA330" s="274"/>
      <c r="FB330" s="274"/>
      <c r="FC330" s="274"/>
      <c r="FD330" s="274"/>
      <c r="FE330" s="274"/>
      <c r="FF330" s="274"/>
      <c r="FG330" s="274"/>
      <c r="FH330" s="274"/>
      <c r="FI330" s="274"/>
      <c r="FJ330" s="274"/>
      <c r="FK330" s="274"/>
      <c r="FL330" s="274"/>
      <c r="FM330" s="274"/>
      <c r="FN330" s="274"/>
      <c r="FO330" s="274"/>
      <c r="FP330" s="274"/>
      <c r="FQ330" s="274"/>
      <c r="FR330" s="274"/>
      <c r="FS330" s="274"/>
      <c r="FT330" s="274"/>
      <c r="FU330" s="274"/>
      <c r="FV330" s="274"/>
      <c r="FW330" s="274"/>
      <c r="FX330" s="274"/>
      <c r="FY330" s="274"/>
      <c r="FZ330" s="274"/>
      <c r="GA330" s="274"/>
      <c r="GB330" s="274"/>
      <c r="GC330" s="274"/>
      <c r="GD330" s="274"/>
      <c r="GE330" s="274"/>
      <c r="GF330" s="274"/>
      <c r="GG330" s="274"/>
      <c r="GH330" s="274"/>
      <c r="GI330" s="274"/>
      <c r="GJ330" s="274"/>
      <c r="GK330" s="274"/>
      <c r="GL330" s="274"/>
      <c r="GM330" s="274"/>
      <c r="GN330" s="274"/>
      <c r="GO330" s="274"/>
      <c r="GP330" s="274"/>
      <c r="GQ330" s="274"/>
      <c r="GR330" s="274"/>
      <c r="GS330" s="274"/>
      <c r="GT330" s="274"/>
      <c r="GU330" s="274"/>
      <c r="GV330" s="274"/>
      <c r="GW330" s="274"/>
      <c r="GX330" s="274"/>
      <c r="GY330" s="274"/>
      <c r="GZ330" s="274"/>
      <c r="HA330" s="274"/>
      <c r="HB330" s="274"/>
      <c r="HC330" s="274"/>
      <c r="HD330" s="274"/>
      <c r="HE330" s="274"/>
      <c r="HF330" s="274"/>
      <c r="HG330" s="274"/>
      <c r="HH330" s="274"/>
      <c r="HI330" s="274"/>
      <c r="HJ330" s="274"/>
      <c r="HK330" s="274"/>
      <c r="HL330" s="274"/>
      <c r="HM330" s="274"/>
      <c r="HN330" s="274"/>
      <c r="HO330" s="274"/>
      <c r="HP330" s="274"/>
      <c r="HQ330" s="274"/>
      <c r="HR330" s="274"/>
      <c r="HS330" s="274"/>
      <c r="HT330" s="274"/>
      <c r="HU330" s="274"/>
      <c r="HV330" s="274"/>
      <c r="HW330" s="274"/>
      <c r="HX330" s="274"/>
      <c r="HY330" s="274"/>
      <c r="HZ330" s="274"/>
      <c r="IA330" s="274"/>
      <c r="IB330" s="274"/>
      <c r="IC330" s="274"/>
      <c r="ID330" s="274"/>
      <c r="IE330" s="274"/>
      <c r="IF330" s="274"/>
      <c r="IG330" s="274"/>
      <c r="IH330" s="274"/>
      <c r="II330" s="274"/>
      <c r="IJ330" s="274"/>
      <c r="IK330" s="274"/>
      <c r="IL330" s="274"/>
      <c r="IM330" s="274"/>
      <c r="IN330" s="274"/>
      <c r="IO330" s="274"/>
      <c r="IP330" s="274"/>
      <c r="IQ330" s="274"/>
      <c r="IR330" s="274"/>
      <c r="IS330" s="274"/>
      <c r="IT330" s="274"/>
      <c r="IU330" s="274"/>
      <c r="IV330" s="274"/>
      <c r="IW330" s="274"/>
      <c r="IX330" s="274"/>
      <c r="IY330" s="274"/>
      <c r="IZ330" s="274"/>
      <c r="JA330" s="274"/>
      <c r="JB330" s="274"/>
      <c r="JC330" s="274"/>
      <c r="JD330" s="274"/>
      <c r="JE330" s="274"/>
      <c r="JF330" s="274"/>
      <c r="JG330" s="274"/>
      <c r="JH330" s="274"/>
      <c r="JI330" s="274"/>
      <c r="JJ330" s="274"/>
      <c r="JK330" s="274"/>
      <c r="JL330" s="274"/>
      <c r="JM330" s="274"/>
      <c r="JN330" s="274"/>
      <c r="JO330" s="274"/>
      <c r="JP330" s="274"/>
      <c r="JQ330" s="274"/>
      <c r="JR330" s="274"/>
      <c r="JS330" s="274"/>
      <c r="JT330" s="274"/>
      <c r="JU330" s="274"/>
      <c r="JV330" s="274"/>
      <c r="JW330" s="274"/>
      <c r="JX330" s="274"/>
      <c r="JY330" s="274"/>
      <c r="JZ330" s="274"/>
      <c r="KA330" s="274"/>
      <c r="KB330" s="274"/>
      <c r="KC330" s="274"/>
      <c r="KD330" s="274"/>
      <c r="KE330" s="274"/>
      <c r="KF330" s="274"/>
      <c r="KG330" s="274"/>
      <c r="KH330" s="274"/>
      <c r="KI330" s="274"/>
      <c r="KJ330" s="274"/>
      <c r="KK330" s="274"/>
      <c r="KL330" s="274"/>
      <c r="KM330" s="274"/>
      <c r="KN330" s="274"/>
      <c r="KO330" s="274"/>
      <c r="KP330" s="274"/>
      <c r="KQ330" s="274"/>
      <c r="KR330" s="274"/>
      <c r="KS330" s="274"/>
      <c r="KT330" s="274"/>
      <c r="KU330" s="274"/>
      <c r="KV330" s="274"/>
      <c r="KW330" s="274"/>
      <c r="KX330" s="274"/>
      <c r="KY330" s="274"/>
      <c r="KZ330" s="274"/>
      <c r="LA330" s="274"/>
      <c r="LB330" s="274"/>
      <c r="LC330" s="274"/>
      <c r="LD330" s="274"/>
      <c r="LE330" s="274"/>
      <c r="LF330" s="274"/>
      <c r="LG330" s="274"/>
      <c r="LH330" s="274"/>
      <c r="LI330" s="274"/>
      <c r="LJ330" s="274"/>
      <c r="LK330" s="274"/>
      <c r="LL330" s="274"/>
      <c r="LM330" s="274"/>
      <c r="LN330" s="274"/>
      <c r="LO330" s="274"/>
      <c r="LP330" s="274"/>
      <c r="LQ330" s="274"/>
      <c r="LR330" s="274"/>
      <c r="LS330" s="274"/>
      <c r="LT330" s="274"/>
      <c r="LU330" s="274"/>
      <c r="LV330" s="274"/>
      <c r="LW330" s="274"/>
      <c r="LX330" s="274"/>
      <c r="LY330" s="274"/>
      <c r="LZ330" s="274"/>
      <c r="MA330" s="274"/>
      <c r="MB330" s="274"/>
      <c r="MC330" s="274"/>
      <c r="MD330" s="274"/>
      <c r="ME330" s="274"/>
      <c r="MF330" s="274"/>
      <c r="MG330" s="274"/>
      <c r="MH330" s="274"/>
      <c r="MI330" s="274"/>
      <c r="MJ330" s="274"/>
      <c r="MK330" s="274"/>
      <c r="ML330" s="274"/>
      <c r="MM330" s="274"/>
      <c r="MN330" s="274"/>
      <c r="MO330" s="274"/>
      <c r="MP330" s="274"/>
      <c r="MQ330" s="274"/>
      <c r="MR330" s="274"/>
      <c r="MS330" s="274"/>
      <c r="MT330" s="274"/>
      <c r="MU330" s="274"/>
      <c r="MV330" s="274"/>
      <c r="MW330" s="274"/>
      <c r="MX330" s="274"/>
      <c r="MY330" s="274"/>
      <c r="MZ330" s="274"/>
      <c r="NA330" s="274"/>
      <c r="NB330" s="274"/>
      <c r="NC330" s="274"/>
      <c r="ND330" s="274"/>
      <c r="NE330" s="274"/>
      <c r="NF330" s="274"/>
      <c r="NG330" s="274"/>
      <c r="NH330" s="274"/>
      <c r="NI330" s="274"/>
      <c r="NJ330" s="274"/>
      <c r="NK330" s="274"/>
      <c r="NL330" s="274"/>
      <c r="NM330" s="274"/>
      <c r="NN330" s="274"/>
      <c r="NO330" s="274"/>
      <c r="NP330" s="274"/>
      <c r="NQ330" s="274"/>
      <c r="NR330" s="274"/>
      <c r="NS330" s="274"/>
      <c r="NT330" s="274"/>
      <c r="NU330" s="274"/>
      <c r="NV330" s="274"/>
      <c r="NW330" s="274"/>
      <c r="NX330" s="274"/>
      <c r="NY330" s="274"/>
      <c r="NZ330" s="274"/>
      <c r="OA330" s="274"/>
      <c r="OB330" s="274"/>
      <c r="OC330" s="274"/>
      <c r="OD330" s="274"/>
      <c r="OE330" s="274"/>
      <c r="OF330" s="274"/>
      <c r="OG330" s="274"/>
      <c r="OH330" s="274"/>
      <c r="OI330" s="274"/>
      <c r="OJ330" s="274"/>
      <c r="OK330" s="274"/>
      <c r="OL330" s="274"/>
      <c r="OM330" s="274"/>
      <c r="ON330" s="274"/>
      <c r="OO330" s="274"/>
      <c r="OP330" s="274"/>
      <c r="OQ330" s="274"/>
      <c r="OR330" s="274"/>
      <c r="OS330" s="274"/>
      <c r="OT330" s="274"/>
      <c r="OU330" s="274"/>
      <c r="OV330" s="274"/>
      <c r="OW330" s="274"/>
      <c r="OX330" s="274"/>
      <c r="OY330" s="274"/>
      <c r="OZ330" s="274"/>
      <c r="PA330" s="274"/>
      <c r="PB330" s="274"/>
      <c r="PC330" s="274"/>
      <c r="PD330" s="274"/>
      <c r="PE330" s="274"/>
      <c r="PF330" s="274"/>
      <c r="PG330" s="274"/>
      <c r="PH330" s="274"/>
      <c r="PI330" s="274"/>
      <c r="PJ330" s="274"/>
      <c r="PK330" s="274"/>
      <c r="PL330" s="274"/>
      <c r="PM330" s="274"/>
      <c r="PN330" s="274"/>
      <c r="PO330" s="274"/>
      <c r="PP330" s="274"/>
      <c r="PQ330" s="274"/>
      <c r="PR330" s="274"/>
      <c r="PS330" s="274"/>
      <c r="PT330" s="274"/>
      <c r="PU330" s="274"/>
      <c r="PV330" s="274"/>
      <c r="PW330" s="274"/>
      <c r="PX330" s="274"/>
      <c r="PY330" s="274"/>
      <c r="PZ330" s="274"/>
      <c r="QA330" s="274"/>
      <c r="QB330" s="274"/>
      <c r="QC330" s="274"/>
      <c r="QD330" s="274"/>
      <c r="QE330" s="274"/>
      <c r="QF330" s="274"/>
      <c r="QG330" s="274"/>
      <c r="QH330" s="274"/>
      <c r="QI330" s="274"/>
      <c r="QJ330" s="274"/>
      <c r="QK330" s="274"/>
      <c r="QL330" s="274"/>
      <c r="QM330" s="274"/>
      <c r="QN330" s="274"/>
      <c r="QO330" s="274"/>
      <c r="QP330" s="274"/>
      <c r="QQ330" s="274"/>
      <c r="QR330" s="274"/>
      <c r="QS330" s="274"/>
      <c r="QT330" s="274"/>
      <c r="QU330" s="274"/>
      <c r="QV330" s="274"/>
      <c r="QW330" s="274"/>
      <c r="QX330" s="274"/>
      <c r="QY330" s="274"/>
      <c r="QZ330" s="274"/>
      <c r="RA330" s="274"/>
      <c r="RB330" s="274"/>
      <c r="RC330" s="274"/>
    </row>
    <row r="331" spans="112:471" ht="17.25">
      <c r="DH331" s="274"/>
      <c r="DI331" s="274"/>
      <c r="DJ331" s="978"/>
      <c r="DK331" s="274"/>
      <c r="DL331" s="274"/>
      <c r="DM331" s="274"/>
      <c r="DN331" s="274"/>
      <c r="DO331" s="274"/>
      <c r="DP331" s="274"/>
      <c r="DQ331" s="274"/>
      <c r="DR331" s="274"/>
      <c r="DS331" s="274"/>
      <c r="DT331" s="274"/>
      <c r="DU331" s="274"/>
      <c r="DV331" s="274"/>
      <c r="DW331" s="274"/>
      <c r="DX331" s="274"/>
      <c r="DY331" s="274"/>
      <c r="DZ331" s="274"/>
      <c r="EA331" s="274"/>
      <c r="EB331" s="274"/>
      <c r="EC331" s="274"/>
      <c r="ED331" s="274"/>
      <c r="EE331" s="274"/>
      <c r="EF331" s="274"/>
      <c r="EG331" s="274"/>
      <c r="EH331" s="274"/>
      <c r="EI331" s="274"/>
      <c r="EJ331" s="274"/>
      <c r="EK331" s="274"/>
      <c r="EL331" s="274"/>
      <c r="EM331" s="274"/>
      <c r="EN331" s="274"/>
      <c r="EO331" s="274"/>
      <c r="EP331" s="274"/>
      <c r="EQ331" s="274"/>
      <c r="ER331" s="274"/>
      <c r="ES331" s="274"/>
      <c r="ET331" s="274"/>
      <c r="EU331" s="274"/>
      <c r="EV331" s="274"/>
      <c r="EW331" s="274"/>
      <c r="EX331" s="274"/>
      <c r="EY331" s="274"/>
      <c r="EZ331" s="274"/>
      <c r="FA331" s="274"/>
      <c r="FB331" s="274"/>
      <c r="FC331" s="274"/>
      <c r="FD331" s="274"/>
      <c r="FE331" s="274"/>
      <c r="FF331" s="274"/>
      <c r="FG331" s="274"/>
      <c r="FH331" s="274"/>
      <c r="FI331" s="274"/>
      <c r="FJ331" s="274"/>
      <c r="FK331" s="274"/>
      <c r="FL331" s="274"/>
      <c r="FM331" s="274"/>
      <c r="FN331" s="274"/>
      <c r="FO331" s="274"/>
      <c r="FP331" s="274"/>
      <c r="FQ331" s="274"/>
      <c r="FR331" s="274"/>
      <c r="FS331" s="274"/>
      <c r="FT331" s="274"/>
      <c r="FU331" s="274"/>
      <c r="FV331" s="274"/>
      <c r="FW331" s="274"/>
      <c r="FX331" s="274"/>
      <c r="FY331" s="274"/>
      <c r="FZ331" s="274"/>
      <c r="GA331" s="274"/>
      <c r="GB331" s="274"/>
      <c r="GC331" s="274"/>
      <c r="GD331" s="274"/>
      <c r="GE331" s="274"/>
      <c r="GF331" s="274"/>
      <c r="GG331" s="274"/>
      <c r="GH331" s="274"/>
      <c r="GI331" s="274"/>
      <c r="GJ331" s="274"/>
      <c r="GK331" s="274"/>
      <c r="GL331" s="274"/>
      <c r="GM331" s="274"/>
      <c r="GN331" s="274"/>
      <c r="GO331" s="274"/>
      <c r="GP331" s="274"/>
      <c r="GQ331" s="274"/>
      <c r="GR331" s="274"/>
      <c r="GS331" s="274"/>
      <c r="GT331" s="274"/>
      <c r="GU331" s="274"/>
      <c r="GV331" s="274"/>
      <c r="GW331" s="274"/>
      <c r="GX331" s="274"/>
      <c r="GY331" s="274"/>
      <c r="GZ331" s="274"/>
      <c r="HA331" s="274"/>
      <c r="HB331" s="274"/>
      <c r="HC331" s="274"/>
      <c r="HD331" s="274"/>
      <c r="HE331" s="274"/>
      <c r="HF331" s="274"/>
      <c r="HG331" s="274"/>
      <c r="HH331" s="274"/>
      <c r="HI331" s="274"/>
      <c r="HJ331" s="274"/>
      <c r="HK331" s="274"/>
      <c r="HL331" s="274"/>
      <c r="HM331" s="274"/>
      <c r="HN331" s="274"/>
      <c r="HO331" s="274"/>
      <c r="HP331" s="274"/>
      <c r="HQ331" s="274"/>
      <c r="HR331" s="274"/>
      <c r="HS331" s="274"/>
      <c r="HT331" s="274"/>
      <c r="HU331" s="274"/>
      <c r="HV331" s="274"/>
      <c r="HW331" s="274"/>
      <c r="HX331" s="274"/>
      <c r="HY331" s="274"/>
      <c r="HZ331" s="274"/>
      <c r="IA331" s="274"/>
      <c r="IB331" s="274"/>
      <c r="IC331" s="274"/>
      <c r="ID331" s="274"/>
      <c r="IE331" s="274"/>
      <c r="IF331" s="274"/>
      <c r="IG331" s="274"/>
      <c r="IH331" s="274"/>
      <c r="II331" s="274"/>
      <c r="IJ331" s="274"/>
      <c r="IK331" s="274"/>
      <c r="IL331" s="274"/>
      <c r="IM331" s="274"/>
      <c r="IN331" s="274"/>
      <c r="IO331" s="274"/>
      <c r="IP331" s="274"/>
      <c r="IQ331" s="274"/>
      <c r="IR331" s="274"/>
      <c r="IS331" s="274"/>
      <c r="IT331" s="274"/>
      <c r="IU331" s="274"/>
      <c r="IV331" s="274"/>
      <c r="IW331" s="274"/>
      <c r="IX331" s="274"/>
      <c r="IY331" s="274"/>
      <c r="IZ331" s="274"/>
      <c r="JA331" s="274"/>
      <c r="JB331" s="274"/>
      <c r="JC331" s="274"/>
      <c r="JD331" s="274"/>
      <c r="JE331" s="274"/>
      <c r="JF331" s="274"/>
      <c r="JG331" s="274"/>
      <c r="JH331" s="274"/>
      <c r="JI331" s="274"/>
      <c r="JJ331" s="274"/>
      <c r="JK331" s="274"/>
      <c r="JL331" s="274"/>
      <c r="JM331" s="274"/>
      <c r="JN331" s="274"/>
      <c r="JO331" s="274"/>
      <c r="JP331" s="274"/>
      <c r="JQ331" s="274"/>
      <c r="JR331" s="274"/>
      <c r="JS331" s="274"/>
      <c r="JT331" s="274"/>
      <c r="JU331" s="274"/>
      <c r="JV331" s="274"/>
      <c r="JW331" s="274"/>
      <c r="JX331" s="274"/>
      <c r="JY331" s="274"/>
      <c r="JZ331" s="274"/>
      <c r="KA331" s="274"/>
      <c r="KB331" s="274"/>
      <c r="KC331" s="274"/>
      <c r="KD331" s="274"/>
      <c r="KE331" s="274"/>
      <c r="KF331" s="274"/>
      <c r="KG331" s="274"/>
      <c r="KH331" s="274"/>
      <c r="KI331" s="274"/>
      <c r="KJ331" s="274"/>
      <c r="KK331" s="274"/>
      <c r="KL331" s="274"/>
      <c r="KM331" s="274"/>
      <c r="KN331" s="274"/>
      <c r="KO331" s="274"/>
      <c r="KP331" s="274"/>
      <c r="KQ331" s="274"/>
      <c r="KR331" s="274"/>
      <c r="KS331" s="274"/>
      <c r="KT331" s="274"/>
      <c r="KU331" s="274"/>
      <c r="KV331" s="274"/>
      <c r="KW331" s="274"/>
      <c r="KX331" s="274"/>
      <c r="KY331" s="274"/>
      <c r="KZ331" s="274"/>
      <c r="LA331" s="274"/>
      <c r="LB331" s="274"/>
      <c r="LC331" s="274"/>
      <c r="LD331" s="274"/>
      <c r="LE331" s="274"/>
      <c r="LF331" s="274"/>
      <c r="LG331" s="274"/>
      <c r="LH331" s="274"/>
      <c r="LI331" s="274"/>
      <c r="LJ331" s="274"/>
      <c r="LK331" s="274"/>
      <c r="LL331" s="274"/>
      <c r="LM331" s="274"/>
      <c r="LN331" s="274"/>
      <c r="LO331" s="274"/>
      <c r="LP331" s="274"/>
      <c r="LQ331" s="274"/>
      <c r="LR331" s="274"/>
      <c r="LS331" s="274"/>
      <c r="LT331" s="274"/>
      <c r="LU331" s="274"/>
      <c r="LV331" s="274"/>
      <c r="LW331" s="274"/>
      <c r="LX331" s="274"/>
      <c r="LY331" s="274"/>
      <c r="LZ331" s="274"/>
      <c r="MA331" s="274"/>
      <c r="MB331" s="274"/>
      <c r="MC331" s="274"/>
      <c r="MD331" s="274"/>
      <c r="ME331" s="274"/>
      <c r="MF331" s="274"/>
      <c r="MG331" s="274"/>
      <c r="MH331" s="274"/>
      <c r="MI331" s="274"/>
      <c r="MJ331" s="274"/>
      <c r="MK331" s="274"/>
      <c r="ML331" s="274"/>
      <c r="MM331" s="274"/>
      <c r="MN331" s="274"/>
      <c r="MO331" s="274"/>
      <c r="MP331" s="274"/>
      <c r="MQ331" s="274"/>
      <c r="MR331" s="274"/>
      <c r="MS331" s="274"/>
      <c r="MT331" s="274"/>
      <c r="MU331" s="274"/>
      <c r="MV331" s="274"/>
      <c r="MW331" s="274"/>
      <c r="MX331" s="274"/>
      <c r="MY331" s="274"/>
      <c r="MZ331" s="274"/>
      <c r="NA331" s="274"/>
      <c r="NB331" s="274"/>
      <c r="NC331" s="274"/>
      <c r="ND331" s="274"/>
      <c r="NE331" s="274"/>
      <c r="NF331" s="274"/>
      <c r="NG331" s="274"/>
      <c r="NH331" s="274"/>
      <c r="NI331" s="274"/>
      <c r="NJ331" s="274"/>
      <c r="NK331" s="274"/>
      <c r="NL331" s="274"/>
      <c r="NM331" s="274"/>
      <c r="NN331" s="274"/>
      <c r="NO331" s="274"/>
      <c r="NP331" s="274"/>
      <c r="NQ331" s="274"/>
      <c r="NR331" s="274"/>
      <c r="NS331" s="274"/>
      <c r="NT331" s="274"/>
      <c r="NU331" s="274"/>
      <c r="NV331" s="274"/>
      <c r="NW331" s="274"/>
      <c r="NX331" s="274"/>
      <c r="NY331" s="274"/>
      <c r="NZ331" s="274"/>
      <c r="OA331" s="274"/>
      <c r="OB331" s="274"/>
      <c r="OC331" s="274"/>
      <c r="OD331" s="274"/>
      <c r="OE331" s="274"/>
      <c r="OF331" s="274"/>
      <c r="OG331" s="274"/>
      <c r="OH331" s="274"/>
      <c r="OI331" s="274"/>
      <c r="OJ331" s="274"/>
      <c r="OK331" s="274"/>
      <c r="OL331" s="274"/>
      <c r="OM331" s="274"/>
      <c r="ON331" s="274"/>
      <c r="OO331" s="274"/>
      <c r="OP331" s="274"/>
      <c r="OQ331" s="274"/>
      <c r="OR331" s="274"/>
      <c r="OS331" s="274"/>
      <c r="OT331" s="274"/>
      <c r="OU331" s="274"/>
      <c r="OV331" s="274"/>
      <c r="OW331" s="274"/>
      <c r="OX331" s="274"/>
      <c r="OY331" s="274"/>
      <c r="OZ331" s="274"/>
      <c r="PA331" s="274"/>
      <c r="PB331" s="274"/>
      <c r="PC331" s="274"/>
      <c r="PD331" s="274"/>
      <c r="PE331" s="274"/>
      <c r="PF331" s="274"/>
      <c r="PG331" s="274"/>
      <c r="PH331" s="274"/>
      <c r="PI331" s="274"/>
      <c r="PJ331" s="274"/>
      <c r="PK331" s="274"/>
      <c r="PL331" s="274"/>
      <c r="PM331" s="274"/>
      <c r="PN331" s="274"/>
      <c r="PO331" s="274"/>
      <c r="PP331" s="274"/>
      <c r="PQ331" s="274"/>
      <c r="PR331" s="274"/>
      <c r="PS331" s="274"/>
      <c r="PT331" s="274"/>
      <c r="PU331" s="274"/>
      <c r="PV331" s="274"/>
      <c r="PW331" s="274"/>
      <c r="PX331" s="274"/>
      <c r="PY331" s="274"/>
      <c r="PZ331" s="274"/>
      <c r="QA331" s="274"/>
      <c r="QB331" s="274"/>
      <c r="QC331" s="274"/>
      <c r="QD331" s="274"/>
      <c r="QE331" s="274"/>
      <c r="QF331" s="274"/>
      <c r="QG331" s="274"/>
      <c r="QH331" s="274"/>
      <c r="QI331" s="274"/>
      <c r="QJ331" s="274"/>
      <c r="QK331" s="274"/>
      <c r="QL331" s="274"/>
      <c r="QM331" s="274"/>
      <c r="QN331" s="274"/>
      <c r="QO331" s="274"/>
      <c r="QP331" s="274"/>
      <c r="QQ331" s="274"/>
      <c r="QR331" s="274"/>
      <c r="QS331" s="274"/>
      <c r="QT331" s="274"/>
      <c r="QU331" s="274"/>
      <c r="QV331" s="274"/>
      <c r="QW331" s="274"/>
      <c r="QX331" s="274"/>
      <c r="QY331" s="274"/>
      <c r="QZ331" s="274"/>
      <c r="RA331" s="274"/>
      <c r="RB331" s="274"/>
      <c r="RC331" s="274"/>
    </row>
    <row r="332" spans="112:471" ht="17.25">
      <c r="DH332" s="274"/>
      <c r="DI332" s="274"/>
      <c r="DJ332" s="978"/>
      <c r="DK332" s="978"/>
      <c r="DL332" s="978"/>
      <c r="DM332" s="978"/>
      <c r="DN332" s="978"/>
      <c r="DO332" s="978"/>
      <c r="DP332" s="978"/>
      <c r="DQ332" s="978"/>
      <c r="DR332" s="978"/>
      <c r="DS332" s="978"/>
      <c r="DT332" s="978"/>
      <c r="DU332" s="978"/>
      <c r="DV332" s="978"/>
      <c r="DW332" s="978"/>
      <c r="DX332" s="978"/>
      <c r="DY332" s="978"/>
      <c r="DZ332" s="978"/>
      <c r="EA332" s="978"/>
      <c r="EB332" s="978"/>
      <c r="EC332" s="978"/>
      <c r="ED332" s="978"/>
      <c r="EE332" s="978"/>
      <c r="EF332" s="978"/>
      <c r="EG332" s="978"/>
      <c r="EH332" s="978"/>
      <c r="EI332" s="978"/>
      <c r="EJ332" s="978"/>
      <c r="EK332" s="978"/>
      <c r="EL332" s="978"/>
      <c r="EM332" s="978"/>
      <c r="EN332" s="978"/>
      <c r="EO332" s="978"/>
      <c r="EP332" s="978"/>
      <c r="EQ332" s="978"/>
      <c r="ER332" s="978"/>
      <c r="ES332" s="978"/>
      <c r="ET332" s="978"/>
      <c r="EU332" s="978"/>
      <c r="EV332" s="978"/>
      <c r="EW332" s="978"/>
      <c r="EX332" s="978"/>
      <c r="EY332" s="978"/>
      <c r="EZ332" s="978"/>
      <c r="FA332" s="978"/>
      <c r="FB332" s="978"/>
      <c r="FC332" s="978"/>
      <c r="FD332" s="978"/>
      <c r="FE332" s="978"/>
      <c r="FF332" s="978"/>
      <c r="FG332" s="978"/>
      <c r="FH332" s="978"/>
      <c r="FI332" s="978"/>
      <c r="FJ332" s="978"/>
      <c r="FK332" s="978"/>
      <c r="FL332" s="978"/>
      <c r="FM332" s="978"/>
      <c r="FN332" s="978"/>
      <c r="FO332" s="978"/>
      <c r="FP332" s="978"/>
      <c r="FQ332" s="978"/>
      <c r="FR332" s="978"/>
      <c r="FS332" s="978"/>
      <c r="FT332" s="978"/>
      <c r="FU332" s="978"/>
      <c r="FV332" s="978"/>
      <c r="FW332" s="978"/>
      <c r="FX332" s="978"/>
      <c r="FY332" s="978"/>
      <c r="FZ332" s="978"/>
      <c r="GA332" s="978"/>
      <c r="GB332" s="978"/>
      <c r="GC332" s="978"/>
      <c r="GD332" s="978"/>
      <c r="GE332" s="978"/>
      <c r="GF332" s="978"/>
      <c r="GG332" s="978"/>
      <c r="GH332" s="978"/>
      <c r="GI332" s="978"/>
      <c r="GJ332" s="978"/>
      <c r="GK332" s="978"/>
      <c r="GL332" s="978"/>
      <c r="GM332" s="978"/>
      <c r="GN332" s="978"/>
      <c r="GO332" s="978"/>
      <c r="GP332" s="978"/>
      <c r="GQ332" s="978"/>
      <c r="GR332" s="978"/>
      <c r="GS332" s="978"/>
      <c r="GT332" s="978"/>
      <c r="GU332" s="978"/>
      <c r="GV332" s="978"/>
      <c r="GW332" s="978"/>
      <c r="GX332" s="978"/>
      <c r="GY332" s="978"/>
      <c r="GZ332" s="978"/>
      <c r="HA332" s="978"/>
      <c r="HB332" s="978"/>
      <c r="HC332" s="978"/>
      <c r="HD332" s="978"/>
      <c r="HE332" s="978"/>
      <c r="HF332" s="978"/>
      <c r="HG332" s="978"/>
      <c r="HH332" s="978"/>
      <c r="HI332" s="978"/>
      <c r="HJ332" s="978"/>
      <c r="HK332" s="978"/>
      <c r="HL332" s="978"/>
      <c r="HM332" s="978"/>
      <c r="HN332" s="978"/>
      <c r="HO332" s="978"/>
      <c r="HP332" s="978"/>
      <c r="HQ332" s="978"/>
      <c r="HR332" s="978"/>
      <c r="HS332" s="978"/>
      <c r="HT332" s="978"/>
      <c r="HU332" s="978"/>
      <c r="HV332" s="978"/>
      <c r="HW332" s="978"/>
      <c r="HX332" s="978"/>
      <c r="HY332" s="978"/>
      <c r="HZ332" s="978"/>
      <c r="IA332" s="978"/>
      <c r="IB332" s="978"/>
      <c r="IC332" s="978"/>
      <c r="ID332" s="978"/>
      <c r="IE332" s="978"/>
      <c r="IF332" s="978"/>
      <c r="IG332" s="978"/>
      <c r="IH332" s="978"/>
      <c r="II332" s="978"/>
      <c r="IJ332" s="978"/>
      <c r="IK332" s="978"/>
      <c r="IL332" s="978"/>
      <c r="IM332" s="978"/>
      <c r="IN332" s="978"/>
      <c r="IO332" s="978"/>
      <c r="IP332" s="978"/>
      <c r="IQ332" s="978"/>
      <c r="IR332" s="978"/>
      <c r="IS332" s="978"/>
      <c r="IT332" s="978"/>
      <c r="IU332" s="978"/>
      <c r="IV332" s="978"/>
      <c r="IW332" s="978"/>
      <c r="IX332" s="978"/>
      <c r="IY332" s="978"/>
      <c r="IZ332" s="978"/>
      <c r="JA332" s="978"/>
      <c r="JB332" s="978"/>
      <c r="JC332" s="978"/>
      <c r="JD332" s="978"/>
      <c r="JE332" s="978"/>
      <c r="JF332" s="978"/>
      <c r="JG332" s="978"/>
      <c r="JH332" s="978"/>
      <c r="JI332" s="978"/>
      <c r="JJ332" s="978"/>
      <c r="JK332" s="978"/>
      <c r="JL332" s="978"/>
      <c r="JM332" s="978"/>
      <c r="JN332" s="978"/>
      <c r="JO332" s="978"/>
      <c r="JP332" s="978"/>
      <c r="JQ332" s="978"/>
      <c r="JR332" s="978"/>
      <c r="JS332" s="978"/>
      <c r="JT332" s="978"/>
      <c r="JU332" s="978"/>
      <c r="JV332" s="978"/>
      <c r="JW332" s="978"/>
      <c r="JX332" s="978"/>
      <c r="JY332" s="978"/>
      <c r="JZ332" s="978"/>
      <c r="KA332" s="978"/>
      <c r="KB332" s="978"/>
      <c r="KC332" s="978"/>
      <c r="KD332" s="978"/>
      <c r="KE332" s="978"/>
      <c r="KF332" s="978"/>
      <c r="KG332" s="978"/>
      <c r="KH332" s="978"/>
      <c r="KI332" s="978"/>
      <c r="KJ332" s="978"/>
      <c r="KK332" s="978"/>
      <c r="KL332" s="978"/>
      <c r="KM332" s="978"/>
      <c r="KN332" s="978"/>
      <c r="KO332" s="978"/>
      <c r="KP332" s="978"/>
      <c r="KQ332" s="978"/>
      <c r="KR332" s="978"/>
      <c r="KS332" s="978"/>
      <c r="KT332" s="978"/>
      <c r="KU332" s="978"/>
      <c r="KV332" s="978"/>
      <c r="KW332" s="978"/>
      <c r="KX332" s="978"/>
      <c r="KY332" s="978"/>
      <c r="KZ332" s="978"/>
      <c r="LA332" s="978"/>
      <c r="LB332" s="978"/>
      <c r="LC332" s="978"/>
      <c r="LD332" s="978"/>
      <c r="LE332" s="978"/>
      <c r="LF332" s="978"/>
      <c r="LG332" s="978"/>
      <c r="LH332" s="978"/>
      <c r="LI332" s="978"/>
      <c r="LJ332" s="978"/>
      <c r="LK332" s="978"/>
      <c r="LL332" s="978"/>
      <c r="LM332" s="978"/>
      <c r="LN332" s="978"/>
      <c r="LO332" s="978"/>
      <c r="LP332" s="978"/>
      <c r="LQ332" s="978"/>
      <c r="LR332" s="978"/>
      <c r="LS332" s="978"/>
      <c r="LT332" s="978"/>
      <c r="LU332" s="978"/>
      <c r="LV332" s="978"/>
      <c r="LW332" s="978"/>
      <c r="LX332" s="978"/>
      <c r="LY332" s="978"/>
      <c r="LZ332" s="978"/>
      <c r="MA332" s="978"/>
      <c r="MB332" s="978"/>
      <c r="MC332" s="978"/>
      <c r="MD332" s="978"/>
      <c r="ME332" s="978"/>
      <c r="MF332" s="978"/>
      <c r="MG332" s="978"/>
      <c r="MH332" s="978"/>
      <c r="MI332" s="978"/>
      <c r="MJ332" s="978"/>
      <c r="MK332" s="978"/>
      <c r="ML332" s="978"/>
      <c r="MM332" s="978"/>
      <c r="MN332" s="978"/>
      <c r="MO332" s="978"/>
      <c r="MP332" s="978"/>
      <c r="MQ332" s="978"/>
      <c r="MR332" s="978"/>
      <c r="MS332" s="978"/>
      <c r="MT332" s="978"/>
      <c r="MU332" s="978"/>
      <c r="MV332" s="978"/>
      <c r="MW332" s="978"/>
      <c r="MX332" s="978"/>
      <c r="MY332" s="978"/>
      <c r="MZ332" s="978"/>
      <c r="NA332" s="978"/>
      <c r="NB332" s="978"/>
      <c r="NC332" s="978"/>
      <c r="ND332" s="978"/>
      <c r="NE332" s="978"/>
      <c r="NF332" s="978"/>
      <c r="NG332" s="978"/>
      <c r="NH332" s="978"/>
      <c r="NI332" s="978"/>
      <c r="NJ332" s="978"/>
      <c r="NK332" s="978"/>
      <c r="NL332" s="978"/>
      <c r="NM332" s="978"/>
      <c r="NN332" s="978"/>
      <c r="NO332" s="978"/>
      <c r="NP332" s="978"/>
      <c r="NQ332" s="978"/>
      <c r="NR332" s="978"/>
      <c r="NS332" s="978"/>
      <c r="NT332" s="978"/>
      <c r="NU332" s="978"/>
      <c r="NV332" s="978"/>
      <c r="NW332" s="978"/>
      <c r="NX332" s="978"/>
      <c r="NY332" s="978"/>
      <c r="NZ332" s="978"/>
      <c r="OA332" s="978"/>
      <c r="OB332" s="978"/>
      <c r="OC332" s="978"/>
      <c r="OD332" s="978"/>
      <c r="OE332" s="978"/>
      <c r="OF332" s="978"/>
      <c r="OG332" s="978"/>
      <c r="OH332" s="978"/>
      <c r="OI332" s="978"/>
      <c r="OJ332" s="978"/>
      <c r="OK332" s="978"/>
      <c r="OL332" s="978"/>
      <c r="OM332" s="978"/>
      <c r="ON332" s="978"/>
      <c r="OO332" s="978"/>
      <c r="OP332" s="978"/>
      <c r="OQ332" s="978"/>
      <c r="OR332" s="978"/>
      <c r="OS332" s="978"/>
      <c r="OT332" s="978"/>
      <c r="OU332" s="978"/>
      <c r="OV332" s="978"/>
      <c r="OW332" s="978"/>
      <c r="OX332" s="978"/>
      <c r="OY332" s="978"/>
      <c r="OZ332" s="978"/>
      <c r="PA332" s="978"/>
      <c r="PB332" s="978"/>
      <c r="PC332" s="978"/>
      <c r="PD332" s="978"/>
      <c r="PE332" s="978"/>
      <c r="PF332" s="978"/>
      <c r="PG332" s="978"/>
      <c r="PH332" s="978"/>
      <c r="PI332" s="978"/>
      <c r="PJ332" s="978"/>
      <c r="PK332" s="978"/>
      <c r="PL332" s="978"/>
      <c r="PM332" s="978"/>
      <c r="PN332" s="978"/>
      <c r="PO332" s="978"/>
      <c r="PP332" s="978"/>
      <c r="PQ332" s="978"/>
      <c r="PR332" s="978"/>
      <c r="PS332" s="978"/>
      <c r="PT332" s="978"/>
      <c r="PU332" s="978"/>
      <c r="PV332" s="978"/>
      <c r="PW332" s="978"/>
      <c r="PX332" s="978"/>
      <c r="PY332" s="978"/>
      <c r="PZ332" s="978"/>
      <c r="QA332" s="978"/>
      <c r="QB332" s="978"/>
      <c r="QC332" s="978"/>
      <c r="QD332" s="978"/>
      <c r="QE332" s="978"/>
      <c r="QF332" s="978"/>
      <c r="QG332" s="978"/>
      <c r="QH332" s="978"/>
      <c r="QI332" s="978"/>
      <c r="QJ332" s="978"/>
      <c r="QK332" s="978"/>
      <c r="QL332" s="978"/>
      <c r="QM332" s="978"/>
      <c r="QN332" s="978"/>
      <c r="QO332" s="978"/>
      <c r="QP332" s="978"/>
      <c r="QQ332" s="978"/>
      <c r="QR332" s="978"/>
      <c r="QS332" s="978"/>
      <c r="QT332" s="978"/>
      <c r="QU332" s="978"/>
      <c r="QV332" s="978"/>
      <c r="QW332" s="978"/>
      <c r="QX332" s="978"/>
      <c r="QY332" s="978"/>
      <c r="QZ332" s="978"/>
      <c r="RA332" s="978"/>
      <c r="RB332" s="274"/>
      <c r="RC332" s="274"/>
    </row>
    <row r="333" spans="112:471" ht="17.25">
      <c r="DH333" s="274"/>
      <c r="DI333" s="274"/>
      <c r="DJ333" s="978"/>
      <c r="DK333" s="978"/>
      <c r="DL333" s="978"/>
      <c r="DM333" s="978"/>
      <c r="DN333" s="978"/>
      <c r="DO333" s="978"/>
      <c r="DP333" s="978"/>
      <c r="DQ333" s="978"/>
      <c r="DR333" s="978"/>
      <c r="DS333" s="978"/>
      <c r="DT333" s="978"/>
      <c r="DU333" s="978"/>
      <c r="DV333" s="978"/>
      <c r="DW333" s="978"/>
      <c r="DX333" s="978"/>
      <c r="DY333" s="978"/>
      <c r="DZ333" s="978"/>
      <c r="EA333" s="978"/>
      <c r="EB333" s="978"/>
      <c r="EC333" s="978"/>
      <c r="ED333" s="978"/>
      <c r="EE333" s="978"/>
      <c r="EF333" s="978"/>
      <c r="EG333" s="978"/>
      <c r="EH333" s="978"/>
      <c r="EI333" s="978"/>
      <c r="EJ333" s="978"/>
      <c r="EK333" s="978"/>
      <c r="EL333" s="978"/>
      <c r="EM333" s="978"/>
      <c r="EN333" s="978"/>
      <c r="EO333" s="978"/>
      <c r="EP333" s="978"/>
      <c r="EQ333" s="978"/>
      <c r="ER333" s="978"/>
      <c r="ES333" s="978"/>
      <c r="ET333" s="978"/>
      <c r="EU333" s="978"/>
      <c r="EV333" s="978"/>
      <c r="EW333" s="978"/>
      <c r="EX333" s="978"/>
      <c r="EY333" s="978"/>
      <c r="EZ333" s="978"/>
      <c r="FA333" s="978"/>
      <c r="FB333" s="978"/>
      <c r="FC333" s="978"/>
      <c r="FD333" s="978"/>
      <c r="FE333" s="978"/>
      <c r="FF333" s="978"/>
      <c r="FG333" s="978"/>
      <c r="FH333" s="978"/>
      <c r="FI333" s="978"/>
      <c r="FJ333" s="978"/>
      <c r="FK333" s="978"/>
      <c r="FL333" s="978"/>
      <c r="FM333" s="978"/>
      <c r="FN333" s="978"/>
      <c r="FO333" s="978"/>
      <c r="FP333" s="978"/>
      <c r="FQ333" s="978"/>
      <c r="FR333" s="978"/>
      <c r="FS333" s="978"/>
      <c r="FT333" s="978"/>
      <c r="FU333" s="978"/>
      <c r="FV333" s="978"/>
      <c r="FW333" s="978"/>
      <c r="FX333" s="978"/>
      <c r="FY333" s="978"/>
      <c r="FZ333" s="978"/>
      <c r="GA333" s="978"/>
      <c r="GB333" s="978"/>
      <c r="GC333" s="978"/>
      <c r="GD333" s="978"/>
      <c r="GE333" s="978"/>
      <c r="GF333" s="978"/>
      <c r="GG333" s="978"/>
      <c r="GH333" s="978"/>
      <c r="GI333" s="978"/>
      <c r="GJ333" s="978"/>
      <c r="GK333" s="978"/>
      <c r="GL333" s="978"/>
      <c r="GM333" s="978"/>
      <c r="GN333" s="978"/>
      <c r="GO333" s="978"/>
      <c r="GP333" s="978"/>
      <c r="GQ333" s="978"/>
      <c r="GR333" s="978"/>
      <c r="GS333" s="978"/>
      <c r="GT333" s="978"/>
      <c r="GU333" s="978"/>
      <c r="GV333" s="978"/>
      <c r="GW333" s="978"/>
      <c r="GX333" s="978"/>
      <c r="GY333" s="978"/>
      <c r="GZ333" s="978"/>
      <c r="HA333" s="978"/>
      <c r="HB333" s="978"/>
      <c r="HC333" s="978"/>
      <c r="HD333" s="978"/>
      <c r="HE333" s="978"/>
      <c r="HF333" s="978"/>
      <c r="HG333" s="978"/>
      <c r="HH333" s="978"/>
      <c r="HI333" s="978"/>
      <c r="HJ333" s="978"/>
      <c r="HK333" s="978"/>
      <c r="HL333" s="978"/>
      <c r="HM333" s="978"/>
      <c r="HN333" s="978"/>
      <c r="HO333" s="978"/>
      <c r="HP333" s="978"/>
      <c r="HQ333" s="978"/>
      <c r="HR333" s="978"/>
      <c r="HS333" s="978"/>
      <c r="HT333" s="978"/>
      <c r="HU333" s="978"/>
      <c r="HV333" s="978"/>
      <c r="HW333" s="978"/>
      <c r="HX333" s="978"/>
      <c r="HY333" s="978"/>
      <c r="HZ333" s="978"/>
      <c r="IA333" s="978"/>
      <c r="IB333" s="978"/>
      <c r="IC333" s="978"/>
      <c r="ID333" s="978"/>
      <c r="IE333" s="978"/>
      <c r="IF333" s="978"/>
      <c r="IG333" s="978"/>
      <c r="IH333" s="978"/>
      <c r="II333" s="978"/>
      <c r="IJ333" s="978"/>
      <c r="IK333" s="978"/>
      <c r="IL333" s="978"/>
      <c r="IM333" s="978"/>
      <c r="IN333" s="978"/>
      <c r="IO333" s="978"/>
      <c r="IP333" s="978"/>
      <c r="IQ333" s="978"/>
      <c r="IR333" s="978"/>
      <c r="IS333" s="978"/>
      <c r="IT333" s="978"/>
      <c r="IU333" s="978"/>
      <c r="IV333" s="978"/>
      <c r="IW333" s="978"/>
      <c r="IX333" s="978"/>
      <c r="IY333" s="978"/>
      <c r="IZ333" s="978"/>
      <c r="JA333" s="978"/>
      <c r="JB333" s="978"/>
      <c r="JC333" s="978"/>
      <c r="JD333" s="978"/>
      <c r="JE333" s="978"/>
      <c r="JF333" s="978"/>
      <c r="JG333" s="978"/>
      <c r="JH333" s="978"/>
      <c r="JI333" s="978"/>
      <c r="JJ333" s="978"/>
      <c r="JK333" s="978"/>
      <c r="JL333" s="978"/>
      <c r="JM333" s="978"/>
      <c r="JN333" s="978"/>
      <c r="JO333" s="978"/>
      <c r="JP333" s="978"/>
      <c r="JQ333" s="978"/>
      <c r="JR333" s="978"/>
      <c r="JS333" s="978"/>
      <c r="JT333" s="978"/>
      <c r="JU333" s="978"/>
      <c r="JV333" s="978"/>
      <c r="JW333" s="978"/>
      <c r="JX333" s="978"/>
      <c r="JY333" s="978"/>
      <c r="JZ333" s="978"/>
      <c r="KA333" s="978"/>
      <c r="KB333" s="978"/>
      <c r="KC333" s="978"/>
      <c r="KD333" s="978"/>
      <c r="KE333" s="978"/>
      <c r="KF333" s="978"/>
      <c r="KG333" s="978"/>
      <c r="KH333" s="978"/>
      <c r="KI333" s="978"/>
      <c r="KJ333" s="978"/>
      <c r="KK333" s="978"/>
      <c r="KL333" s="978"/>
      <c r="KM333" s="978"/>
      <c r="KN333" s="978"/>
      <c r="KO333" s="978"/>
      <c r="KP333" s="978"/>
      <c r="KQ333" s="978"/>
      <c r="KR333" s="978"/>
      <c r="KS333" s="978"/>
      <c r="KT333" s="978"/>
      <c r="KU333" s="978"/>
      <c r="KV333" s="978"/>
      <c r="KW333" s="978"/>
      <c r="KX333" s="978"/>
      <c r="KY333" s="978"/>
      <c r="KZ333" s="978"/>
      <c r="LA333" s="978"/>
      <c r="LB333" s="978"/>
      <c r="LC333" s="978"/>
      <c r="LD333" s="978"/>
      <c r="LE333" s="978"/>
      <c r="LF333" s="978"/>
      <c r="LG333" s="978"/>
      <c r="LH333" s="978"/>
      <c r="LI333" s="978"/>
      <c r="LJ333" s="978"/>
      <c r="LK333" s="978"/>
      <c r="LL333" s="978"/>
      <c r="LM333" s="978"/>
      <c r="LN333" s="978"/>
      <c r="LO333" s="978"/>
      <c r="LP333" s="978"/>
      <c r="LQ333" s="978"/>
      <c r="LR333" s="978"/>
      <c r="LS333" s="978"/>
      <c r="LT333" s="978"/>
      <c r="LU333" s="978"/>
      <c r="LV333" s="978"/>
      <c r="LW333" s="978"/>
      <c r="LX333" s="978"/>
      <c r="LY333" s="978"/>
      <c r="LZ333" s="978"/>
      <c r="MA333" s="978"/>
      <c r="MB333" s="978"/>
      <c r="MC333" s="978"/>
      <c r="MD333" s="978"/>
      <c r="ME333" s="978"/>
      <c r="MF333" s="978"/>
      <c r="MG333" s="978"/>
      <c r="MH333" s="978"/>
      <c r="MI333" s="978"/>
      <c r="MJ333" s="978"/>
      <c r="MK333" s="978"/>
      <c r="ML333" s="978"/>
      <c r="MM333" s="978"/>
      <c r="MN333" s="978"/>
      <c r="MO333" s="978"/>
      <c r="MP333" s="978"/>
      <c r="MQ333" s="978"/>
      <c r="MR333" s="978"/>
      <c r="MS333" s="978"/>
      <c r="MT333" s="978"/>
      <c r="MU333" s="978"/>
      <c r="MV333" s="978"/>
      <c r="MW333" s="978"/>
      <c r="MX333" s="978"/>
      <c r="MY333" s="978"/>
      <c r="MZ333" s="978"/>
      <c r="NA333" s="978"/>
      <c r="NB333" s="978"/>
      <c r="NC333" s="978"/>
      <c r="ND333" s="978"/>
      <c r="NE333" s="978"/>
      <c r="NF333" s="978"/>
      <c r="NG333" s="978"/>
      <c r="NH333" s="978"/>
      <c r="NI333" s="978"/>
      <c r="NJ333" s="978"/>
      <c r="NK333" s="978"/>
      <c r="NL333" s="978"/>
      <c r="NM333" s="978"/>
      <c r="NN333" s="978"/>
      <c r="NO333" s="978"/>
      <c r="NP333" s="978"/>
      <c r="NQ333" s="978"/>
      <c r="NR333" s="978"/>
      <c r="NS333" s="978"/>
      <c r="NT333" s="978"/>
      <c r="NU333" s="978"/>
      <c r="NV333" s="978"/>
      <c r="NW333" s="978"/>
      <c r="NX333" s="978"/>
      <c r="NY333" s="978"/>
      <c r="NZ333" s="978"/>
      <c r="OA333" s="978"/>
      <c r="OB333" s="978"/>
      <c r="OC333" s="978"/>
      <c r="OD333" s="978"/>
      <c r="OE333" s="978"/>
      <c r="OF333" s="978"/>
      <c r="OG333" s="978"/>
      <c r="OH333" s="978"/>
      <c r="OI333" s="978"/>
      <c r="OJ333" s="978"/>
      <c r="OK333" s="978"/>
      <c r="OL333" s="978"/>
      <c r="OM333" s="978"/>
      <c r="ON333" s="978"/>
      <c r="OO333" s="978"/>
      <c r="OP333" s="978"/>
      <c r="OQ333" s="978"/>
      <c r="OR333" s="978"/>
      <c r="OS333" s="978"/>
      <c r="OT333" s="978"/>
      <c r="OU333" s="978"/>
      <c r="OV333" s="978"/>
      <c r="OW333" s="978"/>
      <c r="OX333" s="978"/>
      <c r="OY333" s="978"/>
      <c r="OZ333" s="978"/>
      <c r="PA333" s="978"/>
      <c r="PB333" s="978"/>
      <c r="PC333" s="978"/>
      <c r="PD333" s="978"/>
      <c r="PE333" s="978"/>
      <c r="PF333" s="978"/>
      <c r="PG333" s="978"/>
      <c r="PH333" s="978"/>
      <c r="PI333" s="978"/>
      <c r="PJ333" s="978"/>
      <c r="PK333" s="978"/>
      <c r="PL333" s="978"/>
      <c r="PM333" s="978"/>
      <c r="PN333" s="978"/>
      <c r="PO333" s="978"/>
      <c r="PP333" s="978"/>
      <c r="PQ333" s="978"/>
      <c r="PR333" s="978"/>
      <c r="PS333" s="978"/>
      <c r="PT333" s="978"/>
      <c r="PU333" s="978"/>
      <c r="PV333" s="978"/>
      <c r="PW333" s="978"/>
      <c r="PX333" s="978"/>
      <c r="PY333" s="978"/>
      <c r="PZ333" s="978"/>
      <c r="QA333" s="978"/>
      <c r="QB333" s="978"/>
      <c r="QC333" s="978"/>
      <c r="QD333" s="978"/>
      <c r="QE333" s="978"/>
      <c r="QF333" s="978"/>
      <c r="QG333" s="978"/>
      <c r="QH333" s="978"/>
      <c r="QI333" s="978"/>
      <c r="QJ333" s="978"/>
      <c r="QK333" s="978"/>
      <c r="QL333" s="978"/>
      <c r="QM333" s="978"/>
      <c r="QN333" s="978"/>
      <c r="QO333" s="978"/>
      <c r="QP333" s="978"/>
      <c r="QQ333" s="978"/>
      <c r="QR333" s="978"/>
      <c r="QS333" s="978"/>
      <c r="QT333" s="978"/>
      <c r="QU333" s="978"/>
      <c r="QV333" s="978"/>
      <c r="QW333" s="978"/>
      <c r="QX333" s="978"/>
      <c r="QY333" s="978"/>
      <c r="QZ333" s="978"/>
      <c r="RA333" s="978"/>
      <c r="RB333" s="274"/>
      <c r="RC333" s="274"/>
    </row>
    <row r="334" spans="112:471" ht="17.25">
      <c r="DH334" s="274"/>
      <c r="DI334" s="274"/>
      <c r="DJ334" s="978"/>
      <c r="DK334" s="978"/>
      <c r="DL334" s="978"/>
      <c r="DM334" s="978"/>
      <c r="DN334" s="978"/>
      <c r="DO334" s="978"/>
      <c r="DP334" s="978"/>
      <c r="DQ334" s="978"/>
      <c r="DR334" s="978"/>
      <c r="DS334" s="978"/>
      <c r="DT334" s="978"/>
      <c r="DU334" s="978"/>
      <c r="DV334" s="978"/>
      <c r="DW334" s="978"/>
      <c r="DX334" s="978"/>
      <c r="DY334" s="978"/>
      <c r="DZ334" s="978"/>
      <c r="EA334" s="978"/>
      <c r="EB334" s="978"/>
      <c r="EC334" s="978"/>
      <c r="ED334" s="978"/>
      <c r="EE334" s="978"/>
      <c r="EF334" s="978"/>
      <c r="EG334" s="978"/>
      <c r="EH334" s="978"/>
      <c r="EI334" s="978"/>
      <c r="EJ334" s="978"/>
      <c r="EK334" s="978"/>
      <c r="EL334" s="978"/>
      <c r="EM334" s="978"/>
      <c r="EN334" s="978"/>
      <c r="EO334" s="978"/>
      <c r="EP334" s="978"/>
      <c r="EQ334" s="978"/>
      <c r="ER334" s="978"/>
      <c r="ES334" s="978"/>
      <c r="ET334" s="978"/>
      <c r="EU334" s="978"/>
      <c r="EV334" s="978"/>
      <c r="EW334" s="978"/>
      <c r="EX334" s="978"/>
      <c r="EY334" s="978"/>
      <c r="EZ334" s="978"/>
      <c r="FA334" s="978"/>
      <c r="FB334" s="978"/>
      <c r="FC334" s="978"/>
      <c r="FD334" s="978"/>
      <c r="FE334" s="978"/>
      <c r="FF334" s="978"/>
      <c r="FG334" s="978"/>
      <c r="FH334" s="978"/>
      <c r="FI334" s="978"/>
      <c r="FJ334" s="978"/>
      <c r="FK334" s="978"/>
      <c r="FL334" s="978"/>
      <c r="FM334" s="978"/>
      <c r="FN334" s="978"/>
      <c r="FO334" s="978"/>
      <c r="FP334" s="978"/>
      <c r="FQ334" s="978"/>
      <c r="FR334" s="978"/>
      <c r="FS334" s="978"/>
      <c r="FT334" s="978"/>
      <c r="FU334" s="978"/>
      <c r="FV334" s="978"/>
      <c r="FW334" s="978"/>
      <c r="FX334" s="978"/>
      <c r="FY334" s="978"/>
      <c r="FZ334" s="978"/>
      <c r="GA334" s="978"/>
      <c r="GB334" s="978"/>
      <c r="GC334" s="978"/>
      <c r="GD334" s="978"/>
      <c r="GE334" s="978"/>
      <c r="GF334" s="978"/>
      <c r="GG334" s="978"/>
      <c r="GH334" s="978"/>
      <c r="GI334" s="978"/>
      <c r="GJ334" s="978"/>
      <c r="GK334" s="978"/>
      <c r="GL334" s="978"/>
      <c r="GM334" s="978"/>
      <c r="GN334" s="978"/>
      <c r="GO334" s="978"/>
      <c r="GP334" s="978"/>
      <c r="GQ334" s="978"/>
      <c r="GR334" s="978"/>
      <c r="GS334" s="978"/>
      <c r="GT334" s="978"/>
      <c r="GU334" s="978"/>
      <c r="GV334" s="978"/>
      <c r="GW334" s="978"/>
      <c r="GX334" s="978"/>
      <c r="GY334" s="978"/>
      <c r="GZ334" s="978"/>
      <c r="HA334" s="978"/>
      <c r="HB334" s="978"/>
      <c r="HC334" s="978"/>
      <c r="HD334" s="978"/>
      <c r="HE334" s="978"/>
      <c r="HF334" s="978"/>
      <c r="HG334" s="978"/>
      <c r="HH334" s="978"/>
      <c r="HI334" s="978"/>
      <c r="HJ334" s="978"/>
      <c r="HK334" s="978"/>
      <c r="HL334" s="978"/>
      <c r="HM334" s="978"/>
      <c r="HN334" s="978"/>
      <c r="HO334" s="978"/>
      <c r="HP334" s="978"/>
      <c r="HQ334" s="978"/>
      <c r="HR334" s="978"/>
      <c r="HS334" s="978"/>
      <c r="HT334" s="978"/>
      <c r="HU334" s="978"/>
      <c r="HV334" s="978"/>
      <c r="HW334" s="978"/>
      <c r="HX334" s="978"/>
      <c r="HY334" s="978"/>
      <c r="HZ334" s="978"/>
      <c r="IA334" s="978"/>
      <c r="IB334" s="978"/>
      <c r="IC334" s="978"/>
      <c r="ID334" s="978"/>
      <c r="IE334" s="978"/>
      <c r="IF334" s="978"/>
      <c r="IG334" s="978"/>
      <c r="IH334" s="978"/>
      <c r="II334" s="978"/>
      <c r="IJ334" s="978"/>
      <c r="IK334" s="978"/>
      <c r="IL334" s="978"/>
      <c r="IM334" s="978"/>
      <c r="IN334" s="978"/>
      <c r="IO334" s="978"/>
      <c r="IP334" s="978"/>
      <c r="IQ334" s="978"/>
      <c r="IR334" s="978"/>
      <c r="IS334" s="978"/>
      <c r="IT334" s="978"/>
      <c r="IU334" s="978"/>
      <c r="IV334" s="978"/>
      <c r="IW334" s="978"/>
      <c r="IX334" s="978"/>
      <c r="IY334" s="978"/>
      <c r="IZ334" s="978"/>
      <c r="JA334" s="978"/>
      <c r="JB334" s="978"/>
      <c r="JC334" s="978"/>
      <c r="JD334" s="978"/>
      <c r="JE334" s="978"/>
      <c r="JF334" s="978"/>
      <c r="JG334" s="978"/>
      <c r="JH334" s="978"/>
      <c r="JI334" s="978"/>
      <c r="JJ334" s="978"/>
      <c r="JK334" s="978"/>
      <c r="JL334" s="978"/>
      <c r="JM334" s="978"/>
      <c r="JN334" s="978"/>
      <c r="JO334" s="978"/>
      <c r="JP334" s="978"/>
      <c r="JQ334" s="978"/>
      <c r="JR334" s="978"/>
      <c r="JS334" s="978"/>
      <c r="JT334" s="978"/>
      <c r="JU334" s="978"/>
      <c r="JV334" s="978"/>
      <c r="JW334" s="978"/>
      <c r="JX334" s="978"/>
      <c r="JY334" s="978"/>
      <c r="JZ334" s="978"/>
      <c r="KA334" s="978"/>
      <c r="KB334" s="978"/>
      <c r="KC334" s="978"/>
      <c r="KD334" s="978"/>
      <c r="KE334" s="978"/>
      <c r="KF334" s="978"/>
      <c r="KG334" s="978"/>
      <c r="KH334" s="978"/>
      <c r="KI334" s="978"/>
      <c r="KJ334" s="978"/>
      <c r="KK334" s="978"/>
      <c r="KL334" s="978"/>
      <c r="KM334" s="978"/>
      <c r="KN334" s="978"/>
      <c r="KO334" s="978"/>
      <c r="KP334" s="978"/>
      <c r="KQ334" s="978"/>
      <c r="KR334" s="978"/>
      <c r="KS334" s="978"/>
      <c r="KT334" s="978"/>
      <c r="KU334" s="978"/>
      <c r="KV334" s="978"/>
      <c r="KW334" s="978"/>
      <c r="KX334" s="978"/>
      <c r="KY334" s="978"/>
      <c r="KZ334" s="978"/>
      <c r="LA334" s="978"/>
      <c r="LB334" s="978"/>
      <c r="LC334" s="978"/>
      <c r="LD334" s="978"/>
      <c r="LE334" s="978"/>
      <c r="LF334" s="978"/>
      <c r="LG334" s="978"/>
      <c r="LH334" s="978"/>
      <c r="LI334" s="978"/>
      <c r="LJ334" s="978"/>
      <c r="LK334" s="978"/>
      <c r="LL334" s="978"/>
      <c r="LM334" s="978"/>
      <c r="LN334" s="978"/>
      <c r="LO334" s="978"/>
      <c r="LP334" s="978"/>
      <c r="LQ334" s="978"/>
      <c r="LR334" s="978"/>
      <c r="LS334" s="978"/>
      <c r="LT334" s="978"/>
      <c r="LU334" s="978"/>
      <c r="LV334" s="978"/>
      <c r="LW334" s="978"/>
      <c r="LX334" s="978"/>
      <c r="LY334" s="978"/>
      <c r="LZ334" s="978"/>
      <c r="MA334" s="978"/>
      <c r="MB334" s="978"/>
      <c r="MC334" s="978"/>
      <c r="MD334" s="978"/>
      <c r="ME334" s="978"/>
      <c r="MF334" s="978"/>
      <c r="MG334" s="978"/>
      <c r="MH334" s="978"/>
      <c r="MI334" s="978"/>
      <c r="MJ334" s="978"/>
      <c r="MK334" s="978"/>
      <c r="ML334" s="978"/>
      <c r="MM334" s="978"/>
      <c r="MN334" s="978"/>
      <c r="MO334" s="978"/>
      <c r="MP334" s="978"/>
      <c r="MQ334" s="978"/>
      <c r="MR334" s="978"/>
      <c r="MS334" s="978"/>
      <c r="MT334" s="978"/>
      <c r="MU334" s="978"/>
      <c r="MV334" s="978"/>
      <c r="MW334" s="978"/>
      <c r="MX334" s="978"/>
      <c r="MY334" s="978"/>
      <c r="MZ334" s="978"/>
      <c r="NA334" s="978"/>
      <c r="NB334" s="978"/>
      <c r="NC334" s="978"/>
      <c r="ND334" s="978"/>
      <c r="NE334" s="978"/>
      <c r="NF334" s="978"/>
      <c r="NG334" s="978"/>
      <c r="NH334" s="978"/>
      <c r="NI334" s="978"/>
      <c r="NJ334" s="978"/>
      <c r="NK334" s="978"/>
      <c r="NL334" s="978"/>
      <c r="NM334" s="978"/>
      <c r="NN334" s="978"/>
      <c r="NO334" s="978"/>
      <c r="NP334" s="978"/>
      <c r="NQ334" s="978"/>
      <c r="NR334" s="978"/>
      <c r="NS334" s="978"/>
      <c r="NT334" s="978"/>
      <c r="NU334" s="978"/>
      <c r="NV334" s="978"/>
      <c r="NW334" s="978"/>
      <c r="NX334" s="978"/>
      <c r="NY334" s="978"/>
      <c r="NZ334" s="978"/>
      <c r="OA334" s="978"/>
      <c r="OB334" s="978"/>
      <c r="OC334" s="978"/>
      <c r="OD334" s="978"/>
      <c r="OE334" s="978"/>
      <c r="OF334" s="978"/>
      <c r="OG334" s="978"/>
      <c r="OH334" s="978"/>
      <c r="OI334" s="978"/>
      <c r="OJ334" s="978"/>
      <c r="OK334" s="978"/>
      <c r="OL334" s="978"/>
      <c r="OM334" s="978"/>
      <c r="ON334" s="978"/>
      <c r="OO334" s="978"/>
      <c r="OP334" s="978"/>
      <c r="OQ334" s="978"/>
      <c r="OR334" s="978"/>
      <c r="OS334" s="978"/>
      <c r="OT334" s="978"/>
      <c r="OU334" s="978"/>
      <c r="OV334" s="978"/>
      <c r="OW334" s="978"/>
      <c r="OX334" s="978"/>
      <c r="OY334" s="978"/>
      <c r="OZ334" s="978"/>
      <c r="PA334" s="978"/>
      <c r="PB334" s="978"/>
      <c r="PC334" s="978"/>
      <c r="PD334" s="978"/>
      <c r="PE334" s="978"/>
      <c r="PF334" s="978"/>
      <c r="PG334" s="978"/>
      <c r="PH334" s="978"/>
      <c r="PI334" s="978"/>
      <c r="PJ334" s="978"/>
      <c r="PK334" s="978"/>
      <c r="PL334" s="978"/>
      <c r="PM334" s="978"/>
      <c r="PN334" s="978"/>
      <c r="PO334" s="978"/>
      <c r="PP334" s="978"/>
      <c r="PQ334" s="978"/>
      <c r="PR334" s="978"/>
      <c r="PS334" s="978"/>
      <c r="PT334" s="978"/>
      <c r="PU334" s="978"/>
      <c r="PV334" s="978"/>
      <c r="PW334" s="978"/>
      <c r="PX334" s="978"/>
      <c r="PY334" s="978"/>
      <c r="PZ334" s="978"/>
      <c r="QA334" s="978"/>
      <c r="QB334" s="978"/>
      <c r="QC334" s="978"/>
      <c r="QD334" s="978"/>
      <c r="QE334" s="978"/>
      <c r="QF334" s="978"/>
      <c r="QG334" s="978"/>
      <c r="QH334" s="978"/>
      <c r="QI334" s="978"/>
      <c r="QJ334" s="978"/>
      <c r="QK334" s="978"/>
      <c r="QL334" s="978"/>
      <c r="QM334" s="978"/>
      <c r="QN334" s="978"/>
      <c r="QO334" s="978"/>
      <c r="QP334" s="978"/>
      <c r="QQ334" s="978"/>
      <c r="QR334" s="978"/>
      <c r="QS334" s="978"/>
      <c r="QT334" s="978"/>
      <c r="QU334" s="978"/>
      <c r="QV334" s="978"/>
      <c r="QW334" s="978"/>
      <c r="QX334" s="978"/>
      <c r="QY334" s="978"/>
      <c r="QZ334" s="978"/>
      <c r="RA334" s="978"/>
      <c r="RB334" s="274"/>
      <c r="RC334" s="274"/>
    </row>
    <row r="335" spans="112:471" ht="17.25">
      <c r="DH335" s="274"/>
      <c r="DI335" s="274"/>
      <c r="DJ335" s="978"/>
      <c r="DK335" s="978"/>
      <c r="DL335" s="978"/>
      <c r="DM335" s="978"/>
      <c r="DN335" s="978"/>
      <c r="DO335" s="978"/>
      <c r="DP335" s="978"/>
      <c r="DQ335" s="978"/>
      <c r="DR335" s="978"/>
      <c r="DS335" s="978"/>
      <c r="DT335" s="978"/>
      <c r="DU335" s="978"/>
      <c r="DV335" s="978"/>
      <c r="DW335" s="978"/>
      <c r="DX335" s="978"/>
      <c r="DY335" s="978"/>
      <c r="DZ335" s="978"/>
      <c r="EA335" s="978"/>
      <c r="EB335" s="978"/>
      <c r="EC335" s="978"/>
      <c r="ED335" s="978"/>
      <c r="EE335" s="978"/>
      <c r="EF335" s="978"/>
      <c r="EG335" s="978"/>
      <c r="EH335" s="978"/>
      <c r="EI335" s="978"/>
      <c r="EJ335" s="978"/>
      <c r="EK335" s="978"/>
      <c r="EL335" s="978"/>
      <c r="EM335" s="978"/>
      <c r="EN335" s="978"/>
      <c r="EO335" s="978"/>
      <c r="EP335" s="978"/>
      <c r="EQ335" s="978"/>
      <c r="ER335" s="978"/>
      <c r="ES335" s="978"/>
      <c r="ET335" s="978"/>
      <c r="EU335" s="978"/>
      <c r="EV335" s="978"/>
      <c r="EW335" s="978"/>
      <c r="EX335" s="978"/>
      <c r="EY335" s="978"/>
      <c r="EZ335" s="978"/>
      <c r="FA335" s="978"/>
      <c r="FB335" s="978"/>
      <c r="FC335" s="978"/>
      <c r="FD335" s="978"/>
      <c r="FE335" s="978"/>
      <c r="FF335" s="978"/>
      <c r="FG335" s="978"/>
      <c r="FH335" s="978"/>
      <c r="FI335" s="978"/>
      <c r="FJ335" s="978"/>
      <c r="FK335" s="978"/>
      <c r="FL335" s="978"/>
      <c r="FM335" s="978"/>
      <c r="FN335" s="978"/>
      <c r="FO335" s="978"/>
      <c r="FP335" s="978"/>
      <c r="FQ335" s="978"/>
      <c r="FR335" s="978"/>
      <c r="FS335" s="978"/>
      <c r="FT335" s="978"/>
      <c r="FU335" s="978"/>
      <c r="FV335" s="978"/>
      <c r="FW335" s="978"/>
      <c r="FX335" s="978"/>
      <c r="FY335" s="978"/>
      <c r="FZ335" s="978"/>
      <c r="GA335" s="978"/>
      <c r="GB335" s="978"/>
      <c r="GC335" s="978"/>
      <c r="GD335" s="978"/>
      <c r="GE335" s="978"/>
      <c r="GF335" s="978"/>
      <c r="GG335" s="978"/>
      <c r="GH335" s="978"/>
      <c r="GI335" s="978"/>
      <c r="GJ335" s="978"/>
      <c r="GK335" s="978"/>
      <c r="GL335" s="978"/>
      <c r="GM335" s="978"/>
      <c r="GN335" s="978"/>
      <c r="GO335" s="978"/>
      <c r="GP335" s="978"/>
      <c r="GQ335" s="978"/>
      <c r="GR335" s="978"/>
      <c r="GS335" s="978"/>
      <c r="GT335" s="978"/>
      <c r="GU335" s="978"/>
      <c r="GV335" s="978"/>
      <c r="GW335" s="978"/>
      <c r="GX335" s="978"/>
      <c r="GY335" s="978"/>
      <c r="GZ335" s="978"/>
      <c r="HA335" s="978"/>
      <c r="HB335" s="978"/>
      <c r="HC335" s="978"/>
      <c r="HD335" s="978"/>
      <c r="HE335" s="978"/>
      <c r="HF335" s="978"/>
      <c r="HG335" s="978"/>
      <c r="HH335" s="978"/>
      <c r="HI335" s="978"/>
      <c r="HJ335" s="978"/>
      <c r="HK335" s="978"/>
      <c r="HL335" s="978"/>
      <c r="HM335" s="978"/>
      <c r="HN335" s="978"/>
      <c r="HO335" s="978"/>
      <c r="HP335" s="978"/>
      <c r="HQ335" s="978"/>
      <c r="HR335" s="978"/>
      <c r="HS335" s="978"/>
      <c r="HT335" s="978"/>
      <c r="HU335" s="978"/>
      <c r="HV335" s="978"/>
      <c r="HW335" s="978"/>
      <c r="HX335" s="978"/>
      <c r="HY335" s="978"/>
      <c r="HZ335" s="978"/>
      <c r="IA335" s="978"/>
      <c r="IB335" s="978"/>
      <c r="IC335" s="978"/>
      <c r="ID335" s="978"/>
      <c r="IE335" s="978"/>
      <c r="IF335" s="978"/>
      <c r="IG335" s="978"/>
      <c r="IH335" s="978"/>
      <c r="II335" s="978"/>
      <c r="IJ335" s="978"/>
      <c r="IK335" s="978"/>
      <c r="IL335" s="978"/>
      <c r="IM335" s="978"/>
      <c r="IN335" s="978"/>
      <c r="IO335" s="978"/>
      <c r="IP335" s="978"/>
      <c r="IQ335" s="978"/>
      <c r="IR335" s="978"/>
      <c r="IS335" s="978"/>
      <c r="IT335" s="978"/>
      <c r="IU335" s="978"/>
      <c r="IV335" s="978"/>
      <c r="IW335" s="978"/>
      <c r="IX335" s="978"/>
      <c r="IY335" s="978"/>
      <c r="IZ335" s="978"/>
      <c r="JA335" s="978"/>
      <c r="JB335" s="978"/>
      <c r="JC335" s="978"/>
      <c r="JD335" s="978"/>
      <c r="JE335" s="978"/>
      <c r="JF335" s="978"/>
      <c r="JG335" s="978"/>
      <c r="JH335" s="978"/>
      <c r="JI335" s="978"/>
      <c r="JJ335" s="978"/>
      <c r="JK335" s="978"/>
      <c r="JL335" s="978"/>
      <c r="JM335" s="978"/>
      <c r="JN335" s="978"/>
      <c r="JO335" s="978"/>
      <c r="JP335" s="978"/>
      <c r="JQ335" s="978"/>
      <c r="JR335" s="978"/>
      <c r="JS335" s="978"/>
      <c r="JT335" s="978"/>
      <c r="JU335" s="978"/>
      <c r="JV335" s="978"/>
      <c r="JW335" s="978"/>
      <c r="JX335" s="978"/>
      <c r="JY335" s="978"/>
      <c r="JZ335" s="978"/>
      <c r="KA335" s="978"/>
      <c r="KB335" s="978"/>
      <c r="KC335" s="978"/>
      <c r="KD335" s="978"/>
      <c r="KE335" s="978"/>
      <c r="KF335" s="978"/>
      <c r="KG335" s="978"/>
      <c r="KH335" s="978"/>
      <c r="KI335" s="978"/>
      <c r="KJ335" s="978"/>
      <c r="KK335" s="978"/>
      <c r="KL335" s="978"/>
      <c r="KM335" s="978"/>
      <c r="KN335" s="978"/>
      <c r="KO335" s="978"/>
      <c r="KP335" s="978"/>
      <c r="KQ335" s="978"/>
      <c r="KR335" s="978"/>
      <c r="KS335" s="978"/>
      <c r="KT335" s="978"/>
      <c r="KU335" s="978"/>
      <c r="KV335" s="978"/>
      <c r="KW335" s="978"/>
      <c r="KX335" s="978"/>
      <c r="KY335" s="978"/>
      <c r="KZ335" s="978"/>
      <c r="LA335" s="978"/>
      <c r="LB335" s="978"/>
      <c r="LC335" s="978"/>
      <c r="LD335" s="978"/>
      <c r="LE335" s="978"/>
      <c r="LF335" s="978"/>
      <c r="LG335" s="978"/>
      <c r="LH335" s="978"/>
      <c r="LI335" s="978"/>
      <c r="LJ335" s="978"/>
      <c r="LK335" s="978"/>
      <c r="LL335" s="978"/>
      <c r="LM335" s="978"/>
      <c r="LN335" s="978"/>
      <c r="LO335" s="978"/>
      <c r="LP335" s="978"/>
      <c r="LQ335" s="978"/>
      <c r="LR335" s="978"/>
      <c r="LS335" s="978"/>
      <c r="LT335" s="978"/>
      <c r="LU335" s="978"/>
      <c r="LV335" s="978"/>
      <c r="LW335" s="978"/>
      <c r="LX335" s="978"/>
      <c r="LY335" s="978"/>
      <c r="LZ335" s="978"/>
      <c r="MA335" s="978"/>
      <c r="MB335" s="978"/>
      <c r="MC335" s="978"/>
      <c r="MD335" s="978"/>
      <c r="ME335" s="978"/>
      <c r="MF335" s="978"/>
      <c r="MG335" s="978"/>
      <c r="MH335" s="978"/>
      <c r="MI335" s="978"/>
      <c r="MJ335" s="978"/>
      <c r="MK335" s="978"/>
      <c r="ML335" s="978"/>
      <c r="MM335" s="978"/>
      <c r="MN335" s="978"/>
      <c r="MO335" s="978"/>
      <c r="MP335" s="978"/>
      <c r="MQ335" s="978"/>
      <c r="MR335" s="978"/>
      <c r="MS335" s="978"/>
      <c r="MT335" s="978"/>
      <c r="MU335" s="978"/>
      <c r="MV335" s="978"/>
      <c r="MW335" s="978"/>
      <c r="MX335" s="978"/>
      <c r="MY335" s="978"/>
      <c r="MZ335" s="978"/>
      <c r="NA335" s="978"/>
      <c r="NB335" s="978"/>
      <c r="NC335" s="978"/>
      <c r="ND335" s="978"/>
      <c r="NE335" s="978"/>
      <c r="NF335" s="978"/>
      <c r="NG335" s="978"/>
      <c r="NH335" s="978"/>
      <c r="NI335" s="978"/>
      <c r="NJ335" s="978"/>
      <c r="NK335" s="978"/>
      <c r="NL335" s="978"/>
      <c r="NM335" s="978"/>
      <c r="NN335" s="978"/>
      <c r="NO335" s="978"/>
      <c r="NP335" s="978"/>
      <c r="NQ335" s="978"/>
      <c r="NR335" s="978"/>
      <c r="NS335" s="978"/>
      <c r="NT335" s="978"/>
      <c r="NU335" s="978"/>
      <c r="NV335" s="978"/>
      <c r="NW335" s="978"/>
      <c r="NX335" s="978"/>
      <c r="NY335" s="978"/>
      <c r="NZ335" s="978"/>
      <c r="OA335" s="978"/>
      <c r="OB335" s="978"/>
      <c r="OC335" s="978"/>
      <c r="OD335" s="978"/>
      <c r="OE335" s="978"/>
      <c r="OF335" s="978"/>
      <c r="OG335" s="978"/>
      <c r="OH335" s="978"/>
      <c r="OI335" s="978"/>
      <c r="OJ335" s="978"/>
      <c r="OK335" s="978"/>
      <c r="OL335" s="978"/>
      <c r="OM335" s="978"/>
      <c r="ON335" s="978"/>
      <c r="OO335" s="978"/>
      <c r="OP335" s="978"/>
      <c r="OQ335" s="978"/>
      <c r="OR335" s="978"/>
      <c r="OS335" s="978"/>
      <c r="OT335" s="978"/>
      <c r="OU335" s="978"/>
      <c r="OV335" s="978"/>
      <c r="OW335" s="978"/>
      <c r="OX335" s="978"/>
      <c r="OY335" s="978"/>
      <c r="OZ335" s="978"/>
      <c r="PA335" s="978"/>
      <c r="PB335" s="978"/>
      <c r="PC335" s="978"/>
      <c r="PD335" s="978"/>
      <c r="PE335" s="978"/>
      <c r="PF335" s="978"/>
      <c r="PG335" s="978"/>
      <c r="PH335" s="978"/>
      <c r="PI335" s="978"/>
      <c r="PJ335" s="978"/>
      <c r="PK335" s="978"/>
      <c r="PL335" s="978"/>
      <c r="PM335" s="978"/>
      <c r="PN335" s="978"/>
      <c r="PO335" s="978"/>
      <c r="PP335" s="978"/>
      <c r="PQ335" s="978"/>
      <c r="PR335" s="978"/>
      <c r="PS335" s="978"/>
      <c r="PT335" s="978"/>
      <c r="PU335" s="978"/>
      <c r="PV335" s="978"/>
      <c r="PW335" s="978"/>
      <c r="PX335" s="978"/>
      <c r="PY335" s="978"/>
      <c r="PZ335" s="978"/>
      <c r="QA335" s="978"/>
      <c r="QB335" s="978"/>
      <c r="QC335" s="978"/>
      <c r="QD335" s="978"/>
      <c r="QE335" s="978"/>
      <c r="QF335" s="978"/>
      <c r="QG335" s="978"/>
      <c r="QH335" s="978"/>
      <c r="QI335" s="978"/>
      <c r="QJ335" s="978"/>
      <c r="QK335" s="978"/>
      <c r="QL335" s="978"/>
      <c r="QM335" s="978"/>
      <c r="QN335" s="978"/>
      <c r="QO335" s="978"/>
      <c r="QP335" s="978"/>
      <c r="QQ335" s="978"/>
      <c r="QR335" s="978"/>
      <c r="QS335" s="978"/>
      <c r="QT335" s="978"/>
      <c r="QU335" s="978"/>
      <c r="QV335" s="978"/>
      <c r="QW335" s="978"/>
      <c r="QX335" s="978"/>
      <c r="QY335" s="978"/>
      <c r="QZ335" s="978"/>
      <c r="RA335" s="978"/>
      <c r="RB335" s="274"/>
      <c r="RC335" s="274"/>
    </row>
    <row r="336" spans="112:471" ht="17.25">
      <c r="DH336" s="274"/>
      <c r="DI336" s="274"/>
      <c r="DJ336" s="978"/>
      <c r="DK336" s="978"/>
      <c r="DL336" s="978"/>
      <c r="DM336" s="978"/>
      <c r="DN336" s="978"/>
      <c r="DO336" s="978"/>
      <c r="DP336" s="978"/>
      <c r="DQ336" s="978"/>
      <c r="DR336" s="978"/>
      <c r="DS336" s="978"/>
      <c r="DT336" s="978"/>
      <c r="DU336" s="978"/>
      <c r="DV336" s="978"/>
      <c r="DW336" s="978"/>
      <c r="DX336" s="978"/>
      <c r="DY336" s="978"/>
      <c r="DZ336" s="978"/>
      <c r="EA336" s="978"/>
      <c r="EB336" s="978"/>
      <c r="EC336" s="978"/>
      <c r="ED336" s="978"/>
      <c r="EE336" s="978"/>
      <c r="EF336" s="978"/>
      <c r="EG336" s="978"/>
      <c r="EH336" s="978"/>
      <c r="EI336" s="978"/>
      <c r="EJ336" s="978"/>
      <c r="EK336" s="978"/>
      <c r="EL336" s="978"/>
      <c r="EM336" s="978"/>
      <c r="EN336" s="978"/>
      <c r="EO336" s="978"/>
      <c r="EP336" s="978"/>
      <c r="EQ336" s="978"/>
      <c r="ER336" s="978"/>
      <c r="ES336" s="978"/>
      <c r="ET336" s="978"/>
      <c r="EU336" s="978"/>
      <c r="EV336" s="978"/>
      <c r="EW336" s="978"/>
      <c r="EX336" s="978"/>
      <c r="EY336" s="978"/>
      <c r="EZ336" s="978"/>
      <c r="FA336" s="978"/>
      <c r="FB336" s="978"/>
      <c r="FC336" s="978"/>
      <c r="FD336" s="978"/>
      <c r="FE336" s="978"/>
      <c r="FF336" s="978"/>
      <c r="FG336" s="978"/>
      <c r="FH336" s="978"/>
      <c r="FI336" s="978"/>
      <c r="FJ336" s="978"/>
      <c r="FK336" s="978"/>
      <c r="FL336" s="978"/>
      <c r="FM336" s="978"/>
      <c r="FN336" s="978"/>
      <c r="FO336" s="978"/>
      <c r="FP336" s="978"/>
      <c r="FQ336" s="978"/>
      <c r="FR336" s="978"/>
      <c r="FS336" s="978"/>
      <c r="FT336" s="978"/>
      <c r="FU336" s="978"/>
      <c r="FV336" s="978"/>
      <c r="FW336" s="978"/>
      <c r="FX336" s="978"/>
      <c r="FY336" s="978"/>
      <c r="FZ336" s="978"/>
      <c r="GA336" s="978"/>
      <c r="GB336" s="978"/>
      <c r="GC336" s="978"/>
      <c r="GD336" s="978"/>
      <c r="GE336" s="978"/>
      <c r="GF336" s="978"/>
      <c r="GG336" s="978"/>
      <c r="GH336" s="978"/>
      <c r="GI336" s="978"/>
      <c r="GJ336" s="978"/>
      <c r="GK336" s="978"/>
      <c r="GL336" s="978"/>
      <c r="GM336" s="978"/>
      <c r="GN336" s="978"/>
      <c r="GO336" s="978"/>
      <c r="GP336" s="978"/>
      <c r="GQ336" s="978"/>
      <c r="GR336" s="978"/>
      <c r="GS336" s="978"/>
      <c r="GT336" s="978"/>
      <c r="GU336" s="978"/>
      <c r="GV336" s="978"/>
      <c r="GW336" s="978"/>
      <c r="GX336" s="978"/>
      <c r="GY336" s="978"/>
      <c r="GZ336" s="978"/>
      <c r="HA336" s="978"/>
      <c r="HB336" s="978"/>
      <c r="HC336" s="978"/>
      <c r="HD336" s="978"/>
      <c r="HE336" s="978"/>
      <c r="HF336" s="978"/>
      <c r="HG336" s="978"/>
      <c r="HH336" s="978"/>
      <c r="HI336" s="978"/>
      <c r="HJ336" s="978"/>
      <c r="HK336" s="978"/>
      <c r="HL336" s="978"/>
      <c r="HM336" s="978"/>
      <c r="HN336" s="978"/>
      <c r="HO336" s="978"/>
      <c r="HP336" s="978"/>
      <c r="HQ336" s="978"/>
      <c r="HR336" s="978"/>
      <c r="HS336" s="978"/>
      <c r="HT336" s="978"/>
      <c r="HU336" s="978"/>
      <c r="HV336" s="978"/>
      <c r="HW336" s="978"/>
      <c r="HX336" s="978"/>
      <c r="HY336" s="978"/>
      <c r="HZ336" s="978"/>
      <c r="IA336" s="978"/>
      <c r="IB336" s="978"/>
      <c r="IC336" s="978"/>
      <c r="ID336" s="978"/>
      <c r="IE336" s="978"/>
      <c r="IF336" s="978"/>
      <c r="IG336" s="978"/>
      <c r="IH336" s="978"/>
      <c r="II336" s="978"/>
      <c r="IJ336" s="978"/>
      <c r="IK336" s="978"/>
      <c r="IL336" s="978"/>
      <c r="IM336" s="978"/>
      <c r="IN336" s="978"/>
      <c r="IO336" s="978"/>
      <c r="IP336" s="978"/>
      <c r="IQ336" s="978"/>
      <c r="IR336" s="978"/>
      <c r="IS336" s="978"/>
      <c r="IT336" s="978"/>
      <c r="IU336" s="978"/>
      <c r="IV336" s="978"/>
      <c r="IW336" s="978"/>
      <c r="IX336" s="978"/>
      <c r="IY336" s="978"/>
      <c r="IZ336" s="978"/>
      <c r="JA336" s="978"/>
      <c r="JB336" s="978"/>
      <c r="JC336" s="978"/>
      <c r="JD336" s="978"/>
      <c r="JE336" s="978"/>
      <c r="JF336" s="978"/>
      <c r="JG336" s="978"/>
      <c r="JH336" s="978"/>
      <c r="JI336" s="978"/>
      <c r="JJ336" s="978"/>
      <c r="JK336" s="978"/>
      <c r="JL336" s="978"/>
      <c r="JM336" s="978"/>
      <c r="JN336" s="978"/>
      <c r="JO336" s="978"/>
      <c r="JP336" s="978"/>
      <c r="JQ336" s="978"/>
      <c r="JR336" s="978"/>
      <c r="JS336" s="978"/>
      <c r="JT336" s="978"/>
      <c r="JU336" s="978"/>
      <c r="JV336" s="978"/>
      <c r="JW336" s="978"/>
      <c r="JX336" s="978"/>
      <c r="JY336" s="978"/>
      <c r="JZ336" s="978"/>
      <c r="KA336" s="978"/>
      <c r="KB336" s="978"/>
      <c r="KC336" s="978"/>
      <c r="KD336" s="978"/>
      <c r="KE336" s="978"/>
      <c r="KF336" s="978"/>
      <c r="KG336" s="978"/>
      <c r="KH336" s="978"/>
      <c r="KI336" s="978"/>
      <c r="KJ336" s="978"/>
      <c r="KK336" s="978"/>
      <c r="KL336" s="978"/>
      <c r="KM336" s="978"/>
      <c r="KN336" s="978"/>
      <c r="KO336" s="978"/>
      <c r="KP336" s="978"/>
      <c r="KQ336" s="978"/>
      <c r="KR336" s="978"/>
      <c r="KS336" s="978"/>
      <c r="KT336" s="978"/>
      <c r="KU336" s="978"/>
      <c r="KV336" s="978"/>
      <c r="KW336" s="978"/>
      <c r="KX336" s="978"/>
      <c r="KY336" s="978"/>
      <c r="KZ336" s="978"/>
      <c r="LA336" s="978"/>
      <c r="LB336" s="978"/>
      <c r="LC336" s="978"/>
      <c r="LD336" s="978"/>
      <c r="LE336" s="978"/>
      <c r="LF336" s="978"/>
      <c r="LG336" s="978"/>
      <c r="LH336" s="978"/>
      <c r="LI336" s="978"/>
      <c r="LJ336" s="978"/>
      <c r="LK336" s="978"/>
      <c r="LL336" s="978"/>
      <c r="LM336" s="978"/>
      <c r="LN336" s="978"/>
      <c r="LO336" s="978"/>
      <c r="LP336" s="978"/>
      <c r="LQ336" s="978"/>
      <c r="LR336" s="978"/>
      <c r="LS336" s="978"/>
      <c r="LT336" s="978"/>
      <c r="LU336" s="978"/>
      <c r="LV336" s="978"/>
      <c r="LW336" s="978"/>
      <c r="LX336" s="978"/>
      <c r="LY336" s="978"/>
      <c r="LZ336" s="978"/>
      <c r="MA336" s="978"/>
      <c r="MB336" s="978"/>
      <c r="MC336" s="978"/>
      <c r="MD336" s="978"/>
      <c r="ME336" s="978"/>
      <c r="MF336" s="978"/>
      <c r="MG336" s="978"/>
      <c r="MH336" s="978"/>
      <c r="MI336" s="978"/>
      <c r="MJ336" s="978"/>
      <c r="MK336" s="978"/>
      <c r="ML336" s="978"/>
      <c r="MM336" s="978"/>
      <c r="MN336" s="978"/>
      <c r="MO336" s="978"/>
      <c r="MP336" s="978"/>
      <c r="MQ336" s="978"/>
      <c r="MR336" s="978"/>
      <c r="MS336" s="978"/>
      <c r="MT336" s="978"/>
      <c r="MU336" s="978"/>
      <c r="MV336" s="978"/>
      <c r="MW336" s="978"/>
      <c r="MX336" s="978"/>
      <c r="MY336" s="978"/>
      <c r="MZ336" s="978"/>
      <c r="NA336" s="978"/>
      <c r="NB336" s="978"/>
      <c r="NC336" s="978"/>
      <c r="ND336" s="978"/>
      <c r="NE336" s="978"/>
      <c r="NF336" s="978"/>
      <c r="NG336" s="978"/>
      <c r="NH336" s="978"/>
      <c r="NI336" s="978"/>
      <c r="NJ336" s="978"/>
      <c r="NK336" s="978"/>
      <c r="NL336" s="978"/>
      <c r="NM336" s="978"/>
      <c r="NN336" s="978"/>
      <c r="NO336" s="978"/>
      <c r="NP336" s="978"/>
      <c r="NQ336" s="978"/>
      <c r="NR336" s="978"/>
      <c r="NS336" s="978"/>
      <c r="NT336" s="978"/>
      <c r="NU336" s="978"/>
      <c r="NV336" s="978"/>
      <c r="NW336" s="978"/>
      <c r="NX336" s="978"/>
      <c r="NY336" s="978"/>
      <c r="NZ336" s="978"/>
      <c r="OA336" s="978"/>
      <c r="OB336" s="978"/>
      <c r="OC336" s="978"/>
      <c r="OD336" s="978"/>
      <c r="OE336" s="978"/>
      <c r="OF336" s="978"/>
      <c r="OG336" s="978"/>
      <c r="OH336" s="978"/>
      <c r="OI336" s="978"/>
      <c r="OJ336" s="978"/>
      <c r="OK336" s="978"/>
      <c r="OL336" s="978"/>
      <c r="OM336" s="978"/>
      <c r="ON336" s="978"/>
      <c r="OO336" s="978"/>
      <c r="OP336" s="978"/>
      <c r="OQ336" s="978"/>
      <c r="OR336" s="978"/>
      <c r="OS336" s="978"/>
      <c r="OT336" s="978"/>
      <c r="OU336" s="978"/>
      <c r="OV336" s="978"/>
      <c r="OW336" s="978"/>
      <c r="OX336" s="978"/>
      <c r="OY336" s="978"/>
      <c r="OZ336" s="978"/>
      <c r="PA336" s="978"/>
      <c r="PB336" s="978"/>
      <c r="PC336" s="978"/>
      <c r="PD336" s="978"/>
      <c r="PE336" s="978"/>
      <c r="PF336" s="978"/>
      <c r="PG336" s="978"/>
      <c r="PH336" s="978"/>
      <c r="PI336" s="978"/>
      <c r="PJ336" s="978"/>
      <c r="PK336" s="978"/>
      <c r="PL336" s="978"/>
      <c r="PM336" s="978"/>
      <c r="PN336" s="978"/>
      <c r="PO336" s="978"/>
      <c r="PP336" s="978"/>
      <c r="PQ336" s="978"/>
      <c r="PR336" s="978"/>
      <c r="PS336" s="978"/>
      <c r="PT336" s="978"/>
      <c r="PU336" s="978"/>
      <c r="PV336" s="978"/>
      <c r="PW336" s="978"/>
      <c r="PX336" s="978"/>
      <c r="PY336" s="978"/>
      <c r="PZ336" s="978"/>
      <c r="QA336" s="978"/>
      <c r="QB336" s="978"/>
      <c r="QC336" s="978"/>
      <c r="QD336" s="978"/>
      <c r="QE336" s="978"/>
      <c r="QF336" s="978"/>
      <c r="QG336" s="978"/>
      <c r="QH336" s="978"/>
      <c r="QI336" s="978"/>
      <c r="QJ336" s="978"/>
      <c r="QK336" s="978"/>
      <c r="QL336" s="978"/>
      <c r="QM336" s="978"/>
      <c r="QN336" s="978"/>
      <c r="QO336" s="978"/>
      <c r="QP336" s="978"/>
      <c r="QQ336" s="978"/>
      <c r="QR336" s="978"/>
      <c r="QS336" s="978"/>
      <c r="QT336" s="978"/>
      <c r="QU336" s="978"/>
      <c r="QV336" s="978"/>
      <c r="QW336" s="978"/>
      <c r="QX336" s="978"/>
      <c r="QY336" s="978"/>
      <c r="QZ336" s="978"/>
      <c r="RA336" s="978"/>
      <c r="RB336" s="274"/>
      <c r="RC336" s="274"/>
    </row>
    <row r="337" spans="112:471" ht="17.25">
      <c r="DH337" s="274"/>
      <c r="DI337" s="274"/>
      <c r="DJ337" s="978"/>
      <c r="DK337" s="978"/>
      <c r="DL337" s="978"/>
      <c r="DM337" s="978"/>
      <c r="DN337" s="978"/>
      <c r="DO337" s="978"/>
      <c r="DP337" s="978"/>
      <c r="DQ337" s="978"/>
      <c r="DR337" s="978"/>
      <c r="DS337" s="978"/>
      <c r="DT337" s="978"/>
      <c r="DU337" s="978"/>
      <c r="DV337" s="978"/>
      <c r="DW337" s="978"/>
      <c r="DX337" s="978"/>
      <c r="DY337" s="978"/>
      <c r="DZ337" s="978"/>
      <c r="EA337" s="978"/>
      <c r="EB337" s="978"/>
      <c r="EC337" s="978"/>
      <c r="ED337" s="978"/>
      <c r="EE337" s="978"/>
      <c r="EF337" s="978"/>
      <c r="EG337" s="978"/>
      <c r="EH337" s="978"/>
      <c r="EI337" s="978"/>
      <c r="EJ337" s="978"/>
      <c r="EK337" s="978"/>
      <c r="EL337" s="978"/>
      <c r="EM337" s="978"/>
      <c r="EN337" s="978"/>
      <c r="EO337" s="978"/>
      <c r="EP337" s="978"/>
      <c r="EQ337" s="978"/>
      <c r="ER337" s="978"/>
      <c r="ES337" s="978"/>
      <c r="ET337" s="978"/>
      <c r="EU337" s="978"/>
      <c r="EV337" s="978"/>
      <c r="EW337" s="978"/>
      <c r="EX337" s="978"/>
      <c r="EY337" s="978"/>
      <c r="EZ337" s="978"/>
      <c r="FA337" s="978"/>
      <c r="FB337" s="978"/>
      <c r="FC337" s="978"/>
      <c r="FD337" s="978"/>
      <c r="FE337" s="978"/>
      <c r="FF337" s="978"/>
      <c r="FG337" s="978"/>
      <c r="FH337" s="978"/>
      <c r="FI337" s="978"/>
      <c r="FJ337" s="978"/>
      <c r="FK337" s="978"/>
      <c r="FL337" s="978"/>
      <c r="FM337" s="978"/>
      <c r="FN337" s="978"/>
      <c r="FO337" s="978"/>
      <c r="FP337" s="978"/>
      <c r="FQ337" s="978"/>
      <c r="FR337" s="978"/>
      <c r="FS337" s="978"/>
      <c r="FT337" s="978"/>
      <c r="FU337" s="978"/>
      <c r="FV337" s="978"/>
      <c r="FW337" s="978"/>
      <c r="FX337" s="978"/>
      <c r="FY337" s="978"/>
      <c r="FZ337" s="978"/>
      <c r="GA337" s="978"/>
      <c r="GB337" s="978"/>
      <c r="GC337" s="978"/>
      <c r="GD337" s="978"/>
      <c r="GE337" s="978"/>
      <c r="GF337" s="978"/>
      <c r="GG337" s="978"/>
      <c r="GH337" s="978"/>
      <c r="GI337" s="978"/>
      <c r="GJ337" s="978"/>
      <c r="GK337" s="978"/>
      <c r="GL337" s="978"/>
      <c r="GM337" s="978"/>
      <c r="GN337" s="978"/>
      <c r="GO337" s="978"/>
      <c r="GP337" s="978"/>
      <c r="GQ337" s="978"/>
      <c r="GR337" s="978"/>
      <c r="GS337" s="978"/>
      <c r="GT337" s="978"/>
      <c r="GU337" s="978"/>
      <c r="GV337" s="978"/>
      <c r="GW337" s="978"/>
      <c r="GX337" s="978"/>
      <c r="GY337" s="978"/>
      <c r="GZ337" s="978"/>
      <c r="HA337" s="978"/>
      <c r="HB337" s="978"/>
      <c r="HC337" s="978"/>
      <c r="HD337" s="978"/>
      <c r="HE337" s="978"/>
      <c r="HF337" s="978"/>
      <c r="HG337" s="978"/>
      <c r="HH337" s="978"/>
      <c r="HI337" s="978"/>
      <c r="HJ337" s="978"/>
      <c r="HK337" s="978"/>
      <c r="HL337" s="978"/>
      <c r="HM337" s="978"/>
      <c r="HN337" s="978"/>
      <c r="HO337" s="978"/>
      <c r="HP337" s="978"/>
      <c r="HQ337" s="978"/>
      <c r="HR337" s="978"/>
      <c r="HS337" s="978"/>
      <c r="HT337" s="978"/>
      <c r="HU337" s="978"/>
      <c r="HV337" s="978"/>
      <c r="HW337" s="978"/>
      <c r="HX337" s="978"/>
      <c r="HY337" s="978"/>
      <c r="HZ337" s="978"/>
      <c r="IA337" s="978"/>
      <c r="IB337" s="978"/>
      <c r="IC337" s="978"/>
      <c r="ID337" s="978"/>
      <c r="IE337" s="978"/>
      <c r="IF337" s="978"/>
      <c r="IG337" s="978"/>
      <c r="IH337" s="978"/>
      <c r="II337" s="978"/>
      <c r="IJ337" s="978"/>
      <c r="IK337" s="978"/>
      <c r="IL337" s="978"/>
      <c r="IM337" s="978"/>
      <c r="IN337" s="978"/>
      <c r="IO337" s="978"/>
      <c r="IP337" s="978"/>
      <c r="IQ337" s="978"/>
      <c r="IR337" s="978"/>
      <c r="IS337" s="978"/>
      <c r="IT337" s="978"/>
      <c r="IU337" s="978"/>
      <c r="IV337" s="978"/>
      <c r="IW337" s="978"/>
      <c r="IX337" s="978"/>
      <c r="IY337" s="978"/>
      <c r="IZ337" s="978"/>
      <c r="JA337" s="978"/>
      <c r="JB337" s="978"/>
      <c r="JC337" s="978"/>
      <c r="JD337" s="978"/>
      <c r="JE337" s="978"/>
      <c r="JF337" s="978"/>
      <c r="JG337" s="978"/>
      <c r="JH337" s="978"/>
      <c r="JI337" s="978"/>
      <c r="JJ337" s="978"/>
      <c r="JK337" s="978"/>
      <c r="JL337" s="978"/>
      <c r="JM337" s="978"/>
      <c r="JN337" s="978"/>
      <c r="JO337" s="978"/>
      <c r="JP337" s="978"/>
      <c r="JQ337" s="978"/>
      <c r="JR337" s="978"/>
      <c r="JS337" s="978"/>
      <c r="JT337" s="978"/>
      <c r="JU337" s="978"/>
      <c r="JV337" s="978"/>
      <c r="JW337" s="978"/>
      <c r="JX337" s="978"/>
      <c r="JY337" s="978"/>
      <c r="JZ337" s="978"/>
      <c r="KA337" s="978"/>
      <c r="KB337" s="978"/>
      <c r="KC337" s="978"/>
      <c r="KD337" s="978"/>
      <c r="KE337" s="978"/>
      <c r="KF337" s="978"/>
      <c r="KG337" s="978"/>
      <c r="KH337" s="978"/>
      <c r="KI337" s="978"/>
      <c r="KJ337" s="978"/>
      <c r="KK337" s="978"/>
      <c r="KL337" s="978"/>
      <c r="KM337" s="978"/>
      <c r="KN337" s="978"/>
      <c r="KO337" s="978"/>
      <c r="KP337" s="978"/>
      <c r="KQ337" s="978"/>
      <c r="KR337" s="978"/>
      <c r="KS337" s="978"/>
      <c r="KT337" s="978"/>
      <c r="KU337" s="978"/>
      <c r="KV337" s="978"/>
      <c r="KW337" s="978"/>
      <c r="KX337" s="978"/>
      <c r="KY337" s="978"/>
      <c r="KZ337" s="978"/>
      <c r="LA337" s="978"/>
      <c r="LB337" s="978"/>
      <c r="LC337" s="978"/>
      <c r="LD337" s="978"/>
      <c r="LE337" s="978"/>
      <c r="LF337" s="978"/>
      <c r="LG337" s="978"/>
      <c r="LH337" s="978"/>
      <c r="LI337" s="978"/>
      <c r="LJ337" s="978"/>
      <c r="LK337" s="978"/>
      <c r="LL337" s="978"/>
      <c r="LM337" s="978"/>
      <c r="LN337" s="978"/>
      <c r="LO337" s="978"/>
      <c r="LP337" s="978"/>
      <c r="LQ337" s="978"/>
      <c r="LR337" s="978"/>
      <c r="LS337" s="978"/>
      <c r="LT337" s="978"/>
      <c r="LU337" s="978"/>
      <c r="LV337" s="978"/>
      <c r="LW337" s="978"/>
      <c r="LX337" s="978"/>
      <c r="LY337" s="978"/>
      <c r="LZ337" s="978"/>
      <c r="MA337" s="978"/>
      <c r="MB337" s="978"/>
      <c r="MC337" s="978"/>
      <c r="MD337" s="978"/>
      <c r="ME337" s="978"/>
      <c r="MF337" s="978"/>
      <c r="MG337" s="978"/>
      <c r="MH337" s="978"/>
      <c r="MI337" s="978"/>
      <c r="MJ337" s="978"/>
      <c r="MK337" s="978"/>
      <c r="ML337" s="978"/>
      <c r="MM337" s="978"/>
      <c r="MN337" s="978"/>
      <c r="MO337" s="978"/>
      <c r="MP337" s="978"/>
      <c r="MQ337" s="978"/>
      <c r="MR337" s="978"/>
      <c r="MS337" s="978"/>
      <c r="MT337" s="978"/>
      <c r="MU337" s="978"/>
      <c r="MV337" s="978"/>
      <c r="MW337" s="978"/>
      <c r="MX337" s="978"/>
      <c r="MY337" s="978"/>
      <c r="MZ337" s="978"/>
      <c r="NA337" s="978"/>
      <c r="NB337" s="978"/>
      <c r="NC337" s="978"/>
      <c r="ND337" s="978"/>
      <c r="NE337" s="978"/>
      <c r="NF337" s="978"/>
      <c r="NG337" s="978"/>
      <c r="NH337" s="978"/>
      <c r="NI337" s="978"/>
      <c r="NJ337" s="978"/>
      <c r="NK337" s="978"/>
      <c r="NL337" s="978"/>
      <c r="NM337" s="978"/>
      <c r="NN337" s="978"/>
      <c r="NO337" s="978"/>
      <c r="NP337" s="978"/>
      <c r="NQ337" s="978"/>
      <c r="NR337" s="978"/>
      <c r="NS337" s="978"/>
      <c r="NT337" s="978"/>
      <c r="NU337" s="978"/>
      <c r="NV337" s="978"/>
      <c r="NW337" s="978"/>
      <c r="NX337" s="978"/>
      <c r="NY337" s="978"/>
      <c r="NZ337" s="978"/>
      <c r="OA337" s="978"/>
      <c r="OB337" s="978"/>
      <c r="OC337" s="978"/>
      <c r="OD337" s="978"/>
      <c r="OE337" s="978"/>
      <c r="OF337" s="978"/>
      <c r="OG337" s="978"/>
      <c r="OH337" s="978"/>
      <c r="OI337" s="978"/>
      <c r="OJ337" s="978"/>
      <c r="OK337" s="978"/>
      <c r="OL337" s="978"/>
      <c r="OM337" s="978"/>
      <c r="ON337" s="978"/>
      <c r="OO337" s="978"/>
      <c r="OP337" s="978"/>
      <c r="OQ337" s="978"/>
      <c r="OR337" s="978"/>
      <c r="OS337" s="978"/>
      <c r="OT337" s="978"/>
      <c r="OU337" s="978"/>
      <c r="OV337" s="978"/>
      <c r="OW337" s="978"/>
      <c r="OX337" s="978"/>
      <c r="OY337" s="978"/>
      <c r="OZ337" s="978"/>
      <c r="PA337" s="978"/>
      <c r="PB337" s="978"/>
      <c r="PC337" s="978"/>
      <c r="PD337" s="978"/>
      <c r="PE337" s="978"/>
      <c r="PF337" s="978"/>
      <c r="PG337" s="978"/>
      <c r="PH337" s="978"/>
      <c r="PI337" s="978"/>
      <c r="PJ337" s="978"/>
      <c r="PK337" s="978"/>
      <c r="PL337" s="978"/>
      <c r="PM337" s="978"/>
      <c r="PN337" s="978"/>
      <c r="PO337" s="978"/>
      <c r="PP337" s="978"/>
      <c r="PQ337" s="978"/>
      <c r="PR337" s="978"/>
      <c r="PS337" s="978"/>
      <c r="PT337" s="978"/>
      <c r="PU337" s="978"/>
      <c r="PV337" s="978"/>
      <c r="PW337" s="978"/>
      <c r="PX337" s="978"/>
      <c r="PY337" s="978"/>
      <c r="PZ337" s="978"/>
      <c r="QA337" s="978"/>
      <c r="QB337" s="978"/>
      <c r="QC337" s="978"/>
      <c r="QD337" s="978"/>
      <c r="QE337" s="978"/>
      <c r="QF337" s="978"/>
      <c r="QG337" s="978"/>
      <c r="QH337" s="978"/>
      <c r="QI337" s="978"/>
      <c r="QJ337" s="978"/>
      <c r="QK337" s="978"/>
      <c r="QL337" s="978"/>
      <c r="QM337" s="978"/>
      <c r="QN337" s="978"/>
      <c r="QO337" s="978"/>
      <c r="QP337" s="978"/>
      <c r="QQ337" s="978"/>
      <c r="QR337" s="978"/>
      <c r="QS337" s="978"/>
      <c r="QT337" s="978"/>
      <c r="QU337" s="978"/>
      <c r="QV337" s="978"/>
      <c r="QW337" s="978"/>
      <c r="QX337" s="978"/>
      <c r="QY337" s="978"/>
      <c r="QZ337" s="978"/>
      <c r="RA337" s="978"/>
      <c r="RB337" s="274"/>
      <c r="RC337" s="274"/>
    </row>
    <row r="338" spans="112:471" ht="17.25">
      <c r="DH338" s="274"/>
      <c r="DI338" s="274"/>
      <c r="DJ338" s="978"/>
      <c r="DK338" s="978"/>
      <c r="DL338" s="978"/>
      <c r="DM338" s="978"/>
      <c r="DN338" s="978"/>
      <c r="DO338" s="978"/>
      <c r="DP338" s="978"/>
      <c r="DQ338" s="978"/>
      <c r="DR338" s="978"/>
      <c r="DS338" s="978"/>
      <c r="DT338" s="978"/>
      <c r="DU338" s="978"/>
      <c r="DV338" s="978"/>
      <c r="DW338" s="978"/>
      <c r="DX338" s="978"/>
      <c r="DY338" s="978"/>
      <c r="DZ338" s="978"/>
      <c r="EA338" s="978"/>
      <c r="EB338" s="978"/>
      <c r="EC338" s="978"/>
      <c r="ED338" s="978"/>
      <c r="EE338" s="978"/>
      <c r="EF338" s="978"/>
      <c r="EG338" s="978"/>
      <c r="EH338" s="978"/>
      <c r="EI338" s="978"/>
      <c r="EJ338" s="978"/>
      <c r="EK338" s="978"/>
      <c r="EL338" s="978"/>
      <c r="EM338" s="978"/>
      <c r="EN338" s="978"/>
      <c r="EO338" s="978"/>
      <c r="EP338" s="978"/>
      <c r="EQ338" s="978"/>
      <c r="ER338" s="978"/>
      <c r="ES338" s="978"/>
      <c r="ET338" s="978"/>
      <c r="EU338" s="978"/>
      <c r="EV338" s="978"/>
      <c r="EW338" s="978"/>
      <c r="EX338" s="978"/>
      <c r="EY338" s="978"/>
      <c r="EZ338" s="978"/>
      <c r="FA338" s="978"/>
      <c r="FB338" s="978"/>
      <c r="FC338" s="978"/>
      <c r="FD338" s="978"/>
      <c r="FE338" s="978"/>
      <c r="FF338" s="978"/>
      <c r="FG338" s="978"/>
      <c r="FH338" s="978"/>
      <c r="FI338" s="978"/>
      <c r="FJ338" s="978"/>
      <c r="FK338" s="978"/>
      <c r="FL338" s="978"/>
      <c r="FM338" s="978"/>
      <c r="FN338" s="978"/>
      <c r="FO338" s="978"/>
      <c r="FP338" s="978"/>
      <c r="FQ338" s="978"/>
      <c r="FR338" s="978"/>
      <c r="FS338" s="978"/>
      <c r="FT338" s="978"/>
      <c r="FU338" s="978"/>
      <c r="FV338" s="978"/>
      <c r="FW338" s="978"/>
      <c r="FX338" s="978"/>
      <c r="FY338" s="978"/>
      <c r="FZ338" s="978"/>
      <c r="GA338" s="978"/>
      <c r="GB338" s="978"/>
      <c r="GC338" s="978"/>
      <c r="GD338" s="978"/>
      <c r="GE338" s="978"/>
      <c r="GF338" s="978"/>
      <c r="GG338" s="978"/>
      <c r="GH338" s="978"/>
      <c r="GI338" s="978"/>
      <c r="GJ338" s="978"/>
      <c r="GK338" s="978"/>
      <c r="GL338" s="978"/>
      <c r="GM338" s="978"/>
      <c r="GN338" s="978"/>
      <c r="GO338" s="978"/>
      <c r="GP338" s="978"/>
      <c r="GQ338" s="978"/>
      <c r="GR338" s="978"/>
      <c r="GS338" s="978"/>
      <c r="GT338" s="978"/>
      <c r="GU338" s="978"/>
      <c r="GV338" s="978"/>
      <c r="GW338" s="978"/>
      <c r="GX338" s="978"/>
      <c r="GY338" s="978"/>
      <c r="GZ338" s="978"/>
      <c r="HA338" s="978"/>
      <c r="HB338" s="978"/>
      <c r="HC338" s="978"/>
      <c r="HD338" s="978"/>
      <c r="HE338" s="978"/>
      <c r="HF338" s="978"/>
      <c r="HG338" s="978"/>
      <c r="HH338" s="978"/>
      <c r="HI338" s="978"/>
      <c r="HJ338" s="978"/>
      <c r="HK338" s="978"/>
      <c r="HL338" s="978"/>
      <c r="HM338" s="978"/>
      <c r="HN338" s="978"/>
      <c r="HO338" s="978"/>
      <c r="HP338" s="978"/>
      <c r="HQ338" s="978"/>
      <c r="HR338" s="978"/>
      <c r="HS338" s="978"/>
      <c r="HT338" s="978"/>
      <c r="HU338" s="978"/>
      <c r="HV338" s="978"/>
      <c r="HW338" s="978"/>
      <c r="HX338" s="978"/>
      <c r="HY338" s="978"/>
      <c r="HZ338" s="978"/>
      <c r="IA338" s="978"/>
      <c r="IB338" s="978"/>
      <c r="IC338" s="978"/>
      <c r="ID338" s="978"/>
      <c r="IE338" s="978"/>
      <c r="IF338" s="978"/>
      <c r="IG338" s="978"/>
      <c r="IH338" s="978"/>
      <c r="II338" s="978"/>
      <c r="IJ338" s="978"/>
      <c r="IK338" s="978"/>
      <c r="IL338" s="978"/>
      <c r="IM338" s="978"/>
      <c r="IN338" s="978"/>
      <c r="IO338" s="978"/>
      <c r="IP338" s="978"/>
      <c r="IQ338" s="978"/>
      <c r="IR338" s="978"/>
      <c r="IS338" s="978"/>
      <c r="IT338" s="978"/>
      <c r="IU338" s="978"/>
      <c r="IV338" s="978"/>
      <c r="IW338" s="978"/>
      <c r="IX338" s="978"/>
      <c r="IY338" s="978"/>
      <c r="IZ338" s="978"/>
      <c r="JA338" s="978"/>
      <c r="JB338" s="978"/>
      <c r="JC338" s="978"/>
      <c r="JD338" s="978"/>
      <c r="JE338" s="978"/>
      <c r="JF338" s="978"/>
      <c r="JG338" s="978"/>
      <c r="JH338" s="978"/>
      <c r="JI338" s="978"/>
      <c r="JJ338" s="978"/>
      <c r="JK338" s="978"/>
      <c r="JL338" s="978"/>
      <c r="JM338" s="978"/>
      <c r="JN338" s="978"/>
      <c r="JO338" s="978"/>
      <c r="JP338" s="978"/>
      <c r="JQ338" s="978"/>
      <c r="JR338" s="978"/>
      <c r="JS338" s="978"/>
      <c r="JT338" s="978"/>
      <c r="JU338" s="978"/>
      <c r="JV338" s="978"/>
      <c r="JW338" s="978"/>
      <c r="JX338" s="978"/>
      <c r="JY338" s="978"/>
      <c r="JZ338" s="978"/>
      <c r="KA338" s="978"/>
      <c r="KB338" s="978"/>
      <c r="KC338" s="978"/>
      <c r="KD338" s="978"/>
      <c r="KE338" s="978"/>
      <c r="KF338" s="978"/>
      <c r="KG338" s="978"/>
      <c r="KH338" s="978"/>
      <c r="KI338" s="978"/>
      <c r="KJ338" s="978"/>
      <c r="KK338" s="978"/>
      <c r="KL338" s="978"/>
      <c r="KM338" s="978"/>
      <c r="KN338" s="978"/>
      <c r="KO338" s="978"/>
      <c r="KP338" s="978"/>
      <c r="KQ338" s="978"/>
      <c r="KR338" s="978"/>
      <c r="KS338" s="978"/>
      <c r="KT338" s="978"/>
      <c r="KU338" s="978"/>
      <c r="KV338" s="978"/>
      <c r="KW338" s="978"/>
      <c r="KX338" s="978"/>
      <c r="KY338" s="978"/>
      <c r="KZ338" s="978"/>
      <c r="LA338" s="978"/>
      <c r="LB338" s="978"/>
      <c r="LC338" s="978"/>
      <c r="LD338" s="978"/>
      <c r="LE338" s="978"/>
      <c r="LF338" s="978"/>
      <c r="LG338" s="978"/>
      <c r="LH338" s="978"/>
      <c r="LI338" s="978"/>
      <c r="LJ338" s="978"/>
      <c r="LK338" s="978"/>
      <c r="LL338" s="978"/>
      <c r="LM338" s="978"/>
      <c r="LN338" s="978"/>
      <c r="LO338" s="978"/>
      <c r="LP338" s="978"/>
      <c r="LQ338" s="978"/>
      <c r="LR338" s="978"/>
      <c r="LS338" s="978"/>
      <c r="LT338" s="978"/>
      <c r="LU338" s="978"/>
      <c r="LV338" s="978"/>
      <c r="LW338" s="978"/>
      <c r="LX338" s="978"/>
      <c r="LY338" s="978"/>
      <c r="LZ338" s="978"/>
      <c r="MA338" s="978"/>
      <c r="MB338" s="978"/>
      <c r="MC338" s="978"/>
      <c r="MD338" s="978"/>
      <c r="ME338" s="978"/>
      <c r="MF338" s="978"/>
      <c r="MG338" s="978"/>
      <c r="MH338" s="978"/>
      <c r="MI338" s="978"/>
      <c r="MJ338" s="978"/>
      <c r="MK338" s="978"/>
      <c r="ML338" s="978"/>
      <c r="MM338" s="978"/>
      <c r="MN338" s="978"/>
      <c r="MO338" s="978"/>
      <c r="MP338" s="978"/>
      <c r="MQ338" s="978"/>
      <c r="MR338" s="978"/>
      <c r="MS338" s="978"/>
      <c r="MT338" s="978"/>
      <c r="MU338" s="978"/>
      <c r="MV338" s="978"/>
      <c r="MW338" s="978"/>
      <c r="MX338" s="978"/>
      <c r="MY338" s="978"/>
      <c r="MZ338" s="978"/>
      <c r="NA338" s="978"/>
      <c r="NB338" s="978"/>
      <c r="NC338" s="978"/>
      <c r="ND338" s="978"/>
      <c r="NE338" s="978"/>
      <c r="NF338" s="978"/>
      <c r="NG338" s="978"/>
      <c r="NH338" s="978"/>
      <c r="NI338" s="978"/>
      <c r="NJ338" s="978"/>
      <c r="NK338" s="978"/>
      <c r="NL338" s="978"/>
      <c r="NM338" s="978"/>
      <c r="NN338" s="978"/>
      <c r="NO338" s="978"/>
      <c r="NP338" s="978"/>
      <c r="NQ338" s="978"/>
      <c r="NR338" s="978"/>
      <c r="NS338" s="978"/>
      <c r="NT338" s="978"/>
      <c r="NU338" s="978"/>
      <c r="NV338" s="978"/>
      <c r="NW338" s="978"/>
      <c r="NX338" s="978"/>
      <c r="NY338" s="978"/>
      <c r="NZ338" s="978"/>
      <c r="OA338" s="978"/>
      <c r="OB338" s="978"/>
      <c r="OC338" s="978"/>
      <c r="OD338" s="978"/>
      <c r="OE338" s="978"/>
      <c r="OF338" s="978"/>
      <c r="OG338" s="978"/>
      <c r="OH338" s="978"/>
      <c r="OI338" s="978"/>
      <c r="OJ338" s="978"/>
      <c r="OK338" s="978"/>
      <c r="OL338" s="978"/>
      <c r="OM338" s="978"/>
      <c r="ON338" s="978"/>
      <c r="OO338" s="978"/>
      <c r="OP338" s="978"/>
      <c r="OQ338" s="978"/>
      <c r="OR338" s="978"/>
      <c r="OS338" s="978"/>
      <c r="OT338" s="978"/>
      <c r="OU338" s="978"/>
      <c r="OV338" s="978"/>
      <c r="OW338" s="978"/>
      <c r="OX338" s="978"/>
      <c r="OY338" s="978"/>
      <c r="OZ338" s="978"/>
      <c r="PA338" s="978"/>
      <c r="PB338" s="978"/>
      <c r="PC338" s="978"/>
      <c r="PD338" s="978"/>
      <c r="PE338" s="978"/>
      <c r="PF338" s="978"/>
      <c r="PG338" s="978"/>
      <c r="PH338" s="978"/>
      <c r="PI338" s="978"/>
      <c r="PJ338" s="978"/>
      <c r="PK338" s="978"/>
      <c r="PL338" s="978"/>
      <c r="PM338" s="978"/>
      <c r="PN338" s="978"/>
      <c r="PO338" s="978"/>
      <c r="PP338" s="978"/>
      <c r="PQ338" s="978"/>
      <c r="PR338" s="978"/>
      <c r="PS338" s="978"/>
      <c r="PT338" s="978"/>
      <c r="PU338" s="978"/>
      <c r="PV338" s="978"/>
      <c r="PW338" s="978"/>
      <c r="PX338" s="978"/>
      <c r="PY338" s="978"/>
      <c r="PZ338" s="978"/>
      <c r="QA338" s="978"/>
      <c r="QB338" s="978"/>
      <c r="QC338" s="978"/>
      <c r="QD338" s="978"/>
      <c r="QE338" s="978"/>
      <c r="QF338" s="978"/>
      <c r="QG338" s="978"/>
      <c r="QH338" s="978"/>
      <c r="QI338" s="978"/>
      <c r="QJ338" s="978"/>
      <c r="QK338" s="978"/>
      <c r="QL338" s="978"/>
      <c r="QM338" s="978"/>
      <c r="QN338" s="978"/>
      <c r="QO338" s="978"/>
      <c r="QP338" s="978"/>
      <c r="QQ338" s="978"/>
      <c r="QR338" s="978"/>
      <c r="QS338" s="978"/>
      <c r="QT338" s="978"/>
      <c r="QU338" s="978"/>
      <c r="QV338" s="978"/>
      <c r="QW338" s="978"/>
      <c r="QX338" s="978"/>
      <c r="QY338" s="978"/>
      <c r="QZ338" s="978"/>
      <c r="RA338" s="978"/>
      <c r="RB338" s="274"/>
      <c r="RC338" s="274"/>
    </row>
    <row r="339" spans="112:471" ht="17.25">
      <c r="DH339" s="274"/>
      <c r="DI339" s="274"/>
      <c r="DJ339" s="978"/>
      <c r="DK339" s="978"/>
      <c r="DL339" s="978"/>
      <c r="DM339" s="978"/>
      <c r="DN339" s="978"/>
      <c r="DO339" s="978"/>
      <c r="DP339" s="978"/>
      <c r="DQ339" s="978"/>
      <c r="DR339" s="978"/>
      <c r="DS339" s="978"/>
      <c r="DT339" s="978"/>
      <c r="DU339" s="978"/>
      <c r="DV339" s="978"/>
      <c r="DW339" s="978"/>
      <c r="DX339" s="978"/>
      <c r="DY339" s="978"/>
      <c r="DZ339" s="978"/>
      <c r="EA339" s="978"/>
      <c r="EB339" s="978"/>
      <c r="EC339" s="978"/>
      <c r="ED339" s="978"/>
      <c r="EE339" s="978"/>
      <c r="EF339" s="978"/>
      <c r="EG339" s="978"/>
      <c r="EH339" s="978"/>
      <c r="EI339" s="978"/>
      <c r="EJ339" s="978"/>
      <c r="EK339" s="978"/>
      <c r="EL339" s="978"/>
      <c r="EM339" s="978"/>
      <c r="EN339" s="978"/>
      <c r="EO339" s="978"/>
      <c r="EP339" s="978"/>
      <c r="EQ339" s="978"/>
      <c r="ER339" s="978"/>
      <c r="ES339" s="978"/>
      <c r="ET339" s="978"/>
      <c r="EU339" s="978"/>
      <c r="EV339" s="978"/>
      <c r="EW339" s="978"/>
      <c r="EX339" s="978"/>
      <c r="EY339" s="978"/>
      <c r="EZ339" s="978"/>
      <c r="FA339" s="978"/>
      <c r="FB339" s="978"/>
      <c r="FC339" s="978"/>
      <c r="FD339" s="978"/>
      <c r="FE339" s="978"/>
      <c r="FF339" s="978"/>
      <c r="FG339" s="978"/>
      <c r="FH339" s="978"/>
      <c r="FI339" s="978"/>
      <c r="FJ339" s="978"/>
      <c r="FK339" s="978"/>
      <c r="FL339" s="978"/>
      <c r="FM339" s="978"/>
      <c r="FN339" s="978"/>
      <c r="FO339" s="978"/>
      <c r="FP339" s="978"/>
      <c r="FQ339" s="978"/>
      <c r="FR339" s="978"/>
      <c r="FS339" s="978"/>
      <c r="FT339" s="978"/>
      <c r="FU339" s="978"/>
      <c r="FV339" s="978"/>
      <c r="FW339" s="978"/>
      <c r="FX339" s="978"/>
      <c r="FY339" s="978"/>
      <c r="FZ339" s="978"/>
      <c r="GA339" s="978"/>
      <c r="GB339" s="978"/>
      <c r="GC339" s="978"/>
      <c r="GD339" s="978"/>
      <c r="GE339" s="978"/>
      <c r="GF339" s="978"/>
      <c r="GG339" s="978"/>
      <c r="GH339" s="978"/>
      <c r="GI339" s="978"/>
      <c r="GJ339" s="978"/>
      <c r="GK339" s="978"/>
      <c r="GL339" s="978"/>
      <c r="GM339" s="978"/>
      <c r="GN339" s="978"/>
      <c r="GO339" s="978"/>
      <c r="GP339" s="978"/>
      <c r="GQ339" s="978"/>
      <c r="GR339" s="978"/>
      <c r="GS339" s="978"/>
      <c r="GT339" s="978"/>
      <c r="GU339" s="978"/>
      <c r="GV339" s="978"/>
      <c r="GW339" s="978"/>
      <c r="GX339" s="978"/>
      <c r="GY339" s="978"/>
      <c r="GZ339" s="978"/>
      <c r="HA339" s="978"/>
      <c r="HB339" s="978"/>
      <c r="HC339" s="978"/>
      <c r="HD339" s="978"/>
      <c r="HE339" s="978"/>
      <c r="HF339" s="978"/>
      <c r="HG339" s="978"/>
      <c r="HH339" s="978"/>
      <c r="HI339" s="978"/>
      <c r="HJ339" s="978"/>
      <c r="HK339" s="978"/>
      <c r="HL339" s="978"/>
      <c r="HM339" s="978"/>
      <c r="HN339" s="978"/>
      <c r="HO339" s="978"/>
      <c r="HP339" s="978"/>
      <c r="HQ339" s="978"/>
      <c r="HR339" s="978"/>
      <c r="HS339" s="978"/>
      <c r="HT339" s="978"/>
      <c r="HU339" s="978"/>
      <c r="HV339" s="978"/>
      <c r="HW339" s="978"/>
      <c r="HX339" s="978"/>
      <c r="HY339" s="978"/>
      <c r="HZ339" s="978"/>
      <c r="IA339" s="978"/>
      <c r="IB339" s="978"/>
      <c r="IC339" s="978"/>
      <c r="ID339" s="978"/>
      <c r="IE339" s="978"/>
      <c r="IF339" s="978"/>
      <c r="IG339" s="978"/>
      <c r="IH339" s="978"/>
      <c r="II339" s="978"/>
      <c r="IJ339" s="978"/>
      <c r="IK339" s="978"/>
      <c r="IL339" s="978"/>
      <c r="IM339" s="978"/>
      <c r="IN339" s="978"/>
      <c r="IO339" s="978"/>
      <c r="IP339" s="978"/>
      <c r="IQ339" s="978"/>
      <c r="IR339" s="978"/>
      <c r="IS339" s="978"/>
      <c r="IT339" s="978"/>
      <c r="IU339" s="978"/>
      <c r="IV339" s="978"/>
      <c r="IW339" s="978"/>
      <c r="IX339" s="978"/>
      <c r="IY339" s="978"/>
      <c r="IZ339" s="978"/>
      <c r="JA339" s="978"/>
      <c r="JB339" s="978"/>
      <c r="JC339" s="978"/>
      <c r="JD339" s="978"/>
      <c r="JE339" s="978"/>
      <c r="JF339" s="978"/>
      <c r="JG339" s="978"/>
      <c r="JH339" s="978"/>
      <c r="JI339" s="978"/>
      <c r="JJ339" s="978"/>
      <c r="JK339" s="978"/>
      <c r="JL339" s="978"/>
      <c r="JM339" s="978"/>
      <c r="JN339" s="978"/>
      <c r="JO339" s="978"/>
      <c r="JP339" s="978"/>
      <c r="JQ339" s="978"/>
      <c r="JR339" s="978"/>
      <c r="JS339" s="978"/>
      <c r="JT339" s="978"/>
      <c r="JU339" s="978"/>
      <c r="JV339" s="978"/>
      <c r="JW339" s="978"/>
      <c r="JX339" s="978"/>
      <c r="JY339" s="978"/>
      <c r="JZ339" s="978"/>
      <c r="KA339" s="978"/>
      <c r="KB339" s="978"/>
      <c r="KC339" s="978"/>
      <c r="KD339" s="978"/>
      <c r="KE339" s="978"/>
      <c r="KF339" s="978"/>
      <c r="KG339" s="978"/>
      <c r="KH339" s="978"/>
      <c r="KI339" s="978"/>
      <c r="KJ339" s="978"/>
      <c r="KK339" s="978"/>
      <c r="KL339" s="978"/>
      <c r="KM339" s="978"/>
      <c r="KN339" s="978"/>
      <c r="KO339" s="978"/>
      <c r="KP339" s="978"/>
      <c r="KQ339" s="978"/>
      <c r="KR339" s="978"/>
      <c r="KS339" s="978"/>
      <c r="KT339" s="978"/>
      <c r="KU339" s="978"/>
      <c r="KV339" s="978"/>
      <c r="KW339" s="978"/>
      <c r="KX339" s="978"/>
      <c r="KY339" s="978"/>
      <c r="KZ339" s="978"/>
      <c r="LA339" s="978"/>
      <c r="LB339" s="978"/>
      <c r="LC339" s="978"/>
      <c r="LD339" s="978"/>
      <c r="LE339" s="978"/>
      <c r="LF339" s="978"/>
      <c r="LG339" s="978"/>
      <c r="LH339" s="978"/>
      <c r="LI339" s="978"/>
      <c r="LJ339" s="978"/>
      <c r="LK339" s="978"/>
      <c r="LL339" s="978"/>
      <c r="LM339" s="978"/>
      <c r="LN339" s="978"/>
      <c r="LO339" s="978"/>
      <c r="LP339" s="978"/>
      <c r="LQ339" s="978"/>
      <c r="LR339" s="978"/>
      <c r="LS339" s="978"/>
      <c r="LT339" s="978"/>
      <c r="LU339" s="978"/>
      <c r="LV339" s="978"/>
      <c r="LW339" s="978"/>
      <c r="LX339" s="978"/>
      <c r="LY339" s="978"/>
      <c r="LZ339" s="978"/>
      <c r="MA339" s="978"/>
      <c r="MB339" s="978"/>
      <c r="MC339" s="978"/>
      <c r="MD339" s="978"/>
      <c r="ME339" s="978"/>
      <c r="MF339" s="978"/>
      <c r="MG339" s="978"/>
      <c r="MH339" s="978"/>
      <c r="MI339" s="978"/>
      <c r="MJ339" s="978"/>
      <c r="MK339" s="978"/>
      <c r="ML339" s="978"/>
      <c r="MM339" s="978"/>
      <c r="MN339" s="978"/>
      <c r="MO339" s="978"/>
      <c r="MP339" s="978"/>
      <c r="MQ339" s="978"/>
      <c r="MR339" s="978"/>
      <c r="MS339" s="978"/>
      <c r="MT339" s="978"/>
      <c r="MU339" s="978"/>
      <c r="MV339" s="978"/>
      <c r="MW339" s="978"/>
      <c r="MX339" s="978"/>
      <c r="MY339" s="978"/>
      <c r="MZ339" s="978"/>
      <c r="NA339" s="978"/>
      <c r="NB339" s="978"/>
      <c r="NC339" s="978"/>
      <c r="ND339" s="978"/>
      <c r="NE339" s="978"/>
      <c r="NF339" s="978"/>
      <c r="NG339" s="978"/>
      <c r="NH339" s="978"/>
      <c r="NI339" s="978"/>
      <c r="NJ339" s="978"/>
      <c r="NK339" s="978"/>
      <c r="NL339" s="978"/>
      <c r="NM339" s="978"/>
      <c r="NN339" s="978"/>
      <c r="NO339" s="978"/>
      <c r="NP339" s="978"/>
      <c r="NQ339" s="978"/>
      <c r="NR339" s="978"/>
      <c r="NS339" s="978"/>
      <c r="NT339" s="978"/>
      <c r="NU339" s="978"/>
      <c r="NV339" s="978"/>
      <c r="NW339" s="978"/>
      <c r="NX339" s="978"/>
      <c r="NY339" s="978"/>
      <c r="NZ339" s="978"/>
      <c r="OA339" s="978"/>
      <c r="OB339" s="978"/>
      <c r="OC339" s="978"/>
      <c r="OD339" s="978"/>
      <c r="OE339" s="978"/>
      <c r="OF339" s="978"/>
      <c r="OG339" s="978"/>
      <c r="OH339" s="978"/>
      <c r="OI339" s="978"/>
      <c r="OJ339" s="978"/>
      <c r="OK339" s="978"/>
      <c r="OL339" s="978"/>
      <c r="OM339" s="978"/>
      <c r="ON339" s="978"/>
      <c r="OO339" s="978"/>
      <c r="OP339" s="978"/>
      <c r="OQ339" s="978"/>
      <c r="OR339" s="978"/>
      <c r="OS339" s="978"/>
      <c r="OT339" s="978"/>
      <c r="OU339" s="978"/>
      <c r="OV339" s="978"/>
      <c r="OW339" s="978"/>
      <c r="OX339" s="978"/>
      <c r="OY339" s="978"/>
      <c r="OZ339" s="978"/>
      <c r="PA339" s="978"/>
      <c r="PB339" s="978"/>
      <c r="PC339" s="978"/>
      <c r="PD339" s="978"/>
      <c r="PE339" s="978"/>
      <c r="PF339" s="978"/>
      <c r="PG339" s="978"/>
      <c r="PH339" s="978"/>
      <c r="PI339" s="978"/>
      <c r="PJ339" s="978"/>
      <c r="PK339" s="978"/>
      <c r="PL339" s="978"/>
      <c r="PM339" s="978"/>
      <c r="PN339" s="978"/>
      <c r="PO339" s="978"/>
      <c r="PP339" s="978"/>
      <c r="PQ339" s="978"/>
      <c r="PR339" s="978"/>
      <c r="PS339" s="978"/>
      <c r="PT339" s="978"/>
      <c r="PU339" s="978"/>
      <c r="PV339" s="978"/>
      <c r="PW339" s="978"/>
      <c r="PX339" s="978"/>
      <c r="PY339" s="978"/>
      <c r="PZ339" s="978"/>
      <c r="QA339" s="978"/>
      <c r="QB339" s="978"/>
      <c r="QC339" s="978"/>
      <c r="QD339" s="978"/>
      <c r="QE339" s="978"/>
      <c r="QF339" s="978"/>
      <c r="QG339" s="978"/>
      <c r="QH339" s="978"/>
      <c r="QI339" s="978"/>
      <c r="QJ339" s="978"/>
      <c r="QK339" s="978"/>
      <c r="QL339" s="978"/>
      <c r="QM339" s="978"/>
      <c r="QN339" s="978"/>
      <c r="QO339" s="978"/>
      <c r="QP339" s="978"/>
      <c r="QQ339" s="978"/>
      <c r="QR339" s="978"/>
      <c r="QS339" s="978"/>
      <c r="QT339" s="978"/>
      <c r="QU339" s="978"/>
      <c r="QV339" s="978"/>
      <c r="QW339" s="978"/>
      <c r="QX339" s="978"/>
      <c r="QY339" s="978"/>
      <c r="QZ339" s="978"/>
      <c r="RA339" s="978"/>
      <c r="RB339" s="274"/>
      <c r="RC339" s="274"/>
    </row>
    <row r="340" spans="112:471">
      <c r="DH340" s="274"/>
      <c r="DI340" s="274"/>
      <c r="DJ340" s="274"/>
      <c r="DK340" s="274"/>
      <c r="DL340" s="274"/>
      <c r="DM340" s="274"/>
      <c r="DN340" s="274"/>
      <c r="DO340" s="274"/>
      <c r="DP340" s="274"/>
      <c r="DQ340" s="274"/>
      <c r="DR340" s="274"/>
      <c r="DS340" s="274"/>
      <c r="DT340" s="274"/>
      <c r="DU340" s="274"/>
      <c r="DV340" s="274"/>
      <c r="DW340" s="274"/>
      <c r="DX340" s="274"/>
      <c r="DY340" s="274"/>
      <c r="DZ340" s="274"/>
      <c r="EA340" s="274"/>
      <c r="EB340" s="274"/>
      <c r="EC340" s="274"/>
      <c r="ED340" s="274"/>
      <c r="EE340" s="274"/>
      <c r="EF340" s="274"/>
      <c r="EG340" s="274"/>
      <c r="EH340" s="274"/>
      <c r="EI340" s="274"/>
      <c r="EJ340" s="274"/>
      <c r="EK340" s="274"/>
      <c r="EL340" s="274"/>
      <c r="EM340" s="274"/>
      <c r="EN340" s="274"/>
      <c r="EO340" s="274"/>
      <c r="EP340" s="274"/>
      <c r="EQ340" s="274"/>
      <c r="ER340" s="274"/>
      <c r="ES340" s="274"/>
      <c r="ET340" s="274"/>
      <c r="EU340" s="274"/>
      <c r="EV340" s="274"/>
      <c r="EW340" s="274"/>
      <c r="EX340" s="274"/>
      <c r="EY340" s="274"/>
      <c r="EZ340" s="274"/>
      <c r="FA340" s="274"/>
      <c r="FB340" s="274"/>
      <c r="FC340" s="274"/>
      <c r="FD340" s="274"/>
      <c r="FE340" s="274"/>
      <c r="FF340" s="274"/>
      <c r="FG340" s="274"/>
      <c r="FH340" s="274"/>
      <c r="FI340" s="274"/>
      <c r="FJ340" s="274"/>
      <c r="FK340" s="274"/>
      <c r="FL340" s="274"/>
      <c r="FM340" s="274"/>
      <c r="FN340" s="274"/>
      <c r="FO340" s="274"/>
      <c r="FP340" s="274"/>
      <c r="FQ340" s="274"/>
      <c r="FR340" s="274"/>
      <c r="FS340" s="274"/>
      <c r="FT340" s="274"/>
      <c r="FU340" s="274"/>
      <c r="FV340" s="274"/>
      <c r="FW340" s="274"/>
      <c r="FX340" s="274"/>
      <c r="FY340" s="274"/>
      <c r="FZ340" s="274"/>
      <c r="GA340" s="274"/>
      <c r="GB340" s="274"/>
      <c r="GC340" s="274"/>
      <c r="GD340" s="274"/>
      <c r="GE340" s="274"/>
      <c r="GF340" s="274"/>
      <c r="GG340" s="274"/>
      <c r="GH340" s="274"/>
      <c r="GI340" s="274"/>
      <c r="GJ340" s="274"/>
      <c r="GK340" s="274"/>
      <c r="GL340" s="274"/>
      <c r="GM340" s="274"/>
      <c r="GN340" s="274"/>
      <c r="GO340" s="274"/>
      <c r="GP340" s="274"/>
      <c r="GQ340" s="274"/>
      <c r="GR340" s="274"/>
      <c r="GS340" s="274"/>
      <c r="GT340" s="274"/>
      <c r="GU340" s="274"/>
      <c r="GV340" s="274"/>
      <c r="GW340" s="274"/>
      <c r="GX340" s="274"/>
      <c r="GY340" s="274"/>
      <c r="GZ340" s="274"/>
      <c r="HA340" s="274"/>
      <c r="HB340" s="274"/>
      <c r="HC340" s="274"/>
      <c r="HD340" s="274"/>
      <c r="HE340" s="274"/>
      <c r="HF340" s="274"/>
      <c r="HG340" s="274"/>
      <c r="HH340" s="274"/>
      <c r="HI340" s="274"/>
      <c r="HJ340" s="274"/>
      <c r="HK340" s="274"/>
      <c r="HL340" s="274"/>
      <c r="HM340" s="274"/>
      <c r="HN340" s="274"/>
      <c r="HO340" s="274"/>
      <c r="HP340" s="274"/>
      <c r="HQ340" s="274"/>
      <c r="HR340" s="274"/>
      <c r="HS340" s="274"/>
      <c r="HT340" s="274"/>
      <c r="HU340" s="274"/>
      <c r="HV340" s="274"/>
      <c r="HW340" s="274"/>
      <c r="HX340" s="274"/>
      <c r="HY340" s="274"/>
      <c r="HZ340" s="274"/>
      <c r="IA340" s="274"/>
      <c r="IB340" s="274"/>
      <c r="IC340" s="274"/>
      <c r="ID340" s="274"/>
      <c r="IE340" s="274"/>
      <c r="IF340" s="274"/>
      <c r="IG340" s="274"/>
      <c r="IH340" s="274"/>
      <c r="II340" s="274"/>
      <c r="IJ340" s="274"/>
      <c r="IK340" s="274"/>
      <c r="IL340" s="274"/>
      <c r="IM340" s="274"/>
      <c r="IN340" s="274"/>
      <c r="IO340" s="274"/>
      <c r="IP340" s="274"/>
      <c r="IQ340" s="274"/>
      <c r="IR340" s="274"/>
      <c r="IS340" s="274"/>
      <c r="IT340" s="274"/>
      <c r="IU340" s="274"/>
      <c r="IV340" s="274"/>
      <c r="IW340" s="274"/>
      <c r="IX340" s="274"/>
      <c r="IY340" s="274"/>
      <c r="IZ340" s="274"/>
      <c r="JA340" s="274"/>
      <c r="JB340" s="274"/>
      <c r="JC340" s="274"/>
      <c r="JD340" s="274"/>
      <c r="JE340" s="274"/>
      <c r="JF340" s="274"/>
      <c r="JG340" s="274"/>
      <c r="JH340" s="274"/>
      <c r="JI340" s="274"/>
      <c r="JJ340" s="274"/>
      <c r="JK340" s="274"/>
      <c r="JL340" s="274"/>
      <c r="JM340" s="274"/>
      <c r="JN340" s="274"/>
      <c r="JO340" s="274"/>
      <c r="JP340" s="274"/>
      <c r="JQ340" s="274"/>
      <c r="JR340" s="274"/>
      <c r="JS340" s="274"/>
      <c r="JT340" s="274"/>
      <c r="JU340" s="274"/>
      <c r="JV340" s="274"/>
      <c r="JW340" s="274"/>
      <c r="JX340" s="274"/>
      <c r="JY340" s="274"/>
      <c r="JZ340" s="274"/>
      <c r="KA340" s="274"/>
      <c r="KB340" s="274"/>
      <c r="KC340" s="274"/>
      <c r="KD340" s="274"/>
      <c r="KE340" s="274"/>
      <c r="KF340" s="274"/>
      <c r="KG340" s="274"/>
      <c r="KH340" s="274"/>
      <c r="KI340" s="274"/>
      <c r="KJ340" s="274"/>
      <c r="KK340" s="274"/>
      <c r="KL340" s="274"/>
      <c r="KM340" s="274"/>
      <c r="KN340" s="274"/>
      <c r="KO340" s="274"/>
      <c r="KP340" s="274"/>
      <c r="KQ340" s="274"/>
      <c r="KR340" s="274"/>
      <c r="KS340" s="274"/>
      <c r="KT340" s="274"/>
      <c r="KU340" s="274"/>
      <c r="KV340" s="274"/>
      <c r="KW340" s="274"/>
      <c r="KX340" s="274"/>
      <c r="KY340" s="274"/>
      <c r="KZ340" s="274"/>
      <c r="LA340" s="274"/>
      <c r="LB340" s="274"/>
      <c r="LC340" s="274"/>
      <c r="LD340" s="274"/>
      <c r="LE340" s="274"/>
      <c r="LF340" s="274"/>
      <c r="LG340" s="274"/>
      <c r="LH340" s="274"/>
      <c r="LI340" s="274"/>
      <c r="LJ340" s="274"/>
      <c r="LK340" s="274"/>
      <c r="LL340" s="274"/>
      <c r="LM340" s="274"/>
      <c r="LN340" s="274"/>
      <c r="LO340" s="274"/>
      <c r="LP340" s="274"/>
      <c r="LQ340" s="274"/>
      <c r="LR340" s="274"/>
      <c r="LS340" s="274"/>
      <c r="LT340" s="274"/>
      <c r="LU340" s="274"/>
      <c r="LV340" s="274"/>
      <c r="LW340" s="274"/>
      <c r="LX340" s="274"/>
      <c r="LY340" s="274"/>
      <c r="LZ340" s="274"/>
      <c r="MA340" s="274"/>
      <c r="MB340" s="274"/>
      <c r="MC340" s="274"/>
      <c r="MD340" s="274"/>
      <c r="ME340" s="274"/>
      <c r="MF340" s="274"/>
      <c r="MG340" s="274"/>
      <c r="MH340" s="274"/>
      <c r="MI340" s="274"/>
      <c r="MJ340" s="274"/>
      <c r="MK340" s="274"/>
      <c r="ML340" s="274"/>
      <c r="MM340" s="274"/>
      <c r="MN340" s="274"/>
      <c r="MO340" s="274"/>
      <c r="MP340" s="274"/>
      <c r="MQ340" s="274"/>
      <c r="MR340" s="274"/>
      <c r="MS340" s="274"/>
      <c r="MT340" s="274"/>
      <c r="MU340" s="274"/>
      <c r="MV340" s="274"/>
      <c r="MW340" s="274"/>
      <c r="MX340" s="274"/>
      <c r="MY340" s="274"/>
      <c r="MZ340" s="274"/>
      <c r="NA340" s="274"/>
      <c r="NB340" s="274"/>
      <c r="NC340" s="274"/>
      <c r="ND340" s="274"/>
      <c r="NE340" s="274"/>
      <c r="NF340" s="274"/>
      <c r="NG340" s="274"/>
      <c r="NH340" s="274"/>
      <c r="NI340" s="274"/>
      <c r="NJ340" s="274"/>
      <c r="NK340" s="274"/>
      <c r="NL340" s="274"/>
      <c r="NM340" s="274"/>
      <c r="NN340" s="274"/>
      <c r="NO340" s="274"/>
      <c r="NP340" s="274"/>
      <c r="NQ340" s="274"/>
      <c r="NR340" s="274"/>
      <c r="NS340" s="274"/>
      <c r="NT340" s="274"/>
      <c r="NU340" s="274"/>
      <c r="NV340" s="274"/>
      <c r="NW340" s="274"/>
      <c r="NX340" s="274"/>
      <c r="NY340" s="274"/>
      <c r="NZ340" s="274"/>
      <c r="OA340" s="274"/>
      <c r="OB340" s="274"/>
      <c r="OC340" s="274"/>
      <c r="OD340" s="274"/>
      <c r="OE340" s="274"/>
      <c r="OF340" s="274"/>
      <c r="OG340" s="274"/>
      <c r="OH340" s="274"/>
      <c r="OI340" s="274"/>
      <c r="OJ340" s="274"/>
      <c r="OK340" s="274"/>
      <c r="OL340" s="274"/>
      <c r="OM340" s="274"/>
      <c r="ON340" s="274"/>
      <c r="OO340" s="274"/>
      <c r="OP340" s="274"/>
      <c r="OQ340" s="274"/>
      <c r="OR340" s="274"/>
      <c r="OS340" s="274"/>
      <c r="OT340" s="274"/>
      <c r="OU340" s="274"/>
      <c r="OV340" s="274"/>
      <c r="OW340" s="274"/>
      <c r="OX340" s="274"/>
      <c r="OY340" s="274"/>
      <c r="OZ340" s="274"/>
      <c r="PA340" s="274"/>
      <c r="PB340" s="274"/>
      <c r="PC340" s="274"/>
      <c r="PD340" s="274"/>
      <c r="PE340" s="274"/>
      <c r="PF340" s="274"/>
      <c r="PG340" s="274"/>
      <c r="PH340" s="274"/>
      <c r="PI340" s="274"/>
      <c r="PJ340" s="274"/>
      <c r="PK340" s="274"/>
      <c r="PL340" s="274"/>
      <c r="PM340" s="274"/>
      <c r="PN340" s="274"/>
      <c r="PO340" s="274"/>
      <c r="PP340" s="274"/>
      <c r="PQ340" s="274"/>
      <c r="PR340" s="274"/>
      <c r="PS340" s="274"/>
      <c r="PT340" s="274"/>
      <c r="PU340" s="274"/>
      <c r="PV340" s="274"/>
      <c r="PW340" s="274"/>
      <c r="PX340" s="274"/>
      <c r="PY340" s="274"/>
      <c r="PZ340" s="274"/>
      <c r="QA340" s="274"/>
      <c r="QB340" s="274"/>
      <c r="QC340" s="274"/>
      <c r="QD340" s="274"/>
      <c r="QE340" s="274"/>
      <c r="QF340" s="274"/>
      <c r="QG340" s="274"/>
      <c r="QH340" s="274"/>
      <c r="QI340" s="274"/>
      <c r="QJ340" s="274"/>
      <c r="QK340" s="274"/>
      <c r="QL340" s="274"/>
      <c r="QM340" s="274"/>
      <c r="QN340" s="274"/>
      <c r="QO340" s="274"/>
      <c r="QP340" s="274"/>
      <c r="QQ340" s="274"/>
      <c r="QR340" s="274"/>
      <c r="QS340" s="274"/>
      <c r="QT340" s="274"/>
      <c r="QU340" s="274"/>
      <c r="QV340" s="274"/>
      <c r="QW340" s="274"/>
      <c r="QX340" s="274"/>
      <c r="QY340" s="274"/>
      <c r="QZ340" s="274"/>
      <c r="RA340" s="274"/>
      <c r="RB340" s="274"/>
      <c r="RC340" s="274"/>
    </row>
    <row r="341" spans="112:471">
      <c r="DH341" s="274"/>
      <c r="DI341" s="274"/>
      <c r="DJ341" s="274"/>
      <c r="DK341" s="274"/>
      <c r="DL341" s="274"/>
      <c r="DM341" s="274"/>
      <c r="DN341" s="274"/>
      <c r="DO341" s="274"/>
      <c r="DP341" s="274"/>
      <c r="DQ341" s="274"/>
      <c r="DR341" s="274"/>
      <c r="DS341" s="274"/>
      <c r="DT341" s="274"/>
      <c r="DU341" s="274"/>
      <c r="DV341" s="274"/>
      <c r="DW341" s="274"/>
      <c r="DX341" s="274"/>
      <c r="DY341" s="274"/>
      <c r="DZ341" s="274"/>
      <c r="EA341" s="274"/>
      <c r="EB341" s="274"/>
      <c r="EC341" s="274"/>
      <c r="ED341" s="274"/>
      <c r="EE341" s="274"/>
      <c r="EF341" s="274"/>
      <c r="EG341" s="274"/>
      <c r="EH341" s="274"/>
      <c r="EI341" s="274"/>
      <c r="EJ341" s="274"/>
      <c r="EK341" s="274"/>
      <c r="EL341" s="274"/>
      <c r="EM341" s="274"/>
      <c r="EN341" s="274"/>
      <c r="EO341" s="274"/>
      <c r="EP341" s="274"/>
      <c r="EQ341" s="274"/>
      <c r="ER341" s="274"/>
      <c r="ES341" s="274"/>
      <c r="ET341" s="274"/>
      <c r="EU341" s="274"/>
      <c r="EV341" s="274"/>
      <c r="EW341" s="274"/>
      <c r="EX341" s="274"/>
      <c r="EY341" s="274"/>
      <c r="EZ341" s="274"/>
      <c r="FA341" s="274"/>
      <c r="FB341" s="274"/>
      <c r="FC341" s="274"/>
      <c r="FD341" s="274"/>
      <c r="FE341" s="274"/>
      <c r="FF341" s="274"/>
      <c r="FG341" s="274"/>
      <c r="FH341" s="274"/>
      <c r="FI341" s="274"/>
      <c r="FJ341" s="274"/>
      <c r="FK341" s="274"/>
      <c r="FL341" s="274"/>
      <c r="FM341" s="274"/>
      <c r="FN341" s="274"/>
      <c r="FO341" s="274"/>
      <c r="FP341" s="274"/>
      <c r="FQ341" s="274"/>
      <c r="FR341" s="274"/>
      <c r="FS341" s="274"/>
      <c r="FT341" s="274"/>
      <c r="FU341" s="274"/>
      <c r="FV341" s="274"/>
      <c r="FW341" s="274"/>
      <c r="FX341" s="274"/>
      <c r="FY341" s="274"/>
      <c r="FZ341" s="274"/>
      <c r="GA341" s="274"/>
      <c r="GB341" s="274"/>
      <c r="GC341" s="274"/>
      <c r="GD341" s="274"/>
      <c r="GE341" s="274"/>
      <c r="GF341" s="274"/>
      <c r="GG341" s="274"/>
      <c r="GH341" s="274"/>
      <c r="GI341" s="274"/>
      <c r="GJ341" s="274"/>
      <c r="GK341" s="274"/>
      <c r="GL341" s="274"/>
      <c r="GM341" s="274"/>
      <c r="GN341" s="274"/>
      <c r="GO341" s="274"/>
      <c r="GP341" s="274"/>
      <c r="GQ341" s="274"/>
      <c r="GR341" s="274"/>
      <c r="GS341" s="274"/>
      <c r="GT341" s="274"/>
      <c r="GU341" s="274"/>
      <c r="GV341" s="274"/>
      <c r="GW341" s="274"/>
      <c r="GX341" s="274"/>
      <c r="GY341" s="274"/>
      <c r="GZ341" s="274"/>
      <c r="HA341" s="274"/>
      <c r="HB341" s="274"/>
      <c r="HC341" s="274"/>
      <c r="HD341" s="274"/>
      <c r="HE341" s="274"/>
      <c r="HF341" s="274"/>
      <c r="HG341" s="274"/>
      <c r="HH341" s="274"/>
      <c r="HI341" s="274"/>
      <c r="HJ341" s="274"/>
      <c r="HK341" s="274"/>
      <c r="HL341" s="274"/>
      <c r="HM341" s="274"/>
      <c r="HN341" s="274"/>
      <c r="HO341" s="274"/>
      <c r="HP341" s="274"/>
      <c r="HQ341" s="274"/>
      <c r="HR341" s="274"/>
      <c r="HS341" s="274"/>
      <c r="HT341" s="274"/>
      <c r="HU341" s="274"/>
      <c r="HV341" s="274"/>
      <c r="HW341" s="274"/>
      <c r="HX341" s="274"/>
      <c r="HY341" s="274"/>
      <c r="HZ341" s="274"/>
      <c r="IA341" s="274"/>
      <c r="IB341" s="274"/>
      <c r="IC341" s="274"/>
      <c r="ID341" s="274"/>
      <c r="IE341" s="274"/>
      <c r="IF341" s="274"/>
      <c r="IG341" s="274"/>
      <c r="IH341" s="274"/>
      <c r="II341" s="274"/>
      <c r="IJ341" s="274"/>
      <c r="IK341" s="274"/>
      <c r="IL341" s="274"/>
      <c r="IM341" s="274"/>
      <c r="IN341" s="274"/>
      <c r="IO341" s="274"/>
      <c r="IP341" s="274"/>
      <c r="IQ341" s="274"/>
      <c r="IR341" s="274"/>
      <c r="IS341" s="274"/>
      <c r="IT341" s="274"/>
      <c r="IU341" s="274"/>
      <c r="IV341" s="274"/>
      <c r="IW341" s="274"/>
      <c r="IX341" s="274"/>
      <c r="IY341" s="274"/>
      <c r="IZ341" s="274"/>
      <c r="JA341" s="274"/>
      <c r="JB341" s="274"/>
      <c r="JC341" s="274"/>
      <c r="JD341" s="274"/>
      <c r="JE341" s="274"/>
      <c r="JF341" s="274"/>
      <c r="JG341" s="274"/>
      <c r="JH341" s="274"/>
      <c r="JI341" s="274"/>
      <c r="JJ341" s="274"/>
      <c r="JK341" s="274"/>
      <c r="JL341" s="274"/>
      <c r="JM341" s="274"/>
      <c r="JN341" s="274"/>
      <c r="JO341" s="274"/>
      <c r="JP341" s="274"/>
      <c r="JQ341" s="274"/>
      <c r="JR341" s="274"/>
      <c r="JS341" s="274"/>
      <c r="JT341" s="274"/>
      <c r="JU341" s="274"/>
      <c r="JV341" s="274"/>
      <c r="JW341" s="274"/>
      <c r="JX341" s="274"/>
      <c r="JY341" s="274"/>
      <c r="JZ341" s="274"/>
      <c r="KA341" s="274"/>
      <c r="KB341" s="274"/>
      <c r="KC341" s="274"/>
      <c r="KD341" s="274"/>
      <c r="KE341" s="274"/>
      <c r="KF341" s="274"/>
      <c r="KG341" s="274"/>
      <c r="KH341" s="274"/>
      <c r="KI341" s="274"/>
      <c r="KJ341" s="274"/>
      <c r="KK341" s="274"/>
      <c r="KL341" s="274"/>
      <c r="KM341" s="274"/>
      <c r="KN341" s="274"/>
      <c r="KO341" s="274"/>
      <c r="KP341" s="274"/>
      <c r="KQ341" s="274"/>
      <c r="KR341" s="274"/>
      <c r="KS341" s="274"/>
      <c r="KT341" s="274"/>
      <c r="KU341" s="274"/>
      <c r="KV341" s="274"/>
      <c r="KW341" s="274"/>
      <c r="KX341" s="274"/>
      <c r="KY341" s="274"/>
      <c r="KZ341" s="274"/>
      <c r="LA341" s="274"/>
      <c r="LB341" s="274"/>
      <c r="LC341" s="274"/>
      <c r="LD341" s="274"/>
      <c r="LE341" s="274"/>
      <c r="LF341" s="274"/>
      <c r="LG341" s="274"/>
      <c r="LH341" s="274"/>
      <c r="LI341" s="274"/>
      <c r="LJ341" s="274"/>
      <c r="LK341" s="274"/>
      <c r="LL341" s="274"/>
      <c r="LM341" s="274"/>
      <c r="LN341" s="274"/>
      <c r="LO341" s="274"/>
      <c r="LP341" s="274"/>
      <c r="LQ341" s="274"/>
      <c r="LR341" s="274"/>
      <c r="LS341" s="274"/>
      <c r="LT341" s="274"/>
      <c r="LU341" s="274"/>
      <c r="LV341" s="274"/>
      <c r="LW341" s="274"/>
      <c r="LX341" s="274"/>
      <c r="LY341" s="274"/>
      <c r="LZ341" s="274"/>
      <c r="MA341" s="274"/>
      <c r="MB341" s="274"/>
      <c r="MC341" s="274"/>
      <c r="MD341" s="274"/>
      <c r="ME341" s="274"/>
      <c r="MF341" s="274"/>
      <c r="MG341" s="274"/>
      <c r="MH341" s="274"/>
      <c r="MI341" s="274"/>
      <c r="MJ341" s="274"/>
      <c r="MK341" s="274"/>
      <c r="ML341" s="274"/>
      <c r="MM341" s="274"/>
      <c r="MN341" s="274"/>
      <c r="MO341" s="274"/>
      <c r="MP341" s="274"/>
      <c r="MQ341" s="274"/>
      <c r="MR341" s="274"/>
      <c r="MS341" s="274"/>
      <c r="MT341" s="274"/>
      <c r="MU341" s="274"/>
      <c r="MV341" s="274"/>
      <c r="MW341" s="274"/>
      <c r="MX341" s="274"/>
      <c r="MY341" s="274"/>
      <c r="MZ341" s="274"/>
      <c r="NA341" s="274"/>
      <c r="NB341" s="274"/>
      <c r="NC341" s="274"/>
      <c r="ND341" s="274"/>
      <c r="NE341" s="274"/>
      <c r="NF341" s="274"/>
      <c r="NG341" s="274"/>
      <c r="NH341" s="274"/>
      <c r="NI341" s="274"/>
      <c r="NJ341" s="274"/>
      <c r="NK341" s="274"/>
      <c r="NL341" s="274"/>
      <c r="NM341" s="274"/>
      <c r="NN341" s="274"/>
      <c r="NO341" s="274"/>
      <c r="NP341" s="274"/>
      <c r="NQ341" s="274"/>
      <c r="NR341" s="274"/>
      <c r="NS341" s="274"/>
      <c r="NT341" s="274"/>
      <c r="NU341" s="274"/>
      <c r="NV341" s="274"/>
      <c r="NW341" s="274"/>
      <c r="NX341" s="274"/>
      <c r="NY341" s="274"/>
      <c r="NZ341" s="274"/>
      <c r="OA341" s="274"/>
      <c r="OB341" s="274"/>
      <c r="OC341" s="274"/>
      <c r="OD341" s="274"/>
      <c r="OE341" s="274"/>
      <c r="OF341" s="274"/>
      <c r="OG341" s="274"/>
      <c r="OH341" s="274"/>
      <c r="OI341" s="274"/>
      <c r="OJ341" s="274"/>
      <c r="OK341" s="274"/>
      <c r="OL341" s="274"/>
      <c r="OM341" s="274"/>
      <c r="ON341" s="274"/>
      <c r="OO341" s="274"/>
      <c r="OP341" s="274"/>
      <c r="OQ341" s="274"/>
      <c r="OR341" s="274"/>
      <c r="OS341" s="274"/>
      <c r="OT341" s="274"/>
      <c r="OU341" s="274"/>
      <c r="OV341" s="274"/>
      <c r="OW341" s="274"/>
      <c r="OX341" s="274"/>
      <c r="OY341" s="274"/>
      <c r="OZ341" s="274"/>
      <c r="PA341" s="274"/>
      <c r="PB341" s="274"/>
      <c r="PC341" s="274"/>
      <c r="PD341" s="274"/>
      <c r="PE341" s="274"/>
      <c r="PF341" s="274"/>
      <c r="PG341" s="274"/>
      <c r="PH341" s="274"/>
      <c r="PI341" s="274"/>
      <c r="PJ341" s="274"/>
      <c r="PK341" s="274"/>
      <c r="PL341" s="274"/>
      <c r="PM341" s="274"/>
      <c r="PN341" s="274"/>
      <c r="PO341" s="274"/>
      <c r="PP341" s="274"/>
      <c r="PQ341" s="274"/>
      <c r="PR341" s="274"/>
      <c r="PS341" s="274"/>
      <c r="PT341" s="274"/>
      <c r="PU341" s="274"/>
      <c r="PV341" s="274"/>
      <c r="PW341" s="274"/>
      <c r="PX341" s="274"/>
      <c r="PY341" s="274"/>
      <c r="PZ341" s="274"/>
      <c r="QA341" s="274"/>
      <c r="QB341" s="274"/>
      <c r="QC341" s="274"/>
      <c r="QD341" s="274"/>
      <c r="QE341" s="274"/>
      <c r="QF341" s="274"/>
      <c r="QG341" s="274"/>
      <c r="QH341" s="274"/>
      <c r="QI341" s="274"/>
      <c r="QJ341" s="274"/>
      <c r="QK341" s="274"/>
      <c r="QL341" s="274"/>
      <c r="QM341" s="274"/>
      <c r="QN341" s="274"/>
      <c r="QO341" s="274"/>
      <c r="QP341" s="274"/>
      <c r="QQ341" s="274"/>
      <c r="QR341" s="274"/>
      <c r="QS341" s="274"/>
      <c r="QT341" s="274"/>
      <c r="QU341" s="274"/>
      <c r="QV341" s="274"/>
      <c r="QW341" s="274"/>
      <c r="QX341" s="274"/>
      <c r="QY341" s="274"/>
      <c r="QZ341" s="274"/>
      <c r="RA341" s="274"/>
      <c r="RB341" s="274"/>
      <c r="RC341" s="274"/>
    </row>
    <row r="342" spans="112:471" ht="17.25">
      <c r="DH342" s="274"/>
      <c r="DI342" s="274"/>
      <c r="DJ342" s="978"/>
      <c r="DK342" s="274"/>
      <c r="DL342" s="274"/>
      <c r="DM342" s="274"/>
      <c r="DN342" s="274"/>
      <c r="DO342" s="274"/>
      <c r="DP342" s="274"/>
      <c r="DQ342" s="274"/>
      <c r="DR342" s="274"/>
      <c r="DS342" s="274"/>
      <c r="DT342" s="274"/>
      <c r="DU342" s="274"/>
      <c r="DV342" s="274"/>
      <c r="DW342" s="274"/>
      <c r="DX342" s="274"/>
      <c r="DY342" s="274"/>
      <c r="DZ342" s="274"/>
      <c r="EA342" s="274"/>
      <c r="EB342" s="274"/>
      <c r="EC342" s="274"/>
      <c r="ED342" s="274"/>
      <c r="EE342" s="274"/>
      <c r="EF342" s="274"/>
      <c r="EG342" s="274"/>
      <c r="EH342" s="274"/>
      <c r="EI342" s="274"/>
      <c r="EJ342" s="274"/>
      <c r="EK342" s="274"/>
      <c r="EL342" s="274"/>
      <c r="EM342" s="274"/>
      <c r="EN342" s="274"/>
      <c r="EO342" s="274"/>
      <c r="EP342" s="274"/>
      <c r="EQ342" s="274"/>
      <c r="ER342" s="274"/>
      <c r="ES342" s="274"/>
      <c r="ET342" s="274"/>
      <c r="EU342" s="274"/>
      <c r="EV342" s="274"/>
      <c r="EW342" s="274"/>
      <c r="EX342" s="274"/>
      <c r="EY342" s="274"/>
      <c r="EZ342" s="274"/>
      <c r="FA342" s="274"/>
      <c r="FB342" s="274"/>
      <c r="FC342" s="274"/>
      <c r="FD342" s="274"/>
      <c r="FE342" s="274"/>
      <c r="FF342" s="274"/>
      <c r="FG342" s="274"/>
      <c r="FH342" s="274"/>
      <c r="FI342" s="274"/>
      <c r="FJ342" s="274"/>
      <c r="FK342" s="274"/>
      <c r="FL342" s="274"/>
      <c r="FM342" s="274"/>
      <c r="FN342" s="274"/>
      <c r="FO342" s="274"/>
      <c r="FP342" s="274"/>
      <c r="FQ342" s="274"/>
      <c r="FR342" s="274"/>
      <c r="FS342" s="274"/>
      <c r="FT342" s="274"/>
      <c r="FU342" s="274"/>
      <c r="FV342" s="274"/>
      <c r="FW342" s="274"/>
      <c r="FX342" s="274"/>
      <c r="FY342" s="274"/>
      <c r="FZ342" s="274"/>
      <c r="GA342" s="274"/>
      <c r="GB342" s="274"/>
      <c r="GC342" s="274"/>
      <c r="GD342" s="274"/>
      <c r="GE342" s="274"/>
      <c r="GF342" s="274"/>
      <c r="GG342" s="274"/>
      <c r="GH342" s="274"/>
      <c r="GI342" s="274"/>
      <c r="GJ342" s="274"/>
      <c r="GK342" s="274"/>
      <c r="GL342" s="274"/>
      <c r="GM342" s="274"/>
      <c r="GN342" s="274"/>
      <c r="GO342" s="274"/>
      <c r="GP342" s="274"/>
      <c r="GQ342" s="274"/>
      <c r="GR342" s="274"/>
      <c r="GS342" s="274"/>
      <c r="GT342" s="274"/>
      <c r="GU342" s="274"/>
      <c r="GV342" s="274"/>
      <c r="GW342" s="274"/>
      <c r="GX342" s="274"/>
      <c r="GY342" s="274"/>
      <c r="GZ342" s="274"/>
      <c r="HA342" s="274"/>
      <c r="HB342" s="274"/>
      <c r="HC342" s="274"/>
      <c r="HD342" s="274"/>
      <c r="HE342" s="274"/>
      <c r="HF342" s="274"/>
      <c r="HG342" s="274"/>
      <c r="HH342" s="274"/>
      <c r="HI342" s="274"/>
      <c r="HJ342" s="274"/>
      <c r="HK342" s="274"/>
      <c r="HL342" s="274"/>
      <c r="HM342" s="274"/>
      <c r="HN342" s="274"/>
      <c r="HO342" s="274"/>
      <c r="HP342" s="274"/>
      <c r="HQ342" s="274"/>
      <c r="HR342" s="274"/>
      <c r="HS342" s="274"/>
      <c r="HT342" s="274"/>
      <c r="HU342" s="274"/>
      <c r="HV342" s="274"/>
      <c r="HW342" s="274"/>
      <c r="HX342" s="274"/>
      <c r="HY342" s="274"/>
      <c r="HZ342" s="274"/>
      <c r="IA342" s="274"/>
      <c r="IB342" s="274"/>
      <c r="IC342" s="274"/>
      <c r="ID342" s="274"/>
      <c r="IE342" s="274"/>
      <c r="IF342" s="274"/>
      <c r="IG342" s="274"/>
      <c r="IH342" s="274"/>
      <c r="II342" s="274"/>
      <c r="IJ342" s="274"/>
      <c r="IK342" s="274"/>
      <c r="IL342" s="274"/>
      <c r="IM342" s="274"/>
      <c r="IN342" s="274"/>
      <c r="IO342" s="274"/>
      <c r="IP342" s="274"/>
      <c r="IQ342" s="274"/>
      <c r="IR342" s="274"/>
      <c r="IS342" s="274"/>
      <c r="IT342" s="274"/>
      <c r="IU342" s="274"/>
      <c r="IV342" s="274"/>
      <c r="IW342" s="274"/>
      <c r="IX342" s="274"/>
      <c r="IY342" s="274"/>
      <c r="IZ342" s="274"/>
      <c r="JA342" s="274"/>
      <c r="JB342" s="274"/>
      <c r="JC342" s="274"/>
      <c r="JD342" s="274"/>
      <c r="JE342" s="274"/>
      <c r="JF342" s="274"/>
      <c r="JG342" s="274"/>
      <c r="JH342" s="274"/>
      <c r="JI342" s="274"/>
      <c r="JJ342" s="274"/>
      <c r="JK342" s="274"/>
      <c r="JL342" s="274"/>
      <c r="JM342" s="274"/>
      <c r="JN342" s="274"/>
      <c r="JO342" s="274"/>
      <c r="JP342" s="274"/>
      <c r="JQ342" s="274"/>
      <c r="JR342" s="274"/>
      <c r="JS342" s="274"/>
      <c r="JT342" s="274"/>
      <c r="JU342" s="274"/>
      <c r="JV342" s="274"/>
      <c r="JW342" s="274"/>
      <c r="JX342" s="274"/>
      <c r="JY342" s="274"/>
      <c r="JZ342" s="274"/>
      <c r="KA342" s="274"/>
      <c r="KB342" s="274"/>
      <c r="KC342" s="274"/>
      <c r="KD342" s="274"/>
      <c r="KE342" s="274"/>
      <c r="KF342" s="274"/>
      <c r="KG342" s="274"/>
      <c r="KH342" s="274"/>
      <c r="KI342" s="274"/>
      <c r="KJ342" s="274"/>
      <c r="KK342" s="274"/>
      <c r="KL342" s="274"/>
      <c r="KM342" s="274"/>
      <c r="KN342" s="274"/>
      <c r="KO342" s="274"/>
      <c r="KP342" s="274"/>
      <c r="KQ342" s="274"/>
      <c r="KR342" s="274"/>
      <c r="KS342" s="274"/>
      <c r="KT342" s="274"/>
      <c r="KU342" s="274"/>
      <c r="KV342" s="274"/>
      <c r="KW342" s="274"/>
      <c r="KX342" s="274"/>
      <c r="KY342" s="274"/>
      <c r="KZ342" s="274"/>
      <c r="LA342" s="274"/>
      <c r="LB342" s="274"/>
      <c r="LC342" s="274"/>
      <c r="LD342" s="274"/>
      <c r="LE342" s="274"/>
      <c r="LF342" s="274"/>
      <c r="LG342" s="274"/>
      <c r="LH342" s="274"/>
      <c r="LI342" s="274"/>
      <c r="LJ342" s="274"/>
      <c r="LK342" s="274"/>
      <c r="LL342" s="274"/>
      <c r="LM342" s="274"/>
      <c r="LN342" s="274"/>
      <c r="LO342" s="274"/>
      <c r="LP342" s="274"/>
      <c r="LQ342" s="274"/>
      <c r="LR342" s="274"/>
      <c r="LS342" s="274"/>
      <c r="LT342" s="274"/>
      <c r="LU342" s="274"/>
      <c r="LV342" s="274"/>
      <c r="LW342" s="274"/>
      <c r="LX342" s="274"/>
      <c r="LY342" s="274"/>
      <c r="LZ342" s="274"/>
      <c r="MA342" s="274"/>
      <c r="MB342" s="274"/>
      <c r="MC342" s="274"/>
      <c r="MD342" s="274"/>
      <c r="ME342" s="274"/>
      <c r="MF342" s="274"/>
      <c r="MG342" s="274"/>
      <c r="MH342" s="274"/>
      <c r="MI342" s="274"/>
      <c r="MJ342" s="274"/>
      <c r="MK342" s="274"/>
      <c r="ML342" s="274"/>
      <c r="MM342" s="274"/>
      <c r="MN342" s="274"/>
      <c r="MO342" s="274"/>
      <c r="MP342" s="274"/>
      <c r="MQ342" s="274"/>
      <c r="MR342" s="274"/>
      <c r="MS342" s="274"/>
      <c r="MT342" s="274"/>
      <c r="MU342" s="274"/>
      <c r="MV342" s="274"/>
      <c r="MW342" s="274"/>
      <c r="MX342" s="274"/>
      <c r="MY342" s="274"/>
      <c r="MZ342" s="274"/>
      <c r="NA342" s="274"/>
      <c r="NB342" s="274"/>
      <c r="NC342" s="274"/>
      <c r="ND342" s="274"/>
      <c r="NE342" s="274"/>
      <c r="NF342" s="274"/>
      <c r="NG342" s="274"/>
      <c r="NH342" s="274"/>
      <c r="NI342" s="274"/>
      <c r="NJ342" s="274"/>
      <c r="NK342" s="274"/>
      <c r="NL342" s="274"/>
      <c r="NM342" s="274"/>
      <c r="NN342" s="274"/>
      <c r="NO342" s="274"/>
      <c r="NP342" s="274"/>
      <c r="NQ342" s="274"/>
      <c r="NR342" s="274"/>
      <c r="NS342" s="274"/>
      <c r="NT342" s="274"/>
      <c r="NU342" s="274"/>
      <c r="NV342" s="274"/>
      <c r="NW342" s="274"/>
      <c r="NX342" s="274"/>
      <c r="NY342" s="274"/>
      <c r="NZ342" s="274"/>
      <c r="OA342" s="274"/>
      <c r="OB342" s="274"/>
      <c r="OC342" s="274"/>
      <c r="OD342" s="274"/>
      <c r="OE342" s="274"/>
      <c r="OF342" s="274"/>
      <c r="OG342" s="274"/>
      <c r="OH342" s="274"/>
      <c r="OI342" s="274"/>
      <c r="OJ342" s="274"/>
      <c r="OK342" s="274"/>
      <c r="OL342" s="274"/>
      <c r="OM342" s="274"/>
      <c r="ON342" s="274"/>
      <c r="OO342" s="274"/>
      <c r="OP342" s="274"/>
      <c r="OQ342" s="274"/>
      <c r="OR342" s="274"/>
      <c r="OS342" s="274"/>
      <c r="OT342" s="274"/>
      <c r="OU342" s="274"/>
      <c r="OV342" s="274"/>
      <c r="OW342" s="274"/>
      <c r="OX342" s="274"/>
      <c r="OY342" s="274"/>
      <c r="OZ342" s="274"/>
      <c r="PA342" s="274"/>
      <c r="PB342" s="274"/>
      <c r="PC342" s="274"/>
      <c r="PD342" s="274"/>
      <c r="PE342" s="274"/>
      <c r="PF342" s="274"/>
      <c r="PG342" s="274"/>
      <c r="PH342" s="274"/>
      <c r="PI342" s="274"/>
      <c r="PJ342" s="274"/>
      <c r="PK342" s="274"/>
      <c r="PL342" s="274"/>
      <c r="PM342" s="274"/>
      <c r="PN342" s="274"/>
      <c r="PO342" s="274"/>
      <c r="PP342" s="274"/>
      <c r="PQ342" s="274"/>
      <c r="PR342" s="274"/>
      <c r="PS342" s="274"/>
      <c r="PT342" s="274"/>
      <c r="PU342" s="274"/>
      <c r="PV342" s="274"/>
      <c r="PW342" s="274"/>
      <c r="PX342" s="274"/>
      <c r="PY342" s="274"/>
      <c r="PZ342" s="274"/>
      <c r="QA342" s="274"/>
      <c r="QB342" s="274"/>
      <c r="QC342" s="274"/>
      <c r="QD342" s="274"/>
      <c r="QE342" s="274"/>
      <c r="QF342" s="274"/>
      <c r="QG342" s="274"/>
      <c r="QH342" s="274"/>
      <c r="QI342" s="274"/>
      <c r="QJ342" s="274"/>
      <c r="QK342" s="274"/>
      <c r="QL342" s="274"/>
      <c r="QM342" s="274"/>
      <c r="QN342" s="274"/>
      <c r="QO342" s="274"/>
      <c r="QP342" s="274"/>
      <c r="QQ342" s="274"/>
      <c r="QR342" s="274"/>
      <c r="QS342" s="274"/>
      <c r="QT342" s="274"/>
      <c r="QU342" s="274"/>
      <c r="QV342" s="274"/>
      <c r="QW342" s="274"/>
      <c r="QX342" s="274"/>
      <c r="QY342" s="274"/>
      <c r="QZ342" s="274"/>
      <c r="RA342" s="274"/>
      <c r="RB342" s="274"/>
      <c r="RC342" s="274"/>
    </row>
    <row r="343" spans="112:471" ht="17.25">
      <c r="DH343" s="274"/>
      <c r="DI343" s="274"/>
      <c r="DJ343" s="978"/>
      <c r="DK343" s="978"/>
      <c r="DL343" s="978"/>
      <c r="DM343" s="978"/>
      <c r="DN343" s="978"/>
      <c r="DO343" s="978"/>
      <c r="DP343" s="978"/>
      <c r="DQ343" s="978"/>
      <c r="DR343" s="978"/>
      <c r="DS343" s="978"/>
      <c r="DT343" s="978"/>
      <c r="DU343" s="978"/>
      <c r="DV343" s="978"/>
      <c r="DW343" s="978"/>
      <c r="DX343" s="978"/>
      <c r="DY343" s="978"/>
      <c r="DZ343" s="978"/>
      <c r="EA343" s="978"/>
      <c r="EB343" s="978"/>
      <c r="EC343" s="978"/>
      <c r="ED343" s="978"/>
      <c r="EE343" s="978"/>
      <c r="EF343" s="978"/>
      <c r="EG343" s="978"/>
      <c r="EH343" s="978"/>
      <c r="EI343" s="978"/>
      <c r="EJ343" s="978"/>
      <c r="EK343" s="978"/>
      <c r="EL343" s="978"/>
      <c r="EM343" s="978"/>
      <c r="EN343" s="978"/>
      <c r="EO343" s="978"/>
      <c r="EP343" s="978"/>
      <c r="EQ343" s="978"/>
      <c r="ER343" s="978"/>
      <c r="ES343" s="978"/>
      <c r="ET343" s="978"/>
      <c r="EU343" s="978"/>
      <c r="EV343" s="978"/>
      <c r="EW343" s="978"/>
      <c r="EX343" s="978"/>
      <c r="EY343" s="978"/>
      <c r="EZ343" s="978"/>
      <c r="FA343" s="978"/>
      <c r="FB343" s="978"/>
      <c r="FC343" s="978"/>
      <c r="FD343" s="978"/>
      <c r="FE343" s="978"/>
      <c r="FF343" s="978"/>
      <c r="FG343" s="978"/>
      <c r="FH343" s="978"/>
      <c r="FI343" s="978"/>
      <c r="FJ343" s="978"/>
      <c r="FK343" s="978"/>
      <c r="FL343" s="978"/>
      <c r="FM343" s="978"/>
      <c r="FN343" s="978"/>
      <c r="FO343" s="978"/>
      <c r="FP343" s="978"/>
      <c r="FQ343" s="978"/>
      <c r="FR343" s="978"/>
      <c r="FS343" s="978"/>
      <c r="FT343" s="978"/>
      <c r="FU343" s="978"/>
      <c r="FV343" s="978"/>
      <c r="FW343" s="978"/>
      <c r="FX343" s="978"/>
      <c r="FY343" s="978"/>
      <c r="FZ343" s="978"/>
      <c r="GA343" s="978"/>
      <c r="GB343" s="978"/>
      <c r="GC343" s="978"/>
      <c r="GD343" s="978"/>
      <c r="GE343" s="978"/>
      <c r="GF343" s="978"/>
      <c r="GG343" s="978"/>
      <c r="GH343" s="978"/>
      <c r="GI343" s="978"/>
      <c r="GJ343" s="978"/>
      <c r="GK343" s="978"/>
      <c r="GL343" s="978"/>
      <c r="GM343" s="978"/>
      <c r="GN343" s="978"/>
      <c r="GO343" s="978"/>
      <c r="GP343" s="978"/>
      <c r="GQ343" s="978"/>
      <c r="GR343" s="978"/>
      <c r="GS343" s="978"/>
      <c r="GT343" s="978"/>
      <c r="GU343" s="978"/>
      <c r="GV343" s="978"/>
      <c r="GW343" s="978"/>
      <c r="GX343" s="978"/>
      <c r="GY343" s="978"/>
      <c r="GZ343" s="978"/>
      <c r="HA343" s="978"/>
      <c r="HB343" s="978"/>
      <c r="HC343" s="978"/>
      <c r="HD343" s="978"/>
      <c r="HE343" s="978"/>
      <c r="HF343" s="978"/>
      <c r="HG343" s="978"/>
      <c r="HH343" s="978"/>
      <c r="HI343" s="978"/>
      <c r="HJ343" s="978"/>
      <c r="HK343" s="978"/>
      <c r="HL343" s="978"/>
      <c r="HM343" s="978"/>
      <c r="HN343" s="978"/>
      <c r="HO343" s="978"/>
      <c r="HP343" s="978"/>
      <c r="HQ343" s="978"/>
      <c r="HR343" s="978"/>
      <c r="HS343" s="978"/>
      <c r="HT343" s="978"/>
      <c r="HU343" s="978"/>
      <c r="HV343" s="978"/>
      <c r="HW343" s="978"/>
      <c r="HX343" s="978"/>
      <c r="HY343" s="978"/>
      <c r="HZ343" s="978"/>
      <c r="IA343" s="978"/>
      <c r="IB343" s="978"/>
      <c r="IC343" s="978"/>
      <c r="ID343" s="978"/>
      <c r="IE343" s="978"/>
      <c r="IF343" s="978"/>
      <c r="IG343" s="978"/>
      <c r="IH343" s="978"/>
      <c r="II343" s="978"/>
      <c r="IJ343" s="978"/>
      <c r="IK343" s="978"/>
      <c r="IL343" s="978"/>
      <c r="IM343" s="978"/>
      <c r="IN343" s="978"/>
      <c r="IO343" s="978"/>
      <c r="IP343" s="978"/>
      <c r="IQ343" s="978"/>
      <c r="IR343" s="978"/>
      <c r="IS343" s="978"/>
      <c r="IT343" s="978"/>
      <c r="IU343" s="978"/>
      <c r="IV343" s="978"/>
      <c r="IW343" s="978"/>
      <c r="IX343" s="978"/>
      <c r="IY343" s="978"/>
      <c r="IZ343" s="978"/>
      <c r="JA343" s="978"/>
      <c r="JB343" s="978"/>
      <c r="JC343" s="978"/>
      <c r="JD343" s="978"/>
      <c r="JE343" s="978"/>
      <c r="JF343" s="978"/>
      <c r="JG343" s="978"/>
      <c r="JH343" s="978"/>
      <c r="JI343" s="978"/>
      <c r="JJ343" s="978"/>
      <c r="JK343" s="978"/>
      <c r="JL343" s="978"/>
      <c r="JM343" s="978"/>
      <c r="JN343" s="978"/>
      <c r="JO343" s="978"/>
      <c r="JP343" s="978"/>
      <c r="JQ343" s="978"/>
      <c r="JR343" s="978"/>
      <c r="JS343" s="978"/>
      <c r="JT343" s="978"/>
      <c r="JU343" s="978"/>
      <c r="JV343" s="978"/>
      <c r="JW343" s="978"/>
      <c r="JX343" s="978"/>
      <c r="JY343" s="978"/>
      <c r="JZ343" s="978"/>
      <c r="KA343" s="978"/>
      <c r="KB343" s="978"/>
      <c r="KC343" s="978"/>
      <c r="KD343" s="978"/>
      <c r="KE343" s="978"/>
      <c r="KF343" s="978"/>
      <c r="KG343" s="978"/>
      <c r="KH343" s="978"/>
      <c r="KI343" s="978"/>
      <c r="KJ343" s="978"/>
      <c r="KK343" s="978"/>
      <c r="KL343" s="978"/>
      <c r="KM343" s="978"/>
      <c r="KN343" s="978"/>
      <c r="KO343" s="978"/>
      <c r="KP343" s="978"/>
      <c r="KQ343" s="978"/>
      <c r="KR343" s="978"/>
      <c r="KS343" s="978"/>
      <c r="KT343" s="978"/>
      <c r="KU343" s="978"/>
      <c r="KV343" s="978"/>
      <c r="KW343" s="978"/>
      <c r="KX343" s="978"/>
      <c r="KY343" s="978"/>
      <c r="KZ343" s="978"/>
      <c r="LA343" s="978"/>
      <c r="LB343" s="978"/>
      <c r="LC343" s="978"/>
      <c r="LD343" s="978"/>
      <c r="LE343" s="978"/>
      <c r="LF343" s="978"/>
      <c r="LG343" s="978"/>
      <c r="LH343" s="978"/>
      <c r="LI343" s="978"/>
      <c r="LJ343" s="978"/>
      <c r="LK343" s="978"/>
      <c r="LL343" s="978"/>
      <c r="LM343" s="978"/>
      <c r="LN343" s="978"/>
      <c r="LO343" s="978"/>
      <c r="LP343" s="978"/>
      <c r="LQ343" s="978"/>
      <c r="LR343" s="978"/>
      <c r="LS343" s="978"/>
      <c r="LT343" s="978"/>
      <c r="LU343" s="978"/>
      <c r="LV343" s="978"/>
      <c r="LW343" s="978"/>
      <c r="LX343" s="978"/>
      <c r="LY343" s="978"/>
      <c r="LZ343" s="978"/>
      <c r="MA343" s="978"/>
      <c r="MB343" s="978"/>
      <c r="MC343" s="978"/>
      <c r="MD343" s="978"/>
      <c r="ME343" s="978"/>
      <c r="MF343" s="978"/>
      <c r="MG343" s="978"/>
      <c r="MH343" s="978"/>
      <c r="MI343" s="978"/>
      <c r="MJ343" s="978"/>
      <c r="MK343" s="978"/>
      <c r="ML343" s="978"/>
      <c r="MM343" s="978"/>
      <c r="MN343" s="978"/>
      <c r="MO343" s="978"/>
      <c r="MP343" s="978"/>
      <c r="MQ343" s="978"/>
      <c r="MR343" s="978"/>
      <c r="MS343" s="978"/>
      <c r="MT343" s="978"/>
      <c r="MU343" s="978"/>
      <c r="MV343" s="978"/>
      <c r="MW343" s="978"/>
      <c r="MX343" s="978"/>
      <c r="MY343" s="978"/>
      <c r="MZ343" s="978"/>
      <c r="NA343" s="978"/>
      <c r="NB343" s="978"/>
      <c r="NC343" s="978"/>
      <c r="ND343" s="978"/>
      <c r="NE343" s="978"/>
      <c r="NF343" s="978"/>
      <c r="NG343" s="978"/>
      <c r="NH343" s="978"/>
      <c r="NI343" s="978"/>
      <c r="NJ343" s="978"/>
      <c r="NK343" s="978"/>
      <c r="NL343" s="978"/>
      <c r="NM343" s="978"/>
      <c r="NN343" s="978"/>
      <c r="NO343" s="978"/>
      <c r="NP343" s="978"/>
      <c r="NQ343" s="978"/>
      <c r="NR343" s="978"/>
      <c r="NS343" s="978"/>
      <c r="NT343" s="978"/>
      <c r="NU343" s="978"/>
      <c r="NV343" s="978"/>
      <c r="NW343" s="978"/>
      <c r="NX343" s="978"/>
      <c r="NY343" s="978"/>
      <c r="NZ343" s="978"/>
      <c r="OA343" s="978"/>
      <c r="OB343" s="978"/>
      <c r="OC343" s="978"/>
      <c r="OD343" s="978"/>
      <c r="OE343" s="978"/>
      <c r="OF343" s="978"/>
      <c r="OG343" s="978"/>
      <c r="OH343" s="978"/>
      <c r="OI343" s="978"/>
      <c r="OJ343" s="978"/>
      <c r="OK343" s="978"/>
      <c r="OL343" s="978"/>
      <c r="OM343" s="978"/>
      <c r="ON343" s="978"/>
      <c r="OO343" s="978"/>
      <c r="OP343" s="978"/>
      <c r="OQ343" s="978"/>
      <c r="OR343" s="978"/>
      <c r="OS343" s="978"/>
      <c r="OT343" s="978"/>
      <c r="OU343" s="978"/>
      <c r="OV343" s="978"/>
      <c r="OW343" s="978"/>
      <c r="OX343" s="978"/>
      <c r="OY343" s="978"/>
      <c r="OZ343" s="978"/>
      <c r="PA343" s="978"/>
      <c r="PB343" s="978"/>
      <c r="PC343" s="978"/>
      <c r="PD343" s="978"/>
      <c r="PE343" s="978"/>
      <c r="PF343" s="978"/>
      <c r="PG343" s="978"/>
      <c r="PH343" s="978"/>
      <c r="PI343" s="978"/>
      <c r="PJ343" s="978"/>
      <c r="PK343" s="978"/>
      <c r="PL343" s="978"/>
      <c r="PM343" s="978"/>
      <c r="PN343" s="978"/>
      <c r="PO343" s="978"/>
      <c r="PP343" s="978"/>
      <c r="PQ343" s="978"/>
      <c r="PR343" s="978"/>
      <c r="PS343" s="978"/>
      <c r="PT343" s="978"/>
      <c r="PU343" s="978"/>
      <c r="PV343" s="978"/>
      <c r="PW343" s="978"/>
      <c r="PX343" s="978"/>
      <c r="PY343" s="978"/>
      <c r="PZ343" s="978"/>
      <c r="QA343" s="978"/>
      <c r="QB343" s="978"/>
      <c r="QC343" s="978"/>
      <c r="QD343" s="978"/>
      <c r="QE343" s="978"/>
      <c r="QF343" s="978"/>
      <c r="QG343" s="978"/>
      <c r="QH343" s="978"/>
      <c r="QI343" s="978"/>
      <c r="QJ343" s="978"/>
      <c r="QK343" s="978"/>
      <c r="QL343" s="978"/>
      <c r="QM343" s="978"/>
      <c r="QN343" s="978"/>
      <c r="QO343" s="978"/>
      <c r="QP343" s="978"/>
      <c r="QQ343" s="978"/>
      <c r="QR343" s="978"/>
      <c r="QS343" s="978"/>
      <c r="QT343" s="978"/>
      <c r="QU343" s="978"/>
      <c r="QV343" s="978"/>
      <c r="QW343" s="978"/>
      <c r="QX343" s="978"/>
      <c r="QY343" s="978"/>
      <c r="QZ343" s="978"/>
      <c r="RA343" s="978"/>
      <c r="RB343" s="274"/>
      <c r="RC343" s="274"/>
    </row>
    <row r="344" spans="112:471" ht="17.25">
      <c r="DH344" s="274"/>
      <c r="DI344" s="274"/>
      <c r="DJ344" s="978"/>
      <c r="DK344" s="978"/>
      <c r="DL344" s="978"/>
      <c r="DM344" s="978"/>
      <c r="DN344" s="978"/>
      <c r="DO344" s="978"/>
      <c r="DP344" s="978"/>
      <c r="DQ344" s="978"/>
      <c r="DR344" s="978"/>
      <c r="DS344" s="978"/>
      <c r="DT344" s="978"/>
      <c r="DU344" s="978"/>
      <c r="DV344" s="978"/>
      <c r="DW344" s="978"/>
      <c r="DX344" s="978"/>
      <c r="DY344" s="978"/>
      <c r="DZ344" s="978"/>
      <c r="EA344" s="978"/>
      <c r="EB344" s="978"/>
      <c r="EC344" s="978"/>
      <c r="ED344" s="978"/>
      <c r="EE344" s="978"/>
      <c r="EF344" s="978"/>
      <c r="EG344" s="978"/>
      <c r="EH344" s="978"/>
      <c r="EI344" s="978"/>
      <c r="EJ344" s="978"/>
      <c r="EK344" s="978"/>
      <c r="EL344" s="978"/>
      <c r="EM344" s="978"/>
      <c r="EN344" s="978"/>
      <c r="EO344" s="978"/>
      <c r="EP344" s="978"/>
      <c r="EQ344" s="978"/>
      <c r="ER344" s="978"/>
      <c r="ES344" s="978"/>
      <c r="ET344" s="978"/>
      <c r="EU344" s="978"/>
      <c r="EV344" s="978"/>
      <c r="EW344" s="978"/>
      <c r="EX344" s="978"/>
      <c r="EY344" s="978"/>
      <c r="EZ344" s="978"/>
      <c r="FA344" s="978"/>
      <c r="FB344" s="978"/>
      <c r="FC344" s="978"/>
      <c r="FD344" s="978"/>
      <c r="FE344" s="978"/>
      <c r="FF344" s="978"/>
      <c r="FG344" s="978"/>
      <c r="FH344" s="978"/>
      <c r="FI344" s="978"/>
      <c r="FJ344" s="978"/>
      <c r="FK344" s="978"/>
      <c r="FL344" s="978"/>
      <c r="FM344" s="978"/>
      <c r="FN344" s="978"/>
      <c r="FO344" s="978"/>
      <c r="FP344" s="978"/>
      <c r="FQ344" s="978"/>
      <c r="FR344" s="978"/>
      <c r="FS344" s="978"/>
      <c r="FT344" s="978"/>
      <c r="FU344" s="978"/>
      <c r="FV344" s="978"/>
      <c r="FW344" s="978"/>
      <c r="FX344" s="978"/>
      <c r="FY344" s="978"/>
      <c r="FZ344" s="978"/>
      <c r="GA344" s="978"/>
      <c r="GB344" s="978"/>
      <c r="GC344" s="978"/>
      <c r="GD344" s="978"/>
      <c r="GE344" s="978"/>
      <c r="GF344" s="978"/>
      <c r="GG344" s="978"/>
      <c r="GH344" s="978"/>
      <c r="GI344" s="978"/>
      <c r="GJ344" s="978"/>
      <c r="GK344" s="978"/>
      <c r="GL344" s="978"/>
      <c r="GM344" s="978"/>
      <c r="GN344" s="978"/>
      <c r="GO344" s="978"/>
      <c r="GP344" s="978"/>
      <c r="GQ344" s="978"/>
      <c r="GR344" s="978"/>
      <c r="GS344" s="978"/>
      <c r="GT344" s="978"/>
      <c r="GU344" s="978"/>
      <c r="GV344" s="978"/>
      <c r="GW344" s="978"/>
      <c r="GX344" s="978"/>
      <c r="GY344" s="978"/>
      <c r="GZ344" s="978"/>
      <c r="HA344" s="978"/>
      <c r="HB344" s="978"/>
      <c r="HC344" s="978"/>
      <c r="HD344" s="978"/>
      <c r="HE344" s="978"/>
      <c r="HF344" s="978"/>
      <c r="HG344" s="978"/>
      <c r="HH344" s="978"/>
      <c r="HI344" s="978"/>
      <c r="HJ344" s="978"/>
      <c r="HK344" s="978"/>
      <c r="HL344" s="978"/>
      <c r="HM344" s="978"/>
      <c r="HN344" s="978"/>
      <c r="HO344" s="978"/>
      <c r="HP344" s="978"/>
      <c r="HQ344" s="978"/>
      <c r="HR344" s="978"/>
      <c r="HS344" s="978"/>
      <c r="HT344" s="978"/>
      <c r="HU344" s="978"/>
      <c r="HV344" s="978"/>
      <c r="HW344" s="978"/>
      <c r="HX344" s="978"/>
      <c r="HY344" s="978"/>
      <c r="HZ344" s="978"/>
      <c r="IA344" s="978"/>
      <c r="IB344" s="978"/>
      <c r="IC344" s="978"/>
      <c r="ID344" s="978"/>
      <c r="IE344" s="978"/>
      <c r="IF344" s="978"/>
      <c r="IG344" s="978"/>
      <c r="IH344" s="978"/>
      <c r="II344" s="978"/>
      <c r="IJ344" s="978"/>
      <c r="IK344" s="978"/>
      <c r="IL344" s="978"/>
      <c r="IM344" s="978"/>
      <c r="IN344" s="978"/>
      <c r="IO344" s="978"/>
      <c r="IP344" s="978"/>
      <c r="IQ344" s="978"/>
      <c r="IR344" s="978"/>
      <c r="IS344" s="978"/>
      <c r="IT344" s="978"/>
      <c r="IU344" s="978"/>
      <c r="IV344" s="978"/>
      <c r="IW344" s="978"/>
      <c r="IX344" s="978"/>
      <c r="IY344" s="978"/>
      <c r="IZ344" s="978"/>
      <c r="JA344" s="978"/>
      <c r="JB344" s="978"/>
      <c r="JC344" s="978"/>
      <c r="JD344" s="978"/>
      <c r="JE344" s="978"/>
      <c r="JF344" s="978"/>
      <c r="JG344" s="978"/>
      <c r="JH344" s="978"/>
      <c r="JI344" s="978"/>
      <c r="JJ344" s="978"/>
      <c r="JK344" s="978"/>
      <c r="JL344" s="978"/>
      <c r="JM344" s="978"/>
      <c r="JN344" s="978"/>
      <c r="JO344" s="978"/>
      <c r="JP344" s="978"/>
      <c r="JQ344" s="978"/>
      <c r="JR344" s="978"/>
      <c r="JS344" s="978"/>
      <c r="JT344" s="978"/>
      <c r="JU344" s="978"/>
      <c r="JV344" s="978"/>
      <c r="JW344" s="978"/>
      <c r="JX344" s="978"/>
      <c r="JY344" s="978"/>
      <c r="JZ344" s="978"/>
      <c r="KA344" s="978"/>
      <c r="KB344" s="978"/>
      <c r="KC344" s="978"/>
      <c r="KD344" s="978"/>
      <c r="KE344" s="978"/>
      <c r="KF344" s="978"/>
      <c r="KG344" s="978"/>
      <c r="KH344" s="978"/>
      <c r="KI344" s="978"/>
      <c r="KJ344" s="978"/>
      <c r="KK344" s="978"/>
      <c r="KL344" s="978"/>
      <c r="KM344" s="978"/>
      <c r="KN344" s="978"/>
      <c r="KO344" s="978"/>
      <c r="KP344" s="978"/>
      <c r="KQ344" s="978"/>
      <c r="KR344" s="978"/>
      <c r="KS344" s="978"/>
      <c r="KT344" s="978"/>
      <c r="KU344" s="978"/>
      <c r="KV344" s="978"/>
      <c r="KW344" s="978"/>
      <c r="KX344" s="978"/>
      <c r="KY344" s="978"/>
      <c r="KZ344" s="978"/>
      <c r="LA344" s="978"/>
      <c r="LB344" s="978"/>
      <c r="LC344" s="978"/>
      <c r="LD344" s="978"/>
      <c r="LE344" s="978"/>
      <c r="LF344" s="978"/>
      <c r="LG344" s="978"/>
      <c r="LH344" s="978"/>
      <c r="LI344" s="978"/>
      <c r="LJ344" s="978"/>
      <c r="LK344" s="978"/>
      <c r="LL344" s="978"/>
      <c r="LM344" s="978"/>
      <c r="LN344" s="978"/>
      <c r="LO344" s="978"/>
      <c r="LP344" s="978"/>
      <c r="LQ344" s="978"/>
      <c r="LR344" s="978"/>
      <c r="LS344" s="978"/>
      <c r="LT344" s="978"/>
      <c r="LU344" s="978"/>
      <c r="LV344" s="978"/>
      <c r="LW344" s="978"/>
      <c r="LX344" s="978"/>
      <c r="LY344" s="978"/>
      <c r="LZ344" s="978"/>
      <c r="MA344" s="978"/>
      <c r="MB344" s="978"/>
      <c r="MC344" s="978"/>
      <c r="MD344" s="978"/>
      <c r="ME344" s="978"/>
      <c r="MF344" s="978"/>
      <c r="MG344" s="978"/>
      <c r="MH344" s="978"/>
      <c r="MI344" s="978"/>
      <c r="MJ344" s="978"/>
      <c r="MK344" s="978"/>
      <c r="ML344" s="978"/>
      <c r="MM344" s="978"/>
      <c r="MN344" s="978"/>
      <c r="MO344" s="978"/>
      <c r="MP344" s="978"/>
      <c r="MQ344" s="978"/>
      <c r="MR344" s="978"/>
      <c r="MS344" s="978"/>
      <c r="MT344" s="978"/>
      <c r="MU344" s="978"/>
      <c r="MV344" s="978"/>
      <c r="MW344" s="978"/>
      <c r="MX344" s="978"/>
      <c r="MY344" s="978"/>
      <c r="MZ344" s="978"/>
      <c r="NA344" s="978"/>
      <c r="NB344" s="978"/>
      <c r="NC344" s="978"/>
      <c r="ND344" s="978"/>
      <c r="NE344" s="978"/>
      <c r="NF344" s="978"/>
      <c r="NG344" s="978"/>
      <c r="NH344" s="978"/>
      <c r="NI344" s="978"/>
      <c r="NJ344" s="978"/>
      <c r="NK344" s="978"/>
      <c r="NL344" s="978"/>
      <c r="NM344" s="978"/>
      <c r="NN344" s="978"/>
      <c r="NO344" s="978"/>
      <c r="NP344" s="978"/>
      <c r="NQ344" s="978"/>
      <c r="NR344" s="978"/>
      <c r="NS344" s="978"/>
      <c r="NT344" s="978"/>
      <c r="NU344" s="978"/>
      <c r="NV344" s="978"/>
      <c r="NW344" s="978"/>
      <c r="NX344" s="978"/>
      <c r="NY344" s="978"/>
      <c r="NZ344" s="978"/>
      <c r="OA344" s="978"/>
      <c r="OB344" s="978"/>
      <c r="OC344" s="978"/>
      <c r="OD344" s="978"/>
      <c r="OE344" s="978"/>
      <c r="OF344" s="978"/>
      <c r="OG344" s="978"/>
      <c r="OH344" s="978"/>
      <c r="OI344" s="978"/>
      <c r="OJ344" s="978"/>
      <c r="OK344" s="978"/>
      <c r="OL344" s="978"/>
      <c r="OM344" s="978"/>
      <c r="ON344" s="978"/>
      <c r="OO344" s="978"/>
      <c r="OP344" s="978"/>
      <c r="OQ344" s="978"/>
      <c r="OR344" s="978"/>
      <c r="OS344" s="978"/>
      <c r="OT344" s="978"/>
      <c r="OU344" s="978"/>
      <c r="OV344" s="978"/>
      <c r="OW344" s="978"/>
      <c r="OX344" s="978"/>
      <c r="OY344" s="978"/>
      <c r="OZ344" s="978"/>
      <c r="PA344" s="978"/>
      <c r="PB344" s="978"/>
      <c r="PC344" s="978"/>
      <c r="PD344" s="978"/>
      <c r="PE344" s="978"/>
      <c r="PF344" s="978"/>
      <c r="PG344" s="978"/>
      <c r="PH344" s="978"/>
      <c r="PI344" s="978"/>
      <c r="PJ344" s="978"/>
      <c r="PK344" s="978"/>
      <c r="PL344" s="978"/>
      <c r="PM344" s="978"/>
      <c r="PN344" s="978"/>
      <c r="PO344" s="978"/>
      <c r="PP344" s="978"/>
      <c r="PQ344" s="978"/>
      <c r="PR344" s="978"/>
      <c r="PS344" s="978"/>
      <c r="PT344" s="978"/>
      <c r="PU344" s="978"/>
      <c r="PV344" s="978"/>
      <c r="PW344" s="978"/>
      <c r="PX344" s="978"/>
      <c r="PY344" s="978"/>
      <c r="PZ344" s="978"/>
      <c r="QA344" s="978"/>
      <c r="QB344" s="978"/>
      <c r="QC344" s="978"/>
      <c r="QD344" s="978"/>
      <c r="QE344" s="978"/>
      <c r="QF344" s="978"/>
      <c r="QG344" s="978"/>
      <c r="QH344" s="978"/>
      <c r="QI344" s="978"/>
      <c r="QJ344" s="978"/>
      <c r="QK344" s="978"/>
      <c r="QL344" s="978"/>
      <c r="QM344" s="978"/>
      <c r="QN344" s="978"/>
      <c r="QO344" s="978"/>
      <c r="QP344" s="978"/>
      <c r="QQ344" s="978"/>
      <c r="QR344" s="978"/>
      <c r="QS344" s="978"/>
      <c r="QT344" s="978"/>
      <c r="QU344" s="978"/>
      <c r="QV344" s="978"/>
      <c r="QW344" s="978"/>
      <c r="QX344" s="978"/>
      <c r="QY344" s="978"/>
      <c r="QZ344" s="978"/>
      <c r="RA344" s="978"/>
      <c r="RB344" s="274"/>
      <c r="RC344" s="274"/>
    </row>
    <row r="345" spans="112:471" ht="17.25">
      <c r="DH345" s="274"/>
      <c r="DI345" s="274"/>
      <c r="DJ345" s="978"/>
      <c r="DK345" s="978"/>
      <c r="DL345" s="978"/>
      <c r="DM345" s="978"/>
      <c r="DN345" s="978"/>
      <c r="DO345" s="978"/>
      <c r="DP345" s="978"/>
      <c r="DQ345" s="978"/>
      <c r="DR345" s="978"/>
      <c r="DS345" s="978"/>
      <c r="DT345" s="978"/>
      <c r="DU345" s="978"/>
      <c r="DV345" s="978"/>
      <c r="DW345" s="978"/>
      <c r="DX345" s="978"/>
      <c r="DY345" s="978"/>
      <c r="DZ345" s="978"/>
      <c r="EA345" s="978"/>
      <c r="EB345" s="978"/>
      <c r="EC345" s="978"/>
      <c r="ED345" s="978"/>
      <c r="EE345" s="978"/>
      <c r="EF345" s="978"/>
      <c r="EG345" s="978"/>
      <c r="EH345" s="978"/>
      <c r="EI345" s="978"/>
      <c r="EJ345" s="978"/>
      <c r="EK345" s="978"/>
      <c r="EL345" s="978"/>
      <c r="EM345" s="978"/>
      <c r="EN345" s="978"/>
      <c r="EO345" s="978"/>
      <c r="EP345" s="978"/>
      <c r="EQ345" s="978"/>
      <c r="ER345" s="978"/>
      <c r="ES345" s="978"/>
      <c r="ET345" s="978"/>
      <c r="EU345" s="978"/>
      <c r="EV345" s="978"/>
      <c r="EW345" s="978"/>
      <c r="EX345" s="978"/>
      <c r="EY345" s="978"/>
      <c r="EZ345" s="978"/>
      <c r="FA345" s="978"/>
      <c r="FB345" s="978"/>
      <c r="FC345" s="978"/>
      <c r="FD345" s="978"/>
      <c r="FE345" s="978"/>
      <c r="FF345" s="978"/>
      <c r="FG345" s="978"/>
      <c r="FH345" s="978"/>
      <c r="FI345" s="978"/>
      <c r="FJ345" s="978"/>
      <c r="FK345" s="978"/>
      <c r="FL345" s="978"/>
      <c r="FM345" s="978"/>
      <c r="FN345" s="978"/>
      <c r="FO345" s="978"/>
      <c r="FP345" s="978"/>
      <c r="FQ345" s="978"/>
      <c r="FR345" s="978"/>
      <c r="FS345" s="978"/>
      <c r="FT345" s="978"/>
      <c r="FU345" s="978"/>
      <c r="FV345" s="978"/>
      <c r="FW345" s="978"/>
      <c r="FX345" s="978"/>
      <c r="FY345" s="978"/>
      <c r="FZ345" s="978"/>
      <c r="GA345" s="978"/>
      <c r="GB345" s="978"/>
      <c r="GC345" s="978"/>
      <c r="GD345" s="978"/>
      <c r="GE345" s="978"/>
      <c r="GF345" s="978"/>
      <c r="GG345" s="978"/>
      <c r="GH345" s="978"/>
      <c r="GI345" s="978"/>
      <c r="GJ345" s="978"/>
      <c r="GK345" s="978"/>
      <c r="GL345" s="978"/>
      <c r="GM345" s="978"/>
      <c r="GN345" s="978"/>
      <c r="GO345" s="978"/>
      <c r="GP345" s="978"/>
      <c r="GQ345" s="978"/>
      <c r="GR345" s="978"/>
      <c r="GS345" s="978"/>
      <c r="GT345" s="978"/>
      <c r="GU345" s="978"/>
      <c r="GV345" s="978"/>
      <c r="GW345" s="978"/>
      <c r="GX345" s="978"/>
      <c r="GY345" s="978"/>
      <c r="GZ345" s="978"/>
      <c r="HA345" s="978"/>
      <c r="HB345" s="978"/>
      <c r="HC345" s="978"/>
      <c r="HD345" s="978"/>
      <c r="HE345" s="978"/>
      <c r="HF345" s="978"/>
      <c r="HG345" s="978"/>
      <c r="HH345" s="978"/>
      <c r="HI345" s="978"/>
      <c r="HJ345" s="978"/>
      <c r="HK345" s="978"/>
      <c r="HL345" s="978"/>
      <c r="HM345" s="978"/>
      <c r="HN345" s="978"/>
      <c r="HO345" s="978"/>
      <c r="HP345" s="978"/>
      <c r="HQ345" s="978"/>
      <c r="HR345" s="978"/>
      <c r="HS345" s="978"/>
      <c r="HT345" s="978"/>
      <c r="HU345" s="978"/>
      <c r="HV345" s="978"/>
      <c r="HW345" s="978"/>
      <c r="HX345" s="978"/>
      <c r="HY345" s="978"/>
      <c r="HZ345" s="978"/>
      <c r="IA345" s="978"/>
      <c r="IB345" s="978"/>
      <c r="IC345" s="978"/>
      <c r="ID345" s="978"/>
      <c r="IE345" s="978"/>
      <c r="IF345" s="978"/>
      <c r="IG345" s="978"/>
      <c r="IH345" s="978"/>
      <c r="II345" s="978"/>
      <c r="IJ345" s="978"/>
      <c r="IK345" s="978"/>
      <c r="IL345" s="978"/>
      <c r="IM345" s="978"/>
      <c r="IN345" s="978"/>
      <c r="IO345" s="978"/>
      <c r="IP345" s="978"/>
      <c r="IQ345" s="978"/>
      <c r="IR345" s="978"/>
      <c r="IS345" s="978"/>
      <c r="IT345" s="978"/>
      <c r="IU345" s="978"/>
      <c r="IV345" s="978"/>
      <c r="IW345" s="978"/>
      <c r="IX345" s="978"/>
      <c r="IY345" s="978"/>
      <c r="IZ345" s="978"/>
      <c r="JA345" s="978"/>
      <c r="JB345" s="978"/>
      <c r="JC345" s="978"/>
      <c r="JD345" s="978"/>
      <c r="JE345" s="978"/>
      <c r="JF345" s="978"/>
      <c r="JG345" s="978"/>
      <c r="JH345" s="978"/>
      <c r="JI345" s="978"/>
      <c r="JJ345" s="978"/>
      <c r="JK345" s="978"/>
      <c r="JL345" s="978"/>
      <c r="JM345" s="978"/>
      <c r="JN345" s="978"/>
      <c r="JO345" s="978"/>
      <c r="JP345" s="978"/>
      <c r="JQ345" s="978"/>
      <c r="JR345" s="978"/>
      <c r="JS345" s="978"/>
      <c r="JT345" s="978"/>
      <c r="JU345" s="978"/>
      <c r="JV345" s="978"/>
      <c r="JW345" s="978"/>
      <c r="JX345" s="978"/>
      <c r="JY345" s="978"/>
      <c r="JZ345" s="978"/>
      <c r="KA345" s="978"/>
      <c r="KB345" s="978"/>
      <c r="KC345" s="978"/>
      <c r="KD345" s="978"/>
      <c r="KE345" s="978"/>
      <c r="KF345" s="978"/>
      <c r="KG345" s="978"/>
      <c r="KH345" s="978"/>
      <c r="KI345" s="978"/>
      <c r="KJ345" s="978"/>
      <c r="KK345" s="978"/>
      <c r="KL345" s="978"/>
      <c r="KM345" s="978"/>
      <c r="KN345" s="978"/>
      <c r="KO345" s="978"/>
      <c r="KP345" s="978"/>
      <c r="KQ345" s="978"/>
      <c r="KR345" s="978"/>
      <c r="KS345" s="978"/>
      <c r="KT345" s="978"/>
      <c r="KU345" s="978"/>
      <c r="KV345" s="978"/>
      <c r="KW345" s="978"/>
      <c r="KX345" s="978"/>
      <c r="KY345" s="978"/>
      <c r="KZ345" s="978"/>
      <c r="LA345" s="978"/>
      <c r="LB345" s="978"/>
      <c r="LC345" s="978"/>
      <c r="LD345" s="978"/>
      <c r="LE345" s="978"/>
      <c r="LF345" s="978"/>
      <c r="LG345" s="978"/>
      <c r="LH345" s="978"/>
      <c r="LI345" s="978"/>
      <c r="LJ345" s="978"/>
      <c r="LK345" s="978"/>
      <c r="LL345" s="978"/>
      <c r="LM345" s="978"/>
      <c r="LN345" s="978"/>
      <c r="LO345" s="978"/>
      <c r="LP345" s="978"/>
      <c r="LQ345" s="978"/>
      <c r="LR345" s="978"/>
      <c r="LS345" s="978"/>
      <c r="LT345" s="978"/>
      <c r="LU345" s="978"/>
      <c r="LV345" s="978"/>
      <c r="LW345" s="978"/>
      <c r="LX345" s="978"/>
      <c r="LY345" s="978"/>
      <c r="LZ345" s="978"/>
      <c r="MA345" s="978"/>
      <c r="MB345" s="978"/>
      <c r="MC345" s="978"/>
      <c r="MD345" s="978"/>
      <c r="ME345" s="978"/>
      <c r="MF345" s="978"/>
      <c r="MG345" s="978"/>
      <c r="MH345" s="978"/>
      <c r="MI345" s="978"/>
      <c r="MJ345" s="978"/>
      <c r="MK345" s="978"/>
      <c r="ML345" s="978"/>
      <c r="MM345" s="978"/>
      <c r="MN345" s="978"/>
      <c r="MO345" s="978"/>
      <c r="MP345" s="978"/>
      <c r="MQ345" s="978"/>
      <c r="MR345" s="978"/>
      <c r="MS345" s="978"/>
      <c r="MT345" s="978"/>
      <c r="MU345" s="978"/>
      <c r="MV345" s="978"/>
      <c r="MW345" s="978"/>
      <c r="MX345" s="978"/>
      <c r="MY345" s="978"/>
      <c r="MZ345" s="978"/>
      <c r="NA345" s="978"/>
      <c r="NB345" s="978"/>
      <c r="NC345" s="978"/>
      <c r="ND345" s="978"/>
      <c r="NE345" s="978"/>
      <c r="NF345" s="978"/>
      <c r="NG345" s="978"/>
      <c r="NH345" s="978"/>
      <c r="NI345" s="978"/>
      <c r="NJ345" s="978"/>
      <c r="NK345" s="978"/>
      <c r="NL345" s="978"/>
      <c r="NM345" s="978"/>
      <c r="NN345" s="978"/>
      <c r="NO345" s="978"/>
      <c r="NP345" s="978"/>
      <c r="NQ345" s="978"/>
      <c r="NR345" s="978"/>
      <c r="NS345" s="978"/>
      <c r="NT345" s="978"/>
      <c r="NU345" s="978"/>
      <c r="NV345" s="978"/>
      <c r="NW345" s="978"/>
      <c r="NX345" s="978"/>
      <c r="NY345" s="978"/>
      <c r="NZ345" s="978"/>
      <c r="OA345" s="978"/>
      <c r="OB345" s="978"/>
      <c r="OC345" s="978"/>
      <c r="OD345" s="978"/>
      <c r="OE345" s="978"/>
      <c r="OF345" s="978"/>
      <c r="OG345" s="978"/>
      <c r="OH345" s="978"/>
      <c r="OI345" s="978"/>
      <c r="OJ345" s="978"/>
      <c r="OK345" s="978"/>
      <c r="OL345" s="978"/>
      <c r="OM345" s="978"/>
      <c r="ON345" s="978"/>
      <c r="OO345" s="978"/>
      <c r="OP345" s="978"/>
      <c r="OQ345" s="978"/>
      <c r="OR345" s="978"/>
      <c r="OS345" s="978"/>
      <c r="OT345" s="978"/>
      <c r="OU345" s="978"/>
      <c r="OV345" s="978"/>
      <c r="OW345" s="978"/>
      <c r="OX345" s="978"/>
      <c r="OY345" s="978"/>
      <c r="OZ345" s="978"/>
      <c r="PA345" s="978"/>
      <c r="PB345" s="978"/>
      <c r="PC345" s="978"/>
      <c r="PD345" s="978"/>
      <c r="PE345" s="978"/>
      <c r="PF345" s="978"/>
      <c r="PG345" s="978"/>
      <c r="PH345" s="978"/>
      <c r="PI345" s="978"/>
      <c r="PJ345" s="978"/>
      <c r="PK345" s="978"/>
      <c r="PL345" s="978"/>
      <c r="PM345" s="978"/>
      <c r="PN345" s="978"/>
      <c r="PO345" s="978"/>
      <c r="PP345" s="978"/>
      <c r="PQ345" s="978"/>
      <c r="PR345" s="978"/>
      <c r="PS345" s="978"/>
      <c r="PT345" s="978"/>
      <c r="PU345" s="978"/>
      <c r="PV345" s="978"/>
      <c r="PW345" s="978"/>
      <c r="PX345" s="978"/>
      <c r="PY345" s="978"/>
      <c r="PZ345" s="978"/>
      <c r="QA345" s="978"/>
      <c r="QB345" s="978"/>
      <c r="QC345" s="978"/>
      <c r="QD345" s="978"/>
      <c r="QE345" s="978"/>
      <c r="QF345" s="978"/>
      <c r="QG345" s="978"/>
      <c r="QH345" s="978"/>
      <c r="QI345" s="978"/>
      <c r="QJ345" s="978"/>
      <c r="QK345" s="978"/>
      <c r="QL345" s="978"/>
      <c r="QM345" s="978"/>
      <c r="QN345" s="978"/>
      <c r="QO345" s="978"/>
      <c r="QP345" s="978"/>
      <c r="QQ345" s="978"/>
      <c r="QR345" s="978"/>
      <c r="QS345" s="978"/>
      <c r="QT345" s="978"/>
      <c r="QU345" s="978"/>
      <c r="QV345" s="978"/>
      <c r="QW345" s="978"/>
      <c r="QX345" s="978"/>
      <c r="QY345" s="978"/>
      <c r="QZ345" s="978"/>
      <c r="RA345" s="978"/>
      <c r="RB345" s="274"/>
      <c r="RC345" s="274"/>
    </row>
    <row r="346" spans="112:471" ht="17.25">
      <c r="DH346" s="274"/>
      <c r="DI346" s="274"/>
      <c r="DJ346" s="978"/>
      <c r="DK346" s="978"/>
      <c r="DL346" s="978"/>
      <c r="DM346" s="978"/>
      <c r="DN346" s="978"/>
      <c r="DO346" s="978"/>
      <c r="DP346" s="978"/>
      <c r="DQ346" s="978"/>
      <c r="DR346" s="978"/>
      <c r="DS346" s="978"/>
      <c r="DT346" s="978"/>
      <c r="DU346" s="978"/>
      <c r="DV346" s="978"/>
      <c r="DW346" s="978"/>
      <c r="DX346" s="978"/>
      <c r="DY346" s="978"/>
      <c r="DZ346" s="978"/>
      <c r="EA346" s="978"/>
      <c r="EB346" s="978"/>
      <c r="EC346" s="978"/>
      <c r="ED346" s="978"/>
      <c r="EE346" s="978"/>
      <c r="EF346" s="978"/>
      <c r="EG346" s="978"/>
      <c r="EH346" s="978"/>
      <c r="EI346" s="978"/>
      <c r="EJ346" s="978"/>
      <c r="EK346" s="978"/>
      <c r="EL346" s="978"/>
      <c r="EM346" s="978"/>
      <c r="EN346" s="978"/>
      <c r="EO346" s="978"/>
      <c r="EP346" s="978"/>
      <c r="EQ346" s="978"/>
      <c r="ER346" s="978"/>
      <c r="ES346" s="978"/>
      <c r="ET346" s="978"/>
      <c r="EU346" s="978"/>
      <c r="EV346" s="978"/>
      <c r="EW346" s="978"/>
      <c r="EX346" s="978"/>
      <c r="EY346" s="978"/>
      <c r="EZ346" s="978"/>
      <c r="FA346" s="978"/>
      <c r="FB346" s="978"/>
      <c r="FC346" s="978"/>
      <c r="FD346" s="978"/>
      <c r="FE346" s="978"/>
      <c r="FF346" s="978"/>
      <c r="FG346" s="978"/>
      <c r="FH346" s="978"/>
      <c r="FI346" s="978"/>
      <c r="FJ346" s="978"/>
      <c r="FK346" s="978"/>
      <c r="FL346" s="978"/>
      <c r="FM346" s="978"/>
      <c r="FN346" s="978"/>
      <c r="FO346" s="978"/>
      <c r="FP346" s="978"/>
      <c r="FQ346" s="978"/>
      <c r="FR346" s="978"/>
      <c r="FS346" s="978"/>
      <c r="FT346" s="978"/>
      <c r="FU346" s="978"/>
      <c r="FV346" s="978"/>
      <c r="FW346" s="978"/>
      <c r="FX346" s="978"/>
      <c r="FY346" s="978"/>
      <c r="FZ346" s="978"/>
      <c r="GA346" s="978"/>
      <c r="GB346" s="978"/>
      <c r="GC346" s="978"/>
      <c r="GD346" s="978"/>
      <c r="GE346" s="978"/>
      <c r="GF346" s="978"/>
      <c r="GG346" s="978"/>
      <c r="GH346" s="978"/>
      <c r="GI346" s="978"/>
      <c r="GJ346" s="978"/>
      <c r="GK346" s="978"/>
      <c r="GL346" s="978"/>
      <c r="GM346" s="978"/>
      <c r="GN346" s="978"/>
      <c r="GO346" s="978"/>
      <c r="GP346" s="978"/>
      <c r="GQ346" s="978"/>
      <c r="GR346" s="978"/>
      <c r="GS346" s="978"/>
      <c r="GT346" s="978"/>
      <c r="GU346" s="978"/>
      <c r="GV346" s="978"/>
      <c r="GW346" s="978"/>
      <c r="GX346" s="978"/>
      <c r="GY346" s="978"/>
      <c r="GZ346" s="978"/>
      <c r="HA346" s="978"/>
      <c r="HB346" s="978"/>
      <c r="HC346" s="978"/>
      <c r="HD346" s="978"/>
      <c r="HE346" s="978"/>
      <c r="HF346" s="978"/>
      <c r="HG346" s="978"/>
      <c r="HH346" s="978"/>
      <c r="HI346" s="978"/>
      <c r="HJ346" s="978"/>
      <c r="HK346" s="978"/>
      <c r="HL346" s="978"/>
      <c r="HM346" s="978"/>
      <c r="HN346" s="978"/>
      <c r="HO346" s="978"/>
      <c r="HP346" s="978"/>
      <c r="HQ346" s="978"/>
      <c r="HR346" s="978"/>
      <c r="HS346" s="978"/>
      <c r="HT346" s="978"/>
      <c r="HU346" s="978"/>
      <c r="HV346" s="978"/>
      <c r="HW346" s="978"/>
      <c r="HX346" s="978"/>
      <c r="HY346" s="978"/>
      <c r="HZ346" s="978"/>
      <c r="IA346" s="978"/>
      <c r="IB346" s="978"/>
      <c r="IC346" s="978"/>
      <c r="ID346" s="978"/>
      <c r="IE346" s="978"/>
      <c r="IF346" s="978"/>
      <c r="IG346" s="978"/>
      <c r="IH346" s="978"/>
      <c r="II346" s="978"/>
      <c r="IJ346" s="978"/>
      <c r="IK346" s="978"/>
      <c r="IL346" s="978"/>
      <c r="IM346" s="978"/>
      <c r="IN346" s="978"/>
      <c r="IO346" s="978"/>
      <c r="IP346" s="978"/>
      <c r="IQ346" s="978"/>
      <c r="IR346" s="978"/>
      <c r="IS346" s="978"/>
      <c r="IT346" s="978"/>
      <c r="IU346" s="978"/>
      <c r="IV346" s="978"/>
      <c r="IW346" s="978"/>
      <c r="IX346" s="978"/>
      <c r="IY346" s="978"/>
      <c r="IZ346" s="978"/>
      <c r="JA346" s="978"/>
      <c r="JB346" s="978"/>
      <c r="JC346" s="978"/>
      <c r="JD346" s="978"/>
      <c r="JE346" s="978"/>
      <c r="JF346" s="978"/>
      <c r="JG346" s="978"/>
      <c r="JH346" s="978"/>
      <c r="JI346" s="978"/>
      <c r="JJ346" s="978"/>
      <c r="JK346" s="978"/>
      <c r="JL346" s="978"/>
      <c r="JM346" s="978"/>
      <c r="JN346" s="978"/>
      <c r="JO346" s="978"/>
      <c r="JP346" s="978"/>
      <c r="JQ346" s="978"/>
      <c r="JR346" s="978"/>
      <c r="JS346" s="978"/>
      <c r="JT346" s="978"/>
      <c r="JU346" s="978"/>
      <c r="JV346" s="978"/>
      <c r="JW346" s="978"/>
      <c r="JX346" s="978"/>
      <c r="JY346" s="978"/>
      <c r="JZ346" s="978"/>
      <c r="KA346" s="978"/>
      <c r="KB346" s="978"/>
      <c r="KC346" s="978"/>
      <c r="KD346" s="978"/>
      <c r="KE346" s="978"/>
      <c r="KF346" s="978"/>
      <c r="KG346" s="978"/>
      <c r="KH346" s="978"/>
      <c r="KI346" s="978"/>
      <c r="KJ346" s="978"/>
      <c r="KK346" s="978"/>
      <c r="KL346" s="978"/>
      <c r="KM346" s="978"/>
      <c r="KN346" s="978"/>
      <c r="KO346" s="978"/>
      <c r="KP346" s="978"/>
      <c r="KQ346" s="978"/>
      <c r="KR346" s="978"/>
      <c r="KS346" s="978"/>
      <c r="KT346" s="978"/>
      <c r="KU346" s="978"/>
      <c r="KV346" s="978"/>
      <c r="KW346" s="978"/>
      <c r="KX346" s="978"/>
      <c r="KY346" s="978"/>
      <c r="KZ346" s="978"/>
      <c r="LA346" s="978"/>
      <c r="LB346" s="978"/>
      <c r="LC346" s="978"/>
      <c r="LD346" s="978"/>
      <c r="LE346" s="978"/>
      <c r="LF346" s="978"/>
      <c r="LG346" s="978"/>
      <c r="LH346" s="978"/>
      <c r="LI346" s="978"/>
      <c r="LJ346" s="978"/>
      <c r="LK346" s="978"/>
      <c r="LL346" s="978"/>
      <c r="LM346" s="978"/>
      <c r="LN346" s="978"/>
      <c r="LO346" s="978"/>
      <c r="LP346" s="978"/>
      <c r="LQ346" s="978"/>
      <c r="LR346" s="978"/>
      <c r="LS346" s="978"/>
      <c r="LT346" s="978"/>
      <c r="LU346" s="978"/>
      <c r="LV346" s="978"/>
      <c r="LW346" s="978"/>
      <c r="LX346" s="978"/>
      <c r="LY346" s="978"/>
      <c r="LZ346" s="978"/>
      <c r="MA346" s="978"/>
      <c r="MB346" s="978"/>
      <c r="MC346" s="978"/>
      <c r="MD346" s="978"/>
      <c r="ME346" s="978"/>
      <c r="MF346" s="978"/>
      <c r="MG346" s="978"/>
      <c r="MH346" s="978"/>
      <c r="MI346" s="978"/>
      <c r="MJ346" s="978"/>
      <c r="MK346" s="978"/>
      <c r="ML346" s="978"/>
      <c r="MM346" s="978"/>
      <c r="MN346" s="978"/>
      <c r="MO346" s="978"/>
      <c r="MP346" s="978"/>
      <c r="MQ346" s="978"/>
      <c r="MR346" s="978"/>
      <c r="MS346" s="978"/>
      <c r="MT346" s="978"/>
      <c r="MU346" s="978"/>
      <c r="MV346" s="978"/>
      <c r="MW346" s="978"/>
      <c r="MX346" s="978"/>
      <c r="MY346" s="978"/>
      <c r="MZ346" s="978"/>
      <c r="NA346" s="978"/>
      <c r="NB346" s="978"/>
      <c r="NC346" s="978"/>
      <c r="ND346" s="978"/>
      <c r="NE346" s="978"/>
      <c r="NF346" s="978"/>
      <c r="NG346" s="978"/>
      <c r="NH346" s="978"/>
      <c r="NI346" s="978"/>
      <c r="NJ346" s="978"/>
      <c r="NK346" s="978"/>
      <c r="NL346" s="978"/>
      <c r="NM346" s="978"/>
      <c r="NN346" s="978"/>
      <c r="NO346" s="978"/>
      <c r="NP346" s="978"/>
      <c r="NQ346" s="978"/>
      <c r="NR346" s="978"/>
      <c r="NS346" s="978"/>
      <c r="NT346" s="978"/>
      <c r="NU346" s="978"/>
      <c r="NV346" s="978"/>
      <c r="NW346" s="978"/>
      <c r="NX346" s="978"/>
      <c r="NY346" s="978"/>
      <c r="NZ346" s="978"/>
      <c r="OA346" s="978"/>
      <c r="OB346" s="978"/>
      <c r="OC346" s="978"/>
      <c r="OD346" s="978"/>
      <c r="OE346" s="978"/>
      <c r="OF346" s="978"/>
      <c r="OG346" s="978"/>
      <c r="OH346" s="978"/>
      <c r="OI346" s="978"/>
      <c r="OJ346" s="978"/>
      <c r="OK346" s="978"/>
      <c r="OL346" s="978"/>
      <c r="OM346" s="978"/>
      <c r="ON346" s="978"/>
      <c r="OO346" s="978"/>
      <c r="OP346" s="978"/>
      <c r="OQ346" s="978"/>
      <c r="OR346" s="978"/>
      <c r="OS346" s="978"/>
      <c r="OT346" s="978"/>
      <c r="OU346" s="978"/>
      <c r="OV346" s="978"/>
      <c r="OW346" s="978"/>
      <c r="OX346" s="978"/>
      <c r="OY346" s="978"/>
      <c r="OZ346" s="978"/>
      <c r="PA346" s="978"/>
      <c r="PB346" s="978"/>
      <c r="PC346" s="978"/>
      <c r="PD346" s="978"/>
      <c r="PE346" s="978"/>
      <c r="PF346" s="978"/>
      <c r="PG346" s="978"/>
      <c r="PH346" s="978"/>
      <c r="PI346" s="978"/>
      <c r="PJ346" s="978"/>
      <c r="PK346" s="978"/>
      <c r="PL346" s="978"/>
      <c r="PM346" s="978"/>
      <c r="PN346" s="978"/>
      <c r="PO346" s="978"/>
      <c r="PP346" s="978"/>
      <c r="PQ346" s="978"/>
      <c r="PR346" s="978"/>
      <c r="PS346" s="978"/>
      <c r="PT346" s="978"/>
      <c r="PU346" s="978"/>
      <c r="PV346" s="978"/>
      <c r="PW346" s="978"/>
      <c r="PX346" s="978"/>
      <c r="PY346" s="978"/>
      <c r="PZ346" s="978"/>
      <c r="QA346" s="978"/>
      <c r="QB346" s="978"/>
      <c r="QC346" s="978"/>
      <c r="QD346" s="978"/>
      <c r="QE346" s="978"/>
      <c r="QF346" s="978"/>
      <c r="QG346" s="978"/>
      <c r="QH346" s="978"/>
      <c r="QI346" s="978"/>
      <c r="QJ346" s="978"/>
      <c r="QK346" s="978"/>
      <c r="QL346" s="978"/>
      <c r="QM346" s="978"/>
      <c r="QN346" s="978"/>
      <c r="QO346" s="978"/>
      <c r="QP346" s="978"/>
      <c r="QQ346" s="978"/>
      <c r="QR346" s="978"/>
      <c r="QS346" s="978"/>
      <c r="QT346" s="978"/>
      <c r="QU346" s="978"/>
      <c r="QV346" s="978"/>
      <c r="QW346" s="978"/>
      <c r="QX346" s="978"/>
      <c r="QY346" s="978"/>
      <c r="QZ346" s="978"/>
      <c r="RA346" s="978"/>
      <c r="RB346" s="274"/>
      <c r="RC346" s="274"/>
    </row>
    <row r="347" spans="112:471" ht="17.25">
      <c r="DH347" s="274"/>
      <c r="DI347" s="274"/>
      <c r="DJ347" s="978"/>
      <c r="DK347" s="978"/>
      <c r="DL347" s="978"/>
      <c r="DM347" s="978"/>
      <c r="DN347" s="978"/>
      <c r="DO347" s="978"/>
      <c r="DP347" s="978"/>
      <c r="DQ347" s="978"/>
      <c r="DR347" s="978"/>
      <c r="DS347" s="978"/>
      <c r="DT347" s="978"/>
      <c r="DU347" s="978"/>
      <c r="DV347" s="978"/>
      <c r="DW347" s="978"/>
      <c r="DX347" s="978"/>
      <c r="DY347" s="978"/>
      <c r="DZ347" s="978"/>
      <c r="EA347" s="978"/>
      <c r="EB347" s="978"/>
      <c r="EC347" s="978"/>
      <c r="ED347" s="978"/>
      <c r="EE347" s="978"/>
      <c r="EF347" s="978"/>
      <c r="EG347" s="978"/>
      <c r="EH347" s="978"/>
      <c r="EI347" s="978"/>
      <c r="EJ347" s="978"/>
      <c r="EK347" s="978"/>
      <c r="EL347" s="978"/>
      <c r="EM347" s="978"/>
      <c r="EN347" s="978"/>
      <c r="EO347" s="978"/>
      <c r="EP347" s="978"/>
      <c r="EQ347" s="978"/>
      <c r="ER347" s="978"/>
      <c r="ES347" s="978"/>
      <c r="ET347" s="978"/>
      <c r="EU347" s="978"/>
      <c r="EV347" s="978"/>
      <c r="EW347" s="978"/>
      <c r="EX347" s="978"/>
      <c r="EY347" s="978"/>
      <c r="EZ347" s="978"/>
      <c r="FA347" s="978"/>
      <c r="FB347" s="978"/>
      <c r="FC347" s="978"/>
      <c r="FD347" s="978"/>
      <c r="FE347" s="978"/>
      <c r="FF347" s="978"/>
      <c r="FG347" s="978"/>
      <c r="FH347" s="978"/>
      <c r="FI347" s="978"/>
      <c r="FJ347" s="978"/>
      <c r="FK347" s="978"/>
      <c r="FL347" s="978"/>
      <c r="FM347" s="978"/>
      <c r="FN347" s="978"/>
      <c r="FO347" s="978"/>
      <c r="FP347" s="978"/>
      <c r="FQ347" s="978"/>
      <c r="FR347" s="978"/>
      <c r="FS347" s="978"/>
      <c r="FT347" s="978"/>
      <c r="FU347" s="978"/>
      <c r="FV347" s="978"/>
      <c r="FW347" s="978"/>
      <c r="FX347" s="978"/>
      <c r="FY347" s="978"/>
      <c r="FZ347" s="978"/>
      <c r="GA347" s="978"/>
      <c r="GB347" s="978"/>
      <c r="GC347" s="978"/>
      <c r="GD347" s="978"/>
      <c r="GE347" s="978"/>
      <c r="GF347" s="978"/>
      <c r="GG347" s="978"/>
      <c r="GH347" s="978"/>
      <c r="GI347" s="978"/>
      <c r="GJ347" s="978"/>
      <c r="GK347" s="978"/>
      <c r="GL347" s="978"/>
      <c r="GM347" s="978"/>
      <c r="GN347" s="978"/>
      <c r="GO347" s="978"/>
      <c r="GP347" s="978"/>
      <c r="GQ347" s="978"/>
      <c r="GR347" s="978"/>
      <c r="GS347" s="978"/>
      <c r="GT347" s="978"/>
      <c r="GU347" s="978"/>
      <c r="GV347" s="978"/>
      <c r="GW347" s="978"/>
      <c r="GX347" s="978"/>
      <c r="GY347" s="978"/>
      <c r="GZ347" s="978"/>
      <c r="HA347" s="978"/>
      <c r="HB347" s="978"/>
      <c r="HC347" s="978"/>
      <c r="HD347" s="978"/>
      <c r="HE347" s="978"/>
      <c r="HF347" s="978"/>
      <c r="HG347" s="978"/>
      <c r="HH347" s="978"/>
      <c r="HI347" s="978"/>
      <c r="HJ347" s="978"/>
      <c r="HK347" s="978"/>
      <c r="HL347" s="978"/>
      <c r="HM347" s="978"/>
      <c r="HN347" s="978"/>
      <c r="HO347" s="978"/>
      <c r="HP347" s="978"/>
      <c r="HQ347" s="978"/>
      <c r="HR347" s="978"/>
      <c r="HS347" s="978"/>
      <c r="HT347" s="978"/>
      <c r="HU347" s="978"/>
      <c r="HV347" s="978"/>
      <c r="HW347" s="978"/>
      <c r="HX347" s="978"/>
      <c r="HY347" s="978"/>
      <c r="HZ347" s="978"/>
      <c r="IA347" s="978"/>
      <c r="IB347" s="978"/>
      <c r="IC347" s="978"/>
      <c r="ID347" s="978"/>
      <c r="IE347" s="978"/>
      <c r="IF347" s="978"/>
      <c r="IG347" s="978"/>
      <c r="IH347" s="978"/>
      <c r="II347" s="978"/>
      <c r="IJ347" s="978"/>
      <c r="IK347" s="978"/>
      <c r="IL347" s="978"/>
      <c r="IM347" s="978"/>
      <c r="IN347" s="978"/>
      <c r="IO347" s="978"/>
      <c r="IP347" s="978"/>
      <c r="IQ347" s="978"/>
      <c r="IR347" s="978"/>
      <c r="IS347" s="978"/>
      <c r="IT347" s="978"/>
      <c r="IU347" s="978"/>
      <c r="IV347" s="978"/>
      <c r="IW347" s="978"/>
      <c r="IX347" s="978"/>
      <c r="IY347" s="978"/>
      <c r="IZ347" s="978"/>
      <c r="JA347" s="978"/>
      <c r="JB347" s="978"/>
      <c r="JC347" s="978"/>
      <c r="JD347" s="978"/>
      <c r="JE347" s="978"/>
      <c r="JF347" s="978"/>
      <c r="JG347" s="978"/>
      <c r="JH347" s="978"/>
      <c r="JI347" s="978"/>
      <c r="JJ347" s="978"/>
      <c r="JK347" s="978"/>
      <c r="JL347" s="978"/>
      <c r="JM347" s="978"/>
      <c r="JN347" s="978"/>
      <c r="JO347" s="978"/>
      <c r="JP347" s="978"/>
      <c r="JQ347" s="978"/>
      <c r="JR347" s="978"/>
      <c r="JS347" s="978"/>
      <c r="JT347" s="978"/>
      <c r="JU347" s="978"/>
      <c r="JV347" s="978"/>
      <c r="JW347" s="978"/>
      <c r="JX347" s="978"/>
      <c r="JY347" s="978"/>
      <c r="JZ347" s="978"/>
      <c r="KA347" s="978"/>
      <c r="KB347" s="978"/>
      <c r="KC347" s="978"/>
      <c r="KD347" s="978"/>
      <c r="KE347" s="978"/>
      <c r="KF347" s="978"/>
      <c r="KG347" s="978"/>
      <c r="KH347" s="978"/>
      <c r="KI347" s="978"/>
      <c r="KJ347" s="978"/>
      <c r="KK347" s="978"/>
      <c r="KL347" s="978"/>
      <c r="KM347" s="978"/>
      <c r="KN347" s="978"/>
      <c r="KO347" s="978"/>
      <c r="KP347" s="978"/>
      <c r="KQ347" s="978"/>
      <c r="KR347" s="978"/>
      <c r="KS347" s="978"/>
      <c r="KT347" s="978"/>
      <c r="KU347" s="978"/>
      <c r="KV347" s="978"/>
      <c r="KW347" s="978"/>
      <c r="KX347" s="978"/>
      <c r="KY347" s="978"/>
      <c r="KZ347" s="978"/>
      <c r="LA347" s="978"/>
      <c r="LB347" s="978"/>
      <c r="LC347" s="978"/>
      <c r="LD347" s="978"/>
      <c r="LE347" s="978"/>
      <c r="LF347" s="978"/>
      <c r="LG347" s="978"/>
      <c r="LH347" s="978"/>
      <c r="LI347" s="978"/>
      <c r="LJ347" s="978"/>
      <c r="LK347" s="978"/>
      <c r="LL347" s="978"/>
      <c r="LM347" s="978"/>
      <c r="LN347" s="978"/>
      <c r="LO347" s="978"/>
      <c r="LP347" s="978"/>
      <c r="LQ347" s="978"/>
      <c r="LR347" s="978"/>
      <c r="LS347" s="978"/>
      <c r="LT347" s="978"/>
      <c r="LU347" s="978"/>
      <c r="LV347" s="978"/>
      <c r="LW347" s="978"/>
      <c r="LX347" s="978"/>
      <c r="LY347" s="978"/>
      <c r="LZ347" s="978"/>
      <c r="MA347" s="978"/>
      <c r="MB347" s="978"/>
      <c r="MC347" s="978"/>
      <c r="MD347" s="978"/>
      <c r="ME347" s="978"/>
      <c r="MF347" s="978"/>
      <c r="MG347" s="978"/>
      <c r="MH347" s="978"/>
      <c r="MI347" s="978"/>
      <c r="MJ347" s="978"/>
      <c r="MK347" s="978"/>
      <c r="ML347" s="978"/>
      <c r="MM347" s="978"/>
      <c r="MN347" s="978"/>
      <c r="MO347" s="978"/>
      <c r="MP347" s="978"/>
      <c r="MQ347" s="978"/>
      <c r="MR347" s="978"/>
      <c r="MS347" s="978"/>
      <c r="MT347" s="978"/>
      <c r="MU347" s="978"/>
      <c r="MV347" s="978"/>
      <c r="MW347" s="978"/>
      <c r="MX347" s="978"/>
      <c r="MY347" s="978"/>
      <c r="MZ347" s="978"/>
      <c r="NA347" s="978"/>
      <c r="NB347" s="978"/>
      <c r="NC347" s="978"/>
      <c r="ND347" s="978"/>
      <c r="NE347" s="978"/>
      <c r="NF347" s="978"/>
      <c r="NG347" s="978"/>
      <c r="NH347" s="978"/>
      <c r="NI347" s="978"/>
      <c r="NJ347" s="978"/>
      <c r="NK347" s="978"/>
      <c r="NL347" s="978"/>
      <c r="NM347" s="978"/>
      <c r="NN347" s="978"/>
      <c r="NO347" s="978"/>
      <c r="NP347" s="978"/>
      <c r="NQ347" s="978"/>
      <c r="NR347" s="978"/>
      <c r="NS347" s="978"/>
      <c r="NT347" s="978"/>
      <c r="NU347" s="978"/>
      <c r="NV347" s="978"/>
      <c r="NW347" s="978"/>
      <c r="NX347" s="978"/>
      <c r="NY347" s="978"/>
      <c r="NZ347" s="978"/>
      <c r="OA347" s="978"/>
      <c r="OB347" s="978"/>
      <c r="OC347" s="978"/>
      <c r="OD347" s="978"/>
      <c r="OE347" s="978"/>
      <c r="OF347" s="978"/>
      <c r="OG347" s="978"/>
      <c r="OH347" s="978"/>
      <c r="OI347" s="978"/>
      <c r="OJ347" s="978"/>
      <c r="OK347" s="978"/>
      <c r="OL347" s="978"/>
      <c r="OM347" s="978"/>
      <c r="ON347" s="978"/>
      <c r="OO347" s="978"/>
      <c r="OP347" s="978"/>
      <c r="OQ347" s="978"/>
      <c r="OR347" s="978"/>
      <c r="OS347" s="978"/>
      <c r="OT347" s="978"/>
      <c r="OU347" s="978"/>
      <c r="OV347" s="978"/>
      <c r="OW347" s="978"/>
      <c r="OX347" s="978"/>
      <c r="OY347" s="978"/>
      <c r="OZ347" s="978"/>
      <c r="PA347" s="978"/>
      <c r="PB347" s="978"/>
      <c r="PC347" s="978"/>
      <c r="PD347" s="978"/>
      <c r="PE347" s="978"/>
      <c r="PF347" s="978"/>
      <c r="PG347" s="978"/>
      <c r="PH347" s="978"/>
      <c r="PI347" s="978"/>
      <c r="PJ347" s="978"/>
      <c r="PK347" s="978"/>
      <c r="PL347" s="978"/>
      <c r="PM347" s="978"/>
      <c r="PN347" s="978"/>
      <c r="PO347" s="978"/>
      <c r="PP347" s="978"/>
      <c r="PQ347" s="978"/>
      <c r="PR347" s="978"/>
      <c r="PS347" s="978"/>
      <c r="PT347" s="978"/>
      <c r="PU347" s="978"/>
      <c r="PV347" s="978"/>
      <c r="PW347" s="978"/>
      <c r="PX347" s="978"/>
      <c r="PY347" s="978"/>
      <c r="PZ347" s="978"/>
      <c r="QA347" s="978"/>
      <c r="QB347" s="978"/>
      <c r="QC347" s="978"/>
      <c r="QD347" s="978"/>
      <c r="QE347" s="978"/>
      <c r="QF347" s="978"/>
      <c r="QG347" s="978"/>
      <c r="QH347" s="978"/>
      <c r="QI347" s="978"/>
      <c r="QJ347" s="978"/>
      <c r="QK347" s="978"/>
      <c r="QL347" s="978"/>
      <c r="QM347" s="978"/>
      <c r="QN347" s="978"/>
      <c r="QO347" s="978"/>
      <c r="QP347" s="978"/>
      <c r="QQ347" s="978"/>
      <c r="QR347" s="978"/>
      <c r="QS347" s="978"/>
      <c r="QT347" s="978"/>
      <c r="QU347" s="978"/>
      <c r="QV347" s="978"/>
      <c r="QW347" s="978"/>
      <c r="QX347" s="978"/>
      <c r="QY347" s="978"/>
      <c r="QZ347" s="978"/>
      <c r="RA347" s="978"/>
      <c r="RB347" s="274"/>
      <c r="RC347" s="274"/>
    </row>
    <row r="348" spans="112:471" ht="17.25">
      <c r="DH348" s="274"/>
      <c r="DI348" s="274"/>
      <c r="DJ348" s="978"/>
      <c r="DK348" s="978"/>
      <c r="DL348" s="978"/>
      <c r="DM348" s="978"/>
      <c r="DN348" s="978"/>
      <c r="DO348" s="978"/>
      <c r="DP348" s="978"/>
      <c r="DQ348" s="978"/>
      <c r="DR348" s="978"/>
      <c r="DS348" s="978"/>
      <c r="DT348" s="978"/>
      <c r="DU348" s="978"/>
      <c r="DV348" s="978"/>
      <c r="DW348" s="978"/>
      <c r="DX348" s="978"/>
      <c r="DY348" s="978"/>
      <c r="DZ348" s="978"/>
      <c r="EA348" s="978"/>
      <c r="EB348" s="978"/>
      <c r="EC348" s="978"/>
      <c r="ED348" s="978"/>
      <c r="EE348" s="978"/>
      <c r="EF348" s="978"/>
      <c r="EG348" s="978"/>
      <c r="EH348" s="978"/>
      <c r="EI348" s="978"/>
      <c r="EJ348" s="978"/>
      <c r="EK348" s="978"/>
      <c r="EL348" s="978"/>
      <c r="EM348" s="978"/>
      <c r="EN348" s="978"/>
      <c r="EO348" s="978"/>
      <c r="EP348" s="978"/>
      <c r="EQ348" s="978"/>
      <c r="ER348" s="978"/>
      <c r="ES348" s="978"/>
      <c r="ET348" s="978"/>
      <c r="EU348" s="978"/>
      <c r="EV348" s="978"/>
      <c r="EW348" s="978"/>
      <c r="EX348" s="978"/>
      <c r="EY348" s="978"/>
      <c r="EZ348" s="978"/>
      <c r="FA348" s="978"/>
      <c r="FB348" s="978"/>
      <c r="FC348" s="978"/>
      <c r="FD348" s="978"/>
      <c r="FE348" s="978"/>
      <c r="FF348" s="978"/>
      <c r="FG348" s="978"/>
      <c r="FH348" s="978"/>
      <c r="FI348" s="978"/>
      <c r="FJ348" s="978"/>
      <c r="FK348" s="978"/>
      <c r="FL348" s="978"/>
      <c r="FM348" s="978"/>
      <c r="FN348" s="978"/>
      <c r="FO348" s="978"/>
      <c r="FP348" s="978"/>
      <c r="FQ348" s="978"/>
      <c r="FR348" s="978"/>
      <c r="FS348" s="978"/>
      <c r="FT348" s="978"/>
      <c r="FU348" s="978"/>
      <c r="FV348" s="978"/>
      <c r="FW348" s="978"/>
      <c r="FX348" s="978"/>
      <c r="FY348" s="978"/>
      <c r="FZ348" s="978"/>
      <c r="GA348" s="978"/>
      <c r="GB348" s="978"/>
      <c r="GC348" s="978"/>
      <c r="GD348" s="978"/>
      <c r="GE348" s="978"/>
      <c r="GF348" s="978"/>
      <c r="GG348" s="978"/>
      <c r="GH348" s="978"/>
      <c r="GI348" s="978"/>
      <c r="GJ348" s="978"/>
      <c r="GK348" s="978"/>
      <c r="GL348" s="978"/>
      <c r="GM348" s="978"/>
      <c r="GN348" s="978"/>
      <c r="GO348" s="978"/>
      <c r="GP348" s="978"/>
      <c r="GQ348" s="978"/>
      <c r="GR348" s="978"/>
      <c r="GS348" s="978"/>
      <c r="GT348" s="978"/>
      <c r="GU348" s="978"/>
      <c r="GV348" s="978"/>
      <c r="GW348" s="978"/>
      <c r="GX348" s="978"/>
      <c r="GY348" s="978"/>
      <c r="GZ348" s="978"/>
      <c r="HA348" s="978"/>
      <c r="HB348" s="978"/>
      <c r="HC348" s="978"/>
      <c r="HD348" s="978"/>
      <c r="HE348" s="978"/>
      <c r="HF348" s="978"/>
      <c r="HG348" s="978"/>
      <c r="HH348" s="978"/>
      <c r="HI348" s="978"/>
      <c r="HJ348" s="978"/>
      <c r="HK348" s="978"/>
      <c r="HL348" s="978"/>
      <c r="HM348" s="978"/>
      <c r="HN348" s="978"/>
      <c r="HO348" s="978"/>
      <c r="HP348" s="978"/>
      <c r="HQ348" s="978"/>
      <c r="HR348" s="978"/>
      <c r="HS348" s="978"/>
      <c r="HT348" s="978"/>
      <c r="HU348" s="978"/>
      <c r="HV348" s="978"/>
      <c r="HW348" s="978"/>
      <c r="HX348" s="978"/>
      <c r="HY348" s="978"/>
      <c r="HZ348" s="978"/>
      <c r="IA348" s="978"/>
      <c r="IB348" s="978"/>
      <c r="IC348" s="978"/>
      <c r="ID348" s="978"/>
      <c r="IE348" s="978"/>
      <c r="IF348" s="978"/>
      <c r="IG348" s="978"/>
      <c r="IH348" s="978"/>
      <c r="II348" s="978"/>
      <c r="IJ348" s="978"/>
      <c r="IK348" s="978"/>
      <c r="IL348" s="978"/>
      <c r="IM348" s="978"/>
      <c r="IN348" s="978"/>
      <c r="IO348" s="978"/>
      <c r="IP348" s="978"/>
      <c r="IQ348" s="978"/>
      <c r="IR348" s="978"/>
      <c r="IS348" s="978"/>
      <c r="IT348" s="978"/>
      <c r="IU348" s="978"/>
      <c r="IV348" s="978"/>
      <c r="IW348" s="978"/>
      <c r="IX348" s="978"/>
      <c r="IY348" s="978"/>
      <c r="IZ348" s="978"/>
      <c r="JA348" s="978"/>
      <c r="JB348" s="978"/>
      <c r="JC348" s="978"/>
      <c r="JD348" s="978"/>
      <c r="JE348" s="978"/>
      <c r="JF348" s="978"/>
      <c r="JG348" s="978"/>
      <c r="JH348" s="978"/>
      <c r="JI348" s="978"/>
      <c r="JJ348" s="978"/>
      <c r="JK348" s="978"/>
      <c r="JL348" s="978"/>
      <c r="JM348" s="978"/>
      <c r="JN348" s="978"/>
      <c r="JO348" s="978"/>
      <c r="JP348" s="978"/>
      <c r="JQ348" s="978"/>
      <c r="JR348" s="978"/>
      <c r="JS348" s="978"/>
      <c r="JT348" s="978"/>
      <c r="JU348" s="978"/>
      <c r="JV348" s="978"/>
      <c r="JW348" s="978"/>
      <c r="JX348" s="978"/>
      <c r="JY348" s="978"/>
      <c r="JZ348" s="978"/>
      <c r="KA348" s="978"/>
      <c r="KB348" s="978"/>
      <c r="KC348" s="978"/>
      <c r="KD348" s="978"/>
      <c r="KE348" s="978"/>
      <c r="KF348" s="978"/>
      <c r="KG348" s="978"/>
      <c r="KH348" s="978"/>
      <c r="KI348" s="978"/>
      <c r="KJ348" s="978"/>
      <c r="KK348" s="978"/>
      <c r="KL348" s="978"/>
      <c r="KM348" s="978"/>
      <c r="KN348" s="978"/>
      <c r="KO348" s="978"/>
      <c r="KP348" s="978"/>
      <c r="KQ348" s="978"/>
      <c r="KR348" s="978"/>
      <c r="KS348" s="978"/>
      <c r="KT348" s="978"/>
      <c r="KU348" s="978"/>
      <c r="KV348" s="978"/>
      <c r="KW348" s="978"/>
      <c r="KX348" s="978"/>
      <c r="KY348" s="978"/>
      <c r="KZ348" s="978"/>
      <c r="LA348" s="978"/>
      <c r="LB348" s="978"/>
      <c r="LC348" s="978"/>
      <c r="LD348" s="978"/>
      <c r="LE348" s="978"/>
      <c r="LF348" s="978"/>
      <c r="LG348" s="978"/>
      <c r="LH348" s="978"/>
      <c r="LI348" s="978"/>
      <c r="LJ348" s="978"/>
      <c r="LK348" s="978"/>
      <c r="LL348" s="978"/>
      <c r="LM348" s="978"/>
      <c r="LN348" s="978"/>
      <c r="LO348" s="978"/>
      <c r="LP348" s="978"/>
      <c r="LQ348" s="978"/>
      <c r="LR348" s="978"/>
      <c r="LS348" s="978"/>
      <c r="LT348" s="978"/>
      <c r="LU348" s="978"/>
      <c r="LV348" s="978"/>
      <c r="LW348" s="978"/>
      <c r="LX348" s="978"/>
      <c r="LY348" s="978"/>
      <c r="LZ348" s="978"/>
      <c r="MA348" s="978"/>
      <c r="MB348" s="978"/>
      <c r="MC348" s="978"/>
      <c r="MD348" s="978"/>
      <c r="ME348" s="978"/>
      <c r="MF348" s="978"/>
      <c r="MG348" s="978"/>
      <c r="MH348" s="978"/>
      <c r="MI348" s="978"/>
      <c r="MJ348" s="978"/>
      <c r="MK348" s="978"/>
      <c r="ML348" s="978"/>
      <c r="MM348" s="978"/>
      <c r="MN348" s="978"/>
      <c r="MO348" s="978"/>
      <c r="MP348" s="978"/>
      <c r="MQ348" s="978"/>
      <c r="MR348" s="978"/>
      <c r="MS348" s="978"/>
      <c r="MT348" s="978"/>
      <c r="MU348" s="978"/>
      <c r="MV348" s="978"/>
      <c r="MW348" s="978"/>
      <c r="MX348" s="978"/>
      <c r="MY348" s="978"/>
      <c r="MZ348" s="978"/>
      <c r="NA348" s="978"/>
      <c r="NB348" s="978"/>
      <c r="NC348" s="978"/>
      <c r="ND348" s="978"/>
      <c r="NE348" s="978"/>
      <c r="NF348" s="978"/>
      <c r="NG348" s="978"/>
      <c r="NH348" s="978"/>
      <c r="NI348" s="978"/>
      <c r="NJ348" s="978"/>
      <c r="NK348" s="978"/>
      <c r="NL348" s="978"/>
      <c r="NM348" s="978"/>
      <c r="NN348" s="978"/>
      <c r="NO348" s="978"/>
      <c r="NP348" s="978"/>
      <c r="NQ348" s="978"/>
      <c r="NR348" s="978"/>
      <c r="NS348" s="978"/>
      <c r="NT348" s="978"/>
      <c r="NU348" s="978"/>
      <c r="NV348" s="978"/>
      <c r="NW348" s="978"/>
      <c r="NX348" s="978"/>
      <c r="NY348" s="978"/>
      <c r="NZ348" s="978"/>
      <c r="OA348" s="978"/>
      <c r="OB348" s="978"/>
      <c r="OC348" s="978"/>
      <c r="OD348" s="978"/>
      <c r="OE348" s="978"/>
      <c r="OF348" s="978"/>
      <c r="OG348" s="978"/>
      <c r="OH348" s="978"/>
      <c r="OI348" s="978"/>
      <c r="OJ348" s="978"/>
      <c r="OK348" s="978"/>
      <c r="OL348" s="978"/>
      <c r="OM348" s="978"/>
      <c r="ON348" s="978"/>
      <c r="OO348" s="978"/>
      <c r="OP348" s="978"/>
      <c r="OQ348" s="978"/>
      <c r="OR348" s="978"/>
      <c r="OS348" s="978"/>
      <c r="OT348" s="978"/>
      <c r="OU348" s="978"/>
      <c r="OV348" s="978"/>
      <c r="OW348" s="978"/>
      <c r="OX348" s="978"/>
      <c r="OY348" s="978"/>
      <c r="OZ348" s="978"/>
      <c r="PA348" s="978"/>
      <c r="PB348" s="978"/>
      <c r="PC348" s="978"/>
      <c r="PD348" s="978"/>
      <c r="PE348" s="978"/>
      <c r="PF348" s="978"/>
      <c r="PG348" s="978"/>
      <c r="PH348" s="978"/>
      <c r="PI348" s="978"/>
      <c r="PJ348" s="978"/>
      <c r="PK348" s="978"/>
      <c r="PL348" s="978"/>
      <c r="PM348" s="978"/>
      <c r="PN348" s="978"/>
      <c r="PO348" s="978"/>
      <c r="PP348" s="978"/>
      <c r="PQ348" s="978"/>
      <c r="PR348" s="978"/>
      <c r="PS348" s="978"/>
      <c r="PT348" s="978"/>
      <c r="PU348" s="978"/>
      <c r="PV348" s="978"/>
      <c r="PW348" s="978"/>
      <c r="PX348" s="978"/>
      <c r="PY348" s="978"/>
      <c r="PZ348" s="978"/>
      <c r="QA348" s="978"/>
      <c r="QB348" s="978"/>
      <c r="QC348" s="978"/>
      <c r="QD348" s="978"/>
      <c r="QE348" s="978"/>
      <c r="QF348" s="978"/>
      <c r="QG348" s="978"/>
      <c r="QH348" s="978"/>
      <c r="QI348" s="978"/>
      <c r="QJ348" s="978"/>
      <c r="QK348" s="978"/>
      <c r="QL348" s="978"/>
      <c r="QM348" s="978"/>
      <c r="QN348" s="978"/>
      <c r="QO348" s="978"/>
      <c r="QP348" s="978"/>
      <c r="QQ348" s="978"/>
      <c r="QR348" s="978"/>
      <c r="QS348" s="978"/>
      <c r="QT348" s="978"/>
      <c r="QU348" s="978"/>
      <c r="QV348" s="978"/>
      <c r="QW348" s="978"/>
      <c r="QX348" s="978"/>
      <c r="QY348" s="978"/>
      <c r="QZ348" s="978"/>
      <c r="RA348" s="978"/>
      <c r="RB348" s="274"/>
      <c r="RC348" s="274"/>
    </row>
    <row r="349" spans="112:471" ht="17.25">
      <c r="DH349" s="274"/>
      <c r="DI349" s="274"/>
      <c r="DJ349" s="978"/>
      <c r="DK349" s="978"/>
      <c r="DL349" s="978"/>
      <c r="DM349" s="978"/>
      <c r="DN349" s="978"/>
      <c r="DO349" s="978"/>
      <c r="DP349" s="978"/>
      <c r="DQ349" s="978"/>
      <c r="DR349" s="978"/>
      <c r="DS349" s="978"/>
      <c r="DT349" s="978"/>
      <c r="DU349" s="978"/>
      <c r="DV349" s="978"/>
      <c r="DW349" s="978"/>
      <c r="DX349" s="978"/>
      <c r="DY349" s="978"/>
      <c r="DZ349" s="978"/>
      <c r="EA349" s="978"/>
      <c r="EB349" s="978"/>
      <c r="EC349" s="978"/>
      <c r="ED349" s="978"/>
      <c r="EE349" s="978"/>
      <c r="EF349" s="978"/>
      <c r="EG349" s="978"/>
      <c r="EH349" s="978"/>
      <c r="EI349" s="978"/>
      <c r="EJ349" s="978"/>
      <c r="EK349" s="978"/>
      <c r="EL349" s="978"/>
      <c r="EM349" s="978"/>
      <c r="EN349" s="978"/>
      <c r="EO349" s="978"/>
      <c r="EP349" s="978"/>
      <c r="EQ349" s="978"/>
      <c r="ER349" s="978"/>
      <c r="ES349" s="978"/>
      <c r="ET349" s="978"/>
      <c r="EU349" s="978"/>
      <c r="EV349" s="978"/>
      <c r="EW349" s="978"/>
      <c r="EX349" s="978"/>
      <c r="EY349" s="978"/>
      <c r="EZ349" s="978"/>
      <c r="FA349" s="978"/>
      <c r="FB349" s="978"/>
      <c r="FC349" s="978"/>
      <c r="FD349" s="978"/>
      <c r="FE349" s="978"/>
      <c r="FF349" s="978"/>
      <c r="FG349" s="978"/>
      <c r="FH349" s="978"/>
      <c r="FI349" s="978"/>
      <c r="FJ349" s="978"/>
      <c r="FK349" s="978"/>
      <c r="FL349" s="978"/>
      <c r="FM349" s="978"/>
      <c r="FN349" s="978"/>
      <c r="FO349" s="978"/>
      <c r="FP349" s="978"/>
      <c r="FQ349" s="978"/>
      <c r="FR349" s="978"/>
      <c r="FS349" s="978"/>
      <c r="FT349" s="978"/>
      <c r="FU349" s="978"/>
      <c r="FV349" s="978"/>
      <c r="FW349" s="978"/>
      <c r="FX349" s="978"/>
      <c r="FY349" s="978"/>
      <c r="FZ349" s="978"/>
      <c r="GA349" s="978"/>
      <c r="GB349" s="978"/>
      <c r="GC349" s="978"/>
      <c r="GD349" s="978"/>
      <c r="GE349" s="978"/>
      <c r="GF349" s="978"/>
      <c r="GG349" s="978"/>
      <c r="GH349" s="978"/>
      <c r="GI349" s="978"/>
      <c r="GJ349" s="978"/>
      <c r="GK349" s="978"/>
      <c r="GL349" s="978"/>
      <c r="GM349" s="978"/>
      <c r="GN349" s="978"/>
      <c r="GO349" s="978"/>
      <c r="GP349" s="978"/>
      <c r="GQ349" s="978"/>
      <c r="GR349" s="978"/>
      <c r="GS349" s="978"/>
      <c r="GT349" s="978"/>
      <c r="GU349" s="978"/>
      <c r="GV349" s="978"/>
      <c r="GW349" s="978"/>
      <c r="GX349" s="978"/>
      <c r="GY349" s="978"/>
      <c r="GZ349" s="978"/>
      <c r="HA349" s="978"/>
      <c r="HB349" s="978"/>
      <c r="HC349" s="978"/>
      <c r="HD349" s="978"/>
      <c r="HE349" s="978"/>
      <c r="HF349" s="978"/>
      <c r="HG349" s="978"/>
      <c r="HH349" s="978"/>
      <c r="HI349" s="978"/>
      <c r="HJ349" s="978"/>
      <c r="HK349" s="978"/>
      <c r="HL349" s="978"/>
      <c r="HM349" s="978"/>
      <c r="HN349" s="978"/>
      <c r="HO349" s="978"/>
      <c r="HP349" s="978"/>
      <c r="HQ349" s="978"/>
      <c r="HR349" s="978"/>
      <c r="HS349" s="978"/>
      <c r="HT349" s="978"/>
      <c r="HU349" s="978"/>
      <c r="HV349" s="978"/>
      <c r="HW349" s="978"/>
      <c r="HX349" s="978"/>
      <c r="HY349" s="978"/>
      <c r="HZ349" s="978"/>
      <c r="IA349" s="978"/>
      <c r="IB349" s="978"/>
      <c r="IC349" s="978"/>
      <c r="ID349" s="978"/>
      <c r="IE349" s="978"/>
      <c r="IF349" s="978"/>
      <c r="IG349" s="978"/>
      <c r="IH349" s="978"/>
      <c r="II349" s="978"/>
      <c r="IJ349" s="978"/>
      <c r="IK349" s="978"/>
      <c r="IL349" s="978"/>
      <c r="IM349" s="978"/>
      <c r="IN349" s="978"/>
      <c r="IO349" s="978"/>
      <c r="IP349" s="978"/>
      <c r="IQ349" s="978"/>
      <c r="IR349" s="978"/>
      <c r="IS349" s="978"/>
      <c r="IT349" s="978"/>
      <c r="IU349" s="978"/>
      <c r="IV349" s="978"/>
      <c r="IW349" s="978"/>
      <c r="IX349" s="978"/>
      <c r="IY349" s="978"/>
      <c r="IZ349" s="978"/>
      <c r="JA349" s="978"/>
      <c r="JB349" s="978"/>
      <c r="JC349" s="978"/>
      <c r="JD349" s="978"/>
      <c r="JE349" s="978"/>
      <c r="JF349" s="978"/>
      <c r="JG349" s="978"/>
      <c r="JH349" s="978"/>
      <c r="JI349" s="978"/>
      <c r="JJ349" s="978"/>
      <c r="JK349" s="978"/>
      <c r="JL349" s="978"/>
      <c r="JM349" s="978"/>
      <c r="JN349" s="978"/>
      <c r="JO349" s="978"/>
      <c r="JP349" s="978"/>
      <c r="JQ349" s="978"/>
      <c r="JR349" s="978"/>
      <c r="JS349" s="978"/>
      <c r="JT349" s="978"/>
      <c r="JU349" s="978"/>
      <c r="JV349" s="978"/>
      <c r="JW349" s="978"/>
      <c r="JX349" s="978"/>
      <c r="JY349" s="978"/>
      <c r="JZ349" s="978"/>
      <c r="KA349" s="978"/>
      <c r="KB349" s="978"/>
      <c r="KC349" s="978"/>
      <c r="KD349" s="978"/>
      <c r="KE349" s="978"/>
      <c r="KF349" s="978"/>
      <c r="KG349" s="978"/>
      <c r="KH349" s="978"/>
      <c r="KI349" s="978"/>
      <c r="KJ349" s="978"/>
      <c r="KK349" s="978"/>
      <c r="KL349" s="978"/>
      <c r="KM349" s="978"/>
      <c r="KN349" s="978"/>
      <c r="KO349" s="978"/>
      <c r="KP349" s="978"/>
      <c r="KQ349" s="978"/>
      <c r="KR349" s="978"/>
      <c r="KS349" s="978"/>
      <c r="KT349" s="978"/>
      <c r="KU349" s="978"/>
      <c r="KV349" s="978"/>
      <c r="KW349" s="978"/>
      <c r="KX349" s="978"/>
      <c r="KY349" s="978"/>
      <c r="KZ349" s="978"/>
      <c r="LA349" s="978"/>
      <c r="LB349" s="978"/>
      <c r="LC349" s="978"/>
      <c r="LD349" s="978"/>
      <c r="LE349" s="978"/>
      <c r="LF349" s="978"/>
      <c r="LG349" s="978"/>
      <c r="LH349" s="978"/>
      <c r="LI349" s="978"/>
      <c r="LJ349" s="978"/>
      <c r="LK349" s="978"/>
      <c r="LL349" s="978"/>
      <c r="LM349" s="978"/>
      <c r="LN349" s="978"/>
      <c r="LO349" s="978"/>
      <c r="LP349" s="978"/>
      <c r="LQ349" s="978"/>
      <c r="LR349" s="978"/>
      <c r="LS349" s="978"/>
      <c r="LT349" s="978"/>
      <c r="LU349" s="978"/>
      <c r="LV349" s="978"/>
      <c r="LW349" s="978"/>
      <c r="LX349" s="978"/>
      <c r="LY349" s="978"/>
      <c r="LZ349" s="978"/>
      <c r="MA349" s="978"/>
      <c r="MB349" s="978"/>
      <c r="MC349" s="978"/>
      <c r="MD349" s="978"/>
      <c r="ME349" s="978"/>
      <c r="MF349" s="978"/>
      <c r="MG349" s="978"/>
      <c r="MH349" s="978"/>
      <c r="MI349" s="978"/>
      <c r="MJ349" s="978"/>
      <c r="MK349" s="978"/>
      <c r="ML349" s="978"/>
      <c r="MM349" s="978"/>
      <c r="MN349" s="978"/>
      <c r="MO349" s="978"/>
      <c r="MP349" s="978"/>
      <c r="MQ349" s="978"/>
      <c r="MR349" s="978"/>
      <c r="MS349" s="978"/>
      <c r="MT349" s="978"/>
      <c r="MU349" s="978"/>
      <c r="MV349" s="978"/>
      <c r="MW349" s="978"/>
      <c r="MX349" s="978"/>
      <c r="MY349" s="978"/>
      <c r="MZ349" s="978"/>
      <c r="NA349" s="978"/>
      <c r="NB349" s="978"/>
      <c r="NC349" s="978"/>
      <c r="ND349" s="978"/>
      <c r="NE349" s="978"/>
      <c r="NF349" s="978"/>
      <c r="NG349" s="978"/>
      <c r="NH349" s="978"/>
      <c r="NI349" s="978"/>
      <c r="NJ349" s="978"/>
      <c r="NK349" s="978"/>
      <c r="NL349" s="978"/>
      <c r="NM349" s="978"/>
      <c r="NN349" s="978"/>
      <c r="NO349" s="978"/>
      <c r="NP349" s="978"/>
      <c r="NQ349" s="978"/>
      <c r="NR349" s="978"/>
      <c r="NS349" s="978"/>
      <c r="NT349" s="978"/>
      <c r="NU349" s="978"/>
      <c r="NV349" s="978"/>
      <c r="NW349" s="978"/>
      <c r="NX349" s="978"/>
      <c r="NY349" s="978"/>
      <c r="NZ349" s="978"/>
      <c r="OA349" s="978"/>
      <c r="OB349" s="978"/>
      <c r="OC349" s="978"/>
      <c r="OD349" s="978"/>
      <c r="OE349" s="978"/>
      <c r="OF349" s="978"/>
      <c r="OG349" s="978"/>
      <c r="OH349" s="978"/>
      <c r="OI349" s="978"/>
      <c r="OJ349" s="978"/>
      <c r="OK349" s="978"/>
      <c r="OL349" s="978"/>
      <c r="OM349" s="978"/>
      <c r="ON349" s="978"/>
      <c r="OO349" s="978"/>
      <c r="OP349" s="978"/>
      <c r="OQ349" s="978"/>
      <c r="OR349" s="978"/>
      <c r="OS349" s="978"/>
      <c r="OT349" s="978"/>
      <c r="OU349" s="978"/>
      <c r="OV349" s="978"/>
      <c r="OW349" s="978"/>
      <c r="OX349" s="978"/>
      <c r="OY349" s="978"/>
      <c r="OZ349" s="978"/>
      <c r="PA349" s="978"/>
      <c r="PB349" s="978"/>
      <c r="PC349" s="978"/>
      <c r="PD349" s="978"/>
      <c r="PE349" s="978"/>
      <c r="PF349" s="978"/>
      <c r="PG349" s="978"/>
      <c r="PH349" s="978"/>
      <c r="PI349" s="978"/>
      <c r="PJ349" s="978"/>
      <c r="PK349" s="978"/>
      <c r="PL349" s="978"/>
      <c r="PM349" s="978"/>
      <c r="PN349" s="978"/>
      <c r="PO349" s="978"/>
      <c r="PP349" s="978"/>
      <c r="PQ349" s="978"/>
      <c r="PR349" s="978"/>
      <c r="PS349" s="978"/>
      <c r="PT349" s="978"/>
      <c r="PU349" s="978"/>
      <c r="PV349" s="978"/>
      <c r="PW349" s="978"/>
      <c r="PX349" s="978"/>
      <c r="PY349" s="978"/>
      <c r="PZ349" s="978"/>
      <c r="QA349" s="978"/>
      <c r="QB349" s="978"/>
      <c r="QC349" s="978"/>
      <c r="QD349" s="978"/>
      <c r="QE349" s="978"/>
      <c r="QF349" s="978"/>
      <c r="QG349" s="978"/>
      <c r="QH349" s="978"/>
      <c r="QI349" s="978"/>
      <c r="QJ349" s="978"/>
      <c r="QK349" s="978"/>
      <c r="QL349" s="978"/>
      <c r="QM349" s="978"/>
      <c r="QN349" s="978"/>
      <c r="QO349" s="978"/>
      <c r="QP349" s="978"/>
      <c r="QQ349" s="978"/>
      <c r="QR349" s="978"/>
      <c r="QS349" s="978"/>
      <c r="QT349" s="978"/>
      <c r="QU349" s="978"/>
      <c r="QV349" s="978"/>
      <c r="QW349" s="978"/>
      <c r="QX349" s="978"/>
      <c r="QY349" s="978"/>
      <c r="QZ349" s="978"/>
      <c r="RA349" s="978"/>
      <c r="RB349" s="274"/>
      <c r="RC349" s="274"/>
    </row>
    <row r="350" spans="112:471" ht="17.25">
      <c r="DH350" s="274"/>
      <c r="DI350" s="274"/>
      <c r="DJ350" s="978"/>
      <c r="DK350" s="978"/>
      <c r="DL350" s="978"/>
      <c r="DM350" s="978"/>
      <c r="DN350" s="978"/>
      <c r="DO350" s="978"/>
      <c r="DP350" s="978"/>
      <c r="DQ350" s="978"/>
      <c r="DR350" s="978"/>
      <c r="DS350" s="978"/>
      <c r="DT350" s="978"/>
      <c r="DU350" s="978"/>
      <c r="DV350" s="978"/>
      <c r="DW350" s="978"/>
      <c r="DX350" s="978"/>
      <c r="DY350" s="978"/>
      <c r="DZ350" s="978"/>
      <c r="EA350" s="978"/>
      <c r="EB350" s="978"/>
      <c r="EC350" s="978"/>
      <c r="ED350" s="978"/>
      <c r="EE350" s="978"/>
      <c r="EF350" s="978"/>
      <c r="EG350" s="978"/>
      <c r="EH350" s="978"/>
      <c r="EI350" s="978"/>
      <c r="EJ350" s="978"/>
      <c r="EK350" s="978"/>
      <c r="EL350" s="978"/>
      <c r="EM350" s="978"/>
      <c r="EN350" s="978"/>
      <c r="EO350" s="978"/>
      <c r="EP350" s="978"/>
      <c r="EQ350" s="978"/>
      <c r="ER350" s="978"/>
      <c r="ES350" s="978"/>
      <c r="ET350" s="978"/>
      <c r="EU350" s="978"/>
      <c r="EV350" s="978"/>
      <c r="EW350" s="978"/>
      <c r="EX350" s="978"/>
      <c r="EY350" s="978"/>
      <c r="EZ350" s="978"/>
      <c r="FA350" s="978"/>
      <c r="FB350" s="978"/>
      <c r="FC350" s="978"/>
      <c r="FD350" s="978"/>
      <c r="FE350" s="978"/>
      <c r="FF350" s="978"/>
      <c r="FG350" s="978"/>
      <c r="FH350" s="978"/>
      <c r="FI350" s="978"/>
      <c r="FJ350" s="978"/>
      <c r="FK350" s="978"/>
      <c r="FL350" s="978"/>
      <c r="FM350" s="978"/>
      <c r="FN350" s="978"/>
      <c r="FO350" s="978"/>
      <c r="FP350" s="978"/>
      <c r="FQ350" s="978"/>
      <c r="FR350" s="978"/>
      <c r="FS350" s="978"/>
      <c r="FT350" s="978"/>
      <c r="FU350" s="978"/>
      <c r="FV350" s="978"/>
      <c r="FW350" s="978"/>
      <c r="FX350" s="978"/>
      <c r="FY350" s="978"/>
      <c r="FZ350" s="978"/>
      <c r="GA350" s="978"/>
      <c r="GB350" s="978"/>
      <c r="GC350" s="978"/>
      <c r="GD350" s="978"/>
      <c r="GE350" s="978"/>
      <c r="GF350" s="978"/>
      <c r="GG350" s="978"/>
      <c r="GH350" s="978"/>
      <c r="GI350" s="978"/>
      <c r="GJ350" s="978"/>
      <c r="GK350" s="978"/>
      <c r="GL350" s="978"/>
      <c r="GM350" s="978"/>
      <c r="GN350" s="978"/>
      <c r="GO350" s="978"/>
      <c r="GP350" s="978"/>
      <c r="GQ350" s="978"/>
      <c r="GR350" s="978"/>
      <c r="GS350" s="978"/>
      <c r="GT350" s="978"/>
      <c r="GU350" s="978"/>
      <c r="GV350" s="978"/>
      <c r="GW350" s="978"/>
      <c r="GX350" s="978"/>
      <c r="GY350" s="978"/>
      <c r="GZ350" s="978"/>
      <c r="HA350" s="978"/>
      <c r="HB350" s="978"/>
      <c r="HC350" s="978"/>
      <c r="HD350" s="978"/>
      <c r="HE350" s="978"/>
      <c r="HF350" s="978"/>
      <c r="HG350" s="978"/>
      <c r="HH350" s="978"/>
      <c r="HI350" s="978"/>
      <c r="HJ350" s="978"/>
      <c r="HK350" s="978"/>
      <c r="HL350" s="978"/>
      <c r="HM350" s="978"/>
      <c r="HN350" s="978"/>
      <c r="HO350" s="978"/>
      <c r="HP350" s="978"/>
      <c r="HQ350" s="978"/>
      <c r="HR350" s="978"/>
      <c r="HS350" s="978"/>
      <c r="HT350" s="978"/>
      <c r="HU350" s="978"/>
      <c r="HV350" s="978"/>
      <c r="HW350" s="978"/>
      <c r="HX350" s="978"/>
      <c r="HY350" s="978"/>
      <c r="HZ350" s="978"/>
      <c r="IA350" s="978"/>
      <c r="IB350" s="978"/>
      <c r="IC350" s="978"/>
      <c r="ID350" s="978"/>
      <c r="IE350" s="978"/>
      <c r="IF350" s="978"/>
      <c r="IG350" s="978"/>
      <c r="IH350" s="978"/>
      <c r="II350" s="978"/>
      <c r="IJ350" s="978"/>
      <c r="IK350" s="978"/>
      <c r="IL350" s="978"/>
      <c r="IM350" s="978"/>
      <c r="IN350" s="978"/>
      <c r="IO350" s="978"/>
      <c r="IP350" s="978"/>
      <c r="IQ350" s="978"/>
      <c r="IR350" s="978"/>
      <c r="IS350" s="978"/>
      <c r="IT350" s="978"/>
      <c r="IU350" s="978"/>
      <c r="IV350" s="978"/>
      <c r="IW350" s="978"/>
      <c r="IX350" s="978"/>
      <c r="IY350" s="978"/>
      <c r="IZ350" s="978"/>
      <c r="JA350" s="978"/>
      <c r="JB350" s="978"/>
      <c r="JC350" s="978"/>
      <c r="JD350" s="978"/>
      <c r="JE350" s="978"/>
      <c r="JF350" s="978"/>
      <c r="JG350" s="978"/>
      <c r="JH350" s="978"/>
      <c r="JI350" s="978"/>
      <c r="JJ350" s="978"/>
      <c r="JK350" s="978"/>
      <c r="JL350" s="978"/>
      <c r="JM350" s="978"/>
      <c r="JN350" s="978"/>
      <c r="JO350" s="978"/>
      <c r="JP350" s="978"/>
      <c r="JQ350" s="978"/>
      <c r="JR350" s="978"/>
      <c r="JS350" s="978"/>
      <c r="JT350" s="978"/>
      <c r="JU350" s="978"/>
      <c r="JV350" s="978"/>
      <c r="JW350" s="978"/>
      <c r="JX350" s="978"/>
      <c r="JY350" s="978"/>
      <c r="JZ350" s="978"/>
      <c r="KA350" s="978"/>
      <c r="KB350" s="978"/>
      <c r="KC350" s="978"/>
      <c r="KD350" s="978"/>
      <c r="KE350" s="978"/>
      <c r="KF350" s="978"/>
      <c r="KG350" s="978"/>
      <c r="KH350" s="978"/>
      <c r="KI350" s="978"/>
      <c r="KJ350" s="978"/>
      <c r="KK350" s="978"/>
      <c r="KL350" s="978"/>
      <c r="KM350" s="978"/>
      <c r="KN350" s="978"/>
      <c r="KO350" s="978"/>
      <c r="KP350" s="978"/>
      <c r="KQ350" s="978"/>
      <c r="KR350" s="978"/>
      <c r="KS350" s="978"/>
      <c r="KT350" s="978"/>
      <c r="KU350" s="978"/>
      <c r="KV350" s="978"/>
      <c r="KW350" s="978"/>
      <c r="KX350" s="978"/>
      <c r="KY350" s="978"/>
      <c r="KZ350" s="978"/>
      <c r="LA350" s="978"/>
      <c r="LB350" s="978"/>
      <c r="LC350" s="978"/>
      <c r="LD350" s="978"/>
      <c r="LE350" s="978"/>
      <c r="LF350" s="978"/>
      <c r="LG350" s="978"/>
      <c r="LH350" s="978"/>
      <c r="LI350" s="978"/>
      <c r="LJ350" s="978"/>
      <c r="LK350" s="978"/>
      <c r="LL350" s="978"/>
      <c r="LM350" s="978"/>
      <c r="LN350" s="978"/>
      <c r="LO350" s="978"/>
      <c r="LP350" s="978"/>
      <c r="LQ350" s="978"/>
      <c r="LR350" s="978"/>
      <c r="LS350" s="978"/>
      <c r="LT350" s="978"/>
      <c r="LU350" s="978"/>
      <c r="LV350" s="978"/>
      <c r="LW350" s="978"/>
      <c r="LX350" s="978"/>
      <c r="LY350" s="978"/>
      <c r="LZ350" s="978"/>
      <c r="MA350" s="978"/>
      <c r="MB350" s="978"/>
      <c r="MC350" s="978"/>
      <c r="MD350" s="978"/>
      <c r="ME350" s="978"/>
      <c r="MF350" s="978"/>
      <c r="MG350" s="978"/>
      <c r="MH350" s="978"/>
      <c r="MI350" s="978"/>
      <c r="MJ350" s="978"/>
      <c r="MK350" s="978"/>
      <c r="ML350" s="978"/>
      <c r="MM350" s="978"/>
      <c r="MN350" s="978"/>
      <c r="MO350" s="978"/>
      <c r="MP350" s="978"/>
      <c r="MQ350" s="978"/>
      <c r="MR350" s="978"/>
      <c r="MS350" s="978"/>
      <c r="MT350" s="978"/>
      <c r="MU350" s="978"/>
      <c r="MV350" s="978"/>
      <c r="MW350" s="978"/>
      <c r="MX350" s="978"/>
      <c r="MY350" s="978"/>
      <c r="MZ350" s="978"/>
      <c r="NA350" s="978"/>
      <c r="NB350" s="978"/>
      <c r="NC350" s="978"/>
      <c r="ND350" s="978"/>
      <c r="NE350" s="978"/>
      <c r="NF350" s="978"/>
      <c r="NG350" s="978"/>
      <c r="NH350" s="978"/>
      <c r="NI350" s="978"/>
      <c r="NJ350" s="978"/>
      <c r="NK350" s="978"/>
      <c r="NL350" s="978"/>
      <c r="NM350" s="978"/>
      <c r="NN350" s="978"/>
      <c r="NO350" s="978"/>
      <c r="NP350" s="978"/>
      <c r="NQ350" s="978"/>
      <c r="NR350" s="978"/>
      <c r="NS350" s="978"/>
      <c r="NT350" s="978"/>
      <c r="NU350" s="978"/>
      <c r="NV350" s="978"/>
      <c r="NW350" s="978"/>
      <c r="NX350" s="978"/>
      <c r="NY350" s="978"/>
      <c r="NZ350" s="978"/>
      <c r="OA350" s="978"/>
      <c r="OB350" s="978"/>
      <c r="OC350" s="978"/>
      <c r="OD350" s="978"/>
      <c r="OE350" s="978"/>
      <c r="OF350" s="978"/>
      <c r="OG350" s="978"/>
      <c r="OH350" s="978"/>
      <c r="OI350" s="978"/>
      <c r="OJ350" s="978"/>
      <c r="OK350" s="978"/>
      <c r="OL350" s="978"/>
      <c r="OM350" s="978"/>
      <c r="ON350" s="978"/>
      <c r="OO350" s="978"/>
      <c r="OP350" s="978"/>
      <c r="OQ350" s="978"/>
      <c r="OR350" s="978"/>
      <c r="OS350" s="978"/>
      <c r="OT350" s="978"/>
      <c r="OU350" s="978"/>
      <c r="OV350" s="978"/>
      <c r="OW350" s="978"/>
      <c r="OX350" s="978"/>
      <c r="OY350" s="978"/>
      <c r="OZ350" s="978"/>
      <c r="PA350" s="978"/>
      <c r="PB350" s="978"/>
      <c r="PC350" s="978"/>
      <c r="PD350" s="978"/>
      <c r="PE350" s="978"/>
      <c r="PF350" s="978"/>
      <c r="PG350" s="978"/>
      <c r="PH350" s="978"/>
      <c r="PI350" s="978"/>
      <c r="PJ350" s="978"/>
      <c r="PK350" s="978"/>
      <c r="PL350" s="978"/>
      <c r="PM350" s="978"/>
      <c r="PN350" s="978"/>
      <c r="PO350" s="978"/>
      <c r="PP350" s="978"/>
      <c r="PQ350" s="978"/>
      <c r="PR350" s="978"/>
      <c r="PS350" s="978"/>
      <c r="PT350" s="978"/>
      <c r="PU350" s="978"/>
      <c r="PV350" s="978"/>
      <c r="PW350" s="978"/>
      <c r="PX350" s="978"/>
      <c r="PY350" s="978"/>
      <c r="PZ350" s="978"/>
      <c r="QA350" s="978"/>
      <c r="QB350" s="978"/>
      <c r="QC350" s="978"/>
      <c r="QD350" s="978"/>
      <c r="QE350" s="978"/>
      <c r="QF350" s="978"/>
      <c r="QG350" s="978"/>
      <c r="QH350" s="978"/>
      <c r="QI350" s="978"/>
      <c r="QJ350" s="978"/>
      <c r="QK350" s="978"/>
      <c r="QL350" s="978"/>
      <c r="QM350" s="978"/>
      <c r="QN350" s="978"/>
      <c r="QO350" s="978"/>
      <c r="QP350" s="978"/>
      <c r="QQ350" s="978"/>
      <c r="QR350" s="978"/>
      <c r="QS350" s="978"/>
      <c r="QT350" s="978"/>
      <c r="QU350" s="978"/>
      <c r="QV350" s="978"/>
      <c r="QW350" s="978"/>
      <c r="QX350" s="978"/>
      <c r="QY350" s="978"/>
      <c r="QZ350" s="978"/>
      <c r="RA350" s="978"/>
      <c r="RB350" s="274"/>
      <c r="RC350" s="274"/>
    </row>
    <row r="351" spans="112:471">
      <c r="DH351" s="274"/>
      <c r="DI351" s="274"/>
      <c r="DJ351" s="274"/>
      <c r="DK351" s="274"/>
      <c r="DL351" s="274"/>
      <c r="DM351" s="274"/>
      <c r="DN351" s="274"/>
      <c r="DO351" s="274"/>
      <c r="DP351" s="274"/>
      <c r="DQ351" s="274"/>
      <c r="DR351" s="274"/>
      <c r="DS351" s="274"/>
      <c r="DT351" s="274"/>
      <c r="DU351" s="274"/>
      <c r="DV351" s="274"/>
      <c r="DW351" s="274"/>
      <c r="DX351" s="274"/>
      <c r="DY351" s="274"/>
      <c r="DZ351" s="274"/>
      <c r="EA351" s="274"/>
      <c r="EB351" s="274"/>
      <c r="EC351" s="274"/>
      <c r="ED351" s="274"/>
      <c r="EE351" s="274"/>
      <c r="EF351" s="274"/>
      <c r="EG351" s="274"/>
      <c r="EH351" s="274"/>
      <c r="EI351" s="274"/>
      <c r="EJ351" s="274"/>
      <c r="EK351" s="274"/>
      <c r="EL351" s="274"/>
      <c r="EM351" s="274"/>
      <c r="EN351" s="274"/>
      <c r="EO351" s="274"/>
      <c r="EP351" s="274"/>
      <c r="EQ351" s="274"/>
      <c r="ER351" s="274"/>
      <c r="ES351" s="274"/>
      <c r="ET351" s="274"/>
      <c r="EU351" s="274"/>
      <c r="EV351" s="274"/>
      <c r="EW351" s="274"/>
      <c r="EX351" s="274"/>
      <c r="EY351" s="274"/>
      <c r="EZ351" s="274"/>
      <c r="FA351" s="274"/>
      <c r="FB351" s="274"/>
      <c r="FC351" s="274"/>
      <c r="FD351" s="274"/>
      <c r="FE351" s="274"/>
      <c r="FF351" s="274"/>
      <c r="FG351" s="274"/>
      <c r="FH351" s="274"/>
      <c r="FI351" s="274"/>
      <c r="FJ351" s="274"/>
      <c r="FK351" s="274"/>
      <c r="FL351" s="274"/>
      <c r="FM351" s="274"/>
      <c r="FN351" s="274"/>
      <c r="FO351" s="274"/>
      <c r="FP351" s="274"/>
      <c r="FQ351" s="274"/>
      <c r="FR351" s="274"/>
      <c r="FS351" s="274"/>
      <c r="FT351" s="274"/>
      <c r="FU351" s="274"/>
      <c r="FV351" s="274"/>
      <c r="FW351" s="274"/>
      <c r="FX351" s="274"/>
      <c r="FY351" s="274"/>
      <c r="FZ351" s="274"/>
      <c r="GA351" s="274"/>
      <c r="GB351" s="274"/>
      <c r="GC351" s="274"/>
      <c r="GD351" s="274"/>
      <c r="GE351" s="274"/>
      <c r="GF351" s="274"/>
      <c r="GG351" s="274"/>
      <c r="GH351" s="274"/>
      <c r="GI351" s="274"/>
      <c r="GJ351" s="274"/>
      <c r="GK351" s="274"/>
      <c r="GL351" s="274"/>
      <c r="GM351" s="274"/>
      <c r="GN351" s="274"/>
      <c r="GO351" s="274"/>
      <c r="GP351" s="274"/>
      <c r="GQ351" s="274"/>
      <c r="GR351" s="274"/>
      <c r="GS351" s="274"/>
      <c r="GT351" s="274"/>
      <c r="GU351" s="274"/>
      <c r="GV351" s="274"/>
      <c r="GW351" s="274"/>
      <c r="GX351" s="274"/>
      <c r="GY351" s="274"/>
      <c r="GZ351" s="274"/>
      <c r="HA351" s="274"/>
      <c r="HB351" s="274"/>
      <c r="HC351" s="274"/>
      <c r="HD351" s="274"/>
      <c r="HE351" s="274"/>
      <c r="HF351" s="274"/>
      <c r="HG351" s="274"/>
      <c r="HH351" s="274"/>
      <c r="HI351" s="274"/>
      <c r="HJ351" s="274"/>
      <c r="HK351" s="274"/>
      <c r="HL351" s="274"/>
      <c r="HM351" s="274"/>
      <c r="HN351" s="274"/>
      <c r="HO351" s="274"/>
      <c r="HP351" s="274"/>
      <c r="HQ351" s="274"/>
      <c r="HR351" s="274"/>
      <c r="HS351" s="274"/>
      <c r="HT351" s="274"/>
      <c r="HU351" s="274"/>
      <c r="HV351" s="274"/>
      <c r="HW351" s="274"/>
      <c r="HX351" s="274"/>
      <c r="HY351" s="274"/>
      <c r="HZ351" s="274"/>
      <c r="IA351" s="274"/>
      <c r="IB351" s="274"/>
      <c r="IC351" s="274"/>
      <c r="ID351" s="274"/>
      <c r="IE351" s="274"/>
      <c r="IF351" s="274"/>
      <c r="IG351" s="274"/>
      <c r="IH351" s="274"/>
      <c r="II351" s="274"/>
      <c r="IJ351" s="274"/>
      <c r="IK351" s="274"/>
      <c r="IL351" s="274"/>
      <c r="IM351" s="274"/>
      <c r="IN351" s="274"/>
      <c r="IO351" s="274"/>
      <c r="IP351" s="274"/>
      <c r="IQ351" s="274"/>
      <c r="IR351" s="274"/>
      <c r="IS351" s="274"/>
      <c r="IT351" s="274"/>
      <c r="IU351" s="274"/>
      <c r="IV351" s="274"/>
      <c r="IW351" s="274"/>
      <c r="IX351" s="274"/>
      <c r="IY351" s="274"/>
      <c r="IZ351" s="274"/>
      <c r="JA351" s="274"/>
      <c r="JB351" s="274"/>
      <c r="JC351" s="274"/>
      <c r="JD351" s="274"/>
      <c r="JE351" s="274"/>
      <c r="JF351" s="274"/>
      <c r="JG351" s="274"/>
      <c r="JH351" s="274"/>
      <c r="JI351" s="274"/>
      <c r="JJ351" s="274"/>
      <c r="JK351" s="274"/>
      <c r="JL351" s="274"/>
      <c r="JM351" s="274"/>
      <c r="JN351" s="274"/>
      <c r="JO351" s="274"/>
      <c r="JP351" s="274"/>
      <c r="JQ351" s="274"/>
      <c r="JR351" s="274"/>
      <c r="JS351" s="274"/>
      <c r="JT351" s="274"/>
      <c r="JU351" s="274"/>
      <c r="JV351" s="274"/>
      <c r="JW351" s="274"/>
      <c r="JX351" s="274"/>
      <c r="JY351" s="274"/>
      <c r="JZ351" s="274"/>
      <c r="KA351" s="274"/>
      <c r="KB351" s="274"/>
      <c r="KC351" s="274"/>
      <c r="KD351" s="274"/>
      <c r="KE351" s="274"/>
      <c r="KF351" s="274"/>
      <c r="KG351" s="274"/>
      <c r="KH351" s="274"/>
      <c r="KI351" s="274"/>
      <c r="KJ351" s="274"/>
      <c r="KK351" s="274"/>
      <c r="KL351" s="274"/>
      <c r="KM351" s="274"/>
      <c r="KN351" s="274"/>
      <c r="KO351" s="274"/>
      <c r="KP351" s="274"/>
      <c r="KQ351" s="274"/>
      <c r="KR351" s="274"/>
      <c r="KS351" s="274"/>
      <c r="KT351" s="274"/>
      <c r="KU351" s="274"/>
      <c r="KV351" s="274"/>
      <c r="KW351" s="274"/>
      <c r="KX351" s="274"/>
      <c r="KY351" s="274"/>
      <c r="KZ351" s="274"/>
      <c r="LA351" s="274"/>
      <c r="LB351" s="274"/>
      <c r="LC351" s="274"/>
      <c r="LD351" s="274"/>
      <c r="LE351" s="274"/>
      <c r="LF351" s="274"/>
      <c r="LG351" s="274"/>
      <c r="LH351" s="274"/>
      <c r="LI351" s="274"/>
      <c r="LJ351" s="274"/>
      <c r="LK351" s="274"/>
      <c r="LL351" s="274"/>
      <c r="LM351" s="274"/>
      <c r="LN351" s="274"/>
      <c r="LO351" s="274"/>
      <c r="LP351" s="274"/>
      <c r="LQ351" s="274"/>
      <c r="LR351" s="274"/>
      <c r="LS351" s="274"/>
      <c r="LT351" s="274"/>
      <c r="LU351" s="274"/>
      <c r="LV351" s="274"/>
      <c r="LW351" s="274"/>
      <c r="LX351" s="274"/>
      <c r="LY351" s="274"/>
      <c r="LZ351" s="274"/>
      <c r="MA351" s="274"/>
      <c r="MB351" s="274"/>
      <c r="MC351" s="274"/>
      <c r="MD351" s="274"/>
      <c r="ME351" s="274"/>
      <c r="MF351" s="274"/>
      <c r="MG351" s="274"/>
      <c r="MH351" s="274"/>
      <c r="MI351" s="274"/>
      <c r="MJ351" s="274"/>
      <c r="MK351" s="274"/>
      <c r="ML351" s="274"/>
      <c r="MM351" s="274"/>
      <c r="MN351" s="274"/>
      <c r="MO351" s="274"/>
      <c r="MP351" s="274"/>
      <c r="MQ351" s="274"/>
      <c r="MR351" s="274"/>
      <c r="MS351" s="274"/>
      <c r="MT351" s="274"/>
      <c r="MU351" s="274"/>
      <c r="MV351" s="274"/>
      <c r="MW351" s="274"/>
      <c r="MX351" s="274"/>
      <c r="MY351" s="274"/>
      <c r="MZ351" s="274"/>
      <c r="NA351" s="274"/>
      <c r="NB351" s="274"/>
      <c r="NC351" s="274"/>
      <c r="ND351" s="274"/>
      <c r="NE351" s="274"/>
      <c r="NF351" s="274"/>
      <c r="NG351" s="274"/>
      <c r="NH351" s="274"/>
      <c r="NI351" s="274"/>
      <c r="NJ351" s="274"/>
      <c r="NK351" s="274"/>
      <c r="NL351" s="274"/>
      <c r="NM351" s="274"/>
      <c r="NN351" s="274"/>
      <c r="NO351" s="274"/>
      <c r="NP351" s="274"/>
      <c r="NQ351" s="274"/>
      <c r="NR351" s="274"/>
      <c r="NS351" s="274"/>
      <c r="NT351" s="274"/>
      <c r="NU351" s="274"/>
      <c r="NV351" s="274"/>
      <c r="NW351" s="274"/>
      <c r="NX351" s="274"/>
      <c r="NY351" s="274"/>
      <c r="NZ351" s="274"/>
      <c r="OA351" s="274"/>
      <c r="OB351" s="274"/>
      <c r="OC351" s="274"/>
      <c r="OD351" s="274"/>
      <c r="OE351" s="274"/>
      <c r="OF351" s="274"/>
      <c r="OG351" s="274"/>
      <c r="OH351" s="274"/>
      <c r="OI351" s="274"/>
      <c r="OJ351" s="274"/>
      <c r="OK351" s="274"/>
      <c r="OL351" s="274"/>
      <c r="OM351" s="274"/>
      <c r="ON351" s="274"/>
      <c r="OO351" s="274"/>
      <c r="OP351" s="274"/>
      <c r="OQ351" s="274"/>
      <c r="OR351" s="274"/>
      <c r="OS351" s="274"/>
      <c r="OT351" s="274"/>
      <c r="OU351" s="274"/>
      <c r="OV351" s="274"/>
      <c r="OW351" s="274"/>
      <c r="OX351" s="274"/>
      <c r="OY351" s="274"/>
      <c r="OZ351" s="274"/>
      <c r="PA351" s="274"/>
      <c r="PB351" s="274"/>
      <c r="PC351" s="274"/>
      <c r="PD351" s="274"/>
      <c r="PE351" s="274"/>
      <c r="PF351" s="274"/>
      <c r="PG351" s="274"/>
      <c r="PH351" s="274"/>
      <c r="PI351" s="274"/>
      <c r="PJ351" s="274"/>
      <c r="PK351" s="274"/>
      <c r="PL351" s="274"/>
      <c r="PM351" s="274"/>
      <c r="PN351" s="274"/>
      <c r="PO351" s="274"/>
      <c r="PP351" s="274"/>
      <c r="PQ351" s="274"/>
      <c r="PR351" s="274"/>
      <c r="PS351" s="274"/>
      <c r="PT351" s="274"/>
      <c r="PU351" s="274"/>
      <c r="PV351" s="274"/>
      <c r="PW351" s="274"/>
      <c r="PX351" s="274"/>
      <c r="PY351" s="274"/>
      <c r="PZ351" s="274"/>
      <c r="QA351" s="274"/>
      <c r="QB351" s="274"/>
      <c r="QC351" s="274"/>
      <c r="QD351" s="274"/>
      <c r="QE351" s="274"/>
      <c r="QF351" s="274"/>
      <c r="QG351" s="274"/>
      <c r="QH351" s="274"/>
      <c r="QI351" s="274"/>
      <c r="QJ351" s="274"/>
      <c r="QK351" s="274"/>
      <c r="QL351" s="274"/>
      <c r="QM351" s="274"/>
      <c r="QN351" s="274"/>
      <c r="QO351" s="274"/>
      <c r="QP351" s="274"/>
      <c r="QQ351" s="274"/>
      <c r="QR351" s="274"/>
      <c r="QS351" s="274"/>
      <c r="QT351" s="274"/>
      <c r="QU351" s="274"/>
      <c r="QV351" s="274"/>
      <c r="QW351" s="274"/>
      <c r="QX351" s="274"/>
      <c r="QY351" s="274"/>
      <c r="QZ351" s="274"/>
      <c r="RA351" s="274"/>
      <c r="RB351" s="274"/>
      <c r="RC351" s="274"/>
    </row>
    <row r="352" spans="112:471">
      <c r="DH352" s="274"/>
      <c r="DI352" s="274"/>
      <c r="DJ352" s="274"/>
      <c r="DK352" s="274"/>
      <c r="DL352" s="274"/>
      <c r="DM352" s="274"/>
      <c r="DN352" s="274"/>
      <c r="DO352" s="274"/>
      <c r="DP352" s="274"/>
      <c r="DQ352" s="274"/>
      <c r="DR352" s="274"/>
      <c r="DS352" s="274"/>
      <c r="DT352" s="274"/>
      <c r="DU352" s="274"/>
      <c r="DV352" s="274"/>
      <c r="DW352" s="274"/>
      <c r="DX352" s="274"/>
      <c r="DY352" s="274"/>
      <c r="DZ352" s="274"/>
      <c r="EA352" s="274"/>
      <c r="EB352" s="274"/>
      <c r="EC352" s="274"/>
      <c r="ED352" s="274"/>
      <c r="EE352" s="274"/>
      <c r="EF352" s="274"/>
      <c r="EG352" s="274"/>
      <c r="EH352" s="274"/>
      <c r="EI352" s="274"/>
      <c r="EJ352" s="274"/>
      <c r="EK352" s="274"/>
      <c r="EL352" s="274"/>
      <c r="EM352" s="274"/>
      <c r="EN352" s="274"/>
      <c r="EO352" s="274"/>
      <c r="EP352" s="274"/>
      <c r="EQ352" s="274"/>
      <c r="ER352" s="274"/>
      <c r="ES352" s="274"/>
      <c r="ET352" s="274"/>
      <c r="EU352" s="274"/>
      <c r="EV352" s="274"/>
      <c r="EW352" s="274"/>
      <c r="EX352" s="274"/>
      <c r="EY352" s="274"/>
      <c r="EZ352" s="274"/>
      <c r="FA352" s="274"/>
      <c r="FB352" s="274"/>
      <c r="FC352" s="274"/>
      <c r="FD352" s="274"/>
      <c r="FE352" s="274"/>
      <c r="FF352" s="274"/>
      <c r="FG352" s="274"/>
      <c r="FH352" s="274"/>
      <c r="FI352" s="274"/>
      <c r="FJ352" s="274"/>
      <c r="FK352" s="274"/>
      <c r="FL352" s="274"/>
      <c r="FM352" s="274"/>
      <c r="FN352" s="274"/>
      <c r="FO352" s="274"/>
      <c r="FP352" s="274"/>
      <c r="FQ352" s="274"/>
      <c r="FR352" s="274"/>
      <c r="FS352" s="274"/>
      <c r="FT352" s="274"/>
      <c r="FU352" s="274"/>
      <c r="FV352" s="274"/>
      <c r="FW352" s="274"/>
      <c r="FX352" s="274"/>
      <c r="FY352" s="274"/>
      <c r="FZ352" s="274"/>
      <c r="GA352" s="274"/>
      <c r="GB352" s="274"/>
      <c r="GC352" s="274"/>
      <c r="GD352" s="274"/>
      <c r="GE352" s="274"/>
      <c r="GF352" s="274"/>
      <c r="GG352" s="274"/>
      <c r="GH352" s="274"/>
      <c r="GI352" s="274"/>
      <c r="GJ352" s="274"/>
      <c r="GK352" s="274"/>
      <c r="GL352" s="274"/>
      <c r="GM352" s="274"/>
      <c r="GN352" s="274"/>
      <c r="GO352" s="274"/>
      <c r="GP352" s="274"/>
      <c r="GQ352" s="274"/>
      <c r="GR352" s="274"/>
      <c r="GS352" s="274"/>
      <c r="GT352" s="274"/>
      <c r="GU352" s="274"/>
      <c r="GV352" s="274"/>
      <c r="GW352" s="274"/>
      <c r="GX352" s="274"/>
      <c r="GY352" s="274"/>
      <c r="GZ352" s="274"/>
      <c r="HA352" s="274"/>
      <c r="HB352" s="274"/>
      <c r="HC352" s="274"/>
      <c r="HD352" s="274"/>
      <c r="HE352" s="274"/>
      <c r="HF352" s="274"/>
      <c r="HG352" s="274"/>
      <c r="HH352" s="274"/>
      <c r="HI352" s="274"/>
      <c r="HJ352" s="274"/>
      <c r="HK352" s="274"/>
      <c r="HL352" s="274"/>
      <c r="HM352" s="274"/>
      <c r="HN352" s="274"/>
      <c r="HO352" s="274"/>
      <c r="HP352" s="274"/>
      <c r="HQ352" s="274"/>
      <c r="HR352" s="274"/>
      <c r="HS352" s="274"/>
      <c r="HT352" s="274"/>
      <c r="HU352" s="274"/>
      <c r="HV352" s="274"/>
      <c r="HW352" s="274"/>
      <c r="HX352" s="274"/>
      <c r="HY352" s="274"/>
      <c r="HZ352" s="274"/>
      <c r="IA352" s="274"/>
      <c r="IB352" s="274"/>
      <c r="IC352" s="274"/>
      <c r="ID352" s="274"/>
      <c r="IE352" s="274"/>
      <c r="IF352" s="274"/>
      <c r="IG352" s="274"/>
      <c r="IH352" s="274"/>
      <c r="II352" s="274"/>
      <c r="IJ352" s="274"/>
      <c r="IK352" s="274"/>
      <c r="IL352" s="274"/>
      <c r="IM352" s="274"/>
      <c r="IN352" s="274"/>
      <c r="IO352" s="274"/>
      <c r="IP352" s="274"/>
      <c r="IQ352" s="274"/>
      <c r="IR352" s="274"/>
      <c r="IS352" s="274"/>
      <c r="IT352" s="274"/>
      <c r="IU352" s="274"/>
      <c r="IV352" s="274"/>
      <c r="IW352" s="274"/>
      <c r="IX352" s="274"/>
      <c r="IY352" s="274"/>
      <c r="IZ352" s="274"/>
      <c r="JA352" s="274"/>
      <c r="JB352" s="274"/>
      <c r="JC352" s="274"/>
      <c r="JD352" s="274"/>
      <c r="JE352" s="274"/>
      <c r="JF352" s="274"/>
      <c r="JG352" s="274"/>
      <c r="JH352" s="274"/>
      <c r="JI352" s="274"/>
      <c r="JJ352" s="274"/>
      <c r="JK352" s="274"/>
      <c r="JL352" s="274"/>
      <c r="JM352" s="274"/>
      <c r="JN352" s="274"/>
      <c r="JO352" s="274"/>
      <c r="JP352" s="274"/>
      <c r="JQ352" s="274"/>
      <c r="JR352" s="274"/>
      <c r="JS352" s="274"/>
      <c r="JT352" s="274"/>
      <c r="JU352" s="274"/>
      <c r="JV352" s="274"/>
      <c r="JW352" s="274"/>
      <c r="JX352" s="274"/>
      <c r="JY352" s="274"/>
      <c r="JZ352" s="274"/>
      <c r="KA352" s="274"/>
      <c r="KB352" s="274"/>
      <c r="KC352" s="274"/>
      <c r="KD352" s="274"/>
      <c r="KE352" s="274"/>
      <c r="KF352" s="274"/>
      <c r="KG352" s="274"/>
      <c r="KH352" s="274"/>
      <c r="KI352" s="274"/>
      <c r="KJ352" s="274"/>
      <c r="KK352" s="274"/>
      <c r="KL352" s="274"/>
      <c r="KM352" s="274"/>
      <c r="KN352" s="274"/>
      <c r="KO352" s="274"/>
      <c r="KP352" s="274"/>
      <c r="KQ352" s="274"/>
      <c r="KR352" s="274"/>
      <c r="KS352" s="274"/>
      <c r="KT352" s="274"/>
      <c r="KU352" s="274"/>
      <c r="KV352" s="274"/>
      <c r="KW352" s="274"/>
      <c r="KX352" s="274"/>
      <c r="KY352" s="274"/>
      <c r="KZ352" s="274"/>
      <c r="LA352" s="274"/>
      <c r="LB352" s="274"/>
      <c r="LC352" s="274"/>
      <c r="LD352" s="274"/>
      <c r="LE352" s="274"/>
      <c r="LF352" s="274"/>
      <c r="LG352" s="274"/>
      <c r="LH352" s="274"/>
      <c r="LI352" s="274"/>
      <c r="LJ352" s="274"/>
      <c r="LK352" s="274"/>
      <c r="LL352" s="274"/>
      <c r="LM352" s="274"/>
      <c r="LN352" s="274"/>
      <c r="LO352" s="274"/>
      <c r="LP352" s="274"/>
      <c r="LQ352" s="274"/>
      <c r="LR352" s="274"/>
      <c r="LS352" s="274"/>
      <c r="LT352" s="274"/>
      <c r="LU352" s="274"/>
      <c r="LV352" s="274"/>
      <c r="LW352" s="274"/>
      <c r="LX352" s="274"/>
      <c r="LY352" s="274"/>
      <c r="LZ352" s="274"/>
      <c r="MA352" s="274"/>
      <c r="MB352" s="274"/>
      <c r="MC352" s="274"/>
      <c r="MD352" s="274"/>
      <c r="ME352" s="274"/>
      <c r="MF352" s="274"/>
      <c r="MG352" s="274"/>
      <c r="MH352" s="274"/>
      <c r="MI352" s="274"/>
      <c r="MJ352" s="274"/>
      <c r="MK352" s="274"/>
      <c r="ML352" s="274"/>
      <c r="MM352" s="274"/>
      <c r="MN352" s="274"/>
      <c r="MO352" s="274"/>
      <c r="MP352" s="274"/>
      <c r="MQ352" s="274"/>
      <c r="MR352" s="274"/>
      <c r="MS352" s="274"/>
      <c r="MT352" s="274"/>
      <c r="MU352" s="274"/>
      <c r="MV352" s="274"/>
      <c r="MW352" s="274"/>
      <c r="MX352" s="274"/>
      <c r="MY352" s="274"/>
      <c r="MZ352" s="274"/>
      <c r="NA352" s="274"/>
      <c r="NB352" s="274"/>
      <c r="NC352" s="274"/>
      <c r="ND352" s="274"/>
      <c r="NE352" s="274"/>
      <c r="NF352" s="274"/>
      <c r="NG352" s="274"/>
      <c r="NH352" s="274"/>
      <c r="NI352" s="274"/>
      <c r="NJ352" s="274"/>
      <c r="NK352" s="274"/>
      <c r="NL352" s="274"/>
      <c r="NM352" s="274"/>
      <c r="NN352" s="274"/>
      <c r="NO352" s="274"/>
      <c r="NP352" s="274"/>
      <c r="NQ352" s="274"/>
      <c r="NR352" s="274"/>
      <c r="NS352" s="274"/>
      <c r="NT352" s="274"/>
      <c r="NU352" s="274"/>
      <c r="NV352" s="274"/>
      <c r="NW352" s="274"/>
      <c r="NX352" s="274"/>
      <c r="NY352" s="274"/>
      <c r="NZ352" s="274"/>
      <c r="OA352" s="274"/>
      <c r="OB352" s="274"/>
      <c r="OC352" s="274"/>
      <c r="OD352" s="274"/>
      <c r="OE352" s="274"/>
      <c r="OF352" s="274"/>
      <c r="OG352" s="274"/>
      <c r="OH352" s="274"/>
      <c r="OI352" s="274"/>
      <c r="OJ352" s="274"/>
      <c r="OK352" s="274"/>
      <c r="OL352" s="274"/>
      <c r="OM352" s="274"/>
      <c r="ON352" s="274"/>
      <c r="OO352" s="274"/>
      <c r="OP352" s="274"/>
      <c r="OQ352" s="274"/>
      <c r="OR352" s="274"/>
      <c r="OS352" s="274"/>
      <c r="OT352" s="274"/>
      <c r="OU352" s="274"/>
      <c r="OV352" s="274"/>
      <c r="OW352" s="274"/>
      <c r="OX352" s="274"/>
      <c r="OY352" s="274"/>
      <c r="OZ352" s="274"/>
      <c r="PA352" s="274"/>
      <c r="PB352" s="274"/>
      <c r="PC352" s="274"/>
      <c r="PD352" s="274"/>
      <c r="PE352" s="274"/>
      <c r="PF352" s="274"/>
      <c r="PG352" s="274"/>
      <c r="PH352" s="274"/>
      <c r="PI352" s="274"/>
      <c r="PJ352" s="274"/>
      <c r="PK352" s="274"/>
      <c r="PL352" s="274"/>
      <c r="PM352" s="274"/>
      <c r="PN352" s="274"/>
      <c r="PO352" s="274"/>
      <c r="PP352" s="274"/>
      <c r="PQ352" s="274"/>
      <c r="PR352" s="274"/>
      <c r="PS352" s="274"/>
      <c r="PT352" s="274"/>
      <c r="PU352" s="274"/>
      <c r="PV352" s="274"/>
      <c r="PW352" s="274"/>
      <c r="PX352" s="274"/>
      <c r="PY352" s="274"/>
      <c r="PZ352" s="274"/>
      <c r="QA352" s="274"/>
      <c r="QB352" s="274"/>
      <c r="QC352" s="274"/>
      <c r="QD352" s="274"/>
      <c r="QE352" s="274"/>
      <c r="QF352" s="274"/>
      <c r="QG352" s="274"/>
      <c r="QH352" s="274"/>
      <c r="QI352" s="274"/>
      <c r="QJ352" s="274"/>
      <c r="QK352" s="274"/>
      <c r="QL352" s="274"/>
      <c r="QM352" s="274"/>
      <c r="QN352" s="274"/>
      <c r="QO352" s="274"/>
      <c r="QP352" s="274"/>
      <c r="QQ352" s="274"/>
      <c r="QR352" s="274"/>
      <c r="QS352" s="274"/>
      <c r="QT352" s="274"/>
      <c r="QU352" s="274"/>
      <c r="QV352" s="274"/>
      <c r="QW352" s="274"/>
      <c r="QX352" s="274"/>
      <c r="QY352" s="274"/>
      <c r="QZ352" s="274"/>
      <c r="RA352" s="274"/>
      <c r="RB352" s="274"/>
      <c r="RC352" s="274"/>
    </row>
    <row r="353" spans="112:471" ht="17.25">
      <c r="DH353" s="274"/>
      <c r="DI353" s="274"/>
      <c r="DJ353" s="978"/>
      <c r="DK353" s="274"/>
      <c r="DL353" s="274"/>
      <c r="DM353" s="274"/>
      <c r="DN353" s="274"/>
      <c r="DO353" s="274"/>
      <c r="DP353" s="274"/>
      <c r="DQ353" s="274"/>
      <c r="DR353" s="274"/>
      <c r="DS353" s="274"/>
      <c r="DT353" s="274"/>
      <c r="DU353" s="274"/>
      <c r="DV353" s="274"/>
      <c r="DW353" s="274"/>
      <c r="DX353" s="274"/>
      <c r="DY353" s="274"/>
      <c r="DZ353" s="274"/>
      <c r="EA353" s="274"/>
      <c r="EB353" s="274"/>
      <c r="EC353" s="274"/>
      <c r="ED353" s="274"/>
      <c r="EE353" s="274"/>
      <c r="EF353" s="274"/>
      <c r="EG353" s="274"/>
      <c r="EH353" s="274"/>
      <c r="EI353" s="274"/>
      <c r="EJ353" s="274"/>
      <c r="EK353" s="274"/>
      <c r="EL353" s="274"/>
      <c r="EM353" s="274"/>
      <c r="EN353" s="274"/>
      <c r="EO353" s="274"/>
      <c r="EP353" s="274"/>
      <c r="EQ353" s="274"/>
      <c r="ER353" s="274"/>
      <c r="ES353" s="274"/>
      <c r="ET353" s="274"/>
      <c r="EU353" s="274"/>
      <c r="EV353" s="274"/>
      <c r="EW353" s="274"/>
      <c r="EX353" s="274"/>
      <c r="EY353" s="274"/>
      <c r="EZ353" s="274"/>
      <c r="FA353" s="274"/>
      <c r="FB353" s="274"/>
      <c r="FC353" s="274"/>
      <c r="FD353" s="274"/>
      <c r="FE353" s="274"/>
      <c r="FF353" s="274"/>
      <c r="FG353" s="274"/>
      <c r="FH353" s="274"/>
      <c r="FI353" s="274"/>
      <c r="FJ353" s="274"/>
      <c r="FK353" s="274"/>
      <c r="FL353" s="274"/>
      <c r="FM353" s="274"/>
      <c r="FN353" s="274"/>
      <c r="FO353" s="274"/>
      <c r="FP353" s="274"/>
      <c r="FQ353" s="274"/>
      <c r="FR353" s="274"/>
      <c r="FS353" s="274"/>
      <c r="FT353" s="274"/>
      <c r="FU353" s="274"/>
      <c r="FV353" s="274"/>
      <c r="FW353" s="274"/>
      <c r="FX353" s="274"/>
      <c r="FY353" s="274"/>
      <c r="FZ353" s="274"/>
      <c r="GA353" s="274"/>
      <c r="GB353" s="274"/>
      <c r="GC353" s="274"/>
      <c r="GD353" s="274"/>
      <c r="GE353" s="274"/>
      <c r="GF353" s="274"/>
      <c r="GG353" s="274"/>
      <c r="GH353" s="274"/>
      <c r="GI353" s="274"/>
      <c r="GJ353" s="274"/>
      <c r="GK353" s="274"/>
      <c r="GL353" s="274"/>
      <c r="GM353" s="274"/>
      <c r="GN353" s="274"/>
      <c r="GO353" s="274"/>
      <c r="GP353" s="274"/>
      <c r="GQ353" s="274"/>
      <c r="GR353" s="274"/>
      <c r="GS353" s="274"/>
      <c r="GT353" s="274"/>
      <c r="GU353" s="274"/>
      <c r="GV353" s="274"/>
      <c r="GW353" s="274"/>
      <c r="GX353" s="274"/>
      <c r="GY353" s="274"/>
      <c r="GZ353" s="274"/>
      <c r="HA353" s="274"/>
      <c r="HB353" s="274"/>
      <c r="HC353" s="274"/>
      <c r="HD353" s="274"/>
      <c r="HE353" s="274"/>
      <c r="HF353" s="274"/>
      <c r="HG353" s="274"/>
      <c r="HH353" s="274"/>
      <c r="HI353" s="274"/>
      <c r="HJ353" s="274"/>
      <c r="HK353" s="274"/>
      <c r="HL353" s="274"/>
      <c r="HM353" s="274"/>
      <c r="HN353" s="274"/>
      <c r="HO353" s="274"/>
      <c r="HP353" s="274"/>
      <c r="HQ353" s="274"/>
      <c r="HR353" s="274"/>
      <c r="HS353" s="274"/>
      <c r="HT353" s="274"/>
      <c r="HU353" s="274"/>
      <c r="HV353" s="274"/>
      <c r="HW353" s="274"/>
      <c r="HX353" s="274"/>
      <c r="HY353" s="274"/>
      <c r="HZ353" s="274"/>
      <c r="IA353" s="274"/>
      <c r="IB353" s="274"/>
      <c r="IC353" s="274"/>
      <c r="ID353" s="274"/>
      <c r="IE353" s="274"/>
      <c r="IF353" s="274"/>
      <c r="IG353" s="274"/>
      <c r="IH353" s="274"/>
      <c r="II353" s="274"/>
      <c r="IJ353" s="274"/>
      <c r="IK353" s="274"/>
      <c r="IL353" s="274"/>
      <c r="IM353" s="274"/>
      <c r="IN353" s="274"/>
      <c r="IO353" s="274"/>
      <c r="IP353" s="274"/>
      <c r="IQ353" s="274"/>
      <c r="IR353" s="274"/>
      <c r="IS353" s="274"/>
      <c r="IT353" s="274"/>
      <c r="IU353" s="274"/>
      <c r="IV353" s="274"/>
      <c r="IW353" s="274"/>
      <c r="IX353" s="274"/>
      <c r="IY353" s="274"/>
      <c r="IZ353" s="274"/>
      <c r="JA353" s="274"/>
      <c r="JB353" s="274"/>
      <c r="JC353" s="274"/>
      <c r="JD353" s="274"/>
      <c r="JE353" s="274"/>
      <c r="JF353" s="274"/>
      <c r="JG353" s="274"/>
      <c r="JH353" s="274"/>
      <c r="JI353" s="274"/>
      <c r="JJ353" s="274"/>
      <c r="JK353" s="274"/>
      <c r="JL353" s="274"/>
      <c r="JM353" s="274"/>
      <c r="JN353" s="274"/>
      <c r="JO353" s="274"/>
      <c r="JP353" s="274"/>
      <c r="JQ353" s="274"/>
      <c r="JR353" s="274"/>
      <c r="JS353" s="274"/>
      <c r="JT353" s="274"/>
      <c r="JU353" s="274"/>
      <c r="JV353" s="274"/>
      <c r="JW353" s="274"/>
      <c r="JX353" s="274"/>
      <c r="JY353" s="274"/>
      <c r="JZ353" s="274"/>
      <c r="KA353" s="274"/>
      <c r="KB353" s="274"/>
      <c r="KC353" s="274"/>
      <c r="KD353" s="274"/>
      <c r="KE353" s="274"/>
      <c r="KF353" s="274"/>
      <c r="KG353" s="274"/>
      <c r="KH353" s="274"/>
      <c r="KI353" s="274"/>
      <c r="KJ353" s="274"/>
      <c r="KK353" s="274"/>
      <c r="KL353" s="274"/>
      <c r="KM353" s="274"/>
      <c r="KN353" s="274"/>
      <c r="KO353" s="274"/>
      <c r="KP353" s="274"/>
      <c r="KQ353" s="274"/>
      <c r="KR353" s="274"/>
      <c r="KS353" s="274"/>
      <c r="KT353" s="274"/>
      <c r="KU353" s="274"/>
      <c r="KV353" s="274"/>
      <c r="KW353" s="274"/>
      <c r="KX353" s="274"/>
      <c r="KY353" s="274"/>
      <c r="KZ353" s="274"/>
      <c r="LA353" s="274"/>
      <c r="LB353" s="274"/>
      <c r="LC353" s="274"/>
      <c r="LD353" s="274"/>
      <c r="LE353" s="274"/>
      <c r="LF353" s="274"/>
      <c r="LG353" s="274"/>
      <c r="LH353" s="274"/>
      <c r="LI353" s="274"/>
      <c r="LJ353" s="274"/>
      <c r="LK353" s="274"/>
      <c r="LL353" s="274"/>
      <c r="LM353" s="274"/>
      <c r="LN353" s="274"/>
      <c r="LO353" s="274"/>
      <c r="LP353" s="274"/>
      <c r="LQ353" s="274"/>
      <c r="LR353" s="274"/>
      <c r="LS353" s="274"/>
      <c r="LT353" s="274"/>
      <c r="LU353" s="274"/>
      <c r="LV353" s="274"/>
      <c r="LW353" s="274"/>
      <c r="LX353" s="274"/>
      <c r="LY353" s="274"/>
      <c r="LZ353" s="274"/>
      <c r="MA353" s="274"/>
      <c r="MB353" s="274"/>
      <c r="MC353" s="274"/>
      <c r="MD353" s="274"/>
      <c r="ME353" s="274"/>
      <c r="MF353" s="274"/>
      <c r="MG353" s="274"/>
      <c r="MH353" s="274"/>
      <c r="MI353" s="274"/>
      <c r="MJ353" s="274"/>
      <c r="MK353" s="274"/>
      <c r="ML353" s="274"/>
      <c r="MM353" s="274"/>
      <c r="MN353" s="274"/>
      <c r="MO353" s="274"/>
      <c r="MP353" s="274"/>
      <c r="MQ353" s="274"/>
      <c r="MR353" s="274"/>
      <c r="MS353" s="274"/>
      <c r="MT353" s="274"/>
      <c r="MU353" s="274"/>
      <c r="MV353" s="274"/>
      <c r="MW353" s="274"/>
      <c r="MX353" s="274"/>
      <c r="MY353" s="274"/>
      <c r="MZ353" s="274"/>
      <c r="NA353" s="274"/>
      <c r="NB353" s="274"/>
      <c r="NC353" s="274"/>
      <c r="ND353" s="274"/>
      <c r="NE353" s="274"/>
      <c r="NF353" s="274"/>
      <c r="NG353" s="274"/>
      <c r="NH353" s="274"/>
      <c r="NI353" s="274"/>
      <c r="NJ353" s="274"/>
      <c r="NK353" s="274"/>
      <c r="NL353" s="274"/>
      <c r="NM353" s="274"/>
      <c r="NN353" s="274"/>
      <c r="NO353" s="274"/>
      <c r="NP353" s="274"/>
      <c r="NQ353" s="274"/>
      <c r="NR353" s="274"/>
      <c r="NS353" s="274"/>
      <c r="NT353" s="274"/>
      <c r="NU353" s="274"/>
      <c r="NV353" s="274"/>
      <c r="NW353" s="274"/>
      <c r="NX353" s="274"/>
      <c r="NY353" s="274"/>
      <c r="NZ353" s="274"/>
      <c r="OA353" s="274"/>
      <c r="OB353" s="274"/>
      <c r="OC353" s="274"/>
      <c r="OD353" s="274"/>
      <c r="OE353" s="274"/>
      <c r="OF353" s="274"/>
      <c r="OG353" s="274"/>
      <c r="OH353" s="274"/>
      <c r="OI353" s="274"/>
      <c r="OJ353" s="274"/>
      <c r="OK353" s="274"/>
      <c r="OL353" s="274"/>
      <c r="OM353" s="274"/>
      <c r="ON353" s="274"/>
      <c r="OO353" s="274"/>
      <c r="OP353" s="274"/>
      <c r="OQ353" s="274"/>
      <c r="OR353" s="274"/>
      <c r="OS353" s="274"/>
      <c r="OT353" s="274"/>
      <c r="OU353" s="274"/>
      <c r="OV353" s="274"/>
      <c r="OW353" s="274"/>
      <c r="OX353" s="274"/>
      <c r="OY353" s="274"/>
      <c r="OZ353" s="274"/>
      <c r="PA353" s="274"/>
      <c r="PB353" s="274"/>
      <c r="PC353" s="274"/>
      <c r="PD353" s="274"/>
      <c r="PE353" s="274"/>
      <c r="PF353" s="274"/>
      <c r="PG353" s="274"/>
      <c r="PH353" s="274"/>
      <c r="PI353" s="274"/>
      <c r="PJ353" s="274"/>
      <c r="PK353" s="274"/>
      <c r="PL353" s="274"/>
      <c r="PM353" s="274"/>
      <c r="PN353" s="274"/>
      <c r="PO353" s="274"/>
      <c r="PP353" s="274"/>
      <c r="PQ353" s="274"/>
      <c r="PR353" s="274"/>
      <c r="PS353" s="274"/>
      <c r="PT353" s="274"/>
      <c r="PU353" s="274"/>
      <c r="PV353" s="274"/>
      <c r="PW353" s="274"/>
      <c r="PX353" s="274"/>
      <c r="PY353" s="274"/>
      <c r="PZ353" s="274"/>
      <c r="QA353" s="274"/>
      <c r="QB353" s="274"/>
      <c r="QC353" s="274"/>
      <c r="QD353" s="274"/>
      <c r="QE353" s="274"/>
      <c r="QF353" s="274"/>
      <c r="QG353" s="274"/>
      <c r="QH353" s="274"/>
      <c r="QI353" s="274"/>
      <c r="QJ353" s="274"/>
      <c r="QK353" s="274"/>
      <c r="QL353" s="274"/>
      <c r="QM353" s="274"/>
      <c r="QN353" s="274"/>
      <c r="QO353" s="274"/>
      <c r="QP353" s="274"/>
      <c r="QQ353" s="274"/>
      <c r="QR353" s="274"/>
      <c r="QS353" s="274"/>
      <c r="QT353" s="274"/>
      <c r="QU353" s="274"/>
      <c r="QV353" s="274"/>
      <c r="QW353" s="274"/>
      <c r="QX353" s="274"/>
      <c r="QY353" s="274"/>
      <c r="QZ353" s="274"/>
      <c r="RA353" s="274"/>
      <c r="RB353" s="274"/>
      <c r="RC353" s="274"/>
    </row>
    <row r="354" spans="112:471" ht="17.25">
      <c r="DH354" s="274"/>
      <c r="DI354" s="274"/>
      <c r="DJ354" s="978"/>
      <c r="DK354" s="978"/>
      <c r="DL354" s="978"/>
      <c r="DM354" s="978"/>
      <c r="DN354" s="978"/>
      <c r="DO354" s="978"/>
      <c r="DP354" s="978"/>
      <c r="DQ354" s="978"/>
      <c r="DR354" s="978"/>
      <c r="DS354" s="978"/>
      <c r="DT354" s="978"/>
      <c r="DU354" s="978"/>
      <c r="DV354" s="978"/>
      <c r="DW354" s="978"/>
      <c r="DX354" s="978"/>
      <c r="DY354" s="978"/>
      <c r="DZ354" s="978"/>
      <c r="EA354" s="978"/>
      <c r="EB354" s="978"/>
      <c r="EC354" s="978"/>
      <c r="ED354" s="978"/>
      <c r="EE354" s="978"/>
      <c r="EF354" s="978"/>
      <c r="EG354" s="978"/>
      <c r="EH354" s="978"/>
      <c r="EI354" s="978"/>
      <c r="EJ354" s="978"/>
      <c r="EK354" s="978"/>
      <c r="EL354" s="978"/>
      <c r="EM354" s="978"/>
      <c r="EN354" s="978"/>
      <c r="EO354" s="978"/>
      <c r="EP354" s="978"/>
      <c r="EQ354" s="978"/>
      <c r="ER354" s="978"/>
      <c r="ES354" s="978"/>
      <c r="ET354" s="978"/>
      <c r="EU354" s="978"/>
      <c r="EV354" s="978"/>
      <c r="EW354" s="978"/>
      <c r="EX354" s="978"/>
      <c r="EY354" s="978"/>
      <c r="EZ354" s="978"/>
      <c r="FA354" s="978"/>
      <c r="FB354" s="978"/>
      <c r="FC354" s="978"/>
      <c r="FD354" s="978"/>
      <c r="FE354" s="978"/>
      <c r="FF354" s="978"/>
      <c r="FG354" s="978"/>
      <c r="FH354" s="978"/>
      <c r="FI354" s="978"/>
      <c r="FJ354" s="978"/>
      <c r="FK354" s="978"/>
      <c r="FL354" s="978"/>
      <c r="FM354" s="978"/>
      <c r="FN354" s="978"/>
      <c r="FO354" s="978"/>
      <c r="FP354" s="978"/>
      <c r="FQ354" s="978"/>
      <c r="FR354" s="978"/>
      <c r="FS354" s="978"/>
      <c r="FT354" s="978"/>
      <c r="FU354" s="978"/>
      <c r="FV354" s="978"/>
      <c r="FW354" s="978"/>
      <c r="FX354" s="978"/>
      <c r="FY354" s="978"/>
      <c r="FZ354" s="978"/>
      <c r="GA354" s="978"/>
      <c r="GB354" s="978"/>
      <c r="GC354" s="978"/>
      <c r="GD354" s="978"/>
      <c r="GE354" s="978"/>
      <c r="GF354" s="978"/>
      <c r="GG354" s="978"/>
      <c r="GH354" s="978"/>
      <c r="GI354" s="978"/>
      <c r="GJ354" s="978"/>
      <c r="GK354" s="978"/>
      <c r="GL354" s="978"/>
      <c r="GM354" s="978"/>
      <c r="GN354" s="978"/>
      <c r="GO354" s="978"/>
      <c r="GP354" s="978"/>
      <c r="GQ354" s="978"/>
      <c r="GR354" s="978"/>
      <c r="GS354" s="978"/>
      <c r="GT354" s="978"/>
      <c r="GU354" s="978"/>
      <c r="GV354" s="978"/>
      <c r="GW354" s="978"/>
      <c r="GX354" s="978"/>
      <c r="GY354" s="978"/>
      <c r="GZ354" s="978"/>
      <c r="HA354" s="978"/>
      <c r="HB354" s="978"/>
      <c r="HC354" s="978"/>
      <c r="HD354" s="978"/>
      <c r="HE354" s="978"/>
      <c r="HF354" s="978"/>
      <c r="HG354" s="978"/>
      <c r="HH354" s="978"/>
      <c r="HI354" s="978"/>
      <c r="HJ354" s="978"/>
      <c r="HK354" s="978"/>
      <c r="HL354" s="978"/>
      <c r="HM354" s="978"/>
      <c r="HN354" s="978"/>
      <c r="HO354" s="978"/>
      <c r="HP354" s="978"/>
      <c r="HQ354" s="978"/>
      <c r="HR354" s="978"/>
      <c r="HS354" s="978"/>
      <c r="HT354" s="978"/>
      <c r="HU354" s="978"/>
      <c r="HV354" s="978"/>
      <c r="HW354" s="978"/>
      <c r="HX354" s="978"/>
      <c r="HY354" s="978"/>
      <c r="HZ354" s="978"/>
      <c r="IA354" s="978"/>
      <c r="IB354" s="978"/>
      <c r="IC354" s="978"/>
      <c r="ID354" s="978"/>
      <c r="IE354" s="978"/>
      <c r="IF354" s="978"/>
      <c r="IG354" s="978"/>
      <c r="IH354" s="978"/>
      <c r="II354" s="978"/>
      <c r="IJ354" s="978"/>
      <c r="IK354" s="978"/>
      <c r="IL354" s="978"/>
      <c r="IM354" s="978"/>
      <c r="IN354" s="978"/>
      <c r="IO354" s="978"/>
      <c r="IP354" s="978"/>
      <c r="IQ354" s="978"/>
      <c r="IR354" s="978"/>
      <c r="IS354" s="978"/>
      <c r="IT354" s="978"/>
      <c r="IU354" s="978"/>
      <c r="IV354" s="978"/>
      <c r="IW354" s="978"/>
      <c r="IX354" s="978"/>
      <c r="IY354" s="978"/>
      <c r="IZ354" s="978"/>
      <c r="JA354" s="978"/>
      <c r="JB354" s="978"/>
      <c r="JC354" s="978"/>
      <c r="JD354" s="978"/>
      <c r="JE354" s="978"/>
      <c r="JF354" s="978"/>
      <c r="JG354" s="978"/>
      <c r="JH354" s="978"/>
      <c r="JI354" s="978"/>
      <c r="JJ354" s="978"/>
      <c r="JK354" s="978"/>
      <c r="JL354" s="978"/>
      <c r="JM354" s="978"/>
      <c r="JN354" s="978"/>
      <c r="JO354" s="978"/>
      <c r="JP354" s="978"/>
      <c r="JQ354" s="978"/>
      <c r="JR354" s="978"/>
      <c r="JS354" s="978"/>
      <c r="JT354" s="978"/>
      <c r="JU354" s="978"/>
      <c r="JV354" s="978"/>
      <c r="JW354" s="978"/>
      <c r="JX354" s="978"/>
      <c r="JY354" s="978"/>
      <c r="JZ354" s="978"/>
      <c r="KA354" s="978"/>
      <c r="KB354" s="978"/>
      <c r="KC354" s="978"/>
      <c r="KD354" s="978"/>
      <c r="KE354" s="978"/>
      <c r="KF354" s="978"/>
      <c r="KG354" s="978"/>
      <c r="KH354" s="978"/>
      <c r="KI354" s="978"/>
      <c r="KJ354" s="978"/>
      <c r="KK354" s="978"/>
      <c r="KL354" s="978"/>
      <c r="KM354" s="978"/>
      <c r="KN354" s="978"/>
      <c r="KO354" s="978"/>
      <c r="KP354" s="978"/>
      <c r="KQ354" s="978"/>
      <c r="KR354" s="978"/>
      <c r="KS354" s="978"/>
      <c r="KT354" s="978"/>
      <c r="KU354" s="978"/>
      <c r="KV354" s="978"/>
      <c r="KW354" s="978"/>
      <c r="KX354" s="978"/>
      <c r="KY354" s="978"/>
      <c r="KZ354" s="978"/>
      <c r="LA354" s="978"/>
      <c r="LB354" s="978"/>
      <c r="LC354" s="978"/>
      <c r="LD354" s="978"/>
      <c r="LE354" s="978"/>
      <c r="LF354" s="978"/>
      <c r="LG354" s="978"/>
      <c r="LH354" s="978"/>
      <c r="LI354" s="978"/>
      <c r="LJ354" s="978"/>
      <c r="LK354" s="978"/>
      <c r="LL354" s="978"/>
      <c r="LM354" s="978"/>
      <c r="LN354" s="978"/>
      <c r="LO354" s="978"/>
      <c r="LP354" s="978"/>
      <c r="LQ354" s="978"/>
      <c r="LR354" s="978"/>
      <c r="LS354" s="978"/>
      <c r="LT354" s="978"/>
      <c r="LU354" s="978"/>
      <c r="LV354" s="978"/>
      <c r="LW354" s="978"/>
      <c r="LX354" s="978"/>
      <c r="LY354" s="978"/>
      <c r="LZ354" s="978"/>
      <c r="MA354" s="978"/>
      <c r="MB354" s="978"/>
      <c r="MC354" s="978"/>
      <c r="MD354" s="978"/>
      <c r="ME354" s="978"/>
      <c r="MF354" s="978"/>
      <c r="MG354" s="978"/>
      <c r="MH354" s="978"/>
      <c r="MI354" s="978"/>
      <c r="MJ354" s="978"/>
      <c r="MK354" s="978"/>
      <c r="ML354" s="978"/>
      <c r="MM354" s="978"/>
      <c r="MN354" s="978"/>
      <c r="MO354" s="978"/>
      <c r="MP354" s="978"/>
      <c r="MQ354" s="978"/>
      <c r="MR354" s="978"/>
      <c r="MS354" s="978"/>
      <c r="MT354" s="978"/>
      <c r="MU354" s="978"/>
      <c r="MV354" s="978"/>
      <c r="MW354" s="978"/>
      <c r="MX354" s="978"/>
      <c r="MY354" s="978"/>
      <c r="MZ354" s="978"/>
      <c r="NA354" s="978"/>
      <c r="NB354" s="978"/>
      <c r="NC354" s="978"/>
      <c r="ND354" s="978"/>
      <c r="NE354" s="978"/>
      <c r="NF354" s="978"/>
      <c r="NG354" s="978"/>
      <c r="NH354" s="978"/>
      <c r="NI354" s="978"/>
      <c r="NJ354" s="978"/>
      <c r="NK354" s="978"/>
      <c r="NL354" s="978"/>
      <c r="NM354" s="978"/>
      <c r="NN354" s="978"/>
      <c r="NO354" s="978"/>
      <c r="NP354" s="978"/>
      <c r="NQ354" s="978"/>
      <c r="NR354" s="978"/>
      <c r="NS354" s="978"/>
      <c r="NT354" s="978"/>
      <c r="NU354" s="978"/>
      <c r="NV354" s="978"/>
      <c r="NW354" s="978"/>
      <c r="NX354" s="978"/>
      <c r="NY354" s="978"/>
      <c r="NZ354" s="978"/>
      <c r="OA354" s="978"/>
      <c r="OB354" s="978"/>
      <c r="OC354" s="978"/>
      <c r="OD354" s="978"/>
      <c r="OE354" s="978"/>
      <c r="OF354" s="978"/>
      <c r="OG354" s="978"/>
      <c r="OH354" s="978"/>
      <c r="OI354" s="978"/>
      <c r="OJ354" s="978"/>
      <c r="OK354" s="978"/>
      <c r="OL354" s="978"/>
      <c r="OM354" s="978"/>
      <c r="ON354" s="978"/>
      <c r="OO354" s="978"/>
      <c r="OP354" s="978"/>
      <c r="OQ354" s="978"/>
      <c r="OR354" s="978"/>
      <c r="OS354" s="978"/>
      <c r="OT354" s="978"/>
      <c r="OU354" s="978"/>
      <c r="OV354" s="978"/>
      <c r="OW354" s="978"/>
      <c r="OX354" s="978"/>
      <c r="OY354" s="978"/>
      <c r="OZ354" s="978"/>
      <c r="PA354" s="978"/>
      <c r="PB354" s="978"/>
      <c r="PC354" s="978"/>
      <c r="PD354" s="978"/>
      <c r="PE354" s="978"/>
      <c r="PF354" s="978"/>
      <c r="PG354" s="978"/>
      <c r="PH354" s="978"/>
      <c r="PI354" s="978"/>
      <c r="PJ354" s="978"/>
      <c r="PK354" s="978"/>
      <c r="PL354" s="978"/>
      <c r="PM354" s="978"/>
      <c r="PN354" s="978"/>
      <c r="PO354" s="978"/>
      <c r="PP354" s="978"/>
      <c r="PQ354" s="978"/>
      <c r="PR354" s="978"/>
      <c r="PS354" s="978"/>
      <c r="PT354" s="978"/>
      <c r="PU354" s="978"/>
      <c r="PV354" s="978"/>
      <c r="PW354" s="978"/>
      <c r="PX354" s="978"/>
      <c r="PY354" s="978"/>
      <c r="PZ354" s="978"/>
      <c r="QA354" s="978"/>
      <c r="QB354" s="978"/>
      <c r="QC354" s="978"/>
      <c r="QD354" s="978"/>
      <c r="QE354" s="978"/>
      <c r="QF354" s="978"/>
      <c r="QG354" s="978"/>
      <c r="QH354" s="978"/>
      <c r="QI354" s="978"/>
      <c r="QJ354" s="978"/>
      <c r="QK354" s="978"/>
      <c r="QL354" s="978"/>
      <c r="QM354" s="978"/>
      <c r="QN354" s="978"/>
      <c r="QO354" s="978"/>
      <c r="QP354" s="978"/>
      <c r="QQ354" s="978"/>
      <c r="QR354" s="978"/>
      <c r="QS354" s="978"/>
      <c r="QT354" s="978"/>
      <c r="QU354" s="978"/>
      <c r="QV354" s="978"/>
      <c r="QW354" s="978"/>
      <c r="QX354" s="978"/>
      <c r="QY354" s="978"/>
      <c r="QZ354" s="978"/>
      <c r="RA354" s="978"/>
      <c r="RB354" s="274"/>
      <c r="RC354" s="274"/>
    </row>
    <row r="355" spans="112:471" ht="17.25">
      <c r="DH355" s="274"/>
      <c r="DI355" s="274"/>
      <c r="DJ355" s="978"/>
      <c r="DK355" s="978"/>
      <c r="DL355" s="978"/>
      <c r="DM355" s="978"/>
      <c r="DN355" s="978"/>
      <c r="DO355" s="978"/>
      <c r="DP355" s="978"/>
      <c r="DQ355" s="978"/>
      <c r="DR355" s="978"/>
      <c r="DS355" s="978"/>
      <c r="DT355" s="978"/>
      <c r="DU355" s="978"/>
      <c r="DV355" s="978"/>
      <c r="DW355" s="978"/>
      <c r="DX355" s="978"/>
      <c r="DY355" s="978"/>
      <c r="DZ355" s="978"/>
      <c r="EA355" s="978"/>
      <c r="EB355" s="978"/>
      <c r="EC355" s="978"/>
      <c r="ED355" s="978"/>
      <c r="EE355" s="978"/>
      <c r="EF355" s="978"/>
      <c r="EG355" s="978"/>
      <c r="EH355" s="978"/>
      <c r="EI355" s="978"/>
      <c r="EJ355" s="978"/>
      <c r="EK355" s="978"/>
      <c r="EL355" s="978"/>
      <c r="EM355" s="978"/>
      <c r="EN355" s="978"/>
      <c r="EO355" s="978"/>
      <c r="EP355" s="978"/>
      <c r="EQ355" s="978"/>
      <c r="ER355" s="978"/>
      <c r="ES355" s="978"/>
      <c r="ET355" s="978"/>
      <c r="EU355" s="978"/>
      <c r="EV355" s="978"/>
      <c r="EW355" s="978"/>
      <c r="EX355" s="978"/>
      <c r="EY355" s="978"/>
      <c r="EZ355" s="978"/>
      <c r="FA355" s="978"/>
      <c r="FB355" s="978"/>
      <c r="FC355" s="978"/>
      <c r="FD355" s="978"/>
      <c r="FE355" s="978"/>
      <c r="FF355" s="978"/>
      <c r="FG355" s="978"/>
      <c r="FH355" s="978"/>
      <c r="FI355" s="978"/>
      <c r="FJ355" s="978"/>
      <c r="FK355" s="978"/>
      <c r="FL355" s="978"/>
      <c r="FM355" s="978"/>
      <c r="FN355" s="978"/>
      <c r="FO355" s="978"/>
      <c r="FP355" s="978"/>
      <c r="FQ355" s="978"/>
      <c r="FR355" s="978"/>
      <c r="FS355" s="978"/>
      <c r="FT355" s="978"/>
      <c r="FU355" s="978"/>
      <c r="FV355" s="978"/>
      <c r="FW355" s="978"/>
      <c r="FX355" s="978"/>
      <c r="FY355" s="978"/>
      <c r="FZ355" s="978"/>
      <c r="GA355" s="978"/>
      <c r="GB355" s="978"/>
      <c r="GC355" s="978"/>
      <c r="GD355" s="978"/>
      <c r="GE355" s="978"/>
      <c r="GF355" s="978"/>
      <c r="GG355" s="978"/>
      <c r="GH355" s="978"/>
      <c r="GI355" s="978"/>
      <c r="GJ355" s="978"/>
      <c r="GK355" s="978"/>
      <c r="GL355" s="978"/>
      <c r="GM355" s="978"/>
      <c r="GN355" s="978"/>
      <c r="GO355" s="978"/>
      <c r="GP355" s="978"/>
      <c r="GQ355" s="978"/>
      <c r="GR355" s="978"/>
      <c r="GS355" s="978"/>
      <c r="GT355" s="978"/>
      <c r="GU355" s="978"/>
      <c r="GV355" s="978"/>
      <c r="GW355" s="978"/>
      <c r="GX355" s="978"/>
      <c r="GY355" s="978"/>
      <c r="GZ355" s="978"/>
      <c r="HA355" s="978"/>
      <c r="HB355" s="978"/>
      <c r="HC355" s="978"/>
      <c r="HD355" s="978"/>
      <c r="HE355" s="978"/>
      <c r="HF355" s="978"/>
      <c r="HG355" s="978"/>
      <c r="HH355" s="978"/>
      <c r="HI355" s="978"/>
      <c r="HJ355" s="978"/>
      <c r="HK355" s="978"/>
      <c r="HL355" s="978"/>
      <c r="HM355" s="978"/>
      <c r="HN355" s="978"/>
      <c r="HO355" s="978"/>
      <c r="HP355" s="978"/>
      <c r="HQ355" s="978"/>
      <c r="HR355" s="978"/>
      <c r="HS355" s="978"/>
      <c r="HT355" s="978"/>
      <c r="HU355" s="978"/>
      <c r="HV355" s="978"/>
      <c r="HW355" s="978"/>
      <c r="HX355" s="978"/>
      <c r="HY355" s="978"/>
      <c r="HZ355" s="978"/>
      <c r="IA355" s="978"/>
      <c r="IB355" s="978"/>
      <c r="IC355" s="978"/>
      <c r="ID355" s="978"/>
      <c r="IE355" s="978"/>
      <c r="IF355" s="978"/>
      <c r="IG355" s="978"/>
      <c r="IH355" s="978"/>
      <c r="II355" s="978"/>
      <c r="IJ355" s="978"/>
      <c r="IK355" s="978"/>
      <c r="IL355" s="978"/>
      <c r="IM355" s="978"/>
      <c r="IN355" s="978"/>
      <c r="IO355" s="978"/>
      <c r="IP355" s="978"/>
      <c r="IQ355" s="978"/>
      <c r="IR355" s="978"/>
      <c r="IS355" s="978"/>
      <c r="IT355" s="978"/>
      <c r="IU355" s="978"/>
      <c r="IV355" s="978"/>
      <c r="IW355" s="978"/>
      <c r="IX355" s="978"/>
      <c r="IY355" s="978"/>
      <c r="IZ355" s="978"/>
      <c r="JA355" s="978"/>
      <c r="JB355" s="978"/>
      <c r="JC355" s="978"/>
      <c r="JD355" s="978"/>
      <c r="JE355" s="978"/>
      <c r="JF355" s="978"/>
      <c r="JG355" s="978"/>
      <c r="JH355" s="978"/>
      <c r="JI355" s="978"/>
      <c r="JJ355" s="978"/>
      <c r="JK355" s="978"/>
      <c r="JL355" s="978"/>
      <c r="JM355" s="978"/>
      <c r="JN355" s="978"/>
      <c r="JO355" s="978"/>
      <c r="JP355" s="978"/>
      <c r="JQ355" s="978"/>
      <c r="JR355" s="978"/>
      <c r="JS355" s="978"/>
      <c r="JT355" s="978"/>
      <c r="JU355" s="978"/>
      <c r="JV355" s="978"/>
      <c r="JW355" s="978"/>
      <c r="JX355" s="978"/>
      <c r="JY355" s="978"/>
      <c r="JZ355" s="978"/>
      <c r="KA355" s="978"/>
      <c r="KB355" s="978"/>
      <c r="KC355" s="978"/>
      <c r="KD355" s="978"/>
      <c r="KE355" s="978"/>
      <c r="KF355" s="978"/>
      <c r="KG355" s="978"/>
      <c r="KH355" s="978"/>
      <c r="KI355" s="978"/>
      <c r="KJ355" s="978"/>
      <c r="KK355" s="978"/>
      <c r="KL355" s="978"/>
      <c r="KM355" s="978"/>
      <c r="KN355" s="978"/>
      <c r="KO355" s="978"/>
      <c r="KP355" s="978"/>
      <c r="KQ355" s="978"/>
      <c r="KR355" s="978"/>
      <c r="KS355" s="978"/>
      <c r="KT355" s="978"/>
      <c r="KU355" s="978"/>
      <c r="KV355" s="978"/>
      <c r="KW355" s="978"/>
      <c r="KX355" s="978"/>
      <c r="KY355" s="978"/>
      <c r="KZ355" s="978"/>
      <c r="LA355" s="978"/>
      <c r="LB355" s="978"/>
      <c r="LC355" s="978"/>
      <c r="LD355" s="978"/>
      <c r="LE355" s="978"/>
      <c r="LF355" s="978"/>
      <c r="LG355" s="978"/>
      <c r="LH355" s="978"/>
      <c r="LI355" s="978"/>
      <c r="LJ355" s="978"/>
      <c r="LK355" s="978"/>
      <c r="LL355" s="978"/>
      <c r="LM355" s="978"/>
      <c r="LN355" s="978"/>
      <c r="LO355" s="978"/>
      <c r="LP355" s="978"/>
      <c r="LQ355" s="978"/>
      <c r="LR355" s="978"/>
      <c r="LS355" s="978"/>
      <c r="LT355" s="978"/>
      <c r="LU355" s="978"/>
      <c r="LV355" s="978"/>
      <c r="LW355" s="978"/>
      <c r="LX355" s="978"/>
      <c r="LY355" s="978"/>
      <c r="LZ355" s="978"/>
      <c r="MA355" s="978"/>
      <c r="MB355" s="978"/>
      <c r="MC355" s="978"/>
      <c r="MD355" s="978"/>
      <c r="ME355" s="978"/>
      <c r="MF355" s="978"/>
      <c r="MG355" s="978"/>
      <c r="MH355" s="978"/>
      <c r="MI355" s="978"/>
      <c r="MJ355" s="978"/>
      <c r="MK355" s="978"/>
      <c r="ML355" s="978"/>
      <c r="MM355" s="978"/>
      <c r="MN355" s="978"/>
      <c r="MO355" s="978"/>
      <c r="MP355" s="978"/>
      <c r="MQ355" s="978"/>
      <c r="MR355" s="978"/>
      <c r="MS355" s="978"/>
      <c r="MT355" s="978"/>
      <c r="MU355" s="978"/>
      <c r="MV355" s="978"/>
      <c r="MW355" s="978"/>
      <c r="MX355" s="978"/>
      <c r="MY355" s="978"/>
      <c r="MZ355" s="978"/>
      <c r="NA355" s="978"/>
      <c r="NB355" s="978"/>
      <c r="NC355" s="978"/>
      <c r="ND355" s="978"/>
      <c r="NE355" s="978"/>
      <c r="NF355" s="978"/>
      <c r="NG355" s="978"/>
      <c r="NH355" s="978"/>
      <c r="NI355" s="978"/>
      <c r="NJ355" s="978"/>
      <c r="NK355" s="978"/>
      <c r="NL355" s="978"/>
      <c r="NM355" s="978"/>
      <c r="NN355" s="978"/>
      <c r="NO355" s="978"/>
      <c r="NP355" s="978"/>
      <c r="NQ355" s="978"/>
      <c r="NR355" s="978"/>
      <c r="NS355" s="978"/>
      <c r="NT355" s="978"/>
      <c r="NU355" s="978"/>
      <c r="NV355" s="978"/>
      <c r="NW355" s="978"/>
      <c r="NX355" s="978"/>
      <c r="NY355" s="978"/>
      <c r="NZ355" s="978"/>
      <c r="OA355" s="978"/>
      <c r="OB355" s="978"/>
      <c r="OC355" s="978"/>
      <c r="OD355" s="978"/>
      <c r="OE355" s="978"/>
      <c r="OF355" s="978"/>
      <c r="OG355" s="978"/>
      <c r="OH355" s="978"/>
      <c r="OI355" s="978"/>
      <c r="OJ355" s="978"/>
      <c r="OK355" s="978"/>
      <c r="OL355" s="978"/>
      <c r="OM355" s="978"/>
      <c r="ON355" s="978"/>
      <c r="OO355" s="978"/>
      <c r="OP355" s="978"/>
      <c r="OQ355" s="978"/>
      <c r="OR355" s="978"/>
      <c r="OS355" s="978"/>
      <c r="OT355" s="978"/>
      <c r="OU355" s="978"/>
      <c r="OV355" s="978"/>
      <c r="OW355" s="978"/>
      <c r="OX355" s="978"/>
      <c r="OY355" s="978"/>
      <c r="OZ355" s="978"/>
      <c r="PA355" s="978"/>
      <c r="PB355" s="978"/>
      <c r="PC355" s="978"/>
      <c r="PD355" s="978"/>
      <c r="PE355" s="978"/>
      <c r="PF355" s="978"/>
      <c r="PG355" s="978"/>
      <c r="PH355" s="978"/>
      <c r="PI355" s="978"/>
      <c r="PJ355" s="978"/>
      <c r="PK355" s="978"/>
      <c r="PL355" s="978"/>
      <c r="PM355" s="978"/>
      <c r="PN355" s="978"/>
      <c r="PO355" s="978"/>
      <c r="PP355" s="978"/>
      <c r="PQ355" s="978"/>
      <c r="PR355" s="978"/>
      <c r="PS355" s="978"/>
      <c r="PT355" s="978"/>
      <c r="PU355" s="978"/>
      <c r="PV355" s="978"/>
      <c r="PW355" s="978"/>
      <c r="PX355" s="978"/>
      <c r="PY355" s="978"/>
      <c r="PZ355" s="978"/>
      <c r="QA355" s="978"/>
      <c r="QB355" s="978"/>
      <c r="QC355" s="978"/>
      <c r="QD355" s="978"/>
      <c r="QE355" s="978"/>
      <c r="QF355" s="978"/>
      <c r="QG355" s="978"/>
      <c r="QH355" s="978"/>
      <c r="QI355" s="978"/>
      <c r="QJ355" s="978"/>
      <c r="QK355" s="978"/>
      <c r="QL355" s="978"/>
      <c r="QM355" s="978"/>
      <c r="QN355" s="978"/>
      <c r="QO355" s="978"/>
      <c r="QP355" s="978"/>
      <c r="QQ355" s="978"/>
      <c r="QR355" s="978"/>
      <c r="QS355" s="978"/>
      <c r="QT355" s="978"/>
      <c r="QU355" s="978"/>
      <c r="QV355" s="978"/>
      <c r="QW355" s="978"/>
      <c r="QX355" s="978"/>
      <c r="QY355" s="978"/>
      <c r="QZ355" s="978"/>
      <c r="RA355" s="978"/>
      <c r="RB355" s="274"/>
      <c r="RC355" s="274"/>
    </row>
    <row r="356" spans="112:471" ht="17.25">
      <c r="DH356" s="274"/>
      <c r="DI356" s="274"/>
      <c r="DJ356" s="978"/>
      <c r="DK356" s="978"/>
      <c r="DL356" s="978"/>
      <c r="DM356" s="978"/>
      <c r="DN356" s="978"/>
      <c r="DO356" s="978"/>
      <c r="DP356" s="978"/>
      <c r="DQ356" s="978"/>
      <c r="DR356" s="978"/>
      <c r="DS356" s="978"/>
      <c r="DT356" s="978"/>
      <c r="DU356" s="978"/>
      <c r="DV356" s="978"/>
      <c r="DW356" s="978"/>
      <c r="DX356" s="978"/>
      <c r="DY356" s="978"/>
      <c r="DZ356" s="978"/>
      <c r="EA356" s="978"/>
      <c r="EB356" s="978"/>
      <c r="EC356" s="978"/>
      <c r="ED356" s="978"/>
      <c r="EE356" s="978"/>
      <c r="EF356" s="978"/>
      <c r="EG356" s="978"/>
      <c r="EH356" s="978"/>
      <c r="EI356" s="978"/>
      <c r="EJ356" s="978"/>
      <c r="EK356" s="978"/>
      <c r="EL356" s="978"/>
      <c r="EM356" s="978"/>
      <c r="EN356" s="978"/>
      <c r="EO356" s="978"/>
      <c r="EP356" s="978"/>
      <c r="EQ356" s="978"/>
      <c r="ER356" s="978"/>
      <c r="ES356" s="978"/>
      <c r="ET356" s="978"/>
      <c r="EU356" s="978"/>
      <c r="EV356" s="978"/>
      <c r="EW356" s="978"/>
      <c r="EX356" s="978"/>
      <c r="EY356" s="978"/>
      <c r="EZ356" s="978"/>
      <c r="FA356" s="978"/>
      <c r="FB356" s="978"/>
      <c r="FC356" s="978"/>
      <c r="FD356" s="978"/>
      <c r="FE356" s="978"/>
      <c r="FF356" s="978"/>
      <c r="FG356" s="978"/>
      <c r="FH356" s="978"/>
      <c r="FI356" s="978"/>
      <c r="FJ356" s="978"/>
      <c r="FK356" s="978"/>
      <c r="FL356" s="978"/>
      <c r="FM356" s="978"/>
      <c r="FN356" s="978"/>
      <c r="FO356" s="978"/>
      <c r="FP356" s="978"/>
      <c r="FQ356" s="978"/>
      <c r="FR356" s="978"/>
      <c r="FS356" s="978"/>
      <c r="FT356" s="978"/>
      <c r="FU356" s="978"/>
      <c r="FV356" s="978"/>
      <c r="FW356" s="978"/>
      <c r="FX356" s="978"/>
      <c r="FY356" s="978"/>
      <c r="FZ356" s="978"/>
      <c r="GA356" s="978"/>
      <c r="GB356" s="978"/>
      <c r="GC356" s="978"/>
      <c r="GD356" s="978"/>
      <c r="GE356" s="978"/>
      <c r="GF356" s="978"/>
      <c r="GG356" s="978"/>
      <c r="GH356" s="978"/>
      <c r="GI356" s="978"/>
      <c r="GJ356" s="978"/>
      <c r="GK356" s="978"/>
      <c r="GL356" s="978"/>
      <c r="GM356" s="978"/>
      <c r="GN356" s="978"/>
      <c r="GO356" s="978"/>
      <c r="GP356" s="978"/>
      <c r="GQ356" s="978"/>
      <c r="GR356" s="978"/>
      <c r="GS356" s="978"/>
      <c r="GT356" s="978"/>
      <c r="GU356" s="978"/>
      <c r="GV356" s="978"/>
      <c r="GW356" s="978"/>
      <c r="GX356" s="978"/>
      <c r="GY356" s="978"/>
      <c r="GZ356" s="978"/>
      <c r="HA356" s="978"/>
      <c r="HB356" s="978"/>
      <c r="HC356" s="978"/>
      <c r="HD356" s="978"/>
      <c r="HE356" s="978"/>
      <c r="HF356" s="978"/>
      <c r="HG356" s="978"/>
      <c r="HH356" s="978"/>
      <c r="HI356" s="978"/>
      <c r="HJ356" s="978"/>
      <c r="HK356" s="978"/>
      <c r="HL356" s="978"/>
      <c r="HM356" s="978"/>
      <c r="HN356" s="978"/>
      <c r="HO356" s="978"/>
      <c r="HP356" s="978"/>
      <c r="HQ356" s="978"/>
      <c r="HR356" s="978"/>
      <c r="HS356" s="978"/>
      <c r="HT356" s="978"/>
      <c r="HU356" s="978"/>
      <c r="HV356" s="978"/>
      <c r="HW356" s="978"/>
      <c r="HX356" s="978"/>
      <c r="HY356" s="978"/>
      <c r="HZ356" s="978"/>
      <c r="IA356" s="978"/>
      <c r="IB356" s="978"/>
      <c r="IC356" s="978"/>
      <c r="ID356" s="978"/>
      <c r="IE356" s="978"/>
      <c r="IF356" s="978"/>
      <c r="IG356" s="978"/>
      <c r="IH356" s="978"/>
      <c r="II356" s="978"/>
      <c r="IJ356" s="978"/>
      <c r="IK356" s="978"/>
      <c r="IL356" s="978"/>
      <c r="IM356" s="978"/>
      <c r="IN356" s="978"/>
      <c r="IO356" s="978"/>
      <c r="IP356" s="978"/>
      <c r="IQ356" s="978"/>
      <c r="IR356" s="978"/>
      <c r="IS356" s="978"/>
      <c r="IT356" s="978"/>
      <c r="IU356" s="978"/>
      <c r="IV356" s="978"/>
      <c r="IW356" s="978"/>
      <c r="IX356" s="978"/>
      <c r="IY356" s="978"/>
      <c r="IZ356" s="978"/>
      <c r="JA356" s="978"/>
      <c r="JB356" s="978"/>
      <c r="JC356" s="978"/>
      <c r="JD356" s="978"/>
      <c r="JE356" s="978"/>
      <c r="JF356" s="978"/>
      <c r="JG356" s="978"/>
      <c r="JH356" s="978"/>
      <c r="JI356" s="978"/>
      <c r="JJ356" s="978"/>
      <c r="JK356" s="978"/>
      <c r="JL356" s="978"/>
      <c r="JM356" s="978"/>
      <c r="JN356" s="978"/>
      <c r="JO356" s="978"/>
      <c r="JP356" s="978"/>
      <c r="JQ356" s="978"/>
      <c r="JR356" s="978"/>
      <c r="JS356" s="978"/>
      <c r="JT356" s="978"/>
      <c r="JU356" s="978"/>
      <c r="JV356" s="978"/>
      <c r="JW356" s="978"/>
      <c r="JX356" s="978"/>
      <c r="JY356" s="978"/>
      <c r="JZ356" s="978"/>
      <c r="KA356" s="978"/>
      <c r="KB356" s="978"/>
      <c r="KC356" s="978"/>
      <c r="KD356" s="978"/>
      <c r="KE356" s="978"/>
      <c r="KF356" s="978"/>
      <c r="KG356" s="978"/>
      <c r="KH356" s="978"/>
      <c r="KI356" s="978"/>
      <c r="KJ356" s="978"/>
      <c r="KK356" s="978"/>
      <c r="KL356" s="978"/>
      <c r="KM356" s="978"/>
      <c r="KN356" s="978"/>
      <c r="KO356" s="978"/>
      <c r="KP356" s="978"/>
      <c r="KQ356" s="978"/>
      <c r="KR356" s="978"/>
      <c r="KS356" s="978"/>
      <c r="KT356" s="978"/>
      <c r="KU356" s="978"/>
      <c r="KV356" s="978"/>
      <c r="KW356" s="978"/>
      <c r="KX356" s="978"/>
      <c r="KY356" s="978"/>
      <c r="KZ356" s="978"/>
      <c r="LA356" s="978"/>
      <c r="LB356" s="978"/>
      <c r="LC356" s="978"/>
      <c r="LD356" s="978"/>
      <c r="LE356" s="978"/>
      <c r="LF356" s="978"/>
      <c r="LG356" s="978"/>
      <c r="LH356" s="978"/>
      <c r="LI356" s="978"/>
      <c r="LJ356" s="978"/>
      <c r="LK356" s="978"/>
      <c r="LL356" s="978"/>
      <c r="LM356" s="978"/>
      <c r="LN356" s="978"/>
      <c r="LO356" s="978"/>
      <c r="LP356" s="978"/>
      <c r="LQ356" s="978"/>
      <c r="LR356" s="978"/>
      <c r="LS356" s="978"/>
      <c r="LT356" s="978"/>
      <c r="LU356" s="978"/>
      <c r="LV356" s="978"/>
      <c r="LW356" s="978"/>
      <c r="LX356" s="978"/>
      <c r="LY356" s="978"/>
      <c r="LZ356" s="978"/>
      <c r="MA356" s="978"/>
      <c r="MB356" s="978"/>
      <c r="MC356" s="978"/>
      <c r="MD356" s="978"/>
      <c r="ME356" s="978"/>
      <c r="MF356" s="978"/>
      <c r="MG356" s="978"/>
      <c r="MH356" s="978"/>
      <c r="MI356" s="978"/>
      <c r="MJ356" s="978"/>
      <c r="MK356" s="978"/>
      <c r="ML356" s="978"/>
      <c r="MM356" s="978"/>
      <c r="MN356" s="978"/>
      <c r="MO356" s="978"/>
      <c r="MP356" s="978"/>
      <c r="MQ356" s="978"/>
      <c r="MR356" s="978"/>
      <c r="MS356" s="978"/>
      <c r="MT356" s="978"/>
      <c r="MU356" s="978"/>
      <c r="MV356" s="978"/>
      <c r="MW356" s="978"/>
      <c r="MX356" s="978"/>
      <c r="MY356" s="978"/>
      <c r="MZ356" s="978"/>
      <c r="NA356" s="978"/>
      <c r="NB356" s="978"/>
      <c r="NC356" s="978"/>
      <c r="ND356" s="978"/>
      <c r="NE356" s="978"/>
      <c r="NF356" s="978"/>
      <c r="NG356" s="978"/>
      <c r="NH356" s="978"/>
      <c r="NI356" s="978"/>
      <c r="NJ356" s="978"/>
      <c r="NK356" s="978"/>
      <c r="NL356" s="978"/>
      <c r="NM356" s="978"/>
      <c r="NN356" s="978"/>
      <c r="NO356" s="978"/>
      <c r="NP356" s="978"/>
      <c r="NQ356" s="978"/>
      <c r="NR356" s="978"/>
      <c r="NS356" s="978"/>
      <c r="NT356" s="978"/>
      <c r="NU356" s="978"/>
      <c r="NV356" s="978"/>
      <c r="NW356" s="978"/>
      <c r="NX356" s="978"/>
      <c r="NY356" s="978"/>
      <c r="NZ356" s="978"/>
      <c r="OA356" s="978"/>
      <c r="OB356" s="978"/>
      <c r="OC356" s="978"/>
      <c r="OD356" s="978"/>
      <c r="OE356" s="978"/>
      <c r="OF356" s="978"/>
      <c r="OG356" s="978"/>
      <c r="OH356" s="978"/>
      <c r="OI356" s="978"/>
      <c r="OJ356" s="978"/>
      <c r="OK356" s="978"/>
      <c r="OL356" s="978"/>
      <c r="OM356" s="978"/>
      <c r="ON356" s="978"/>
      <c r="OO356" s="978"/>
      <c r="OP356" s="978"/>
      <c r="OQ356" s="978"/>
      <c r="OR356" s="978"/>
      <c r="OS356" s="978"/>
      <c r="OT356" s="978"/>
      <c r="OU356" s="978"/>
      <c r="OV356" s="978"/>
      <c r="OW356" s="978"/>
      <c r="OX356" s="978"/>
      <c r="OY356" s="978"/>
      <c r="OZ356" s="978"/>
      <c r="PA356" s="978"/>
      <c r="PB356" s="978"/>
      <c r="PC356" s="978"/>
      <c r="PD356" s="978"/>
      <c r="PE356" s="978"/>
      <c r="PF356" s="978"/>
      <c r="PG356" s="978"/>
      <c r="PH356" s="978"/>
      <c r="PI356" s="978"/>
      <c r="PJ356" s="978"/>
      <c r="PK356" s="978"/>
      <c r="PL356" s="978"/>
      <c r="PM356" s="978"/>
      <c r="PN356" s="978"/>
      <c r="PO356" s="978"/>
      <c r="PP356" s="978"/>
      <c r="PQ356" s="978"/>
      <c r="PR356" s="978"/>
      <c r="PS356" s="978"/>
      <c r="PT356" s="978"/>
      <c r="PU356" s="978"/>
      <c r="PV356" s="978"/>
      <c r="PW356" s="978"/>
      <c r="PX356" s="978"/>
      <c r="PY356" s="978"/>
      <c r="PZ356" s="978"/>
      <c r="QA356" s="978"/>
      <c r="QB356" s="978"/>
      <c r="QC356" s="978"/>
      <c r="QD356" s="978"/>
      <c r="QE356" s="978"/>
      <c r="QF356" s="978"/>
      <c r="QG356" s="978"/>
      <c r="QH356" s="978"/>
      <c r="QI356" s="978"/>
      <c r="QJ356" s="978"/>
      <c r="QK356" s="978"/>
      <c r="QL356" s="978"/>
      <c r="QM356" s="978"/>
      <c r="QN356" s="978"/>
      <c r="QO356" s="978"/>
      <c r="QP356" s="978"/>
      <c r="QQ356" s="978"/>
      <c r="QR356" s="978"/>
      <c r="QS356" s="978"/>
      <c r="QT356" s="978"/>
      <c r="QU356" s="978"/>
      <c r="QV356" s="978"/>
      <c r="QW356" s="978"/>
      <c r="QX356" s="978"/>
      <c r="QY356" s="978"/>
      <c r="QZ356" s="978"/>
      <c r="RA356" s="978"/>
      <c r="RB356" s="274"/>
      <c r="RC356" s="274"/>
    </row>
    <row r="357" spans="112:471" ht="17.25">
      <c r="DH357" s="274"/>
      <c r="DI357" s="274"/>
      <c r="DJ357" s="978"/>
      <c r="DK357" s="978"/>
      <c r="DL357" s="978"/>
      <c r="DM357" s="978"/>
      <c r="DN357" s="978"/>
      <c r="DO357" s="978"/>
      <c r="DP357" s="978"/>
      <c r="DQ357" s="978"/>
      <c r="DR357" s="978"/>
      <c r="DS357" s="978"/>
      <c r="DT357" s="978"/>
      <c r="DU357" s="978"/>
      <c r="DV357" s="978"/>
      <c r="DW357" s="978"/>
      <c r="DX357" s="978"/>
      <c r="DY357" s="978"/>
      <c r="DZ357" s="978"/>
      <c r="EA357" s="978"/>
      <c r="EB357" s="978"/>
      <c r="EC357" s="978"/>
      <c r="ED357" s="978"/>
      <c r="EE357" s="978"/>
      <c r="EF357" s="978"/>
      <c r="EG357" s="978"/>
      <c r="EH357" s="978"/>
      <c r="EI357" s="978"/>
      <c r="EJ357" s="978"/>
      <c r="EK357" s="978"/>
      <c r="EL357" s="978"/>
      <c r="EM357" s="978"/>
      <c r="EN357" s="978"/>
      <c r="EO357" s="978"/>
      <c r="EP357" s="978"/>
      <c r="EQ357" s="978"/>
      <c r="ER357" s="978"/>
      <c r="ES357" s="978"/>
      <c r="ET357" s="978"/>
      <c r="EU357" s="978"/>
      <c r="EV357" s="978"/>
      <c r="EW357" s="978"/>
      <c r="EX357" s="978"/>
      <c r="EY357" s="978"/>
      <c r="EZ357" s="978"/>
      <c r="FA357" s="978"/>
      <c r="FB357" s="978"/>
      <c r="FC357" s="978"/>
      <c r="FD357" s="978"/>
      <c r="FE357" s="978"/>
      <c r="FF357" s="978"/>
      <c r="FG357" s="978"/>
      <c r="FH357" s="978"/>
      <c r="FI357" s="978"/>
      <c r="FJ357" s="978"/>
      <c r="FK357" s="978"/>
      <c r="FL357" s="978"/>
      <c r="FM357" s="978"/>
      <c r="FN357" s="978"/>
      <c r="FO357" s="978"/>
      <c r="FP357" s="978"/>
      <c r="FQ357" s="978"/>
      <c r="FR357" s="978"/>
      <c r="FS357" s="978"/>
      <c r="FT357" s="978"/>
      <c r="FU357" s="978"/>
      <c r="FV357" s="978"/>
      <c r="FW357" s="978"/>
      <c r="FX357" s="978"/>
      <c r="FY357" s="978"/>
      <c r="FZ357" s="978"/>
      <c r="GA357" s="978"/>
      <c r="GB357" s="978"/>
      <c r="GC357" s="978"/>
      <c r="GD357" s="978"/>
      <c r="GE357" s="978"/>
      <c r="GF357" s="978"/>
      <c r="GG357" s="978"/>
      <c r="GH357" s="978"/>
      <c r="GI357" s="978"/>
      <c r="GJ357" s="978"/>
      <c r="GK357" s="978"/>
      <c r="GL357" s="978"/>
      <c r="GM357" s="978"/>
      <c r="GN357" s="978"/>
      <c r="GO357" s="978"/>
      <c r="GP357" s="978"/>
      <c r="GQ357" s="978"/>
      <c r="GR357" s="978"/>
      <c r="GS357" s="978"/>
      <c r="GT357" s="978"/>
      <c r="GU357" s="978"/>
      <c r="GV357" s="978"/>
      <c r="GW357" s="978"/>
      <c r="GX357" s="978"/>
      <c r="GY357" s="978"/>
      <c r="GZ357" s="978"/>
      <c r="HA357" s="978"/>
      <c r="HB357" s="978"/>
      <c r="HC357" s="978"/>
      <c r="HD357" s="978"/>
      <c r="HE357" s="978"/>
      <c r="HF357" s="978"/>
      <c r="HG357" s="978"/>
      <c r="HH357" s="978"/>
      <c r="HI357" s="978"/>
      <c r="HJ357" s="978"/>
      <c r="HK357" s="978"/>
      <c r="HL357" s="978"/>
      <c r="HM357" s="978"/>
      <c r="HN357" s="978"/>
      <c r="HO357" s="978"/>
      <c r="HP357" s="978"/>
      <c r="HQ357" s="978"/>
      <c r="HR357" s="978"/>
      <c r="HS357" s="978"/>
      <c r="HT357" s="978"/>
      <c r="HU357" s="978"/>
      <c r="HV357" s="978"/>
      <c r="HW357" s="978"/>
      <c r="HX357" s="978"/>
      <c r="HY357" s="978"/>
      <c r="HZ357" s="978"/>
      <c r="IA357" s="978"/>
      <c r="IB357" s="978"/>
      <c r="IC357" s="978"/>
      <c r="ID357" s="978"/>
      <c r="IE357" s="978"/>
      <c r="IF357" s="978"/>
      <c r="IG357" s="978"/>
      <c r="IH357" s="978"/>
      <c r="II357" s="978"/>
      <c r="IJ357" s="978"/>
      <c r="IK357" s="978"/>
      <c r="IL357" s="978"/>
      <c r="IM357" s="978"/>
      <c r="IN357" s="978"/>
      <c r="IO357" s="978"/>
      <c r="IP357" s="978"/>
      <c r="IQ357" s="978"/>
      <c r="IR357" s="978"/>
      <c r="IS357" s="978"/>
      <c r="IT357" s="978"/>
      <c r="IU357" s="978"/>
      <c r="IV357" s="978"/>
      <c r="IW357" s="978"/>
      <c r="IX357" s="978"/>
      <c r="IY357" s="978"/>
      <c r="IZ357" s="978"/>
      <c r="JA357" s="978"/>
      <c r="JB357" s="978"/>
      <c r="JC357" s="978"/>
      <c r="JD357" s="978"/>
      <c r="JE357" s="978"/>
      <c r="JF357" s="978"/>
      <c r="JG357" s="978"/>
      <c r="JH357" s="978"/>
      <c r="JI357" s="978"/>
      <c r="JJ357" s="978"/>
      <c r="JK357" s="978"/>
      <c r="JL357" s="978"/>
      <c r="JM357" s="978"/>
      <c r="JN357" s="978"/>
      <c r="JO357" s="978"/>
      <c r="JP357" s="978"/>
      <c r="JQ357" s="978"/>
      <c r="JR357" s="978"/>
      <c r="JS357" s="978"/>
      <c r="JT357" s="978"/>
      <c r="JU357" s="978"/>
      <c r="JV357" s="978"/>
      <c r="JW357" s="978"/>
      <c r="JX357" s="978"/>
      <c r="JY357" s="978"/>
      <c r="JZ357" s="978"/>
      <c r="KA357" s="978"/>
      <c r="KB357" s="978"/>
      <c r="KC357" s="978"/>
      <c r="KD357" s="978"/>
      <c r="KE357" s="978"/>
      <c r="KF357" s="978"/>
      <c r="KG357" s="978"/>
      <c r="KH357" s="978"/>
      <c r="KI357" s="978"/>
      <c r="KJ357" s="978"/>
      <c r="KK357" s="978"/>
      <c r="KL357" s="978"/>
      <c r="KM357" s="978"/>
      <c r="KN357" s="978"/>
      <c r="KO357" s="978"/>
      <c r="KP357" s="978"/>
      <c r="KQ357" s="978"/>
      <c r="KR357" s="978"/>
      <c r="KS357" s="978"/>
      <c r="KT357" s="978"/>
      <c r="KU357" s="978"/>
      <c r="KV357" s="978"/>
      <c r="KW357" s="978"/>
      <c r="KX357" s="978"/>
      <c r="KY357" s="978"/>
      <c r="KZ357" s="978"/>
      <c r="LA357" s="978"/>
      <c r="LB357" s="978"/>
      <c r="LC357" s="978"/>
      <c r="LD357" s="978"/>
      <c r="LE357" s="978"/>
      <c r="LF357" s="978"/>
      <c r="LG357" s="978"/>
      <c r="LH357" s="978"/>
      <c r="LI357" s="978"/>
      <c r="LJ357" s="978"/>
      <c r="LK357" s="978"/>
      <c r="LL357" s="978"/>
      <c r="LM357" s="978"/>
      <c r="LN357" s="978"/>
      <c r="LO357" s="978"/>
      <c r="LP357" s="978"/>
      <c r="LQ357" s="978"/>
      <c r="LR357" s="978"/>
      <c r="LS357" s="978"/>
      <c r="LT357" s="978"/>
      <c r="LU357" s="978"/>
      <c r="LV357" s="978"/>
      <c r="LW357" s="978"/>
      <c r="LX357" s="978"/>
      <c r="LY357" s="978"/>
      <c r="LZ357" s="978"/>
      <c r="MA357" s="978"/>
      <c r="MB357" s="978"/>
      <c r="MC357" s="978"/>
      <c r="MD357" s="978"/>
      <c r="ME357" s="978"/>
      <c r="MF357" s="978"/>
      <c r="MG357" s="978"/>
      <c r="MH357" s="978"/>
      <c r="MI357" s="978"/>
      <c r="MJ357" s="978"/>
      <c r="MK357" s="978"/>
      <c r="ML357" s="978"/>
      <c r="MM357" s="978"/>
      <c r="MN357" s="978"/>
      <c r="MO357" s="978"/>
      <c r="MP357" s="978"/>
      <c r="MQ357" s="978"/>
      <c r="MR357" s="978"/>
      <c r="MS357" s="978"/>
      <c r="MT357" s="978"/>
      <c r="MU357" s="978"/>
      <c r="MV357" s="978"/>
      <c r="MW357" s="978"/>
      <c r="MX357" s="978"/>
      <c r="MY357" s="978"/>
      <c r="MZ357" s="978"/>
      <c r="NA357" s="978"/>
      <c r="NB357" s="978"/>
      <c r="NC357" s="978"/>
      <c r="ND357" s="978"/>
      <c r="NE357" s="978"/>
      <c r="NF357" s="978"/>
      <c r="NG357" s="978"/>
      <c r="NH357" s="978"/>
      <c r="NI357" s="978"/>
      <c r="NJ357" s="978"/>
      <c r="NK357" s="978"/>
      <c r="NL357" s="978"/>
      <c r="NM357" s="978"/>
      <c r="NN357" s="978"/>
      <c r="NO357" s="978"/>
      <c r="NP357" s="978"/>
      <c r="NQ357" s="978"/>
      <c r="NR357" s="978"/>
      <c r="NS357" s="978"/>
      <c r="NT357" s="978"/>
      <c r="NU357" s="978"/>
      <c r="NV357" s="978"/>
      <c r="NW357" s="978"/>
      <c r="NX357" s="978"/>
      <c r="NY357" s="978"/>
      <c r="NZ357" s="978"/>
      <c r="OA357" s="978"/>
      <c r="OB357" s="978"/>
      <c r="OC357" s="978"/>
      <c r="OD357" s="978"/>
      <c r="OE357" s="978"/>
      <c r="OF357" s="978"/>
      <c r="OG357" s="978"/>
      <c r="OH357" s="978"/>
      <c r="OI357" s="978"/>
      <c r="OJ357" s="978"/>
      <c r="OK357" s="978"/>
      <c r="OL357" s="978"/>
      <c r="OM357" s="978"/>
      <c r="ON357" s="978"/>
      <c r="OO357" s="978"/>
      <c r="OP357" s="978"/>
      <c r="OQ357" s="978"/>
      <c r="OR357" s="978"/>
      <c r="OS357" s="978"/>
      <c r="OT357" s="978"/>
      <c r="OU357" s="978"/>
      <c r="OV357" s="978"/>
      <c r="OW357" s="978"/>
      <c r="OX357" s="978"/>
      <c r="OY357" s="978"/>
      <c r="OZ357" s="978"/>
      <c r="PA357" s="978"/>
      <c r="PB357" s="978"/>
      <c r="PC357" s="978"/>
      <c r="PD357" s="978"/>
      <c r="PE357" s="978"/>
      <c r="PF357" s="978"/>
      <c r="PG357" s="978"/>
      <c r="PH357" s="978"/>
      <c r="PI357" s="978"/>
      <c r="PJ357" s="978"/>
      <c r="PK357" s="978"/>
      <c r="PL357" s="978"/>
      <c r="PM357" s="978"/>
      <c r="PN357" s="978"/>
      <c r="PO357" s="978"/>
      <c r="PP357" s="978"/>
      <c r="PQ357" s="978"/>
      <c r="PR357" s="978"/>
      <c r="PS357" s="978"/>
      <c r="PT357" s="978"/>
      <c r="PU357" s="978"/>
      <c r="PV357" s="978"/>
      <c r="PW357" s="978"/>
      <c r="PX357" s="978"/>
      <c r="PY357" s="978"/>
      <c r="PZ357" s="978"/>
      <c r="QA357" s="978"/>
      <c r="QB357" s="978"/>
      <c r="QC357" s="978"/>
      <c r="QD357" s="978"/>
      <c r="QE357" s="978"/>
      <c r="QF357" s="978"/>
      <c r="QG357" s="978"/>
      <c r="QH357" s="978"/>
      <c r="QI357" s="978"/>
      <c r="QJ357" s="978"/>
      <c r="QK357" s="978"/>
      <c r="QL357" s="978"/>
      <c r="QM357" s="978"/>
      <c r="QN357" s="978"/>
      <c r="QO357" s="978"/>
      <c r="QP357" s="978"/>
      <c r="QQ357" s="978"/>
      <c r="QR357" s="978"/>
      <c r="QS357" s="978"/>
      <c r="QT357" s="978"/>
      <c r="QU357" s="978"/>
      <c r="QV357" s="978"/>
      <c r="QW357" s="978"/>
      <c r="QX357" s="978"/>
      <c r="QY357" s="978"/>
      <c r="QZ357" s="978"/>
      <c r="RA357" s="978"/>
      <c r="RB357" s="274"/>
      <c r="RC357" s="274"/>
    </row>
    <row r="358" spans="112:471" ht="17.25">
      <c r="DH358" s="274"/>
      <c r="DI358" s="274"/>
      <c r="DJ358" s="978"/>
      <c r="DK358" s="978"/>
      <c r="DL358" s="978"/>
      <c r="DM358" s="978"/>
      <c r="DN358" s="978"/>
      <c r="DO358" s="978"/>
      <c r="DP358" s="978"/>
      <c r="DQ358" s="978"/>
      <c r="DR358" s="978"/>
      <c r="DS358" s="978"/>
      <c r="DT358" s="978"/>
      <c r="DU358" s="978"/>
      <c r="DV358" s="978"/>
      <c r="DW358" s="978"/>
      <c r="DX358" s="978"/>
      <c r="DY358" s="978"/>
      <c r="DZ358" s="978"/>
      <c r="EA358" s="978"/>
      <c r="EB358" s="978"/>
      <c r="EC358" s="978"/>
      <c r="ED358" s="978"/>
      <c r="EE358" s="978"/>
      <c r="EF358" s="978"/>
      <c r="EG358" s="978"/>
      <c r="EH358" s="978"/>
      <c r="EI358" s="978"/>
      <c r="EJ358" s="978"/>
      <c r="EK358" s="978"/>
      <c r="EL358" s="978"/>
      <c r="EM358" s="978"/>
      <c r="EN358" s="978"/>
      <c r="EO358" s="978"/>
      <c r="EP358" s="978"/>
      <c r="EQ358" s="978"/>
      <c r="ER358" s="978"/>
      <c r="ES358" s="978"/>
      <c r="ET358" s="978"/>
      <c r="EU358" s="978"/>
      <c r="EV358" s="978"/>
      <c r="EW358" s="978"/>
      <c r="EX358" s="978"/>
      <c r="EY358" s="978"/>
      <c r="EZ358" s="978"/>
      <c r="FA358" s="978"/>
      <c r="FB358" s="978"/>
      <c r="FC358" s="978"/>
      <c r="FD358" s="978"/>
      <c r="FE358" s="978"/>
      <c r="FF358" s="978"/>
      <c r="FG358" s="978"/>
      <c r="FH358" s="978"/>
      <c r="FI358" s="978"/>
      <c r="FJ358" s="978"/>
      <c r="FK358" s="978"/>
      <c r="FL358" s="978"/>
      <c r="FM358" s="978"/>
      <c r="FN358" s="978"/>
      <c r="FO358" s="978"/>
      <c r="FP358" s="978"/>
      <c r="FQ358" s="978"/>
      <c r="FR358" s="978"/>
      <c r="FS358" s="978"/>
      <c r="FT358" s="978"/>
      <c r="FU358" s="978"/>
      <c r="FV358" s="978"/>
      <c r="FW358" s="978"/>
      <c r="FX358" s="978"/>
      <c r="FY358" s="978"/>
      <c r="FZ358" s="978"/>
      <c r="GA358" s="978"/>
      <c r="GB358" s="978"/>
      <c r="GC358" s="978"/>
      <c r="GD358" s="978"/>
      <c r="GE358" s="978"/>
      <c r="GF358" s="978"/>
      <c r="GG358" s="978"/>
      <c r="GH358" s="978"/>
      <c r="GI358" s="978"/>
      <c r="GJ358" s="978"/>
      <c r="GK358" s="978"/>
      <c r="GL358" s="978"/>
      <c r="GM358" s="978"/>
      <c r="GN358" s="978"/>
      <c r="GO358" s="978"/>
      <c r="GP358" s="978"/>
      <c r="GQ358" s="978"/>
      <c r="GR358" s="978"/>
      <c r="GS358" s="978"/>
      <c r="GT358" s="978"/>
      <c r="GU358" s="978"/>
      <c r="GV358" s="978"/>
      <c r="GW358" s="978"/>
      <c r="GX358" s="978"/>
      <c r="GY358" s="978"/>
      <c r="GZ358" s="978"/>
      <c r="HA358" s="978"/>
      <c r="HB358" s="978"/>
      <c r="HC358" s="978"/>
      <c r="HD358" s="978"/>
      <c r="HE358" s="978"/>
      <c r="HF358" s="978"/>
      <c r="HG358" s="978"/>
      <c r="HH358" s="978"/>
      <c r="HI358" s="978"/>
      <c r="HJ358" s="978"/>
      <c r="HK358" s="978"/>
      <c r="HL358" s="978"/>
      <c r="HM358" s="978"/>
      <c r="HN358" s="978"/>
      <c r="HO358" s="978"/>
      <c r="HP358" s="978"/>
      <c r="HQ358" s="978"/>
      <c r="HR358" s="978"/>
      <c r="HS358" s="978"/>
      <c r="HT358" s="978"/>
      <c r="HU358" s="978"/>
      <c r="HV358" s="978"/>
      <c r="HW358" s="978"/>
      <c r="HX358" s="978"/>
      <c r="HY358" s="978"/>
      <c r="HZ358" s="978"/>
      <c r="IA358" s="978"/>
      <c r="IB358" s="978"/>
      <c r="IC358" s="978"/>
      <c r="ID358" s="978"/>
      <c r="IE358" s="978"/>
      <c r="IF358" s="978"/>
      <c r="IG358" s="978"/>
      <c r="IH358" s="978"/>
      <c r="II358" s="978"/>
      <c r="IJ358" s="978"/>
      <c r="IK358" s="978"/>
      <c r="IL358" s="978"/>
      <c r="IM358" s="978"/>
      <c r="IN358" s="978"/>
      <c r="IO358" s="978"/>
      <c r="IP358" s="978"/>
      <c r="IQ358" s="978"/>
      <c r="IR358" s="978"/>
      <c r="IS358" s="978"/>
      <c r="IT358" s="978"/>
      <c r="IU358" s="978"/>
      <c r="IV358" s="978"/>
      <c r="IW358" s="978"/>
      <c r="IX358" s="978"/>
      <c r="IY358" s="978"/>
      <c r="IZ358" s="978"/>
      <c r="JA358" s="978"/>
      <c r="JB358" s="978"/>
      <c r="JC358" s="978"/>
      <c r="JD358" s="978"/>
      <c r="JE358" s="978"/>
      <c r="JF358" s="978"/>
      <c r="JG358" s="978"/>
      <c r="JH358" s="978"/>
      <c r="JI358" s="978"/>
      <c r="JJ358" s="978"/>
      <c r="JK358" s="978"/>
      <c r="JL358" s="978"/>
      <c r="JM358" s="978"/>
      <c r="JN358" s="978"/>
      <c r="JO358" s="978"/>
      <c r="JP358" s="978"/>
      <c r="JQ358" s="978"/>
      <c r="JR358" s="978"/>
      <c r="JS358" s="978"/>
      <c r="JT358" s="978"/>
      <c r="JU358" s="978"/>
      <c r="JV358" s="978"/>
      <c r="JW358" s="978"/>
      <c r="JX358" s="978"/>
      <c r="JY358" s="978"/>
      <c r="JZ358" s="978"/>
      <c r="KA358" s="978"/>
      <c r="KB358" s="978"/>
      <c r="KC358" s="978"/>
      <c r="KD358" s="978"/>
      <c r="KE358" s="978"/>
      <c r="KF358" s="978"/>
      <c r="KG358" s="978"/>
      <c r="KH358" s="978"/>
      <c r="KI358" s="978"/>
      <c r="KJ358" s="978"/>
      <c r="KK358" s="978"/>
      <c r="KL358" s="978"/>
      <c r="KM358" s="978"/>
      <c r="KN358" s="978"/>
      <c r="KO358" s="978"/>
      <c r="KP358" s="978"/>
      <c r="KQ358" s="978"/>
      <c r="KR358" s="978"/>
      <c r="KS358" s="978"/>
      <c r="KT358" s="978"/>
      <c r="KU358" s="978"/>
      <c r="KV358" s="978"/>
      <c r="KW358" s="978"/>
      <c r="KX358" s="978"/>
      <c r="KY358" s="978"/>
      <c r="KZ358" s="978"/>
      <c r="LA358" s="978"/>
      <c r="LB358" s="978"/>
      <c r="LC358" s="978"/>
      <c r="LD358" s="978"/>
      <c r="LE358" s="978"/>
      <c r="LF358" s="978"/>
      <c r="LG358" s="978"/>
      <c r="LH358" s="978"/>
      <c r="LI358" s="978"/>
      <c r="LJ358" s="978"/>
      <c r="LK358" s="978"/>
      <c r="LL358" s="978"/>
      <c r="LM358" s="978"/>
      <c r="LN358" s="978"/>
      <c r="LO358" s="978"/>
      <c r="LP358" s="978"/>
      <c r="LQ358" s="978"/>
      <c r="LR358" s="978"/>
      <c r="LS358" s="978"/>
      <c r="LT358" s="978"/>
      <c r="LU358" s="978"/>
      <c r="LV358" s="978"/>
      <c r="LW358" s="978"/>
      <c r="LX358" s="978"/>
      <c r="LY358" s="978"/>
      <c r="LZ358" s="978"/>
      <c r="MA358" s="978"/>
      <c r="MB358" s="978"/>
      <c r="MC358" s="978"/>
      <c r="MD358" s="978"/>
      <c r="ME358" s="978"/>
      <c r="MF358" s="978"/>
      <c r="MG358" s="978"/>
      <c r="MH358" s="978"/>
      <c r="MI358" s="978"/>
      <c r="MJ358" s="978"/>
      <c r="MK358" s="978"/>
      <c r="ML358" s="978"/>
      <c r="MM358" s="978"/>
      <c r="MN358" s="978"/>
      <c r="MO358" s="978"/>
      <c r="MP358" s="978"/>
      <c r="MQ358" s="978"/>
      <c r="MR358" s="978"/>
      <c r="MS358" s="978"/>
      <c r="MT358" s="978"/>
      <c r="MU358" s="978"/>
      <c r="MV358" s="978"/>
      <c r="MW358" s="978"/>
      <c r="MX358" s="978"/>
      <c r="MY358" s="978"/>
      <c r="MZ358" s="978"/>
      <c r="NA358" s="978"/>
      <c r="NB358" s="978"/>
      <c r="NC358" s="978"/>
      <c r="ND358" s="978"/>
      <c r="NE358" s="978"/>
      <c r="NF358" s="978"/>
      <c r="NG358" s="978"/>
      <c r="NH358" s="978"/>
      <c r="NI358" s="978"/>
      <c r="NJ358" s="978"/>
      <c r="NK358" s="978"/>
      <c r="NL358" s="978"/>
      <c r="NM358" s="978"/>
      <c r="NN358" s="978"/>
      <c r="NO358" s="978"/>
      <c r="NP358" s="978"/>
      <c r="NQ358" s="978"/>
      <c r="NR358" s="978"/>
      <c r="NS358" s="978"/>
      <c r="NT358" s="978"/>
      <c r="NU358" s="978"/>
      <c r="NV358" s="978"/>
      <c r="NW358" s="978"/>
      <c r="NX358" s="978"/>
      <c r="NY358" s="978"/>
      <c r="NZ358" s="978"/>
      <c r="OA358" s="978"/>
      <c r="OB358" s="978"/>
      <c r="OC358" s="978"/>
      <c r="OD358" s="978"/>
      <c r="OE358" s="978"/>
      <c r="OF358" s="978"/>
      <c r="OG358" s="978"/>
      <c r="OH358" s="978"/>
      <c r="OI358" s="978"/>
      <c r="OJ358" s="978"/>
      <c r="OK358" s="978"/>
      <c r="OL358" s="978"/>
      <c r="OM358" s="978"/>
      <c r="ON358" s="978"/>
      <c r="OO358" s="978"/>
      <c r="OP358" s="978"/>
      <c r="OQ358" s="978"/>
      <c r="OR358" s="978"/>
      <c r="OS358" s="978"/>
      <c r="OT358" s="978"/>
      <c r="OU358" s="978"/>
      <c r="OV358" s="978"/>
      <c r="OW358" s="978"/>
      <c r="OX358" s="978"/>
      <c r="OY358" s="978"/>
      <c r="OZ358" s="978"/>
      <c r="PA358" s="978"/>
      <c r="PB358" s="978"/>
      <c r="PC358" s="978"/>
      <c r="PD358" s="978"/>
      <c r="PE358" s="978"/>
      <c r="PF358" s="978"/>
      <c r="PG358" s="978"/>
      <c r="PH358" s="978"/>
      <c r="PI358" s="978"/>
      <c r="PJ358" s="978"/>
      <c r="PK358" s="978"/>
      <c r="PL358" s="978"/>
      <c r="PM358" s="978"/>
      <c r="PN358" s="978"/>
      <c r="PO358" s="978"/>
      <c r="PP358" s="978"/>
      <c r="PQ358" s="978"/>
      <c r="PR358" s="978"/>
      <c r="PS358" s="978"/>
      <c r="PT358" s="978"/>
      <c r="PU358" s="978"/>
      <c r="PV358" s="978"/>
      <c r="PW358" s="978"/>
      <c r="PX358" s="978"/>
      <c r="PY358" s="978"/>
      <c r="PZ358" s="978"/>
      <c r="QA358" s="978"/>
      <c r="QB358" s="978"/>
      <c r="QC358" s="978"/>
      <c r="QD358" s="978"/>
      <c r="QE358" s="978"/>
      <c r="QF358" s="978"/>
      <c r="QG358" s="978"/>
      <c r="QH358" s="978"/>
      <c r="QI358" s="978"/>
      <c r="QJ358" s="978"/>
      <c r="QK358" s="978"/>
      <c r="QL358" s="978"/>
      <c r="QM358" s="978"/>
      <c r="QN358" s="978"/>
      <c r="QO358" s="978"/>
      <c r="QP358" s="978"/>
      <c r="QQ358" s="978"/>
      <c r="QR358" s="978"/>
      <c r="QS358" s="978"/>
      <c r="QT358" s="978"/>
      <c r="QU358" s="978"/>
      <c r="QV358" s="978"/>
      <c r="QW358" s="978"/>
      <c r="QX358" s="978"/>
      <c r="QY358" s="978"/>
      <c r="QZ358" s="978"/>
      <c r="RA358" s="978"/>
      <c r="RB358" s="274"/>
      <c r="RC358" s="274"/>
    </row>
    <row r="359" spans="112:471" ht="17.25">
      <c r="DH359" s="274"/>
      <c r="DI359" s="274"/>
      <c r="DJ359" s="978"/>
      <c r="DK359" s="978"/>
      <c r="DL359" s="978"/>
      <c r="DM359" s="978"/>
      <c r="DN359" s="978"/>
      <c r="DO359" s="978"/>
      <c r="DP359" s="978"/>
      <c r="DQ359" s="978"/>
      <c r="DR359" s="978"/>
      <c r="DS359" s="978"/>
      <c r="DT359" s="978"/>
      <c r="DU359" s="978"/>
      <c r="DV359" s="978"/>
      <c r="DW359" s="978"/>
      <c r="DX359" s="978"/>
      <c r="DY359" s="978"/>
      <c r="DZ359" s="978"/>
      <c r="EA359" s="978"/>
      <c r="EB359" s="978"/>
      <c r="EC359" s="978"/>
      <c r="ED359" s="978"/>
      <c r="EE359" s="978"/>
      <c r="EF359" s="978"/>
      <c r="EG359" s="978"/>
      <c r="EH359" s="978"/>
      <c r="EI359" s="978"/>
      <c r="EJ359" s="978"/>
      <c r="EK359" s="978"/>
      <c r="EL359" s="978"/>
      <c r="EM359" s="978"/>
      <c r="EN359" s="978"/>
      <c r="EO359" s="978"/>
      <c r="EP359" s="978"/>
      <c r="EQ359" s="978"/>
      <c r="ER359" s="978"/>
      <c r="ES359" s="978"/>
      <c r="ET359" s="978"/>
      <c r="EU359" s="978"/>
      <c r="EV359" s="978"/>
      <c r="EW359" s="978"/>
      <c r="EX359" s="978"/>
      <c r="EY359" s="978"/>
      <c r="EZ359" s="978"/>
      <c r="FA359" s="978"/>
      <c r="FB359" s="978"/>
      <c r="FC359" s="978"/>
      <c r="FD359" s="978"/>
      <c r="FE359" s="978"/>
      <c r="FF359" s="978"/>
      <c r="FG359" s="978"/>
      <c r="FH359" s="978"/>
      <c r="FI359" s="978"/>
      <c r="FJ359" s="978"/>
      <c r="FK359" s="978"/>
      <c r="FL359" s="978"/>
      <c r="FM359" s="978"/>
      <c r="FN359" s="978"/>
      <c r="FO359" s="978"/>
      <c r="FP359" s="978"/>
      <c r="FQ359" s="978"/>
      <c r="FR359" s="978"/>
      <c r="FS359" s="978"/>
      <c r="FT359" s="978"/>
      <c r="FU359" s="978"/>
      <c r="FV359" s="978"/>
      <c r="FW359" s="978"/>
      <c r="FX359" s="978"/>
      <c r="FY359" s="978"/>
      <c r="FZ359" s="978"/>
      <c r="GA359" s="978"/>
      <c r="GB359" s="978"/>
      <c r="GC359" s="978"/>
      <c r="GD359" s="978"/>
      <c r="GE359" s="978"/>
      <c r="GF359" s="978"/>
      <c r="GG359" s="978"/>
      <c r="GH359" s="978"/>
      <c r="GI359" s="978"/>
      <c r="GJ359" s="978"/>
      <c r="GK359" s="978"/>
      <c r="GL359" s="978"/>
      <c r="GM359" s="978"/>
      <c r="GN359" s="978"/>
      <c r="GO359" s="978"/>
      <c r="GP359" s="978"/>
      <c r="GQ359" s="978"/>
      <c r="GR359" s="978"/>
      <c r="GS359" s="978"/>
      <c r="GT359" s="978"/>
      <c r="GU359" s="978"/>
      <c r="GV359" s="978"/>
      <c r="GW359" s="978"/>
      <c r="GX359" s="978"/>
      <c r="GY359" s="978"/>
      <c r="GZ359" s="978"/>
      <c r="HA359" s="978"/>
      <c r="HB359" s="978"/>
      <c r="HC359" s="978"/>
      <c r="HD359" s="978"/>
      <c r="HE359" s="978"/>
      <c r="HF359" s="978"/>
      <c r="HG359" s="978"/>
      <c r="HH359" s="978"/>
      <c r="HI359" s="978"/>
      <c r="HJ359" s="978"/>
      <c r="HK359" s="978"/>
      <c r="HL359" s="978"/>
      <c r="HM359" s="978"/>
      <c r="HN359" s="978"/>
      <c r="HO359" s="978"/>
      <c r="HP359" s="978"/>
      <c r="HQ359" s="978"/>
      <c r="HR359" s="978"/>
      <c r="HS359" s="978"/>
      <c r="HT359" s="978"/>
      <c r="HU359" s="978"/>
      <c r="HV359" s="978"/>
      <c r="HW359" s="978"/>
      <c r="HX359" s="978"/>
      <c r="HY359" s="978"/>
      <c r="HZ359" s="978"/>
      <c r="IA359" s="978"/>
      <c r="IB359" s="978"/>
      <c r="IC359" s="978"/>
      <c r="ID359" s="978"/>
      <c r="IE359" s="978"/>
      <c r="IF359" s="978"/>
      <c r="IG359" s="978"/>
      <c r="IH359" s="978"/>
      <c r="II359" s="978"/>
      <c r="IJ359" s="978"/>
      <c r="IK359" s="978"/>
      <c r="IL359" s="978"/>
      <c r="IM359" s="978"/>
      <c r="IN359" s="978"/>
      <c r="IO359" s="978"/>
      <c r="IP359" s="978"/>
      <c r="IQ359" s="978"/>
      <c r="IR359" s="978"/>
      <c r="IS359" s="978"/>
      <c r="IT359" s="978"/>
      <c r="IU359" s="978"/>
      <c r="IV359" s="978"/>
      <c r="IW359" s="978"/>
      <c r="IX359" s="978"/>
      <c r="IY359" s="978"/>
      <c r="IZ359" s="978"/>
      <c r="JA359" s="978"/>
      <c r="JB359" s="978"/>
      <c r="JC359" s="978"/>
      <c r="JD359" s="978"/>
      <c r="JE359" s="978"/>
      <c r="JF359" s="978"/>
      <c r="JG359" s="978"/>
      <c r="JH359" s="978"/>
      <c r="JI359" s="978"/>
      <c r="JJ359" s="978"/>
      <c r="JK359" s="978"/>
      <c r="JL359" s="978"/>
      <c r="JM359" s="978"/>
      <c r="JN359" s="978"/>
      <c r="JO359" s="978"/>
      <c r="JP359" s="978"/>
      <c r="JQ359" s="978"/>
      <c r="JR359" s="978"/>
      <c r="JS359" s="978"/>
      <c r="JT359" s="978"/>
      <c r="JU359" s="978"/>
      <c r="JV359" s="978"/>
      <c r="JW359" s="978"/>
      <c r="JX359" s="978"/>
      <c r="JY359" s="978"/>
      <c r="JZ359" s="978"/>
      <c r="KA359" s="978"/>
      <c r="KB359" s="978"/>
      <c r="KC359" s="978"/>
      <c r="KD359" s="978"/>
      <c r="KE359" s="978"/>
      <c r="KF359" s="978"/>
      <c r="KG359" s="978"/>
      <c r="KH359" s="978"/>
      <c r="KI359" s="978"/>
      <c r="KJ359" s="978"/>
      <c r="KK359" s="978"/>
      <c r="KL359" s="978"/>
      <c r="KM359" s="978"/>
      <c r="KN359" s="978"/>
      <c r="KO359" s="978"/>
      <c r="KP359" s="978"/>
      <c r="KQ359" s="978"/>
      <c r="KR359" s="978"/>
      <c r="KS359" s="978"/>
      <c r="KT359" s="978"/>
      <c r="KU359" s="978"/>
      <c r="KV359" s="978"/>
      <c r="KW359" s="978"/>
      <c r="KX359" s="978"/>
      <c r="KY359" s="978"/>
      <c r="KZ359" s="978"/>
      <c r="LA359" s="978"/>
      <c r="LB359" s="978"/>
      <c r="LC359" s="978"/>
      <c r="LD359" s="978"/>
      <c r="LE359" s="978"/>
      <c r="LF359" s="978"/>
      <c r="LG359" s="978"/>
      <c r="LH359" s="978"/>
      <c r="LI359" s="978"/>
      <c r="LJ359" s="978"/>
      <c r="LK359" s="978"/>
      <c r="LL359" s="978"/>
      <c r="LM359" s="978"/>
      <c r="LN359" s="978"/>
      <c r="LO359" s="978"/>
      <c r="LP359" s="978"/>
      <c r="LQ359" s="978"/>
      <c r="LR359" s="978"/>
      <c r="LS359" s="978"/>
      <c r="LT359" s="978"/>
      <c r="LU359" s="978"/>
      <c r="LV359" s="978"/>
      <c r="LW359" s="978"/>
      <c r="LX359" s="978"/>
      <c r="LY359" s="978"/>
      <c r="LZ359" s="978"/>
      <c r="MA359" s="978"/>
      <c r="MB359" s="978"/>
      <c r="MC359" s="978"/>
      <c r="MD359" s="978"/>
      <c r="ME359" s="978"/>
      <c r="MF359" s="978"/>
      <c r="MG359" s="978"/>
      <c r="MH359" s="978"/>
      <c r="MI359" s="978"/>
      <c r="MJ359" s="978"/>
      <c r="MK359" s="978"/>
      <c r="ML359" s="978"/>
      <c r="MM359" s="978"/>
      <c r="MN359" s="978"/>
      <c r="MO359" s="978"/>
      <c r="MP359" s="978"/>
      <c r="MQ359" s="978"/>
      <c r="MR359" s="978"/>
      <c r="MS359" s="978"/>
      <c r="MT359" s="978"/>
      <c r="MU359" s="978"/>
      <c r="MV359" s="978"/>
      <c r="MW359" s="978"/>
      <c r="MX359" s="978"/>
      <c r="MY359" s="978"/>
      <c r="MZ359" s="978"/>
      <c r="NA359" s="978"/>
      <c r="NB359" s="978"/>
      <c r="NC359" s="978"/>
      <c r="ND359" s="978"/>
      <c r="NE359" s="978"/>
      <c r="NF359" s="978"/>
      <c r="NG359" s="978"/>
      <c r="NH359" s="978"/>
      <c r="NI359" s="978"/>
      <c r="NJ359" s="978"/>
      <c r="NK359" s="978"/>
      <c r="NL359" s="978"/>
      <c r="NM359" s="978"/>
      <c r="NN359" s="978"/>
      <c r="NO359" s="978"/>
      <c r="NP359" s="978"/>
      <c r="NQ359" s="978"/>
      <c r="NR359" s="978"/>
      <c r="NS359" s="978"/>
      <c r="NT359" s="978"/>
      <c r="NU359" s="978"/>
      <c r="NV359" s="978"/>
      <c r="NW359" s="978"/>
      <c r="NX359" s="978"/>
      <c r="NY359" s="978"/>
      <c r="NZ359" s="978"/>
      <c r="OA359" s="978"/>
      <c r="OB359" s="978"/>
      <c r="OC359" s="978"/>
      <c r="OD359" s="978"/>
      <c r="OE359" s="978"/>
      <c r="OF359" s="978"/>
      <c r="OG359" s="978"/>
      <c r="OH359" s="978"/>
      <c r="OI359" s="978"/>
      <c r="OJ359" s="978"/>
      <c r="OK359" s="978"/>
      <c r="OL359" s="978"/>
      <c r="OM359" s="978"/>
      <c r="ON359" s="978"/>
      <c r="OO359" s="978"/>
      <c r="OP359" s="978"/>
      <c r="OQ359" s="978"/>
      <c r="OR359" s="978"/>
      <c r="OS359" s="978"/>
      <c r="OT359" s="978"/>
      <c r="OU359" s="978"/>
      <c r="OV359" s="978"/>
      <c r="OW359" s="978"/>
      <c r="OX359" s="978"/>
      <c r="OY359" s="978"/>
      <c r="OZ359" s="978"/>
      <c r="PA359" s="978"/>
      <c r="PB359" s="978"/>
      <c r="PC359" s="978"/>
      <c r="PD359" s="978"/>
      <c r="PE359" s="978"/>
      <c r="PF359" s="978"/>
      <c r="PG359" s="978"/>
      <c r="PH359" s="978"/>
      <c r="PI359" s="978"/>
      <c r="PJ359" s="978"/>
      <c r="PK359" s="978"/>
      <c r="PL359" s="978"/>
      <c r="PM359" s="978"/>
      <c r="PN359" s="978"/>
      <c r="PO359" s="978"/>
      <c r="PP359" s="978"/>
      <c r="PQ359" s="978"/>
      <c r="PR359" s="978"/>
      <c r="PS359" s="978"/>
      <c r="PT359" s="978"/>
      <c r="PU359" s="978"/>
      <c r="PV359" s="978"/>
      <c r="PW359" s="978"/>
      <c r="PX359" s="978"/>
      <c r="PY359" s="978"/>
      <c r="PZ359" s="978"/>
      <c r="QA359" s="978"/>
      <c r="QB359" s="978"/>
      <c r="QC359" s="978"/>
      <c r="QD359" s="978"/>
      <c r="QE359" s="978"/>
      <c r="QF359" s="978"/>
      <c r="QG359" s="978"/>
      <c r="QH359" s="978"/>
      <c r="QI359" s="978"/>
      <c r="QJ359" s="978"/>
      <c r="QK359" s="978"/>
      <c r="QL359" s="978"/>
      <c r="QM359" s="978"/>
      <c r="QN359" s="978"/>
      <c r="QO359" s="978"/>
      <c r="QP359" s="978"/>
      <c r="QQ359" s="978"/>
      <c r="QR359" s="978"/>
      <c r="QS359" s="978"/>
      <c r="QT359" s="978"/>
      <c r="QU359" s="978"/>
      <c r="QV359" s="978"/>
      <c r="QW359" s="978"/>
      <c r="QX359" s="978"/>
      <c r="QY359" s="978"/>
      <c r="QZ359" s="978"/>
      <c r="RA359" s="978"/>
      <c r="RB359" s="274"/>
      <c r="RC359" s="274"/>
    </row>
    <row r="360" spans="112:471" ht="17.25">
      <c r="DH360" s="274"/>
      <c r="DI360" s="274"/>
      <c r="DJ360" s="978"/>
      <c r="DK360" s="978"/>
      <c r="DL360" s="978"/>
      <c r="DM360" s="978"/>
      <c r="DN360" s="978"/>
      <c r="DO360" s="978"/>
      <c r="DP360" s="978"/>
      <c r="DQ360" s="978"/>
      <c r="DR360" s="978"/>
      <c r="DS360" s="978"/>
      <c r="DT360" s="978"/>
      <c r="DU360" s="978"/>
      <c r="DV360" s="978"/>
      <c r="DW360" s="978"/>
      <c r="DX360" s="978"/>
      <c r="DY360" s="978"/>
      <c r="DZ360" s="978"/>
      <c r="EA360" s="978"/>
      <c r="EB360" s="978"/>
      <c r="EC360" s="978"/>
      <c r="ED360" s="978"/>
      <c r="EE360" s="978"/>
      <c r="EF360" s="978"/>
      <c r="EG360" s="978"/>
      <c r="EH360" s="978"/>
      <c r="EI360" s="978"/>
      <c r="EJ360" s="978"/>
      <c r="EK360" s="978"/>
      <c r="EL360" s="978"/>
      <c r="EM360" s="978"/>
      <c r="EN360" s="978"/>
      <c r="EO360" s="978"/>
      <c r="EP360" s="978"/>
      <c r="EQ360" s="978"/>
      <c r="ER360" s="978"/>
      <c r="ES360" s="978"/>
      <c r="ET360" s="978"/>
      <c r="EU360" s="978"/>
      <c r="EV360" s="978"/>
      <c r="EW360" s="978"/>
      <c r="EX360" s="978"/>
      <c r="EY360" s="978"/>
      <c r="EZ360" s="978"/>
      <c r="FA360" s="978"/>
      <c r="FB360" s="978"/>
      <c r="FC360" s="978"/>
      <c r="FD360" s="978"/>
      <c r="FE360" s="978"/>
      <c r="FF360" s="978"/>
      <c r="FG360" s="978"/>
      <c r="FH360" s="978"/>
      <c r="FI360" s="978"/>
      <c r="FJ360" s="978"/>
      <c r="FK360" s="978"/>
      <c r="FL360" s="978"/>
      <c r="FM360" s="978"/>
      <c r="FN360" s="978"/>
      <c r="FO360" s="978"/>
      <c r="FP360" s="978"/>
      <c r="FQ360" s="978"/>
      <c r="FR360" s="978"/>
      <c r="FS360" s="978"/>
      <c r="FT360" s="978"/>
      <c r="FU360" s="978"/>
      <c r="FV360" s="978"/>
      <c r="FW360" s="978"/>
      <c r="FX360" s="978"/>
      <c r="FY360" s="978"/>
      <c r="FZ360" s="978"/>
      <c r="GA360" s="978"/>
      <c r="GB360" s="978"/>
      <c r="GC360" s="978"/>
      <c r="GD360" s="978"/>
      <c r="GE360" s="978"/>
      <c r="GF360" s="978"/>
      <c r="GG360" s="978"/>
      <c r="GH360" s="978"/>
      <c r="GI360" s="978"/>
      <c r="GJ360" s="978"/>
      <c r="GK360" s="978"/>
      <c r="GL360" s="978"/>
      <c r="GM360" s="978"/>
      <c r="GN360" s="978"/>
      <c r="GO360" s="978"/>
      <c r="GP360" s="978"/>
      <c r="GQ360" s="978"/>
      <c r="GR360" s="978"/>
      <c r="GS360" s="978"/>
      <c r="GT360" s="978"/>
      <c r="GU360" s="978"/>
      <c r="GV360" s="978"/>
      <c r="GW360" s="978"/>
      <c r="GX360" s="978"/>
      <c r="GY360" s="978"/>
      <c r="GZ360" s="978"/>
      <c r="HA360" s="978"/>
      <c r="HB360" s="978"/>
      <c r="HC360" s="978"/>
      <c r="HD360" s="978"/>
      <c r="HE360" s="978"/>
      <c r="HF360" s="978"/>
      <c r="HG360" s="978"/>
      <c r="HH360" s="978"/>
      <c r="HI360" s="978"/>
      <c r="HJ360" s="978"/>
      <c r="HK360" s="978"/>
      <c r="HL360" s="978"/>
      <c r="HM360" s="978"/>
      <c r="HN360" s="978"/>
      <c r="HO360" s="978"/>
      <c r="HP360" s="978"/>
      <c r="HQ360" s="978"/>
      <c r="HR360" s="978"/>
      <c r="HS360" s="978"/>
      <c r="HT360" s="978"/>
      <c r="HU360" s="978"/>
      <c r="HV360" s="978"/>
      <c r="HW360" s="978"/>
      <c r="HX360" s="978"/>
      <c r="HY360" s="978"/>
      <c r="HZ360" s="978"/>
      <c r="IA360" s="978"/>
      <c r="IB360" s="978"/>
      <c r="IC360" s="978"/>
      <c r="ID360" s="978"/>
      <c r="IE360" s="978"/>
      <c r="IF360" s="978"/>
      <c r="IG360" s="978"/>
      <c r="IH360" s="978"/>
      <c r="II360" s="978"/>
      <c r="IJ360" s="978"/>
      <c r="IK360" s="978"/>
      <c r="IL360" s="978"/>
      <c r="IM360" s="978"/>
      <c r="IN360" s="978"/>
      <c r="IO360" s="978"/>
      <c r="IP360" s="978"/>
      <c r="IQ360" s="978"/>
      <c r="IR360" s="978"/>
      <c r="IS360" s="978"/>
      <c r="IT360" s="978"/>
      <c r="IU360" s="978"/>
      <c r="IV360" s="978"/>
      <c r="IW360" s="978"/>
      <c r="IX360" s="978"/>
      <c r="IY360" s="978"/>
      <c r="IZ360" s="978"/>
      <c r="JA360" s="978"/>
      <c r="JB360" s="978"/>
      <c r="JC360" s="978"/>
      <c r="JD360" s="978"/>
      <c r="JE360" s="978"/>
      <c r="JF360" s="978"/>
      <c r="JG360" s="978"/>
      <c r="JH360" s="978"/>
      <c r="JI360" s="978"/>
      <c r="JJ360" s="978"/>
      <c r="JK360" s="978"/>
      <c r="JL360" s="978"/>
      <c r="JM360" s="978"/>
      <c r="JN360" s="978"/>
      <c r="JO360" s="978"/>
      <c r="JP360" s="978"/>
      <c r="JQ360" s="978"/>
      <c r="JR360" s="978"/>
      <c r="JS360" s="978"/>
      <c r="JT360" s="978"/>
      <c r="JU360" s="978"/>
      <c r="JV360" s="978"/>
      <c r="JW360" s="978"/>
      <c r="JX360" s="978"/>
      <c r="JY360" s="978"/>
      <c r="JZ360" s="978"/>
      <c r="KA360" s="978"/>
      <c r="KB360" s="978"/>
      <c r="KC360" s="978"/>
      <c r="KD360" s="978"/>
      <c r="KE360" s="978"/>
      <c r="KF360" s="978"/>
      <c r="KG360" s="978"/>
      <c r="KH360" s="978"/>
      <c r="KI360" s="978"/>
      <c r="KJ360" s="978"/>
      <c r="KK360" s="978"/>
      <c r="KL360" s="978"/>
      <c r="KM360" s="978"/>
      <c r="KN360" s="978"/>
      <c r="KO360" s="978"/>
      <c r="KP360" s="978"/>
      <c r="KQ360" s="978"/>
      <c r="KR360" s="978"/>
      <c r="KS360" s="978"/>
      <c r="KT360" s="978"/>
      <c r="KU360" s="978"/>
      <c r="KV360" s="978"/>
      <c r="KW360" s="978"/>
      <c r="KX360" s="978"/>
      <c r="KY360" s="978"/>
      <c r="KZ360" s="978"/>
      <c r="LA360" s="978"/>
      <c r="LB360" s="978"/>
      <c r="LC360" s="978"/>
      <c r="LD360" s="978"/>
      <c r="LE360" s="978"/>
      <c r="LF360" s="978"/>
      <c r="LG360" s="978"/>
      <c r="LH360" s="978"/>
      <c r="LI360" s="978"/>
      <c r="LJ360" s="978"/>
      <c r="LK360" s="978"/>
      <c r="LL360" s="978"/>
      <c r="LM360" s="978"/>
      <c r="LN360" s="978"/>
      <c r="LO360" s="978"/>
      <c r="LP360" s="978"/>
      <c r="LQ360" s="978"/>
      <c r="LR360" s="978"/>
      <c r="LS360" s="978"/>
      <c r="LT360" s="978"/>
      <c r="LU360" s="978"/>
      <c r="LV360" s="978"/>
      <c r="LW360" s="978"/>
      <c r="LX360" s="978"/>
      <c r="LY360" s="978"/>
      <c r="LZ360" s="978"/>
      <c r="MA360" s="978"/>
      <c r="MB360" s="978"/>
      <c r="MC360" s="978"/>
      <c r="MD360" s="978"/>
      <c r="ME360" s="978"/>
      <c r="MF360" s="978"/>
      <c r="MG360" s="978"/>
      <c r="MH360" s="978"/>
      <c r="MI360" s="978"/>
      <c r="MJ360" s="978"/>
      <c r="MK360" s="978"/>
      <c r="ML360" s="978"/>
      <c r="MM360" s="978"/>
      <c r="MN360" s="978"/>
      <c r="MO360" s="978"/>
      <c r="MP360" s="978"/>
      <c r="MQ360" s="978"/>
      <c r="MR360" s="978"/>
      <c r="MS360" s="978"/>
      <c r="MT360" s="978"/>
      <c r="MU360" s="978"/>
      <c r="MV360" s="978"/>
      <c r="MW360" s="978"/>
      <c r="MX360" s="978"/>
      <c r="MY360" s="978"/>
      <c r="MZ360" s="978"/>
      <c r="NA360" s="978"/>
      <c r="NB360" s="978"/>
      <c r="NC360" s="978"/>
      <c r="ND360" s="978"/>
      <c r="NE360" s="978"/>
      <c r="NF360" s="978"/>
      <c r="NG360" s="978"/>
      <c r="NH360" s="978"/>
      <c r="NI360" s="978"/>
      <c r="NJ360" s="978"/>
      <c r="NK360" s="978"/>
      <c r="NL360" s="978"/>
      <c r="NM360" s="978"/>
      <c r="NN360" s="978"/>
      <c r="NO360" s="978"/>
      <c r="NP360" s="978"/>
      <c r="NQ360" s="978"/>
      <c r="NR360" s="978"/>
      <c r="NS360" s="978"/>
      <c r="NT360" s="978"/>
      <c r="NU360" s="978"/>
      <c r="NV360" s="978"/>
      <c r="NW360" s="978"/>
      <c r="NX360" s="978"/>
      <c r="NY360" s="978"/>
      <c r="NZ360" s="978"/>
      <c r="OA360" s="978"/>
      <c r="OB360" s="978"/>
      <c r="OC360" s="978"/>
      <c r="OD360" s="978"/>
      <c r="OE360" s="978"/>
      <c r="OF360" s="978"/>
      <c r="OG360" s="978"/>
      <c r="OH360" s="978"/>
      <c r="OI360" s="978"/>
      <c r="OJ360" s="978"/>
      <c r="OK360" s="978"/>
      <c r="OL360" s="978"/>
      <c r="OM360" s="978"/>
      <c r="ON360" s="978"/>
      <c r="OO360" s="978"/>
      <c r="OP360" s="978"/>
      <c r="OQ360" s="978"/>
      <c r="OR360" s="978"/>
      <c r="OS360" s="978"/>
      <c r="OT360" s="978"/>
      <c r="OU360" s="978"/>
      <c r="OV360" s="978"/>
      <c r="OW360" s="978"/>
      <c r="OX360" s="978"/>
      <c r="OY360" s="978"/>
      <c r="OZ360" s="978"/>
      <c r="PA360" s="978"/>
      <c r="PB360" s="978"/>
      <c r="PC360" s="978"/>
      <c r="PD360" s="978"/>
      <c r="PE360" s="978"/>
      <c r="PF360" s="978"/>
      <c r="PG360" s="978"/>
      <c r="PH360" s="978"/>
      <c r="PI360" s="978"/>
      <c r="PJ360" s="978"/>
      <c r="PK360" s="978"/>
      <c r="PL360" s="978"/>
      <c r="PM360" s="978"/>
      <c r="PN360" s="978"/>
      <c r="PO360" s="978"/>
      <c r="PP360" s="978"/>
      <c r="PQ360" s="978"/>
      <c r="PR360" s="978"/>
      <c r="PS360" s="978"/>
      <c r="PT360" s="978"/>
      <c r="PU360" s="978"/>
      <c r="PV360" s="978"/>
      <c r="PW360" s="978"/>
      <c r="PX360" s="978"/>
      <c r="PY360" s="978"/>
      <c r="PZ360" s="978"/>
      <c r="QA360" s="978"/>
      <c r="QB360" s="978"/>
      <c r="QC360" s="978"/>
      <c r="QD360" s="978"/>
      <c r="QE360" s="978"/>
      <c r="QF360" s="978"/>
      <c r="QG360" s="978"/>
      <c r="QH360" s="978"/>
      <c r="QI360" s="978"/>
      <c r="QJ360" s="978"/>
      <c r="QK360" s="978"/>
      <c r="QL360" s="978"/>
      <c r="QM360" s="978"/>
      <c r="QN360" s="978"/>
      <c r="QO360" s="978"/>
      <c r="QP360" s="978"/>
      <c r="QQ360" s="978"/>
      <c r="QR360" s="978"/>
      <c r="QS360" s="978"/>
      <c r="QT360" s="978"/>
      <c r="QU360" s="978"/>
      <c r="QV360" s="978"/>
      <c r="QW360" s="978"/>
      <c r="QX360" s="978"/>
      <c r="QY360" s="978"/>
      <c r="QZ360" s="978"/>
      <c r="RA360" s="978"/>
      <c r="RB360" s="274"/>
      <c r="RC360" s="274"/>
    </row>
    <row r="361" spans="112:471" ht="17.25">
      <c r="DH361" s="274"/>
      <c r="DI361" s="274"/>
      <c r="DJ361" s="978"/>
      <c r="DK361" s="978"/>
      <c r="DL361" s="978"/>
      <c r="DM361" s="978"/>
      <c r="DN361" s="978"/>
      <c r="DO361" s="978"/>
      <c r="DP361" s="978"/>
      <c r="DQ361" s="978"/>
      <c r="DR361" s="978"/>
      <c r="DS361" s="978"/>
      <c r="DT361" s="978"/>
      <c r="DU361" s="978"/>
      <c r="DV361" s="978"/>
      <c r="DW361" s="978"/>
      <c r="DX361" s="978"/>
      <c r="DY361" s="978"/>
      <c r="DZ361" s="978"/>
      <c r="EA361" s="978"/>
      <c r="EB361" s="978"/>
      <c r="EC361" s="978"/>
      <c r="ED361" s="978"/>
      <c r="EE361" s="978"/>
      <c r="EF361" s="978"/>
      <c r="EG361" s="978"/>
      <c r="EH361" s="978"/>
      <c r="EI361" s="978"/>
      <c r="EJ361" s="978"/>
      <c r="EK361" s="978"/>
      <c r="EL361" s="978"/>
      <c r="EM361" s="978"/>
      <c r="EN361" s="978"/>
      <c r="EO361" s="978"/>
      <c r="EP361" s="978"/>
      <c r="EQ361" s="978"/>
      <c r="ER361" s="978"/>
      <c r="ES361" s="978"/>
      <c r="ET361" s="978"/>
      <c r="EU361" s="978"/>
      <c r="EV361" s="978"/>
      <c r="EW361" s="978"/>
      <c r="EX361" s="978"/>
      <c r="EY361" s="978"/>
      <c r="EZ361" s="978"/>
      <c r="FA361" s="978"/>
      <c r="FB361" s="978"/>
      <c r="FC361" s="978"/>
      <c r="FD361" s="978"/>
      <c r="FE361" s="978"/>
      <c r="FF361" s="978"/>
      <c r="FG361" s="978"/>
      <c r="FH361" s="978"/>
      <c r="FI361" s="978"/>
      <c r="FJ361" s="978"/>
      <c r="FK361" s="978"/>
      <c r="FL361" s="978"/>
      <c r="FM361" s="978"/>
      <c r="FN361" s="978"/>
      <c r="FO361" s="978"/>
      <c r="FP361" s="978"/>
      <c r="FQ361" s="978"/>
      <c r="FR361" s="978"/>
      <c r="FS361" s="978"/>
      <c r="FT361" s="978"/>
      <c r="FU361" s="978"/>
      <c r="FV361" s="978"/>
      <c r="FW361" s="978"/>
      <c r="FX361" s="978"/>
      <c r="FY361" s="978"/>
      <c r="FZ361" s="978"/>
      <c r="GA361" s="978"/>
      <c r="GB361" s="978"/>
      <c r="GC361" s="978"/>
      <c r="GD361" s="978"/>
      <c r="GE361" s="978"/>
      <c r="GF361" s="978"/>
      <c r="GG361" s="978"/>
      <c r="GH361" s="978"/>
      <c r="GI361" s="978"/>
      <c r="GJ361" s="978"/>
      <c r="GK361" s="978"/>
      <c r="GL361" s="978"/>
      <c r="GM361" s="978"/>
      <c r="GN361" s="978"/>
      <c r="GO361" s="978"/>
      <c r="GP361" s="978"/>
      <c r="GQ361" s="978"/>
      <c r="GR361" s="978"/>
      <c r="GS361" s="978"/>
      <c r="GT361" s="978"/>
      <c r="GU361" s="978"/>
      <c r="GV361" s="978"/>
      <c r="GW361" s="978"/>
      <c r="GX361" s="978"/>
      <c r="GY361" s="978"/>
      <c r="GZ361" s="978"/>
      <c r="HA361" s="978"/>
      <c r="HB361" s="978"/>
      <c r="HC361" s="978"/>
      <c r="HD361" s="978"/>
      <c r="HE361" s="978"/>
      <c r="HF361" s="978"/>
      <c r="HG361" s="978"/>
      <c r="HH361" s="978"/>
      <c r="HI361" s="978"/>
      <c r="HJ361" s="978"/>
      <c r="HK361" s="978"/>
      <c r="HL361" s="978"/>
      <c r="HM361" s="978"/>
      <c r="HN361" s="978"/>
      <c r="HO361" s="978"/>
      <c r="HP361" s="978"/>
      <c r="HQ361" s="978"/>
      <c r="HR361" s="978"/>
      <c r="HS361" s="978"/>
      <c r="HT361" s="978"/>
      <c r="HU361" s="978"/>
      <c r="HV361" s="978"/>
      <c r="HW361" s="978"/>
      <c r="HX361" s="978"/>
      <c r="HY361" s="978"/>
      <c r="HZ361" s="978"/>
      <c r="IA361" s="978"/>
      <c r="IB361" s="978"/>
      <c r="IC361" s="978"/>
      <c r="ID361" s="978"/>
      <c r="IE361" s="978"/>
      <c r="IF361" s="978"/>
      <c r="IG361" s="978"/>
      <c r="IH361" s="978"/>
      <c r="II361" s="978"/>
      <c r="IJ361" s="978"/>
      <c r="IK361" s="978"/>
      <c r="IL361" s="978"/>
      <c r="IM361" s="978"/>
      <c r="IN361" s="978"/>
      <c r="IO361" s="978"/>
      <c r="IP361" s="978"/>
      <c r="IQ361" s="978"/>
      <c r="IR361" s="978"/>
      <c r="IS361" s="978"/>
      <c r="IT361" s="978"/>
      <c r="IU361" s="978"/>
      <c r="IV361" s="978"/>
      <c r="IW361" s="978"/>
      <c r="IX361" s="978"/>
      <c r="IY361" s="978"/>
      <c r="IZ361" s="978"/>
      <c r="JA361" s="978"/>
      <c r="JB361" s="978"/>
      <c r="JC361" s="978"/>
      <c r="JD361" s="978"/>
      <c r="JE361" s="978"/>
      <c r="JF361" s="978"/>
      <c r="JG361" s="978"/>
      <c r="JH361" s="978"/>
      <c r="JI361" s="978"/>
      <c r="JJ361" s="978"/>
      <c r="JK361" s="978"/>
      <c r="JL361" s="978"/>
      <c r="JM361" s="978"/>
      <c r="JN361" s="978"/>
      <c r="JO361" s="978"/>
      <c r="JP361" s="978"/>
      <c r="JQ361" s="978"/>
      <c r="JR361" s="978"/>
      <c r="JS361" s="978"/>
      <c r="JT361" s="978"/>
      <c r="JU361" s="978"/>
      <c r="JV361" s="978"/>
      <c r="JW361" s="978"/>
      <c r="JX361" s="978"/>
      <c r="JY361" s="978"/>
      <c r="JZ361" s="978"/>
      <c r="KA361" s="978"/>
      <c r="KB361" s="978"/>
      <c r="KC361" s="978"/>
      <c r="KD361" s="978"/>
      <c r="KE361" s="978"/>
      <c r="KF361" s="978"/>
      <c r="KG361" s="978"/>
      <c r="KH361" s="978"/>
      <c r="KI361" s="978"/>
      <c r="KJ361" s="978"/>
      <c r="KK361" s="978"/>
      <c r="KL361" s="978"/>
      <c r="KM361" s="978"/>
      <c r="KN361" s="978"/>
      <c r="KO361" s="978"/>
      <c r="KP361" s="978"/>
      <c r="KQ361" s="978"/>
      <c r="KR361" s="978"/>
      <c r="KS361" s="978"/>
      <c r="KT361" s="978"/>
      <c r="KU361" s="978"/>
      <c r="KV361" s="978"/>
      <c r="KW361" s="978"/>
      <c r="KX361" s="978"/>
      <c r="KY361" s="978"/>
      <c r="KZ361" s="978"/>
      <c r="LA361" s="978"/>
      <c r="LB361" s="978"/>
      <c r="LC361" s="978"/>
      <c r="LD361" s="978"/>
      <c r="LE361" s="978"/>
      <c r="LF361" s="978"/>
      <c r="LG361" s="978"/>
      <c r="LH361" s="978"/>
      <c r="LI361" s="978"/>
      <c r="LJ361" s="978"/>
      <c r="LK361" s="978"/>
      <c r="LL361" s="978"/>
      <c r="LM361" s="978"/>
      <c r="LN361" s="978"/>
      <c r="LO361" s="978"/>
      <c r="LP361" s="978"/>
      <c r="LQ361" s="978"/>
      <c r="LR361" s="978"/>
      <c r="LS361" s="978"/>
      <c r="LT361" s="978"/>
      <c r="LU361" s="978"/>
      <c r="LV361" s="978"/>
      <c r="LW361" s="978"/>
      <c r="LX361" s="978"/>
      <c r="LY361" s="978"/>
      <c r="LZ361" s="978"/>
      <c r="MA361" s="978"/>
      <c r="MB361" s="978"/>
      <c r="MC361" s="978"/>
      <c r="MD361" s="978"/>
      <c r="ME361" s="978"/>
      <c r="MF361" s="978"/>
      <c r="MG361" s="978"/>
      <c r="MH361" s="978"/>
      <c r="MI361" s="978"/>
      <c r="MJ361" s="978"/>
      <c r="MK361" s="978"/>
      <c r="ML361" s="978"/>
      <c r="MM361" s="978"/>
      <c r="MN361" s="978"/>
      <c r="MO361" s="978"/>
      <c r="MP361" s="978"/>
      <c r="MQ361" s="978"/>
      <c r="MR361" s="978"/>
      <c r="MS361" s="978"/>
      <c r="MT361" s="978"/>
      <c r="MU361" s="978"/>
      <c r="MV361" s="978"/>
      <c r="MW361" s="978"/>
      <c r="MX361" s="978"/>
      <c r="MY361" s="978"/>
      <c r="MZ361" s="978"/>
      <c r="NA361" s="978"/>
      <c r="NB361" s="978"/>
      <c r="NC361" s="978"/>
      <c r="ND361" s="978"/>
      <c r="NE361" s="978"/>
      <c r="NF361" s="978"/>
      <c r="NG361" s="978"/>
      <c r="NH361" s="978"/>
      <c r="NI361" s="978"/>
      <c r="NJ361" s="978"/>
      <c r="NK361" s="978"/>
      <c r="NL361" s="978"/>
      <c r="NM361" s="978"/>
      <c r="NN361" s="978"/>
      <c r="NO361" s="978"/>
      <c r="NP361" s="978"/>
      <c r="NQ361" s="978"/>
      <c r="NR361" s="978"/>
      <c r="NS361" s="978"/>
      <c r="NT361" s="978"/>
      <c r="NU361" s="978"/>
      <c r="NV361" s="978"/>
      <c r="NW361" s="978"/>
      <c r="NX361" s="978"/>
      <c r="NY361" s="978"/>
      <c r="NZ361" s="978"/>
      <c r="OA361" s="978"/>
      <c r="OB361" s="978"/>
      <c r="OC361" s="978"/>
      <c r="OD361" s="978"/>
      <c r="OE361" s="978"/>
      <c r="OF361" s="978"/>
      <c r="OG361" s="978"/>
      <c r="OH361" s="978"/>
      <c r="OI361" s="978"/>
      <c r="OJ361" s="978"/>
      <c r="OK361" s="978"/>
      <c r="OL361" s="978"/>
      <c r="OM361" s="978"/>
      <c r="ON361" s="978"/>
      <c r="OO361" s="978"/>
      <c r="OP361" s="978"/>
      <c r="OQ361" s="978"/>
      <c r="OR361" s="978"/>
      <c r="OS361" s="978"/>
      <c r="OT361" s="978"/>
      <c r="OU361" s="978"/>
      <c r="OV361" s="978"/>
      <c r="OW361" s="978"/>
      <c r="OX361" s="978"/>
      <c r="OY361" s="978"/>
      <c r="OZ361" s="978"/>
      <c r="PA361" s="978"/>
      <c r="PB361" s="978"/>
      <c r="PC361" s="978"/>
      <c r="PD361" s="978"/>
      <c r="PE361" s="978"/>
      <c r="PF361" s="978"/>
      <c r="PG361" s="978"/>
      <c r="PH361" s="978"/>
      <c r="PI361" s="978"/>
      <c r="PJ361" s="978"/>
      <c r="PK361" s="978"/>
      <c r="PL361" s="978"/>
      <c r="PM361" s="978"/>
      <c r="PN361" s="978"/>
      <c r="PO361" s="978"/>
      <c r="PP361" s="978"/>
      <c r="PQ361" s="978"/>
      <c r="PR361" s="978"/>
      <c r="PS361" s="978"/>
      <c r="PT361" s="978"/>
      <c r="PU361" s="978"/>
      <c r="PV361" s="978"/>
      <c r="PW361" s="978"/>
      <c r="PX361" s="978"/>
      <c r="PY361" s="978"/>
      <c r="PZ361" s="978"/>
      <c r="QA361" s="978"/>
      <c r="QB361" s="978"/>
      <c r="QC361" s="978"/>
      <c r="QD361" s="978"/>
      <c r="QE361" s="978"/>
      <c r="QF361" s="978"/>
      <c r="QG361" s="978"/>
      <c r="QH361" s="978"/>
      <c r="QI361" s="978"/>
      <c r="QJ361" s="978"/>
      <c r="QK361" s="978"/>
      <c r="QL361" s="978"/>
      <c r="QM361" s="978"/>
      <c r="QN361" s="978"/>
      <c r="QO361" s="978"/>
      <c r="QP361" s="978"/>
      <c r="QQ361" s="978"/>
      <c r="QR361" s="978"/>
      <c r="QS361" s="978"/>
      <c r="QT361" s="978"/>
      <c r="QU361" s="978"/>
      <c r="QV361" s="978"/>
      <c r="QW361" s="978"/>
      <c r="QX361" s="978"/>
      <c r="QY361" s="978"/>
      <c r="QZ361" s="978"/>
      <c r="RA361" s="978"/>
      <c r="RB361" s="274"/>
      <c r="RC361" s="274"/>
    </row>
    <row r="362" spans="112:471">
      <c r="DH362" s="274"/>
      <c r="DI362" s="274"/>
      <c r="DJ362" s="274"/>
      <c r="DK362" s="274"/>
      <c r="DL362" s="274"/>
      <c r="DM362" s="274"/>
      <c r="DN362" s="274"/>
      <c r="DO362" s="274"/>
      <c r="DP362" s="274"/>
      <c r="DQ362" s="274"/>
      <c r="DR362" s="274"/>
      <c r="DS362" s="274"/>
      <c r="DT362" s="274"/>
      <c r="DU362" s="274"/>
      <c r="DV362" s="274"/>
      <c r="DW362" s="274"/>
      <c r="DX362" s="274"/>
      <c r="DY362" s="274"/>
      <c r="DZ362" s="274"/>
      <c r="EA362" s="274"/>
      <c r="EB362" s="274"/>
      <c r="EC362" s="274"/>
      <c r="ED362" s="274"/>
      <c r="EE362" s="274"/>
      <c r="EF362" s="274"/>
      <c r="EG362" s="274"/>
      <c r="EH362" s="274"/>
      <c r="EI362" s="274"/>
      <c r="EJ362" s="274"/>
      <c r="EK362" s="274"/>
      <c r="EL362" s="274"/>
      <c r="EM362" s="274"/>
      <c r="EN362" s="274"/>
      <c r="EO362" s="274"/>
      <c r="EP362" s="274"/>
      <c r="EQ362" s="274"/>
      <c r="ER362" s="274"/>
      <c r="ES362" s="274"/>
      <c r="ET362" s="274"/>
      <c r="EU362" s="274"/>
      <c r="EV362" s="274"/>
      <c r="EW362" s="274"/>
      <c r="EX362" s="274"/>
      <c r="EY362" s="274"/>
      <c r="EZ362" s="274"/>
      <c r="FA362" s="274"/>
      <c r="FB362" s="274"/>
      <c r="FC362" s="274"/>
      <c r="FD362" s="274"/>
      <c r="FE362" s="274"/>
      <c r="FF362" s="274"/>
      <c r="FG362" s="274"/>
      <c r="FH362" s="274"/>
      <c r="FI362" s="274"/>
      <c r="FJ362" s="274"/>
      <c r="FK362" s="274"/>
      <c r="FL362" s="274"/>
      <c r="FM362" s="274"/>
      <c r="FN362" s="274"/>
      <c r="FO362" s="274"/>
      <c r="FP362" s="274"/>
      <c r="FQ362" s="274"/>
      <c r="FR362" s="274"/>
      <c r="FS362" s="274"/>
      <c r="FT362" s="274"/>
      <c r="FU362" s="274"/>
      <c r="FV362" s="274"/>
      <c r="FW362" s="274"/>
      <c r="FX362" s="274"/>
      <c r="FY362" s="274"/>
      <c r="FZ362" s="274"/>
      <c r="GA362" s="274"/>
      <c r="GB362" s="274"/>
      <c r="GC362" s="274"/>
      <c r="GD362" s="274"/>
      <c r="GE362" s="274"/>
      <c r="GF362" s="274"/>
      <c r="GG362" s="274"/>
      <c r="GH362" s="274"/>
      <c r="GI362" s="274"/>
      <c r="GJ362" s="274"/>
      <c r="GK362" s="274"/>
      <c r="GL362" s="274"/>
      <c r="GM362" s="274"/>
      <c r="GN362" s="274"/>
      <c r="GO362" s="274"/>
      <c r="GP362" s="274"/>
      <c r="GQ362" s="274"/>
      <c r="GR362" s="274"/>
      <c r="GS362" s="274"/>
      <c r="GT362" s="274"/>
      <c r="GU362" s="274"/>
      <c r="GV362" s="274"/>
      <c r="GW362" s="274"/>
      <c r="GX362" s="274"/>
      <c r="GY362" s="274"/>
      <c r="GZ362" s="274"/>
      <c r="HA362" s="274"/>
      <c r="HB362" s="274"/>
      <c r="HC362" s="274"/>
      <c r="HD362" s="274"/>
      <c r="HE362" s="274"/>
      <c r="HF362" s="274"/>
      <c r="HG362" s="274"/>
      <c r="HH362" s="274"/>
      <c r="HI362" s="274"/>
      <c r="HJ362" s="274"/>
      <c r="HK362" s="274"/>
      <c r="HL362" s="274"/>
      <c r="HM362" s="274"/>
      <c r="HN362" s="274"/>
      <c r="HO362" s="274"/>
      <c r="HP362" s="274"/>
      <c r="HQ362" s="274"/>
      <c r="HR362" s="274"/>
      <c r="HS362" s="274"/>
      <c r="HT362" s="274"/>
      <c r="HU362" s="274"/>
      <c r="HV362" s="274"/>
      <c r="HW362" s="274"/>
      <c r="HX362" s="274"/>
      <c r="HY362" s="274"/>
      <c r="HZ362" s="274"/>
      <c r="IA362" s="274"/>
      <c r="IB362" s="274"/>
      <c r="IC362" s="274"/>
      <c r="ID362" s="274"/>
      <c r="IE362" s="274"/>
      <c r="IF362" s="274"/>
      <c r="IG362" s="274"/>
      <c r="IH362" s="274"/>
      <c r="II362" s="274"/>
      <c r="IJ362" s="274"/>
      <c r="IK362" s="274"/>
      <c r="IL362" s="274"/>
      <c r="IM362" s="274"/>
      <c r="IN362" s="274"/>
      <c r="IO362" s="274"/>
      <c r="IP362" s="274"/>
      <c r="IQ362" s="274"/>
      <c r="IR362" s="274"/>
      <c r="IS362" s="274"/>
      <c r="IT362" s="274"/>
      <c r="IU362" s="274"/>
      <c r="IV362" s="274"/>
      <c r="IW362" s="274"/>
      <c r="IX362" s="274"/>
      <c r="IY362" s="274"/>
      <c r="IZ362" s="274"/>
      <c r="JA362" s="274"/>
      <c r="JB362" s="274"/>
      <c r="JC362" s="274"/>
      <c r="JD362" s="274"/>
      <c r="JE362" s="274"/>
      <c r="JF362" s="274"/>
      <c r="JG362" s="274"/>
      <c r="JH362" s="274"/>
      <c r="JI362" s="274"/>
      <c r="JJ362" s="274"/>
      <c r="JK362" s="274"/>
      <c r="JL362" s="274"/>
      <c r="JM362" s="274"/>
      <c r="JN362" s="274"/>
      <c r="JO362" s="274"/>
      <c r="JP362" s="274"/>
      <c r="JQ362" s="274"/>
      <c r="JR362" s="274"/>
      <c r="JS362" s="274"/>
      <c r="JT362" s="274"/>
      <c r="JU362" s="274"/>
      <c r="JV362" s="274"/>
      <c r="JW362" s="274"/>
      <c r="JX362" s="274"/>
      <c r="JY362" s="274"/>
      <c r="JZ362" s="274"/>
      <c r="KA362" s="274"/>
      <c r="KB362" s="274"/>
      <c r="KC362" s="274"/>
      <c r="KD362" s="274"/>
      <c r="KE362" s="274"/>
      <c r="KF362" s="274"/>
      <c r="KG362" s="274"/>
      <c r="KH362" s="274"/>
      <c r="KI362" s="274"/>
      <c r="KJ362" s="274"/>
      <c r="KK362" s="274"/>
      <c r="KL362" s="274"/>
      <c r="KM362" s="274"/>
      <c r="KN362" s="274"/>
      <c r="KO362" s="274"/>
      <c r="KP362" s="274"/>
      <c r="KQ362" s="274"/>
      <c r="KR362" s="274"/>
      <c r="KS362" s="274"/>
      <c r="KT362" s="274"/>
      <c r="KU362" s="274"/>
      <c r="KV362" s="274"/>
      <c r="KW362" s="274"/>
      <c r="KX362" s="274"/>
      <c r="KY362" s="274"/>
      <c r="KZ362" s="274"/>
      <c r="LA362" s="274"/>
      <c r="LB362" s="274"/>
      <c r="LC362" s="274"/>
      <c r="LD362" s="274"/>
      <c r="LE362" s="274"/>
      <c r="LF362" s="274"/>
      <c r="LG362" s="274"/>
      <c r="LH362" s="274"/>
      <c r="LI362" s="274"/>
      <c r="LJ362" s="274"/>
      <c r="LK362" s="274"/>
      <c r="LL362" s="274"/>
      <c r="LM362" s="274"/>
      <c r="LN362" s="274"/>
      <c r="LO362" s="274"/>
      <c r="LP362" s="274"/>
      <c r="LQ362" s="274"/>
      <c r="LR362" s="274"/>
      <c r="LS362" s="274"/>
      <c r="LT362" s="274"/>
      <c r="LU362" s="274"/>
      <c r="LV362" s="274"/>
      <c r="LW362" s="274"/>
      <c r="LX362" s="274"/>
      <c r="LY362" s="274"/>
      <c r="LZ362" s="274"/>
      <c r="MA362" s="274"/>
      <c r="MB362" s="274"/>
      <c r="MC362" s="274"/>
      <c r="MD362" s="274"/>
      <c r="ME362" s="274"/>
      <c r="MF362" s="274"/>
      <c r="MG362" s="274"/>
      <c r="MH362" s="274"/>
      <c r="MI362" s="274"/>
      <c r="MJ362" s="274"/>
      <c r="MK362" s="274"/>
      <c r="ML362" s="274"/>
      <c r="MM362" s="274"/>
      <c r="MN362" s="274"/>
      <c r="MO362" s="274"/>
      <c r="MP362" s="274"/>
      <c r="MQ362" s="274"/>
      <c r="MR362" s="274"/>
      <c r="MS362" s="274"/>
      <c r="MT362" s="274"/>
      <c r="MU362" s="274"/>
      <c r="MV362" s="274"/>
      <c r="MW362" s="274"/>
      <c r="MX362" s="274"/>
      <c r="MY362" s="274"/>
      <c r="MZ362" s="274"/>
      <c r="NA362" s="274"/>
      <c r="NB362" s="274"/>
      <c r="NC362" s="274"/>
      <c r="ND362" s="274"/>
      <c r="NE362" s="274"/>
      <c r="NF362" s="274"/>
      <c r="NG362" s="274"/>
      <c r="NH362" s="274"/>
      <c r="NI362" s="274"/>
      <c r="NJ362" s="274"/>
      <c r="NK362" s="274"/>
      <c r="NL362" s="274"/>
      <c r="NM362" s="274"/>
      <c r="NN362" s="274"/>
      <c r="NO362" s="274"/>
      <c r="NP362" s="274"/>
      <c r="NQ362" s="274"/>
      <c r="NR362" s="274"/>
      <c r="NS362" s="274"/>
      <c r="NT362" s="274"/>
      <c r="NU362" s="274"/>
      <c r="NV362" s="274"/>
      <c r="NW362" s="274"/>
      <c r="NX362" s="274"/>
      <c r="NY362" s="274"/>
      <c r="NZ362" s="274"/>
      <c r="OA362" s="274"/>
      <c r="OB362" s="274"/>
      <c r="OC362" s="274"/>
      <c r="OD362" s="274"/>
      <c r="OE362" s="274"/>
      <c r="OF362" s="274"/>
      <c r="OG362" s="274"/>
      <c r="OH362" s="274"/>
      <c r="OI362" s="274"/>
      <c r="OJ362" s="274"/>
      <c r="OK362" s="274"/>
      <c r="OL362" s="274"/>
      <c r="OM362" s="274"/>
      <c r="ON362" s="274"/>
      <c r="OO362" s="274"/>
      <c r="OP362" s="274"/>
      <c r="OQ362" s="274"/>
      <c r="OR362" s="274"/>
      <c r="OS362" s="274"/>
      <c r="OT362" s="274"/>
      <c r="OU362" s="274"/>
      <c r="OV362" s="274"/>
      <c r="OW362" s="274"/>
      <c r="OX362" s="274"/>
      <c r="OY362" s="274"/>
      <c r="OZ362" s="274"/>
      <c r="PA362" s="274"/>
      <c r="PB362" s="274"/>
      <c r="PC362" s="274"/>
      <c r="PD362" s="274"/>
      <c r="PE362" s="274"/>
      <c r="PF362" s="274"/>
      <c r="PG362" s="274"/>
      <c r="PH362" s="274"/>
      <c r="PI362" s="274"/>
      <c r="PJ362" s="274"/>
      <c r="PK362" s="274"/>
      <c r="PL362" s="274"/>
      <c r="PM362" s="274"/>
      <c r="PN362" s="274"/>
      <c r="PO362" s="274"/>
      <c r="PP362" s="274"/>
      <c r="PQ362" s="274"/>
      <c r="PR362" s="274"/>
      <c r="PS362" s="274"/>
      <c r="PT362" s="274"/>
      <c r="PU362" s="274"/>
      <c r="PV362" s="274"/>
      <c r="PW362" s="274"/>
      <c r="PX362" s="274"/>
      <c r="PY362" s="274"/>
      <c r="PZ362" s="274"/>
      <c r="QA362" s="274"/>
      <c r="QB362" s="274"/>
      <c r="QC362" s="274"/>
      <c r="QD362" s="274"/>
      <c r="QE362" s="274"/>
      <c r="QF362" s="274"/>
      <c r="QG362" s="274"/>
      <c r="QH362" s="274"/>
      <c r="QI362" s="274"/>
      <c r="QJ362" s="274"/>
      <c r="QK362" s="274"/>
      <c r="QL362" s="274"/>
      <c r="QM362" s="274"/>
      <c r="QN362" s="274"/>
      <c r="QO362" s="274"/>
      <c r="QP362" s="274"/>
      <c r="QQ362" s="274"/>
      <c r="QR362" s="274"/>
      <c r="QS362" s="274"/>
      <c r="QT362" s="274"/>
      <c r="QU362" s="274"/>
      <c r="QV362" s="274"/>
      <c r="QW362" s="274"/>
      <c r="QX362" s="274"/>
      <c r="QY362" s="274"/>
      <c r="QZ362" s="274"/>
      <c r="RA362" s="274"/>
      <c r="RB362" s="274"/>
      <c r="RC362" s="274"/>
    </row>
    <row r="363" spans="112:471">
      <c r="DH363" s="274"/>
      <c r="DI363" s="274"/>
      <c r="DJ363" s="274"/>
      <c r="DK363" s="274"/>
      <c r="DL363" s="274"/>
      <c r="DM363" s="274"/>
      <c r="DN363" s="274"/>
      <c r="DO363" s="274"/>
      <c r="DP363" s="274"/>
      <c r="DQ363" s="274"/>
      <c r="DR363" s="274"/>
      <c r="DS363" s="274"/>
      <c r="DT363" s="274"/>
      <c r="DU363" s="274"/>
      <c r="DV363" s="274"/>
      <c r="DW363" s="274"/>
      <c r="DX363" s="274"/>
      <c r="DY363" s="274"/>
      <c r="DZ363" s="274"/>
      <c r="EA363" s="274"/>
      <c r="EB363" s="274"/>
      <c r="EC363" s="274"/>
      <c r="ED363" s="274"/>
      <c r="EE363" s="274"/>
      <c r="EF363" s="274"/>
      <c r="EG363" s="274"/>
      <c r="EH363" s="274"/>
      <c r="EI363" s="274"/>
      <c r="EJ363" s="274"/>
      <c r="EK363" s="274"/>
      <c r="EL363" s="274"/>
      <c r="EM363" s="274"/>
      <c r="EN363" s="274"/>
      <c r="EO363" s="274"/>
      <c r="EP363" s="274"/>
      <c r="EQ363" s="274"/>
      <c r="ER363" s="274"/>
      <c r="ES363" s="274"/>
      <c r="ET363" s="274"/>
      <c r="EU363" s="274"/>
      <c r="EV363" s="274"/>
      <c r="EW363" s="274"/>
      <c r="EX363" s="274"/>
      <c r="EY363" s="274"/>
      <c r="EZ363" s="274"/>
      <c r="FA363" s="274"/>
      <c r="FB363" s="274"/>
      <c r="FC363" s="274"/>
      <c r="FD363" s="274"/>
      <c r="FE363" s="274"/>
      <c r="FF363" s="274"/>
      <c r="FG363" s="274"/>
      <c r="FH363" s="274"/>
      <c r="FI363" s="274"/>
      <c r="FJ363" s="274"/>
      <c r="FK363" s="274"/>
      <c r="FL363" s="274"/>
      <c r="FM363" s="274"/>
      <c r="FN363" s="274"/>
      <c r="FO363" s="274"/>
      <c r="FP363" s="274"/>
      <c r="FQ363" s="274"/>
      <c r="FR363" s="274"/>
      <c r="FS363" s="274"/>
      <c r="FT363" s="274"/>
      <c r="FU363" s="274"/>
      <c r="FV363" s="274"/>
      <c r="FW363" s="274"/>
      <c r="FX363" s="274"/>
      <c r="FY363" s="274"/>
      <c r="FZ363" s="274"/>
      <c r="GA363" s="274"/>
      <c r="GB363" s="274"/>
      <c r="GC363" s="274"/>
      <c r="GD363" s="274"/>
      <c r="GE363" s="274"/>
      <c r="GF363" s="274"/>
      <c r="GG363" s="274"/>
      <c r="GH363" s="274"/>
      <c r="GI363" s="274"/>
      <c r="GJ363" s="274"/>
      <c r="GK363" s="274"/>
      <c r="GL363" s="274"/>
      <c r="GM363" s="274"/>
      <c r="GN363" s="274"/>
      <c r="GO363" s="274"/>
      <c r="GP363" s="274"/>
      <c r="GQ363" s="274"/>
      <c r="GR363" s="274"/>
      <c r="GS363" s="274"/>
      <c r="GT363" s="274"/>
      <c r="GU363" s="274"/>
      <c r="GV363" s="274"/>
      <c r="GW363" s="274"/>
      <c r="GX363" s="274"/>
      <c r="GY363" s="274"/>
      <c r="GZ363" s="274"/>
      <c r="HA363" s="274"/>
      <c r="HB363" s="274"/>
      <c r="HC363" s="274"/>
      <c r="HD363" s="274"/>
      <c r="HE363" s="274"/>
      <c r="HF363" s="274"/>
      <c r="HG363" s="274"/>
      <c r="HH363" s="274"/>
      <c r="HI363" s="274"/>
      <c r="HJ363" s="274"/>
      <c r="HK363" s="274"/>
      <c r="HL363" s="274"/>
      <c r="HM363" s="274"/>
      <c r="HN363" s="274"/>
      <c r="HO363" s="274"/>
      <c r="HP363" s="274"/>
      <c r="HQ363" s="274"/>
      <c r="HR363" s="274"/>
      <c r="HS363" s="274"/>
      <c r="HT363" s="274"/>
      <c r="HU363" s="274"/>
      <c r="HV363" s="274"/>
      <c r="HW363" s="274"/>
      <c r="HX363" s="274"/>
      <c r="HY363" s="274"/>
      <c r="HZ363" s="274"/>
      <c r="IA363" s="274"/>
      <c r="IB363" s="274"/>
      <c r="IC363" s="274"/>
      <c r="ID363" s="274"/>
      <c r="IE363" s="274"/>
      <c r="IF363" s="274"/>
      <c r="IG363" s="274"/>
      <c r="IH363" s="274"/>
      <c r="II363" s="274"/>
      <c r="IJ363" s="274"/>
      <c r="IK363" s="274"/>
      <c r="IL363" s="274"/>
      <c r="IM363" s="274"/>
      <c r="IN363" s="274"/>
      <c r="IO363" s="274"/>
      <c r="IP363" s="274"/>
      <c r="IQ363" s="274"/>
      <c r="IR363" s="274"/>
      <c r="IS363" s="274"/>
      <c r="IT363" s="274"/>
      <c r="IU363" s="274"/>
      <c r="IV363" s="274"/>
      <c r="IW363" s="274"/>
      <c r="IX363" s="274"/>
      <c r="IY363" s="274"/>
      <c r="IZ363" s="274"/>
      <c r="JA363" s="274"/>
      <c r="JB363" s="274"/>
      <c r="JC363" s="274"/>
      <c r="JD363" s="274"/>
      <c r="JE363" s="274"/>
      <c r="JF363" s="274"/>
      <c r="JG363" s="274"/>
      <c r="JH363" s="274"/>
      <c r="JI363" s="274"/>
      <c r="JJ363" s="274"/>
      <c r="JK363" s="274"/>
      <c r="JL363" s="274"/>
      <c r="JM363" s="274"/>
      <c r="JN363" s="274"/>
      <c r="JO363" s="274"/>
      <c r="JP363" s="274"/>
      <c r="JQ363" s="274"/>
      <c r="JR363" s="274"/>
      <c r="JS363" s="274"/>
      <c r="JT363" s="274"/>
      <c r="JU363" s="274"/>
      <c r="JV363" s="274"/>
      <c r="JW363" s="274"/>
      <c r="JX363" s="274"/>
      <c r="JY363" s="274"/>
      <c r="JZ363" s="274"/>
      <c r="KA363" s="274"/>
      <c r="KB363" s="274"/>
      <c r="KC363" s="274"/>
      <c r="KD363" s="274"/>
      <c r="KE363" s="274"/>
      <c r="KF363" s="274"/>
      <c r="KG363" s="274"/>
      <c r="KH363" s="274"/>
      <c r="KI363" s="274"/>
      <c r="KJ363" s="274"/>
      <c r="KK363" s="274"/>
      <c r="KL363" s="274"/>
      <c r="KM363" s="274"/>
      <c r="KN363" s="274"/>
      <c r="KO363" s="274"/>
      <c r="KP363" s="274"/>
      <c r="KQ363" s="274"/>
      <c r="KR363" s="274"/>
      <c r="KS363" s="274"/>
      <c r="KT363" s="274"/>
      <c r="KU363" s="274"/>
      <c r="KV363" s="274"/>
      <c r="KW363" s="274"/>
      <c r="KX363" s="274"/>
      <c r="KY363" s="274"/>
      <c r="KZ363" s="274"/>
      <c r="LA363" s="274"/>
      <c r="LB363" s="274"/>
      <c r="LC363" s="274"/>
      <c r="LD363" s="274"/>
      <c r="LE363" s="274"/>
      <c r="LF363" s="274"/>
      <c r="LG363" s="274"/>
      <c r="LH363" s="274"/>
      <c r="LI363" s="274"/>
      <c r="LJ363" s="274"/>
      <c r="LK363" s="274"/>
      <c r="LL363" s="274"/>
      <c r="LM363" s="274"/>
      <c r="LN363" s="274"/>
      <c r="LO363" s="274"/>
      <c r="LP363" s="274"/>
      <c r="LQ363" s="274"/>
      <c r="LR363" s="274"/>
      <c r="LS363" s="274"/>
      <c r="LT363" s="274"/>
      <c r="LU363" s="274"/>
      <c r="LV363" s="274"/>
      <c r="LW363" s="274"/>
      <c r="LX363" s="274"/>
      <c r="LY363" s="274"/>
      <c r="LZ363" s="274"/>
      <c r="MA363" s="274"/>
      <c r="MB363" s="274"/>
      <c r="MC363" s="274"/>
      <c r="MD363" s="274"/>
      <c r="ME363" s="274"/>
      <c r="MF363" s="274"/>
      <c r="MG363" s="274"/>
      <c r="MH363" s="274"/>
      <c r="MI363" s="274"/>
      <c r="MJ363" s="274"/>
      <c r="MK363" s="274"/>
      <c r="ML363" s="274"/>
      <c r="MM363" s="274"/>
      <c r="MN363" s="274"/>
      <c r="MO363" s="274"/>
      <c r="MP363" s="274"/>
      <c r="MQ363" s="274"/>
      <c r="MR363" s="274"/>
      <c r="MS363" s="274"/>
      <c r="MT363" s="274"/>
      <c r="MU363" s="274"/>
      <c r="MV363" s="274"/>
      <c r="MW363" s="274"/>
      <c r="MX363" s="274"/>
      <c r="MY363" s="274"/>
      <c r="MZ363" s="274"/>
      <c r="NA363" s="274"/>
      <c r="NB363" s="274"/>
      <c r="NC363" s="274"/>
      <c r="ND363" s="274"/>
      <c r="NE363" s="274"/>
      <c r="NF363" s="274"/>
      <c r="NG363" s="274"/>
      <c r="NH363" s="274"/>
      <c r="NI363" s="274"/>
      <c r="NJ363" s="274"/>
      <c r="NK363" s="274"/>
      <c r="NL363" s="274"/>
      <c r="NM363" s="274"/>
      <c r="NN363" s="274"/>
      <c r="NO363" s="274"/>
      <c r="NP363" s="274"/>
      <c r="NQ363" s="274"/>
      <c r="NR363" s="274"/>
      <c r="NS363" s="274"/>
      <c r="NT363" s="274"/>
      <c r="NU363" s="274"/>
      <c r="NV363" s="274"/>
      <c r="NW363" s="274"/>
      <c r="NX363" s="274"/>
      <c r="NY363" s="274"/>
      <c r="NZ363" s="274"/>
      <c r="OA363" s="274"/>
      <c r="OB363" s="274"/>
      <c r="OC363" s="274"/>
      <c r="OD363" s="274"/>
      <c r="OE363" s="274"/>
      <c r="OF363" s="274"/>
      <c r="OG363" s="274"/>
      <c r="OH363" s="274"/>
      <c r="OI363" s="274"/>
      <c r="OJ363" s="274"/>
      <c r="OK363" s="274"/>
      <c r="OL363" s="274"/>
      <c r="OM363" s="274"/>
      <c r="ON363" s="274"/>
      <c r="OO363" s="274"/>
      <c r="OP363" s="274"/>
      <c r="OQ363" s="274"/>
      <c r="OR363" s="274"/>
      <c r="OS363" s="274"/>
      <c r="OT363" s="274"/>
      <c r="OU363" s="274"/>
      <c r="OV363" s="274"/>
      <c r="OW363" s="274"/>
      <c r="OX363" s="274"/>
      <c r="OY363" s="274"/>
      <c r="OZ363" s="274"/>
      <c r="PA363" s="274"/>
      <c r="PB363" s="274"/>
      <c r="PC363" s="274"/>
      <c r="PD363" s="274"/>
      <c r="PE363" s="274"/>
      <c r="PF363" s="274"/>
      <c r="PG363" s="274"/>
      <c r="PH363" s="274"/>
      <c r="PI363" s="274"/>
      <c r="PJ363" s="274"/>
      <c r="PK363" s="274"/>
      <c r="PL363" s="274"/>
      <c r="PM363" s="274"/>
      <c r="PN363" s="274"/>
      <c r="PO363" s="274"/>
      <c r="PP363" s="274"/>
      <c r="PQ363" s="274"/>
      <c r="PR363" s="274"/>
      <c r="PS363" s="274"/>
      <c r="PT363" s="274"/>
      <c r="PU363" s="274"/>
      <c r="PV363" s="274"/>
      <c r="PW363" s="274"/>
      <c r="PX363" s="274"/>
      <c r="PY363" s="274"/>
      <c r="PZ363" s="274"/>
      <c r="QA363" s="274"/>
      <c r="QB363" s="274"/>
      <c r="QC363" s="274"/>
      <c r="QD363" s="274"/>
      <c r="QE363" s="274"/>
      <c r="QF363" s="274"/>
      <c r="QG363" s="274"/>
      <c r="QH363" s="274"/>
      <c r="QI363" s="274"/>
      <c r="QJ363" s="274"/>
      <c r="QK363" s="274"/>
      <c r="QL363" s="274"/>
      <c r="QM363" s="274"/>
      <c r="QN363" s="274"/>
      <c r="QO363" s="274"/>
      <c r="QP363" s="274"/>
      <c r="QQ363" s="274"/>
      <c r="QR363" s="274"/>
      <c r="QS363" s="274"/>
      <c r="QT363" s="274"/>
      <c r="QU363" s="274"/>
      <c r="QV363" s="274"/>
      <c r="QW363" s="274"/>
      <c r="QX363" s="274"/>
      <c r="QY363" s="274"/>
      <c r="QZ363" s="274"/>
      <c r="RA363" s="274"/>
      <c r="RB363" s="274"/>
      <c r="RC363" s="274"/>
    </row>
    <row r="364" spans="112:471" ht="17.25">
      <c r="DH364" s="274"/>
      <c r="DI364" s="274"/>
      <c r="DJ364" s="978"/>
      <c r="DK364" s="274"/>
      <c r="DL364" s="274"/>
      <c r="DM364" s="274"/>
      <c r="DN364" s="274"/>
      <c r="DO364" s="274"/>
      <c r="DP364" s="274"/>
      <c r="DQ364" s="274"/>
      <c r="DR364" s="274"/>
      <c r="DS364" s="274"/>
      <c r="DT364" s="274"/>
      <c r="DU364" s="274"/>
      <c r="DV364" s="274"/>
      <c r="DW364" s="274"/>
      <c r="DX364" s="274"/>
      <c r="DY364" s="274"/>
      <c r="DZ364" s="274"/>
      <c r="EA364" s="274"/>
      <c r="EB364" s="274"/>
      <c r="EC364" s="274"/>
      <c r="ED364" s="274"/>
      <c r="EE364" s="274"/>
      <c r="EF364" s="274"/>
      <c r="EG364" s="274"/>
      <c r="EH364" s="274"/>
      <c r="EI364" s="274"/>
      <c r="EJ364" s="274"/>
      <c r="EK364" s="274"/>
      <c r="EL364" s="274"/>
      <c r="EM364" s="274"/>
      <c r="EN364" s="274"/>
      <c r="EO364" s="274"/>
      <c r="EP364" s="274"/>
      <c r="EQ364" s="274"/>
      <c r="ER364" s="274"/>
      <c r="ES364" s="274"/>
      <c r="ET364" s="274"/>
      <c r="EU364" s="274"/>
      <c r="EV364" s="274"/>
      <c r="EW364" s="274"/>
      <c r="EX364" s="274"/>
      <c r="EY364" s="274"/>
      <c r="EZ364" s="274"/>
      <c r="FA364" s="274"/>
      <c r="FB364" s="274"/>
      <c r="FC364" s="274"/>
      <c r="FD364" s="274"/>
      <c r="FE364" s="274"/>
      <c r="FF364" s="274"/>
      <c r="FG364" s="274"/>
      <c r="FH364" s="274"/>
      <c r="FI364" s="274"/>
      <c r="FJ364" s="274"/>
      <c r="FK364" s="274"/>
      <c r="FL364" s="274"/>
      <c r="FM364" s="274"/>
      <c r="FN364" s="274"/>
      <c r="FO364" s="274"/>
      <c r="FP364" s="274"/>
      <c r="FQ364" s="274"/>
      <c r="FR364" s="274"/>
      <c r="FS364" s="274"/>
      <c r="FT364" s="274"/>
      <c r="FU364" s="274"/>
      <c r="FV364" s="274"/>
      <c r="FW364" s="274"/>
      <c r="FX364" s="274"/>
      <c r="FY364" s="274"/>
      <c r="FZ364" s="274"/>
      <c r="GA364" s="274"/>
      <c r="GB364" s="274"/>
      <c r="GC364" s="274"/>
      <c r="GD364" s="274"/>
      <c r="GE364" s="274"/>
      <c r="GF364" s="274"/>
      <c r="GG364" s="274"/>
      <c r="GH364" s="274"/>
      <c r="GI364" s="274"/>
      <c r="GJ364" s="274"/>
      <c r="GK364" s="274"/>
      <c r="GL364" s="274"/>
      <c r="GM364" s="274"/>
      <c r="GN364" s="274"/>
      <c r="GO364" s="274"/>
      <c r="GP364" s="274"/>
      <c r="GQ364" s="274"/>
      <c r="GR364" s="274"/>
      <c r="GS364" s="274"/>
      <c r="GT364" s="274"/>
      <c r="GU364" s="274"/>
      <c r="GV364" s="274"/>
      <c r="GW364" s="274"/>
      <c r="GX364" s="274"/>
      <c r="GY364" s="274"/>
      <c r="GZ364" s="274"/>
      <c r="HA364" s="274"/>
      <c r="HB364" s="274"/>
      <c r="HC364" s="274"/>
      <c r="HD364" s="274"/>
      <c r="HE364" s="274"/>
      <c r="HF364" s="274"/>
      <c r="HG364" s="274"/>
      <c r="HH364" s="274"/>
      <c r="HI364" s="274"/>
      <c r="HJ364" s="274"/>
      <c r="HK364" s="274"/>
      <c r="HL364" s="274"/>
      <c r="HM364" s="274"/>
      <c r="HN364" s="274"/>
      <c r="HO364" s="274"/>
      <c r="HP364" s="274"/>
      <c r="HQ364" s="274"/>
      <c r="HR364" s="274"/>
      <c r="HS364" s="274"/>
      <c r="HT364" s="274"/>
      <c r="HU364" s="274"/>
      <c r="HV364" s="274"/>
      <c r="HW364" s="274"/>
      <c r="HX364" s="274"/>
      <c r="HY364" s="274"/>
      <c r="HZ364" s="274"/>
      <c r="IA364" s="274"/>
      <c r="IB364" s="274"/>
      <c r="IC364" s="274"/>
      <c r="ID364" s="274"/>
      <c r="IE364" s="274"/>
      <c r="IF364" s="274"/>
      <c r="IG364" s="274"/>
      <c r="IH364" s="274"/>
      <c r="II364" s="274"/>
      <c r="IJ364" s="274"/>
      <c r="IK364" s="274"/>
      <c r="IL364" s="274"/>
      <c r="IM364" s="274"/>
      <c r="IN364" s="274"/>
      <c r="IO364" s="274"/>
      <c r="IP364" s="274"/>
      <c r="IQ364" s="274"/>
      <c r="IR364" s="274"/>
      <c r="IS364" s="274"/>
      <c r="IT364" s="274"/>
      <c r="IU364" s="274"/>
      <c r="IV364" s="274"/>
      <c r="IW364" s="274"/>
      <c r="IX364" s="274"/>
      <c r="IY364" s="274"/>
      <c r="IZ364" s="274"/>
      <c r="JA364" s="274"/>
      <c r="JB364" s="274"/>
      <c r="JC364" s="274"/>
      <c r="JD364" s="274"/>
      <c r="JE364" s="274"/>
      <c r="JF364" s="274"/>
      <c r="JG364" s="274"/>
      <c r="JH364" s="274"/>
      <c r="JI364" s="274"/>
      <c r="JJ364" s="274"/>
      <c r="JK364" s="274"/>
      <c r="JL364" s="274"/>
      <c r="JM364" s="274"/>
      <c r="JN364" s="274"/>
      <c r="JO364" s="274"/>
      <c r="JP364" s="274"/>
      <c r="JQ364" s="274"/>
      <c r="JR364" s="274"/>
      <c r="JS364" s="274"/>
      <c r="JT364" s="274"/>
      <c r="JU364" s="274"/>
      <c r="JV364" s="274"/>
      <c r="JW364" s="274"/>
      <c r="JX364" s="274"/>
      <c r="JY364" s="274"/>
      <c r="JZ364" s="274"/>
      <c r="KA364" s="274"/>
      <c r="KB364" s="274"/>
      <c r="KC364" s="274"/>
      <c r="KD364" s="274"/>
      <c r="KE364" s="274"/>
      <c r="KF364" s="274"/>
      <c r="KG364" s="274"/>
      <c r="KH364" s="274"/>
      <c r="KI364" s="274"/>
      <c r="KJ364" s="274"/>
      <c r="KK364" s="274"/>
      <c r="KL364" s="274"/>
      <c r="KM364" s="274"/>
      <c r="KN364" s="274"/>
      <c r="KO364" s="274"/>
      <c r="KP364" s="274"/>
      <c r="KQ364" s="274"/>
      <c r="KR364" s="274"/>
      <c r="KS364" s="274"/>
      <c r="KT364" s="274"/>
      <c r="KU364" s="274"/>
      <c r="KV364" s="274"/>
      <c r="KW364" s="274"/>
      <c r="KX364" s="274"/>
      <c r="KY364" s="274"/>
      <c r="KZ364" s="274"/>
      <c r="LA364" s="274"/>
      <c r="LB364" s="274"/>
      <c r="LC364" s="274"/>
      <c r="LD364" s="274"/>
      <c r="LE364" s="274"/>
      <c r="LF364" s="274"/>
      <c r="LG364" s="274"/>
      <c r="LH364" s="274"/>
      <c r="LI364" s="274"/>
      <c r="LJ364" s="274"/>
      <c r="LK364" s="274"/>
      <c r="LL364" s="274"/>
      <c r="LM364" s="274"/>
      <c r="LN364" s="274"/>
      <c r="LO364" s="274"/>
      <c r="LP364" s="274"/>
      <c r="LQ364" s="274"/>
      <c r="LR364" s="274"/>
      <c r="LS364" s="274"/>
      <c r="LT364" s="274"/>
      <c r="LU364" s="274"/>
      <c r="LV364" s="274"/>
      <c r="LW364" s="274"/>
      <c r="LX364" s="274"/>
      <c r="LY364" s="274"/>
      <c r="LZ364" s="274"/>
      <c r="MA364" s="274"/>
      <c r="MB364" s="274"/>
      <c r="MC364" s="274"/>
      <c r="MD364" s="274"/>
      <c r="ME364" s="274"/>
      <c r="MF364" s="274"/>
      <c r="MG364" s="274"/>
      <c r="MH364" s="274"/>
      <c r="MI364" s="274"/>
      <c r="MJ364" s="274"/>
      <c r="MK364" s="274"/>
      <c r="ML364" s="274"/>
      <c r="MM364" s="274"/>
      <c r="MN364" s="274"/>
      <c r="MO364" s="274"/>
      <c r="MP364" s="274"/>
      <c r="MQ364" s="274"/>
      <c r="MR364" s="274"/>
      <c r="MS364" s="274"/>
      <c r="MT364" s="274"/>
      <c r="MU364" s="274"/>
      <c r="MV364" s="274"/>
      <c r="MW364" s="274"/>
      <c r="MX364" s="274"/>
      <c r="MY364" s="274"/>
      <c r="MZ364" s="274"/>
      <c r="NA364" s="274"/>
      <c r="NB364" s="274"/>
      <c r="NC364" s="274"/>
      <c r="ND364" s="274"/>
      <c r="NE364" s="274"/>
      <c r="NF364" s="274"/>
      <c r="NG364" s="274"/>
      <c r="NH364" s="274"/>
      <c r="NI364" s="274"/>
      <c r="NJ364" s="274"/>
      <c r="NK364" s="274"/>
      <c r="NL364" s="274"/>
      <c r="NM364" s="274"/>
      <c r="NN364" s="274"/>
      <c r="NO364" s="274"/>
      <c r="NP364" s="274"/>
      <c r="NQ364" s="274"/>
      <c r="NR364" s="274"/>
      <c r="NS364" s="274"/>
      <c r="NT364" s="274"/>
      <c r="NU364" s="274"/>
      <c r="NV364" s="274"/>
      <c r="NW364" s="274"/>
      <c r="NX364" s="274"/>
      <c r="NY364" s="274"/>
      <c r="NZ364" s="274"/>
      <c r="OA364" s="274"/>
      <c r="OB364" s="274"/>
      <c r="OC364" s="274"/>
      <c r="OD364" s="274"/>
      <c r="OE364" s="274"/>
      <c r="OF364" s="274"/>
      <c r="OG364" s="274"/>
      <c r="OH364" s="274"/>
      <c r="OI364" s="274"/>
      <c r="OJ364" s="274"/>
      <c r="OK364" s="274"/>
      <c r="OL364" s="274"/>
      <c r="OM364" s="274"/>
      <c r="ON364" s="274"/>
      <c r="OO364" s="274"/>
      <c r="OP364" s="274"/>
      <c r="OQ364" s="274"/>
      <c r="OR364" s="274"/>
      <c r="OS364" s="274"/>
      <c r="OT364" s="274"/>
      <c r="OU364" s="274"/>
      <c r="OV364" s="274"/>
      <c r="OW364" s="274"/>
      <c r="OX364" s="274"/>
      <c r="OY364" s="274"/>
      <c r="OZ364" s="274"/>
      <c r="PA364" s="274"/>
      <c r="PB364" s="274"/>
      <c r="PC364" s="274"/>
      <c r="PD364" s="274"/>
      <c r="PE364" s="274"/>
      <c r="PF364" s="274"/>
      <c r="PG364" s="274"/>
      <c r="PH364" s="274"/>
      <c r="PI364" s="274"/>
      <c r="PJ364" s="274"/>
      <c r="PK364" s="274"/>
      <c r="PL364" s="274"/>
      <c r="PM364" s="274"/>
      <c r="PN364" s="274"/>
      <c r="PO364" s="274"/>
      <c r="PP364" s="274"/>
      <c r="PQ364" s="274"/>
      <c r="PR364" s="274"/>
      <c r="PS364" s="274"/>
      <c r="PT364" s="274"/>
      <c r="PU364" s="274"/>
      <c r="PV364" s="274"/>
      <c r="PW364" s="274"/>
      <c r="PX364" s="274"/>
      <c r="PY364" s="274"/>
      <c r="PZ364" s="274"/>
      <c r="QA364" s="274"/>
      <c r="QB364" s="274"/>
      <c r="QC364" s="274"/>
      <c r="QD364" s="274"/>
      <c r="QE364" s="274"/>
      <c r="QF364" s="274"/>
      <c r="QG364" s="274"/>
      <c r="QH364" s="274"/>
      <c r="QI364" s="274"/>
      <c r="QJ364" s="274"/>
      <c r="QK364" s="274"/>
      <c r="QL364" s="274"/>
      <c r="QM364" s="274"/>
      <c r="QN364" s="274"/>
      <c r="QO364" s="274"/>
      <c r="QP364" s="274"/>
      <c r="QQ364" s="274"/>
      <c r="QR364" s="274"/>
      <c r="QS364" s="274"/>
      <c r="QT364" s="274"/>
      <c r="QU364" s="274"/>
      <c r="QV364" s="274"/>
      <c r="QW364" s="274"/>
      <c r="QX364" s="274"/>
      <c r="QY364" s="274"/>
      <c r="QZ364" s="274"/>
      <c r="RA364" s="274"/>
      <c r="RB364" s="274"/>
      <c r="RC364" s="274"/>
    </row>
    <row r="365" spans="112:471" ht="17.25">
      <c r="DH365" s="274"/>
      <c r="DI365" s="274"/>
      <c r="DJ365" s="978"/>
      <c r="DK365" s="978"/>
      <c r="DL365" s="978"/>
      <c r="DM365" s="978"/>
      <c r="DN365" s="978"/>
      <c r="DO365" s="978"/>
      <c r="DP365" s="978"/>
      <c r="DQ365" s="978"/>
      <c r="DR365" s="978"/>
      <c r="DS365" s="978"/>
      <c r="DT365" s="978"/>
      <c r="DU365" s="978"/>
      <c r="DV365" s="978"/>
      <c r="DW365" s="978"/>
      <c r="DX365" s="978"/>
      <c r="DY365" s="978"/>
      <c r="DZ365" s="978"/>
      <c r="EA365" s="978"/>
      <c r="EB365" s="978"/>
      <c r="EC365" s="978"/>
      <c r="ED365" s="978"/>
      <c r="EE365" s="978"/>
      <c r="EF365" s="978"/>
      <c r="EG365" s="978"/>
      <c r="EH365" s="978"/>
      <c r="EI365" s="978"/>
      <c r="EJ365" s="978"/>
      <c r="EK365" s="978"/>
      <c r="EL365" s="978"/>
      <c r="EM365" s="978"/>
      <c r="EN365" s="978"/>
      <c r="EO365" s="978"/>
      <c r="EP365" s="978"/>
      <c r="EQ365" s="978"/>
      <c r="ER365" s="978"/>
      <c r="ES365" s="978"/>
      <c r="ET365" s="978"/>
      <c r="EU365" s="978"/>
      <c r="EV365" s="978"/>
      <c r="EW365" s="978"/>
      <c r="EX365" s="978"/>
      <c r="EY365" s="978"/>
      <c r="EZ365" s="978"/>
      <c r="FA365" s="978"/>
      <c r="FB365" s="978"/>
      <c r="FC365" s="978"/>
      <c r="FD365" s="978"/>
      <c r="FE365" s="978"/>
      <c r="FF365" s="978"/>
      <c r="FG365" s="978"/>
      <c r="FH365" s="978"/>
      <c r="FI365" s="978"/>
      <c r="FJ365" s="978"/>
      <c r="FK365" s="978"/>
      <c r="FL365" s="978"/>
      <c r="FM365" s="978"/>
      <c r="FN365" s="978"/>
      <c r="FO365" s="978"/>
      <c r="FP365" s="978"/>
      <c r="FQ365" s="978"/>
      <c r="FR365" s="978"/>
      <c r="FS365" s="978"/>
      <c r="FT365" s="978"/>
      <c r="FU365" s="978"/>
      <c r="FV365" s="978"/>
      <c r="FW365" s="978"/>
      <c r="FX365" s="978"/>
      <c r="FY365" s="978"/>
      <c r="FZ365" s="978"/>
      <c r="GA365" s="978"/>
      <c r="GB365" s="978"/>
      <c r="GC365" s="978"/>
      <c r="GD365" s="978"/>
      <c r="GE365" s="978"/>
      <c r="GF365" s="978"/>
      <c r="GG365" s="978"/>
      <c r="GH365" s="978"/>
      <c r="GI365" s="978"/>
      <c r="GJ365" s="978"/>
      <c r="GK365" s="978"/>
      <c r="GL365" s="978"/>
      <c r="GM365" s="978"/>
      <c r="GN365" s="978"/>
      <c r="GO365" s="978"/>
      <c r="GP365" s="978"/>
      <c r="GQ365" s="978"/>
      <c r="GR365" s="978"/>
      <c r="GS365" s="978"/>
      <c r="GT365" s="978"/>
      <c r="GU365" s="978"/>
      <c r="GV365" s="978"/>
      <c r="GW365" s="978"/>
      <c r="GX365" s="978"/>
      <c r="GY365" s="978"/>
      <c r="GZ365" s="978"/>
      <c r="HA365" s="978"/>
      <c r="HB365" s="978"/>
      <c r="HC365" s="978"/>
      <c r="HD365" s="978"/>
      <c r="HE365" s="978"/>
      <c r="HF365" s="978"/>
      <c r="HG365" s="978"/>
      <c r="HH365" s="978"/>
      <c r="HI365" s="978"/>
      <c r="HJ365" s="978"/>
      <c r="HK365" s="978"/>
      <c r="HL365" s="978"/>
      <c r="HM365" s="978"/>
      <c r="HN365" s="978"/>
      <c r="HO365" s="978"/>
      <c r="HP365" s="978"/>
      <c r="HQ365" s="978"/>
      <c r="HR365" s="978"/>
      <c r="HS365" s="978"/>
      <c r="HT365" s="978"/>
      <c r="HU365" s="978"/>
      <c r="HV365" s="978"/>
      <c r="HW365" s="978"/>
      <c r="HX365" s="978"/>
      <c r="HY365" s="978"/>
      <c r="HZ365" s="978"/>
      <c r="IA365" s="978"/>
      <c r="IB365" s="978"/>
      <c r="IC365" s="978"/>
      <c r="ID365" s="978"/>
      <c r="IE365" s="978"/>
      <c r="IF365" s="978"/>
      <c r="IG365" s="978"/>
      <c r="IH365" s="978"/>
      <c r="II365" s="978"/>
      <c r="IJ365" s="978"/>
      <c r="IK365" s="978"/>
      <c r="IL365" s="978"/>
      <c r="IM365" s="978"/>
      <c r="IN365" s="978"/>
      <c r="IO365" s="978"/>
      <c r="IP365" s="978"/>
      <c r="IQ365" s="978"/>
      <c r="IR365" s="978"/>
      <c r="IS365" s="978"/>
      <c r="IT365" s="978"/>
      <c r="IU365" s="978"/>
      <c r="IV365" s="978"/>
      <c r="IW365" s="978"/>
      <c r="IX365" s="978"/>
      <c r="IY365" s="978"/>
      <c r="IZ365" s="978"/>
      <c r="JA365" s="978"/>
      <c r="JB365" s="978"/>
      <c r="JC365" s="978"/>
      <c r="JD365" s="978"/>
      <c r="JE365" s="978"/>
      <c r="JF365" s="978"/>
      <c r="JG365" s="978"/>
      <c r="JH365" s="978"/>
      <c r="JI365" s="978"/>
      <c r="JJ365" s="978"/>
      <c r="JK365" s="978"/>
      <c r="JL365" s="978"/>
      <c r="JM365" s="978"/>
      <c r="JN365" s="978"/>
      <c r="JO365" s="978"/>
      <c r="JP365" s="978"/>
      <c r="JQ365" s="978"/>
      <c r="JR365" s="978"/>
      <c r="JS365" s="978"/>
      <c r="JT365" s="978"/>
      <c r="JU365" s="978"/>
      <c r="JV365" s="978"/>
      <c r="JW365" s="978"/>
      <c r="JX365" s="978"/>
      <c r="JY365" s="978"/>
      <c r="JZ365" s="978"/>
      <c r="KA365" s="978"/>
      <c r="KB365" s="978"/>
      <c r="KC365" s="978"/>
      <c r="KD365" s="978"/>
      <c r="KE365" s="978"/>
      <c r="KF365" s="978"/>
      <c r="KG365" s="978"/>
      <c r="KH365" s="978"/>
      <c r="KI365" s="978"/>
      <c r="KJ365" s="978"/>
      <c r="KK365" s="978"/>
      <c r="KL365" s="978"/>
      <c r="KM365" s="978"/>
      <c r="KN365" s="978"/>
      <c r="KO365" s="978"/>
      <c r="KP365" s="978"/>
      <c r="KQ365" s="978"/>
      <c r="KR365" s="978"/>
      <c r="KS365" s="978"/>
      <c r="KT365" s="978"/>
      <c r="KU365" s="978"/>
      <c r="KV365" s="978"/>
      <c r="KW365" s="978"/>
      <c r="KX365" s="978"/>
      <c r="KY365" s="978"/>
      <c r="KZ365" s="978"/>
      <c r="LA365" s="978"/>
      <c r="LB365" s="978"/>
      <c r="LC365" s="978"/>
      <c r="LD365" s="978"/>
      <c r="LE365" s="978"/>
      <c r="LF365" s="978"/>
      <c r="LG365" s="978"/>
      <c r="LH365" s="978"/>
      <c r="LI365" s="978"/>
      <c r="LJ365" s="978"/>
      <c r="LK365" s="978"/>
      <c r="LL365" s="978"/>
      <c r="LM365" s="978"/>
      <c r="LN365" s="978"/>
      <c r="LO365" s="978"/>
      <c r="LP365" s="978"/>
      <c r="LQ365" s="978"/>
      <c r="LR365" s="978"/>
      <c r="LS365" s="978"/>
      <c r="LT365" s="978"/>
      <c r="LU365" s="978"/>
      <c r="LV365" s="978"/>
      <c r="LW365" s="978"/>
      <c r="LX365" s="978"/>
      <c r="LY365" s="978"/>
      <c r="LZ365" s="978"/>
      <c r="MA365" s="978"/>
      <c r="MB365" s="978"/>
      <c r="MC365" s="978"/>
      <c r="MD365" s="978"/>
      <c r="ME365" s="978"/>
      <c r="MF365" s="978"/>
      <c r="MG365" s="978"/>
      <c r="MH365" s="978"/>
      <c r="MI365" s="978"/>
      <c r="MJ365" s="978"/>
      <c r="MK365" s="978"/>
      <c r="ML365" s="978"/>
      <c r="MM365" s="978"/>
      <c r="MN365" s="978"/>
      <c r="MO365" s="978"/>
      <c r="MP365" s="978"/>
      <c r="MQ365" s="978"/>
      <c r="MR365" s="978"/>
      <c r="MS365" s="978"/>
      <c r="MT365" s="978"/>
      <c r="MU365" s="978"/>
      <c r="MV365" s="978"/>
      <c r="MW365" s="978"/>
      <c r="MX365" s="978"/>
      <c r="MY365" s="978"/>
      <c r="MZ365" s="978"/>
      <c r="NA365" s="978"/>
      <c r="NB365" s="978"/>
      <c r="NC365" s="978"/>
      <c r="ND365" s="978"/>
      <c r="NE365" s="978"/>
      <c r="NF365" s="978"/>
      <c r="NG365" s="978"/>
      <c r="NH365" s="978"/>
      <c r="NI365" s="978"/>
      <c r="NJ365" s="978"/>
      <c r="NK365" s="978"/>
      <c r="NL365" s="978"/>
      <c r="NM365" s="978"/>
      <c r="NN365" s="978"/>
      <c r="NO365" s="978"/>
      <c r="NP365" s="978"/>
      <c r="NQ365" s="978"/>
      <c r="NR365" s="978"/>
      <c r="NS365" s="978"/>
      <c r="NT365" s="978"/>
      <c r="NU365" s="978"/>
      <c r="NV365" s="978"/>
      <c r="NW365" s="978"/>
      <c r="NX365" s="978"/>
      <c r="NY365" s="978"/>
      <c r="NZ365" s="978"/>
      <c r="OA365" s="978"/>
      <c r="OB365" s="978"/>
      <c r="OC365" s="978"/>
      <c r="OD365" s="978"/>
      <c r="OE365" s="978"/>
      <c r="OF365" s="978"/>
      <c r="OG365" s="978"/>
      <c r="OH365" s="978"/>
      <c r="OI365" s="978"/>
      <c r="OJ365" s="978"/>
      <c r="OK365" s="978"/>
      <c r="OL365" s="978"/>
      <c r="OM365" s="978"/>
      <c r="ON365" s="978"/>
      <c r="OO365" s="978"/>
      <c r="OP365" s="978"/>
      <c r="OQ365" s="978"/>
      <c r="OR365" s="978"/>
      <c r="OS365" s="978"/>
      <c r="OT365" s="978"/>
      <c r="OU365" s="978"/>
      <c r="OV365" s="978"/>
      <c r="OW365" s="978"/>
      <c r="OX365" s="978"/>
      <c r="OY365" s="978"/>
      <c r="OZ365" s="978"/>
      <c r="PA365" s="978"/>
      <c r="PB365" s="978"/>
      <c r="PC365" s="978"/>
      <c r="PD365" s="978"/>
      <c r="PE365" s="978"/>
      <c r="PF365" s="978"/>
      <c r="PG365" s="978"/>
      <c r="PH365" s="978"/>
      <c r="PI365" s="978"/>
      <c r="PJ365" s="978"/>
      <c r="PK365" s="978"/>
      <c r="PL365" s="978"/>
      <c r="PM365" s="978"/>
      <c r="PN365" s="978"/>
      <c r="PO365" s="978"/>
      <c r="PP365" s="978"/>
      <c r="PQ365" s="978"/>
      <c r="PR365" s="978"/>
      <c r="PS365" s="978"/>
      <c r="PT365" s="978"/>
      <c r="PU365" s="978"/>
      <c r="PV365" s="978"/>
      <c r="PW365" s="978"/>
      <c r="PX365" s="978"/>
      <c r="PY365" s="978"/>
      <c r="PZ365" s="978"/>
      <c r="QA365" s="978"/>
      <c r="QB365" s="978"/>
      <c r="QC365" s="978"/>
      <c r="QD365" s="978"/>
      <c r="QE365" s="978"/>
      <c r="QF365" s="978"/>
      <c r="QG365" s="978"/>
      <c r="QH365" s="978"/>
      <c r="QI365" s="978"/>
      <c r="QJ365" s="978"/>
      <c r="QK365" s="978"/>
      <c r="QL365" s="978"/>
      <c r="QM365" s="978"/>
      <c r="QN365" s="978"/>
      <c r="QO365" s="978"/>
      <c r="QP365" s="978"/>
      <c r="QQ365" s="978"/>
      <c r="QR365" s="978"/>
      <c r="QS365" s="978"/>
      <c r="QT365" s="978"/>
      <c r="QU365" s="978"/>
      <c r="QV365" s="978"/>
      <c r="QW365" s="978"/>
      <c r="QX365" s="978"/>
      <c r="QY365" s="978"/>
      <c r="QZ365" s="978"/>
      <c r="RA365" s="978"/>
      <c r="RB365" s="274"/>
      <c r="RC365" s="274"/>
    </row>
    <row r="366" spans="112:471" ht="17.25">
      <c r="DH366" s="274"/>
      <c r="DI366" s="274"/>
      <c r="DJ366" s="978"/>
      <c r="DK366" s="978"/>
      <c r="DL366" s="978"/>
      <c r="DM366" s="978"/>
      <c r="DN366" s="978"/>
      <c r="DO366" s="978"/>
      <c r="DP366" s="978"/>
      <c r="DQ366" s="978"/>
      <c r="DR366" s="978"/>
      <c r="DS366" s="978"/>
      <c r="DT366" s="978"/>
      <c r="DU366" s="978"/>
      <c r="DV366" s="978"/>
      <c r="DW366" s="978"/>
      <c r="DX366" s="978"/>
      <c r="DY366" s="978"/>
      <c r="DZ366" s="978"/>
      <c r="EA366" s="978"/>
      <c r="EB366" s="978"/>
      <c r="EC366" s="978"/>
      <c r="ED366" s="978"/>
      <c r="EE366" s="978"/>
      <c r="EF366" s="978"/>
      <c r="EG366" s="978"/>
      <c r="EH366" s="978"/>
      <c r="EI366" s="978"/>
      <c r="EJ366" s="978"/>
      <c r="EK366" s="978"/>
      <c r="EL366" s="978"/>
      <c r="EM366" s="978"/>
      <c r="EN366" s="978"/>
      <c r="EO366" s="978"/>
      <c r="EP366" s="978"/>
      <c r="EQ366" s="978"/>
      <c r="ER366" s="978"/>
      <c r="ES366" s="978"/>
      <c r="ET366" s="978"/>
      <c r="EU366" s="978"/>
      <c r="EV366" s="978"/>
      <c r="EW366" s="978"/>
      <c r="EX366" s="978"/>
      <c r="EY366" s="978"/>
      <c r="EZ366" s="978"/>
      <c r="FA366" s="978"/>
      <c r="FB366" s="978"/>
      <c r="FC366" s="978"/>
      <c r="FD366" s="978"/>
      <c r="FE366" s="978"/>
      <c r="FF366" s="978"/>
      <c r="FG366" s="978"/>
      <c r="FH366" s="978"/>
      <c r="FI366" s="978"/>
      <c r="FJ366" s="978"/>
      <c r="FK366" s="978"/>
      <c r="FL366" s="978"/>
      <c r="FM366" s="978"/>
      <c r="FN366" s="978"/>
      <c r="FO366" s="978"/>
      <c r="FP366" s="978"/>
      <c r="FQ366" s="978"/>
      <c r="FR366" s="978"/>
      <c r="FS366" s="978"/>
      <c r="FT366" s="978"/>
      <c r="FU366" s="978"/>
      <c r="FV366" s="978"/>
      <c r="FW366" s="978"/>
      <c r="FX366" s="978"/>
      <c r="FY366" s="978"/>
      <c r="FZ366" s="978"/>
      <c r="GA366" s="978"/>
      <c r="GB366" s="978"/>
      <c r="GC366" s="978"/>
      <c r="GD366" s="978"/>
      <c r="GE366" s="978"/>
      <c r="GF366" s="978"/>
      <c r="GG366" s="978"/>
      <c r="GH366" s="978"/>
      <c r="GI366" s="978"/>
      <c r="GJ366" s="978"/>
      <c r="GK366" s="978"/>
      <c r="GL366" s="978"/>
      <c r="GM366" s="978"/>
      <c r="GN366" s="978"/>
      <c r="GO366" s="978"/>
      <c r="GP366" s="978"/>
      <c r="GQ366" s="978"/>
      <c r="GR366" s="978"/>
      <c r="GS366" s="978"/>
      <c r="GT366" s="978"/>
      <c r="GU366" s="978"/>
      <c r="GV366" s="978"/>
      <c r="GW366" s="978"/>
      <c r="GX366" s="978"/>
      <c r="GY366" s="978"/>
      <c r="GZ366" s="978"/>
      <c r="HA366" s="978"/>
      <c r="HB366" s="978"/>
      <c r="HC366" s="978"/>
      <c r="HD366" s="978"/>
      <c r="HE366" s="978"/>
      <c r="HF366" s="978"/>
      <c r="HG366" s="978"/>
      <c r="HH366" s="978"/>
      <c r="HI366" s="978"/>
      <c r="HJ366" s="978"/>
      <c r="HK366" s="978"/>
      <c r="HL366" s="978"/>
      <c r="HM366" s="978"/>
      <c r="HN366" s="978"/>
      <c r="HO366" s="978"/>
      <c r="HP366" s="978"/>
      <c r="HQ366" s="978"/>
      <c r="HR366" s="978"/>
      <c r="HS366" s="978"/>
      <c r="HT366" s="978"/>
      <c r="HU366" s="978"/>
      <c r="HV366" s="978"/>
      <c r="HW366" s="978"/>
      <c r="HX366" s="978"/>
      <c r="HY366" s="978"/>
      <c r="HZ366" s="978"/>
      <c r="IA366" s="978"/>
      <c r="IB366" s="978"/>
      <c r="IC366" s="978"/>
      <c r="ID366" s="978"/>
      <c r="IE366" s="978"/>
      <c r="IF366" s="978"/>
      <c r="IG366" s="978"/>
      <c r="IH366" s="978"/>
      <c r="II366" s="978"/>
      <c r="IJ366" s="978"/>
      <c r="IK366" s="978"/>
      <c r="IL366" s="978"/>
      <c r="IM366" s="978"/>
      <c r="IN366" s="978"/>
      <c r="IO366" s="978"/>
      <c r="IP366" s="978"/>
      <c r="IQ366" s="978"/>
      <c r="IR366" s="978"/>
      <c r="IS366" s="978"/>
      <c r="IT366" s="978"/>
      <c r="IU366" s="978"/>
      <c r="IV366" s="978"/>
      <c r="IW366" s="978"/>
      <c r="IX366" s="978"/>
      <c r="IY366" s="978"/>
      <c r="IZ366" s="978"/>
      <c r="JA366" s="978"/>
      <c r="JB366" s="978"/>
      <c r="JC366" s="978"/>
      <c r="JD366" s="978"/>
      <c r="JE366" s="978"/>
      <c r="JF366" s="978"/>
      <c r="JG366" s="978"/>
      <c r="JH366" s="978"/>
      <c r="JI366" s="978"/>
      <c r="JJ366" s="978"/>
      <c r="JK366" s="978"/>
      <c r="JL366" s="978"/>
      <c r="JM366" s="978"/>
      <c r="JN366" s="978"/>
      <c r="JO366" s="978"/>
      <c r="JP366" s="978"/>
      <c r="JQ366" s="978"/>
      <c r="JR366" s="978"/>
      <c r="JS366" s="978"/>
      <c r="JT366" s="978"/>
      <c r="JU366" s="978"/>
      <c r="JV366" s="978"/>
      <c r="JW366" s="978"/>
      <c r="JX366" s="978"/>
      <c r="JY366" s="978"/>
      <c r="JZ366" s="978"/>
      <c r="KA366" s="978"/>
      <c r="KB366" s="978"/>
      <c r="KC366" s="978"/>
      <c r="KD366" s="978"/>
      <c r="KE366" s="978"/>
      <c r="KF366" s="978"/>
      <c r="KG366" s="978"/>
      <c r="KH366" s="978"/>
      <c r="KI366" s="978"/>
      <c r="KJ366" s="978"/>
      <c r="KK366" s="978"/>
      <c r="KL366" s="978"/>
      <c r="KM366" s="978"/>
      <c r="KN366" s="978"/>
      <c r="KO366" s="978"/>
      <c r="KP366" s="978"/>
      <c r="KQ366" s="978"/>
      <c r="KR366" s="978"/>
      <c r="KS366" s="978"/>
      <c r="KT366" s="978"/>
      <c r="KU366" s="978"/>
      <c r="KV366" s="978"/>
      <c r="KW366" s="978"/>
      <c r="KX366" s="978"/>
      <c r="KY366" s="978"/>
      <c r="KZ366" s="978"/>
      <c r="LA366" s="978"/>
      <c r="LB366" s="978"/>
      <c r="LC366" s="978"/>
      <c r="LD366" s="978"/>
      <c r="LE366" s="978"/>
      <c r="LF366" s="978"/>
      <c r="LG366" s="978"/>
      <c r="LH366" s="978"/>
      <c r="LI366" s="978"/>
      <c r="LJ366" s="978"/>
      <c r="LK366" s="978"/>
      <c r="LL366" s="978"/>
      <c r="LM366" s="978"/>
      <c r="LN366" s="978"/>
      <c r="LO366" s="978"/>
      <c r="LP366" s="978"/>
      <c r="LQ366" s="978"/>
      <c r="LR366" s="978"/>
      <c r="LS366" s="978"/>
      <c r="LT366" s="978"/>
      <c r="LU366" s="978"/>
      <c r="LV366" s="978"/>
      <c r="LW366" s="978"/>
      <c r="LX366" s="978"/>
      <c r="LY366" s="978"/>
      <c r="LZ366" s="978"/>
      <c r="MA366" s="978"/>
      <c r="MB366" s="978"/>
      <c r="MC366" s="978"/>
      <c r="MD366" s="978"/>
      <c r="ME366" s="978"/>
      <c r="MF366" s="978"/>
      <c r="MG366" s="978"/>
      <c r="MH366" s="978"/>
      <c r="MI366" s="978"/>
      <c r="MJ366" s="978"/>
      <c r="MK366" s="978"/>
      <c r="ML366" s="978"/>
      <c r="MM366" s="978"/>
      <c r="MN366" s="978"/>
      <c r="MO366" s="978"/>
      <c r="MP366" s="978"/>
      <c r="MQ366" s="978"/>
      <c r="MR366" s="978"/>
      <c r="MS366" s="978"/>
      <c r="MT366" s="978"/>
      <c r="MU366" s="978"/>
      <c r="MV366" s="978"/>
      <c r="MW366" s="978"/>
      <c r="MX366" s="978"/>
      <c r="MY366" s="978"/>
      <c r="MZ366" s="978"/>
      <c r="NA366" s="978"/>
      <c r="NB366" s="978"/>
      <c r="NC366" s="978"/>
      <c r="ND366" s="978"/>
      <c r="NE366" s="978"/>
      <c r="NF366" s="978"/>
      <c r="NG366" s="978"/>
      <c r="NH366" s="978"/>
      <c r="NI366" s="978"/>
      <c r="NJ366" s="978"/>
      <c r="NK366" s="978"/>
      <c r="NL366" s="978"/>
      <c r="NM366" s="978"/>
      <c r="NN366" s="978"/>
      <c r="NO366" s="978"/>
      <c r="NP366" s="978"/>
      <c r="NQ366" s="978"/>
      <c r="NR366" s="978"/>
      <c r="NS366" s="978"/>
      <c r="NT366" s="978"/>
      <c r="NU366" s="978"/>
      <c r="NV366" s="978"/>
      <c r="NW366" s="978"/>
      <c r="NX366" s="978"/>
      <c r="NY366" s="978"/>
      <c r="NZ366" s="978"/>
      <c r="OA366" s="978"/>
      <c r="OB366" s="978"/>
      <c r="OC366" s="978"/>
      <c r="OD366" s="978"/>
      <c r="OE366" s="978"/>
      <c r="OF366" s="978"/>
      <c r="OG366" s="978"/>
      <c r="OH366" s="978"/>
      <c r="OI366" s="978"/>
      <c r="OJ366" s="978"/>
      <c r="OK366" s="978"/>
      <c r="OL366" s="978"/>
      <c r="OM366" s="978"/>
      <c r="ON366" s="978"/>
      <c r="OO366" s="978"/>
      <c r="OP366" s="978"/>
      <c r="OQ366" s="978"/>
      <c r="OR366" s="978"/>
      <c r="OS366" s="978"/>
      <c r="OT366" s="978"/>
      <c r="OU366" s="978"/>
      <c r="OV366" s="978"/>
      <c r="OW366" s="978"/>
      <c r="OX366" s="978"/>
      <c r="OY366" s="978"/>
      <c r="OZ366" s="978"/>
      <c r="PA366" s="978"/>
      <c r="PB366" s="978"/>
      <c r="PC366" s="978"/>
      <c r="PD366" s="978"/>
      <c r="PE366" s="978"/>
      <c r="PF366" s="978"/>
      <c r="PG366" s="978"/>
      <c r="PH366" s="978"/>
      <c r="PI366" s="978"/>
      <c r="PJ366" s="978"/>
      <c r="PK366" s="978"/>
      <c r="PL366" s="978"/>
      <c r="PM366" s="978"/>
      <c r="PN366" s="978"/>
      <c r="PO366" s="978"/>
      <c r="PP366" s="978"/>
      <c r="PQ366" s="978"/>
      <c r="PR366" s="978"/>
      <c r="PS366" s="978"/>
      <c r="PT366" s="978"/>
      <c r="PU366" s="978"/>
      <c r="PV366" s="978"/>
      <c r="PW366" s="978"/>
      <c r="PX366" s="978"/>
      <c r="PY366" s="978"/>
      <c r="PZ366" s="978"/>
      <c r="QA366" s="978"/>
      <c r="QB366" s="978"/>
      <c r="QC366" s="978"/>
      <c r="QD366" s="978"/>
      <c r="QE366" s="978"/>
      <c r="QF366" s="978"/>
      <c r="QG366" s="978"/>
      <c r="QH366" s="978"/>
      <c r="QI366" s="978"/>
      <c r="QJ366" s="978"/>
      <c r="QK366" s="978"/>
      <c r="QL366" s="978"/>
      <c r="QM366" s="978"/>
      <c r="QN366" s="978"/>
      <c r="QO366" s="978"/>
      <c r="QP366" s="978"/>
      <c r="QQ366" s="978"/>
      <c r="QR366" s="978"/>
      <c r="QS366" s="978"/>
      <c r="QT366" s="978"/>
      <c r="QU366" s="978"/>
      <c r="QV366" s="978"/>
      <c r="QW366" s="978"/>
      <c r="QX366" s="978"/>
      <c r="QY366" s="978"/>
      <c r="QZ366" s="978"/>
      <c r="RA366" s="978"/>
      <c r="RB366" s="274"/>
      <c r="RC366" s="274"/>
    </row>
    <row r="367" spans="112:471" ht="17.25">
      <c r="DH367" s="274"/>
      <c r="DI367" s="274"/>
      <c r="DJ367" s="978"/>
      <c r="DK367" s="978"/>
      <c r="DL367" s="978"/>
      <c r="DM367" s="978"/>
      <c r="DN367" s="978"/>
      <c r="DO367" s="978"/>
      <c r="DP367" s="978"/>
      <c r="DQ367" s="978"/>
      <c r="DR367" s="978"/>
      <c r="DS367" s="978"/>
      <c r="DT367" s="978"/>
      <c r="DU367" s="978"/>
      <c r="DV367" s="978"/>
      <c r="DW367" s="978"/>
      <c r="DX367" s="978"/>
      <c r="DY367" s="978"/>
      <c r="DZ367" s="978"/>
      <c r="EA367" s="978"/>
      <c r="EB367" s="978"/>
      <c r="EC367" s="978"/>
      <c r="ED367" s="978"/>
      <c r="EE367" s="978"/>
      <c r="EF367" s="978"/>
      <c r="EG367" s="978"/>
      <c r="EH367" s="978"/>
      <c r="EI367" s="978"/>
      <c r="EJ367" s="978"/>
      <c r="EK367" s="978"/>
      <c r="EL367" s="978"/>
      <c r="EM367" s="978"/>
      <c r="EN367" s="978"/>
      <c r="EO367" s="978"/>
      <c r="EP367" s="978"/>
      <c r="EQ367" s="978"/>
      <c r="ER367" s="978"/>
      <c r="ES367" s="978"/>
      <c r="ET367" s="978"/>
      <c r="EU367" s="978"/>
      <c r="EV367" s="978"/>
      <c r="EW367" s="978"/>
      <c r="EX367" s="978"/>
      <c r="EY367" s="978"/>
      <c r="EZ367" s="978"/>
      <c r="FA367" s="978"/>
      <c r="FB367" s="978"/>
      <c r="FC367" s="978"/>
      <c r="FD367" s="978"/>
      <c r="FE367" s="978"/>
      <c r="FF367" s="978"/>
      <c r="FG367" s="978"/>
      <c r="FH367" s="978"/>
      <c r="FI367" s="978"/>
      <c r="FJ367" s="978"/>
      <c r="FK367" s="978"/>
      <c r="FL367" s="978"/>
      <c r="FM367" s="978"/>
      <c r="FN367" s="978"/>
      <c r="FO367" s="978"/>
      <c r="FP367" s="978"/>
      <c r="FQ367" s="978"/>
      <c r="FR367" s="978"/>
      <c r="FS367" s="978"/>
      <c r="FT367" s="978"/>
      <c r="FU367" s="978"/>
      <c r="FV367" s="978"/>
      <c r="FW367" s="978"/>
      <c r="FX367" s="978"/>
      <c r="FY367" s="978"/>
      <c r="FZ367" s="978"/>
      <c r="GA367" s="978"/>
      <c r="GB367" s="978"/>
      <c r="GC367" s="978"/>
      <c r="GD367" s="978"/>
      <c r="GE367" s="978"/>
      <c r="GF367" s="978"/>
      <c r="GG367" s="978"/>
      <c r="GH367" s="978"/>
      <c r="GI367" s="978"/>
      <c r="GJ367" s="978"/>
      <c r="GK367" s="978"/>
      <c r="GL367" s="978"/>
      <c r="GM367" s="978"/>
      <c r="GN367" s="978"/>
      <c r="GO367" s="978"/>
      <c r="GP367" s="978"/>
      <c r="GQ367" s="978"/>
      <c r="GR367" s="978"/>
      <c r="GS367" s="978"/>
      <c r="GT367" s="978"/>
      <c r="GU367" s="978"/>
      <c r="GV367" s="978"/>
      <c r="GW367" s="978"/>
      <c r="GX367" s="978"/>
      <c r="GY367" s="978"/>
      <c r="GZ367" s="978"/>
      <c r="HA367" s="978"/>
      <c r="HB367" s="978"/>
      <c r="HC367" s="978"/>
      <c r="HD367" s="978"/>
      <c r="HE367" s="978"/>
      <c r="HF367" s="978"/>
      <c r="HG367" s="978"/>
      <c r="HH367" s="978"/>
      <c r="HI367" s="978"/>
      <c r="HJ367" s="978"/>
      <c r="HK367" s="978"/>
      <c r="HL367" s="978"/>
      <c r="HM367" s="978"/>
      <c r="HN367" s="978"/>
      <c r="HO367" s="978"/>
      <c r="HP367" s="978"/>
      <c r="HQ367" s="978"/>
      <c r="HR367" s="978"/>
      <c r="HS367" s="978"/>
      <c r="HT367" s="978"/>
      <c r="HU367" s="978"/>
      <c r="HV367" s="978"/>
      <c r="HW367" s="978"/>
      <c r="HX367" s="978"/>
      <c r="HY367" s="978"/>
      <c r="HZ367" s="978"/>
      <c r="IA367" s="978"/>
      <c r="IB367" s="978"/>
      <c r="IC367" s="978"/>
      <c r="ID367" s="978"/>
      <c r="IE367" s="978"/>
      <c r="IF367" s="978"/>
      <c r="IG367" s="978"/>
      <c r="IH367" s="978"/>
      <c r="II367" s="978"/>
      <c r="IJ367" s="978"/>
      <c r="IK367" s="978"/>
      <c r="IL367" s="978"/>
      <c r="IM367" s="978"/>
      <c r="IN367" s="978"/>
      <c r="IO367" s="978"/>
      <c r="IP367" s="978"/>
      <c r="IQ367" s="978"/>
      <c r="IR367" s="978"/>
      <c r="IS367" s="978"/>
      <c r="IT367" s="978"/>
      <c r="IU367" s="978"/>
      <c r="IV367" s="978"/>
      <c r="IW367" s="978"/>
      <c r="IX367" s="978"/>
      <c r="IY367" s="978"/>
      <c r="IZ367" s="978"/>
      <c r="JA367" s="978"/>
      <c r="JB367" s="978"/>
      <c r="JC367" s="978"/>
      <c r="JD367" s="978"/>
      <c r="JE367" s="978"/>
      <c r="JF367" s="978"/>
      <c r="JG367" s="978"/>
      <c r="JH367" s="978"/>
      <c r="JI367" s="978"/>
      <c r="JJ367" s="978"/>
      <c r="JK367" s="978"/>
      <c r="JL367" s="978"/>
      <c r="JM367" s="978"/>
      <c r="JN367" s="978"/>
      <c r="JO367" s="978"/>
      <c r="JP367" s="978"/>
      <c r="JQ367" s="978"/>
      <c r="JR367" s="978"/>
      <c r="JS367" s="978"/>
      <c r="JT367" s="978"/>
      <c r="JU367" s="978"/>
      <c r="JV367" s="978"/>
      <c r="JW367" s="978"/>
      <c r="JX367" s="978"/>
      <c r="JY367" s="978"/>
      <c r="JZ367" s="978"/>
      <c r="KA367" s="978"/>
      <c r="KB367" s="978"/>
      <c r="KC367" s="978"/>
      <c r="KD367" s="978"/>
      <c r="KE367" s="978"/>
      <c r="KF367" s="978"/>
      <c r="KG367" s="978"/>
      <c r="KH367" s="978"/>
      <c r="KI367" s="978"/>
      <c r="KJ367" s="978"/>
      <c r="KK367" s="978"/>
      <c r="KL367" s="978"/>
      <c r="KM367" s="978"/>
      <c r="KN367" s="978"/>
      <c r="KO367" s="978"/>
      <c r="KP367" s="978"/>
      <c r="KQ367" s="978"/>
      <c r="KR367" s="978"/>
      <c r="KS367" s="978"/>
      <c r="KT367" s="978"/>
      <c r="KU367" s="978"/>
      <c r="KV367" s="978"/>
      <c r="KW367" s="978"/>
      <c r="KX367" s="978"/>
      <c r="KY367" s="978"/>
      <c r="KZ367" s="978"/>
      <c r="LA367" s="978"/>
      <c r="LB367" s="978"/>
      <c r="LC367" s="978"/>
      <c r="LD367" s="978"/>
      <c r="LE367" s="978"/>
      <c r="LF367" s="978"/>
      <c r="LG367" s="978"/>
      <c r="LH367" s="978"/>
      <c r="LI367" s="978"/>
      <c r="LJ367" s="978"/>
      <c r="LK367" s="978"/>
      <c r="LL367" s="978"/>
      <c r="LM367" s="978"/>
      <c r="LN367" s="978"/>
      <c r="LO367" s="978"/>
      <c r="LP367" s="978"/>
      <c r="LQ367" s="978"/>
      <c r="LR367" s="978"/>
      <c r="LS367" s="978"/>
      <c r="LT367" s="978"/>
      <c r="LU367" s="978"/>
      <c r="LV367" s="978"/>
      <c r="LW367" s="978"/>
      <c r="LX367" s="978"/>
      <c r="LY367" s="978"/>
      <c r="LZ367" s="978"/>
      <c r="MA367" s="978"/>
      <c r="MB367" s="978"/>
      <c r="MC367" s="978"/>
      <c r="MD367" s="978"/>
      <c r="ME367" s="978"/>
      <c r="MF367" s="978"/>
      <c r="MG367" s="978"/>
      <c r="MH367" s="978"/>
      <c r="MI367" s="978"/>
      <c r="MJ367" s="978"/>
      <c r="MK367" s="978"/>
      <c r="ML367" s="978"/>
      <c r="MM367" s="978"/>
      <c r="MN367" s="978"/>
      <c r="MO367" s="978"/>
      <c r="MP367" s="978"/>
      <c r="MQ367" s="978"/>
      <c r="MR367" s="978"/>
      <c r="MS367" s="978"/>
      <c r="MT367" s="978"/>
      <c r="MU367" s="978"/>
      <c r="MV367" s="978"/>
      <c r="MW367" s="978"/>
      <c r="MX367" s="978"/>
      <c r="MY367" s="978"/>
      <c r="MZ367" s="978"/>
      <c r="NA367" s="978"/>
      <c r="NB367" s="978"/>
      <c r="NC367" s="978"/>
      <c r="ND367" s="978"/>
      <c r="NE367" s="978"/>
      <c r="NF367" s="978"/>
      <c r="NG367" s="978"/>
      <c r="NH367" s="978"/>
      <c r="NI367" s="978"/>
      <c r="NJ367" s="978"/>
      <c r="NK367" s="978"/>
      <c r="NL367" s="978"/>
      <c r="NM367" s="978"/>
      <c r="NN367" s="978"/>
      <c r="NO367" s="978"/>
      <c r="NP367" s="978"/>
      <c r="NQ367" s="978"/>
      <c r="NR367" s="978"/>
      <c r="NS367" s="978"/>
      <c r="NT367" s="978"/>
      <c r="NU367" s="978"/>
      <c r="NV367" s="978"/>
      <c r="NW367" s="978"/>
      <c r="NX367" s="978"/>
      <c r="NY367" s="978"/>
      <c r="NZ367" s="978"/>
      <c r="OA367" s="978"/>
      <c r="OB367" s="978"/>
      <c r="OC367" s="978"/>
      <c r="OD367" s="978"/>
      <c r="OE367" s="978"/>
      <c r="OF367" s="978"/>
      <c r="OG367" s="978"/>
      <c r="OH367" s="978"/>
      <c r="OI367" s="978"/>
      <c r="OJ367" s="978"/>
      <c r="OK367" s="978"/>
      <c r="OL367" s="978"/>
      <c r="OM367" s="978"/>
      <c r="ON367" s="978"/>
      <c r="OO367" s="978"/>
      <c r="OP367" s="978"/>
      <c r="OQ367" s="978"/>
      <c r="OR367" s="978"/>
      <c r="OS367" s="978"/>
      <c r="OT367" s="978"/>
      <c r="OU367" s="978"/>
      <c r="OV367" s="978"/>
      <c r="OW367" s="978"/>
      <c r="OX367" s="978"/>
      <c r="OY367" s="978"/>
      <c r="OZ367" s="978"/>
      <c r="PA367" s="978"/>
      <c r="PB367" s="978"/>
      <c r="PC367" s="978"/>
      <c r="PD367" s="978"/>
      <c r="PE367" s="978"/>
      <c r="PF367" s="978"/>
      <c r="PG367" s="978"/>
      <c r="PH367" s="978"/>
      <c r="PI367" s="978"/>
      <c r="PJ367" s="978"/>
      <c r="PK367" s="978"/>
      <c r="PL367" s="978"/>
      <c r="PM367" s="978"/>
      <c r="PN367" s="978"/>
      <c r="PO367" s="978"/>
      <c r="PP367" s="978"/>
      <c r="PQ367" s="978"/>
      <c r="PR367" s="978"/>
      <c r="PS367" s="978"/>
      <c r="PT367" s="978"/>
      <c r="PU367" s="978"/>
      <c r="PV367" s="978"/>
      <c r="PW367" s="978"/>
      <c r="PX367" s="978"/>
      <c r="PY367" s="978"/>
      <c r="PZ367" s="978"/>
      <c r="QA367" s="978"/>
      <c r="QB367" s="978"/>
      <c r="QC367" s="978"/>
      <c r="QD367" s="978"/>
      <c r="QE367" s="978"/>
      <c r="QF367" s="978"/>
      <c r="QG367" s="978"/>
      <c r="QH367" s="978"/>
      <c r="QI367" s="978"/>
      <c r="QJ367" s="978"/>
      <c r="QK367" s="978"/>
      <c r="QL367" s="978"/>
      <c r="QM367" s="978"/>
      <c r="QN367" s="978"/>
      <c r="QO367" s="978"/>
      <c r="QP367" s="978"/>
      <c r="QQ367" s="978"/>
      <c r="QR367" s="978"/>
      <c r="QS367" s="978"/>
      <c r="QT367" s="978"/>
      <c r="QU367" s="978"/>
      <c r="QV367" s="978"/>
      <c r="QW367" s="978"/>
      <c r="QX367" s="978"/>
      <c r="QY367" s="978"/>
      <c r="QZ367" s="978"/>
      <c r="RA367" s="978"/>
      <c r="RB367" s="274"/>
      <c r="RC367" s="274"/>
    </row>
    <row r="368" spans="112:471" ht="17.25">
      <c r="DH368" s="274"/>
      <c r="DI368" s="274"/>
      <c r="DJ368" s="978"/>
      <c r="DK368" s="978"/>
      <c r="DL368" s="978"/>
      <c r="DM368" s="978"/>
      <c r="DN368" s="978"/>
      <c r="DO368" s="978"/>
      <c r="DP368" s="978"/>
      <c r="DQ368" s="978"/>
      <c r="DR368" s="978"/>
      <c r="DS368" s="978"/>
      <c r="DT368" s="978"/>
      <c r="DU368" s="978"/>
      <c r="DV368" s="978"/>
      <c r="DW368" s="978"/>
      <c r="DX368" s="978"/>
      <c r="DY368" s="978"/>
      <c r="DZ368" s="978"/>
      <c r="EA368" s="978"/>
      <c r="EB368" s="978"/>
      <c r="EC368" s="978"/>
      <c r="ED368" s="978"/>
      <c r="EE368" s="978"/>
      <c r="EF368" s="978"/>
      <c r="EG368" s="978"/>
      <c r="EH368" s="978"/>
      <c r="EI368" s="978"/>
      <c r="EJ368" s="978"/>
      <c r="EK368" s="978"/>
      <c r="EL368" s="978"/>
      <c r="EM368" s="978"/>
      <c r="EN368" s="978"/>
      <c r="EO368" s="978"/>
      <c r="EP368" s="978"/>
      <c r="EQ368" s="978"/>
      <c r="ER368" s="978"/>
      <c r="ES368" s="978"/>
      <c r="ET368" s="978"/>
      <c r="EU368" s="978"/>
      <c r="EV368" s="978"/>
      <c r="EW368" s="978"/>
      <c r="EX368" s="978"/>
      <c r="EY368" s="978"/>
      <c r="EZ368" s="978"/>
      <c r="FA368" s="978"/>
      <c r="FB368" s="978"/>
      <c r="FC368" s="978"/>
      <c r="FD368" s="978"/>
      <c r="FE368" s="978"/>
      <c r="FF368" s="978"/>
      <c r="FG368" s="978"/>
      <c r="FH368" s="978"/>
      <c r="FI368" s="978"/>
      <c r="FJ368" s="978"/>
      <c r="FK368" s="978"/>
      <c r="FL368" s="978"/>
      <c r="FM368" s="978"/>
      <c r="FN368" s="978"/>
      <c r="FO368" s="978"/>
      <c r="FP368" s="978"/>
      <c r="FQ368" s="978"/>
      <c r="FR368" s="978"/>
      <c r="FS368" s="978"/>
      <c r="FT368" s="978"/>
      <c r="FU368" s="978"/>
      <c r="FV368" s="978"/>
      <c r="FW368" s="978"/>
      <c r="FX368" s="978"/>
      <c r="FY368" s="978"/>
      <c r="FZ368" s="978"/>
      <c r="GA368" s="978"/>
      <c r="GB368" s="978"/>
      <c r="GC368" s="978"/>
      <c r="GD368" s="978"/>
      <c r="GE368" s="978"/>
      <c r="GF368" s="978"/>
      <c r="GG368" s="978"/>
      <c r="GH368" s="978"/>
      <c r="GI368" s="978"/>
      <c r="GJ368" s="978"/>
      <c r="GK368" s="978"/>
      <c r="GL368" s="978"/>
      <c r="GM368" s="978"/>
      <c r="GN368" s="978"/>
      <c r="GO368" s="978"/>
      <c r="GP368" s="978"/>
      <c r="GQ368" s="978"/>
      <c r="GR368" s="978"/>
      <c r="GS368" s="978"/>
      <c r="GT368" s="978"/>
      <c r="GU368" s="978"/>
      <c r="GV368" s="978"/>
      <c r="GW368" s="978"/>
      <c r="GX368" s="978"/>
      <c r="GY368" s="978"/>
      <c r="GZ368" s="978"/>
      <c r="HA368" s="978"/>
      <c r="HB368" s="978"/>
      <c r="HC368" s="978"/>
      <c r="HD368" s="978"/>
      <c r="HE368" s="978"/>
      <c r="HF368" s="978"/>
      <c r="HG368" s="978"/>
      <c r="HH368" s="978"/>
      <c r="HI368" s="978"/>
      <c r="HJ368" s="978"/>
      <c r="HK368" s="978"/>
      <c r="HL368" s="978"/>
      <c r="HM368" s="978"/>
      <c r="HN368" s="978"/>
      <c r="HO368" s="978"/>
      <c r="HP368" s="978"/>
      <c r="HQ368" s="978"/>
      <c r="HR368" s="978"/>
      <c r="HS368" s="978"/>
      <c r="HT368" s="978"/>
      <c r="HU368" s="978"/>
      <c r="HV368" s="978"/>
      <c r="HW368" s="978"/>
      <c r="HX368" s="978"/>
      <c r="HY368" s="978"/>
      <c r="HZ368" s="978"/>
      <c r="IA368" s="978"/>
      <c r="IB368" s="978"/>
      <c r="IC368" s="978"/>
      <c r="ID368" s="978"/>
      <c r="IE368" s="978"/>
      <c r="IF368" s="978"/>
      <c r="IG368" s="978"/>
      <c r="IH368" s="978"/>
      <c r="II368" s="978"/>
      <c r="IJ368" s="978"/>
      <c r="IK368" s="978"/>
      <c r="IL368" s="978"/>
      <c r="IM368" s="978"/>
      <c r="IN368" s="978"/>
      <c r="IO368" s="978"/>
      <c r="IP368" s="978"/>
      <c r="IQ368" s="978"/>
      <c r="IR368" s="978"/>
      <c r="IS368" s="978"/>
      <c r="IT368" s="978"/>
      <c r="IU368" s="978"/>
      <c r="IV368" s="978"/>
      <c r="IW368" s="978"/>
      <c r="IX368" s="978"/>
      <c r="IY368" s="978"/>
      <c r="IZ368" s="978"/>
      <c r="JA368" s="978"/>
      <c r="JB368" s="978"/>
      <c r="JC368" s="978"/>
      <c r="JD368" s="978"/>
      <c r="JE368" s="978"/>
      <c r="JF368" s="978"/>
      <c r="JG368" s="978"/>
      <c r="JH368" s="978"/>
      <c r="JI368" s="978"/>
      <c r="JJ368" s="978"/>
      <c r="JK368" s="978"/>
      <c r="JL368" s="978"/>
      <c r="JM368" s="978"/>
      <c r="JN368" s="978"/>
      <c r="JO368" s="978"/>
      <c r="JP368" s="978"/>
      <c r="JQ368" s="978"/>
      <c r="JR368" s="978"/>
      <c r="JS368" s="978"/>
      <c r="JT368" s="978"/>
      <c r="JU368" s="978"/>
      <c r="JV368" s="978"/>
      <c r="JW368" s="978"/>
      <c r="JX368" s="978"/>
      <c r="JY368" s="978"/>
      <c r="JZ368" s="978"/>
      <c r="KA368" s="978"/>
      <c r="KB368" s="978"/>
      <c r="KC368" s="978"/>
      <c r="KD368" s="978"/>
      <c r="KE368" s="978"/>
      <c r="KF368" s="978"/>
      <c r="KG368" s="978"/>
      <c r="KH368" s="978"/>
      <c r="KI368" s="978"/>
      <c r="KJ368" s="978"/>
      <c r="KK368" s="978"/>
      <c r="KL368" s="978"/>
      <c r="KM368" s="978"/>
      <c r="KN368" s="978"/>
      <c r="KO368" s="978"/>
      <c r="KP368" s="978"/>
      <c r="KQ368" s="978"/>
      <c r="KR368" s="978"/>
      <c r="KS368" s="978"/>
      <c r="KT368" s="978"/>
      <c r="KU368" s="978"/>
      <c r="KV368" s="978"/>
      <c r="KW368" s="978"/>
      <c r="KX368" s="978"/>
      <c r="KY368" s="978"/>
      <c r="KZ368" s="978"/>
      <c r="LA368" s="978"/>
      <c r="LB368" s="978"/>
      <c r="LC368" s="978"/>
      <c r="LD368" s="978"/>
      <c r="LE368" s="978"/>
      <c r="LF368" s="978"/>
      <c r="LG368" s="978"/>
      <c r="LH368" s="978"/>
      <c r="LI368" s="978"/>
      <c r="LJ368" s="978"/>
      <c r="LK368" s="978"/>
      <c r="LL368" s="978"/>
      <c r="LM368" s="978"/>
      <c r="LN368" s="978"/>
      <c r="LO368" s="978"/>
      <c r="LP368" s="978"/>
      <c r="LQ368" s="978"/>
      <c r="LR368" s="978"/>
      <c r="LS368" s="978"/>
      <c r="LT368" s="978"/>
      <c r="LU368" s="978"/>
      <c r="LV368" s="978"/>
      <c r="LW368" s="978"/>
      <c r="LX368" s="978"/>
      <c r="LY368" s="978"/>
      <c r="LZ368" s="978"/>
      <c r="MA368" s="978"/>
      <c r="MB368" s="978"/>
      <c r="MC368" s="978"/>
      <c r="MD368" s="978"/>
      <c r="ME368" s="978"/>
      <c r="MF368" s="978"/>
      <c r="MG368" s="978"/>
      <c r="MH368" s="978"/>
      <c r="MI368" s="978"/>
      <c r="MJ368" s="978"/>
      <c r="MK368" s="978"/>
      <c r="ML368" s="978"/>
      <c r="MM368" s="978"/>
      <c r="MN368" s="978"/>
      <c r="MO368" s="978"/>
      <c r="MP368" s="978"/>
      <c r="MQ368" s="978"/>
      <c r="MR368" s="978"/>
      <c r="MS368" s="978"/>
      <c r="MT368" s="978"/>
      <c r="MU368" s="978"/>
      <c r="MV368" s="978"/>
      <c r="MW368" s="978"/>
      <c r="MX368" s="978"/>
      <c r="MY368" s="978"/>
      <c r="MZ368" s="978"/>
      <c r="NA368" s="978"/>
      <c r="NB368" s="978"/>
      <c r="NC368" s="978"/>
      <c r="ND368" s="978"/>
      <c r="NE368" s="978"/>
      <c r="NF368" s="978"/>
      <c r="NG368" s="978"/>
      <c r="NH368" s="978"/>
      <c r="NI368" s="978"/>
      <c r="NJ368" s="978"/>
      <c r="NK368" s="978"/>
      <c r="NL368" s="978"/>
      <c r="NM368" s="978"/>
      <c r="NN368" s="978"/>
      <c r="NO368" s="978"/>
      <c r="NP368" s="978"/>
      <c r="NQ368" s="978"/>
      <c r="NR368" s="978"/>
      <c r="NS368" s="978"/>
      <c r="NT368" s="978"/>
      <c r="NU368" s="978"/>
      <c r="NV368" s="978"/>
      <c r="NW368" s="978"/>
      <c r="NX368" s="978"/>
      <c r="NY368" s="978"/>
      <c r="NZ368" s="978"/>
      <c r="OA368" s="978"/>
      <c r="OB368" s="978"/>
      <c r="OC368" s="978"/>
      <c r="OD368" s="978"/>
      <c r="OE368" s="978"/>
      <c r="OF368" s="978"/>
      <c r="OG368" s="978"/>
      <c r="OH368" s="978"/>
      <c r="OI368" s="978"/>
      <c r="OJ368" s="978"/>
      <c r="OK368" s="978"/>
      <c r="OL368" s="978"/>
      <c r="OM368" s="978"/>
      <c r="ON368" s="978"/>
      <c r="OO368" s="978"/>
      <c r="OP368" s="978"/>
      <c r="OQ368" s="978"/>
      <c r="OR368" s="978"/>
      <c r="OS368" s="978"/>
      <c r="OT368" s="978"/>
      <c r="OU368" s="978"/>
      <c r="OV368" s="978"/>
      <c r="OW368" s="978"/>
      <c r="OX368" s="978"/>
      <c r="OY368" s="978"/>
      <c r="OZ368" s="978"/>
      <c r="PA368" s="978"/>
      <c r="PB368" s="978"/>
      <c r="PC368" s="978"/>
      <c r="PD368" s="978"/>
      <c r="PE368" s="978"/>
      <c r="PF368" s="978"/>
      <c r="PG368" s="978"/>
      <c r="PH368" s="978"/>
      <c r="PI368" s="978"/>
      <c r="PJ368" s="978"/>
      <c r="PK368" s="978"/>
      <c r="PL368" s="978"/>
      <c r="PM368" s="978"/>
      <c r="PN368" s="978"/>
      <c r="PO368" s="978"/>
      <c r="PP368" s="978"/>
      <c r="PQ368" s="978"/>
      <c r="PR368" s="978"/>
      <c r="PS368" s="978"/>
      <c r="PT368" s="978"/>
      <c r="PU368" s="978"/>
      <c r="PV368" s="978"/>
      <c r="PW368" s="978"/>
      <c r="PX368" s="978"/>
      <c r="PY368" s="978"/>
      <c r="PZ368" s="978"/>
      <c r="QA368" s="978"/>
      <c r="QB368" s="978"/>
      <c r="QC368" s="978"/>
      <c r="QD368" s="978"/>
      <c r="QE368" s="978"/>
      <c r="QF368" s="978"/>
      <c r="QG368" s="978"/>
      <c r="QH368" s="978"/>
      <c r="QI368" s="978"/>
      <c r="QJ368" s="978"/>
      <c r="QK368" s="978"/>
      <c r="QL368" s="978"/>
      <c r="QM368" s="978"/>
      <c r="QN368" s="978"/>
      <c r="QO368" s="978"/>
      <c r="QP368" s="978"/>
      <c r="QQ368" s="978"/>
      <c r="QR368" s="978"/>
      <c r="QS368" s="978"/>
      <c r="QT368" s="978"/>
      <c r="QU368" s="978"/>
      <c r="QV368" s="978"/>
      <c r="QW368" s="978"/>
      <c r="QX368" s="978"/>
      <c r="QY368" s="978"/>
      <c r="QZ368" s="978"/>
      <c r="RA368" s="978"/>
      <c r="RB368" s="274"/>
      <c r="RC368" s="274"/>
    </row>
    <row r="369" spans="112:471" ht="17.25">
      <c r="DH369" s="274"/>
      <c r="DI369" s="274"/>
      <c r="DJ369" s="978"/>
      <c r="DK369" s="978"/>
      <c r="DL369" s="978"/>
      <c r="DM369" s="978"/>
      <c r="DN369" s="978"/>
      <c r="DO369" s="978"/>
      <c r="DP369" s="978"/>
      <c r="DQ369" s="978"/>
      <c r="DR369" s="978"/>
      <c r="DS369" s="978"/>
      <c r="DT369" s="978"/>
      <c r="DU369" s="978"/>
      <c r="DV369" s="978"/>
      <c r="DW369" s="978"/>
      <c r="DX369" s="978"/>
      <c r="DY369" s="978"/>
      <c r="DZ369" s="978"/>
      <c r="EA369" s="978"/>
      <c r="EB369" s="978"/>
      <c r="EC369" s="978"/>
      <c r="ED369" s="978"/>
      <c r="EE369" s="978"/>
      <c r="EF369" s="978"/>
      <c r="EG369" s="978"/>
      <c r="EH369" s="978"/>
      <c r="EI369" s="978"/>
      <c r="EJ369" s="978"/>
      <c r="EK369" s="978"/>
      <c r="EL369" s="978"/>
      <c r="EM369" s="978"/>
      <c r="EN369" s="978"/>
      <c r="EO369" s="978"/>
      <c r="EP369" s="978"/>
      <c r="EQ369" s="978"/>
      <c r="ER369" s="978"/>
      <c r="ES369" s="978"/>
      <c r="ET369" s="978"/>
      <c r="EU369" s="978"/>
      <c r="EV369" s="978"/>
      <c r="EW369" s="978"/>
      <c r="EX369" s="978"/>
      <c r="EY369" s="978"/>
      <c r="EZ369" s="978"/>
      <c r="FA369" s="978"/>
      <c r="FB369" s="978"/>
      <c r="FC369" s="978"/>
      <c r="FD369" s="978"/>
      <c r="FE369" s="978"/>
      <c r="FF369" s="978"/>
      <c r="FG369" s="978"/>
      <c r="FH369" s="978"/>
      <c r="FI369" s="978"/>
      <c r="FJ369" s="978"/>
      <c r="FK369" s="978"/>
      <c r="FL369" s="978"/>
      <c r="FM369" s="978"/>
      <c r="FN369" s="978"/>
      <c r="FO369" s="978"/>
      <c r="FP369" s="978"/>
      <c r="FQ369" s="978"/>
      <c r="FR369" s="978"/>
      <c r="FS369" s="978"/>
      <c r="FT369" s="978"/>
      <c r="FU369" s="978"/>
      <c r="FV369" s="978"/>
      <c r="FW369" s="978"/>
      <c r="FX369" s="978"/>
      <c r="FY369" s="978"/>
      <c r="FZ369" s="978"/>
      <c r="GA369" s="978"/>
      <c r="GB369" s="978"/>
      <c r="GC369" s="978"/>
      <c r="GD369" s="978"/>
      <c r="GE369" s="978"/>
      <c r="GF369" s="978"/>
      <c r="GG369" s="978"/>
      <c r="GH369" s="978"/>
      <c r="GI369" s="978"/>
      <c r="GJ369" s="978"/>
      <c r="GK369" s="978"/>
      <c r="GL369" s="978"/>
      <c r="GM369" s="978"/>
      <c r="GN369" s="978"/>
      <c r="GO369" s="978"/>
      <c r="GP369" s="978"/>
      <c r="GQ369" s="978"/>
      <c r="GR369" s="978"/>
      <c r="GS369" s="978"/>
      <c r="GT369" s="978"/>
      <c r="GU369" s="978"/>
      <c r="GV369" s="978"/>
      <c r="GW369" s="978"/>
      <c r="GX369" s="978"/>
      <c r="GY369" s="978"/>
      <c r="GZ369" s="978"/>
      <c r="HA369" s="978"/>
      <c r="HB369" s="978"/>
      <c r="HC369" s="978"/>
      <c r="HD369" s="978"/>
      <c r="HE369" s="978"/>
      <c r="HF369" s="978"/>
      <c r="HG369" s="978"/>
      <c r="HH369" s="978"/>
      <c r="HI369" s="978"/>
      <c r="HJ369" s="978"/>
      <c r="HK369" s="978"/>
      <c r="HL369" s="978"/>
      <c r="HM369" s="978"/>
      <c r="HN369" s="978"/>
      <c r="HO369" s="978"/>
      <c r="HP369" s="978"/>
      <c r="HQ369" s="978"/>
      <c r="HR369" s="978"/>
      <c r="HS369" s="978"/>
      <c r="HT369" s="978"/>
      <c r="HU369" s="978"/>
      <c r="HV369" s="978"/>
      <c r="HW369" s="978"/>
      <c r="HX369" s="978"/>
      <c r="HY369" s="978"/>
      <c r="HZ369" s="978"/>
      <c r="IA369" s="978"/>
      <c r="IB369" s="978"/>
      <c r="IC369" s="978"/>
      <c r="ID369" s="978"/>
      <c r="IE369" s="978"/>
      <c r="IF369" s="978"/>
      <c r="IG369" s="978"/>
      <c r="IH369" s="978"/>
      <c r="II369" s="978"/>
      <c r="IJ369" s="978"/>
      <c r="IK369" s="978"/>
      <c r="IL369" s="978"/>
      <c r="IM369" s="978"/>
      <c r="IN369" s="978"/>
      <c r="IO369" s="978"/>
      <c r="IP369" s="978"/>
      <c r="IQ369" s="978"/>
      <c r="IR369" s="978"/>
      <c r="IS369" s="978"/>
      <c r="IT369" s="978"/>
      <c r="IU369" s="978"/>
      <c r="IV369" s="978"/>
      <c r="IW369" s="978"/>
      <c r="IX369" s="978"/>
      <c r="IY369" s="978"/>
      <c r="IZ369" s="978"/>
      <c r="JA369" s="978"/>
      <c r="JB369" s="978"/>
      <c r="JC369" s="978"/>
      <c r="JD369" s="978"/>
      <c r="JE369" s="978"/>
      <c r="JF369" s="978"/>
      <c r="JG369" s="978"/>
      <c r="JH369" s="978"/>
      <c r="JI369" s="978"/>
      <c r="JJ369" s="978"/>
      <c r="JK369" s="978"/>
      <c r="JL369" s="978"/>
      <c r="JM369" s="978"/>
      <c r="JN369" s="978"/>
      <c r="JO369" s="978"/>
      <c r="JP369" s="978"/>
      <c r="JQ369" s="978"/>
      <c r="JR369" s="978"/>
      <c r="JS369" s="978"/>
      <c r="JT369" s="978"/>
      <c r="JU369" s="978"/>
      <c r="JV369" s="978"/>
      <c r="JW369" s="978"/>
      <c r="JX369" s="978"/>
      <c r="JY369" s="978"/>
      <c r="JZ369" s="978"/>
      <c r="KA369" s="978"/>
      <c r="KB369" s="978"/>
      <c r="KC369" s="978"/>
      <c r="KD369" s="978"/>
      <c r="KE369" s="978"/>
      <c r="KF369" s="978"/>
      <c r="KG369" s="978"/>
      <c r="KH369" s="978"/>
      <c r="KI369" s="978"/>
      <c r="KJ369" s="978"/>
      <c r="KK369" s="978"/>
      <c r="KL369" s="978"/>
      <c r="KM369" s="978"/>
      <c r="KN369" s="978"/>
      <c r="KO369" s="978"/>
      <c r="KP369" s="978"/>
      <c r="KQ369" s="978"/>
      <c r="KR369" s="978"/>
      <c r="KS369" s="978"/>
      <c r="KT369" s="978"/>
      <c r="KU369" s="978"/>
      <c r="KV369" s="978"/>
      <c r="KW369" s="978"/>
      <c r="KX369" s="978"/>
      <c r="KY369" s="978"/>
      <c r="KZ369" s="978"/>
      <c r="LA369" s="978"/>
      <c r="LB369" s="978"/>
      <c r="LC369" s="978"/>
      <c r="LD369" s="978"/>
      <c r="LE369" s="978"/>
      <c r="LF369" s="978"/>
      <c r="LG369" s="978"/>
      <c r="LH369" s="978"/>
      <c r="LI369" s="978"/>
      <c r="LJ369" s="978"/>
      <c r="LK369" s="978"/>
      <c r="LL369" s="978"/>
      <c r="LM369" s="978"/>
      <c r="LN369" s="978"/>
      <c r="LO369" s="978"/>
      <c r="LP369" s="978"/>
      <c r="LQ369" s="978"/>
      <c r="LR369" s="978"/>
      <c r="LS369" s="978"/>
      <c r="LT369" s="978"/>
      <c r="LU369" s="978"/>
      <c r="LV369" s="978"/>
      <c r="LW369" s="978"/>
      <c r="LX369" s="978"/>
      <c r="LY369" s="978"/>
      <c r="LZ369" s="978"/>
      <c r="MA369" s="978"/>
      <c r="MB369" s="978"/>
      <c r="MC369" s="978"/>
      <c r="MD369" s="978"/>
      <c r="ME369" s="978"/>
      <c r="MF369" s="978"/>
      <c r="MG369" s="978"/>
      <c r="MH369" s="978"/>
      <c r="MI369" s="978"/>
      <c r="MJ369" s="978"/>
      <c r="MK369" s="978"/>
      <c r="ML369" s="978"/>
      <c r="MM369" s="978"/>
      <c r="MN369" s="978"/>
      <c r="MO369" s="978"/>
      <c r="MP369" s="978"/>
      <c r="MQ369" s="978"/>
      <c r="MR369" s="978"/>
      <c r="MS369" s="978"/>
      <c r="MT369" s="978"/>
      <c r="MU369" s="978"/>
      <c r="MV369" s="978"/>
      <c r="MW369" s="978"/>
      <c r="MX369" s="978"/>
      <c r="MY369" s="978"/>
      <c r="MZ369" s="978"/>
      <c r="NA369" s="978"/>
      <c r="NB369" s="978"/>
      <c r="NC369" s="978"/>
      <c r="ND369" s="978"/>
      <c r="NE369" s="978"/>
      <c r="NF369" s="978"/>
      <c r="NG369" s="978"/>
      <c r="NH369" s="978"/>
      <c r="NI369" s="978"/>
      <c r="NJ369" s="978"/>
      <c r="NK369" s="978"/>
      <c r="NL369" s="978"/>
      <c r="NM369" s="978"/>
      <c r="NN369" s="978"/>
      <c r="NO369" s="978"/>
      <c r="NP369" s="978"/>
      <c r="NQ369" s="978"/>
      <c r="NR369" s="978"/>
      <c r="NS369" s="978"/>
      <c r="NT369" s="978"/>
      <c r="NU369" s="978"/>
      <c r="NV369" s="978"/>
      <c r="NW369" s="978"/>
      <c r="NX369" s="978"/>
      <c r="NY369" s="978"/>
      <c r="NZ369" s="978"/>
      <c r="OA369" s="978"/>
      <c r="OB369" s="978"/>
      <c r="OC369" s="978"/>
      <c r="OD369" s="978"/>
      <c r="OE369" s="978"/>
      <c r="OF369" s="978"/>
      <c r="OG369" s="978"/>
      <c r="OH369" s="978"/>
      <c r="OI369" s="978"/>
      <c r="OJ369" s="978"/>
      <c r="OK369" s="978"/>
      <c r="OL369" s="978"/>
      <c r="OM369" s="978"/>
      <c r="ON369" s="978"/>
      <c r="OO369" s="978"/>
      <c r="OP369" s="978"/>
      <c r="OQ369" s="978"/>
      <c r="OR369" s="978"/>
      <c r="OS369" s="978"/>
      <c r="OT369" s="978"/>
      <c r="OU369" s="978"/>
      <c r="OV369" s="978"/>
      <c r="OW369" s="978"/>
      <c r="OX369" s="978"/>
      <c r="OY369" s="978"/>
      <c r="OZ369" s="978"/>
      <c r="PA369" s="978"/>
      <c r="PB369" s="978"/>
      <c r="PC369" s="978"/>
      <c r="PD369" s="978"/>
      <c r="PE369" s="978"/>
      <c r="PF369" s="978"/>
      <c r="PG369" s="978"/>
      <c r="PH369" s="978"/>
      <c r="PI369" s="978"/>
      <c r="PJ369" s="978"/>
      <c r="PK369" s="978"/>
      <c r="PL369" s="978"/>
      <c r="PM369" s="978"/>
      <c r="PN369" s="978"/>
      <c r="PO369" s="978"/>
      <c r="PP369" s="978"/>
      <c r="PQ369" s="978"/>
      <c r="PR369" s="978"/>
      <c r="PS369" s="978"/>
      <c r="PT369" s="978"/>
      <c r="PU369" s="978"/>
      <c r="PV369" s="978"/>
      <c r="PW369" s="978"/>
      <c r="PX369" s="978"/>
      <c r="PY369" s="978"/>
      <c r="PZ369" s="978"/>
      <c r="QA369" s="978"/>
      <c r="QB369" s="978"/>
      <c r="QC369" s="978"/>
      <c r="QD369" s="978"/>
      <c r="QE369" s="978"/>
      <c r="QF369" s="978"/>
      <c r="QG369" s="978"/>
      <c r="QH369" s="978"/>
      <c r="QI369" s="978"/>
      <c r="QJ369" s="978"/>
      <c r="QK369" s="978"/>
      <c r="QL369" s="978"/>
      <c r="QM369" s="978"/>
      <c r="QN369" s="978"/>
      <c r="QO369" s="978"/>
      <c r="QP369" s="978"/>
      <c r="QQ369" s="978"/>
      <c r="QR369" s="978"/>
      <c r="QS369" s="978"/>
      <c r="QT369" s="978"/>
      <c r="QU369" s="978"/>
      <c r="QV369" s="978"/>
      <c r="QW369" s="978"/>
      <c r="QX369" s="978"/>
      <c r="QY369" s="978"/>
      <c r="QZ369" s="978"/>
      <c r="RA369" s="978"/>
      <c r="RB369" s="274"/>
      <c r="RC369" s="274"/>
    </row>
    <row r="370" spans="112:471" ht="17.25">
      <c r="DH370" s="274"/>
      <c r="DI370" s="274"/>
      <c r="DJ370" s="978"/>
      <c r="DK370" s="978"/>
      <c r="DL370" s="978"/>
      <c r="DM370" s="978"/>
      <c r="DN370" s="978"/>
      <c r="DO370" s="978"/>
      <c r="DP370" s="978"/>
      <c r="DQ370" s="978"/>
      <c r="DR370" s="978"/>
      <c r="DS370" s="978"/>
      <c r="DT370" s="978"/>
      <c r="DU370" s="978"/>
      <c r="DV370" s="978"/>
      <c r="DW370" s="978"/>
      <c r="DX370" s="978"/>
      <c r="DY370" s="978"/>
      <c r="DZ370" s="978"/>
      <c r="EA370" s="978"/>
      <c r="EB370" s="978"/>
      <c r="EC370" s="978"/>
      <c r="ED370" s="978"/>
      <c r="EE370" s="978"/>
      <c r="EF370" s="978"/>
      <c r="EG370" s="978"/>
      <c r="EH370" s="978"/>
      <c r="EI370" s="978"/>
      <c r="EJ370" s="978"/>
      <c r="EK370" s="978"/>
      <c r="EL370" s="978"/>
      <c r="EM370" s="978"/>
      <c r="EN370" s="978"/>
      <c r="EO370" s="978"/>
      <c r="EP370" s="978"/>
      <c r="EQ370" s="978"/>
      <c r="ER370" s="978"/>
      <c r="ES370" s="978"/>
      <c r="ET370" s="978"/>
      <c r="EU370" s="978"/>
      <c r="EV370" s="978"/>
      <c r="EW370" s="978"/>
      <c r="EX370" s="978"/>
      <c r="EY370" s="978"/>
      <c r="EZ370" s="978"/>
      <c r="FA370" s="978"/>
      <c r="FB370" s="978"/>
      <c r="FC370" s="978"/>
      <c r="FD370" s="978"/>
      <c r="FE370" s="978"/>
      <c r="FF370" s="978"/>
      <c r="FG370" s="978"/>
      <c r="FH370" s="978"/>
      <c r="FI370" s="978"/>
      <c r="FJ370" s="978"/>
      <c r="FK370" s="978"/>
      <c r="FL370" s="978"/>
      <c r="FM370" s="978"/>
      <c r="FN370" s="978"/>
      <c r="FO370" s="978"/>
      <c r="FP370" s="978"/>
      <c r="FQ370" s="978"/>
      <c r="FR370" s="978"/>
      <c r="FS370" s="978"/>
      <c r="FT370" s="978"/>
      <c r="FU370" s="978"/>
      <c r="FV370" s="978"/>
      <c r="FW370" s="978"/>
      <c r="FX370" s="978"/>
      <c r="FY370" s="978"/>
      <c r="FZ370" s="978"/>
      <c r="GA370" s="978"/>
      <c r="GB370" s="978"/>
      <c r="GC370" s="978"/>
      <c r="GD370" s="978"/>
      <c r="GE370" s="978"/>
      <c r="GF370" s="978"/>
      <c r="GG370" s="978"/>
      <c r="GH370" s="978"/>
      <c r="GI370" s="978"/>
      <c r="GJ370" s="978"/>
      <c r="GK370" s="978"/>
      <c r="GL370" s="978"/>
      <c r="GM370" s="978"/>
      <c r="GN370" s="978"/>
      <c r="GO370" s="978"/>
      <c r="GP370" s="978"/>
      <c r="GQ370" s="978"/>
      <c r="GR370" s="978"/>
      <c r="GS370" s="978"/>
      <c r="GT370" s="978"/>
      <c r="GU370" s="978"/>
      <c r="GV370" s="978"/>
      <c r="GW370" s="978"/>
      <c r="GX370" s="978"/>
      <c r="GY370" s="978"/>
      <c r="GZ370" s="978"/>
      <c r="HA370" s="978"/>
      <c r="HB370" s="978"/>
      <c r="HC370" s="978"/>
      <c r="HD370" s="978"/>
      <c r="HE370" s="978"/>
      <c r="HF370" s="978"/>
      <c r="HG370" s="978"/>
      <c r="HH370" s="978"/>
      <c r="HI370" s="978"/>
      <c r="HJ370" s="978"/>
      <c r="HK370" s="978"/>
      <c r="HL370" s="978"/>
      <c r="HM370" s="978"/>
      <c r="HN370" s="978"/>
      <c r="HO370" s="978"/>
      <c r="HP370" s="978"/>
      <c r="HQ370" s="978"/>
      <c r="HR370" s="978"/>
      <c r="HS370" s="978"/>
      <c r="HT370" s="978"/>
      <c r="HU370" s="978"/>
      <c r="HV370" s="978"/>
      <c r="HW370" s="978"/>
      <c r="HX370" s="978"/>
      <c r="HY370" s="978"/>
      <c r="HZ370" s="978"/>
      <c r="IA370" s="978"/>
      <c r="IB370" s="978"/>
      <c r="IC370" s="978"/>
      <c r="ID370" s="978"/>
      <c r="IE370" s="978"/>
      <c r="IF370" s="978"/>
      <c r="IG370" s="978"/>
      <c r="IH370" s="978"/>
      <c r="II370" s="978"/>
      <c r="IJ370" s="978"/>
      <c r="IK370" s="978"/>
      <c r="IL370" s="978"/>
      <c r="IM370" s="978"/>
      <c r="IN370" s="978"/>
      <c r="IO370" s="978"/>
      <c r="IP370" s="978"/>
      <c r="IQ370" s="978"/>
      <c r="IR370" s="978"/>
      <c r="IS370" s="978"/>
      <c r="IT370" s="978"/>
      <c r="IU370" s="978"/>
      <c r="IV370" s="978"/>
      <c r="IW370" s="978"/>
      <c r="IX370" s="978"/>
      <c r="IY370" s="978"/>
      <c r="IZ370" s="978"/>
      <c r="JA370" s="978"/>
      <c r="JB370" s="978"/>
      <c r="JC370" s="978"/>
      <c r="JD370" s="978"/>
      <c r="JE370" s="978"/>
      <c r="JF370" s="978"/>
      <c r="JG370" s="978"/>
      <c r="JH370" s="978"/>
      <c r="JI370" s="978"/>
      <c r="JJ370" s="978"/>
      <c r="JK370" s="978"/>
      <c r="JL370" s="978"/>
      <c r="JM370" s="978"/>
      <c r="JN370" s="978"/>
      <c r="JO370" s="978"/>
      <c r="JP370" s="978"/>
      <c r="JQ370" s="978"/>
      <c r="JR370" s="978"/>
      <c r="JS370" s="978"/>
      <c r="JT370" s="978"/>
      <c r="JU370" s="978"/>
      <c r="JV370" s="978"/>
      <c r="JW370" s="978"/>
      <c r="JX370" s="978"/>
      <c r="JY370" s="978"/>
      <c r="JZ370" s="978"/>
      <c r="KA370" s="978"/>
      <c r="KB370" s="978"/>
      <c r="KC370" s="978"/>
      <c r="KD370" s="978"/>
      <c r="KE370" s="978"/>
      <c r="KF370" s="978"/>
      <c r="KG370" s="978"/>
      <c r="KH370" s="978"/>
      <c r="KI370" s="978"/>
      <c r="KJ370" s="978"/>
      <c r="KK370" s="978"/>
      <c r="KL370" s="978"/>
      <c r="KM370" s="978"/>
      <c r="KN370" s="978"/>
      <c r="KO370" s="978"/>
      <c r="KP370" s="978"/>
      <c r="KQ370" s="978"/>
      <c r="KR370" s="978"/>
      <c r="KS370" s="978"/>
      <c r="KT370" s="978"/>
      <c r="KU370" s="978"/>
      <c r="KV370" s="978"/>
      <c r="KW370" s="978"/>
      <c r="KX370" s="978"/>
      <c r="KY370" s="978"/>
      <c r="KZ370" s="978"/>
      <c r="LA370" s="978"/>
      <c r="LB370" s="978"/>
      <c r="LC370" s="978"/>
      <c r="LD370" s="978"/>
      <c r="LE370" s="978"/>
      <c r="LF370" s="978"/>
      <c r="LG370" s="978"/>
      <c r="LH370" s="978"/>
      <c r="LI370" s="978"/>
      <c r="LJ370" s="978"/>
      <c r="LK370" s="978"/>
      <c r="LL370" s="978"/>
      <c r="LM370" s="978"/>
      <c r="LN370" s="978"/>
      <c r="LO370" s="978"/>
      <c r="LP370" s="978"/>
      <c r="LQ370" s="978"/>
      <c r="LR370" s="978"/>
      <c r="LS370" s="978"/>
      <c r="LT370" s="978"/>
      <c r="LU370" s="978"/>
      <c r="LV370" s="978"/>
      <c r="LW370" s="978"/>
      <c r="LX370" s="978"/>
      <c r="LY370" s="978"/>
      <c r="LZ370" s="978"/>
      <c r="MA370" s="978"/>
      <c r="MB370" s="978"/>
      <c r="MC370" s="978"/>
      <c r="MD370" s="978"/>
      <c r="ME370" s="978"/>
      <c r="MF370" s="978"/>
      <c r="MG370" s="978"/>
      <c r="MH370" s="978"/>
      <c r="MI370" s="978"/>
      <c r="MJ370" s="978"/>
      <c r="MK370" s="978"/>
      <c r="ML370" s="978"/>
      <c r="MM370" s="978"/>
      <c r="MN370" s="978"/>
      <c r="MO370" s="978"/>
      <c r="MP370" s="978"/>
      <c r="MQ370" s="978"/>
      <c r="MR370" s="978"/>
      <c r="MS370" s="978"/>
      <c r="MT370" s="978"/>
      <c r="MU370" s="978"/>
      <c r="MV370" s="978"/>
      <c r="MW370" s="978"/>
      <c r="MX370" s="978"/>
      <c r="MY370" s="978"/>
      <c r="MZ370" s="978"/>
      <c r="NA370" s="978"/>
      <c r="NB370" s="978"/>
      <c r="NC370" s="978"/>
      <c r="ND370" s="978"/>
      <c r="NE370" s="978"/>
      <c r="NF370" s="978"/>
      <c r="NG370" s="978"/>
      <c r="NH370" s="978"/>
      <c r="NI370" s="978"/>
      <c r="NJ370" s="978"/>
      <c r="NK370" s="978"/>
      <c r="NL370" s="978"/>
      <c r="NM370" s="978"/>
      <c r="NN370" s="978"/>
      <c r="NO370" s="978"/>
      <c r="NP370" s="978"/>
      <c r="NQ370" s="978"/>
      <c r="NR370" s="978"/>
      <c r="NS370" s="978"/>
      <c r="NT370" s="978"/>
      <c r="NU370" s="978"/>
      <c r="NV370" s="978"/>
      <c r="NW370" s="978"/>
      <c r="NX370" s="978"/>
      <c r="NY370" s="978"/>
      <c r="NZ370" s="978"/>
      <c r="OA370" s="978"/>
      <c r="OB370" s="978"/>
      <c r="OC370" s="978"/>
      <c r="OD370" s="978"/>
      <c r="OE370" s="978"/>
      <c r="OF370" s="978"/>
      <c r="OG370" s="978"/>
      <c r="OH370" s="978"/>
      <c r="OI370" s="978"/>
      <c r="OJ370" s="978"/>
      <c r="OK370" s="978"/>
      <c r="OL370" s="978"/>
      <c r="OM370" s="978"/>
      <c r="ON370" s="978"/>
      <c r="OO370" s="978"/>
      <c r="OP370" s="978"/>
      <c r="OQ370" s="978"/>
      <c r="OR370" s="978"/>
      <c r="OS370" s="978"/>
      <c r="OT370" s="978"/>
      <c r="OU370" s="978"/>
      <c r="OV370" s="978"/>
      <c r="OW370" s="978"/>
      <c r="OX370" s="978"/>
      <c r="OY370" s="978"/>
      <c r="OZ370" s="978"/>
      <c r="PA370" s="978"/>
      <c r="PB370" s="978"/>
      <c r="PC370" s="978"/>
      <c r="PD370" s="978"/>
      <c r="PE370" s="978"/>
      <c r="PF370" s="978"/>
      <c r="PG370" s="978"/>
      <c r="PH370" s="978"/>
      <c r="PI370" s="978"/>
      <c r="PJ370" s="978"/>
      <c r="PK370" s="978"/>
      <c r="PL370" s="978"/>
      <c r="PM370" s="978"/>
      <c r="PN370" s="978"/>
      <c r="PO370" s="978"/>
      <c r="PP370" s="978"/>
      <c r="PQ370" s="978"/>
      <c r="PR370" s="978"/>
      <c r="PS370" s="978"/>
      <c r="PT370" s="978"/>
      <c r="PU370" s="978"/>
      <c r="PV370" s="978"/>
      <c r="PW370" s="978"/>
      <c r="PX370" s="978"/>
      <c r="PY370" s="978"/>
      <c r="PZ370" s="978"/>
      <c r="QA370" s="978"/>
      <c r="QB370" s="978"/>
      <c r="QC370" s="978"/>
      <c r="QD370" s="978"/>
      <c r="QE370" s="978"/>
      <c r="QF370" s="978"/>
      <c r="QG370" s="978"/>
      <c r="QH370" s="978"/>
      <c r="QI370" s="978"/>
      <c r="QJ370" s="978"/>
      <c r="QK370" s="978"/>
      <c r="QL370" s="978"/>
      <c r="QM370" s="978"/>
      <c r="QN370" s="978"/>
      <c r="QO370" s="978"/>
      <c r="QP370" s="978"/>
      <c r="QQ370" s="978"/>
      <c r="QR370" s="978"/>
      <c r="QS370" s="978"/>
      <c r="QT370" s="978"/>
      <c r="QU370" s="978"/>
      <c r="QV370" s="978"/>
      <c r="QW370" s="978"/>
      <c r="QX370" s="978"/>
      <c r="QY370" s="978"/>
      <c r="QZ370" s="978"/>
      <c r="RA370" s="978"/>
      <c r="RB370" s="274"/>
      <c r="RC370" s="274"/>
    </row>
    <row r="371" spans="112:471" ht="17.25">
      <c r="DH371" s="274"/>
      <c r="DI371" s="274"/>
      <c r="DJ371" s="978"/>
      <c r="DK371" s="978"/>
      <c r="DL371" s="978"/>
      <c r="DM371" s="978"/>
      <c r="DN371" s="978"/>
      <c r="DO371" s="978"/>
      <c r="DP371" s="978"/>
      <c r="DQ371" s="978"/>
      <c r="DR371" s="978"/>
      <c r="DS371" s="978"/>
      <c r="DT371" s="978"/>
      <c r="DU371" s="978"/>
      <c r="DV371" s="978"/>
      <c r="DW371" s="978"/>
      <c r="DX371" s="978"/>
      <c r="DY371" s="978"/>
      <c r="DZ371" s="978"/>
      <c r="EA371" s="978"/>
      <c r="EB371" s="978"/>
      <c r="EC371" s="978"/>
      <c r="ED371" s="978"/>
      <c r="EE371" s="978"/>
      <c r="EF371" s="978"/>
      <c r="EG371" s="978"/>
      <c r="EH371" s="978"/>
      <c r="EI371" s="978"/>
      <c r="EJ371" s="978"/>
      <c r="EK371" s="978"/>
      <c r="EL371" s="978"/>
      <c r="EM371" s="978"/>
      <c r="EN371" s="978"/>
      <c r="EO371" s="978"/>
      <c r="EP371" s="978"/>
      <c r="EQ371" s="978"/>
      <c r="ER371" s="978"/>
      <c r="ES371" s="978"/>
      <c r="ET371" s="978"/>
      <c r="EU371" s="978"/>
      <c r="EV371" s="978"/>
      <c r="EW371" s="978"/>
      <c r="EX371" s="978"/>
      <c r="EY371" s="978"/>
      <c r="EZ371" s="978"/>
      <c r="FA371" s="978"/>
      <c r="FB371" s="978"/>
      <c r="FC371" s="978"/>
      <c r="FD371" s="978"/>
      <c r="FE371" s="978"/>
      <c r="FF371" s="978"/>
      <c r="FG371" s="978"/>
      <c r="FH371" s="978"/>
      <c r="FI371" s="978"/>
      <c r="FJ371" s="978"/>
      <c r="FK371" s="978"/>
      <c r="FL371" s="978"/>
      <c r="FM371" s="978"/>
      <c r="FN371" s="978"/>
      <c r="FO371" s="978"/>
      <c r="FP371" s="978"/>
      <c r="FQ371" s="978"/>
      <c r="FR371" s="978"/>
      <c r="FS371" s="978"/>
      <c r="FT371" s="978"/>
      <c r="FU371" s="978"/>
      <c r="FV371" s="978"/>
      <c r="FW371" s="978"/>
      <c r="FX371" s="978"/>
      <c r="FY371" s="978"/>
      <c r="FZ371" s="978"/>
      <c r="GA371" s="978"/>
      <c r="GB371" s="978"/>
      <c r="GC371" s="978"/>
      <c r="GD371" s="978"/>
      <c r="GE371" s="978"/>
      <c r="GF371" s="978"/>
      <c r="GG371" s="978"/>
      <c r="GH371" s="978"/>
      <c r="GI371" s="978"/>
      <c r="GJ371" s="978"/>
      <c r="GK371" s="978"/>
      <c r="GL371" s="978"/>
      <c r="GM371" s="978"/>
      <c r="GN371" s="978"/>
      <c r="GO371" s="978"/>
      <c r="GP371" s="978"/>
      <c r="GQ371" s="978"/>
      <c r="GR371" s="978"/>
      <c r="GS371" s="978"/>
      <c r="GT371" s="978"/>
      <c r="GU371" s="978"/>
      <c r="GV371" s="978"/>
      <c r="GW371" s="978"/>
      <c r="GX371" s="978"/>
      <c r="GY371" s="978"/>
      <c r="GZ371" s="978"/>
      <c r="HA371" s="978"/>
      <c r="HB371" s="978"/>
      <c r="HC371" s="978"/>
      <c r="HD371" s="978"/>
      <c r="HE371" s="978"/>
      <c r="HF371" s="978"/>
      <c r="HG371" s="978"/>
      <c r="HH371" s="978"/>
      <c r="HI371" s="978"/>
      <c r="HJ371" s="978"/>
      <c r="HK371" s="978"/>
      <c r="HL371" s="978"/>
      <c r="HM371" s="978"/>
      <c r="HN371" s="978"/>
      <c r="HO371" s="978"/>
      <c r="HP371" s="978"/>
      <c r="HQ371" s="978"/>
      <c r="HR371" s="978"/>
      <c r="HS371" s="978"/>
      <c r="HT371" s="978"/>
      <c r="HU371" s="978"/>
      <c r="HV371" s="978"/>
      <c r="HW371" s="978"/>
      <c r="HX371" s="978"/>
      <c r="HY371" s="978"/>
      <c r="HZ371" s="978"/>
      <c r="IA371" s="978"/>
      <c r="IB371" s="978"/>
      <c r="IC371" s="978"/>
      <c r="ID371" s="978"/>
      <c r="IE371" s="978"/>
      <c r="IF371" s="978"/>
      <c r="IG371" s="978"/>
      <c r="IH371" s="978"/>
      <c r="II371" s="978"/>
      <c r="IJ371" s="978"/>
      <c r="IK371" s="978"/>
      <c r="IL371" s="978"/>
      <c r="IM371" s="978"/>
      <c r="IN371" s="978"/>
      <c r="IO371" s="978"/>
      <c r="IP371" s="978"/>
      <c r="IQ371" s="978"/>
      <c r="IR371" s="978"/>
      <c r="IS371" s="978"/>
      <c r="IT371" s="978"/>
      <c r="IU371" s="978"/>
      <c r="IV371" s="978"/>
      <c r="IW371" s="978"/>
      <c r="IX371" s="978"/>
      <c r="IY371" s="978"/>
      <c r="IZ371" s="978"/>
      <c r="JA371" s="978"/>
      <c r="JB371" s="978"/>
      <c r="JC371" s="978"/>
      <c r="JD371" s="978"/>
      <c r="JE371" s="978"/>
      <c r="JF371" s="978"/>
      <c r="JG371" s="978"/>
      <c r="JH371" s="978"/>
      <c r="JI371" s="978"/>
      <c r="JJ371" s="978"/>
      <c r="JK371" s="978"/>
      <c r="JL371" s="978"/>
      <c r="JM371" s="978"/>
      <c r="JN371" s="978"/>
      <c r="JO371" s="978"/>
      <c r="JP371" s="978"/>
      <c r="JQ371" s="978"/>
      <c r="JR371" s="978"/>
      <c r="JS371" s="978"/>
      <c r="JT371" s="978"/>
      <c r="JU371" s="978"/>
      <c r="JV371" s="978"/>
      <c r="JW371" s="978"/>
      <c r="JX371" s="978"/>
      <c r="JY371" s="978"/>
      <c r="JZ371" s="978"/>
      <c r="KA371" s="978"/>
      <c r="KB371" s="978"/>
      <c r="KC371" s="978"/>
      <c r="KD371" s="978"/>
      <c r="KE371" s="978"/>
      <c r="KF371" s="978"/>
      <c r="KG371" s="978"/>
      <c r="KH371" s="978"/>
      <c r="KI371" s="978"/>
      <c r="KJ371" s="978"/>
      <c r="KK371" s="978"/>
      <c r="KL371" s="978"/>
      <c r="KM371" s="978"/>
      <c r="KN371" s="978"/>
      <c r="KO371" s="978"/>
      <c r="KP371" s="978"/>
      <c r="KQ371" s="978"/>
      <c r="KR371" s="978"/>
      <c r="KS371" s="978"/>
      <c r="KT371" s="978"/>
      <c r="KU371" s="978"/>
      <c r="KV371" s="978"/>
      <c r="KW371" s="978"/>
      <c r="KX371" s="978"/>
      <c r="KY371" s="978"/>
      <c r="KZ371" s="978"/>
      <c r="LA371" s="978"/>
      <c r="LB371" s="978"/>
      <c r="LC371" s="978"/>
      <c r="LD371" s="978"/>
      <c r="LE371" s="978"/>
      <c r="LF371" s="978"/>
      <c r="LG371" s="978"/>
      <c r="LH371" s="978"/>
      <c r="LI371" s="978"/>
      <c r="LJ371" s="978"/>
      <c r="LK371" s="978"/>
      <c r="LL371" s="978"/>
      <c r="LM371" s="978"/>
      <c r="LN371" s="978"/>
      <c r="LO371" s="978"/>
      <c r="LP371" s="978"/>
      <c r="LQ371" s="978"/>
      <c r="LR371" s="978"/>
      <c r="LS371" s="978"/>
      <c r="LT371" s="978"/>
      <c r="LU371" s="978"/>
      <c r="LV371" s="978"/>
      <c r="LW371" s="978"/>
      <c r="LX371" s="978"/>
      <c r="LY371" s="978"/>
      <c r="LZ371" s="978"/>
      <c r="MA371" s="978"/>
      <c r="MB371" s="978"/>
      <c r="MC371" s="978"/>
      <c r="MD371" s="978"/>
      <c r="ME371" s="978"/>
      <c r="MF371" s="978"/>
      <c r="MG371" s="978"/>
      <c r="MH371" s="978"/>
      <c r="MI371" s="978"/>
      <c r="MJ371" s="978"/>
      <c r="MK371" s="978"/>
      <c r="ML371" s="978"/>
      <c r="MM371" s="978"/>
      <c r="MN371" s="978"/>
      <c r="MO371" s="978"/>
      <c r="MP371" s="978"/>
      <c r="MQ371" s="978"/>
      <c r="MR371" s="978"/>
      <c r="MS371" s="978"/>
      <c r="MT371" s="978"/>
      <c r="MU371" s="978"/>
      <c r="MV371" s="978"/>
      <c r="MW371" s="978"/>
      <c r="MX371" s="978"/>
      <c r="MY371" s="978"/>
      <c r="MZ371" s="978"/>
      <c r="NA371" s="978"/>
      <c r="NB371" s="978"/>
      <c r="NC371" s="978"/>
      <c r="ND371" s="978"/>
      <c r="NE371" s="978"/>
      <c r="NF371" s="978"/>
      <c r="NG371" s="978"/>
      <c r="NH371" s="978"/>
      <c r="NI371" s="978"/>
      <c r="NJ371" s="978"/>
      <c r="NK371" s="978"/>
      <c r="NL371" s="978"/>
      <c r="NM371" s="978"/>
      <c r="NN371" s="978"/>
      <c r="NO371" s="978"/>
      <c r="NP371" s="978"/>
      <c r="NQ371" s="978"/>
      <c r="NR371" s="978"/>
      <c r="NS371" s="978"/>
      <c r="NT371" s="978"/>
      <c r="NU371" s="978"/>
      <c r="NV371" s="978"/>
      <c r="NW371" s="978"/>
      <c r="NX371" s="978"/>
      <c r="NY371" s="978"/>
      <c r="NZ371" s="978"/>
      <c r="OA371" s="978"/>
      <c r="OB371" s="978"/>
      <c r="OC371" s="978"/>
      <c r="OD371" s="978"/>
      <c r="OE371" s="978"/>
      <c r="OF371" s="978"/>
      <c r="OG371" s="978"/>
      <c r="OH371" s="978"/>
      <c r="OI371" s="978"/>
      <c r="OJ371" s="978"/>
      <c r="OK371" s="978"/>
      <c r="OL371" s="978"/>
      <c r="OM371" s="978"/>
      <c r="ON371" s="978"/>
      <c r="OO371" s="978"/>
      <c r="OP371" s="978"/>
      <c r="OQ371" s="978"/>
      <c r="OR371" s="978"/>
      <c r="OS371" s="978"/>
      <c r="OT371" s="978"/>
      <c r="OU371" s="978"/>
      <c r="OV371" s="978"/>
      <c r="OW371" s="978"/>
      <c r="OX371" s="978"/>
      <c r="OY371" s="978"/>
      <c r="OZ371" s="978"/>
      <c r="PA371" s="978"/>
      <c r="PB371" s="978"/>
      <c r="PC371" s="978"/>
      <c r="PD371" s="978"/>
      <c r="PE371" s="978"/>
      <c r="PF371" s="978"/>
      <c r="PG371" s="978"/>
      <c r="PH371" s="978"/>
      <c r="PI371" s="978"/>
      <c r="PJ371" s="978"/>
      <c r="PK371" s="978"/>
      <c r="PL371" s="978"/>
      <c r="PM371" s="978"/>
      <c r="PN371" s="978"/>
      <c r="PO371" s="978"/>
      <c r="PP371" s="978"/>
      <c r="PQ371" s="978"/>
      <c r="PR371" s="978"/>
      <c r="PS371" s="978"/>
      <c r="PT371" s="978"/>
      <c r="PU371" s="978"/>
      <c r="PV371" s="978"/>
      <c r="PW371" s="978"/>
      <c r="PX371" s="978"/>
      <c r="PY371" s="978"/>
      <c r="PZ371" s="978"/>
      <c r="QA371" s="978"/>
      <c r="QB371" s="978"/>
      <c r="QC371" s="978"/>
      <c r="QD371" s="978"/>
      <c r="QE371" s="978"/>
      <c r="QF371" s="978"/>
      <c r="QG371" s="978"/>
      <c r="QH371" s="978"/>
      <c r="QI371" s="978"/>
      <c r="QJ371" s="978"/>
      <c r="QK371" s="978"/>
      <c r="QL371" s="978"/>
      <c r="QM371" s="978"/>
      <c r="QN371" s="978"/>
      <c r="QO371" s="978"/>
      <c r="QP371" s="978"/>
      <c r="QQ371" s="978"/>
      <c r="QR371" s="978"/>
      <c r="QS371" s="978"/>
      <c r="QT371" s="978"/>
      <c r="QU371" s="978"/>
      <c r="QV371" s="978"/>
      <c r="QW371" s="978"/>
      <c r="QX371" s="978"/>
      <c r="QY371" s="978"/>
      <c r="QZ371" s="978"/>
      <c r="RA371" s="978"/>
      <c r="RB371" s="274"/>
      <c r="RC371" s="274"/>
    </row>
    <row r="372" spans="112:471" ht="17.25">
      <c r="DH372" s="274"/>
      <c r="DI372" s="274"/>
      <c r="DJ372" s="978"/>
      <c r="DK372" s="978"/>
      <c r="DL372" s="978"/>
      <c r="DM372" s="978"/>
      <c r="DN372" s="978"/>
      <c r="DO372" s="978"/>
      <c r="DP372" s="978"/>
      <c r="DQ372" s="978"/>
      <c r="DR372" s="978"/>
      <c r="DS372" s="978"/>
      <c r="DT372" s="978"/>
      <c r="DU372" s="978"/>
      <c r="DV372" s="978"/>
      <c r="DW372" s="978"/>
      <c r="DX372" s="978"/>
      <c r="DY372" s="978"/>
      <c r="DZ372" s="978"/>
      <c r="EA372" s="978"/>
      <c r="EB372" s="978"/>
      <c r="EC372" s="978"/>
      <c r="ED372" s="978"/>
      <c r="EE372" s="978"/>
      <c r="EF372" s="978"/>
      <c r="EG372" s="978"/>
      <c r="EH372" s="978"/>
      <c r="EI372" s="978"/>
      <c r="EJ372" s="978"/>
      <c r="EK372" s="978"/>
      <c r="EL372" s="978"/>
      <c r="EM372" s="978"/>
      <c r="EN372" s="978"/>
      <c r="EO372" s="978"/>
      <c r="EP372" s="978"/>
      <c r="EQ372" s="978"/>
      <c r="ER372" s="978"/>
      <c r="ES372" s="978"/>
      <c r="ET372" s="978"/>
      <c r="EU372" s="978"/>
      <c r="EV372" s="978"/>
      <c r="EW372" s="978"/>
      <c r="EX372" s="978"/>
      <c r="EY372" s="978"/>
      <c r="EZ372" s="978"/>
      <c r="FA372" s="978"/>
      <c r="FB372" s="978"/>
      <c r="FC372" s="978"/>
      <c r="FD372" s="978"/>
      <c r="FE372" s="978"/>
      <c r="FF372" s="978"/>
      <c r="FG372" s="978"/>
      <c r="FH372" s="978"/>
      <c r="FI372" s="978"/>
      <c r="FJ372" s="978"/>
      <c r="FK372" s="978"/>
      <c r="FL372" s="978"/>
      <c r="FM372" s="978"/>
      <c r="FN372" s="978"/>
      <c r="FO372" s="978"/>
      <c r="FP372" s="978"/>
      <c r="FQ372" s="978"/>
      <c r="FR372" s="978"/>
      <c r="FS372" s="978"/>
      <c r="FT372" s="978"/>
      <c r="FU372" s="978"/>
      <c r="FV372" s="978"/>
      <c r="FW372" s="978"/>
      <c r="FX372" s="978"/>
      <c r="FY372" s="978"/>
      <c r="FZ372" s="978"/>
      <c r="GA372" s="978"/>
      <c r="GB372" s="978"/>
      <c r="GC372" s="978"/>
      <c r="GD372" s="978"/>
      <c r="GE372" s="978"/>
      <c r="GF372" s="978"/>
      <c r="GG372" s="978"/>
      <c r="GH372" s="978"/>
      <c r="GI372" s="978"/>
      <c r="GJ372" s="978"/>
      <c r="GK372" s="978"/>
      <c r="GL372" s="978"/>
      <c r="GM372" s="978"/>
      <c r="GN372" s="978"/>
      <c r="GO372" s="978"/>
      <c r="GP372" s="978"/>
      <c r="GQ372" s="978"/>
      <c r="GR372" s="978"/>
      <c r="GS372" s="978"/>
      <c r="GT372" s="978"/>
      <c r="GU372" s="978"/>
      <c r="GV372" s="978"/>
      <c r="GW372" s="978"/>
      <c r="GX372" s="978"/>
      <c r="GY372" s="978"/>
      <c r="GZ372" s="978"/>
      <c r="HA372" s="978"/>
      <c r="HB372" s="978"/>
      <c r="HC372" s="978"/>
      <c r="HD372" s="978"/>
      <c r="HE372" s="978"/>
      <c r="HF372" s="978"/>
      <c r="HG372" s="978"/>
      <c r="HH372" s="978"/>
      <c r="HI372" s="978"/>
      <c r="HJ372" s="978"/>
      <c r="HK372" s="978"/>
      <c r="HL372" s="978"/>
      <c r="HM372" s="978"/>
      <c r="HN372" s="978"/>
      <c r="HO372" s="978"/>
      <c r="HP372" s="978"/>
      <c r="HQ372" s="978"/>
      <c r="HR372" s="978"/>
      <c r="HS372" s="978"/>
      <c r="HT372" s="978"/>
      <c r="HU372" s="978"/>
      <c r="HV372" s="978"/>
      <c r="HW372" s="978"/>
      <c r="HX372" s="978"/>
      <c r="HY372" s="978"/>
      <c r="HZ372" s="978"/>
      <c r="IA372" s="978"/>
      <c r="IB372" s="978"/>
      <c r="IC372" s="978"/>
      <c r="ID372" s="978"/>
      <c r="IE372" s="978"/>
      <c r="IF372" s="978"/>
      <c r="IG372" s="978"/>
      <c r="IH372" s="978"/>
      <c r="II372" s="978"/>
      <c r="IJ372" s="978"/>
      <c r="IK372" s="978"/>
      <c r="IL372" s="978"/>
      <c r="IM372" s="978"/>
      <c r="IN372" s="978"/>
      <c r="IO372" s="978"/>
      <c r="IP372" s="978"/>
      <c r="IQ372" s="978"/>
      <c r="IR372" s="978"/>
      <c r="IS372" s="978"/>
      <c r="IT372" s="978"/>
      <c r="IU372" s="978"/>
      <c r="IV372" s="978"/>
      <c r="IW372" s="978"/>
      <c r="IX372" s="978"/>
      <c r="IY372" s="978"/>
      <c r="IZ372" s="978"/>
      <c r="JA372" s="978"/>
      <c r="JB372" s="978"/>
      <c r="JC372" s="978"/>
      <c r="JD372" s="978"/>
      <c r="JE372" s="978"/>
      <c r="JF372" s="978"/>
      <c r="JG372" s="978"/>
      <c r="JH372" s="978"/>
      <c r="JI372" s="978"/>
      <c r="JJ372" s="978"/>
      <c r="JK372" s="978"/>
      <c r="JL372" s="978"/>
      <c r="JM372" s="978"/>
      <c r="JN372" s="978"/>
      <c r="JO372" s="978"/>
      <c r="JP372" s="978"/>
      <c r="JQ372" s="978"/>
      <c r="JR372" s="978"/>
      <c r="JS372" s="978"/>
      <c r="JT372" s="978"/>
      <c r="JU372" s="978"/>
      <c r="JV372" s="978"/>
      <c r="JW372" s="978"/>
      <c r="JX372" s="978"/>
      <c r="JY372" s="978"/>
      <c r="JZ372" s="978"/>
      <c r="KA372" s="978"/>
      <c r="KB372" s="978"/>
      <c r="KC372" s="978"/>
      <c r="KD372" s="978"/>
      <c r="KE372" s="978"/>
      <c r="KF372" s="978"/>
      <c r="KG372" s="978"/>
      <c r="KH372" s="978"/>
      <c r="KI372" s="978"/>
      <c r="KJ372" s="978"/>
      <c r="KK372" s="978"/>
      <c r="KL372" s="978"/>
      <c r="KM372" s="978"/>
      <c r="KN372" s="978"/>
      <c r="KO372" s="978"/>
      <c r="KP372" s="978"/>
      <c r="KQ372" s="978"/>
      <c r="KR372" s="978"/>
      <c r="KS372" s="978"/>
      <c r="KT372" s="978"/>
      <c r="KU372" s="978"/>
      <c r="KV372" s="978"/>
      <c r="KW372" s="978"/>
      <c r="KX372" s="978"/>
      <c r="KY372" s="978"/>
      <c r="KZ372" s="978"/>
      <c r="LA372" s="978"/>
      <c r="LB372" s="978"/>
      <c r="LC372" s="978"/>
      <c r="LD372" s="978"/>
      <c r="LE372" s="978"/>
      <c r="LF372" s="978"/>
      <c r="LG372" s="978"/>
      <c r="LH372" s="978"/>
      <c r="LI372" s="978"/>
      <c r="LJ372" s="978"/>
      <c r="LK372" s="978"/>
      <c r="LL372" s="978"/>
      <c r="LM372" s="978"/>
      <c r="LN372" s="978"/>
      <c r="LO372" s="978"/>
      <c r="LP372" s="978"/>
      <c r="LQ372" s="978"/>
      <c r="LR372" s="978"/>
      <c r="LS372" s="978"/>
      <c r="LT372" s="978"/>
      <c r="LU372" s="978"/>
      <c r="LV372" s="978"/>
      <c r="LW372" s="978"/>
      <c r="LX372" s="978"/>
      <c r="LY372" s="978"/>
      <c r="LZ372" s="978"/>
      <c r="MA372" s="978"/>
      <c r="MB372" s="978"/>
      <c r="MC372" s="978"/>
      <c r="MD372" s="978"/>
      <c r="ME372" s="978"/>
      <c r="MF372" s="978"/>
      <c r="MG372" s="978"/>
      <c r="MH372" s="978"/>
      <c r="MI372" s="978"/>
      <c r="MJ372" s="978"/>
      <c r="MK372" s="978"/>
      <c r="ML372" s="978"/>
      <c r="MM372" s="978"/>
      <c r="MN372" s="978"/>
      <c r="MO372" s="978"/>
      <c r="MP372" s="978"/>
      <c r="MQ372" s="978"/>
      <c r="MR372" s="978"/>
      <c r="MS372" s="978"/>
      <c r="MT372" s="978"/>
      <c r="MU372" s="978"/>
      <c r="MV372" s="978"/>
      <c r="MW372" s="978"/>
      <c r="MX372" s="978"/>
      <c r="MY372" s="978"/>
      <c r="MZ372" s="978"/>
      <c r="NA372" s="978"/>
      <c r="NB372" s="978"/>
      <c r="NC372" s="978"/>
      <c r="ND372" s="978"/>
      <c r="NE372" s="978"/>
      <c r="NF372" s="978"/>
      <c r="NG372" s="978"/>
      <c r="NH372" s="978"/>
      <c r="NI372" s="978"/>
      <c r="NJ372" s="978"/>
      <c r="NK372" s="978"/>
      <c r="NL372" s="978"/>
      <c r="NM372" s="978"/>
      <c r="NN372" s="978"/>
      <c r="NO372" s="978"/>
      <c r="NP372" s="978"/>
      <c r="NQ372" s="978"/>
      <c r="NR372" s="978"/>
      <c r="NS372" s="978"/>
      <c r="NT372" s="978"/>
      <c r="NU372" s="978"/>
      <c r="NV372" s="978"/>
      <c r="NW372" s="978"/>
      <c r="NX372" s="978"/>
      <c r="NY372" s="978"/>
      <c r="NZ372" s="978"/>
      <c r="OA372" s="978"/>
      <c r="OB372" s="978"/>
      <c r="OC372" s="978"/>
      <c r="OD372" s="978"/>
      <c r="OE372" s="978"/>
      <c r="OF372" s="978"/>
      <c r="OG372" s="978"/>
      <c r="OH372" s="978"/>
      <c r="OI372" s="978"/>
      <c r="OJ372" s="978"/>
      <c r="OK372" s="978"/>
      <c r="OL372" s="978"/>
      <c r="OM372" s="978"/>
      <c r="ON372" s="978"/>
      <c r="OO372" s="978"/>
      <c r="OP372" s="978"/>
      <c r="OQ372" s="978"/>
      <c r="OR372" s="978"/>
      <c r="OS372" s="978"/>
      <c r="OT372" s="978"/>
      <c r="OU372" s="978"/>
      <c r="OV372" s="978"/>
      <c r="OW372" s="978"/>
      <c r="OX372" s="978"/>
      <c r="OY372" s="978"/>
      <c r="OZ372" s="978"/>
      <c r="PA372" s="978"/>
      <c r="PB372" s="978"/>
      <c r="PC372" s="978"/>
      <c r="PD372" s="978"/>
      <c r="PE372" s="978"/>
      <c r="PF372" s="978"/>
      <c r="PG372" s="978"/>
      <c r="PH372" s="978"/>
      <c r="PI372" s="978"/>
      <c r="PJ372" s="978"/>
      <c r="PK372" s="978"/>
      <c r="PL372" s="978"/>
      <c r="PM372" s="978"/>
      <c r="PN372" s="978"/>
      <c r="PO372" s="978"/>
      <c r="PP372" s="978"/>
      <c r="PQ372" s="978"/>
      <c r="PR372" s="978"/>
      <c r="PS372" s="978"/>
      <c r="PT372" s="978"/>
      <c r="PU372" s="978"/>
      <c r="PV372" s="978"/>
      <c r="PW372" s="978"/>
      <c r="PX372" s="978"/>
      <c r="PY372" s="978"/>
      <c r="PZ372" s="978"/>
      <c r="QA372" s="978"/>
      <c r="QB372" s="978"/>
      <c r="QC372" s="978"/>
      <c r="QD372" s="978"/>
      <c r="QE372" s="978"/>
      <c r="QF372" s="978"/>
      <c r="QG372" s="978"/>
      <c r="QH372" s="978"/>
      <c r="QI372" s="978"/>
      <c r="QJ372" s="978"/>
      <c r="QK372" s="978"/>
      <c r="QL372" s="978"/>
      <c r="QM372" s="978"/>
      <c r="QN372" s="978"/>
      <c r="QO372" s="978"/>
      <c r="QP372" s="978"/>
      <c r="QQ372" s="978"/>
      <c r="QR372" s="978"/>
      <c r="QS372" s="978"/>
      <c r="QT372" s="978"/>
      <c r="QU372" s="978"/>
      <c r="QV372" s="978"/>
      <c r="QW372" s="978"/>
      <c r="QX372" s="978"/>
      <c r="QY372" s="978"/>
      <c r="QZ372" s="978"/>
      <c r="RA372" s="978"/>
      <c r="RB372" s="274"/>
      <c r="RC372" s="274"/>
    </row>
    <row r="373" spans="112:471">
      <c r="DH373" s="274"/>
      <c r="DI373" s="274"/>
      <c r="DJ373" s="274"/>
      <c r="DK373" s="274"/>
      <c r="DL373" s="274"/>
      <c r="DM373" s="274"/>
      <c r="DN373" s="274"/>
      <c r="DO373" s="274"/>
      <c r="DP373" s="274"/>
      <c r="DQ373" s="274"/>
      <c r="DR373" s="274"/>
      <c r="DS373" s="274"/>
      <c r="DT373" s="274"/>
      <c r="DU373" s="274"/>
      <c r="DV373" s="274"/>
      <c r="DW373" s="274"/>
      <c r="DX373" s="274"/>
      <c r="DY373" s="274"/>
      <c r="DZ373" s="274"/>
      <c r="EA373" s="274"/>
      <c r="EB373" s="274"/>
      <c r="EC373" s="274"/>
      <c r="ED373" s="274"/>
      <c r="EE373" s="274"/>
      <c r="EF373" s="274"/>
      <c r="EG373" s="274"/>
      <c r="EH373" s="274"/>
      <c r="EI373" s="274"/>
      <c r="EJ373" s="274"/>
      <c r="EK373" s="274"/>
      <c r="EL373" s="274"/>
      <c r="EM373" s="274"/>
      <c r="EN373" s="274"/>
      <c r="EO373" s="274"/>
      <c r="EP373" s="274"/>
      <c r="EQ373" s="274"/>
      <c r="ER373" s="274"/>
      <c r="ES373" s="274"/>
      <c r="ET373" s="274"/>
      <c r="EU373" s="274"/>
      <c r="EV373" s="274"/>
      <c r="EW373" s="274"/>
      <c r="EX373" s="274"/>
      <c r="EY373" s="274"/>
      <c r="EZ373" s="274"/>
      <c r="FA373" s="274"/>
      <c r="FB373" s="274"/>
      <c r="FC373" s="274"/>
      <c r="FD373" s="274"/>
      <c r="FE373" s="274"/>
      <c r="FF373" s="274"/>
      <c r="FG373" s="274"/>
      <c r="FH373" s="274"/>
      <c r="FI373" s="274"/>
      <c r="FJ373" s="274"/>
      <c r="FK373" s="274"/>
      <c r="FL373" s="274"/>
      <c r="FM373" s="274"/>
      <c r="FN373" s="274"/>
      <c r="FO373" s="274"/>
      <c r="FP373" s="274"/>
      <c r="FQ373" s="274"/>
      <c r="FR373" s="274"/>
      <c r="FS373" s="274"/>
      <c r="FT373" s="274"/>
      <c r="FU373" s="274"/>
      <c r="FV373" s="274"/>
      <c r="FW373" s="274"/>
      <c r="FX373" s="274"/>
      <c r="FY373" s="274"/>
      <c r="FZ373" s="274"/>
      <c r="GA373" s="274"/>
      <c r="GB373" s="274"/>
      <c r="GC373" s="274"/>
      <c r="GD373" s="274"/>
      <c r="GE373" s="274"/>
      <c r="GF373" s="274"/>
      <c r="GG373" s="274"/>
      <c r="GH373" s="274"/>
      <c r="GI373" s="274"/>
      <c r="GJ373" s="274"/>
      <c r="GK373" s="274"/>
      <c r="GL373" s="274"/>
      <c r="GM373" s="274"/>
      <c r="GN373" s="274"/>
      <c r="GO373" s="274"/>
      <c r="GP373" s="274"/>
      <c r="GQ373" s="274"/>
      <c r="GR373" s="274"/>
      <c r="GS373" s="274"/>
      <c r="GT373" s="274"/>
      <c r="GU373" s="274"/>
      <c r="GV373" s="274"/>
      <c r="GW373" s="274"/>
      <c r="GX373" s="274"/>
      <c r="GY373" s="274"/>
      <c r="GZ373" s="274"/>
      <c r="HA373" s="274"/>
      <c r="HB373" s="274"/>
      <c r="HC373" s="274"/>
      <c r="HD373" s="274"/>
      <c r="HE373" s="274"/>
      <c r="HF373" s="274"/>
      <c r="HG373" s="274"/>
      <c r="HH373" s="274"/>
      <c r="HI373" s="274"/>
      <c r="HJ373" s="274"/>
      <c r="HK373" s="274"/>
      <c r="HL373" s="274"/>
      <c r="HM373" s="274"/>
      <c r="HN373" s="274"/>
      <c r="HO373" s="274"/>
      <c r="HP373" s="274"/>
      <c r="HQ373" s="274"/>
      <c r="HR373" s="274"/>
      <c r="HS373" s="274"/>
      <c r="HT373" s="274"/>
      <c r="HU373" s="274"/>
      <c r="HV373" s="274"/>
      <c r="HW373" s="274"/>
      <c r="HX373" s="274"/>
      <c r="HY373" s="274"/>
      <c r="HZ373" s="274"/>
      <c r="IA373" s="274"/>
      <c r="IB373" s="274"/>
      <c r="IC373" s="274"/>
      <c r="ID373" s="274"/>
      <c r="IE373" s="274"/>
      <c r="IF373" s="274"/>
      <c r="IG373" s="274"/>
      <c r="IH373" s="274"/>
      <c r="II373" s="274"/>
      <c r="IJ373" s="274"/>
      <c r="IK373" s="274"/>
      <c r="IL373" s="274"/>
      <c r="IM373" s="274"/>
      <c r="IN373" s="274"/>
      <c r="IO373" s="274"/>
      <c r="IP373" s="274"/>
      <c r="IQ373" s="274"/>
      <c r="IR373" s="274"/>
      <c r="IS373" s="274"/>
      <c r="IT373" s="274"/>
      <c r="IU373" s="274"/>
      <c r="IV373" s="274"/>
      <c r="IW373" s="274"/>
      <c r="IX373" s="274"/>
      <c r="IY373" s="274"/>
      <c r="IZ373" s="274"/>
      <c r="JA373" s="274"/>
      <c r="JB373" s="274"/>
      <c r="JC373" s="274"/>
      <c r="JD373" s="274"/>
      <c r="JE373" s="274"/>
      <c r="JF373" s="274"/>
      <c r="JG373" s="274"/>
      <c r="JH373" s="274"/>
      <c r="JI373" s="274"/>
      <c r="JJ373" s="274"/>
      <c r="JK373" s="274"/>
      <c r="JL373" s="274"/>
      <c r="JM373" s="274"/>
      <c r="JN373" s="274"/>
      <c r="JO373" s="274"/>
      <c r="JP373" s="274"/>
      <c r="JQ373" s="274"/>
      <c r="JR373" s="274"/>
      <c r="JS373" s="274"/>
      <c r="JT373" s="274"/>
      <c r="JU373" s="274"/>
      <c r="JV373" s="274"/>
      <c r="JW373" s="274"/>
      <c r="JX373" s="274"/>
      <c r="JY373" s="274"/>
      <c r="JZ373" s="274"/>
      <c r="KA373" s="274"/>
      <c r="KB373" s="274"/>
      <c r="KC373" s="274"/>
      <c r="KD373" s="274"/>
      <c r="KE373" s="274"/>
      <c r="KF373" s="274"/>
      <c r="KG373" s="274"/>
      <c r="KH373" s="274"/>
      <c r="KI373" s="274"/>
      <c r="KJ373" s="274"/>
      <c r="KK373" s="274"/>
      <c r="KL373" s="274"/>
      <c r="KM373" s="274"/>
      <c r="KN373" s="274"/>
      <c r="KO373" s="274"/>
      <c r="KP373" s="274"/>
      <c r="KQ373" s="274"/>
      <c r="KR373" s="274"/>
      <c r="KS373" s="274"/>
      <c r="KT373" s="274"/>
      <c r="KU373" s="274"/>
      <c r="KV373" s="274"/>
      <c r="KW373" s="274"/>
      <c r="KX373" s="274"/>
      <c r="KY373" s="274"/>
      <c r="KZ373" s="274"/>
      <c r="LA373" s="274"/>
      <c r="LB373" s="274"/>
      <c r="LC373" s="274"/>
      <c r="LD373" s="274"/>
      <c r="LE373" s="274"/>
      <c r="LF373" s="274"/>
      <c r="LG373" s="274"/>
      <c r="LH373" s="274"/>
      <c r="LI373" s="274"/>
      <c r="LJ373" s="274"/>
      <c r="LK373" s="274"/>
      <c r="LL373" s="274"/>
      <c r="LM373" s="274"/>
      <c r="LN373" s="274"/>
      <c r="LO373" s="274"/>
      <c r="LP373" s="274"/>
      <c r="LQ373" s="274"/>
      <c r="LR373" s="274"/>
      <c r="LS373" s="274"/>
      <c r="LT373" s="274"/>
      <c r="LU373" s="274"/>
      <c r="LV373" s="274"/>
      <c r="LW373" s="274"/>
      <c r="LX373" s="274"/>
      <c r="LY373" s="274"/>
      <c r="LZ373" s="274"/>
      <c r="MA373" s="274"/>
      <c r="MB373" s="274"/>
      <c r="MC373" s="274"/>
      <c r="MD373" s="274"/>
      <c r="ME373" s="274"/>
      <c r="MF373" s="274"/>
      <c r="MG373" s="274"/>
      <c r="MH373" s="274"/>
      <c r="MI373" s="274"/>
      <c r="MJ373" s="274"/>
      <c r="MK373" s="274"/>
      <c r="ML373" s="274"/>
      <c r="MM373" s="274"/>
      <c r="MN373" s="274"/>
      <c r="MO373" s="274"/>
      <c r="MP373" s="274"/>
      <c r="MQ373" s="274"/>
      <c r="MR373" s="274"/>
      <c r="MS373" s="274"/>
      <c r="MT373" s="274"/>
      <c r="MU373" s="274"/>
      <c r="MV373" s="274"/>
      <c r="MW373" s="274"/>
      <c r="MX373" s="274"/>
      <c r="MY373" s="274"/>
      <c r="MZ373" s="274"/>
      <c r="NA373" s="274"/>
      <c r="NB373" s="274"/>
      <c r="NC373" s="274"/>
      <c r="ND373" s="274"/>
      <c r="NE373" s="274"/>
      <c r="NF373" s="274"/>
      <c r="NG373" s="274"/>
      <c r="NH373" s="274"/>
      <c r="NI373" s="274"/>
      <c r="NJ373" s="274"/>
      <c r="NK373" s="274"/>
      <c r="NL373" s="274"/>
      <c r="NM373" s="274"/>
      <c r="NN373" s="274"/>
      <c r="NO373" s="274"/>
      <c r="NP373" s="274"/>
      <c r="NQ373" s="274"/>
      <c r="NR373" s="274"/>
      <c r="NS373" s="274"/>
      <c r="NT373" s="274"/>
      <c r="NU373" s="274"/>
      <c r="NV373" s="274"/>
      <c r="NW373" s="274"/>
      <c r="NX373" s="274"/>
      <c r="NY373" s="274"/>
      <c r="NZ373" s="274"/>
      <c r="OA373" s="274"/>
      <c r="OB373" s="274"/>
      <c r="OC373" s="274"/>
      <c r="OD373" s="274"/>
      <c r="OE373" s="274"/>
      <c r="OF373" s="274"/>
      <c r="OG373" s="274"/>
      <c r="OH373" s="274"/>
      <c r="OI373" s="274"/>
      <c r="OJ373" s="274"/>
      <c r="OK373" s="274"/>
      <c r="OL373" s="274"/>
      <c r="OM373" s="274"/>
      <c r="ON373" s="274"/>
      <c r="OO373" s="274"/>
      <c r="OP373" s="274"/>
      <c r="OQ373" s="274"/>
      <c r="OR373" s="274"/>
      <c r="OS373" s="274"/>
      <c r="OT373" s="274"/>
      <c r="OU373" s="274"/>
      <c r="OV373" s="274"/>
      <c r="OW373" s="274"/>
      <c r="OX373" s="274"/>
      <c r="OY373" s="274"/>
      <c r="OZ373" s="274"/>
      <c r="PA373" s="274"/>
      <c r="PB373" s="274"/>
      <c r="PC373" s="274"/>
      <c r="PD373" s="274"/>
      <c r="PE373" s="274"/>
      <c r="PF373" s="274"/>
      <c r="PG373" s="274"/>
      <c r="PH373" s="274"/>
      <c r="PI373" s="274"/>
      <c r="PJ373" s="274"/>
      <c r="PK373" s="274"/>
      <c r="PL373" s="274"/>
      <c r="PM373" s="274"/>
      <c r="PN373" s="274"/>
      <c r="PO373" s="274"/>
      <c r="PP373" s="274"/>
      <c r="PQ373" s="274"/>
      <c r="PR373" s="274"/>
      <c r="PS373" s="274"/>
      <c r="PT373" s="274"/>
      <c r="PU373" s="274"/>
      <c r="PV373" s="274"/>
      <c r="PW373" s="274"/>
      <c r="PX373" s="274"/>
      <c r="PY373" s="274"/>
      <c r="PZ373" s="274"/>
      <c r="QA373" s="274"/>
      <c r="QB373" s="274"/>
      <c r="QC373" s="274"/>
      <c r="QD373" s="274"/>
      <c r="QE373" s="274"/>
      <c r="QF373" s="274"/>
      <c r="QG373" s="274"/>
      <c r="QH373" s="274"/>
      <c r="QI373" s="274"/>
      <c r="QJ373" s="274"/>
      <c r="QK373" s="274"/>
      <c r="QL373" s="274"/>
      <c r="QM373" s="274"/>
      <c r="QN373" s="274"/>
      <c r="QO373" s="274"/>
      <c r="QP373" s="274"/>
      <c r="QQ373" s="274"/>
      <c r="QR373" s="274"/>
      <c r="QS373" s="274"/>
      <c r="QT373" s="274"/>
      <c r="QU373" s="274"/>
      <c r="QV373" s="274"/>
      <c r="QW373" s="274"/>
      <c r="QX373" s="274"/>
      <c r="QY373" s="274"/>
      <c r="QZ373" s="274"/>
      <c r="RA373" s="274"/>
      <c r="RB373" s="274"/>
      <c r="RC373" s="274"/>
    </row>
    <row r="374" spans="112:471">
      <c r="DH374" s="274"/>
      <c r="DI374" s="274"/>
      <c r="DJ374" s="274"/>
      <c r="DK374" s="274"/>
      <c r="DL374" s="274"/>
      <c r="DM374" s="274"/>
      <c r="DN374" s="274"/>
      <c r="DO374" s="274"/>
      <c r="DP374" s="274"/>
      <c r="DQ374" s="274"/>
      <c r="DR374" s="274"/>
      <c r="DS374" s="274"/>
      <c r="DT374" s="274"/>
      <c r="DU374" s="274"/>
      <c r="DV374" s="274"/>
      <c r="DW374" s="274"/>
      <c r="DX374" s="274"/>
      <c r="DY374" s="274"/>
      <c r="DZ374" s="274"/>
      <c r="EA374" s="274"/>
      <c r="EB374" s="274"/>
      <c r="EC374" s="274"/>
      <c r="ED374" s="274"/>
      <c r="EE374" s="274"/>
      <c r="EF374" s="274"/>
      <c r="EG374" s="274"/>
      <c r="EH374" s="274"/>
      <c r="EI374" s="274"/>
      <c r="EJ374" s="274"/>
      <c r="EK374" s="274"/>
      <c r="EL374" s="274"/>
      <c r="EM374" s="274"/>
      <c r="EN374" s="274"/>
      <c r="EO374" s="274"/>
      <c r="EP374" s="274"/>
      <c r="EQ374" s="274"/>
      <c r="ER374" s="274"/>
      <c r="ES374" s="274"/>
      <c r="ET374" s="274"/>
      <c r="EU374" s="274"/>
      <c r="EV374" s="274"/>
      <c r="EW374" s="274"/>
      <c r="EX374" s="274"/>
      <c r="EY374" s="274"/>
      <c r="EZ374" s="274"/>
      <c r="FA374" s="274"/>
      <c r="FB374" s="274"/>
      <c r="FC374" s="274"/>
      <c r="FD374" s="274"/>
      <c r="FE374" s="274"/>
      <c r="FF374" s="274"/>
      <c r="FG374" s="274"/>
      <c r="FH374" s="274"/>
      <c r="FI374" s="274"/>
      <c r="FJ374" s="274"/>
      <c r="FK374" s="274"/>
      <c r="FL374" s="274"/>
      <c r="FM374" s="274"/>
      <c r="FN374" s="274"/>
      <c r="FO374" s="274"/>
      <c r="FP374" s="274"/>
      <c r="FQ374" s="274"/>
      <c r="FR374" s="274"/>
      <c r="FS374" s="274"/>
      <c r="FT374" s="274"/>
      <c r="FU374" s="274"/>
      <c r="FV374" s="274"/>
      <c r="FW374" s="274"/>
      <c r="FX374" s="274"/>
      <c r="FY374" s="274"/>
      <c r="FZ374" s="274"/>
      <c r="GA374" s="274"/>
      <c r="GB374" s="274"/>
      <c r="GC374" s="274"/>
      <c r="GD374" s="274"/>
      <c r="GE374" s="274"/>
      <c r="GF374" s="274"/>
      <c r="GG374" s="274"/>
      <c r="GH374" s="274"/>
      <c r="GI374" s="274"/>
      <c r="GJ374" s="274"/>
      <c r="GK374" s="274"/>
      <c r="GL374" s="274"/>
      <c r="GM374" s="274"/>
      <c r="GN374" s="274"/>
      <c r="GO374" s="274"/>
      <c r="GP374" s="274"/>
      <c r="GQ374" s="274"/>
      <c r="GR374" s="274"/>
      <c r="GS374" s="274"/>
      <c r="GT374" s="274"/>
      <c r="GU374" s="274"/>
      <c r="GV374" s="274"/>
      <c r="GW374" s="274"/>
      <c r="GX374" s="274"/>
      <c r="GY374" s="274"/>
      <c r="GZ374" s="274"/>
      <c r="HA374" s="274"/>
      <c r="HB374" s="274"/>
      <c r="HC374" s="274"/>
      <c r="HD374" s="274"/>
      <c r="HE374" s="274"/>
      <c r="HF374" s="274"/>
      <c r="HG374" s="274"/>
      <c r="HH374" s="274"/>
      <c r="HI374" s="274"/>
      <c r="HJ374" s="274"/>
      <c r="HK374" s="274"/>
      <c r="HL374" s="274"/>
      <c r="HM374" s="274"/>
      <c r="HN374" s="274"/>
      <c r="HO374" s="274"/>
      <c r="HP374" s="274"/>
      <c r="HQ374" s="274"/>
      <c r="HR374" s="274"/>
      <c r="HS374" s="274"/>
      <c r="HT374" s="274"/>
      <c r="HU374" s="274"/>
      <c r="HV374" s="274"/>
      <c r="HW374" s="274"/>
      <c r="HX374" s="274"/>
      <c r="HY374" s="274"/>
      <c r="HZ374" s="274"/>
      <c r="IA374" s="274"/>
      <c r="IB374" s="274"/>
      <c r="IC374" s="274"/>
      <c r="ID374" s="274"/>
      <c r="IE374" s="274"/>
      <c r="IF374" s="274"/>
      <c r="IG374" s="274"/>
      <c r="IH374" s="274"/>
      <c r="II374" s="274"/>
      <c r="IJ374" s="274"/>
      <c r="IK374" s="274"/>
      <c r="IL374" s="274"/>
      <c r="IM374" s="274"/>
      <c r="IN374" s="274"/>
      <c r="IO374" s="274"/>
      <c r="IP374" s="274"/>
      <c r="IQ374" s="274"/>
      <c r="IR374" s="274"/>
      <c r="IS374" s="274"/>
      <c r="IT374" s="274"/>
      <c r="IU374" s="274"/>
      <c r="IV374" s="274"/>
      <c r="IW374" s="274"/>
      <c r="IX374" s="274"/>
      <c r="IY374" s="274"/>
      <c r="IZ374" s="274"/>
      <c r="JA374" s="274"/>
      <c r="JB374" s="274"/>
      <c r="JC374" s="274"/>
      <c r="JD374" s="274"/>
      <c r="JE374" s="274"/>
      <c r="JF374" s="274"/>
      <c r="JG374" s="274"/>
      <c r="JH374" s="274"/>
      <c r="JI374" s="274"/>
      <c r="JJ374" s="274"/>
      <c r="JK374" s="274"/>
      <c r="JL374" s="274"/>
      <c r="JM374" s="274"/>
      <c r="JN374" s="274"/>
      <c r="JO374" s="274"/>
      <c r="JP374" s="274"/>
      <c r="JQ374" s="274"/>
      <c r="JR374" s="274"/>
      <c r="JS374" s="274"/>
      <c r="JT374" s="274"/>
      <c r="JU374" s="274"/>
      <c r="JV374" s="274"/>
      <c r="JW374" s="274"/>
      <c r="JX374" s="274"/>
      <c r="JY374" s="274"/>
      <c r="JZ374" s="274"/>
      <c r="KA374" s="274"/>
      <c r="KB374" s="274"/>
      <c r="KC374" s="274"/>
      <c r="KD374" s="274"/>
      <c r="KE374" s="274"/>
      <c r="KF374" s="274"/>
      <c r="KG374" s="274"/>
      <c r="KH374" s="274"/>
      <c r="KI374" s="274"/>
      <c r="KJ374" s="274"/>
      <c r="KK374" s="274"/>
      <c r="KL374" s="274"/>
      <c r="KM374" s="274"/>
      <c r="KN374" s="274"/>
      <c r="KO374" s="274"/>
      <c r="KP374" s="274"/>
      <c r="KQ374" s="274"/>
      <c r="KR374" s="274"/>
      <c r="KS374" s="274"/>
      <c r="KT374" s="274"/>
      <c r="KU374" s="274"/>
      <c r="KV374" s="274"/>
      <c r="KW374" s="274"/>
      <c r="KX374" s="274"/>
      <c r="KY374" s="274"/>
      <c r="KZ374" s="274"/>
      <c r="LA374" s="274"/>
      <c r="LB374" s="274"/>
      <c r="LC374" s="274"/>
      <c r="LD374" s="274"/>
      <c r="LE374" s="274"/>
      <c r="LF374" s="274"/>
      <c r="LG374" s="274"/>
      <c r="LH374" s="274"/>
      <c r="LI374" s="274"/>
      <c r="LJ374" s="274"/>
      <c r="LK374" s="274"/>
      <c r="LL374" s="274"/>
      <c r="LM374" s="274"/>
      <c r="LN374" s="274"/>
      <c r="LO374" s="274"/>
      <c r="LP374" s="274"/>
      <c r="LQ374" s="274"/>
      <c r="LR374" s="274"/>
      <c r="LS374" s="274"/>
      <c r="LT374" s="274"/>
      <c r="LU374" s="274"/>
      <c r="LV374" s="274"/>
      <c r="LW374" s="274"/>
      <c r="LX374" s="274"/>
      <c r="LY374" s="274"/>
      <c r="LZ374" s="274"/>
      <c r="MA374" s="274"/>
      <c r="MB374" s="274"/>
      <c r="MC374" s="274"/>
      <c r="MD374" s="274"/>
      <c r="ME374" s="274"/>
      <c r="MF374" s="274"/>
      <c r="MG374" s="274"/>
      <c r="MH374" s="274"/>
      <c r="MI374" s="274"/>
      <c r="MJ374" s="274"/>
      <c r="MK374" s="274"/>
      <c r="ML374" s="274"/>
      <c r="MM374" s="274"/>
      <c r="MN374" s="274"/>
      <c r="MO374" s="274"/>
      <c r="MP374" s="274"/>
      <c r="MQ374" s="274"/>
      <c r="MR374" s="274"/>
      <c r="MS374" s="274"/>
      <c r="MT374" s="274"/>
      <c r="MU374" s="274"/>
      <c r="MV374" s="274"/>
      <c r="MW374" s="274"/>
      <c r="MX374" s="274"/>
      <c r="MY374" s="274"/>
      <c r="MZ374" s="274"/>
      <c r="NA374" s="274"/>
      <c r="NB374" s="274"/>
      <c r="NC374" s="274"/>
      <c r="ND374" s="274"/>
      <c r="NE374" s="274"/>
      <c r="NF374" s="274"/>
      <c r="NG374" s="274"/>
      <c r="NH374" s="274"/>
      <c r="NI374" s="274"/>
      <c r="NJ374" s="274"/>
      <c r="NK374" s="274"/>
      <c r="NL374" s="274"/>
      <c r="NM374" s="274"/>
      <c r="NN374" s="274"/>
      <c r="NO374" s="274"/>
      <c r="NP374" s="274"/>
      <c r="NQ374" s="274"/>
      <c r="NR374" s="274"/>
      <c r="NS374" s="274"/>
      <c r="NT374" s="274"/>
      <c r="NU374" s="274"/>
      <c r="NV374" s="274"/>
      <c r="NW374" s="274"/>
      <c r="NX374" s="274"/>
      <c r="NY374" s="274"/>
      <c r="NZ374" s="274"/>
      <c r="OA374" s="274"/>
      <c r="OB374" s="274"/>
      <c r="OC374" s="274"/>
      <c r="OD374" s="274"/>
      <c r="OE374" s="274"/>
      <c r="OF374" s="274"/>
      <c r="OG374" s="274"/>
      <c r="OH374" s="274"/>
      <c r="OI374" s="274"/>
      <c r="OJ374" s="274"/>
      <c r="OK374" s="274"/>
      <c r="OL374" s="274"/>
      <c r="OM374" s="274"/>
      <c r="ON374" s="274"/>
      <c r="OO374" s="274"/>
      <c r="OP374" s="274"/>
      <c r="OQ374" s="274"/>
      <c r="OR374" s="274"/>
      <c r="OS374" s="274"/>
      <c r="OT374" s="274"/>
      <c r="OU374" s="274"/>
      <c r="OV374" s="274"/>
      <c r="OW374" s="274"/>
      <c r="OX374" s="274"/>
      <c r="OY374" s="274"/>
      <c r="OZ374" s="274"/>
      <c r="PA374" s="274"/>
      <c r="PB374" s="274"/>
      <c r="PC374" s="274"/>
      <c r="PD374" s="274"/>
      <c r="PE374" s="274"/>
      <c r="PF374" s="274"/>
      <c r="PG374" s="274"/>
      <c r="PH374" s="274"/>
      <c r="PI374" s="274"/>
      <c r="PJ374" s="274"/>
      <c r="PK374" s="274"/>
      <c r="PL374" s="274"/>
      <c r="PM374" s="274"/>
      <c r="PN374" s="274"/>
      <c r="PO374" s="274"/>
      <c r="PP374" s="274"/>
      <c r="PQ374" s="274"/>
      <c r="PR374" s="274"/>
      <c r="PS374" s="274"/>
      <c r="PT374" s="274"/>
      <c r="PU374" s="274"/>
      <c r="PV374" s="274"/>
      <c r="PW374" s="274"/>
      <c r="PX374" s="274"/>
      <c r="PY374" s="274"/>
      <c r="PZ374" s="274"/>
      <c r="QA374" s="274"/>
      <c r="QB374" s="274"/>
      <c r="QC374" s="274"/>
      <c r="QD374" s="274"/>
      <c r="QE374" s="274"/>
      <c r="QF374" s="274"/>
      <c r="QG374" s="274"/>
      <c r="QH374" s="274"/>
      <c r="QI374" s="274"/>
      <c r="QJ374" s="274"/>
      <c r="QK374" s="274"/>
      <c r="QL374" s="274"/>
      <c r="QM374" s="274"/>
      <c r="QN374" s="274"/>
      <c r="QO374" s="274"/>
      <c r="QP374" s="274"/>
      <c r="QQ374" s="274"/>
      <c r="QR374" s="274"/>
      <c r="QS374" s="274"/>
      <c r="QT374" s="274"/>
      <c r="QU374" s="274"/>
      <c r="QV374" s="274"/>
      <c r="QW374" s="274"/>
      <c r="QX374" s="274"/>
      <c r="QY374" s="274"/>
      <c r="QZ374" s="274"/>
      <c r="RA374" s="274"/>
      <c r="RB374" s="274"/>
      <c r="RC374" s="274"/>
    </row>
    <row r="375" spans="112:471" ht="17.25">
      <c r="DH375" s="274"/>
      <c r="DI375" s="274"/>
      <c r="DJ375" s="978"/>
      <c r="DK375" s="274"/>
      <c r="DL375" s="274"/>
      <c r="DM375" s="274"/>
      <c r="DN375" s="274"/>
      <c r="DO375" s="274"/>
      <c r="DP375" s="274"/>
      <c r="DQ375" s="274"/>
      <c r="DR375" s="274"/>
      <c r="DS375" s="274"/>
      <c r="DT375" s="274"/>
      <c r="DU375" s="274"/>
      <c r="DV375" s="274"/>
      <c r="DW375" s="274"/>
      <c r="DX375" s="274"/>
      <c r="DY375" s="274"/>
      <c r="DZ375" s="274"/>
      <c r="EA375" s="274"/>
      <c r="EB375" s="274"/>
      <c r="EC375" s="274"/>
      <c r="ED375" s="274"/>
      <c r="EE375" s="274"/>
      <c r="EF375" s="274"/>
      <c r="EG375" s="274"/>
      <c r="EH375" s="274"/>
      <c r="EI375" s="274"/>
      <c r="EJ375" s="274"/>
      <c r="EK375" s="274"/>
      <c r="EL375" s="274"/>
      <c r="EM375" s="274"/>
      <c r="EN375" s="274"/>
      <c r="EO375" s="274"/>
      <c r="EP375" s="274"/>
      <c r="EQ375" s="274"/>
      <c r="ER375" s="274"/>
      <c r="ES375" s="274"/>
      <c r="ET375" s="274"/>
      <c r="EU375" s="274"/>
      <c r="EV375" s="274"/>
      <c r="EW375" s="274"/>
      <c r="EX375" s="274"/>
      <c r="EY375" s="274"/>
      <c r="EZ375" s="274"/>
      <c r="FA375" s="274"/>
      <c r="FB375" s="274"/>
      <c r="FC375" s="274"/>
      <c r="FD375" s="274"/>
      <c r="FE375" s="274"/>
      <c r="FF375" s="274"/>
      <c r="FG375" s="274"/>
      <c r="FH375" s="274"/>
      <c r="FI375" s="274"/>
      <c r="FJ375" s="274"/>
      <c r="FK375" s="274"/>
      <c r="FL375" s="274"/>
      <c r="FM375" s="274"/>
      <c r="FN375" s="274"/>
      <c r="FO375" s="274"/>
      <c r="FP375" s="274"/>
      <c r="FQ375" s="274"/>
      <c r="FR375" s="274"/>
      <c r="FS375" s="274"/>
      <c r="FT375" s="274"/>
      <c r="FU375" s="274"/>
      <c r="FV375" s="274"/>
      <c r="FW375" s="274"/>
      <c r="FX375" s="274"/>
      <c r="FY375" s="274"/>
      <c r="FZ375" s="274"/>
      <c r="GA375" s="274"/>
      <c r="GB375" s="274"/>
      <c r="GC375" s="274"/>
      <c r="GD375" s="274"/>
      <c r="GE375" s="274"/>
      <c r="GF375" s="274"/>
      <c r="GG375" s="274"/>
      <c r="GH375" s="274"/>
      <c r="GI375" s="274"/>
      <c r="GJ375" s="274"/>
      <c r="GK375" s="274"/>
      <c r="GL375" s="274"/>
      <c r="GM375" s="274"/>
      <c r="GN375" s="274"/>
      <c r="GO375" s="274"/>
      <c r="GP375" s="274"/>
      <c r="GQ375" s="274"/>
      <c r="GR375" s="274"/>
      <c r="GS375" s="274"/>
      <c r="GT375" s="274"/>
      <c r="GU375" s="274"/>
      <c r="GV375" s="274"/>
      <c r="GW375" s="274"/>
      <c r="GX375" s="274"/>
      <c r="GY375" s="274"/>
      <c r="GZ375" s="274"/>
      <c r="HA375" s="274"/>
      <c r="HB375" s="274"/>
      <c r="HC375" s="274"/>
      <c r="HD375" s="274"/>
      <c r="HE375" s="274"/>
      <c r="HF375" s="274"/>
      <c r="HG375" s="274"/>
      <c r="HH375" s="274"/>
      <c r="HI375" s="274"/>
      <c r="HJ375" s="274"/>
      <c r="HK375" s="274"/>
      <c r="HL375" s="274"/>
      <c r="HM375" s="274"/>
      <c r="HN375" s="274"/>
      <c r="HO375" s="274"/>
      <c r="HP375" s="274"/>
      <c r="HQ375" s="274"/>
      <c r="HR375" s="274"/>
      <c r="HS375" s="274"/>
      <c r="HT375" s="274"/>
      <c r="HU375" s="274"/>
      <c r="HV375" s="274"/>
      <c r="HW375" s="274"/>
      <c r="HX375" s="274"/>
      <c r="HY375" s="274"/>
      <c r="HZ375" s="274"/>
      <c r="IA375" s="274"/>
      <c r="IB375" s="274"/>
      <c r="IC375" s="274"/>
      <c r="ID375" s="274"/>
      <c r="IE375" s="274"/>
      <c r="IF375" s="274"/>
      <c r="IG375" s="274"/>
      <c r="IH375" s="274"/>
      <c r="II375" s="274"/>
      <c r="IJ375" s="274"/>
      <c r="IK375" s="274"/>
      <c r="IL375" s="274"/>
      <c r="IM375" s="274"/>
      <c r="IN375" s="274"/>
      <c r="IO375" s="274"/>
      <c r="IP375" s="274"/>
      <c r="IQ375" s="274"/>
      <c r="IR375" s="274"/>
      <c r="IS375" s="274"/>
      <c r="IT375" s="274"/>
      <c r="IU375" s="274"/>
      <c r="IV375" s="274"/>
      <c r="IW375" s="274"/>
      <c r="IX375" s="274"/>
      <c r="IY375" s="274"/>
      <c r="IZ375" s="274"/>
      <c r="JA375" s="274"/>
      <c r="JB375" s="274"/>
      <c r="JC375" s="274"/>
      <c r="JD375" s="274"/>
      <c r="JE375" s="274"/>
      <c r="JF375" s="274"/>
      <c r="JG375" s="274"/>
      <c r="JH375" s="274"/>
      <c r="JI375" s="274"/>
      <c r="JJ375" s="274"/>
      <c r="JK375" s="274"/>
      <c r="JL375" s="274"/>
      <c r="JM375" s="274"/>
      <c r="JN375" s="274"/>
      <c r="JO375" s="274"/>
      <c r="JP375" s="274"/>
      <c r="JQ375" s="274"/>
      <c r="JR375" s="274"/>
      <c r="JS375" s="274"/>
      <c r="JT375" s="274"/>
      <c r="JU375" s="274"/>
      <c r="JV375" s="274"/>
      <c r="JW375" s="274"/>
      <c r="JX375" s="274"/>
      <c r="JY375" s="274"/>
      <c r="JZ375" s="274"/>
      <c r="KA375" s="274"/>
      <c r="KB375" s="274"/>
      <c r="KC375" s="274"/>
      <c r="KD375" s="274"/>
      <c r="KE375" s="274"/>
      <c r="KF375" s="274"/>
      <c r="KG375" s="274"/>
      <c r="KH375" s="274"/>
      <c r="KI375" s="274"/>
      <c r="KJ375" s="274"/>
      <c r="KK375" s="274"/>
      <c r="KL375" s="274"/>
      <c r="KM375" s="274"/>
      <c r="KN375" s="274"/>
      <c r="KO375" s="274"/>
      <c r="KP375" s="274"/>
      <c r="KQ375" s="274"/>
      <c r="KR375" s="274"/>
      <c r="KS375" s="274"/>
      <c r="KT375" s="274"/>
      <c r="KU375" s="274"/>
      <c r="KV375" s="274"/>
      <c r="KW375" s="274"/>
      <c r="KX375" s="274"/>
      <c r="KY375" s="274"/>
      <c r="KZ375" s="274"/>
      <c r="LA375" s="274"/>
      <c r="LB375" s="274"/>
      <c r="LC375" s="274"/>
      <c r="LD375" s="274"/>
      <c r="LE375" s="274"/>
      <c r="LF375" s="274"/>
      <c r="LG375" s="274"/>
      <c r="LH375" s="274"/>
      <c r="LI375" s="274"/>
      <c r="LJ375" s="274"/>
      <c r="LK375" s="274"/>
      <c r="LL375" s="274"/>
      <c r="LM375" s="274"/>
      <c r="LN375" s="274"/>
      <c r="LO375" s="274"/>
      <c r="LP375" s="274"/>
      <c r="LQ375" s="274"/>
      <c r="LR375" s="274"/>
      <c r="LS375" s="274"/>
      <c r="LT375" s="274"/>
      <c r="LU375" s="274"/>
      <c r="LV375" s="274"/>
      <c r="LW375" s="274"/>
      <c r="LX375" s="274"/>
      <c r="LY375" s="274"/>
      <c r="LZ375" s="274"/>
      <c r="MA375" s="274"/>
      <c r="MB375" s="274"/>
      <c r="MC375" s="274"/>
      <c r="MD375" s="274"/>
      <c r="ME375" s="274"/>
      <c r="MF375" s="274"/>
      <c r="MG375" s="274"/>
      <c r="MH375" s="274"/>
      <c r="MI375" s="274"/>
      <c r="MJ375" s="274"/>
      <c r="MK375" s="274"/>
      <c r="ML375" s="274"/>
      <c r="MM375" s="274"/>
      <c r="MN375" s="274"/>
      <c r="MO375" s="274"/>
      <c r="MP375" s="274"/>
      <c r="MQ375" s="274"/>
      <c r="MR375" s="274"/>
      <c r="MS375" s="274"/>
      <c r="MT375" s="274"/>
      <c r="MU375" s="274"/>
      <c r="MV375" s="274"/>
      <c r="MW375" s="274"/>
      <c r="MX375" s="274"/>
      <c r="MY375" s="274"/>
      <c r="MZ375" s="274"/>
      <c r="NA375" s="274"/>
      <c r="NB375" s="274"/>
      <c r="NC375" s="274"/>
      <c r="ND375" s="274"/>
      <c r="NE375" s="274"/>
      <c r="NF375" s="274"/>
      <c r="NG375" s="274"/>
      <c r="NH375" s="274"/>
      <c r="NI375" s="274"/>
      <c r="NJ375" s="274"/>
      <c r="NK375" s="274"/>
      <c r="NL375" s="274"/>
      <c r="NM375" s="274"/>
      <c r="NN375" s="274"/>
      <c r="NO375" s="274"/>
      <c r="NP375" s="274"/>
      <c r="NQ375" s="274"/>
      <c r="NR375" s="274"/>
      <c r="NS375" s="274"/>
      <c r="NT375" s="274"/>
      <c r="NU375" s="274"/>
      <c r="NV375" s="274"/>
      <c r="NW375" s="274"/>
      <c r="NX375" s="274"/>
      <c r="NY375" s="274"/>
      <c r="NZ375" s="274"/>
      <c r="OA375" s="274"/>
      <c r="OB375" s="274"/>
      <c r="OC375" s="274"/>
      <c r="OD375" s="274"/>
      <c r="OE375" s="274"/>
      <c r="OF375" s="274"/>
      <c r="OG375" s="274"/>
      <c r="OH375" s="274"/>
      <c r="OI375" s="274"/>
      <c r="OJ375" s="274"/>
      <c r="OK375" s="274"/>
      <c r="OL375" s="274"/>
      <c r="OM375" s="274"/>
      <c r="ON375" s="274"/>
      <c r="OO375" s="274"/>
      <c r="OP375" s="274"/>
      <c r="OQ375" s="274"/>
      <c r="OR375" s="274"/>
      <c r="OS375" s="274"/>
      <c r="OT375" s="274"/>
      <c r="OU375" s="274"/>
      <c r="OV375" s="274"/>
      <c r="OW375" s="274"/>
      <c r="OX375" s="274"/>
      <c r="OY375" s="274"/>
      <c r="OZ375" s="274"/>
      <c r="PA375" s="274"/>
      <c r="PB375" s="274"/>
      <c r="PC375" s="274"/>
      <c r="PD375" s="274"/>
      <c r="PE375" s="274"/>
      <c r="PF375" s="274"/>
      <c r="PG375" s="274"/>
      <c r="PH375" s="274"/>
      <c r="PI375" s="274"/>
      <c r="PJ375" s="274"/>
      <c r="PK375" s="274"/>
      <c r="PL375" s="274"/>
      <c r="PM375" s="274"/>
      <c r="PN375" s="274"/>
      <c r="PO375" s="274"/>
      <c r="PP375" s="274"/>
      <c r="PQ375" s="274"/>
      <c r="PR375" s="274"/>
      <c r="PS375" s="274"/>
      <c r="PT375" s="274"/>
      <c r="PU375" s="274"/>
      <c r="PV375" s="274"/>
      <c r="PW375" s="274"/>
      <c r="PX375" s="274"/>
      <c r="PY375" s="274"/>
      <c r="PZ375" s="274"/>
      <c r="QA375" s="274"/>
      <c r="QB375" s="274"/>
      <c r="QC375" s="274"/>
      <c r="QD375" s="274"/>
      <c r="QE375" s="274"/>
      <c r="QF375" s="274"/>
      <c r="QG375" s="274"/>
      <c r="QH375" s="274"/>
      <c r="QI375" s="274"/>
      <c r="QJ375" s="274"/>
      <c r="QK375" s="274"/>
      <c r="QL375" s="274"/>
      <c r="QM375" s="274"/>
      <c r="QN375" s="274"/>
      <c r="QO375" s="274"/>
      <c r="QP375" s="274"/>
      <c r="QQ375" s="274"/>
      <c r="QR375" s="274"/>
      <c r="QS375" s="274"/>
      <c r="QT375" s="274"/>
      <c r="QU375" s="274"/>
      <c r="QV375" s="274"/>
      <c r="QW375" s="274"/>
      <c r="QX375" s="274"/>
      <c r="QY375" s="274"/>
      <c r="QZ375" s="274"/>
      <c r="RA375" s="274"/>
      <c r="RB375" s="274"/>
      <c r="RC375" s="274"/>
    </row>
    <row r="376" spans="112:471" ht="17.25">
      <c r="DH376" s="274"/>
      <c r="DI376" s="274"/>
      <c r="DJ376" s="978"/>
      <c r="DK376" s="978"/>
      <c r="DL376" s="978"/>
      <c r="DM376" s="978"/>
      <c r="DN376" s="978"/>
      <c r="DO376" s="978"/>
      <c r="DP376" s="978"/>
      <c r="DQ376" s="978"/>
      <c r="DR376" s="978"/>
      <c r="DS376" s="978"/>
      <c r="DT376" s="978"/>
      <c r="DU376" s="978"/>
      <c r="DV376" s="978"/>
      <c r="DW376" s="978"/>
      <c r="DX376" s="978"/>
      <c r="DY376" s="978"/>
      <c r="DZ376" s="978"/>
      <c r="EA376" s="978"/>
      <c r="EB376" s="978"/>
      <c r="EC376" s="978"/>
      <c r="ED376" s="978"/>
      <c r="EE376" s="978"/>
      <c r="EF376" s="978"/>
      <c r="EG376" s="978"/>
      <c r="EH376" s="978"/>
      <c r="EI376" s="978"/>
      <c r="EJ376" s="978"/>
      <c r="EK376" s="978"/>
      <c r="EL376" s="978"/>
      <c r="EM376" s="978"/>
      <c r="EN376" s="978"/>
      <c r="EO376" s="978"/>
      <c r="EP376" s="978"/>
      <c r="EQ376" s="978"/>
      <c r="ER376" s="978"/>
      <c r="ES376" s="978"/>
      <c r="ET376" s="978"/>
      <c r="EU376" s="978"/>
      <c r="EV376" s="978"/>
      <c r="EW376" s="978"/>
      <c r="EX376" s="978"/>
      <c r="EY376" s="978"/>
      <c r="EZ376" s="978"/>
      <c r="FA376" s="978"/>
      <c r="FB376" s="978"/>
      <c r="FC376" s="978"/>
      <c r="FD376" s="978"/>
      <c r="FE376" s="978"/>
      <c r="FF376" s="978"/>
      <c r="FG376" s="978"/>
      <c r="FH376" s="978"/>
      <c r="FI376" s="978"/>
      <c r="FJ376" s="978"/>
      <c r="FK376" s="978"/>
      <c r="FL376" s="978"/>
      <c r="FM376" s="978"/>
      <c r="FN376" s="978"/>
      <c r="FO376" s="978"/>
      <c r="FP376" s="978"/>
      <c r="FQ376" s="978"/>
      <c r="FR376" s="978"/>
      <c r="FS376" s="978"/>
      <c r="FT376" s="978"/>
      <c r="FU376" s="978"/>
      <c r="FV376" s="978"/>
      <c r="FW376" s="978"/>
      <c r="FX376" s="978"/>
      <c r="FY376" s="978"/>
      <c r="FZ376" s="978"/>
      <c r="GA376" s="978"/>
      <c r="GB376" s="978"/>
      <c r="GC376" s="978"/>
      <c r="GD376" s="978"/>
      <c r="GE376" s="978"/>
      <c r="GF376" s="978"/>
      <c r="GG376" s="978"/>
      <c r="GH376" s="978"/>
      <c r="GI376" s="978"/>
      <c r="GJ376" s="978"/>
      <c r="GK376" s="978"/>
      <c r="GL376" s="978"/>
      <c r="GM376" s="978"/>
      <c r="GN376" s="978"/>
      <c r="GO376" s="978"/>
      <c r="GP376" s="978"/>
      <c r="GQ376" s="978"/>
      <c r="GR376" s="978"/>
      <c r="GS376" s="978"/>
      <c r="GT376" s="978"/>
      <c r="GU376" s="978"/>
      <c r="GV376" s="978"/>
      <c r="GW376" s="978"/>
      <c r="GX376" s="978"/>
      <c r="GY376" s="978"/>
      <c r="GZ376" s="978"/>
      <c r="HA376" s="978"/>
      <c r="HB376" s="978"/>
      <c r="HC376" s="978"/>
      <c r="HD376" s="978"/>
      <c r="HE376" s="978"/>
      <c r="HF376" s="978"/>
      <c r="HG376" s="978"/>
      <c r="HH376" s="978"/>
      <c r="HI376" s="978"/>
      <c r="HJ376" s="978"/>
      <c r="HK376" s="978"/>
      <c r="HL376" s="978"/>
      <c r="HM376" s="978"/>
      <c r="HN376" s="978"/>
      <c r="HO376" s="978"/>
      <c r="HP376" s="978"/>
      <c r="HQ376" s="978"/>
      <c r="HR376" s="978"/>
      <c r="HS376" s="978"/>
      <c r="HT376" s="978"/>
      <c r="HU376" s="978"/>
      <c r="HV376" s="978"/>
      <c r="HW376" s="978"/>
      <c r="HX376" s="978"/>
      <c r="HY376" s="978"/>
      <c r="HZ376" s="978"/>
      <c r="IA376" s="978"/>
      <c r="IB376" s="978"/>
      <c r="IC376" s="978"/>
      <c r="ID376" s="978"/>
      <c r="IE376" s="978"/>
      <c r="IF376" s="978"/>
      <c r="IG376" s="978"/>
      <c r="IH376" s="978"/>
      <c r="II376" s="978"/>
      <c r="IJ376" s="978"/>
      <c r="IK376" s="978"/>
      <c r="IL376" s="978"/>
      <c r="IM376" s="978"/>
      <c r="IN376" s="978"/>
      <c r="IO376" s="978"/>
      <c r="IP376" s="978"/>
      <c r="IQ376" s="978"/>
      <c r="IR376" s="978"/>
      <c r="IS376" s="978"/>
      <c r="IT376" s="978"/>
      <c r="IU376" s="978"/>
      <c r="IV376" s="978"/>
      <c r="IW376" s="978"/>
      <c r="IX376" s="978"/>
      <c r="IY376" s="978"/>
      <c r="IZ376" s="978"/>
      <c r="JA376" s="978"/>
      <c r="JB376" s="978"/>
      <c r="JC376" s="978"/>
      <c r="JD376" s="978"/>
      <c r="JE376" s="978"/>
      <c r="JF376" s="978"/>
      <c r="JG376" s="978"/>
      <c r="JH376" s="978"/>
      <c r="JI376" s="978"/>
      <c r="JJ376" s="978"/>
      <c r="JK376" s="978"/>
      <c r="JL376" s="978"/>
      <c r="JM376" s="978"/>
      <c r="JN376" s="978"/>
      <c r="JO376" s="978"/>
      <c r="JP376" s="978"/>
      <c r="JQ376" s="978"/>
      <c r="JR376" s="978"/>
      <c r="JS376" s="978"/>
      <c r="JT376" s="978"/>
      <c r="JU376" s="978"/>
      <c r="JV376" s="978"/>
      <c r="JW376" s="978"/>
      <c r="JX376" s="978"/>
      <c r="JY376" s="978"/>
      <c r="JZ376" s="978"/>
      <c r="KA376" s="978"/>
      <c r="KB376" s="978"/>
      <c r="KC376" s="978"/>
      <c r="KD376" s="978"/>
      <c r="KE376" s="978"/>
      <c r="KF376" s="978"/>
      <c r="KG376" s="978"/>
      <c r="KH376" s="978"/>
      <c r="KI376" s="978"/>
      <c r="KJ376" s="978"/>
      <c r="KK376" s="978"/>
      <c r="KL376" s="978"/>
      <c r="KM376" s="978"/>
      <c r="KN376" s="978"/>
      <c r="KO376" s="978"/>
      <c r="KP376" s="978"/>
      <c r="KQ376" s="978"/>
      <c r="KR376" s="978"/>
      <c r="KS376" s="978"/>
      <c r="KT376" s="978"/>
      <c r="KU376" s="978"/>
      <c r="KV376" s="978"/>
      <c r="KW376" s="978"/>
      <c r="KX376" s="978"/>
      <c r="KY376" s="978"/>
      <c r="KZ376" s="978"/>
      <c r="LA376" s="978"/>
      <c r="LB376" s="978"/>
      <c r="LC376" s="978"/>
      <c r="LD376" s="978"/>
      <c r="LE376" s="978"/>
      <c r="LF376" s="978"/>
      <c r="LG376" s="978"/>
      <c r="LH376" s="978"/>
      <c r="LI376" s="978"/>
      <c r="LJ376" s="978"/>
      <c r="LK376" s="978"/>
      <c r="LL376" s="978"/>
      <c r="LM376" s="978"/>
      <c r="LN376" s="978"/>
      <c r="LO376" s="978"/>
      <c r="LP376" s="978"/>
      <c r="LQ376" s="978"/>
      <c r="LR376" s="978"/>
      <c r="LS376" s="978"/>
      <c r="LT376" s="978"/>
      <c r="LU376" s="978"/>
      <c r="LV376" s="978"/>
      <c r="LW376" s="978"/>
      <c r="LX376" s="978"/>
      <c r="LY376" s="978"/>
      <c r="LZ376" s="978"/>
      <c r="MA376" s="978"/>
      <c r="MB376" s="978"/>
      <c r="MC376" s="978"/>
      <c r="MD376" s="978"/>
      <c r="ME376" s="978"/>
      <c r="MF376" s="978"/>
      <c r="MG376" s="978"/>
      <c r="MH376" s="978"/>
      <c r="MI376" s="978"/>
      <c r="MJ376" s="978"/>
      <c r="MK376" s="978"/>
      <c r="ML376" s="978"/>
      <c r="MM376" s="978"/>
      <c r="MN376" s="978"/>
      <c r="MO376" s="978"/>
      <c r="MP376" s="978"/>
      <c r="MQ376" s="978"/>
      <c r="MR376" s="978"/>
      <c r="MS376" s="978"/>
      <c r="MT376" s="978"/>
      <c r="MU376" s="978"/>
      <c r="MV376" s="978"/>
      <c r="MW376" s="978"/>
      <c r="MX376" s="978"/>
      <c r="MY376" s="978"/>
      <c r="MZ376" s="978"/>
      <c r="NA376" s="978"/>
      <c r="NB376" s="978"/>
      <c r="NC376" s="978"/>
      <c r="ND376" s="978"/>
      <c r="NE376" s="978"/>
      <c r="NF376" s="978"/>
      <c r="NG376" s="978"/>
      <c r="NH376" s="978"/>
      <c r="NI376" s="978"/>
      <c r="NJ376" s="978"/>
      <c r="NK376" s="978"/>
      <c r="NL376" s="978"/>
      <c r="NM376" s="978"/>
      <c r="NN376" s="978"/>
      <c r="NO376" s="978"/>
      <c r="NP376" s="978"/>
      <c r="NQ376" s="978"/>
      <c r="NR376" s="978"/>
      <c r="NS376" s="978"/>
      <c r="NT376" s="978"/>
      <c r="NU376" s="978"/>
      <c r="NV376" s="978"/>
      <c r="NW376" s="978"/>
      <c r="NX376" s="978"/>
      <c r="NY376" s="978"/>
      <c r="NZ376" s="978"/>
      <c r="OA376" s="978"/>
      <c r="OB376" s="978"/>
      <c r="OC376" s="978"/>
      <c r="OD376" s="978"/>
      <c r="OE376" s="978"/>
      <c r="OF376" s="978"/>
      <c r="OG376" s="978"/>
      <c r="OH376" s="978"/>
      <c r="OI376" s="978"/>
      <c r="OJ376" s="978"/>
      <c r="OK376" s="978"/>
      <c r="OL376" s="978"/>
      <c r="OM376" s="978"/>
      <c r="ON376" s="978"/>
      <c r="OO376" s="978"/>
      <c r="OP376" s="978"/>
      <c r="OQ376" s="978"/>
      <c r="OR376" s="978"/>
      <c r="OS376" s="978"/>
      <c r="OT376" s="978"/>
      <c r="OU376" s="978"/>
      <c r="OV376" s="978"/>
      <c r="OW376" s="978"/>
      <c r="OX376" s="978"/>
      <c r="OY376" s="978"/>
      <c r="OZ376" s="978"/>
      <c r="PA376" s="978"/>
      <c r="PB376" s="978"/>
      <c r="PC376" s="978"/>
      <c r="PD376" s="978"/>
      <c r="PE376" s="978"/>
      <c r="PF376" s="978"/>
      <c r="PG376" s="978"/>
      <c r="PH376" s="978"/>
      <c r="PI376" s="978"/>
      <c r="PJ376" s="978"/>
      <c r="PK376" s="978"/>
      <c r="PL376" s="978"/>
      <c r="PM376" s="978"/>
      <c r="PN376" s="978"/>
      <c r="PO376" s="978"/>
      <c r="PP376" s="978"/>
      <c r="PQ376" s="978"/>
      <c r="PR376" s="978"/>
      <c r="PS376" s="978"/>
      <c r="PT376" s="978"/>
      <c r="PU376" s="978"/>
      <c r="PV376" s="978"/>
      <c r="PW376" s="978"/>
      <c r="PX376" s="978"/>
      <c r="PY376" s="978"/>
      <c r="PZ376" s="978"/>
      <c r="QA376" s="978"/>
      <c r="QB376" s="978"/>
      <c r="QC376" s="978"/>
      <c r="QD376" s="978"/>
      <c r="QE376" s="978"/>
      <c r="QF376" s="978"/>
      <c r="QG376" s="978"/>
      <c r="QH376" s="978"/>
      <c r="QI376" s="978"/>
      <c r="QJ376" s="978"/>
      <c r="QK376" s="978"/>
      <c r="QL376" s="978"/>
      <c r="QM376" s="978"/>
      <c r="QN376" s="978"/>
      <c r="QO376" s="978"/>
      <c r="QP376" s="978"/>
      <c r="QQ376" s="978"/>
      <c r="QR376" s="978"/>
      <c r="QS376" s="978"/>
      <c r="QT376" s="978"/>
      <c r="QU376" s="978"/>
      <c r="QV376" s="978"/>
      <c r="QW376" s="978"/>
      <c r="QX376" s="978"/>
      <c r="QY376" s="978"/>
      <c r="QZ376" s="978"/>
      <c r="RA376" s="978"/>
      <c r="RB376" s="274"/>
      <c r="RC376" s="274"/>
    </row>
    <row r="377" spans="112:471" ht="17.25">
      <c r="DH377" s="274"/>
      <c r="DI377" s="274"/>
      <c r="DJ377" s="978"/>
      <c r="DK377" s="978"/>
      <c r="DL377" s="978"/>
      <c r="DM377" s="978"/>
      <c r="DN377" s="978"/>
      <c r="DO377" s="978"/>
      <c r="DP377" s="978"/>
      <c r="DQ377" s="978"/>
      <c r="DR377" s="978"/>
      <c r="DS377" s="978"/>
      <c r="DT377" s="978"/>
      <c r="DU377" s="978"/>
      <c r="DV377" s="978"/>
      <c r="DW377" s="978"/>
      <c r="DX377" s="978"/>
      <c r="DY377" s="978"/>
      <c r="DZ377" s="978"/>
      <c r="EA377" s="978"/>
      <c r="EB377" s="978"/>
      <c r="EC377" s="978"/>
      <c r="ED377" s="978"/>
      <c r="EE377" s="978"/>
      <c r="EF377" s="978"/>
      <c r="EG377" s="978"/>
      <c r="EH377" s="978"/>
      <c r="EI377" s="978"/>
      <c r="EJ377" s="978"/>
      <c r="EK377" s="978"/>
      <c r="EL377" s="978"/>
      <c r="EM377" s="978"/>
      <c r="EN377" s="978"/>
      <c r="EO377" s="978"/>
      <c r="EP377" s="978"/>
      <c r="EQ377" s="978"/>
      <c r="ER377" s="978"/>
      <c r="ES377" s="978"/>
      <c r="ET377" s="978"/>
      <c r="EU377" s="978"/>
      <c r="EV377" s="978"/>
      <c r="EW377" s="978"/>
      <c r="EX377" s="978"/>
      <c r="EY377" s="978"/>
      <c r="EZ377" s="978"/>
      <c r="FA377" s="978"/>
      <c r="FB377" s="978"/>
      <c r="FC377" s="978"/>
      <c r="FD377" s="978"/>
      <c r="FE377" s="978"/>
      <c r="FF377" s="978"/>
      <c r="FG377" s="978"/>
      <c r="FH377" s="978"/>
      <c r="FI377" s="978"/>
      <c r="FJ377" s="978"/>
      <c r="FK377" s="978"/>
      <c r="FL377" s="978"/>
      <c r="FM377" s="978"/>
      <c r="FN377" s="978"/>
      <c r="FO377" s="978"/>
      <c r="FP377" s="978"/>
      <c r="FQ377" s="978"/>
      <c r="FR377" s="978"/>
      <c r="FS377" s="978"/>
      <c r="FT377" s="978"/>
      <c r="FU377" s="978"/>
      <c r="FV377" s="978"/>
      <c r="FW377" s="978"/>
      <c r="FX377" s="978"/>
      <c r="FY377" s="978"/>
      <c r="FZ377" s="978"/>
      <c r="GA377" s="978"/>
      <c r="GB377" s="978"/>
      <c r="GC377" s="978"/>
      <c r="GD377" s="978"/>
      <c r="GE377" s="978"/>
      <c r="GF377" s="978"/>
      <c r="GG377" s="978"/>
      <c r="GH377" s="978"/>
      <c r="GI377" s="978"/>
      <c r="GJ377" s="978"/>
      <c r="GK377" s="978"/>
      <c r="GL377" s="978"/>
      <c r="GM377" s="978"/>
      <c r="GN377" s="978"/>
      <c r="GO377" s="978"/>
      <c r="GP377" s="978"/>
      <c r="GQ377" s="978"/>
      <c r="GR377" s="978"/>
      <c r="GS377" s="978"/>
      <c r="GT377" s="978"/>
      <c r="GU377" s="978"/>
      <c r="GV377" s="978"/>
      <c r="GW377" s="978"/>
      <c r="GX377" s="978"/>
      <c r="GY377" s="978"/>
      <c r="GZ377" s="978"/>
      <c r="HA377" s="978"/>
      <c r="HB377" s="978"/>
      <c r="HC377" s="978"/>
      <c r="HD377" s="978"/>
      <c r="HE377" s="978"/>
      <c r="HF377" s="978"/>
      <c r="HG377" s="978"/>
      <c r="HH377" s="978"/>
      <c r="HI377" s="978"/>
      <c r="HJ377" s="978"/>
      <c r="HK377" s="978"/>
      <c r="HL377" s="978"/>
      <c r="HM377" s="978"/>
      <c r="HN377" s="978"/>
      <c r="HO377" s="978"/>
      <c r="HP377" s="978"/>
      <c r="HQ377" s="978"/>
      <c r="HR377" s="978"/>
      <c r="HS377" s="978"/>
      <c r="HT377" s="978"/>
      <c r="HU377" s="978"/>
      <c r="HV377" s="978"/>
      <c r="HW377" s="978"/>
      <c r="HX377" s="978"/>
      <c r="HY377" s="978"/>
      <c r="HZ377" s="978"/>
      <c r="IA377" s="978"/>
      <c r="IB377" s="978"/>
      <c r="IC377" s="978"/>
      <c r="ID377" s="978"/>
      <c r="IE377" s="978"/>
      <c r="IF377" s="978"/>
      <c r="IG377" s="978"/>
      <c r="IH377" s="978"/>
      <c r="II377" s="978"/>
      <c r="IJ377" s="978"/>
      <c r="IK377" s="978"/>
      <c r="IL377" s="978"/>
      <c r="IM377" s="978"/>
      <c r="IN377" s="978"/>
      <c r="IO377" s="978"/>
      <c r="IP377" s="978"/>
      <c r="IQ377" s="978"/>
      <c r="IR377" s="978"/>
      <c r="IS377" s="978"/>
      <c r="IT377" s="978"/>
      <c r="IU377" s="978"/>
      <c r="IV377" s="978"/>
      <c r="IW377" s="978"/>
      <c r="IX377" s="978"/>
      <c r="IY377" s="978"/>
      <c r="IZ377" s="978"/>
      <c r="JA377" s="978"/>
      <c r="JB377" s="978"/>
      <c r="JC377" s="978"/>
      <c r="JD377" s="978"/>
      <c r="JE377" s="978"/>
      <c r="JF377" s="978"/>
      <c r="JG377" s="978"/>
      <c r="JH377" s="978"/>
      <c r="JI377" s="978"/>
      <c r="JJ377" s="978"/>
      <c r="JK377" s="978"/>
      <c r="JL377" s="978"/>
      <c r="JM377" s="978"/>
      <c r="JN377" s="978"/>
      <c r="JO377" s="978"/>
      <c r="JP377" s="978"/>
      <c r="JQ377" s="978"/>
      <c r="JR377" s="978"/>
      <c r="JS377" s="978"/>
      <c r="JT377" s="978"/>
      <c r="JU377" s="978"/>
      <c r="JV377" s="978"/>
      <c r="JW377" s="978"/>
      <c r="JX377" s="978"/>
      <c r="JY377" s="978"/>
      <c r="JZ377" s="978"/>
      <c r="KA377" s="978"/>
      <c r="KB377" s="978"/>
      <c r="KC377" s="978"/>
      <c r="KD377" s="978"/>
      <c r="KE377" s="978"/>
      <c r="KF377" s="978"/>
      <c r="KG377" s="978"/>
      <c r="KH377" s="978"/>
      <c r="KI377" s="978"/>
      <c r="KJ377" s="978"/>
      <c r="KK377" s="978"/>
      <c r="KL377" s="978"/>
      <c r="KM377" s="978"/>
      <c r="KN377" s="978"/>
      <c r="KO377" s="978"/>
      <c r="KP377" s="978"/>
      <c r="KQ377" s="978"/>
      <c r="KR377" s="978"/>
      <c r="KS377" s="978"/>
      <c r="KT377" s="978"/>
      <c r="KU377" s="978"/>
      <c r="KV377" s="978"/>
      <c r="KW377" s="978"/>
      <c r="KX377" s="978"/>
      <c r="KY377" s="978"/>
      <c r="KZ377" s="978"/>
      <c r="LA377" s="978"/>
      <c r="LB377" s="978"/>
      <c r="LC377" s="978"/>
      <c r="LD377" s="978"/>
      <c r="LE377" s="978"/>
      <c r="LF377" s="978"/>
      <c r="LG377" s="978"/>
      <c r="LH377" s="978"/>
      <c r="LI377" s="978"/>
      <c r="LJ377" s="978"/>
      <c r="LK377" s="978"/>
      <c r="LL377" s="978"/>
      <c r="LM377" s="978"/>
      <c r="LN377" s="978"/>
      <c r="LO377" s="978"/>
      <c r="LP377" s="978"/>
      <c r="LQ377" s="978"/>
      <c r="LR377" s="978"/>
      <c r="LS377" s="978"/>
      <c r="LT377" s="978"/>
      <c r="LU377" s="978"/>
      <c r="LV377" s="978"/>
      <c r="LW377" s="978"/>
      <c r="LX377" s="978"/>
      <c r="LY377" s="978"/>
      <c r="LZ377" s="978"/>
      <c r="MA377" s="978"/>
      <c r="MB377" s="978"/>
      <c r="MC377" s="978"/>
      <c r="MD377" s="978"/>
      <c r="ME377" s="978"/>
      <c r="MF377" s="978"/>
      <c r="MG377" s="978"/>
      <c r="MH377" s="978"/>
      <c r="MI377" s="978"/>
      <c r="MJ377" s="978"/>
      <c r="MK377" s="978"/>
      <c r="ML377" s="978"/>
      <c r="MM377" s="978"/>
      <c r="MN377" s="978"/>
      <c r="MO377" s="978"/>
      <c r="MP377" s="978"/>
      <c r="MQ377" s="978"/>
      <c r="MR377" s="978"/>
      <c r="MS377" s="978"/>
      <c r="MT377" s="978"/>
      <c r="MU377" s="978"/>
      <c r="MV377" s="978"/>
      <c r="MW377" s="978"/>
      <c r="MX377" s="978"/>
      <c r="MY377" s="978"/>
      <c r="MZ377" s="978"/>
      <c r="NA377" s="978"/>
      <c r="NB377" s="978"/>
      <c r="NC377" s="978"/>
      <c r="ND377" s="978"/>
      <c r="NE377" s="978"/>
      <c r="NF377" s="978"/>
      <c r="NG377" s="978"/>
      <c r="NH377" s="978"/>
      <c r="NI377" s="978"/>
      <c r="NJ377" s="978"/>
      <c r="NK377" s="978"/>
      <c r="NL377" s="978"/>
      <c r="NM377" s="978"/>
      <c r="NN377" s="978"/>
      <c r="NO377" s="978"/>
      <c r="NP377" s="978"/>
      <c r="NQ377" s="978"/>
      <c r="NR377" s="978"/>
      <c r="NS377" s="978"/>
      <c r="NT377" s="978"/>
      <c r="NU377" s="978"/>
      <c r="NV377" s="978"/>
      <c r="NW377" s="978"/>
      <c r="NX377" s="978"/>
      <c r="NY377" s="978"/>
      <c r="NZ377" s="978"/>
      <c r="OA377" s="978"/>
      <c r="OB377" s="978"/>
      <c r="OC377" s="978"/>
      <c r="OD377" s="978"/>
      <c r="OE377" s="978"/>
      <c r="OF377" s="978"/>
      <c r="OG377" s="978"/>
      <c r="OH377" s="978"/>
      <c r="OI377" s="978"/>
      <c r="OJ377" s="978"/>
      <c r="OK377" s="978"/>
      <c r="OL377" s="978"/>
      <c r="OM377" s="978"/>
      <c r="ON377" s="978"/>
      <c r="OO377" s="978"/>
      <c r="OP377" s="978"/>
      <c r="OQ377" s="978"/>
      <c r="OR377" s="978"/>
      <c r="OS377" s="978"/>
      <c r="OT377" s="978"/>
      <c r="OU377" s="978"/>
      <c r="OV377" s="978"/>
      <c r="OW377" s="978"/>
      <c r="OX377" s="978"/>
      <c r="OY377" s="978"/>
      <c r="OZ377" s="978"/>
      <c r="PA377" s="978"/>
      <c r="PB377" s="978"/>
      <c r="PC377" s="978"/>
      <c r="PD377" s="978"/>
      <c r="PE377" s="978"/>
      <c r="PF377" s="978"/>
      <c r="PG377" s="978"/>
      <c r="PH377" s="978"/>
      <c r="PI377" s="978"/>
      <c r="PJ377" s="978"/>
      <c r="PK377" s="978"/>
      <c r="PL377" s="978"/>
      <c r="PM377" s="978"/>
      <c r="PN377" s="978"/>
      <c r="PO377" s="978"/>
      <c r="PP377" s="978"/>
      <c r="PQ377" s="978"/>
      <c r="PR377" s="978"/>
      <c r="PS377" s="978"/>
      <c r="PT377" s="978"/>
      <c r="PU377" s="978"/>
      <c r="PV377" s="978"/>
      <c r="PW377" s="978"/>
      <c r="PX377" s="978"/>
      <c r="PY377" s="978"/>
      <c r="PZ377" s="978"/>
      <c r="QA377" s="978"/>
      <c r="QB377" s="978"/>
      <c r="QC377" s="978"/>
      <c r="QD377" s="978"/>
      <c r="QE377" s="978"/>
      <c r="QF377" s="978"/>
      <c r="QG377" s="978"/>
      <c r="QH377" s="978"/>
      <c r="QI377" s="978"/>
      <c r="QJ377" s="978"/>
      <c r="QK377" s="978"/>
      <c r="QL377" s="978"/>
      <c r="QM377" s="978"/>
      <c r="QN377" s="978"/>
      <c r="QO377" s="978"/>
      <c r="QP377" s="978"/>
      <c r="QQ377" s="978"/>
      <c r="QR377" s="978"/>
      <c r="QS377" s="978"/>
      <c r="QT377" s="978"/>
      <c r="QU377" s="978"/>
      <c r="QV377" s="978"/>
      <c r="QW377" s="978"/>
      <c r="QX377" s="978"/>
      <c r="QY377" s="978"/>
      <c r="QZ377" s="978"/>
      <c r="RA377" s="978"/>
      <c r="RB377" s="274"/>
      <c r="RC377" s="274"/>
    </row>
    <row r="378" spans="112:471" ht="17.25">
      <c r="DH378" s="274"/>
      <c r="DI378" s="274"/>
      <c r="DJ378" s="978"/>
      <c r="DK378" s="978"/>
      <c r="DL378" s="978"/>
      <c r="DM378" s="978"/>
      <c r="DN378" s="978"/>
      <c r="DO378" s="978"/>
      <c r="DP378" s="978"/>
      <c r="DQ378" s="978"/>
      <c r="DR378" s="978"/>
      <c r="DS378" s="978"/>
      <c r="DT378" s="978"/>
      <c r="DU378" s="978"/>
      <c r="DV378" s="978"/>
      <c r="DW378" s="978"/>
      <c r="DX378" s="978"/>
      <c r="DY378" s="978"/>
      <c r="DZ378" s="978"/>
      <c r="EA378" s="978"/>
      <c r="EB378" s="978"/>
      <c r="EC378" s="978"/>
      <c r="ED378" s="978"/>
      <c r="EE378" s="978"/>
      <c r="EF378" s="978"/>
      <c r="EG378" s="978"/>
      <c r="EH378" s="978"/>
      <c r="EI378" s="978"/>
      <c r="EJ378" s="978"/>
      <c r="EK378" s="978"/>
      <c r="EL378" s="978"/>
      <c r="EM378" s="978"/>
      <c r="EN378" s="978"/>
      <c r="EO378" s="978"/>
      <c r="EP378" s="978"/>
      <c r="EQ378" s="978"/>
      <c r="ER378" s="978"/>
      <c r="ES378" s="978"/>
      <c r="ET378" s="978"/>
      <c r="EU378" s="978"/>
      <c r="EV378" s="978"/>
      <c r="EW378" s="978"/>
      <c r="EX378" s="978"/>
      <c r="EY378" s="978"/>
      <c r="EZ378" s="978"/>
      <c r="FA378" s="978"/>
      <c r="FB378" s="978"/>
      <c r="FC378" s="978"/>
      <c r="FD378" s="978"/>
      <c r="FE378" s="978"/>
      <c r="FF378" s="978"/>
      <c r="FG378" s="978"/>
      <c r="FH378" s="978"/>
      <c r="FI378" s="978"/>
      <c r="FJ378" s="978"/>
      <c r="FK378" s="978"/>
      <c r="FL378" s="978"/>
      <c r="FM378" s="978"/>
      <c r="FN378" s="978"/>
      <c r="FO378" s="978"/>
      <c r="FP378" s="978"/>
      <c r="FQ378" s="978"/>
      <c r="FR378" s="978"/>
      <c r="FS378" s="978"/>
      <c r="FT378" s="978"/>
      <c r="FU378" s="978"/>
      <c r="FV378" s="978"/>
      <c r="FW378" s="978"/>
      <c r="FX378" s="978"/>
      <c r="FY378" s="978"/>
      <c r="FZ378" s="978"/>
      <c r="GA378" s="978"/>
      <c r="GB378" s="978"/>
      <c r="GC378" s="978"/>
      <c r="GD378" s="978"/>
      <c r="GE378" s="978"/>
      <c r="GF378" s="978"/>
      <c r="GG378" s="978"/>
      <c r="GH378" s="978"/>
      <c r="GI378" s="978"/>
      <c r="GJ378" s="978"/>
      <c r="GK378" s="978"/>
      <c r="GL378" s="978"/>
      <c r="GM378" s="978"/>
      <c r="GN378" s="978"/>
      <c r="GO378" s="978"/>
      <c r="GP378" s="978"/>
      <c r="GQ378" s="978"/>
      <c r="GR378" s="978"/>
      <c r="GS378" s="978"/>
      <c r="GT378" s="978"/>
      <c r="GU378" s="978"/>
      <c r="GV378" s="978"/>
      <c r="GW378" s="978"/>
      <c r="GX378" s="978"/>
      <c r="GY378" s="978"/>
      <c r="GZ378" s="978"/>
      <c r="HA378" s="978"/>
      <c r="HB378" s="978"/>
      <c r="HC378" s="978"/>
      <c r="HD378" s="978"/>
      <c r="HE378" s="978"/>
      <c r="HF378" s="978"/>
      <c r="HG378" s="978"/>
      <c r="HH378" s="978"/>
      <c r="HI378" s="978"/>
      <c r="HJ378" s="978"/>
      <c r="HK378" s="978"/>
      <c r="HL378" s="978"/>
      <c r="HM378" s="978"/>
      <c r="HN378" s="978"/>
      <c r="HO378" s="978"/>
      <c r="HP378" s="978"/>
      <c r="HQ378" s="978"/>
      <c r="HR378" s="978"/>
      <c r="HS378" s="978"/>
      <c r="HT378" s="978"/>
      <c r="HU378" s="978"/>
      <c r="HV378" s="978"/>
      <c r="HW378" s="978"/>
      <c r="HX378" s="978"/>
      <c r="HY378" s="978"/>
      <c r="HZ378" s="978"/>
      <c r="IA378" s="978"/>
      <c r="IB378" s="978"/>
      <c r="IC378" s="978"/>
      <c r="ID378" s="978"/>
      <c r="IE378" s="978"/>
      <c r="IF378" s="978"/>
      <c r="IG378" s="978"/>
      <c r="IH378" s="978"/>
      <c r="II378" s="978"/>
      <c r="IJ378" s="978"/>
      <c r="IK378" s="978"/>
      <c r="IL378" s="978"/>
      <c r="IM378" s="978"/>
      <c r="IN378" s="978"/>
      <c r="IO378" s="978"/>
      <c r="IP378" s="978"/>
      <c r="IQ378" s="978"/>
      <c r="IR378" s="978"/>
      <c r="IS378" s="978"/>
      <c r="IT378" s="978"/>
      <c r="IU378" s="978"/>
      <c r="IV378" s="978"/>
      <c r="IW378" s="978"/>
      <c r="IX378" s="978"/>
      <c r="IY378" s="978"/>
      <c r="IZ378" s="978"/>
      <c r="JA378" s="978"/>
      <c r="JB378" s="978"/>
      <c r="JC378" s="978"/>
      <c r="JD378" s="978"/>
      <c r="JE378" s="978"/>
      <c r="JF378" s="978"/>
      <c r="JG378" s="978"/>
      <c r="JH378" s="978"/>
      <c r="JI378" s="978"/>
      <c r="JJ378" s="978"/>
      <c r="JK378" s="978"/>
      <c r="JL378" s="978"/>
      <c r="JM378" s="978"/>
      <c r="JN378" s="978"/>
      <c r="JO378" s="978"/>
      <c r="JP378" s="978"/>
      <c r="JQ378" s="978"/>
      <c r="JR378" s="978"/>
      <c r="JS378" s="978"/>
      <c r="JT378" s="978"/>
      <c r="JU378" s="978"/>
      <c r="JV378" s="978"/>
      <c r="JW378" s="978"/>
      <c r="JX378" s="978"/>
      <c r="JY378" s="978"/>
      <c r="JZ378" s="978"/>
      <c r="KA378" s="978"/>
      <c r="KB378" s="978"/>
      <c r="KC378" s="978"/>
      <c r="KD378" s="978"/>
      <c r="KE378" s="978"/>
      <c r="KF378" s="978"/>
      <c r="KG378" s="978"/>
      <c r="KH378" s="978"/>
      <c r="KI378" s="978"/>
      <c r="KJ378" s="978"/>
      <c r="KK378" s="978"/>
      <c r="KL378" s="978"/>
      <c r="KM378" s="978"/>
      <c r="KN378" s="978"/>
      <c r="KO378" s="978"/>
      <c r="KP378" s="978"/>
      <c r="KQ378" s="978"/>
      <c r="KR378" s="978"/>
      <c r="KS378" s="978"/>
      <c r="KT378" s="978"/>
      <c r="KU378" s="978"/>
      <c r="KV378" s="978"/>
      <c r="KW378" s="978"/>
      <c r="KX378" s="978"/>
      <c r="KY378" s="978"/>
      <c r="KZ378" s="978"/>
      <c r="LA378" s="978"/>
      <c r="LB378" s="978"/>
      <c r="LC378" s="978"/>
      <c r="LD378" s="978"/>
      <c r="LE378" s="978"/>
      <c r="LF378" s="978"/>
      <c r="LG378" s="978"/>
      <c r="LH378" s="978"/>
      <c r="LI378" s="978"/>
      <c r="LJ378" s="978"/>
      <c r="LK378" s="978"/>
      <c r="LL378" s="978"/>
      <c r="LM378" s="978"/>
      <c r="LN378" s="978"/>
      <c r="LO378" s="978"/>
      <c r="LP378" s="978"/>
      <c r="LQ378" s="978"/>
      <c r="LR378" s="978"/>
      <c r="LS378" s="978"/>
      <c r="LT378" s="978"/>
      <c r="LU378" s="978"/>
      <c r="LV378" s="978"/>
      <c r="LW378" s="978"/>
      <c r="LX378" s="978"/>
      <c r="LY378" s="978"/>
      <c r="LZ378" s="978"/>
      <c r="MA378" s="978"/>
      <c r="MB378" s="978"/>
      <c r="MC378" s="978"/>
      <c r="MD378" s="978"/>
      <c r="ME378" s="978"/>
      <c r="MF378" s="978"/>
      <c r="MG378" s="978"/>
      <c r="MH378" s="978"/>
      <c r="MI378" s="978"/>
      <c r="MJ378" s="978"/>
      <c r="MK378" s="978"/>
      <c r="ML378" s="978"/>
      <c r="MM378" s="978"/>
      <c r="MN378" s="978"/>
      <c r="MO378" s="978"/>
      <c r="MP378" s="978"/>
      <c r="MQ378" s="978"/>
      <c r="MR378" s="978"/>
      <c r="MS378" s="978"/>
      <c r="MT378" s="978"/>
      <c r="MU378" s="978"/>
      <c r="MV378" s="978"/>
      <c r="MW378" s="978"/>
      <c r="MX378" s="978"/>
      <c r="MY378" s="978"/>
      <c r="MZ378" s="978"/>
      <c r="NA378" s="978"/>
      <c r="NB378" s="978"/>
      <c r="NC378" s="978"/>
      <c r="ND378" s="978"/>
      <c r="NE378" s="978"/>
      <c r="NF378" s="978"/>
      <c r="NG378" s="978"/>
      <c r="NH378" s="978"/>
      <c r="NI378" s="978"/>
      <c r="NJ378" s="978"/>
      <c r="NK378" s="978"/>
      <c r="NL378" s="978"/>
      <c r="NM378" s="978"/>
      <c r="NN378" s="978"/>
      <c r="NO378" s="978"/>
      <c r="NP378" s="978"/>
      <c r="NQ378" s="978"/>
      <c r="NR378" s="978"/>
      <c r="NS378" s="978"/>
      <c r="NT378" s="978"/>
      <c r="NU378" s="978"/>
      <c r="NV378" s="978"/>
      <c r="NW378" s="978"/>
      <c r="NX378" s="978"/>
      <c r="NY378" s="978"/>
      <c r="NZ378" s="978"/>
      <c r="OA378" s="978"/>
      <c r="OB378" s="978"/>
      <c r="OC378" s="978"/>
      <c r="OD378" s="978"/>
      <c r="OE378" s="978"/>
      <c r="OF378" s="978"/>
      <c r="OG378" s="978"/>
      <c r="OH378" s="978"/>
      <c r="OI378" s="978"/>
      <c r="OJ378" s="978"/>
      <c r="OK378" s="978"/>
      <c r="OL378" s="978"/>
      <c r="OM378" s="978"/>
      <c r="ON378" s="978"/>
      <c r="OO378" s="978"/>
      <c r="OP378" s="978"/>
      <c r="OQ378" s="978"/>
      <c r="OR378" s="978"/>
      <c r="OS378" s="978"/>
      <c r="OT378" s="978"/>
      <c r="OU378" s="978"/>
      <c r="OV378" s="978"/>
      <c r="OW378" s="978"/>
      <c r="OX378" s="978"/>
      <c r="OY378" s="978"/>
      <c r="OZ378" s="978"/>
      <c r="PA378" s="978"/>
      <c r="PB378" s="978"/>
      <c r="PC378" s="978"/>
      <c r="PD378" s="978"/>
      <c r="PE378" s="978"/>
      <c r="PF378" s="978"/>
      <c r="PG378" s="978"/>
      <c r="PH378" s="978"/>
      <c r="PI378" s="978"/>
      <c r="PJ378" s="978"/>
      <c r="PK378" s="978"/>
      <c r="PL378" s="978"/>
      <c r="PM378" s="978"/>
      <c r="PN378" s="978"/>
      <c r="PO378" s="978"/>
      <c r="PP378" s="978"/>
      <c r="PQ378" s="978"/>
      <c r="PR378" s="978"/>
      <c r="PS378" s="978"/>
      <c r="PT378" s="978"/>
      <c r="PU378" s="978"/>
      <c r="PV378" s="978"/>
      <c r="PW378" s="978"/>
      <c r="PX378" s="978"/>
      <c r="PY378" s="978"/>
      <c r="PZ378" s="978"/>
      <c r="QA378" s="978"/>
      <c r="QB378" s="978"/>
      <c r="QC378" s="978"/>
      <c r="QD378" s="978"/>
      <c r="QE378" s="978"/>
      <c r="QF378" s="978"/>
      <c r="QG378" s="978"/>
      <c r="QH378" s="978"/>
      <c r="QI378" s="978"/>
      <c r="QJ378" s="978"/>
      <c r="QK378" s="978"/>
      <c r="QL378" s="978"/>
      <c r="QM378" s="978"/>
      <c r="QN378" s="978"/>
      <c r="QO378" s="978"/>
      <c r="QP378" s="978"/>
      <c r="QQ378" s="978"/>
      <c r="QR378" s="978"/>
      <c r="QS378" s="978"/>
      <c r="QT378" s="978"/>
      <c r="QU378" s="978"/>
      <c r="QV378" s="978"/>
      <c r="QW378" s="978"/>
      <c r="QX378" s="978"/>
      <c r="QY378" s="978"/>
      <c r="QZ378" s="978"/>
      <c r="RA378" s="978"/>
      <c r="RB378" s="274"/>
      <c r="RC378" s="274"/>
    </row>
    <row r="379" spans="112:471" ht="17.25">
      <c r="DH379" s="274"/>
      <c r="DI379" s="274"/>
      <c r="DJ379" s="978"/>
      <c r="DK379" s="978"/>
      <c r="DL379" s="978"/>
      <c r="DM379" s="978"/>
      <c r="DN379" s="978"/>
      <c r="DO379" s="978"/>
      <c r="DP379" s="978"/>
      <c r="DQ379" s="978"/>
      <c r="DR379" s="978"/>
      <c r="DS379" s="978"/>
      <c r="DT379" s="978"/>
      <c r="DU379" s="978"/>
      <c r="DV379" s="978"/>
      <c r="DW379" s="978"/>
      <c r="DX379" s="978"/>
      <c r="DY379" s="978"/>
      <c r="DZ379" s="978"/>
      <c r="EA379" s="978"/>
      <c r="EB379" s="978"/>
      <c r="EC379" s="978"/>
      <c r="ED379" s="978"/>
      <c r="EE379" s="978"/>
      <c r="EF379" s="978"/>
      <c r="EG379" s="978"/>
      <c r="EH379" s="978"/>
      <c r="EI379" s="978"/>
      <c r="EJ379" s="978"/>
      <c r="EK379" s="978"/>
      <c r="EL379" s="978"/>
      <c r="EM379" s="978"/>
      <c r="EN379" s="978"/>
      <c r="EO379" s="978"/>
      <c r="EP379" s="978"/>
      <c r="EQ379" s="978"/>
      <c r="ER379" s="978"/>
      <c r="ES379" s="978"/>
      <c r="ET379" s="978"/>
      <c r="EU379" s="978"/>
      <c r="EV379" s="978"/>
      <c r="EW379" s="978"/>
      <c r="EX379" s="978"/>
      <c r="EY379" s="978"/>
      <c r="EZ379" s="978"/>
      <c r="FA379" s="978"/>
      <c r="FB379" s="978"/>
      <c r="FC379" s="978"/>
      <c r="FD379" s="978"/>
      <c r="FE379" s="978"/>
      <c r="FF379" s="978"/>
      <c r="FG379" s="978"/>
      <c r="FH379" s="978"/>
      <c r="FI379" s="978"/>
      <c r="FJ379" s="978"/>
      <c r="FK379" s="978"/>
      <c r="FL379" s="978"/>
      <c r="FM379" s="978"/>
      <c r="FN379" s="978"/>
      <c r="FO379" s="978"/>
      <c r="FP379" s="978"/>
      <c r="FQ379" s="978"/>
      <c r="FR379" s="978"/>
      <c r="FS379" s="978"/>
      <c r="FT379" s="978"/>
      <c r="FU379" s="978"/>
      <c r="FV379" s="978"/>
      <c r="FW379" s="978"/>
      <c r="FX379" s="978"/>
      <c r="FY379" s="978"/>
      <c r="FZ379" s="978"/>
      <c r="GA379" s="978"/>
      <c r="GB379" s="978"/>
      <c r="GC379" s="978"/>
      <c r="GD379" s="978"/>
      <c r="GE379" s="978"/>
      <c r="GF379" s="978"/>
      <c r="GG379" s="978"/>
      <c r="GH379" s="978"/>
      <c r="GI379" s="978"/>
      <c r="GJ379" s="978"/>
      <c r="GK379" s="978"/>
      <c r="GL379" s="978"/>
      <c r="GM379" s="978"/>
      <c r="GN379" s="978"/>
      <c r="GO379" s="978"/>
      <c r="GP379" s="978"/>
      <c r="GQ379" s="978"/>
      <c r="GR379" s="978"/>
      <c r="GS379" s="978"/>
      <c r="GT379" s="978"/>
      <c r="GU379" s="978"/>
      <c r="GV379" s="978"/>
      <c r="GW379" s="978"/>
      <c r="GX379" s="978"/>
      <c r="GY379" s="978"/>
      <c r="GZ379" s="978"/>
      <c r="HA379" s="978"/>
      <c r="HB379" s="978"/>
      <c r="HC379" s="978"/>
      <c r="HD379" s="978"/>
      <c r="HE379" s="978"/>
      <c r="HF379" s="978"/>
      <c r="HG379" s="978"/>
      <c r="HH379" s="978"/>
      <c r="HI379" s="978"/>
      <c r="HJ379" s="978"/>
      <c r="HK379" s="978"/>
      <c r="HL379" s="978"/>
      <c r="HM379" s="978"/>
      <c r="HN379" s="978"/>
      <c r="HO379" s="978"/>
      <c r="HP379" s="978"/>
      <c r="HQ379" s="978"/>
      <c r="HR379" s="978"/>
      <c r="HS379" s="978"/>
      <c r="HT379" s="978"/>
      <c r="HU379" s="978"/>
      <c r="HV379" s="978"/>
      <c r="HW379" s="978"/>
      <c r="HX379" s="978"/>
      <c r="HY379" s="978"/>
      <c r="HZ379" s="978"/>
      <c r="IA379" s="978"/>
      <c r="IB379" s="978"/>
      <c r="IC379" s="978"/>
      <c r="ID379" s="978"/>
      <c r="IE379" s="978"/>
      <c r="IF379" s="978"/>
      <c r="IG379" s="978"/>
      <c r="IH379" s="978"/>
      <c r="II379" s="978"/>
      <c r="IJ379" s="978"/>
      <c r="IK379" s="978"/>
      <c r="IL379" s="978"/>
      <c r="IM379" s="978"/>
      <c r="IN379" s="978"/>
      <c r="IO379" s="978"/>
      <c r="IP379" s="978"/>
      <c r="IQ379" s="978"/>
      <c r="IR379" s="978"/>
      <c r="IS379" s="978"/>
      <c r="IT379" s="978"/>
      <c r="IU379" s="978"/>
      <c r="IV379" s="978"/>
      <c r="IW379" s="978"/>
      <c r="IX379" s="978"/>
      <c r="IY379" s="978"/>
      <c r="IZ379" s="978"/>
      <c r="JA379" s="978"/>
      <c r="JB379" s="978"/>
      <c r="JC379" s="978"/>
      <c r="JD379" s="978"/>
      <c r="JE379" s="978"/>
      <c r="JF379" s="978"/>
      <c r="JG379" s="978"/>
      <c r="JH379" s="978"/>
      <c r="JI379" s="978"/>
      <c r="JJ379" s="978"/>
      <c r="JK379" s="978"/>
      <c r="JL379" s="978"/>
      <c r="JM379" s="978"/>
      <c r="JN379" s="978"/>
      <c r="JO379" s="978"/>
      <c r="JP379" s="978"/>
      <c r="JQ379" s="978"/>
      <c r="JR379" s="978"/>
      <c r="JS379" s="978"/>
      <c r="JT379" s="978"/>
      <c r="JU379" s="978"/>
      <c r="JV379" s="978"/>
      <c r="JW379" s="978"/>
      <c r="JX379" s="978"/>
      <c r="JY379" s="978"/>
      <c r="JZ379" s="978"/>
      <c r="KA379" s="978"/>
      <c r="KB379" s="978"/>
      <c r="KC379" s="978"/>
      <c r="KD379" s="978"/>
      <c r="KE379" s="978"/>
      <c r="KF379" s="978"/>
      <c r="KG379" s="978"/>
      <c r="KH379" s="978"/>
      <c r="KI379" s="978"/>
      <c r="KJ379" s="978"/>
      <c r="KK379" s="978"/>
      <c r="KL379" s="978"/>
      <c r="KM379" s="978"/>
      <c r="KN379" s="978"/>
      <c r="KO379" s="978"/>
      <c r="KP379" s="978"/>
      <c r="KQ379" s="978"/>
      <c r="KR379" s="978"/>
      <c r="KS379" s="978"/>
      <c r="KT379" s="978"/>
      <c r="KU379" s="978"/>
      <c r="KV379" s="978"/>
      <c r="KW379" s="978"/>
      <c r="KX379" s="978"/>
      <c r="KY379" s="978"/>
      <c r="KZ379" s="978"/>
      <c r="LA379" s="978"/>
      <c r="LB379" s="978"/>
      <c r="LC379" s="978"/>
      <c r="LD379" s="978"/>
      <c r="LE379" s="978"/>
      <c r="LF379" s="978"/>
      <c r="LG379" s="978"/>
      <c r="LH379" s="978"/>
      <c r="LI379" s="978"/>
      <c r="LJ379" s="978"/>
      <c r="LK379" s="978"/>
      <c r="LL379" s="978"/>
      <c r="LM379" s="978"/>
      <c r="LN379" s="978"/>
      <c r="LO379" s="978"/>
      <c r="LP379" s="978"/>
      <c r="LQ379" s="978"/>
      <c r="LR379" s="978"/>
      <c r="LS379" s="978"/>
      <c r="LT379" s="978"/>
      <c r="LU379" s="978"/>
      <c r="LV379" s="978"/>
      <c r="LW379" s="978"/>
      <c r="LX379" s="978"/>
      <c r="LY379" s="978"/>
      <c r="LZ379" s="978"/>
      <c r="MA379" s="978"/>
      <c r="MB379" s="978"/>
      <c r="MC379" s="978"/>
      <c r="MD379" s="978"/>
      <c r="ME379" s="978"/>
      <c r="MF379" s="978"/>
      <c r="MG379" s="978"/>
      <c r="MH379" s="978"/>
      <c r="MI379" s="978"/>
      <c r="MJ379" s="978"/>
      <c r="MK379" s="978"/>
      <c r="ML379" s="978"/>
      <c r="MM379" s="978"/>
      <c r="MN379" s="978"/>
      <c r="MO379" s="978"/>
      <c r="MP379" s="978"/>
      <c r="MQ379" s="978"/>
      <c r="MR379" s="978"/>
      <c r="MS379" s="978"/>
      <c r="MT379" s="978"/>
      <c r="MU379" s="978"/>
      <c r="MV379" s="978"/>
      <c r="MW379" s="978"/>
      <c r="MX379" s="978"/>
      <c r="MY379" s="978"/>
      <c r="MZ379" s="978"/>
      <c r="NA379" s="978"/>
      <c r="NB379" s="978"/>
      <c r="NC379" s="978"/>
      <c r="ND379" s="978"/>
      <c r="NE379" s="978"/>
      <c r="NF379" s="978"/>
      <c r="NG379" s="978"/>
      <c r="NH379" s="978"/>
      <c r="NI379" s="978"/>
      <c r="NJ379" s="978"/>
      <c r="NK379" s="978"/>
      <c r="NL379" s="978"/>
      <c r="NM379" s="978"/>
      <c r="NN379" s="978"/>
      <c r="NO379" s="978"/>
      <c r="NP379" s="978"/>
      <c r="NQ379" s="978"/>
      <c r="NR379" s="978"/>
      <c r="NS379" s="978"/>
      <c r="NT379" s="978"/>
      <c r="NU379" s="978"/>
      <c r="NV379" s="978"/>
      <c r="NW379" s="978"/>
      <c r="NX379" s="978"/>
      <c r="NY379" s="978"/>
      <c r="NZ379" s="978"/>
      <c r="OA379" s="978"/>
      <c r="OB379" s="978"/>
      <c r="OC379" s="978"/>
      <c r="OD379" s="978"/>
      <c r="OE379" s="978"/>
      <c r="OF379" s="978"/>
      <c r="OG379" s="978"/>
      <c r="OH379" s="978"/>
      <c r="OI379" s="978"/>
      <c r="OJ379" s="978"/>
      <c r="OK379" s="978"/>
      <c r="OL379" s="978"/>
      <c r="OM379" s="978"/>
      <c r="ON379" s="978"/>
      <c r="OO379" s="978"/>
      <c r="OP379" s="978"/>
      <c r="OQ379" s="978"/>
      <c r="OR379" s="978"/>
      <c r="OS379" s="978"/>
      <c r="OT379" s="978"/>
      <c r="OU379" s="978"/>
      <c r="OV379" s="978"/>
      <c r="OW379" s="978"/>
      <c r="OX379" s="978"/>
      <c r="OY379" s="978"/>
      <c r="OZ379" s="978"/>
      <c r="PA379" s="978"/>
      <c r="PB379" s="978"/>
      <c r="PC379" s="978"/>
      <c r="PD379" s="978"/>
      <c r="PE379" s="978"/>
      <c r="PF379" s="978"/>
      <c r="PG379" s="978"/>
      <c r="PH379" s="978"/>
      <c r="PI379" s="978"/>
      <c r="PJ379" s="978"/>
      <c r="PK379" s="978"/>
      <c r="PL379" s="978"/>
      <c r="PM379" s="978"/>
      <c r="PN379" s="978"/>
      <c r="PO379" s="978"/>
      <c r="PP379" s="978"/>
      <c r="PQ379" s="978"/>
      <c r="PR379" s="978"/>
      <c r="PS379" s="978"/>
      <c r="PT379" s="978"/>
      <c r="PU379" s="978"/>
      <c r="PV379" s="978"/>
      <c r="PW379" s="978"/>
      <c r="PX379" s="978"/>
      <c r="PY379" s="978"/>
      <c r="PZ379" s="978"/>
      <c r="QA379" s="978"/>
      <c r="QB379" s="978"/>
      <c r="QC379" s="978"/>
      <c r="QD379" s="978"/>
      <c r="QE379" s="978"/>
      <c r="QF379" s="978"/>
      <c r="QG379" s="978"/>
      <c r="QH379" s="978"/>
      <c r="QI379" s="978"/>
      <c r="QJ379" s="978"/>
      <c r="QK379" s="978"/>
      <c r="QL379" s="978"/>
      <c r="QM379" s="978"/>
      <c r="QN379" s="978"/>
      <c r="QO379" s="978"/>
      <c r="QP379" s="978"/>
      <c r="QQ379" s="978"/>
      <c r="QR379" s="978"/>
      <c r="QS379" s="978"/>
      <c r="QT379" s="978"/>
      <c r="QU379" s="978"/>
      <c r="QV379" s="978"/>
      <c r="QW379" s="978"/>
      <c r="QX379" s="978"/>
      <c r="QY379" s="978"/>
      <c r="QZ379" s="978"/>
      <c r="RA379" s="978"/>
      <c r="RB379" s="274"/>
      <c r="RC379" s="274"/>
    </row>
    <row r="380" spans="112:471" ht="17.25">
      <c r="DH380" s="274"/>
      <c r="DI380" s="274"/>
      <c r="DJ380" s="978"/>
      <c r="DK380" s="978"/>
      <c r="DL380" s="978"/>
      <c r="DM380" s="978"/>
      <c r="DN380" s="978"/>
      <c r="DO380" s="978"/>
      <c r="DP380" s="978"/>
      <c r="DQ380" s="978"/>
      <c r="DR380" s="978"/>
      <c r="DS380" s="978"/>
      <c r="DT380" s="978"/>
      <c r="DU380" s="978"/>
      <c r="DV380" s="978"/>
      <c r="DW380" s="978"/>
      <c r="DX380" s="978"/>
      <c r="DY380" s="978"/>
      <c r="DZ380" s="978"/>
      <c r="EA380" s="978"/>
      <c r="EB380" s="978"/>
      <c r="EC380" s="978"/>
      <c r="ED380" s="978"/>
      <c r="EE380" s="978"/>
      <c r="EF380" s="978"/>
      <c r="EG380" s="978"/>
      <c r="EH380" s="978"/>
      <c r="EI380" s="978"/>
      <c r="EJ380" s="978"/>
      <c r="EK380" s="978"/>
      <c r="EL380" s="978"/>
      <c r="EM380" s="978"/>
      <c r="EN380" s="978"/>
      <c r="EO380" s="978"/>
      <c r="EP380" s="978"/>
      <c r="EQ380" s="978"/>
      <c r="ER380" s="978"/>
      <c r="ES380" s="978"/>
      <c r="ET380" s="978"/>
      <c r="EU380" s="978"/>
      <c r="EV380" s="978"/>
      <c r="EW380" s="978"/>
      <c r="EX380" s="978"/>
      <c r="EY380" s="978"/>
      <c r="EZ380" s="978"/>
      <c r="FA380" s="978"/>
      <c r="FB380" s="978"/>
      <c r="FC380" s="978"/>
      <c r="FD380" s="978"/>
      <c r="FE380" s="978"/>
      <c r="FF380" s="978"/>
      <c r="FG380" s="978"/>
      <c r="FH380" s="978"/>
      <c r="FI380" s="978"/>
      <c r="FJ380" s="978"/>
      <c r="FK380" s="978"/>
      <c r="FL380" s="978"/>
      <c r="FM380" s="978"/>
      <c r="FN380" s="978"/>
      <c r="FO380" s="978"/>
      <c r="FP380" s="978"/>
      <c r="FQ380" s="978"/>
      <c r="FR380" s="978"/>
      <c r="FS380" s="978"/>
      <c r="FT380" s="978"/>
      <c r="FU380" s="978"/>
      <c r="FV380" s="978"/>
      <c r="FW380" s="978"/>
      <c r="FX380" s="978"/>
      <c r="FY380" s="978"/>
      <c r="FZ380" s="978"/>
      <c r="GA380" s="978"/>
      <c r="GB380" s="978"/>
      <c r="GC380" s="978"/>
      <c r="GD380" s="978"/>
      <c r="GE380" s="978"/>
      <c r="GF380" s="978"/>
      <c r="GG380" s="978"/>
      <c r="GH380" s="978"/>
      <c r="GI380" s="978"/>
      <c r="GJ380" s="978"/>
      <c r="GK380" s="978"/>
      <c r="GL380" s="978"/>
      <c r="GM380" s="978"/>
      <c r="GN380" s="978"/>
      <c r="GO380" s="978"/>
      <c r="GP380" s="978"/>
      <c r="GQ380" s="978"/>
      <c r="GR380" s="978"/>
      <c r="GS380" s="978"/>
      <c r="GT380" s="978"/>
      <c r="GU380" s="978"/>
      <c r="GV380" s="978"/>
      <c r="GW380" s="978"/>
      <c r="GX380" s="978"/>
      <c r="GY380" s="978"/>
      <c r="GZ380" s="978"/>
      <c r="HA380" s="978"/>
      <c r="HB380" s="978"/>
      <c r="HC380" s="978"/>
      <c r="HD380" s="978"/>
      <c r="HE380" s="978"/>
      <c r="HF380" s="978"/>
      <c r="HG380" s="978"/>
      <c r="HH380" s="978"/>
      <c r="HI380" s="978"/>
      <c r="HJ380" s="978"/>
      <c r="HK380" s="978"/>
      <c r="HL380" s="978"/>
      <c r="HM380" s="978"/>
      <c r="HN380" s="978"/>
      <c r="HO380" s="978"/>
      <c r="HP380" s="978"/>
      <c r="HQ380" s="978"/>
      <c r="HR380" s="978"/>
      <c r="HS380" s="978"/>
      <c r="HT380" s="978"/>
      <c r="HU380" s="978"/>
      <c r="HV380" s="978"/>
      <c r="HW380" s="978"/>
      <c r="HX380" s="978"/>
      <c r="HY380" s="978"/>
      <c r="HZ380" s="978"/>
      <c r="IA380" s="978"/>
      <c r="IB380" s="978"/>
      <c r="IC380" s="978"/>
      <c r="ID380" s="978"/>
      <c r="IE380" s="978"/>
      <c r="IF380" s="978"/>
      <c r="IG380" s="978"/>
      <c r="IH380" s="978"/>
      <c r="II380" s="978"/>
      <c r="IJ380" s="978"/>
      <c r="IK380" s="978"/>
      <c r="IL380" s="978"/>
      <c r="IM380" s="978"/>
      <c r="IN380" s="978"/>
      <c r="IO380" s="978"/>
      <c r="IP380" s="978"/>
      <c r="IQ380" s="978"/>
      <c r="IR380" s="978"/>
      <c r="IS380" s="978"/>
      <c r="IT380" s="978"/>
      <c r="IU380" s="978"/>
      <c r="IV380" s="978"/>
      <c r="IW380" s="978"/>
      <c r="IX380" s="978"/>
      <c r="IY380" s="978"/>
      <c r="IZ380" s="978"/>
      <c r="JA380" s="978"/>
      <c r="JB380" s="978"/>
      <c r="JC380" s="978"/>
      <c r="JD380" s="978"/>
      <c r="JE380" s="978"/>
      <c r="JF380" s="978"/>
      <c r="JG380" s="978"/>
      <c r="JH380" s="978"/>
      <c r="JI380" s="978"/>
      <c r="JJ380" s="978"/>
      <c r="JK380" s="978"/>
      <c r="JL380" s="978"/>
      <c r="JM380" s="978"/>
      <c r="JN380" s="978"/>
      <c r="JO380" s="978"/>
      <c r="JP380" s="978"/>
      <c r="JQ380" s="978"/>
      <c r="JR380" s="978"/>
      <c r="JS380" s="978"/>
      <c r="JT380" s="978"/>
      <c r="JU380" s="978"/>
      <c r="JV380" s="978"/>
      <c r="JW380" s="978"/>
      <c r="JX380" s="978"/>
      <c r="JY380" s="978"/>
      <c r="JZ380" s="978"/>
      <c r="KA380" s="978"/>
      <c r="KB380" s="978"/>
      <c r="KC380" s="978"/>
      <c r="KD380" s="978"/>
      <c r="KE380" s="978"/>
      <c r="KF380" s="978"/>
      <c r="KG380" s="978"/>
      <c r="KH380" s="978"/>
      <c r="KI380" s="978"/>
      <c r="KJ380" s="978"/>
      <c r="KK380" s="978"/>
      <c r="KL380" s="978"/>
      <c r="KM380" s="978"/>
      <c r="KN380" s="978"/>
      <c r="KO380" s="978"/>
      <c r="KP380" s="978"/>
      <c r="KQ380" s="978"/>
      <c r="KR380" s="978"/>
      <c r="KS380" s="978"/>
      <c r="KT380" s="978"/>
      <c r="KU380" s="978"/>
      <c r="KV380" s="978"/>
      <c r="KW380" s="978"/>
      <c r="KX380" s="978"/>
      <c r="KY380" s="978"/>
      <c r="KZ380" s="978"/>
      <c r="LA380" s="978"/>
      <c r="LB380" s="978"/>
      <c r="LC380" s="978"/>
      <c r="LD380" s="978"/>
      <c r="LE380" s="978"/>
      <c r="LF380" s="978"/>
      <c r="LG380" s="978"/>
      <c r="LH380" s="978"/>
      <c r="LI380" s="978"/>
      <c r="LJ380" s="978"/>
      <c r="LK380" s="978"/>
      <c r="LL380" s="978"/>
      <c r="LM380" s="978"/>
      <c r="LN380" s="978"/>
      <c r="LO380" s="978"/>
      <c r="LP380" s="978"/>
      <c r="LQ380" s="978"/>
      <c r="LR380" s="978"/>
      <c r="LS380" s="978"/>
      <c r="LT380" s="978"/>
      <c r="LU380" s="978"/>
      <c r="LV380" s="978"/>
      <c r="LW380" s="978"/>
      <c r="LX380" s="978"/>
      <c r="LY380" s="978"/>
      <c r="LZ380" s="978"/>
      <c r="MA380" s="978"/>
      <c r="MB380" s="978"/>
      <c r="MC380" s="978"/>
      <c r="MD380" s="978"/>
      <c r="ME380" s="978"/>
      <c r="MF380" s="978"/>
      <c r="MG380" s="978"/>
      <c r="MH380" s="978"/>
      <c r="MI380" s="978"/>
      <c r="MJ380" s="978"/>
      <c r="MK380" s="978"/>
      <c r="ML380" s="978"/>
      <c r="MM380" s="978"/>
      <c r="MN380" s="978"/>
      <c r="MO380" s="978"/>
      <c r="MP380" s="978"/>
      <c r="MQ380" s="978"/>
      <c r="MR380" s="978"/>
      <c r="MS380" s="978"/>
      <c r="MT380" s="978"/>
      <c r="MU380" s="978"/>
      <c r="MV380" s="978"/>
      <c r="MW380" s="978"/>
      <c r="MX380" s="978"/>
      <c r="MY380" s="978"/>
      <c r="MZ380" s="978"/>
      <c r="NA380" s="978"/>
      <c r="NB380" s="978"/>
      <c r="NC380" s="978"/>
      <c r="ND380" s="978"/>
      <c r="NE380" s="978"/>
      <c r="NF380" s="978"/>
      <c r="NG380" s="978"/>
      <c r="NH380" s="978"/>
      <c r="NI380" s="978"/>
      <c r="NJ380" s="978"/>
      <c r="NK380" s="978"/>
      <c r="NL380" s="978"/>
      <c r="NM380" s="978"/>
      <c r="NN380" s="978"/>
      <c r="NO380" s="978"/>
      <c r="NP380" s="978"/>
      <c r="NQ380" s="978"/>
      <c r="NR380" s="978"/>
      <c r="NS380" s="978"/>
      <c r="NT380" s="978"/>
      <c r="NU380" s="978"/>
      <c r="NV380" s="978"/>
      <c r="NW380" s="978"/>
      <c r="NX380" s="978"/>
      <c r="NY380" s="978"/>
      <c r="NZ380" s="978"/>
      <c r="OA380" s="978"/>
      <c r="OB380" s="978"/>
      <c r="OC380" s="978"/>
      <c r="OD380" s="978"/>
      <c r="OE380" s="978"/>
      <c r="OF380" s="978"/>
      <c r="OG380" s="978"/>
      <c r="OH380" s="978"/>
      <c r="OI380" s="978"/>
      <c r="OJ380" s="978"/>
      <c r="OK380" s="978"/>
      <c r="OL380" s="978"/>
      <c r="OM380" s="978"/>
      <c r="ON380" s="978"/>
      <c r="OO380" s="978"/>
      <c r="OP380" s="978"/>
      <c r="OQ380" s="978"/>
      <c r="OR380" s="978"/>
      <c r="OS380" s="978"/>
      <c r="OT380" s="978"/>
      <c r="OU380" s="978"/>
      <c r="OV380" s="978"/>
      <c r="OW380" s="978"/>
      <c r="OX380" s="978"/>
      <c r="OY380" s="978"/>
      <c r="OZ380" s="978"/>
      <c r="PA380" s="978"/>
      <c r="PB380" s="978"/>
      <c r="PC380" s="978"/>
      <c r="PD380" s="978"/>
      <c r="PE380" s="978"/>
      <c r="PF380" s="978"/>
      <c r="PG380" s="978"/>
      <c r="PH380" s="978"/>
      <c r="PI380" s="978"/>
      <c r="PJ380" s="978"/>
      <c r="PK380" s="978"/>
      <c r="PL380" s="978"/>
      <c r="PM380" s="978"/>
      <c r="PN380" s="978"/>
      <c r="PO380" s="978"/>
      <c r="PP380" s="978"/>
      <c r="PQ380" s="978"/>
      <c r="PR380" s="978"/>
      <c r="PS380" s="978"/>
      <c r="PT380" s="978"/>
      <c r="PU380" s="978"/>
      <c r="PV380" s="978"/>
      <c r="PW380" s="978"/>
      <c r="PX380" s="978"/>
      <c r="PY380" s="978"/>
      <c r="PZ380" s="978"/>
      <c r="QA380" s="978"/>
      <c r="QB380" s="978"/>
      <c r="QC380" s="978"/>
      <c r="QD380" s="978"/>
      <c r="QE380" s="978"/>
      <c r="QF380" s="978"/>
      <c r="QG380" s="978"/>
      <c r="QH380" s="978"/>
      <c r="QI380" s="978"/>
      <c r="QJ380" s="978"/>
      <c r="QK380" s="978"/>
      <c r="QL380" s="978"/>
      <c r="QM380" s="978"/>
      <c r="QN380" s="978"/>
      <c r="QO380" s="978"/>
      <c r="QP380" s="978"/>
      <c r="QQ380" s="978"/>
      <c r="QR380" s="978"/>
      <c r="QS380" s="978"/>
      <c r="QT380" s="978"/>
      <c r="QU380" s="978"/>
      <c r="QV380" s="978"/>
      <c r="QW380" s="978"/>
      <c r="QX380" s="978"/>
      <c r="QY380" s="978"/>
      <c r="QZ380" s="978"/>
      <c r="RA380" s="978"/>
      <c r="RB380" s="274"/>
      <c r="RC380" s="274"/>
    </row>
    <row r="381" spans="112:471" ht="17.25">
      <c r="DH381" s="274"/>
      <c r="DI381" s="274"/>
      <c r="DJ381" s="978"/>
      <c r="DK381" s="978"/>
      <c r="DL381" s="978"/>
      <c r="DM381" s="978"/>
      <c r="DN381" s="978"/>
      <c r="DO381" s="978"/>
      <c r="DP381" s="978"/>
      <c r="DQ381" s="978"/>
      <c r="DR381" s="978"/>
      <c r="DS381" s="978"/>
      <c r="DT381" s="978"/>
      <c r="DU381" s="978"/>
      <c r="DV381" s="978"/>
      <c r="DW381" s="978"/>
      <c r="DX381" s="978"/>
      <c r="DY381" s="978"/>
      <c r="DZ381" s="978"/>
      <c r="EA381" s="978"/>
      <c r="EB381" s="978"/>
      <c r="EC381" s="978"/>
      <c r="ED381" s="978"/>
      <c r="EE381" s="978"/>
      <c r="EF381" s="978"/>
      <c r="EG381" s="978"/>
      <c r="EH381" s="978"/>
      <c r="EI381" s="978"/>
      <c r="EJ381" s="978"/>
      <c r="EK381" s="978"/>
      <c r="EL381" s="978"/>
      <c r="EM381" s="978"/>
      <c r="EN381" s="978"/>
      <c r="EO381" s="978"/>
      <c r="EP381" s="978"/>
      <c r="EQ381" s="978"/>
      <c r="ER381" s="978"/>
      <c r="ES381" s="978"/>
      <c r="ET381" s="978"/>
      <c r="EU381" s="978"/>
      <c r="EV381" s="978"/>
      <c r="EW381" s="978"/>
      <c r="EX381" s="978"/>
      <c r="EY381" s="978"/>
      <c r="EZ381" s="978"/>
      <c r="FA381" s="978"/>
      <c r="FB381" s="978"/>
      <c r="FC381" s="978"/>
      <c r="FD381" s="978"/>
      <c r="FE381" s="978"/>
      <c r="FF381" s="978"/>
      <c r="FG381" s="978"/>
      <c r="FH381" s="978"/>
      <c r="FI381" s="978"/>
      <c r="FJ381" s="978"/>
      <c r="FK381" s="978"/>
      <c r="FL381" s="978"/>
      <c r="FM381" s="978"/>
      <c r="FN381" s="978"/>
      <c r="FO381" s="978"/>
      <c r="FP381" s="978"/>
      <c r="FQ381" s="978"/>
      <c r="FR381" s="978"/>
      <c r="FS381" s="978"/>
      <c r="FT381" s="978"/>
      <c r="FU381" s="978"/>
      <c r="FV381" s="978"/>
      <c r="FW381" s="978"/>
      <c r="FX381" s="978"/>
      <c r="FY381" s="978"/>
      <c r="FZ381" s="978"/>
      <c r="GA381" s="978"/>
      <c r="GB381" s="978"/>
      <c r="GC381" s="978"/>
      <c r="GD381" s="978"/>
      <c r="GE381" s="978"/>
      <c r="GF381" s="978"/>
      <c r="GG381" s="978"/>
      <c r="GH381" s="978"/>
      <c r="GI381" s="978"/>
      <c r="GJ381" s="978"/>
      <c r="GK381" s="978"/>
      <c r="GL381" s="978"/>
      <c r="GM381" s="978"/>
      <c r="GN381" s="978"/>
      <c r="GO381" s="978"/>
      <c r="GP381" s="978"/>
      <c r="GQ381" s="978"/>
      <c r="GR381" s="978"/>
      <c r="GS381" s="978"/>
      <c r="GT381" s="978"/>
      <c r="GU381" s="978"/>
      <c r="GV381" s="978"/>
      <c r="GW381" s="978"/>
      <c r="GX381" s="978"/>
      <c r="GY381" s="978"/>
      <c r="GZ381" s="978"/>
      <c r="HA381" s="978"/>
      <c r="HB381" s="978"/>
      <c r="HC381" s="978"/>
      <c r="HD381" s="978"/>
      <c r="HE381" s="978"/>
      <c r="HF381" s="978"/>
      <c r="HG381" s="978"/>
      <c r="HH381" s="978"/>
      <c r="HI381" s="978"/>
      <c r="HJ381" s="978"/>
      <c r="HK381" s="978"/>
      <c r="HL381" s="978"/>
      <c r="HM381" s="978"/>
      <c r="HN381" s="978"/>
      <c r="HO381" s="978"/>
      <c r="HP381" s="978"/>
      <c r="HQ381" s="978"/>
      <c r="HR381" s="978"/>
      <c r="HS381" s="978"/>
      <c r="HT381" s="978"/>
      <c r="HU381" s="978"/>
      <c r="HV381" s="978"/>
      <c r="HW381" s="978"/>
      <c r="HX381" s="978"/>
      <c r="HY381" s="978"/>
      <c r="HZ381" s="978"/>
      <c r="IA381" s="978"/>
      <c r="IB381" s="978"/>
      <c r="IC381" s="978"/>
      <c r="ID381" s="978"/>
      <c r="IE381" s="978"/>
      <c r="IF381" s="978"/>
      <c r="IG381" s="978"/>
      <c r="IH381" s="978"/>
      <c r="II381" s="978"/>
      <c r="IJ381" s="978"/>
      <c r="IK381" s="978"/>
      <c r="IL381" s="978"/>
      <c r="IM381" s="978"/>
      <c r="IN381" s="978"/>
      <c r="IO381" s="978"/>
      <c r="IP381" s="978"/>
      <c r="IQ381" s="978"/>
      <c r="IR381" s="978"/>
      <c r="IS381" s="978"/>
      <c r="IT381" s="978"/>
      <c r="IU381" s="978"/>
      <c r="IV381" s="978"/>
      <c r="IW381" s="978"/>
      <c r="IX381" s="978"/>
      <c r="IY381" s="978"/>
      <c r="IZ381" s="978"/>
      <c r="JA381" s="978"/>
      <c r="JB381" s="978"/>
      <c r="JC381" s="978"/>
      <c r="JD381" s="978"/>
      <c r="JE381" s="978"/>
      <c r="JF381" s="978"/>
      <c r="JG381" s="978"/>
      <c r="JH381" s="978"/>
      <c r="JI381" s="978"/>
      <c r="JJ381" s="978"/>
      <c r="JK381" s="978"/>
      <c r="JL381" s="978"/>
      <c r="JM381" s="978"/>
      <c r="JN381" s="978"/>
      <c r="JO381" s="978"/>
      <c r="JP381" s="978"/>
      <c r="JQ381" s="978"/>
      <c r="JR381" s="978"/>
      <c r="JS381" s="978"/>
      <c r="JT381" s="978"/>
      <c r="JU381" s="978"/>
      <c r="JV381" s="978"/>
      <c r="JW381" s="978"/>
      <c r="JX381" s="978"/>
      <c r="JY381" s="978"/>
      <c r="JZ381" s="978"/>
      <c r="KA381" s="978"/>
      <c r="KB381" s="978"/>
      <c r="KC381" s="978"/>
      <c r="KD381" s="978"/>
      <c r="KE381" s="978"/>
      <c r="KF381" s="978"/>
      <c r="KG381" s="978"/>
      <c r="KH381" s="978"/>
      <c r="KI381" s="978"/>
      <c r="KJ381" s="978"/>
      <c r="KK381" s="978"/>
      <c r="KL381" s="978"/>
      <c r="KM381" s="978"/>
      <c r="KN381" s="978"/>
      <c r="KO381" s="978"/>
      <c r="KP381" s="978"/>
      <c r="KQ381" s="978"/>
      <c r="KR381" s="978"/>
      <c r="KS381" s="978"/>
      <c r="KT381" s="978"/>
      <c r="KU381" s="978"/>
      <c r="KV381" s="978"/>
      <c r="KW381" s="978"/>
      <c r="KX381" s="978"/>
      <c r="KY381" s="978"/>
      <c r="KZ381" s="978"/>
      <c r="LA381" s="978"/>
      <c r="LB381" s="978"/>
      <c r="LC381" s="978"/>
      <c r="LD381" s="978"/>
      <c r="LE381" s="978"/>
      <c r="LF381" s="978"/>
      <c r="LG381" s="978"/>
      <c r="LH381" s="978"/>
      <c r="LI381" s="978"/>
      <c r="LJ381" s="978"/>
      <c r="LK381" s="978"/>
      <c r="LL381" s="978"/>
      <c r="LM381" s="978"/>
      <c r="LN381" s="978"/>
      <c r="LO381" s="978"/>
      <c r="LP381" s="978"/>
      <c r="LQ381" s="978"/>
      <c r="LR381" s="978"/>
      <c r="LS381" s="978"/>
      <c r="LT381" s="978"/>
      <c r="LU381" s="978"/>
      <c r="LV381" s="978"/>
      <c r="LW381" s="978"/>
      <c r="LX381" s="978"/>
      <c r="LY381" s="978"/>
      <c r="LZ381" s="978"/>
      <c r="MA381" s="978"/>
      <c r="MB381" s="978"/>
      <c r="MC381" s="978"/>
      <c r="MD381" s="978"/>
      <c r="ME381" s="978"/>
      <c r="MF381" s="978"/>
      <c r="MG381" s="978"/>
      <c r="MH381" s="978"/>
      <c r="MI381" s="978"/>
      <c r="MJ381" s="978"/>
      <c r="MK381" s="978"/>
      <c r="ML381" s="978"/>
      <c r="MM381" s="978"/>
      <c r="MN381" s="978"/>
      <c r="MO381" s="978"/>
      <c r="MP381" s="978"/>
      <c r="MQ381" s="978"/>
      <c r="MR381" s="978"/>
      <c r="MS381" s="978"/>
      <c r="MT381" s="978"/>
      <c r="MU381" s="978"/>
      <c r="MV381" s="978"/>
      <c r="MW381" s="978"/>
      <c r="MX381" s="978"/>
      <c r="MY381" s="978"/>
      <c r="MZ381" s="978"/>
      <c r="NA381" s="978"/>
      <c r="NB381" s="978"/>
      <c r="NC381" s="978"/>
      <c r="ND381" s="978"/>
      <c r="NE381" s="978"/>
      <c r="NF381" s="978"/>
      <c r="NG381" s="978"/>
      <c r="NH381" s="978"/>
      <c r="NI381" s="978"/>
      <c r="NJ381" s="978"/>
      <c r="NK381" s="978"/>
      <c r="NL381" s="978"/>
      <c r="NM381" s="978"/>
      <c r="NN381" s="978"/>
      <c r="NO381" s="978"/>
      <c r="NP381" s="978"/>
      <c r="NQ381" s="978"/>
      <c r="NR381" s="978"/>
      <c r="NS381" s="978"/>
      <c r="NT381" s="978"/>
      <c r="NU381" s="978"/>
      <c r="NV381" s="978"/>
      <c r="NW381" s="978"/>
      <c r="NX381" s="978"/>
      <c r="NY381" s="978"/>
      <c r="NZ381" s="978"/>
      <c r="OA381" s="978"/>
      <c r="OB381" s="978"/>
      <c r="OC381" s="978"/>
      <c r="OD381" s="978"/>
      <c r="OE381" s="978"/>
      <c r="OF381" s="978"/>
      <c r="OG381" s="978"/>
      <c r="OH381" s="978"/>
      <c r="OI381" s="978"/>
      <c r="OJ381" s="978"/>
      <c r="OK381" s="978"/>
      <c r="OL381" s="978"/>
      <c r="OM381" s="978"/>
      <c r="ON381" s="978"/>
      <c r="OO381" s="978"/>
      <c r="OP381" s="978"/>
      <c r="OQ381" s="978"/>
      <c r="OR381" s="978"/>
      <c r="OS381" s="978"/>
      <c r="OT381" s="978"/>
      <c r="OU381" s="978"/>
      <c r="OV381" s="978"/>
      <c r="OW381" s="978"/>
      <c r="OX381" s="978"/>
      <c r="OY381" s="978"/>
      <c r="OZ381" s="978"/>
      <c r="PA381" s="978"/>
      <c r="PB381" s="978"/>
      <c r="PC381" s="978"/>
      <c r="PD381" s="978"/>
      <c r="PE381" s="978"/>
      <c r="PF381" s="978"/>
      <c r="PG381" s="978"/>
      <c r="PH381" s="978"/>
      <c r="PI381" s="978"/>
      <c r="PJ381" s="978"/>
      <c r="PK381" s="978"/>
      <c r="PL381" s="978"/>
      <c r="PM381" s="978"/>
      <c r="PN381" s="978"/>
      <c r="PO381" s="978"/>
      <c r="PP381" s="978"/>
      <c r="PQ381" s="978"/>
      <c r="PR381" s="978"/>
      <c r="PS381" s="978"/>
      <c r="PT381" s="978"/>
      <c r="PU381" s="978"/>
      <c r="PV381" s="978"/>
      <c r="PW381" s="978"/>
      <c r="PX381" s="978"/>
      <c r="PY381" s="978"/>
      <c r="PZ381" s="978"/>
      <c r="QA381" s="978"/>
      <c r="QB381" s="978"/>
      <c r="QC381" s="978"/>
      <c r="QD381" s="978"/>
      <c r="QE381" s="978"/>
      <c r="QF381" s="978"/>
      <c r="QG381" s="978"/>
      <c r="QH381" s="978"/>
      <c r="QI381" s="978"/>
      <c r="QJ381" s="978"/>
      <c r="QK381" s="978"/>
      <c r="QL381" s="978"/>
      <c r="QM381" s="978"/>
      <c r="QN381" s="978"/>
      <c r="QO381" s="978"/>
      <c r="QP381" s="978"/>
      <c r="QQ381" s="978"/>
      <c r="QR381" s="978"/>
      <c r="QS381" s="978"/>
      <c r="QT381" s="978"/>
      <c r="QU381" s="978"/>
      <c r="QV381" s="978"/>
      <c r="QW381" s="978"/>
      <c r="QX381" s="978"/>
      <c r="QY381" s="978"/>
      <c r="QZ381" s="978"/>
      <c r="RA381" s="978"/>
      <c r="RB381" s="274"/>
      <c r="RC381" s="274"/>
    </row>
    <row r="382" spans="112:471" ht="17.25">
      <c r="DH382" s="274"/>
      <c r="DI382" s="274"/>
      <c r="DJ382" s="978"/>
      <c r="DK382" s="978"/>
      <c r="DL382" s="978"/>
      <c r="DM382" s="978"/>
      <c r="DN382" s="978"/>
      <c r="DO382" s="978"/>
      <c r="DP382" s="978"/>
      <c r="DQ382" s="978"/>
      <c r="DR382" s="978"/>
      <c r="DS382" s="978"/>
      <c r="DT382" s="978"/>
      <c r="DU382" s="978"/>
      <c r="DV382" s="978"/>
      <c r="DW382" s="978"/>
      <c r="DX382" s="978"/>
      <c r="DY382" s="978"/>
      <c r="DZ382" s="978"/>
      <c r="EA382" s="978"/>
      <c r="EB382" s="978"/>
      <c r="EC382" s="978"/>
      <c r="ED382" s="978"/>
      <c r="EE382" s="978"/>
      <c r="EF382" s="978"/>
      <c r="EG382" s="978"/>
      <c r="EH382" s="978"/>
      <c r="EI382" s="978"/>
      <c r="EJ382" s="978"/>
      <c r="EK382" s="978"/>
      <c r="EL382" s="978"/>
      <c r="EM382" s="978"/>
      <c r="EN382" s="978"/>
      <c r="EO382" s="978"/>
      <c r="EP382" s="978"/>
      <c r="EQ382" s="978"/>
      <c r="ER382" s="978"/>
      <c r="ES382" s="978"/>
      <c r="ET382" s="978"/>
      <c r="EU382" s="978"/>
      <c r="EV382" s="978"/>
      <c r="EW382" s="978"/>
      <c r="EX382" s="978"/>
      <c r="EY382" s="978"/>
      <c r="EZ382" s="978"/>
      <c r="FA382" s="978"/>
      <c r="FB382" s="978"/>
      <c r="FC382" s="978"/>
      <c r="FD382" s="978"/>
      <c r="FE382" s="978"/>
      <c r="FF382" s="978"/>
      <c r="FG382" s="978"/>
      <c r="FH382" s="978"/>
      <c r="FI382" s="978"/>
      <c r="FJ382" s="978"/>
      <c r="FK382" s="978"/>
      <c r="FL382" s="978"/>
      <c r="FM382" s="978"/>
      <c r="FN382" s="978"/>
      <c r="FO382" s="978"/>
      <c r="FP382" s="978"/>
      <c r="FQ382" s="978"/>
      <c r="FR382" s="978"/>
      <c r="FS382" s="978"/>
      <c r="FT382" s="978"/>
      <c r="FU382" s="978"/>
      <c r="FV382" s="978"/>
      <c r="FW382" s="978"/>
      <c r="FX382" s="978"/>
      <c r="FY382" s="978"/>
      <c r="FZ382" s="978"/>
      <c r="GA382" s="978"/>
      <c r="GB382" s="978"/>
      <c r="GC382" s="978"/>
      <c r="GD382" s="978"/>
      <c r="GE382" s="978"/>
      <c r="GF382" s="978"/>
      <c r="GG382" s="978"/>
      <c r="GH382" s="978"/>
      <c r="GI382" s="978"/>
      <c r="GJ382" s="978"/>
      <c r="GK382" s="978"/>
      <c r="GL382" s="978"/>
      <c r="GM382" s="978"/>
      <c r="GN382" s="978"/>
      <c r="GO382" s="978"/>
      <c r="GP382" s="978"/>
      <c r="GQ382" s="978"/>
      <c r="GR382" s="978"/>
      <c r="GS382" s="978"/>
      <c r="GT382" s="978"/>
      <c r="GU382" s="978"/>
      <c r="GV382" s="978"/>
      <c r="GW382" s="978"/>
      <c r="GX382" s="978"/>
      <c r="GY382" s="978"/>
      <c r="GZ382" s="978"/>
      <c r="HA382" s="978"/>
      <c r="HB382" s="978"/>
      <c r="HC382" s="978"/>
      <c r="HD382" s="978"/>
      <c r="HE382" s="978"/>
      <c r="HF382" s="978"/>
      <c r="HG382" s="978"/>
      <c r="HH382" s="978"/>
      <c r="HI382" s="978"/>
      <c r="HJ382" s="978"/>
      <c r="HK382" s="978"/>
      <c r="HL382" s="978"/>
      <c r="HM382" s="978"/>
      <c r="HN382" s="978"/>
      <c r="HO382" s="978"/>
      <c r="HP382" s="978"/>
      <c r="HQ382" s="978"/>
      <c r="HR382" s="978"/>
      <c r="HS382" s="978"/>
      <c r="HT382" s="978"/>
      <c r="HU382" s="978"/>
      <c r="HV382" s="978"/>
      <c r="HW382" s="978"/>
      <c r="HX382" s="978"/>
      <c r="HY382" s="978"/>
      <c r="HZ382" s="978"/>
      <c r="IA382" s="978"/>
      <c r="IB382" s="978"/>
      <c r="IC382" s="978"/>
      <c r="ID382" s="978"/>
      <c r="IE382" s="978"/>
      <c r="IF382" s="978"/>
      <c r="IG382" s="978"/>
      <c r="IH382" s="978"/>
      <c r="II382" s="978"/>
      <c r="IJ382" s="978"/>
      <c r="IK382" s="978"/>
      <c r="IL382" s="978"/>
      <c r="IM382" s="978"/>
      <c r="IN382" s="978"/>
      <c r="IO382" s="978"/>
      <c r="IP382" s="978"/>
      <c r="IQ382" s="978"/>
      <c r="IR382" s="978"/>
      <c r="IS382" s="978"/>
      <c r="IT382" s="978"/>
      <c r="IU382" s="978"/>
      <c r="IV382" s="978"/>
      <c r="IW382" s="978"/>
      <c r="IX382" s="978"/>
      <c r="IY382" s="978"/>
      <c r="IZ382" s="978"/>
      <c r="JA382" s="978"/>
      <c r="JB382" s="978"/>
      <c r="JC382" s="978"/>
      <c r="JD382" s="978"/>
      <c r="JE382" s="978"/>
      <c r="JF382" s="978"/>
      <c r="JG382" s="978"/>
      <c r="JH382" s="978"/>
      <c r="JI382" s="978"/>
      <c r="JJ382" s="978"/>
      <c r="JK382" s="978"/>
      <c r="JL382" s="978"/>
      <c r="JM382" s="978"/>
      <c r="JN382" s="978"/>
      <c r="JO382" s="978"/>
      <c r="JP382" s="978"/>
      <c r="JQ382" s="978"/>
      <c r="JR382" s="978"/>
      <c r="JS382" s="978"/>
      <c r="JT382" s="978"/>
      <c r="JU382" s="978"/>
      <c r="JV382" s="978"/>
      <c r="JW382" s="978"/>
      <c r="JX382" s="978"/>
      <c r="JY382" s="978"/>
      <c r="JZ382" s="978"/>
      <c r="KA382" s="978"/>
      <c r="KB382" s="978"/>
      <c r="KC382" s="978"/>
      <c r="KD382" s="978"/>
      <c r="KE382" s="978"/>
      <c r="KF382" s="978"/>
      <c r="KG382" s="978"/>
      <c r="KH382" s="978"/>
      <c r="KI382" s="978"/>
      <c r="KJ382" s="978"/>
      <c r="KK382" s="978"/>
      <c r="KL382" s="978"/>
      <c r="KM382" s="978"/>
      <c r="KN382" s="978"/>
      <c r="KO382" s="978"/>
      <c r="KP382" s="978"/>
      <c r="KQ382" s="978"/>
      <c r="KR382" s="978"/>
      <c r="KS382" s="978"/>
      <c r="KT382" s="978"/>
      <c r="KU382" s="978"/>
      <c r="KV382" s="978"/>
      <c r="KW382" s="978"/>
      <c r="KX382" s="978"/>
      <c r="KY382" s="978"/>
      <c r="KZ382" s="978"/>
      <c r="LA382" s="978"/>
      <c r="LB382" s="978"/>
      <c r="LC382" s="978"/>
      <c r="LD382" s="978"/>
      <c r="LE382" s="978"/>
      <c r="LF382" s="978"/>
      <c r="LG382" s="978"/>
      <c r="LH382" s="978"/>
      <c r="LI382" s="978"/>
      <c r="LJ382" s="978"/>
      <c r="LK382" s="978"/>
      <c r="LL382" s="978"/>
      <c r="LM382" s="978"/>
      <c r="LN382" s="978"/>
      <c r="LO382" s="978"/>
      <c r="LP382" s="978"/>
      <c r="LQ382" s="978"/>
      <c r="LR382" s="978"/>
      <c r="LS382" s="978"/>
      <c r="LT382" s="978"/>
      <c r="LU382" s="978"/>
      <c r="LV382" s="978"/>
      <c r="LW382" s="978"/>
      <c r="LX382" s="978"/>
      <c r="LY382" s="978"/>
      <c r="LZ382" s="978"/>
      <c r="MA382" s="978"/>
      <c r="MB382" s="978"/>
      <c r="MC382" s="978"/>
      <c r="MD382" s="978"/>
      <c r="ME382" s="978"/>
      <c r="MF382" s="978"/>
      <c r="MG382" s="978"/>
      <c r="MH382" s="978"/>
      <c r="MI382" s="978"/>
      <c r="MJ382" s="978"/>
      <c r="MK382" s="978"/>
      <c r="ML382" s="978"/>
      <c r="MM382" s="978"/>
      <c r="MN382" s="978"/>
      <c r="MO382" s="978"/>
      <c r="MP382" s="978"/>
      <c r="MQ382" s="978"/>
      <c r="MR382" s="978"/>
      <c r="MS382" s="978"/>
      <c r="MT382" s="978"/>
      <c r="MU382" s="978"/>
      <c r="MV382" s="978"/>
      <c r="MW382" s="978"/>
      <c r="MX382" s="978"/>
      <c r="MY382" s="978"/>
      <c r="MZ382" s="978"/>
      <c r="NA382" s="978"/>
      <c r="NB382" s="978"/>
      <c r="NC382" s="978"/>
      <c r="ND382" s="978"/>
      <c r="NE382" s="978"/>
      <c r="NF382" s="978"/>
      <c r="NG382" s="978"/>
      <c r="NH382" s="978"/>
      <c r="NI382" s="978"/>
      <c r="NJ382" s="978"/>
      <c r="NK382" s="978"/>
      <c r="NL382" s="978"/>
      <c r="NM382" s="978"/>
      <c r="NN382" s="978"/>
      <c r="NO382" s="978"/>
      <c r="NP382" s="978"/>
      <c r="NQ382" s="978"/>
      <c r="NR382" s="978"/>
      <c r="NS382" s="978"/>
      <c r="NT382" s="978"/>
      <c r="NU382" s="978"/>
      <c r="NV382" s="978"/>
      <c r="NW382" s="978"/>
      <c r="NX382" s="978"/>
      <c r="NY382" s="978"/>
      <c r="NZ382" s="978"/>
      <c r="OA382" s="978"/>
      <c r="OB382" s="978"/>
      <c r="OC382" s="978"/>
      <c r="OD382" s="978"/>
      <c r="OE382" s="978"/>
      <c r="OF382" s="978"/>
      <c r="OG382" s="978"/>
      <c r="OH382" s="978"/>
      <c r="OI382" s="978"/>
      <c r="OJ382" s="978"/>
      <c r="OK382" s="978"/>
      <c r="OL382" s="978"/>
      <c r="OM382" s="978"/>
      <c r="ON382" s="978"/>
      <c r="OO382" s="978"/>
      <c r="OP382" s="978"/>
      <c r="OQ382" s="978"/>
      <c r="OR382" s="978"/>
      <c r="OS382" s="978"/>
      <c r="OT382" s="978"/>
      <c r="OU382" s="978"/>
      <c r="OV382" s="978"/>
      <c r="OW382" s="978"/>
      <c r="OX382" s="978"/>
      <c r="OY382" s="978"/>
      <c r="OZ382" s="978"/>
      <c r="PA382" s="978"/>
      <c r="PB382" s="978"/>
      <c r="PC382" s="978"/>
      <c r="PD382" s="978"/>
      <c r="PE382" s="978"/>
      <c r="PF382" s="978"/>
      <c r="PG382" s="978"/>
      <c r="PH382" s="978"/>
      <c r="PI382" s="978"/>
      <c r="PJ382" s="978"/>
      <c r="PK382" s="978"/>
      <c r="PL382" s="978"/>
      <c r="PM382" s="978"/>
      <c r="PN382" s="978"/>
      <c r="PO382" s="978"/>
      <c r="PP382" s="978"/>
      <c r="PQ382" s="978"/>
      <c r="PR382" s="978"/>
      <c r="PS382" s="978"/>
      <c r="PT382" s="978"/>
      <c r="PU382" s="978"/>
      <c r="PV382" s="978"/>
      <c r="PW382" s="978"/>
      <c r="PX382" s="978"/>
      <c r="PY382" s="978"/>
      <c r="PZ382" s="978"/>
      <c r="QA382" s="978"/>
      <c r="QB382" s="978"/>
      <c r="QC382" s="978"/>
      <c r="QD382" s="978"/>
      <c r="QE382" s="978"/>
      <c r="QF382" s="978"/>
      <c r="QG382" s="978"/>
      <c r="QH382" s="978"/>
      <c r="QI382" s="978"/>
      <c r="QJ382" s="978"/>
      <c r="QK382" s="978"/>
      <c r="QL382" s="978"/>
      <c r="QM382" s="978"/>
      <c r="QN382" s="978"/>
      <c r="QO382" s="978"/>
      <c r="QP382" s="978"/>
      <c r="QQ382" s="978"/>
      <c r="QR382" s="978"/>
      <c r="QS382" s="978"/>
      <c r="QT382" s="978"/>
      <c r="QU382" s="978"/>
      <c r="QV382" s="978"/>
      <c r="QW382" s="978"/>
      <c r="QX382" s="978"/>
      <c r="QY382" s="978"/>
      <c r="QZ382" s="978"/>
      <c r="RA382" s="978"/>
      <c r="RB382" s="274"/>
      <c r="RC382" s="274"/>
    </row>
    <row r="383" spans="112:471" ht="17.25">
      <c r="DH383" s="274"/>
      <c r="DI383" s="274"/>
      <c r="DJ383" s="978"/>
      <c r="DK383" s="978"/>
      <c r="DL383" s="978"/>
      <c r="DM383" s="978"/>
      <c r="DN383" s="978"/>
      <c r="DO383" s="978"/>
      <c r="DP383" s="978"/>
      <c r="DQ383" s="978"/>
      <c r="DR383" s="978"/>
      <c r="DS383" s="978"/>
      <c r="DT383" s="978"/>
      <c r="DU383" s="978"/>
      <c r="DV383" s="978"/>
      <c r="DW383" s="978"/>
      <c r="DX383" s="978"/>
      <c r="DY383" s="978"/>
      <c r="DZ383" s="978"/>
      <c r="EA383" s="978"/>
      <c r="EB383" s="978"/>
      <c r="EC383" s="978"/>
      <c r="ED383" s="978"/>
      <c r="EE383" s="978"/>
      <c r="EF383" s="978"/>
      <c r="EG383" s="978"/>
      <c r="EH383" s="978"/>
      <c r="EI383" s="978"/>
      <c r="EJ383" s="978"/>
      <c r="EK383" s="978"/>
      <c r="EL383" s="978"/>
      <c r="EM383" s="978"/>
      <c r="EN383" s="978"/>
      <c r="EO383" s="978"/>
      <c r="EP383" s="978"/>
      <c r="EQ383" s="978"/>
      <c r="ER383" s="978"/>
      <c r="ES383" s="978"/>
      <c r="ET383" s="978"/>
      <c r="EU383" s="978"/>
      <c r="EV383" s="978"/>
      <c r="EW383" s="978"/>
      <c r="EX383" s="978"/>
      <c r="EY383" s="978"/>
      <c r="EZ383" s="978"/>
      <c r="FA383" s="978"/>
      <c r="FB383" s="978"/>
      <c r="FC383" s="978"/>
      <c r="FD383" s="978"/>
      <c r="FE383" s="978"/>
      <c r="FF383" s="978"/>
      <c r="FG383" s="978"/>
      <c r="FH383" s="978"/>
      <c r="FI383" s="978"/>
      <c r="FJ383" s="978"/>
      <c r="FK383" s="978"/>
      <c r="FL383" s="978"/>
      <c r="FM383" s="978"/>
      <c r="FN383" s="978"/>
      <c r="FO383" s="978"/>
      <c r="FP383" s="978"/>
      <c r="FQ383" s="978"/>
      <c r="FR383" s="978"/>
      <c r="FS383" s="978"/>
      <c r="FT383" s="978"/>
      <c r="FU383" s="978"/>
      <c r="FV383" s="978"/>
      <c r="FW383" s="978"/>
      <c r="FX383" s="978"/>
      <c r="FY383" s="978"/>
      <c r="FZ383" s="978"/>
      <c r="GA383" s="978"/>
      <c r="GB383" s="978"/>
      <c r="GC383" s="978"/>
      <c r="GD383" s="978"/>
      <c r="GE383" s="978"/>
      <c r="GF383" s="978"/>
      <c r="GG383" s="978"/>
      <c r="GH383" s="978"/>
      <c r="GI383" s="978"/>
      <c r="GJ383" s="978"/>
      <c r="GK383" s="978"/>
      <c r="GL383" s="978"/>
      <c r="GM383" s="978"/>
      <c r="GN383" s="978"/>
      <c r="GO383" s="978"/>
      <c r="GP383" s="978"/>
      <c r="GQ383" s="978"/>
      <c r="GR383" s="978"/>
      <c r="GS383" s="978"/>
      <c r="GT383" s="978"/>
      <c r="GU383" s="978"/>
      <c r="GV383" s="978"/>
      <c r="GW383" s="978"/>
      <c r="GX383" s="978"/>
      <c r="GY383" s="978"/>
      <c r="GZ383" s="978"/>
      <c r="HA383" s="978"/>
      <c r="HB383" s="978"/>
      <c r="HC383" s="978"/>
      <c r="HD383" s="978"/>
      <c r="HE383" s="978"/>
      <c r="HF383" s="978"/>
      <c r="HG383" s="978"/>
      <c r="HH383" s="978"/>
      <c r="HI383" s="978"/>
      <c r="HJ383" s="978"/>
      <c r="HK383" s="978"/>
      <c r="HL383" s="978"/>
      <c r="HM383" s="978"/>
      <c r="HN383" s="978"/>
      <c r="HO383" s="978"/>
      <c r="HP383" s="978"/>
      <c r="HQ383" s="978"/>
      <c r="HR383" s="978"/>
      <c r="HS383" s="978"/>
      <c r="HT383" s="978"/>
      <c r="HU383" s="978"/>
      <c r="HV383" s="978"/>
      <c r="HW383" s="978"/>
      <c r="HX383" s="978"/>
      <c r="HY383" s="978"/>
      <c r="HZ383" s="978"/>
      <c r="IA383" s="978"/>
      <c r="IB383" s="978"/>
      <c r="IC383" s="978"/>
      <c r="ID383" s="978"/>
      <c r="IE383" s="978"/>
      <c r="IF383" s="978"/>
      <c r="IG383" s="978"/>
      <c r="IH383" s="978"/>
      <c r="II383" s="978"/>
      <c r="IJ383" s="978"/>
      <c r="IK383" s="978"/>
      <c r="IL383" s="978"/>
      <c r="IM383" s="978"/>
      <c r="IN383" s="978"/>
      <c r="IO383" s="978"/>
      <c r="IP383" s="978"/>
      <c r="IQ383" s="978"/>
      <c r="IR383" s="978"/>
      <c r="IS383" s="978"/>
      <c r="IT383" s="978"/>
      <c r="IU383" s="978"/>
      <c r="IV383" s="978"/>
      <c r="IW383" s="978"/>
      <c r="IX383" s="978"/>
      <c r="IY383" s="978"/>
      <c r="IZ383" s="978"/>
      <c r="JA383" s="978"/>
      <c r="JB383" s="978"/>
      <c r="JC383" s="978"/>
      <c r="JD383" s="978"/>
      <c r="JE383" s="978"/>
      <c r="JF383" s="978"/>
      <c r="JG383" s="978"/>
      <c r="JH383" s="978"/>
      <c r="JI383" s="978"/>
      <c r="JJ383" s="978"/>
      <c r="JK383" s="978"/>
      <c r="JL383" s="978"/>
      <c r="JM383" s="978"/>
      <c r="JN383" s="978"/>
      <c r="JO383" s="978"/>
      <c r="JP383" s="978"/>
      <c r="JQ383" s="978"/>
      <c r="JR383" s="978"/>
      <c r="JS383" s="978"/>
      <c r="JT383" s="978"/>
      <c r="JU383" s="978"/>
      <c r="JV383" s="978"/>
      <c r="JW383" s="978"/>
      <c r="JX383" s="978"/>
      <c r="JY383" s="978"/>
      <c r="JZ383" s="978"/>
      <c r="KA383" s="978"/>
      <c r="KB383" s="978"/>
      <c r="KC383" s="978"/>
      <c r="KD383" s="978"/>
      <c r="KE383" s="978"/>
      <c r="KF383" s="978"/>
      <c r="KG383" s="978"/>
      <c r="KH383" s="978"/>
      <c r="KI383" s="978"/>
      <c r="KJ383" s="978"/>
      <c r="KK383" s="978"/>
      <c r="KL383" s="978"/>
      <c r="KM383" s="978"/>
      <c r="KN383" s="978"/>
      <c r="KO383" s="978"/>
      <c r="KP383" s="978"/>
      <c r="KQ383" s="978"/>
      <c r="KR383" s="978"/>
      <c r="KS383" s="978"/>
      <c r="KT383" s="978"/>
      <c r="KU383" s="978"/>
      <c r="KV383" s="978"/>
      <c r="KW383" s="978"/>
      <c r="KX383" s="978"/>
      <c r="KY383" s="978"/>
      <c r="KZ383" s="978"/>
      <c r="LA383" s="978"/>
      <c r="LB383" s="978"/>
      <c r="LC383" s="978"/>
      <c r="LD383" s="978"/>
      <c r="LE383" s="978"/>
      <c r="LF383" s="978"/>
      <c r="LG383" s="978"/>
      <c r="LH383" s="978"/>
      <c r="LI383" s="978"/>
      <c r="LJ383" s="978"/>
      <c r="LK383" s="978"/>
      <c r="LL383" s="978"/>
      <c r="LM383" s="978"/>
      <c r="LN383" s="978"/>
      <c r="LO383" s="978"/>
      <c r="LP383" s="978"/>
      <c r="LQ383" s="978"/>
      <c r="LR383" s="978"/>
      <c r="LS383" s="978"/>
      <c r="LT383" s="978"/>
      <c r="LU383" s="978"/>
      <c r="LV383" s="978"/>
      <c r="LW383" s="978"/>
      <c r="LX383" s="978"/>
      <c r="LY383" s="978"/>
      <c r="LZ383" s="978"/>
      <c r="MA383" s="978"/>
      <c r="MB383" s="978"/>
      <c r="MC383" s="978"/>
      <c r="MD383" s="978"/>
      <c r="ME383" s="978"/>
      <c r="MF383" s="978"/>
      <c r="MG383" s="978"/>
      <c r="MH383" s="978"/>
      <c r="MI383" s="978"/>
      <c r="MJ383" s="978"/>
      <c r="MK383" s="978"/>
      <c r="ML383" s="978"/>
      <c r="MM383" s="978"/>
      <c r="MN383" s="978"/>
      <c r="MO383" s="978"/>
      <c r="MP383" s="978"/>
      <c r="MQ383" s="978"/>
      <c r="MR383" s="978"/>
      <c r="MS383" s="978"/>
      <c r="MT383" s="978"/>
      <c r="MU383" s="978"/>
      <c r="MV383" s="978"/>
      <c r="MW383" s="978"/>
      <c r="MX383" s="978"/>
      <c r="MY383" s="978"/>
      <c r="MZ383" s="978"/>
      <c r="NA383" s="978"/>
      <c r="NB383" s="978"/>
      <c r="NC383" s="978"/>
      <c r="ND383" s="978"/>
      <c r="NE383" s="978"/>
      <c r="NF383" s="978"/>
      <c r="NG383" s="978"/>
      <c r="NH383" s="978"/>
      <c r="NI383" s="978"/>
      <c r="NJ383" s="978"/>
      <c r="NK383" s="978"/>
      <c r="NL383" s="978"/>
      <c r="NM383" s="978"/>
      <c r="NN383" s="978"/>
      <c r="NO383" s="978"/>
      <c r="NP383" s="978"/>
      <c r="NQ383" s="978"/>
      <c r="NR383" s="978"/>
      <c r="NS383" s="978"/>
      <c r="NT383" s="978"/>
      <c r="NU383" s="978"/>
      <c r="NV383" s="978"/>
      <c r="NW383" s="978"/>
      <c r="NX383" s="978"/>
      <c r="NY383" s="978"/>
      <c r="NZ383" s="978"/>
      <c r="OA383" s="978"/>
      <c r="OB383" s="978"/>
      <c r="OC383" s="978"/>
      <c r="OD383" s="978"/>
      <c r="OE383" s="978"/>
      <c r="OF383" s="978"/>
      <c r="OG383" s="978"/>
      <c r="OH383" s="978"/>
      <c r="OI383" s="978"/>
      <c r="OJ383" s="978"/>
      <c r="OK383" s="978"/>
      <c r="OL383" s="978"/>
      <c r="OM383" s="978"/>
      <c r="ON383" s="978"/>
      <c r="OO383" s="978"/>
      <c r="OP383" s="978"/>
      <c r="OQ383" s="978"/>
      <c r="OR383" s="978"/>
      <c r="OS383" s="978"/>
      <c r="OT383" s="978"/>
      <c r="OU383" s="978"/>
      <c r="OV383" s="978"/>
      <c r="OW383" s="978"/>
      <c r="OX383" s="978"/>
      <c r="OY383" s="978"/>
      <c r="OZ383" s="978"/>
      <c r="PA383" s="978"/>
      <c r="PB383" s="978"/>
      <c r="PC383" s="978"/>
      <c r="PD383" s="978"/>
      <c r="PE383" s="978"/>
      <c r="PF383" s="978"/>
      <c r="PG383" s="978"/>
      <c r="PH383" s="978"/>
      <c r="PI383" s="978"/>
      <c r="PJ383" s="978"/>
      <c r="PK383" s="978"/>
      <c r="PL383" s="978"/>
      <c r="PM383" s="978"/>
      <c r="PN383" s="978"/>
      <c r="PO383" s="978"/>
      <c r="PP383" s="978"/>
      <c r="PQ383" s="978"/>
      <c r="PR383" s="978"/>
      <c r="PS383" s="978"/>
      <c r="PT383" s="978"/>
      <c r="PU383" s="978"/>
      <c r="PV383" s="978"/>
      <c r="PW383" s="978"/>
      <c r="PX383" s="978"/>
      <c r="PY383" s="978"/>
      <c r="PZ383" s="978"/>
      <c r="QA383" s="978"/>
      <c r="QB383" s="978"/>
      <c r="QC383" s="978"/>
      <c r="QD383" s="978"/>
      <c r="QE383" s="978"/>
      <c r="QF383" s="978"/>
      <c r="QG383" s="978"/>
      <c r="QH383" s="978"/>
      <c r="QI383" s="978"/>
      <c r="QJ383" s="978"/>
      <c r="QK383" s="978"/>
      <c r="QL383" s="978"/>
      <c r="QM383" s="978"/>
      <c r="QN383" s="978"/>
      <c r="QO383" s="978"/>
      <c r="QP383" s="978"/>
      <c r="QQ383" s="978"/>
      <c r="QR383" s="978"/>
      <c r="QS383" s="978"/>
      <c r="QT383" s="978"/>
      <c r="QU383" s="978"/>
      <c r="QV383" s="978"/>
      <c r="QW383" s="978"/>
      <c r="QX383" s="978"/>
      <c r="QY383" s="978"/>
      <c r="QZ383" s="978"/>
      <c r="RA383" s="978"/>
      <c r="RB383" s="274"/>
      <c r="RC383" s="274"/>
    </row>
    <row r="384" spans="112:471">
      <c r="DH384" s="274"/>
      <c r="DI384" s="274"/>
      <c r="DJ384" s="274"/>
      <c r="DK384" s="274"/>
      <c r="DL384" s="274"/>
      <c r="DM384" s="274"/>
      <c r="DN384" s="274"/>
      <c r="DO384" s="274"/>
      <c r="DP384" s="274"/>
      <c r="DQ384" s="274"/>
      <c r="DR384" s="274"/>
      <c r="DS384" s="274"/>
      <c r="DT384" s="274"/>
      <c r="DU384" s="274"/>
      <c r="DV384" s="274"/>
      <c r="DW384" s="274"/>
      <c r="DX384" s="274"/>
      <c r="DY384" s="274"/>
      <c r="DZ384" s="274"/>
      <c r="EA384" s="274"/>
      <c r="EB384" s="274"/>
      <c r="EC384" s="274"/>
      <c r="ED384" s="274"/>
      <c r="EE384" s="274"/>
      <c r="EF384" s="274"/>
      <c r="EG384" s="274"/>
      <c r="EH384" s="274"/>
      <c r="EI384" s="274"/>
      <c r="EJ384" s="274"/>
      <c r="EK384" s="274"/>
      <c r="EL384" s="274"/>
      <c r="EM384" s="274"/>
      <c r="EN384" s="274"/>
      <c r="EO384" s="274"/>
      <c r="EP384" s="274"/>
      <c r="EQ384" s="274"/>
      <c r="ER384" s="274"/>
      <c r="ES384" s="274"/>
      <c r="ET384" s="274"/>
      <c r="EU384" s="274"/>
      <c r="EV384" s="274"/>
      <c r="EW384" s="274"/>
      <c r="EX384" s="274"/>
      <c r="EY384" s="274"/>
      <c r="EZ384" s="274"/>
      <c r="FA384" s="274"/>
      <c r="FB384" s="274"/>
      <c r="FC384" s="274"/>
      <c r="FD384" s="274"/>
      <c r="FE384" s="274"/>
      <c r="FF384" s="274"/>
      <c r="FG384" s="274"/>
      <c r="FH384" s="274"/>
      <c r="FI384" s="274"/>
      <c r="FJ384" s="274"/>
      <c r="FK384" s="274"/>
      <c r="FL384" s="274"/>
      <c r="FM384" s="274"/>
      <c r="FN384" s="274"/>
      <c r="FO384" s="274"/>
      <c r="FP384" s="274"/>
      <c r="FQ384" s="274"/>
      <c r="FR384" s="274"/>
      <c r="FS384" s="274"/>
      <c r="FT384" s="274"/>
      <c r="FU384" s="274"/>
      <c r="FV384" s="274"/>
      <c r="FW384" s="274"/>
      <c r="FX384" s="274"/>
      <c r="FY384" s="274"/>
      <c r="FZ384" s="274"/>
      <c r="GA384" s="274"/>
      <c r="GB384" s="274"/>
      <c r="GC384" s="274"/>
      <c r="GD384" s="274"/>
      <c r="GE384" s="274"/>
      <c r="GF384" s="274"/>
      <c r="GG384" s="274"/>
      <c r="GH384" s="274"/>
      <c r="GI384" s="274"/>
      <c r="GJ384" s="274"/>
      <c r="GK384" s="274"/>
      <c r="GL384" s="274"/>
      <c r="GM384" s="274"/>
      <c r="GN384" s="274"/>
      <c r="GO384" s="274"/>
      <c r="GP384" s="274"/>
      <c r="GQ384" s="274"/>
      <c r="GR384" s="274"/>
      <c r="GS384" s="274"/>
      <c r="GT384" s="274"/>
      <c r="GU384" s="274"/>
      <c r="GV384" s="274"/>
      <c r="GW384" s="274"/>
      <c r="GX384" s="274"/>
      <c r="GY384" s="274"/>
      <c r="GZ384" s="274"/>
      <c r="HA384" s="274"/>
      <c r="HB384" s="274"/>
      <c r="HC384" s="274"/>
      <c r="HD384" s="274"/>
      <c r="HE384" s="274"/>
      <c r="HF384" s="274"/>
      <c r="HG384" s="274"/>
      <c r="HH384" s="274"/>
      <c r="HI384" s="274"/>
      <c r="HJ384" s="274"/>
      <c r="HK384" s="274"/>
      <c r="HL384" s="274"/>
      <c r="HM384" s="274"/>
      <c r="HN384" s="274"/>
      <c r="HO384" s="274"/>
      <c r="HP384" s="274"/>
      <c r="HQ384" s="274"/>
      <c r="HR384" s="274"/>
      <c r="HS384" s="274"/>
      <c r="HT384" s="274"/>
      <c r="HU384" s="274"/>
      <c r="HV384" s="274"/>
      <c r="HW384" s="274"/>
      <c r="HX384" s="274"/>
      <c r="HY384" s="274"/>
      <c r="HZ384" s="274"/>
      <c r="IA384" s="274"/>
      <c r="IB384" s="274"/>
      <c r="IC384" s="274"/>
      <c r="ID384" s="274"/>
      <c r="IE384" s="274"/>
      <c r="IF384" s="274"/>
      <c r="IG384" s="274"/>
      <c r="IH384" s="274"/>
      <c r="II384" s="274"/>
      <c r="IJ384" s="274"/>
      <c r="IK384" s="274"/>
      <c r="IL384" s="274"/>
      <c r="IM384" s="274"/>
      <c r="IN384" s="274"/>
      <c r="IO384" s="274"/>
      <c r="IP384" s="274"/>
      <c r="IQ384" s="274"/>
      <c r="IR384" s="274"/>
      <c r="IS384" s="274"/>
      <c r="IT384" s="274"/>
      <c r="IU384" s="274"/>
      <c r="IV384" s="274"/>
      <c r="IW384" s="274"/>
      <c r="IX384" s="274"/>
      <c r="IY384" s="274"/>
      <c r="IZ384" s="274"/>
      <c r="JA384" s="274"/>
      <c r="JB384" s="274"/>
      <c r="JC384" s="274"/>
      <c r="JD384" s="274"/>
      <c r="JE384" s="274"/>
      <c r="JF384" s="274"/>
      <c r="JG384" s="274"/>
      <c r="JH384" s="274"/>
      <c r="JI384" s="274"/>
      <c r="JJ384" s="274"/>
      <c r="JK384" s="274"/>
      <c r="JL384" s="274"/>
      <c r="JM384" s="274"/>
      <c r="JN384" s="274"/>
      <c r="JO384" s="274"/>
      <c r="JP384" s="274"/>
      <c r="JQ384" s="274"/>
      <c r="JR384" s="274"/>
      <c r="JS384" s="274"/>
      <c r="JT384" s="274"/>
      <c r="JU384" s="274"/>
      <c r="JV384" s="274"/>
      <c r="JW384" s="274"/>
      <c r="JX384" s="274"/>
      <c r="JY384" s="274"/>
      <c r="JZ384" s="274"/>
      <c r="KA384" s="274"/>
      <c r="KB384" s="274"/>
      <c r="KC384" s="274"/>
      <c r="KD384" s="274"/>
      <c r="KE384" s="274"/>
      <c r="KF384" s="274"/>
      <c r="KG384" s="274"/>
      <c r="KH384" s="274"/>
      <c r="KI384" s="274"/>
      <c r="KJ384" s="274"/>
      <c r="KK384" s="274"/>
      <c r="KL384" s="274"/>
      <c r="KM384" s="274"/>
      <c r="KN384" s="274"/>
      <c r="KO384" s="274"/>
      <c r="KP384" s="274"/>
      <c r="KQ384" s="274"/>
      <c r="KR384" s="274"/>
      <c r="KS384" s="274"/>
      <c r="KT384" s="274"/>
      <c r="KU384" s="274"/>
      <c r="KV384" s="274"/>
      <c r="KW384" s="274"/>
      <c r="KX384" s="274"/>
      <c r="KY384" s="274"/>
      <c r="KZ384" s="274"/>
      <c r="LA384" s="274"/>
      <c r="LB384" s="274"/>
      <c r="LC384" s="274"/>
      <c r="LD384" s="274"/>
      <c r="LE384" s="274"/>
      <c r="LF384" s="274"/>
      <c r="LG384" s="274"/>
      <c r="LH384" s="274"/>
      <c r="LI384" s="274"/>
      <c r="LJ384" s="274"/>
      <c r="LK384" s="274"/>
      <c r="LL384" s="274"/>
      <c r="LM384" s="274"/>
      <c r="LN384" s="274"/>
      <c r="LO384" s="274"/>
      <c r="LP384" s="274"/>
      <c r="LQ384" s="274"/>
      <c r="LR384" s="274"/>
      <c r="LS384" s="274"/>
      <c r="LT384" s="274"/>
      <c r="LU384" s="274"/>
      <c r="LV384" s="274"/>
      <c r="LW384" s="274"/>
      <c r="LX384" s="274"/>
      <c r="LY384" s="274"/>
      <c r="LZ384" s="274"/>
      <c r="MA384" s="274"/>
      <c r="MB384" s="274"/>
      <c r="MC384" s="274"/>
      <c r="MD384" s="274"/>
      <c r="ME384" s="274"/>
      <c r="MF384" s="274"/>
      <c r="MG384" s="274"/>
      <c r="MH384" s="274"/>
      <c r="MI384" s="274"/>
      <c r="MJ384" s="274"/>
      <c r="MK384" s="274"/>
      <c r="ML384" s="274"/>
      <c r="MM384" s="274"/>
      <c r="MN384" s="274"/>
      <c r="MO384" s="274"/>
      <c r="MP384" s="274"/>
      <c r="MQ384" s="274"/>
      <c r="MR384" s="274"/>
      <c r="MS384" s="274"/>
      <c r="MT384" s="274"/>
      <c r="MU384" s="274"/>
      <c r="MV384" s="274"/>
      <c r="MW384" s="274"/>
      <c r="MX384" s="274"/>
      <c r="MY384" s="274"/>
      <c r="MZ384" s="274"/>
      <c r="NA384" s="274"/>
      <c r="NB384" s="274"/>
      <c r="NC384" s="274"/>
      <c r="ND384" s="274"/>
      <c r="NE384" s="274"/>
      <c r="NF384" s="274"/>
      <c r="NG384" s="274"/>
      <c r="NH384" s="274"/>
      <c r="NI384" s="274"/>
      <c r="NJ384" s="274"/>
      <c r="NK384" s="274"/>
      <c r="NL384" s="274"/>
      <c r="NM384" s="274"/>
      <c r="NN384" s="274"/>
      <c r="NO384" s="274"/>
      <c r="NP384" s="274"/>
      <c r="NQ384" s="274"/>
      <c r="NR384" s="274"/>
      <c r="NS384" s="274"/>
      <c r="NT384" s="274"/>
      <c r="NU384" s="274"/>
      <c r="NV384" s="274"/>
      <c r="NW384" s="274"/>
      <c r="NX384" s="274"/>
      <c r="NY384" s="274"/>
      <c r="NZ384" s="274"/>
      <c r="OA384" s="274"/>
      <c r="OB384" s="274"/>
      <c r="OC384" s="274"/>
      <c r="OD384" s="274"/>
      <c r="OE384" s="274"/>
      <c r="OF384" s="274"/>
      <c r="OG384" s="274"/>
      <c r="OH384" s="274"/>
      <c r="OI384" s="274"/>
      <c r="OJ384" s="274"/>
      <c r="OK384" s="274"/>
      <c r="OL384" s="274"/>
      <c r="OM384" s="274"/>
      <c r="ON384" s="274"/>
      <c r="OO384" s="274"/>
      <c r="OP384" s="274"/>
      <c r="OQ384" s="274"/>
      <c r="OR384" s="274"/>
      <c r="OS384" s="274"/>
      <c r="OT384" s="274"/>
      <c r="OU384" s="274"/>
      <c r="OV384" s="274"/>
      <c r="OW384" s="274"/>
      <c r="OX384" s="274"/>
      <c r="OY384" s="274"/>
      <c r="OZ384" s="274"/>
      <c r="PA384" s="274"/>
      <c r="PB384" s="274"/>
      <c r="PC384" s="274"/>
      <c r="PD384" s="274"/>
      <c r="PE384" s="274"/>
      <c r="PF384" s="274"/>
      <c r="PG384" s="274"/>
      <c r="PH384" s="274"/>
      <c r="PI384" s="274"/>
      <c r="PJ384" s="274"/>
      <c r="PK384" s="274"/>
      <c r="PL384" s="274"/>
      <c r="PM384" s="274"/>
      <c r="PN384" s="274"/>
      <c r="PO384" s="274"/>
      <c r="PP384" s="274"/>
      <c r="PQ384" s="274"/>
      <c r="PR384" s="274"/>
      <c r="PS384" s="274"/>
      <c r="PT384" s="274"/>
      <c r="PU384" s="274"/>
      <c r="PV384" s="274"/>
      <c r="PW384" s="274"/>
      <c r="PX384" s="274"/>
      <c r="PY384" s="274"/>
      <c r="PZ384" s="274"/>
      <c r="QA384" s="274"/>
      <c r="QB384" s="274"/>
      <c r="QC384" s="274"/>
      <c r="QD384" s="274"/>
      <c r="QE384" s="274"/>
      <c r="QF384" s="274"/>
      <c r="QG384" s="274"/>
      <c r="QH384" s="274"/>
      <c r="QI384" s="274"/>
      <c r="QJ384" s="274"/>
      <c r="QK384" s="274"/>
      <c r="QL384" s="274"/>
      <c r="QM384" s="274"/>
      <c r="QN384" s="274"/>
      <c r="QO384" s="274"/>
      <c r="QP384" s="274"/>
      <c r="QQ384" s="274"/>
      <c r="QR384" s="274"/>
      <c r="QS384" s="274"/>
      <c r="QT384" s="274"/>
      <c r="QU384" s="274"/>
      <c r="QV384" s="274"/>
      <c r="QW384" s="274"/>
      <c r="QX384" s="274"/>
      <c r="QY384" s="274"/>
      <c r="QZ384" s="274"/>
      <c r="RA384" s="274"/>
      <c r="RB384" s="274"/>
      <c r="RC384" s="274"/>
    </row>
    <row r="385" spans="112:471">
      <c r="DH385" s="274"/>
      <c r="DI385" s="274"/>
      <c r="DJ385" s="274"/>
      <c r="DK385" s="274"/>
      <c r="DL385" s="274"/>
      <c r="DM385" s="274"/>
      <c r="DN385" s="274"/>
      <c r="DO385" s="274"/>
      <c r="DP385" s="274"/>
      <c r="DQ385" s="274"/>
      <c r="DR385" s="274"/>
      <c r="DS385" s="274"/>
      <c r="DT385" s="274"/>
      <c r="DU385" s="274"/>
      <c r="DV385" s="274"/>
      <c r="DW385" s="274"/>
      <c r="DX385" s="274"/>
      <c r="DY385" s="274"/>
      <c r="DZ385" s="274"/>
      <c r="EA385" s="274"/>
      <c r="EB385" s="274"/>
      <c r="EC385" s="274"/>
      <c r="ED385" s="274"/>
      <c r="EE385" s="274"/>
      <c r="EF385" s="274"/>
      <c r="EG385" s="274"/>
      <c r="EH385" s="274"/>
      <c r="EI385" s="274"/>
      <c r="EJ385" s="274"/>
      <c r="EK385" s="274"/>
      <c r="EL385" s="274"/>
      <c r="EM385" s="274"/>
      <c r="EN385" s="274"/>
      <c r="EO385" s="274"/>
      <c r="EP385" s="274"/>
      <c r="EQ385" s="274"/>
      <c r="ER385" s="274"/>
      <c r="ES385" s="274"/>
      <c r="ET385" s="274"/>
      <c r="EU385" s="274"/>
      <c r="EV385" s="274"/>
      <c r="EW385" s="274"/>
      <c r="EX385" s="274"/>
      <c r="EY385" s="274"/>
      <c r="EZ385" s="274"/>
      <c r="FA385" s="274"/>
      <c r="FB385" s="274"/>
      <c r="FC385" s="274"/>
      <c r="FD385" s="274"/>
      <c r="FE385" s="274"/>
      <c r="FF385" s="274"/>
      <c r="FG385" s="274"/>
      <c r="FH385" s="274"/>
      <c r="FI385" s="274"/>
      <c r="FJ385" s="274"/>
      <c r="FK385" s="274"/>
      <c r="FL385" s="274"/>
      <c r="FM385" s="274"/>
      <c r="FN385" s="274"/>
      <c r="FO385" s="274"/>
      <c r="FP385" s="274"/>
      <c r="FQ385" s="274"/>
      <c r="FR385" s="274"/>
      <c r="FS385" s="274"/>
      <c r="FT385" s="274"/>
      <c r="FU385" s="274"/>
      <c r="FV385" s="274"/>
      <c r="FW385" s="274"/>
      <c r="FX385" s="274"/>
      <c r="FY385" s="274"/>
      <c r="FZ385" s="274"/>
      <c r="GA385" s="274"/>
      <c r="GB385" s="274"/>
      <c r="GC385" s="274"/>
      <c r="GD385" s="274"/>
      <c r="GE385" s="274"/>
      <c r="GF385" s="274"/>
      <c r="GG385" s="274"/>
      <c r="GH385" s="274"/>
      <c r="GI385" s="274"/>
      <c r="GJ385" s="274"/>
      <c r="GK385" s="274"/>
      <c r="GL385" s="274"/>
      <c r="GM385" s="274"/>
      <c r="GN385" s="274"/>
      <c r="GO385" s="274"/>
      <c r="GP385" s="274"/>
      <c r="GQ385" s="274"/>
      <c r="GR385" s="274"/>
      <c r="GS385" s="274"/>
      <c r="GT385" s="274"/>
      <c r="GU385" s="274"/>
      <c r="GV385" s="274"/>
      <c r="GW385" s="274"/>
      <c r="GX385" s="274"/>
      <c r="GY385" s="274"/>
      <c r="GZ385" s="274"/>
      <c r="HA385" s="274"/>
      <c r="HB385" s="274"/>
      <c r="HC385" s="274"/>
      <c r="HD385" s="274"/>
      <c r="HE385" s="274"/>
      <c r="HF385" s="274"/>
      <c r="HG385" s="274"/>
      <c r="HH385" s="274"/>
      <c r="HI385" s="274"/>
      <c r="HJ385" s="274"/>
      <c r="HK385" s="274"/>
      <c r="HL385" s="274"/>
      <c r="HM385" s="274"/>
      <c r="HN385" s="274"/>
      <c r="HO385" s="274"/>
      <c r="HP385" s="274"/>
      <c r="HQ385" s="274"/>
      <c r="HR385" s="274"/>
      <c r="HS385" s="274"/>
      <c r="HT385" s="274"/>
      <c r="HU385" s="274"/>
      <c r="HV385" s="274"/>
      <c r="HW385" s="274"/>
      <c r="HX385" s="274"/>
      <c r="HY385" s="274"/>
      <c r="HZ385" s="274"/>
      <c r="IA385" s="274"/>
      <c r="IB385" s="274"/>
      <c r="IC385" s="274"/>
      <c r="ID385" s="274"/>
      <c r="IE385" s="274"/>
      <c r="IF385" s="274"/>
      <c r="IG385" s="274"/>
      <c r="IH385" s="274"/>
      <c r="II385" s="274"/>
      <c r="IJ385" s="274"/>
      <c r="IK385" s="274"/>
      <c r="IL385" s="274"/>
      <c r="IM385" s="274"/>
      <c r="IN385" s="274"/>
      <c r="IO385" s="274"/>
      <c r="IP385" s="274"/>
      <c r="IQ385" s="274"/>
      <c r="IR385" s="274"/>
      <c r="IS385" s="274"/>
      <c r="IT385" s="274"/>
      <c r="IU385" s="274"/>
      <c r="IV385" s="274"/>
      <c r="IW385" s="274"/>
      <c r="IX385" s="274"/>
      <c r="IY385" s="274"/>
      <c r="IZ385" s="274"/>
      <c r="JA385" s="274"/>
      <c r="JB385" s="274"/>
      <c r="JC385" s="274"/>
      <c r="JD385" s="274"/>
      <c r="JE385" s="274"/>
      <c r="JF385" s="274"/>
      <c r="JG385" s="274"/>
      <c r="JH385" s="274"/>
      <c r="JI385" s="274"/>
      <c r="JJ385" s="274"/>
      <c r="JK385" s="274"/>
      <c r="JL385" s="274"/>
      <c r="JM385" s="274"/>
      <c r="JN385" s="274"/>
      <c r="JO385" s="274"/>
      <c r="JP385" s="274"/>
      <c r="JQ385" s="274"/>
      <c r="JR385" s="274"/>
      <c r="JS385" s="274"/>
      <c r="JT385" s="274"/>
      <c r="JU385" s="274"/>
      <c r="JV385" s="274"/>
      <c r="JW385" s="274"/>
      <c r="JX385" s="274"/>
      <c r="JY385" s="274"/>
      <c r="JZ385" s="274"/>
      <c r="KA385" s="274"/>
      <c r="KB385" s="274"/>
      <c r="KC385" s="274"/>
      <c r="KD385" s="274"/>
      <c r="KE385" s="274"/>
      <c r="KF385" s="274"/>
      <c r="KG385" s="274"/>
      <c r="KH385" s="274"/>
      <c r="KI385" s="274"/>
      <c r="KJ385" s="274"/>
      <c r="KK385" s="274"/>
      <c r="KL385" s="274"/>
      <c r="KM385" s="274"/>
      <c r="KN385" s="274"/>
      <c r="KO385" s="274"/>
      <c r="KP385" s="274"/>
      <c r="KQ385" s="274"/>
      <c r="KR385" s="274"/>
      <c r="KS385" s="274"/>
      <c r="KT385" s="274"/>
      <c r="KU385" s="274"/>
      <c r="KV385" s="274"/>
      <c r="KW385" s="274"/>
      <c r="KX385" s="274"/>
      <c r="KY385" s="274"/>
      <c r="KZ385" s="274"/>
      <c r="LA385" s="274"/>
      <c r="LB385" s="274"/>
      <c r="LC385" s="274"/>
      <c r="LD385" s="274"/>
      <c r="LE385" s="274"/>
      <c r="LF385" s="274"/>
      <c r="LG385" s="274"/>
      <c r="LH385" s="274"/>
      <c r="LI385" s="274"/>
      <c r="LJ385" s="274"/>
      <c r="LK385" s="274"/>
      <c r="LL385" s="274"/>
      <c r="LM385" s="274"/>
      <c r="LN385" s="274"/>
      <c r="LO385" s="274"/>
      <c r="LP385" s="274"/>
      <c r="LQ385" s="274"/>
      <c r="LR385" s="274"/>
      <c r="LS385" s="274"/>
      <c r="LT385" s="274"/>
      <c r="LU385" s="274"/>
      <c r="LV385" s="274"/>
      <c r="LW385" s="274"/>
      <c r="LX385" s="274"/>
      <c r="LY385" s="274"/>
      <c r="LZ385" s="274"/>
      <c r="MA385" s="274"/>
      <c r="MB385" s="274"/>
      <c r="MC385" s="274"/>
      <c r="MD385" s="274"/>
      <c r="ME385" s="274"/>
      <c r="MF385" s="274"/>
      <c r="MG385" s="274"/>
      <c r="MH385" s="274"/>
      <c r="MI385" s="274"/>
      <c r="MJ385" s="274"/>
      <c r="MK385" s="274"/>
      <c r="ML385" s="274"/>
      <c r="MM385" s="274"/>
      <c r="MN385" s="274"/>
      <c r="MO385" s="274"/>
      <c r="MP385" s="274"/>
      <c r="MQ385" s="274"/>
      <c r="MR385" s="274"/>
      <c r="MS385" s="274"/>
      <c r="MT385" s="274"/>
      <c r="MU385" s="274"/>
      <c r="MV385" s="274"/>
      <c r="MW385" s="274"/>
      <c r="MX385" s="274"/>
      <c r="MY385" s="274"/>
      <c r="MZ385" s="274"/>
      <c r="NA385" s="274"/>
      <c r="NB385" s="274"/>
      <c r="NC385" s="274"/>
      <c r="ND385" s="274"/>
      <c r="NE385" s="274"/>
      <c r="NF385" s="274"/>
      <c r="NG385" s="274"/>
      <c r="NH385" s="274"/>
      <c r="NI385" s="274"/>
      <c r="NJ385" s="274"/>
      <c r="NK385" s="274"/>
      <c r="NL385" s="274"/>
      <c r="NM385" s="274"/>
      <c r="NN385" s="274"/>
      <c r="NO385" s="274"/>
      <c r="NP385" s="274"/>
      <c r="NQ385" s="274"/>
      <c r="NR385" s="274"/>
      <c r="NS385" s="274"/>
      <c r="NT385" s="274"/>
      <c r="NU385" s="274"/>
      <c r="NV385" s="274"/>
      <c r="NW385" s="274"/>
      <c r="NX385" s="274"/>
      <c r="NY385" s="274"/>
      <c r="NZ385" s="274"/>
      <c r="OA385" s="274"/>
      <c r="OB385" s="274"/>
      <c r="OC385" s="274"/>
      <c r="OD385" s="274"/>
      <c r="OE385" s="274"/>
      <c r="OF385" s="274"/>
      <c r="OG385" s="274"/>
      <c r="OH385" s="274"/>
      <c r="OI385" s="274"/>
      <c r="OJ385" s="274"/>
      <c r="OK385" s="274"/>
      <c r="OL385" s="274"/>
      <c r="OM385" s="274"/>
      <c r="ON385" s="274"/>
      <c r="OO385" s="274"/>
      <c r="OP385" s="274"/>
      <c r="OQ385" s="274"/>
      <c r="OR385" s="274"/>
      <c r="OS385" s="274"/>
      <c r="OT385" s="274"/>
      <c r="OU385" s="274"/>
      <c r="OV385" s="274"/>
      <c r="OW385" s="274"/>
      <c r="OX385" s="274"/>
      <c r="OY385" s="274"/>
      <c r="OZ385" s="274"/>
      <c r="PA385" s="274"/>
      <c r="PB385" s="274"/>
      <c r="PC385" s="274"/>
      <c r="PD385" s="274"/>
      <c r="PE385" s="274"/>
      <c r="PF385" s="274"/>
      <c r="PG385" s="274"/>
      <c r="PH385" s="274"/>
      <c r="PI385" s="274"/>
      <c r="PJ385" s="274"/>
      <c r="PK385" s="274"/>
      <c r="PL385" s="274"/>
      <c r="PM385" s="274"/>
      <c r="PN385" s="274"/>
      <c r="PO385" s="274"/>
      <c r="PP385" s="274"/>
      <c r="PQ385" s="274"/>
      <c r="PR385" s="274"/>
      <c r="PS385" s="274"/>
      <c r="PT385" s="274"/>
      <c r="PU385" s="274"/>
      <c r="PV385" s="274"/>
      <c r="PW385" s="274"/>
      <c r="PX385" s="274"/>
      <c r="PY385" s="274"/>
      <c r="PZ385" s="274"/>
      <c r="QA385" s="274"/>
      <c r="QB385" s="274"/>
      <c r="QC385" s="274"/>
      <c r="QD385" s="274"/>
      <c r="QE385" s="274"/>
      <c r="QF385" s="274"/>
      <c r="QG385" s="274"/>
      <c r="QH385" s="274"/>
      <c r="QI385" s="274"/>
      <c r="QJ385" s="274"/>
      <c r="QK385" s="274"/>
      <c r="QL385" s="274"/>
      <c r="QM385" s="274"/>
      <c r="QN385" s="274"/>
      <c r="QO385" s="274"/>
      <c r="QP385" s="274"/>
      <c r="QQ385" s="274"/>
      <c r="QR385" s="274"/>
      <c r="QS385" s="274"/>
      <c r="QT385" s="274"/>
      <c r="QU385" s="274"/>
      <c r="QV385" s="274"/>
      <c r="QW385" s="274"/>
      <c r="QX385" s="274"/>
      <c r="QY385" s="274"/>
      <c r="QZ385" s="274"/>
      <c r="RA385" s="274"/>
      <c r="RB385" s="274"/>
      <c r="RC385" s="274"/>
    </row>
    <row r="386" spans="112:471" ht="17.25">
      <c r="DH386" s="274"/>
      <c r="DI386" s="274"/>
      <c r="DJ386" s="978"/>
      <c r="DK386" s="274"/>
      <c r="DL386" s="274"/>
      <c r="DM386" s="274"/>
      <c r="DN386" s="274"/>
      <c r="DO386" s="274"/>
      <c r="DP386" s="274"/>
      <c r="DQ386" s="274"/>
      <c r="DR386" s="274"/>
      <c r="DS386" s="274"/>
      <c r="DT386" s="274"/>
      <c r="DU386" s="274"/>
      <c r="DV386" s="274"/>
      <c r="DW386" s="274"/>
      <c r="DX386" s="274"/>
      <c r="DY386" s="274"/>
      <c r="DZ386" s="274"/>
      <c r="EA386" s="274"/>
      <c r="EB386" s="274"/>
      <c r="EC386" s="274"/>
      <c r="ED386" s="274"/>
      <c r="EE386" s="274"/>
      <c r="EF386" s="274"/>
      <c r="EG386" s="274"/>
      <c r="EH386" s="274"/>
      <c r="EI386" s="274"/>
      <c r="EJ386" s="274"/>
      <c r="EK386" s="274"/>
      <c r="EL386" s="274"/>
      <c r="EM386" s="274"/>
      <c r="EN386" s="274"/>
      <c r="EO386" s="274"/>
      <c r="EP386" s="274"/>
      <c r="EQ386" s="274"/>
      <c r="ER386" s="274"/>
      <c r="ES386" s="274"/>
      <c r="ET386" s="274"/>
      <c r="EU386" s="274"/>
      <c r="EV386" s="274"/>
      <c r="EW386" s="274"/>
      <c r="EX386" s="274"/>
      <c r="EY386" s="274"/>
      <c r="EZ386" s="274"/>
      <c r="FA386" s="274"/>
      <c r="FB386" s="274"/>
      <c r="FC386" s="274"/>
      <c r="FD386" s="274"/>
      <c r="FE386" s="274"/>
      <c r="FF386" s="274"/>
      <c r="FG386" s="274"/>
      <c r="FH386" s="274"/>
      <c r="FI386" s="274"/>
      <c r="FJ386" s="274"/>
      <c r="FK386" s="274"/>
      <c r="FL386" s="274"/>
      <c r="FM386" s="274"/>
      <c r="FN386" s="274"/>
      <c r="FO386" s="274"/>
      <c r="FP386" s="274"/>
      <c r="FQ386" s="274"/>
      <c r="FR386" s="274"/>
      <c r="FS386" s="274"/>
      <c r="FT386" s="274"/>
      <c r="FU386" s="274"/>
      <c r="FV386" s="274"/>
      <c r="FW386" s="274"/>
      <c r="FX386" s="274"/>
      <c r="FY386" s="274"/>
      <c r="FZ386" s="274"/>
      <c r="GA386" s="274"/>
      <c r="GB386" s="274"/>
      <c r="GC386" s="274"/>
      <c r="GD386" s="274"/>
      <c r="GE386" s="274"/>
      <c r="GF386" s="274"/>
      <c r="GG386" s="274"/>
      <c r="GH386" s="274"/>
      <c r="GI386" s="274"/>
      <c r="GJ386" s="274"/>
      <c r="GK386" s="274"/>
      <c r="GL386" s="274"/>
      <c r="GM386" s="274"/>
      <c r="GN386" s="274"/>
      <c r="GO386" s="274"/>
      <c r="GP386" s="274"/>
      <c r="GQ386" s="274"/>
      <c r="GR386" s="274"/>
      <c r="GS386" s="274"/>
      <c r="GT386" s="274"/>
      <c r="GU386" s="274"/>
      <c r="GV386" s="274"/>
      <c r="GW386" s="274"/>
      <c r="GX386" s="274"/>
      <c r="GY386" s="274"/>
      <c r="GZ386" s="274"/>
      <c r="HA386" s="274"/>
      <c r="HB386" s="274"/>
      <c r="HC386" s="274"/>
      <c r="HD386" s="274"/>
      <c r="HE386" s="274"/>
      <c r="HF386" s="274"/>
      <c r="HG386" s="274"/>
      <c r="HH386" s="274"/>
      <c r="HI386" s="274"/>
      <c r="HJ386" s="274"/>
      <c r="HK386" s="274"/>
      <c r="HL386" s="274"/>
      <c r="HM386" s="274"/>
      <c r="HN386" s="274"/>
      <c r="HO386" s="274"/>
      <c r="HP386" s="274"/>
      <c r="HQ386" s="274"/>
      <c r="HR386" s="274"/>
      <c r="HS386" s="274"/>
      <c r="HT386" s="274"/>
      <c r="HU386" s="274"/>
      <c r="HV386" s="274"/>
      <c r="HW386" s="274"/>
      <c r="HX386" s="274"/>
      <c r="HY386" s="274"/>
      <c r="HZ386" s="274"/>
      <c r="IA386" s="274"/>
      <c r="IB386" s="274"/>
      <c r="IC386" s="274"/>
      <c r="ID386" s="274"/>
      <c r="IE386" s="274"/>
      <c r="IF386" s="274"/>
      <c r="IG386" s="274"/>
      <c r="IH386" s="274"/>
      <c r="II386" s="274"/>
      <c r="IJ386" s="274"/>
      <c r="IK386" s="274"/>
      <c r="IL386" s="274"/>
      <c r="IM386" s="274"/>
      <c r="IN386" s="274"/>
      <c r="IO386" s="274"/>
      <c r="IP386" s="274"/>
      <c r="IQ386" s="274"/>
      <c r="IR386" s="274"/>
      <c r="IS386" s="274"/>
      <c r="IT386" s="274"/>
      <c r="IU386" s="274"/>
      <c r="IV386" s="274"/>
      <c r="IW386" s="274"/>
      <c r="IX386" s="274"/>
      <c r="IY386" s="274"/>
      <c r="IZ386" s="274"/>
      <c r="JA386" s="274"/>
      <c r="JB386" s="274"/>
      <c r="JC386" s="274"/>
      <c r="JD386" s="274"/>
      <c r="JE386" s="274"/>
      <c r="JF386" s="274"/>
      <c r="JG386" s="274"/>
      <c r="JH386" s="274"/>
      <c r="JI386" s="274"/>
      <c r="JJ386" s="274"/>
      <c r="JK386" s="274"/>
      <c r="JL386" s="274"/>
      <c r="JM386" s="274"/>
      <c r="JN386" s="274"/>
      <c r="JO386" s="274"/>
      <c r="JP386" s="274"/>
      <c r="JQ386" s="274"/>
      <c r="JR386" s="274"/>
      <c r="JS386" s="274"/>
      <c r="JT386" s="274"/>
      <c r="JU386" s="274"/>
      <c r="JV386" s="274"/>
      <c r="JW386" s="274"/>
      <c r="JX386" s="274"/>
      <c r="JY386" s="274"/>
      <c r="JZ386" s="274"/>
      <c r="KA386" s="274"/>
      <c r="KB386" s="274"/>
      <c r="KC386" s="274"/>
      <c r="KD386" s="274"/>
      <c r="KE386" s="274"/>
      <c r="KF386" s="274"/>
      <c r="KG386" s="274"/>
      <c r="KH386" s="274"/>
      <c r="KI386" s="274"/>
      <c r="KJ386" s="274"/>
      <c r="KK386" s="274"/>
      <c r="KL386" s="274"/>
      <c r="KM386" s="274"/>
      <c r="KN386" s="274"/>
      <c r="KO386" s="274"/>
      <c r="KP386" s="274"/>
      <c r="KQ386" s="274"/>
      <c r="KR386" s="274"/>
      <c r="KS386" s="274"/>
      <c r="KT386" s="274"/>
      <c r="KU386" s="274"/>
      <c r="KV386" s="274"/>
      <c r="KW386" s="274"/>
      <c r="KX386" s="274"/>
      <c r="KY386" s="274"/>
      <c r="KZ386" s="274"/>
      <c r="LA386" s="274"/>
      <c r="LB386" s="274"/>
      <c r="LC386" s="274"/>
      <c r="LD386" s="274"/>
      <c r="LE386" s="274"/>
      <c r="LF386" s="274"/>
      <c r="LG386" s="274"/>
      <c r="LH386" s="274"/>
      <c r="LI386" s="274"/>
      <c r="LJ386" s="274"/>
      <c r="LK386" s="274"/>
      <c r="LL386" s="274"/>
      <c r="LM386" s="274"/>
      <c r="LN386" s="274"/>
      <c r="LO386" s="274"/>
      <c r="LP386" s="274"/>
      <c r="LQ386" s="274"/>
      <c r="LR386" s="274"/>
      <c r="LS386" s="274"/>
      <c r="LT386" s="274"/>
      <c r="LU386" s="274"/>
      <c r="LV386" s="274"/>
      <c r="LW386" s="274"/>
      <c r="LX386" s="274"/>
      <c r="LY386" s="274"/>
      <c r="LZ386" s="274"/>
      <c r="MA386" s="274"/>
      <c r="MB386" s="274"/>
      <c r="MC386" s="274"/>
      <c r="MD386" s="274"/>
      <c r="ME386" s="274"/>
      <c r="MF386" s="274"/>
      <c r="MG386" s="274"/>
      <c r="MH386" s="274"/>
      <c r="MI386" s="274"/>
      <c r="MJ386" s="274"/>
      <c r="MK386" s="274"/>
      <c r="ML386" s="274"/>
      <c r="MM386" s="274"/>
      <c r="MN386" s="274"/>
      <c r="MO386" s="274"/>
      <c r="MP386" s="274"/>
      <c r="MQ386" s="274"/>
      <c r="MR386" s="274"/>
      <c r="MS386" s="274"/>
      <c r="MT386" s="274"/>
      <c r="MU386" s="274"/>
      <c r="MV386" s="274"/>
      <c r="MW386" s="274"/>
      <c r="MX386" s="274"/>
      <c r="MY386" s="274"/>
      <c r="MZ386" s="274"/>
      <c r="NA386" s="274"/>
      <c r="NB386" s="274"/>
      <c r="NC386" s="274"/>
      <c r="ND386" s="274"/>
      <c r="NE386" s="274"/>
      <c r="NF386" s="274"/>
      <c r="NG386" s="274"/>
      <c r="NH386" s="274"/>
      <c r="NI386" s="274"/>
      <c r="NJ386" s="274"/>
      <c r="NK386" s="274"/>
      <c r="NL386" s="274"/>
      <c r="NM386" s="274"/>
      <c r="NN386" s="274"/>
      <c r="NO386" s="274"/>
      <c r="NP386" s="274"/>
      <c r="NQ386" s="274"/>
      <c r="NR386" s="274"/>
      <c r="NS386" s="274"/>
      <c r="NT386" s="274"/>
      <c r="NU386" s="274"/>
      <c r="NV386" s="274"/>
      <c r="NW386" s="274"/>
      <c r="NX386" s="274"/>
      <c r="NY386" s="274"/>
      <c r="NZ386" s="274"/>
      <c r="OA386" s="274"/>
      <c r="OB386" s="274"/>
      <c r="OC386" s="274"/>
      <c r="OD386" s="274"/>
      <c r="OE386" s="274"/>
      <c r="OF386" s="274"/>
      <c r="OG386" s="274"/>
      <c r="OH386" s="274"/>
      <c r="OI386" s="274"/>
      <c r="OJ386" s="274"/>
      <c r="OK386" s="274"/>
      <c r="OL386" s="274"/>
      <c r="OM386" s="274"/>
      <c r="ON386" s="274"/>
      <c r="OO386" s="274"/>
      <c r="OP386" s="274"/>
      <c r="OQ386" s="274"/>
      <c r="OR386" s="274"/>
      <c r="OS386" s="274"/>
      <c r="OT386" s="274"/>
      <c r="OU386" s="274"/>
      <c r="OV386" s="274"/>
      <c r="OW386" s="274"/>
      <c r="OX386" s="274"/>
      <c r="OY386" s="274"/>
      <c r="OZ386" s="274"/>
      <c r="PA386" s="274"/>
      <c r="PB386" s="274"/>
      <c r="PC386" s="274"/>
      <c r="PD386" s="274"/>
      <c r="PE386" s="274"/>
      <c r="PF386" s="274"/>
      <c r="PG386" s="274"/>
      <c r="PH386" s="274"/>
      <c r="PI386" s="274"/>
      <c r="PJ386" s="274"/>
      <c r="PK386" s="274"/>
      <c r="PL386" s="274"/>
      <c r="PM386" s="274"/>
      <c r="PN386" s="274"/>
      <c r="PO386" s="274"/>
      <c r="PP386" s="274"/>
      <c r="PQ386" s="274"/>
      <c r="PR386" s="274"/>
      <c r="PS386" s="274"/>
      <c r="PT386" s="274"/>
      <c r="PU386" s="274"/>
      <c r="PV386" s="274"/>
      <c r="PW386" s="274"/>
      <c r="PX386" s="274"/>
      <c r="PY386" s="274"/>
      <c r="PZ386" s="274"/>
      <c r="QA386" s="274"/>
      <c r="QB386" s="274"/>
      <c r="QC386" s="274"/>
      <c r="QD386" s="274"/>
      <c r="QE386" s="274"/>
      <c r="QF386" s="274"/>
      <c r="QG386" s="274"/>
      <c r="QH386" s="274"/>
      <c r="QI386" s="274"/>
      <c r="QJ386" s="274"/>
      <c r="QK386" s="274"/>
      <c r="QL386" s="274"/>
      <c r="QM386" s="274"/>
      <c r="QN386" s="274"/>
      <c r="QO386" s="274"/>
      <c r="QP386" s="274"/>
      <c r="QQ386" s="274"/>
      <c r="QR386" s="274"/>
      <c r="QS386" s="274"/>
      <c r="QT386" s="274"/>
      <c r="QU386" s="274"/>
      <c r="QV386" s="274"/>
      <c r="QW386" s="274"/>
      <c r="QX386" s="274"/>
      <c r="QY386" s="274"/>
      <c r="QZ386" s="274"/>
      <c r="RA386" s="274"/>
      <c r="RB386" s="274"/>
      <c r="RC386" s="274"/>
    </row>
    <row r="387" spans="112:471" ht="17.25">
      <c r="DH387" s="274"/>
      <c r="DI387" s="274"/>
      <c r="DJ387" s="978"/>
      <c r="DK387" s="978"/>
      <c r="DL387" s="978"/>
      <c r="DM387" s="978"/>
      <c r="DN387" s="978"/>
      <c r="DO387" s="978"/>
      <c r="DP387" s="978"/>
      <c r="DQ387" s="978"/>
      <c r="DR387" s="978"/>
      <c r="DS387" s="978"/>
      <c r="DT387" s="978"/>
      <c r="DU387" s="978"/>
      <c r="DV387" s="978"/>
      <c r="DW387" s="978"/>
      <c r="DX387" s="978"/>
      <c r="DY387" s="978"/>
      <c r="DZ387" s="978"/>
      <c r="EA387" s="978"/>
      <c r="EB387" s="978"/>
      <c r="EC387" s="978"/>
      <c r="ED387" s="978"/>
      <c r="EE387" s="978"/>
      <c r="EF387" s="978"/>
      <c r="EG387" s="978"/>
      <c r="EH387" s="978"/>
      <c r="EI387" s="978"/>
      <c r="EJ387" s="978"/>
      <c r="EK387" s="978"/>
      <c r="EL387" s="978"/>
      <c r="EM387" s="978"/>
      <c r="EN387" s="978"/>
      <c r="EO387" s="978"/>
      <c r="EP387" s="978"/>
      <c r="EQ387" s="978"/>
      <c r="ER387" s="978"/>
      <c r="ES387" s="978"/>
      <c r="ET387" s="978"/>
      <c r="EU387" s="978"/>
      <c r="EV387" s="978"/>
      <c r="EW387" s="978"/>
      <c r="EX387" s="978"/>
      <c r="EY387" s="978"/>
      <c r="EZ387" s="978"/>
      <c r="FA387" s="978"/>
      <c r="FB387" s="978"/>
      <c r="FC387" s="978"/>
      <c r="FD387" s="978"/>
      <c r="FE387" s="978"/>
      <c r="FF387" s="978"/>
      <c r="FG387" s="978"/>
      <c r="FH387" s="978"/>
      <c r="FI387" s="978"/>
      <c r="FJ387" s="978"/>
      <c r="FK387" s="978"/>
      <c r="FL387" s="978"/>
      <c r="FM387" s="978"/>
      <c r="FN387" s="978"/>
      <c r="FO387" s="978"/>
      <c r="FP387" s="978"/>
      <c r="FQ387" s="978"/>
      <c r="FR387" s="978"/>
      <c r="FS387" s="978"/>
      <c r="FT387" s="978"/>
      <c r="FU387" s="978"/>
      <c r="FV387" s="978"/>
      <c r="FW387" s="978"/>
      <c r="FX387" s="978"/>
      <c r="FY387" s="978"/>
      <c r="FZ387" s="978"/>
      <c r="GA387" s="978"/>
      <c r="GB387" s="978"/>
      <c r="GC387" s="978"/>
      <c r="GD387" s="978"/>
      <c r="GE387" s="978"/>
      <c r="GF387" s="978"/>
      <c r="GG387" s="978"/>
      <c r="GH387" s="978"/>
      <c r="GI387" s="978"/>
      <c r="GJ387" s="978"/>
      <c r="GK387" s="978"/>
      <c r="GL387" s="978"/>
      <c r="GM387" s="978"/>
      <c r="GN387" s="978"/>
      <c r="GO387" s="978"/>
      <c r="GP387" s="978"/>
      <c r="GQ387" s="978"/>
      <c r="GR387" s="978"/>
      <c r="GS387" s="978"/>
      <c r="GT387" s="978"/>
      <c r="GU387" s="978"/>
      <c r="GV387" s="978"/>
      <c r="GW387" s="978"/>
      <c r="GX387" s="978"/>
      <c r="GY387" s="978"/>
      <c r="GZ387" s="978"/>
      <c r="HA387" s="978"/>
      <c r="HB387" s="978"/>
      <c r="HC387" s="978"/>
      <c r="HD387" s="978"/>
      <c r="HE387" s="978"/>
      <c r="HF387" s="978"/>
      <c r="HG387" s="978"/>
      <c r="HH387" s="978"/>
      <c r="HI387" s="978"/>
      <c r="HJ387" s="978"/>
      <c r="HK387" s="978"/>
      <c r="HL387" s="978"/>
      <c r="HM387" s="978"/>
      <c r="HN387" s="978"/>
      <c r="HO387" s="978"/>
      <c r="HP387" s="978"/>
      <c r="HQ387" s="978"/>
      <c r="HR387" s="978"/>
      <c r="HS387" s="978"/>
      <c r="HT387" s="978"/>
      <c r="HU387" s="978"/>
      <c r="HV387" s="978"/>
      <c r="HW387" s="978"/>
      <c r="HX387" s="978"/>
      <c r="HY387" s="978"/>
      <c r="HZ387" s="978"/>
      <c r="IA387" s="978"/>
      <c r="IB387" s="978"/>
      <c r="IC387" s="978"/>
      <c r="ID387" s="978"/>
      <c r="IE387" s="978"/>
      <c r="IF387" s="978"/>
      <c r="IG387" s="978"/>
      <c r="IH387" s="978"/>
      <c r="II387" s="978"/>
      <c r="IJ387" s="978"/>
      <c r="IK387" s="978"/>
      <c r="IL387" s="978"/>
      <c r="IM387" s="978"/>
      <c r="IN387" s="978"/>
      <c r="IO387" s="978"/>
      <c r="IP387" s="978"/>
      <c r="IQ387" s="978"/>
      <c r="IR387" s="978"/>
      <c r="IS387" s="978"/>
      <c r="IT387" s="978"/>
      <c r="IU387" s="978"/>
      <c r="IV387" s="978"/>
      <c r="IW387" s="978"/>
      <c r="IX387" s="978"/>
      <c r="IY387" s="978"/>
      <c r="IZ387" s="978"/>
      <c r="JA387" s="978"/>
      <c r="JB387" s="978"/>
      <c r="JC387" s="978"/>
      <c r="JD387" s="978"/>
      <c r="JE387" s="978"/>
      <c r="JF387" s="978"/>
      <c r="JG387" s="978"/>
      <c r="JH387" s="978"/>
      <c r="JI387" s="978"/>
      <c r="JJ387" s="978"/>
      <c r="JK387" s="978"/>
      <c r="JL387" s="978"/>
      <c r="JM387" s="978"/>
      <c r="JN387" s="978"/>
      <c r="JO387" s="978"/>
      <c r="JP387" s="978"/>
      <c r="JQ387" s="978"/>
      <c r="JR387" s="978"/>
      <c r="JS387" s="978"/>
      <c r="JT387" s="978"/>
      <c r="JU387" s="978"/>
      <c r="JV387" s="978"/>
      <c r="JW387" s="978"/>
      <c r="JX387" s="978"/>
      <c r="JY387" s="978"/>
      <c r="JZ387" s="978"/>
      <c r="KA387" s="978"/>
      <c r="KB387" s="978"/>
      <c r="KC387" s="978"/>
      <c r="KD387" s="978"/>
      <c r="KE387" s="978"/>
      <c r="KF387" s="978"/>
      <c r="KG387" s="978"/>
      <c r="KH387" s="978"/>
      <c r="KI387" s="978"/>
      <c r="KJ387" s="978"/>
      <c r="KK387" s="978"/>
      <c r="KL387" s="978"/>
      <c r="KM387" s="978"/>
      <c r="KN387" s="978"/>
      <c r="KO387" s="978"/>
      <c r="KP387" s="978"/>
      <c r="KQ387" s="978"/>
      <c r="KR387" s="978"/>
      <c r="KS387" s="978"/>
      <c r="KT387" s="978"/>
      <c r="KU387" s="978"/>
      <c r="KV387" s="978"/>
      <c r="KW387" s="978"/>
      <c r="KX387" s="978"/>
      <c r="KY387" s="978"/>
      <c r="KZ387" s="978"/>
      <c r="LA387" s="978"/>
      <c r="LB387" s="978"/>
      <c r="LC387" s="978"/>
      <c r="LD387" s="978"/>
      <c r="LE387" s="978"/>
      <c r="LF387" s="978"/>
      <c r="LG387" s="978"/>
      <c r="LH387" s="978"/>
      <c r="LI387" s="978"/>
      <c r="LJ387" s="978"/>
      <c r="LK387" s="978"/>
      <c r="LL387" s="978"/>
      <c r="LM387" s="978"/>
      <c r="LN387" s="978"/>
      <c r="LO387" s="978"/>
      <c r="LP387" s="978"/>
      <c r="LQ387" s="978"/>
      <c r="LR387" s="978"/>
      <c r="LS387" s="978"/>
      <c r="LT387" s="978"/>
      <c r="LU387" s="978"/>
      <c r="LV387" s="978"/>
      <c r="LW387" s="978"/>
      <c r="LX387" s="978"/>
      <c r="LY387" s="978"/>
      <c r="LZ387" s="978"/>
      <c r="MA387" s="978"/>
      <c r="MB387" s="978"/>
      <c r="MC387" s="978"/>
      <c r="MD387" s="978"/>
      <c r="ME387" s="978"/>
      <c r="MF387" s="978"/>
      <c r="MG387" s="978"/>
      <c r="MH387" s="978"/>
      <c r="MI387" s="978"/>
      <c r="MJ387" s="978"/>
      <c r="MK387" s="978"/>
      <c r="ML387" s="978"/>
      <c r="MM387" s="978"/>
      <c r="MN387" s="978"/>
      <c r="MO387" s="978"/>
      <c r="MP387" s="978"/>
      <c r="MQ387" s="978"/>
      <c r="MR387" s="978"/>
      <c r="MS387" s="978"/>
      <c r="MT387" s="978"/>
      <c r="MU387" s="978"/>
      <c r="MV387" s="978"/>
      <c r="MW387" s="978"/>
      <c r="MX387" s="978"/>
      <c r="MY387" s="978"/>
      <c r="MZ387" s="978"/>
      <c r="NA387" s="978"/>
      <c r="NB387" s="978"/>
      <c r="NC387" s="978"/>
      <c r="ND387" s="978"/>
      <c r="NE387" s="978"/>
      <c r="NF387" s="978"/>
      <c r="NG387" s="978"/>
      <c r="NH387" s="978"/>
      <c r="NI387" s="978"/>
      <c r="NJ387" s="978"/>
      <c r="NK387" s="978"/>
      <c r="NL387" s="978"/>
      <c r="NM387" s="978"/>
      <c r="NN387" s="978"/>
      <c r="NO387" s="978"/>
      <c r="NP387" s="978"/>
      <c r="NQ387" s="978"/>
      <c r="NR387" s="978"/>
      <c r="NS387" s="978"/>
      <c r="NT387" s="978"/>
      <c r="NU387" s="978"/>
      <c r="NV387" s="978"/>
      <c r="NW387" s="978"/>
      <c r="NX387" s="978"/>
      <c r="NY387" s="978"/>
      <c r="NZ387" s="978"/>
      <c r="OA387" s="978"/>
      <c r="OB387" s="978"/>
      <c r="OC387" s="978"/>
      <c r="OD387" s="978"/>
      <c r="OE387" s="978"/>
      <c r="OF387" s="978"/>
      <c r="OG387" s="978"/>
      <c r="OH387" s="978"/>
      <c r="OI387" s="978"/>
      <c r="OJ387" s="978"/>
      <c r="OK387" s="978"/>
      <c r="OL387" s="978"/>
      <c r="OM387" s="978"/>
      <c r="ON387" s="978"/>
      <c r="OO387" s="978"/>
      <c r="OP387" s="978"/>
      <c r="OQ387" s="978"/>
      <c r="OR387" s="978"/>
      <c r="OS387" s="978"/>
      <c r="OT387" s="978"/>
      <c r="OU387" s="978"/>
      <c r="OV387" s="978"/>
      <c r="OW387" s="978"/>
      <c r="OX387" s="978"/>
      <c r="OY387" s="978"/>
      <c r="OZ387" s="978"/>
      <c r="PA387" s="978"/>
      <c r="PB387" s="978"/>
      <c r="PC387" s="978"/>
      <c r="PD387" s="978"/>
      <c r="PE387" s="978"/>
      <c r="PF387" s="978"/>
      <c r="PG387" s="978"/>
      <c r="PH387" s="978"/>
      <c r="PI387" s="978"/>
      <c r="PJ387" s="978"/>
      <c r="PK387" s="978"/>
      <c r="PL387" s="978"/>
      <c r="PM387" s="978"/>
      <c r="PN387" s="978"/>
      <c r="PO387" s="978"/>
      <c r="PP387" s="978"/>
      <c r="PQ387" s="978"/>
      <c r="PR387" s="978"/>
      <c r="PS387" s="978"/>
      <c r="PT387" s="978"/>
      <c r="PU387" s="978"/>
      <c r="PV387" s="978"/>
      <c r="PW387" s="978"/>
      <c r="PX387" s="978"/>
      <c r="PY387" s="978"/>
      <c r="PZ387" s="978"/>
      <c r="QA387" s="978"/>
      <c r="QB387" s="978"/>
      <c r="QC387" s="978"/>
      <c r="QD387" s="978"/>
      <c r="QE387" s="978"/>
      <c r="QF387" s="978"/>
      <c r="QG387" s="978"/>
      <c r="QH387" s="978"/>
      <c r="QI387" s="978"/>
      <c r="QJ387" s="978"/>
      <c r="QK387" s="978"/>
      <c r="QL387" s="978"/>
      <c r="QM387" s="978"/>
      <c r="QN387" s="978"/>
      <c r="QO387" s="978"/>
      <c r="QP387" s="978"/>
      <c r="QQ387" s="978"/>
      <c r="QR387" s="978"/>
      <c r="QS387" s="978"/>
      <c r="QT387" s="978"/>
      <c r="QU387" s="978"/>
      <c r="QV387" s="978"/>
      <c r="QW387" s="978"/>
      <c r="QX387" s="978"/>
      <c r="QY387" s="978"/>
      <c r="QZ387" s="978"/>
      <c r="RA387" s="978"/>
      <c r="RB387" s="274"/>
      <c r="RC387" s="274"/>
    </row>
    <row r="388" spans="112:471" ht="17.25">
      <c r="DH388" s="274"/>
      <c r="DI388" s="274"/>
      <c r="DJ388" s="978"/>
      <c r="DK388" s="978"/>
      <c r="DL388" s="978"/>
      <c r="DM388" s="978"/>
      <c r="DN388" s="978"/>
      <c r="DO388" s="978"/>
      <c r="DP388" s="978"/>
      <c r="DQ388" s="978"/>
      <c r="DR388" s="978"/>
      <c r="DS388" s="978"/>
      <c r="DT388" s="978"/>
      <c r="DU388" s="978"/>
      <c r="DV388" s="978"/>
      <c r="DW388" s="978"/>
      <c r="DX388" s="978"/>
      <c r="DY388" s="978"/>
      <c r="DZ388" s="978"/>
      <c r="EA388" s="978"/>
      <c r="EB388" s="978"/>
      <c r="EC388" s="978"/>
      <c r="ED388" s="978"/>
      <c r="EE388" s="978"/>
      <c r="EF388" s="978"/>
      <c r="EG388" s="978"/>
      <c r="EH388" s="978"/>
      <c r="EI388" s="978"/>
      <c r="EJ388" s="978"/>
      <c r="EK388" s="978"/>
      <c r="EL388" s="978"/>
      <c r="EM388" s="978"/>
      <c r="EN388" s="978"/>
      <c r="EO388" s="978"/>
      <c r="EP388" s="978"/>
      <c r="EQ388" s="978"/>
      <c r="ER388" s="978"/>
      <c r="ES388" s="978"/>
      <c r="ET388" s="978"/>
      <c r="EU388" s="978"/>
      <c r="EV388" s="978"/>
      <c r="EW388" s="978"/>
      <c r="EX388" s="978"/>
      <c r="EY388" s="978"/>
      <c r="EZ388" s="978"/>
      <c r="FA388" s="978"/>
      <c r="FB388" s="978"/>
      <c r="FC388" s="978"/>
      <c r="FD388" s="978"/>
      <c r="FE388" s="978"/>
      <c r="FF388" s="978"/>
      <c r="FG388" s="978"/>
      <c r="FH388" s="978"/>
      <c r="FI388" s="978"/>
      <c r="FJ388" s="978"/>
      <c r="FK388" s="978"/>
      <c r="FL388" s="978"/>
      <c r="FM388" s="978"/>
      <c r="FN388" s="978"/>
      <c r="FO388" s="978"/>
      <c r="FP388" s="978"/>
      <c r="FQ388" s="978"/>
      <c r="FR388" s="978"/>
      <c r="FS388" s="978"/>
      <c r="FT388" s="978"/>
      <c r="FU388" s="978"/>
      <c r="FV388" s="978"/>
      <c r="FW388" s="978"/>
      <c r="FX388" s="978"/>
      <c r="FY388" s="978"/>
      <c r="FZ388" s="978"/>
      <c r="GA388" s="978"/>
      <c r="GB388" s="978"/>
      <c r="GC388" s="978"/>
      <c r="GD388" s="978"/>
      <c r="GE388" s="978"/>
      <c r="GF388" s="978"/>
      <c r="GG388" s="978"/>
      <c r="GH388" s="978"/>
      <c r="GI388" s="978"/>
      <c r="GJ388" s="978"/>
      <c r="GK388" s="978"/>
      <c r="GL388" s="978"/>
      <c r="GM388" s="978"/>
      <c r="GN388" s="978"/>
      <c r="GO388" s="978"/>
      <c r="GP388" s="978"/>
      <c r="GQ388" s="978"/>
      <c r="GR388" s="978"/>
      <c r="GS388" s="978"/>
      <c r="GT388" s="978"/>
      <c r="GU388" s="978"/>
      <c r="GV388" s="978"/>
      <c r="GW388" s="978"/>
      <c r="GX388" s="978"/>
      <c r="GY388" s="978"/>
      <c r="GZ388" s="978"/>
      <c r="HA388" s="978"/>
      <c r="HB388" s="978"/>
      <c r="HC388" s="978"/>
      <c r="HD388" s="978"/>
      <c r="HE388" s="978"/>
      <c r="HF388" s="978"/>
      <c r="HG388" s="978"/>
      <c r="HH388" s="978"/>
      <c r="HI388" s="978"/>
      <c r="HJ388" s="978"/>
      <c r="HK388" s="978"/>
      <c r="HL388" s="978"/>
      <c r="HM388" s="978"/>
      <c r="HN388" s="978"/>
      <c r="HO388" s="978"/>
      <c r="HP388" s="978"/>
      <c r="HQ388" s="978"/>
      <c r="HR388" s="978"/>
      <c r="HS388" s="978"/>
      <c r="HT388" s="978"/>
      <c r="HU388" s="978"/>
      <c r="HV388" s="978"/>
      <c r="HW388" s="978"/>
      <c r="HX388" s="978"/>
      <c r="HY388" s="978"/>
      <c r="HZ388" s="978"/>
      <c r="IA388" s="978"/>
      <c r="IB388" s="978"/>
      <c r="IC388" s="978"/>
      <c r="ID388" s="978"/>
      <c r="IE388" s="978"/>
      <c r="IF388" s="978"/>
      <c r="IG388" s="978"/>
      <c r="IH388" s="978"/>
      <c r="II388" s="978"/>
      <c r="IJ388" s="978"/>
      <c r="IK388" s="978"/>
      <c r="IL388" s="978"/>
      <c r="IM388" s="978"/>
      <c r="IN388" s="978"/>
      <c r="IO388" s="978"/>
      <c r="IP388" s="978"/>
      <c r="IQ388" s="978"/>
      <c r="IR388" s="978"/>
      <c r="IS388" s="978"/>
      <c r="IT388" s="978"/>
      <c r="IU388" s="978"/>
      <c r="IV388" s="978"/>
      <c r="IW388" s="978"/>
      <c r="IX388" s="978"/>
      <c r="IY388" s="978"/>
      <c r="IZ388" s="978"/>
      <c r="JA388" s="978"/>
      <c r="JB388" s="978"/>
      <c r="JC388" s="978"/>
      <c r="JD388" s="978"/>
      <c r="JE388" s="978"/>
      <c r="JF388" s="978"/>
      <c r="JG388" s="978"/>
      <c r="JH388" s="978"/>
      <c r="JI388" s="978"/>
      <c r="JJ388" s="978"/>
      <c r="JK388" s="978"/>
      <c r="JL388" s="978"/>
      <c r="JM388" s="978"/>
      <c r="JN388" s="978"/>
      <c r="JO388" s="978"/>
      <c r="JP388" s="978"/>
      <c r="JQ388" s="978"/>
      <c r="JR388" s="978"/>
      <c r="JS388" s="978"/>
      <c r="JT388" s="978"/>
      <c r="JU388" s="978"/>
      <c r="JV388" s="978"/>
      <c r="JW388" s="978"/>
      <c r="JX388" s="978"/>
      <c r="JY388" s="978"/>
      <c r="JZ388" s="978"/>
      <c r="KA388" s="978"/>
      <c r="KB388" s="978"/>
      <c r="KC388" s="978"/>
      <c r="KD388" s="978"/>
      <c r="KE388" s="978"/>
      <c r="KF388" s="978"/>
      <c r="KG388" s="978"/>
      <c r="KH388" s="978"/>
      <c r="KI388" s="978"/>
      <c r="KJ388" s="978"/>
      <c r="KK388" s="978"/>
      <c r="KL388" s="978"/>
      <c r="KM388" s="978"/>
      <c r="KN388" s="978"/>
      <c r="KO388" s="978"/>
      <c r="KP388" s="978"/>
      <c r="KQ388" s="978"/>
      <c r="KR388" s="978"/>
      <c r="KS388" s="978"/>
      <c r="KT388" s="978"/>
      <c r="KU388" s="978"/>
      <c r="KV388" s="978"/>
      <c r="KW388" s="978"/>
      <c r="KX388" s="978"/>
      <c r="KY388" s="978"/>
      <c r="KZ388" s="978"/>
      <c r="LA388" s="978"/>
      <c r="LB388" s="978"/>
      <c r="LC388" s="978"/>
      <c r="LD388" s="978"/>
      <c r="LE388" s="978"/>
      <c r="LF388" s="978"/>
      <c r="LG388" s="978"/>
      <c r="LH388" s="978"/>
      <c r="LI388" s="978"/>
      <c r="LJ388" s="978"/>
      <c r="LK388" s="978"/>
      <c r="LL388" s="978"/>
      <c r="LM388" s="978"/>
      <c r="LN388" s="978"/>
      <c r="LO388" s="978"/>
      <c r="LP388" s="978"/>
      <c r="LQ388" s="978"/>
      <c r="LR388" s="978"/>
      <c r="LS388" s="978"/>
      <c r="LT388" s="978"/>
      <c r="LU388" s="978"/>
      <c r="LV388" s="978"/>
      <c r="LW388" s="978"/>
      <c r="LX388" s="978"/>
      <c r="LY388" s="978"/>
      <c r="LZ388" s="978"/>
      <c r="MA388" s="978"/>
      <c r="MB388" s="978"/>
      <c r="MC388" s="978"/>
      <c r="MD388" s="978"/>
      <c r="ME388" s="978"/>
      <c r="MF388" s="978"/>
      <c r="MG388" s="978"/>
      <c r="MH388" s="978"/>
      <c r="MI388" s="978"/>
      <c r="MJ388" s="978"/>
      <c r="MK388" s="978"/>
      <c r="ML388" s="978"/>
      <c r="MM388" s="978"/>
      <c r="MN388" s="978"/>
      <c r="MO388" s="978"/>
      <c r="MP388" s="978"/>
      <c r="MQ388" s="978"/>
      <c r="MR388" s="978"/>
      <c r="MS388" s="978"/>
      <c r="MT388" s="978"/>
      <c r="MU388" s="978"/>
      <c r="MV388" s="978"/>
      <c r="MW388" s="978"/>
      <c r="MX388" s="978"/>
      <c r="MY388" s="978"/>
      <c r="MZ388" s="978"/>
      <c r="NA388" s="978"/>
      <c r="NB388" s="978"/>
      <c r="NC388" s="978"/>
      <c r="ND388" s="978"/>
      <c r="NE388" s="978"/>
      <c r="NF388" s="978"/>
      <c r="NG388" s="978"/>
      <c r="NH388" s="978"/>
      <c r="NI388" s="978"/>
      <c r="NJ388" s="978"/>
      <c r="NK388" s="978"/>
      <c r="NL388" s="978"/>
      <c r="NM388" s="978"/>
      <c r="NN388" s="978"/>
      <c r="NO388" s="978"/>
      <c r="NP388" s="978"/>
      <c r="NQ388" s="978"/>
      <c r="NR388" s="978"/>
      <c r="NS388" s="978"/>
      <c r="NT388" s="978"/>
      <c r="NU388" s="978"/>
      <c r="NV388" s="978"/>
      <c r="NW388" s="978"/>
      <c r="NX388" s="978"/>
      <c r="NY388" s="978"/>
      <c r="NZ388" s="978"/>
      <c r="OA388" s="978"/>
      <c r="OB388" s="978"/>
      <c r="OC388" s="978"/>
      <c r="OD388" s="978"/>
      <c r="OE388" s="978"/>
      <c r="OF388" s="978"/>
      <c r="OG388" s="978"/>
      <c r="OH388" s="978"/>
      <c r="OI388" s="978"/>
      <c r="OJ388" s="978"/>
      <c r="OK388" s="978"/>
      <c r="OL388" s="978"/>
      <c r="OM388" s="978"/>
      <c r="ON388" s="978"/>
      <c r="OO388" s="978"/>
      <c r="OP388" s="978"/>
      <c r="OQ388" s="978"/>
      <c r="OR388" s="978"/>
      <c r="OS388" s="978"/>
      <c r="OT388" s="978"/>
      <c r="OU388" s="978"/>
      <c r="OV388" s="978"/>
      <c r="OW388" s="978"/>
      <c r="OX388" s="978"/>
      <c r="OY388" s="978"/>
      <c r="OZ388" s="978"/>
      <c r="PA388" s="978"/>
      <c r="PB388" s="978"/>
      <c r="PC388" s="978"/>
      <c r="PD388" s="978"/>
      <c r="PE388" s="978"/>
      <c r="PF388" s="978"/>
      <c r="PG388" s="978"/>
      <c r="PH388" s="978"/>
      <c r="PI388" s="978"/>
      <c r="PJ388" s="978"/>
      <c r="PK388" s="978"/>
      <c r="PL388" s="978"/>
      <c r="PM388" s="978"/>
      <c r="PN388" s="978"/>
      <c r="PO388" s="978"/>
      <c r="PP388" s="978"/>
      <c r="PQ388" s="978"/>
      <c r="PR388" s="978"/>
      <c r="PS388" s="978"/>
      <c r="PT388" s="978"/>
      <c r="PU388" s="978"/>
      <c r="PV388" s="978"/>
      <c r="PW388" s="978"/>
      <c r="PX388" s="978"/>
      <c r="PY388" s="978"/>
      <c r="PZ388" s="978"/>
      <c r="QA388" s="978"/>
      <c r="QB388" s="978"/>
      <c r="QC388" s="978"/>
      <c r="QD388" s="978"/>
      <c r="QE388" s="978"/>
      <c r="QF388" s="978"/>
      <c r="QG388" s="978"/>
      <c r="QH388" s="978"/>
      <c r="QI388" s="978"/>
      <c r="QJ388" s="978"/>
      <c r="QK388" s="978"/>
      <c r="QL388" s="978"/>
      <c r="QM388" s="978"/>
      <c r="QN388" s="978"/>
      <c r="QO388" s="978"/>
      <c r="QP388" s="978"/>
      <c r="QQ388" s="978"/>
      <c r="QR388" s="978"/>
      <c r="QS388" s="978"/>
      <c r="QT388" s="978"/>
      <c r="QU388" s="978"/>
      <c r="QV388" s="978"/>
      <c r="QW388" s="978"/>
      <c r="QX388" s="978"/>
      <c r="QY388" s="978"/>
      <c r="QZ388" s="978"/>
      <c r="RA388" s="978"/>
      <c r="RB388" s="274"/>
      <c r="RC388" s="274"/>
    </row>
    <row r="389" spans="112:471" ht="17.25">
      <c r="DH389" s="274"/>
      <c r="DI389" s="274"/>
      <c r="DJ389" s="978"/>
      <c r="DK389" s="978"/>
      <c r="DL389" s="978"/>
      <c r="DM389" s="978"/>
      <c r="DN389" s="978"/>
      <c r="DO389" s="978"/>
      <c r="DP389" s="978"/>
      <c r="DQ389" s="978"/>
      <c r="DR389" s="978"/>
      <c r="DS389" s="978"/>
      <c r="DT389" s="978"/>
      <c r="DU389" s="978"/>
      <c r="DV389" s="978"/>
      <c r="DW389" s="978"/>
      <c r="DX389" s="978"/>
      <c r="DY389" s="978"/>
      <c r="DZ389" s="978"/>
      <c r="EA389" s="978"/>
      <c r="EB389" s="978"/>
      <c r="EC389" s="978"/>
      <c r="ED389" s="978"/>
      <c r="EE389" s="978"/>
      <c r="EF389" s="978"/>
      <c r="EG389" s="978"/>
      <c r="EH389" s="978"/>
      <c r="EI389" s="978"/>
      <c r="EJ389" s="978"/>
      <c r="EK389" s="978"/>
      <c r="EL389" s="978"/>
      <c r="EM389" s="978"/>
      <c r="EN389" s="978"/>
      <c r="EO389" s="978"/>
      <c r="EP389" s="978"/>
      <c r="EQ389" s="978"/>
      <c r="ER389" s="978"/>
      <c r="ES389" s="978"/>
      <c r="ET389" s="978"/>
      <c r="EU389" s="978"/>
      <c r="EV389" s="978"/>
      <c r="EW389" s="978"/>
      <c r="EX389" s="978"/>
      <c r="EY389" s="978"/>
      <c r="EZ389" s="978"/>
      <c r="FA389" s="978"/>
      <c r="FB389" s="978"/>
      <c r="FC389" s="978"/>
      <c r="FD389" s="978"/>
      <c r="FE389" s="978"/>
      <c r="FF389" s="978"/>
      <c r="FG389" s="978"/>
      <c r="FH389" s="978"/>
      <c r="FI389" s="978"/>
      <c r="FJ389" s="978"/>
      <c r="FK389" s="978"/>
      <c r="FL389" s="978"/>
      <c r="FM389" s="978"/>
      <c r="FN389" s="978"/>
      <c r="FO389" s="978"/>
      <c r="FP389" s="978"/>
      <c r="FQ389" s="978"/>
      <c r="FR389" s="978"/>
      <c r="FS389" s="978"/>
      <c r="FT389" s="978"/>
      <c r="FU389" s="978"/>
      <c r="FV389" s="978"/>
      <c r="FW389" s="978"/>
      <c r="FX389" s="978"/>
      <c r="FY389" s="978"/>
      <c r="FZ389" s="978"/>
      <c r="GA389" s="978"/>
      <c r="GB389" s="978"/>
      <c r="GC389" s="978"/>
      <c r="GD389" s="978"/>
      <c r="GE389" s="978"/>
      <c r="GF389" s="978"/>
      <c r="GG389" s="978"/>
      <c r="GH389" s="978"/>
      <c r="GI389" s="978"/>
      <c r="GJ389" s="978"/>
      <c r="GK389" s="978"/>
      <c r="GL389" s="978"/>
      <c r="GM389" s="978"/>
      <c r="GN389" s="978"/>
      <c r="GO389" s="978"/>
      <c r="GP389" s="978"/>
      <c r="GQ389" s="978"/>
      <c r="GR389" s="978"/>
      <c r="GS389" s="978"/>
      <c r="GT389" s="978"/>
      <c r="GU389" s="978"/>
      <c r="GV389" s="978"/>
      <c r="GW389" s="978"/>
      <c r="GX389" s="978"/>
      <c r="GY389" s="978"/>
      <c r="GZ389" s="978"/>
      <c r="HA389" s="978"/>
      <c r="HB389" s="978"/>
      <c r="HC389" s="978"/>
      <c r="HD389" s="978"/>
      <c r="HE389" s="978"/>
      <c r="HF389" s="978"/>
      <c r="HG389" s="978"/>
      <c r="HH389" s="978"/>
      <c r="HI389" s="978"/>
      <c r="HJ389" s="978"/>
      <c r="HK389" s="978"/>
      <c r="HL389" s="978"/>
      <c r="HM389" s="978"/>
      <c r="HN389" s="978"/>
      <c r="HO389" s="978"/>
      <c r="HP389" s="978"/>
      <c r="HQ389" s="978"/>
      <c r="HR389" s="978"/>
      <c r="HS389" s="978"/>
      <c r="HT389" s="978"/>
      <c r="HU389" s="978"/>
      <c r="HV389" s="978"/>
      <c r="HW389" s="978"/>
      <c r="HX389" s="978"/>
      <c r="HY389" s="978"/>
      <c r="HZ389" s="978"/>
      <c r="IA389" s="978"/>
      <c r="IB389" s="978"/>
      <c r="IC389" s="978"/>
      <c r="ID389" s="978"/>
      <c r="IE389" s="978"/>
      <c r="IF389" s="978"/>
      <c r="IG389" s="978"/>
      <c r="IH389" s="978"/>
      <c r="II389" s="978"/>
      <c r="IJ389" s="978"/>
      <c r="IK389" s="978"/>
      <c r="IL389" s="978"/>
      <c r="IM389" s="978"/>
      <c r="IN389" s="978"/>
      <c r="IO389" s="978"/>
      <c r="IP389" s="978"/>
      <c r="IQ389" s="978"/>
      <c r="IR389" s="978"/>
      <c r="IS389" s="978"/>
      <c r="IT389" s="978"/>
      <c r="IU389" s="978"/>
      <c r="IV389" s="978"/>
      <c r="IW389" s="978"/>
      <c r="IX389" s="978"/>
      <c r="IY389" s="978"/>
      <c r="IZ389" s="978"/>
      <c r="JA389" s="978"/>
      <c r="JB389" s="978"/>
      <c r="JC389" s="978"/>
      <c r="JD389" s="978"/>
      <c r="JE389" s="978"/>
      <c r="JF389" s="978"/>
      <c r="JG389" s="978"/>
      <c r="JH389" s="978"/>
      <c r="JI389" s="978"/>
      <c r="JJ389" s="978"/>
      <c r="JK389" s="978"/>
      <c r="JL389" s="978"/>
      <c r="JM389" s="978"/>
      <c r="JN389" s="978"/>
      <c r="JO389" s="978"/>
      <c r="JP389" s="978"/>
      <c r="JQ389" s="978"/>
      <c r="JR389" s="978"/>
      <c r="JS389" s="978"/>
      <c r="JT389" s="978"/>
      <c r="JU389" s="978"/>
      <c r="JV389" s="978"/>
      <c r="JW389" s="978"/>
      <c r="JX389" s="978"/>
      <c r="JY389" s="978"/>
      <c r="JZ389" s="978"/>
      <c r="KA389" s="978"/>
      <c r="KB389" s="978"/>
      <c r="KC389" s="978"/>
      <c r="KD389" s="978"/>
      <c r="KE389" s="978"/>
      <c r="KF389" s="978"/>
      <c r="KG389" s="978"/>
      <c r="KH389" s="978"/>
      <c r="KI389" s="978"/>
      <c r="KJ389" s="978"/>
      <c r="KK389" s="978"/>
      <c r="KL389" s="978"/>
      <c r="KM389" s="978"/>
      <c r="KN389" s="978"/>
      <c r="KO389" s="978"/>
      <c r="KP389" s="978"/>
      <c r="KQ389" s="978"/>
      <c r="KR389" s="978"/>
      <c r="KS389" s="978"/>
      <c r="KT389" s="978"/>
      <c r="KU389" s="978"/>
      <c r="KV389" s="978"/>
      <c r="KW389" s="978"/>
      <c r="KX389" s="978"/>
      <c r="KY389" s="978"/>
      <c r="KZ389" s="978"/>
      <c r="LA389" s="978"/>
      <c r="LB389" s="978"/>
      <c r="LC389" s="978"/>
      <c r="LD389" s="978"/>
      <c r="LE389" s="978"/>
      <c r="LF389" s="978"/>
      <c r="LG389" s="978"/>
      <c r="LH389" s="978"/>
      <c r="LI389" s="978"/>
      <c r="LJ389" s="978"/>
      <c r="LK389" s="978"/>
      <c r="LL389" s="978"/>
      <c r="LM389" s="978"/>
      <c r="LN389" s="978"/>
      <c r="LO389" s="978"/>
      <c r="LP389" s="978"/>
      <c r="LQ389" s="978"/>
      <c r="LR389" s="978"/>
      <c r="LS389" s="978"/>
      <c r="LT389" s="978"/>
      <c r="LU389" s="978"/>
      <c r="LV389" s="978"/>
      <c r="LW389" s="978"/>
      <c r="LX389" s="978"/>
      <c r="LY389" s="978"/>
      <c r="LZ389" s="978"/>
      <c r="MA389" s="978"/>
      <c r="MB389" s="978"/>
      <c r="MC389" s="978"/>
      <c r="MD389" s="978"/>
      <c r="ME389" s="978"/>
      <c r="MF389" s="978"/>
      <c r="MG389" s="978"/>
      <c r="MH389" s="978"/>
      <c r="MI389" s="978"/>
      <c r="MJ389" s="978"/>
      <c r="MK389" s="978"/>
      <c r="ML389" s="978"/>
      <c r="MM389" s="978"/>
      <c r="MN389" s="978"/>
      <c r="MO389" s="978"/>
      <c r="MP389" s="978"/>
      <c r="MQ389" s="978"/>
      <c r="MR389" s="978"/>
      <c r="MS389" s="978"/>
      <c r="MT389" s="978"/>
      <c r="MU389" s="978"/>
      <c r="MV389" s="978"/>
      <c r="MW389" s="978"/>
      <c r="MX389" s="978"/>
      <c r="MY389" s="978"/>
      <c r="MZ389" s="978"/>
      <c r="NA389" s="978"/>
      <c r="NB389" s="978"/>
      <c r="NC389" s="978"/>
      <c r="ND389" s="978"/>
      <c r="NE389" s="978"/>
      <c r="NF389" s="978"/>
      <c r="NG389" s="978"/>
      <c r="NH389" s="978"/>
      <c r="NI389" s="978"/>
      <c r="NJ389" s="978"/>
      <c r="NK389" s="978"/>
      <c r="NL389" s="978"/>
      <c r="NM389" s="978"/>
      <c r="NN389" s="978"/>
      <c r="NO389" s="978"/>
      <c r="NP389" s="978"/>
      <c r="NQ389" s="978"/>
      <c r="NR389" s="978"/>
      <c r="NS389" s="978"/>
      <c r="NT389" s="978"/>
      <c r="NU389" s="978"/>
      <c r="NV389" s="978"/>
      <c r="NW389" s="978"/>
      <c r="NX389" s="978"/>
      <c r="NY389" s="978"/>
      <c r="NZ389" s="978"/>
      <c r="OA389" s="978"/>
      <c r="OB389" s="978"/>
      <c r="OC389" s="978"/>
      <c r="OD389" s="978"/>
      <c r="OE389" s="978"/>
      <c r="OF389" s="978"/>
      <c r="OG389" s="978"/>
      <c r="OH389" s="978"/>
      <c r="OI389" s="978"/>
      <c r="OJ389" s="978"/>
      <c r="OK389" s="978"/>
      <c r="OL389" s="978"/>
      <c r="OM389" s="978"/>
      <c r="ON389" s="978"/>
      <c r="OO389" s="978"/>
      <c r="OP389" s="978"/>
      <c r="OQ389" s="978"/>
      <c r="OR389" s="978"/>
      <c r="OS389" s="978"/>
      <c r="OT389" s="978"/>
      <c r="OU389" s="978"/>
      <c r="OV389" s="978"/>
      <c r="OW389" s="978"/>
      <c r="OX389" s="978"/>
      <c r="OY389" s="978"/>
      <c r="OZ389" s="978"/>
      <c r="PA389" s="978"/>
      <c r="PB389" s="978"/>
      <c r="PC389" s="978"/>
      <c r="PD389" s="978"/>
      <c r="PE389" s="978"/>
      <c r="PF389" s="978"/>
      <c r="PG389" s="978"/>
      <c r="PH389" s="978"/>
      <c r="PI389" s="978"/>
      <c r="PJ389" s="978"/>
      <c r="PK389" s="978"/>
      <c r="PL389" s="978"/>
      <c r="PM389" s="978"/>
      <c r="PN389" s="978"/>
      <c r="PO389" s="978"/>
      <c r="PP389" s="978"/>
      <c r="PQ389" s="978"/>
      <c r="PR389" s="978"/>
      <c r="PS389" s="978"/>
      <c r="PT389" s="978"/>
      <c r="PU389" s="978"/>
      <c r="PV389" s="978"/>
      <c r="PW389" s="978"/>
      <c r="PX389" s="978"/>
      <c r="PY389" s="978"/>
      <c r="PZ389" s="978"/>
      <c r="QA389" s="978"/>
      <c r="QB389" s="978"/>
      <c r="QC389" s="978"/>
      <c r="QD389" s="978"/>
      <c r="QE389" s="978"/>
      <c r="QF389" s="978"/>
      <c r="QG389" s="978"/>
      <c r="QH389" s="978"/>
      <c r="QI389" s="978"/>
      <c r="QJ389" s="978"/>
      <c r="QK389" s="978"/>
      <c r="QL389" s="978"/>
      <c r="QM389" s="978"/>
      <c r="QN389" s="978"/>
      <c r="QO389" s="978"/>
      <c r="QP389" s="978"/>
      <c r="QQ389" s="978"/>
      <c r="QR389" s="978"/>
      <c r="QS389" s="978"/>
      <c r="QT389" s="978"/>
      <c r="QU389" s="978"/>
      <c r="QV389" s="978"/>
      <c r="QW389" s="978"/>
      <c r="QX389" s="978"/>
      <c r="QY389" s="978"/>
      <c r="QZ389" s="978"/>
      <c r="RA389" s="978"/>
      <c r="RB389" s="274"/>
      <c r="RC389" s="274"/>
    </row>
    <row r="390" spans="112:471" ht="17.25">
      <c r="DH390" s="274"/>
      <c r="DI390" s="274"/>
      <c r="DJ390" s="978"/>
      <c r="DK390" s="978"/>
      <c r="DL390" s="978"/>
      <c r="DM390" s="978"/>
      <c r="DN390" s="978"/>
      <c r="DO390" s="978"/>
      <c r="DP390" s="978"/>
      <c r="DQ390" s="978"/>
      <c r="DR390" s="978"/>
      <c r="DS390" s="978"/>
      <c r="DT390" s="978"/>
      <c r="DU390" s="978"/>
      <c r="DV390" s="978"/>
      <c r="DW390" s="978"/>
      <c r="DX390" s="978"/>
      <c r="DY390" s="978"/>
      <c r="DZ390" s="978"/>
      <c r="EA390" s="978"/>
      <c r="EB390" s="978"/>
      <c r="EC390" s="978"/>
      <c r="ED390" s="978"/>
      <c r="EE390" s="978"/>
      <c r="EF390" s="978"/>
      <c r="EG390" s="978"/>
      <c r="EH390" s="978"/>
      <c r="EI390" s="978"/>
      <c r="EJ390" s="978"/>
      <c r="EK390" s="978"/>
      <c r="EL390" s="978"/>
      <c r="EM390" s="978"/>
      <c r="EN390" s="978"/>
      <c r="EO390" s="978"/>
      <c r="EP390" s="978"/>
      <c r="EQ390" s="978"/>
      <c r="ER390" s="978"/>
      <c r="ES390" s="978"/>
      <c r="ET390" s="978"/>
      <c r="EU390" s="978"/>
      <c r="EV390" s="978"/>
      <c r="EW390" s="978"/>
      <c r="EX390" s="978"/>
      <c r="EY390" s="978"/>
      <c r="EZ390" s="978"/>
      <c r="FA390" s="978"/>
      <c r="FB390" s="978"/>
      <c r="FC390" s="978"/>
      <c r="FD390" s="978"/>
      <c r="FE390" s="978"/>
      <c r="FF390" s="978"/>
      <c r="FG390" s="978"/>
      <c r="FH390" s="978"/>
      <c r="FI390" s="978"/>
      <c r="FJ390" s="978"/>
      <c r="FK390" s="978"/>
      <c r="FL390" s="978"/>
      <c r="FM390" s="978"/>
      <c r="FN390" s="978"/>
      <c r="FO390" s="978"/>
      <c r="FP390" s="978"/>
      <c r="FQ390" s="978"/>
      <c r="FR390" s="978"/>
      <c r="FS390" s="978"/>
      <c r="FT390" s="978"/>
      <c r="FU390" s="978"/>
      <c r="FV390" s="978"/>
      <c r="FW390" s="978"/>
      <c r="FX390" s="978"/>
      <c r="FY390" s="978"/>
      <c r="FZ390" s="978"/>
      <c r="GA390" s="978"/>
      <c r="GB390" s="978"/>
      <c r="GC390" s="978"/>
      <c r="GD390" s="978"/>
      <c r="GE390" s="978"/>
      <c r="GF390" s="978"/>
      <c r="GG390" s="978"/>
      <c r="GH390" s="978"/>
      <c r="GI390" s="978"/>
      <c r="GJ390" s="978"/>
      <c r="GK390" s="978"/>
      <c r="GL390" s="978"/>
      <c r="GM390" s="978"/>
      <c r="GN390" s="978"/>
      <c r="GO390" s="978"/>
      <c r="GP390" s="978"/>
      <c r="GQ390" s="978"/>
      <c r="GR390" s="978"/>
      <c r="GS390" s="978"/>
      <c r="GT390" s="978"/>
      <c r="GU390" s="978"/>
      <c r="GV390" s="978"/>
      <c r="GW390" s="978"/>
      <c r="GX390" s="978"/>
      <c r="GY390" s="978"/>
      <c r="GZ390" s="978"/>
      <c r="HA390" s="978"/>
      <c r="HB390" s="978"/>
      <c r="HC390" s="978"/>
      <c r="HD390" s="978"/>
      <c r="HE390" s="978"/>
      <c r="HF390" s="978"/>
      <c r="HG390" s="978"/>
      <c r="HH390" s="978"/>
      <c r="HI390" s="978"/>
      <c r="HJ390" s="978"/>
      <c r="HK390" s="978"/>
      <c r="HL390" s="978"/>
      <c r="HM390" s="978"/>
      <c r="HN390" s="978"/>
      <c r="HO390" s="978"/>
      <c r="HP390" s="978"/>
      <c r="HQ390" s="978"/>
      <c r="HR390" s="978"/>
      <c r="HS390" s="978"/>
      <c r="HT390" s="978"/>
      <c r="HU390" s="978"/>
      <c r="HV390" s="978"/>
      <c r="HW390" s="978"/>
      <c r="HX390" s="978"/>
      <c r="HY390" s="978"/>
      <c r="HZ390" s="978"/>
      <c r="IA390" s="978"/>
      <c r="IB390" s="978"/>
      <c r="IC390" s="978"/>
      <c r="ID390" s="978"/>
      <c r="IE390" s="978"/>
      <c r="IF390" s="978"/>
      <c r="IG390" s="978"/>
      <c r="IH390" s="978"/>
      <c r="II390" s="978"/>
      <c r="IJ390" s="978"/>
      <c r="IK390" s="978"/>
      <c r="IL390" s="978"/>
      <c r="IM390" s="978"/>
      <c r="IN390" s="978"/>
      <c r="IO390" s="978"/>
      <c r="IP390" s="978"/>
      <c r="IQ390" s="978"/>
      <c r="IR390" s="978"/>
      <c r="IS390" s="978"/>
      <c r="IT390" s="978"/>
      <c r="IU390" s="978"/>
      <c r="IV390" s="978"/>
      <c r="IW390" s="978"/>
      <c r="IX390" s="978"/>
      <c r="IY390" s="978"/>
      <c r="IZ390" s="978"/>
      <c r="JA390" s="978"/>
      <c r="JB390" s="978"/>
      <c r="JC390" s="978"/>
      <c r="JD390" s="978"/>
      <c r="JE390" s="978"/>
      <c r="JF390" s="978"/>
      <c r="JG390" s="978"/>
      <c r="JH390" s="978"/>
      <c r="JI390" s="978"/>
      <c r="JJ390" s="978"/>
      <c r="JK390" s="978"/>
      <c r="JL390" s="978"/>
      <c r="JM390" s="978"/>
      <c r="JN390" s="978"/>
      <c r="JO390" s="978"/>
      <c r="JP390" s="978"/>
      <c r="JQ390" s="978"/>
      <c r="JR390" s="978"/>
      <c r="JS390" s="978"/>
      <c r="JT390" s="978"/>
      <c r="JU390" s="978"/>
      <c r="JV390" s="978"/>
      <c r="JW390" s="978"/>
      <c r="JX390" s="978"/>
      <c r="JY390" s="978"/>
      <c r="JZ390" s="978"/>
      <c r="KA390" s="978"/>
      <c r="KB390" s="978"/>
      <c r="KC390" s="978"/>
      <c r="KD390" s="978"/>
      <c r="KE390" s="978"/>
      <c r="KF390" s="978"/>
      <c r="KG390" s="978"/>
      <c r="KH390" s="978"/>
      <c r="KI390" s="978"/>
      <c r="KJ390" s="978"/>
      <c r="KK390" s="978"/>
      <c r="KL390" s="978"/>
      <c r="KM390" s="978"/>
      <c r="KN390" s="978"/>
      <c r="KO390" s="978"/>
      <c r="KP390" s="978"/>
      <c r="KQ390" s="978"/>
      <c r="KR390" s="978"/>
      <c r="KS390" s="978"/>
      <c r="KT390" s="978"/>
      <c r="KU390" s="978"/>
      <c r="KV390" s="978"/>
      <c r="KW390" s="978"/>
      <c r="KX390" s="978"/>
      <c r="KY390" s="978"/>
      <c r="KZ390" s="978"/>
      <c r="LA390" s="978"/>
      <c r="LB390" s="978"/>
      <c r="LC390" s="978"/>
      <c r="LD390" s="978"/>
      <c r="LE390" s="978"/>
      <c r="LF390" s="978"/>
      <c r="LG390" s="978"/>
      <c r="LH390" s="978"/>
      <c r="LI390" s="978"/>
      <c r="LJ390" s="978"/>
      <c r="LK390" s="978"/>
      <c r="LL390" s="978"/>
      <c r="LM390" s="978"/>
      <c r="LN390" s="978"/>
      <c r="LO390" s="978"/>
      <c r="LP390" s="978"/>
      <c r="LQ390" s="978"/>
      <c r="LR390" s="978"/>
      <c r="LS390" s="978"/>
      <c r="LT390" s="978"/>
      <c r="LU390" s="978"/>
      <c r="LV390" s="978"/>
      <c r="LW390" s="978"/>
      <c r="LX390" s="978"/>
      <c r="LY390" s="978"/>
      <c r="LZ390" s="978"/>
      <c r="MA390" s="978"/>
      <c r="MB390" s="978"/>
      <c r="MC390" s="978"/>
      <c r="MD390" s="978"/>
      <c r="ME390" s="978"/>
      <c r="MF390" s="978"/>
      <c r="MG390" s="978"/>
      <c r="MH390" s="978"/>
      <c r="MI390" s="978"/>
      <c r="MJ390" s="978"/>
      <c r="MK390" s="978"/>
      <c r="ML390" s="978"/>
      <c r="MM390" s="978"/>
      <c r="MN390" s="978"/>
      <c r="MO390" s="978"/>
      <c r="MP390" s="978"/>
      <c r="MQ390" s="978"/>
      <c r="MR390" s="978"/>
      <c r="MS390" s="978"/>
      <c r="MT390" s="978"/>
      <c r="MU390" s="978"/>
      <c r="MV390" s="978"/>
      <c r="MW390" s="978"/>
      <c r="MX390" s="978"/>
      <c r="MY390" s="978"/>
      <c r="MZ390" s="978"/>
      <c r="NA390" s="978"/>
      <c r="NB390" s="978"/>
      <c r="NC390" s="978"/>
      <c r="ND390" s="978"/>
      <c r="NE390" s="978"/>
      <c r="NF390" s="978"/>
      <c r="NG390" s="978"/>
      <c r="NH390" s="978"/>
      <c r="NI390" s="978"/>
      <c r="NJ390" s="978"/>
      <c r="NK390" s="978"/>
      <c r="NL390" s="978"/>
      <c r="NM390" s="978"/>
      <c r="NN390" s="978"/>
      <c r="NO390" s="978"/>
      <c r="NP390" s="978"/>
      <c r="NQ390" s="978"/>
      <c r="NR390" s="978"/>
      <c r="NS390" s="978"/>
      <c r="NT390" s="978"/>
      <c r="NU390" s="978"/>
      <c r="NV390" s="978"/>
      <c r="NW390" s="978"/>
      <c r="NX390" s="978"/>
      <c r="NY390" s="978"/>
      <c r="NZ390" s="978"/>
      <c r="OA390" s="978"/>
      <c r="OB390" s="978"/>
      <c r="OC390" s="978"/>
      <c r="OD390" s="978"/>
      <c r="OE390" s="978"/>
      <c r="OF390" s="978"/>
      <c r="OG390" s="978"/>
      <c r="OH390" s="978"/>
      <c r="OI390" s="978"/>
      <c r="OJ390" s="978"/>
      <c r="OK390" s="978"/>
      <c r="OL390" s="978"/>
      <c r="OM390" s="978"/>
      <c r="ON390" s="978"/>
      <c r="OO390" s="978"/>
      <c r="OP390" s="978"/>
      <c r="OQ390" s="978"/>
      <c r="OR390" s="978"/>
      <c r="OS390" s="978"/>
      <c r="OT390" s="978"/>
      <c r="OU390" s="978"/>
      <c r="OV390" s="978"/>
      <c r="OW390" s="978"/>
      <c r="OX390" s="978"/>
      <c r="OY390" s="978"/>
      <c r="OZ390" s="978"/>
      <c r="PA390" s="978"/>
      <c r="PB390" s="978"/>
      <c r="PC390" s="978"/>
      <c r="PD390" s="978"/>
      <c r="PE390" s="978"/>
      <c r="PF390" s="978"/>
      <c r="PG390" s="978"/>
      <c r="PH390" s="978"/>
      <c r="PI390" s="978"/>
      <c r="PJ390" s="978"/>
      <c r="PK390" s="978"/>
      <c r="PL390" s="978"/>
      <c r="PM390" s="978"/>
      <c r="PN390" s="978"/>
      <c r="PO390" s="978"/>
      <c r="PP390" s="978"/>
      <c r="PQ390" s="978"/>
      <c r="PR390" s="978"/>
      <c r="PS390" s="978"/>
      <c r="PT390" s="978"/>
      <c r="PU390" s="978"/>
      <c r="PV390" s="978"/>
      <c r="PW390" s="978"/>
      <c r="PX390" s="978"/>
      <c r="PY390" s="978"/>
      <c r="PZ390" s="978"/>
      <c r="QA390" s="978"/>
      <c r="QB390" s="978"/>
      <c r="QC390" s="978"/>
      <c r="QD390" s="978"/>
      <c r="QE390" s="978"/>
      <c r="QF390" s="978"/>
      <c r="QG390" s="978"/>
      <c r="QH390" s="978"/>
      <c r="QI390" s="978"/>
      <c r="QJ390" s="978"/>
      <c r="QK390" s="978"/>
      <c r="QL390" s="978"/>
      <c r="QM390" s="978"/>
      <c r="QN390" s="978"/>
      <c r="QO390" s="978"/>
      <c r="QP390" s="978"/>
      <c r="QQ390" s="978"/>
      <c r="QR390" s="978"/>
      <c r="QS390" s="978"/>
      <c r="QT390" s="978"/>
      <c r="QU390" s="978"/>
      <c r="QV390" s="978"/>
      <c r="QW390" s="978"/>
      <c r="QX390" s="978"/>
      <c r="QY390" s="978"/>
      <c r="QZ390" s="978"/>
      <c r="RA390" s="978"/>
      <c r="RB390" s="274"/>
      <c r="RC390" s="274"/>
    </row>
    <row r="391" spans="112:471" ht="17.25">
      <c r="DH391" s="274"/>
      <c r="DI391" s="274"/>
      <c r="DJ391" s="978"/>
      <c r="DK391" s="978"/>
      <c r="DL391" s="978"/>
      <c r="DM391" s="978"/>
      <c r="DN391" s="978"/>
      <c r="DO391" s="978"/>
      <c r="DP391" s="978"/>
      <c r="DQ391" s="978"/>
      <c r="DR391" s="978"/>
      <c r="DS391" s="978"/>
      <c r="DT391" s="978"/>
      <c r="DU391" s="978"/>
      <c r="DV391" s="978"/>
      <c r="DW391" s="978"/>
      <c r="DX391" s="978"/>
      <c r="DY391" s="978"/>
      <c r="DZ391" s="978"/>
      <c r="EA391" s="978"/>
      <c r="EB391" s="978"/>
      <c r="EC391" s="978"/>
      <c r="ED391" s="978"/>
      <c r="EE391" s="978"/>
      <c r="EF391" s="978"/>
      <c r="EG391" s="978"/>
      <c r="EH391" s="978"/>
      <c r="EI391" s="978"/>
      <c r="EJ391" s="978"/>
      <c r="EK391" s="978"/>
      <c r="EL391" s="978"/>
      <c r="EM391" s="978"/>
      <c r="EN391" s="978"/>
      <c r="EO391" s="978"/>
      <c r="EP391" s="978"/>
      <c r="EQ391" s="978"/>
      <c r="ER391" s="978"/>
      <c r="ES391" s="978"/>
      <c r="ET391" s="978"/>
      <c r="EU391" s="978"/>
      <c r="EV391" s="978"/>
      <c r="EW391" s="978"/>
      <c r="EX391" s="978"/>
      <c r="EY391" s="978"/>
      <c r="EZ391" s="978"/>
      <c r="FA391" s="978"/>
      <c r="FB391" s="978"/>
      <c r="FC391" s="978"/>
      <c r="FD391" s="978"/>
      <c r="FE391" s="978"/>
      <c r="FF391" s="978"/>
      <c r="FG391" s="978"/>
      <c r="FH391" s="978"/>
      <c r="FI391" s="978"/>
      <c r="FJ391" s="978"/>
      <c r="FK391" s="978"/>
      <c r="FL391" s="978"/>
      <c r="FM391" s="978"/>
      <c r="FN391" s="978"/>
      <c r="FO391" s="978"/>
      <c r="FP391" s="978"/>
      <c r="FQ391" s="978"/>
      <c r="FR391" s="978"/>
      <c r="FS391" s="978"/>
      <c r="FT391" s="978"/>
      <c r="FU391" s="978"/>
      <c r="FV391" s="978"/>
      <c r="FW391" s="978"/>
      <c r="FX391" s="978"/>
      <c r="FY391" s="978"/>
      <c r="FZ391" s="978"/>
      <c r="GA391" s="978"/>
      <c r="GB391" s="978"/>
      <c r="GC391" s="978"/>
      <c r="GD391" s="978"/>
      <c r="GE391" s="978"/>
      <c r="GF391" s="978"/>
      <c r="GG391" s="978"/>
      <c r="GH391" s="978"/>
      <c r="GI391" s="978"/>
      <c r="GJ391" s="978"/>
      <c r="GK391" s="978"/>
      <c r="GL391" s="978"/>
      <c r="GM391" s="978"/>
      <c r="GN391" s="978"/>
      <c r="GO391" s="978"/>
      <c r="GP391" s="978"/>
      <c r="GQ391" s="978"/>
      <c r="GR391" s="978"/>
      <c r="GS391" s="978"/>
      <c r="GT391" s="978"/>
      <c r="GU391" s="978"/>
      <c r="GV391" s="978"/>
      <c r="GW391" s="978"/>
      <c r="GX391" s="978"/>
      <c r="GY391" s="978"/>
      <c r="GZ391" s="978"/>
      <c r="HA391" s="978"/>
      <c r="HB391" s="978"/>
      <c r="HC391" s="978"/>
      <c r="HD391" s="978"/>
      <c r="HE391" s="978"/>
      <c r="HF391" s="978"/>
      <c r="HG391" s="978"/>
      <c r="HH391" s="978"/>
      <c r="HI391" s="978"/>
      <c r="HJ391" s="978"/>
      <c r="HK391" s="978"/>
      <c r="HL391" s="978"/>
      <c r="HM391" s="978"/>
      <c r="HN391" s="978"/>
      <c r="HO391" s="978"/>
      <c r="HP391" s="978"/>
      <c r="HQ391" s="978"/>
      <c r="HR391" s="978"/>
      <c r="HS391" s="978"/>
      <c r="HT391" s="978"/>
      <c r="HU391" s="978"/>
      <c r="HV391" s="978"/>
      <c r="HW391" s="978"/>
      <c r="HX391" s="978"/>
      <c r="HY391" s="978"/>
      <c r="HZ391" s="978"/>
      <c r="IA391" s="978"/>
      <c r="IB391" s="978"/>
      <c r="IC391" s="978"/>
      <c r="ID391" s="978"/>
      <c r="IE391" s="978"/>
      <c r="IF391" s="978"/>
      <c r="IG391" s="978"/>
      <c r="IH391" s="978"/>
      <c r="II391" s="978"/>
      <c r="IJ391" s="978"/>
      <c r="IK391" s="978"/>
      <c r="IL391" s="978"/>
      <c r="IM391" s="978"/>
      <c r="IN391" s="978"/>
      <c r="IO391" s="978"/>
      <c r="IP391" s="978"/>
      <c r="IQ391" s="978"/>
      <c r="IR391" s="978"/>
      <c r="IS391" s="978"/>
      <c r="IT391" s="978"/>
      <c r="IU391" s="978"/>
      <c r="IV391" s="978"/>
      <c r="IW391" s="978"/>
      <c r="IX391" s="978"/>
      <c r="IY391" s="978"/>
      <c r="IZ391" s="978"/>
      <c r="JA391" s="978"/>
      <c r="JB391" s="978"/>
      <c r="JC391" s="978"/>
      <c r="JD391" s="978"/>
      <c r="JE391" s="978"/>
      <c r="JF391" s="978"/>
      <c r="JG391" s="978"/>
      <c r="JH391" s="978"/>
      <c r="JI391" s="978"/>
      <c r="JJ391" s="978"/>
      <c r="JK391" s="978"/>
      <c r="JL391" s="978"/>
      <c r="JM391" s="978"/>
      <c r="JN391" s="978"/>
      <c r="JO391" s="978"/>
      <c r="JP391" s="978"/>
      <c r="JQ391" s="978"/>
      <c r="JR391" s="978"/>
      <c r="JS391" s="978"/>
      <c r="JT391" s="978"/>
      <c r="JU391" s="978"/>
      <c r="JV391" s="978"/>
      <c r="JW391" s="978"/>
      <c r="JX391" s="978"/>
      <c r="JY391" s="978"/>
      <c r="JZ391" s="978"/>
      <c r="KA391" s="978"/>
      <c r="KB391" s="978"/>
      <c r="KC391" s="978"/>
      <c r="KD391" s="978"/>
      <c r="KE391" s="978"/>
      <c r="KF391" s="978"/>
      <c r="KG391" s="978"/>
      <c r="KH391" s="978"/>
      <c r="KI391" s="978"/>
      <c r="KJ391" s="978"/>
      <c r="KK391" s="978"/>
      <c r="KL391" s="978"/>
      <c r="KM391" s="978"/>
      <c r="KN391" s="978"/>
      <c r="KO391" s="978"/>
      <c r="KP391" s="978"/>
      <c r="KQ391" s="978"/>
      <c r="KR391" s="978"/>
      <c r="KS391" s="978"/>
      <c r="KT391" s="978"/>
      <c r="KU391" s="978"/>
      <c r="KV391" s="978"/>
      <c r="KW391" s="978"/>
      <c r="KX391" s="978"/>
      <c r="KY391" s="978"/>
      <c r="KZ391" s="978"/>
      <c r="LA391" s="978"/>
      <c r="LB391" s="978"/>
      <c r="LC391" s="978"/>
      <c r="LD391" s="978"/>
      <c r="LE391" s="978"/>
      <c r="LF391" s="978"/>
      <c r="LG391" s="978"/>
      <c r="LH391" s="978"/>
      <c r="LI391" s="978"/>
      <c r="LJ391" s="978"/>
      <c r="LK391" s="978"/>
      <c r="LL391" s="978"/>
      <c r="LM391" s="978"/>
      <c r="LN391" s="978"/>
      <c r="LO391" s="978"/>
      <c r="LP391" s="978"/>
      <c r="LQ391" s="978"/>
      <c r="LR391" s="978"/>
      <c r="LS391" s="978"/>
      <c r="LT391" s="978"/>
      <c r="LU391" s="978"/>
      <c r="LV391" s="978"/>
      <c r="LW391" s="978"/>
      <c r="LX391" s="978"/>
      <c r="LY391" s="978"/>
      <c r="LZ391" s="978"/>
      <c r="MA391" s="978"/>
      <c r="MB391" s="978"/>
      <c r="MC391" s="978"/>
      <c r="MD391" s="978"/>
      <c r="ME391" s="978"/>
      <c r="MF391" s="978"/>
      <c r="MG391" s="978"/>
      <c r="MH391" s="978"/>
      <c r="MI391" s="978"/>
      <c r="MJ391" s="978"/>
      <c r="MK391" s="978"/>
      <c r="ML391" s="978"/>
      <c r="MM391" s="978"/>
      <c r="MN391" s="978"/>
      <c r="MO391" s="978"/>
      <c r="MP391" s="978"/>
      <c r="MQ391" s="978"/>
      <c r="MR391" s="978"/>
      <c r="MS391" s="978"/>
      <c r="MT391" s="978"/>
      <c r="MU391" s="978"/>
      <c r="MV391" s="978"/>
      <c r="MW391" s="978"/>
      <c r="MX391" s="978"/>
      <c r="MY391" s="978"/>
      <c r="MZ391" s="978"/>
      <c r="NA391" s="978"/>
      <c r="NB391" s="978"/>
      <c r="NC391" s="978"/>
      <c r="ND391" s="978"/>
      <c r="NE391" s="978"/>
      <c r="NF391" s="978"/>
      <c r="NG391" s="978"/>
      <c r="NH391" s="978"/>
      <c r="NI391" s="978"/>
      <c r="NJ391" s="978"/>
      <c r="NK391" s="978"/>
      <c r="NL391" s="978"/>
      <c r="NM391" s="978"/>
      <c r="NN391" s="978"/>
      <c r="NO391" s="978"/>
      <c r="NP391" s="978"/>
      <c r="NQ391" s="978"/>
      <c r="NR391" s="978"/>
      <c r="NS391" s="978"/>
      <c r="NT391" s="978"/>
      <c r="NU391" s="978"/>
      <c r="NV391" s="978"/>
      <c r="NW391" s="978"/>
      <c r="NX391" s="978"/>
      <c r="NY391" s="978"/>
      <c r="NZ391" s="978"/>
      <c r="OA391" s="978"/>
      <c r="OB391" s="978"/>
      <c r="OC391" s="978"/>
      <c r="OD391" s="978"/>
      <c r="OE391" s="978"/>
      <c r="OF391" s="978"/>
      <c r="OG391" s="978"/>
      <c r="OH391" s="978"/>
      <c r="OI391" s="978"/>
      <c r="OJ391" s="978"/>
      <c r="OK391" s="978"/>
      <c r="OL391" s="978"/>
      <c r="OM391" s="978"/>
      <c r="ON391" s="978"/>
      <c r="OO391" s="978"/>
      <c r="OP391" s="978"/>
      <c r="OQ391" s="978"/>
      <c r="OR391" s="978"/>
      <c r="OS391" s="978"/>
      <c r="OT391" s="978"/>
      <c r="OU391" s="978"/>
      <c r="OV391" s="978"/>
      <c r="OW391" s="978"/>
      <c r="OX391" s="978"/>
      <c r="OY391" s="978"/>
      <c r="OZ391" s="978"/>
      <c r="PA391" s="978"/>
      <c r="PB391" s="978"/>
      <c r="PC391" s="978"/>
      <c r="PD391" s="978"/>
      <c r="PE391" s="978"/>
      <c r="PF391" s="978"/>
      <c r="PG391" s="978"/>
      <c r="PH391" s="978"/>
      <c r="PI391" s="978"/>
      <c r="PJ391" s="978"/>
      <c r="PK391" s="978"/>
      <c r="PL391" s="978"/>
      <c r="PM391" s="978"/>
      <c r="PN391" s="978"/>
      <c r="PO391" s="978"/>
      <c r="PP391" s="978"/>
      <c r="PQ391" s="978"/>
      <c r="PR391" s="978"/>
      <c r="PS391" s="978"/>
      <c r="PT391" s="978"/>
      <c r="PU391" s="978"/>
      <c r="PV391" s="978"/>
      <c r="PW391" s="978"/>
      <c r="PX391" s="978"/>
      <c r="PY391" s="978"/>
      <c r="PZ391" s="978"/>
      <c r="QA391" s="978"/>
      <c r="QB391" s="978"/>
      <c r="QC391" s="978"/>
      <c r="QD391" s="978"/>
      <c r="QE391" s="978"/>
      <c r="QF391" s="978"/>
      <c r="QG391" s="978"/>
      <c r="QH391" s="978"/>
      <c r="QI391" s="978"/>
      <c r="QJ391" s="978"/>
      <c r="QK391" s="978"/>
      <c r="QL391" s="978"/>
      <c r="QM391" s="978"/>
      <c r="QN391" s="978"/>
      <c r="QO391" s="978"/>
      <c r="QP391" s="978"/>
      <c r="QQ391" s="978"/>
      <c r="QR391" s="978"/>
      <c r="QS391" s="978"/>
      <c r="QT391" s="978"/>
      <c r="QU391" s="978"/>
      <c r="QV391" s="978"/>
      <c r="QW391" s="978"/>
      <c r="QX391" s="978"/>
      <c r="QY391" s="978"/>
      <c r="QZ391" s="978"/>
      <c r="RA391" s="978"/>
      <c r="RB391" s="274"/>
      <c r="RC391" s="274"/>
    </row>
    <row r="392" spans="112:471" ht="17.25">
      <c r="DH392" s="274"/>
      <c r="DI392" s="274"/>
      <c r="DJ392" s="978"/>
      <c r="DK392" s="978"/>
      <c r="DL392" s="978"/>
      <c r="DM392" s="978"/>
      <c r="DN392" s="978"/>
      <c r="DO392" s="978"/>
      <c r="DP392" s="978"/>
      <c r="DQ392" s="978"/>
      <c r="DR392" s="978"/>
      <c r="DS392" s="978"/>
      <c r="DT392" s="978"/>
      <c r="DU392" s="978"/>
      <c r="DV392" s="978"/>
      <c r="DW392" s="978"/>
      <c r="DX392" s="978"/>
      <c r="DY392" s="978"/>
      <c r="DZ392" s="978"/>
      <c r="EA392" s="978"/>
      <c r="EB392" s="978"/>
      <c r="EC392" s="978"/>
      <c r="ED392" s="978"/>
      <c r="EE392" s="978"/>
      <c r="EF392" s="978"/>
      <c r="EG392" s="978"/>
      <c r="EH392" s="978"/>
      <c r="EI392" s="978"/>
      <c r="EJ392" s="978"/>
      <c r="EK392" s="978"/>
      <c r="EL392" s="978"/>
      <c r="EM392" s="978"/>
      <c r="EN392" s="978"/>
      <c r="EO392" s="978"/>
      <c r="EP392" s="978"/>
      <c r="EQ392" s="978"/>
      <c r="ER392" s="978"/>
      <c r="ES392" s="978"/>
      <c r="ET392" s="978"/>
      <c r="EU392" s="978"/>
      <c r="EV392" s="978"/>
      <c r="EW392" s="978"/>
      <c r="EX392" s="978"/>
      <c r="EY392" s="978"/>
      <c r="EZ392" s="978"/>
      <c r="FA392" s="978"/>
      <c r="FB392" s="978"/>
      <c r="FC392" s="978"/>
      <c r="FD392" s="978"/>
      <c r="FE392" s="978"/>
      <c r="FF392" s="978"/>
      <c r="FG392" s="978"/>
      <c r="FH392" s="978"/>
      <c r="FI392" s="978"/>
      <c r="FJ392" s="978"/>
      <c r="FK392" s="978"/>
      <c r="FL392" s="978"/>
      <c r="FM392" s="978"/>
      <c r="FN392" s="978"/>
      <c r="FO392" s="978"/>
      <c r="FP392" s="978"/>
      <c r="FQ392" s="978"/>
      <c r="FR392" s="978"/>
      <c r="FS392" s="978"/>
      <c r="FT392" s="978"/>
      <c r="FU392" s="978"/>
      <c r="FV392" s="978"/>
      <c r="FW392" s="978"/>
      <c r="FX392" s="978"/>
      <c r="FY392" s="978"/>
      <c r="FZ392" s="978"/>
      <c r="GA392" s="978"/>
      <c r="GB392" s="978"/>
      <c r="GC392" s="978"/>
      <c r="GD392" s="978"/>
      <c r="GE392" s="978"/>
      <c r="GF392" s="978"/>
      <c r="GG392" s="978"/>
      <c r="GH392" s="978"/>
      <c r="GI392" s="978"/>
      <c r="GJ392" s="978"/>
      <c r="GK392" s="978"/>
      <c r="GL392" s="978"/>
      <c r="GM392" s="978"/>
      <c r="GN392" s="978"/>
      <c r="GO392" s="978"/>
      <c r="GP392" s="978"/>
      <c r="GQ392" s="978"/>
      <c r="GR392" s="978"/>
      <c r="GS392" s="978"/>
      <c r="GT392" s="978"/>
      <c r="GU392" s="978"/>
      <c r="GV392" s="978"/>
      <c r="GW392" s="978"/>
      <c r="GX392" s="978"/>
      <c r="GY392" s="978"/>
      <c r="GZ392" s="978"/>
      <c r="HA392" s="978"/>
      <c r="HB392" s="978"/>
      <c r="HC392" s="978"/>
      <c r="HD392" s="978"/>
      <c r="HE392" s="978"/>
      <c r="HF392" s="978"/>
      <c r="HG392" s="978"/>
      <c r="HH392" s="978"/>
      <c r="HI392" s="978"/>
      <c r="HJ392" s="978"/>
      <c r="HK392" s="978"/>
      <c r="HL392" s="978"/>
      <c r="HM392" s="978"/>
      <c r="HN392" s="978"/>
      <c r="HO392" s="978"/>
      <c r="HP392" s="978"/>
      <c r="HQ392" s="978"/>
      <c r="HR392" s="978"/>
      <c r="HS392" s="978"/>
      <c r="HT392" s="978"/>
      <c r="HU392" s="978"/>
      <c r="HV392" s="978"/>
      <c r="HW392" s="978"/>
      <c r="HX392" s="978"/>
      <c r="HY392" s="978"/>
      <c r="HZ392" s="978"/>
      <c r="IA392" s="978"/>
      <c r="IB392" s="978"/>
      <c r="IC392" s="978"/>
      <c r="ID392" s="978"/>
      <c r="IE392" s="978"/>
      <c r="IF392" s="978"/>
      <c r="IG392" s="978"/>
      <c r="IH392" s="978"/>
      <c r="II392" s="978"/>
      <c r="IJ392" s="978"/>
      <c r="IK392" s="978"/>
      <c r="IL392" s="978"/>
      <c r="IM392" s="978"/>
      <c r="IN392" s="978"/>
      <c r="IO392" s="978"/>
      <c r="IP392" s="978"/>
      <c r="IQ392" s="978"/>
      <c r="IR392" s="978"/>
      <c r="IS392" s="978"/>
      <c r="IT392" s="978"/>
      <c r="IU392" s="978"/>
      <c r="IV392" s="978"/>
      <c r="IW392" s="978"/>
      <c r="IX392" s="978"/>
      <c r="IY392" s="978"/>
      <c r="IZ392" s="978"/>
      <c r="JA392" s="978"/>
      <c r="JB392" s="978"/>
      <c r="JC392" s="978"/>
      <c r="JD392" s="978"/>
      <c r="JE392" s="978"/>
      <c r="JF392" s="978"/>
      <c r="JG392" s="978"/>
      <c r="JH392" s="978"/>
      <c r="JI392" s="978"/>
      <c r="JJ392" s="978"/>
      <c r="JK392" s="978"/>
      <c r="JL392" s="978"/>
      <c r="JM392" s="978"/>
      <c r="JN392" s="978"/>
      <c r="JO392" s="978"/>
      <c r="JP392" s="978"/>
      <c r="JQ392" s="978"/>
      <c r="JR392" s="978"/>
      <c r="JS392" s="978"/>
      <c r="JT392" s="978"/>
      <c r="JU392" s="978"/>
      <c r="JV392" s="978"/>
      <c r="JW392" s="978"/>
      <c r="JX392" s="978"/>
      <c r="JY392" s="978"/>
      <c r="JZ392" s="978"/>
      <c r="KA392" s="978"/>
      <c r="KB392" s="978"/>
      <c r="KC392" s="978"/>
      <c r="KD392" s="978"/>
      <c r="KE392" s="978"/>
      <c r="KF392" s="978"/>
      <c r="KG392" s="978"/>
      <c r="KH392" s="978"/>
      <c r="KI392" s="978"/>
      <c r="KJ392" s="978"/>
      <c r="KK392" s="978"/>
      <c r="KL392" s="978"/>
      <c r="KM392" s="978"/>
      <c r="KN392" s="978"/>
      <c r="KO392" s="978"/>
      <c r="KP392" s="978"/>
      <c r="KQ392" s="978"/>
      <c r="KR392" s="978"/>
      <c r="KS392" s="978"/>
      <c r="KT392" s="978"/>
      <c r="KU392" s="978"/>
      <c r="KV392" s="978"/>
      <c r="KW392" s="978"/>
      <c r="KX392" s="978"/>
      <c r="KY392" s="978"/>
      <c r="KZ392" s="978"/>
      <c r="LA392" s="978"/>
      <c r="LB392" s="978"/>
      <c r="LC392" s="978"/>
      <c r="LD392" s="978"/>
      <c r="LE392" s="978"/>
      <c r="LF392" s="978"/>
      <c r="LG392" s="978"/>
      <c r="LH392" s="978"/>
      <c r="LI392" s="978"/>
      <c r="LJ392" s="978"/>
      <c r="LK392" s="978"/>
      <c r="LL392" s="978"/>
      <c r="LM392" s="978"/>
      <c r="LN392" s="978"/>
      <c r="LO392" s="978"/>
      <c r="LP392" s="978"/>
      <c r="LQ392" s="978"/>
      <c r="LR392" s="978"/>
      <c r="LS392" s="978"/>
      <c r="LT392" s="978"/>
      <c r="LU392" s="978"/>
      <c r="LV392" s="978"/>
      <c r="LW392" s="978"/>
      <c r="LX392" s="978"/>
      <c r="LY392" s="978"/>
      <c r="LZ392" s="978"/>
      <c r="MA392" s="978"/>
      <c r="MB392" s="978"/>
      <c r="MC392" s="978"/>
      <c r="MD392" s="978"/>
      <c r="ME392" s="978"/>
      <c r="MF392" s="978"/>
      <c r="MG392" s="978"/>
      <c r="MH392" s="978"/>
      <c r="MI392" s="978"/>
      <c r="MJ392" s="978"/>
      <c r="MK392" s="978"/>
      <c r="ML392" s="978"/>
      <c r="MM392" s="978"/>
      <c r="MN392" s="978"/>
      <c r="MO392" s="978"/>
      <c r="MP392" s="978"/>
      <c r="MQ392" s="978"/>
      <c r="MR392" s="978"/>
      <c r="MS392" s="978"/>
      <c r="MT392" s="978"/>
      <c r="MU392" s="978"/>
      <c r="MV392" s="978"/>
      <c r="MW392" s="978"/>
      <c r="MX392" s="978"/>
      <c r="MY392" s="978"/>
      <c r="MZ392" s="978"/>
      <c r="NA392" s="978"/>
      <c r="NB392" s="978"/>
      <c r="NC392" s="978"/>
      <c r="ND392" s="978"/>
      <c r="NE392" s="978"/>
      <c r="NF392" s="978"/>
      <c r="NG392" s="978"/>
      <c r="NH392" s="978"/>
      <c r="NI392" s="978"/>
      <c r="NJ392" s="978"/>
      <c r="NK392" s="978"/>
      <c r="NL392" s="978"/>
      <c r="NM392" s="978"/>
      <c r="NN392" s="978"/>
      <c r="NO392" s="978"/>
      <c r="NP392" s="978"/>
      <c r="NQ392" s="978"/>
      <c r="NR392" s="978"/>
      <c r="NS392" s="978"/>
      <c r="NT392" s="978"/>
      <c r="NU392" s="978"/>
      <c r="NV392" s="978"/>
      <c r="NW392" s="978"/>
      <c r="NX392" s="978"/>
      <c r="NY392" s="978"/>
      <c r="NZ392" s="978"/>
      <c r="OA392" s="978"/>
      <c r="OB392" s="978"/>
      <c r="OC392" s="978"/>
      <c r="OD392" s="978"/>
      <c r="OE392" s="978"/>
      <c r="OF392" s="978"/>
      <c r="OG392" s="978"/>
      <c r="OH392" s="978"/>
      <c r="OI392" s="978"/>
      <c r="OJ392" s="978"/>
      <c r="OK392" s="978"/>
      <c r="OL392" s="978"/>
      <c r="OM392" s="978"/>
      <c r="ON392" s="978"/>
      <c r="OO392" s="978"/>
      <c r="OP392" s="978"/>
      <c r="OQ392" s="978"/>
      <c r="OR392" s="978"/>
      <c r="OS392" s="978"/>
      <c r="OT392" s="978"/>
      <c r="OU392" s="978"/>
      <c r="OV392" s="978"/>
      <c r="OW392" s="978"/>
      <c r="OX392" s="978"/>
      <c r="OY392" s="978"/>
      <c r="OZ392" s="978"/>
      <c r="PA392" s="978"/>
      <c r="PB392" s="978"/>
      <c r="PC392" s="978"/>
      <c r="PD392" s="978"/>
      <c r="PE392" s="978"/>
      <c r="PF392" s="978"/>
      <c r="PG392" s="978"/>
      <c r="PH392" s="978"/>
      <c r="PI392" s="978"/>
      <c r="PJ392" s="978"/>
      <c r="PK392" s="978"/>
      <c r="PL392" s="978"/>
      <c r="PM392" s="978"/>
      <c r="PN392" s="978"/>
      <c r="PO392" s="978"/>
      <c r="PP392" s="978"/>
      <c r="PQ392" s="978"/>
      <c r="PR392" s="978"/>
      <c r="PS392" s="978"/>
      <c r="PT392" s="978"/>
      <c r="PU392" s="978"/>
      <c r="PV392" s="978"/>
      <c r="PW392" s="978"/>
      <c r="PX392" s="978"/>
      <c r="PY392" s="978"/>
      <c r="PZ392" s="978"/>
      <c r="QA392" s="978"/>
      <c r="QB392" s="978"/>
      <c r="QC392" s="978"/>
      <c r="QD392" s="978"/>
      <c r="QE392" s="978"/>
      <c r="QF392" s="978"/>
      <c r="QG392" s="978"/>
      <c r="QH392" s="978"/>
      <c r="QI392" s="978"/>
      <c r="QJ392" s="978"/>
      <c r="QK392" s="978"/>
      <c r="QL392" s="978"/>
      <c r="QM392" s="978"/>
      <c r="QN392" s="978"/>
      <c r="QO392" s="978"/>
      <c r="QP392" s="978"/>
      <c r="QQ392" s="978"/>
      <c r="QR392" s="978"/>
      <c r="QS392" s="978"/>
      <c r="QT392" s="978"/>
      <c r="QU392" s="978"/>
      <c r="QV392" s="978"/>
      <c r="QW392" s="978"/>
      <c r="QX392" s="978"/>
      <c r="QY392" s="978"/>
      <c r="QZ392" s="978"/>
      <c r="RA392" s="978"/>
      <c r="RB392" s="274"/>
      <c r="RC392" s="274"/>
    </row>
    <row r="393" spans="112:471" ht="17.25">
      <c r="DH393" s="274"/>
      <c r="DI393" s="274"/>
      <c r="DJ393" s="978"/>
      <c r="DK393" s="978"/>
      <c r="DL393" s="978"/>
      <c r="DM393" s="978"/>
      <c r="DN393" s="978"/>
      <c r="DO393" s="978"/>
      <c r="DP393" s="978"/>
      <c r="DQ393" s="978"/>
      <c r="DR393" s="978"/>
      <c r="DS393" s="978"/>
      <c r="DT393" s="978"/>
      <c r="DU393" s="978"/>
      <c r="DV393" s="978"/>
      <c r="DW393" s="978"/>
      <c r="DX393" s="978"/>
      <c r="DY393" s="978"/>
      <c r="DZ393" s="978"/>
      <c r="EA393" s="978"/>
      <c r="EB393" s="978"/>
      <c r="EC393" s="978"/>
      <c r="ED393" s="978"/>
      <c r="EE393" s="978"/>
      <c r="EF393" s="978"/>
      <c r="EG393" s="978"/>
      <c r="EH393" s="978"/>
      <c r="EI393" s="978"/>
      <c r="EJ393" s="978"/>
      <c r="EK393" s="978"/>
      <c r="EL393" s="978"/>
      <c r="EM393" s="978"/>
      <c r="EN393" s="978"/>
      <c r="EO393" s="978"/>
      <c r="EP393" s="978"/>
      <c r="EQ393" s="978"/>
      <c r="ER393" s="978"/>
      <c r="ES393" s="978"/>
      <c r="ET393" s="978"/>
      <c r="EU393" s="978"/>
      <c r="EV393" s="978"/>
      <c r="EW393" s="978"/>
      <c r="EX393" s="978"/>
      <c r="EY393" s="978"/>
      <c r="EZ393" s="978"/>
      <c r="FA393" s="978"/>
      <c r="FB393" s="978"/>
      <c r="FC393" s="978"/>
      <c r="FD393" s="978"/>
      <c r="FE393" s="978"/>
      <c r="FF393" s="978"/>
      <c r="FG393" s="978"/>
      <c r="FH393" s="978"/>
      <c r="FI393" s="978"/>
      <c r="FJ393" s="978"/>
      <c r="FK393" s="978"/>
      <c r="FL393" s="978"/>
      <c r="FM393" s="978"/>
      <c r="FN393" s="978"/>
      <c r="FO393" s="978"/>
      <c r="FP393" s="978"/>
      <c r="FQ393" s="978"/>
      <c r="FR393" s="978"/>
      <c r="FS393" s="978"/>
      <c r="FT393" s="978"/>
      <c r="FU393" s="978"/>
      <c r="FV393" s="978"/>
      <c r="FW393" s="978"/>
      <c r="FX393" s="978"/>
      <c r="FY393" s="978"/>
      <c r="FZ393" s="978"/>
      <c r="GA393" s="978"/>
      <c r="GB393" s="978"/>
      <c r="GC393" s="978"/>
      <c r="GD393" s="978"/>
      <c r="GE393" s="978"/>
      <c r="GF393" s="978"/>
      <c r="GG393" s="978"/>
      <c r="GH393" s="978"/>
      <c r="GI393" s="978"/>
      <c r="GJ393" s="978"/>
      <c r="GK393" s="978"/>
      <c r="GL393" s="978"/>
      <c r="GM393" s="978"/>
      <c r="GN393" s="978"/>
      <c r="GO393" s="978"/>
      <c r="GP393" s="978"/>
      <c r="GQ393" s="978"/>
      <c r="GR393" s="978"/>
      <c r="GS393" s="978"/>
      <c r="GT393" s="978"/>
      <c r="GU393" s="978"/>
      <c r="GV393" s="978"/>
      <c r="GW393" s="978"/>
      <c r="GX393" s="978"/>
      <c r="GY393" s="978"/>
      <c r="GZ393" s="978"/>
      <c r="HA393" s="978"/>
      <c r="HB393" s="978"/>
      <c r="HC393" s="978"/>
      <c r="HD393" s="978"/>
      <c r="HE393" s="978"/>
      <c r="HF393" s="978"/>
      <c r="HG393" s="978"/>
      <c r="HH393" s="978"/>
      <c r="HI393" s="978"/>
      <c r="HJ393" s="978"/>
      <c r="HK393" s="978"/>
      <c r="HL393" s="978"/>
      <c r="HM393" s="978"/>
      <c r="HN393" s="978"/>
      <c r="HO393" s="978"/>
      <c r="HP393" s="978"/>
      <c r="HQ393" s="978"/>
      <c r="HR393" s="978"/>
      <c r="HS393" s="978"/>
      <c r="HT393" s="978"/>
      <c r="HU393" s="978"/>
      <c r="HV393" s="978"/>
      <c r="HW393" s="978"/>
      <c r="HX393" s="978"/>
      <c r="HY393" s="978"/>
      <c r="HZ393" s="978"/>
      <c r="IA393" s="978"/>
      <c r="IB393" s="978"/>
      <c r="IC393" s="978"/>
      <c r="ID393" s="978"/>
      <c r="IE393" s="978"/>
      <c r="IF393" s="978"/>
      <c r="IG393" s="978"/>
      <c r="IH393" s="978"/>
      <c r="II393" s="978"/>
      <c r="IJ393" s="978"/>
      <c r="IK393" s="978"/>
      <c r="IL393" s="978"/>
      <c r="IM393" s="978"/>
      <c r="IN393" s="978"/>
      <c r="IO393" s="978"/>
      <c r="IP393" s="978"/>
      <c r="IQ393" s="978"/>
      <c r="IR393" s="978"/>
      <c r="IS393" s="978"/>
      <c r="IT393" s="978"/>
      <c r="IU393" s="978"/>
      <c r="IV393" s="978"/>
      <c r="IW393" s="978"/>
      <c r="IX393" s="978"/>
      <c r="IY393" s="978"/>
      <c r="IZ393" s="978"/>
      <c r="JA393" s="978"/>
      <c r="JB393" s="978"/>
      <c r="JC393" s="978"/>
      <c r="JD393" s="978"/>
      <c r="JE393" s="978"/>
      <c r="JF393" s="978"/>
      <c r="JG393" s="978"/>
      <c r="JH393" s="978"/>
      <c r="JI393" s="978"/>
      <c r="JJ393" s="978"/>
      <c r="JK393" s="978"/>
      <c r="JL393" s="978"/>
      <c r="JM393" s="978"/>
      <c r="JN393" s="978"/>
      <c r="JO393" s="978"/>
      <c r="JP393" s="978"/>
      <c r="JQ393" s="978"/>
      <c r="JR393" s="978"/>
      <c r="JS393" s="978"/>
      <c r="JT393" s="978"/>
      <c r="JU393" s="978"/>
      <c r="JV393" s="978"/>
      <c r="JW393" s="978"/>
      <c r="JX393" s="978"/>
      <c r="JY393" s="978"/>
      <c r="JZ393" s="978"/>
      <c r="KA393" s="978"/>
      <c r="KB393" s="978"/>
      <c r="KC393" s="978"/>
      <c r="KD393" s="978"/>
      <c r="KE393" s="978"/>
      <c r="KF393" s="978"/>
      <c r="KG393" s="978"/>
      <c r="KH393" s="978"/>
      <c r="KI393" s="978"/>
      <c r="KJ393" s="978"/>
      <c r="KK393" s="978"/>
      <c r="KL393" s="978"/>
      <c r="KM393" s="978"/>
      <c r="KN393" s="978"/>
      <c r="KO393" s="978"/>
      <c r="KP393" s="978"/>
      <c r="KQ393" s="978"/>
      <c r="KR393" s="978"/>
      <c r="KS393" s="978"/>
      <c r="KT393" s="978"/>
      <c r="KU393" s="978"/>
      <c r="KV393" s="978"/>
      <c r="KW393" s="978"/>
      <c r="KX393" s="978"/>
      <c r="KY393" s="978"/>
      <c r="KZ393" s="978"/>
      <c r="LA393" s="978"/>
      <c r="LB393" s="978"/>
      <c r="LC393" s="978"/>
      <c r="LD393" s="978"/>
      <c r="LE393" s="978"/>
      <c r="LF393" s="978"/>
      <c r="LG393" s="978"/>
      <c r="LH393" s="978"/>
      <c r="LI393" s="978"/>
      <c r="LJ393" s="978"/>
      <c r="LK393" s="978"/>
      <c r="LL393" s="978"/>
      <c r="LM393" s="978"/>
      <c r="LN393" s="978"/>
      <c r="LO393" s="978"/>
      <c r="LP393" s="978"/>
      <c r="LQ393" s="978"/>
      <c r="LR393" s="978"/>
      <c r="LS393" s="978"/>
      <c r="LT393" s="978"/>
      <c r="LU393" s="978"/>
      <c r="LV393" s="978"/>
      <c r="LW393" s="978"/>
      <c r="LX393" s="978"/>
      <c r="LY393" s="978"/>
      <c r="LZ393" s="978"/>
      <c r="MA393" s="978"/>
      <c r="MB393" s="978"/>
      <c r="MC393" s="978"/>
      <c r="MD393" s="978"/>
      <c r="ME393" s="978"/>
      <c r="MF393" s="978"/>
      <c r="MG393" s="978"/>
      <c r="MH393" s="978"/>
      <c r="MI393" s="978"/>
      <c r="MJ393" s="978"/>
      <c r="MK393" s="978"/>
      <c r="ML393" s="978"/>
      <c r="MM393" s="978"/>
      <c r="MN393" s="978"/>
      <c r="MO393" s="978"/>
      <c r="MP393" s="978"/>
      <c r="MQ393" s="978"/>
      <c r="MR393" s="978"/>
      <c r="MS393" s="978"/>
      <c r="MT393" s="978"/>
      <c r="MU393" s="978"/>
      <c r="MV393" s="978"/>
      <c r="MW393" s="978"/>
      <c r="MX393" s="978"/>
      <c r="MY393" s="978"/>
      <c r="MZ393" s="978"/>
      <c r="NA393" s="978"/>
      <c r="NB393" s="978"/>
      <c r="NC393" s="978"/>
      <c r="ND393" s="978"/>
      <c r="NE393" s="978"/>
      <c r="NF393" s="978"/>
      <c r="NG393" s="978"/>
      <c r="NH393" s="978"/>
      <c r="NI393" s="978"/>
      <c r="NJ393" s="978"/>
      <c r="NK393" s="978"/>
      <c r="NL393" s="978"/>
      <c r="NM393" s="978"/>
      <c r="NN393" s="978"/>
      <c r="NO393" s="978"/>
      <c r="NP393" s="978"/>
      <c r="NQ393" s="978"/>
      <c r="NR393" s="978"/>
      <c r="NS393" s="978"/>
      <c r="NT393" s="978"/>
      <c r="NU393" s="978"/>
      <c r="NV393" s="978"/>
      <c r="NW393" s="978"/>
      <c r="NX393" s="978"/>
      <c r="NY393" s="978"/>
      <c r="NZ393" s="978"/>
      <c r="OA393" s="978"/>
      <c r="OB393" s="978"/>
      <c r="OC393" s="978"/>
      <c r="OD393" s="978"/>
      <c r="OE393" s="978"/>
      <c r="OF393" s="978"/>
      <c r="OG393" s="978"/>
      <c r="OH393" s="978"/>
      <c r="OI393" s="978"/>
      <c r="OJ393" s="978"/>
      <c r="OK393" s="978"/>
      <c r="OL393" s="978"/>
      <c r="OM393" s="978"/>
      <c r="ON393" s="978"/>
      <c r="OO393" s="978"/>
      <c r="OP393" s="978"/>
      <c r="OQ393" s="978"/>
      <c r="OR393" s="978"/>
      <c r="OS393" s="978"/>
      <c r="OT393" s="978"/>
      <c r="OU393" s="978"/>
      <c r="OV393" s="978"/>
      <c r="OW393" s="978"/>
      <c r="OX393" s="978"/>
      <c r="OY393" s="978"/>
      <c r="OZ393" s="978"/>
      <c r="PA393" s="978"/>
      <c r="PB393" s="978"/>
      <c r="PC393" s="978"/>
      <c r="PD393" s="978"/>
      <c r="PE393" s="978"/>
      <c r="PF393" s="978"/>
      <c r="PG393" s="978"/>
      <c r="PH393" s="978"/>
      <c r="PI393" s="978"/>
      <c r="PJ393" s="978"/>
      <c r="PK393" s="978"/>
      <c r="PL393" s="978"/>
      <c r="PM393" s="978"/>
      <c r="PN393" s="978"/>
      <c r="PO393" s="978"/>
      <c r="PP393" s="978"/>
      <c r="PQ393" s="978"/>
      <c r="PR393" s="978"/>
      <c r="PS393" s="978"/>
      <c r="PT393" s="978"/>
      <c r="PU393" s="978"/>
      <c r="PV393" s="978"/>
      <c r="PW393" s="978"/>
      <c r="PX393" s="978"/>
      <c r="PY393" s="978"/>
      <c r="PZ393" s="978"/>
      <c r="QA393" s="978"/>
      <c r="QB393" s="978"/>
      <c r="QC393" s="978"/>
      <c r="QD393" s="978"/>
      <c r="QE393" s="978"/>
      <c r="QF393" s="978"/>
      <c r="QG393" s="978"/>
      <c r="QH393" s="978"/>
      <c r="QI393" s="978"/>
      <c r="QJ393" s="978"/>
      <c r="QK393" s="978"/>
      <c r="QL393" s="978"/>
      <c r="QM393" s="978"/>
      <c r="QN393" s="978"/>
      <c r="QO393" s="978"/>
      <c r="QP393" s="978"/>
      <c r="QQ393" s="978"/>
      <c r="QR393" s="978"/>
      <c r="QS393" s="978"/>
      <c r="QT393" s="978"/>
      <c r="QU393" s="978"/>
      <c r="QV393" s="978"/>
      <c r="QW393" s="978"/>
      <c r="QX393" s="978"/>
      <c r="QY393" s="978"/>
      <c r="QZ393" s="978"/>
      <c r="RA393" s="978"/>
      <c r="RB393" s="274"/>
      <c r="RC393" s="274"/>
    </row>
    <row r="394" spans="112:471" ht="17.25">
      <c r="DH394" s="274"/>
      <c r="DI394" s="274"/>
      <c r="DJ394" s="978"/>
      <c r="DK394" s="978"/>
      <c r="DL394" s="978"/>
      <c r="DM394" s="978"/>
      <c r="DN394" s="978"/>
      <c r="DO394" s="978"/>
      <c r="DP394" s="978"/>
      <c r="DQ394" s="978"/>
      <c r="DR394" s="978"/>
      <c r="DS394" s="978"/>
      <c r="DT394" s="978"/>
      <c r="DU394" s="978"/>
      <c r="DV394" s="978"/>
      <c r="DW394" s="978"/>
      <c r="DX394" s="978"/>
      <c r="DY394" s="978"/>
      <c r="DZ394" s="978"/>
      <c r="EA394" s="978"/>
      <c r="EB394" s="978"/>
      <c r="EC394" s="978"/>
      <c r="ED394" s="978"/>
      <c r="EE394" s="978"/>
      <c r="EF394" s="978"/>
      <c r="EG394" s="978"/>
      <c r="EH394" s="978"/>
      <c r="EI394" s="978"/>
      <c r="EJ394" s="978"/>
      <c r="EK394" s="978"/>
      <c r="EL394" s="978"/>
      <c r="EM394" s="978"/>
      <c r="EN394" s="978"/>
      <c r="EO394" s="978"/>
      <c r="EP394" s="978"/>
      <c r="EQ394" s="978"/>
      <c r="ER394" s="978"/>
      <c r="ES394" s="978"/>
      <c r="ET394" s="978"/>
      <c r="EU394" s="978"/>
      <c r="EV394" s="978"/>
      <c r="EW394" s="978"/>
      <c r="EX394" s="978"/>
      <c r="EY394" s="978"/>
      <c r="EZ394" s="978"/>
      <c r="FA394" s="978"/>
      <c r="FB394" s="978"/>
      <c r="FC394" s="978"/>
      <c r="FD394" s="978"/>
      <c r="FE394" s="978"/>
      <c r="FF394" s="978"/>
      <c r="FG394" s="978"/>
      <c r="FH394" s="978"/>
      <c r="FI394" s="978"/>
      <c r="FJ394" s="978"/>
      <c r="FK394" s="978"/>
      <c r="FL394" s="978"/>
      <c r="FM394" s="978"/>
      <c r="FN394" s="978"/>
      <c r="FO394" s="978"/>
      <c r="FP394" s="978"/>
      <c r="FQ394" s="978"/>
      <c r="FR394" s="978"/>
      <c r="FS394" s="978"/>
      <c r="FT394" s="978"/>
      <c r="FU394" s="978"/>
      <c r="FV394" s="978"/>
      <c r="FW394" s="978"/>
      <c r="FX394" s="978"/>
      <c r="FY394" s="978"/>
      <c r="FZ394" s="978"/>
      <c r="GA394" s="978"/>
      <c r="GB394" s="978"/>
      <c r="GC394" s="978"/>
      <c r="GD394" s="978"/>
      <c r="GE394" s="978"/>
      <c r="GF394" s="978"/>
      <c r="GG394" s="978"/>
      <c r="GH394" s="978"/>
      <c r="GI394" s="978"/>
      <c r="GJ394" s="978"/>
      <c r="GK394" s="978"/>
      <c r="GL394" s="978"/>
      <c r="GM394" s="978"/>
      <c r="GN394" s="978"/>
      <c r="GO394" s="978"/>
      <c r="GP394" s="978"/>
      <c r="GQ394" s="978"/>
      <c r="GR394" s="978"/>
      <c r="GS394" s="978"/>
      <c r="GT394" s="978"/>
      <c r="GU394" s="978"/>
      <c r="GV394" s="978"/>
      <c r="GW394" s="978"/>
      <c r="GX394" s="978"/>
      <c r="GY394" s="978"/>
      <c r="GZ394" s="978"/>
      <c r="HA394" s="978"/>
      <c r="HB394" s="978"/>
      <c r="HC394" s="978"/>
      <c r="HD394" s="978"/>
      <c r="HE394" s="978"/>
      <c r="HF394" s="978"/>
      <c r="HG394" s="978"/>
      <c r="HH394" s="978"/>
      <c r="HI394" s="978"/>
      <c r="HJ394" s="978"/>
      <c r="HK394" s="978"/>
      <c r="HL394" s="978"/>
      <c r="HM394" s="978"/>
      <c r="HN394" s="978"/>
      <c r="HO394" s="978"/>
      <c r="HP394" s="978"/>
      <c r="HQ394" s="978"/>
      <c r="HR394" s="978"/>
      <c r="HS394" s="978"/>
      <c r="HT394" s="978"/>
      <c r="HU394" s="978"/>
      <c r="HV394" s="978"/>
      <c r="HW394" s="978"/>
      <c r="HX394" s="978"/>
      <c r="HY394" s="978"/>
      <c r="HZ394" s="978"/>
      <c r="IA394" s="978"/>
      <c r="IB394" s="978"/>
      <c r="IC394" s="978"/>
      <c r="ID394" s="978"/>
      <c r="IE394" s="978"/>
      <c r="IF394" s="978"/>
      <c r="IG394" s="978"/>
      <c r="IH394" s="978"/>
      <c r="II394" s="978"/>
      <c r="IJ394" s="978"/>
      <c r="IK394" s="978"/>
      <c r="IL394" s="978"/>
      <c r="IM394" s="978"/>
      <c r="IN394" s="978"/>
      <c r="IO394" s="978"/>
      <c r="IP394" s="978"/>
      <c r="IQ394" s="978"/>
      <c r="IR394" s="978"/>
      <c r="IS394" s="978"/>
      <c r="IT394" s="978"/>
      <c r="IU394" s="978"/>
      <c r="IV394" s="978"/>
      <c r="IW394" s="978"/>
      <c r="IX394" s="978"/>
      <c r="IY394" s="978"/>
      <c r="IZ394" s="978"/>
      <c r="JA394" s="978"/>
      <c r="JB394" s="978"/>
      <c r="JC394" s="978"/>
      <c r="JD394" s="978"/>
      <c r="JE394" s="978"/>
      <c r="JF394" s="978"/>
      <c r="JG394" s="978"/>
      <c r="JH394" s="978"/>
      <c r="JI394" s="978"/>
      <c r="JJ394" s="978"/>
      <c r="JK394" s="978"/>
      <c r="JL394" s="978"/>
      <c r="JM394" s="978"/>
      <c r="JN394" s="978"/>
      <c r="JO394" s="978"/>
      <c r="JP394" s="978"/>
      <c r="JQ394" s="978"/>
      <c r="JR394" s="978"/>
      <c r="JS394" s="978"/>
      <c r="JT394" s="978"/>
      <c r="JU394" s="978"/>
      <c r="JV394" s="978"/>
      <c r="JW394" s="978"/>
      <c r="JX394" s="978"/>
      <c r="JY394" s="978"/>
      <c r="JZ394" s="978"/>
      <c r="KA394" s="978"/>
      <c r="KB394" s="978"/>
      <c r="KC394" s="978"/>
      <c r="KD394" s="978"/>
      <c r="KE394" s="978"/>
      <c r="KF394" s="978"/>
      <c r="KG394" s="978"/>
      <c r="KH394" s="978"/>
      <c r="KI394" s="978"/>
      <c r="KJ394" s="978"/>
      <c r="KK394" s="978"/>
      <c r="KL394" s="978"/>
      <c r="KM394" s="978"/>
      <c r="KN394" s="978"/>
      <c r="KO394" s="978"/>
      <c r="KP394" s="978"/>
      <c r="KQ394" s="978"/>
      <c r="KR394" s="978"/>
      <c r="KS394" s="978"/>
      <c r="KT394" s="978"/>
      <c r="KU394" s="978"/>
      <c r="KV394" s="978"/>
      <c r="KW394" s="978"/>
      <c r="KX394" s="978"/>
      <c r="KY394" s="978"/>
      <c r="KZ394" s="978"/>
      <c r="LA394" s="978"/>
      <c r="LB394" s="978"/>
      <c r="LC394" s="978"/>
      <c r="LD394" s="978"/>
      <c r="LE394" s="978"/>
      <c r="LF394" s="978"/>
      <c r="LG394" s="978"/>
      <c r="LH394" s="978"/>
      <c r="LI394" s="978"/>
      <c r="LJ394" s="978"/>
      <c r="LK394" s="978"/>
      <c r="LL394" s="978"/>
      <c r="LM394" s="978"/>
      <c r="LN394" s="978"/>
      <c r="LO394" s="978"/>
      <c r="LP394" s="978"/>
      <c r="LQ394" s="978"/>
      <c r="LR394" s="978"/>
      <c r="LS394" s="978"/>
      <c r="LT394" s="978"/>
      <c r="LU394" s="978"/>
      <c r="LV394" s="978"/>
      <c r="LW394" s="978"/>
      <c r="LX394" s="978"/>
      <c r="LY394" s="978"/>
      <c r="LZ394" s="978"/>
      <c r="MA394" s="978"/>
      <c r="MB394" s="978"/>
      <c r="MC394" s="978"/>
      <c r="MD394" s="978"/>
      <c r="ME394" s="978"/>
      <c r="MF394" s="978"/>
      <c r="MG394" s="978"/>
      <c r="MH394" s="978"/>
      <c r="MI394" s="978"/>
      <c r="MJ394" s="978"/>
      <c r="MK394" s="978"/>
      <c r="ML394" s="978"/>
      <c r="MM394" s="978"/>
      <c r="MN394" s="978"/>
      <c r="MO394" s="978"/>
      <c r="MP394" s="978"/>
      <c r="MQ394" s="978"/>
      <c r="MR394" s="978"/>
      <c r="MS394" s="978"/>
      <c r="MT394" s="978"/>
      <c r="MU394" s="978"/>
      <c r="MV394" s="978"/>
      <c r="MW394" s="978"/>
      <c r="MX394" s="978"/>
      <c r="MY394" s="978"/>
      <c r="MZ394" s="978"/>
      <c r="NA394" s="978"/>
      <c r="NB394" s="978"/>
      <c r="NC394" s="978"/>
      <c r="ND394" s="978"/>
      <c r="NE394" s="978"/>
      <c r="NF394" s="978"/>
      <c r="NG394" s="978"/>
      <c r="NH394" s="978"/>
      <c r="NI394" s="978"/>
      <c r="NJ394" s="978"/>
      <c r="NK394" s="978"/>
      <c r="NL394" s="978"/>
      <c r="NM394" s="978"/>
      <c r="NN394" s="978"/>
      <c r="NO394" s="978"/>
      <c r="NP394" s="978"/>
      <c r="NQ394" s="978"/>
      <c r="NR394" s="978"/>
      <c r="NS394" s="978"/>
      <c r="NT394" s="978"/>
      <c r="NU394" s="978"/>
      <c r="NV394" s="978"/>
      <c r="NW394" s="978"/>
      <c r="NX394" s="978"/>
      <c r="NY394" s="978"/>
      <c r="NZ394" s="978"/>
      <c r="OA394" s="978"/>
      <c r="OB394" s="978"/>
      <c r="OC394" s="978"/>
      <c r="OD394" s="978"/>
      <c r="OE394" s="978"/>
      <c r="OF394" s="978"/>
      <c r="OG394" s="978"/>
      <c r="OH394" s="978"/>
      <c r="OI394" s="978"/>
      <c r="OJ394" s="978"/>
      <c r="OK394" s="978"/>
      <c r="OL394" s="978"/>
      <c r="OM394" s="978"/>
      <c r="ON394" s="978"/>
      <c r="OO394" s="978"/>
      <c r="OP394" s="978"/>
      <c r="OQ394" s="978"/>
      <c r="OR394" s="978"/>
      <c r="OS394" s="978"/>
      <c r="OT394" s="978"/>
      <c r="OU394" s="978"/>
      <c r="OV394" s="978"/>
      <c r="OW394" s="978"/>
      <c r="OX394" s="978"/>
      <c r="OY394" s="978"/>
      <c r="OZ394" s="978"/>
      <c r="PA394" s="978"/>
      <c r="PB394" s="978"/>
      <c r="PC394" s="978"/>
      <c r="PD394" s="978"/>
      <c r="PE394" s="978"/>
      <c r="PF394" s="978"/>
      <c r="PG394" s="978"/>
      <c r="PH394" s="978"/>
      <c r="PI394" s="978"/>
      <c r="PJ394" s="978"/>
      <c r="PK394" s="978"/>
      <c r="PL394" s="978"/>
      <c r="PM394" s="978"/>
      <c r="PN394" s="978"/>
      <c r="PO394" s="978"/>
      <c r="PP394" s="978"/>
      <c r="PQ394" s="978"/>
      <c r="PR394" s="978"/>
      <c r="PS394" s="978"/>
      <c r="PT394" s="978"/>
      <c r="PU394" s="978"/>
      <c r="PV394" s="978"/>
      <c r="PW394" s="978"/>
      <c r="PX394" s="978"/>
      <c r="PY394" s="978"/>
      <c r="PZ394" s="978"/>
      <c r="QA394" s="978"/>
      <c r="QB394" s="978"/>
      <c r="QC394" s="978"/>
      <c r="QD394" s="978"/>
      <c r="QE394" s="978"/>
      <c r="QF394" s="978"/>
      <c r="QG394" s="978"/>
      <c r="QH394" s="978"/>
      <c r="QI394" s="978"/>
      <c r="QJ394" s="978"/>
      <c r="QK394" s="978"/>
      <c r="QL394" s="978"/>
      <c r="QM394" s="978"/>
      <c r="QN394" s="978"/>
      <c r="QO394" s="978"/>
      <c r="QP394" s="978"/>
      <c r="QQ394" s="978"/>
      <c r="QR394" s="978"/>
      <c r="QS394" s="978"/>
      <c r="QT394" s="978"/>
      <c r="QU394" s="978"/>
      <c r="QV394" s="978"/>
      <c r="QW394" s="978"/>
      <c r="QX394" s="978"/>
      <c r="QY394" s="978"/>
      <c r="QZ394" s="978"/>
      <c r="RA394" s="978"/>
      <c r="RB394" s="274"/>
      <c r="RC394" s="274"/>
    </row>
    <row r="395" spans="112:471">
      <c r="DH395" s="274"/>
      <c r="DI395" s="274"/>
      <c r="DJ395" s="274"/>
      <c r="DK395" s="274"/>
      <c r="DL395" s="274"/>
      <c r="DM395" s="274"/>
      <c r="DN395" s="274"/>
      <c r="DO395" s="274"/>
      <c r="DP395" s="274"/>
      <c r="DQ395" s="274"/>
      <c r="DR395" s="274"/>
      <c r="DS395" s="274"/>
      <c r="DT395" s="274"/>
      <c r="DU395" s="274"/>
      <c r="DV395" s="274"/>
      <c r="DW395" s="274"/>
      <c r="DX395" s="274"/>
      <c r="DY395" s="274"/>
      <c r="DZ395" s="274"/>
      <c r="EA395" s="274"/>
      <c r="EB395" s="274"/>
      <c r="EC395" s="274"/>
      <c r="ED395" s="274"/>
      <c r="EE395" s="274"/>
      <c r="EF395" s="274"/>
      <c r="EG395" s="274"/>
      <c r="EH395" s="274"/>
      <c r="EI395" s="274"/>
      <c r="EJ395" s="274"/>
      <c r="EK395" s="274"/>
      <c r="EL395" s="274"/>
      <c r="EM395" s="274"/>
      <c r="EN395" s="274"/>
      <c r="EO395" s="274"/>
      <c r="EP395" s="274"/>
      <c r="EQ395" s="274"/>
      <c r="ER395" s="274"/>
      <c r="ES395" s="274"/>
      <c r="ET395" s="274"/>
      <c r="EU395" s="274"/>
      <c r="EV395" s="274"/>
      <c r="EW395" s="274"/>
      <c r="EX395" s="274"/>
      <c r="EY395" s="274"/>
      <c r="EZ395" s="274"/>
      <c r="FA395" s="274"/>
      <c r="FB395" s="274"/>
      <c r="FC395" s="274"/>
      <c r="FD395" s="274"/>
      <c r="FE395" s="274"/>
      <c r="FF395" s="274"/>
      <c r="FG395" s="274"/>
      <c r="FH395" s="274"/>
      <c r="FI395" s="274"/>
      <c r="FJ395" s="274"/>
      <c r="FK395" s="274"/>
      <c r="FL395" s="274"/>
      <c r="FM395" s="274"/>
      <c r="FN395" s="274"/>
      <c r="FO395" s="274"/>
      <c r="FP395" s="274"/>
      <c r="FQ395" s="274"/>
      <c r="FR395" s="274"/>
      <c r="FS395" s="274"/>
      <c r="FT395" s="274"/>
      <c r="FU395" s="274"/>
      <c r="FV395" s="274"/>
      <c r="FW395" s="274"/>
      <c r="FX395" s="274"/>
      <c r="FY395" s="274"/>
      <c r="FZ395" s="274"/>
      <c r="GA395" s="274"/>
      <c r="GB395" s="274"/>
      <c r="GC395" s="274"/>
      <c r="GD395" s="274"/>
      <c r="GE395" s="274"/>
      <c r="GF395" s="274"/>
      <c r="GG395" s="274"/>
      <c r="GH395" s="274"/>
      <c r="GI395" s="274"/>
      <c r="GJ395" s="274"/>
      <c r="GK395" s="274"/>
      <c r="GL395" s="274"/>
      <c r="GM395" s="274"/>
      <c r="GN395" s="274"/>
      <c r="GO395" s="274"/>
      <c r="GP395" s="274"/>
      <c r="GQ395" s="274"/>
      <c r="GR395" s="274"/>
      <c r="GS395" s="274"/>
      <c r="GT395" s="274"/>
      <c r="GU395" s="274"/>
      <c r="GV395" s="274"/>
      <c r="GW395" s="274"/>
      <c r="GX395" s="274"/>
      <c r="GY395" s="274"/>
      <c r="GZ395" s="274"/>
      <c r="HA395" s="274"/>
      <c r="HB395" s="274"/>
      <c r="HC395" s="274"/>
      <c r="HD395" s="274"/>
      <c r="HE395" s="274"/>
      <c r="HF395" s="274"/>
      <c r="HG395" s="274"/>
      <c r="HH395" s="274"/>
      <c r="HI395" s="274"/>
      <c r="HJ395" s="274"/>
      <c r="HK395" s="274"/>
      <c r="HL395" s="274"/>
      <c r="HM395" s="274"/>
      <c r="HN395" s="274"/>
      <c r="HO395" s="274"/>
      <c r="HP395" s="274"/>
      <c r="HQ395" s="274"/>
      <c r="HR395" s="274"/>
      <c r="HS395" s="274"/>
      <c r="HT395" s="274"/>
      <c r="HU395" s="274"/>
      <c r="HV395" s="274"/>
      <c r="HW395" s="274"/>
      <c r="HX395" s="274"/>
      <c r="HY395" s="274"/>
      <c r="HZ395" s="274"/>
      <c r="IA395" s="274"/>
      <c r="IB395" s="274"/>
      <c r="IC395" s="274"/>
      <c r="ID395" s="274"/>
      <c r="IE395" s="274"/>
      <c r="IF395" s="274"/>
      <c r="IG395" s="274"/>
      <c r="IH395" s="274"/>
      <c r="II395" s="274"/>
      <c r="IJ395" s="274"/>
      <c r="IK395" s="274"/>
      <c r="IL395" s="274"/>
      <c r="IM395" s="274"/>
      <c r="IN395" s="274"/>
      <c r="IO395" s="274"/>
      <c r="IP395" s="274"/>
      <c r="IQ395" s="274"/>
      <c r="IR395" s="274"/>
      <c r="IS395" s="274"/>
      <c r="IT395" s="274"/>
      <c r="IU395" s="274"/>
      <c r="IV395" s="274"/>
      <c r="IW395" s="274"/>
      <c r="IX395" s="274"/>
      <c r="IY395" s="274"/>
      <c r="IZ395" s="274"/>
      <c r="JA395" s="274"/>
      <c r="JB395" s="274"/>
      <c r="JC395" s="274"/>
      <c r="JD395" s="274"/>
      <c r="JE395" s="274"/>
      <c r="JF395" s="274"/>
      <c r="JG395" s="274"/>
      <c r="JH395" s="274"/>
      <c r="JI395" s="274"/>
      <c r="JJ395" s="274"/>
      <c r="JK395" s="274"/>
      <c r="JL395" s="274"/>
      <c r="JM395" s="274"/>
      <c r="JN395" s="274"/>
      <c r="JO395" s="274"/>
      <c r="JP395" s="274"/>
      <c r="JQ395" s="274"/>
      <c r="JR395" s="274"/>
      <c r="JS395" s="274"/>
      <c r="JT395" s="274"/>
      <c r="JU395" s="274"/>
      <c r="JV395" s="274"/>
      <c r="JW395" s="274"/>
      <c r="JX395" s="274"/>
      <c r="JY395" s="274"/>
      <c r="JZ395" s="274"/>
      <c r="KA395" s="274"/>
      <c r="KB395" s="274"/>
      <c r="KC395" s="274"/>
      <c r="KD395" s="274"/>
      <c r="KE395" s="274"/>
      <c r="KF395" s="274"/>
      <c r="KG395" s="274"/>
      <c r="KH395" s="274"/>
      <c r="KI395" s="274"/>
      <c r="KJ395" s="274"/>
      <c r="KK395" s="274"/>
      <c r="KL395" s="274"/>
      <c r="KM395" s="274"/>
      <c r="KN395" s="274"/>
      <c r="KO395" s="274"/>
      <c r="KP395" s="274"/>
      <c r="KQ395" s="274"/>
      <c r="KR395" s="274"/>
      <c r="KS395" s="274"/>
      <c r="KT395" s="274"/>
      <c r="KU395" s="274"/>
      <c r="KV395" s="274"/>
      <c r="KW395" s="274"/>
      <c r="KX395" s="274"/>
      <c r="KY395" s="274"/>
      <c r="KZ395" s="274"/>
      <c r="LA395" s="274"/>
      <c r="LB395" s="274"/>
      <c r="LC395" s="274"/>
      <c r="LD395" s="274"/>
      <c r="LE395" s="274"/>
      <c r="LF395" s="274"/>
      <c r="LG395" s="274"/>
      <c r="LH395" s="274"/>
      <c r="LI395" s="274"/>
      <c r="LJ395" s="274"/>
      <c r="LK395" s="274"/>
      <c r="LL395" s="274"/>
      <c r="LM395" s="274"/>
      <c r="LN395" s="274"/>
      <c r="LO395" s="274"/>
      <c r="LP395" s="274"/>
      <c r="LQ395" s="274"/>
      <c r="LR395" s="274"/>
      <c r="LS395" s="274"/>
      <c r="LT395" s="274"/>
      <c r="LU395" s="274"/>
      <c r="LV395" s="274"/>
      <c r="LW395" s="274"/>
      <c r="LX395" s="274"/>
      <c r="LY395" s="274"/>
      <c r="LZ395" s="274"/>
      <c r="MA395" s="274"/>
      <c r="MB395" s="274"/>
      <c r="MC395" s="274"/>
      <c r="MD395" s="274"/>
      <c r="ME395" s="274"/>
      <c r="MF395" s="274"/>
      <c r="MG395" s="274"/>
      <c r="MH395" s="274"/>
      <c r="MI395" s="274"/>
      <c r="MJ395" s="274"/>
      <c r="MK395" s="274"/>
      <c r="ML395" s="274"/>
      <c r="MM395" s="274"/>
      <c r="MN395" s="274"/>
      <c r="MO395" s="274"/>
      <c r="MP395" s="274"/>
      <c r="MQ395" s="274"/>
      <c r="MR395" s="274"/>
      <c r="MS395" s="274"/>
      <c r="MT395" s="274"/>
      <c r="MU395" s="274"/>
      <c r="MV395" s="274"/>
      <c r="MW395" s="274"/>
      <c r="MX395" s="274"/>
      <c r="MY395" s="274"/>
      <c r="MZ395" s="274"/>
      <c r="NA395" s="274"/>
      <c r="NB395" s="274"/>
      <c r="NC395" s="274"/>
      <c r="ND395" s="274"/>
      <c r="NE395" s="274"/>
      <c r="NF395" s="274"/>
      <c r="NG395" s="274"/>
      <c r="NH395" s="274"/>
      <c r="NI395" s="274"/>
      <c r="NJ395" s="274"/>
      <c r="NK395" s="274"/>
      <c r="NL395" s="274"/>
      <c r="NM395" s="274"/>
      <c r="NN395" s="274"/>
      <c r="NO395" s="274"/>
      <c r="NP395" s="274"/>
      <c r="NQ395" s="274"/>
      <c r="NR395" s="274"/>
      <c r="NS395" s="274"/>
      <c r="NT395" s="274"/>
      <c r="NU395" s="274"/>
      <c r="NV395" s="274"/>
      <c r="NW395" s="274"/>
      <c r="NX395" s="274"/>
      <c r="NY395" s="274"/>
      <c r="NZ395" s="274"/>
      <c r="OA395" s="274"/>
      <c r="OB395" s="274"/>
      <c r="OC395" s="274"/>
      <c r="OD395" s="274"/>
      <c r="OE395" s="274"/>
      <c r="OF395" s="274"/>
      <c r="OG395" s="274"/>
      <c r="OH395" s="274"/>
      <c r="OI395" s="274"/>
      <c r="OJ395" s="274"/>
      <c r="OK395" s="274"/>
      <c r="OL395" s="274"/>
      <c r="OM395" s="274"/>
      <c r="ON395" s="274"/>
      <c r="OO395" s="274"/>
      <c r="OP395" s="274"/>
      <c r="OQ395" s="274"/>
      <c r="OR395" s="274"/>
      <c r="OS395" s="274"/>
      <c r="OT395" s="274"/>
      <c r="OU395" s="274"/>
      <c r="OV395" s="274"/>
      <c r="OW395" s="274"/>
      <c r="OX395" s="274"/>
      <c r="OY395" s="274"/>
      <c r="OZ395" s="274"/>
      <c r="PA395" s="274"/>
      <c r="PB395" s="274"/>
      <c r="PC395" s="274"/>
      <c r="PD395" s="274"/>
      <c r="PE395" s="274"/>
      <c r="PF395" s="274"/>
      <c r="PG395" s="274"/>
      <c r="PH395" s="274"/>
      <c r="PI395" s="274"/>
      <c r="PJ395" s="274"/>
      <c r="PK395" s="274"/>
      <c r="PL395" s="274"/>
      <c r="PM395" s="274"/>
      <c r="PN395" s="274"/>
      <c r="PO395" s="274"/>
      <c r="PP395" s="274"/>
      <c r="PQ395" s="274"/>
      <c r="PR395" s="274"/>
      <c r="PS395" s="274"/>
      <c r="PT395" s="274"/>
      <c r="PU395" s="274"/>
      <c r="PV395" s="274"/>
      <c r="PW395" s="274"/>
      <c r="PX395" s="274"/>
      <c r="PY395" s="274"/>
      <c r="PZ395" s="274"/>
      <c r="QA395" s="274"/>
      <c r="QB395" s="274"/>
      <c r="QC395" s="274"/>
      <c r="QD395" s="274"/>
      <c r="QE395" s="274"/>
      <c r="QF395" s="274"/>
      <c r="QG395" s="274"/>
      <c r="QH395" s="274"/>
      <c r="QI395" s="274"/>
      <c r="QJ395" s="274"/>
      <c r="QK395" s="274"/>
      <c r="QL395" s="274"/>
      <c r="QM395" s="274"/>
      <c r="QN395" s="274"/>
      <c r="QO395" s="274"/>
      <c r="QP395" s="274"/>
      <c r="QQ395" s="274"/>
      <c r="QR395" s="274"/>
      <c r="QS395" s="274"/>
      <c r="QT395" s="274"/>
      <c r="QU395" s="274"/>
      <c r="QV395" s="274"/>
      <c r="QW395" s="274"/>
      <c r="QX395" s="274"/>
      <c r="QY395" s="274"/>
      <c r="QZ395" s="274"/>
      <c r="RA395" s="274"/>
      <c r="RB395" s="274"/>
      <c r="RC395" s="274"/>
    </row>
    <row r="396" spans="112:471">
      <c r="DH396" s="274"/>
      <c r="DI396" s="274"/>
      <c r="DJ396" s="274"/>
      <c r="DK396" s="274"/>
      <c r="DL396" s="274"/>
      <c r="DM396" s="274"/>
      <c r="DN396" s="274"/>
      <c r="DO396" s="274"/>
      <c r="DP396" s="274"/>
      <c r="DQ396" s="274"/>
      <c r="DR396" s="274"/>
      <c r="DS396" s="274"/>
      <c r="DT396" s="274"/>
      <c r="DU396" s="274"/>
      <c r="DV396" s="274"/>
      <c r="DW396" s="274"/>
      <c r="DX396" s="274"/>
      <c r="DY396" s="274"/>
      <c r="DZ396" s="274"/>
      <c r="EA396" s="274"/>
      <c r="EB396" s="274"/>
      <c r="EC396" s="274"/>
      <c r="ED396" s="274"/>
      <c r="EE396" s="274"/>
      <c r="EF396" s="274"/>
      <c r="EG396" s="274"/>
      <c r="EH396" s="274"/>
      <c r="EI396" s="274"/>
      <c r="EJ396" s="274"/>
      <c r="EK396" s="274"/>
      <c r="EL396" s="274"/>
      <c r="EM396" s="274"/>
      <c r="EN396" s="274"/>
      <c r="EO396" s="274"/>
      <c r="EP396" s="274"/>
      <c r="EQ396" s="274"/>
      <c r="ER396" s="274"/>
      <c r="ES396" s="274"/>
      <c r="ET396" s="274"/>
      <c r="EU396" s="274"/>
      <c r="EV396" s="274"/>
      <c r="EW396" s="274"/>
      <c r="EX396" s="274"/>
      <c r="EY396" s="274"/>
      <c r="EZ396" s="274"/>
      <c r="FA396" s="274"/>
      <c r="FB396" s="274"/>
      <c r="FC396" s="274"/>
      <c r="FD396" s="274"/>
      <c r="FE396" s="274"/>
      <c r="FF396" s="274"/>
      <c r="FG396" s="274"/>
      <c r="FH396" s="274"/>
      <c r="FI396" s="274"/>
      <c r="FJ396" s="274"/>
      <c r="FK396" s="274"/>
      <c r="FL396" s="274"/>
      <c r="FM396" s="274"/>
      <c r="FN396" s="274"/>
      <c r="FO396" s="274"/>
      <c r="FP396" s="274"/>
      <c r="FQ396" s="274"/>
      <c r="FR396" s="274"/>
      <c r="FS396" s="274"/>
      <c r="FT396" s="274"/>
      <c r="FU396" s="274"/>
      <c r="FV396" s="274"/>
      <c r="FW396" s="274"/>
      <c r="FX396" s="274"/>
      <c r="FY396" s="274"/>
      <c r="FZ396" s="274"/>
      <c r="GA396" s="274"/>
      <c r="GB396" s="274"/>
      <c r="GC396" s="274"/>
      <c r="GD396" s="274"/>
      <c r="GE396" s="274"/>
      <c r="GF396" s="274"/>
      <c r="GG396" s="274"/>
      <c r="GH396" s="274"/>
      <c r="GI396" s="274"/>
      <c r="GJ396" s="274"/>
      <c r="GK396" s="274"/>
      <c r="GL396" s="274"/>
      <c r="GM396" s="274"/>
      <c r="GN396" s="274"/>
      <c r="GO396" s="274"/>
      <c r="GP396" s="274"/>
      <c r="GQ396" s="274"/>
      <c r="GR396" s="274"/>
      <c r="GS396" s="274"/>
      <c r="GT396" s="274"/>
      <c r="GU396" s="274"/>
      <c r="GV396" s="274"/>
      <c r="GW396" s="274"/>
      <c r="GX396" s="274"/>
      <c r="GY396" s="274"/>
      <c r="GZ396" s="274"/>
      <c r="HA396" s="274"/>
      <c r="HB396" s="274"/>
      <c r="HC396" s="274"/>
      <c r="HD396" s="274"/>
      <c r="HE396" s="274"/>
      <c r="HF396" s="274"/>
      <c r="HG396" s="274"/>
      <c r="HH396" s="274"/>
      <c r="HI396" s="274"/>
      <c r="HJ396" s="274"/>
      <c r="HK396" s="274"/>
      <c r="HL396" s="274"/>
      <c r="HM396" s="274"/>
      <c r="HN396" s="274"/>
      <c r="HO396" s="274"/>
      <c r="HP396" s="274"/>
      <c r="HQ396" s="274"/>
      <c r="HR396" s="274"/>
      <c r="HS396" s="274"/>
      <c r="HT396" s="274"/>
      <c r="HU396" s="274"/>
      <c r="HV396" s="274"/>
      <c r="HW396" s="274"/>
      <c r="HX396" s="274"/>
      <c r="HY396" s="274"/>
      <c r="HZ396" s="274"/>
      <c r="IA396" s="274"/>
      <c r="IB396" s="274"/>
      <c r="IC396" s="274"/>
      <c r="ID396" s="274"/>
      <c r="IE396" s="274"/>
      <c r="IF396" s="274"/>
      <c r="IG396" s="274"/>
      <c r="IH396" s="274"/>
      <c r="II396" s="274"/>
      <c r="IJ396" s="274"/>
      <c r="IK396" s="274"/>
      <c r="IL396" s="274"/>
      <c r="IM396" s="274"/>
      <c r="IN396" s="274"/>
      <c r="IO396" s="274"/>
      <c r="IP396" s="274"/>
      <c r="IQ396" s="274"/>
      <c r="IR396" s="274"/>
      <c r="IS396" s="274"/>
      <c r="IT396" s="274"/>
      <c r="IU396" s="274"/>
      <c r="IV396" s="274"/>
      <c r="IW396" s="274"/>
      <c r="IX396" s="274"/>
      <c r="IY396" s="274"/>
      <c r="IZ396" s="274"/>
      <c r="JA396" s="274"/>
      <c r="JB396" s="274"/>
      <c r="JC396" s="274"/>
      <c r="JD396" s="274"/>
      <c r="JE396" s="274"/>
      <c r="JF396" s="274"/>
      <c r="JG396" s="274"/>
      <c r="JH396" s="274"/>
      <c r="JI396" s="274"/>
      <c r="JJ396" s="274"/>
      <c r="JK396" s="274"/>
      <c r="JL396" s="274"/>
      <c r="JM396" s="274"/>
      <c r="JN396" s="274"/>
      <c r="JO396" s="274"/>
      <c r="JP396" s="274"/>
      <c r="JQ396" s="274"/>
      <c r="JR396" s="274"/>
      <c r="JS396" s="274"/>
      <c r="JT396" s="274"/>
      <c r="JU396" s="274"/>
      <c r="JV396" s="274"/>
      <c r="JW396" s="274"/>
      <c r="JX396" s="274"/>
      <c r="JY396" s="274"/>
      <c r="JZ396" s="274"/>
      <c r="KA396" s="274"/>
      <c r="KB396" s="274"/>
      <c r="KC396" s="274"/>
      <c r="KD396" s="274"/>
      <c r="KE396" s="274"/>
      <c r="KF396" s="274"/>
      <c r="KG396" s="274"/>
      <c r="KH396" s="274"/>
      <c r="KI396" s="274"/>
      <c r="KJ396" s="274"/>
      <c r="KK396" s="274"/>
      <c r="KL396" s="274"/>
      <c r="KM396" s="274"/>
      <c r="KN396" s="274"/>
      <c r="KO396" s="274"/>
      <c r="KP396" s="274"/>
      <c r="KQ396" s="274"/>
      <c r="KR396" s="274"/>
      <c r="KS396" s="274"/>
      <c r="KT396" s="274"/>
      <c r="KU396" s="274"/>
      <c r="KV396" s="274"/>
      <c r="KW396" s="274"/>
      <c r="KX396" s="274"/>
      <c r="KY396" s="274"/>
      <c r="KZ396" s="274"/>
      <c r="LA396" s="274"/>
      <c r="LB396" s="274"/>
      <c r="LC396" s="274"/>
      <c r="LD396" s="274"/>
      <c r="LE396" s="274"/>
      <c r="LF396" s="274"/>
      <c r="LG396" s="274"/>
      <c r="LH396" s="274"/>
      <c r="LI396" s="274"/>
      <c r="LJ396" s="274"/>
      <c r="LK396" s="274"/>
      <c r="LL396" s="274"/>
      <c r="LM396" s="274"/>
      <c r="LN396" s="274"/>
      <c r="LO396" s="274"/>
      <c r="LP396" s="274"/>
      <c r="LQ396" s="274"/>
      <c r="LR396" s="274"/>
      <c r="LS396" s="274"/>
      <c r="LT396" s="274"/>
      <c r="LU396" s="274"/>
      <c r="LV396" s="274"/>
      <c r="LW396" s="274"/>
      <c r="LX396" s="274"/>
      <c r="LY396" s="274"/>
      <c r="LZ396" s="274"/>
      <c r="MA396" s="274"/>
      <c r="MB396" s="274"/>
      <c r="MC396" s="274"/>
      <c r="MD396" s="274"/>
      <c r="ME396" s="274"/>
      <c r="MF396" s="274"/>
      <c r="MG396" s="274"/>
      <c r="MH396" s="274"/>
      <c r="MI396" s="274"/>
      <c r="MJ396" s="274"/>
      <c r="MK396" s="274"/>
      <c r="ML396" s="274"/>
      <c r="MM396" s="274"/>
      <c r="MN396" s="274"/>
      <c r="MO396" s="274"/>
      <c r="MP396" s="274"/>
      <c r="MQ396" s="274"/>
      <c r="MR396" s="274"/>
      <c r="MS396" s="274"/>
      <c r="MT396" s="274"/>
      <c r="MU396" s="274"/>
      <c r="MV396" s="274"/>
      <c r="MW396" s="274"/>
      <c r="MX396" s="274"/>
      <c r="MY396" s="274"/>
      <c r="MZ396" s="274"/>
      <c r="NA396" s="274"/>
      <c r="NB396" s="274"/>
      <c r="NC396" s="274"/>
      <c r="ND396" s="274"/>
      <c r="NE396" s="274"/>
      <c r="NF396" s="274"/>
      <c r="NG396" s="274"/>
      <c r="NH396" s="274"/>
      <c r="NI396" s="274"/>
      <c r="NJ396" s="274"/>
      <c r="NK396" s="274"/>
      <c r="NL396" s="274"/>
      <c r="NM396" s="274"/>
      <c r="NN396" s="274"/>
      <c r="NO396" s="274"/>
      <c r="NP396" s="274"/>
      <c r="NQ396" s="274"/>
      <c r="NR396" s="274"/>
      <c r="NS396" s="274"/>
      <c r="NT396" s="274"/>
      <c r="NU396" s="274"/>
      <c r="NV396" s="274"/>
      <c r="NW396" s="274"/>
      <c r="NX396" s="274"/>
      <c r="NY396" s="274"/>
      <c r="NZ396" s="274"/>
      <c r="OA396" s="274"/>
      <c r="OB396" s="274"/>
      <c r="OC396" s="274"/>
      <c r="OD396" s="274"/>
      <c r="OE396" s="274"/>
      <c r="OF396" s="274"/>
      <c r="OG396" s="274"/>
      <c r="OH396" s="274"/>
      <c r="OI396" s="274"/>
      <c r="OJ396" s="274"/>
      <c r="OK396" s="274"/>
      <c r="OL396" s="274"/>
      <c r="OM396" s="274"/>
      <c r="ON396" s="274"/>
      <c r="OO396" s="274"/>
      <c r="OP396" s="274"/>
      <c r="OQ396" s="274"/>
      <c r="OR396" s="274"/>
      <c r="OS396" s="274"/>
      <c r="OT396" s="274"/>
      <c r="OU396" s="274"/>
      <c r="OV396" s="274"/>
      <c r="OW396" s="274"/>
      <c r="OX396" s="274"/>
      <c r="OY396" s="274"/>
      <c r="OZ396" s="274"/>
      <c r="PA396" s="274"/>
      <c r="PB396" s="274"/>
      <c r="PC396" s="274"/>
      <c r="PD396" s="274"/>
      <c r="PE396" s="274"/>
      <c r="PF396" s="274"/>
      <c r="PG396" s="274"/>
      <c r="PH396" s="274"/>
      <c r="PI396" s="274"/>
      <c r="PJ396" s="274"/>
      <c r="PK396" s="274"/>
      <c r="PL396" s="274"/>
      <c r="PM396" s="274"/>
      <c r="PN396" s="274"/>
      <c r="PO396" s="274"/>
      <c r="PP396" s="274"/>
      <c r="PQ396" s="274"/>
      <c r="PR396" s="274"/>
      <c r="PS396" s="274"/>
      <c r="PT396" s="274"/>
      <c r="PU396" s="274"/>
      <c r="PV396" s="274"/>
      <c r="PW396" s="274"/>
      <c r="PX396" s="274"/>
      <c r="PY396" s="274"/>
      <c r="PZ396" s="274"/>
      <c r="QA396" s="274"/>
      <c r="QB396" s="274"/>
      <c r="QC396" s="274"/>
      <c r="QD396" s="274"/>
      <c r="QE396" s="274"/>
      <c r="QF396" s="274"/>
      <c r="QG396" s="274"/>
      <c r="QH396" s="274"/>
      <c r="QI396" s="274"/>
      <c r="QJ396" s="274"/>
      <c r="QK396" s="274"/>
      <c r="QL396" s="274"/>
      <c r="QM396" s="274"/>
      <c r="QN396" s="274"/>
      <c r="QO396" s="274"/>
      <c r="QP396" s="274"/>
      <c r="QQ396" s="274"/>
      <c r="QR396" s="274"/>
      <c r="QS396" s="274"/>
      <c r="QT396" s="274"/>
      <c r="QU396" s="274"/>
      <c r="QV396" s="274"/>
      <c r="QW396" s="274"/>
      <c r="QX396" s="274"/>
      <c r="QY396" s="274"/>
      <c r="QZ396" s="274"/>
      <c r="RA396" s="274"/>
      <c r="RB396" s="274"/>
      <c r="RC396" s="274"/>
    </row>
    <row r="397" spans="112:471" ht="17.25">
      <c r="DH397" s="274"/>
      <c r="DI397" s="274"/>
      <c r="DJ397" s="978"/>
      <c r="DK397" s="274"/>
      <c r="DL397" s="274"/>
      <c r="DM397" s="274"/>
      <c r="DN397" s="274"/>
      <c r="DO397" s="274"/>
      <c r="DP397" s="274"/>
      <c r="DQ397" s="274"/>
      <c r="DR397" s="274"/>
      <c r="DS397" s="274"/>
      <c r="DT397" s="274"/>
      <c r="DU397" s="274"/>
      <c r="DV397" s="274"/>
      <c r="DW397" s="274"/>
      <c r="DX397" s="274"/>
      <c r="DY397" s="274"/>
      <c r="DZ397" s="274"/>
      <c r="EA397" s="274"/>
      <c r="EB397" s="274"/>
      <c r="EC397" s="274"/>
      <c r="ED397" s="274"/>
      <c r="EE397" s="274"/>
      <c r="EF397" s="274"/>
      <c r="EG397" s="274"/>
      <c r="EH397" s="274"/>
      <c r="EI397" s="274"/>
      <c r="EJ397" s="274"/>
      <c r="EK397" s="274"/>
      <c r="EL397" s="274"/>
      <c r="EM397" s="274"/>
      <c r="EN397" s="274"/>
      <c r="EO397" s="274"/>
      <c r="EP397" s="274"/>
      <c r="EQ397" s="274"/>
      <c r="ER397" s="274"/>
      <c r="ES397" s="274"/>
      <c r="ET397" s="274"/>
      <c r="EU397" s="274"/>
      <c r="EV397" s="274"/>
      <c r="EW397" s="274"/>
      <c r="EX397" s="274"/>
      <c r="EY397" s="274"/>
      <c r="EZ397" s="274"/>
      <c r="FA397" s="274"/>
      <c r="FB397" s="274"/>
      <c r="FC397" s="274"/>
      <c r="FD397" s="274"/>
      <c r="FE397" s="274"/>
      <c r="FF397" s="274"/>
      <c r="FG397" s="274"/>
      <c r="FH397" s="274"/>
      <c r="FI397" s="274"/>
      <c r="FJ397" s="274"/>
      <c r="FK397" s="274"/>
      <c r="FL397" s="274"/>
      <c r="FM397" s="274"/>
      <c r="FN397" s="274"/>
      <c r="FO397" s="274"/>
      <c r="FP397" s="274"/>
      <c r="FQ397" s="274"/>
      <c r="FR397" s="274"/>
      <c r="FS397" s="274"/>
      <c r="FT397" s="274"/>
      <c r="FU397" s="274"/>
      <c r="FV397" s="274"/>
      <c r="FW397" s="274"/>
      <c r="FX397" s="274"/>
      <c r="FY397" s="274"/>
      <c r="FZ397" s="274"/>
      <c r="GA397" s="274"/>
      <c r="GB397" s="274"/>
      <c r="GC397" s="274"/>
      <c r="GD397" s="274"/>
      <c r="GE397" s="274"/>
      <c r="GF397" s="274"/>
      <c r="GG397" s="274"/>
      <c r="GH397" s="274"/>
      <c r="GI397" s="274"/>
      <c r="GJ397" s="274"/>
      <c r="GK397" s="274"/>
      <c r="GL397" s="274"/>
      <c r="GM397" s="274"/>
      <c r="GN397" s="274"/>
      <c r="GO397" s="274"/>
      <c r="GP397" s="274"/>
      <c r="GQ397" s="274"/>
      <c r="GR397" s="274"/>
      <c r="GS397" s="274"/>
      <c r="GT397" s="274"/>
      <c r="GU397" s="274"/>
      <c r="GV397" s="274"/>
      <c r="GW397" s="274"/>
      <c r="GX397" s="274"/>
      <c r="GY397" s="274"/>
      <c r="GZ397" s="274"/>
      <c r="HA397" s="274"/>
      <c r="HB397" s="274"/>
      <c r="HC397" s="274"/>
      <c r="HD397" s="274"/>
      <c r="HE397" s="274"/>
      <c r="HF397" s="274"/>
      <c r="HG397" s="274"/>
      <c r="HH397" s="274"/>
      <c r="HI397" s="274"/>
      <c r="HJ397" s="274"/>
      <c r="HK397" s="274"/>
      <c r="HL397" s="274"/>
      <c r="HM397" s="274"/>
      <c r="HN397" s="274"/>
      <c r="HO397" s="274"/>
      <c r="HP397" s="274"/>
      <c r="HQ397" s="274"/>
      <c r="HR397" s="274"/>
      <c r="HS397" s="274"/>
      <c r="HT397" s="274"/>
      <c r="HU397" s="274"/>
      <c r="HV397" s="274"/>
      <c r="HW397" s="274"/>
      <c r="HX397" s="274"/>
      <c r="HY397" s="274"/>
      <c r="HZ397" s="274"/>
      <c r="IA397" s="274"/>
      <c r="IB397" s="274"/>
      <c r="IC397" s="274"/>
      <c r="ID397" s="274"/>
      <c r="IE397" s="274"/>
      <c r="IF397" s="274"/>
      <c r="IG397" s="274"/>
      <c r="IH397" s="274"/>
      <c r="II397" s="274"/>
      <c r="IJ397" s="274"/>
      <c r="IK397" s="274"/>
      <c r="IL397" s="274"/>
      <c r="IM397" s="274"/>
      <c r="IN397" s="274"/>
      <c r="IO397" s="274"/>
      <c r="IP397" s="274"/>
      <c r="IQ397" s="274"/>
      <c r="IR397" s="274"/>
      <c r="IS397" s="274"/>
      <c r="IT397" s="274"/>
      <c r="IU397" s="274"/>
      <c r="IV397" s="274"/>
      <c r="IW397" s="274"/>
      <c r="IX397" s="274"/>
      <c r="IY397" s="274"/>
      <c r="IZ397" s="274"/>
      <c r="JA397" s="274"/>
      <c r="JB397" s="274"/>
      <c r="JC397" s="274"/>
      <c r="JD397" s="274"/>
      <c r="JE397" s="274"/>
      <c r="JF397" s="274"/>
      <c r="JG397" s="274"/>
      <c r="JH397" s="274"/>
      <c r="JI397" s="274"/>
      <c r="JJ397" s="274"/>
      <c r="JK397" s="274"/>
      <c r="JL397" s="274"/>
      <c r="JM397" s="274"/>
      <c r="JN397" s="274"/>
      <c r="JO397" s="274"/>
      <c r="JP397" s="274"/>
      <c r="JQ397" s="274"/>
      <c r="JR397" s="274"/>
      <c r="JS397" s="274"/>
      <c r="JT397" s="274"/>
      <c r="JU397" s="274"/>
      <c r="JV397" s="274"/>
      <c r="JW397" s="274"/>
      <c r="JX397" s="274"/>
      <c r="JY397" s="274"/>
      <c r="JZ397" s="274"/>
      <c r="KA397" s="274"/>
      <c r="KB397" s="274"/>
      <c r="KC397" s="274"/>
      <c r="KD397" s="274"/>
      <c r="KE397" s="274"/>
      <c r="KF397" s="274"/>
      <c r="KG397" s="274"/>
      <c r="KH397" s="274"/>
      <c r="KI397" s="274"/>
      <c r="KJ397" s="274"/>
      <c r="KK397" s="274"/>
      <c r="KL397" s="274"/>
      <c r="KM397" s="274"/>
      <c r="KN397" s="274"/>
      <c r="KO397" s="274"/>
      <c r="KP397" s="274"/>
      <c r="KQ397" s="274"/>
      <c r="KR397" s="274"/>
      <c r="KS397" s="274"/>
      <c r="KT397" s="274"/>
      <c r="KU397" s="274"/>
      <c r="KV397" s="274"/>
      <c r="KW397" s="274"/>
      <c r="KX397" s="274"/>
      <c r="KY397" s="274"/>
      <c r="KZ397" s="274"/>
      <c r="LA397" s="274"/>
      <c r="LB397" s="274"/>
      <c r="LC397" s="274"/>
      <c r="LD397" s="274"/>
      <c r="LE397" s="274"/>
      <c r="LF397" s="274"/>
      <c r="LG397" s="274"/>
      <c r="LH397" s="274"/>
      <c r="LI397" s="274"/>
      <c r="LJ397" s="274"/>
      <c r="LK397" s="274"/>
      <c r="LL397" s="274"/>
      <c r="LM397" s="274"/>
      <c r="LN397" s="274"/>
      <c r="LO397" s="274"/>
      <c r="LP397" s="274"/>
      <c r="LQ397" s="274"/>
      <c r="LR397" s="274"/>
      <c r="LS397" s="274"/>
      <c r="LT397" s="274"/>
      <c r="LU397" s="274"/>
      <c r="LV397" s="274"/>
      <c r="LW397" s="274"/>
      <c r="LX397" s="274"/>
      <c r="LY397" s="274"/>
      <c r="LZ397" s="274"/>
      <c r="MA397" s="274"/>
      <c r="MB397" s="274"/>
      <c r="MC397" s="274"/>
      <c r="MD397" s="274"/>
      <c r="ME397" s="274"/>
      <c r="MF397" s="274"/>
      <c r="MG397" s="274"/>
      <c r="MH397" s="274"/>
      <c r="MI397" s="274"/>
      <c r="MJ397" s="274"/>
      <c r="MK397" s="274"/>
      <c r="ML397" s="274"/>
      <c r="MM397" s="274"/>
      <c r="MN397" s="274"/>
      <c r="MO397" s="274"/>
      <c r="MP397" s="274"/>
      <c r="MQ397" s="274"/>
      <c r="MR397" s="274"/>
      <c r="MS397" s="274"/>
      <c r="MT397" s="274"/>
      <c r="MU397" s="274"/>
      <c r="MV397" s="274"/>
      <c r="MW397" s="274"/>
      <c r="MX397" s="274"/>
      <c r="MY397" s="274"/>
      <c r="MZ397" s="274"/>
      <c r="NA397" s="274"/>
      <c r="NB397" s="274"/>
      <c r="NC397" s="274"/>
      <c r="ND397" s="274"/>
      <c r="NE397" s="274"/>
      <c r="NF397" s="274"/>
      <c r="NG397" s="274"/>
      <c r="NH397" s="274"/>
      <c r="NI397" s="274"/>
      <c r="NJ397" s="274"/>
      <c r="NK397" s="274"/>
      <c r="NL397" s="274"/>
      <c r="NM397" s="274"/>
      <c r="NN397" s="274"/>
      <c r="NO397" s="274"/>
      <c r="NP397" s="274"/>
      <c r="NQ397" s="274"/>
      <c r="NR397" s="274"/>
      <c r="NS397" s="274"/>
      <c r="NT397" s="274"/>
      <c r="NU397" s="274"/>
      <c r="NV397" s="274"/>
      <c r="NW397" s="274"/>
      <c r="NX397" s="274"/>
      <c r="NY397" s="274"/>
      <c r="NZ397" s="274"/>
      <c r="OA397" s="274"/>
      <c r="OB397" s="274"/>
      <c r="OC397" s="274"/>
      <c r="OD397" s="274"/>
      <c r="OE397" s="274"/>
      <c r="OF397" s="274"/>
      <c r="OG397" s="274"/>
      <c r="OH397" s="274"/>
      <c r="OI397" s="274"/>
      <c r="OJ397" s="274"/>
      <c r="OK397" s="274"/>
      <c r="OL397" s="274"/>
      <c r="OM397" s="274"/>
      <c r="ON397" s="274"/>
      <c r="OO397" s="274"/>
      <c r="OP397" s="274"/>
      <c r="OQ397" s="274"/>
      <c r="OR397" s="274"/>
      <c r="OS397" s="274"/>
      <c r="OT397" s="274"/>
      <c r="OU397" s="274"/>
      <c r="OV397" s="274"/>
      <c r="OW397" s="274"/>
      <c r="OX397" s="274"/>
      <c r="OY397" s="274"/>
      <c r="OZ397" s="274"/>
      <c r="PA397" s="274"/>
      <c r="PB397" s="274"/>
      <c r="PC397" s="274"/>
      <c r="PD397" s="274"/>
      <c r="PE397" s="274"/>
      <c r="PF397" s="274"/>
      <c r="PG397" s="274"/>
      <c r="PH397" s="274"/>
      <c r="PI397" s="274"/>
      <c r="PJ397" s="274"/>
      <c r="PK397" s="274"/>
      <c r="PL397" s="274"/>
      <c r="PM397" s="274"/>
      <c r="PN397" s="274"/>
      <c r="PO397" s="274"/>
      <c r="PP397" s="274"/>
      <c r="PQ397" s="274"/>
      <c r="PR397" s="274"/>
      <c r="PS397" s="274"/>
      <c r="PT397" s="274"/>
      <c r="PU397" s="274"/>
      <c r="PV397" s="274"/>
      <c r="PW397" s="274"/>
      <c r="PX397" s="274"/>
      <c r="PY397" s="274"/>
      <c r="PZ397" s="274"/>
      <c r="QA397" s="274"/>
      <c r="QB397" s="274"/>
      <c r="QC397" s="274"/>
      <c r="QD397" s="274"/>
      <c r="QE397" s="274"/>
      <c r="QF397" s="274"/>
      <c r="QG397" s="274"/>
      <c r="QH397" s="274"/>
      <c r="QI397" s="274"/>
      <c r="QJ397" s="274"/>
      <c r="QK397" s="274"/>
      <c r="QL397" s="274"/>
      <c r="QM397" s="274"/>
      <c r="QN397" s="274"/>
      <c r="QO397" s="274"/>
      <c r="QP397" s="274"/>
      <c r="QQ397" s="274"/>
      <c r="QR397" s="274"/>
      <c r="QS397" s="274"/>
      <c r="QT397" s="274"/>
      <c r="QU397" s="274"/>
      <c r="QV397" s="274"/>
      <c r="QW397" s="274"/>
      <c r="QX397" s="274"/>
      <c r="QY397" s="274"/>
      <c r="QZ397" s="274"/>
      <c r="RA397" s="274"/>
      <c r="RB397" s="274"/>
      <c r="RC397" s="274"/>
    </row>
    <row r="398" spans="112:471" ht="17.25">
      <c r="DH398" s="274"/>
      <c r="DI398" s="274"/>
      <c r="DJ398" s="978"/>
      <c r="DK398" s="978"/>
      <c r="DL398" s="978"/>
      <c r="DM398" s="978"/>
      <c r="DN398" s="978"/>
      <c r="DO398" s="978"/>
      <c r="DP398" s="978"/>
      <c r="DQ398" s="978"/>
      <c r="DR398" s="978"/>
      <c r="DS398" s="978"/>
      <c r="DT398" s="978"/>
      <c r="DU398" s="978"/>
      <c r="DV398" s="978"/>
      <c r="DW398" s="978"/>
      <c r="DX398" s="978"/>
      <c r="DY398" s="978"/>
      <c r="DZ398" s="978"/>
      <c r="EA398" s="978"/>
      <c r="EB398" s="978"/>
      <c r="EC398" s="978"/>
      <c r="ED398" s="978"/>
      <c r="EE398" s="978"/>
      <c r="EF398" s="978"/>
      <c r="EG398" s="978"/>
      <c r="EH398" s="978"/>
      <c r="EI398" s="978"/>
      <c r="EJ398" s="978"/>
      <c r="EK398" s="978"/>
      <c r="EL398" s="978"/>
      <c r="EM398" s="978"/>
      <c r="EN398" s="978"/>
      <c r="EO398" s="978"/>
      <c r="EP398" s="978"/>
      <c r="EQ398" s="978"/>
      <c r="ER398" s="978"/>
      <c r="ES398" s="978"/>
      <c r="ET398" s="978"/>
      <c r="EU398" s="978"/>
      <c r="EV398" s="978"/>
      <c r="EW398" s="978"/>
      <c r="EX398" s="978"/>
      <c r="EY398" s="978"/>
      <c r="EZ398" s="978"/>
      <c r="FA398" s="978"/>
      <c r="FB398" s="978"/>
      <c r="FC398" s="978"/>
      <c r="FD398" s="978"/>
      <c r="FE398" s="978"/>
      <c r="FF398" s="978"/>
      <c r="FG398" s="978"/>
      <c r="FH398" s="978"/>
      <c r="FI398" s="978"/>
      <c r="FJ398" s="978"/>
      <c r="FK398" s="978"/>
      <c r="FL398" s="978"/>
      <c r="FM398" s="978"/>
      <c r="FN398" s="978"/>
      <c r="FO398" s="978"/>
      <c r="FP398" s="978"/>
      <c r="FQ398" s="978"/>
      <c r="FR398" s="978"/>
      <c r="FS398" s="978"/>
      <c r="FT398" s="978"/>
      <c r="FU398" s="978"/>
      <c r="FV398" s="978"/>
      <c r="FW398" s="978"/>
      <c r="FX398" s="978"/>
      <c r="FY398" s="978"/>
      <c r="FZ398" s="978"/>
      <c r="GA398" s="978"/>
      <c r="GB398" s="978"/>
      <c r="GC398" s="978"/>
      <c r="GD398" s="978"/>
      <c r="GE398" s="978"/>
      <c r="GF398" s="978"/>
      <c r="GG398" s="978"/>
      <c r="GH398" s="978"/>
      <c r="GI398" s="978"/>
      <c r="GJ398" s="978"/>
      <c r="GK398" s="978"/>
      <c r="GL398" s="978"/>
      <c r="GM398" s="978"/>
      <c r="GN398" s="978"/>
      <c r="GO398" s="978"/>
      <c r="GP398" s="978"/>
      <c r="GQ398" s="978"/>
      <c r="GR398" s="978"/>
      <c r="GS398" s="978"/>
      <c r="GT398" s="978"/>
      <c r="GU398" s="978"/>
      <c r="GV398" s="978"/>
      <c r="GW398" s="978"/>
      <c r="GX398" s="978"/>
      <c r="GY398" s="978"/>
      <c r="GZ398" s="978"/>
      <c r="HA398" s="978"/>
      <c r="HB398" s="978"/>
      <c r="HC398" s="978"/>
      <c r="HD398" s="978"/>
      <c r="HE398" s="978"/>
      <c r="HF398" s="978"/>
      <c r="HG398" s="978"/>
      <c r="HH398" s="978"/>
      <c r="HI398" s="978"/>
      <c r="HJ398" s="978"/>
      <c r="HK398" s="978"/>
      <c r="HL398" s="978"/>
      <c r="HM398" s="978"/>
      <c r="HN398" s="978"/>
      <c r="HO398" s="978"/>
      <c r="HP398" s="978"/>
      <c r="HQ398" s="978"/>
      <c r="HR398" s="978"/>
      <c r="HS398" s="978"/>
      <c r="HT398" s="978"/>
      <c r="HU398" s="978"/>
      <c r="HV398" s="978"/>
      <c r="HW398" s="978"/>
      <c r="HX398" s="978"/>
      <c r="HY398" s="978"/>
      <c r="HZ398" s="978"/>
      <c r="IA398" s="978"/>
      <c r="IB398" s="978"/>
      <c r="IC398" s="978"/>
      <c r="ID398" s="978"/>
      <c r="IE398" s="978"/>
      <c r="IF398" s="978"/>
      <c r="IG398" s="978"/>
      <c r="IH398" s="978"/>
      <c r="II398" s="978"/>
      <c r="IJ398" s="978"/>
      <c r="IK398" s="978"/>
      <c r="IL398" s="978"/>
      <c r="IM398" s="978"/>
      <c r="IN398" s="978"/>
      <c r="IO398" s="978"/>
      <c r="IP398" s="978"/>
      <c r="IQ398" s="978"/>
      <c r="IR398" s="978"/>
      <c r="IS398" s="978"/>
      <c r="IT398" s="978"/>
      <c r="IU398" s="978"/>
      <c r="IV398" s="978"/>
      <c r="IW398" s="978"/>
      <c r="IX398" s="978"/>
      <c r="IY398" s="978"/>
      <c r="IZ398" s="978"/>
      <c r="JA398" s="978"/>
      <c r="JB398" s="978"/>
      <c r="JC398" s="978"/>
      <c r="JD398" s="978"/>
      <c r="JE398" s="978"/>
      <c r="JF398" s="978"/>
      <c r="JG398" s="978"/>
      <c r="JH398" s="978"/>
      <c r="JI398" s="978"/>
      <c r="JJ398" s="978"/>
      <c r="JK398" s="978"/>
      <c r="JL398" s="978"/>
      <c r="JM398" s="978"/>
      <c r="JN398" s="978"/>
      <c r="JO398" s="978"/>
      <c r="JP398" s="978"/>
      <c r="JQ398" s="978"/>
      <c r="JR398" s="978"/>
      <c r="JS398" s="978"/>
      <c r="JT398" s="978"/>
      <c r="JU398" s="978"/>
      <c r="JV398" s="978"/>
      <c r="JW398" s="978"/>
      <c r="JX398" s="978"/>
      <c r="JY398" s="978"/>
      <c r="JZ398" s="978"/>
      <c r="KA398" s="978"/>
      <c r="KB398" s="978"/>
      <c r="KC398" s="978"/>
      <c r="KD398" s="978"/>
      <c r="KE398" s="978"/>
      <c r="KF398" s="978"/>
      <c r="KG398" s="978"/>
      <c r="KH398" s="978"/>
      <c r="KI398" s="978"/>
      <c r="KJ398" s="978"/>
      <c r="KK398" s="978"/>
      <c r="KL398" s="978"/>
      <c r="KM398" s="978"/>
      <c r="KN398" s="978"/>
      <c r="KO398" s="978"/>
      <c r="KP398" s="978"/>
      <c r="KQ398" s="978"/>
      <c r="KR398" s="978"/>
      <c r="KS398" s="978"/>
      <c r="KT398" s="978"/>
      <c r="KU398" s="978"/>
      <c r="KV398" s="978"/>
      <c r="KW398" s="978"/>
      <c r="KX398" s="978"/>
      <c r="KY398" s="978"/>
      <c r="KZ398" s="978"/>
      <c r="LA398" s="978"/>
      <c r="LB398" s="978"/>
      <c r="LC398" s="978"/>
      <c r="LD398" s="978"/>
      <c r="LE398" s="978"/>
      <c r="LF398" s="978"/>
      <c r="LG398" s="978"/>
      <c r="LH398" s="978"/>
      <c r="LI398" s="978"/>
      <c r="LJ398" s="978"/>
      <c r="LK398" s="978"/>
      <c r="LL398" s="978"/>
      <c r="LM398" s="978"/>
      <c r="LN398" s="978"/>
      <c r="LO398" s="978"/>
      <c r="LP398" s="978"/>
      <c r="LQ398" s="978"/>
      <c r="LR398" s="978"/>
      <c r="LS398" s="978"/>
      <c r="LT398" s="978"/>
      <c r="LU398" s="978"/>
      <c r="LV398" s="978"/>
      <c r="LW398" s="978"/>
      <c r="LX398" s="978"/>
      <c r="LY398" s="978"/>
      <c r="LZ398" s="978"/>
      <c r="MA398" s="978"/>
      <c r="MB398" s="978"/>
      <c r="MC398" s="978"/>
      <c r="MD398" s="978"/>
      <c r="ME398" s="978"/>
      <c r="MF398" s="978"/>
      <c r="MG398" s="978"/>
      <c r="MH398" s="978"/>
      <c r="MI398" s="978"/>
      <c r="MJ398" s="978"/>
      <c r="MK398" s="978"/>
      <c r="ML398" s="978"/>
      <c r="MM398" s="978"/>
      <c r="MN398" s="978"/>
      <c r="MO398" s="978"/>
      <c r="MP398" s="978"/>
      <c r="MQ398" s="978"/>
      <c r="MR398" s="978"/>
      <c r="MS398" s="978"/>
      <c r="MT398" s="978"/>
      <c r="MU398" s="978"/>
      <c r="MV398" s="978"/>
      <c r="MW398" s="978"/>
      <c r="MX398" s="978"/>
      <c r="MY398" s="978"/>
      <c r="MZ398" s="978"/>
      <c r="NA398" s="978"/>
      <c r="NB398" s="978"/>
      <c r="NC398" s="978"/>
      <c r="ND398" s="978"/>
      <c r="NE398" s="978"/>
      <c r="NF398" s="978"/>
      <c r="NG398" s="978"/>
      <c r="NH398" s="978"/>
      <c r="NI398" s="978"/>
      <c r="NJ398" s="978"/>
      <c r="NK398" s="978"/>
      <c r="NL398" s="978"/>
      <c r="NM398" s="978"/>
      <c r="NN398" s="978"/>
      <c r="NO398" s="978"/>
      <c r="NP398" s="978"/>
      <c r="NQ398" s="978"/>
      <c r="NR398" s="978"/>
      <c r="NS398" s="978"/>
      <c r="NT398" s="978"/>
      <c r="NU398" s="978"/>
      <c r="NV398" s="978"/>
      <c r="NW398" s="978"/>
      <c r="NX398" s="978"/>
      <c r="NY398" s="978"/>
      <c r="NZ398" s="978"/>
      <c r="OA398" s="978"/>
      <c r="OB398" s="978"/>
      <c r="OC398" s="978"/>
      <c r="OD398" s="978"/>
      <c r="OE398" s="978"/>
      <c r="OF398" s="978"/>
      <c r="OG398" s="978"/>
      <c r="OH398" s="978"/>
      <c r="OI398" s="978"/>
      <c r="OJ398" s="978"/>
      <c r="OK398" s="978"/>
      <c r="OL398" s="978"/>
      <c r="OM398" s="978"/>
      <c r="ON398" s="978"/>
      <c r="OO398" s="978"/>
      <c r="OP398" s="978"/>
      <c r="OQ398" s="978"/>
      <c r="OR398" s="978"/>
      <c r="OS398" s="978"/>
      <c r="OT398" s="978"/>
      <c r="OU398" s="978"/>
      <c r="OV398" s="978"/>
      <c r="OW398" s="978"/>
      <c r="OX398" s="978"/>
      <c r="OY398" s="978"/>
      <c r="OZ398" s="978"/>
      <c r="PA398" s="978"/>
      <c r="PB398" s="978"/>
      <c r="PC398" s="978"/>
      <c r="PD398" s="978"/>
      <c r="PE398" s="978"/>
      <c r="PF398" s="978"/>
      <c r="PG398" s="978"/>
      <c r="PH398" s="978"/>
      <c r="PI398" s="978"/>
      <c r="PJ398" s="978"/>
      <c r="PK398" s="978"/>
      <c r="PL398" s="978"/>
      <c r="PM398" s="978"/>
      <c r="PN398" s="978"/>
      <c r="PO398" s="978"/>
      <c r="PP398" s="978"/>
      <c r="PQ398" s="978"/>
      <c r="PR398" s="978"/>
      <c r="PS398" s="978"/>
      <c r="PT398" s="978"/>
      <c r="PU398" s="978"/>
      <c r="PV398" s="978"/>
      <c r="PW398" s="978"/>
      <c r="PX398" s="978"/>
      <c r="PY398" s="978"/>
      <c r="PZ398" s="978"/>
      <c r="QA398" s="978"/>
      <c r="QB398" s="978"/>
      <c r="QC398" s="978"/>
      <c r="QD398" s="978"/>
      <c r="QE398" s="978"/>
      <c r="QF398" s="978"/>
      <c r="QG398" s="978"/>
      <c r="QH398" s="978"/>
      <c r="QI398" s="978"/>
      <c r="QJ398" s="978"/>
      <c r="QK398" s="978"/>
      <c r="QL398" s="978"/>
      <c r="QM398" s="978"/>
      <c r="QN398" s="978"/>
      <c r="QO398" s="978"/>
      <c r="QP398" s="978"/>
      <c r="QQ398" s="978"/>
      <c r="QR398" s="978"/>
      <c r="QS398" s="978"/>
      <c r="QT398" s="978"/>
      <c r="QU398" s="978"/>
      <c r="QV398" s="978"/>
      <c r="QW398" s="978"/>
      <c r="QX398" s="978"/>
      <c r="QY398" s="978"/>
      <c r="QZ398" s="978"/>
      <c r="RA398" s="978"/>
      <c r="RB398" s="274"/>
      <c r="RC398" s="274"/>
    </row>
    <row r="399" spans="112:471" ht="17.25">
      <c r="DH399" s="274"/>
      <c r="DI399" s="274"/>
      <c r="DJ399" s="978"/>
      <c r="DK399" s="978"/>
      <c r="DL399" s="978"/>
      <c r="DM399" s="978"/>
      <c r="DN399" s="978"/>
      <c r="DO399" s="978"/>
      <c r="DP399" s="978"/>
      <c r="DQ399" s="978"/>
      <c r="DR399" s="978"/>
      <c r="DS399" s="978"/>
      <c r="DT399" s="978"/>
      <c r="DU399" s="978"/>
      <c r="DV399" s="978"/>
      <c r="DW399" s="978"/>
      <c r="DX399" s="978"/>
      <c r="DY399" s="978"/>
      <c r="DZ399" s="978"/>
      <c r="EA399" s="978"/>
      <c r="EB399" s="978"/>
      <c r="EC399" s="978"/>
      <c r="ED399" s="978"/>
      <c r="EE399" s="978"/>
      <c r="EF399" s="978"/>
      <c r="EG399" s="978"/>
      <c r="EH399" s="978"/>
      <c r="EI399" s="978"/>
      <c r="EJ399" s="978"/>
      <c r="EK399" s="978"/>
      <c r="EL399" s="978"/>
      <c r="EM399" s="978"/>
      <c r="EN399" s="978"/>
      <c r="EO399" s="978"/>
      <c r="EP399" s="978"/>
      <c r="EQ399" s="978"/>
      <c r="ER399" s="978"/>
      <c r="ES399" s="978"/>
      <c r="ET399" s="978"/>
      <c r="EU399" s="978"/>
      <c r="EV399" s="978"/>
      <c r="EW399" s="978"/>
      <c r="EX399" s="978"/>
      <c r="EY399" s="978"/>
      <c r="EZ399" s="978"/>
      <c r="FA399" s="978"/>
      <c r="FB399" s="978"/>
      <c r="FC399" s="978"/>
      <c r="FD399" s="978"/>
      <c r="FE399" s="978"/>
      <c r="FF399" s="978"/>
      <c r="FG399" s="978"/>
      <c r="FH399" s="978"/>
      <c r="FI399" s="978"/>
      <c r="FJ399" s="978"/>
      <c r="FK399" s="978"/>
      <c r="FL399" s="978"/>
      <c r="FM399" s="978"/>
      <c r="FN399" s="978"/>
      <c r="FO399" s="978"/>
      <c r="FP399" s="978"/>
      <c r="FQ399" s="978"/>
      <c r="FR399" s="978"/>
      <c r="FS399" s="978"/>
      <c r="FT399" s="978"/>
      <c r="FU399" s="978"/>
      <c r="FV399" s="978"/>
      <c r="FW399" s="978"/>
      <c r="FX399" s="978"/>
      <c r="FY399" s="978"/>
      <c r="FZ399" s="978"/>
      <c r="GA399" s="978"/>
      <c r="GB399" s="978"/>
      <c r="GC399" s="978"/>
      <c r="GD399" s="978"/>
      <c r="GE399" s="978"/>
      <c r="GF399" s="978"/>
      <c r="GG399" s="978"/>
      <c r="GH399" s="978"/>
      <c r="GI399" s="978"/>
      <c r="GJ399" s="978"/>
      <c r="GK399" s="978"/>
      <c r="GL399" s="978"/>
      <c r="GM399" s="978"/>
      <c r="GN399" s="978"/>
      <c r="GO399" s="978"/>
      <c r="GP399" s="978"/>
      <c r="GQ399" s="978"/>
      <c r="GR399" s="978"/>
      <c r="GS399" s="978"/>
      <c r="GT399" s="978"/>
      <c r="GU399" s="978"/>
      <c r="GV399" s="978"/>
      <c r="GW399" s="978"/>
      <c r="GX399" s="978"/>
      <c r="GY399" s="978"/>
      <c r="GZ399" s="978"/>
      <c r="HA399" s="978"/>
      <c r="HB399" s="978"/>
      <c r="HC399" s="978"/>
      <c r="HD399" s="978"/>
      <c r="HE399" s="978"/>
      <c r="HF399" s="978"/>
      <c r="HG399" s="978"/>
      <c r="HH399" s="978"/>
      <c r="HI399" s="978"/>
      <c r="HJ399" s="978"/>
      <c r="HK399" s="978"/>
      <c r="HL399" s="978"/>
      <c r="HM399" s="978"/>
      <c r="HN399" s="978"/>
      <c r="HO399" s="978"/>
      <c r="HP399" s="978"/>
      <c r="HQ399" s="978"/>
      <c r="HR399" s="978"/>
      <c r="HS399" s="978"/>
      <c r="HT399" s="978"/>
      <c r="HU399" s="978"/>
      <c r="HV399" s="978"/>
      <c r="HW399" s="978"/>
      <c r="HX399" s="978"/>
      <c r="HY399" s="978"/>
      <c r="HZ399" s="978"/>
      <c r="IA399" s="978"/>
      <c r="IB399" s="978"/>
      <c r="IC399" s="978"/>
      <c r="ID399" s="978"/>
      <c r="IE399" s="978"/>
      <c r="IF399" s="978"/>
      <c r="IG399" s="978"/>
      <c r="IH399" s="978"/>
      <c r="II399" s="978"/>
      <c r="IJ399" s="978"/>
      <c r="IK399" s="978"/>
      <c r="IL399" s="978"/>
      <c r="IM399" s="978"/>
      <c r="IN399" s="978"/>
      <c r="IO399" s="978"/>
      <c r="IP399" s="978"/>
      <c r="IQ399" s="978"/>
      <c r="IR399" s="978"/>
      <c r="IS399" s="978"/>
      <c r="IT399" s="978"/>
      <c r="IU399" s="978"/>
      <c r="IV399" s="978"/>
      <c r="IW399" s="978"/>
      <c r="IX399" s="978"/>
      <c r="IY399" s="978"/>
      <c r="IZ399" s="978"/>
      <c r="JA399" s="978"/>
      <c r="JB399" s="978"/>
      <c r="JC399" s="978"/>
      <c r="JD399" s="978"/>
      <c r="JE399" s="978"/>
      <c r="JF399" s="978"/>
      <c r="JG399" s="978"/>
      <c r="JH399" s="978"/>
      <c r="JI399" s="978"/>
      <c r="JJ399" s="978"/>
      <c r="JK399" s="978"/>
      <c r="JL399" s="978"/>
      <c r="JM399" s="978"/>
      <c r="JN399" s="978"/>
      <c r="JO399" s="978"/>
      <c r="JP399" s="978"/>
      <c r="JQ399" s="978"/>
      <c r="JR399" s="978"/>
      <c r="JS399" s="978"/>
      <c r="JT399" s="978"/>
      <c r="JU399" s="978"/>
      <c r="JV399" s="978"/>
      <c r="JW399" s="978"/>
      <c r="JX399" s="978"/>
      <c r="JY399" s="978"/>
      <c r="JZ399" s="978"/>
      <c r="KA399" s="978"/>
      <c r="KB399" s="978"/>
      <c r="KC399" s="978"/>
      <c r="KD399" s="978"/>
      <c r="KE399" s="978"/>
      <c r="KF399" s="978"/>
      <c r="KG399" s="978"/>
      <c r="KH399" s="978"/>
      <c r="KI399" s="978"/>
      <c r="KJ399" s="978"/>
      <c r="KK399" s="978"/>
      <c r="KL399" s="978"/>
      <c r="KM399" s="978"/>
      <c r="KN399" s="978"/>
      <c r="KO399" s="978"/>
      <c r="KP399" s="978"/>
      <c r="KQ399" s="978"/>
      <c r="KR399" s="978"/>
      <c r="KS399" s="978"/>
      <c r="KT399" s="978"/>
      <c r="KU399" s="978"/>
      <c r="KV399" s="978"/>
      <c r="KW399" s="978"/>
      <c r="KX399" s="978"/>
      <c r="KY399" s="978"/>
      <c r="KZ399" s="978"/>
      <c r="LA399" s="978"/>
      <c r="LB399" s="978"/>
      <c r="LC399" s="978"/>
      <c r="LD399" s="978"/>
      <c r="LE399" s="978"/>
      <c r="LF399" s="978"/>
      <c r="LG399" s="978"/>
      <c r="LH399" s="978"/>
      <c r="LI399" s="978"/>
      <c r="LJ399" s="978"/>
      <c r="LK399" s="978"/>
      <c r="LL399" s="978"/>
      <c r="LM399" s="978"/>
      <c r="LN399" s="978"/>
      <c r="LO399" s="978"/>
      <c r="LP399" s="978"/>
      <c r="LQ399" s="978"/>
      <c r="LR399" s="978"/>
      <c r="LS399" s="978"/>
      <c r="LT399" s="978"/>
      <c r="LU399" s="978"/>
      <c r="LV399" s="978"/>
      <c r="LW399" s="978"/>
      <c r="LX399" s="978"/>
      <c r="LY399" s="978"/>
      <c r="LZ399" s="978"/>
      <c r="MA399" s="978"/>
      <c r="MB399" s="978"/>
      <c r="MC399" s="978"/>
      <c r="MD399" s="978"/>
      <c r="ME399" s="978"/>
      <c r="MF399" s="978"/>
      <c r="MG399" s="978"/>
      <c r="MH399" s="978"/>
      <c r="MI399" s="978"/>
      <c r="MJ399" s="978"/>
      <c r="MK399" s="978"/>
      <c r="ML399" s="978"/>
      <c r="MM399" s="978"/>
      <c r="MN399" s="978"/>
      <c r="MO399" s="978"/>
      <c r="MP399" s="978"/>
      <c r="MQ399" s="978"/>
      <c r="MR399" s="978"/>
      <c r="MS399" s="978"/>
      <c r="MT399" s="978"/>
      <c r="MU399" s="978"/>
      <c r="MV399" s="978"/>
      <c r="MW399" s="978"/>
      <c r="MX399" s="978"/>
      <c r="MY399" s="978"/>
      <c r="MZ399" s="978"/>
      <c r="NA399" s="978"/>
      <c r="NB399" s="978"/>
      <c r="NC399" s="978"/>
      <c r="ND399" s="978"/>
      <c r="NE399" s="978"/>
      <c r="NF399" s="978"/>
      <c r="NG399" s="978"/>
      <c r="NH399" s="978"/>
      <c r="NI399" s="978"/>
      <c r="NJ399" s="978"/>
      <c r="NK399" s="978"/>
      <c r="NL399" s="978"/>
      <c r="NM399" s="978"/>
      <c r="NN399" s="978"/>
      <c r="NO399" s="978"/>
      <c r="NP399" s="978"/>
      <c r="NQ399" s="978"/>
      <c r="NR399" s="978"/>
      <c r="NS399" s="978"/>
      <c r="NT399" s="978"/>
      <c r="NU399" s="978"/>
      <c r="NV399" s="978"/>
      <c r="NW399" s="978"/>
      <c r="NX399" s="978"/>
      <c r="NY399" s="978"/>
      <c r="NZ399" s="978"/>
      <c r="OA399" s="978"/>
      <c r="OB399" s="978"/>
      <c r="OC399" s="978"/>
      <c r="OD399" s="978"/>
      <c r="OE399" s="978"/>
      <c r="OF399" s="978"/>
      <c r="OG399" s="978"/>
      <c r="OH399" s="978"/>
      <c r="OI399" s="978"/>
      <c r="OJ399" s="978"/>
      <c r="OK399" s="978"/>
      <c r="OL399" s="978"/>
      <c r="OM399" s="978"/>
      <c r="ON399" s="978"/>
      <c r="OO399" s="978"/>
      <c r="OP399" s="978"/>
      <c r="OQ399" s="978"/>
      <c r="OR399" s="978"/>
      <c r="OS399" s="978"/>
      <c r="OT399" s="978"/>
      <c r="OU399" s="978"/>
      <c r="OV399" s="978"/>
      <c r="OW399" s="978"/>
      <c r="OX399" s="978"/>
      <c r="OY399" s="978"/>
      <c r="OZ399" s="978"/>
      <c r="PA399" s="978"/>
      <c r="PB399" s="978"/>
      <c r="PC399" s="978"/>
      <c r="PD399" s="978"/>
      <c r="PE399" s="978"/>
      <c r="PF399" s="978"/>
      <c r="PG399" s="978"/>
      <c r="PH399" s="978"/>
      <c r="PI399" s="978"/>
      <c r="PJ399" s="978"/>
      <c r="PK399" s="978"/>
      <c r="PL399" s="978"/>
      <c r="PM399" s="978"/>
      <c r="PN399" s="978"/>
      <c r="PO399" s="978"/>
      <c r="PP399" s="978"/>
      <c r="PQ399" s="978"/>
      <c r="PR399" s="978"/>
      <c r="PS399" s="978"/>
      <c r="PT399" s="978"/>
      <c r="PU399" s="978"/>
      <c r="PV399" s="978"/>
      <c r="PW399" s="978"/>
      <c r="PX399" s="978"/>
      <c r="PY399" s="978"/>
      <c r="PZ399" s="978"/>
      <c r="QA399" s="978"/>
      <c r="QB399" s="978"/>
      <c r="QC399" s="978"/>
      <c r="QD399" s="978"/>
      <c r="QE399" s="978"/>
      <c r="QF399" s="978"/>
      <c r="QG399" s="978"/>
      <c r="QH399" s="978"/>
      <c r="QI399" s="978"/>
      <c r="QJ399" s="978"/>
      <c r="QK399" s="978"/>
      <c r="QL399" s="978"/>
      <c r="QM399" s="978"/>
      <c r="QN399" s="978"/>
      <c r="QO399" s="978"/>
      <c r="QP399" s="978"/>
      <c r="QQ399" s="978"/>
      <c r="QR399" s="978"/>
      <c r="QS399" s="978"/>
      <c r="QT399" s="978"/>
      <c r="QU399" s="978"/>
      <c r="QV399" s="978"/>
      <c r="QW399" s="978"/>
      <c r="QX399" s="978"/>
      <c r="QY399" s="978"/>
      <c r="QZ399" s="978"/>
      <c r="RA399" s="978"/>
      <c r="RB399" s="274"/>
      <c r="RC399" s="274"/>
    </row>
    <row r="400" spans="112:471" ht="17.25">
      <c r="DH400" s="274"/>
      <c r="DI400" s="274"/>
      <c r="DJ400" s="978"/>
      <c r="DK400" s="978"/>
      <c r="DL400" s="978"/>
      <c r="DM400" s="978"/>
      <c r="DN400" s="978"/>
      <c r="DO400" s="978"/>
      <c r="DP400" s="978"/>
      <c r="DQ400" s="978"/>
      <c r="DR400" s="978"/>
      <c r="DS400" s="978"/>
      <c r="DT400" s="978"/>
      <c r="DU400" s="978"/>
      <c r="DV400" s="978"/>
      <c r="DW400" s="978"/>
      <c r="DX400" s="978"/>
      <c r="DY400" s="978"/>
      <c r="DZ400" s="978"/>
      <c r="EA400" s="978"/>
      <c r="EB400" s="978"/>
      <c r="EC400" s="978"/>
      <c r="ED400" s="978"/>
      <c r="EE400" s="978"/>
      <c r="EF400" s="978"/>
      <c r="EG400" s="978"/>
      <c r="EH400" s="978"/>
      <c r="EI400" s="978"/>
      <c r="EJ400" s="978"/>
      <c r="EK400" s="978"/>
      <c r="EL400" s="978"/>
      <c r="EM400" s="978"/>
      <c r="EN400" s="978"/>
      <c r="EO400" s="978"/>
      <c r="EP400" s="978"/>
      <c r="EQ400" s="978"/>
      <c r="ER400" s="978"/>
      <c r="ES400" s="978"/>
      <c r="ET400" s="978"/>
      <c r="EU400" s="978"/>
      <c r="EV400" s="978"/>
      <c r="EW400" s="978"/>
      <c r="EX400" s="978"/>
      <c r="EY400" s="978"/>
      <c r="EZ400" s="978"/>
      <c r="FA400" s="978"/>
      <c r="FB400" s="978"/>
      <c r="FC400" s="978"/>
      <c r="FD400" s="978"/>
      <c r="FE400" s="978"/>
      <c r="FF400" s="978"/>
      <c r="FG400" s="978"/>
      <c r="FH400" s="978"/>
      <c r="FI400" s="978"/>
      <c r="FJ400" s="978"/>
      <c r="FK400" s="978"/>
      <c r="FL400" s="978"/>
      <c r="FM400" s="978"/>
      <c r="FN400" s="978"/>
      <c r="FO400" s="978"/>
      <c r="FP400" s="978"/>
      <c r="FQ400" s="978"/>
      <c r="FR400" s="978"/>
      <c r="FS400" s="978"/>
      <c r="FT400" s="978"/>
      <c r="FU400" s="978"/>
      <c r="FV400" s="978"/>
      <c r="FW400" s="978"/>
      <c r="FX400" s="978"/>
      <c r="FY400" s="978"/>
      <c r="FZ400" s="978"/>
      <c r="GA400" s="978"/>
      <c r="GB400" s="978"/>
      <c r="GC400" s="978"/>
      <c r="GD400" s="978"/>
      <c r="GE400" s="978"/>
      <c r="GF400" s="978"/>
      <c r="GG400" s="978"/>
      <c r="GH400" s="978"/>
      <c r="GI400" s="978"/>
      <c r="GJ400" s="978"/>
      <c r="GK400" s="978"/>
      <c r="GL400" s="978"/>
      <c r="GM400" s="978"/>
      <c r="GN400" s="978"/>
      <c r="GO400" s="978"/>
      <c r="GP400" s="978"/>
      <c r="GQ400" s="978"/>
      <c r="GR400" s="978"/>
      <c r="GS400" s="978"/>
      <c r="GT400" s="978"/>
      <c r="GU400" s="978"/>
      <c r="GV400" s="978"/>
      <c r="GW400" s="978"/>
      <c r="GX400" s="978"/>
      <c r="GY400" s="978"/>
      <c r="GZ400" s="978"/>
      <c r="HA400" s="978"/>
      <c r="HB400" s="978"/>
      <c r="HC400" s="978"/>
      <c r="HD400" s="978"/>
      <c r="HE400" s="978"/>
      <c r="HF400" s="978"/>
      <c r="HG400" s="978"/>
      <c r="HH400" s="978"/>
      <c r="HI400" s="978"/>
      <c r="HJ400" s="978"/>
      <c r="HK400" s="978"/>
      <c r="HL400" s="978"/>
      <c r="HM400" s="978"/>
      <c r="HN400" s="978"/>
      <c r="HO400" s="978"/>
      <c r="HP400" s="978"/>
      <c r="HQ400" s="978"/>
      <c r="HR400" s="978"/>
      <c r="HS400" s="978"/>
      <c r="HT400" s="978"/>
      <c r="HU400" s="978"/>
      <c r="HV400" s="978"/>
      <c r="HW400" s="978"/>
      <c r="HX400" s="978"/>
      <c r="HY400" s="978"/>
      <c r="HZ400" s="978"/>
      <c r="IA400" s="978"/>
      <c r="IB400" s="978"/>
      <c r="IC400" s="978"/>
      <c r="ID400" s="978"/>
      <c r="IE400" s="978"/>
      <c r="IF400" s="978"/>
      <c r="IG400" s="978"/>
      <c r="IH400" s="978"/>
      <c r="II400" s="978"/>
      <c r="IJ400" s="978"/>
      <c r="IK400" s="978"/>
      <c r="IL400" s="978"/>
      <c r="IM400" s="978"/>
      <c r="IN400" s="978"/>
      <c r="IO400" s="978"/>
      <c r="IP400" s="978"/>
      <c r="IQ400" s="978"/>
      <c r="IR400" s="978"/>
      <c r="IS400" s="978"/>
      <c r="IT400" s="978"/>
      <c r="IU400" s="978"/>
      <c r="IV400" s="978"/>
      <c r="IW400" s="978"/>
      <c r="IX400" s="978"/>
      <c r="IY400" s="978"/>
      <c r="IZ400" s="978"/>
      <c r="JA400" s="978"/>
      <c r="JB400" s="978"/>
      <c r="JC400" s="978"/>
      <c r="JD400" s="978"/>
      <c r="JE400" s="978"/>
      <c r="JF400" s="978"/>
      <c r="JG400" s="978"/>
      <c r="JH400" s="978"/>
      <c r="JI400" s="978"/>
      <c r="JJ400" s="978"/>
      <c r="JK400" s="978"/>
      <c r="JL400" s="978"/>
      <c r="JM400" s="978"/>
      <c r="JN400" s="978"/>
      <c r="JO400" s="978"/>
      <c r="JP400" s="978"/>
      <c r="JQ400" s="978"/>
      <c r="JR400" s="978"/>
      <c r="JS400" s="978"/>
      <c r="JT400" s="978"/>
      <c r="JU400" s="978"/>
      <c r="JV400" s="978"/>
      <c r="JW400" s="978"/>
      <c r="JX400" s="978"/>
      <c r="JY400" s="978"/>
      <c r="JZ400" s="978"/>
      <c r="KA400" s="978"/>
      <c r="KB400" s="978"/>
      <c r="KC400" s="978"/>
      <c r="KD400" s="978"/>
      <c r="KE400" s="978"/>
      <c r="KF400" s="978"/>
      <c r="KG400" s="978"/>
      <c r="KH400" s="978"/>
      <c r="KI400" s="978"/>
      <c r="KJ400" s="978"/>
      <c r="KK400" s="978"/>
      <c r="KL400" s="978"/>
      <c r="KM400" s="978"/>
      <c r="KN400" s="978"/>
      <c r="KO400" s="978"/>
      <c r="KP400" s="978"/>
      <c r="KQ400" s="978"/>
      <c r="KR400" s="978"/>
      <c r="KS400" s="978"/>
      <c r="KT400" s="978"/>
      <c r="KU400" s="978"/>
      <c r="KV400" s="978"/>
      <c r="KW400" s="978"/>
      <c r="KX400" s="978"/>
      <c r="KY400" s="978"/>
      <c r="KZ400" s="978"/>
      <c r="LA400" s="978"/>
      <c r="LB400" s="978"/>
      <c r="LC400" s="978"/>
      <c r="LD400" s="978"/>
      <c r="LE400" s="978"/>
      <c r="LF400" s="978"/>
      <c r="LG400" s="978"/>
      <c r="LH400" s="978"/>
      <c r="LI400" s="978"/>
      <c r="LJ400" s="978"/>
      <c r="LK400" s="978"/>
      <c r="LL400" s="978"/>
      <c r="LM400" s="978"/>
      <c r="LN400" s="978"/>
      <c r="LO400" s="978"/>
      <c r="LP400" s="978"/>
      <c r="LQ400" s="978"/>
      <c r="LR400" s="978"/>
      <c r="LS400" s="978"/>
      <c r="LT400" s="978"/>
      <c r="LU400" s="978"/>
      <c r="LV400" s="978"/>
      <c r="LW400" s="978"/>
      <c r="LX400" s="978"/>
      <c r="LY400" s="978"/>
      <c r="LZ400" s="978"/>
      <c r="MA400" s="978"/>
      <c r="MB400" s="978"/>
      <c r="MC400" s="978"/>
      <c r="MD400" s="978"/>
      <c r="ME400" s="978"/>
      <c r="MF400" s="978"/>
      <c r="MG400" s="978"/>
      <c r="MH400" s="978"/>
      <c r="MI400" s="978"/>
      <c r="MJ400" s="978"/>
      <c r="MK400" s="978"/>
      <c r="ML400" s="978"/>
      <c r="MM400" s="978"/>
      <c r="MN400" s="978"/>
      <c r="MO400" s="978"/>
      <c r="MP400" s="978"/>
      <c r="MQ400" s="978"/>
      <c r="MR400" s="978"/>
      <c r="MS400" s="978"/>
      <c r="MT400" s="978"/>
      <c r="MU400" s="978"/>
      <c r="MV400" s="978"/>
      <c r="MW400" s="978"/>
      <c r="MX400" s="978"/>
      <c r="MY400" s="978"/>
      <c r="MZ400" s="978"/>
      <c r="NA400" s="978"/>
      <c r="NB400" s="978"/>
      <c r="NC400" s="978"/>
      <c r="ND400" s="978"/>
      <c r="NE400" s="978"/>
      <c r="NF400" s="978"/>
      <c r="NG400" s="978"/>
      <c r="NH400" s="978"/>
      <c r="NI400" s="978"/>
      <c r="NJ400" s="978"/>
      <c r="NK400" s="978"/>
      <c r="NL400" s="978"/>
      <c r="NM400" s="978"/>
      <c r="NN400" s="978"/>
      <c r="NO400" s="978"/>
      <c r="NP400" s="978"/>
      <c r="NQ400" s="978"/>
      <c r="NR400" s="978"/>
      <c r="NS400" s="978"/>
      <c r="NT400" s="978"/>
      <c r="NU400" s="978"/>
      <c r="NV400" s="978"/>
      <c r="NW400" s="978"/>
      <c r="NX400" s="978"/>
      <c r="NY400" s="978"/>
      <c r="NZ400" s="978"/>
      <c r="OA400" s="978"/>
      <c r="OB400" s="978"/>
      <c r="OC400" s="978"/>
      <c r="OD400" s="978"/>
      <c r="OE400" s="978"/>
      <c r="OF400" s="978"/>
      <c r="OG400" s="978"/>
      <c r="OH400" s="978"/>
      <c r="OI400" s="978"/>
      <c r="OJ400" s="978"/>
      <c r="OK400" s="978"/>
      <c r="OL400" s="978"/>
      <c r="OM400" s="978"/>
      <c r="ON400" s="978"/>
      <c r="OO400" s="978"/>
      <c r="OP400" s="978"/>
      <c r="OQ400" s="978"/>
      <c r="OR400" s="978"/>
      <c r="OS400" s="978"/>
      <c r="OT400" s="978"/>
      <c r="OU400" s="978"/>
      <c r="OV400" s="978"/>
      <c r="OW400" s="978"/>
      <c r="OX400" s="978"/>
      <c r="OY400" s="978"/>
      <c r="OZ400" s="978"/>
      <c r="PA400" s="978"/>
      <c r="PB400" s="978"/>
      <c r="PC400" s="978"/>
      <c r="PD400" s="978"/>
      <c r="PE400" s="978"/>
      <c r="PF400" s="978"/>
      <c r="PG400" s="978"/>
      <c r="PH400" s="978"/>
      <c r="PI400" s="978"/>
      <c r="PJ400" s="978"/>
      <c r="PK400" s="978"/>
      <c r="PL400" s="978"/>
      <c r="PM400" s="978"/>
      <c r="PN400" s="978"/>
      <c r="PO400" s="978"/>
      <c r="PP400" s="978"/>
      <c r="PQ400" s="978"/>
      <c r="PR400" s="978"/>
      <c r="PS400" s="978"/>
      <c r="PT400" s="978"/>
      <c r="PU400" s="978"/>
      <c r="PV400" s="978"/>
      <c r="PW400" s="978"/>
      <c r="PX400" s="978"/>
      <c r="PY400" s="978"/>
      <c r="PZ400" s="978"/>
      <c r="QA400" s="978"/>
      <c r="QB400" s="978"/>
      <c r="QC400" s="978"/>
      <c r="QD400" s="978"/>
      <c r="QE400" s="978"/>
      <c r="QF400" s="978"/>
      <c r="QG400" s="978"/>
      <c r="QH400" s="978"/>
      <c r="QI400" s="978"/>
      <c r="QJ400" s="978"/>
      <c r="QK400" s="978"/>
      <c r="QL400" s="978"/>
      <c r="QM400" s="978"/>
      <c r="QN400" s="978"/>
      <c r="QO400" s="978"/>
      <c r="QP400" s="978"/>
      <c r="QQ400" s="978"/>
      <c r="QR400" s="978"/>
      <c r="QS400" s="978"/>
      <c r="QT400" s="978"/>
      <c r="QU400" s="978"/>
      <c r="QV400" s="978"/>
      <c r="QW400" s="978"/>
      <c r="QX400" s="978"/>
      <c r="QY400" s="978"/>
      <c r="QZ400" s="978"/>
      <c r="RA400" s="978"/>
      <c r="RB400" s="274"/>
      <c r="RC400" s="274"/>
    </row>
    <row r="401" spans="112:471" ht="17.25">
      <c r="DH401" s="274"/>
      <c r="DI401" s="274"/>
      <c r="DJ401" s="978"/>
      <c r="DK401" s="978"/>
      <c r="DL401" s="978"/>
      <c r="DM401" s="978"/>
      <c r="DN401" s="978"/>
      <c r="DO401" s="978"/>
      <c r="DP401" s="978"/>
      <c r="DQ401" s="978"/>
      <c r="DR401" s="978"/>
      <c r="DS401" s="978"/>
      <c r="DT401" s="978"/>
      <c r="DU401" s="978"/>
      <c r="DV401" s="978"/>
      <c r="DW401" s="978"/>
      <c r="DX401" s="978"/>
      <c r="DY401" s="978"/>
      <c r="DZ401" s="978"/>
      <c r="EA401" s="978"/>
      <c r="EB401" s="978"/>
      <c r="EC401" s="978"/>
      <c r="ED401" s="978"/>
      <c r="EE401" s="978"/>
      <c r="EF401" s="978"/>
      <c r="EG401" s="978"/>
      <c r="EH401" s="978"/>
      <c r="EI401" s="978"/>
      <c r="EJ401" s="978"/>
      <c r="EK401" s="978"/>
      <c r="EL401" s="978"/>
      <c r="EM401" s="978"/>
      <c r="EN401" s="978"/>
      <c r="EO401" s="978"/>
      <c r="EP401" s="978"/>
      <c r="EQ401" s="978"/>
      <c r="ER401" s="978"/>
      <c r="ES401" s="978"/>
      <c r="ET401" s="978"/>
      <c r="EU401" s="978"/>
      <c r="EV401" s="978"/>
      <c r="EW401" s="978"/>
      <c r="EX401" s="978"/>
      <c r="EY401" s="978"/>
      <c r="EZ401" s="978"/>
      <c r="FA401" s="978"/>
      <c r="FB401" s="978"/>
      <c r="FC401" s="978"/>
      <c r="FD401" s="978"/>
      <c r="FE401" s="978"/>
      <c r="FF401" s="978"/>
      <c r="FG401" s="978"/>
      <c r="FH401" s="978"/>
      <c r="FI401" s="978"/>
      <c r="FJ401" s="978"/>
      <c r="FK401" s="978"/>
      <c r="FL401" s="978"/>
      <c r="FM401" s="978"/>
      <c r="FN401" s="978"/>
      <c r="FO401" s="978"/>
      <c r="FP401" s="978"/>
      <c r="FQ401" s="978"/>
      <c r="FR401" s="978"/>
      <c r="FS401" s="978"/>
      <c r="FT401" s="978"/>
      <c r="FU401" s="978"/>
      <c r="FV401" s="978"/>
      <c r="FW401" s="978"/>
      <c r="FX401" s="978"/>
      <c r="FY401" s="978"/>
      <c r="FZ401" s="978"/>
      <c r="GA401" s="978"/>
      <c r="GB401" s="978"/>
      <c r="GC401" s="978"/>
      <c r="GD401" s="978"/>
      <c r="GE401" s="978"/>
      <c r="GF401" s="978"/>
      <c r="GG401" s="978"/>
      <c r="GH401" s="978"/>
      <c r="GI401" s="978"/>
      <c r="GJ401" s="978"/>
      <c r="GK401" s="978"/>
      <c r="GL401" s="978"/>
      <c r="GM401" s="978"/>
      <c r="GN401" s="978"/>
      <c r="GO401" s="978"/>
      <c r="GP401" s="978"/>
      <c r="GQ401" s="978"/>
      <c r="GR401" s="978"/>
      <c r="GS401" s="978"/>
      <c r="GT401" s="978"/>
      <c r="GU401" s="978"/>
      <c r="GV401" s="978"/>
      <c r="GW401" s="978"/>
      <c r="GX401" s="978"/>
      <c r="GY401" s="978"/>
      <c r="GZ401" s="978"/>
      <c r="HA401" s="978"/>
      <c r="HB401" s="978"/>
      <c r="HC401" s="978"/>
      <c r="HD401" s="978"/>
      <c r="HE401" s="978"/>
      <c r="HF401" s="978"/>
      <c r="HG401" s="978"/>
      <c r="HH401" s="978"/>
      <c r="HI401" s="978"/>
      <c r="HJ401" s="978"/>
      <c r="HK401" s="978"/>
      <c r="HL401" s="978"/>
      <c r="HM401" s="978"/>
      <c r="HN401" s="978"/>
      <c r="HO401" s="978"/>
      <c r="HP401" s="978"/>
      <c r="HQ401" s="978"/>
      <c r="HR401" s="978"/>
      <c r="HS401" s="978"/>
      <c r="HT401" s="978"/>
      <c r="HU401" s="978"/>
      <c r="HV401" s="978"/>
      <c r="HW401" s="978"/>
      <c r="HX401" s="978"/>
      <c r="HY401" s="978"/>
      <c r="HZ401" s="978"/>
      <c r="IA401" s="978"/>
      <c r="IB401" s="978"/>
      <c r="IC401" s="978"/>
      <c r="ID401" s="978"/>
      <c r="IE401" s="978"/>
      <c r="IF401" s="978"/>
      <c r="IG401" s="978"/>
      <c r="IH401" s="978"/>
      <c r="II401" s="978"/>
      <c r="IJ401" s="978"/>
      <c r="IK401" s="978"/>
      <c r="IL401" s="978"/>
      <c r="IM401" s="978"/>
      <c r="IN401" s="978"/>
      <c r="IO401" s="978"/>
      <c r="IP401" s="978"/>
      <c r="IQ401" s="978"/>
      <c r="IR401" s="978"/>
      <c r="IS401" s="978"/>
      <c r="IT401" s="978"/>
      <c r="IU401" s="978"/>
      <c r="IV401" s="978"/>
      <c r="IW401" s="978"/>
      <c r="IX401" s="978"/>
      <c r="IY401" s="978"/>
      <c r="IZ401" s="978"/>
      <c r="JA401" s="978"/>
      <c r="JB401" s="978"/>
      <c r="JC401" s="978"/>
      <c r="JD401" s="978"/>
      <c r="JE401" s="978"/>
      <c r="JF401" s="978"/>
      <c r="JG401" s="978"/>
      <c r="JH401" s="978"/>
      <c r="JI401" s="978"/>
      <c r="JJ401" s="978"/>
      <c r="JK401" s="978"/>
      <c r="JL401" s="978"/>
      <c r="JM401" s="978"/>
      <c r="JN401" s="978"/>
      <c r="JO401" s="978"/>
      <c r="JP401" s="978"/>
      <c r="JQ401" s="978"/>
      <c r="JR401" s="978"/>
      <c r="JS401" s="978"/>
      <c r="JT401" s="978"/>
      <c r="JU401" s="978"/>
      <c r="JV401" s="978"/>
      <c r="JW401" s="978"/>
      <c r="JX401" s="978"/>
      <c r="JY401" s="978"/>
      <c r="JZ401" s="978"/>
      <c r="KA401" s="978"/>
      <c r="KB401" s="978"/>
      <c r="KC401" s="978"/>
      <c r="KD401" s="978"/>
      <c r="KE401" s="978"/>
      <c r="KF401" s="978"/>
      <c r="KG401" s="978"/>
      <c r="KH401" s="978"/>
      <c r="KI401" s="978"/>
      <c r="KJ401" s="978"/>
      <c r="KK401" s="978"/>
      <c r="KL401" s="978"/>
      <c r="KM401" s="978"/>
      <c r="KN401" s="978"/>
      <c r="KO401" s="978"/>
      <c r="KP401" s="978"/>
      <c r="KQ401" s="978"/>
      <c r="KR401" s="978"/>
      <c r="KS401" s="978"/>
      <c r="KT401" s="978"/>
      <c r="KU401" s="978"/>
      <c r="KV401" s="978"/>
      <c r="KW401" s="978"/>
      <c r="KX401" s="978"/>
      <c r="KY401" s="978"/>
      <c r="KZ401" s="978"/>
      <c r="LA401" s="978"/>
      <c r="LB401" s="978"/>
      <c r="LC401" s="978"/>
      <c r="LD401" s="978"/>
      <c r="LE401" s="978"/>
      <c r="LF401" s="978"/>
      <c r="LG401" s="978"/>
      <c r="LH401" s="978"/>
      <c r="LI401" s="978"/>
      <c r="LJ401" s="978"/>
      <c r="LK401" s="978"/>
      <c r="LL401" s="978"/>
      <c r="LM401" s="978"/>
      <c r="LN401" s="978"/>
      <c r="LO401" s="978"/>
      <c r="LP401" s="978"/>
      <c r="LQ401" s="978"/>
      <c r="LR401" s="978"/>
      <c r="LS401" s="978"/>
      <c r="LT401" s="978"/>
      <c r="LU401" s="978"/>
      <c r="LV401" s="978"/>
      <c r="LW401" s="978"/>
      <c r="LX401" s="978"/>
      <c r="LY401" s="978"/>
      <c r="LZ401" s="978"/>
      <c r="MA401" s="978"/>
      <c r="MB401" s="978"/>
      <c r="MC401" s="978"/>
      <c r="MD401" s="978"/>
      <c r="ME401" s="978"/>
      <c r="MF401" s="978"/>
      <c r="MG401" s="978"/>
      <c r="MH401" s="978"/>
      <c r="MI401" s="978"/>
      <c r="MJ401" s="978"/>
      <c r="MK401" s="978"/>
      <c r="ML401" s="978"/>
      <c r="MM401" s="978"/>
      <c r="MN401" s="978"/>
      <c r="MO401" s="978"/>
      <c r="MP401" s="978"/>
      <c r="MQ401" s="978"/>
      <c r="MR401" s="978"/>
      <c r="MS401" s="978"/>
      <c r="MT401" s="978"/>
      <c r="MU401" s="978"/>
      <c r="MV401" s="978"/>
      <c r="MW401" s="978"/>
      <c r="MX401" s="978"/>
      <c r="MY401" s="978"/>
      <c r="MZ401" s="978"/>
      <c r="NA401" s="978"/>
      <c r="NB401" s="978"/>
      <c r="NC401" s="978"/>
      <c r="ND401" s="978"/>
      <c r="NE401" s="978"/>
      <c r="NF401" s="978"/>
      <c r="NG401" s="978"/>
      <c r="NH401" s="978"/>
      <c r="NI401" s="978"/>
      <c r="NJ401" s="978"/>
      <c r="NK401" s="978"/>
      <c r="NL401" s="978"/>
      <c r="NM401" s="978"/>
      <c r="NN401" s="978"/>
      <c r="NO401" s="978"/>
      <c r="NP401" s="978"/>
      <c r="NQ401" s="978"/>
      <c r="NR401" s="978"/>
      <c r="NS401" s="978"/>
      <c r="NT401" s="978"/>
      <c r="NU401" s="978"/>
      <c r="NV401" s="978"/>
      <c r="NW401" s="978"/>
      <c r="NX401" s="978"/>
      <c r="NY401" s="978"/>
      <c r="NZ401" s="978"/>
      <c r="OA401" s="978"/>
      <c r="OB401" s="978"/>
      <c r="OC401" s="978"/>
      <c r="OD401" s="978"/>
      <c r="OE401" s="978"/>
      <c r="OF401" s="978"/>
      <c r="OG401" s="978"/>
      <c r="OH401" s="978"/>
      <c r="OI401" s="978"/>
      <c r="OJ401" s="978"/>
      <c r="OK401" s="978"/>
      <c r="OL401" s="978"/>
      <c r="OM401" s="978"/>
      <c r="ON401" s="978"/>
      <c r="OO401" s="978"/>
      <c r="OP401" s="978"/>
      <c r="OQ401" s="978"/>
      <c r="OR401" s="978"/>
      <c r="OS401" s="978"/>
      <c r="OT401" s="978"/>
      <c r="OU401" s="978"/>
      <c r="OV401" s="978"/>
      <c r="OW401" s="978"/>
      <c r="OX401" s="978"/>
      <c r="OY401" s="978"/>
      <c r="OZ401" s="978"/>
      <c r="PA401" s="978"/>
      <c r="PB401" s="978"/>
      <c r="PC401" s="978"/>
      <c r="PD401" s="978"/>
      <c r="PE401" s="978"/>
      <c r="PF401" s="978"/>
      <c r="PG401" s="978"/>
      <c r="PH401" s="978"/>
      <c r="PI401" s="978"/>
      <c r="PJ401" s="978"/>
      <c r="PK401" s="978"/>
      <c r="PL401" s="978"/>
      <c r="PM401" s="978"/>
      <c r="PN401" s="978"/>
      <c r="PO401" s="978"/>
      <c r="PP401" s="978"/>
      <c r="PQ401" s="978"/>
      <c r="PR401" s="978"/>
      <c r="PS401" s="978"/>
      <c r="PT401" s="978"/>
      <c r="PU401" s="978"/>
      <c r="PV401" s="978"/>
      <c r="PW401" s="978"/>
      <c r="PX401" s="978"/>
      <c r="PY401" s="978"/>
      <c r="PZ401" s="978"/>
      <c r="QA401" s="978"/>
      <c r="QB401" s="978"/>
      <c r="QC401" s="978"/>
      <c r="QD401" s="978"/>
      <c r="QE401" s="978"/>
      <c r="QF401" s="978"/>
      <c r="QG401" s="978"/>
      <c r="QH401" s="978"/>
      <c r="QI401" s="978"/>
      <c r="QJ401" s="978"/>
      <c r="QK401" s="978"/>
      <c r="QL401" s="978"/>
      <c r="QM401" s="978"/>
      <c r="QN401" s="978"/>
      <c r="QO401" s="978"/>
      <c r="QP401" s="978"/>
      <c r="QQ401" s="978"/>
      <c r="QR401" s="978"/>
      <c r="QS401" s="978"/>
      <c r="QT401" s="978"/>
      <c r="QU401" s="978"/>
      <c r="QV401" s="978"/>
      <c r="QW401" s="978"/>
      <c r="QX401" s="978"/>
      <c r="QY401" s="978"/>
      <c r="QZ401" s="978"/>
      <c r="RA401" s="978"/>
      <c r="RB401" s="274"/>
      <c r="RC401" s="274"/>
    </row>
    <row r="402" spans="112:471" ht="17.25">
      <c r="DH402" s="274"/>
      <c r="DI402" s="274"/>
      <c r="DJ402" s="978"/>
      <c r="DK402" s="978"/>
      <c r="DL402" s="978"/>
      <c r="DM402" s="978"/>
      <c r="DN402" s="978"/>
      <c r="DO402" s="978"/>
      <c r="DP402" s="978"/>
      <c r="DQ402" s="978"/>
      <c r="DR402" s="978"/>
      <c r="DS402" s="978"/>
      <c r="DT402" s="978"/>
      <c r="DU402" s="978"/>
      <c r="DV402" s="978"/>
      <c r="DW402" s="978"/>
      <c r="DX402" s="978"/>
      <c r="DY402" s="978"/>
      <c r="DZ402" s="978"/>
      <c r="EA402" s="978"/>
      <c r="EB402" s="978"/>
      <c r="EC402" s="978"/>
      <c r="ED402" s="978"/>
      <c r="EE402" s="978"/>
      <c r="EF402" s="978"/>
      <c r="EG402" s="978"/>
      <c r="EH402" s="978"/>
      <c r="EI402" s="978"/>
      <c r="EJ402" s="978"/>
      <c r="EK402" s="978"/>
      <c r="EL402" s="978"/>
      <c r="EM402" s="978"/>
      <c r="EN402" s="978"/>
      <c r="EO402" s="978"/>
      <c r="EP402" s="978"/>
      <c r="EQ402" s="978"/>
      <c r="ER402" s="978"/>
      <c r="ES402" s="978"/>
      <c r="ET402" s="978"/>
      <c r="EU402" s="978"/>
      <c r="EV402" s="978"/>
      <c r="EW402" s="978"/>
      <c r="EX402" s="978"/>
      <c r="EY402" s="978"/>
      <c r="EZ402" s="978"/>
      <c r="FA402" s="978"/>
      <c r="FB402" s="978"/>
      <c r="FC402" s="978"/>
      <c r="FD402" s="978"/>
      <c r="FE402" s="978"/>
      <c r="FF402" s="978"/>
      <c r="FG402" s="978"/>
      <c r="FH402" s="978"/>
      <c r="FI402" s="978"/>
      <c r="FJ402" s="978"/>
      <c r="FK402" s="978"/>
      <c r="FL402" s="978"/>
      <c r="FM402" s="978"/>
      <c r="FN402" s="978"/>
      <c r="FO402" s="978"/>
      <c r="FP402" s="978"/>
      <c r="FQ402" s="978"/>
      <c r="FR402" s="978"/>
      <c r="FS402" s="978"/>
      <c r="FT402" s="978"/>
      <c r="FU402" s="978"/>
      <c r="FV402" s="978"/>
      <c r="FW402" s="978"/>
      <c r="FX402" s="978"/>
      <c r="FY402" s="978"/>
      <c r="FZ402" s="978"/>
      <c r="GA402" s="978"/>
      <c r="GB402" s="978"/>
      <c r="GC402" s="978"/>
      <c r="GD402" s="978"/>
      <c r="GE402" s="978"/>
      <c r="GF402" s="978"/>
      <c r="GG402" s="978"/>
      <c r="GH402" s="978"/>
      <c r="GI402" s="978"/>
      <c r="GJ402" s="978"/>
      <c r="GK402" s="978"/>
      <c r="GL402" s="978"/>
      <c r="GM402" s="978"/>
      <c r="GN402" s="978"/>
      <c r="GO402" s="978"/>
      <c r="GP402" s="978"/>
      <c r="GQ402" s="978"/>
      <c r="GR402" s="978"/>
      <c r="GS402" s="978"/>
      <c r="GT402" s="978"/>
      <c r="GU402" s="978"/>
      <c r="GV402" s="978"/>
      <c r="GW402" s="978"/>
      <c r="GX402" s="978"/>
      <c r="GY402" s="978"/>
      <c r="GZ402" s="978"/>
      <c r="HA402" s="978"/>
      <c r="HB402" s="978"/>
      <c r="HC402" s="978"/>
      <c r="HD402" s="978"/>
      <c r="HE402" s="978"/>
      <c r="HF402" s="978"/>
      <c r="HG402" s="978"/>
      <c r="HH402" s="978"/>
      <c r="HI402" s="978"/>
      <c r="HJ402" s="978"/>
      <c r="HK402" s="978"/>
      <c r="HL402" s="978"/>
      <c r="HM402" s="978"/>
      <c r="HN402" s="978"/>
      <c r="HO402" s="978"/>
      <c r="HP402" s="978"/>
      <c r="HQ402" s="978"/>
      <c r="HR402" s="978"/>
      <c r="HS402" s="978"/>
      <c r="HT402" s="978"/>
      <c r="HU402" s="978"/>
      <c r="HV402" s="978"/>
      <c r="HW402" s="978"/>
      <c r="HX402" s="978"/>
      <c r="HY402" s="978"/>
      <c r="HZ402" s="978"/>
      <c r="IA402" s="978"/>
      <c r="IB402" s="978"/>
      <c r="IC402" s="978"/>
      <c r="ID402" s="978"/>
      <c r="IE402" s="978"/>
      <c r="IF402" s="978"/>
      <c r="IG402" s="978"/>
      <c r="IH402" s="978"/>
      <c r="II402" s="978"/>
      <c r="IJ402" s="978"/>
      <c r="IK402" s="978"/>
      <c r="IL402" s="978"/>
      <c r="IM402" s="978"/>
      <c r="IN402" s="978"/>
      <c r="IO402" s="978"/>
      <c r="IP402" s="978"/>
      <c r="IQ402" s="978"/>
      <c r="IR402" s="978"/>
      <c r="IS402" s="978"/>
      <c r="IT402" s="978"/>
      <c r="IU402" s="978"/>
      <c r="IV402" s="978"/>
      <c r="IW402" s="978"/>
      <c r="IX402" s="978"/>
      <c r="IY402" s="978"/>
      <c r="IZ402" s="978"/>
      <c r="JA402" s="978"/>
      <c r="JB402" s="978"/>
      <c r="JC402" s="978"/>
      <c r="JD402" s="978"/>
      <c r="JE402" s="978"/>
      <c r="JF402" s="978"/>
      <c r="JG402" s="978"/>
      <c r="JH402" s="978"/>
      <c r="JI402" s="978"/>
      <c r="JJ402" s="978"/>
      <c r="JK402" s="978"/>
      <c r="JL402" s="978"/>
      <c r="JM402" s="978"/>
      <c r="JN402" s="978"/>
      <c r="JO402" s="978"/>
      <c r="JP402" s="978"/>
      <c r="JQ402" s="978"/>
      <c r="JR402" s="978"/>
      <c r="JS402" s="978"/>
      <c r="JT402" s="978"/>
      <c r="JU402" s="978"/>
      <c r="JV402" s="978"/>
      <c r="JW402" s="978"/>
      <c r="JX402" s="978"/>
      <c r="JY402" s="978"/>
      <c r="JZ402" s="978"/>
      <c r="KA402" s="978"/>
      <c r="KB402" s="978"/>
      <c r="KC402" s="978"/>
      <c r="KD402" s="978"/>
      <c r="KE402" s="978"/>
      <c r="KF402" s="978"/>
      <c r="KG402" s="978"/>
      <c r="KH402" s="978"/>
      <c r="KI402" s="978"/>
      <c r="KJ402" s="978"/>
      <c r="KK402" s="978"/>
      <c r="KL402" s="978"/>
      <c r="KM402" s="978"/>
      <c r="KN402" s="978"/>
      <c r="KO402" s="978"/>
      <c r="KP402" s="978"/>
      <c r="KQ402" s="978"/>
      <c r="KR402" s="978"/>
      <c r="KS402" s="978"/>
      <c r="KT402" s="978"/>
      <c r="KU402" s="978"/>
      <c r="KV402" s="978"/>
      <c r="KW402" s="978"/>
      <c r="KX402" s="978"/>
      <c r="KY402" s="978"/>
      <c r="KZ402" s="978"/>
      <c r="LA402" s="978"/>
      <c r="LB402" s="978"/>
      <c r="LC402" s="978"/>
      <c r="LD402" s="978"/>
      <c r="LE402" s="978"/>
      <c r="LF402" s="978"/>
      <c r="LG402" s="978"/>
      <c r="LH402" s="978"/>
      <c r="LI402" s="978"/>
      <c r="LJ402" s="978"/>
      <c r="LK402" s="978"/>
      <c r="LL402" s="978"/>
      <c r="LM402" s="978"/>
      <c r="LN402" s="978"/>
      <c r="LO402" s="978"/>
      <c r="LP402" s="978"/>
      <c r="LQ402" s="978"/>
      <c r="LR402" s="978"/>
      <c r="LS402" s="978"/>
      <c r="LT402" s="978"/>
      <c r="LU402" s="978"/>
      <c r="LV402" s="978"/>
      <c r="LW402" s="978"/>
      <c r="LX402" s="978"/>
      <c r="LY402" s="978"/>
      <c r="LZ402" s="978"/>
      <c r="MA402" s="978"/>
      <c r="MB402" s="978"/>
      <c r="MC402" s="978"/>
      <c r="MD402" s="978"/>
      <c r="ME402" s="978"/>
      <c r="MF402" s="978"/>
      <c r="MG402" s="978"/>
      <c r="MH402" s="978"/>
      <c r="MI402" s="978"/>
      <c r="MJ402" s="978"/>
      <c r="MK402" s="978"/>
      <c r="ML402" s="978"/>
      <c r="MM402" s="978"/>
      <c r="MN402" s="978"/>
      <c r="MO402" s="978"/>
      <c r="MP402" s="978"/>
      <c r="MQ402" s="978"/>
      <c r="MR402" s="978"/>
      <c r="MS402" s="978"/>
      <c r="MT402" s="978"/>
      <c r="MU402" s="978"/>
      <c r="MV402" s="978"/>
      <c r="MW402" s="978"/>
      <c r="MX402" s="978"/>
      <c r="MY402" s="978"/>
      <c r="MZ402" s="978"/>
      <c r="NA402" s="978"/>
      <c r="NB402" s="978"/>
      <c r="NC402" s="978"/>
      <c r="ND402" s="978"/>
      <c r="NE402" s="978"/>
      <c r="NF402" s="978"/>
      <c r="NG402" s="978"/>
      <c r="NH402" s="978"/>
      <c r="NI402" s="978"/>
      <c r="NJ402" s="978"/>
      <c r="NK402" s="978"/>
      <c r="NL402" s="978"/>
      <c r="NM402" s="978"/>
      <c r="NN402" s="978"/>
      <c r="NO402" s="978"/>
      <c r="NP402" s="978"/>
      <c r="NQ402" s="978"/>
      <c r="NR402" s="978"/>
      <c r="NS402" s="978"/>
      <c r="NT402" s="978"/>
      <c r="NU402" s="978"/>
      <c r="NV402" s="978"/>
      <c r="NW402" s="978"/>
      <c r="NX402" s="978"/>
      <c r="NY402" s="978"/>
      <c r="NZ402" s="978"/>
      <c r="OA402" s="978"/>
      <c r="OB402" s="978"/>
      <c r="OC402" s="978"/>
      <c r="OD402" s="978"/>
      <c r="OE402" s="978"/>
      <c r="OF402" s="978"/>
      <c r="OG402" s="978"/>
      <c r="OH402" s="978"/>
      <c r="OI402" s="978"/>
      <c r="OJ402" s="978"/>
      <c r="OK402" s="978"/>
      <c r="OL402" s="978"/>
      <c r="OM402" s="978"/>
      <c r="ON402" s="978"/>
      <c r="OO402" s="978"/>
      <c r="OP402" s="978"/>
      <c r="OQ402" s="978"/>
      <c r="OR402" s="978"/>
      <c r="OS402" s="978"/>
      <c r="OT402" s="978"/>
      <c r="OU402" s="978"/>
      <c r="OV402" s="978"/>
      <c r="OW402" s="978"/>
      <c r="OX402" s="978"/>
      <c r="OY402" s="978"/>
      <c r="OZ402" s="978"/>
      <c r="PA402" s="978"/>
      <c r="PB402" s="978"/>
      <c r="PC402" s="978"/>
      <c r="PD402" s="978"/>
      <c r="PE402" s="978"/>
      <c r="PF402" s="978"/>
      <c r="PG402" s="978"/>
      <c r="PH402" s="978"/>
      <c r="PI402" s="978"/>
      <c r="PJ402" s="978"/>
      <c r="PK402" s="978"/>
      <c r="PL402" s="978"/>
      <c r="PM402" s="978"/>
      <c r="PN402" s="978"/>
      <c r="PO402" s="978"/>
      <c r="PP402" s="978"/>
      <c r="PQ402" s="978"/>
      <c r="PR402" s="978"/>
      <c r="PS402" s="978"/>
      <c r="PT402" s="978"/>
      <c r="PU402" s="978"/>
      <c r="PV402" s="978"/>
      <c r="PW402" s="978"/>
      <c r="PX402" s="978"/>
      <c r="PY402" s="978"/>
      <c r="PZ402" s="978"/>
      <c r="QA402" s="978"/>
      <c r="QB402" s="978"/>
      <c r="QC402" s="978"/>
      <c r="QD402" s="978"/>
      <c r="QE402" s="978"/>
      <c r="QF402" s="978"/>
      <c r="QG402" s="978"/>
      <c r="QH402" s="978"/>
      <c r="QI402" s="978"/>
      <c r="QJ402" s="978"/>
      <c r="QK402" s="978"/>
      <c r="QL402" s="978"/>
      <c r="QM402" s="978"/>
      <c r="QN402" s="978"/>
      <c r="QO402" s="978"/>
      <c r="QP402" s="978"/>
      <c r="QQ402" s="978"/>
      <c r="QR402" s="978"/>
      <c r="QS402" s="978"/>
      <c r="QT402" s="978"/>
      <c r="QU402" s="978"/>
      <c r="QV402" s="978"/>
      <c r="QW402" s="978"/>
      <c r="QX402" s="978"/>
      <c r="QY402" s="978"/>
      <c r="QZ402" s="978"/>
      <c r="RA402" s="978"/>
      <c r="RB402" s="274"/>
      <c r="RC402" s="274"/>
    </row>
    <row r="403" spans="112:471" ht="17.25">
      <c r="DH403" s="274"/>
      <c r="DI403" s="274"/>
      <c r="DJ403" s="978"/>
      <c r="DK403" s="978"/>
      <c r="DL403" s="978"/>
      <c r="DM403" s="978"/>
      <c r="DN403" s="978"/>
      <c r="DO403" s="978"/>
      <c r="DP403" s="978"/>
      <c r="DQ403" s="978"/>
      <c r="DR403" s="978"/>
      <c r="DS403" s="978"/>
      <c r="DT403" s="978"/>
      <c r="DU403" s="978"/>
      <c r="DV403" s="978"/>
      <c r="DW403" s="978"/>
      <c r="DX403" s="978"/>
      <c r="DY403" s="978"/>
      <c r="DZ403" s="978"/>
      <c r="EA403" s="978"/>
      <c r="EB403" s="978"/>
      <c r="EC403" s="978"/>
      <c r="ED403" s="978"/>
      <c r="EE403" s="978"/>
      <c r="EF403" s="978"/>
      <c r="EG403" s="978"/>
      <c r="EH403" s="978"/>
      <c r="EI403" s="978"/>
      <c r="EJ403" s="978"/>
      <c r="EK403" s="978"/>
      <c r="EL403" s="978"/>
      <c r="EM403" s="978"/>
      <c r="EN403" s="978"/>
      <c r="EO403" s="978"/>
      <c r="EP403" s="978"/>
      <c r="EQ403" s="978"/>
      <c r="ER403" s="978"/>
      <c r="ES403" s="978"/>
      <c r="ET403" s="978"/>
      <c r="EU403" s="978"/>
      <c r="EV403" s="978"/>
      <c r="EW403" s="978"/>
      <c r="EX403" s="978"/>
      <c r="EY403" s="978"/>
      <c r="EZ403" s="978"/>
      <c r="FA403" s="978"/>
      <c r="FB403" s="978"/>
      <c r="FC403" s="978"/>
      <c r="FD403" s="978"/>
      <c r="FE403" s="978"/>
      <c r="FF403" s="978"/>
      <c r="FG403" s="978"/>
      <c r="FH403" s="978"/>
      <c r="FI403" s="978"/>
      <c r="FJ403" s="978"/>
      <c r="FK403" s="978"/>
      <c r="FL403" s="978"/>
      <c r="FM403" s="978"/>
      <c r="FN403" s="978"/>
      <c r="FO403" s="978"/>
      <c r="FP403" s="978"/>
      <c r="FQ403" s="978"/>
      <c r="FR403" s="978"/>
      <c r="FS403" s="978"/>
      <c r="FT403" s="978"/>
      <c r="FU403" s="978"/>
      <c r="FV403" s="978"/>
      <c r="FW403" s="978"/>
      <c r="FX403" s="978"/>
      <c r="FY403" s="978"/>
      <c r="FZ403" s="978"/>
      <c r="GA403" s="978"/>
      <c r="GB403" s="978"/>
      <c r="GC403" s="978"/>
      <c r="GD403" s="978"/>
      <c r="GE403" s="978"/>
      <c r="GF403" s="978"/>
      <c r="GG403" s="978"/>
      <c r="GH403" s="978"/>
      <c r="GI403" s="978"/>
      <c r="GJ403" s="978"/>
      <c r="GK403" s="978"/>
      <c r="GL403" s="978"/>
      <c r="GM403" s="978"/>
      <c r="GN403" s="978"/>
      <c r="GO403" s="978"/>
      <c r="GP403" s="978"/>
      <c r="GQ403" s="978"/>
      <c r="GR403" s="978"/>
      <c r="GS403" s="978"/>
      <c r="GT403" s="978"/>
      <c r="GU403" s="978"/>
      <c r="GV403" s="978"/>
      <c r="GW403" s="978"/>
      <c r="GX403" s="978"/>
      <c r="GY403" s="978"/>
      <c r="GZ403" s="978"/>
      <c r="HA403" s="978"/>
      <c r="HB403" s="978"/>
      <c r="HC403" s="978"/>
      <c r="HD403" s="978"/>
      <c r="HE403" s="978"/>
      <c r="HF403" s="978"/>
      <c r="HG403" s="978"/>
      <c r="HH403" s="978"/>
      <c r="HI403" s="978"/>
      <c r="HJ403" s="978"/>
      <c r="HK403" s="978"/>
      <c r="HL403" s="978"/>
      <c r="HM403" s="978"/>
      <c r="HN403" s="978"/>
      <c r="HO403" s="978"/>
      <c r="HP403" s="978"/>
      <c r="HQ403" s="978"/>
      <c r="HR403" s="978"/>
      <c r="HS403" s="978"/>
      <c r="HT403" s="978"/>
      <c r="HU403" s="978"/>
      <c r="HV403" s="978"/>
      <c r="HW403" s="978"/>
      <c r="HX403" s="978"/>
      <c r="HY403" s="978"/>
      <c r="HZ403" s="978"/>
      <c r="IA403" s="978"/>
      <c r="IB403" s="978"/>
      <c r="IC403" s="978"/>
      <c r="ID403" s="978"/>
      <c r="IE403" s="978"/>
      <c r="IF403" s="978"/>
      <c r="IG403" s="978"/>
      <c r="IH403" s="978"/>
      <c r="II403" s="978"/>
      <c r="IJ403" s="978"/>
      <c r="IK403" s="978"/>
      <c r="IL403" s="978"/>
      <c r="IM403" s="978"/>
      <c r="IN403" s="978"/>
      <c r="IO403" s="978"/>
      <c r="IP403" s="978"/>
      <c r="IQ403" s="978"/>
      <c r="IR403" s="978"/>
      <c r="IS403" s="978"/>
      <c r="IT403" s="978"/>
      <c r="IU403" s="978"/>
      <c r="IV403" s="978"/>
      <c r="IW403" s="978"/>
      <c r="IX403" s="978"/>
      <c r="IY403" s="978"/>
      <c r="IZ403" s="978"/>
      <c r="JA403" s="978"/>
      <c r="JB403" s="978"/>
      <c r="JC403" s="978"/>
      <c r="JD403" s="978"/>
      <c r="JE403" s="978"/>
      <c r="JF403" s="978"/>
      <c r="JG403" s="978"/>
      <c r="JH403" s="978"/>
      <c r="JI403" s="978"/>
      <c r="JJ403" s="978"/>
      <c r="JK403" s="978"/>
      <c r="JL403" s="978"/>
      <c r="JM403" s="978"/>
      <c r="JN403" s="978"/>
      <c r="JO403" s="978"/>
      <c r="JP403" s="978"/>
      <c r="JQ403" s="978"/>
      <c r="JR403" s="978"/>
      <c r="JS403" s="978"/>
      <c r="JT403" s="978"/>
      <c r="JU403" s="978"/>
      <c r="JV403" s="978"/>
      <c r="JW403" s="978"/>
      <c r="JX403" s="978"/>
      <c r="JY403" s="978"/>
      <c r="JZ403" s="978"/>
      <c r="KA403" s="978"/>
      <c r="KB403" s="978"/>
      <c r="KC403" s="978"/>
      <c r="KD403" s="978"/>
      <c r="KE403" s="978"/>
      <c r="KF403" s="978"/>
      <c r="KG403" s="978"/>
      <c r="KH403" s="978"/>
      <c r="KI403" s="978"/>
      <c r="KJ403" s="978"/>
      <c r="KK403" s="978"/>
      <c r="KL403" s="978"/>
      <c r="KM403" s="978"/>
      <c r="KN403" s="978"/>
      <c r="KO403" s="978"/>
      <c r="KP403" s="978"/>
      <c r="KQ403" s="978"/>
      <c r="KR403" s="978"/>
      <c r="KS403" s="978"/>
      <c r="KT403" s="978"/>
      <c r="KU403" s="978"/>
      <c r="KV403" s="978"/>
      <c r="KW403" s="978"/>
      <c r="KX403" s="978"/>
      <c r="KY403" s="978"/>
      <c r="KZ403" s="978"/>
      <c r="LA403" s="978"/>
      <c r="LB403" s="978"/>
      <c r="LC403" s="978"/>
      <c r="LD403" s="978"/>
      <c r="LE403" s="978"/>
      <c r="LF403" s="978"/>
      <c r="LG403" s="978"/>
      <c r="LH403" s="978"/>
      <c r="LI403" s="978"/>
      <c r="LJ403" s="978"/>
      <c r="LK403" s="978"/>
      <c r="LL403" s="978"/>
      <c r="LM403" s="978"/>
      <c r="LN403" s="978"/>
      <c r="LO403" s="978"/>
      <c r="LP403" s="978"/>
      <c r="LQ403" s="978"/>
      <c r="LR403" s="978"/>
      <c r="LS403" s="978"/>
      <c r="LT403" s="978"/>
      <c r="LU403" s="978"/>
      <c r="LV403" s="978"/>
      <c r="LW403" s="978"/>
      <c r="LX403" s="978"/>
      <c r="LY403" s="978"/>
      <c r="LZ403" s="978"/>
      <c r="MA403" s="978"/>
      <c r="MB403" s="978"/>
      <c r="MC403" s="978"/>
      <c r="MD403" s="978"/>
      <c r="ME403" s="978"/>
      <c r="MF403" s="978"/>
      <c r="MG403" s="978"/>
      <c r="MH403" s="978"/>
      <c r="MI403" s="978"/>
      <c r="MJ403" s="978"/>
      <c r="MK403" s="978"/>
      <c r="ML403" s="978"/>
      <c r="MM403" s="978"/>
      <c r="MN403" s="978"/>
      <c r="MO403" s="978"/>
      <c r="MP403" s="978"/>
      <c r="MQ403" s="978"/>
      <c r="MR403" s="978"/>
      <c r="MS403" s="978"/>
      <c r="MT403" s="978"/>
      <c r="MU403" s="978"/>
      <c r="MV403" s="978"/>
      <c r="MW403" s="978"/>
      <c r="MX403" s="978"/>
      <c r="MY403" s="978"/>
      <c r="MZ403" s="978"/>
      <c r="NA403" s="978"/>
      <c r="NB403" s="978"/>
      <c r="NC403" s="978"/>
      <c r="ND403" s="978"/>
      <c r="NE403" s="978"/>
      <c r="NF403" s="978"/>
      <c r="NG403" s="978"/>
      <c r="NH403" s="978"/>
      <c r="NI403" s="978"/>
      <c r="NJ403" s="978"/>
      <c r="NK403" s="978"/>
      <c r="NL403" s="978"/>
      <c r="NM403" s="978"/>
      <c r="NN403" s="978"/>
      <c r="NO403" s="978"/>
      <c r="NP403" s="978"/>
      <c r="NQ403" s="978"/>
      <c r="NR403" s="978"/>
      <c r="NS403" s="978"/>
      <c r="NT403" s="978"/>
      <c r="NU403" s="978"/>
      <c r="NV403" s="978"/>
      <c r="NW403" s="978"/>
      <c r="NX403" s="978"/>
      <c r="NY403" s="978"/>
      <c r="NZ403" s="978"/>
      <c r="OA403" s="978"/>
      <c r="OB403" s="978"/>
      <c r="OC403" s="978"/>
      <c r="OD403" s="978"/>
      <c r="OE403" s="978"/>
      <c r="OF403" s="978"/>
      <c r="OG403" s="978"/>
      <c r="OH403" s="978"/>
      <c r="OI403" s="978"/>
      <c r="OJ403" s="978"/>
      <c r="OK403" s="978"/>
      <c r="OL403" s="978"/>
      <c r="OM403" s="978"/>
      <c r="ON403" s="978"/>
      <c r="OO403" s="978"/>
      <c r="OP403" s="978"/>
      <c r="OQ403" s="978"/>
      <c r="OR403" s="978"/>
      <c r="OS403" s="978"/>
      <c r="OT403" s="978"/>
      <c r="OU403" s="978"/>
      <c r="OV403" s="978"/>
      <c r="OW403" s="978"/>
      <c r="OX403" s="978"/>
      <c r="OY403" s="978"/>
      <c r="OZ403" s="978"/>
      <c r="PA403" s="978"/>
      <c r="PB403" s="978"/>
      <c r="PC403" s="978"/>
      <c r="PD403" s="978"/>
      <c r="PE403" s="978"/>
      <c r="PF403" s="978"/>
      <c r="PG403" s="978"/>
      <c r="PH403" s="978"/>
      <c r="PI403" s="978"/>
      <c r="PJ403" s="978"/>
      <c r="PK403" s="978"/>
      <c r="PL403" s="978"/>
      <c r="PM403" s="978"/>
      <c r="PN403" s="978"/>
      <c r="PO403" s="978"/>
      <c r="PP403" s="978"/>
      <c r="PQ403" s="978"/>
      <c r="PR403" s="978"/>
      <c r="PS403" s="978"/>
      <c r="PT403" s="978"/>
      <c r="PU403" s="978"/>
      <c r="PV403" s="978"/>
      <c r="PW403" s="978"/>
      <c r="PX403" s="978"/>
      <c r="PY403" s="978"/>
      <c r="PZ403" s="978"/>
      <c r="QA403" s="978"/>
      <c r="QB403" s="978"/>
      <c r="QC403" s="978"/>
      <c r="QD403" s="978"/>
      <c r="QE403" s="978"/>
      <c r="QF403" s="978"/>
      <c r="QG403" s="978"/>
      <c r="QH403" s="978"/>
      <c r="QI403" s="978"/>
      <c r="QJ403" s="978"/>
      <c r="QK403" s="978"/>
      <c r="QL403" s="978"/>
      <c r="QM403" s="978"/>
      <c r="QN403" s="978"/>
      <c r="QO403" s="978"/>
      <c r="QP403" s="978"/>
      <c r="QQ403" s="978"/>
      <c r="QR403" s="978"/>
      <c r="QS403" s="978"/>
      <c r="QT403" s="978"/>
      <c r="QU403" s="978"/>
      <c r="QV403" s="978"/>
      <c r="QW403" s="978"/>
      <c r="QX403" s="978"/>
      <c r="QY403" s="978"/>
      <c r="QZ403" s="978"/>
      <c r="RA403" s="978"/>
      <c r="RB403" s="274"/>
      <c r="RC403" s="274"/>
    </row>
    <row r="404" spans="112:471" ht="17.25">
      <c r="DH404" s="274"/>
      <c r="DI404" s="274"/>
      <c r="DJ404" s="978"/>
      <c r="DK404" s="978"/>
      <c r="DL404" s="978"/>
      <c r="DM404" s="978"/>
      <c r="DN404" s="978"/>
      <c r="DO404" s="978"/>
      <c r="DP404" s="978"/>
      <c r="DQ404" s="978"/>
      <c r="DR404" s="978"/>
      <c r="DS404" s="978"/>
      <c r="DT404" s="978"/>
      <c r="DU404" s="978"/>
      <c r="DV404" s="978"/>
      <c r="DW404" s="978"/>
      <c r="DX404" s="978"/>
      <c r="DY404" s="978"/>
      <c r="DZ404" s="978"/>
      <c r="EA404" s="978"/>
      <c r="EB404" s="978"/>
      <c r="EC404" s="978"/>
      <c r="ED404" s="978"/>
      <c r="EE404" s="978"/>
      <c r="EF404" s="978"/>
      <c r="EG404" s="978"/>
      <c r="EH404" s="978"/>
      <c r="EI404" s="978"/>
      <c r="EJ404" s="978"/>
      <c r="EK404" s="978"/>
      <c r="EL404" s="978"/>
      <c r="EM404" s="978"/>
      <c r="EN404" s="978"/>
      <c r="EO404" s="978"/>
      <c r="EP404" s="978"/>
      <c r="EQ404" s="978"/>
      <c r="ER404" s="978"/>
      <c r="ES404" s="978"/>
      <c r="ET404" s="978"/>
      <c r="EU404" s="978"/>
      <c r="EV404" s="978"/>
      <c r="EW404" s="978"/>
      <c r="EX404" s="978"/>
      <c r="EY404" s="978"/>
      <c r="EZ404" s="978"/>
      <c r="FA404" s="978"/>
      <c r="FB404" s="978"/>
      <c r="FC404" s="978"/>
      <c r="FD404" s="978"/>
      <c r="FE404" s="978"/>
      <c r="FF404" s="978"/>
      <c r="FG404" s="978"/>
      <c r="FH404" s="978"/>
      <c r="FI404" s="978"/>
      <c r="FJ404" s="978"/>
      <c r="FK404" s="978"/>
      <c r="FL404" s="978"/>
      <c r="FM404" s="978"/>
      <c r="FN404" s="978"/>
      <c r="FO404" s="978"/>
      <c r="FP404" s="978"/>
      <c r="FQ404" s="978"/>
      <c r="FR404" s="978"/>
      <c r="FS404" s="978"/>
      <c r="FT404" s="978"/>
      <c r="FU404" s="978"/>
      <c r="FV404" s="978"/>
      <c r="FW404" s="978"/>
      <c r="FX404" s="978"/>
      <c r="FY404" s="978"/>
      <c r="FZ404" s="978"/>
      <c r="GA404" s="978"/>
      <c r="GB404" s="978"/>
      <c r="GC404" s="978"/>
      <c r="GD404" s="978"/>
      <c r="GE404" s="978"/>
      <c r="GF404" s="978"/>
      <c r="GG404" s="978"/>
      <c r="GH404" s="978"/>
      <c r="GI404" s="978"/>
      <c r="GJ404" s="978"/>
      <c r="GK404" s="978"/>
      <c r="GL404" s="978"/>
      <c r="GM404" s="978"/>
      <c r="GN404" s="978"/>
      <c r="GO404" s="978"/>
      <c r="GP404" s="978"/>
      <c r="GQ404" s="978"/>
      <c r="GR404" s="978"/>
      <c r="GS404" s="978"/>
      <c r="GT404" s="978"/>
      <c r="GU404" s="978"/>
      <c r="GV404" s="978"/>
      <c r="GW404" s="978"/>
      <c r="GX404" s="978"/>
      <c r="GY404" s="978"/>
      <c r="GZ404" s="978"/>
      <c r="HA404" s="978"/>
      <c r="HB404" s="978"/>
      <c r="HC404" s="978"/>
      <c r="HD404" s="978"/>
      <c r="HE404" s="978"/>
      <c r="HF404" s="978"/>
      <c r="HG404" s="978"/>
      <c r="HH404" s="978"/>
      <c r="HI404" s="978"/>
      <c r="HJ404" s="978"/>
      <c r="HK404" s="978"/>
      <c r="HL404" s="978"/>
      <c r="HM404" s="978"/>
      <c r="HN404" s="978"/>
      <c r="HO404" s="978"/>
      <c r="HP404" s="978"/>
      <c r="HQ404" s="978"/>
      <c r="HR404" s="978"/>
      <c r="HS404" s="978"/>
      <c r="HT404" s="978"/>
      <c r="HU404" s="978"/>
      <c r="HV404" s="978"/>
      <c r="HW404" s="978"/>
      <c r="HX404" s="978"/>
      <c r="HY404" s="978"/>
      <c r="HZ404" s="978"/>
      <c r="IA404" s="978"/>
      <c r="IB404" s="978"/>
      <c r="IC404" s="978"/>
      <c r="ID404" s="978"/>
      <c r="IE404" s="978"/>
      <c r="IF404" s="978"/>
      <c r="IG404" s="978"/>
      <c r="IH404" s="978"/>
      <c r="II404" s="978"/>
      <c r="IJ404" s="978"/>
      <c r="IK404" s="978"/>
      <c r="IL404" s="978"/>
      <c r="IM404" s="978"/>
      <c r="IN404" s="978"/>
      <c r="IO404" s="978"/>
      <c r="IP404" s="978"/>
      <c r="IQ404" s="978"/>
      <c r="IR404" s="978"/>
      <c r="IS404" s="978"/>
      <c r="IT404" s="978"/>
      <c r="IU404" s="978"/>
      <c r="IV404" s="978"/>
      <c r="IW404" s="978"/>
      <c r="IX404" s="978"/>
      <c r="IY404" s="978"/>
      <c r="IZ404" s="978"/>
      <c r="JA404" s="978"/>
      <c r="JB404" s="978"/>
      <c r="JC404" s="978"/>
      <c r="JD404" s="978"/>
      <c r="JE404" s="978"/>
      <c r="JF404" s="978"/>
      <c r="JG404" s="978"/>
      <c r="JH404" s="978"/>
      <c r="JI404" s="978"/>
      <c r="JJ404" s="978"/>
      <c r="JK404" s="978"/>
      <c r="JL404" s="978"/>
      <c r="JM404" s="978"/>
      <c r="JN404" s="978"/>
      <c r="JO404" s="978"/>
      <c r="JP404" s="978"/>
      <c r="JQ404" s="978"/>
      <c r="JR404" s="978"/>
      <c r="JS404" s="978"/>
      <c r="JT404" s="978"/>
      <c r="JU404" s="978"/>
      <c r="JV404" s="978"/>
      <c r="JW404" s="978"/>
      <c r="JX404" s="978"/>
      <c r="JY404" s="978"/>
      <c r="JZ404" s="978"/>
      <c r="KA404" s="978"/>
      <c r="KB404" s="978"/>
      <c r="KC404" s="978"/>
      <c r="KD404" s="978"/>
      <c r="KE404" s="978"/>
      <c r="KF404" s="978"/>
      <c r="KG404" s="978"/>
      <c r="KH404" s="978"/>
      <c r="KI404" s="978"/>
      <c r="KJ404" s="978"/>
      <c r="KK404" s="978"/>
      <c r="KL404" s="978"/>
      <c r="KM404" s="978"/>
      <c r="KN404" s="978"/>
      <c r="KO404" s="978"/>
      <c r="KP404" s="978"/>
      <c r="KQ404" s="978"/>
      <c r="KR404" s="978"/>
      <c r="KS404" s="978"/>
      <c r="KT404" s="978"/>
      <c r="KU404" s="978"/>
      <c r="KV404" s="978"/>
      <c r="KW404" s="978"/>
      <c r="KX404" s="978"/>
      <c r="KY404" s="978"/>
      <c r="KZ404" s="978"/>
      <c r="LA404" s="978"/>
      <c r="LB404" s="978"/>
      <c r="LC404" s="978"/>
      <c r="LD404" s="978"/>
      <c r="LE404" s="978"/>
      <c r="LF404" s="978"/>
      <c r="LG404" s="978"/>
      <c r="LH404" s="978"/>
      <c r="LI404" s="978"/>
      <c r="LJ404" s="978"/>
      <c r="LK404" s="978"/>
      <c r="LL404" s="978"/>
      <c r="LM404" s="978"/>
      <c r="LN404" s="978"/>
      <c r="LO404" s="978"/>
      <c r="LP404" s="978"/>
      <c r="LQ404" s="978"/>
      <c r="LR404" s="978"/>
      <c r="LS404" s="978"/>
      <c r="LT404" s="978"/>
      <c r="LU404" s="978"/>
      <c r="LV404" s="978"/>
      <c r="LW404" s="978"/>
      <c r="LX404" s="978"/>
      <c r="LY404" s="978"/>
      <c r="LZ404" s="978"/>
      <c r="MA404" s="978"/>
      <c r="MB404" s="978"/>
      <c r="MC404" s="978"/>
      <c r="MD404" s="978"/>
      <c r="ME404" s="978"/>
      <c r="MF404" s="978"/>
      <c r="MG404" s="978"/>
      <c r="MH404" s="978"/>
      <c r="MI404" s="978"/>
      <c r="MJ404" s="978"/>
      <c r="MK404" s="978"/>
      <c r="ML404" s="978"/>
      <c r="MM404" s="978"/>
      <c r="MN404" s="978"/>
      <c r="MO404" s="978"/>
      <c r="MP404" s="978"/>
      <c r="MQ404" s="978"/>
      <c r="MR404" s="978"/>
      <c r="MS404" s="978"/>
      <c r="MT404" s="978"/>
      <c r="MU404" s="978"/>
      <c r="MV404" s="978"/>
      <c r="MW404" s="978"/>
      <c r="MX404" s="978"/>
      <c r="MY404" s="978"/>
      <c r="MZ404" s="978"/>
      <c r="NA404" s="978"/>
      <c r="NB404" s="978"/>
      <c r="NC404" s="978"/>
      <c r="ND404" s="978"/>
      <c r="NE404" s="978"/>
      <c r="NF404" s="978"/>
      <c r="NG404" s="978"/>
      <c r="NH404" s="978"/>
      <c r="NI404" s="978"/>
      <c r="NJ404" s="978"/>
      <c r="NK404" s="978"/>
      <c r="NL404" s="978"/>
      <c r="NM404" s="978"/>
      <c r="NN404" s="978"/>
      <c r="NO404" s="978"/>
      <c r="NP404" s="978"/>
      <c r="NQ404" s="978"/>
      <c r="NR404" s="978"/>
      <c r="NS404" s="978"/>
      <c r="NT404" s="978"/>
      <c r="NU404" s="978"/>
      <c r="NV404" s="978"/>
      <c r="NW404" s="978"/>
      <c r="NX404" s="978"/>
      <c r="NY404" s="978"/>
      <c r="NZ404" s="978"/>
      <c r="OA404" s="978"/>
      <c r="OB404" s="978"/>
      <c r="OC404" s="978"/>
      <c r="OD404" s="978"/>
      <c r="OE404" s="978"/>
      <c r="OF404" s="978"/>
      <c r="OG404" s="978"/>
      <c r="OH404" s="978"/>
      <c r="OI404" s="978"/>
      <c r="OJ404" s="978"/>
      <c r="OK404" s="978"/>
      <c r="OL404" s="978"/>
      <c r="OM404" s="978"/>
      <c r="ON404" s="978"/>
      <c r="OO404" s="978"/>
      <c r="OP404" s="978"/>
      <c r="OQ404" s="978"/>
      <c r="OR404" s="978"/>
      <c r="OS404" s="978"/>
      <c r="OT404" s="978"/>
      <c r="OU404" s="978"/>
      <c r="OV404" s="978"/>
      <c r="OW404" s="978"/>
      <c r="OX404" s="978"/>
      <c r="OY404" s="978"/>
      <c r="OZ404" s="978"/>
      <c r="PA404" s="978"/>
      <c r="PB404" s="978"/>
      <c r="PC404" s="978"/>
      <c r="PD404" s="978"/>
      <c r="PE404" s="978"/>
      <c r="PF404" s="978"/>
      <c r="PG404" s="978"/>
      <c r="PH404" s="978"/>
      <c r="PI404" s="978"/>
      <c r="PJ404" s="978"/>
      <c r="PK404" s="978"/>
      <c r="PL404" s="978"/>
      <c r="PM404" s="978"/>
      <c r="PN404" s="978"/>
      <c r="PO404" s="978"/>
      <c r="PP404" s="978"/>
      <c r="PQ404" s="978"/>
      <c r="PR404" s="978"/>
      <c r="PS404" s="978"/>
      <c r="PT404" s="978"/>
      <c r="PU404" s="978"/>
      <c r="PV404" s="978"/>
      <c r="PW404" s="978"/>
      <c r="PX404" s="978"/>
      <c r="PY404" s="978"/>
      <c r="PZ404" s="978"/>
      <c r="QA404" s="978"/>
      <c r="QB404" s="978"/>
      <c r="QC404" s="978"/>
      <c r="QD404" s="978"/>
      <c r="QE404" s="978"/>
      <c r="QF404" s="978"/>
      <c r="QG404" s="978"/>
      <c r="QH404" s="978"/>
      <c r="QI404" s="978"/>
      <c r="QJ404" s="978"/>
      <c r="QK404" s="978"/>
      <c r="QL404" s="978"/>
      <c r="QM404" s="978"/>
      <c r="QN404" s="978"/>
      <c r="QO404" s="978"/>
      <c r="QP404" s="978"/>
      <c r="QQ404" s="978"/>
      <c r="QR404" s="978"/>
      <c r="QS404" s="978"/>
      <c r="QT404" s="978"/>
      <c r="QU404" s="978"/>
      <c r="QV404" s="978"/>
      <c r="QW404" s="978"/>
      <c r="QX404" s="978"/>
      <c r="QY404" s="978"/>
      <c r="QZ404" s="978"/>
      <c r="RA404" s="978"/>
      <c r="RB404" s="274"/>
      <c r="RC404" s="274"/>
    </row>
    <row r="405" spans="112:471" ht="17.25">
      <c r="DH405" s="274"/>
      <c r="DI405" s="274"/>
      <c r="DJ405" s="978"/>
      <c r="DK405" s="978"/>
      <c r="DL405" s="978"/>
      <c r="DM405" s="978"/>
      <c r="DN405" s="978"/>
      <c r="DO405" s="978"/>
      <c r="DP405" s="978"/>
      <c r="DQ405" s="978"/>
      <c r="DR405" s="978"/>
      <c r="DS405" s="978"/>
      <c r="DT405" s="978"/>
      <c r="DU405" s="978"/>
      <c r="DV405" s="978"/>
      <c r="DW405" s="978"/>
      <c r="DX405" s="978"/>
      <c r="DY405" s="978"/>
      <c r="DZ405" s="978"/>
      <c r="EA405" s="978"/>
      <c r="EB405" s="978"/>
      <c r="EC405" s="978"/>
      <c r="ED405" s="978"/>
      <c r="EE405" s="978"/>
      <c r="EF405" s="978"/>
      <c r="EG405" s="978"/>
      <c r="EH405" s="978"/>
      <c r="EI405" s="978"/>
      <c r="EJ405" s="978"/>
      <c r="EK405" s="978"/>
      <c r="EL405" s="978"/>
      <c r="EM405" s="978"/>
      <c r="EN405" s="978"/>
      <c r="EO405" s="978"/>
      <c r="EP405" s="978"/>
      <c r="EQ405" s="978"/>
      <c r="ER405" s="978"/>
      <c r="ES405" s="978"/>
      <c r="ET405" s="978"/>
      <c r="EU405" s="978"/>
      <c r="EV405" s="978"/>
      <c r="EW405" s="978"/>
      <c r="EX405" s="978"/>
      <c r="EY405" s="978"/>
      <c r="EZ405" s="978"/>
      <c r="FA405" s="978"/>
      <c r="FB405" s="978"/>
      <c r="FC405" s="978"/>
      <c r="FD405" s="978"/>
      <c r="FE405" s="978"/>
      <c r="FF405" s="978"/>
      <c r="FG405" s="978"/>
      <c r="FH405" s="978"/>
      <c r="FI405" s="978"/>
      <c r="FJ405" s="978"/>
      <c r="FK405" s="978"/>
      <c r="FL405" s="978"/>
      <c r="FM405" s="978"/>
      <c r="FN405" s="978"/>
      <c r="FO405" s="978"/>
      <c r="FP405" s="978"/>
      <c r="FQ405" s="978"/>
      <c r="FR405" s="978"/>
      <c r="FS405" s="978"/>
      <c r="FT405" s="978"/>
      <c r="FU405" s="978"/>
      <c r="FV405" s="978"/>
      <c r="FW405" s="978"/>
      <c r="FX405" s="978"/>
      <c r="FY405" s="978"/>
      <c r="FZ405" s="978"/>
      <c r="GA405" s="978"/>
      <c r="GB405" s="978"/>
      <c r="GC405" s="978"/>
      <c r="GD405" s="978"/>
      <c r="GE405" s="978"/>
      <c r="GF405" s="978"/>
      <c r="GG405" s="978"/>
      <c r="GH405" s="978"/>
      <c r="GI405" s="978"/>
      <c r="GJ405" s="978"/>
      <c r="GK405" s="978"/>
      <c r="GL405" s="978"/>
      <c r="GM405" s="978"/>
      <c r="GN405" s="978"/>
      <c r="GO405" s="978"/>
      <c r="GP405" s="978"/>
      <c r="GQ405" s="978"/>
      <c r="GR405" s="978"/>
      <c r="GS405" s="978"/>
      <c r="GT405" s="978"/>
      <c r="GU405" s="978"/>
      <c r="GV405" s="978"/>
      <c r="GW405" s="978"/>
      <c r="GX405" s="978"/>
      <c r="GY405" s="978"/>
      <c r="GZ405" s="978"/>
      <c r="HA405" s="978"/>
      <c r="HB405" s="978"/>
      <c r="HC405" s="978"/>
      <c r="HD405" s="978"/>
      <c r="HE405" s="978"/>
      <c r="HF405" s="978"/>
      <c r="HG405" s="978"/>
      <c r="HH405" s="978"/>
      <c r="HI405" s="978"/>
      <c r="HJ405" s="978"/>
      <c r="HK405" s="978"/>
      <c r="HL405" s="978"/>
      <c r="HM405" s="978"/>
      <c r="HN405" s="978"/>
      <c r="HO405" s="978"/>
      <c r="HP405" s="978"/>
      <c r="HQ405" s="978"/>
      <c r="HR405" s="978"/>
      <c r="HS405" s="978"/>
      <c r="HT405" s="978"/>
      <c r="HU405" s="978"/>
      <c r="HV405" s="978"/>
      <c r="HW405" s="978"/>
      <c r="HX405" s="978"/>
      <c r="HY405" s="978"/>
      <c r="HZ405" s="978"/>
      <c r="IA405" s="978"/>
      <c r="IB405" s="978"/>
      <c r="IC405" s="978"/>
      <c r="ID405" s="978"/>
      <c r="IE405" s="978"/>
      <c r="IF405" s="978"/>
      <c r="IG405" s="978"/>
      <c r="IH405" s="978"/>
      <c r="II405" s="978"/>
      <c r="IJ405" s="978"/>
      <c r="IK405" s="978"/>
      <c r="IL405" s="978"/>
      <c r="IM405" s="978"/>
      <c r="IN405" s="978"/>
      <c r="IO405" s="978"/>
      <c r="IP405" s="978"/>
      <c r="IQ405" s="978"/>
      <c r="IR405" s="978"/>
      <c r="IS405" s="978"/>
      <c r="IT405" s="978"/>
      <c r="IU405" s="978"/>
      <c r="IV405" s="978"/>
      <c r="IW405" s="978"/>
      <c r="IX405" s="978"/>
      <c r="IY405" s="978"/>
      <c r="IZ405" s="978"/>
      <c r="JA405" s="978"/>
      <c r="JB405" s="978"/>
      <c r="JC405" s="978"/>
      <c r="JD405" s="978"/>
      <c r="JE405" s="978"/>
      <c r="JF405" s="978"/>
      <c r="JG405" s="978"/>
      <c r="JH405" s="978"/>
      <c r="JI405" s="978"/>
      <c r="JJ405" s="978"/>
      <c r="JK405" s="978"/>
      <c r="JL405" s="978"/>
      <c r="JM405" s="978"/>
      <c r="JN405" s="978"/>
      <c r="JO405" s="978"/>
      <c r="JP405" s="978"/>
      <c r="JQ405" s="978"/>
      <c r="JR405" s="978"/>
      <c r="JS405" s="978"/>
      <c r="JT405" s="978"/>
      <c r="JU405" s="978"/>
      <c r="JV405" s="978"/>
      <c r="JW405" s="978"/>
      <c r="JX405" s="978"/>
      <c r="JY405" s="978"/>
      <c r="JZ405" s="978"/>
      <c r="KA405" s="978"/>
      <c r="KB405" s="978"/>
      <c r="KC405" s="978"/>
      <c r="KD405" s="978"/>
      <c r="KE405" s="978"/>
      <c r="KF405" s="978"/>
      <c r="KG405" s="978"/>
      <c r="KH405" s="978"/>
      <c r="KI405" s="978"/>
      <c r="KJ405" s="978"/>
      <c r="KK405" s="978"/>
      <c r="KL405" s="978"/>
      <c r="KM405" s="978"/>
      <c r="KN405" s="978"/>
      <c r="KO405" s="978"/>
      <c r="KP405" s="978"/>
      <c r="KQ405" s="978"/>
      <c r="KR405" s="978"/>
      <c r="KS405" s="978"/>
      <c r="KT405" s="978"/>
      <c r="KU405" s="978"/>
      <c r="KV405" s="978"/>
      <c r="KW405" s="978"/>
      <c r="KX405" s="978"/>
      <c r="KY405" s="978"/>
      <c r="KZ405" s="978"/>
      <c r="LA405" s="978"/>
      <c r="LB405" s="978"/>
      <c r="LC405" s="978"/>
      <c r="LD405" s="978"/>
      <c r="LE405" s="978"/>
      <c r="LF405" s="978"/>
      <c r="LG405" s="978"/>
      <c r="LH405" s="978"/>
      <c r="LI405" s="978"/>
      <c r="LJ405" s="978"/>
      <c r="LK405" s="978"/>
      <c r="LL405" s="978"/>
      <c r="LM405" s="978"/>
      <c r="LN405" s="978"/>
      <c r="LO405" s="978"/>
      <c r="LP405" s="978"/>
      <c r="LQ405" s="978"/>
      <c r="LR405" s="978"/>
      <c r="LS405" s="978"/>
      <c r="LT405" s="978"/>
      <c r="LU405" s="978"/>
      <c r="LV405" s="978"/>
      <c r="LW405" s="978"/>
      <c r="LX405" s="978"/>
      <c r="LY405" s="978"/>
      <c r="LZ405" s="978"/>
      <c r="MA405" s="978"/>
      <c r="MB405" s="978"/>
      <c r="MC405" s="978"/>
      <c r="MD405" s="978"/>
      <c r="ME405" s="978"/>
      <c r="MF405" s="978"/>
      <c r="MG405" s="978"/>
      <c r="MH405" s="978"/>
      <c r="MI405" s="978"/>
      <c r="MJ405" s="978"/>
      <c r="MK405" s="978"/>
      <c r="ML405" s="978"/>
      <c r="MM405" s="978"/>
      <c r="MN405" s="978"/>
      <c r="MO405" s="978"/>
      <c r="MP405" s="978"/>
      <c r="MQ405" s="978"/>
      <c r="MR405" s="978"/>
      <c r="MS405" s="978"/>
      <c r="MT405" s="978"/>
      <c r="MU405" s="978"/>
      <c r="MV405" s="978"/>
      <c r="MW405" s="978"/>
      <c r="MX405" s="978"/>
      <c r="MY405" s="978"/>
      <c r="MZ405" s="978"/>
      <c r="NA405" s="978"/>
      <c r="NB405" s="978"/>
      <c r="NC405" s="978"/>
      <c r="ND405" s="978"/>
      <c r="NE405" s="978"/>
      <c r="NF405" s="978"/>
      <c r="NG405" s="978"/>
      <c r="NH405" s="978"/>
      <c r="NI405" s="978"/>
      <c r="NJ405" s="978"/>
      <c r="NK405" s="978"/>
      <c r="NL405" s="978"/>
      <c r="NM405" s="978"/>
      <c r="NN405" s="978"/>
      <c r="NO405" s="978"/>
      <c r="NP405" s="978"/>
      <c r="NQ405" s="978"/>
      <c r="NR405" s="978"/>
      <c r="NS405" s="978"/>
      <c r="NT405" s="978"/>
      <c r="NU405" s="978"/>
      <c r="NV405" s="978"/>
      <c r="NW405" s="978"/>
      <c r="NX405" s="978"/>
      <c r="NY405" s="978"/>
      <c r="NZ405" s="978"/>
      <c r="OA405" s="978"/>
      <c r="OB405" s="978"/>
      <c r="OC405" s="978"/>
      <c r="OD405" s="978"/>
      <c r="OE405" s="978"/>
      <c r="OF405" s="978"/>
      <c r="OG405" s="978"/>
      <c r="OH405" s="978"/>
      <c r="OI405" s="978"/>
      <c r="OJ405" s="978"/>
      <c r="OK405" s="978"/>
      <c r="OL405" s="978"/>
      <c r="OM405" s="978"/>
      <c r="ON405" s="978"/>
      <c r="OO405" s="978"/>
      <c r="OP405" s="978"/>
      <c r="OQ405" s="978"/>
      <c r="OR405" s="978"/>
      <c r="OS405" s="978"/>
      <c r="OT405" s="978"/>
      <c r="OU405" s="978"/>
      <c r="OV405" s="978"/>
      <c r="OW405" s="978"/>
      <c r="OX405" s="978"/>
      <c r="OY405" s="978"/>
      <c r="OZ405" s="978"/>
      <c r="PA405" s="978"/>
      <c r="PB405" s="978"/>
      <c r="PC405" s="978"/>
      <c r="PD405" s="978"/>
      <c r="PE405" s="978"/>
      <c r="PF405" s="978"/>
      <c r="PG405" s="978"/>
      <c r="PH405" s="978"/>
      <c r="PI405" s="978"/>
      <c r="PJ405" s="978"/>
      <c r="PK405" s="978"/>
      <c r="PL405" s="978"/>
      <c r="PM405" s="978"/>
      <c r="PN405" s="978"/>
      <c r="PO405" s="978"/>
      <c r="PP405" s="978"/>
      <c r="PQ405" s="978"/>
      <c r="PR405" s="978"/>
      <c r="PS405" s="978"/>
      <c r="PT405" s="978"/>
      <c r="PU405" s="978"/>
      <c r="PV405" s="978"/>
      <c r="PW405" s="978"/>
      <c r="PX405" s="978"/>
      <c r="PY405" s="978"/>
      <c r="PZ405" s="978"/>
      <c r="QA405" s="978"/>
      <c r="QB405" s="978"/>
      <c r="QC405" s="978"/>
      <c r="QD405" s="978"/>
      <c r="QE405" s="978"/>
      <c r="QF405" s="978"/>
      <c r="QG405" s="978"/>
      <c r="QH405" s="978"/>
      <c r="QI405" s="978"/>
      <c r="QJ405" s="978"/>
      <c r="QK405" s="978"/>
      <c r="QL405" s="978"/>
      <c r="QM405" s="978"/>
      <c r="QN405" s="978"/>
      <c r="QO405" s="978"/>
      <c r="QP405" s="978"/>
      <c r="QQ405" s="978"/>
      <c r="QR405" s="978"/>
      <c r="QS405" s="978"/>
      <c r="QT405" s="978"/>
      <c r="QU405" s="978"/>
      <c r="QV405" s="978"/>
      <c r="QW405" s="978"/>
      <c r="QX405" s="978"/>
      <c r="QY405" s="978"/>
      <c r="QZ405" s="978"/>
      <c r="RA405" s="978"/>
      <c r="RB405" s="274"/>
      <c r="RC405" s="274"/>
    </row>
    <row r="406" spans="112:471">
      <c r="DH406" s="274"/>
      <c r="DI406" s="274"/>
      <c r="DJ406" s="274"/>
      <c r="DK406" s="274"/>
      <c r="DL406" s="274"/>
      <c r="DM406" s="274"/>
      <c r="DN406" s="274"/>
      <c r="DO406" s="274"/>
      <c r="DP406" s="274"/>
      <c r="DQ406" s="274"/>
      <c r="DR406" s="274"/>
      <c r="DS406" s="274"/>
      <c r="DT406" s="274"/>
      <c r="DU406" s="274"/>
      <c r="DV406" s="274"/>
      <c r="DW406" s="274"/>
      <c r="DX406" s="274"/>
      <c r="DY406" s="274"/>
      <c r="DZ406" s="274"/>
      <c r="EA406" s="274"/>
      <c r="EB406" s="274"/>
      <c r="EC406" s="274"/>
      <c r="ED406" s="274"/>
      <c r="EE406" s="274"/>
      <c r="EF406" s="274"/>
      <c r="EG406" s="274"/>
      <c r="EH406" s="274"/>
      <c r="EI406" s="274"/>
      <c r="EJ406" s="274"/>
      <c r="EK406" s="274"/>
      <c r="EL406" s="274"/>
      <c r="EM406" s="274"/>
      <c r="EN406" s="274"/>
      <c r="EO406" s="274"/>
      <c r="EP406" s="274"/>
      <c r="EQ406" s="274"/>
      <c r="ER406" s="274"/>
      <c r="ES406" s="274"/>
      <c r="ET406" s="274"/>
      <c r="EU406" s="274"/>
      <c r="EV406" s="274"/>
      <c r="EW406" s="274"/>
      <c r="EX406" s="274"/>
      <c r="EY406" s="274"/>
      <c r="EZ406" s="274"/>
      <c r="FA406" s="274"/>
      <c r="FB406" s="274"/>
      <c r="FC406" s="274"/>
      <c r="FD406" s="274"/>
      <c r="FE406" s="274"/>
      <c r="FF406" s="274"/>
      <c r="FG406" s="274"/>
      <c r="FH406" s="274"/>
      <c r="FI406" s="274"/>
      <c r="FJ406" s="274"/>
      <c r="FK406" s="274"/>
      <c r="FL406" s="274"/>
      <c r="FM406" s="274"/>
      <c r="FN406" s="274"/>
      <c r="FO406" s="274"/>
      <c r="FP406" s="274"/>
      <c r="FQ406" s="274"/>
      <c r="FR406" s="274"/>
      <c r="FS406" s="274"/>
      <c r="FT406" s="274"/>
      <c r="FU406" s="274"/>
      <c r="FV406" s="274"/>
      <c r="FW406" s="274"/>
      <c r="FX406" s="274"/>
      <c r="FY406" s="274"/>
      <c r="FZ406" s="274"/>
      <c r="GA406" s="274"/>
      <c r="GB406" s="274"/>
      <c r="GC406" s="274"/>
      <c r="GD406" s="274"/>
      <c r="GE406" s="274"/>
      <c r="GF406" s="274"/>
      <c r="GG406" s="274"/>
      <c r="GH406" s="274"/>
      <c r="GI406" s="274"/>
      <c r="GJ406" s="274"/>
      <c r="GK406" s="274"/>
      <c r="GL406" s="274"/>
      <c r="GM406" s="274"/>
      <c r="GN406" s="274"/>
      <c r="GO406" s="274"/>
      <c r="GP406" s="274"/>
      <c r="GQ406" s="274"/>
      <c r="GR406" s="274"/>
      <c r="GS406" s="274"/>
      <c r="GT406" s="274"/>
      <c r="GU406" s="274"/>
      <c r="GV406" s="274"/>
      <c r="GW406" s="274"/>
      <c r="GX406" s="274"/>
      <c r="GY406" s="274"/>
      <c r="GZ406" s="274"/>
      <c r="HA406" s="274"/>
      <c r="HB406" s="274"/>
      <c r="HC406" s="274"/>
      <c r="HD406" s="274"/>
      <c r="HE406" s="274"/>
      <c r="HF406" s="274"/>
      <c r="HG406" s="274"/>
      <c r="HH406" s="274"/>
      <c r="HI406" s="274"/>
      <c r="HJ406" s="274"/>
      <c r="HK406" s="274"/>
      <c r="HL406" s="274"/>
      <c r="HM406" s="274"/>
      <c r="HN406" s="274"/>
      <c r="HO406" s="274"/>
      <c r="HP406" s="274"/>
      <c r="HQ406" s="274"/>
      <c r="HR406" s="274"/>
      <c r="HS406" s="274"/>
      <c r="HT406" s="274"/>
      <c r="HU406" s="274"/>
      <c r="HV406" s="274"/>
      <c r="HW406" s="274"/>
      <c r="HX406" s="274"/>
      <c r="HY406" s="274"/>
      <c r="HZ406" s="274"/>
      <c r="IA406" s="274"/>
      <c r="IB406" s="274"/>
      <c r="IC406" s="274"/>
      <c r="ID406" s="274"/>
      <c r="IE406" s="274"/>
      <c r="IF406" s="274"/>
      <c r="IG406" s="274"/>
      <c r="IH406" s="274"/>
      <c r="II406" s="274"/>
      <c r="IJ406" s="274"/>
      <c r="IK406" s="274"/>
      <c r="IL406" s="274"/>
      <c r="IM406" s="274"/>
      <c r="IN406" s="274"/>
      <c r="IO406" s="274"/>
      <c r="IP406" s="274"/>
      <c r="IQ406" s="274"/>
      <c r="IR406" s="274"/>
      <c r="IS406" s="274"/>
      <c r="IT406" s="274"/>
      <c r="IU406" s="274"/>
      <c r="IV406" s="274"/>
      <c r="IW406" s="274"/>
      <c r="IX406" s="274"/>
      <c r="IY406" s="274"/>
      <c r="IZ406" s="274"/>
      <c r="JA406" s="274"/>
      <c r="JB406" s="274"/>
      <c r="JC406" s="274"/>
      <c r="JD406" s="274"/>
      <c r="JE406" s="274"/>
      <c r="JF406" s="274"/>
      <c r="JG406" s="274"/>
      <c r="JH406" s="274"/>
      <c r="JI406" s="274"/>
      <c r="JJ406" s="274"/>
      <c r="JK406" s="274"/>
      <c r="JL406" s="274"/>
      <c r="JM406" s="274"/>
      <c r="JN406" s="274"/>
      <c r="JO406" s="274"/>
      <c r="JP406" s="274"/>
      <c r="JQ406" s="274"/>
      <c r="JR406" s="274"/>
      <c r="JS406" s="274"/>
      <c r="JT406" s="274"/>
      <c r="JU406" s="274"/>
      <c r="JV406" s="274"/>
      <c r="JW406" s="274"/>
      <c r="JX406" s="274"/>
      <c r="JY406" s="274"/>
      <c r="JZ406" s="274"/>
      <c r="KA406" s="274"/>
      <c r="KB406" s="274"/>
      <c r="KC406" s="274"/>
      <c r="KD406" s="274"/>
      <c r="KE406" s="274"/>
      <c r="KF406" s="274"/>
      <c r="KG406" s="274"/>
      <c r="KH406" s="274"/>
      <c r="KI406" s="274"/>
      <c r="KJ406" s="274"/>
      <c r="KK406" s="274"/>
      <c r="KL406" s="274"/>
      <c r="KM406" s="274"/>
      <c r="KN406" s="274"/>
      <c r="KO406" s="274"/>
      <c r="KP406" s="274"/>
      <c r="KQ406" s="274"/>
      <c r="KR406" s="274"/>
      <c r="KS406" s="274"/>
      <c r="KT406" s="274"/>
      <c r="KU406" s="274"/>
      <c r="KV406" s="274"/>
      <c r="KW406" s="274"/>
      <c r="KX406" s="274"/>
      <c r="KY406" s="274"/>
      <c r="KZ406" s="274"/>
      <c r="LA406" s="274"/>
      <c r="LB406" s="274"/>
      <c r="LC406" s="274"/>
      <c r="LD406" s="274"/>
      <c r="LE406" s="274"/>
      <c r="LF406" s="274"/>
      <c r="LG406" s="274"/>
      <c r="LH406" s="274"/>
      <c r="LI406" s="274"/>
      <c r="LJ406" s="274"/>
      <c r="LK406" s="274"/>
      <c r="LL406" s="274"/>
      <c r="LM406" s="274"/>
      <c r="LN406" s="274"/>
      <c r="LO406" s="274"/>
      <c r="LP406" s="274"/>
      <c r="LQ406" s="274"/>
      <c r="LR406" s="274"/>
      <c r="LS406" s="274"/>
      <c r="LT406" s="274"/>
      <c r="LU406" s="274"/>
      <c r="LV406" s="274"/>
      <c r="LW406" s="274"/>
      <c r="LX406" s="274"/>
      <c r="LY406" s="274"/>
      <c r="LZ406" s="274"/>
      <c r="MA406" s="274"/>
      <c r="MB406" s="274"/>
      <c r="MC406" s="274"/>
      <c r="MD406" s="274"/>
      <c r="ME406" s="274"/>
      <c r="MF406" s="274"/>
      <c r="MG406" s="274"/>
      <c r="MH406" s="274"/>
      <c r="MI406" s="274"/>
      <c r="MJ406" s="274"/>
      <c r="MK406" s="274"/>
      <c r="ML406" s="274"/>
      <c r="MM406" s="274"/>
      <c r="MN406" s="274"/>
      <c r="MO406" s="274"/>
      <c r="MP406" s="274"/>
      <c r="MQ406" s="274"/>
      <c r="MR406" s="274"/>
      <c r="MS406" s="274"/>
      <c r="MT406" s="274"/>
      <c r="MU406" s="274"/>
      <c r="MV406" s="274"/>
      <c r="MW406" s="274"/>
      <c r="MX406" s="274"/>
      <c r="MY406" s="274"/>
      <c r="MZ406" s="274"/>
      <c r="NA406" s="274"/>
      <c r="NB406" s="274"/>
      <c r="NC406" s="274"/>
      <c r="ND406" s="274"/>
      <c r="NE406" s="274"/>
      <c r="NF406" s="274"/>
      <c r="NG406" s="274"/>
      <c r="NH406" s="274"/>
      <c r="NI406" s="274"/>
      <c r="NJ406" s="274"/>
      <c r="NK406" s="274"/>
      <c r="NL406" s="274"/>
      <c r="NM406" s="274"/>
      <c r="NN406" s="274"/>
      <c r="NO406" s="274"/>
      <c r="NP406" s="274"/>
      <c r="NQ406" s="274"/>
      <c r="NR406" s="274"/>
      <c r="NS406" s="274"/>
      <c r="NT406" s="274"/>
      <c r="NU406" s="274"/>
      <c r="NV406" s="274"/>
      <c r="NW406" s="274"/>
      <c r="NX406" s="274"/>
      <c r="NY406" s="274"/>
      <c r="NZ406" s="274"/>
      <c r="OA406" s="274"/>
      <c r="OB406" s="274"/>
      <c r="OC406" s="274"/>
      <c r="OD406" s="274"/>
      <c r="OE406" s="274"/>
      <c r="OF406" s="274"/>
      <c r="OG406" s="274"/>
      <c r="OH406" s="274"/>
      <c r="OI406" s="274"/>
      <c r="OJ406" s="274"/>
      <c r="OK406" s="274"/>
      <c r="OL406" s="274"/>
      <c r="OM406" s="274"/>
      <c r="ON406" s="274"/>
      <c r="OO406" s="274"/>
      <c r="OP406" s="274"/>
      <c r="OQ406" s="274"/>
      <c r="OR406" s="274"/>
      <c r="OS406" s="274"/>
      <c r="OT406" s="274"/>
      <c r="OU406" s="274"/>
      <c r="OV406" s="274"/>
      <c r="OW406" s="274"/>
      <c r="OX406" s="274"/>
      <c r="OY406" s="274"/>
      <c r="OZ406" s="274"/>
      <c r="PA406" s="274"/>
      <c r="PB406" s="274"/>
      <c r="PC406" s="274"/>
      <c r="PD406" s="274"/>
      <c r="PE406" s="274"/>
      <c r="PF406" s="274"/>
      <c r="PG406" s="274"/>
      <c r="PH406" s="274"/>
      <c r="PI406" s="274"/>
      <c r="PJ406" s="274"/>
      <c r="PK406" s="274"/>
      <c r="PL406" s="274"/>
      <c r="PM406" s="274"/>
      <c r="PN406" s="274"/>
      <c r="PO406" s="274"/>
      <c r="PP406" s="274"/>
      <c r="PQ406" s="274"/>
      <c r="PR406" s="274"/>
      <c r="PS406" s="274"/>
      <c r="PT406" s="274"/>
      <c r="PU406" s="274"/>
      <c r="PV406" s="274"/>
      <c r="PW406" s="274"/>
      <c r="PX406" s="274"/>
      <c r="PY406" s="274"/>
      <c r="PZ406" s="274"/>
      <c r="QA406" s="274"/>
      <c r="QB406" s="274"/>
      <c r="QC406" s="274"/>
      <c r="QD406" s="274"/>
      <c r="QE406" s="274"/>
      <c r="QF406" s="274"/>
      <c r="QG406" s="274"/>
      <c r="QH406" s="274"/>
      <c r="QI406" s="274"/>
      <c r="QJ406" s="274"/>
      <c r="QK406" s="274"/>
      <c r="QL406" s="274"/>
      <c r="QM406" s="274"/>
      <c r="QN406" s="274"/>
      <c r="QO406" s="274"/>
      <c r="QP406" s="274"/>
      <c r="QQ406" s="274"/>
      <c r="QR406" s="274"/>
      <c r="QS406" s="274"/>
      <c r="QT406" s="274"/>
      <c r="QU406" s="274"/>
      <c r="QV406" s="274"/>
      <c r="QW406" s="274"/>
      <c r="QX406" s="274"/>
      <c r="QY406" s="274"/>
      <c r="QZ406" s="274"/>
      <c r="RA406" s="274"/>
      <c r="RB406" s="274"/>
      <c r="RC406" s="274"/>
    </row>
    <row r="407" spans="112:471">
      <c r="DH407" s="274"/>
      <c r="DI407" s="274"/>
      <c r="DJ407" s="274"/>
      <c r="DK407" s="274"/>
      <c r="DL407" s="274"/>
      <c r="DM407" s="274"/>
      <c r="DN407" s="274"/>
      <c r="DO407" s="274"/>
      <c r="DP407" s="274"/>
      <c r="DQ407" s="274"/>
      <c r="DR407" s="274"/>
      <c r="DS407" s="274"/>
      <c r="DT407" s="274"/>
      <c r="DU407" s="274"/>
      <c r="DV407" s="274"/>
      <c r="DW407" s="274"/>
      <c r="DX407" s="274"/>
      <c r="DY407" s="274"/>
      <c r="DZ407" s="274"/>
      <c r="EA407" s="274"/>
      <c r="EB407" s="274"/>
      <c r="EC407" s="274"/>
      <c r="ED407" s="274"/>
      <c r="EE407" s="274"/>
      <c r="EF407" s="274"/>
      <c r="EG407" s="274"/>
      <c r="EH407" s="274"/>
      <c r="EI407" s="274"/>
      <c r="EJ407" s="274"/>
      <c r="EK407" s="274"/>
      <c r="EL407" s="274"/>
      <c r="EM407" s="274"/>
      <c r="EN407" s="274"/>
      <c r="EO407" s="274"/>
      <c r="EP407" s="274"/>
      <c r="EQ407" s="274"/>
      <c r="ER407" s="274"/>
      <c r="ES407" s="274"/>
      <c r="ET407" s="274"/>
      <c r="EU407" s="274"/>
      <c r="EV407" s="274"/>
      <c r="EW407" s="274"/>
      <c r="EX407" s="274"/>
      <c r="EY407" s="274"/>
      <c r="EZ407" s="274"/>
      <c r="FA407" s="274"/>
      <c r="FB407" s="274"/>
      <c r="FC407" s="274"/>
      <c r="FD407" s="274"/>
      <c r="FE407" s="274"/>
      <c r="FF407" s="274"/>
      <c r="FG407" s="274"/>
      <c r="FH407" s="274"/>
      <c r="FI407" s="274"/>
      <c r="FJ407" s="274"/>
      <c r="FK407" s="274"/>
      <c r="FL407" s="274"/>
      <c r="FM407" s="274"/>
      <c r="FN407" s="274"/>
      <c r="FO407" s="274"/>
      <c r="FP407" s="274"/>
      <c r="FQ407" s="274"/>
      <c r="FR407" s="274"/>
      <c r="FS407" s="274"/>
      <c r="FT407" s="274"/>
      <c r="FU407" s="274"/>
      <c r="FV407" s="274"/>
      <c r="FW407" s="274"/>
      <c r="FX407" s="274"/>
      <c r="FY407" s="274"/>
      <c r="FZ407" s="274"/>
      <c r="GA407" s="274"/>
      <c r="GB407" s="274"/>
      <c r="GC407" s="274"/>
      <c r="GD407" s="274"/>
      <c r="GE407" s="274"/>
      <c r="GF407" s="274"/>
      <c r="GG407" s="274"/>
      <c r="GH407" s="274"/>
      <c r="GI407" s="274"/>
      <c r="GJ407" s="274"/>
      <c r="GK407" s="274"/>
      <c r="GL407" s="274"/>
      <c r="GM407" s="274"/>
      <c r="GN407" s="274"/>
      <c r="GO407" s="274"/>
      <c r="GP407" s="274"/>
      <c r="GQ407" s="274"/>
      <c r="GR407" s="274"/>
      <c r="GS407" s="274"/>
      <c r="GT407" s="274"/>
      <c r="GU407" s="274"/>
      <c r="GV407" s="274"/>
      <c r="GW407" s="274"/>
      <c r="GX407" s="274"/>
      <c r="GY407" s="274"/>
      <c r="GZ407" s="274"/>
      <c r="HA407" s="274"/>
      <c r="HB407" s="274"/>
      <c r="HC407" s="274"/>
      <c r="HD407" s="274"/>
      <c r="HE407" s="274"/>
      <c r="HF407" s="274"/>
      <c r="HG407" s="274"/>
      <c r="HH407" s="274"/>
      <c r="HI407" s="274"/>
      <c r="HJ407" s="274"/>
      <c r="HK407" s="274"/>
      <c r="HL407" s="274"/>
      <c r="HM407" s="274"/>
      <c r="HN407" s="274"/>
      <c r="HO407" s="274"/>
      <c r="HP407" s="274"/>
      <c r="HQ407" s="274"/>
      <c r="HR407" s="274"/>
      <c r="HS407" s="274"/>
      <c r="HT407" s="274"/>
      <c r="HU407" s="274"/>
      <c r="HV407" s="274"/>
      <c r="HW407" s="274"/>
      <c r="HX407" s="274"/>
      <c r="HY407" s="274"/>
      <c r="HZ407" s="274"/>
      <c r="IA407" s="274"/>
      <c r="IB407" s="274"/>
      <c r="IC407" s="274"/>
      <c r="ID407" s="274"/>
      <c r="IE407" s="274"/>
      <c r="IF407" s="274"/>
      <c r="IG407" s="274"/>
      <c r="IH407" s="274"/>
      <c r="II407" s="274"/>
      <c r="IJ407" s="274"/>
      <c r="IK407" s="274"/>
      <c r="IL407" s="274"/>
      <c r="IM407" s="274"/>
      <c r="IN407" s="274"/>
      <c r="IO407" s="274"/>
      <c r="IP407" s="274"/>
      <c r="IQ407" s="274"/>
      <c r="IR407" s="274"/>
      <c r="IS407" s="274"/>
      <c r="IT407" s="274"/>
      <c r="IU407" s="274"/>
      <c r="IV407" s="274"/>
      <c r="IW407" s="274"/>
      <c r="IX407" s="274"/>
      <c r="IY407" s="274"/>
      <c r="IZ407" s="274"/>
      <c r="JA407" s="274"/>
      <c r="JB407" s="274"/>
      <c r="JC407" s="274"/>
      <c r="JD407" s="274"/>
      <c r="JE407" s="274"/>
      <c r="JF407" s="274"/>
      <c r="JG407" s="274"/>
      <c r="JH407" s="274"/>
      <c r="JI407" s="274"/>
      <c r="JJ407" s="274"/>
      <c r="JK407" s="274"/>
      <c r="JL407" s="274"/>
      <c r="JM407" s="274"/>
      <c r="JN407" s="274"/>
      <c r="JO407" s="274"/>
      <c r="JP407" s="274"/>
      <c r="JQ407" s="274"/>
      <c r="JR407" s="274"/>
      <c r="JS407" s="274"/>
      <c r="JT407" s="274"/>
      <c r="JU407" s="274"/>
      <c r="JV407" s="274"/>
      <c r="JW407" s="274"/>
      <c r="JX407" s="274"/>
      <c r="JY407" s="274"/>
      <c r="JZ407" s="274"/>
      <c r="KA407" s="274"/>
      <c r="KB407" s="274"/>
      <c r="KC407" s="274"/>
      <c r="KD407" s="274"/>
      <c r="KE407" s="274"/>
      <c r="KF407" s="274"/>
      <c r="KG407" s="274"/>
      <c r="KH407" s="274"/>
      <c r="KI407" s="274"/>
      <c r="KJ407" s="274"/>
      <c r="KK407" s="274"/>
      <c r="KL407" s="274"/>
      <c r="KM407" s="274"/>
      <c r="KN407" s="274"/>
      <c r="KO407" s="274"/>
      <c r="KP407" s="274"/>
      <c r="KQ407" s="274"/>
      <c r="KR407" s="274"/>
      <c r="KS407" s="274"/>
      <c r="KT407" s="274"/>
      <c r="KU407" s="274"/>
      <c r="KV407" s="274"/>
      <c r="KW407" s="274"/>
      <c r="KX407" s="274"/>
      <c r="KY407" s="274"/>
      <c r="KZ407" s="274"/>
      <c r="LA407" s="274"/>
      <c r="LB407" s="274"/>
      <c r="LC407" s="274"/>
      <c r="LD407" s="274"/>
      <c r="LE407" s="274"/>
      <c r="LF407" s="274"/>
      <c r="LG407" s="274"/>
      <c r="LH407" s="274"/>
      <c r="LI407" s="274"/>
      <c r="LJ407" s="274"/>
      <c r="LK407" s="274"/>
      <c r="LL407" s="274"/>
      <c r="LM407" s="274"/>
      <c r="LN407" s="274"/>
      <c r="LO407" s="274"/>
      <c r="LP407" s="274"/>
      <c r="LQ407" s="274"/>
      <c r="LR407" s="274"/>
      <c r="LS407" s="274"/>
      <c r="LT407" s="274"/>
      <c r="LU407" s="274"/>
      <c r="LV407" s="274"/>
      <c r="LW407" s="274"/>
      <c r="LX407" s="274"/>
      <c r="LY407" s="274"/>
      <c r="LZ407" s="274"/>
      <c r="MA407" s="274"/>
      <c r="MB407" s="274"/>
      <c r="MC407" s="274"/>
      <c r="MD407" s="274"/>
      <c r="ME407" s="274"/>
      <c r="MF407" s="274"/>
      <c r="MG407" s="274"/>
      <c r="MH407" s="274"/>
      <c r="MI407" s="274"/>
      <c r="MJ407" s="274"/>
      <c r="MK407" s="274"/>
      <c r="ML407" s="274"/>
      <c r="MM407" s="274"/>
      <c r="MN407" s="274"/>
      <c r="MO407" s="274"/>
      <c r="MP407" s="274"/>
      <c r="MQ407" s="274"/>
      <c r="MR407" s="274"/>
      <c r="MS407" s="274"/>
      <c r="MT407" s="274"/>
      <c r="MU407" s="274"/>
      <c r="MV407" s="274"/>
      <c r="MW407" s="274"/>
      <c r="MX407" s="274"/>
      <c r="MY407" s="274"/>
      <c r="MZ407" s="274"/>
      <c r="NA407" s="274"/>
      <c r="NB407" s="274"/>
      <c r="NC407" s="274"/>
      <c r="ND407" s="274"/>
      <c r="NE407" s="274"/>
      <c r="NF407" s="274"/>
      <c r="NG407" s="274"/>
      <c r="NH407" s="274"/>
      <c r="NI407" s="274"/>
      <c r="NJ407" s="274"/>
      <c r="NK407" s="274"/>
      <c r="NL407" s="274"/>
      <c r="NM407" s="274"/>
      <c r="NN407" s="274"/>
      <c r="NO407" s="274"/>
      <c r="NP407" s="274"/>
      <c r="NQ407" s="274"/>
      <c r="NR407" s="274"/>
      <c r="NS407" s="274"/>
      <c r="NT407" s="274"/>
      <c r="NU407" s="274"/>
      <c r="NV407" s="274"/>
      <c r="NW407" s="274"/>
      <c r="NX407" s="274"/>
      <c r="NY407" s="274"/>
      <c r="NZ407" s="274"/>
      <c r="OA407" s="274"/>
      <c r="OB407" s="274"/>
      <c r="OC407" s="274"/>
      <c r="OD407" s="274"/>
      <c r="OE407" s="274"/>
      <c r="OF407" s="274"/>
      <c r="OG407" s="274"/>
      <c r="OH407" s="274"/>
      <c r="OI407" s="274"/>
      <c r="OJ407" s="274"/>
      <c r="OK407" s="274"/>
      <c r="OL407" s="274"/>
      <c r="OM407" s="274"/>
      <c r="ON407" s="274"/>
      <c r="OO407" s="274"/>
      <c r="OP407" s="274"/>
      <c r="OQ407" s="274"/>
      <c r="OR407" s="274"/>
      <c r="OS407" s="274"/>
      <c r="OT407" s="274"/>
      <c r="OU407" s="274"/>
      <c r="OV407" s="274"/>
      <c r="OW407" s="274"/>
      <c r="OX407" s="274"/>
      <c r="OY407" s="274"/>
      <c r="OZ407" s="274"/>
      <c r="PA407" s="274"/>
      <c r="PB407" s="274"/>
      <c r="PC407" s="274"/>
      <c r="PD407" s="274"/>
      <c r="PE407" s="274"/>
      <c r="PF407" s="274"/>
      <c r="PG407" s="274"/>
      <c r="PH407" s="274"/>
      <c r="PI407" s="274"/>
      <c r="PJ407" s="274"/>
      <c r="PK407" s="274"/>
      <c r="PL407" s="274"/>
      <c r="PM407" s="274"/>
      <c r="PN407" s="274"/>
      <c r="PO407" s="274"/>
      <c r="PP407" s="274"/>
      <c r="PQ407" s="274"/>
      <c r="PR407" s="274"/>
      <c r="PS407" s="274"/>
      <c r="PT407" s="274"/>
      <c r="PU407" s="274"/>
      <c r="PV407" s="274"/>
      <c r="PW407" s="274"/>
      <c r="PX407" s="274"/>
      <c r="PY407" s="274"/>
      <c r="PZ407" s="274"/>
      <c r="QA407" s="274"/>
      <c r="QB407" s="274"/>
      <c r="QC407" s="274"/>
      <c r="QD407" s="274"/>
      <c r="QE407" s="274"/>
      <c r="QF407" s="274"/>
      <c r="QG407" s="274"/>
      <c r="QH407" s="274"/>
      <c r="QI407" s="274"/>
      <c r="QJ407" s="274"/>
      <c r="QK407" s="274"/>
      <c r="QL407" s="274"/>
      <c r="QM407" s="274"/>
      <c r="QN407" s="274"/>
      <c r="QO407" s="274"/>
      <c r="QP407" s="274"/>
      <c r="QQ407" s="274"/>
      <c r="QR407" s="274"/>
      <c r="QS407" s="274"/>
      <c r="QT407" s="274"/>
      <c r="QU407" s="274"/>
      <c r="QV407" s="274"/>
      <c r="QW407" s="274"/>
      <c r="QX407" s="274"/>
      <c r="QY407" s="274"/>
      <c r="QZ407" s="274"/>
      <c r="RA407" s="274"/>
      <c r="RB407" s="274"/>
      <c r="RC407" s="274"/>
    </row>
    <row r="408" spans="112:471" ht="17.25">
      <c r="DH408" s="274"/>
      <c r="DI408" s="274"/>
      <c r="DJ408" s="978"/>
      <c r="DK408" s="274"/>
      <c r="DL408" s="274"/>
      <c r="DM408" s="274"/>
      <c r="DN408" s="274"/>
      <c r="DO408" s="274"/>
      <c r="DP408" s="274"/>
      <c r="DQ408" s="274"/>
      <c r="DR408" s="274"/>
      <c r="DS408" s="274"/>
      <c r="DT408" s="274"/>
      <c r="DU408" s="274"/>
      <c r="DV408" s="274"/>
      <c r="DW408" s="274"/>
      <c r="DX408" s="274"/>
      <c r="DY408" s="274"/>
      <c r="DZ408" s="274"/>
      <c r="EA408" s="274"/>
      <c r="EB408" s="274"/>
      <c r="EC408" s="274"/>
      <c r="ED408" s="274"/>
      <c r="EE408" s="274"/>
      <c r="EF408" s="274"/>
      <c r="EG408" s="274"/>
      <c r="EH408" s="274"/>
      <c r="EI408" s="274"/>
      <c r="EJ408" s="274"/>
      <c r="EK408" s="274"/>
      <c r="EL408" s="274"/>
      <c r="EM408" s="274"/>
      <c r="EN408" s="274"/>
      <c r="EO408" s="274"/>
      <c r="EP408" s="274"/>
      <c r="EQ408" s="274"/>
      <c r="ER408" s="274"/>
      <c r="ES408" s="274"/>
      <c r="ET408" s="274"/>
      <c r="EU408" s="274"/>
      <c r="EV408" s="274"/>
      <c r="EW408" s="274"/>
      <c r="EX408" s="274"/>
      <c r="EY408" s="274"/>
      <c r="EZ408" s="274"/>
      <c r="FA408" s="274"/>
      <c r="FB408" s="274"/>
      <c r="FC408" s="274"/>
      <c r="FD408" s="274"/>
      <c r="FE408" s="274"/>
      <c r="FF408" s="274"/>
      <c r="FG408" s="274"/>
      <c r="FH408" s="274"/>
      <c r="FI408" s="274"/>
      <c r="FJ408" s="274"/>
      <c r="FK408" s="274"/>
      <c r="FL408" s="274"/>
      <c r="FM408" s="274"/>
      <c r="FN408" s="274"/>
      <c r="FO408" s="274"/>
      <c r="FP408" s="274"/>
      <c r="FQ408" s="274"/>
      <c r="FR408" s="274"/>
      <c r="FS408" s="274"/>
      <c r="FT408" s="274"/>
      <c r="FU408" s="274"/>
      <c r="FV408" s="274"/>
      <c r="FW408" s="274"/>
      <c r="FX408" s="274"/>
      <c r="FY408" s="274"/>
      <c r="FZ408" s="274"/>
      <c r="GA408" s="274"/>
      <c r="GB408" s="274"/>
      <c r="GC408" s="274"/>
      <c r="GD408" s="274"/>
      <c r="GE408" s="274"/>
      <c r="GF408" s="274"/>
      <c r="GG408" s="274"/>
      <c r="GH408" s="274"/>
      <c r="GI408" s="274"/>
      <c r="GJ408" s="274"/>
      <c r="GK408" s="274"/>
      <c r="GL408" s="274"/>
      <c r="GM408" s="274"/>
      <c r="GN408" s="274"/>
      <c r="GO408" s="274"/>
      <c r="GP408" s="274"/>
      <c r="GQ408" s="274"/>
      <c r="GR408" s="274"/>
      <c r="GS408" s="274"/>
      <c r="GT408" s="274"/>
      <c r="GU408" s="274"/>
      <c r="GV408" s="274"/>
      <c r="GW408" s="274"/>
      <c r="GX408" s="274"/>
      <c r="GY408" s="274"/>
      <c r="GZ408" s="274"/>
      <c r="HA408" s="274"/>
      <c r="HB408" s="274"/>
      <c r="HC408" s="274"/>
      <c r="HD408" s="274"/>
      <c r="HE408" s="274"/>
      <c r="HF408" s="274"/>
      <c r="HG408" s="274"/>
      <c r="HH408" s="274"/>
      <c r="HI408" s="274"/>
      <c r="HJ408" s="274"/>
      <c r="HK408" s="274"/>
      <c r="HL408" s="274"/>
      <c r="HM408" s="274"/>
      <c r="HN408" s="274"/>
      <c r="HO408" s="274"/>
      <c r="HP408" s="274"/>
      <c r="HQ408" s="274"/>
      <c r="HR408" s="274"/>
      <c r="HS408" s="274"/>
      <c r="HT408" s="274"/>
      <c r="HU408" s="274"/>
      <c r="HV408" s="274"/>
      <c r="HW408" s="274"/>
      <c r="HX408" s="274"/>
      <c r="HY408" s="274"/>
      <c r="HZ408" s="274"/>
      <c r="IA408" s="274"/>
      <c r="IB408" s="274"/>
      <c r="IC408" s="274"/>
      <c r="ID408" s="274"/>
      <c r="IE408" s="274"/>
      <c r="IF408" s="274"/>
      <c r="IG408" s="274"/>
      <c r="IH408" s="274"/>
      <c r="II408" s="274"/>
      <c r="IJ408" s="274"/>
      <c r="IK408" s="274"/>
      <c r="IL408" s="274"/>
      <c r="IM408" s="274"/>
      <c r="IN408" s="274"/>
      <c r="IO408" s="274"/>
      <c r="IP408" s="274"/>
      <c r="IQ408" s="274"/>
      <c r="IR408" s="274"/>
      <c r="IS408" s="274"/>
      <c r="IT408" s="274"/>
      <c r="IU408" s="274"/>
      <c r="IV408" s="274"/>
      <c r="IW408" s="274"/>
      <c r="IX408" s="274"/>
      <c r="IY408" s="274"/>
      <c r="IZ408" s="274"/>
      <c r="JA408" s="274"/>
      <c r="JB408" s="274"/>
      <c r="JC408" s="274"/>
      <c r="JD408" s="274"/>
      <c r="JE408" s="274"/>
      <c r="JF408" s="274"/>
      <c r="JG408" s="274"/>
      <c r="JH408" s="274"/>
      <c r="JI408" s="274"/>
      <c r="JJ408" s="274"/>
      <c r="JK408" s="274"/>
      <c r="JL408" s="274"/>
      <c r="JM408" s="274"/>
      <c r="JN408" s="274"/>
      <c r="JO408" s="274"/>
      <c r="JP408" s="274"/>
      <c r="JQ408" s="274"/>
      <c r="JR408" s="274"/>
      <c r="JS408" s="274"/>
      <c r="JT408" s="274"/>
      <c r="JU408" s="274"/>
      <c r="JV408" s="274"/>
      <c r="JW408" s="274"/>
      <c r="JX408" s="274"/>
      <c r="JY408" s="274"/>
      <c r="JZ408" s="274"/>
      <c r="KA408" s="274"/>
      <c r="KB408" s="274"/>
      <c r="KC408" s="274"/>
      <c r="KD408" s="274"/>
      <c r="KE408" s="274"/>
      <c r="KF408" s="274"/>
      <c r="KG408" s="274"/>
      <c r="KH408" s="274"/>
      <c r="KI408" s="274"/>
      <c r="KJ408" s="274"/>
      <c r="KK408" s="274"/>
      <c r="KL408" s="274"/>
      <c r="KM408" s="274"/>
      <c r="KN408" s="274"/>
      <c r="KO408" s="274"/>
      <c r="KP408" s="274"/>
      <c r="KQ408" s="274"/>
      <c r="KR408" s="274"/>
      <c r="KS408" s="274"/>
      <c r="KT408" s="274"/>
      <c r="KU408" s="274"/>
      <c r="KV408" s="274"/>
      <c r="KW408" s="274"/>
      <c r="KX408" s="274"/>
      <c r="KY408" s="274"/>
      <c r="KZ408" s="274"/>
      <c r="LA408" s="274"/>
      <c r="LB408" s="274"/>
      <c r="LC408" s="274"/>
      <c r="LD408" s="274"/>
      <c r="LE408" s="274"/>
      <c r="LF408" s="274"/>
      <c r="LG408" s="274"/>
      <c r="LH408" s="274"/>
      <c r="LI408" s="274"/>
      <c r="LJ408" s="274"/>
      <c r="LK408" s="274"/>
      <c r="LL408" s="274"/>
      <c r="LM408" s="274"/>
      <c r="LN408" s="274"/>
      <c r="LO408" s="274"/>
      <c r="LP408" s="274"/>
      <c r="LQ408" s="274"/>
      <c r="LR408" s="274"/>
      <c r="LS408" s="274"/>
      <c r="LT408" s="274"/>
      <c r="LU408" s="274"/>
      <c r="LV408" s="274"/>
      <c r="LW408" s="274"/>
      <c r="LX408" s="274"/>
      <c r="LY408" s="274"/>
      <c r="LZ408" s="274"/>
      <c r="MA408" s="274"/>
      <c r="MB408" s="274"/>
      <c r="MC408" s="274"/>
      <c r="MD408" s="274"/>
      <c r="ME408" s="274"/>
      <c r="MF408" s="274"/>
      <c r="MG408" s="274"/>
      <c r="MH408" s="274"/>
      <c r="MI408" s="274"/>
      <c r="MJ408" s="274"/>
      <c r="MK408" s="274"/>
      <c r="ML408" s="274"/>
      <c r="MM408" s="274"/>
      <c r="MN408" s="274"/>
      <c r="MO408" s="274"/>
      <c r="MP408" s="274"/>
      <c r="MQ408" s="274"/>
      <c r="MR408" s="274"/>
      <c r="MS408" s="274"/>
      <c r="MT408" s="274"/>
      <c r="MU408" s="274"/>
      <c r="MV408" s="274"/>
      <c r="MW408" s="274"/>
      <c r="MX408" s="274"/>
      <c r="MY408" s="274"/>
      <c r="MZ408" s="274"/>
      <c r="NA408" s="274"/>
      <c r="NB408" s="274"/>
      <c r="NC408" s="274"/>
      <c r="ND408" s="274"/>
      <c r="NE408" s="274"/>
      <c r="NF408" s="274"/>
      <c r="NG408" s="274"/>
      <c r="NH408" s="274"/>
      <c r="NI408" s="274"/>
      <c r="NJ408" s="274"/>
      <c r="NK408" s="274"/>
      <c r="NL408" s="274"/>
      <c r="NM408" s="274"/>
      <c r="NN408" s="274"/>
      <c r="NO408" s="274"/>
      <c r="NP408" s="274"/>
      <c r="NQ408" s="274"/>
      <c r="NR408" s="274"/>
      <c r="NS408" s="274"/>
      <c r="NT408" s="274"/>
      <c r="NU408" s="274"/>
      <c r="NV408" s="274"/>
      <c r="NW408" s="274"/>
      <c r="NX408" s="274"/>
      <c r="NY408" s="274"/>
      <c r="NZ408" s="274"/>
      <c r="OA408" s="274"/>
      <c r="OB408" s="274"/>
      <c r="OC408" s="274"/>
      <c r="OD408" s="274"/>
      <c r="OE408" s="274"/>
      <c r="OF408" s="274"/>
      <c r="OG408" s="274"/>
      <c r="OH408" s="274"/>
      <c r="OI408" s="274"/>
      <c r="OJ408" s="274"/>
      <c r="OK408" s="274"/>
      <c r="OL408" s="274"/>
      <c r="OM408" s="274"/>
      <c r="ON408" s="274"/>
      <c r="OO408" s="274"/>
      <c r="OP408" s="274"/>
      <c r="OQ408" s="274"/>
      <c r="OR408" s="274"/>
      <c r="OS408" s="274"/>
      <c r="OT408" s="274"/>
      <c r="OU408" s="274"/>
      <c r="OV408" s="274"/>
      <c r="OW408" s="274"/>
      <c r="OX408" s="274"/>
      <c r="OY408" s="274"/>
      <c r="OZ408" s="274"/>
      <c r="PA408" s="274"/>
      <c r="PB408" s="274"/>
      <c r="PC408" s="274"/>
      <c r="PD408" s="274"/>
      <c r="PE408" s="274"/>
      <c r="PF408" s="274"/>
      <c r="PG408" s="274"/>
      <c r="PH408" s="274"/>
      <c r="PI408" s="274"/>
      <c r="PJ408" s="274"/>
      <c r="PK408" s="274"/>
      <c r="PL408" s="274"/>
      <c r="PM408" s="274"/>
      <c r="PN408" s="274"/>
      <c r="PO408" s="274"/>
      <c r="PP408" s="274"/>
      <c r="PQ408" s="274"/>
      <c r="PR408" s="274"/>
      <c r="PS408" s="274"/>
      <c r="PT408" s="274"/>
      <c r="PU408" s="274"/>
      <c r="PV408" s="274"/>
      <c r="PW408" s="274"/>
      <c r="PX408" s="274"/>
      <c r="PY408" s="274"/>
      <c r="PZ408" s="274"/>
      <c r="QA408" s="274"/>
      <c r="QB408" s="274"/>
      <c r="QC408" s="274"/>
      <c r="QD408" s="274"/>
      <c r="QE408" s="274"/>
      <c r="QF408" s="274"/>
      <c r="QG408" s="274"/>
      <c r="QH408" s="274"/>
      <c r="QI408" s="274"/>
      <c r="QJ408" s="274"/>
      <c r="QK408" s="274"/>
      <c r="QL408" s="274"/>
      <c r="QM408" s="274"/>
      <c r="QN408" s="274"/>
      <c r="QO408" s="274"/>
      <c r="QP408" s="274"/>
      <c r="QQ408" s="274"/>
      <c r="QR408" s="274"/>
      <c r="QS408" s="274"/>
      <c r="QT408" s="274"/>
      <c r="QU408" s="274"/>
      <c r="QV408" s="274"/>
      <c r="QW408" s="274"/>
      <c r="QX408" s="274"/>
      <c r="QY408" s="274"/>
      <c r="QZ408" s="274"/>
      <c r="RA408" s="274"/>
      <c r="RB408" s="274"/>
      <c r="RC408" s="274"/>
    </row>
    <row r="409" spans="112:471" ht="17.25">
      <c r="DH409" s="274"/>
      <c r="DI409" s="274"/>
      <c r="DJ409" s="978"/>
      <c r="DK409" s="978"/>
      <c r="DL409" s="978"/>
      <c r="DM409" s="978"/>
      <c r="DN409" s="978"/>
      <c r="DO409" s="978"/>
      <c r="DP409" s="978"/>
      <c r="DQ409" s="978"/>
      <c r="DR409" s="978"/>
      <c r="DS409" s="978"/>
      <c r="DT409" s="978"/>
      <c r="DU409" s="978"/>
      <c r="DV409" s="978"/>
      <c r="DW409" s="978"/>
      <c r="DX409" s="978"/>
      <c r="DY409" s="978"/>
      <c r="DZ409" s="978"/>
      <c r="EA409" s="978"/>
      <c r="EB409" s="978"/>
      <c r="EC409" s="978"/>
      <c r="ED409" s="978"/>
      <c r="EE409" s="978"/>
      <c r="EF409" s="978"/>
      <c r="EG409" s="978"/>
      <c r="EH409" s="978"/>
      <c r="EI409" s="978"/>
      <c r="EJ409" s="978"/>
      <c r="EK409" s="978"/>
      <c r="EL409" s="978"/>
      <c r="EM409" s="978"/>
      <c r="EN409" s="978"/>
      <c r="EO409" s="978"/>
      <c r="EP409" s="978"/>
      <c r="EQ409" s="978"/>
      <c r="ER409" s="978"/>
      <c r="ES409" s="978"/>
      <c r="ET409" s="978"/>
      <c r="EU409" s="978"/>
      <c r="EV409" s="978"/>
      <c r="EW409" s="978"/>
      <c r="EX409" s="978"/>
      <c r="EY409" s="978"/>
      <c r="EZ409" s="978"/>
      <c r="FA409" s="978"/>
      <c r="FB409" s="978"/>
      <c r="FC409" s="978"/>
      <c r="FD409" s="978"/>
      <c r="FE409" s="978"/>
      <c r="FF409" s="978"/>
      <c r="FG409" s="978"/>
      <c r="FH409" s="978"/>
      <c r="FI409" s="978"/>
      <c r="FJ409" s="978"/>
      <c r="FK409" s="978"/>
      <c r="FL409" s="978"/>
      <c r="FM409" s="978"/>
      <c r="FN409" s="978"/>
      <c r="FO409" s="978"/>
      <c r="FP409" s="978"/>
      <c r="FQ409" s="978"/>
      <c r="FR409" s="978"/>
      <c r="FS409" s="978"/>
      <c r="FT409" s="978"/>
      <c r="FU409" s="978"/>
      <c r="FV409" s="978"/>
      <c r="FW409" s="978"/>
      <c r="FX409" s="978"/>
      <c r="FY409" s="978"/>
      <c r="FZ409" s="978"/>
      <c r="GA409" s="978"/>
      <c r="GB409" s="978"/>
      <c r="GC409" s="978"/>
      <c r="GD409" s="978"/>
      <c r="GE409" s="978"/>
      <c r="GF409" s="978"/>
      <c r="GG409" s="978"/>
      <c r="GH409" s="978"/>
      <c r="GI409" s="978"/>
      <c r="GJ409" s="978"/>
      <c r="GK409" s="978"/>
      <c r="GL409" s="978"/>
      <c r="GM409" s="978"/>
      <c r="GN409" s="978"/>
      <c r="GO409" s="978"/>
      <c r="GP409" s="978"/>
      <c r="GQ409" s="978"/>
      <c r="GR409" s="978"/>
      <c r="GS409" s="978"/>
      <c r="GT409" s="978"/>
      <c r="GU409" s="978"/>
      <c r="GV409" s="978"/>
      <c r="GW409" s="978"/>
      <c r="GX409" s="978"/>
      <c r="GY409" s="978"/>
      <c r="GZ409" s="978"/>
      <c r="HA409" s="978"/>
      <c r="HB409" s="978"/>
      <c r="HC409" s="978"/>
      <c r="HD409" s="978"/>
      <c r="HE409" s="978"/>
      <c r="HF409" s="978"/>
      <c r="HG409" s="978"/>
      <c r="HH409" s="978"/>
      <c r="HI409" s="978"/>
      <c r="HJ409" s="978"/>
      <c r="HK409" s="978"/>
      <c r="HL409" s="978"/>
      <c r="HM409" s="978"/>
      <c r="HN409" s="978"/>
      <c r="HO409" s="978"/>
      <c r="HP409" s="978"/>
      <c r="HQ409" s="978"/>
      <c r="HR409" s="978"/>
      <c r="HS409" s="978"/>
      <c r="HT409" s="978"/>
      <c r="HU409" s="978"/>
      <c r="HV409" s="978"/>
      <c r="HW409" s="978"/>
      <c r="HX409" s="978"/>
      <c r="HY409" s="978"/>
      <c r="HZ409" s="978"/>
      <c r="IA409" s="978"/>
      <c r="IB409" s="978"/>
      <c r="IC409" s="978"/>
      <c r="ID409" s="978"/>
      <c r="IE409" s="978"/>
      <c r="IF409" s="978"/>
      <c r="IG409" s="978"/>
      <c r="IH409" s="978"/>
      <c r="II409" s="978"/>
      <c r="IJ409" s="978"/>
      <c r="IK409" s="978"/>
      <c r="IL409" s="978"/>
      <c r="IM409" s="978"/>
      <c r="IN409" s="978"/>
      <c r="IO409" s="978"/>
      <c r="IP409" s="978"/>
      <c r="IQ409" s="978"/>
      <c r="IR409" s="978"/>
      <c r="IS409" s="978"/>
      <c r="IT409" s="978"/>
      <c r="IU409" s="978"/>
      <c r="IV409" s="978"/>
      <c r="IW409" s="978"/>
      <c r="IX409" s="978"/>
      <c r="IY409" s="978"/>
      <c r="IZ409" s="978"/>
      <c r="JA409" s="978"/>
      <c r="JB409" s="978"/>
      <c r="JC409" s="978"/>
      <c r="JD409" s="978"/>
      <c r="JE409" s="978"/>
      <c r="JF409" s="978"/>
      <c r="JG409" s="978"/>
      <c r="JH409" s="978"/>
      <c r="JI409" s="978"/>
      <c r="JJ409" s="978"/>
      <c r="JK409" s="978"/>
      <c r="JL409" s="978"/>
      <c r="JM409" s="978"/>
      <c r="JN409" s="978"/>
      <c r="JO409" s="978"/>
      <c r="JP409" s="978"/>
      <c r="JQ409" s="978"/>
      <c r="JR409" s="978"/>
      <c r="JS409" s="978"/>
      <c r="JT409" s="978"/>
      <c r="JU409" s="978"/>
      <c r="JV409" s="978"/>
      <c r="JW409" s="978"/>
      <c r="JX409" s="978"/>
      <c r="JY409" s="978"/>
      <c r="JZ409" s="978"/>
      <c r="KA409" s="978"/>
      <c r="KB409" s="978"/>
      <c r="KC409" s="978"/>
      <c r="KD409" s="978"/>
      <c r="KE409" s="978"/>
      <c r="KF409" s="978"/>
      <c r="KG409" s="978"/>
      <c r="KH409" s="978"/>
      <c r="KI409" s="978"/>
      <c r="KJ409" s="978"/>
      <c r="KK409" s="978"/>
      <c r="KL409" s="978"/>
      <c r="KM409" s="978"/>
      <c r="KN409" s="978"/>
      <c r="KO409" s="978"/>
      <c r="KP409" s="978"/>
      <c r="KQ409" s="978"/>
      <c r="KR409" s="978"/>
      <c r="KS409" s="978"/>
      <c r="KT409" s="978"/>
      <c r="KU409" s="978"/>
      <c r="KV409" s="978"/>
      <c r="KW409" s="978"/>
      <c r="KX409" s="978"/>
      <c r="KY409" s="978"/>
      <c r="KZ409" s="978"/>
      <c r="LA409" s="978"/>
      <c r="LB409" s="978"/>
      <c r="LC409" s="978"/>
      <c r="LD409" s="978"/>
      <c r="LE409" s="978"/>
      <c r="LF409" s="978"/>
      <c r="LG409" s="978"/>
      <c r="LH409" s="978"/>
      <c r="LI409" s="978"/>
      <c r="LJ409" s="978"/>
      <c r="LK409" s="978"/>
      <c r="LL409" s="978"/>
      <c r="LM409" s="978"/>
      <c r="LN409" s="978"/>
      <c r="LO409" s="978"/>
      <c r="LP409" s="978"/>
      <c r="LQ409" s="978"/>
      <c r="LR409" s="978"/>
      <c r="LS409" s="978"/>
      <c r="LT409" s="978"/>
      <c r="LU409" s="978"/>
      <c r="LV409" s="978"/>
      <c r="LW409" s="978"/>
      <c r="LX409" s="978"/>
      <c r="LY409" s="978"/>
      <c r="LZ409" s="978"/>
      <c r="MA409" s="978"/>
      <c r="MB409" s="978"/>
      <c r="MC409" s="978"/>
      <c r="MD409" s="978"/>
      <c r="ME409" s="978"/>
      <c r="MF409" s="978"/>
      <c r="MG409" s="978"/>
      <c r="MH409" s="978"/>
      <c r="MI409" s="978"/>
      <c r="MJ409" s="978"/>
      <c r="MK409" s="978"/>
      <c r="ML409" s="978"/>
      <c r="MM409" s="978"/>
      <c r="MN409" s="978"/>
      <c r="MO409" s="978"/>
      <c r="MP409" s="978"/>
      <c r="MQ409" s="978"/>
      <c r="MR409" s="978"/>
      <c r="MS409" s="978"/>
      <c r="MT409" s="978"/>
      <c r="MU409" s="978"/>
      <c r="MV409" s="978"/>
      <c r="MW409" s="978"/>
      <c r="MX409" s="978"/>
      <c r="MY409" s="978"/>
      <c r="MZ409" s="978"/>
      <c r="NA409" s="978"/>
      <c r="NB409" s="978"/>
      <c r="NC409" s="978"/>
      <c r="ND409" s="978"/>
      <c r="NE409" s="978"/>
      <c r="NF409" s="978"/>
      <c r="NG409" s="978"/>
      <c r="NH409" s="978"/>
      <c r="NI409" s="978"/>
      <c r="NJ409" s="978"/>
      <c r="NK409" s="978"/>
      <c r="NL409" s="978"/>
      <c r="NM409" s="978"/>
      <c r="NN409" s="978"/>
      <c r="NO409" s="978"/>
      <c r="NP409" s="978"/>
      <c r="NQ409" s="978"/>
      <c r="NR409" s="978"/>
      <c r="NS409" s="978"/>
      <c r="NT409" s="978"/>
      <c r="NU409" s="978"/>
      <c r="NV409" s="978"/>
      <c r="NW409" s="978"/>
      <c r="NX409" s="978"/>
      <c r="NY409" s="978"/>
      <c r="NZ409" s="978"/>
      <c r="OA409" s="978"/>
      <c r="OB409" s="978"/>
      <c r="OC409" s="978"/>
      <c r="OD409" s="978"/>
      <c r="OE409" s="978"/>
      <c r="OF409" s="978"/>
      <c r="OG409" s="978"/>
      <c r="OH409" s="978"/>
      <c r="OI409" s="978"/>
      <c r="OJ409" s="978"/>
      <c r="OK409" s="978"/>
      <c r="OL409" s="978"/>
      <c r="OM409" s="978"/>
      <c r="ON409" s="978"/>
      <c r="OO409" s="978"/>
      <c r="OP409" s="978"/>
      <c r="OQ409" s="978"/>
      <c r="OR409" s="978"/>
      <c r="OS409" s="978"/>
      <c r="OT409" s="978"/>
      <c r="OU409" s="978"/>
      <c r="OV409" s="978"/>
      <c r="OW409" s="978"/>
      <c r="OX409" s="978"/>
      <c r="OY409" s="978"/>
      <c r="OZ409" s="978"/>
      <c r="PA409" s="978"/>
      <c r="PB409" s="978"/>
      <c r="PC409" s="978"/>
      <c r="PD409" s="978"/>
      <c r="PE409" s="978"/>
      <c r="PF409" s="978"/>
      <c r="PG409" s="978"/>
      <c r="PH409" s="978"/>
      <c r="PI409" s="978"/>
      <c r="PJ409" s="978"/>
      <c r="PK409" s="978"/>
      <c r="PL409" s="978"/>
      <c r="PM409" s="978"/>
      <c r="PN409" s="978"/>
      <c r="PO409" s="978"/>
      <c r="PP409" s="978"/>
      <c r="PQ409" s="978"/>
      <c r="PR409" s="978"/>
      <c r="PS409" s="978"/>
      <c r="PT409" s="978"/>
      <c r="PU409" s="978"/>
      <c r="PV409" s="978"/>
      <c r="PW409" s="978"/>
      <c r="PX409" s="978"/>
      <c r="PY409" s="978"/>
      <c r="PZ409" s="978"/>
      <c r="QA409" s="978"/>
      <c r="QB409" s="978"/>
      <c r="QC409" s="978"/>
      <c r="QD409" s="978"/>
      <c r="QE409" s="978"/>
      <c r="QF409" s="978"/>
      <c r="QG409" s="978"/>
      <c r="QH409" s="978"/>
      <c r="QI409" s="978"/>
      <c r="QJ409" s="978"/>
      <c r="QK409" s="978"/>
      <c r="QL409" s="978"/>
      <c r="QM409" s="978"/>
      <c r="QN409" s="978"/>
      <c r="QO409" s="978"/>
      <c r="QP409" s="978"/>
      <c r="QQ409" s="978"/>
      <c r="QR409" s="978"/>
      <c r="QS409" s="978"/>
      <c r="QT409" s="978"/>
      <c r="QU409" s="978"/>
      <c r="QV409" s="978"/>
      <c r="QW409" s="978"/>
      <c r="QX409" s="978"/>
      <c r="QY409" s="978"/>
      <c r="QZ409" s="978"/>
      <c r="RA409" s="978"/>
      <c r="RB409" s="274"/>
      <c r="RC409" s="274"/>
    </row>
    <row r="410" spans="112:471" ht="17.25">
      <c r="DH410" s="274"/>
      <c r="DI410" s="274"/>
      <c r="DJ410" s="978"/>
      <c r="DK410" s="978"/>
      <c r="DL410" s="978"/>
      <c r="DM410" s="978"/>
      <c r="DN410" s="978"/>
      <c r="DO410" s="978"/>
      <c r="DP410" s="978"/>
      <c r="DQ410" s="978"/>
      <c r="DR410" s="978"/>
      <c r="DS410" s="978"/>
      <c r="DT410" s="978"/>
      <c r="DU410" s="978"/>
      <c r="DV410" s="978"/>
      <c r="DW410" s="978"/>
      <c r="DX410" s="978"/>
      <c r="DY410" s="978"/>
      <c r="DZ410" s="978"/>
      <c r="EA410" s="978"/>
      <c r="EB410" s="978"/>
      <c r="EC410" s="978"/>
      <c r="ED410" s="978"/>
      <c r="EE410" s="978"/>
      <c r="EF410" s="978"/>
      <c r="EG410" s="978"/>
      <c r="EH410" s="978"/>
      <c r="EI410" s="978"/>
      <c r="EJ410" s="978"/>
      <c r="EK410" s="978"/>
      <c r="EL410" s="978"/>
      <c r="EM410" s="978"/>
      <c r="EN410" s="978"/>
      <c r="EO410" s="978"/>
      <c r="EP410" s="978"/>
      <c r="EQ410" s="978"/>
      <c r="ER410" s="978"/>
      <c r="ES410" s="978"/>
      <c r="ET410" s="978"/>
      <c r="EU410" s="978"/>
      <c r="EV410" s="978"/>
      <c r="EW410" s="978"/>
      <c r="EX410" s="978"/>
      <c r="EY410" s="978"/>
      <c r="EZ410" s="978"/>
      <c r="FA410" s="978"/>
      <c r="FB410" s="978"/>
      <c r="FC410" s="978"/>
      <c r="FD410" s="978"/>
      <c r="FE410" s="978"/>
      <c r="FF410" s="978"/>
      <c r="FG410" s="978"/>
      <c r="FH410" s="978"/>
      <c r="FI410" s="978"/>
      <c r="FJ410" s="978"/>
      <c r="FK410" s="978"/>
      <c r="FL410" s="978"/>
      <c r="FM410" s="978"/>
      <c r="FN410" s="978"/>
      <c r="FO410" s="978"/>
      <c r="FP410" s="978"/>
      <c r="FQ410" s="978"/>
      <c r="FR410" s="978"/>
      <c r="FS410" s="978"/>
      <c r="FT410" s="978"/>
      <c r="FU410" s="978"/>
      <c r="FV410" s="978"/>
      <c r="FW410" s="978"/>
      <c r="FX410" s="978"/>
      <c r="FY410" s="978"/>
      <c r="FZ410" s="978"/>
      <c r="GA410" s="978"/>
      <c r="GB410" s="978"/>
      <c r="GC410" s="978"/>
      <c r="GD410" s="978"/>
      <c r="GE410" s="978"/>
      <c r="GF410" s="978"/>
      <c r="GG410" s="978"/>
      <c r="GH410" s="978"/>
      <c r="GI410" s="978"/>
      <c r="GJ410" s="978"/>
      <c r="GK410" s="978"/>
      <c r="GL410" s="978"/>
      <c r="GM410" s="978"/>
      <c r="GN410" s="978"/>
      <c r="GO410" s="978"/>
      <c r="GP410" s="978"/>
      <c r="GQ410" s="978"/>
      <c r="GR410" s="978"/>
      <c r="GS410" s="978"/>
      <c r="GT410" s="978"/>
      <c r="GU410" s="978"/>
      <c r="GV410" s="978"/>
      <c r="GW410" s="978"/>
      <c r="GX410" s="978"/>
      <c r="GY410" s="978"/>
      <c r="GZ410" s="978"/>
      <c r="HA410" s="978"/>
      <c r="HB410" s="978"/>
      <c r="HC410" s="978"/>
      <c r="HD410" s="978"/>
      <c r="HE410" s="978"/>
      <c r="HF410" s="978"/>
      <c r="HG410" s="978"/>
      <c r="HH410" s="978"/>
      <c r="HI410" s="978"/>
      <c r="HJ410" s="978"/>
      <c r="HK410" s="978"/>
      <c r="HL410" s="978"/>
      <c r="HM410" s="978"/>
      <c r="HN410" s="978"/>
      <c r="HO410" s="978"/>
      <c r="HP410" s="978"/>
      <c r="HQ410" s="978"/>
      <c r="HR410" s="978"/>
      <c r="HS410" s="978"/>
      <c r="HT410" s="978"/>
      <c r="HU410" s="978"/>
      <c r="HV410" s="978"/>
      <c r="HW410" s="978"/>
      <c r="HX410" s="978"/>
      <c r="HY410" s="978"/>
      <c r="HZ410" s="978"/>
      <c r="IA410" s="978"/>
      <c r="IB410" s="978"/>
      <c r="IC410" s="978"/>
      <c r="ID410" s="978"/>
      <c r="IE410" s="978"/>
      <c r="IF410" s="978"/>
      <c r="IG410" s="978"/>
      <c r="IH410" s="978"/>
      <c r="II410" s="978"/>
      <c r="IJ410" s="978"/>
      <c r="IK410" s="978"/>
      <c r="IL410" s="978"/>
      <c r="IM410" s="978"/>
      <c r="IN410" s="978"/>
      <c r="IO410" s="978"/>
      <c r="IP410" s="978"/>
      <c r="IQ410" s="978"/>
      <c r="IR410" s="978"/>
      <c r="IS410" s="978"/>
      <c r="IT410" s="978"/>
      <c r="IU410" s="978"/>
      <c r="IV410" s="978"/>
      <c r="IW410" s="978"/>
      <c r="IX410" s="978"/>
      <c r="IY410" s="978"/>
      <c r="IZ410" s="978"/>
      <c r="JA410" s="978"/>
      <c r="JB410" s="978"/>
      <c r="JC410" s="978"/>
      <c r="JD410" s="978"/>
      <c r="JE410" s="978"/>
      <c r="JF410" s="978"/>
      <c r="JG410" s="978"/>
      <c r="JH410" s="978"/>
      <c r="JI410" s="978"/>
      <c r="JJ410" s="978"/>
      <c r="JK410" s="978"/>
      <c r="JL410" s="978"/>
      <c r="JM410" s="978"/>
      <c r="JN410" s="978"/>
      <c r="JO410" s="978"/>
      <c r="JP410" s="978"/>
      <c r="JQ410" s="978"/>
      <c r="JR410" s="978"/>
      <c r="JS410" s="978"/>
      <c r="JT410" s="978"/>
      <c r="JU410" s="978"/>
      <c r="JV410" s="978"/>
      <c r="JW410" s="978"/>
      <c r="JX410" s="978"/>
      <c r="JY410" s="978"/>
      <c r="JZ410" s="978"/>
      <c r="KA410" s="978"/>
      <c r="KB410" s="978"/>
      <c r="KC410" s="978"/>
      <c r="KD410" s="978"/>
      <c r="KE410" s="978"/>
      <c r="KF410" s="978"/>
      <c r="KG410" s="978"/>
      <c r="KH410" s="978"/>
      <c r="KI410" s="978"/>
      <c r="KJ410" s="978"/>
      <c r="KK410" s="978"/>
      <c r="KL410" s="978"/>
      <c r="KM410" s="978"/>
      <c r="KN410" s="978"/>
      <c r="KO410" s="978"/>
      <c r="KP410" s="978"/>
      <c r="KQ410" s="978"/>
      <c r="KR410" s="978"/>
      <c r="KS410" s="978"/>
      <c r="KT410" s="978"/>
      <c r="KU410" s="978"/>
      <c r="KV410" s="978"/>
      <c r="KW410" s="978"/>
      <c r="KX410" s="978"/>
      <c r="KY410" s="978"/>
      <c r="KZ410" s="978"/>
      <c r="LA410" s="978"/>
      <c r="LB410" s="978"/>
      <c r="LC410" s="978"/>
      <c r="LD410" s="978"/>
      <c r="LE410" s="978"/>
      <c r="LF410" s="978"/>
      <c r="LG410" s="978"/>
      <c r="LH410" s="978"/>
      <c r="LI410" s="978"/>
      <c r="LJ410" s="978"/>
      <c r="LK410" s="978"/>
      <c r="LL410" s="978"/>
      <c r="LM410" s="978"/>
      <c r="LN410" s="978"/>
      <c r="LO410" s="978"/>
      <c r="LP410" s="978"/>
      <c r="LQ410" s="978"/>
      <c r="LR410" s="978"/>
      <c r="LS410" s="978"/>
      <c r="LT410" s="978"/>
      <c r="LU410" s="978"/>
      <c r="LV410" s="978"/>
      <c r="LW410" s="978"/>
      <c r="LX410" s="978"/>
      <c r="LY410" s="978"/>
      <c r="LZ410" s="978"/>
      <c r="MA410" s="978"/>
      <c r="MB410" s="978"/>
      <c r="MC410" s="978"/>
      <c r="MD410" s="978"/>
      <c r="ME410" s="978"/>
      <c r="MF410" s="978"/>
      <c r="MG410" s="978"/>
      <c r="MH410" s="978"/>
      <c r="MI410" s="978"/>
      <c r="MJ410" s="978"/>
      <c r="MK410" s="978"/>
      <c r="ML410" s="978"/>
      <c r="MM410" s="978"/>
      <c r="MN410" s="978"/>
      <c r="MO410" s="978"/>
      <c r="MP410" s="978"/>
      <c r="MQ410" s="978"/>
      <c r="MR410" s="978"/>
      <c r="MS410" s="978"/>
      <c r="MT410" s="978"/>
      <c r="MU410" s="978"/>
      <c r="MV410" s="978"/>
      <c r="MW410" s="978"/>
      <c r="MX410" s="978"/>
      <c r="MY410" s="978"/>
      <c r="MZ410" s="978"/>
      <c r="NA410" s="978"/>
      <c r="NB410" s="978"/>
      <c r="NC410" s="978"/>
      <c r="ND410" s="978"/>
      <c r="NE410" s="978"/>
      <c r="NF410" s="978"/>
      <c r="NG410" s="978"/>
      <c r="NH410" s="978"/>
      <c r="NI410" s="978"/>
      <c r="NJ410" s="978"/>
      <c r="NK410" s="978"/>
      <c r="NL410" s="978"/>
      <c r="NM410" s="978"/>
      <c r="NN410" s="978"/>
      <c r="NO410" s="978"/>
      <c r="NP410" s="978"/>
      <c r="NQ410" s="978"/>
      <c r="NR410" s="978"/>
      <c r="NS410" s="978"/>
      <c r="NT410" s="978"/>
      <c r="NU410" s="978"/>
      <c r="NV410" s="978"/>
      <c r="NW410" s="978"/>
      <c r="NX410" s="978"/>
      <c r="NY410" s="978"/>
      <c r="NZ410" s="978"/>
      <c r="OA410" s="978"/>
      <c r="OB410" s="978"/>
      <c r="OC410" s="978"/>
      <c r="OD410" s="978"/>
      <c r="OE410" s="978"/>
      <c r="OF410" s="978"/>
      <c r="OG410" s="978"/>
      <c r="OH410" s="978"/>
      <c r="OI410" s="978"/>
      <c r="OJ410" s="978"/>
      <c r="OK410" s="978"/>
      <c r="OL410" s="978"/>
      <c r="OM410" s="978"/>
      <c r="ON410" s="978"/>
      <c r="OO410" s="978"/>
      <c r="OP410" s="978"/>
      <c r="OQ410" s="978"/>
      <c r="OR410" s="978"/>
      <c r="OS410" s="978"/>
      <c r="OT410" s="978"/>
      <c r="OU410" s="978"/>
      <c r="OV410" s="978"/>
      <c r="OW410" s="978"/>
      <c r="OX410" s="978"/>
      <c r="OY410" s="978"/>
      <c r="OZ410" s="978"/>
      <c r="PA410" s="978"/>
      <c r="PB410" s="978"/>
      <c r="PC410" s="978"/>
      <c r="PD410" s="978"/>
      <c r="PE410" s="978"/>
      <c r="PF410" s="978"/>
      <c r="PG410" s="978"/>
      <c r="PH410" s="978"/>
      <c r="PI410" s="978"/>
      <c r="PJ410" s="978"/>
      <c r="PK410" s="978"/>
      <c r="PL410" s="978"/>
      <c r="PM410" s="978"/>
      <c r="PN410" s="978"/>
      <c r="PO410" s="978"/>
      <c r="PP410" s="978"/>
      <c r="PQ410" s="978"/>
      <c r="PR410" s="978"/>
      <c r="PS410" s="978"/>
      <c r="PT410" s="978"/>
      <c r="PU410" s="978"/>
      <c r="PV410" s="978"/>
      <c r="PW410" s="978"/>
      <c r="PX410" s="978"/>
      <c r="PY410" s="978"/>
      <c r="PZ410" s="978"/>
      <c r="QA410" s="978"/>
      <c r="QB410" s="978"/>
      <c r="QC410" s="978"/>
      <c r="QD410" s="978"/>
      <c r="QE410" s="978"/>
      <c r="QF410" s="978"/>
      <c r="QG410" s="978"/>
      <c r="QH410" s="978"/>
      <c r="QI410" s="978"/>
      <c r="QJ410" s="978"/>
      <c r="QK410" s="978"/>
      <c r="QL410" s="978"/>
      <c r="QM410" s="978"/>
      <c r="QN410" s="978"/>
      <c r="QO410" s="978"/>
      <c r="QP410" s="978"/>
      <c r="QQ410" s="978"/>
      <c r="QR410" s="978"/>
      <c r="QS410" s="978"/>
      <c r="QT410" s="978"/>
      <c r="QU410" s="978"/>
      <c r="QV410" s="978"/>
      <c r="QW410" s="978"/>
      <c r="QX410" s="978"/>
      <c r="QY410" s="978"/>
      <c r="QZ410" s="978"/>
      <c r="RA410" s="978"/>
      <c r="RB410" s="274"/>
      <c r="RC410" s="274"/>
    </row>
    <row r="411" spans="112:471" ht="17.25">
      <c r="DH411" s="274"/>
      <c r="DI411" s="274"/>
      <c r="DJ411" s="978"/>
      <c r="DK411" s="978"/>
      <c r="DL411" s="978"/>
      <c r="DM411" s="978"/>
      <c r="DN411" s="978"/>
      <c r="DO411" s="978"/>
      <c r="DP411" s="978"/>
      <c r="DQ411" s="978"/>
      <c r="DR411" s="978"/>
      <c r="DS411" s="978"/>
      <c r="DT411" s="978"/>
      <c r="DU411" s="978"/>
      <c r="DV411" s="978"/>
      <c r="DW411" s="978"/>
      <c r="DX411" s="978"/>
      <c r="DY411" s="978"/>
      <c r="DZ411" s="978"/>
      <c r="EA411" s="978"/>
      <c r="EB411" s="978"/>
      <c r="EC411" s="978"/>
      <c r="ED411" s="978"/>
      <c r="EE411" s="978"/>
      <c r="EF411" s="978"/>
      <c r="EG411" s="978"/>
      <c r="EH411" s="978"/>
      <c r="EI411" s="978"/>
      <c r="EJ411" s="978"/>
      <c r="EK411" s="978"/>
      <c r="EL411" s="978"/>
      <c r="EM411" s="978"/>
      <c r="EN411" s="978"/>
      <c r="EO411" s="978"/>
      <c r="EP411" s="978"/>
      <c r="EQ411" s="978"/>
      <c r="ER411" s="978"/>
      <c r="ES411" s="978"/>
      <c r="ET411" s="978"/>
      <c r="EU411" s="978"/>
      <c r="EV411" s="978"/>
      <c r="EW411" s="978"/>
      <c r="EX411" s="978"/>
      <c r="EY411" s="978"/>
      <c r="EZ411" s="978"/>
      <c r="FA411" s="978"/>
      <c r="FB411" s="978"/>
      <c r="FC411" s="978"/>
      <c r="FD411" s="978"/>
      <c r="FE411" s="978"/>
      <c r="FF411" s="978"/>
      <c r="FG411" s="978"/>
      <c r="FH411" s="978"/>
      <c r="FI411" s="978"/>
      <c r="FJ411" s="978"/>
      <c r="FK411" s="978"/>
      <c r="FL411" s="978"/>
      <c r="FM411" s="978"/>
      <c r="FN411" s="978"/>
      <c r="FO411" s="978"/>
      <c r="FP411" s="978"/>
      <c r="FQ411" s="978"/>
      <c r="FR411" s="978"/>
      <c r="FS411" s="978"/>
      <c r="FT411" s="978"/>
      <c r="FU411" s="978"/>
      <c r="FV411" s="978"/>
      <c r="FW411" s="978"/>
      <c r="FX411" s="978"/>
      <c r="FY411" s="978"/>
      <c r="FZ411" s="978"/>
      <c r="GA411" s="978"/>
      <c r="GB411" s="978"/>
      <c r="GC411" s="978"/>
      <c r="GD411" s="978"/>
      <c r="GE411" s="978"/>
      <c r="GF411" s="978"/>
      <c r="GG411" s="978"/>
      <c r="GH411" s="978"/>
      <c r="GI411" s="978"/>
      <c r="GJ411" s="978"/>
      <c r="GK411" s="978"/>
      <c r="GL411" s="978"/>
      <c r="GM411" s="978"/>
      <c r="GN411" s="978"/>
      <c r="GO411" s="978"/>
      <c r="GP411" s="978"/>
      <c r="GQ411" s="978"/>
      <c r="GR411" s="978"/>
      <c r="GS411" s="978"/>
      <c r="GT411" s="978"/>
      <c r="GU411" s="978"/>
      <c r="GV411" s="978"/>
      <c r="GW411" s="978"/>
      <c r="GX411" s="978"/>
      <c r="GY411" s="978"/>
      <c r="GZ411" s="978"/>
      <c r="HA411" s="978"/>
      <c r="HB411" s="978"/>
      <c r="HC411" s="978"/>
      <c r="HD411" s="978"/>
      <c r="HE411" s="978"/>
      <c r="HF411" s="978"/>
      <c r="HG411" s="978"/>
      <c r="HH411" s="978"/>
      <c r="HI411" s="978"/>
      <c r="HJ411" s="978"/>
      <c r="HK411" s="978"/>
      <c r="HL411" s="978"/>
      <c r="HM411" s="978"/>
      <c r="HN411" s="978"/>
      <c r="HO411" s="978"/>
      <c r="HP411" s="978"/>
      <c r="HQ411" s="978"/>
      <c r="HR411" s="978"/>
      <c r="HS411" s="978"/>
      <c r="HT411" s="978"/>
      <c r="HU411" s="978"/>
      <c r="HV411" s="978"/>
      <c r="HW411" s="978"/>
      <c r="HX411" s="978"/>
      <c r="HY411" s="978"/>
      <c r="HZ411" s="978"/>
      <c r="IA411" s="978"/>
      <c r="IB411" s="978"/>
      <c r="IC411" s="978"/>
      <c r="ID411" s="978"/>
      <c r="IE411" s="978"/>
      <c r="IF411" s="978"/>
      <c r="IG411" s="978"/>
      <c r="IH411" s="978"/>
      <c r="II411" s="978"/>
      <c r="IJ411" s="978"/>
      <c r="IK411" s="978"/>
      <c r="IL411" s="978"/>
      <c r="IM411" s="978"/>
      <c r="IN411" s="978"/>
      <c r="IO411" s="978"/>
      <c r="IP411" s="978"/>
      <c r="IQ411" s="978"/>
      <c r="IR411" s="978"/>
      <c r="IS411" s="978"/>
      <c r="IT411" s="978"/>
      <c r="IU411" s="978"/>
      <c r="IV411" s="978"/>
      <c r="IW411" s="978"/>
      <c r="IX411" s="978"/>
      <c r="IY411" s="978"/>
      <c r="IZ411" s="978"/>
      <c r="JA411" s="978"/>
      <c r="JB411" s="978"/>
      <c r="JC411" s="978"/>
      <c r="JD411" s="978"/>
      <c r="JE411" s="978"/>
      <c r="JF411" s="978"/>
      <c r="JG411" s="978"/>
      <c r="JH411" s="978"/>
      <c r="JI411" s="978"/>
      <c r="JJ411" s="978"/>
      <c r="JK411" s="978"/>
      <c r="JL411" s="978"/>
      <c r="JM411" s="978"/>
      <c r="JN411" s="978"/>
      <c r="JO411" s="978"/>
      <c r="JP411" s="978"/>
      <c r="JQ411" s="978"/>
      <c r="JR411" s="978"/>
      <c r="JS411" s="978"/>
      <c r="JT411" s="978"/>
      <c r="JU411" s="978"/>
      <c r="JV411" s="978"/>
      <c r="JW411" s="978"/>
      <c r="JX411" s="978"/>
      <c r="JY411" s="978"/>
      <c r="JZ411" s="978"/>
      <c r="KA411" s="978"/>
      <c r="KB411" s="978"/>
      <c r="KC411" s="978"/>
      <c r="KD411" s="978"/>
      <c r="KE411" s="978"/>
      <c r="KF411" s="978"/>
      <c r="KG411" s="978"/>
      <c r="KH411" s="978"/>
      <c r="KI411" s="978"/>
      <c r="KJ411" s="978"/>
      <c r="KK411" s="978"/>
      <c r="KL411" s="978"/>
      <c r="KM411" s="978"/>
      <c r="KN411" s="978"/>
      <c r="KO411" s="978"/>
      <c r="KP411" s="978"/>
      <c r="KQ411" s="978"/>
      <c r="KR411" s="978"/>
      <c r="KS411" s="978"/>
      <c r="KT411" s="978"/>
      <c r="KU411" s="978"/>
      <c r="KV411" s="978"/>
      <c r="KW411" s="978"/>
      <c r="KX411" s="978"/>
      <c r="KY411" s="978"/>
      <c r="KZ411" s="978"/>
      <c r="LA411" s="978"/>
      <c r="LB411" s="978"/>
      <c r="LC411" s="978"/>
      <c r="LD411" s="978"/>
      <c r="LE411" s="978"/>
      <c r="LF411" s="978"/>
      <c r="LG411" s="978"/>
      <c r="LH411" s="978"/>
      <c r="LI411" s="978"/>
      <c r="LJ411" s="978"/>
      <c r="LK411" s="978"/>
      <c r="LL411" s="978"/>
      <c r="LM411" s="978"/>
      <c r="LN411" s="978"/>
      <c r="LO411" s="978"/>
      <c r="LP411" s="978"/>
      <c r="LQ411" s="978"/>
      <c r="LR411" s="978"/>
      <c r="LS411" s="978"/>
      <c r="LT411" s="978"/>
      <c r="LU411" s="978"/>
      <c r="LV411" s="978"/>
      <c r="LW411" s="978"/>
      <c r="LX411" s="978"/>
      <c r="LY411" s="978"/>
      <c r="LZ411" s="978"/>
      <c r="MA411" s="978"/>
      <c r="MB411" s="978"/>
      <c r="MC411" s="978"/>
      <c r="MD411" s="978"/>
      <c r="ME411" s="978"/>
      <c r="MF411" s="978"/>
      <c r="MG411" s="978"/>
      <c r="MH411" s="978"/>
      <c r="MI411" s="978"/>
      <c r="MJ411" s="978"/>
      <c r="MK411" s="978"/>
      <c r="ML411" s="978"/>
      <c r="MM411" s="978"/>
      <c r="MN411" s="978"/>
      <c r="MO411" s="978"/>
      <c r="MP411" s="978"/>
      <c r="MQ411" s="978"/>
      <c r="MR411" s="978"/>
      <c r="MS411" s="978"/>
      <c r="MT411" s="978"/>
      <c r="MU411" s="978"/>
      <c r="MV411" s="978"/>
      <c r="MW411" s="978"/>
      <c r="MX411" s="978"/>
      <c r="MY411" s="978"/>
      <c r="MZ411" s="978"/>
      <c r="NA411" s="978"/>
      <c r="NB411" s="978"/>
      <c r="NC411" s="978"/>
      <c r="ND411" s="978"/>
      <c r="NE411" s="978"/>
      <c r="NF411" s="978"/>
      <c r="NG411" s="978"/>
      <c r="NH411" s="978"/>
      <c r="NI411" s="978"/>
      <c r="NJ411" s="978"/>
      <c r="NK411" s="978"/>
      <c r="NL411" s="978"/>
      <c r="NM411" s="978"/>
      <c r="NN411" s="978"/>
      <c r="NO411" s="978"/>
      <c r="NP411" s="978"/>
      <c r="NQ411" s="978"/>
      <c r="NR411" s="978"/>
      <c r="NS411" s="978"/>
      <c r="NT411" s="978"/>
      <c r="NU411" s="978"/>
      <c r="NV411" s="978"/>
      <c r="NW411" s="978"/>
      <c r="NX411" s="978"/>
      <c r="NY411" s="978"/>
      <c r="NZ411" s="978"/>
      <c r="OA411" s="978"/>
      <c r="OB411" s="978"/>
      <c r="OC411" s="978"/>
      <c r="OD411" s="978"/>
      <c r="OE411" s="978"/>
      <c r="OF411" s="978"/>
      <c r="OG411" s="978"/>
      <c r="OH411" s="978"/>
      <c r="OI411" s="978"/>
      <c r="OJ411" s="978"/>
      <c r="OK411" s="978"/>
      <c r="OL411" s="978"/>
      <c r="OM411" s="978"/>
      <c r="ON411" s="978"/>
      <c r="OO411" s="978"/>
      <c r="OP411" s="978"/>
      <c r="OQ411" s="978"/>
      <c r="OR411" s="978"/>
      <c r="OS411" s="978"/>
      <c r="OT411" s="978"/>
      <c r="OU411" s="978"/>
      <c r="OV411" s="978"/>
      <c r="OW411" s="978"/>
      <c r="OX411" s="978"/>
      <c r="OY411" s="978"/>
      <c r="OZ411" s="978"/>
      <c r="PA411" s="978"/>
      <c r="PB411" s="978"/>
      <c r="PC411" s="978"/>
      <c r="PD411" s="978"/>
      <c r="PE411" s="978"/>
      <c r="PF411" s="978"/>
      <c r="PG411" s="978"/>
      <c r="PH411" s="978"/>
      <c r="PI411" s="978"/>
      <c r="PJ411" s="978"/>
      <c r="PK411" s="978"/>
      <c r="PL411" s="978"/>
      <c r="PM411" s="978"/>
      <c r="PN411" s="978"/>
      <c r="PO411" s="978"/>
      <c r="PP411" s="978"/>
      <c r="PQ411" s="978"/>
      <c r="PR411" s="978"/>
      <c r="PS411" s="978"/>
      <c r="PT411" s="978"/>
      <c r="PU411" s="978"/>
      <c r="PV411" s="978"/>
      <c r="PW411" s="978"/>
      <c r="PX411" s="978"/>
      <c r="PY411" s="978"/>
      <c r="PZ411" s="978"/>
      <c r="QA411" s="978"/>
      <c r="QB411" s="978"/>
      <c r="QC411" s="978"/>
      <c r="QD411" s="978"/>
      <c r="QE411" s="978"/>
      <c r="QF411" s="978"/>
      <c r="QG411" s="978"/>
      <c r="QH411" s="978"/>
      <c r="QI411" s="978"/>
      <c r="QJ411" s="978"/>
      <c r="QK411" s="978"/>
      <c r="QL411" s="978"/>
      <c r="QM411" s="978"/>
      <c r="QN411" s="978"/>
      <c r="QO411" s="978"/>
      <c r="QP411" s="978"/>
      <c r="QQ411" s="978"/>
      <c r="QR411" s="978"/>
      <c r="QS411" s="978"/>
      <c r="QT411" s="978"/>
      <c r="QU411" s="978"/>
      <c r="QV411" s="978"/>
      <c r="QW411" s="978"/>
      <c r="QX411" s="978"/>
      <c r="QY411" s="978"/>
      <c r="QZ411" s="978"/>
      <c r="RA411" s="978"/>
      <c r="RB411" s="274"/>
      <c r="RC411" s="274"/>
    </row>
    <row r="412" spans="112:471" ht="17.25">
      <c r="DH412" s="274"/>
      <c r="DI412" s="274"/>
      <c r="DJ412" s="978"/>
      <c r="DK412" s="978"/>
      <c r="DL412" s="978"/>
      <c r="DM412" s="978"/>
      <c r="DN412" s="978"/>
      <c r="DO412" s="978"/>
      <c r="DP412" s="978"/>
      <c r="DQ412" s="978"/>
      <c r="DR412" s="978"/>
      <c r="DS412" s="978"/>
      <c r="DT412" s="978"/>
      <c r="DU412" s="978"/>
      <c r="DV412" s="978"/>
      <c r="DW412" s="978"/>
      <c r="DX412" s="978"/>
      <c r="DY412" s="978"/>
      <c r="DZ412" s="978"/>
      <c r="EA412" s="978"/>
      <c r="EB412" s="978"/>
      <c r="EC412" s="978"/>
      <c r="ED412" s="978"/>
      <c r="EE412" s="978"/>
      <c r="EF412" s="978"/>
      <c r="EG412" s="978"/>
      <c r="EH412" s="978"/>
      <c r="EI412" s="978"/>
      <c r="EJ412" s="978"/>
      <c r="EK412" s="978"/>
      <c r="EL412" s="978"/>
      <c r="EM412" s="978"/>
      <c r="EN412" s="978"/>
      <c r="EO412" s="978"/>
      <c r="EP412" s="978"/>
      <c r="EQ412" s="978"/>
      <c r="ER412" s="978"/>
      <c r="ES412" s="978"/>
      <c r="ET412" s="978"/>
      <c r="EU412" s="978"/>
      <c r="EV412" s="978"/>
      <c r="EW412" s="978"/>
      <c r="EX412" s="978"/>
      <c r="EY412" s="978"/>
      <c r="EZ412" s="978"/>
      <c r="FA412" s="978"/>
      <c r="FB412" s="978"/>
      <c r="FC412" s="978"/>
      <c r="FD412" s="978"/>
      <c r="FE412" s="978"/>
      <c r="FF412" s="978"/>
      <c r="FG412" s="978"/>
      <c r="FH412" s="978"/>
      <c r="FI412" s="978"/>
      <c r="FJ412" s="978"/>
      <c r="FK412" s="978"/>
      <c r="FL412" s="978"/>
      <c r="FM412" s="978"/>
      <c r="FN412" s="978"/>
      <c r="FO412" s="978"/>
      <c r="FP412" s="978"/>
      <c r="FQ412" s="978"/>
      <c r="FR412" s="978"/>
      <c r="FS412" s="978"/>
      <c r="FT412" s="978"/>
      <c r="FU412" s="978"/>
      <c r="FV412" s="978"/>
      <c r="FW412" s="978"/>
      <c r="FX412" s="978"/>
      <c r="FY412" s="978"/>
      <c r="FZ412" s="978"/>
      <c r="GA412" s="978"/>
      <c r="GB412" s="978"/>
      <c r="GC412" s="978"/>
      <c r="GD412" s="978"/>
      <c r="GE412" s="978"/>
      <c r="GF412" s="978"/>
      <c r="GG412" s="978"/>
      <c r="GH412" s="978"/>
      <c r="GI412" s="978"/>
      <c r="GJ412" s="978"/>
      <c r="GK412" s="978"/>
      <c r="GL412" s="978"/>
      <c r="GM412" s="978"/>
      <c r="GN412" s="978"/>
      <c r="GO412" s="978"/>
      <c r="GP412" s="978"/>
      <c r="GQ412" s="978"/>
      <c r="GR412" s="978"/>
      <c r="GS412" s="978"/>
      <c r="GT412" s="978"/>
      <c r="GU412" s="978"/>
      <c r="GV412" s="978"/>
      <c r="GW412" s="978"/>
      <c r="GX412" s="978"/>
      <c r="GY412" s="978"/>
      <c r="GZ412" s="978"/>
      <c r="HA412" s="978"/>
      <c r="HB412" s="978"/>
      <c r="HC412" s="978"/>
      <c r="HD412" s="978"/>
      <c r="HE412" s="978"/>
      <c r="HF412" s="978"/>
      <c r="HG412" s="978"/>
      <c r="HH412" s="978"/>
      <c r="HI412" s="978"/>
      <c r="HJ412" s="978"/>
      <c r="HK412" s="978"/>
      <c r="HL412" s="978"/>
      <c r="HM412" s="978"/>
      <c r="HN412" s="978"/>
      <c r="HO412" s="978"/>
      <c r="HP412" s="978"/>
      <c r="HQ412" s="978"/>
      <c r="HR412" s="978"/>
      <c r="HS412" s="978"/>
      <c r="HT412" s="978"/>
      <c r="HU412" s="978"/>
      <c r="HV412" s="978"/>
      <c r="HW412" s="978"/>
      <c r="HX412" s="978"/>
      <c r="HY412" s="978"/>
      <c r="HZ412" s="978"/>
      <c r="IA412" s="978"/>
      <c r="IB412" s="978"/>
      <c r="IC412" s="978"/>
      <c r="ID412" s="978"/>
      <c r="IE412" s="978"/>
      <c r="IF412" s="978"/>
      <c r="IG412" s="978"/>
      <c r="IH412" s="978"/>
      <c r="II412" s="978"/>
      <c r="IJ412" s="978"/>
      <c r="IK412" s="978"/>
      <c r="IL412" s="978"/>
      <c r="IM412" s="978"/>
      <c r="IN412" s="978"/>
      <c r="IO412" s="978"/>
      <c r="IP412" s="978"/>
      <c r="IQ412" s="978"/>
      <c r="IR412" s="978"/>
      <c r="IS412" s="978"/>
      <c r="IT412" s="978"/>
      <c r="IU412" s="978"/>
      <c r="IV412" s="978"/>
      <c r="IW412" s="978"/>
      <c r="IX412" s="978"/>
      <c r="IY412" s="978"/>
      <c r="IZ412" s="978"/>
      <c r="JA412" s="978"/>
      <c r="JB412" s="978"/>
      <c r="JC412" s="978"/>
      <c r="JD412" s="978"/>
      <c r="JE412" s="978"/>
      <c r="JF412" s="978"/>
      <c r="JG412" s="978"/>
      <c r="JH412" s="978"/>
      <c r="JI412" s="978"/>
      <c r="JJ412" s="978"/>
      <c r="JK412" s="978"/>
      <c r="JL412" s="978"/>
      <c r="JM412" s="978"/>
      <c r="JN412" s="978"/>
      <c r="JO412" s="978"/>
      <c r="JP412" s="978"/>
      <c r="JQ412" s="978"/>
      <c r="JR412" s="978"/>
      <c r="JS412" s="978"/>
      <c r="JT412" s="978"/>
      <c r="JU412" s="978"/>
      <c r="JV412" s="978"/>
      <c r="JW412" s="978"/>
      <c r="JX412" s="978"/>
      <c r="JY412" s="978"/>
      <c r="JZ412" s="978"/>
      <c r="KA412" s="978"/>
      <c r="KB412" s="978"/>
      <c r="KC412" s="978"/>
      <c r="KD412" s="978"/>
      <c r="KE412" s="978"/>
      <c r="KF412" s="978"/>
      <c r="KG412" s="978"/>
      <c r="KH412" s="978"/>
      <c r="KI412" s="978"/>
      <c r="KJ412" s="978"/>
      <c r="KK412" s="978"/>
      <c r="KL412" s="978"/>
      <c r="KM412" s="978"/>
      <c r="KN412" s="978"/>
      <c r="KO412" s="978"/>
      <c r="KP412" s="978"/>
      <c r="KQ412" s="978"/>
      <c r="KR412" s="978"/>
      <c r="KS412" s="978"/>
      <c r="KT412" s="978"/>
      <c r="KU412" s="978"/>
      <c r="KV412" s="978"/>
      <c r="KW412" s="978"/>
      <c r="KX412" s="978"/>
      <c r="KY412" s="978"/>
      <c r="KZ412" s="978"/>
      <c r="LA412" s="978"/>
      <c r="LB412" s="978"/>
      <c r="LC412" s="978"/>
      <c r="LD412" s="978"/>
      <c r="LE412" s="978"/>
      <c r="LF412" s="978"/>
      <c r="LG412" s="978"/>
      <c r="LH412" s="978"/>
      <c r="LI412" s="978"/>
      <c r="LJ412" s="978"/>
      <c r="LK412" s="978"/>
      <c r="LL412" s="978"/>
      <c r="LM412" s="978"/>
      <c r="LN412" s="978"/>
      <c r="LO412" s="978"/>
      <c r="LP412" s="978"/>
      <c r="LQ412" s="978"/>
      <c r="LR412" s="978"/>
      <c r="LS412" s="978"/>
      <c r="LT412" s="978"/>
      <c r="LU412" s="978"/>
      <c r="LV412" s="978"/>
      <c r="LW412" s="978"/>
      <c r="LX412" s="978"/>
      <c r="LY412" s="978"/>
      <c r="LZ412" s="978"/>
      <c r="MA412" s="978"/>
      <c r="MB412" s="978"/>
      <c r="MC412" s="978"/>
      <c r="MD412" s="978"/>
      <c r="ME412" s="978"/>
      <c r="MF412" s="978"/>
      <c r="MG412" s="978"/>
      <c r="MH412" s="978"/>
      <c r="MI412" s="978"/>
      <c r="MJ412" s="978"/>
      <c r="MK412" s="978"/>
      <c r="ML412" s="978"/>
      <c r="MM412" s="978"/>
      <c r="MN412" s="978"/>
      <c r="MO412" s="978"/>
      <c r="MP412" s="978"/>
      <c r="MQ412" s="978"/>
      <c r="MR412" s="978"/>
      <c r="MS412" s="978"/>
      <c r="MT412" s="978"/>
      <c r="MU412" s="978"/>
      <c r="MV412" s="978"/>
      <c r="MW412" s="978"/>
      <c r="MX412" s="978"/>
      <c r="MY412" s="978"/>
      <c r="MZ412" s="978"/>
      <c r="NA412" s="978"/>
      <c r="NB412" s="978"/>
      <c r="NC412" s="978"/>
      <c r="ND412" s="978"/>
      <c r="NE412" s="978"/>
      <c r="NF412" s="978"/>
      <c r="NG412" s="978"/>
      <c r="NH412" s="978"/>
      <c r="NI412" s="978"/>
      <c r="NJ412" s="978"/>
      <c r="NK412" s="978"/>
      <c r="NL412" s="978"/>
      <c r="NM412" s="978"/>
      <c r="NN412" s="978"/>
      <c r="NO412" s="978"/>
      <c r="NP412" s="978"/>
      <c r="NQ412" s="978"/>
      <c r="NR412" s="978"/>
      <c r="NS412" s="978"/>
      <c r="NT412" s="978"/>
      <c r="NU412" s="978"/>
      <c r="NV412" s="978"/>
      <c r="NW412" s="978"/>
      <c r="NX412" s="978"/>
      <c r="NY412" s="978"/>
      <c r="NZ412" s="978"/>
      <c r="OA412" s="978"/>
      <c r="OB412" s="978"/>
      <c r="OC412" s="978"/>
      <c r="OD412" s="978"/>
      <c r="OE412" s="978"/>
      <c r="OF412" s="978"/>
      <c r="OG412" s="978"/>
      <c r="OH412" s="978"/>
      <c r="OI412" s="978"/>
      <c r="OJ412" s="978"/>
      <c r="OK412" s="978"/>
      <c r="OL412" s="978"/>
      <c r="OM412" s="978"/>
      <c r="ON412" s="978"/>
      <c r="OO412" s="978"/>
      <c r="OP412" s="978"/>
      <c r="OQ412" s="978"/>
      <c r="OR412" s="978"/>
      <c r="OS412" s="978"/>
      <c r="OT412" s="978"/>
      <c r="OU412" s="978"/>
      <c r="OV412" s="978"/>
      <c r="OW412" s="978"/>
      <c r="OX412" s="978"/>
      <c r="OY412" s="978"/>
      <c r="OZ412" s="978"/>
      <c r="PA412" s="978"/>
      <c r="PB412" s="978"/>
      <c r="PC412" s="978"/>
      <c r="PD412" s="978"/>
      <c r="PE412" s="978"/>
      <c r="PF412" s="978"/>
      <c r="PG412" s="978"/>
      <c r="PH412" s="978"/>
      <c r="PI412" s="978"/>
      <c r="PJ412" s="978"/>
      <c r="PK412" s="978"/>
      <c r="PL412" s="978"/>
      <c r="PM412" s="978"/>
      <c r="PN412" s="978"/>
      <c r="PO412" s="978"/>
      <c r="PP412" s="978"/>
      <c r="PQ412" s="978"/>
      <c r="PR412" s="978"/>
      <c r="PS412" s="978"/>
      <c r="PT412" s="978"/>
      <c r="PU412" s="978"/>
      <c r="PV412" s="978"/>
      <c r="PW412" s="978"/>
      <c r="PX412" s="978"/>
      <c r="PY412" s="978"/>
      <c r="PZ412" s="978"/>
      <c r="QA412" s="978"/>
      <c r="QB412" s="978"/>
      <c r="QC412" s="978"/>
      <c r="QD412" s="978"/>
      <c r="QE412" s="978"/>
      <c r="QF412" s="978"/>
      <c r="QG412" s="978"/>
      <c r="QH412" s="978"/>
      <c r="QI412" s="978"/>
      <c r="QJ412" s="978"/>
      <c r="QK412" s="978"/>
      <c r="QL412" s="978"/>
      <c r="QM412" s="978"/>
      <c r="QN412" s="978"/>
      <c r="QO412" s="978"/>
      <c r="QP412" s="978"/>
      <c r="QQ412" s="978"/>
      <c r="QR412" s="978"/>
      <c r="QS412" s="978"/>
      <c r="QT412" s="978"/>
      <c r="QU412" s="978"/>
      <c r="QV412" s="978"/>
      <c r="QW412" s="978"/>
      <c r="QX412" s="978"/>
      <c r="QY412" s="978"/>
      <c r="QZ412" s="978"/>
      <c r="RA412" s="978"/>
      <c r="RB412" s="274"/>
      <c r="RC412" s="274"/>
    </row>
    <row r="413" spans="112:471" ht="17.25">
      <c r="DH413" s="274"/>
      <c r="DI413" s="274"/>
      <c r="DJ413" s="978"/>
      <c r="DK413" s="978"/>
      <c r="DL413" s="978"/>
      <c r="DM413" s="978"/>
      <c r="DN413" s="978"/>
      <c r="DO413" s="978"/>
      <c r="DP413" s="978"/>
      <c r="DQ413" s="978"/>
      <c r="DR413" s="978"/>
      <c r="DS413" s="978"/>
      <c r="DT413" s="978"/>
      <c r="DU413" s="978"/>
      <c r="DV413" s="978"/>
      <c r="DW413" s="978"/>
      <c r="DX413" s="978"/>
      <c r="DY413" s="978"/>
      <c r="DZ413" s="978"/>
      <c r="EA413" s="978"/>
      <c r="EB413" s="978"/>
      <c r="EC413" s="978"/>
      <c r="ED413" s="978"/>
      <c r="EE413" s="978"/>
      <c r="EF413" s="978"/>
      <c r="EG413" s="978"/>
      <c r="EH413" s="978"/>
      <c r="EI413" s="978"/>
      <c r="EJ413" s="978"/>
      <c r="EK413" s="978"/>
      <c r="EL413" s="978"/>
      <c r="EM413" s="978"/>
      <c r="EN413" s="978"/>
      <c r="EO413" s="978"/>
      <c r="EP413" s="978"/>
      <c r="EQ413" s="978"/>
      <c r="ER413" s="978"/>
      <c r="ES413" s="978"/>
      <c r="ET413" s="978"/>
      <c r="EU413" s="978"/>
      <c r="EV413" s="978"/>
      <c r="EW413" s="978"/>
      <c r="EX413" s="978"/>
      <c r="EY413" s="978"/>
      <c r="EZ413" s="978"/>
      <c r="FA413" s="978"/>
      <c r="FB413" s="978"/>
      <c r="FC413" s="978"/>
      <c r="FD413" s="978"/>
      <c r="FE413" s="978"/>
      <c r="FF413" s="978"/>
      <c r="FG413" s="978"/>
      <c r="FH413" s="978"/>
      <c r="FI413" s="978"/>
      <c r="FJ413" s="978"/>
      <c r="FK413" s="978"/>
      <c r="FL413" s="978"/>
      <c r="FM413" s="978"/>
      <c r="FN413" s="978"/>
      <c r="FO413" s="978"/>
      <c r="FP413" s="978"/>
      <c r="FQ413" s="978"/>
      <c r="FR413" s="978"/>
      <c r="FS413" s="978"/>
      <c r="FT413" s="978"/>
      <c r="FU413" s="978"/>
      <c r="FV413" s="978"/>
      <c r="FW413" s="978"/>
      <c r="FX413" s="978"/>
      <c r="FY413" s="978"/>
      <c r="FZ413" s="978"/>
      <c r="GA413" s="978"/>
      <c r="GB413" s="978"/>
      <c r="GC413" s="978"/>
      <c r="GD413" s="978"/>
      <c r="GE413" s="978"/>
      <c r="GF413" s="978"/>
      <c r="GG413" s="978"/>
      <c r="GH413" s="978"/>
      <c r="GI413" s="978"/>
      <c r="GJ413" s="978"/>
      <c r="GK413" s="978"/>
      <c r="GL413" s="978"/>
      <c r="GM413" s="978"/>
      <c r="GN413" s="978"/>
      <c r="GO413" s="978"/>
      <c r="GP413" s="978"/>
      <c r="GQ413" s="978"/>
      <c r="GR413" s="978"/>
      <c r="GS413" s="978"/>
      <c r="GT413" s="978"/>
      <c r="GU413" s="978"/>
      <c r="GV413" s="978"/>
      <c r="GW413" s="978"/>
      <c r="GX413" s="978"/>
      <c r="GY413" s="978"/>
      <c r="GZ413" s="978"/>
      <c r="HA413" s="978"/>
      <c r="HB413" s="978"/>
      <c r="HC413" s="978"/>
      <c r="HD413" s="978"/>
      <c r="HE413" s="978"/>
      <c r="HF413" s="978"/>
      <c r="HG413" s="978"/>
      <c r="HH413" s="978"/>
      <c r="HI413" s="978"/>
      <c r="HJ413" s="978"/>
      <c r="HK413" s="978"/>
      <c r="HL413" s="978"/>
      <c r="HM413" s="978"/>
      <c r="HN413" s="978"/>
      <c r="HO413" s="978"/>
      <c r="HP413" s="978"/>
      <c r="HQ413" s="978"/>
      <c r="HR413" s="978"/>
      <c r="HS413" s="978"/>
      <c r="HT413" s="978"/>
      <c r="HU413" s="978"/>
      <c r="HV413" s="978"/>
      <c r="HW413" s="978"/>
      <c r="HX413" s="978"/>
      <c r="HY413" s="978"/>
      <c r="HZ413" s="978"/>
      <c r="IA413" s="978"/>
      <c r="IB413" s="978"/>
      <c r="IC413" s="978"/>
      <c r="ID413" s="978"/>
      <c r="IE413" s="978"/>
      <c r="IF413" s="978"/>
      <c r="IG413" s="978"/>
      <c r="IH413" s="978"/>
      <c r="II413" s="978"/>
      <c r="IJ413" s="978"/>
      <c r="IK413" s="978"/>
      <c r="IL413" s="978"/>
      <c r="IM413" s="978"/>
      <c r="IN413" s="978"/>
      <c r="IO413" s="978"/>
      <c r="IP413" s="978"/>
      <c r="IQ413" s="978"/>
      <c r="IR413" s="978"/>
      <c r="IS413" s="978"/>
      <c r="IT413" s="978"/>
      <c r="IU413" s="978"/>
      <c r="IV413" s="978"/>
      <c r="IW413" s="978"/>
      <c r="IX413" s="978"/>
      <c r="IY413" s="978"/>
      <c r="IZ413" s="978"/>
      <c r="JA413" s="978"/>
      <c r="JB413" s="978"/>
      <c r="JC413" s="978"/>
      <c r="JD413" s="978"/>
      <c r="JE413" s="978"/>
      <c r="JF413" s="978"/>
      <c r="JG413" s="978"/>
      <c r="JH413" s="978"/>
      <c r="JI413" s="978"/>
      <c r="JJ413" s="978"/>
      <c r="JK413" s="978"/>
      <c r="JL413" s="978"/>
      <c r="JM413" s="978"/>
      <c r="JN413" s="978"/>
      <c r="JO413" s="978"/>
      <c r="JP413" s="978"/>
      <c r="JQ413" s="978"/>
      <c r="JR413" s="978"/>
      <c r="JS413" s="978"/>
      <c r="JT413" s="978"/>
      <c r="JU413" s="978"/>
      <c r="JV413" s="978"/>
      <c r="JW413" s="978"/>
      <c r="JX413" s="978"/>
      <c r="JY413" s="978"/>
      <c r="JZ413" s="978"/>
      <c r="KA413" s="978"/>
      <c r="KB413" s="978"/>
      <c r="KC413" s="978"/>
      <c r="KD413" s="978"/>
      <c r="KE413" s="978"/>
      <c r="KF413" s="978"/>
      <c r="KG413" s="978"/>
      <c r="KH413" s="978"/>
      <c r="KI413" s="978"/>
      <c r="KJ413" s="978"/>
      <c r="KK413" s="978"/>
      <c r="KL413" s="978"/>
      <c r="KM413" s="978"/>
      <c r="KN413" s="978"/>
      <c r="KO413" s="978"/>
      <c r="KP413" s="978"/>
      <c r="KQ413" s="978"/>
      <c r="KR413" s="978"/>
      <c r="KS413" s="978"/>
      <c r="KT413" s="978"/>
      <c r="KU413" s="978"/>
      <c r="KV413" s="978"/>
      <c r="KW413" s="978"/>
      <c r="KX413" s="978"/>
      <c r="KY413" s="978"/>
      <c r="KZ413" s="978"/>
      <c r="LA413" s="978"/>
      <c r="LB413" s="978"/>
      <c r="LC413" s="978"/>
      <c r="LD413" s="978"/>
      <c r="LE413" s="978"/>
      <c r="LF413" s="978"/>
      <c r="LG413" s="978"/>
      <c r="LH413" s="978"/>
      <c r="LI413" s="978"/>
      <c r="LJ413" s="978"/>
      <c r="LK413" s="978"/>
      <c r="LL413" s="978"/>
      <c r="LM413" s="978"/>
      <c r="LN413" s="978"/>
      <c r="LO413" s="978"/>
      <c r="LP413" s="978"/>
      <c r="LQ413" s="978"/>
      <c r="LR413" s="978"/>
      <c r="LS413" s="978"/>
      <c r="LT413" s="978"/>
      <c r="LU413" s="978"/>
      <c r="LV413" s="978"/>
      <c r="LW413" s="978"/>
      <c r="LX413" s="978"/>
      <c r="LY413" s="978"/>
      <c r="LZ413" s="978"/>
      <c r="MA413" s="978"/>
      <c r="MB413" s="978"/>
      <c r="MC413" s="978"/>
      <c r="MD413" s="978"/>
      <c r="ME413" s="978"/>
      <c r="MF413" s="978"/>
      <c r="MG413" s="978"/>
      <c r="MH413" s="978"/>
      <c r="MI413" s="978"/>
      <c r="MJ413" s="978"/>
      <c r="MK413" s="978"/>
      <c r="ML413" s="978"/>
      <c r="MM413" s="978"/>
      <c r="MN413" s="978"/>
      <c r="MO413" s="978"/>
      <c r="MP413" s="978"/>
      <c r="MQ413" s="978"/>
      <c r="MR413" s="978"/>
      <c r="MS413" s="978"/>
      <c r="MT413" s="978"/>
      <c r="MU413" s="978"/>
      <c r="MV413" s="978"/>
      <c r="MW413" s="978"/>
      <c r="MX413" s="978"/>
      <c r="MY413" s="978"/>
      <c r="MZ413" s="978"/>
      <c r="NA413" s="978"/>
      <c r="NB413" s="978"/>
      <c r="NC413" s="978"/>
      <c r="ND413" s="978"/>
      <c r="NE413" s="978"/>
      <c r="NF413" s="978"/>
      <c r="NG413" s="978"/>
      <c r="NH413" s="978"/>
      <c r="NI413" s="978"/>
      <c r="NJ413" s="978"/>
      <c r="NK413" s="978"/>
      <c r="NL413" s="978"/>
      <c r="NM413" s="978"/>
      <c r="NN413" s="978"/>
      <c r="NO413" s="978"/>
      <c r="NP413" s="978"/>
      <c r="NQ413" s="978"/>
      <c r="NR413" s="978"/>
      <c r="NS413" s="978"/>
      <c r="NT413" s="978"/>
      <c r="NU413" s="978"/>
      <c r="NV413" s="978"/>
      <c r="NW413" s="978"/>
      <c r="NX413" s="978"/>
      <c r="NY413" s="978"/>
      <c r="NZ413" s="978"/>
      <c r="OA413" s="978"/>
      <c r="OB413" s="978"/>
      <c r="OC413" s="978"/>
      <c r="OD413" s="978"/>
      <c r="OE413" s="978"/>
      <c r="OF413" s="978"/>
      <c r="OG413" s="978"/>
      <c r="OH413" s="978"/>
      <c r="OI413" s="978"/>
      <c r="OJ413" s="978"/>
      <c r="OK413" s="978"/>
      <c r="OL413" s="978"/>
      <c r="OM413" s="978"/>
      <c r="ON413" s="978"/>
      <c r="OO413" s="978"/>
      <c r="OP413" s="978"/>
      <c r="OQ413" s="978"/>
      <c r="OR413" s="978"/>
      <c r="OS413" s="978"/>
      <c r="OT413" s="978"/>
      <c r="OU413" s="978"/>
      <c r="OV413" s="978"/>
      <c r="OW413" s="978"/>
      <c r="OX413" s="978"/>
      <c r="OY413" s="978"/>
      <c r="OZ413" s="978"/>
      <c r="PA413" s="978"/>
      <c r="PB413" s="978"/>
      <c r="PC413" s="978"/>
      <c r="PD413" s="978"/>
      <c r="PE413" s="978"/>
      <c r="PF413" s="978"/>
      <c r="PG413" s="978"/>
      <c r="PH413" s="978"/>
      <c r="PI413" s="978"/>
      <c r="PJ413" s="978"/>
      <c r="PK413" s="978"/>
      <c r="PL413" s="978"/>
      <c r="PM413" s="978"/>
      <c r="PN413" s="978"/>
      <c r="PO413" s="978"/>
      <c r="PP413" s="978"/>
      <c r="PQ413" s="978"/>
      <c r="PR413" s="978"/>
      <c r="PS413" s="978"/>
      <c r="PT413" s="978"/>
      <c r="PU413" s="978"/>
      <c r="PV413" s="978"/>
      <c r="PW413" s="978"/>
      <c r="PX413" s="978"/>
      <c r="PY413" s="978"/>
      <c r="PZ413" s="978"/>
      <c r="QA413" s="978"/>
      <c r="QB413" s="978"/>
      <c r="QC413" s="978"/>
      <c r="QD413" s="978"/>
      <c r="QE413" s="978"/>
      <c r="QF413" s="978"/>
      <c r="QG413" s="978"/>
      <c r="QH413" s="978"/>
      <c r="QI413" s="978"/>
      <c r="QJ413" s="978"/>
      <c r="QK413" s="978"/>
      <c r="QL413" s="978"/>
      <c r="QM413" s="978"/>
      <c r="QN413" s="978"/>
      <c r="QO413" s="978"/>
      <c r="QP413" s="978"/>
      <c r="QQ413" s="978"/>
      <c r="QR413" s="978"/>
      <c r="QS413" s="978"/>
      <c r="QT413" s="978"/>
      <c r="QU413" s="978"/>
      <c r="QV413" s="978"/>
      <c r="QW413" s="978"/>
      <c r="QX413" s="978"/>
      <c r="QY413" s="978"/>
      <c r="QZ413" s="978"/>
      <c r="RA413" s="978"/>
      <c r="RB413" s="274"/>
      <c r="RC413" s="274"/>
    </row>
    <row r="414" spans="112:471" ht="17.25">
      <c r="DH414" s="274"/>
      <c r="DI414" s="274"/>
      <c r="DJ414" s="978"/>
      <c r="DK414" s="978"/>
      <c r="DL414" s="978"/>
      <c r="DM414" s="978"/>
      <c r="DN414" s="978"/>
      <c r="DO414" s="978"/>
      <c r="DP414" s="978"/>
      <c r="DQ414" s="978"/>
      <c r="DR414" s="978"/>
      <c r="DS414" s="978"/>
      <c r="DT414" s="978"/>
      <c r="DU414" s="978"/>
      <c r="DV414" s="978"/>
      <c r="DW414" s="978"/>
      <c r="DX414" s="978"/>
      <c r="DY414" s="978"/>
      <c r="DZ414" s="978"/>
      <c r="EA414" s="978"/>
      <c r="EB414" s="978"/>
      <c r="EC414" s="978"/>
      <c r="ED414" s="978"/>
      <c r="EE414" s="978"/>
      <c r="EF414" s="978"/>
      <c r="EG414" s="978"/>
      <c r="EH414" s="978"/>
      <c r="EI414" s="978"/>
      <c r="EJ414" s="978"/>
      <c r="EK414" s="978"/>
      <c r="EL414" s="978"/>
      <c r="EM414" s="978"/>
      <c r="EN414" s="978"/>
      <c r="EO414" s="978"/>
      <c r="EP414" s="978"/>
      <c r="EQ414" s="978"/>
      <c r="ER414" s="978"/>
      <c r="ES414" s="978"/>
      <c r="ET414" s="978"/>
      <c r="EU414" s="978"/>
      <c r="EV414" s="978"/>
      <c r="EW414" s="978"/>
      <c r="EX414" s="978"/>
      <c r="EY414" s="978"/>
      <c r="EZ414" s="978"/>
      <c r="FA414" s="978"/>
      <c r="FB414" s="978"/>
      <c r="FC414" s="978"/>
      <c r="FD414" s="978"/>
      <c r="FE414" s="978"/>
      <c r="FF414" s="978"/>
      <c r="FG414" s="978"/>
      <c r="FH414" s="978"/>
      <c r="FI414" s="978"/>
      <c r="FJ414" s="978"/>
      <c r="FK414" s="978"/>
      <c r="FL414" s="978"/>
      <c r="FM414" s="978"/>
      <c r="FN414" s="978"/>
      <c r="FO414" s="978"/>
      <c r="FP414" s="978"/>
      <c r="FQ414" s="978"/>
      <c r="FR414" s="978"/>
      <c r="FS414" s="978"/>
      <c r="FT414" s="978"/>
      <c r="FU414" s="978"/>
      <c r="FV414" s="978"/>
      <c r="FW414" s="978"/>
      <c r="FX414" s="978"/>
      <c r="FY414" s="978"/>
      <c r="FZ414" s="978"/>
      <c r="GA414" s="978"/>
      <c r="GB414" s="978"/>
      <c r="GC414" s="978"/>
      <c r="GD414" s="978"/>
      <c r="GE414" s="978"/>
      <c r="GF414" s="978"/>
      <c r="GG414" s="978"/>
      <c r="GH414" s="978"/>
      <c r="GI414" s="978"/>
      <c r="GJ414" s="978"/>
      <c r="GK414" s="978"/>
      <c r="GL414" s="978"/>
      <c r="GM414" s="978"/>
      <c r="GN414" s="978"/>
      <c r="GO414" s="978"/>
      <c r="GP414" s="978"/>
      <c r="GQ414" s="978"/>
      <c r="GR414" s="978"/>
      <c r="GS414" s="978"/>
      <c r="GT414" s="978"/>
      <c r="GU414" s="978"/>
      <c r="GV414" s="978"/>
      <c r="GW414" s="978"/>
      <c r="GX414" s="978"/>
      <c r="GY414" s="978"/>
      <c r="GZ414" s="978"/>
      <c r="HA414" s="978"/>
      <c r="HB414" s="978"/>
      <c r="HC414" s="978"/>
      <c r="HD414" s="978"/>
      <c r="HE414" s="978"/>
      <c r="HF414" s="978"/>
      <c r="HG414" s="978"/>
      <c r="HH414" s="978"/>
      <c r="HI414" s="978"/>
      <c r="HJ414" s="978"/>
      <c r="HK414" s="978"/>
      <c r="HL414" s="978"/>
      <c r="HM414" s="978"/>
      <c r="HN414" s="978"/>
      <c r="HO414" s="978"/>
      <c r="HP414" s="978"/>
      <c r="HQ414" s="978"/>
      <c r="HR414" s="978"/>
      <c r="HS414" s="978"/>
      <c r="HT414" s="978"/>
      <c r="HU414" s="978"/>
      <c r="HV414" s="978"/>
      <c r="HW414" s="978"/>
      <c r="HX414" s="978"/>
      <c r="HY414" s="978"/>
      <c r="HZ414" s="978"/>
      <c r="IA414" s="978"/>
      <c r="IB414" s="978"/>
      <c r="IC414" s="978"/>
      <c r="ID414" s="978"/>
      <c r="IE414" s="978"/>
      <c r="IF414" s="978"/>
      <c r="IG414" s="978"/>
      <c r="IH414" s="978"/>
      <c r="II414" s="978"/>
      <c r="IJ414" s="978"/>
      <c r="IK414" s="978"/>
      <c r="IL414" s="978"/>
      <c r="IM414" s="978"/>
      <c r="IN414" s="978"/>
      <c r="IO414" s="978"/>
      <c r="IP414" s="978"/>
      <c r="IQ414" s="978"/>
      <c r="IR414" s="978"/>
      <c r="IS414" s="978"/>
      <c r="IT414" s="978"/>
      <c r="IU414" s="978"/>
      <c r="IV414" s="978"/>
      <c r="IW414" s="978"/>
      <c r="IX414" s="978"/>
      <c r="IY414" s="978"/>
      <c r="IZ414" s="978"/>
      <c r="JA414" s="978"/>
      <c r="JB414" s="978"/>
      <c r="JC414" s="978"/>
      <c r="JD414" s="978"/>
      <c r="JE414" s="978"/>
      <c r="JF414" s="978"/>
      <c r="JG414" s="978"/>
      <c r="JH414" s="978"/>
      <c r="JI414" s="978"/>
      <c r="JJ414" s="978"/>
      <c r="JK414" s="978"/>
      <c r="JL414" s="978"/>
      <c r="JM414" s="978"/>
      <c r="JN414" s="978"/>
      <c r="JO414" s="978"/>
      <c r="JP414" s="978"/>
      <c r="JQ414" s="978"/>
      <c r="JR414" s="978"/>
      <c r="JS414" s="978"/>
      <c r="JT414" s="978"/>
      <c r="JU414" s="978"/>
      <c r="JV414" s="978"/>
      <c r="JW414" s="978"/>
      <c r="JX414" s="978"/>
      <c r="JY414" s="978"/>
      <c r="JZ414" s="978"/>
      <c r="KA414" s="978"/>
      <c r="KB414" s="978"/>
      <c r="KC414" s="978"/>
      <c r="KD414" s="978"/>
      <c r="KE414" s="978"/>
      <c r="KF414" s="978"/>
      <c r="KG414" s="978"/>
      <c r="KH414" s="978"/>
      <c r="KI414" s="978"/>
      <c r="KJ414" s="978"/>
      <c r="KK414" s="978"/>
      <c r="KL414" s="978"/>
      <c r="KM414" s="978"/>
      <c r="KN414" s="978"/>
      <c r="KO414" s="978"/>
      <c r="KP414" s="978"/>
      <c r="KQ414" s="978"/>
      <c r="KR414" s="978"/>
      <c r="KS414" s="978"/>
      <c r="KT414" s="978"/>
      <c r="KU414" s="978"/>
      <c r="KV414" s="978"/>
      <c r="KW414" s="978"/>
      <c r="KX414" s="978"/>
      <c r="KY414" s="978"/>
      <c r="KZ414" s="978"/>
      <c r="LA414" s="978"/>
      <c r="LB414" s="978"/>
      <c r="LC414" s="978"/>
      <c r="LD414" s="978"/>
      <c r="LE414" s="978"/>
      <c r="LF414" s="978"/>
      <c r="LG414" s="978"/>
      <c r="LH414" s="978"/>
      <c r="LI414" s="978"/>
      <c r="LJ414" s="978"/>
      <c r="LK414" s="978"/>
      <c r="LL414" s="978"/>
      <c r="LM414" s="978"/>
      <c r="LN414" s="978"/>
      <c r="LO414" s="978"/>
      <c r="LP414" s="978"/>
      <c r="LQ414" s="978"/>
      <c r="LR414" s="978"/>
      <c r="LS414" s="978"/>
      <c r="LT414" s="978"/>
      <c r="LU414" s="978"/>
      <c r="LV414" s="978"/>
      <c r="LW414" s="978"/>
      <c r="LX414" s="978"/>
      <c r="LY414" s="978"/>
      <c r="LZ414" s="978"/>
      <c r="MA414" s="978"/>
      <c r="MB414" s="978"/>
      <c r="MC414" s="978"/>
      <c r="MD414" s="978"/>
      <c r="ME414" s="978"/>
      <c r="MF414" s="978"/>
      <c r="MG414" s="978"/>
      <c r="MH414" s="978"/>
      <c r="MI414" s="978"/>
      <c r="MJ414" s="978"/>
      <c r="MK414" s="978"/>
      <c r="ML414" s="978"/>
      <c r="MM414" s="978"/>
      <c r="MN414" s="978"/>
      <c r="MO414" s="978"/>
      <c r="MP414" s="978"/>
      <c r="MQ414" s="978"/>
      <c r="MR414" s="978"/>
      <c r="MS414" s="978"/>
      <c r="MT414" s="978"/>
      <c r="MU414" s="978"/>
      <c r="MV414" s="978"/>
      <c r="MW414" s="978"/>
      <c r="MX414" s="978"/>
      <c r="MY414" s="978"/>
      <c r="MZ414" s="978"/>
      <c r="NA414" s="978"/>
      <c r="NB414" s="978"/>
      <c r="NC414" s="978"/>
      <c r="ND414" s="978"/>
      <c r="NE414" s="978"/>
      <c r="NF414" s="978"/>
      <c r="NG414" s="978"/>
      <c r="NH414" s="978"/>
      <c r="NI414" s="978"/>
      <c r="NJ414" s="978"/>
      <c r="NK414" s="978"/>
      <c r="NL414" s="978"/>
      <c r="NM414" s="978"/>
      <c r="NN414" s="978"/>
      <c r="NO414" s="978"/>
      <c r="NP414" s="978"/>
      <c r="NQ414" s="978"/>
      <c r="NR414" s="978"/>
      <c r="NS414" s="978"/>
      <c r="NT414" s="978"/>
      <c r="NU414" s="978"/>
      <c r="NV414" s="978"/>
      <c r="NW414" s="978"/>
      <c r="NX414" s="978"/>
      <c r="NY414" s="978"/>
      <c r="NZ414" s="978"/>
      <c r="OA414" s="978"/>
      <c r="OB414" s="978"/>
      <c r="OC414" s="978"/>
      <c r="OD414" s="978"/>
      <c r="OE414" s="978"/>
      <c r="OF414" s="978"/>
      <c r="OG414" s="978"/>
      <c r="OH414" s="978"/>
      <c r="OI414" s="978"/>
      <c r="OJ414" s="978"/>
      <c r="OK414" s="978"/>
      <c r="OL414" s="978"/>
      <c r="OM414" s="978"/>
      <c r="ON414" s="978"/>
      <c r="OO414" s="978"/>
      <c r="OP414" s="978"/>
      <c r="OQ414" s="978"/>
      <c r="OR414" s="978"/>
      <c r="OS414" s="978"/>
      <c r="OT414" s="978"/>
      <c r="OU414" s="978"/>
      <c r="OV414" s="978"/>
      <c r="OW414" s="978"/>
      <c r="OX414" s="978"/>
      <c r="OY414" s="978"/>
      <c r="OZ414" s="978"/>
      <c r="PA414" s="978"/>
      <c r="PB414" s="978"/>
      <c r="PC414" s="978"/>
      <c r="PD414" s="978"/>
      <c r="PE414" s="978"/>
      <c r="PF414" s="978"/>
      <c r="PG414" s="978"/>
      <c r="PH414" s="978"/>
      <c r="PI414" s="978"/>
      <c r="PJ414" s="978"/>
      <c r="PK414" s="978"/>
      <c r="PL414" s="978"/>
      <c r="PM414" s="978"/>
      <c r="PN414" s="978"/>
      <c r="PO414" s="978"/>
      <c r="PP414" s="978"/>
      <c r="PQ414" s="978"/>
      <c r="PR414" s="978"/>
      <c r="PS414" s="978"/>
      <c r="PT414" s="978"/>
      <c r="PU414" s="978"/>
      <c r="PV414" s="978"/>
      <c r="PW414" s="978"/>
      <c r="PX414" s="978"/>
      <c r="PY414" s="978"/>
      <c r="PZ414" s="978"/>
      <c r="QA414" s="978"/>
      <c r="QB414" s="978"/>
      <c r="QC414" s="978"/>
      <c r="QD414" s="978"/>
      <c r="QE414" s="978"/>
      <c r="QF414" s="978"/>
      <c r="QG414" s="978"/>
      <c r="QH414" s="978"/>
      <c r="QI414" s="978"/>
      <c r="QJ414" s="978"/>
      <c r="QK414" s="978"/>
      <c r="QL414" s="978"/>
      <c r="QM414" s="978"/>
      <c r="QN414" s="978"/>
      <c r="QO414" s="978"/>
      <c r="QP414" s="978"/>
      <c r="QQ414" s="978"/>
      <c r="QR414" s="978"/>
      <c r="QS414" s="978"/>
      <c r="QT414" s="978"/>
      <c r="QU414" s="978"/>
      <c r="QV414" s="978"/>
      <c r="QW414" s="978"/>
      <c r="QX414" s="978"/>
      <c r="QY414" s="978"/>
      <c r="QZ414" s="978"/>
      <c r="RA414" s="978"/>
      <c r="RB414" s="274"/>
      <c r="RC414" s="274"/>
    </row>
    <row r="415" spans="112:471" ht="17.25">
      <c r="DH415" s="274"/>
      <c r="DI415" s="274"/>
      <c r="DJ415" s="978"/>
      <c r="DK415" s="978"/>
      <c r="DL415" s="978"/>
      <c r="DM415" s="978"/>
      <c r="DN415" s="978"/>
      <c r="DO415" s="978"/>
      <c r="DP415" s="978"/>
      <c r="DQ415" s="978"/>
      <c r="DR415" s="978"/>
      <c r="DS415" s="978"/>
      <c r="DT415" s="978"/>
      <c r="DU415" s="978"/>
      <c r="DV415" s="978"/>
      <c r="DW415" s="978"/>
      <c r="DX415" s="978"/>
      <c r="DY415" s="978"/>
      <c r="DZ415" s="978"/>
      <c r="EA415" s="978"/>
      <c r="EB415" s="978"/>
      <c r="EC415" s="978"/>
      <c r="ED415" s="978"/>
      <c r="EE415" s="978"/>
      <c r="EF415" s="978"/>
      <c r="EG415" s="978"/>
      <c r="EH415" s="978"/>
      <c r="EI415" s="978"/>
      <c r="EJ415" s="978"/>
      <c r="EK415" s="978"/>
      <c r="EL415" s="978"/>
      <c r="EM415" s="978"/>
      <c r="EN415" s="978"/>
      <c r="EO415" s="978"/>
      <c r="EP415" s="978"/>
      <c r="EQ415" s="978"/>
      <c r="ER415" s="978"/>
      <c r="ES415" s="978"/>
      <c r="ET415" s="978"/>
      <c r="EU415" s="978"/>
      <c r="EV415" s="978"/>
      <c r="EW415" s="978"/>
      <c r="EX415" s="978"/>
      <c r="EY415" s="978"/>
      <c r="EZ415" s="978"/>
      <c r="FA415" s="978"/>
      <c r="FB415" s="978"/>
      <c r="FC415" s="978"/>
      <c r="FD415" s="978"/>
      <c r="FE415" s="978"/>
      <c r="FF415" s="978"/>
      <c r="FG415" s="978"/>
      <c r="FH415" s="978"/>
      <c r="FI415" s="978"/>
      <c r="FJ415" s="978"/>
      <c r="FK415" s="978"/>
      <c r="FL415" s="978"/>
      <c r="FM415" s="978"/>
      <c r="FN415" s="978"/>
      <c r="FO415" s="978"/>
      <c r="FP415" s="978"/>
      <c r="FQ415" s="978"/>
      <c r="FR415" s="978"/>
      <c r="FS415" s="978"/>
      <c r="FT415" s="978"/>
      <c r="FU415" s="978"/>
      <c r="FV415" s="978"/>
      <c r="FW415" s="978"/>
      <c r="FX415" s="978"/>
      <c r="FY415" s="978"/>
      <c r="FZ415" s="978"/>
      <c r="GA415" s="978"/>
      <c r="GB415" s="978"/>
      <c r="GC415" s="978"/>
      <c r="GD415" s="978"/>
      <c r="GE415" s="978"/>
      <c r="GF415" s="978"/>
      <c r="GG415" s="978"/>
      <c r="GH415" s="978"/>
      <c r="GI415" s="978"/>
      <c r="GJ415" s="978"/>
      <c r="GK415" s="978"/>
      <c r="GL415" s="978"/>
      <c r="GM415" s="978"/>
      <c r="GN415" s="978"/>
      <c r="GO415" s="978"/>
      <c r="GP415" s="978"/>
      <c r="GQ415" s="978"/>
      <c r="GR415" s="978"/>
      <c r="GS415" s="978"/>
      <c r="GT415" s="978"/>
      <c r="GU415" s="978"/>
      <c r="GV415" s="978"/>
      <c r="GW415" s="978"/>
      <c r="GX415" s="978"/>
      <c r="GY415" s="978"/>
      <c r="GZ415" s="978"/>
      <c r="HA415" s="978"/>
      <c r="HB415" s="978"/>
      <c r="HC415" s="978"/>
      <c r="HD415" s="978"/>
      <c r="HE415" s="978"/>
      <c r="HF415" s="978"/>
      <c r="HG415" s="978"/>
      <c r="HH415" s="978"/>
      <c r="HI415" s="978"/>
      <c r="HJ415" s="978"/>
      <c r="HK415" s="978"/>
      <c r="HL415" s="978"/>
      <c r="HM415" s="978"/>
      <c r="HN415" s="978"/>
      <c r="HO415" s="978"/>
      <c r="HP415" s="978"/>
      <c r="HQ415" s="978"/>
      <c r="HR415" s="978"/>
      <c r="HS415" s="978"/>
      <c r="HT415" s="978"/>
      <c r="HU415" s="978"/>
      <c r="HV415" s="978"/>
      <c r="HW415" s="978"/>
      <c r="HX415" s="978"/>
      <c r="HY415" s="978"/>
      <c r="HZ415" s="978"/>
      <c r="IA415" s="978"/>
      <c r="IB415" s="978"/>
      <c r="IC415" s="978"/>
      <c r="ID415" s="978"/>
      <c r="IE415" s="978"/>
      <c r="IF415" s="978"/>
      <c r="IG415" s="978"/>
      <c r="IH415" s="978"/>
      <c r="II415" s="978"/>
      <c r="IJ415" s="978"/>
      <c r="IK415" s="978"/>
      <c r="IL415" s="978"/>
      <c r="IM415" s="978"/>
      <c r="IN415" s="978"/>
      <c r="IO415" s="978"/>
      <c r="IP415" s="978"/>
      <c r="IQ415" s="978"/>
      <c r="IR415" s="978"/>
      <c r="IS415" s="978"/>
      <c r="IT415" s="978"/>
      <c r="IU415" s="978"/>
      <c r="IV415" s="978"/>
      <c r="IW415" s="978"/>
      <c r="IX415" s="978"/>
      <c r="IY415" s="978"/>
      <c r="IZ415" s="978"/>
      <c r="JA415" s="978"/>
      <c r="JB415" s="978"/>
      <c r="JC415" s="978"/>
      <c r="JD415" s="978"/>
      <c r="JE415" s="978"/>
      <c r="JF415" s="978"/>
      <c r="JG415" s="978"/>
      <c r="JH415" s="978"/>
      <c r="JI415" s="978"/>
      <c r="JJ415" s="978"/>
      <c r="JK415" s="978"/>
      <c r="JL415" s="978"/>
      <c r="JM415" s="978"/>
      <c r="JN415" s="978"/>
      <c r="JO415" s="978"/>
      <c r="JP415" s="978"/>
      <c r="JQ415" s="978"/>
      <c r="JR415" s="978"/>
      <c r="JS415" s="978"/>
      <c r="JT415" s="978"/>
      <c r="JU415" s="978"/>
      <c r="JV415" s="978"/>
      <c r="JW415" s="978"/>
      <c r="JX415" s="978"/>
      <c r="JY415" s="978"/>
      <c r="JZ415" s="978"/>
      <c r="KA415" s="978"/>
      <c r="KB415" s="978"/>
      <c r="KC415" s="978"/>
      <c r="KD415" s="978"/>
      <c r="KE415" s="978"/>
      <c r="KF415" s="978"/>
      <c r="KG415" s="978"/>
      <c r="KH415" s="978"/>
      <c r="KI415" s="978"/>
      <c r="KJ415" s="978"/>
      <c r="KK415" s="978"/>
      <c r="KL415" s="978"/>
      <c r="KM415" s="978"/>
      <c r="KN415" s="978"/>
      <c r="KO415" s="978"/>
      <c r="KP415" s="978"/>
      <c r="KQ415" s="978"/>
      <c r="KR415" s="978"/>
      <c r="KS415" s="978"/>
      <c r="KT415" s="978"/>
      <c r="KU415" s="978"/>
      <c r="KV415" s="978"/>
      <c r="KW415" s="978"/>
      <c r="KX415" s="978"/>
      <c r="KY415" s="978"/>
      <c r="KZ415" s="978"/>
      <c r="LA415" s="978"/>
      <c r="LB415" s="978"/>
      <c r="LC415" s="978"/>
      <c r="LD415" s="978"/>
      <c r="LE415" s="978"/>
      <c r="LF415" s="978"/>
      <c r="LG415" s="978"/>
      <c r="LH415" s="978"/>
      <c r="LI415" s="978"/>
      <c r="LJ415" s="978"/>
      <c r="LK415" s="978"/>
      <c r="LL415" s="978"/>
      <c r="LM415" s="978"/>
      <c r="LN415" s="978"/>
      <c r="LO415" s="978"/>
      <c r="LP415" s="978"/>
      <c r="LQ415" s="978"/>
      <c r="LR415" s="978"/>
      <c r="LS415" s="978"/>
      <c r="LT415" s="978"/>
      <c r="LU415" s="978"/>
      <c r="LV415" s="978"/>
      <c r="LW415" s="978"/>
      <c r="LX415" s="978"/>
      <c r="LY415" s="978"/>
      <c r="LZ415" s="978"/>
      <c r="MA415" s="978"/>
      <c r="MB415" s="978"/>
      <c r="MC415" s="978"/>
      <c r="MD415" s="978"/>
      <c r="ME415" s="978"/>
      <c r="MF415" s="978"/>
      <c r="MG415" s="978"/>
      <c r="MH415" s="978"/>
      <c r="MI415" s="978"/>
      <c r="MJ415" s="978"/>
      <c r="MK415" s="978"/>
      <c r="ML415" s="978"/>
      <c r="MM415" s="978"/>
      <c r="MN415" s="978"/>
      <c r="MO415" s="978"/>
      <c r="MP415" s="978"/>
      <c r="MQ415" s="978"/>
      <c r="MR415" s="978"/>
      <c r="MS415" s="978"/>
      <c r="MT415" s="978"/>
      <c r="MU415" s="978"/>
      <c r="MV415" s="978"/>
      <c r="MW415" s="978"/>
      <c r="MX415" s="978"/>
      <c r="MY415" s="978"/>
      <c r="MZ415" s="978"/>
      <c r="NA415" s="978"/>
      <c r="NB415" s="978"/>
      <c r="NC415" s="978"/>
      <c r="ND415" s="978"/>
      <c r="NE415" s="978"/>
      <c r="NF415" s="978"/>
      <c r="NG415" s="978"/>
      <c r="NH415" s="978"/>
      <c r="NI415" s="978"/>
      <c r="NJ415" s="978"/>
      <c r="NK415" s="978"/>
      <c r="NL415" s="978"/>
      <c r="NM415" s="978"/>
      <c r="NN415" s="978"/>
      <c r="NO415" s="978"/>
      <c r="NP415" s="978"/>
      <c r="NQ415" s="978"/>
      <c r="NR415" s="978"/>
      <c r="NS415" s="978"/>
      <c r="NT415" s="978"/>
      <c r="NU415" s="978"/>
      <c r="NV415" s="978"/>
      <c r="NW415" s="978"/>
      <c r="NX415" s="978"/>
      <c r="NY415" s="978"/>
      <c r="NZ415" s="978"/>
      <c r="OA415" s="978"/>
      <c r="OB415" s="978"/>
      <c r="OC415" s="978"/>
      <c r="OD415" s="978"/>
      <c r="OE415" s="978"/>
      <c r="OF415" s="978"/>
      <c r="OG415" s="978"/>
      <c r="OH415" s="978"/>
      <c r="OI415" s="978"/>
      <c r="OJ415" s="978"/>
      <c r="OK415" s="978"/>
      <c r="OL415" s="978"/>
      <c r="OM415" s="978"/>
      <c r="ON415" s="978"/>
      <c r="OO415" s="978"/>
      <c r="OP415" s="978"/>
      <c r="OQ415" s="978"/>
      <c r="OR415" s="978"/>
      <c r="OS415" s="978"/>
      <c r="OT415" s="978"/>
      <c r="OU415" s="978"/>
      <c r="OV415" s="978"/>
      <c r="OW415" s="978"/>
      <c r="OX415" s="978"/>
      <c r="OY415" s="978"/>
      <c r="OZ415" s="978"/>
      <c r="PA415" s="978"/>
      <c r="PB415" s="978"/>
      <c r="PC415" s="978"/>
      <c r="PD415" s="978"/>
      <c r="PE415" s="978"/>
      <c r="PF415" s="978"/>
      <c r="PG415" s="978"/>
      <c r="PH415" s="978"/>
      <c r="PI415" s="978"/>
      <c r="PJ415" s="978"/>
      <c r="PK415" s="978"/>
      <c r="PL415" s="978"/>
      <c r="PM415" s="978"/>
      <c r="PN415" s="978"/>
      <c r="PO415" s="978"/>
      <c r="PP415" s="978"/>
      <c r="PQ415" s="978"/>
      <c r="PR415" s="978"/>
      <c r="PS415" s="978"/>
      <c r="PT415" s="978"/>
      <c r="PU415" s="978"/>
      <c r="PV415" s="978"/>
      <c r="PW415" s="978"/>
      <c r="PX415" s="978"/>
      <c r="PY415" s="978"/>
      <c r="PZ415" s="978"/>
      <c r="QA415" s="978"/>
      <c r="QB415" s="978"/>
      <c r="QC415" s="978"/>
      <c r="QD415" s="978"/>
      <c r="QE415" s="978"/>
      <c r="QF415" s="978"/>
      <c r="QG415" s="978"/>
      <c r="QH415" s="978"/>
      <c r="QI415" s="978"/>
      <c r="QJ415" s="978"/>
      <c r="QK415" s="978"/>
      <c r="QL415" s="978"/>
      <c r="QM415" s="978"/>
      <c r="QN415" s="978"/>
      <c r="QO415" s="978"/>
      <c r="QP415" s="978"/>
      <c r="QQ415" s="978"/>
      <c r="QR415" s="978"/>
      <c r="QS415" s="978"/>
      <c r="QT415" s="978"/>
      <c r="QU415" s="978"/>
      <c r="QV415" s="978"/>
      <c r="QW415" s="978"/>
      <c r="QX415" s="978"/>
      <c r="QY415" s="978"/>
      <c r="QZ415" s="978"/>
      <c r="RA415" s="978"/>
      <c r="RB415" s="274"/>
      <c r="RC415" s="274"/>
    </row>
    <row r="416" spans="112:471" ht="17.25">
      <c r="DH416" s="274"/>
      <c r="DI416" s="274"/>
      <c r="DJ416" s="978"/>
      <c r="DK416" s="978"/>
      <c r="DL416" s="978"/>
      <c r="DM416" s="978"/>
      <c r="DN416" s="978"/>
      <c r="DO416" s="978"/>
      <c r="DP416" s="978"/>
      <c r="DQ416" s="978"/>
      <c r="DR416" s="978"/>
      <c r="DS416" s="978"/>
      <c r="DT416" s="978"/>
      <c r="DU416" s="978"/>
      <c r="DV416" s="978"/>
      <c r="DW416" s="978"/>
      <c r="DX416" s="978"/>
      <c r="DY416" s="978"/>
      <c r="DZ416" s="978"/>
      <c r="EA416" s="978"/>
      <c r="EB416" s="978"/>
      <c r="EC416" s="978"/>
      <c r="ED416" s="978"/>
      <c r="EE416" s="978"/>
      <c r="EF416" s="978"/>
      <c r="EG416" s="978"/>
      <c r="EH416" s="978"/>
      <c r="EI416" s="978"/>
      <c r="EJ416" s="978"/>
      <c r="EK416" s="978"/>
      <c r="EL416" s="978"/>
      <c r="EM416" s="978"/>
      <c r="EN416" s="978"/>
      <c r="EO416" s="978"/>
      <c r="EP416" s="978"/>
      <c r="EQ416" s="978"/>
      <c r="ER416" s="978"/>
      <c r="ES416" s="978"/>
      <c r="ET416" s="978"/>
      <c r="EU416" s="978"/>
      <c r="EV416" s="978"/>
      <c r="EW416" s="978"/>
      <c r="EX416" s="978"/>
      <c r="EY416" s="978"/>
      <c r="EZ416" s="978"/>
      <c r="FA416" s="978"/>
      <c r="FB416" s="978"/>
      <c r="FC416" s="978"/>
      <c r="FD416" s="978"/>
      <c r="FE416" s="978"/>
      <c r="FF416" s="978"/>
      <c r="FG416" s="978"/>
      <c r="FH416" s="978"/>
      <c r="FI416" s="978"/>
      <c r="FJ416" s="978"/>
      <c r="FK416" s="978"/>
      <c r="FL416" s="978"/>
      <c r="FM416" s="978"/>
      <c r="FN416" s="978"/>
      <c r="FO416" s="978"/>
      <c r="FP416" s="978"/>
      <c r="FQ416" s="978"/>
      <c r="FR416" s="978"/>
      <c r="FS416" s="978"/>
      <c r="FT416" s="978"/>
      <c r="FU416" s="978"/>
      <c r="FV416" s="978"/>
      <c r="FW416" s="978"/>
      <c r="FX416" s="978"/>
      <c r="FY416" s="978"/>
      <c r="FZ416" s="978"/>
      <c r="GA416" s="978"/>
      <c r="GB416" s="978"/>
      <c r="GC416" s="978"/>
      <c r="GD416" s="978"/>
      <c r="GE416" s="978"/>
      <c r="GF416" s="978"/>
      <c r="GG416" s="978"/>
      <c r="GH416" s="978"/>
      <c r="GI416" s="978"/>
      <c r="GJ416" s="978"/>
      <c r="GK416" s="978"/>
      <c r="GL416" s="978"/>
      <c r="GM416" s="978"/>
      <c r="GN416" s="978"/>
      <c r="GO416" s="978"/>
      <c r="GP416" s="978"/>
      <c r="GQ416" s="978"/>
      <c r="GR416" s="978"/>
      <c r="GS416" s="978"/>
      <c r="GT416" s="978"/>
      <c r="GU416" s="978"/>
      <c r="GV416" s="978"/>
      <c r="GW416" s="978"/>
      <c r="GX416" s="978"/>
      <c r="GY416" s="978"/>
      <c r="GZ416" s="978"/>
      <c r="HA416" s="978"/>
      <c r="HB416" s="978"/>
      <c r="HC416" s="978"/>
      <c r="HD416" s="978"/>
      <c r="HE416" s="978"/>
      <c r="HF416" s="978"/>
      <c r="HG416" s="978"/>
      <c r="HH416" s="978"/>
      <c r="HI416" s="978"/>
      <c r="HJ416" s="978"/>
      <c r="HK416" s="978"/>
      <c r="HL416" s="978"/>
      <c r="HM416" s="978"/>
      <c r="HN416" s="978"/>
      <c r="HO416" s="978"/>
      <c r="HP416" s="978"/>
      <c r="HQ416" s="978"/>
      <c r="HR416" s="978"/>
      <c r="HS416" s="978"/>
      <c r="HT416" s="978"/>
      <c r="HU416" s="978"/>
      <c r="HV416" s="978"/>
      <c r="HW416" s="978"/>
      <c r="HX416" s="978"/>
      <c r="HY416" s="978"/>
      <c r="HZ416" s="978"/>
      <c r="IA416" s="978"/>
      <c r="IB416" s="978"/>
      <c r="IC416" s="978"/>
      <c r="ID416" s="978"/>
      <c r="IE416" s="978"/>
      <c r="IF416" s="978"/>
      <c r="IG416" s="978"/>
      <c r="IH416" s="978"/>
      <c r="II416" s="978"/>
      <c r="IJ416" s="978"/>
      <c r="IK416" s="978"/>
      <c r="IL416" s="978"/>
      <c r="IM416" s="978"/>
      <c r="IN416" s="978"/>
      <c r="IO416" s="978"/>
      <c r="IP416" s="978"/>
      <c r="IQ416" s="978"/>
      <c r="IR416" s="978"/>
      <c r="IS416" s="978"/>
      <c r="IT416" s="978"/>
      <c r="IU416" s="978"/>
      <c r="IV416" s="978"/>
      <c r="IW416" s="978"/>
      <c r="IX416" s="978"/>
      <c r="IY416" s="978"/>
      <c r="IZ416" s="978"/>
      <c r="JA416" s="978"/>
      <c r="JB416" s="978"/>
      <c r="JC416" s="978"/>
      <c r="JD416" s="978"/>
      <c r="JE416" s="978"/>
      <c r="JF416" s="978"/>
      <c r="JG416" s="978"/>
      <c r="JH416" s="978"/>
      <c r="JI416" s="978"/>
      <c r="JJ416" s="978"/>
      <c r="JK416" s="978"/>
      <c r="JL416" s="978"/>
      <c r="JM416" s="978"/>
      <c r="JN416" s="978"/>
      <c r="JO416" s="978"/>
      <c r="JP416" s="978"/>
      <c r="JQ416" s="978"/>
      <c r="JR416" s="978"/>
      <c r="JS416" s="978"/>
      <c r="JT416" s="978"/>
      <c r="JU416" s="978"/>
      <c r="JV416" s="978"/>
      <c r="JW416" s="978"/>
      <c r="JX416" s="978"/>
      <c r="JY416" s="978"/>
      <c r="JZ416" s="978"/>
      <c r="KA416" s="978"/>
      <c r="KB416" s="978"/>
      <c r="KC416" s="978"/>
      <c r="KD416" s="978"/>
      <c r="KE416" s="978"/>
      <c r="KF416" s="978"/>
      <c r="KG416" s="978"/>
      <c r="KH416" s="978"/>
      <c r="KI416" s="978"/>
      <c r="KJ416" s="978"/>
      <c r="KK416" s="978"/>
      <c r="KL416" s="978"/>
      <c r="KM416" s="978"/>
      <c r="KN416" s="978"/>
      <c r="KO416" s="978"/>
      <c r="KP416" s="978"/>
      <c r="KQ416" s="978"/>
      <c r="KR416" s="978"/>
      <c r="KS416" s="978"/>
      <c r="KT416" s="978"/>
      <c r="KU416" s="978"/>
      <c r="KV416" s="978"/>
      <c r="KW416" s="978"/>
      <c r="KX416" s="978"/>
      <c r="KY416" s="978"/>
      <c r="KZ416" s="978"/>
      <c r="LA416" s="978"/>
      <c r="LB416" s="978"/>
      <c r="LC416" s="978"/>
      <c r="LD416" s="978"/>
      <c r="LE416" s="978"/>
      <c r="LF416" s="978"/>
      <c r="LG416" s="978"/>
      <c r="LH416" s="978"/>
      <c r="LI416" s="978"/>
      <c r="LJ416" s="978"/>
      <c r="LK416" s="978"/>
      <c r="LL416" s="978"/>
      <c r="LM416" s="978"/>
      <c r="LN416" s="978"/>
      <c r="LO416" s="978"/>
      <c r="LP416" s="978"/>
      <c r="LQ416" s="978"/>
      <c r="LR416" s="978"/>
      <c r="LS416" s="978"/>
      <c r="LT416" s="978"/>
      <c r="LU416" s="978"/>
      <c r="LV416" s="978"/>
      <c r="LW416" s="978"/>
      <c r="LX416" s="978"/>
      <c r="LY416" s="978"/>
      <c r="LZ416" s="978"/>
      <c r="MA416" s="978"/>
      <c r="MB416" s="978"/>
      <c r="MC416" s="978"/>
      <c r="MD416" s="978"/>
      <c r="ME416" s="978"/>
      <c r="MF416" s="978"/>
      <c r="MG416" s="978"/>
      <c r="MH416" s="978"/>
      <c r="MI416" s="978"/>
      <c r="MJ416" s="978"/>
      <c r="MK416" s="978"/>
      <c r="ML416" s="978"/>
      <c r="MM416" s="978"/>
      <c r="MN416" s="978"/>
      <c r="MO416" s="978"/>
      <c r="MP416" s="978"/>
      <c r="MQ416" s="978"/>
      <c r="MR416" s="978"/>
      <c r="MS416" s="978"/>
      <c r="MT416" s="978"/>
      <c r="MU416" s="978"/>
      <c r="MV416" s="978"/>
      <c r="MW416" s="978"/>
      <c r="MX416" s="978"/>
      <c r="MY416" s="978"/>
      <c r="MZ416" s="978"/>
      <c r="NA416" s="978"/>
      <c r="NB416" s="978"/>
      <c r="NC416" s="978"/>
      <c r="ND416" s="978"/>
      <c r="NE416" s="978"/>
      <c r="NF416" s="978"/>
      <c r="NG416" s="978"/>
      <c r="NH416" s="978"/>
      <c r="NI416" s="978"/>
      <c r="NJ416" s="978"/>
      <c r="NK416" s="978"/>
      <c r="NL416" s="978"/>
      <c r="NM416" s="978"/>
      <c r="NN416" s="978"/>
      <c r="NO416" s="978"/>
      <c r="NP416" s="978"/>
      <c r="NQ416" s="978"/>
      <c r="NR416" s="978"/>
      <c r="NS416" s="978"/>
      <c r="NT416" s="978"/>
      <c r="NU416" s="978"/>
      <c r="NV416" s="978"/>
      <c r="NW416" s="978"/>
      <c r="NX416" s="978"/>
      <c r="NY416" s="978"/>
      <c r="NZ416" s="978"/>
      <c r="OA416" s="978"/>
      <c r="OB416" s="978"/>
      <c r="OC416" s="978"/>
      <c r="OD416" s="978"/>
      <c r="OE416" s="978"/>
      <c r="OF416" s="978"/>
      <c r="OG416" s="978"/>
      <c r="OH416" s="978"/>
      <c r="OI416" s="978"/>
      <c r="OJ416" s="978"/>
      <c r="OK416" s="978"/>
      <c r="OL416" s="978"/>
      <c r="OM416" s="978"/>
      <c r="ON416" s="978"/>
      <c r="OO416" s="978"/>
      <c r="OP416" s="978"/>
      <c r="OQ416" s="978"/>
      <c r="OR416" s="978"/>
      <c r="OS416" s="978"/>
      <c r="OT416" s="978"/>
      <c r="OU416" s="978"/>
      <c r="OV416" s="978"/>
      <c r="OW416" s="978"/>
      <c r="OX416" s="978"/>
      <c r="OY416" s="978"/>
      <c r="OZ416" s="978"/>
      <c r="PA416" s="978"/>
      <c r="PB416" s="978"/>
      <c r="PC416" s="978"/>
      <c r="PD416" s="978"/>
      <c r="PE416" s="978"/>
      <c r="PF416" s="978"/>
      <c r="PG416" s="978"/>
      <c r="PH416" s="978"/>
      <c r="PI416" s="978"/>
      <c r="PJ416" s="978"/>
      <c r="PK416" s="978"/>
      <c r="PL416" s="978"/>
      <c r="PM416" s="978"/>
      <c r="PN416" s="978"/>
      <c r="PO416" s="978"/>
      <c r="PP416" s="978"/>
      <c r="PQ416" s="978"/>
      <c r="PR416" s="978"/>
      <c r="PS416" s="978"/>
      <c r="PT416" s="978"/>
      <c r="PU416" s="978"/>
      <c r="PV416" s="978"/>
      <c r="PW416" s="978"/>
      <c r="PX416" s="978"/>
      <c r="PY416" s="978"/>
      <c r="PZ416" s="978"/>
      <c r="QA416" s="978"/>
      <c r="QB416" s="978"/>
      <c r="QC416" s="978"/>
      <c r="QD416" s="978"/>
      <c r="QE416" s="978"/>
      <c r="QF416" s="978"/>
      <c r="QG416" s="978"/>
      <c r="QH416" s="978"/>
      <c r="QI416" s="978"/>
      <c r="QJ416" s="978"/>
      <c r="QK416" s="978"/>
      <c r="QL416" s="978"/>
      <c r="QM416" s="978"/>
      <c r="QN416" s="978"/>
      <c r="QO416" s="978"/>
      <c r="QP416" s="978"/>
      <c r="QQ416" s="978"/>
      <c r="QR416" s="978"/>
      <c r="QS416" s="978"/>
      <c r="QT416" s="978"/>
      <c r="QU416" s="978"/>
      <c r="QV416" s="978"/>
      <c r="QW416" s="978"/>
      <c r="QX416" s="978"/>
      <c r="QY416" s="978"/>
      <c r="QZ416" s="978"/>
      <c r="RA416" s="978"/>
      <c r="RB416" s="274"/>
      <c r="RC416" s="274"/>
    </row>
    <row r="417" spans="112:471">
      <c r="DH417" s="274"/>
      <c r="DI417" s="274"/>
      <c r="DJ417" s="274"/>
      <c r="DK417" s="274"/>
      <c r="DL417" s="274"/>
      <c r="DM417" s="274"/>
      <c r="DN417" s="274"/>
      <c r="DO417" s="274"/>
      <c r="DP417" s="274"/>
      <c r="DQ417" s="274"/>
      <c r="DR417" s="274"/>
      <c r="DS417" s="274"/>
      <c r="DT417" s="274"/>
      <c r="DU417" s="274"/>
      <c r="DV417" s="274"/>
      <c r="DW417" s="274"/>
      <c r="DX417" s="274"/>
      <c r="DY417" s="274"/>
      <c r="DZ417" s="274"/>
      <c r="EA417" s="274"/>
      <c r="EB417" s="274"/>
      <c r="EC417" s="274"/>
      <c r="ED417" s="274"/>
      <c r="EE417" s="274"/>
      <c r="EF417" s="274"/>
      <c r="EG417" s="274"/>
      <c r="EH417" s="274"/>
      <c r="EI417" s="274"/>
      <c r="EJ417" s="274"/>
      <c r="EK417" s="274"/>
      <c r="EL417" s="274"/>
      <c r="EM417" s="274"/>
      <c r="EN417" s="274"/>
      <c r="EO417" s="274"/>
      <c r="EP417" s="274"/>
      <c r="EQ417" s="274"/>
      <c r="ER417" s="274"/>
      <c r="ES417" s="274"/>
      <c r="ET417" s="274"/>
      <c r="EU417" s="274"/>
      <c r="EV417" s="274"/>
      <c r="EW417" s="274"/>
      <c r="EX417" s="274"/>
      <c r="EY417" s="274"/>
      <c r="EZ417" s="274"/>
      <c r="FA417" s="274"/>
      <c r="FB417" s="274"/>
      <c r="FC417" s="274"/>
      <c r="FD417" s="274"/>
      <c r="FE417" s="274"/>
      <c r="FF417" s="274"/>
      <c r="FG417" s="274"/>
      <c r="FH417" s="274"/>
      <c r="FI417" s="274"/>
      <c r="FJ417" s="274"/>
      <c r="FK417" s="274"/>
      <c r="FL417" s="274"/>
      <c r="FM417" s="274"/>
      <c r="FN417" s="274"/>
      <c r="FO417" s="274"/>
      <c r="FP417" s="274"/>
      <c r="FQ417" s="274"/>
      <c r="FR417" s="274"/>
      <c r="FS417" s="274"/>
      <c r="FT417" s="274"/>
      <c r="FU417" s="274"/>
      <c r="FV417" s="274"/>
      <c r="FW417" s="274"/>
      <c r="FX417" s="274"/>
      <c r="FY417" s="274"/>
      <c r="FZ417" s="274"/>
      <c r="GA417" s="274"/>
      <c r="GB417" s="274"/>
      <c r="GC417" s="274"/>
      <c r="GD417" s="274"/>
      <c r="GE417" s="274"/>
      <c r="GF417" s="274"/>
      <c r="GG417" s="274"/>
      <c r="GH417" s="274"/>
      <c r="GI417" s="274"/>
      <c r="GJ417" s="274"/>
      <c r="GK417" s="274"/>
      <c r="GL417" s="274"/>
      <c r="GM417" s="274"/>
      <c r="GN417" s="274"/>
      <c r="GO417" s="274"/>
      <c r="GP417" s="274"/>
      <c r="GQ417" s="274"/>
      <c r="GR417" s="274"/>
      <c r="GS417" s="274"/>
      <c r="GT417" s="274"/>
      <c r="GU417" s="274"/>
      <c r="GV417" s="274"/>
      <c r="GW417" s="274"/>
      <c r="GX417" s="274"/>
      <c r="GY417" s="274"/>
      <c r="GZ417" s="274"/>
      <c r="HA417" s="274"/>
      <c r="HB417" s="274"/>
      <c r="HC417" s="274"/>
      <c r="HD417" s="274"/>
      <c r="HE417" s="274"/>
      <c r="HF417" s="274"/>
      <c r="HG417" s="274"/>
      <c r="HH417" s="274"/>
      <c r="HI417" s="274"/>
      <c r="HJ417" s="274"/>
      <c r="HK417" s="274"/>
      <c r="HL417" s="274"/>
      <c r="HM417" s="274"/>
      <c r="HN417" s="274"/>
      <c r="HO417" s="274"/>
      <c r="HP417" s="274"/>
      <c r="HQ417" s="274"/>
      <c r="HR417" s="274"/>
      <c r="HS417" s="274"/>
      <c r="HT417" s="274"/>
      <c r="HU417" s="274"/>
      <c r="HV417" s="274"/>
      <c r="HW417" s="274"/>
      <c r="HX417" s="274"/>
      <c r="HY417" s="274"/>
      <c r="HZ417" s="274"/>
      <c r="IA417" s="274"/>
      <c r="IB417" s="274"/>
      <c r="IC417" s="274"/>
      <c r="ID417" s="274"/>
      <c r="IE417" s="274"/>
      <c r="IF417" s="274"/>
      <c r="IG417" s="274"/>
      <c r="IH417" s="274"/>
      <c r="II417" s="274"/>
      <c r="IJ417" s="274"/>
      <c r="IK417" s="274"/>
      <c r="IL417" s="274"/>
      <c r="IM417" s="274"/>
      <c r="IN417" s="274"/>
      <c r="IO417" s="274"/>
      <c r="IP417" s="274"/>
      <c r="IQ417" s="274"/>
      <c r="IR417" s="274"/>
      <c r="IS417" s="274"/>
      <c r="IT417" s="274"/>
      <c r="IU417" s="274"/>
      <c r="IV417" s="274"/>
      <c r="IW417" s="274"/>
      <c r="IX417" s="274"/>
      <c r="IY417" s="274"/>
      <c r="IZ417" s="274"/>
      <c r="JA417" s="274"/>
      <c r="JB417" s="274"/>
      <c r="JC417" s="274"/>
      <c r="JD417" s="274"/>
      <c r="JE417" s="274"/>
      <c r="JF417" s="274"/>
      <c r="JG417" s="274"/>
      <c r="JH417" s="274"/>
      <c r="JI417" s="274"/>
      <c r="JJ417" s="274"/>
      <c r="JK417" s="274"/>
      <c r="JL417" s="274"/>
      <c r="JM417" s="274"/>
      <c r="JN417" s="274"/>
      <c r="JO417" s="274"/>
      <c r="JP417" s="274"/>
      <c r="JQ417" s="274"/>
      <c r="JR417" s="274"/>
      <c r="JS417" s="274"/>
      <c r="JT417" s="274"/>
      <c r="JU417" s="274"/>
      <c r="JV417" s="274"/>
      <c r="JW417" s="274"/>
      <c r="JX417" s="274"/>
      <c r="JY417" s="274"/>
      <c r="JZ417" s="274"/>
      <c r="KA417" s="274"/>
      <c r="KB417" s="274"/>
      <c r="KC417" s="274"/>
      <c r="KD417" s="274"/>
      <c r="KE417" s="274"/>
      <c r="KF417" s="274"/>
      <c r="KG417" s="274"/>
      <c r="KH417" s="274"/>
      <c r="KI417" s="274"/>
      <c r="KJ417" s="274"/>
      <c r="KK417" s="274"/>
      <c r="KL417" s="274"/>
      <c r="KM417" s="274"/>
      <c r="KN417" s="274"/>
      <c r="KO417" s="274"/>
      <c r="KP417" s="274"/>
      <c r="KQ417" s="274"/>
      <c r="KR417" s="274"/>
      <c r="KS417" s="274"/>
      <c r="KT417" s="274"/>
      <c r="KU417" s="274"/>
      <c r="KV417" s="274"/>
      <c r="KW417" s="274"/>
      <c r="KX417" s="274"/>
      <c r="KY417" s="274"/>
      <c r="KZ417" s="274"/>
      <c r="LA417" s="274"/>
      <c r="LB417" s="274"/>
      <c r="LC417" s="274"/>
      <c r="LD417" s="274"/>
      <c r="LE417" s="274"/>
      <c r="LF417" s="274"/>
      <c r="LG417" s="274"/>
      <c r="LH417" s="274"/>
      <c r="LI417" s="274"/>
      <c r="LJ417" s="274"/>
      <c r="LK417" s="274"/>
      <c r="LL417" s="274"/>
      <c r="LM417" s="274"/>
      <c r="LN417" s="274"/>
      <c r="LO417" s="274"/>
      <c r="LP417" s="274"/>
      <c r="LQ417" s="274"/>
      <c r="LR417" s="274"/>
      <c r="LS417" s="274"/>
      <c r="LT417" s="274"/>
      <c r="LU417" s="274"/>
      <c r="LV417" s="274"/>
      <c r="LW417" s="274"/>
      <c r="LX417" s="274"/>
      <c r="LY417" s="274"/>
      <c r="LZ417" s="274"/>
      <c r="MA417" s="274"/>
      <c r="MB417" s="274"/>
      <c r="MC417" s="274"/>
      <c r="MD417" s="274"/>
      <c r="ME417" s="274"/>
      <c r="MF417" s="274"/>
      <c r="MG417" s="274"/>
      <c r="MH417" s="274"/>
      <c r="MI417" s="274"/>
      <c r="MJ417" s="274"/>
      <c r="MK417" s="274"/>
      <c r="ML417" s="274"/>
      <c r="MM417" s="274"/>
      <c r="MN417" s="274"/>
      <c r="MO417" s="274"/>
      <c r="MP417" s="274"/>
      <c r="MQ417" s="274"/>
      <c r="MR417" s="274"/>
      <c r="MS417" s="274"/>
      <c r="MT417" s="274"/>
      <c r="MU417" s="274"/>
      <c r="MV417" s="274"/>
      <c r="MW417" s="274"/>
      <c r="MX417" s="274"/>
      <c r="MY417" s="274"/>
      <c r="MZ417" s="274"/>
      <c r="NA417" s="274"/>
      <c r="NB417" s="274"/>
      <c r="NC417" s="274"/>
      <c r="ND417" s="274"/>
      <c r="NE417" s="274"/>
      <c r="NF417" s="274"/>
      <c r="NG417" s="274"/>
      <c r="NH417" s="274"/>
      <c r="NI417" s="274"/>
      <c r="NJ417" s="274"/>
      <c r="NK417" s="274"/>
      <c r="NL417" s="274"/>
      <c r="NM417" s="274"/>
      <c r="NN417" s="274"/>
      <c r="NO417" s="274"/>
      <c r="NP417" s="274"/>
      <c r="NQ417" s="274"/>
      <c r="NR417" s="274"/>
      <c r="NS417" s="274"/>
      <c r="NT417" s="274"/>
      <c r="NU417" s="274"/>
      <c r="NV417" s="274"/>
      <c r="NW417" s="274"/>
      <c r="NX417" s="274"/>
      <c r="NY417" s="274"/>
      <c r="NZ417" s="274"/>
      <c r="OA417" s="274"/>
      <c r="OB417" s="274"/>
      <c r="OC417" s="274"/>
      <c r="OD417" s="274"/>
      <c r="OE417" s="274"/>
      <c r="OF417" s="274"/>
      <c r="OG417" s="274"/>
      <c r="OH417" s="274"/>
      <c r="OI417" s="274"/>
      <c r="OJ417" s="274"/>
      <c r="OK417" s="274"/>
      <c r="OL417" s="274"/>
      <c r="OM417" s="274"/>
      <c r="ON417" s="274"/>
      <c r="OO417" s="274"/>
      <c r="OP417" s="274"/>
      <c r="OQ417" s="274"/>
      <c r="OR417" s="274"/>
      <c r="OS417" s="274"/>
      <c r="OT417" s="274"/>
      <c r="OU417" s="274"/>
      <c r="OV417" s="274"/>
      <c r="OW417" s="274"/>
      <c r="OX417" s="274"/>
      <c r="OY417" s="274"/>
      <c r="OZ417" s="274"/>
      <c r="PA417" s="274"/>
      <c r="PB417" s="274"/>
      <c r="PC417" s="274"/>
      <c r="PD417" s="274"/>
      <c r="PE417" s="274"/>
      <c r="PF417" s="274"/>
      <c r="PG417" s="274"/>
      <c r="PH417" s="274"/>
      <c r="PI417" s="274"/>
      <c r="PJ417" s="274"/>
      <c r="PK417" s="274"/>
      <c r="PL417" s="274"/>
      <c r="PM417" s="274"/>
      <c r="PN417" s="274"/>
      <c r="PO417" s="274"/>
      <c r="PP417" s="274"/>
      <c r="PQ417" s="274"/>
      <c r="PR417" s="274"/>
      <c r="PS417" s="274"/>
      <c r="PT417" s="274"/>
      <c r="PU417" s="274"/>
      <c r="PV417" s="274"/>
      <c r="PW417" s="274"/>
      <c r="PX417" s="274"/>
      <c r="PY417" s="274"/>
      <c r="PZ417" s="274"/>
      <c r="QA417" s="274"/>
      <c r="QB417" s="274"/>
      <c r="QC417" s="274"/>
      <c r="QD417" s="274"/>
      <c r="QE417" s="274"/>
      <c r="QF417" s="274"/>
      <c r="QG417" s="274"/>
      <c r="QH417" s="274"/>
      <c r="QI417" s="274"/>
      <c r="QJ417" s="274"/>
      <c r="QK417" s="274"/>
      <c r="QL417" s="274"/>
      <c r="QM417" s="274"/>
      <c r="QN417" s="274"/>
      <c r="QO417" s="274"/>
      <c r="QP417" s="274"/>
      <c r="QQ417" s="274"/>
      <c r="QR417" s="274"/>
      <c r="QS417" s="274"/>
      <c r="QT417" s="274"/>
      <c r="QU417" s="274"/>
      <c r="QV417" s="274"/>
      <c r="QW417" s="274"/>
      <c r="QX417" s="274"/>
      <c r="QY417" s="274"/>
      <c r="QZ417" s="274"/>
      <c r="RA417" s="274"/>
      <c r="RB417" s="274"/>
      <c r="RC417" s="274"/>
    </row>
    <row r="418" spans="112:471">
      <c r="DH418" s="274"/>
      <c r="DI418" s="274"/>
      <c r="DJ418" s="274"/>
      <c r="DK418" s="274"/>
      <c r="DL418" s="274"/>
      <c r="DM418" s="274"/>
      <c r="DN418" s="274"/>
      <c r="DO418" s="274"/>
      <c r="DP418" s="274"/>
      <c r="DQ418" s="274"/>
      <c r="DR418" s="274"/>
      <c r="DS418" s="274"/>
      <c r="DT418" s="274"/>
      <c r="DU418" s="274"/>
      <c r="DV418" s="274"/>
      <c r="DW418" s="274"/>
      <c r="DX418" s="274"/>
      <c r="DY418" s="274"/>
      <c r="DZ418" s="274"/>
      <c r="EA418" s="274"/>
      <c r="EB418" s="274"/>
      <c r="EC418" s="274"/>
      <c r="ED418" s="274"/>
      <c r="EE418" s="274"/>
      <c r="EF418" s="274"/>
      <c r="EG418" s="274"/>
      <c r="EH418" s="274"/>
      <c r="EI418" s="274"/>
      <c r="EJ418" s="274"/>
      <c r="EK418" s="274"/>
      <c r="EL418" s="274"/>
      <c r="EM418" s="274"/>
      <c r="EN418" s="274"/>
      <c r="EO418" s="274"/>
      <c r="EP418" s="274"/>
      <c r="EQ418" s="274"/>
      <c r="ER418" s="274"/>
      <c r="ES418" s="274"/>
      <c r="ET418" s="274"/>
      <c r="EU418" s="274"/>
      <c r="EV418" s="274"/>
      <c r="EW418" s="274"/>
      <c r="EX418" s="274"/>
      <c r="EY418" s="274"/>
      <c r="EZ418" s="274"/>
      <c r="FA418" s="274"/>
      <c r="FB418" s="274"/>
      <c r="FC418" s="274"/>
      <c r="FD418" s="274"/>
      <c r="FE418" s="274"/>
      <c r="FF418" s="274"/>
      <c r="FG418" s="274"/>
      <c r="FH418" s="274"/>
      <c r="FI418" s="274"/>
      <c r="FJ418" s="274"/>
      <c r="FK418" s="274"/>
      <c r="FL418" s="274"/>
      <c r="FM418" s="274"/>
      <c r="FN418" s="274"/>
      <c r="FO418" s="274"/>
      <c r="FP418" s="274"/>
      <c r="FQ418" s="274"/>
      <c r="FR418" s="274"/>
      <c r="FS418" s="274"/>
      <c r="FT418" s="274"/>
      <c r="FU418" s="274"/>
      <c r="FV418" s="274"/>
      <c r="FW418" s="274"/>
      <c r="FX418" s="274"/>
      <c r="FY418" s="274"/>
      <c r="FZ418" s="274"/>
      <c r="GA418" s="274"/>
      <c r="GB418" s="274"/>
      <c r="GC418" s="274"/>
      <c r="GD418" s="274"/>
      <c r="GE418" s="274"/>
      <c r="GF418" s="274"/>
      <c r="GG418" s="274"/>
      <c r="GH418" s="274"/>
      <c r="GI418" s="274"/>
      <c r="GJ418" s="274"/>
      <c r="GK418" s="274"/>
      <c r="GL418" s="274"/>
      <c r="GM418" s="274"/>
      <c r="GN418" s="274"/>
      <c r="GO418" s="274"/>
      <c r="GP418" s="274"/>
      <c r="GQ418" s="274"/>
      <c r="GR418" s="274"/>
      <c r="GS418" s="274"/>
      <c r="GT418" s="274"/>
      <c r="GU418" s="274"/>
      <c r="GV418" s="274"/>
      <c r="GW418" s="274"/>
      <c r="GX418" s="274"/>
      <c r="GY418" s="274"/>
      <c r="GZ418" s="274"/>
      <c r="HA418" s="274"/>
      <c r="HB418" s="274"/>
      <c r="HC418" s="274"/>
      <c r="HD418" s="274"/>
      <c r="HE418" s="274"/>
      <c r="HF418" s="274"/>
      <c r="HG418" s="274"/>
      <c r="HH418" s="274"/>
      <c r="HI418" s="274"/>
      <c r="HJ418" s="274"/>
      <c r="HK418" s="274"/>
      <c r="HL418" s="274"/>
      <c r="HM418" s="274"/>
      <c r="HN418" s="274"/>
      <c r="HO418" s="274"/>
      <c r="HP418" s="274"/>
      <c r="HQ418" s="274"/>
      <c r="HR418" s="274"/>
      <c r="HS418" s="274"/>
      <c r="HT418" s="274"/>
      <c r="HU418" s="274"/>
      <c r="HV418" s="274"/>
      <c r="HW418" s="274"/>
      <c r="HX418" s="274"/>
      <c r="HY418" s="274"/>
      <c r="HZ418" s="274"/>
      <c r="IA418" s="274"/>
      <c r="IB418" s="274"/>
      <c r="IC418" s="274"/>
      <c r="ID418" s="274"/>
      <c r="IE418" s="274"/>
      <c r="IF418" s="274"/>
      <c r="IG418" s="274"/>
      <c r="IH418" s="274"/>
      <c r="II418" s="274"/>
      <c r="IJ418" s="274"/>
      <c r="IK418" s="274"/>
      <c r="IL418" s="274"/>
      <c r="IM418" s="274"/>
      <c r="IN418" s="274"/>
      <c r="IO418" s="274"/>
      <c r="IP418" s="274"/>
      <c r="IQ418" s="274"/>
      <c r="IR418" s="274"/>
      <c r="IS418" s="274"/>
      <c r="IT418" s="274"/>
      <c r="IU418" s="274"/>
      <c r="IV418" s="274"/>
      <c r="IW418" s="274"/>
      <c r="IX418" s="274"/>
      <c r="IY418" s="274"/>
      <c r="IZ418" s="274"/>
      <c r="JA418" s="274"/>
      <c r="JB418" s="274"/>
      <c r="JC418" s="274"/>
      <c r="JD418" s="274"/>
      <c r="JE418" s="274"/>
      <c r="JF418" s="274"/>
      <c r="JG418" s="274"/>
      <c r="JH418" s="274"/>
      <c r="JI418" s="274"/>
      <c r="JJ418" s="274"/>
      <c r="JK418" s="274"/>
      <c r="JL418" s="274"/>
      <c r="JM418" s="274"/>
      <c r="JN418" s="274"/>
      <c r="JO418" s="274"/>
      <c r="JP418" s="274"/>
      <c r="JQ418" s="274"/>
      <c r="JR418" s="274"/>
      <c r="JS418" s="274"/>
      <c r="JT418" s="274"/>
      <c r="JU418" s="274"/>
      <c r="JV418" s="274"/>
      <c r="JW418" s="274"/>
      <c r="JX418" s="274"/>
      <c r="JY418" s="274"/>
      <c r="JZ418" s="274"/>
      <c r="KA418" s="274"/>
      <c r="KB418" s="274"/>
      <c r="KC418" s="274"/>
      <c r="KD418" s="274"/>
      <c r="KE418" s="274"/>
      <c r="KF418" s="274"/>
      <c r="KG418" s="274"/>
      <c r="KH418" s="274"/>
      <c r="KI418" s="274"/>
      <c r="KJ418" s="274"/>
      <c r="KK418" s="274"/>
      <c r="KL418" s="274"/>
      <c r="KM418" s="274"/>
      <c r="KN418" s="274"/>
      <c r="KO418" s="274"/>
      <c r="KP418" s="274"/>
      <c r="KQ418" s="274"/>
      <c r="KR418" s="274"/>
      <c r="KS418" s="274"/>
      <c r="KT418" s="274"/>
      <c r="KU418" s="274"/>
      <c r="KV418" s="274"/>
      <c r="KW418" s="274"/>
      <c r="KX418" s="274"/>
      <c r="KY418" s="274"/>
      <c r="KZ418" s="274"/>
      <c r="LA418" s="274"/>
      <c r="LB418" s="274"/>
      <c r="LC418" s="274"/>
      <c r="LD418" s="274"/>
      <c r="LE418" s="274"/>
      <c r="LF418" s="274"/>
      <c r="LG418" s="274"/>
      <c r="LH418" s="274"/>
      <c r="LI418" s="274"/>
      <c r="LJ418" s="274"/>
      <c r="LK418" s="274"/>
      <c r="LL418" s="274"/>
      <c r="LM418" s="274"/>
      <c r="LN418" s="274"/>
      <c r="LO418" s="274"/>
      <c r="LP418" s="274"/>
      <c r="LQ418" s="274"/>
      <c r="LR418" s="274"/>
      <c r="LS418" s="274"/>
      <c r="LT418" s="274"/>
      <c r="LU418" s="274"/>
      <c r="LV418" s="274"/>
      <c r="LW418" s="274"/>
      <c r="LX418" s="274"/>
      <c r="LY418" s="274"/>
      <c r="LZ418" s="274"/>
      <c r="MA418" s="274"/>
      <c r="MB418" s="274"/>
      <c r="MC418" s="274"/>
      <c r="MD418" s="274"/>
      <c r="ME418" s="274"/>
      <c r="MF418" s="274"/>
      <c r="MG418" s="274"/>
      <c r="MH418" s="274"/>
      <c r="MI418" s="274"/>
      <c r="MJ418" s="274"/>
      <c r="MK418" s="274"/>
      <c r="ML418" s="274"/>
      <c r="MM418" s="274"/>
      <c r="MN418" s="274"/>
      <c r="MO418" s="274"/>
      <c r="MP418" s="274"/>
      <c r="MQ418" s="274"/>
      <c r="MR418" s="274"/>
      <c r="MS418" s="274"/>
      <c r="MT418" s="274"/>
      <c r="MU418" s="274"/>
      <c r="MV418" s="274"/>
      <c r="MW418" s="274"/>
      <c r="MX418" s="274"/>
      <c r="MY418" s="274"/>
      <c r="MZ418" s="274"/>
      <c r="NA418" s="274"/>
      <c r="NB418" s="274"/>
      <c r="NC418" s="274"/>
      <c r="ND418" s="274"/>
      <c r="NE418" s="274"/>
      <c r="NF418" s="274"/>
      <c r="NG418" s="274"/>
      <c r="NH418" s="274"/>
      <c r="NI418" s="274"/>
      <c r="NJ418" s="274"/>
      <c r="NK418" s="274"/>
      <c r="NL418" s="274"/>
      <c r="NM418" s="274"/>
      <c r="NN418" s="274"/>
      <c r="NO418" s="274"/>
      <c r="NP418" s="274"/>
      <c r="NQ418" s="274"/>
      <c r="NR418" s="274"/>
      <c r="NS418" s="274"/>
      <c r="NT418" s="274"/>
      <c r="NU418" s="274"/>
      <c r="NV418" s="274"/>
      <c r="NW418" s="274"/>
      <c r="NX418" s="274"/>
      <c r="NY418" s="274"/>
      <c r="NZ418" s="274"/>
      <c r="OA418" s="274"/>
      <c r="OB418" s="274"/>
      <c r="OC418" s="274"/>
      <c r="OD418" s="274"/>
      <c r="OE418" s="274"/>
      <c r="OF418" s="274"/>
      <c r="OG418" s="274"/>
      <c r="OH418" s="274"/>
      <c r="OI418" s="274"/>
      <c r="OJ418" s="274"/>
      <c r="OK418" s="274"/>
      <c r="OL418" s="274"/>
      <c r="OM418" s="274"/>
      <c r="ON418" s="274"/>
      <c r="OO418" s="274"/>
      <c r="OP418" s="274"/>
      <c r="OQ418" s="274"/>
      <c r="OR418" s="274"/>
      <c r="OS418" s="274"/>
      <c r="OT418" s="274"/>
      <c r="OU418" s="274"/>
      <c r="OV418" s="274"/>
      <c r="OW418" s="274"/>
      <c r="OX418" s="274"/>
      <c r="OY418" s="274"/>
      <c r="OZ418" s="274"/>
      <c r="PA418" s="274"/>
      <c r="PB418" s="274"/>
      <c r="PC418" s="274"/>
      <c r="PD418" s="274"/>
      <c r="PE418" s="274"/>
      <c r="PF418" s="274"/>
      <c r="PG418" s="274"/>
      <c r="PH418" s="274"/>
      <c r="PI418" s="274"/>
      <c r="PJ418" s="274"/>
      <c r="PK418" s="274"/>
      <c r="PL418" s="274"/>
      <c r="PM418" s="274"/>
      <c r="PN418" s="274"/>
      <c r="PO418" s="274"/>
      <c r="PP418" s="274"/>
      <c r="PQ418" s="274"/>
      <c r="PR418" s="274"/>
      <c r="PS418" s="274"/>
      <c r="PT418" s="274"/>
      <c r="PU418" s="274"/>
      <c r="PV418" s="274"/>
      <c r="PW418" s="274"/>
      <c r="PX418" s="274"/>
      <c r="PY418" s="274"/>
      <c r="PZ418" s="274"/>
      <c r="QA418" s="274"/>
      <c r="QB418" s="274"/>
      <c r="QC418" s="274"/>
      <c r="QD418" s="274"/>
      <c r="QE418" s="274"/>
      <c r="QF418" s="274"/>
      <c r="QG418" s="274"/>
      <c r="QH418" s="274"/>
      <c r="QI418" s="274"/>
      <c r="QJ418" s="274"/>
      <c r="QK418" s="274"/>
      <c r="QL418" s="274"/>
      <c r="QM418" s="274"/>
      <c r="QN418" s="274"/>
      <c r="QO418" s="274"/>
      <c r="QP418" s="274"/>
      <c r="QQ418" s="274"/>
      <c r="QR418" s="274"/>
      <c r="QS418" s="274"/>
      <c r="QT418" s="274"/>
      <c r="QU418" s="274"/>
      <c r="QV418" s="274"/>
      <c r="QW418" s="274"/>
      <c r="QX418" s="274"/>
      <c r="QY418" s="274"/>
      <c r="QZ418" s="274"/>
      <c r="RA418" s="274"/>
      <c r="RB418" s="274"/>
      <c r="RC418" s="274"/>
    </row>
    <row r="419" spans="112:471" ht="17.25">
      <c r="DH419" s="274"/>
      <c r="DI419" s="274"/>
      <c r="DJ419" s="978"/>
      <c r="DK419" s="274"/>
      <c r="DL419" s="274"/>
      <c r="DM419" s="274"/>
      <c r="DN419" s="274"/>
      <c r="DO419" s="274"/>
      <c r="DP419" s="274"/>
      <c r="DQ419" s="274"/>
      <c r="DR419" s="274"/>
      <c r="DS419" s="274"/>
      <c r="DT419" s="274"/>
      <c r="DU419" s="274"/>
      <c r="DV419" s="274"/>
      <c r="DW419" s="274"/>
      <c r="DX419" s="274"/>
      <c r="DY419" s="274"/>
      <c r="DZ419" s="274"/>
      <c r="EA419" s="274"/>
      <c r="EB419" s="274"/>
      <c r="EC419" s="274"/>
      <c r="ED419" s="274"/>
      <c r="EE419" s="274"/>
      <c r="EF419" s="274"/>
      <c r="EG419" s="274"/>
      <c r="EH419" s="274"/>
      <c r="EI419" s="274"/>
      <c r="EJ419" s="274"/>
      <c r="EK419" s="274"/>
      <c r="EL419" s="274"/>
      <c r="EM419" s="274"/>
      <c r="EN419" s="274"/>
      <c r="EO419" s="274"/>
      <c r="EP419" s="274"/>
      <c r="EQ419" s="274"/>
      <c r="ER419" s="274"/>
      <c r="ES419" s="274"/>
      <c r="ET419" s="274"/>
      <c r="EU419" s="274"/>
      <c r="EV419" s="274"/>
      <c r="EW419" s="274"/>
      <c r="EX419" s="274"/>
      <c r="EY419" s="274"/>
      <c r="EZ419" s="274"/>
      <c r="FA419" s="274"/>
      <c r="FB419" s="274"/>
      <c r="FC419" s="274"/>
      <c r="FD419" s="274"/>
      <c r="FE419" s="274"/>
      <c r="FF419" s="274"/>
      <c r="FG419" s="274"/>
      <c r="FH419" s="274"/>
      <c r="FI419" s="274"/>
      <c r="FJ419" s="274"/>
      <c r="FK419" s="274"/>
      <c r="FL419" s="274"/>
      <c r="FM419" s="274"/>
      <c r="FN419" s="274"/>
      <c r="FO419" s="274"/>
      <c r="FP419" s="274"/>
      <c r="FQ419" s="274"/>
      <c r="FR419" s="274"/>
      <c r="FS419" s="274"/>
      <c r="FT419" s="274"/>
      <c r="FU419" s="274"/>
      <c r="FV419" s="274"/>
      <c r="FW419" s="274"/>
      <c r="FX419" s="274"/>
      <c r="FY419" s="274"/>
      <c r="FZ419" s="274"/>
      <c r="GA419" s="274"/>
      <c r="GB419" s="274"/>
      <c r="GC419" s="274"/>
      <c r="GD419" s="274"/>
      <c r="GE419" s="274"/>
      <c r="GF419" s="274"/>
      <c r="GG419" s="274"/>
      <c r="GH419" s="274"/>
      <c r="GI419" s="274"/>
      <c r="GJ419" s="274"/>
      <c r="GK419" s="274"/>
      <c r="GL419" s="274"/>
      <c r="GM419" s="274"/>
      <c r="GN419" s="274"/>
      <c r="GO419" s="274"/>
      <c r="GP419" s="274"/>
      <c r="GQ419" s="274"/>
      <c r="GR419" s="274"/>
      <c r="GS419" s="274"/>
      <c r="GT419" s="274"/>
      <c r="GU419" s="274"/>
      <c r="GV419" s="274"/>
      <c r="GW419" s="274"/>
      <c r="GX419" s="274"/>
      <c r="GY419" s="274"/>
      <c r="GZ419" s="274"/>
      <c r="HA419" s="274"/>
      <c r="HB419" s="274"/>
      <c r="HC419" s="274"/>
      <c r="HD419" s="274"/>
      <c r="HE419" s="274"/>
      <c r="HF419" s="274"/>
      <c r="HG419" s="274"/>
      <c r="HH419" s="274"/>
      <c r="HI419" s="274"/>
      <c r="HJ419" s="274"/>
      <c r="HK419" s="274"/>
      <c r="HL419" s="274"/>
      <c r="HM419" s="274"/>
      <c r="HN419" s="274"/>
      <c r="HO419" s="274"/>
      <c r="HP419" s="274"/>
      <c r="HQ419" s="274"/>
      <c r="HR419" s="274"/>
      <c r="HS419" s="274"/>
      <c r="HT419" s="274"/>
      <c r="HU419" s="274"/>
      <c r="HV419" s="274"/>
      <c r="HW419" s="274"/>
      <c r="HX419" s="274"/>
      <c r="HY419" s="274"/>
      <c r="HZ419" s="274"/>
      <c r="IA419" s="274"/>
      <c r="IB419" s="274"/>
      <c r="IC419" s="274"/>
      <c r="ID419" s="274"/>
      <c r="IE419" s="274"/>
      <c r="IF419" s="274"/>
      <c r="IG419" s="274"/>
      <c r="IH419" s="274"/>
      <c r="II419" s="274"/>
      <c r="IJ419" s="274"/>
      <c r="IK419" s="274"/>
      <c r="IL419" s="274"/>
      <c r="IM419" s="274"/>
      <c r="IN419" s="274"/>
      <c r="IO419" s="274"/>
      <c r="IP419" s="274"/>
      <c r="IQ419" s="274"/>
      <c r="IR419" s="274"/>
      <c r="IS419" s="274"/>
      <c r="IT419" s="274"/>
      <c r="IU419" s="274"/>
      <c r="IV419" s="274"/>
      <c r="IW419" s="274"/>
      <c r="IX419" s="274"/>
      <c r="IY419" s="274"/>
      <c r="IZ419" s="274"/>
      <c r="JA419" s="274"/>
      <c r="JB419" s="274"/>
      <c r="JC419" s="274"/>
      <c r="JD419" s="274"/>
      <c r="JE419" s="274"/>
      <c r="JF419" s="274"/>
      <c r="JG419" s="274"/>
      <c r="JH419" s="274"/>
      <c r="JI419" s="274"/>
      <c r="JJ419" s="274"/>
      <c r="JK419" s="274"/>
      <c r="JL419" s="274"/>
      <c r="JM419" s="274"/>
      <c r="JN419" s="274"/>
      <c r="JO419" s="274"/>
      <c r="JP419" s="274"/>
      <c r="JQ419" s="274"/>
      <c r="JR419" s="274"/>
      <c r="JS419" s="274"/>
      <c r="JT419" s="274"/>
      <c r="JU419" s="274"/>
      <c r="JV419" s="274"/>
      <c r="JW419" s="274"/>
      <c r="JX419" s="274"/>
      <c r="JY419" s="274"/>
      <c r="JZ419" s="274"/>
      <c r="KA419" s="274"/>
      <c r="KB419" s="274"/>
      <c r="KC419" s="274"/>
      <c r="KD419" s="274"/>
      <c r="KE419" s="274"/>
      <c r="KF419" s="274"/>
      <c r="KG419" s="274"/>
      <c r="KH419" s="274"/>
      <c r="KI419" s="274"/>
      <c r="KJ419" s="274"/>
      <c r="KK419" s="274"/>
      <c r="KL419" s="274"/>
      <c r="KM419" s="274"/>
      <c r="KN419" s="274"/>
      <c r="KO419" s="274"/>
      <c r="KP419" s="274"/>
      <c r="KQ419" s="274"/>
      <c r="KR419" s="274"/>
      <c r="KS419" s="274"/>
      <c r="KT419" s="274"/>
      <c r="KU419" s="274"/>
      <c r="KV419" s="274"/>
      <c r="KW419" s="274"/>
      <c r="KX419" s="274"/>
      <c r="KY419" s="274"/>
      <c r="KZ419" s="274"/>
      <c r="LA419" s="274"/>
      <c r="LB419" s="274"/>
      <c r="LC419" s="274"/>
      <c r="LD419" s="274"/>
      <c r="LE419" s="274"/>
      <c r="LF419" s="274"/>
      <c r="LG419" s="274"/>
      <c r="LH419" s="274"/>
      <c r="LI419" s="274"/>
      <c r="LJ419" s="274"/>
      <c r="LK419" s="274"/>
      <c r="LL419" s="274"/>
      <c r="LM419" s="274"/>
      <c r="LN419" s="274"/>
      <c r="LO419" s="274"/>
      <c r="LP419" s="274"/>
      <c r="LQ419" s="274"/>
      <c r="LR419" s="274"/>
      <c r="LS419" s="274"/>
      <c r="LT419" s="274"/>
      <c r="LU419" s="274"/>
      <c r="LV419" s="274"/>
      <c r="LW419" s="274"/>
      <c r="LX419" s="274"/>
      <c r="LY419" s="274"/>
      <c r="LZ419" s="274"/>
      <c r="MA419" s="274"/>
      <c r="MB419" s="274"/>
      <c r="MC419" s="274"/>
      <c r="MD419" s="274"/>
      <c r="ME419" s="274"/>
      <c r="MF419" s="274"/>
      <c r="MG419" s="274"/>
      <c r="MH419" s="274"/>
      <c r="MI419" s="274"/>
      <c r="MJ419" s="274"/>
      <c r="MK419" s="274"/>
      <c r="ML419" s="274"/>
      <c r="MM419" s="274"/>
      <c r="MN419" s="274"/>
      <c r="MO419" s="274"/>
      <c r="MP419" s="274"/>
      <c r="MQ419" s="274"/>
      <c r="MR419" s="274"/>
      <c r="MS419" s="274"/>
      <c r="MT419" s="274"/>
      <c r="MU419" s="274"/>
      <c r="MV419" s="274"/>
      <c r="MW419" s="274"/>
      <c r="MX419" s="274"/>
      <c r="MY419" s="274"/>
      <c r="MZ419" s="274"/>
      <c r="NA419" s="274"/>
      <c r="NB419" s="274"/>
      <c r="NC419" s="274"/>
      <c r="ND419" s="274"/>
      <c r="NE419" s="274"/>
      <c r="NF419" s="274"/>
      <c r="NG419" s="274"/>
      <c r="NH419" s="274"/>
      <c r="NI419" s="274"/>
      <c r="NJ419" s="274"/>
      <c r="NK419" s="274"/>
      <c r="NL419" s="274"/>
      <c r="NM419" s="274"/>
      <c r="NN419" s="274"/>
      <c r="NO419" s="274"/>
      <c r="NP419" s="274"/>
      <c r="NQ419" s="274"/>
      <c r="NR419" s="274"/>
      <c r="NS419" s="274"/>
      <c r="NT419" s="274"/>
      <c r="NU419" s="274"/>
      <c r="NV419" s="274"/>
      <c r="NW419" s="274"/>
      <c r="NX419" s="274"/>
      <c r="NY419" s="274"/>
      <c r="NZ419" s="274"/>
      <c r="OA419" s="274"/>
      <c r="OB419" s="274"/>
      <c r="OC419" s="274"/>
      <c r="OD419" s="274"/>
      <c r="OE419" s="274"/>
      <c r="OF419" s="274"/>
      <c r="OG419" s="274"/>
      <c r="OH419" s="274"/>
      <c r="OI419" s="274"/>
      <c r="OJ419" s="274"/>
      <c r="OK419" s="274"/>
      <c r="OL419" s="274"/>
      <c r="OM419" s="274"/>
      <c r="ON419" s="274"/>
      <c r="OO419" s="274"/>
      <c r="OP419" s="274"/>
      <c r="OQ419" s="274"/>
      <c r="OR419" s="274"/>
      <c r="OS419" s="274"/>
      <c r="OT419" s="274"/>
      <c r="OU419" s="274"/>
      <c r="OV419" s="274"/>
      <c r="OW419" s="274"/>
      <c r="OX419" s="274"/>
      <c r="OY419" s="274"/>
      <c r="OZ419" s="274"/>
      <c r="PA419" s="274"/>
      <c r="PB419" s="274"/>
      <c r="PC419" s="274"/>
      <c r="PD419" s="274"/>
      <c r="PE419" s="274"/>
      <c r="PF419" s="274"/>
      <c r="PG419" s="274"/>
      <c r="PH419" s="274"/>
      <c r="PI419" s="274"/>
      <c r="PJ419" s="274"/>
      <c r="PK419" s="274"/>
      <c r="PL419" s="274"/>
      <c r="PM419" s="274"/>
      <c r="PN419" s="274"/>
      <c r="PO419" s="274"/>
      <c r="PP419" s="274"/>
      <c r="PQ419" s="274"/>
      <c r="PR419" s="274"/>
      <c r="PS419" s="274"/>
      <c r="PT419" s="274"/>
      <c r="PU419" s="274"/>
      <c r="PV419" s="274"/>
      <c r="PW419" s="274"/>
      <c r="PX419" s="274"/>
      <c r="PY419" s="274"/>
      <c r="PZ419" s="274"/>
      <c r="QA419" s="274"/>
      <c r="QB419" s="274"/>
      <c r="QC419" s="274"/>
      <c r="QD419" s="274"/>
      <c r="QE419" s="274"/>
      <c r="QF419" s="274"/>
      <c r="QG419" s="274"/>
      <c r="QH419" s="274"/>
      <c r="QI419" s="274"/>
      <c r="QJ419" s="274"/>
      <c r="QK419" s="274"/>
      <c r="QL419" s="274"/>
      <c r="QM419" s="274"/>
      <c r="QN419" s="274"/>
      <c r="QO419" s="274"/>
      <c r="QP419" s="274"/>
      <c r="QQ419" s="274"/>
      <c r="QR419" s="274"/>
      <c r="QS419" s="274"/>
      <c r="QT419" s="274"/>
      <c r="QU419" s="274"/>
      <c r="QV419" s="274"/>
      <c r="QW419" s="274"/>
      <c r="QX419" s="274"/>
      <c r="QY419" s="274"/>
      <c r="QZ419" s="274"/>
      <c r="RA419" s="274"/>
      <c r="RB419" s="274"/>
      <c r="RC419" s="274"/>
    </row>
    <row r="420" spans="112:471" ht="17.25">
      <c r="DH420" s="274"/>
      <c r="DI420" s="274"/>
      <c r="DJ420" s="978"/>
      <c r="DK420" s="978"/>
      <c r="DL420" s="978"/>
      <c r="DM420" s="978"/>
      <c r="DN420" s="978"/>
      <c r="DO420" s="978"/>
      <c r="DP420" s="978"/>
      <c r="DQ420" s="978"/>
      <c r="DR420" s="978"/>
      <c r="DS420" s="978"/>
      <c r="DT420" s="978"/>
      <c r="DU420" s="978"/>
      <c r="DV420" s="978"/>
      <c r="DW420" s="978"/>
      <c r="DX420" s="978"/>
      <c r="DY420" s="978"/>
      <c r="DZ420" s="978"/>
      <c r="EA420" s="978"/>
      <c r="EB420" s="978"/>
      <c r="EC420" s="978"/>
      <c r="ED420" s="978"/>
      <c r="EE420" s="978"/>
      <c r="EF420" s="978"/>
      <c r="EG420" s="978"/>
      <c r="EH420" s="978"/>
      <c r="EI420" s="978"/>
      <c r="EJ420" s="978"/>
      <c r="EK420" s="978"/>
      <c r="EL420" s="978"/>
      <c r="EM420" s="978"/>
      <c r="EN420" s="978"/>
      <c r="EO420" s="978"/>
      <c r="EP420" s="978"/>
      <c r="EQ420" s="978"/>
      <c r="ER420" s="978"/>
      <c r="ES420" s="978"/>
      <c r="ET420" s="978"/>
      <c r="EU420" s="978"/>
      <c r="EV420" s="978"/>
      <c r="EW420" s="978"/>
      <c r="EX420" s="978"/>
      <c r="EY420" s="978"/>
      <c r="EZ420" s="978"/>
      <c r="FA420" s="978"/>
      <c r="FB420" s="978"/>
      <c r="FC420" s="978"/>
      <c r="FD420" s="978"/>
      <c r="FE420" s="978"/>
      <c r="FF420" s="978"/>
      <c r="FG420" s="978"/>
      <c r="FH420" s="978"/>
      <c r="FI420" s="978"/>
      <c r="FJ420" s="978"/>
      <c r="FK420" s="978"/>
      <c r="FL420" s="978"/>
      <c r="FM420" s="978"/>
      <c r="FN420" s="978"/>
      <c r="FO420" s="978"/>
      <c r="FP420" s="978"/>
      <c r="FQ420" s="978"/>
      <c r="FR420" s="978"/>
      <c r="FS420" s="978"/>
      <c r="FT420" s="978"/>
      <c r="FU420" s="978"/>
      <c r="FV420" s="978"/>
      <c r="FW420" s="978"/>
      <c r="FX420" s="978"/>
      <c r="FY420" s="978"/>
      <c r="FZ420" s="978"/>
      <c r="GA420" s="978"/>
      <c r="GB420" s="978"/>
      <c r="GC420" s="978"/>
      <c r="GD420" s="978"/>
      <c r="GE420" s="978"/>
      <c r="GF420" s="978"/>
      <c r="GG420" s="978"/>
      <c r="GH420" s="978"/>
      <c r="GI420" s="978"/>
      <c r="GJ420" s="978"/>
      <c r="GK420" s="978"/>
      <c r="GL420" s="978"/>
      <c r="GM420" s="978"/>
      <c r="GN420" s="978"/>
      <c r="GO420" s="978"/>
      <c r="GP420" s="978"/>
      <c r="GQ420" s="978"/>
      <c r="GR420" s="978"/>
      <c r="GS420" s="978"/>
      <c r="GT420" s="978"/>
      <c r="GU420" s="978"/>
      <c r="GV420" s="978"/>
      <c r="GW420" s="978"/>
      <c r="GX420" s="978"/>
      <c r="GY420" s="978"/>
      <c r="GZ420" s="978"/>
      <c r="HA420" s="978"/>
      <c r="HB420" s="978"/>
      <c r="HC420" s="978"/>
      <c r="HD420" s="978"/>
      <c r="HE420" s="978"/>
      <c r="HF420" s="978"/>
      <c r="HG420" s="978"/>
      <c r="HH420" s="978"/>
      <c r="HI420" s="978"/>
      <c r="HJ420" s="978"/>
      <c r="HK420" s="978"/>
      <c r="HL420" s="978"/>
      <c r="HM420" s="978"/>
      <c r="HN420" s="978"/>
      <c r="HO420" s="978"/>
      <c r="HP420" s="978"/>
      <c r="HQ420" s="978"/>
      <c r="HR420" s="978"/>
      <c r="HS420" s="978"/>
      <c r="HT420" s="978"/>
      <c r="HU420" s="978"/>
      <c r="HV420" s="978"/>
      <c r="HW420" s="978"/>
      <c r="HX420" s="978"/>
      <c r="HY420" s="978"/>
      <c r="HZ420" s="978"/>
      <c r="IA420" s="978"/>
      <c r="IB420" s="978"/>
      <c r="IC420" s="978"/>
      <c r="ID420" s="978"/>
      <c r="IE420" s="978"/>
      <c r="IF420" s="978"/>
      <c r="IG420" s="978"/>
      <c r="IH420" s="978"/>
      <c r="II420" s="978"/>
      <c r="IJ420" s="978"/>
      <c r="IK420" s="978"/>
      <c r="IL420" s="978"/>
      <c r="IM420" s="978"/>
      <c r="IN420" s="978"/>
      <c r="IO420" s="978"/>
      <c r="IP420" s="978"/>
      <c r="IQ420" s="978"/>
      <c r="IR420" s="978"/>
      <c r="IS420" s="978"/>
      <c r="IT420" s="978"/>
      <c r="IU420" s="978"/>
      <c r="IV420" s="978"/>
      <c r="IW420" s="978"/>
      <c r="IX420" s="978"/>
      <c r="IY420" s="978"/>
      <c r="IZ420" s="978"/>
      <c r="JA420" s="978"/>
      <c r="JB420" s="978"/>
      <c r="JC420" s="978"/>
      <c r="JD420" s="978"/>
      <c r="JE420" s="978"/>
      <c r="JF420" s="978"/>
      <c r="JG420" s="978"/>
      <c r="JH420" s="978"/>
      <c r="JI420" s="978"/>
      <c r="JJ420" s="978"/>
      <c r="JK420" s="978"/>
      <c r="JL420" s="978"/>
      <c r="JM420" s="978"/>
      <c r="JN420" s="978"/>
      <c r="JO420" s="978"/>
      <c r="JP420" s="978"/>
      <c r="JQ420" s="978"/>
      <c r="JR420" s="978"/>
      <c r="JS420" s="978"/>
      <c r="JT420" s="978"/>
      <c r="JU420" s="978"/>
      <c r="JV420" s="978"/>
      <c r="JW420" s="978"/>
      <c r="JX420" s="978"/>
      <c r="JY420" s="978"/>
      <c r="JZ420" s="978"/>
      <c r="KA420" s="978"/>
      <c r="KB420" s="978"/>
      <c r="KC420" s="978"/>
      <c r="KD420" s="978"/>
      <c r="KE420" s="978"/>
      <c r="KF420" s="978"/>
      <c r="KG420" s="978"/>
      <c r="KH420" s="978"/>
      <c r="KI420" s="978"/>
      <c r="KJ420" s="978"/>
      <c r="KK420" s="978"/>
      <c r="KL420" s="978"/>
      <c r="KM420" s="978"/>
      <c r="KN420" s="978"/>
      <c r="KO420" s="978"/>
      <c r="KP420" s="978"/>
      <c r="KQ420" s="978"/>
      <c r="KR420" s="978"/>
      <c r="KS420" s="978"/>
      <c r="KT420" s="978"/>
      <c r="KU420" s="978"/>
      <c r="KV420" s="978"/>
      <c r="KW420" s="978"/>
      <c r="KX420" s="978"/>
      <c r="KY420" s="978"/>
      <c r="KZ420" s="978"/>
      <c r="LA420" s="978"/>
      <c r="LB420" s="978"/>
      <c r="LC420" s="978"/>
      <c r="LD420" s="978"/>
      <c r="LE420" s="978"/>
      <c r="LF420" s="978"/>
      <c r="LG420" s="978"/>
      <c r="LH420" s="978"/>
      <c r="LI420" s="978"/>
      <c r="LJ420" s="978"/>
      <c r="LK420" s="978"/>
      <c r="LL420" s="978"/>
      <c r="LM420" s="978"/>
      <c r="LN420" s="978"/>
      <c r="LO420" s="978"/>
      <c r="LP420" s="978"/>
      <c r="LQ420" s="978"/>
      <c r="LR420" s="978"/>
      <c r="LS420" s="978"/>
      <c r="LT420" s="978"/>
      <c r="LU420" s="978"/>
      <c r="LV420" s="978"/>
      <c r="LW420" s="978"/>
      <c r="LX420" s="978"/>
      <c r="LY420" s="978"/>
      <c r="LZ420" s="978"/>
      <c r="MA420" s="978"/>
      <c r="MB420" s="978"/>
      <c r="MC420" s="978"/>
      <c r="MD420" s="978"/>
      <c r="ME420" s="978"/>
      <c r="MF420" s="978"/>
      <c r="MG420" s="978"/>
      <c r="MH420" s="978"/>
      <c r="MI420" s="978"/>
      <c r="MJ420" s="978"/>
      <c r="MK420" s="978"/>
      <c r="ML420" s="978"/>
      <c r="MM420" s="978"/>
      <c r="MN420" s="978"/>
      <c r="MO420" s="978"/>
      <c r="MP420" s="978"/>
      <c r="MQ420" s="978"/>
      <c r="MR420" s="978"/>
      <c r="MS420" s="978"/>
      <c r="MT420" s="978"/>
      <c r="MU420" s="978"/>
      <c r="MV420" s="978"/>
      <c r="MW420" s="978"/>
      <c r="MX420" s="978"/>
      <c r="MY420" s="978"/>
      <c r="MZ420" s="978"/>
      <c r="NA420" s="978"/>
      <c r="NB420" s="978"/>
      <c r="NC420" s="978"/>
      <c r="ND420" s="978"/>
      <c r="NE420" s="978"/>
      <c r="NF420" s="978"/>
      <c r="NG420" s="978"/>
      <c r="NH420" s="978"/>
      <c r="NI420" s="978"/>
      <c r="NJ420" s="978"/>
      <c r="NK420" s="978"/>
      <c r="NL420" s="978"/>
      <c r="NM420" s="978"/>
      <c r="NN420" s="978"/>
      <c r="NO420" s="978"/>
      <c r="NP420" s="978"/>
      <c r="NQ420" s="978"/>
      <c r="NR420" s="978"/>
      <c r="NS420" s="978"/>
      <c r="NT420" s="978"/>
      <c r="NU420" s="978"/>
      <c r="NV420" s="978"/>
      <c r="NW420" s="978"/>
      <c r="NX420" s="978"/>
      <c r="NY420" s="978"/>
      <c r="NZ420" s="978"/>
      <c r="OA420" s="978"/>
      <c r="OB420" s="978"/>
      <c r="OC420" s="978"/>
      <c r="OD420" s="978"/>
      <c r="OE420" s="978"/>
      <c r="OF420" s="978"/>
      <c r="OG420" s="978"/>
      <c r="OH420" s="978"/>
      <c r="OI420" s="978"/>
      <c r="OJ420" s="978"/>
      <c r="OK420" s="978"/>
      <c r="OL420" s="978"/>
      <c r="OM420" s="978"/>
      <c r="ON420" s="978"/>
      <c r="OO420" s="978"/>
      <c r="OP420" s="978"/>
      <c r="OQ420" s="978"/>
      <c r="OR420" s="978"/>
      <c r="OS420" s="978"/>
      <c r="OT420" s="978"/>
      <c r="OU420" s="978"/>
      <c r="OV420" s="978"/>
      <c r="OW420" s="978"/>
      <c r="OX420" s="978"/>
      <c r="OY420" s="978"/>
      <c r="OZ420" s="978"/>
      <c r="PA420" s="978"/>
      <c r="PB420" s="978"/>
      <c r="PC420" s="978"/>
      <c r="PD420" s="978"/>
      <c r="PE420" s="978"/>
      <c r="PF420" s="978"/>
      <c r="PG420" s="978"/>
      <c r="PH420" s="978"/>
      <c r="PI420" s="978"/>
      <c r="PJ420" s="978"/>
      <c r="PK420" s="978"/>
      <c r="PL420" s="978"/>
      <c r="PM420" s="978"/>
      <c r="PN420" s="978"/>
      <c r="PO420" s="978"/>
      <c r="PP420" s="978"/>
      <c r="PQ420" s="978"/>
      <c r="PR420" s="978"/>
      <c r="PS420" s="978"/>
      <c r="PT420" s="978"/>
      <c r="PU420" s="978"/>
      <c r="PV420" s="978"/>
      <c r="PW420" s="978"/>
      <c r="PX420" s="978"/>
      <c r="PY420" s="978"/>
      <c r="PZ420" s="978"/>
      <c r="QA420" s="978"/>
      <c r="QB420" s="978"/>
      <c r="QC420" s="978"/>
      <c r="QD420" s="978"/>
      <c r="QE420" s="978"/>
      <c r="QF420" s="978"/>
      <c r="QG420" s="978"/>
      <c r="QH420" s="978"/>
      <c r="QI420" s="978"/>
      <c r="QJ420" s="978"/>
      <c r="QK420" s="978"/>
      <c r="QL420" s="978"/>
      <c r="QM420" s="978"/>
      <c r="QN420" s="978"/>
      <c r="QO420" s="978"/>
      <c r="QP420" s="978"/>
      <c r="QQ420" s="978"/>
      <c r="QR420" s="978"/>
      <c r="QS420" s="978"/>
      <c r="QT420" s="978"/>
      <c r="QU420" s="978"/>
      <c r="QV420" s="978"/>
      <c r="QW420" s="978"/>
      <c r="QX420" s="978"/>
      <c r="QY420" s="978"/>
      <c r="QZ420" s="978"/>
      <c r="RA420" s="978"/>
      <c r="RB420" s="274"/>
      <c r="RC420" s="274"/>
    </row>
    <row r="421" spans="112:471" ht="17.25">
      <c r="DH421" s="274"/>
      <c r="DI421" s="274"/>
      <c r="DJ421" s="978"/>
      <c r="DK421" s="978"/>
      <c r="DL421" s="978"/>
      <c r="DM421" s="978"/>
      <c r="DN421" s="978"/>
      <c r="DO421" s="978"/>
      <c r="DP421" s="978"/>
      <c r="DQ421" s="978"/>
      <c r="DR421" s="978"/>
      <c r="DS421" s="978"/>
      <c r="DT421" s="978"/>
      <c r="DU421" s="978"/>
      <c r="DV421" s="978"/>
      <c r="DW421" s="978"/>
      <c r="DX421" s="978"/>
      <c r="DY421" s="978"/>
      <c r="DZ421" s="978"/>
      <c r="EA421" s="978"/>
      <c r="EB421" s="978"/>
      <c r="EC421" s="978"/>
      <c r="ED421" s="978"/>
      <c r="EE421" s="978"/>
      <c r="EF421" s="978"/>
      <c r="EG421" s="978"/>
      <c r="EH421" s="978"/>
      <c r="EI421" s="978"/>
      <c r="EJ421" s="978"/>
      <c r="EK421" s="978"/>
      <c r="EL421" s="978"/>
      <c r="EM421" s="978"/>
      <c r="EN421" s="978"/>
      <c r="EO421" s="978"/>
      <c r="EP421" s="978"/>
      <c r="EQ421" s="978"/>
      <c r="ER421" s="978"/>
      <c r="ES421" s="978"/>
      <c r="ET421" s="978"/>
      <c r="EU421" s="978"/>
      <c r="EV421" s="978"/>
      <c r="EW421" s="978"/>
      <c r="EX421" s="978"/>
      <c r="EY421" s="978"/>
      <c r="EZ421" s="978"/>
      <c r="FA421" s="978"/>
      <c r="FB421" s="978"/>
      <c r="FC421" s="978"/>
      <c r="FD421" s="978"/>
      <c r="FE421" s="978"/>
      <c r="FF421" s="978"/>
      <c r="FG421" s="978"/>
      <c r="FH421" s="978"/>
      <c r="FI421" s="978"/>
      <c r="FJ421" s="978"/>
      <c r="FK421" s="978"/>
      <c r="FL421" s="978"/>
      <c r="FM421" s="978"/>
      <c r="FN421" s="978"/>
      <c r="FO421" s="978"/>
      <c r="FP421" s="978"/>
      <c r="FQ421" s="978"/>
      <c r="FR421" s="978"/>
      <c r="FS421" s="978"/>
      <c r="FT421" s="978"/>
      <c r="FU421" s="978"/>
      <c r="FV421" s="978"/>
      <c r="FW421" s="978"/>
      <c r="FX421" s="978"/>
      <c r="FY421" s="978"/>
      <c r="FZ421" s="978"/>
      <c r="GA421" s="978"/>
      <c r="GB421" s="978"/>
      <c r="GC421" s="978"/>
      <c r="GD421" s="978"/>
      <c r="GE421" s="978"/>
      <c r="GF421" s="978"/>
      <c r="GG421" s="978"/>
      <c r="GH421" s="978"/>
      <c r="GI421" s="978"/>
      <c r="GJ421" s="978"/>
      <c r="GK421" s="978"/>
      <c r="GL421" s="978"/>
      <c r="GM421" s="978"/>
      <c r="GN421" s="978"/>
      <c r="GO421" s="978"/>
      <c r="GP421" s="978"/>
      <c r="GQ421" s="978"/>
      <c r="GR421" s="978"/>
      <c r="GS421" s="978"/>
      <c r="GT421" s="978"/>
      <c r="GU421" s="978"/>
      <c r="GV421" s="978"/>
      <c r="GW421" s="978"/>
      <c r="GX421" s="978"/>
      <c r="GY421" s="978"/>
      <c r="GZ421" s="978"/>
      <c r="HA421" s="978"/>
      <c r="HB421" s="978"/>
      <c r="HC421" s="978"/>
      <c r="HD421" s="978"/>
      <c r="HE421" s="978"/>
      <c r="HF421" s="978"/>
      <c r="HG421" s="978"/>
      <c r="HH421" s="978"/>
      <c r="HI421" s="978"/>
      <c r="HJ421" s="978"/>
      <c r="HK421" s="978"/>
      <c r="HL421" s="978"/>
      <c r="HM421" s="978"/>
      <c r="HN421" s="978"/>
      <c r="HO421" s="978"/>
      <c r="HP421" s="978"/>
      <c r="HQ421" s="978"/>
      <c r="HR421" s="978"/>
      <c r="HS421" s="978"/>
      <c r="HT421" s="978"/>
      <c r="HU421" s="978"/>
      <c r="HV421" s="978"/>
      <c r="HW421" s="978"/>
      <c r="HX421" s="978"/>
      <c r="HY421" s="978"/>
      <c r="HZ421" s="978"/>
      <c r="IA421" s="978"/>
      <c r="IB421" s="978"/>
      <c r="IC421" s="978"/>
      <c r="ID421" s="978"/>
      <c r="IE421" s="978"/>
      <c r="IF421" s="978"/>
      <c r="IG421" s="978"/>
      <c r="IH421" s="978"/>
      <c r="II421" s="978"/>
      <c r="IJ421" s="978"/>
      <c r="IK421" s="978"/>
      <c r="IL421" s="978"/>
      <c r="IM421" s="978"/>
      <c r="IN421" s="978"/>
      <c r="IO421" s="978"/>
      <c r="IP421" s="978"/>
      <c r="IQ421" s="978"/>
      <c r="IR421" s="978"/>
      <c r="IS421" s="978"/>
      <c r="IT421" s="978"/>
      <c r="IU421" s="978"/>
      <c r="IV421" s="978"/>
      <c r="IW421" s="978"/>
      <c r="IX421" s="978"/>
      <c r="IY421" s="978"/>
      <c r="IZ421" s="978"/>
      <c r="JA421" s="978"/>
      <c r="JB421" s="978"/>
      <c r="JC421" s="978"/>
      <c r="JD421" s="978"/>
      <c r="JE421" s="978"/>
      <c r="JF421" s="978"/>
      <c r="JG421" s="978"/>
      <c r="JH421" s="978"/>
      <c r="JI421" s="978"/>
      <c r="JJ421" s="978"/>
      <c r="JK421" s="978"/>
      <c r="JL421" s="978"/>
      <c r="JM421" s="978"/>
      <c r="JN421" s="978"/>
      <c r="JO421" s="978"/>
      <c r="JP421" s="978"/>
      <c r="JQ421" s="978"/>
      <c r="JR421" s="978"/>
      <c r="JS421" s="978"/>
      <c r="JT421" s="978"/>
      <c r="JU421" s="978"/>
      <c r="JV421" s="978"/>
      <c r="JW421" s="978"/>
      <c r="JX421" s="978"/>
      <c r="JY421" s="978"/>
      <c r="JZ421" s="978"/>
      <c r="KA421" s="978"/>
      <c r="KB421" s="978"/>
      <c r="KC421" s="978"/>
      <c r="KD421" s="978"/>
      <c r="KE421" s="978"/>
      <c r="KF421" s="978"/>
      <c r="KG421" s="978"/>
      <c r="KH421" s="978"/>
      <c r="KI421" s="978"/>
      <c r="KJ421" s="978"/>
      <c r="KK421" s="978"/>
      <c r="KL421" s="978"/>
      <c r="KM421" s="978"/>
      <c r="KN421" s="978"/>
      <c r="KO421" s="978"/>
      <c r="KP421" s="978"/>
      <c r="KQ421" s="978"/>
      <c r="KR421" s="978"/>
      <c r="KS421" s="978"/>
      <c r="KT421" s="978"/>
      <c r="KU421" s="978"/>
      <c r="KV421" s="978"/>
      <c r="KW421" s="978"/>
      <c r="KX421" s="978"/>
      <c r="KY421" s="978"/>
      <c r="KZ421" s="978"/>
      <c r="LA421" s="978"/>
      <c r="LB421" s="978"/>
      <c r="LC421" s="978"/>
      <c r="LD421" s="978"/>
      <c r="LE421" s="978"/>
      <c r="LF421" s="978"/>
      <c r="LG421" s="978"/>
      <c r="LH421" s="978"/>
      <c r="LI421" s="978"/>
      <c r="LJ421" s="978"/>
      <c r="LK421" s="978"/>
      <c r="LL421" s="978"/>
      <c r="LM421" s="978"/>
      <c r="LN421" s="978"/>
      <c r="LO421" s="978"/>
      <c r="LP421" s="978"/>
      <c r="LQ421" s="978"/>
      <c r="LR421" s="978"/>
      <c r="LS421" s="978"/>
      <c r="LT421" s="978"/>
      <c r="LU421" s="978"/>
      <c r="LV421" s="978"/>
      <c r="LW421" s="978"/>
      <c r="LX421" s="978"/>
      <c r="LY421" s="978"/>
      <c r="LZ421" s="978"/>
      <c r="MA421" s="978"/>
      <c r="MB421" s="978"/>
      <c r="MC421" s="978"/>
      <c r="MD421" s="978"/>
      <c r="ME421" s="978"/>
      <c r="MF421" s="978"/>
      <c r="MG421" s="978"/>
      <c r="MH421" s="978"/>
      <c r="MI421" s="978"/>
      <c r="MJ421" s="978"/>
      <c r="MK421" s="978"/>
      <c r="ML421" s="978"/>
      <c r="MM421" s="978"/>
      <c r="MN421" s="978"/>
      <c r="MO421" s="978"/>
      <c r="MP421" s="978"/>
      <c r="MQ421" s="978"/>
      <c r="MR421" s="978"/>
      <c r="MS421" s="978"/>
      <c r="MT421" s="978"/>
      <c r="MU421" s="978"/>
      <c r="MV421" s="978"/>
      <c r="MW421" s="978"/>
      <c r="MX421" s="978"/>
      <c r="MY421" s="978"/>
      <c r="MZ421" s="978"/>
      <c r="NA421" s="978"/>
      <c r="NB421" s="978"/>
      <c r="NC421" s="978"/>
      <c r="ND421" s="978"/>
      <c r="NE421" s="978"/>
      <c r="NF421" s="978"/>
      <c r="NG421" s="978"/>
      <c r="NH421" s="978"/>
      <c r="NI421" s="978"/>
      <c r="NJ421" s="978"/>
      <c r="NK421" s="978"/>
      <c r="NL421" s="978"/>
      <c r="NM421" s="978"/>
      <c r="NN421" s="978"/>
      <c r="NO421" s="978"/>
      <c r="NP421" s="978"/>
      <c r="NQ421" s="978"/>
      <c r="NR421" s="978"/>
      <c r="NS421" s="978"/>
      <c r="NT421" s="978"/>
      <c r="NU421" s="978"/>
      <c r="NV421" s="978"/>
      <c r="NW421" s="978"/>
      <c r="NX421" s="978"/>
      <c r="NY421" s="978"/>
      <c r="NZ421" s="978"/>
      <c r="OA421" s="978"/>
      <c r="OB421" s="978"/>
      <c r="OC421" s="978"/>
      <c r="OD421" s="978"/>
      <c r="OE421" s="978"/>
      <c r="OF421" s="978"/>
      <c r="OG421" s="978"/>
      <c r="OH421" s="978"/>
      <c r="OI421" s="978"/>
      <c r="OJ421" s="978"/>
      <c r="OK421" s="978"/>
      <c r="OL421" s="978"/>
      <c r="OM421" s="978"/>
      <c r="ON421" s="978"/>
      <c r="OO421" s="978"/>
      <c r="OP421" s="978"/>
      <c r="OQ421" s="978"/>
      <c r="OR421" s="978"/>
      <c r="OS421" s="978"/>
      <c r="OT421" s="978"/>
      <c r="OU421" s="978"/>
      <c r="OV421" s="978"/>
      <c r="OW421" s="978"/>
      <c r="OX421" s="978"/>
      <c r="OY421" s="978"/>
      <c r="OZ421" s="978"/>
      <c r="PA421" s="978"/>
      <c r="PB421" s="978"/>
      <c r="PC421" s="978"/>
      <c r="PD421" s="978"/>
      <c r="PE421" s="978"/>
      <c r="PF421" s="978"/>
      <c r="PG421" s="978"/>
      <c r="PH421" s="978"/>
      <c r="PI421" s="978"/>
      <c r="PJ421" s="978"/>
      <c r="PK421" s="978"/>
      <c r="PL421" s="978"/>
      <c r="PM421" s="978"/>
      <c r="PN421" s="978"/>
      <c r="PO421" s="978"/>
      <c r="PP421" s="978"/>
      <c r="PQ421" s="978"/>
      <c r="PR421" s="978"/>
      <c r="PS421" s="978"/>
      <c r="PT421" s="978"/>
      <c r="PU421" s="978"/>
      <c r="PV421" s="978"/>
      <c r="PW421" s="978"/>
      <c r="PX421" s="978"/>
      <c r="PY421" s="978"/>
      <c r="PZ421" s="978"/>
      <c r="QA421" s="978"/>
      <c r="QB421" s="978"/>
      <c r="QC421" s="978"/>
      <c r="QD421" s="978"/>
      <c r="QE421" s="978"/>
      <c r="QF421" s="978"/>
      <c r="QG421" s="978"/>
      <c r="QH421" s="978"/>
      <c r="QI421" s="978"/>
      <c r="QJ421" s="978"/>
      <c r="QK421" s="978"/>
      <c r="QL421" s="978"/>
      <c r="QM421" s="978"/>
      <c r="QN421" s="978"/>
      <c r="QO421" s="978"/>
      <c r="QP421" s="978"/>
      <c r="QQ421" s="978"/>
      <c r="QR421" s="978"/>
      <c r="QS421" s="978"/>
      <c r="QT421" s="978"/>
      <c r="QU421" s="978"/>
      <c r="QV421" s="978"/>
      <c r="QW421" s="978"/>
      <c r="QX421" s="978"/>
      <c r="QY421" s="978"/>
      <c r="QZ421" s="978"/>
      <c r="RA421" s="978"/>
      <c r="RB421" s="274"/>
      <c r="RC421" s="274"/>
    </row>
    <row r="422" spans="112:471" ht="17.25">
      <c r="DH422" s="274"/>
      <c r="DI422" s="274"/>
      <c r="DJ422" s="978"/>
      <c r="DK422" s="978"/>
      <c r="DL422" s="978"/>
      <c r="DM422" s="978"/>
      <c r="DN422" s="978"/>
      <c r="DO422" s="978"/>
      <c r="DP422" s="978"/>
      <c r="DQ422" s="978"/>
      <c r="DR422" s="978"/>
      <c r="DS422" s="978"/>
      <c r="DT422" s="978"/>
      <c r="DU422" s="978"/>
      <c r="DV422" s="978"/>
      <c r="DW422" s="978"/>
      <c r="DX422" s="978"/>
      <c r="DY422" s="978"/>
      <c r="DZ422" s="978"/>
      <c r="EA422" s="978"/>
      <c r="EB422" s="978"/>
      <c r="EC422" s="978"/>
      <c r="ED422" s="978"/>
      <c r="EE422" s="978"/>
      <c r="EF422" s="978"/>
      <c r="EG422" s="978"/>
      <c r="EH422" s="978"/>
      <c r="EI422" s="978"/>
      <c r="EJ422" s="978"/>
      <c r="EK422" s="978"/>
      <c r="EL422" s="978"/>
      <c r="EM422" s="978"/>
      <c r="EN422" s="978"/>
      <c r="EO422" s="978"/>
      <c r="EP422" s="978"/>
      <c r="EQ422" s="978"/>
      <c r="ER422" s="978"/>
      <c r="ES422" s="978"/>
      <c r="ET422" s="978"/>
      <c r="EU422" s="978"/>
      <c r="EV422" s="978"/>
      <c r="EW422" s="978"/>
      <c r="EX422" s="978"/>
      <c r="EY422" s="978"/>
      <c r="EZ422" s="978"/>
      <c r="FA422" s="978"/>
      <c r="FB422" s="978"/>
      <c r="FC422" s="978"/>
      <c r="FD422" s="978"/>
      <c r="FE422" s="978"/>
      <c r="FF422" s="978"/>
      <c r="FG422" s="978"/>
      <c r="FH422" s="978"/>
      <c r="FI422" s="978"/>
      <c r="FJ422" s="978"/>
      <c r="FK422" s="978"/>
      <c r="FL422" s="978"/>
      <c r="FM422" s="978"/>
      <c r="FN422" s="978"/>
      <c r="FO422" s="978"/>
      <c r="FP422" s="978"/>
      <c r="FQ422" s="978"/>
      <c r="FR422" s="978"/>
      <c r="FS422" s="978"/>
      <c r="FT422" s="978"/>
      <c r="FU422" s="978"/>
      <c r="FV422" s="978"/>
      <c r="FW422" s="978"/>
      <c r="FX422" s="978"/>
      <c r="FY422" s="978"/>
      <c r="FZ422" s="978"/>
      <c r="GA422" s="978"/>
      <c r="GB422" s="978"/>
      <c r="GC422" s="978"/>
      <c r="GD422" s="978"/>
      <c r="GE422" s="978"/>
      <c r="GF422" s="978"/>
      <c r="GG422" s="978"/>
      <c r="GH422" s="978"/>
      <c r="GI422" s="978"/>
      <c r="GJ422" s="978"/>
      <c r="GK422" s="978"/>
      <c r="GL422" s="978"/>
      <c r="GM422" s="978"/>
      <c r="GN422" s="978"/>
      <c r="GO422" s="978"/>
      <c r="GP422" s="978"/>
      <c r="GQ422" s="978"/>
      <c r="GR422" s="978"/>
      <c r="GS422" s="978"/>
      <c r="GT422" s="978"/>
      <c r="GU422" s="978"/>
      <c r="GV422" s="978"/>
      <c r="GW422" s="978"/>
      <c r="GX422" s="978"/>
      <c r="GY422" s="978"/>
      <c r="GZ422" s="978"/>
      <c r="HA422" s="978"/>
      <c r="HB422" s="978"/>
      <c r="HC422" s="978"/>
      <c r="HD422" s="978"/>
      <c r="HE422" s="978"/>
      <c r="HF422" s="978"/>
      <c r="HG422" s="978"/>
      <c r="HH422" s="978"/>
      <c r="HI422" s="978"/>
      <c r="HJ422" s="978"/>
      <c r="HK422" s="978"/>
      <c r="HL422" s="978"/>
      <c r="HM422" s="978"/>
      <c r="HN422" s="978"/>
      <c r="HO422" s="978"/>
      <c r="HP422" s="978"/>
      <c r="HQ422" s="978"/>
      <c r="HR422" s="978"/>
      <c r="HS422" s="978"/>
      <c r="HT422" s="978"/>
      <c r="HU422" s="978"/>
      <c r="HV422" s="978"/>
      <c r="HW422" s="978"/>
      <c r="HX422" s="978"/>
      <c r="HY422" s="978"/>
      <c r="HZ422" s="978"/>
      <c r="IA422" s="978"/>
      <c r="IB422" s="978"/>
      <c r="IC422" s="978"/>
      <c r="ID422" s="978"/>
      <c r="IE422" s="978"/>
      <c r="IF422" s="978"/>
      <c r="IG422" s="978"/>
      <c r="IH422" s="978"/>
      <c r="II422" s="978"/>
      <c r="IJ422" s="978"/>
      <c r="IK422" s="978"/>
      <c r="IL422" s="978"/>
      <c r="IM422" s="978"/>
      <c r="IN422" s="978"/>
      <c r="IO422" s="978"/>
      <c r="IP422" s="978"/>
      <c r="IQ422" s="978"/>
      <c r="IR422" s="978"/>
      <c r="IS422" s="978"/>
      <c r="IT422" s="978"/>
      <c r="IU422" s="978"/>
      <c r="IV422" s="978"/>
      <c r="IW422" s="978"/>
      <c r="IX422" s="978"/>
      <c r="IY422" s="978"/>
      <c r="IZ422" s="978"/>
      <c r="JA422" s="978"/>
      <c r="JB422" s="978"/>
      <c r="JC422" s="978"/>
      <c r="JD422" s="978"/>
      <c r="JE422" s="978"/>
      <c r="JF422" s="978"/>
      <c r="JG422" s="978"/>
      <c r="JH422" s="978"/>
      <c r="JI422" s="978"/>
      <c r="JJ422" s="978"/>
      <c r="JK422" s="978"/>
      <c r="JL422" s="978"/>
      <c r="JM422" s="978"/>
      <c r="JN422" s="978"/>
      <c r="JO422" s="978"/>
      <c r="JP422" s="978"/>
      <c r="JQ422" s="978"/>
      <c r="JR422" s="978"/>
      <c r="JS422" s="978"/>
      <c r="JT422" s="978"/>
      <c r="JU422" s="978"/>
      <c r="JV422" s="978"/>
      <c r="JW422" s="978"/>
      <c r="JX422" s="978"/>
      <c r="JY422" s="978"/>
      <c r="JZ422" s="978"/>
      <c r="KA422" s="978"/>
      <c r="KB422" s="978"/>
      <c r="KC422" s="978"/>
      <c r="KD422" s="978"/>
      <c r="KE422" s="978"/>
      <c r="KF422" s="978"/>
      <c r="KG422" s="978"/>
      <c r="KH422" s="978"/>
      <c r="KI422" s="978"/>
      <c r="KJ422" s="978"/>
      <c r="KK422" s="978"/>
      <c r="KL422" s="978"/>
      <c r="KM422" s="978"/>
      <c r="KN422" s="978"/>
      <c r="KO422" s="978"/>
      <c r="KP422" s="978"/>
      <c r="KQ422" s="978"/>
      <c r="KR422" s="978"/>
      <c r="KS422" s="978"/>
      <c r="KT422" s="978"/>
      <c r="KU422" s="978"/>
      <c r="KV422" s="978"/>
      <c r="KW422" s="978"/>
      <c r="KX422" s="978"/>
      <c r="KY422" s="978"/>
      <c r="KZ422" s="978"/>
      <c r="LA422" s="978"/>
      <c r="LB422" s="978"/>
      <c r="LC422" s="978"/>
      <c r="LD422" s="978"/>
      <c r="LE422" s="978"/>
      <c r="LF422" s="978"/>
      <c r="LG422" s="978"/>
      <c r="LH422" s="978"/>
      <c r="LI422" s="978"/>
      <c r="LJ422" s="978"/>
      <c r="LK422" s="978"/>
      <c r="LL422" s="978"/>
      <c r="LM422" s="978"/>
      <c r="LN422" s="978"/>
      <c r="LO422" s="978"/>
      <c r="LP422" s="978"/>
      <c r="LQ422" s="978"/>
      <c r="LR422" s="978"/>
      <c r="LS422" s="978"/>
      <c r="LT422" s="978"/>
      <c r="LU422" s="978"/>
      <c r="LV422" s="978"/>
      <c r="LW422" s="978"/>
      <c r="LX422" s="978"/>
      <c r="LY422" s="978"/>
      <c r="LZ422" s="978"/>
      <c r="MA422" s="978"/>
      <c r="MB422" s="978"/>
      <c r="MC422" s="978"/>
      <c r="MD422" s="978"/>
      <c r="ME422" s="978"/>
      <c r="MF422" s="978"/>
      <c r="MG422" s="978"/>
      <c r="MH422" s="978"/>
      <c r="MI422" s="978"/>
      <c r="MJ422" s="978"/>
      <c r="MK422" s="978"/>
      <c r="ML422" s="978"/>
      <c r="MM422" s="978"/>
      <c r="MN422" s="978"/>
      <c r="MO422" s="978"/>
      <c r="MP422" s="978"/>
      <c r="MQ422" s="978"/>
      <c r="MR422" s="978"/>
      <c r="MS422" s="978"/>
      <c r="MT422" s="978"/>
      <c r="MU422" s="978"/>
      <c r="MV422" s="978"/>
      <c r="MW422" s="978"/>
      <c r="MX422" s="978"/>
      <c r="MY422" s="978"/>
      <c r="MZ422" s="978"/>
      <c r="NA422" s="978"/>
      <c r="NB422" s="978"/>
      <c r="NC422" s="978"/>
      <c r="ND422" s="978"/>
      <c r="NE422" s="978"/>
      <c r="NF422" s="978"/>
      <c r="NG422" s="978"/>
      <c r="NH422" s="978"/>
      <c r="NI422" s="978"/>
      <c r="NJ422" s="978"/>
      <c r="NK422" s="978"/>
      <c r="NL422" s="978"/>
      <c r="NM422" s="978"/>
      <c r="NN422" s="978"/>
      <c r="NO422" s="978"/>
      <c r="NP422" s="978"/>
      <c r="NQ422" s="978"/>
      <c r="NR422" s="978"/>
      <c r="NS422" s="978"/>
      <c r="NT422" s="978"/>
      <c r="NU422" s="978"/>
      <c r="NV422" s="978"/>
      <c r="NW422" s="978"/>
      <c r="NX422" s="978"/>
      <c r="NY422" s="978"/>
      <c r="NZ422" s="978"/>
      <c r="OA422" s="978"/>
      <c r="OB422" s="978"/>
      <c r="OC422" s="978"/>
      <c r="OD422" s="978"/>
      <c r="OE422" s="978"/>
      <c r="OF422" s="978"/>
      <c r="OG422" s="978"/>
      <c r="OH422" s="978"/>
      <c r="OI422" s="978"/>
      <c r="OJ422" s="978"/>
      <c r="OK422" s="978"/>
      <c r="OL422" s="978"/>
      <c r="OM422" s="978"/>
      <c r="ON422" s="978"/>
      <c r="OO422" s="978"/>
      <c r="OP422" s="978"/>
      <c r="OQ422" s="978"/>
      <c r="OR422" s="978"/>
      <c r="OS422" s="978"/>
      <c r="OT422" s="978"/>
      <c r="OU422" s="978"/>
      <c r="OV422" s="978"/>
      <c r="OW422" s="978"/>
      <c r="OX422" s="978"/>
      <c r="OY422" s="978"/>
      <c r="OZ422" s="978"/>
      <c r="PA422" s="978"/>
      <c r="PB422" s="978"/>
      <c r="PC422" s="978"/>
      <c r="PD422" s="978"/>
      <c r="PE422" s="978"/>
      <c r="PF422" s="978"/>
      <c r="PG422" s="978"/>
      <c r="PH422" s="978"/>
      <c r="PI422" s="978"/>
      <c r="PJ422" s="978"/>
      <c r="PK422" s="978"/>
      <c r="PL422" s="978"/>
      <c r="PM422" s="978"/>
      <c r="PN422" s="978"/>
      <c r="PO422" s="978"/>
      <c r="PP422" s="978"/>
      <c r="PQ422" s="978"/>
      <c r="PR422" s="978"/>
      <c r="PS422" s="978"/>
      <c r="PT422" s="978"/>
      <c r="PU422" s="978"/>
      <c r="PV422" s="978"/>
      <c r="PW422" s="978"/>
      <c r="PX422" s="978"/>
      <c r="PY422" s="978"/>
      <c r="PZ422" s="978"/>
      <c r="QA422" s="978"/>
      <c r="QB422" s="978"/>
      <c r="QC422" s="978"/>
      <c r="QD422" s="978"/>
      <c r="QE422" s="978"/>
      <c r="QF422" s="978"/>
      <c r="QG422" s="978"/>
      <c r="QH422" s="978"/>
      <c r="QI422" s="978"/>
      <c r="QJ422" s="978"/>
      <c r="QK422" s="978"/>
      <c r="QL422" s="978"/>
      <c r="QM422" s="978"/>
      <c r="QN422" s="978"/>
      <c r="QO422" s="978"/>
      <c r="QP422" s="978"/>
      <c r="QQ422" s="978"/>
      <c r="QR422" s="978"/>
      <c r="QS422" s="978"/>
      <c r="QT422" s="978"/>
      <c r="QU422" s="978"/>
      <c r="QV422" s="978"/>
      <c r="QW422" s="978"/>
      <c r="QX422" s="978"/>
      <c r="QY422" s="978"/>
      <c r="QZ422" s="978"/>
      <c r="RA422" s="978"/>
      <c r="RB422" s="274"/>
      <c r="RC422" s="274"/>
    </row>
    <row r="423" spans="112:471" ht="17.25">
      <c r="DH423" s="274"/>
      <c r="DI423" s="274"/>
      <c r="DJ423" s="978"/>
      <c r="DK423" s="978"/>
      <c r="DL423" s="978"/>
      <c r="DM423" s="978"/>
      <c r="DN423" s="978"/>
      <c r="DO423" s="978"/>
      <c r="DP423" s="978"/>
      <c r="DQ423" s="978"/>
      <c r="DR423" s="978"/>
      <c r="DS423" s="978"/>
      <c r="DT423" s="978"/>
      <c r="DU423" s="978"/>
      <c r="DV423" s="978"/>
      <c r="DW423" s="978"/>
      <c r="DX423" s="978"/>
      <c r="DY423" s="978"/>
      <c r="DZ423" s="978"/>
      <c r="EA423" s="978"/>
      <c r="EB423" s="978"/>
      <c r="EC423" s="978"/>
      <c r="ED423" s="978"/>
      <c r="EE423" s="978"/>
      <c r="EF423" s="978"/>
      <c r="EG423" s="978"/>
      <c r="EH423" s="978"/>
      <c r="EI423" s="978"/>
      <c r="EJ423" s="978"/>
      <c r="EK423" s="978"/>
      <c r="EL423" s="978"/>
      <c r="EM423" s="978"/>
      <c r="EN423" s="978"/>
      <c r="EO423" s="978"/>
      <c r="EP423" s="978"/>
      <c r="EQ423" s="978"/>
      <c r="ER423" s="978"/>
      <c r="ES423" s="978"/>
      <c r="ET423" s="978"/>
      <c r="EU423" s="978"/>
      <c r="EV423" s="978"/>
      <c r="EW423" s="978"/>
      <c r="EX423" s="978"/>
      <c r="EY423" s="978"/>
      <c r="EZ423" s="978"/>
      <c r="FA423" s="978"/>
      <c r="FB423" s="978"/>
      <c r="FC423" s="978"/>
      <c r="FD423" s="978"/>
      <c r="FE423" s="978"/>
      <c r="FF423" s="978"/>
      <c r="FG423" s="978"/>
      <c r="FH423" s="978"/>
      <c r="FI423" s="978"/>
      <c r="FJ423" s="978"/>
      <c r="FK423" s="978"/>
      <c r="FL423" s="978"/>
      <c r="FM423" s="978"/>
      <c r="FN423" s="978"/>
      <c r="FO423" s="978"/>
      <c r="FP423" s="978"/>
      <c r="FQ423" s="978"/>
      <c r="FR423" s="978"/>
      <c r="FS423" s="978"/>
      <c r="FT423" s="978"/>
      <c r="FU423" s="978"/>
      <c r="FV423" s="978"/>
      <c r="FW423" s="978"/>
      <c r="FX423" s="978"/>
      <c r="FY423" s="978"/>
      <c r="FZ423" s="978"/>
      <c r="GA423" s="978"/>
      <c r="GB423" s="978"/>
      <c r="GC423" s="978"/>
      <c r="GD423" s="978"/>
      <c r="GE423" s="978"/>
      <c r="GF423" s="978"/>
      <c r="GG423" s="978"/>
      <c r="GH423" s="978"/>
      <c r="GI423" s="978"/>
      <c r="GJ423" s="978"/>
      <c r="GK423" s="978"/>
      <c r="GL423" s="978"/>
      <c r="GM423" s="978"/>
      <c r="GN423" s="978"/>
      <c r="GO423" s="978"/>
      <c r="GP423" s="978"/>
      <c r="GQ423" s="978"/>
      <c r="GR423" s="978"/>
      <c r="GS423" s="978"/>
      <c r="GT423" s="978"/>
      <c r="GU423" s="978"/>
      <c r="GV423" s="978"/>
      <c r="GW423" s="978"/>
      <c r="GX423" s="978"/>
      <c r="GY423" s="978"/>
      <c r="GZ423" s="978"/>
      <c r="HA423" s="978"/>
      <c r="HB423" s="978"/>
      <c r="HC423" s="978"/>
      <c r="HD423" s="978"/>
      <c r="HE423" s="978"/>
      <c r="HF423" s="978"/>
      <c r="HG423" s="978"/>
      <c r="HH423" s="978"/>
      <c r="HI423" s="978"/>
      <c r="HJ423" s="978"/>
      <c r="HK423" s="978"/>
      <c r="HL423" s="978"/>
      <c r="HM423" s="978"/>
      <c r="HN423" s="978"/>
      <c r="HO423" s="978"/>
      <c r="HP423" s="978"/>
      <c r="HQ423" s="978"/>
      <c r="HR423" s="978"/>
      <c r="HS423" s="978"/>
      <c r="HT423" s="978"/>
      <c r="HU423" s="978"/>
      <c r="HV423" s="978"/>
      <c r="HW423" s="978"/>
      <c r="HX423" s="978"/>
      <c r="HY423" s="978"/>
      <c r="HZ423" s="978"/>
      <c r="IA423" s="978"/>
      <c r="IB423" s="978"/>
      <c r="IC423" s="978"/>
      <c r="ID423" s="978"/>
      <c r="IE423" s="978"/>
      <c r="IF423" s="978"/>
      <c r="IG423" s="978"/>
      <c r="IH423" s="978"/>
      <c r="II423" s="978"/>
      <c r="IJ423" s="978"/>
      <c r="IK423" s="978"/>
      <c r="IL423" s="978"/>
      <c r="IM423" s="978"/>
      <c r="IN423" s="978"/>
      <c r="IO423" s="978"/>
      <c r="IP423" s="978"/>
      <c r="IQ423" s="978"/>
      <c r="IR423" s="978"/>
      <c r="IS423" s="978"/>
      <c r="IT423" s="978"/>
      <c r="IU423" s="978"/>
      <c r="IV423" s="978"/>
      <c r="IW423" s="978"/>
      <c r="IX423" s="978"/>
      <c r="IY423" s="978"/>
      <c r="IZ423" s="978"/>
      <c r="JA423" s="978"/>
      <c r="JB423" s="978"/>
      <c r="JC423" s="978"/>
      <c r="JD423" s="978"/>
      <c r="JE423" s="978"/>
      <c r="JF423" s="978"/>
      <c r="JG423" s="978"/>
      <c r="JH423" s="978"/>
      <c r="JI423" s="978"/>
      <c r="JJ423" s="978"/>
      <c r="JK423" s="978"/>
      <c r="JL423" s="978"/>
      <c r="JM423" s="978"/>
      <c r="JN423" s="978"/>
      <c r="JO423" s="978"/>
      <c r="JP423" s="978"/>
      <c r="JQ423" s="978"/>
      <c r="JR423" s="978"/>
      <c r="JS423" s="978"/>
      <c r="JT423" s="978"/>
      <c r="JU423" s="978"/>
      <c r="JV423" s="978"/>
      <c r="JW423" s="978"/>
      <c r="JX423" s="978"/>
      <c r="JY423" s="978"/>
      <c r="JZ423" s="978"/>
      <c r="KA423" s="978"/>
      <c r="KB423" s="978"/>
      <c r="KC423" s="978"/>
      <c r="KD423" s="978"/>
      <c r="KE423" s="978"/>
      <c r="KF423" s="978"/>
      <c r="KG423" s="978"/>
      <c r="KH423" s="978"/>
      <c r="KI423" s="978"/>
      <c r="KJ423" s="978"/>
      <c r="KK423" s="978"/>
      <c r="KL423" s="978"/>
      <c r="KM423" s="978"/>
      <c r="KN423" s="978"/>
      <c r="KO423" s="978"/>
      <c r="KP423" s="978"/>
      <c r="KQ423" s="978"/>
      <c r="KR423" s="978"/>
      <c r="KS423" s="978"/>
      <c r="KT423" s="978"/>
      <c r="KU423" s="978"/>
      <c r="KV423" s="978"/>
      <c r="KW423" s="978"/>
      <c r="KX423" s="978"/>
      <c r="KY423" s="978"/>
      <c r="KZ423" s="978"/>
      <c r="LA423" s="978"/>
      <c r="LB423" s="978"/>
      <c r="LC423" s="978"/>
      <c r="LD423" s="978"/>
      <c r="LE423" s="978"/>
      <c r="LF423" s="978"/>
      <c r="LG423" s="978"/>
      <c r="LH423" s="978"/>
      <c r="LI423" s="978"/>
      <c r="LJ423" s="978"/>
      <c r="LK423" s="978"/>
      <c r="LL423" s="978"/>
      <c r="LM423" s="978"/>
      <c r="LN423" s="978"/>
      <c r="LO423" s="978"/>
      <c r="LP423" s="978"/>
      <c r="LQ423" s="978"/>
      <c r="LR423" s="978"/>
      <c r="LS423" s="978"/>
      <c r="LT423" s="978"/>
      <c r="LU423" s="978"/>
      <c r="LV423" s="978"/>
      <c r="LW423" s="978"/>
      <c r="LX423" s="978"/>
      <c r="LY423" s="978"/>
      <c r="LZ423" s="978"/>
      <c r="MA423" s="978"/>
      <c r="MB423" s="978"/>
      <c r="MC423" s="978"/>
      <c r="MD423" s="978"/>
      <c r="ME423" s="978"/>
      <c r="MF423" s="978"/>
      <c r="MG423" s="978"/>
      <c r="MH423" s="978"/>
      <c r="MI423" s="978"/>
      <c r="MJ423" s="978"/>
      <c r="MK423" s="978"/>
      <c r="ML423" s="978"/>
      <c r="MM423" s="978"/>
      <c r="MN423" s="978"/>
      <c r="MO423" s="978"/>
      <c r="MP423" s="978"/>
      <c r="MQ423" s="978"/>
      <c r="MR423" s="978"/>
      <c r="MS423" s="978"/>
      <c r="MT423" s="978"/>
      <c r="MU423" s="978"/>
      <c r="MV423" s="978"/>
      <c r="MW423" s="978"/>
      <c r="MX423" s="978"/>
      <c r="MY423" s="978"/>
      <c r="MZ423" s="978"/>
      <c r="NA423" s="978"/>
      <c r="NB423" s="978"/>
      <c r="NC423" s="978"/>
      <c r="ND423" s="978"/>
      <c r="NE423" s="978"/>
      <c r="NF423" s="978"/>
      <c r="NG423" s="978"/>
      <c r="NH423" s="978"/>
      <c r="NI423" s="978"/>
      <c r="NJ423" s="978"/>
      <c r="NK423" s="978"/>
      <c r="NL423" s="978"/>
      <c r="NM423" s="978"/>
      <c r="NN423" s="978"/>
      <c r="NO423" s="978"/>
      <c r="NP423" s="978"/>
      <c r="NQ423" s="978"/>
      <c r="NR423" s="978"/>
      <c r="NS423" s="978"/>
      <c r="NT423" s="978"/>
      <c r="NU423" s="978"/>
      <c r="NV423" s="978"/>
      <c r="NW423" s="978"/>
      <c r="NX423" s="978"/>
      <c r="NY423" s="978"/>
      <c r="NZ423" s="978"/>
      <c r="OA423" s="978"/>
      <c r="OB423" s="978"/>
      <c r="OC423" s="978"/>
      <c r="OD423" s="978"/>
      <c r="OE423" s="978"/>
      <c r="OF423" s="978"/>
      <c r="OG423" s="978"/>
      <c r="OH423" s="978"/>
      <c r="OI423" s="978"/>
      <c r="OJ423" s="978"/>
      <c r="OK423" s="978"/>
      <c r="OL423" s="978"/>
      <c r="OM423" s="978"/>
      <c r="ON423" s="978"/>
      <c r="OO423" s="978"/>
      <c r="OP423" s="978"/>
      <c r="OQ423" s="978"/>
      <c r="OR423" s="978"/>
      <c r="OS423" s="978"/>
      <c r="OT423" s="978"/>
      <c r="OU423" s="978"/>
      <c r="OV423" s="978"/>
      <c r="OW423" s="978"/>
      <c r="OX423" s="978"/>
      <c r="OY423" s="978"/>
      <c r="OZ423" s="978"/>
      <c r="PA423" s="978"/>
      <c r="PB423" s="978"/>
      <c r="PC423" s="978"/>
      <c r="PD423" s="978"/>
      <c r="PE423" s="978"/>
      <c r="PF423" s="978"/>
      <c r="PG423" s="978"/>
      <c r="PH423" s="978"/>
      <c r="PI423" s="978"/>
      <c r="PJ423" s="978"/>
      <c r="PK423" s="978"/>
      <c r="PL423" s="978"/>
      <c r="PM423" s="978"/>
      <c r="PN423" s="978"/>
      <c r="PO423" s="978"/>
      <c r="PP423" s="978"/>
      <c r="PQ423" s="978"/>
      <c r="PR423" s="978"/>
      <c r="PS423" s="978"/>
      <c r="PT423" s="978"/>
      <c r="PU423" s="978"/>
      <c r="PV423" s="978"/>
      <c r="PW423" s="978"/>
      <c r="PX423" s="978"/>
      <c r="PY423" s="978"/>
      <c r="PZ423" s="978"/>
      <c r="QA423" s="978"/>
      <c r="QB423" s="978"/>
      <c r="QC423" s="978"/>
      <c r="QD423" s="978"/>
      <c r="QE423" s="978"/>
      <c r="QF423" s="978"/>
      <c r="QG423" s="978"/>
      <c r="QH423" s="978"/>
      <c r="QI423" s="978"/>
      <c r="QJ423" s="978"/>
      <c r="QK423" s="978"/>
      <c r="QL423" s="978"/>
      <c r="QM423" s="978"/>
      <c r="QN423" s="978"/>
      <c r="QO423" s="978"/>
      <c r="QP423" s="978"/>
      <c r="QQ423" s="978"/>
      <c r="QR423" s="978"/>
      <c r="QS423" s="978"/>
      <c r="QT423" s="978"/>
      <c r="QU423" s="978"/>
      <c r="QV423" s="978"/>
      <c r="QW423" s="978"/>
      <c r="QX423" s="978"/>
      <c r="QY423" s="978"/>
      <c r="QZ423" s="978"/>
      <c r="RA423" s="978"/>
      <c r="RB423" s="274"/>
      <c r="RC423" s="274"/>
    </row>
    <row r="424" spans="112:471" ht="17.25">
      <c r="DH424" s="274"/>
      <c r="DI424" s="274"/>
      <c r="DJ424" s="978"/>
      <c r="DK424" s="978"/>
      <c r="DL424" s="978"/>
      <c r="DM424" s="978"/>
      <c r="DN424" s="978"/>
      <c r="DO424" s="978"/>
      <c r="DP424" s="978"/>
      <c r="DQ424" s="978"/>
      <c r="DR424" s="978"/>
      <c r="DS424" s="978"/>
      <c r="DT424" s="978"/>
      <c r="DU424" s="978"/>
      <c r="DV424" s="978"/>
      <c r="DW424" s="978"/>
      <c r="DX424" s="978"/>
      <c r="DY424" s="978"/>
      <c r="DZ424" s="978"/>
      <c r="EA424" s="978"/>
      <c r="EB424" s="978"/>
      <c r="EC424" s="978"/>
      <c r="ED424" s="978"/>
      <c r="EE424" s="978"/>
      <c r="EF424" s="978"/>
      <c r="EG424" s="978"/>
      <c r="EH424" s="978"/>
      <c r="EI424" s="978"/>
      <c r="EJ424" s="978"/>
      <c r="EK424" s="978"/>
      <c r="EL424" s="978"/>
      <c r="EM424" s="978"/>
      <c r="EN424" s="978"/>
      <c r="EO424" s="978"/>
      <c r="EP424" s="978"/>
      <c r="EQ424" s="978"/>
      <c r="ER424" s="978"/>
      <c r="ES424" s="978"/>
      <c r="ET424" s="978"/>
      <c r="EU424" s="978"/>
      <c r="EV424" s="978"/>
      <c r="EW424" s="978"/>
      <c r="EX424" s="978"/>
      <c r="EY424" s="978"/>
      <c r="EZ424" s="978"/>
      <c r="FA424" s="978"/>
      <c r="FB424" s="978"/>
      <c r="FC424" s="978"/>
      <c r="FD424" s="978"/>
      <c r="FE424" s="978"/>
      <c r="FF424" s="978"/>
      <c r="FG424" s="978"/>
      <c r="FH424" s="978"/>
      <c r="FI424" s="978"/>
      <c r="FJ424" s="978"/>
      <c r="FK424" s="978"/>
      <c r="FL424" s="978"/>
      <c r="FM424" s="978"/>
      <c r="FN424" s="978"/>
      <c r="FO424" s="978"/>
      <c r="FP424" s="978"/>
      <c r="FQ424" s="978"/>
      <c r="FR424" s="978"/>
      <c r="FS424" s="978"/>
      <c r="FT424" s="978"/>
      <c r="FU424" s="978"/>
      <c r="FV424" s="978"/>
      <c r="FW424" s="978"/>
      <c r="FX424" s="978"/>
      <c r="FY424" s="978"/>
      <c r="FZ424" s="978"/>
      <c r="GA424" s="978"/>
      <c r="GB424" s="978"/>
      <c r="GC424" s="978"/>
      <c r="GD424" s="978"/>
      <c r="GE424" s="978"/>
      <c r="GF424" s="978"/>
      <c r="GG424" s="978"/>
      <c r="GH424" s="978"/>
      <c r="GI424" s="978"/>
      <c r="GJ424" s="978"/>
      <c r="GK424" s="978"/>
      <c r="GL424" s="978"/>
      <c r="GM424" s="978"/>
      <c r="GN424" s="978"/>
      <c r="GO424" s="978"/>
      <c r="GP424" s="978"/>
      <c r="GQ424" s="978"/>
      <c r="GR424" s="978"/>
      <c r="GS424" s="978"/>
      <c r="GT424" s="978"/>
      <c r="GU424" s="978"/>
      <c r="GV424" s="978"/>
      <c r="GW424" s="978"/>
      <c r="GX424" s="978"/>
      <c r="GY424" s="978"/>
      <c r="GZ424" s="978"/>
      <c r="HA424" s="978"/>
      <c r="HB424" s="978"/>
      <c r="HC424" s="978"/>
      <c r="HD424" s="978"/>
      <c r="HE424" s="978"/>
      <c r="HF424" s="978"/>
      <c r="HG424" s="978"/>
      <c r="HH424" s="978"/>
      <c r="HI424" s="978"/>
      <c r="HJ424" s="978"/>
      <c r="HK424" s="978"/>
      <c r="HL424" s="978"/>
      <c r="HM424" s="978"/>
      <c r="HN424" s="978"/>
      <c r="HO424" s="978"/>
      <c r="HP424" s="978"/>
      <c r="HQ424" s="978"/>
      <c r="HR424" s="978"/>
      <c r="HS424" s="978"/>
      <c r="HT424" s="978"/>
      <c r="HU424" s="978"/>
      <c r="HV424" s="978"/>
      <c r="HW424" s="978"/>
      <c r="HX424" s="978"/>
      <c r="HY424" s="978"/>
      <c r="HZ424" s="978"/>
      <c r="IA424" s="978"/>
      <c r="IB424" s="978"/>
      <c r="IC424" s="978"/>
      <c r="ID424" s="978"/>
      <c r="IE424" s="978"/>
      <c r="IF424" s="978"/>
      <c r="IG424" s="978"/>
      <c r="IH424" s="978"/>
      <c r="II424" s="978"/>
      <c r="IJ424" s="978"/>
      <c r="IK424" s="978"/>
      <c r="IL424" s="978"/>
      <c r="IM424" s="978"/>
      <c r="IN424" s="978"/>
      <c r="IO424" s="978"/>
      <c r="IP424" s="978"/>
      <c r="IQ424" s="978"/>
      <c r="IR424" s="978"/>
      <c r="IS424" s="978"/>
      <c r="IT424" s="978"/>
      <c r="IU424" s="978"/>
      <c r="IV424" s="978"/>
      <c r="IW424" s="978"/>
      <c r="IX424" s="978"/>
      <c r="IY424" s="978"/>
      <c r="IZ424" s="978"/>
      <c r="JA424" s="978"/>
      <c r="JB424" s="978"/>
      <c r="JC424" s="978"/>
      <c r="JD424" s="978"/>
      <c r="JE424" s="978"/>
      <c r="JF424" s="978"/>
      <c r="JG424" s="978"/>
      <c r="JH424" s="978"/>
      <c r="JI424" s="978"/>
      <c r="JJ424" s="978"/>
      <c r="JK424" s="978"/>
      <c r="JL424" s="978"/>
      <c r="JM424" s="978"/>
      <c r="JN424" s="978"/>
      <c r="JO424" s="978"/>
      <c r="JP424" s="978"/>
      <c r="JQ424" s="978"/>
      <c r="JR424" s="978"/>
      <c r="JS424" s="978"/>
      <c r="JT424" s="978"/>
      <c r="JU424" s="978"/>
      <c r="JV424" s="978"/>
      <c r="JW424" s="978"/>
      <c r="JX424" s="978"/>
      <c r="JY424" s="978"/>
      <c r="JZ424" s="978"/>
      <c r="KA424" s="978"/>
      <c r="KB424" s="978"/>
      <c r="KC424" s="978"/>
      <c r="KD424" s="978"/>
      <c r="KE424" s="978"/>
      <c r="KF424" s="978"/>
      <c r="KG424" s="978"/>
      <c r="KH424" s="978"/>
      <c r="KI424" s="978"/>
      <c r="KJ424" s="978"/>
      <c r="KK424" s="978"/>
      <c r="KL424" s="978"/>
      <c r="KM424" s="978"/>
      <c r="KN424" s="978"/>
      <c r="KO424" s="978"/>
      <c r="KP424" s="978"/>
      <c r="KQ424" s="978"/>
      <c r="KR424" s="978"/>
      <c r="KS424" s="978"/>
      <c r="KT424" s="978"/>
      <c r="KU424" s="978"/>
      <c r="KV424" s="978"/>
      <c r="KW424" s="978"/>
      <c r="KX424" s="978"/>
      <c r="KY424" s="978"/>
      <c r="KZ424" s="978"/>
      <c r="LA424" s="978"/>
      <c r="LB424" s="978"/>
      <c r="LC424" s="978"/>
      <c r="LD424" s="978"/>
      <c r="LE424" s="978"/>
      <c r="LF424" s="978"/>
      <c r="LG424" s="978"/>
      <c r="LH424" s="978"/>
      <c r="LI424" s="978"/>
      <c r="LJ424" s="978"/>
      <c r="LK424" s="978"/>
      <c r="LL424" s="978"/>
      <c r="LM424" s="978"/>
      <c r="LN424" s="978"/>
      <c r="LO424" s="978"/>
      <c r="LP424" s="978"/>
      <c r="LQ424" s="978"/>
      <c r="LR424" s="978"/>
      <c r="LS424" s="978"/>
      <c r="LT424" s="978"/>
      <c r="LU424" s="978"/>
      <c r="LV424" s="978"/>
      <c r="LW424" s="978"/>
      <c r="LX424" s="978"/>
      <c r="LY424" s="978"/>
      <c r="LZ424" s="978"/>
      <c r="MA424" s="978"/>
      <c r="MB424" s="978"/>
      <c r="MC424" s="978"/>
      <c r="MD424" s="978"/>
      <c r="ME424" s="978"/>
      <c r="MF424" s="978"/>
      <c r="MG424" s="978"/>
      <c r="MH424" s="978"/>
      <c r="MI424" s="978"/>
      <c r="MJ424" s="978"/>
      <c r="MK424" s="978"/>
      <c r="ML424" s="978"/>
      <c r="MM424" s="978"/>
      <c r="MN424" s="978"/>
      <c r="MO424" s="978"/>
      <c r="MP424" s="978"/>
      <c r="MQ424" s="978"/>
      <c r="MR424" s="978"/>
      <c r="MS424" s="978"/>
      <c r="MT424" s="978"/>
      <c r="MU424" s="978"/>
      <c r="MV424" s="978"/>
      <c r="MW424" s="978"/>
      <c r="MX424" s="978"/>
      <c r="MY424" s="978"/>
      <c r="MZ424" s="978"/>
      <c r="NA424" s="978"/>
      <c r="NB424" s="978"/>
      <c r="NC424" s="978"/>
      <c r="ND424" s="978"/>
      <c r="NE424" s="978"/>
      <c r="NF424" s="978"/>
      <c r="NG424" s="978"/>
      <c r="NH424" s="978"/>
      <c r="NI424" s="978"/>
      <c r="NJ424" s="978"/>
      <c r="NK424" s="978"/>
      <c r="NL424" s="978"/>
      <c r="NM424" s="978"/>
      <c r="NN424" s="978"/>
      <c r="NO424" s="978"/>
      <c r="NP424" s="978"/>
      <c r="NQ424" s="978"/>
      <c r="NR424" s="978"/>
      <c r="NS424" s="978"/>
      <c r="NT424" s="978"/>
      <c r="NU424" s="978"/>
      <c r="NV424" s="978"/>
      <c r="NW424" s="978"/>
      <c r="NX424" s="978"/>
      <c r="NY424" s="978"/>
      <c r="NZ424" s="978"/>
      <c r="OA424" s="978"/>
      <c r="OB424" s="978"/>
      <c r="OC424" s="978"/>
      <c r="OD424" s="978"/>
      <c r="OE424" s="978"/>
      <c r="OF424" s="978"/>
      <c r="OG424" s="978"/>
      <c r="OH424" s="978"/>
      <c r="OI424" s="978"/>
      <c r="OJ424" s="978"/>
      <c r="OK424" s="978"/>
      <c r="OL424" s="978"/>
      <c r="OM424" s="978"/>
      <c r="ON424" s="978"/>
      <c r="OO424" s="978"/>
      <c r="OP424" s="978"/>
      <c r="OQ424" s="978"/>
      <c r="OR424" s="978"/>
      <c r="OS424" s="978"/>
      <c r="OT424" s="978"/>
      <c r="OU424" s="978"/>
      <c r="OV424" s="978"/>
      <c r="OW424" s="978"/>
      <c r="OX424" s="978"/>
      <c r="OY424" s="978"/>
      <c r="OZ424" s="978"/>
      <c r="PA424" s="978"/>
      <c r="PB424" s="978"/>
      <c r="PC424" s="978"/>
      <c r="PD424" s="978"/>
      <c r="PE424" s="978"/>
      <c r="PF424" s="978"/>
      <c r="PG424" s="978"/>
      <c r="PH424" s="978"/>
      <c r="PI424" s="978"/>
      <c r="PJ424" s="978"/>
      <c r="PK424" s="978"/>
      <c r="PL424" s="978"/>
      <c r="PM424" s="978"/>
      <c r="PN424" s="978"/>
      <c r="PO424" s="978"/>
      <c r="PP424" s="978"/>
      <c r="PQ424" s="978"/>
      <c r="PR424" s="978"/>
      <c r="PS424" s="978"/>
      <c r="PT424" s="978"/>
      <c r="PU424" s="978"/>
      <c r="PV424" s="978"/>
      <c r="PW424" s="978"/>
      <c r="PX424" s="978"/>
      <c r="PY424" s="978"/>
      <c r="PZ424" s="978"/>
      <c r="QA424" s="978"/>
      <c r="QB424" s="978"/>
      <c r="QC424" s="978"/>
      <c r="QD424" s="978"/>
      <c r="QE424" s="978"/>
      <c r="QF424" s="978"/>
      <c r="QG424" s="978"/>
      <c r="QH424" s="978"/>
      <c r="QI424" s="978"/>
      <c r="QJ424" s="978"/>
      <c r="QK424" s="978"/>
      <c r="QL424" s="978"/>
      <c r="QM424" s="978"/>
      <c r="QN424" s="978"/>
      <c r="QO424" s="978"/>
      <c r="QP424" s="978"/>
      <c r="QQ424" s="978"/>
      <c r="QR424" s="978"/>
      <c r="QS424" s="978"/>
      <c r="QT424" s="978"/>
      <c r="QU424" s="978"/>
      <c r="QV424" s="978"/>
      <c r="QW424" s="978"/>
      <c r="QX424" s="978"/>
      <c r="QY424" s="978"/>
      <c r="QZ424" s="978"/>
      <c r="RA424" s="978"/>
      <c r="RB424" s="274"/>
      <c r="RC424" s="274"/>
    </row>
    <row r="425" spans="112:471" ht="17.25">
      <c r="DH425" s="274"/>
      <c r="DI425" s="274"/>
      <c r="DJ425" s="978"/>
      <c r="DK425" s="978"/>
      <c r="DL425" s="978"/>
      <c r="DM425" s="978"/>
      <c r="DN425" s="978"/>
      <c r="DO425" s="978"/>
      <c r="DP425" s="978"/>
      <c r="DQ425" s="978"/>
      <c r="DR425" s="978"/>
      <c r="DS425" s="978"/>
      <c r="DT425" s="978"/>
      <c r="DU425" s="978"/>
      <c r="DV425" s="978"/>
      <c r="DW425" s="978"/>
      <c r="DX425" s="978"/>
      <c r="DY425" s="978"/>
      <c r="DZ425" s="978"/>
      <c r="EA425" s="978"/>
      <c r="EB425" s="978"/>
      <c r="EC425" s="978"/>
      <c r="ED425" s="978"/>
      <c r="EE425" s="978"/>
      <c r="EF425" s="978"/>
      <c r="EG425" s="978"/>
      <c r="EH425" s="978"/>
      <c r="EI425" s="978"/>
      <c r="EJ425" s="978"/>
      <c r="EK425" s="978"/>
      <c r="EL425" s="978"/>
      <c r="EM425" s="978"/>
      <c r="EN425" s="978"/>
      <c r="EO425" s="978"/>
      <c r="EP425" s="978"/>
      <c r="EQ425" s="978"/>
      <c r="ER425" s="978"/>
      <c r="ES425" s="978"/>
      <c r="ET425" s="978"/>
      <c r="EU425" s="978"/>
      <c r="EV425" s="978"/>
      <c r="EW425" s="978"/>
      <c r="EX425" s="978"/>
      <c r="EY425" s="978"/>
      <c r="EZ425" s="978"/>
      <c r="FA425" s="978"/>
      <c r="FB425" s="978"/>
      <c r="FC425" s="978"/>
      <c r="FD425" s="978"/>
      <c r="FE425" s="978"/>
      <c r="FF425" s="978"/>
      <c r="FG425" s="978"/>
      <c r="FH425" s="978"/>
      <c r="FI425" s="978"/>
      <c r="FJ425" s="978"/>
      <c r="FK425" s="978"/>
      <c r="FL425" s="978"/>
      <c r="FM425" s="978"/>
      <c r="FN425" s="978"/>
      <c r="FO425" s="978"/>
      <c r="FP425" s="978"/>
      <c r="FQ425" s="978"/>
      <c r="FR425" s="978"/>
      <c r="FS425" s="978"/>
      <c r="FT425" s="978"/>
      <c r="FU425" s="978"/>
      <c r="FV425" s="978"/>
      <c r="FW425" s="978"/>
      <c r="FX425" s="978"/>
      <c r="FY425" s="978"/>
      <c r="FZ425" s="978"/>
      <c r="GA425" s="978"/>
      <c r="GB425" s="978"/>
      <c r="GC425" s="978"/>
      <c r="GD425" s="978"/>
      <c r="GE425" s="978"/>
      <c r="GF425" s="978"/>
      <c r="GG425" s="978"/>
      <c r="GH425" s="978"/>
      <c r="GI425" s="978"/>
      <c r="GJ425" s="978"/>
      <c r="GK425" s="978"/>
      <c r="GL425" s="978"/>
      <c r="GM425" s="978"/>
      <c r="GN425" s="978"/>
      <c r="GO425" s="978"/>
      <c r="GP425" s="978"/>
      <c r="GQ425" s="978"/>
      <c r="GR425" s="978"/>
      <c r="GS425" s="978"/>
      <c r="GT425" s="978"/>
      <c r="GU425" s="978"/>
      <c r="GV425" s="978"/>
      <c r="GW425" s="978"/>
      <c r="GX425" s="978"/>
      <c r="GY425" s="978"/>
      <c r="GZ425" s="978"/>
      <c r="HA425" s="978"/>
      <c r="HB425" s="978"/>
      <c r="HC425" s="978"/>
      <c r="HD425" s="978"/>
      <c r="HE425" s="978"/>
      <c r="HF425" s="978"/>
      <c r="HG425" s="978"/>
      <c r="HH425" s="978"/>
      <c r="HI425" s="978"/>
      <c r="HJ425" s="978"/>
      <c r="HK425" s="978"/>
      <c r="HL425" s="978"/>
      <c r="HM425" s="978"/>
      <c r="HN425" s="978"/>
      <c r="HO425" s="978"/>
      <c r="HP425" s="978"/>
      <c r="HQ425" s="978"/>
      <c r="HR425" s="978"/>
      <c r="HS425" s="978"/>
      <c r="HT425" s="978"/>
      <c r="HU425" s="978"/>
      <c r="HV425" s="978"/>
      <c r="HW425" s="978"/>
      <c r="HX425" s="978"/>
      <c r="HY425" s="978"/>
      <c r="HZ425" s="978"/>
      <c r="IA425" s="978"/>
      <c r="IB425" s="978"/>
      <c r="IC425" s="978"/>
      <c r="ID425" s="978"/>
      <c r="IE425" s="978"/>
      <c r="IF425" s="978"/>
      <c r="IG425" s="978"/>
      <c r="IH425" s="978"/>
      <c r="II425" s="978"/>
      <c r="IJ425" s="978"/>
      <c r="IK425" s="978"/>
      <c r="IL425" s="978"/>
      <c r="IM425" s="978"/>
      <c r="IN425" s="978"/>
      <c r="IO425" s="978"/>
      <c r="IP425" s="978"/>
      <c r="IQ425" s="978"/>
      <c r="IR425" s="978"/>
      <c r="IS425" s="978"/>
      <c r="IT425" s="978"/>
      <c r="IU425" s="978"/>
      <c r="IV425" s="978"/>
      <c r="IW425" s="978"/>
      <c r="IX425" s="978"/>
      <c r="IY425" s="978"/>
      <c r="IZ425" s="978"/>
      <c r="JA425" s="978"/>
      <c r="JB425" s="978"/>
      <c r="JC425" s="978"/>
      <c r="JD425" s="978"/>
      <c r="JE425" s="978"/>
      <c r="JF425" s="978"/>
      <c r="JG425" s="978"/>
      <c r="JH425" s="978"/>
      <c r="JI425" s="978"/>
      <c r="JJ425" s="978"/>
      <c r="JK425" s="978"/>
      <c r="JL425" s="978"/>
      <c r="JM425" s="978"/>
      <c r="JN425" s="978"/>
      <c r="JO425" s="978"/>
      <c r="JP425" s="978"/>
      <c r="JQ425" s="978"/>
      <c r="JR425" s="978"/>
      <c r="JS425" s="978"/>
      <c r="JT425" s="978"/>
      <c r="JU425" s="978"/>
      <c r="JV425" s="978"/>
      <c r="JW425" s="978"/>
      <c r="JX425" s="978"/>
      <c r="JY425" s="978"/>
      <c r="JZ425" s="978"/>
      <c r="KA425" s="978"/>
      <c r="KB425" s="978"/>
      <c r="KC425" s="978"/>
      <c r="KD425" s="978"/>
      <c r="KE425" s="978"/>
      <c r="KF425" s="978"/>
      <c r="KG425" s="978"/>
      <c r="KH425" s="978"/>
      <c r="KI425" s="978"/>
      <c r="KJ425" s="978"/>
      <c r="KK425" s="978"/>
      <c r="KL425" s="978"/>
      <c r="KM425" s="978"/>
      <c r="KN425" s="978"/>
      <c r="KO425" s="978"/>
      <c r="KP425" s="978"/>
      <c r="KQ425" s="978"/>
      <c r="KR425" s="978"/>
      <c r="KS425" s="978"/>
      <c r="KT425" s="978"/>
      <c r="KU425" s="978"/>
      <c r="KV425" s="978"/>
      <c r="KW425" s="978"/>
      <c r="KX425" s="978"/>
      <c r="KY425" s="978"/>
      <c r="KZ425" s="978"/>
      <c r="LA425" s="978"/>
      <c r="LB425" s="978"/>
      <c r="LC425" s="978"/>
      <c r="LD425" s="978"/>
      <c r="LE425" s="978"/>
      <c r="LF425" s="978"/>
      <c r="LG425" s="978"/>
      <c r="LH425" s="978"/>
      <c r="LI425" s="978"/>
      <c r="LJ425" s="978"/>
      <c r="LK425" s="978"/>
      <c r="LL425" s="978"/>
      <c r="LM425" s="978"/>
      <c r="LN425" s="978"/>
      <c r="LO425" s="978"/>
      <c r="LP425" s="978"/>
      <c r="LQ425" s="978"/>
      <c r="LR425" s="978"/>
      <c r="LS425" s="978"/>
      <c r="LT425" s="978"/>
      <c r="LU425" s="978"/>
      <c r="LV425" s="978"/>
      <c r="LW425" s="978"/>
      <c r="LX425" s="978"/>
      <c r="LY425" s="978"/>
      <c r="LZ425" s="978"/>
      <c r="MA425" s="978"/>
      <c r="MB425" s="978"/>
      <c r="MC425" s="978"/>
      <c r="MD425" s="978"/>
      <c r="ME425" s="978"/>
      <c r="MF425" s="978"/>
      <c r="MG425" s="978"/>
      <c r="MH425" s="978"/>
      <c r="MI425" s="978"/>
      <c r="MJ425" s="978"/>
      <c r="MK425" s="978"/>
      <c r="ML425" s="978"/>
      <c r="MM425" s="978"/>
      <c r="MN425" s="978"/>
      <c r="MO425" s="978"/>
      <c r="MP425" s="978"/>
      <c r="MQ425" s="978"/>
      <c r="MR425" s="978"/>
      <c r="MS425" s="978"/>
      <c r="MT425" s="978"/>
      <c r="MU425" s="978"/>
      <c r="MV425" s="978"/>
      <c r="MW425" s="978"/>
      <c r="MX425" s="978"/>
      <c r="MY425" s="978"/>
      <c r="MZ425" s="978"/>
      <c r="NA425" s="978"/>
      <c r="NB425" s="978"/>
      <c r="NC425" s="978"/>
      <c r="ND425" s="978"/>
      <c r="NE425" s="978"/>
      <c r="NF425" s="978"/>
      <c r="NG425" s="978"/>
      <c r="NH425" s="978"/>
      <c r="NI425" s="978"/>
      <c r="NJ425" s="978"/>
      <c r="NK425" s="978"/>
      <c r="NL425" s="978"/>
      <c r="NM425" s="978"/>
      <c r="NN425" s="978"/>
      <c r="NO425" s="978"/>
      <c r="NP425" s="978"/>
      <c r="NQ425" s="978"/>
      <c r="NR425" s="978"/>
      <c r="NS425" s="978"/>
      <c r="NT425" s="978"/>
      <c r="NU425" s="978"/>
      <c r="NV425" s="978"/>
      <c r="NW425" s="978"/>
      <c r="NX425" s="978"/>
      <c r="NY425" s="978"/>
      <c r="NZ425" s="978"/>
      <c r="OA425" s="978"/>
      <c r="OB425" s="978"/>
      <c r="OC425" s="978"/>
      <c r="OD425" s="978"/>
      <c r="OE425" s="978"/>
      <c r="OF425" s="978"/>
      <c r="OG425" s="978"/>
      <c r="OH425" s="978"/>
      <c r="OI425" s="978"/>
      <c r="OJ425" s="978"/>
      <c r="OK425" s="978"/>
      <c r="OL425" s="978"/>
      <c r="OM425" s="978"/>
      <c r="ON425" s="978"/>
      <c r="OO425" s="978"/>
      <c r="OP425" s="978"/>
      <c r="OQ425" s="978"/>
      <c r="OR425" s="978"/>
      <c r="OS425" s="978"/>
      <c r="OT425" s="978"/>
      <c r="OU425" s="978"/>
      <c r="OV425" s="978"/>
      <c r="OW425" s="978"/>
      <c r="OX425" s="978"/>
      <c r="OY425" s="978"/>
      <c r="OZ425" s="978"/>
      <c r="PA425" s="978"/>
      <c r="PB425" s="978"/>
      <c r="PC425" s="978"/>
      <c r="PD425" s="978"/>
      <c r="PE425" s="978"/>
      <c r="PF425" s="978"/>
      <c r="PG425" s="978"/>
      <c r="PH425" s="978"/>
      <c r="PI425" s="978"/>
      <c r="PJ425" s="978"/>
      <c r="PK425" s="978"/>
      <c r="PL425" s="978"/>
      <c r="PM425" s="978"/>
      <c r="PN425" s="978"/>
      <c r="PO425" s="978"/>
      <c r="PP425" s="978"/>
      <c r="PQ425" s="978"/>
      <c r="PR425" s="978"/>
      <c r="PS425" s="978"/>
      <c r="PT425" s="978"/>
      <c r="PU425" s="978"/>
      <c r="PV425" s="978"/>
      <c r="PW425" s="978"/>
      <c r="PX425" s="978"/>
      <c r="PY425" s="978"/>
      <c r="PZ425" s="978"/>
      <c r="QA425" s="978"/>
      <c r="QB425" s="978"/>
      <c r="QC425" s="978"/>
      <c r="QD425" s="978"/>
      <c r="QE425" s="978"/>
      <c r="QF425" s="978"/>
      <c r="QG425" s="978"/>
      <c r="QH425" s="978"/>
      <c r="QI425" s="978"/>
      <c r="QJ425" s="978"/>
      <c r="QK425" s="978"/>
      <c r="QL425" s="978"/>
      <c r="QM425" s="978"/>
      <c r="QN425" s="978"/>
      <c r="QO425" s="978"/>
      <c r="QP425" s="978"/>
      <c r="QQ425" s="978"/>
      <c r="QR425" s="978"/>
      <c r="QS425" s="978"/>
      <c r="QT425" s="978"/>
      <c r="QU425" s="978"/>
      <c r="QV425" s="978"/>
      <c r="QW425" s="978"/>
      <c r="QX425" s="978"/>
      <c r="QY425" s="978"/>
      <c r="QZ425" s="978"/>
      <c r="RA425" s="978"/>
      <c r="RB425" s="274"/>
      <c r="RC425" s="274"/>
    </row>
    <row r="426" spans="112:471" ht="17.25">
      <c r="DH426" s="274"/>
      <c r="DI426" s="274"/>
      <c r="DJ426" s="978"/>
      <c r="DK426" s="978"/>
      <c r="DL426" s="978"/>
      <c r="DM426" s="978"/>
      <c r="DN426" s="978"/>
      <c r="DO426" s="978"/>
      <c r="DP426" s="978"/>
      <c r="DQ426" s="978"/>
      <c r="DR426" s="978"/>
      <c r="DS426" s="978"/>
      <c r="DT426" s="978"/>
      <c r="DU426" s="978"/>
      <c r="DV426" s="978"/>
      <c r="DW426" s="978"/>
      <c r="DX426" s="978"/>
      <c r="DY426" s="978"/>
      <c r="DZ426" s="978"/>
      <c r="EA426" s="978"/>
      <c r="EB426" s="978"/>
      <c r="EC426" s="978"/>
      <c r="ED426" s="978"/>
      <c r="EE426" s="978"/>
      <c r="EF426" s="978"/>
      <c r="EG426" s="978"/>
      <c r="EH426" s="978"/>
      <c r="EI426" s="978"/>
      <c r="EJ426" s="978"/>
      <c r="EK426" s="978"/>
      <c r="EL426" s="978"/>
      <c r="EM426" s="978"/>
      <c r="EN426" s="978"/>
      <c r="EO426" s="978"/>
      <c r="EP426" s="978"/>
      <c r="EQ426" s="978"/>
      <c r="ER426" s="978"/>
      <c r="ES426" s="978"/>
      <c r="ET426" s="978"/>
      <c r="EU426" s="978"/>
      <c r="EV426" s="978"/>
      <c r="EW426" s="978"/>
      <c r="EX426" s="978"/>
      <c r="EY426" s="978"/>
      <c r="EZ426" s="978"/>
      <c r="FA426" s="978"/>
      <c r="FB426" s="978"/>
      <c r="FC426" s="978"/>
      <c r="FD426" s="978"/>
      <c r="FE426" s="978"/>
      <c r="FF426" s="978"/>
      <c r="FG426" s="978"/>
      <c r="FH426" s="978"/>
      <c r="FI426" s="978"/>
      <c r="FJ426" s="978"/>
      <c r="FK426" s="978"/>
      <c r="FL426" s="978"/>
      <c r="FM426" s="978"/>
      <c r="FN426" s="978"/>
      <c r="FO426" s="978"/>
      <c r="FP426" s="978"/>
      <c r="FQ426" s="978"/>
      <c r="FR426" s="978"/>
      <c r="FS426" s="978"/>
      <c r="FT426" s="978"/>
      <c r="FU426" s="978"/>
      <c r="FV426" s="978"/>
      <c r="FW426" s="978"/>
      <c r="FX426" s="978"/>
      <c r="FY426" s="978"/>
      <c r="FZ426" s="978"/>
      <c r="GA426" s="978"/>
      <c r="GB426" s="978"/>
      <c r="GC426" s="978"/>
      <c r="GD426" s="978"/>
      <c r="GE426" s="978"/>
      <c r="GF426" s="978"/>
      <c r="GG426" s="978"/>
      <c r="GH426" s="978"/>
      <c r="GI426" s="978"/>
      <c r="GJ426" s="978"/>
      <c r="GK426" s="978"/>
      <c r="GL426" s="978"/>
      <c r="GM426" s="978"/>
      <c r="GN426" s="978"/>
      <c r="GO426" s="978"/>
      <c r="GP426" s="978"/>
      <c r="GQ426" s="978"/>
      <c r="GR426" s="978"/>
      <c r="GS426" s="978"/>
      <c r="GT426" s="978"/>
      <c r="GU426" s="978"/>
      <c r="GV426" s="978"/>
      <c r="GW426" s="978"/>
      <c r="GX426" s="978"/>
      <c r="GY426" s="978"/>
      <c r="GZ426" s="978"/>
      <c r="HA426" s="978"/>
      <c r="HB426" s="978"/>
      <c r="HC426" s="978"/>
      <c r="HD426" s="978"/>
      <c r="HE426" s="978"/>
      <c r="HF426" s="978"/>
      <c r="HG426" s="978"/>
      <c r="HH426" s="978"/>
      <c r="HI426" s="978"/>
      <c r="HJ426" s="978"/>
      <c r="HK426" s="978"/>
      <c r="HL426" s="978"/>
      <c r="HM426" s="978"/>
      <c r="HN426" s="978"/>
      <c r="HO426" s="978"/>
      <c r="HP426" s="978"/>
      <c r="HQ426" s="978"/>
      <c r="HR426" s="978"/>
      <c r="HS426" s="978"/>
      <c r="HT426" s="978"/>
      <c r="HU426" s="978"/>
      <c r="HV426" s="978"/>
      <c r="HW426" s="978"/>
      <c r="HX426" s="978"/>
      <c r="HY426" s="978"/>
      <c r="HZ426" s="978"/>
      <c r="IA426" s="978"/>
      <c r="IB426" s="978"/>
      <c r="IC426" s="978"/>
      <c r="ID426" s="978"/>
      <c r="IE426" s="978"/>
      <c r="IF426" s="978"/>
      <c r="IG426" s="978"/>
      <c r="IH426" s="978"/>
      <c r="II426" s="978"/>
      <c r="IJ426" s="978"/>
      <c r="IK426" s="978"/>
      <c r="IL426" s="978"/>
      <c r="IM426" s="978"/>
      <c r="IN426" s="978"/>
      <c r="IO426" s="978"/>
      <c r="IP426" s="978"/>
      <c r="IQ426" s="978"/>
      <c r="IR426" s="978"/>
      <c r="IS426" s="978"/>
      <c r="IT426" s="978"/>
      <c r="IU426" s="978"/>
      <c r="IV426" s="978"/>
      <c r="IW426" s="978"/>
      <c r="IX426" s="978"/>
      <c r="IY426" s="978"/>
      <c r="IZ426" s="978"/>
      <c r="JA426" s="978"/>
      <c r="JB426" s="978"/>
      <c r="JC426" s="978"/>
      <c r="JD426" s="978"/>
      <c r="JE426" s="978"/>
      <c r="JF426" s="978"/>
      <c r="JG426" s="978"/>
      <c r="JH426" s="978"/>
      <c r="JI426" s="978"/>
      <c r="JJ426" s="978"/>
      <c r="JK426" s="978"/>
      <c r="JL426" s="978"/>
      <c r="JM426" s="978"/>
      <c r="JN426" s="978"/>
      <c r="JO426" s="978"/>
      <c r="JP426" s="978"/>
      <c r="JQ426" s="978"/>
      <c r="JR426" s="978"/>
      <c r="JS426" s="978"/>
      <c r="JT426" s="978"/>
      <c r="JU426" s="978"/>
      <c r="JV426" s="978"/>
      <c r="JW426" s="978"/>
      <c r="JX426" s="978"/>
      <c r="JY426" s="978"/>
      <c r="JZ426" s="978"/>
      <c r="KA426" s="978"/>
      <c r="KB426" s="978"/>
      <c r="KC426" s="978"/>
      <c r="KD426" s="978"/>
      <c r="KE426" s="978"/>
      <c r="KF426" s="978"/>
      <c r="KG426" s="978"/>
      <c r="KH426" s="978"/>
      <c r="KI426" s="978"/>
      <c r="KJ426" s="978"/>
      <c r="KK426" s="978"/>
      <c r="KL426" s="978"/>
      <c r="KM426" s="978"/>
      <c r="KN426" s="978"/>
      <c r="KO426" s="978"/>
      <c r="KP426" s="978"/>
      <c r="KQ426" s="978"/>
      <c r="KR426" s="978"/>
      <c r="KS426" s="978"/>
      <c r="KT426" s="978"/>
      <c r="KU426" s="978"/>
      <c r="KV426" s="978"/>
      <c r="KW426" s="978"/>
      <c r="KX426" s="978"/>
      <c r="KY426" s="978"/>
      <c r="KZ426" s="978"/>
      <c r="LA426" s="978"/>
      <c r="LB426" s="978"/>
      <c r="LC426" s="978"/>
      <c r="LD426" s="978"/>
      <c r="LE426" s="978"/>
      <c r="LF426" s="978"/>
      <c r="LG426" s="978"/>
      <c r="LH426" s="978"/>
      <c r="LI426" s="978"/>
      <c r="LJ426" s="978"/>
      <c r="LK426" s="978"/>
      <c r="LL426" s="978"/>
      <c r="LM426" s="978"/>
      <c r="LN426" s="978"/>
      <c r="LO426" s="978"/>
      <c r="LP426" s="978"/>
      <c r="LQ426" s="978"/>
      <c r="LR426" s="978"/>
      <c r="LS426" s="978"/>
      <c r="LT426" s="978"/>
      <c r="LU426" s="978"/>
      <c r="LV426" s="978"/>
      <c r="LW426" s="978"/>
      <c r="LX426" s="978"/>
      <c r="LY426" s="978"/>
      <c r="LZ426" s="978"/>
      <c r="MA426" s="978"/>
      <c r="MB426" s="978"/>
      <c r="MC426" s="978"/>
      <c r="MD426" s="978"/>
      <c r="ME426" s="978"/>
      <c r="MF426" s="978"/>
      <c r="MG426" s="978"/>
      <c r="MH426" s="978"/>
      <c r="MI426" s="978"/>
      <c r="MJ426" s="978"/>
      <c r="MK426" s="978"/>
      <c r="ML426" s="978"/>
      <c r="MM426" s="978"/>
      <c r="MN426" s="978"/>
      <c r="MO426" s="978"/>
      <c r="MP426" s="978"/>
      <c r="MQ426" s="978"/>
      <c r="MR426" s="978"/>
      <c r="MS426" s="978"/>
      <c r="MT426" s="978"/>
      <c r="MU426" s="978"/>
      <c r="MV426" s="978"/>
      <c r="MW426" s="978"/>
      <c r="MX426" s="978"/>
      <c r="MY426" s="978"/>
      <c r="MZ426" s="978"/>
      <c r="NA426" s="978"/>
      <c r="NB426" s="978"/>
      <c r="NC426" s="978"/>
      <c r="ND426" s="978"/>
      <c r="NE426" s="978"/>
      <c r="NF426" s="978"/>
      <c r="NG426" s="978"/>
      <c r="NH426" s="978"/>
      <c r="NI426" s="978"/>
      <c r="NJ426" s="978"/>
      <c r="NK426" s="978"/>
      <c r="NL426" s="978"/>
      <c r="NM426" s="978"/>
      <c r="NN426" s="978"/>
      <c r="NO426" s="978"/>
      <c r="NP426" s="978"/>
      <c r="NQ426" s="978"/>
      <c r="NR426" s="978"/>
      <c r="NS426" s="978"/>
      <c r="NT426" s="978"/>
      <c r="NU426" s="978"/>
      <c r="NV426" s="978"/>
      <c r="NW426" s="978"/>
      <c r="NX426" s="978"/>
      <c r="NY426" s="978"/>
      <c r="NZ426" s="978"/>
      <c r="OA426" s="978"/>
      <c r="OB426" s="978"/>
      <c r="OC426" s="978"/>
      <c r="OD426" s="978"/>
      <c r="OE426" s="978"/>
      <c r="OF426" s="978"/>
      <c r="OG426" s="978"/>
      <c r="OH426" s="978"/>
      <c r="OI426" s="978"/>
      <c r="OJ426" s="978"/>
      <c r="OK426" s="978"/>
      <c r="OL426" s="978"/>
      <c r="OM426" s="978"/>
      <c r="ON426" s="978"/>
      <c r="OO426" s="978"/>
      <c r="OP426" s="978"/>
      <c r="OQ426" s="978"/>
      <c r="OR426" s="978"/>
      <c r="OS426" s="978"/>
      <c r="OT426" s="978"/>
      <c r="OU426" s="978"/>
      <c r="OV426" s="978"/>
      <c r="OW426" s="978"/>
      <c r="OX426" s="978"/>
      <c r="OY426" s="978"/>
      <c r="OZ426" s="978"/>
      <c r="PA426" s="978"/>
      <c r="PB426" s="978"/>
      <c r="PC426" s="978"/>
      <c r="PD426" s="978"/>
      <c r="PE426" s="978"/>
      <c r="PF426" s="978"/>
      <c r="PG426" s="978"/>
      <c r="PH426" s="978"/>
      <c r="PI426" s="978"/>
      <c r="PJ426" s="978"/>
      <c r="PK426" s="978"/>
      <c r="PL426" s="978"/>
      <c r="PM426" s="978"/>
      <c r="PN426" s="978"/>
      <c r="PO426" s="978"/>
      <c r="PP426" s="978"/>
      <c r="PQ426" s="978"/>
      <c r="PR426" s="978"/>
      <c r="PS426" s="978"/>
      <c r="PT426" s="978"/>
      <c r="PU426" s="978"/>
      <c r="PV426" s="978"/>
      <c r="PW426" s="978"/>
      <c r="PX426" s="978"/>
      <c r="PY426" s="978"/>
      <c r="PZ426" s="978"/>
      <c r="QA426" s="978"/>
      <c r="QB426" s="978"/>
      <c r="QC426" s="978"/>
      <c r="QD426" s="978"/>
      <c r="QE426" s="978"/>
      <c r="QF426" s="978"/>
      <c r="QG426" s="978"/>
      <c r="QH426" s="978"/>
      <c r="QI426" s="978"/>
      <c r="QJ426" s="978"/>
      <c r="QK426" s="978"/>
      <c r="QL426" s="978"/>
      <c r="QM426" s="978"/>
      <c r="QN426" s="978"/>
      <c r="QO426" s="978"/>
      <c r="QP426" s="978"/>
      <c r="QQ426" s="978"/>
      <c r="QR426" s="978"/>
      <c r="QS426" s="978"/>
      <c r="QT426" s="978"/>
      <c r="QU426" s="978"/>
      <c r="QV426" s="978"/>
      <c r="QW426" s="978"/>
      <c r="QX426" s="978"/>
      <c r="QY426" s="978"/>
      <c r="QZ426" s="978"/>
      <c r="RA426" s="978"/>
      <c r="RB426" s="274"/>
      <c r="RC426" s="274"/>
    </row>
    <row r="427" spans="112:471" ht="17.25">
      <c r="DH427" s="274"/>
      <c r="DI427" s="274"/>
      <c r="DJ427" s="978"/>
      <c r="DK427" s="978"/>
      <c r="DL427" s="978"/>
      <c r="DM427" s="978"/>
      <c r="DN427" s="978"/>
      <c r="DO427" s="978"/>
      <c r="DP427" s="978"/>
      <c r="DQ427" s="978"/>
      <c r="DR427" s="978"/>
      <c r="DS427" s="978"/>
      <c r="DT427" s="978"/>
      <c r="DU427" s="978"/>
      <c r="DV427" s="978"/>
      <c r="DW427" s="978"/>
      <c r="DX427" s="978"/>
      <c r="DY427" s="978"/>
      <c r="DZ427" s="978"/>
      <c r="EA427" s="978"/>
      <c r="EB427" s="978"/>
      <c r="EC427" s="978"/>
      <c r="ED427" s="978"/>
      <c r="EE427" s="978"/>
      <c r="EF427" s="978"/>
      <c r="EG427" s="978"/>
      <c r="EH427" s="978"/>
      <c r="EI427" s="978"/>
      <c r="EJ427" s="978"/>
      <c r="EK427" s="978"/>
      <c r="EL427" s="978"/>
      <c r="EM427" s="978"/>
      <c r="EN427" s="978"/>
      <c r="EO427" s="978"/>
      <c r="EP427" s="978"/>
      <c r="EQ427" s="978"/>
      <c r="ER427" s="978"/>
      <c r="ES427" s="978"/>
      <c r="ET427" s="978"/>
      <c r="EU427" s="978"/>
      <c r="EV427" s="978"/>
      <c r="EW427" s="978"/>
      <c r="EX427" s="978"/>
      <c r="EY427" s="978"/>
      <c r="EZ427" s="978"/>
      <c r="FA427" s="978"/>
      <c r="FB427" s="978"/>
      <c r="FC427" s="978"/>
      <c r="FD427" s="978"/>
      <c r="FE427" s="978"/>
      <c r="FF427" s="978"/>
      <c r="FG427" s="978"/>
      <c r="FH427" s="978"/>
      <c r="FI427" s="978"/>
      <c r="FJ427" s="978"/>
      <c r="FK427" s="978"/>
      <c r="FL427" s="978"/>
      <c r="FM427" s="978"/>
      <c r="FN427" s="978"/>
      <c r="FO427" s="978"/>
      <c r="FP427" s="978"/>
      <c r="FQ427" s="978"/>
      <c r="FR427" s="978"/>
      <c r="FS427" s="978"/>
      <c r="FT427" s="978"/>
      <c r="FU427" s="978"/>
      <c r="FV427" s="978"/>
      <c r="FW427" s="978"/>
      <c r="FX427" s="978"/>
      <c r="FY427" s="978"/>
      <c r="FZ427" s="978"/>
      <c r="GA427" s="978"/>
      <c r="GB427" s="978"/>
      <c r="GC427" s="978"/>
      <c r="GD427" s="978"/>
      <c r="GE427" s="978"/>
      <c r="GF427" s="978"/>
      <c r="GG427" s="978"/>
      <c r="GH427" s="978"/>
      <c r="GI427" s="978"/>
      <c r="GJ427" s="978"/>
      <c r="GK427" s="978"/>
      <c r="GL427" s="978"/>
      <c r="GM427" s="978"/>
      <c r="GN427" s="978"/>
      <c r="GO427" s="978"/>
      <c r="GP427" s="978"/>
      <c r="GQ427" s="978"/>
      <c r="GR427" s="978"/>
      <c r="GS427" s="978"/>
      <c r="GT427" s="978"/>
      <c r="GU427" s="978"/>
      <c r="GV427" s="978"/>
      <c r="GW427" s="978"/>
      <c r="GX427" s="978"/>
      <c r="GY427" s="978"/>
      <c r="GZ427" s="978"/>
      <c r="HA427" s="978"/>
      <c r="HB427" s="978"/>
      <c r="HC427" s="978"/>
      <c r="HD427" s="978"/>
      <c r="HE427" s="978"/>
      <c r="HF427" s="978"/>
      <c r="HG427" s="978"/>
      <c r="HH427" s="978"/>
      <c r="HI427" s="978"/>
      <c r="HJ427" s="978"/>
      <c r="HK427" s="978"/>
      <c r="HL427" s="978"/>
      <c r="HM427" s="978"/>
      <c r="HN427" s="978"/>
      <c r="HO427" s="978"/>
      <c r="HP427" s="978"/>
      <c r="HQ427" s="978"/>
      <c r="HR427" s="978"/>
      <c r="HS427" s="978"/>
      <c r="HT427" s="978"/>
      <c r="HU427" s="978"/>
      <c r="HV427" s="978"/>
      <c r="HW427" s="978"/>
      <c r="HX427" s="978"/>
      <c r="HY427" s="978"/>
      <c r="HZ427" s="978"/>
      <c r="IA427" s="978"/>
      <c r="IB427" s="978"/>
      <c r="IC427" s="978"/>
      <c r="ID427" s="978"/>
      <c r="IE427" s="978"/>
      <c r="IF427" s="978"/>
      <c r="IG427" s="978"/>
      <c r="IH427" s="978"/>
      <c r="II427" s="978"/>
      <c r="IJ427" s="978"/>
      <c r="IK427" s="978"/>
      <c r="IL427" s="978"/>
      <c r="IM427" s="978"/>
      <c r="IN427" s="978"/>
      <c r="IO427" s="978"/>
      <c r="IP427" s="978"/>
      <c r="IQ427" s="978"/>
      <c r="IR427" s="978"/>
      <c r="IS427" s="978"/>
      <c r="IT427" s="978"/>
      <c r="IU427" s="978"/>
      <c r="IV427" s="978"/>
      <c r="IW427" s="978"/>
      <c r="IX427" s="978"/>
      <c r="IY427" s="978"/>
      <c r="IZ427" s="978"/>
      <c r="JA427" s="978"/>
      <c r="JB427" s="978"/>
      <c r="JC427" s="978"/>
      <c r="JD427" s="978"/>
      <c r="JE427" s="978"/>
      <c r="JF427" s="978"/>
      <c r="JG427" s="978"/>
      <c r="JH427" s="978"/>
      <c r="JI427" s="978"/>
      <c r="JJ427" s="978"/>
      <c r="JK427" s="978"/>
      <c r="JL427" s="978"/>
      <c r="JM427" s="978"/>
      <c r="JN427" s="978"/>
      <c r="JO427" s="978"/>
      <c r="JP427" s="978"/>
      <c r="JQ427" s="978"/>
      <c r="JR427" s="978"/>
      <c r="JS427" s="978"/>
      <c r="JT427" s="978"/>
      <c r="JU427" s="978"/>
      <c r="JV427" s="978"/>
      <c r="JW427" s="978"/>
      <c r="JX427" s="978"/>
      <c r="JY427" s="978"/>
      <c r="JZ427" s="978"/>
      <c r="KA427" s="978"/>
      <c r="KB427" s="978"/>
      <c r="KC427" s="978"/>
      <c r="KD427" s="978"/>
      <c r="KE427" s="978"/>
      <c r="KF427" s="978"/>
      <c r="KG427" s="978"/>
      <c r="KH427" s="978"/>
      <c r="KI427" s="978"/>
      <c r="KJ427" s="978"/>
      <c r="KK427" s="978"/>
      <c r="KL427" s="978"/>
      <c r="KM427" s="978"/>
      <c r="KN427" s="978"/>
      <c r="KO427" s="978"/>
      <c r="KP427" s="978"/>
      <c r="KQ427" s="978"/>
      <c r="KR427" s="978"/>
      <c r="KS427" s="978"/>
      <c r="KT427" s="978"/>
      <c r="KU427" s="978"/>
      <c r="KV427" s="978"/>
      <c r="KW427" s="978"/>
      <c r="KX427" s="978"/>
      <c r="KY427" s="978"/>
      <c r="KZ427" s="978"/>
      <c r="LA427" s="978"/>
      <c r="LB427" s="978"/>
      <c r="LC427" s="978"/>
      <c r="LD427" s="978"/>
      <c r="LE427" s="978"/>
      <c r="LF427" s="978"/>
      <c r="LG427" s="978"/>
      <c r="LH427" s="978"/>
      <c r="LI427" s="978"/>
      <c r="LJ427" s="978"/>
      <c r="LK427" s="978"/>
      <c r="LL427" s="978"/>
      <c r="LM427" s="978"/>
      <c r="LN427" s="978"/>
      <c r="LO427" s="978"/>
      <c r="LP427" s="978"/>
      <c r="LQ427" s="978"/>
      <c r="LR427" s="978"/>
      <c r="LS427" s="978"/>
      <c r="LT427" s="978"/>
      <c r="LU427" s="978"/>
      <c r="LV427" s="978"/>
      <c r="LW427" s="978"/>
      <c r="LX427" s="978"/>
      <c r="LY427" s="978"/>
      <c r="LZ427" s="978"/>
      <c r="MA427" s="978"/>
      <c r="MB427" s="978"/>
      <c r="MC427" s="978"/>
      <c r="MD427" s="978"/>
      <c r="ME427" s="978"/>
      <c r="MF427" s="978"/>
      <c r="MG427" s="978"/>
      <c r="MH427" s="978"/>
      <c r="MI427" s="978"/>
      <c r="MJ427" s="978"/>
      <c r="MK427" s="978"/>
      <c r="ML427" s="978"/>
      <c r="MM427" s="978"/>
      <c r="MN427" s="978"/>
      <c r="MO427" s="978"/>
      <c r="MP427" s="978"/>
      <c r="MQ427" s="978"/>
      <c r="MR427" s="978"/>
      <c r="MS427" s="978"/>
      <c r="MT427" s="978"/>
      <c r="MU427" s="978"/>
      <c r="MV427" s="978"/>
      <c r="MW427" s="978"/>
      <c r="MX427" s="978"/>
      <c r="MY427" s="978"/>
      <c r="MZ427" s="978"/>
      <c r="NA427" s="978"/>
      <c r="NB427" s="978"/>
      <c r="NC427" s="978"/>
      <c r="ND427" s="978"/>
      <c r="NE427" s="978"/>
      <c r="NF427" s="978"/>
      <c r="NG427" s="978"/>
      <c r="NH427" s="978"/>
      <c r="NI427" s="978"/>
      <c r="NJ427" s="978"/>
      <c r="NK427" s="978"/>
      <c r="NL427" s="978"/>
      <c r="NM427" s="978"/>
      <c r="NN427" s="978"/>
      <c r="NO427" s="978"/>
      <c r="NP427" s="978"/>
      <c r="NQ427" s="978"/>
      <c r="NR427" s="978"/>
      <c r="NS427" s="978"/>
      <c r="NT427" s="978"/>
      <c r="NU427" s="978"/>
      <c r="NV427" s="978"/>
      <c r="NW427" s="978"/>
      <c r="NX427" s="978"/>
      <c r="NY427" s="978"/>
      <c r="NZ427" s="978"/>
      <c r="OA427" s="978"/>
      <c r="OB427" s="978"/>
      <c r="OC427" s="978"/>
      <c r="OD427" s="978"/>
      <c r="OE427" s="978"/>
      <c r="OF427" s="978"/>
      <c r="OG427" s="978"/>
      <c r="OH427" s="978"/>
      <c r="OI427" s="978"/>
      <c r="OJ427" s="978"/>
      <c r="OK427" s="978"/>
      <c r="OL427" s="978"/>
      <c r="OM427" s="978"/>
      <c r="ON427" s="978"/>
      <c r="OO427" s="978"/>
      <c r="OP427" s="978"/>
      <c r="OQ427" s="978"/>
      <c r="OR427" s="978"/>
      <c r="OS427" s="978"/>
      <c r="OT427" s="978"/>
      <c r="OU427" s="978"/>
      <c r="OV427" s="978"/>
      <c r="OW427" s="978"/>
      <c r="OX427" s="978"/>
      <c r="OY427" s="978"/>
      <c r="OZ427" s="978"/>
      <c r="PA427" s="978"/>
      <c r="PB427" s="978"/>
      <c r="PC427" s="978"/>
      <c r="PD427" s="978"/>
      <c r="PE427" s="978"/>
      <c r="PF427" s="978"/>
      <c r="PG427" s="978"/>
      <c r="PH427" s="978"/>
      <c r="PI427" s="978"/>
      <c r="PJ427" s="978"/>
      <c r="PK427" s="978"/>
      <c r="PL427" s="978"/>
      <c r="PM427" s="978"/>
      <c r="PN427" s="978"/>
      <c r="PO427" s="978"/>
      <c r="PP427" s="978"/>
      <c r="PQ427" s="978"/>
      <c r="PR427" s="978"/>
      <c r="PS427" s="978"/>
      <c r="PT427" s="978"/>
      <c r="PU427" s="978"/>
      <c r="PV427" s="978"/>
      <c r="PW427" s="978"/>
      <c r="PX427" s="978"/>
      <c r="PY427" s="978"/>
      <c r="PZ427" s="978"/>
      <c r="QA427" s="978"/>
      <c r="QB427" s="978"/>
      <c r="QC427" s="978"/>
      <c r="QD427" s="978"/>
      <c r="QE427" s="978"/>
      <c r="QF427" s="978"/>
      <c r="QG427" s="978"/>
      <c r="QH427" s="978"/>
      <c r="QI427" s="978"/>
      <c r="QJ427" s="978"/>
      <c r="QK427" s="978"/>
      <c r="QL427" s="978"/>
      <c r="QM427" s="978"/>
      <c r="QN427" s="978"/>
      <c r="QO427" s="978"/>
      <c r="QP427" s="978"/>
      <c r="QQ427" s="978"/>
      <c r="QR427" s="978"/>
      <c r="QS427" s="978"/>
      <c r="QT427" s="978"/>
      <c r="QU427" s="978"/>
      <c r="QV427" s="978"/>
      <c r="QW427" s="978"/>
      <c r="QX427" s="978"/>
      <c r="QY427" s="978"/>
      <c r="QZ427" s="978"/>
      <c r="RA427" s="978"/>
      <c r="RB427" s="274"/>
      <c r="RC427" s="274"/>
    </row>
    <row r="428" spans="112:471">
      <c r="DH428" s="274"/>
      <c r="DI428" s="274"/>
      <c r="DJ428" s="274"/>
      <c r="DK428" s="274"/>
      <c r="DL428" s="274"/>
      <c r="DM428" s="274"/>
      <c r="DN428" s="274"/>
      <c r="DO428" s="274"/>
      <c r="DP428" s="274"/>
      <c r="DQ428" s="274"/>
      <c r="DR428" s="274"/>
      <c r="DS428" s="274"/>
      <c r="DT428" s="274"/>
      <c r="DU428" s="274"/>
      <c r="DV428" s="274"/>
      <c r="DW428" s="274"/>
      <c r="DX428" s="274"/>
      <c r="DY428" s="274"/>
      <c r="DZ428" s="274"/>
      <c r="EA428" s="274"/>
      <c r="EB428" s="274"/>
      <c r="EC428" s="274"/>
      <c r="ED428" s="274"/>
      <c r="EE428" s="274"/>
      <c r="EF428" s="274"/>
      <c r="EG428" s="274"/>
      <c r="EH428" s="274"/>
      <c r="EI428" s="274"/>
      <c r="EJ428" s="274"/>
      <c r="EK428" s="274"/>
      <c r="EL428" s="274"/>
      <c r="EM428" s="274"/>
      <c r="EN428" s="274"/>
      <c r="EO428" s="274"/>
      <c r="EP428" s="274"/>
      <c r="EQ428" s="274"/>
      <c r="ER428" s="274"/>
      <c r="ES428" s="274"/>
      <c r="ET428" s="274"/>
      <c r="EU428" s="274"/>
      <c r="EV428" s="274"/>
      <c r="EW428" s="274"/>
      <c r="EX428" s="274"/>
      <c r="EY428" s="274"/>
      <c r="EZ428" s="274"/>
      <c r="FA428" s="274"/>
      <c r="FB428" s="274"/>
      <c r="FC428" s="274"/>
      <c r="FD428" s="274"/>
      <c r="FE428" s="274"/>
      <c r="FF428" s="274"/>
      <c r="FG428" s="274"/>
      <c r="FH428" s="274"/>
      <c r="FI428" s="274"/>
      <c r="FJ428" s="274"/>
      <c r="FK428" s="274"/>
      <c r="FL428" s="274"/>
      <c r="FM428" s="274"/>
      <c r="FN428" s="274"/>
      <c r="FO428" s="274"/>
      <c r="FP428" s="274"/>
      <c r="FQ428" s="274"/>
      <c r="FR428" s="274"/>
      <c r="FS428" s="274"/>
      <c r="FT428" s="274"/>
      <c r="FU428" s="274"/>
      <c r="FV428" s="274"/>
      <c r="FW428" s="274"/>
      <c r="FX428" s="274"/>
      <c r="FY428" s="274"/>
      <c r="FZ428" s="274"/>
      <c r="GA428" s="274"/>
      <c r="GB428" s="274"/>
      <c r="GC428" s="274"/>
      <c r="GD428" s="274"/>
      <c r="GE428" s="274"/>
      <c r="GF428" s="274"/>
      <c r="GG428" s="274"/>
      <c r="GH428" s="274"/>
      <c r="GI428" s="274"/>
      <c r="GJ428" s="274"/>
      <c r="GK428" s="274"/>
      <c r="GL428" s="274"/>
      <c r="GM428" s="274"/>
      <c r="GN428" s="274"/>
      <c r="GO428" s="274"/>
      <c r="GP428" s="274"/>
      <c r="GQ428" s="274"/>
      <c r="GR428" s="274"/>
      <c r="GS428" s="274"/>
      <c r="GT428" s="274"/>
      <c r="GU428" s="274"/>
      <c r="GV428" s="274"/>
      <c r="GW428" s="274"/>
      <c r="GX428" s="274"/>
      <c r="GY428" s="274"/>
      <c r="GZ428" s="274"/>
      <c r="HA428" s="274"/>
      <c r="HB428" s="274"/>
      <c r="HC428" s="274"/>
      <c r="HD428" s="274"/>
      <c r="HE428" s="274"/>
      <c r="HF428" s="274"/>
      <c r="HG428" s="274"/>
      <c r="HH428" s="274"/>
      <c r="HI428" s="274"/>
      <c r="HJ428" s="274"/>
      <c r="HK428" s="274"/>
      <c r="HL428" s="274"/>
      <c r="HM428" s="274"/>
      <c r="HN428" s="274"/>
      <c r="HO428" s="274"/>
      <c r="HP428" s="274"/>
      <c r="HQ428" s="274"/>
      <c r="HR428" s="274"/>
      <c r="HS428" s="274"/>
      <c r="HT428" s="274"/>
      <c r="HU428" s="274"/>
      <c r="HV428" s="274"/>
      <c r="HW428" s="274"/>
      <c r="HX428" s="274"/>
      <c r="HY428" s="274"/>
      <c r="HZ428" s="274"/>
      <c r="IA428" s="274"/>
      <c r="IB428" s="274"/>
      <c r="IC428" s="274"/>
      <c r="ID428" s="274"/>
      <c r="IE428" s="274"/>
      <c r="IF428" s="274"/>
      <c r="IG428" s="274"/>
      <c r="IH428" s="274"/>
      <c r="II428" s="274"/>
      <c r="IJ428" s="274"/>
      <c r="IK428" s="274"/>
      <c r="IL428" s="274"/>
      <c r="IM428" s="274"/>
      <c r="IN428" s="274"/>
      <c r="IO428" s="274"/>
      <c r="IP428" s="274"/>
      <c r="IQ428" s="274"/>
      <c r="IR428" s="274"/>
      <c r="IS428" s="274"/>
      <c r="IT428" s="274"/>
      <c r="IU428" s="274"/>
      <c r="IV428" s="274"/>
      <c r="IW428" s="274"/>
      <c r="IX428" s="274"/>
      <c r="IY428" s="274"/>
      <c r="IZ428" s="274"/>
      <c r="JA428" s="274"/>
      <c r="JB428" s="274"/>
      <c r="JC428" s="274"/>
      <c r="JD428" s="274"/>
      <c r="JE428" s="274"/>
      <c r="JF428" s="274"/>
      <c r="JG428" s="274"/>
      <c r="JH428" s="274"/>
      <c r="JI428" s="274"/>
      <c r="JJ428" s="274"/>
      <c r="JK428" s="274"/>
      <c r="JL428" s="274"/>
      <c r="JM428" s="274"/>
      <c r="JN428" s="274"/>
      <c r="JO428" s="274"/>
      <c r="JP428" s="274"/>
      <c r="JQ428" s="274"/>
      <c r="JR428" s="274"/>
      <c r="JS428" s="274"/>
      <c r="JT428" s="274"/>
      <c r="JU428" s="274"/>
      <c r="JV428" s="274"/>
      <c r="JW428" s="274"/>
      <c r="JX428" s="274"/>
      <c r="JY428" s="274"/>
      <c r="JZ428" s="274"/>
      <c r="KA428" s="274"/>
      <c r="KB428" s="274"/>
      <c r="KC428" s="274"/>
      <c r="KD428" s="274"/>
      <c r="KE428" s="274"/>
      <c r="KF428" s="274"/>
      <c r="KG428" s="274"/>
      <c r="KH428" s="274"/>
      <c r="KI428" s="274"/>
      <c r="KJ428" s="274"/>
      <c r="KK428" s="274"/>
      <c r="KL428" s="274"/>
      <c r="KM428" s="274"/>
      <c r="KN428" s="274"/>
      <c r="KO428" s="274"/>
      <c r="KP428" s="274"/>
      <c r="KQ428" s="274"/>
      <c r="KR428" s="274"/>
      <c r="KS428" s="274"/>
      <c r="KT428" s="274"/>
      <c r="KU428" s="274"/>
      <c r="KV428" s="274"/>
      <c r="KW428" s="274"/>
      <c r="KX428" s="274"/>
      <c r="KY428" s="274"/>
      <c r="KZ428" s="274"/>
      <c r="LA428" s="274"/>
      <c r="LB428" s="274"/>
      <c r="LC428" s="274"/>
      <c r="LD428" s="274"/>
      <c r="LE428" s="274"/>
      <c r="LF428" s="274"/>
      <c r="LG428" s="274"/>
      <c r="LH428" s="274"/>
      <c r="LI428" s="274"/>
      <c r="LJ428" s="274"/>
      <c r="LK428" s="274"/>
      <c r="LL428" s="274"/>
      <c r="LM428" s="274"/>
      <c r="LN428" s="274"/>
      <c r="LO428" s="274"/>
      <c r="LP428" s="274"/>
      <c r="LQ428" s="274"/>
      <c r="LR428" s="274"/>
      <c r="LS428" s="274"/>
      <c r="LT428" s="274"/>
      <c r="LU428" s="274"/>
      <c r="LV428" s="274"/>
      <c r="LW428" s="274"/>
      <c r="LX428" s="274"/>
      <c r="LY428" s="274"/>
      <c r="LZ428" s="274"/>
      <c r="MA428" s="274"/>
      <c r="MB428" s="274"/>
      <c r="MC428" s="274"/>
      <c r="MD428" s="274"/>
      <c r="ME428" s="274"/>
      <c r="MF428" s="274"/>
      <c r="MG428" s="274"/>
      <c r="MH428" s="274"/>
      <c r="MI428" s="274"/>
      <c r="MJ428" s="274"/>
      <c r="MK428" s="274"/>
      <c r="ML428" s="274"/>
      <c r="MM428" s="274"/>
      <c r="MN428" s="274"/>
      <c r="MO428" s="274"/>
      <c r="MP428" s="274"/>
      <c r="MQ428" s="274"/>
      <c r="MR428" s="274"/>
      <c r="MS428" s="274"/>
      <c r="MT428" s="274"/>
      <c r="MU428" s="274"/>
      <c r="MV428" s="274"/>
      <c r="MW428" s="274"/>
      <c r="MX428" s="274"/>
      <c r="MY428" s="274"/>
      <c r="MZ428" s="274"/>
      <c r="NA428" s="274"/>
      <c r="NB428" s="274"/>
      <c r="NC428" s="274"/>
      <c r="ND428" s="274"/>
      <c r="NE428" s="274"/>
      <c r="NF428" s="274"/>
      <c r="NG428" s="274"/>
      <c r="NH428" s="274"/>
      <c r="NI428" s="274"/>
      <c r="NJ428" s="274"/>
      <c r="NK428" s="274"/>
      <c r="NL428" s="274"/>
      <c r="NM428" s="274"/>
      <c r="NN428" s="274"/>
      <c r="NO428" s="274"/>
      <c r="NP428" s="274"/>
      <c r="NQ428" s="274"/>
      <c r="NR428" s="274"/>
      <c r="NS428" s="274"/>
      <c r="NT428" s="274"/>
      <c r="NU428" s="274"/>
      <c r="NV428" s="274"/>
      <c r="NW428" s="274"/>
      <c r="NX428" s="274"/>
      <c r="NY428" s="274"/>
      <c r="NZ428" s="274"/>
      <c r="OA428" s="274"/>
      <c r="OB428" s="274"/>
      <c r="OC428" s="274"/>
      <c r="OD428" s="274"/>
      <c r="OE428" s="274"/>
      <c r="OF428" s="274"/>
      <c r="OG428" s="274"/>
      <c r="OH428" s="274"/>
      <c r="OI428" s="274"/>
      <c r="OJ428" s="274"/>
      <c r="OK428" s="274"/>
      <c r="OL428" s="274"/>
      <c r="OM428" s="274"/>
      <c r="ON428" s="274"/>
      <c r="OO428" s="274"/>
      <c r="OP428" s="274"/>
      <c r="OQ428" s="274"/>
      <c r="OR428" s="274"/>
      <c r="OS428" s="274"/>
      <c r="OT428" s="274"/>
      <c r="OU428" s="274"/>
      <c r="OV428" s="274"/>
      <c r="OW428" s="274"/>
      <c r="OX428" s="274"/>
      <c r="OY428" s="274"/>
      <c r="OZ428" s="274"/>
      <c r="PA428" s="274"/>
      <c r="PB428" s="274"/>
      <c r="PC428" s="274"/>
      <c r="PD428" s="274"/>
      <c r="PE428" s="274"/>
      <c r="PF428" s="274"/>
      <c r="PG428" s="274"/>
      <c r="PH428" s="274"/>
      <c r="PI428" s="274"/>
      <c r="PJ428" s="274"/>
      <c r="PK428" s="274"/>
      <c r="PL428" s="274"/>
      <c r="PM428" s="274"/>
      <c r="PN428" s="274"/>
      <c r="PO428" s="274"/>
      <c r="PP428" s="274"/>
      <c r="PQ428" s="274"/>
      <c r="PR428" s="274"/>
      <c r="PS428" s="274"/>
      <c r="PT428" s="274"/>
      <c r="PU428" s="274"/>
      <c r="PV428" s="274"/>
      <c r="PW428" s="274"/>
      <c r="PX428" s="274"/>
      <c r="PY428" s="274"/>
      <c r="PZ428" s="274"/>
      <c r="QA428" s="274"/>
      <c r="QB428" s="274"/>
      <c r="QC428" s="274"/>
      <c r="QD428" s="274"/>
      <c r="QE428" s="274"/>
      <c r="QF428" s="274"/>
      <c r="QG428" s="274"/>
      <c r="QH428" s="274"/>
      <c r="QI428" s="274"/>
      <c r="QJ428" s="274"/>
      <c r="QK428" s="274"/>
      <c r="QL428" s="274"/>
      <c r="QM428" s="274"/>
      <c r="QN428" s="274"/>
      <c r="QO428" s="274"/>
      <c r="QP428" s="274"/>
      <c r="QQ428" s="274"/>
      <c r="QR428" s="274"/>
      <c r="QS428" s="274"/>
      <c r="QT428" s="274"/>
      <c r="QU428" s="274"/>
      <c r="QV428" s="274"/>
      <c r="QW428" s="274"/>
      <c r="QX428" s="274"/>
      <c r="QY428" s="274"/>
      <c r="QZ428" s="274"/>
      <c r="RA428" s="274"/>
      <c r="RB428" s="274"/>
      <c r="RC428" s="274"/>
    </row>
    <row r="429" spans="112:471">
      <c r="DH429" s="274"/>
      <c r="DI429" s="274"/>
      <c r="DJ429" s="274"/>
      <c r="DK429" s="274"/>
      <c r="DL429" s="274"/>
      <c r="DM429" s="274"/>
      <c r="DN429" s="274"/>
      <c r="DO429" s="274"/>
      <c r="DP429" s="274"/>
      <c r="DQ429" s="274"/>
      <c r="DR429" s="274"/>
      <c r="DS429" s="274"/>
      <c r="DT429" s="274"/>
      <c r="DU429" s="274"/>
      <c r="DV429" s="274"/>
      <c r="DW429" s="274"/>
      <c r="DX429" s="274"/>
      <c r="DY429" s="274"/>
      <c r="DZ429" s="274"/>
      <c r="EA429" s="274"/>
      <c r="EB429" s="274"/>
      <c r="EC429" s="274"/>
      <c r="ED429" s="274"/>
      <c r="EE429" s="274"/>
      <c r="EF429" s="274"/>
      <c r="EG429" s="274"/>
      <c r="EH429" s="274"/>
      <c r="EI429" s="274"/>
      <c r="EJ429" s="274"/>
      <c r="EK429" s="274"/>
      <c r="EL429" s="274"/>
      <c r="EM429" s="274"/>
      <c r="EN429" s="274"/>
      <c r="EO429" s="274"/>
      <c r="EP429" s="274"/>
      <c r="EQ429" s="274"/>
      <c r="ER429" s="274"/>
      <c r="ES429" s="274"/>
      <c r="ET429" s="274"/>
      <c r="EU429" s="274"/>
      <c r="EV429" s="274"/>
      <c r="EW429" s="274"/>
      <c r="EX429" s="274"/>
      <c r="EY429" s="274"/>
      <c r="EZ429" s="274"/>
      <c r="FA429" s="274"/>
      <c r="FB429" s="274"/>
      <c r="FC429" s="274"/>
      <c r="FD429" s="274"/>
      <c r="FE429" s="274"/>
      <c r="FF429" s="274"/>
      <c r="FG429" s="274"/>
      <c r="FH429" s="274"/>
      <c r="FI429" s="274"/>
      <c r="FJ429" s="274"/>
      <c r="FK429" s="274"/>
      <c r="FL429" s="274"/>
      <c r="FM429" s="274"/>
      <c r="FN429" s="274"/>
      <c r="FO429" s="274"/>
      <c r="FP429" s="274"/>
      <c r="FQ429" s="274"/>
      <c r="FR429" s="274"/>
      <c r="FS429" s="274"/>
      <c r="FT429" s="274"/>
      <c r="FU429" s="274"/>
      <c r="FV429" s="274"/>
      <c r="FW429" s="274"/>
      <c r="FX429" s="274"/>
      <c r="FY429" s="274"/>
      <c r="FZ429" s="274"/>
      <c r="GA429" s="274"/>
      <c r="GB429" s="274"/>
      <c r="GC429" s="274"/>
      <c r="GD429" s="274"/>
      <c r="GE429" s="274"/>
      <c r="GF429" s="274"/>
      <c r="GG429" s="274"/>
      <c r="GH429" s="274"/>
      <c r="GI429" s="274"/>
      <c r="GJ429" s="274"/>
      <c r="GK429" s="274"/>
      <c r="GL429" s="274"/>
      <c r="GM429" s="274"/>
      <c r="GN429" s="274"/>
      <c r="GO429" s="274"/>
      <c r="GP429" s="274"/>
      <c r="GQ429" s="274"/>
      <c r="GR429" s="274"/>
      <c r="GS429" s="274"/>
      <c r="GT429" s="274"/>
      <c r="GU429" s="274"/>
      <c r="GV429" s="274"/>
      <c r="GW429" s="274"/>
      <c r="GX429" s="274"/>
      <c r="GY429" s="274"/>
      <c r="GZ429" s="274"/>
      <c r="HA429" s="274"/>
      <c r="HB429" s="274"/>
      <c r="HC429" s="274"/>
      <c r="HD429" s="274"/>
      <c r="HE429" s="274"/>
      <c r="HF429" s="274"/>
      <c r="HG429" s="274"/>
      <c r="HH429" s="274"/>
      <c r="HI429" s="274"/>
      <c r="HJ429" s="274"/>
      <c r="HK429" s="274"/>
      <c r="HL429" s="274"/>
      <c r="HM429" s="274"/>
      <c r="HN429" s="274"/>
      <c r="HO429" s="274"/>
      <c r="HP429" s="274"/>
      <c r="HQ429" s="274"/>
      <c r="HR429" s="274"/>
      <c r="HS429" s="274"/>
      <c r="HT429" s="274"/>
      <c r="HU429" s="274"/>
      <c r="HV429" s="274"/>
      <c r="HW429" s="274"/>
      <c r="HX429" s="274"/>
      <c r="HY429" s="274"/>
      <c r="HZ429" s="274"/>
      <c r="IA429" s="274"/>
      <c r="IB429" s="274"/>
      <c r="IC429" s="274"/>
      <c r="ID429" s="274"/>
      <c r="IE429" s="274"/>
      <c r="IF429" s="274"/>
      <c r="IG429" s="274"/>
      <c r="IH429" s="274"/>
      <c r="II429" s="274"/>
      <c r="IJ429" s="274"/>
      <c r="IK429" s="274"/>
      <c r="IL429" s="274"/>
      <c r="IM429" s="274"/>
      <c r="IN429" s="274"/>
      <c r="IO429" s="274"/>
      <c r="IP429" s="274"/>
      <c r="IQ429" s="274"/>
      <c r="IR429" s="274"/>
      <c r="IS429" s="274"/>
      <c r="IT429" s="274"/>
      <c r="IU429" s="274"/>
      <c r="IV429" s="274"/>
      <c r="IW429" s="274"/>
      <c r="IX429" s="274"/>
      <c r="IY429" s="274"/>
      <c r="IZ429" s="274"/>
      <c r="JA429" s="274"/>
      <c r="JB429" s="274"/>
      <c r="JC429" s="274"/>
      <c r="JD429" s="274"/>
      <c r="JE429" s="274"/>
      <c r="JF429" s="274"/>
      <c r="JG429" s="274"/>
      <c r="JH429" s="274"/>
      <c r="JI429" s="274"/>
      <c r="JJ429" s="274"/>
      <c r="JK429" s="274"/>
      <c r="JL429" s="274"/>
      <c r="JM429" s="274"/>
      <c r="JN429" s="274"/>
      <c r="JO429" s="274"/>
      <c r="JP429" s="274"/>
      <c r="JQ429" s="274"/>
      <c r="JR429" s="274"/>
      <c r="JS429" s="274"/>
      <c r="JT429" s="274"/>
      <c r="JU429" s="274"/>
      <c r="JV429" s="274"/>
      <c r="JW429" s="274"/>
      <c r="JX429" s="274"/>
      <c r="JY429" s="274"/>
      <c r="JZ429" s="274"/>
      <c r="KA429" s="274"/>
      <c r="KB429" s="274"/>
      <c r="KC429" s="274"/>
      <c r="KD429" s="274"/>
      <c r="KE429" s="274"/>
      <c r="KF429" s="274"/>
      <c r="KG429" s="274"/>
      <c r="KH429" s="274"/>
      <c r="KI429" s="274"/>
      <c r="KJ429" s="274"/>
      <c r="KK429" s="274"/>
      <c r="KL429" s="274"/>
      <c r="KM429" s="274"/>
      <c r="KN429" s="274"/>
      <c r="KO429" s="274"/>
      <c r="KP429" s="274"/>
      <c r="KQ429" s="274"/>
      <c r="KR429" s="274"/>
      <c r="KS429" s="274"/>
      <c r="KT429" s="274"/>
      <c r="KU429" s="274"/>
      <c r="KV429" s="274"/>
      <c r="KW429" s="274"/>
      <c r="KX429" s="274"/>
      <c r="KY429" s="274"/>
      <c r="KZ429" s="274"/>
      <c r="LA429" s="274"/>
      <c r="LB429" s="274"/>
      <c r="LC429" s="274"/>
      <c r="LD429" s="274"/>
      <c r="LE429" s="274"/>
      <c r="LF429" s="274"/>
      <c r="LG429" s="274"/>
      <c r="LH429" s="274"/>
      <c r="LI429" s="274"/>
      <c r="LJ429" s="274"/>
      <c r="LK429" s="274"/>
      <c r="LL429" s="274"/>
      <c r="LM429" s="274"/>
      <c r="LN429" s="274"/>
      <c r="LO429" s="274"/>
      <c r="LP429" s="274"/>
      <c r="LQ429" s="274"/>
      <c r="LR429" s="274"/>
      <c r="LS429" s="274"/>
      <c r="LT429" s="274"/>
      <c r="LU429" s="274"/>
      <c r="LV429" s="274"/>
      <c r="LW429" s="274"/>
      <c r="LX429" s="274"/>
      <c r="LY429" s="274"/>
      <c r="LZ429" s="274"/>
      <c r="MA429" s="274"/>
      <c r="MB429" s="274"/>
      <c r="MC429" s="274"/>
      <c r="MD429" s="274"/>
      <c r="ME429" s="274"/>
      <c r="MF429" s="274"/>
      <c r="MG429" s="274"/>
      <c r="MH429" s="274"/>
      <c r="MI429" s="274"/>
      <c r="MJ429" s="274"/>
      <c r="MK429" s="274"/>
      <c r="ML429" s="274"/>
      <c r="MM429" s="274"/>
      <c r="MN429" s="274"/>
      <c r="MO429" s="274"/>
      <c r="MP429" s="274"/>
      <c r="MQ429" s="274"/>
      <c r="MR429" s="274"/>
      <c r="MS429" s="274"/>
      <c r="MT429" s="274"/>
      <c r="MU429" s="274"/>
      <c r="MV429" s="274"/>
      <c r="MW429" s="274"/>
      <c r="MX429" s="274"/>
      <c r="MY429" s="274"/>
      <c r="MZ429" s="274"/>
      <c r="NA429" s="274"/>
      <c r="NB429" s="274"/>
      <c r="NC429" s="274"/>
      <c r="ND429" s="274"/>
      <c r="NE429" s="274"/>
      <c r="NF429" s="274"/>
      <c r="NG429" s="274"/>
      <c r="NH429" s="274"/>
      <c r="NI429" s="274"/>
      <c r="NJ429" s="274"/>
      <c r="NK429" s="274"/>
      <c r="NL429" s="274"/>
      <c r="NM429" s="274"/>
      <c r="NN429" s="274"/>
      <c r="NO429" s="274"/>
      <c r="NP429" s="274"/>
      <c r="NQ429" s="274"/>
      <c r="NR429" s="274"/>
      <c r="NS429" s="274"/>
      <c r="NT429" s="274"/>
      <c r="NU429" s="274"/>
      <c r="NV429" s="274"/>
      <c r="NW429" s="274"/>
      <c r="NX429" s="274"/>
      <c r="NY429" s="274"/>
      <c r="NZ429" s="274"/>
      <c r="OA429" s="274"/>
      <c r="OB429" s="274"/>
      <c r="OC429" s="274"/>
      <c r="OD429" s="274"/>
      <c r="OE429" s="274"/>
      <c r="OF429" s="274"/>
      <c r="OG429" s="274"/>
      <c r="OH429" s="274"/>
      <c r="OI429" s="274"/>
      <c r="OJ429" s="274"/>
      <c r="OK429" s="274"/>
      <c r="OL429" s="274"/>
      <c r="OM429" s="274"/>
      <c r="ON429" s="274"/>
      <c r="OO429" s="274"/>
      <c r="OP429" s="274"/>
      <c r="OQ429" s="274"/>
      <c r="OR429" s="274"/>
      <c r="OS429" s="274"/>
      <c r="OT429" s="274"/>
      <c r="OU429" s="274"/>
      <c r="OV429" s="274"/>
      <c r="OW429" s="274"/>
      <c r="OX429" s="274"/>
      <c r="OY429" s="274"/>
      <c r="OZ429" s="274"/>
      <c r="PA429" s="274"/>
      <c r="PB429" s="274"/>
      <c r="PC429" s="274"/>
      <c r="PD429" s="274"/>
      <c r="PE429" s="274"/>
      <c r="PF429" s="274"/>
      <c r="PG429" s="274"/>
      <c r="PH429" s="274"/>
      <c r="PI429" s="274"/>
      <c r="PJ429" s="274"/>
      <c r="PK429" s="274"/>
      <c r="PL429" s="274"/>
      <c r="PM429" s="274"/>
      <c r="PN429" s="274"/>
      <c r="PO429" s="274"/>
      <c r="PP429" s="274"/>
      <c r="PQ429" s="274"/>
      <c r="PR429" s="274"/>
      <c r="PS429" s="274"/>
      <c r="PT429" s="274"/>
      <c r="PU429" s="274"/>
      <c r="PV429" s="274"/>
      <c r="PW429" s="274"/>
      <c r="PX429" s="274"/>
      <c r="PY429" s="274"/>
      <c r="PZ429" s="274"/>
      <c r="QA429" s="274"/>
      <c r="QB429" s="274"/>
      <c r="QC429" s="274"/>
      <c r="QD429" s="274"/>
      <c r="QE429" s="274"/>
      <c r="QF429" s="274"/>
      <c r="QG429" s="274"/>
      <c r="QH429" s="274"/>
      <c r="QI429" s="274"/>
      <c r="QJ429" s="274"/>
      <c r="QK429" s="274"/>
      <c r="QL429" s="274"/>
      <c r="QM429" s="274"/>
      <c r="QN429" s="274"/>
      <c r="QO429" s="274"/>
      <c r="QP429" s="274"/>
      <c r="QQ429" s="274"/>
      <c r="QR429" s="274"/>
      <c r="QS429" s="274"/>
      <c r="QT429" s="274"/>
      <c r="QU429" s="274"/>
      <c r="QV429" s="274"/>
      <c r="QW429" s="274"/>
      <c r="QX429" s="274"/>
      <c r="QY429" s="274"/>
      <c r="QZ429" s="274"/>
      <c r="RA429" s="274"/>
      <c r="RB429" s="274"/>
      <c r="RC429" s="274"/>
    </row>
    <row r="430" spans="112:471" ht="17.25">
      <c r="DH430" s="274"/>
      <c r="DI430" s="274"/>
      <c r="DJ430" s="978"/>
      <c r="DK430" s="274"/>
      <c r="DL430" s="274"/>
      <c r="DM430" s="274"/>
      <c r="DN430" s="274"/>
      <c r="DO430" s="274"/>
      <c r="DP430" s="274"/>
      <c r="DQ430" s="274"/>
      <c r="DR430" s="274"/>
      <c r="DS430" s="274"/>
      <c r="DT430" s="274"/>
      <c r="DU430" s="274"/>
      <c r="DV430" s="274"/>
      <c r="DW430" s="274"/>
      <c r="DX430" s="274"/>
      <c r="DY430" s="274"/>
      <c r="DZ430" s="274"/>
      <c r="EA430" s="274"/>
      <c r="EB430" s="274"/>
      <c r="EC430" s="274"/>
      <c r="ED430" s="274"/>
      <c r="EE430" s="274"/>
      <c r="EF430" s="274"/>
      <c r="EG430" s="274"/>
      <c r="EH430" s="274"/>
      <c r="EI430" s="274"/>
      <c r="EJ430" s="274"/>
      <c r="EK430" s="274"/>
      <c r="EL430" s="274"/>
      <c r="EM430" s="274"/>
      <c r="EN430" s="274"/>
      <c r="EO430" s="274"/>
      <c r="EP430" s="274"/>
      <c r="EQ430" s="274"/>
      <c r="ER430" s="274"/>
      <c r="ES430" s="274"/>
      <c r="ET430" s="274"/>
      <c r="EU430" s="274"/>
      <c r="EV430" s="274"/>
      <c r="EW430" s="274"/>
      <c r="EX430" s="274"/>
      <c r="EY430" s="274"/>
      <c r="EZ430" s="274"/>
      <c r="FA430" s="274"/>
      <c r="FB430" s="274"/>
      <c r="FC430" s="274"/>
      <c r="FD430" s="274"/>
      <c r="FE430" s="274"/>
      <c r="FF430" s="274"/>
      <c r="FG430" s="274"/>
      <c r="FH430" s="274"/>
      <c r="FI430" s="274"/>
      <c r="FJ430" s="274"/>
      <c r="FK430" s="274"/>
      <c r="FL430" s="274"/>
      <c r="FM430" s="274"/>
      <c r="FN430" s="274"/>
      <c r="FO430" s="274"/>
      <c r="FP430" s="274"/>
      <c r="FQ430" s="274"/>
      <c r="FR430" s="274"/>
      <c r="FS430" s="274"/>
      <c r="FT430" s="274"/>
      <c r="FU430" s="274"/>
      <c r="FV430" s="274"/>
      <c r="FW430" s="274"/>
      <c r="FX430" s="274"/>
      <c r="FY430" s="274"/>
      <c r="FZ430" s="274"/>
      <c r="GA430" s="274"/>
      <c r="GB430" s="274"/>
      <c r="GC430" s="274"/>
      <c r="GD430" s="274"/>
      <c r="GE430" s="274"/>
      <c r="GF430" s="274"/>
      <c r="GG430" s="274"/>
      <c r="GH430" s="274"/>
      <c r="GI430" s="274"/>
      <c r="GJ430" s="274"/>
      <c r="GK430" s="274"/>
      <c r="GL430" s="274"/>
      <c r="GM430" s="274"/>
      <c r="GN430" s="274"/>
      <c r="GO430" s="274"/>
      <c r="GP430" s="274"/>
      <c r="GQ430" s="274"/>
      <c r="GR430" s="274"/>
      <c r="GS430" s="274"/>
      <c r="GT430" s="274"/>
      <c r="GU430" s="274"/>
      <c r="GV430" s="274"/>
      <c r="GW430" s="274"/>
      <c r="GX430" s="274"/>
      <c r="GY430" s="274"/>
      <c r="GZ430" s="274"/>
      <c r="HA430" s="274"/>
      <c r="HB430" s="274"/>
      <c r="HC430" s="274"/>
      <c r="HD430" s="274"/>
      <c r="HE430" s="274"/>
      <c r="HF430" s="274"/>
      <c r="HG430" s="274"/>
      <c r="HH430" s="274"/>
      <c r="HI430" s="274"/>
      <c r="HJ430" s="274"/>
      <c r="HK430" s="274"/>
      <c r="HL430" s="274"/>
      <c r="HM430" s="274"/>
      <c r="HN430" s="274"/>
      <c r="HO430" s="274"/>
      <c r="HP430" s="274"/>
      <c r="HQ430" s="274"/>
      <c r="HR430" s="274"/>
      <c r="HS430" s="274"/>
      <c r="HT430" s="274"/>
      <c r="HU430" s="274"/>
      <c r="HV430" s="274"/>
      <c r="HW430" s="274"/>
      <c r="HX430" s="274"/>
      <c r="HY430" s="274"/>
      <c r="HZ430" s="274"/>
      <c r="IA430" s="274"/>
      <c r="IB430" s="274"/>
      <c r="IC430" s="274"/>
      <c r="ID430" s="274"/>
      <c r="IE430" s="274"/>
      <c r="IF430" s="274"/>
      <c r="IG430" s="274"/>
      <c r="IH430" s="274"/>
      <c r="II430" s="274"/>
      <c r="IJ430" s="274"/>
      <c r="IK430" s="274"/>
      <c r="IL430" s="274"/>
      <c r="IM430" s="274"/>
      <c r="IN430" s="274"/>
      <c r="IO430" s="274"/>
      <c r="IP430" s="274"/>
      <c r="IQ430" s="274"/>
      <c r="IR430" s="274"/>
      <c r="IS430" s="274"/>
      <c r="IT430" s="274"/>
      <c r="IU430" s="274"/>
      <c r="IV430" s="274"/>
      <c r="IW430" s="274"/>
      <c r="IX430" s="274"/>
      <c r="IY430" s="274"/>
      <c r="IZ430" s="274"/>
      <c r="JA430" s="274"/>
      <c r="JB430" s="274"/>
      <c r="JC430" s="274"/>
      <c r="JD430" s="274"/>
      <c r="JE430" s="274"/>
      <c r="JF430" s="274"/>
      <c r="JG430" s="274"/>
      <c r="JH430" s="274"/>
      <c r="JI430" s="274"/>
      <c r="JJ430" s="274"/>
      <c r="JK430" s="274"/>
      <c r="JL430" s="274"/>
      <c r="JM430" s="274"/>
      <c r="JN430" s="274"/>
      <c r="JO430" s="274"/>
      <c r="JP430" s="274"/>
      <c r="JQ430" s="274"/>
      <c r="JR430" s="274"/>
      <c r="JS430" s="274"/>
      <c r="JT430" s="274"/>
      <c r="JU430" s="274"/>
      <c r="JV430" s="274"/>
      <c r="JW430" s="274"/>
      <c r="JX430" s="274"/>
      <c r="JY430" s="274"/>
      <c r="JZ430" s="274"/>
      <c r="KA430" s="274"/>
      <c r="KB430" s="274"/>
      <c r="KC430" s="274"/>
      <c r="KD430" s="274"/>
      <c r="KE430" s="274"/>
      <c r="KF430" s="274"/>
      <c r="KG430" s="274"/>
      <c r="KH430" s="274"/>
      <c r="KI430" s="274"/>
      <c r="KJ430" s="274"/>
      <c r="KK430" s="274"/>
      <c r="KL430" s="274"/>
      <c r="KM430" s="274"/>
      <c r="KN430" s="274"/>
      <c r="KO430" s="274"/>
      <c r="KP430" s="274"/>
      <c r="KQ430" s="274"/>
      <c r="KR430" s="274"/>
      <c r="KS430" s="274"/>
      <c r="KT430" s="274"/>
      <c r="KU430" s="274"/>
      <c r="KV430" s="274"/>
      <c r="KW430" s="274"/>
      <c r="KX430" s="274"/>
      <c r="KY430" s="274"/>
      <c r="KZ430" s="274"/>
      <c r="LA430" s="274"/>
      <c r="LB430" s="274"/>
      <c r="LC430" s="274"/>
      <c r="LD430" s="274"/>
      <c r="LE430" s="274"/>
      <c r="LF430" s="274"/>
      <c r="LG430" s="274"/>
      <c r="LH430" s="274"/>
      <c r="LI430" s="274"/>
      <c r="LJ430" s="274"/>
      <c r="LK430" s="274"/>
      <c r="LL430" s="274"/>
      <c r="LM430" s="274"/>
      <c r="LN430" s="274"/>
      <c r="LO430" s="274"/>
      <c r="LP430" s="274"/>
      <c r="LQ430" s="274"/>
      <c r="LR430" s="274"/>
      <c r="LS430" s="274"/>
      <c r="LT430" s="274"/>
      <c r="LU430" s="274"/>
      <c r="LV430" s="274"/>
      <c r="LW430" s="274"/>
      <c r="LX430" s="274"/>
      <c r="LY430" s="274"/>
      <c r="LZ430" s="274"/>
      <c r="MA430" s="274"/>
      <c r="MB430" s="274"/>
      <c r="MC430" s="274"/>
      <c r="MD430" s="274"/>
      <c r="ME430" s="274"/>
      <c r="MF430" s="274"/>
      <c r="MG430" s="274"/>
      <c r="MH430" s="274"/>
      <c r="MI430" s="274"/>
      <c r="MJ430" s="274"/>
      <c r="MK430" s="274"/>
      <c r="ML430" s="274"/>
      <c r="MM430" s="274"/>
      <c r="MN430" s="274"/>
      <c r="MO430" s="274"/>
      <c r="MP430" s="274"/>
      <c r="MQ430" s="274"/>
      <c r="MR430" s="274"/>
      <c r="MS430" s="274"/>
      <c r="MT430" s="274"/>
      <c r="MU430" s="274"/>
      <c r="MV430" s="274"/>
      <c r="MW430" s="274"/>
      <c r="MX430" s="274"/>
      <c r="MY430" s="274"/>
      <c r="MZ430" s="274"/>
      <c r="NA430" s="274"/>
      <c r="NB430" s="274"/>
      <c r="NC430" s="274"/>
      <c r="ND430" s="274"/>
      <c r="NE430" s="274"/>
      <c r="NF430" s="274"/>
      <c r="NG430" s="274"/>
      <c r="NH430" s="274"/>
      <c r="NI430" s="274"/>
      <c r="NJ430" s="274"/>
      <c r="NK430" s="274"/>
      <c r="NL430" s="274"/>
      <c r="NM430" s="274"/>
      <c r="NN430" s="274"/>
      <c r="NO430" s="274"/>
      <c r="NP430" s="274"/>
      <c r="NQ430" s="274"/>
      <c r="NR430" s="274"/>
      <c r="NS430" s="274"/>
      <c r="NT430" s="274"/>
      <c r="NU430" s="274"/>
      <c r="NV430" s="274"/>
      <c r="NW430" s="274"/>
      <c r="NX430" s="274"/>
      <c r="NY430" s="274"/>
      <c r="NZ430" s="274"/>
      <c r="OA430" s="274"/>
      <c r="OB430" s="274"/>
      <c r="OC430" s="274"/>
      <c r="OD430" s="274"/>
      <c r="OE430" s="274"/>
      <c r="OF430" s="274"/>
      <c r="OG430" s="274"/>
      <c r="OH430" s="274"/>
      <c r="OI430" s="274"/>
      <c r="OJ430" s="274"/>
      <c r="OK430" s="274"/>
      <c r="OL430" s="274"/>
      <c r="OM430" s="274"/>
      <c r="ON430" s="274"/>
      <c r="OO430" s="274"/>
      <c r="OP430" s="274"/>
      <c r="OQ430" s="274"/>
      <c r="OR430" s="274"/>
      <c r="OS430" s="274"/>
      <c r="OT430" s="274"/>
      <c r="OU430" s="274"/>
      <c r="OV430" s="274"/>
      <c r="OW430" s="274"/>
      <c r="OX430" s="274"/>
      <c r="OY430" s="274"/>
      <c r="OZ430" s="274"/>
      <c r="PA430" s="274"/>
      <c r="PB430" s="274"/>
      <c r="PC430" s="274"/>
      <c r="PD430" s="274"/>
      <c r="PE430" s="274"/>
      <c r="PF430" s="274"/>
      <c r="PG430" s="274"/>
      <c r="PH430" s="274"/>
      <c r="PI430" s="274"/>
      <c r="PJ430" s="274"/>
      <c r="PK430" s="274"/>
      <c r="PL430" s="274"/>
      <c r="PM430" s="274"/>
      <c r="PN430" s="274"/>
      <c r="PO430" s="274"/>
      <c r="PP430" s="274"/>
      <c r="PQ430" s="274"/>
      <c r="PR430" s="274"/>
      <c r="PS430" s="274"/>
      <c r="PT430" s="274"/>
      <c r="PU430" s="274"/>
      <c r="PV430" s="274"/>
      <c r="PW430" s="274"/>
      <c r="PX430" s="274"/>
      <c r="PY430" s="274"/>
      <c r="PZ430" s="274"/>
      <c r="QA430" s="274"/>
      <c r="QB430" s="274"/>
      <c r="QC430" s="274"/>
      <c r="QD430" s="274"/>
      <c r="QE430" s="274"/>
      <c r="QF430" s="274"/>
      <c r="QG430" s="274"/>
      <c r="QH430" s="274"/>
      <c r="QI430" s="274"/>
      <c r="QJ430" s="274"/>
      <c r="QK430" s="274"/>
      <c r="QL430" s="274"/>
      <c r="QM430" s="274"/>
      <c r="QN430" s="274"/>
      <c r="QO430" s="274"/>
      <c r="QP430" s="274"/>
      <c r="QQ430" s="274"/>
      <c r="QR430" s="274"/>
      <c r="QS430" s="274"/>
      <c r="QT430" s="274"/>
      <c r="QU430" s="274"/>
      <c r="QV430" s="274"/>
      <c r="QW430" s="274"/>
      <c r="QX430" s="274"/>
      <c r="QY430" s="274"/>
      <c r="QZ430" s="274"/>
      <c r="RA430" s="274"/>
      <c r="RB430" s="274"/>
      <c r="RC430" s="274"/>
    </row>
    <row r="431" spans="112:471" ht="17.25">
      <c r="DH431" s="274"/>
      <c r="DI431" s="274"/>
      <c r="DJ431" s="978"/>
      <c r="DK431" s="978"/>
      <c r="DL431" s="978"/>
      <c r="DM431" s="978"/>
      <c r="DN431" s="978"/>
      <c r="DO431" s="978"/>
      <c r="DP431" s="978"/>
      <c r="DQ431" s="978"/>
      <c r="DR431" s="978"/>
      <c r="DS431" s="978"/>
      <c r="DT431" s="978"/>
      <c r="DU431" s="978"/>
      <c r="DV431" s="978"/>
      <c r="DW431" s="978"/>
      <c r="DX431" s="978"/>
      <c r="DY431" s="978"/>
      <c r="DZ431" s="978"/>
      <c r="EA431" s="978"/>
      <c r="EB431" s="978"/>
      <c r="EC431" s="978"/>
      <c r="ED431" s="978"/>
      <c r="EE431" s="978"/>
      <c r="EF431" s="978"/>
      <c r="EG431" s="978"/>
      <c r="EH431" s="978"/>
      <c r="EI431" s="978"/>
      <c r="EJ431" s="978"/>
      <c r="EK431" s="978"/>
      <c r="EL431" s="978"/>
      <c r="EM431" s="978"/>
      <c r="EN431" s="978"/>
      <c r="EO431" s="978"/>
      <c r="EP431" s="978"/>
      <c r="EQ431" s="978"/>
      <c r="ER431" s="978"/>
      <c r="ES431" s="978"/>
      <c r="ET431" s="978"/>
      <c r="EU431" s="978"/>
      <c r="EV431" s="978"/>
      <c r="EW431" s="978"/>
      <c r="EX431" s="978"/>
      <c r="EY431" s="978"/>
      <c r="EZ431" s="978"/>
      <c r="FA431" s="978"/>
      <c r="FB431" s="978"/>
      <c r="FC431" s="978"/>
      <c r="FD431" s="978"/>
      <c r="FE431" s="978"/>
      <c r="FF431" s="978"/>
      <c r="FG431" s="978"/>
      <c r="FH431" s="978"/>
      <c r="FI431" s="978"/>
      <c r="FJ431" s="978"/>
      <c r="FK431" s="978"/>
      <c r="FL431" s="978"/>
      <c r="FM431" s="978"/>
      <c r="FN431" s="978"/>
      <c r="FO431" s="978"/>
      <c r="FP431" s="978"/>
      <c r="FQ431" s="978"/>
      <c r="FR431" s="978"/>
      <c r="FS431" s="978"/>
      <c r="FT431" s="978"/>
      <c r="FU431" s="978"/>
      <c r="FV431" s="978"/>
      <c r="FW431" s="978"/>
      <c r="FX431" s="978"/>
      <c r="FY431" s="978"/>
      <c r="FZ431" s="978"/>
      <c r="GA431" s="978"/>
      <c r="GB431" s="978"/>
      <c r="GC431" s="978"/>
      <c r="GD431" s="978"/>
      <c r="GE431" s="978"/>
      <c r="GF431" s="978"/>
      <c r="GG431" s="978"/>
      <c r="GH431" s="978"/>
      <c r="GI431" s="978"/>
      <c r="GJ431" s="978"/>
      <c r="GK431" s="978"/>
      <c r="GL431" s="978"/>
      <c r="GM431" s="978"/>
      <c r="GN431" s="978"/>
      <c r="GO431" s="978"/>
      <c r="GP431" s="978"/>
      <c r="GQ431" s="978"/>
      <c r="GR431" s="978"/>
      <c r="GS431" s="978"/>
      <c r="GT431" s="978"/>
      <c r="GU431" s="978"/>
      <c r="GV431" s="978"/>
      <c r="GW431" s="978"/>
      <c r="GX431" s="978"/>
      <c r="GY431" s="978"/>
      <c r="GZ431" s="978"/>
      <c r="HA431" s="978"/>
      <c r="HB431" s="978"/>
      <c r="HC431" s="978"/>
      <c r="HD431" s="978"/>
      <c r="HE431" s="978"/>
      <c r="HF431" s="978"/>
      <c r="HG431" s="978"/>
      <c r="HH431" s="978"/>
      <c r="HI431" s="978"/>
      <c r="HJ431" s="978"/>
      <c r="HK431" s="978"/>
      <c r="HL431" s="978"/>
      <c r="HM431" s="978"/>
      <c r="HN431" s="978"/>
      <c r="HO431" s="978"/>
      <c r="HP431" s="978"/>
      <c r="HQ431" s="978"/>
      <c r="HR431" s="978"/>
      <c r="HS431" s="978"/>
      <c r="HT431" s="978"/>
      <c r="HU431" s="978"/>
      <c r="HV431" s="978"/>
      <c r="HW431" s="978"/>
      <c r="HX431" s="978"/>
      <c r="HY431" s="978"/>
      <c r="HZ431" s="978"/>
      <c r="IA431" s="978"/>
      <c r="IB431" s="978"/>
      <c r="IC431" s="978"/>
      <c r="ID431" s="978"/>
      <c r="IE431" s="978"/>
      <c r="IF431" s="978"/>
      <c r="IG431" s="978"/>
      <c r="IH431" s="978"/>
      <c r="II431" s="978"/>
      <c r="IJ431" s="978"/>
      <c r="IK431" s="978"/>
      <c r="IL431" s="978"/>
      <c r="IM431" s="978"/>
      <c r="IN431" s="978"/>
      <c r="IO431" s="978"/>
      <c r="IP431" s="978"/>
      <c r="IQ431" s="978"/>
      <c r="IR431" s="978"/>
      <c r="IS431" s="978"/>
      <c r="IT431" s="978"/>
      <c r="IU431" s="978"/>
      <c r="IV431" s="978"/>
      <c r="IW431" s="978"/>
      <c r="IX431" s="978"/>
      <c r="IY431" s="978"/>
      <c r="IZ431" s="978"/>
      <c r="JA431" s="978"/>
      <c r="JB431" s="978"/>
      <c r="JC431" s="978"/>
      <c r="JD431" s="978"/>
      <c r="JE431" s="978"/>
      <c r="JF431" s="978"/>
      <c r="JG431" s="978"/>
      <c r="JH431" s="978"/>
      <c r="JI431" s="978"/>
      <c r="JJ431" s="978"/>
      <c r="JK431" s="978"/>
      <c r="JL431" s="978"/>
      <c r="JM431" s="978"/>
      <c r="JN431" s="978"/>
      <c r="JO431" s="978"/>
      <c r="JP431" s="978"/>
      <c r="JQ431" s="978"/>
      <c r="JR431" s="978"/>
      <c r="JS431" s="978"/>
      <c r="JT431" s="978"/>
      <c r="JU431" s="978"/>
      <c r="JV431" s="978"/>
      <c r="JW431" s="978"/>
      <c r="JX431" s="978"/>
      <c r="JY431" s="978"/>
      <c r="JZ431" s="978"/>
      <c r="KA431" s="978"/>
      <c r="KB431" s="978"/>
      <c r="KC431" s="978"/>
      <c r="KD431" s="978"/>
      <c r="KE431" s="978"/>
      <c r="KF431" s="978"/>
      <c r="KG431" s="978"/>
      <c r="KH431" s="978"/>
      <c r="KI431" s="978"/>
      <c r="KJ431" s="978"/>
      <c r="KK431" s="978"/>
      <c r="KL431" s="978"/>
      <c r="KM431" s="978"/>
      <c r="KN431" s="978"/>
      <c r="KO431" s="978"/>
      <c r="KP431" s="978"/>
      <c r="KQ431" s="978"/>
      <c r="KR431" s="978"/>
      <c r="KS431" s="978"/>
      <c r="KT431" s="978"/>
      <c r="KU431" s="978"/>
      <c r="KV431" s="978"/>
      <c r="KW431" s="978"/>
      <c r="KX431" s="978"/>
      <c r="KY431" s="978"/>
      <c r="KZ431" s="978"/>
      <c r="LA431" s="978"/>
      <c r="LB431" s="978"/>
      <c r="LC431" s="978"/>
      <c r="LD431" s="978"/>
      <c r="LE431" s="978"/>
      <c r="LF431" s="978"/>
      <c r="LG431" s="978"/>
      <c r="LH431" s="978"/>
      <c r="LI431" s="978"/>
      <c r="LJ431" s="978"/>
      <c r="LK431" s="978"/>
      <c r="LL431" s="978"/>
      <c r="LM431" s="978"/>
      <c r="LN431" s="978"/>
      <c r="LO431" s="978"/>
      <c r="LP431" s="978"/>
      <c r="LQ431" s="978"/>
      <c r="LR431" s="978"/>
      <c r="LS431" s="978"/>
      <c r="LT431" s="978"/>
      <c r="LU431" s="978"/>
      <c r="LV431" s="978"/>
      <c r="LW431" s="978"/>
      <c r="LX431" s="978"/>
      <c r="LY431" s="978"/>
      <c r="LZ431" s="978"/>
      <c r="MA431" s="978"/>
      <c r="MB431" s="978"/>
      <c r="MC431" s="978"/>
      <c r="MD431" s="978"/>
      <c r="ME431" s="978"/>
      <c r="MF431" s="978"/>
      <c r="MG431" s="978"/>
      <c r="MH431" s="978"/>
      <c r="MI431" s="978"/>
      <c r="MJ431" s="978"/>
      <c r="MK431" s="978"/>
      <c r="ML431" s="978"/>
      <c r="MM431" s="978"/>
      <c r="MN431" s="978"/>
      <c r="MO431" s="978"/>
      <c r="MP431" s="978"/>
      <c r="MQ431" s="978"/>
      <c r="MR431" s="978"/>
      <c r="MS431" s="978"/>
      <c r="MT431" s="978"/>
      <c r="MU431" s="978"/>
      <c r="MV431" s="978"/>
      <c r="MW431" s="978"/>
      <c r="MX431" s="978"/>
      <c r="MY431" s="978"/>
      <c r="MZ431" s="978"/>
      <c r="NA431" s="978"/>
      <c r="NB431" s="978"/>
      <c r="NC431" s="978"/>
      <c r="ND431" s="978"/>
      <c r="NE431" s="978"/>
      <c r="NF431" s="978"/>
      <c r="NG431" s="978"/>
      <c r="NH431" s="978"/>
      <c r="NI431" s="978"/>
      <c r="NJ431" s="978"/>
      <c r="NK431" s="978"/>
      <c r="NL431" s="978"/>
      <c r="NM431" s="978"/>
      <c r="NN431" s="978"/>
      <c r="NO431" s="978"/>
      <c r="NP431" s="978"/>
      <c r="NQ431" s="978"/>
      <c r="NR431" s="978"/>
      <c r="NS431" s="978"/>
      <c r="NT431" s="978"/>
      <c r="NU431" s="978"/>
      <c r="NV431" s="978"/>
      <c r="NW431" s="978"/>
      <c r="NX431" s="978"/>
      <c r="NY431" s="978"/>
      <c r="NZ431" s="978"/>
      <c r="OA431" s="978"/>
      <c r="OB431" s="978"/>
      <c r="OC431" s="978"/>
      <c r="OD431" s="978"/>
      <c r="OE431" s="978"/>
      <c r="OF431" s="978"/>
      <c r="OG431" s="978"/>
      <c r="OH431" s="978"/>
      <c r="OI431" s="978"/>
      <c r="OJ431" s="978"/>
      <c r="OK431" s="978"/>
      <c r="OL431" s="978"/>
      <c r="OM431" s="978"/>
      <c r="ON431" s="978"/>
      <c r="OO431" s="978"/>
      <c r="OP431" s="978"/>
      <c r="OQ431" s="978"/>
      <c r="OR431" s="978"/>
      <c r="OS431" s="978"/>
      <c r="OT431" s="978"/>
      <c r="OU431" s="978"/>
      <c r="OV431" s="978"/>
      <c r="OW431" s="978"/>
      <c r="OX431" s="978"/>
      <c r="OY431" s="978"/>
      <c r="OZ431" s="978"/>
      <c r="PA431" s="978"/>
      <c r="PB431" s="978"/>
      <c r="PC431" s="978"/>
      <c r="PD431" s="978"/>
      <c r="PE431" s="978"/>
      <c r="PF431" s="978"/>
      <c r="PG431" s="978"/>
      <c r="PH431" s="978"/>
      <c r="PI431" s="978"/>
      <c r="PJ431" s="978"/>
      <c r="PK431" s="978"/>
      <c r="PL431" s="978"/>
      <c r="PM431" s="978"/>
      <c r="PN431" s="978"/>
      <c r="PO431" s="978"/>
      <c r="PP431" s="978"/>
      <c r="PQ431" s="978"/>
      <c r="PR431" s="978"/>
      <c r="PS431" s="978"/>
      <c r="PT431" s="978"/>
      <c r="PU431" s="978"/>
      <c r="PV431" s="978"/>
      <c r="PW431" s="978"/>
      <c r="PX431" s="978"/>
      <c r="PY431" s="978"/>
      <c r="PZ431" s="978"/>
      <c r="QA431" s="978"/>
      <c r="QB431" s="978"/>
      <c r="QC431" s="978"/>
      <c r="QD431" s="978"/>
      <c r="QE431" s="978"/>
      <c r="QF431" s="978"/>
      <c r="QG431" s="978"/>
      <c r="QH431" s="978"/>
      <c r="QI431" s="978"/>
      <c r="QJ431" s="978"/>
      <c r="QK431" s="978"/>
      <c r="QL431" s="978"/>
      <c r="QM431" s="978"/>
      <c r="QN431" s="978"/>
      <c r="QO431" s="978"/>
      <c r="QP431" s="978"/>
      <c r="QQ431" s="978"/>
      <c r="QR431" s="978"/>
      <c r="QS431" s="978"/>
      <c r="QT431" s="978"/>
      <c r="QU431" s="978"/>
      <c r="QV431" s="978"/>
      <c r="QW431" s="978"/>
      <c r="QX431" s="978"/>
      <c r="QY431" s="978"/>
      <c r="QZ431" s="978"/>
      <c r="RA431" s="978"/>
      <c r="RB431" s="274"/>
      <c r="RC431" s="274"/>
    </row>
    <row r="432" spans="112:471" ht="17.25">
      <c r="DH432" s="274"/>
      <c r="DI432" s="274"/>
      <c r="DJ432" s="978"/>
      <c r="DK432" s="978"/>
      <c r="DL432" s="978"/>
      <c r="DM432" s="978"/>
      <c r="DN432" s="978"/>
      <c r="DO432" s="978"/>
      <c r="DP432" s="978"/>
      <c r="DQ432" s="978"/>
      <c r="DR432" s="978"/>
      <c r="DS432" s="978"/>
      <c r="DT432" s="978"/>
      <c r="DU432" s="978"/>
      <c r="DV432" s="978"/>
      <c r="DW432" s="978"/>
      <c r="DX432" s="978"/>
      <c r="DY432" s="978"/>
      <c r="DZ432" s="978"/>
      <c r="EA432" s="978"/>
      <c r="EB432" s="978"/>
      <c r="EC432" s="978"/>
      <c r="ED432" s="978"/>
      <c r="EE432" s="978"/>
      <c r="EF432" s="978"/>
      <c r="EG432" s="978"/>
      <c r="EH432" s="978"/>
      <c r="EI432" s="978"/>
      <c r="EJ432" s="978"/>
      <c r="EK432" s="978"/>
      <c r="EL432" s="978"/>
      <c r="EM432" s="978"/>
      <c r="EN432" s="978"/>
      <c r="EO432" s="978"/>
      <c r="EP432" s="978"/>
      <c r="EQ432" s="978"/>
      <c r="ER432" s="978"/>
      <c r="ES432" s="978"/>
      <c r="ET432" s="978"/>
      <c r="EU432" s="978"/>
      <c r="EV432" s="978"/>
      <c r="EW432" s="978"/>
      <c r="EX432" s="978"/>
      <c r="EY432" s="978"/>
      <c r="EZ432" s="978"/>
      <c r="FA432" s="978"/>
      <c r="FB432" s="978"/>
      <c r="FC432" s="978"/>
      <c r="FD432" s="978"/>
      <c r="FE432" s="978"/>
      <c r="FF432" s="978"/>
      <c r="FG432" s="978"/>
      <c r="FH432" s="978"/>
      <c r="FI432" s="978"/>
      <c r="FJ432" s="978"/>
      <c r="FK432" s="978"/>
      <c r="FL432" s="978"/>
      <c r="FM432" s="978"/>
      <c r="FN432" s="978"/>
      <c r="FO432" s="978"/>
      <c r="FP432" s="978"/>
      <c r="FQ432" s="978"/>
      <c r="FR432" s="978"/>
      <c r="FS432" s="978"/>
      <c r="FT432" s="978"/>
      <c r="FU432" s="978"/>
      <c r="FV432" s="978"/>
      <c r="FW432" s="978"/>
      <c r="FX432" s="978"/>
      <c r="FY432" s="978"/>
      <c r="FZ432" s="978"/>
      <c r="GA432" s="978"/>
      <c r="GB432" s="978"/>
      <c r="GC432" s="978"/>
      <c r="GD432" s="978"/>
      <c r="GE432" s="978"/>
      <c r="GF432" s="978"/>
      <c r="GG432" s="978"/>
      <c r="GH432" s="978"/>
      <c r="GI432" s="978"/>
      <c r="GJ432" s="978"/>
      <c r="GK432" s="978"/>
      <c r="GL432" s="978"/>
      <c r="GM432" s="978"/>
      <c r="GN432" s="978"/>
      <c r="GO432" s="978"/>
      <c r="GP432" s="978"/>
      <c r="GQ432" s="978"/>
      <c r="GR432" s="978"/>
      <c r="GS432" s="978"/>
      <c r="GT432" s="978"/>
      <c r="GU432" s="978"/>
      <c r="GV432" s="978"/>
      <c r="GW432" s="978"/>
      <c r="GX432" s="978"/>
      <c r="GY432" s="978"/>
      <c r="GZ432" s="978"/>
      <c r="HA432" s="978"/>
      <c r="HB432" s="978"/>
      <c r="HC432" s="978"/>
      <c r="HD432" s="978"/>
      <c r="HE432" s="978"/>
      <c r="HF432" s="978"/>
      <c r="HG432" s="978"/>
      <c r="HH432" s="978"/>
      <c r="HI432" s="978"/>
      <c r="HJ432" s="978"/>
      <c r="HK432" s="978"/>
      <c r="HL432" s="978"/>
      <c r="HM432" s="978"/>
      <c r="HN432" s="978"/>
      <c r="HO432" s="978"/>
      <c r="HP432" s="978"/>
      <c r="HQ432" s="978"/>
      <c r="HR432" s="978"/>
      <c r="HS432" s="978"/>
      <c r="HT432" s="978"/>
      <c r="HU432" s="978"/>
      <c r="HV432" s="978"/>
      <c r="HW432" s="978"/>
      <c r="HX432" s="978"/>
      <c r="HY432" s="978"/>
      <c r="HZ432" s="978"/>
      <c r="IA432" s="978"/>
      <c r="IB432" s="978"/>
      <c r="IC432" s="978"/>
      <c r="ID432" s="978"/>
      <c r="IE432" s="978"/>
      <c r="IF432" s="978"/>
      <c r="IG432" s="978"/>
      <c r="IH432" s="978"/>
      <c r="II432" s="978"/>
      <c r="IJ432" s="978"/>
      <c r="IK432" s="978"/>
      <c r="IL432" s="978"/>
      <c r="IM432" s="978"/>
      <c r="IN432" s="978"/>
      <c r="IO432" s="978"/>
      <c r="IP432" s="978"/>
      <c r="IQ432" s="978"/>
      <c r="IR432" s="978"/>
      <c r="IS432" s="978"/>
      <c r="IT432" s="978"/>
      <c r="IU432" s="978"/>
      <c r="IV432" s="978"/>
      <c r="IW432" s="978"/>
      <c r="IX432" s="978"/>
      <c r="IY432" s="978"/>
      <c r="IZ432" s="978"/>
      <c r="JA432" s="978"/>
      <c r="JB432" s="978"/>
      <c r="JC432" s="978"/>
      <c r="JD432" s="978"/>
      <c r="JE432" s="978"/>
      <c r="JF432" s="978"/>
      <c r="JG432" s="978"/>
      <c r="JH432" s="978"/>
      <c r="JI432" s="978"/>
      <c r="JJ432" s="978"/>
      <c r="JK432" s="978"/>
      <c r="JL432" s="978"/>
      <c r="JM432" s="978"/>
      <c r="JN432" s="978"/>
      <c r="JO432" s="978"/>
      <c r="JP432" s="978"/>
      <c r="JQ432" s="978"/>
      <c r="JR432" s="978"/>
      <c r="JS432" s="978"/>
      <c r="JT432" s="978"/>
      <c r="JU432" s="978"/>
      <c r="JV432" s="978"/>
      <c r="JW432" s="978"/>
      <c r="JX432" s="978"/>
      <c r="JY432" s="978"/>
      <c r="JZ432" s="978"/>
      <c r="KA432" s="978"/>
      <c r="KB432" s="978"/>
      <c r="KC432" s="978"/>
      <c r="KD432" s="978"/>
      <c r="KE432" s="978"/>
      <c r="KF432" s="978"/>
      <c r="KG432" s="978"/>
      <c r="KH432" s="978"/>
      <c r="KI432" s="978"/>
      <c r="KJ432" s="978"/>
      <c r="KK432" s="978"/>
      <c r="KL432" s="978"/>
      <c r="KM432" s="978"/>
      <c r="KN432" s="978"/>
      <c r="KO432" s="978"/>
      <c r="KP432" s="978"/>
      <c r="KQ432" s="978"/>
      <c r="KR432" s="978"/>
      <c r="KS432" s="978"/>
      <c r="KT432" s="978"/>
      <c r="KU432" s="978"/>
      <c r="KV432" s="978"/>
      <c r="KW432" s="978"/>
      <c r="KX432" s="978"/>
      <c r="KY432" s="978"/>
      <c r="KZ432" s="978"/>
      <c r="LA432" s="978"/>
      <c r="LB432" s="978"/>
      <c r="LC432" s="978"/>
      <c r="LD432" s="978"/>
      <c r="LE432" s="978"/>
      <c r="LF432" s="978"/>
      <c r="LG432" s="978"/>
      <c r="LH432" s="978"/>
      <c r="LI432" s="978"/>
      <c r="LJ432" s="978"/>
      <c r="LK432" s="978"/>
      <c r="LL432" s="978"/>
      <c r="LM432" s="978"/>
      <c r="LN432" s="978"/>
      <c r="LO432" s="978"/>
      <c r="LP432" s="978"/>
      <c r="LQ432" s="978"/>
      <c r="LR432" s="978"/>
      <c r="LS432" s="978"/>
      <c r="LT432" s="978"/>
      <c r="LU432" s="978"/>
      <c r="LV432" s="978"/>
      <c r="LW432" s="978"/>
      <c r="LX432" s="978"/>
      <c r="LY432" s="978"/>
      <c r="LZ432" s="978"/>
      <c r="MA432" s="978"/>
      <c r="MB432" s="978"/>
      <c r="MC432" s="978"/>
      <c r="MD432" s="978"/>
      <c r="ME432" s="978"/>
      <c r="MF432" s="978"/>
      <c r="MG432" s="978"/>
      <c r="MH432" s="978"/>
      <c r="MI432" s="978"/>
      <c r="MJ432" s="978"/>
      <c r="MK432" s="978"/>
      <c r="ML432" s="978"/>
      <c r="MM432" s="978"/>
      <c r="MN432" s="978"/>
      <c r="MO432" s="978"/>
      <c r="MP432" s="978"/>
      <c r="MQ432" s="978"/>
      <c r="MR432" s="978"/>
      <c r="MS432" s="978"/>
      <c r="MT432" s="978"/>
      <c r="MU432" s="978"/>
      <c r="MV432" s="978"/>
      <c r="MW432" s="978"/>
      <c r="MX432" s="978"/>
      <c r="MY432" s="978"/>
      <c r="MZ432" s="978"/>
      <c r="NA432" s="978"/>
      <c r="NB432" s="978"/>
      <c r="NC432" s="978"/>
      <c r="ND432" s="978"/>
      <c r="NE432" s="978"/>
      <c r="NF432" s="978"/>
      <c r="NG432" s="978"/>
      <c r="NH432" s="978"/>
      <c r="NI432" s="978"/>
      <c r="NJ432" s="978"/>
      <c r="NK432" s="978"/>
      <c r="NL432" s="978"/>
      <c r="NM432" s="978"/>
      <c r="NN432" s="978"/>
      <c r="NO432" s="978"/>
      <c r="NP432" s="978"/>
      <c r="NQ432" s="978"/>
      <c r="NR432" s="978"/>
      <c r="NS432" s="978"/>
      <c r="NT432" s="978"/>
      <c r="NU432" s="978"/>
      <c r="NV432" s="978"/>
      <c r="NW432" s="978"/>
      <c r="NX432" s="978"/>
      <c r="NY432" s="978"/>
      <c r="NZ432" s="978"/>
      <c r="OA432" s="978"/>
      <c r="OB432" s="978"/>
      <c r="OC432" s="978"/>
      <c r="OD432" s="978"/>
      <c r="OE432" s="978"/>
      <c r="OF432" s="978"/>
      <c r="OG432" s="978"/>
      <c r="OH432" s="978"/>
      <c r="OI432" s="978"/>
      <c r="OJ432" s="978"/>
      <c r="OK432" s="978"/>
      <c r="OL432" s="978"/>
      <c r="OM432" s="978"/>
      <c r="ON432" s="978"/>
      <c r="OO432" s="978"/>
      <c r="OP432" s="978"/>
      <c r="OQ432" s="978"/>
      <c r="OR432" s="978"/>
      <c r="OS432" s="978"/>
      <c r="OT432" s="978"/>
      <c r="OU432" s="978"/>
      <c r="OV432" s="978"/>
      <c r="OW432" s="978"/>
      <c r="OX432" s="978"/>
      <c r="OY432" s="978"/>
      <c r="OZ432" s="978"/>
      <c r="PA432" s="978"/>
      <c r="PB432" s="978"/>
      <c r="PC432" s="978"/>
      <c r="PD432" s="978"/>
      <c r="PE432" s="978"/>
      <c r="PF432" s="978"/>
      <c r="PG432" s="978"/>
      <c r="PH432" s="978"/>
      <c r="PI432" s="978"/>
      <c r="PJ432" s="978"/>
      <c r="PK432" s="978"/>
      <c r="PL432" s="978"/>
      <c r="PM432" s="978"/>
      <c r="PN432" s="978"/>
      <c r="PO432" s="978"/>
      <c r="PP432" s="978"/>
      <c r="PQ432" s="978"/>
      <c r="PR432" s="978"/>
      <c r="PS432" s="978"/>
      <c r="PT432" s="978"/>
      <c r="PU432" s="978"/>
      <c r="PV432" s="978"/>
      <c r="PW432" s="978"/>
      <c r="PX432" s="978"/>
      <c r="PY432" s="978"/>
      <c r="PZ432" s="978"/>
      <c r="QA432" s="978"/>
      <c r="QB432" s="978"/>
      <c r="QC432" s="978"/>
      <c r="QD432" s="978"/>
      <c r="QE432" s="978"/>
      <c r="QF432" s="978"/>
      <c r="QG432" s="978"/>
      <c r="QH432" s="978"/>
      <c r="QI432" s="978"/>
      <c r="QJ432" s="978"/>
      <c r="QK432" s="978"/>
      <c r="QL432" s="978"/>
      <c r="QM432" s="978"/>
      <c r="QN432" s="978"/>
      <c r="QO432" s="978"/>
      <c r="QP432" s="978"/>
      <c r="QQ432" s="978"/>
      <c r="QR432" s="978"/>
      <c r="QS432" s="978"/>
      <c r="QT432" s="978"/>
      <c r="QU432" s="978"/>
      <c r="QV432" s="978"/>
      <c r="QW432" s="978"/>
      <c r="QX432" s="978"/>
      <c r="QY432" s="978"/>
      <c r="QZ432" s="978"/>
      <c r="RA432" s="978"/>
      <c r="RB432" s="274"/>
      <c r="RC432" s="274"/>
    </row>
    <row r="433" spans="112:471" ht="17.25">
      <c r="DH433" s="274"/>
      <c r="DI433" s="274"/>
      <c r="DJ433" s="978"/>
      <c r="DK433" s="978"/>
      <c r="DL433" s="978"/>
      <c r="DM433" s="978"/>
      <c r="DN433" s="978"/>
      <c r="DO433" s="978"/>
      <c r="DP433" s="978"/>
      <c r="DQ433" s="978"/>
      <c r="DR433" s="978"/>
      <c r="DS433" s="978"/>
      <c r="DT433" s="978"/>
      <c r="DU433" s="978"/>
      <c r="DV433" s="978"/>
      <c r="DW433" s="978"/>
      <c r="DX433" s="978"/>
      <c r="DY433" s="978"/>
      <c r="DZ433" s="978"/>
      <c r="EA433" s="978"/>
      <c r="EB433" s="978"/>
      <c r="EC433" s="978"/>
      <c r="ED433" s="978"/>
      <c r="EE433" s="978"/>
      <c r="EF433" s="978"/>
      <c r="EG433" s="978"/>
      <c r="EH433" s="978"/>
      <c r="EI433" s="978"/>
      <c r="EJ433" s="978"/>
      <c r="EK433" s="978"/>
      <c r="EL433" s="978"/>
      <c r="EM433" s="978"/>
      <c r="EN433" s="978"/>
      <c r="EO433" s="978"/>
      <c r="EP433" s="978"/>
      <c r="EQ433" s="978"/>
      <c r="ER433" s="978"/>
      <c r="ES433" s="978"/>
      <c r="ET433" s="978"/>
      <c r="EU433" s="978"/>
      <c r="EV433" s="978"/>
      <c r="EW433" s="978"/>
      <c r="EX433" s="978"/>
      <c r="EY433" s="978"/>
      <c r="EZ433" s="978"/>
      <c r="FA433" s="978"/>
      <c r="FB433" s="978"/>
      <c r="FC433" s="978"/>
      <c r="FD433" s="978"/>
      <c r="FE433" s="978"/>
      <c r="FF433" s="978"/>
      <c r="FG433" s="978"/>
      <c r="FH433" s="978"/>
      <c r="FI433" s="978"/>
      <c r="FJ433" s="978"/>
      <c r="FK433" s="978"/>
      <c r="FL433" s="978"/>
      <c r="FM433" s="978"/>
      <c r="FN433" s="978"/>
      <c r="FO433" s="978"/>
      <c r="FP433" s="978"/>
      <c r="FQ433" s="978"/>
      <c r="FR433" s="978"/>
      <c r="FS433" s="978"/>
      <c r="FT433" s="978"/>
      <c r="FU433" s="978"/>
      <c r="FV433" s="978"/>
      <c r="FW433" s="978"/>
      <c r="FX433" s="978"/>
      <c r="FY433" s="978"/>
      <c r="FZ433" s="978"/>
      <c r="GA433" s="978"/>
      <c r="GB433" s="978"/>
      <c r="GC433" s="978"/>
      <c r="GD433" s="978"/>
      <c r="GE433" s="978"/>
      <c r="GF433" s="978"/>
      <c r="GG433" s="978"/>
      <c r="GH433" s="978"/>
      <c r="GI433" s="978"/>
      <c r="GJ433" s="978"/>
      <c r="GK433" s="978"/>
      <c r="GL433" s="978"/>
      <c r="GM433" s="978"/>
      <c r="GN433" s="978"/>
      <c r="GO433" s="978"/>
      <c r="GP433" s="978"/>
      <c r="GQ433" s="978"/>
      <c r="GR433" s="978"/>
      <c r="GS433" s="978"/>
      <c r="GT433" s="978"/>
      <c r="GU433" s="978"/>
      <c r="GV433" s="978"/>
      <c r="GW433" s="978"/>
      <c r="GX433" s="978"/>
      <c r="GY433" s="978"/>
      <c r="GZ433" s="978"/>
      <c r="HA433" s="978"/>
      <c r="HB433" s="978"/>
      <c r="HC433" s="978"/>
      <c r="HD433" s="978"/>
      <c r="HE433" s="978"/>
      <c r="HF433" s="978"/>
      <c r="HG433" s="978"/>
      <c r="HH433" s="978"/>
      <c r="HI433" s="978"/>
      <c r="HJ433" s="978"/>
      <c r="HK433" s="978"/>
      <c r="HL433" s="978"/>
      <c r="HM433" s="978"/>
      <c r="HN433" s="978"/>
      <c r="HO433" s="978"/>
      <c r="HP433" s="978"/>
      <c r="HQ433" s="978"/>
      <c r="HR433" s="978"/>
      <c r="HS433" s="978"/>
      <c r="HT433" s="978"/>
      <c r="HU433" s="978"/>
      <c r="HV433" s="978"/>
      <c r="HW433" s="978"/>
      <c r="HX433" s="978"/>
      <c r="HY433" s="978"/>
      <c r="HZ433" s="978"/>
      <c r="IA433" s="978"/>
      <c r="IB433" s="978"/>
      <c r="IC433" s="978"/>
      <c r="ID433" s="978"/>
      <c r="IE433" s="978"/>
      <c r="IF433" s="978"/>
      <c r="IG433" s="978"/>
      <c r="IH433" s="978"/>
      <c r="II433" s="978"/>
      <c r="IJ433" s="978"/>
      <c r="IK433" s="978"/>
      <c r="IL433" s="978"/>
      <c r="IM433" s="978"/>
      <c r="IN433" s="978"/>
      <c r="IO433" s="978"/>
      <c r="IP433" s="978"/>
      <c r="IQ433" s="978"/>
      <c r="IR433" s="978"/>
      <c r="IS433" s="978"/>
      <c r="IT433" s="978"/>
      <c r="IU433" s="978"/>
      <c r="IV433" s="978"/>
      <c r="IW433" s="978"/>
      <c r="IX433" s="978"/>
      <c r="IY433" s="978"/>
      <c r="IZ433" s="978"/>
      <c r="JA433" s="978"/>
      <c r="JB433" s="978"/>
      <c r="JC433" s="978"/>
      <c r="JD433" s="978"/>
      <c r="JE433" s="978"/>
      <c r="JF433" s="978"/>
      <c r="JG433" s="978"/>
      <c r="JH433" s="978"/>
      <c r="JI433" s="978"/>
      <c r="JJ433" s="978"/>
      <c r="JK433" s="978"/>
      <c r="JL433" s="978"/>
      <c r="JM433" s="978"/>
      <c r="JN433" s="978"/>
      <c r="JO433" s="978"/>
      <c r="JP433" s="978"/>
      <c r="JQ433" s="978"/>
      <c r="JR433" s="978"/>
      <c r="JS433" s="978"/>
      <c r="JT433" s="978"/>
      <c r="JU433" s="978"/>
      <c r="JV433" s="978"/>
      <c r="JW433" s="978"/>
      <c r="JX433" s="978"/>
      <c r="JY433" s="978"/>
      <c r="JZ433" s="978"/>
      <c r="KA433" s="978"/>
      <c r="KB433" s="978"/>
      <c r="KC433" s="978"/>
      <c r="KD433" s="978"/>
      <c r="KE433" s="978"/>
      <c r="KF433" s="978"/>
      <c r="KG433" s="978"/>
      <c r="KH433" s="978"/>
      <c r="KI433" s="978"/>
      <c r="KJ433" s="978"/>
      <c r="KK433" s="978"/>
      <c r="KL433" s="978"/>
      <c r="KM433" s="978"/>
      <c r="KN433" s="978"/>
      <c r="KO433" s="978"/>
      <c r="KP433" s="978"/>
      <c r="KQ433" s="978"/>
      <c r="KR433" s="978"/>
      <c r="KS433" s="978"/>
      <c r="KT433" s="978"/>
      <c r="KU433" s="978"/>
      <c r="KV433" s="978"/>
      <c r="KW433" s="978"/>
      <c r="KX433" s="978"/>
      <c r="KY433" s="978"/>
      <c r="KZ433" s="978"/>
      <c r="LA433" s="978"/>
      <c r="LB433" s="978"/>
      <c r="LC433" s="978"/>
      <c r="LD433" s="978"/>
      <c r="LE433" s="978"/>
      <c r="LF433" s="978"/>
      <c r="LG433" s="978"/>
      <c r="LH433" s="978"/>
      <c r="LI433" s="978"/>
      <c r="LJ433" s="978"/>
      <c r="LK433" s="978"/>
      <c r="LL433" s="978"/>
      <c r="LM433" s="978"/>
      <c r="LN433" s="978"/>
      <c r="LO433" s="978"/>
      <c r="LP433" s="978"/>
      <c r="LQ433" s="978"/>
      <c r="LR433" s="978"/>
      <c r="LS433" s="978"/>
      <c r="LT433" s="978"/>
      <c r="LU433" s="978"/>
      <c r="LV433" s="978"/>
      <c r="LW433" s="978"/>
      <c r="LX433" s="978"/>
      <c r="LY433" s="978"/>
      <c r="LZ433" s="978"/>
      <c r="MA433" s="978"/>
      <c r="MB433" s="978"/>
      <c r="MC433" s="978"/>
      <c r="MD433" s="978"/>
      <c r="ME433" s="978"/>
      <c r="MF433" s="978"/>
      <c r="MG433" s="978"/>
      <c r="MH433" s="978"/>
      <c r="MI433" s="978"/>
      <c r="MJ433" s="978"/>
      <c r="MK433" s="978"/>
      <c r="ML433" s="978"/>
      <c r="MM433" s="978"/>
      <c r="MN433" s="978"/>
      <c r="MO433" s="978"/>
      <c r="MP433" s="978"/>
      <c r="MQ433" s="978"/>
      <c r="MR433" s="978"/>
      <c r="MS433" s="978"/>
      <c r="MT433" s="978"/>
      <c r="MU433" s="978"/>
      <c r="MV433" s="978"/>
      <c r="MW433" s="978"/>
      <c r="MX433" s="978"/>
      <c r="MY433" s="978"/>
      <c r="MZ433" s="978"/>
      <c r="NA433" s="978"/>
      <c r="NB433" s="978"/>
      <c r="NC433" s="978"/>
      <c r="ND433" s="978"/>
      <c r="NE433" s="978"/>
      <c r="NF433" s="978"/>
      <c r="NG433" s="978"/>
      <c r="NH433" s="978"/>
      <c r="NI433" s="978"/>
      <c r="NJ433" s="978"/>
      <c r="NK433" s="978"/>
      <c r="NL433" s="978"/>
      <c r="NM433" s="978"/>
      <c r="NN433" s="978"/>
      <c r="NO433" s="978"/>
      <c r="NP433" s="978"/>
      <c r="NQ433" s="978"/>
      <c r="NR433" s="978"/>
      <c r="NS433" s="978"/>
      <c r="NT433" s="978"/>
      <c r="NU433" s="978"/>
      <c r="NV433" s="978"/>
      <c r="NW433" s="978"/>
      <c r="NX433" s="978"/>
      <c r="NY433" s="978"/>
      <c r="NZ433" s="978"/>
      <c r="OA433" s="978"/>
      <c r="OB433" s="978"/>
      <c r="OC433" s="978"/>
      <c r="OD433" s="978"/>
      <c r="OE433" s="978"/>
      <c r="OF433" s="978"/>
      <c r="OG433" s="978"/>
      <c r="OH433" s="978"/>
      <c r="OI433" s="978"/>
      <c r="OJ433" s="978"/>
      <c r="OK433" s="978"/>
      <c r="OL433" s="978"/>
      <c r="OM433" s="978"/>
      <c r="ON433" s="978"/>
      <c r="OO433" s="978"/>
      <c r="OP433" s="978"/>
      <c r="OQ433" s="978"/>
      <c r="OR433" s="978"/>
      <c r="OS433" s="978"/>
      <c r="OT433" s="978"/>
      <c r="OU433" s="978"/>
      <c r="OV433" s="978"/>
      <c r="OW433" s="978"/>
      <c r="OX433" s="978"/>
      <c r="OY433" s="978"/>
      <c r="OZ433" s="978"/>
      <c r="PA433" s="978"/>
      <c r="PB433" s="978"/>
      <c r="PC433" s="978"/>
      <c r="PD433" s="978"/>
      <c r="PE433" s="978"/>
      <c r="PF433" s="978"/>
      <c r="PG433" s="978"/>
      <c r="PH433" s="978"/>
      <c r="PI433" s="978"/>
      <c r="PJ433" s="978"/>
      <c r="PK433" s="978"/>
      <c r="PL433" s="978"/>
      <c r="PM433" s="978"/>
      <c r="PN433" s="978"/>
      <c r="PO433" s="978"/>
      <c r="PP433" s="978"/>
      <c r="PQ433" s="978"/>
      <c r="PR433" s="978"/>
      <c r="PS433" s="978"/>
      <c r="PT433" s="978"/>
      <c r="PU433" s="978"/>
      <c r="PV433" s="978"/>
      <c r="PW433" s="978"/>
      <c r="PX433" s="978"/>
      <c r="PY433" s="978"/>
      <c r="PZ433" s="978"/>
      <c r="QA433" s="978"/>
      <c r="QB433" s="978"/>
      <c r="QC433" s="978"/>
      <c r="QD433" s="978"/>
      <c r="QE433" s="978"/>
      <c r="QF433" s="978"/>
      <c r="QG433" s="978"/>
      <c r="QH433" s="978"/>
      <c r="QI433" s="978"/>
      <c r="QJ433" s="978"/>
      <c r="QK433" s="978"/>
      <c r="QL433" s="978"/>
      <c r="QM433" s="978"/>
      <c r="QN433" s="978"/>
      <c r="QO433" s="978"/>
      <c r="QP433" s="978"/>
      <c r="QQ433" s="978"/>
      <c r="QR433" s="978"/>
      <c r="QS433" s="978"/>
      <c r="QT433" s="978"/>
      <c r="QU433" s="978"/>
      <c r="QV433" s="978"/>
      <c r="QW433" s="978"/>
      <c r="QX433" s="978"/>
      <c r="QY433" s="978"/>
      <c r="QZ433" s="978"/>
      <c r="RA433" s="978"/>
      <c r="RB433" s="274"/>
      <c r="RC433" s="274"/>
    </row>
    <row r="434" spans="112:471" ht="17.25">
      <c r="DH434" s="274"/>
      <c r="DI434" s="274"/>
      <c r="DJ434" s="978"/>
      <c r="DK434" s="978"/>
      <c r="DL434" s="978"/>
      <c r="DM434" s="978"/>
      <c r="DN434" s="978"/>
      <c r="DO434" s="978"/>
      <c r="DP434" s="978"/>
      <c r="DQ434" s="978"/>
      <c r="DR434" s="978"/>
      <c r="DS434" s="978"/>
      <c r="DT434" s="978"/>
      <c r="DU434" s="978"/>
      <c r="DV434" s="978"/>
      <c r="DW434" s="978"/>
      <c r="DX434" s="978"/>
      <c r="DY434" s="978"/>
      <c r="DZ434" s="978"/>
      <c r="EA434" s="978"/>
      <c r="EB434" s="978"/>
      <c r="EC434" s="978"/>
      <c r="ED434" s="978"/>
      <c r="EE434" s="978"/>
      <c r="EF434" s="978"/>
      <c r="EG434" s="978"/>
      <c r="EH434" s="978"/>
      <c r="EI434" s="978"/>
      <c r="EJ434" s="978"/>
      <c r="EK434" s="978"/>
      <c r="EL434" s="978"/>
      <c r="EM434" s="978"/>
      <c r="EN434" s="978"/>
      <c r="EO434" s="978"/>
      <c r="EP434" s="978"/>
      <c r="EQ434" s="978"/>
      <c r="ER434" s="978"/>
      <c r="ES434" s="978"/>
      <c r="ET434" s="978"/>
      <c r="EU434" s="978"/>
      <c r="EV434" s="978"/>
      <c r="EW434" s="978"/>
      <c r="EX434" s="978"/>
      <c r="EY434" s="978"/>
      <c r="EZ434" s="978"/>
      <c r="FA434" s="978"/>
      <c r="FB434" s="978"/>
      <c r="FC434" s="978"/>
      <c r="FD434" s="978"/>
      <c r="FE434" s="978"/>
      <c r="FF434" s="978"/>
      <c r="FG434" s="978"/>
      <c r="FH434" s="978"/>
      <c r="FI434" s="978"/>
      <c r="FJ434" s="978"/>
      <c r="FK434" s="978"/>
      <c r="FL434" s="978"/>
      <c r="FM434" s="978"/>
      <c r="FN434" s="978"/>
      <c r="FO434" s="978"/>
      <c r="FP434" s="978"/>
      <c r="FQ434" s="978"/>
      <c r="FR434" s="978"/>
      <c r="FS434" s="978"/>
      <c r="FT434" s="978"/>
      <c r="FU434" s="978"/>
      <c r="FV434" s="978"/>
      <c r="FW434" s="978"/>
      <c r="FX434" s="978"/>
      <c r="FY434" s="978"/>
      <c r="FZ434" s="978"/>
      <c r="GA434" s="978"/>
      <c r="GB434" s="978"/>
      <c r="GC434" s="978"/>
      <c r="GD434" s="978"/>
      <c r="GE434" s="978"/>
      <c r="GF434" s="978"/>
      <c r="GG434" s="978"/>
      <c r="GH434" s="978"/>
      <c r="GI434" s="978"/>
      <c r="GJ434" s="978"/>
      <c r="GK434" s="978"/>
      <c r="GL434" s="978"/>
      <c r="GM434" s="978"/>
      <c r="GN434" s="978"/>
      <c r="GO434" s="978"/>
      <c r="GP434" s="978"/>
      <c r="GQ434" s="978"/>
      <c r="GR434" s="978"/>
      <c r="GS434" s="978"/>
      <c r="GT434" s="978"/>
      <c r="GU434" s="978"/>
      <c r="GV434" s="978"/>
      <c r="GW434" s="978"/>
      <c r="GX434" s="978"/>
      <c r="GY434" s="978"/>
      <c r="GZ434" s="978"/>
      <c r="HA434" s="978"/>
      <c r="HB434" s="978"/>
      <c r="HC434" s="978"/>
      <c r="HD434" s="978"/>
      <c r="HE434" s="978"/>
      <c r="HF434" s="978"/>
      <c r="HG434" s="978"/>
      <c r="HH434" s="978"/>
      <c r="HI434" s="978"/>
      <c r="HJ434" s="978"/>
      <c r="HK434" s="978"/>
      <c r="HL434" s="978"/>
      <c r="HM434" s="978"/>
      <c r="HN434" s="978"/>
      <c r="HO434" s="978"/>
      <c r="HP434" s="978"/>
      <c r="HQ434" s="978"/>
      <c r="HR434" s="978"/>
      <c r="HS434" s="978"/>
      <c r="HT434" s="978"/>
      <c r="HU434" s="978"/>
      <c r="HV434" s="978"/>
      <c r="HW434" s="978"/>
      <c r="HX434" s="978"/>
      <c r="HY434" s="978"/>
      <c r="HZ434" s="978"/>
      <c r="IA434" s="978"/>
      <c r="IB434" s="978"/>
      <c r="IC434" s="978"/>
      <c r="ID434" s="978"/>
      <c r="IE434" s="978"/>
      <c r="IF434" s="978"/>
      <c r="IG434" s="978"/>
      <c r="IH434" s="978"/>
      <c r="II434" s="978"/>
      <c r="IJ434" s="978"/>
      <c r="IK434" s="978"/>
      <c r="IL434" s="978"/>
      <c r="IM434" s="978"/>
      <c r="IN434" s="978"/>
      <c r="IO434" s="978"/>
      <c r="IP434" s="978"/>
      <c r="IQ434" s="978"/>
      <c r="IR434" s="978"/>
      <c r="IS434" s="978"/>
      <c r="IT434" s="978"/>
      <c r="IU434" s="978"/>
      <c r="IV434" s="978"/>
      <c r="IW434" s="978"/>
      <c r="IX434" s="978"/>
      <c r="IY434" s="978"/>
      <c r="IZ434" s="978"/>
      <c r="JA434" s="978"/>
      <c r="JB434" s="978"/>
      <c r="JC434" s="978"/>
      <c r="JD434" s="978"/>
      <c r="JE434" s="978"/>
      <c r="JF434" s="978"/>
      <c r="JG434" s="978"/>
      <c r="JH434" s="978"/>
      <c r="JI434" s="978"/>
      <c r="JJ434" s="978"/>
      <c r="JK434" s="978"/>
      <c r="JL434" s="978"/>
      <c r="JM434" s="978"/>
      <c r="JN434" s="978"/>
      <c r="JO434" s="978"/>
      <c r="JP434" s="978"/>
      <c r="JQ434" s="978"/>
      <c r="JR434" s="978"/>
      <c r="JS434" s="978"/>
      <c r="JT434" s="978"/>
      <c r="JU434" s="978"/>
      <c r="JV434" s="978"/>
      <c r="JW434" s="978"/>
      <c r="JX434" s="978"/>
      <c r="JY434" s="978"/>
      <c r="JZ434" s="978"/>
      <c r="KA434" s="978"/>
      <c r="KB434" s="978"/>
      <c r="KC434" s="978"/>
      <c r="KD434" s="978"/>
      <c r="KE434" s="978"/>
      <c r="KF434" s="978"/>
      <c r="KG434" s="978"/>
      <c r="KH434" s="978"/>
      <c r="KI434" s="978"/>
      <c r="KJ434" s="978"/>
      <c r="KK434" s="978"/>
      <c r="KL434" s="978"/>
      <c r="KM434" s="978"/>
      <c r="KN434" s="978"/>
      <c r="KO434" s="978"/>
      <c r="KP434" s="978"/>
      <c r="KQ434" s="978"/>
      <c r="KR434" s="978"/>
      <c r="KS434" s="978"/>
      <c r="KT434" s="978"/>
      <c r="KU434" s="978"/>
      <c r="KV434" s="978"/>
      <c r="KW434" s="978"/>
      <c r="KX434" s="978"/>
      <c r="KY434" s="978"/>
      <c r="KZ434" s="978"/>
      <c r="LA434" s="978"/>
      <c r="LB434" s="978"/>
      <c r="LC434" s="978"/>
      <c r="LD434" s="978"/>
      <c r="LE434" s="978"/>
      <c r="LF434" s="978"/>
      <c r="LG434" s="978"/>
      <c r="LH434" s="978"/>
      <c r="LI434" s="978"/>
      <c r="LJ434" s="978"/>
      <c r="LK434" s="978"/>
      <c r="LL434" s="978"/>
      <c r="LM434" s="978"/>
      <c r="LN434" s="978"/>
      <c r="LO434" s="978"/>
      <c r="LP434" s="978"/>
      <c r="LQ434" s="978"/>
      <c r="LR434" s="978"/>
      <c r="LS434" s="978"/>
      <c r="LT434" s="978"/>
      <c r="LU434" s="978"/>
      <c r="LV434" s="978"/>
      <c r="LW434" s="978"/>
      <c r="LX434" s="978"/>
      <c r="LY434" s="978"/>
      <c r="LZ434" s="978"/>
      <c r="MA434" s="978"/>
      <c r="MB434" s="978"/>
      <c r="MC434" s="978"/>
      <c r="MD434" s="978"/>
      <c r="ME434" s="978"/>
      <c r="MF434" s="978"/>
      <c r="MG434" s="978"/>
      <c r="MH434" s="978"/>
      <c r="MI434" s="978"/>
      <c r="MJ434" s="978"/>
      <c r="MK434" s="978"/>
      <c r="ML434" s="978"/>
      <c r="MM434" s="978"/>
      <c r="MN434" s="978"/>
      <c r="MO434" s="978"/>
      <c r="MP434" s="978"/>
      <c r="MQ434" s="978"/>
      <c r="MR434" s="978"/>
      <c r="MS434" s="978"/>
      <c r="MT434" s="978"/>
      <c r="MU434" s="978"/>
      <c r="MV434" s="978"/>
      <c r="MW434" s="978"/>
      <c r="MX434" s="978"/>
      <c r="MY434" s="978"/>
      <c r="MZ434" s="978"/>
      <c r="NA434" s="978"/>
      <c r="NB434" s="978"/>
      <c r="NC434" s="978"/>
      <c r="ND434" s="978"/>
      <c r="NE434" s="978"/>
      <c r="NF434" s="978"/>
      <c r="NG434" s="978"/>
      <c r="NH434" s="978"/>
      <c r="NI434" s="978"/>
      <c r="NJ434" s="978"/>
      <c r="NK434" s="978"/>
      <c r="NL434" s="978"/>
      <c r="NM434" s="978"/>
      <c r="NN434" s="978"/>
      <c r="NO434" s="978"/>
      <c r="NP434" s="978"/>
      <c r="NQ434" s="978"/>
      <c r="NR434" s="978"/>
      <c r="NS434" s="978"/>
      <c r="NT434" s="978"/>
      <c r="NU434" s="978"/>
      <c r="NV434" s="978"/>
      <c r="NW434" s="978"/>
      <c r="NX434" s="978"/>
      <c r="NY434" s="978"/>
      <c r="NZ434" s="978"/>
      <c r="OA434" s="978"/>
      <c r="OB434" s="978"/>
      <c r="OC434" s="978"/>
      <c r="OD434" s="978"/>
      <c r="OE434" s="978"/>
      <c r="OF434" s="978"/>
      <c r="OG434" s="978"/>
      <c r="OH434" s="978"/>
      <c r="OI434" s="978"/>
      <c r="OJ434" s="978"/>
      <c r="OK434" s="978"/>
      <c r="OL434" s="978"/>
      <c r="OM434" s="978"/>
      <c r="ON434" s="978"/>
      <c r="OO434" s="978"/>
      <c r="OP434" s="978"/>
      <c r="OQ434" s="978"/>
      <c r="OR434" s="978"/>
      <c r="OS434" s="978"/>
      <c r="OT434" s="978"/>
      <c r="OU434" s="978"/>
      <c r="OV434" s="978"/>
      <c r="OW434" s="978"/>
      <c r="OX434" s="978"/>
      <c r="OY434" s="978"/>
      <c r="OZ434" s="978"/>
      <c r="PA434" s="978"/>
      <c r="PB434" s="978"/>
      <c r="PC434" s="978"/>
      <c r="PD434" s="978"/>
      <c r="PE434" s="978"/>
      <c r="PF434" s="978"/>
      <c r="PG434" s="978"/>
      <c r="PH434" s="978"/>
      <c r="PI434" s="978"/>
      <c r="PJ434" s="978"/>
      <c r="PK434" s="978"/>
      <c r="PL434" s="978"/>
      <c r="PM434" s="978"/>
      <c r="PN434" s="978"/>
      <c r="PO434" s="978"/>
      <c r="PP434" s="978"/>
      <c r="PQ434" s="978"/>
      <c r="PR434" s="978"/>
      <c r="PS434" s="978"/>
      <c r="PT434" s="978"/>
      <c r="PU434" s="978"/>
      <c r="PV434" s="978"/>
      <c r="PW434" s="978"/>
      <c r="PX434" s="978"/>
      <c r="PY434" s="978"/>
      <c r="PZ434" s="978"/>
      <c r="QA434" s="978"/>
      <c r="QB434" s="978"/>
      <c r="QC434" s="978"/>
      <c r="QD434" s="978"/>
      <c r="QE434" s="978"/>
      <c r="QF434" s="978"/>
      <c r="QG434" s="978"/>
      <c r="QH434" s="978"/>
      <c r="QI434" s="978"/>
      <c r="QJ434" s="978"/>
      <c r="QK434" s="978"/>
      <c r="QL434" s="978"/>
      <c r="QM434" s="978"/>
      <c r="QN434" s="978"/>
      <c r="QO434" s="978"/>
      <c r="QP434" s="978"/>
      <c r="QQ434" s="978"/>
      <c r="QR434" s="978"/>
      <c r="QS434" s="978"/>
      <c r="QT434" s="978"/>
      <c r="QU434" s="978"/>
      <c r="QV434" s="978"/>
      <c r="QW434" s="978"/>
      <c r="QX434" s="978"/>
      <c r="QY434" s="978"/>
      <c r="QZ434" s="978"/>
      <c r="RA434" s="978"/>
      <c r="RB434" s="274"/>
      <c r="RC434" s="274"/>
    </row>
    <row r="435" spans="112:471" ht="17.25">
      <c r="DH435" s="274"/>
      <c r="DI435" s="274"/>
      <c r="DJ435" s="978"/>
      <c r="DK435" s="978"/>
      <c r="DL435" s="978"/>
      <c r="DM435" s="978"/>
      <c r="DN435" s="978"/>
      <c r="DO435" s="978"/>
      <c r="DP435" s="978"/>
      <c r="DQ435" s="978"/>
      <c r="DR435" s="978"/>
      <c r="DS435" s="978"/>
      <c r="DT435" s="978"/>
      <c r="DU435" s="978"/>
      <c r="DV435" s="978"/>
      <c r="DW435" s="978"/>
      <c r="DX435" s="978"/>
      <c r="DY435" s="978"/>
      <c r="DZ435" s="978"/>
      <c r="EA435" s="978"/>
      <c r="EB435" s="978"/>
      <c r="EC435" s="978"/>
      <c r="ED435" s="978"/>
      <c r="EE435" s="978"/>
      <c r="EF435" s="978"/>
      <c r="EG435" s="978"/>
      <c r="EH435" s="978"/>
      <c r="EI435" s="978"/>
      <c r="EJ435" s="978"/>
      <c r="EK435" s="978"/>
      <c r="EL435" s="978"/>
      <c r="EM435" s="978"/>
      <c r="EN435" s="978"/>
      <c r="EO435" s="978"/>
      <c r="EP435" s="978"/>
      <c r="EQ435" s="978"/>
      <c r="ER435" s="978"/>
      <c r="ES435" s="978"/>
      <c r="ET435" s="978"/>
      <c r="EU435" s="978"/>
      <c r="EV435" s="978"/>
      <c r="EW435" s="978"/>
      <c r="EX435" s="978"/>
      <c r="EY435" s="978"/>
      <c r="EZ435" s="978"/>
      <c r="FA435" s="978"/>
      <c r="FB435" s="978"/>
      <c r="FC435" s="978"/>
      <c r="FD435" s="978"/>
      <c r="FE435" s="978"/>
      <c r="FF435" s="978"/>
      <c r="FG435" s="978"/>
      <c r="FH435" s="978"/>
      <c r="FI435" s="978"/>
      <c r="FJ435" s="978"/>
      <c r="FK435" s="978"/>
      <c r="FL435" s="978"/>
      <c r="FM435" s="978"/>
      <c r="FN435" s="978"/>
      <c r="FO435" s="978"/>
      <c r="FP435" s="978"/>
      <c r="FQ435" s="978"/>
      <c r="FR435" s="978"/>
      <c r="FS435" s="978"/>
      <c r="FT435" s="978"/>
      <c r="FU435" s="978"/>
      <c r="FV435" s="978"/>
      <c r="FW435" s="978"/>
      <c r="FX435" s="978"/>
      <c r="FY435" s="978"/>
      <c r="FZ435" s="978"/>
      <c r="GA435" s="978"/>
      <c r="GB435" s="978"/>
      <c r="GC435" s="978"/>
      <c r="GD435" s="978"/>
      <c r="GE435" s="978"/>
      <c r="GF435" s="978"/>
      <c r="GG435" s="978"/>
      <c r="GH435" s="978"/>
      <c r="GI435" s="978"/>
      <c r="GJ435" s="978"/>
      <c r="GK435" s="978"/>
      <c r="GL435" s="978"/>
      <c r="GM435" s="978"/>
      <c r="GN435" s="978"/>
      <c r="GO435" s="978"/>
      <c r="GP435" s="978"/>
      <c r="GQ435" s="978"/>
      <c r="GR435" s="978"/>
      <c r="GS435" s="978"/>
      <c r="GT435" s="978"/>
      <c r="GU435" s="978"/>
      <c r="GV435" s="978"/>
      <c r="GW435" s="978"/>
      <c r="GX435" s="978"/>
      <c r="GY435" s="978"/>
      <c r="GZ435" s="978"/>
      <c r="HA435" s="978"/>
      <c r="HB435" s="978"/>
      <c r="HC435" s="978"/>
      <c r="HD435" s="978"/>
      <c r="HE435" s="978"/>
      <c r="HF435" s="978"/>
      <c r="HG435" s="978"/>
      <c r="HH435" s="978"/>
      <c r="HI435" s="978"/>
      <c r="HJ435" s="978"/>
      <c r="HK435" s="978"/>
      <c r="HL435" s="978"/>
      <c r="HM435" s="978"/>
      <c r="HN435" s="978"/>
      <c r="HO435" s="978"/>
      <c r="HP435" s="978"/>
      <c r="HQ435" s="978"/>
      <c r="HR435" s="978"/>
      <c r="HS435" s="978"/>
      <c r="HT435" s="978"/>
      <c r="HU435" s="978"/>
      <c r="HV435" s="978"/>
      <c r="HW435" s="978"/>
      <c r="HX435" s="978"/>
      <c r="HY435" s="978"/>
      <c r="HZ435" s="978"/>
      <c r="IA435" s="978"/>
      <c r="IB435" s="978"/>
      <c r="IC435" s="978"/>
      <c r="ID435" s="978"/>
      <c r="IE435" s="978"/>
      <c r="IF435" s="978"/>
      <c r="IG435" s="978"/>
      <c r="IH435" s="978"/>
      <c r="II435" s="978"/>
      <c r="IJ435" s="978"/>
      <c r="IK435" s="978"/>
      <c r="IL435" s="978"/>
      <c r="IM435" s="978"/>
      <c r="IN435" s="978"/>
      <c r="IO435" s="978"/>
      <c r="IP435" s="978"/>
      <c r="IQ435" s="978"/>
      <c r="IR435" s="978"/>
      <c r="IS435" s="978"/>
      <c r="IT435" s="978"/>
      <c r="IU435" s="978"/>
      <c r="IV435" s="978"/>
      <c r="IW435" s="978"/>
      <c r="IX435" s="978"/>
      <c r="IY435" s="978"/>
      <c r="IZ435" s="978"/>
      <c r="JA435" s="978"/>
      <c r="JB435" s="978"/>
      <c r="JC435" s="978"/>
      <c r="JD435" s="978"/>
      <c r="JE435" s="978"/>
      <c r="JF435" s="978"/>
      <c r="JG435" s="978"/>
      <c r="JH435" s="978"/>
      <c r="JI435" s="978"/>
      <c r="JJ435" s="978"/>
      <c r="JK435" s="978"/>
      <c r="JL435" s="978"/>
      <c r="JM435" s="978"/>
      <c r="JN435" s="978"/>
      <c r="JO435" s="978"/>
      <c r="JP435" s="978"/>
      <c r="JQ435" s="978"/>
      <c r="JR435" s="978"/>
      <c r="JS435" s="978"/>
      <c r="JT435" s="978"/>
      <c r="JU435" s="978"/>
      <c r="JV435" s="978"/>
      <c r="JW435" s="978"/>
      <c r="JX435" s="978"/>
      <c r="JY435" s="978"/>
      <c r="JZ435" s="978"/>
      <c r="KA435" s="978"/>
      <c r="KB435" s="978"/>
      <c r="KC435" s="978"/>
      <c r="KD435" s="978"/>
      <c r="KE435" s="978"/>
      <c r="KF435" s="978"/>
      <c r="KG435" s="978"/>
      <c r="KH435" s="978"/>
      <c r="KI435" s="978"/>
      <c r="KJ435" s="978"/>
      <c r="KK435" s="978"/>
      <c r="KL435" s="978"/>
      <c r="KM435" s="978"/>
      <c r="KN435" s="978"/>
      <c r="KO435" s="978"/>
      <c r="KP435" s="978"/>
      <c r="KQ435" s="978"/>
      <c r="KR435" s="978"/>
      <c r="KS435" s="978"/>
      <c r="KT435" s="978"/>
      <c r="KU435" s="978"/>
      <c r="KV435" s="978"/>
      <c r="KW435" s="978"/>
      <c r="KX435" s="978"/>
      <c r="KY435" s="978"/>
      <c r="KZ435" s="978"/>
      <c r="LA435" s="978"/>
      <c r="LB435" s="978"/>
      <c r="LC435" s="978"/>
      <c r="LD435" s="978"/>
      <c r="LE435" s="978"/>
      <c r="LF435" s="978"/>
      <c r="LG435" s="978"/>
      <c r="LH435" s="978"/>
      <c r="LI435" s="978"/>
      <c r="LJ435" s="978"/>
      <c r="LK435" s="978"/>
      <c r="LL435" s="978"/>
      <c r="LM435" s="978"/>
      <c r="LN435" s="978"/>
      <c r="LO435" s="978"/>
      <c r="LP435" s="978"/>
      <c r="LQ435" s="978"/>
      <c r="LR435" s="978"/>
      <c r="LS435" s="978"/>
      <c r="LT435" s="978"/>
      <c r="LU435" s="978"/>
      <c r="LV435" s="978"/>
      <c r="LW435" s="978"/>
      <c r="LX435" s="978"/>
      <c r="LY435" s="978"/>
      <c r="LZ435" s="978"/>
      <c r="MA435" s="978"/>
      <c r="MB435" s="978"/>
      <c r="MC435" s="978"/>
      <c r="MD435" s="978"/>
      <c r="ME435" s="978"/>
      <c r="MF435" s="978"/>
      <c r="MG435" s="978"/>
      <c r="MH435" s="978"/>
      <c r="MI435" s="978"/>
      <c r="MJ435" s="978"/>
      <c r="MK435" s="978"/>
      <c r="ML435" s="978"/>
      <c r="MM435" s="978"/>
      <c r="MN435" s="978"/>
      <c r="MO435" s="978"/>
      <c r="MP435" s="978"/>
      <c r="MQ435" s="978"/>
      <c r="MR435" s="978"/>
      <c r="MS435" s="978"/>
      <c r="MT435" s="978"/>
      <c r="MU435" s="978"/>
      <c r="MV435" s="978"/>
      <c r="MW435" s="978"/>
      <c r="MX435" s="978"/>
      <c r="MY435" s="978"/>
      <c r="MZ435" s="978"/>
      <c r="NA435" s="978"/>
      <c r="NB435" s="978"/>
      <c r="NC435" s="978"/>
      <c r="ND435" s="978"/>
      <c r="NE435" s="978"/>
      <c r="NF435" s="978"/>
      <c r="NG435" s="978"/>
      <c r="NH435" s="978"/>
      <c r="NI435" s="978"/>
      <c r="NJ435" s="978"/>
      <c r="NK435" s="978"/>
      <c r="NL435" s="978"/>
      <c r="NM435" s="978"/>
      <c r="NN435" s="978"/>
      <c r="NO435" s="978"/>
      <c r="NP435" s="978"/>
      <c r="NQ435" s="978"/>
      <c r="NR435" s="978"/>
      <c r="NS435" s="978"/>
      <c r="NT435" s="978"/>
      <c r="NU435" s="978"/>
      <c r="NV435" s="978"/>
      <c r="NW435" s="978"/>
      <c r="NX435" s="978"/>
      <c r="NY435" s="978"/>
      <c r="NZ435" s="978"/>
      <c r="OA435" s="978"/>
      <c r="OB435" s="978"/>
      <c r="OC435" s="978"/>
      <c r="OD435" s="978"/>
      <c r="OE435" s="978"/>
      <c r="OF435" s="978"/>
      <c r="OG435" s="978"/>
      <c r="OH435" s="978"/>
      <c r="OI435" s="978"/>
      <c r="OJ435" s="978"/>
      <c r="OK435" s="978"/>
      <c r="OL435" s="978"/>
      <c r="OM435" s="978"/>
      <c r="ON435" s="978"/>
      <c r="OO435" s="978"/>
      <c r="OP435" s="978"/>
      <c r="OQ435" s="978"/>
      <c r="OR435" s="978"/>
      <c r="OS435" s="978"/>
      <c r="OT435" s="978"/>
      <c r="OU435" s="978"/>
      <c r="OV435" s="978"/>
      <c r="OW435" s="978"/>
      <c r="OX435" s="978"/>
      <c r="OY435" s="978"/>
      <c r="OZ435" s="978"/>
      <c r="PA435" s="978"/>
      <c r="PB435" s="978"/>
      <c r="PC435" s="978"/>
      <c r="PD435" s="978"/>
      <c r="PE435" s="978"/>
      <c r="PF435" s="978"/>
      <c r="PG435" s="978"/>
      <c r="PH435" s="978"/>
      <c r="PI435" s="978"/>
      <c r="PJ435" s="978"/>
      <c r="PK435" s="978"/>
      <c r="PL435" s="978"/>
      <c r="PM435" s="978"/>
      <c r="PN435" s="978"/>
      <c r="PO435" s="978"/>
      <c r="PP435" s="978"/>
      <c r="PQ435" s="978"/>
      <c r="PR435" s="978"/>
      <c r="PS435" s="978"/>
      <c r="PT435" s="978"/>
      <c r="PU435" s="978"/>
      <c r="PV435" s="978"/>
      <c r="PW435" s="978"/>
      <c r="PX435" s="978"/>
      <c r="PY435" s="978"/>
      <c r="PZ435" s="978"/>
      <c r="QA435" s="978"/>
      <c r="QB435" s="978"/>
      <c r="QC435" s="978"/>
      <c r="QD435" s="978"/>
      <c r="QE435" s="978"/>
      <c r="QF435" s="978"/>
      <c r="QG435" s="978"/>
      <c r="QH435" s="978"/>
      <c r="QI435" s="978"/>
      <c r="QJ435" s="978"/>
      <c r="QK435" s="978"/>
      <c r="QL435" s="978"/>
      <c r="QM435" s="978"/>
      <c r="QN435" s="978"/>
      <c r="QO435" s="978"/>
      <c r="QP435" s="978"/>
      <c r="QQ435" s="978"/>
      <c r="QR435" s="978"/>
      <c r="QS435" s="978"/>
      <c r="QT435" s="978"/>
      <c r="QU435" s="978"/>
      <c r="QV435" s="978"/>
      <c r="QW435" s="978"/>
      <c r="QX435" s="978"/>
      <c r="QY435" s="978"/>
      <c r="QZ435" s="978"/>
      <c r="RA435" s="978"/>
      <c r="RB435" s="274"/>
      <c r="RC435" s="274"/>
    </row>
    <row r="436" spans="112:471" ht="17.25">
      <c r="DH436" s="274"/>
      <c r="DI436" s="274"/>
      <c r="DJ436" s="978"/>
      <c r="DK436" s="978"/>
      <c r="DL436" s="978"/>
      <c r="DM436" s="978"/>
      <c r="DN436" s="978"/>
      <c r="DO436" s="978"/>
      <c r="DP436" s="978"/>
      <c r="DQ436" s="978"/>
      <c r="DR436" s="978"/>
      <c r="DS436" s="978"/>
      <c r="DT436" s="978"/>
      <c r="DU436" s="978"/>
      <c r="DV436" s="978"/>
      <c r="DW436" s="978"/>
      <c r="DX436" s="978"/>
      <c r="DY436" s="978"/>
      <c r="DZ436" s="978"/>
      <c r="EA436" s="978"/>
      <c r="EB436" s="978"/>
      <c r="EC436" s="978"/>
      <c r="ED436" s="978"/>
      <c r="EE436" s="978"/>
      <c r="EF436" s="978"/>
      <c r="EG436" s="978"/>
      <c r="EH436" s="978"/>
      <c r="EI436" s="978"/>
      <c r="EJ436" s="978"/>
      <c r="EK436" s="978"/>
      <c r="EL436" s="978"/>
      <c r="EM436" s="978"/>
      <c r="EN436" s="978"/>
      <c r="EO436" s="978"/>
      <c r="EP436" s="978"/>
      <c r="EQ436" s="978"/>
      <c r="ER436" s="978"/>
      <c r="ES436" s="978"/>
      <c r="ET436" s="978"/>
      <c r="EU436" s="978"/>
      <c r="EV436" s="978"/>
      <c r="EW436" s="978"/>
      <c r="EX436" s="978"/>
      <c r="EY436" s="978"/>
      <c r="EZ436" s="978"/>
      <c r="FA436" s="978"/>
      <c r="FB436" s="978"/>
      <c r="FC436" s="978"/>
      <c r="FD436" s="978"/>
      <c r="FE436" s="978"/>
      <c r="FF436" s="978"/>
      <c r="FG436" s="978"/>
      <c r="FH436" s="978"/>
      <c r="FI436" s="978"/>
      <c r="FJ436" s="978"/>
      <c r="FK436" s="978"/>
      <c r="FL436" s="978"/>
      <c r="FM436" s="978"/>
      <c r="FN436" s="978"/>
      <c r="FO436" s="978"/>
      <c r="FP436" s="978"/>
      <c r="FQ436" s="978"/>
      <c r="FR436" s="978"/>
      <c r="FS436" s="978"/>
      <c r="FT436" s="978"/>
      <c r="FU436" s="978"/>
      <c r="FV436" s="978"/>
      <c r="FW436" s="978"/>
      <c r="FX436" s="978"/>
      <c r="FY436" s="978"/>
      <c r="FZ436" s="978"/>
      <c r="GA436" s="978"/>
      <c r="GB436" s="978"/>
      <c r="GC436" s="978"/>
      <c r="GD436" s="978"/>
      <c r="GE436" s="978"/>
      <c r="GF436" s="978"/>
      <c r="GG436" s="978"/>
      <c r="GH436" s="978"/>
      <c r="GI436" s="978"/>
      <c r="GJ436" s="978"/>
      <c r="GK436" s="978"/>
      <c r="GL436" s="978"/>
      <c r="GM436" s="978"/>
      <c r="GN436" s="978"/>
      <c r="GO436" s="978"/>
      <c r="GP436" s="978"/>
      <c r="GQ436" s="978"/>
      <c r="GR436" s="978"/>
      <c r="GS436" s="978"/>
      <c r="GT436" s="978"/>
      <c r="GU436" s="978"/>
      <c r="GV436" s="978"/>
      <c r="GW436" s="978"/>
      <c r="GX436" s="978"/>
      <c r="GY436" s="978"/>
      <c r="GZ436" s="978"/>
      <c r="HA436" s="978"/>
      <c r="HB436" s="978"/>
      <c r="HC436" s="978"/>
      <c r="HD436" s="978"/>
      <c r="HE436" s="978"/>
      <c r="HF436" s="978"/>
      <c r="HG436" s="978"/>
      <c r="HH436" s="978"/>
      <c r="HI436" s="978"/>
      <c r="HJ436" s="978"/>
      <c r="HK436" s="978"/>
      <c r="HL436" s="978"/>
      <c r="HM436" s="978"/>
      <c r="HN436" s="978"/>
      <c r="HO436" s="978"/>
      <c r="HP436" s="978"/>
      <c r="HQ436" s="978"/>
      <c r="HR436" s="978"/>
      <c r="HS436" s="978"/>
      <c r="HT436" s="978"/>
      <c r="HU436" s="978"/>
      <c r="HV436" s="978"/>
      <c r="HW436" s="978"/>
      <c r="HX436" s="978"/>
      <c r="HY436" s="978"/>
      <c r="HZ436" s="978"/>
      <c r="IA436" s="978"/>
      <c r="IB436" s="978"/>
      <c r="IC436" s="978"/>
      <c r="ID436" s="978"/>
      <c r="IE436" s="978"/>
      <c r="IF436" s="978"/>
      <c r="IG436" s="978"/>
      <c r="IH436" s="978"/>
      <c r="II436" s="978"/>
      <c r="IJ436" s="978"/>
      <c r="IK436" s="978"/>
      <c r="IL436" s="978"/>
      <c r="IM436" s="978"/>
      <c r="IN436" s="978"/>
      <c r="IO436" s="978"/>
      <c r="IP436" s="978"/>
      <c r="IQ436" s="978"/>
      <c r="IR436" s="978"/>
      <c r="IS436" s="978"/>
      <c r="IT436" s="978"/>
      <c r="IU436" s="978"/>
      <c r="IV436" s="978"/>
      <c r="IW436" s="978"/>
      <c r="IX436" s="978"/>
      <c r="IY436" s="978"/>
      <c r="IZ436" s="978"/>
      <c r="JA436" s="978"/>
      <c r="JB436" s="978"/>
      <c r="JC436" s="978"/>
      <c r="JD436" s="978"/>
      <c r="JE436" s="978"/>
      <c r="JF436" s="978"/>
      <c r="JG436" s="978"/>
      <c r="JH436" s="978"/>
      <c r="JI436" s="978"/>
      <c r="JJ436" s="978"/>
      <c r="JK436" s="978"/>
      <c r="JL436" s="978"/>
      <c r="JM436" s="978"/>
      <c r="JN436" s="978"/>
      <c r="JO436" s="978"/>
      <c r="JP436" s="978"/>
      <c r="JQ436" s="978"/>
      <c r="JR436" s="978"/>
      <c r="JS436" s="978"/>
      <c r="JT436" s="978"/>
      <c r="JU436" s="978"/>
      <c r="JV436" s="978"/>
      <c r="JW436" s="978"/>
      <c r="JX436" s="978"/>
      <c r="JY436" s="978"/>
      <c r="JZ436" s="978"/>
      <c r="KA436" s="978"/>
      <c r="KB436" s="978"/>
      <c r="KC436" s="978"/>
      <c r="KD436" s="978"/>
      <c r="KE436" s="978"/>
      <c r="KF436" s="978"/>
      <c r="KG436" s="978"/>
      <c r="KH436" s="978"/>
      <c r="KI436" s="978"/>
      <c r="KJ436" s="978"/>
      <c r="KK436" s="978"/>
      <c r="KL436" s="978"/>
      <c r="KM436" s="978"/>
      <c r="KN436" s="978"/>
      <c r="KO436" s="978"/>
      <c r="KP436" s="978"/>
      <c r="KQ436" s="978"/>
      <c r="KR436" s="978"/>
      <c r="KS436" s="978"/>
      <c r="KT436" s="978"/>
      <c r="KU436" s="978"/>
      <c r="KV436" s="978"/>
      <c r="KW436" s="978"/>
      <c r="KX436" s="978"/>
      <c r="KY436" s="978"/>
      <c r="KZ436" s="978"/>
      <c r="LA436" s="978"/>
      <c r="LB436" s="978"/>
      <c r="LC436" s="978"/>
      <c r="LD436" s="978"/>
      <c r="LE436" s="978"/>
      <c r="LF436" s="978"/>
      <c r="LG436" s="978"/>
      <c r="LH436" s="978"/>
      <c r="LI436" s="978"/>
      <c r="LJ436" s="978"/>
      <c r="LK436" s="978"/>
      <c r="LL436" s="978"/>
      <c r="LM436" s="978"/>
      <c r="LN436" s="978"/>
      <c r="LO436" s="978"/>
      <c r="LP436" s="978"/>
      <c r="LQ436" s="978"/>
      <c r="LR436" s="978"/>
      <c r="LS436" s="978"/>
      <c r="LT436" s="978"/>
      <c r="LU436" s="978"/>
      <c r="LV436" s="978"/>
      <c r="LW436" s="978"/>
      <c r="LX436" s="978"/>
      <c r="LY436" s="978"/>
      <c r="LZ436" s="978"/>
      <c r="MA436" s="978"/>
      <c r="MB436" s="978"/>
      <c r="MC436" s="978"/>
      <c r="MD436" s="978"/>
      <c r="ME436" s="978"/>
      <c r="MF436" s="978"/>
      <c r="MG436" s="978"/>
      <c r="MH436" s="978"/>
      <c r="MI436" s="978"/>
      <c r="MJ436" s="978"/>
      <c r="MK436" s="978"/>
      <c r="ML436" s="978"/>
      <c r="MM436" s="978"/>
      <c r="MN436" s="978"/>
      <c r="MO436" s="978"/>
      <c r="MP436" s="978"/>
      <c r="MQ436" s="978"/>
      <c r="MR436" s="978"/>
      <c r="MS436" s="978"/>
      <c r="MT436" s="978"/>
      <c r="MU436" s="978"/>
      <c r="MV436" s="978"/>
      <c r="MW436" s="978"/>
      <c r="MX436" s="978"/>
      <c r="MY436" s="978"/>
      <c r="MZ436" s="978"/>
      <c r="NA436" s="978"/>
      <c r="NB436" s="978"/>
      <c r="NC436" s="978"/>
      <c r="ND436" s="978"/>
      <c r="NE436" s="978"/>
      <c r="NF436" s="978"/>
      <c r="NG436" s="978"/>
      <c r="NH436" s="978"/>
      <c r="NI436" s="978"/>
      <c r="NJ436" s="978"/>
      <c r="NK436" s="978"/>
      <c r="NL436" s="978"/>
      <c r="NM436" s="978"/>
      <c r="NN436" s="978"/>
      <c r="NO436" s="978"/>
      <c r="NP436" s="978"/>
      <c r="NQ436" s="978"/>
      <c r="NR436" s="978"/>
      <c r="NS436" s="978"/>
      <c r="NT436" s="978"/>
      <c r="NU436" s="978"/>
      <c r="NV436" s="978"/>
      <c r="NW436" s="978"/>
      <c r="NX436" s="978"/>
      <c r="NY436" s="978"/>
      <c r="NZ436" s="978"/>
      <c r="OA436" s="978"/>
      <c r="OB436" s="978"/>
      <c r="OC436" s="978"/>
      <c r="OD436" s="978"/>
      <c r="OE436" s="978"/>
      <c r="OF436" s="978"/>
      <c r="OG436" s="978"/>
      <c r="OH436" s="978"/>
      <c r="OI436" s="978"/>
      <c r="OJ436" s="978"/>
      <c r="OK436" s="978"/>
      <c r="OL436" s="978"/>
      <c r="OM436" s="978"/>
      <c r="ON436" s="978"/>
      <c r="OO436" s="978"/>
      <c r="OP436" s="978"/>
      <c r="OQ436" s="978"/>
      <c r="OR436" s="978"/>
      <c r="OS436" s="978"/>
      <c r="OT436" s="978"/>
      <c r="OU436" s="978"/>
      <c r="OV436" s="978"/>
      <c r="OW436" s="978"/>
      <c r="OX436" s="978"/>
      <c r="OY436" s="978"/>
      <c r="OZ436" s="978"/>
      <c r="PA436" s="978"/>
      <c r="PB436" s="978"/>
      <c r="PC436" s="978"/>
      <c r="PD436" s="978"/>
      <c r="PE436" s="978"/>
      <c r="PF436" s="978"/>
      <c r="PG436" s="978"/>
      <c r="PH436" s="978"/>
      <c r="PI436" s="978"/>
      <c r="PJ436" s="978"/>
      <c r="PK436" s="978"/>
      <c r="PL436" s="978"/>
      <c r="PM436" s="978"/>
      <c r="PN436" s="978"/>
      <c r="PO436" s="978"/>
      <c r="PP436" s="978"/>
      <c r="PQ436" s="978"/>
      <c r="PR436" s="978"/>
      <c r="PS436" s="978"/>
      <c r="PT436" s="978"/>
      <c r="PU436" s="978"/>
      <c r="PV436" s="978"/>
      <c r="PW436" s="978"/>
      <c r="PX436" s="978"/>
      <c r="PY436" s="978"/>
      <c r="PZ436" s="978"/>
      <c r="QA436" s="978"/>
      <c r="QB436" s="978"/>
      <c r="QC436" s="978"/>
      <c r="QD436" s="978"/>
      <c r="QE436" s="978"/>
      <c r="QF436" s="978"/>
      <c r="QG436" s="978"/>
      <c r="QH436" s="978"/>
      <c r="QI436" s="978"/>
      <c r="QJ436" s="978"/>
      <c r="QK436" s="978"/>
      <c r="QL436" s="978"/>
      <c r="QM436" s="978"/>
      <c r="QN436" s="978"/>
      <c r="QO436" s="978"/>
      <c r="QP436" s="978"/>
      <c r="QQ436" s="978"/>
      <c r="QR436" s="978"/>
      <c r="QS436" s="978"/>
      <c r="QT436" s="978"/>
      <c r="QU436" s="978"/>
      <c r="QV436" s="978"/>
      <c r="QW436" s="978"/>
      <c r="QX436" s="978"/>
      <c r="QY436" s="978"/>
      <c r="QZ436" s="978"/>
      <c r="RA436" s="978"/>
      <c r="RB436" s="274"/>
      <c r="RC436" s="274"/>
    </row>
    <row r="437" spans="112:471" ht="17.25">
      <c r="DH437" s="274"/>
      <c r="DI437" s="274"/>
      <c r="DJ437" s="978"/>
      <c r="DK437" s="978"/>
      <c r="DL437" s="978"/>
      <c r="DM437" s="978"/>
      <c r="DN437" s="978"/>
      <c r="DO437" s="978"/>
      <c r="DP437" s="978"/>
      <c r="DQ437" s="978"/>
      <c r="DR437" s="978"/>
      <c r="DS437" s="978"/>
      <c r="DT437" s="978"/>
      <c r="DU437" s="978"/>
      <c r="DV437" s="978"/>
      <c r="DW437" s="978"/>
      <c r="DX437" s="978"/>
      <c r="DY437" s="978"/>
      <c r="DZ437" s="978"/>
      <c r="EA437" s="978"/>
      <c r="EB437" s="978"/>
      <c r="EC437" s="978"/>
      <c r="ED437" s="978"/>
      <c r="EE437" s="978"/>
      <c r="EF437" s="978"/>
      <c r="EG437" s="978"/>
      <c r="EH437" s="978"/>
      <c r="EI437" s="978"/>
      <c r="EJ437" s="978"/>
      <c r="EK437" s="978"/>
      <c r="EL437" s="978"/>
      <c r="EM437" s="978"/>
      <c r="EN437" s="978"/>
      <c r="EO437" s="978"/>
      <c r="EP437" s="978"/>
      <c r="EQ437" s="978"/>
      <c r="ER437" s="978"/>
      <c r="ES437" s="978"/>
      <c r="ET437" s="978"/>
      <c r="EU437" s="978"/>
      <c r="EV437" s="978"/>
      <c r="EW437" s="978"/>
      <c r="EX437" s="978"/>
      <c r="EY437" s="978"/>
      <c r="EZ437" s="978"/>
      <c r="FA437" s="978"/>
      <c r="FB437" s="978"/>
      <c r="FC437" s="978"/>
      <c r="FD437" s="978"/>
      <c r="FE437" s="978"/>
      <c r="FF437" s="978"/>
      <c r="FG437" s="978"/>
      <c r="FH437" s="978"/>
      <c r="FI437" s="978"/>
      <c r="FJ437" s="978"/>
      <c r="FK437" s="978"/>
      <c r="FL437" s="978"/>
      <c r="FM437" s="978"/>
      <c r="FN437" s="978"/>
      <c r="FO437" s="978"/>
      <c r="FP437" s="978"/>
      <c r="FQ437" s="978"/>
      <c r="FR437" s="978"/>
      <c r="FS437" s="978"/>
      <c r="FT437" s="978"/>
      <c r="FU437" s="978"/>
      <c r="FV437" s="978"/>
      <c r="FW437" s="978"/>
      <c r="FX437" s="978"/>
      <c r="FY437" s="978"/>
      <c r="FZ437" s="978"/>
      <c r="GA437" s="978"/>
      <c r="GB437" s="978"/>
      <c r="GC437" s="978"/>
      <c r="GD437" s="978"/>
      <c r="GE437" s="978"/>
      <c r="GF437" s="978"/>
      <c r="GG437" s="978"/>
      <c r="GH437" s="978"/>
      <c r="GI437" s="978"/>
      <c r="GJ437" s="978"/>
      <c r="GK437" s="978"/>
      <c r="GL437" s="978"/>
      <c r="GM437" s="978"/>
      <c r="GN437" s="978"/>
      <c r="GO437" s="978"/>
      <c r="GP437" s="978"/>
      <c r="GQ437" s="978"/>
      <c r="GR437" s="978"/>
      <c r="GS437" s="978"/>
      <c r="GT437" s="978"/>
      <c r="GU437" s="978"/>
      <c r="GV437" s="978"/>
      <c r="GW437" s="978"/>
      <c r="GX437" s="978"/>
      <c r="GY437" s="978"/>
      <c r="GZ437" s="978"/>
      <c r="HA437" s="978"/>
      <c r="HB437" s="978"/>
      <c r="HC437" s="978"/>
      <c r="HD437" s="978"/>
      <c r="HE437" s="978"/>
      <c r="HF437" s="978"/>
      <c r="HG437" s="978"/>
      <c r="HH437" s="978"/>
      <c r="HI437" s="978"/>
      <c r="HJ437" s="978"/>
      <c r="HK437" s="978"/>
      <c r="HL437" s="978"/>
      <c r="HM437" s="978"/>
      <c r="HN437" s="978"/>
      <c r="HO437" s="978"/>
      <c r="HP437" s="978"/>
      <c r="HQ437" s="978"/>
      <c r="HR437" s="978"/>
      <c r="HS437" s="978"/>
      <c r="HT437" s="978"/>
      <c r="HU437" s="978"/>
      <c r="HV437" s="978"/>
      <c r="HW437" s="978"/>
      <c r="HX437" s="978"/>
      <c r="HY437" s="978"/>
      <c r="HZ437" s="978"/>
      <c r="IA437" s="978"/>
      <c r="IB437" s="978"/>
      <c r="IC437" s="978"/>
      <c r="ID437" s="978"/>
      <c r="IE437" s="978"/>
      <c r="IF437" s="978"/>
      <c r="IG437" s="978"/>
      <c r="IH437" s="978"/>
      <c r="II437" s="978"/>
      <c r="IJ437" s="978"/>
      <c r="IK437" s="978"/>
      <c r="IL437" s="978"/>
      <c r="IM437" s="978"/>
      <c r="IN437" s="978"/>
      <c r="IO437" s="978"/>
      <c r="IP437" s="978"/>
      <c r="IQ437" s="978"/>
      <c r="IR437" s="978"/>
      <c r="IS437" s="978"/>
      <c r="IT437" s="978"/>
      <c r="IU437" s="978"/>
      <c r="IV437" s="978"/>
      <c r="IW437" s="978"/>
      <c r="IX437" s="978"/>
      <c r="IY437" s="978"/>
      <c r="IZ437" s="978"/>
      <c r="JA437" s="978"/>
      <c r="JB437" s="978"/>
      <c r="JC437" s="978"/>
      <c r="JD437" s="978"/>
      <c r="JE437" s="978"/>
      <c r="JF437" s="978"/>
      <c r="JG437" s="978"/>
      <c r="JH437" s="978"/>
      <c r="JI437" s="978"/>
      <c r="JJ437" s="978"/>
      <c r="JK437" s="978"/>
      <c r="JL437" s="978"/>
      <c r="JM437" s="978"/>
      <c r="JN437" s="978"/>
      <c r="JO437" s="978"/>
      <c r="JP437" s="978"/>
      <c r="JQ437" s="978"/>
      <c r="JR437" s="978"/>
      <c r="JS437" s="978"/>
      <c r="JT437" s="978"/>
      <c r="JU437" s="978"/>
      <c r="JV437" s="978"/>
      <c r="JW437" s="978"/>
      <c r="JX437" s="978"/>
      <c r="JY437" s="978"/>
      <c r="JZ437" s="978"/>
      <c r="KA437" s="978"/>
      <c r="KB437" s="978"/>
      <c r="KC437" s="978"/>
      <c r="KD437" s="978"/>
      <c r="KE437" s="978"/>
      <c r="KF437" s="978"/>
      <c r="KG437" s="978"/>
      <c r="KH437" s="978"/>
      <c r="KI437" s="978"/>
      <c r="KJ437" s="978"/>
      <c r="KK437" s="978"/>
      <c r="KL437" s="978"/>
      <c r="KM437" s="978"/>
      <c r="KN437" s="978"/>
      <c r="KO437" s="978"/>
      <c r="KP437" s="978"/>
      <c r="KQ437" s="978"/>
      <c r="KR437" s="978"/>
      <c r="KS437" s="978"/>
      <c r="KT437" s="978"/>
      <c r="KU437" s="978"/>
      <c r="KV437" s="978"/>
      <c r="KW437" s="978"/>
      <c r="KX437" s="978"/>
      <c r="KY437" s="978"/>
      <c r="KZ437" s="978"/>
      <c r="LA437" s="978"/>
      <c r="LB437" s="978"/>
      <c r="LC437" s="978"/>
      <c r="LD437" s="978"/>
      <c r="LE437" s="978"/>
      <c r="LF437" s="978"/>
      <c r="LG437" s="978"/>
      <c r="LH437" s="978"/>
      <c r="LI437" s="978"/>
      <c r="LJ437" s="978"/>
      <c r="LK437" s="978"/>
      <c r="LL437" s="978"/>
      <c r="LM437" s="978"/>
      <c r="LN437" s="978"/>
      <c r="LO437" s="978"/>
      <c r="LP437" s="978"/>
      <c r="LQ437" s="978"/>
      <c r="LR437" s="978"/>
      <c r="LS437" s="978"/>
      <c r="LT437" s="978"/>
      <c r="LU437" s="978"/>
      <c r="LV437" s="978"/>
      <c r="LW437" s="978"/>
      <c r="LX437" s="978"/>
      <c r="LY437" s="978"/>
      <c r="LZ437" s="978"/>
      <c r="MA437" s="978"/>
      <c r="MB437" s="978"/>
      <c r="MC437" s="978"/>
      <c r="MD437" s="978"/>
      <c r="ME437" s="978"/>
      <c r="MF437" s="978"/>
      <c r="MG437" s="978"/>
      <c r="MH437" s="978"/>
      <c r="MI437" s="978"/>
      <c r="MJ437" s="978"/>
      <c r="MK437" s="978"/>
      <c r="ML437" s="978"/>
      <c r="MM437" s="978"/>
      <c r="MN437" s="978"/>
      <c r="MO437" s="978"/>
      <c r="MP437" s="978"/>
      <c r="MQ437" s="978"/>
      <c r="MR437" s="978"/>
      <c r="MS437" s="978"/>
      <c r="MT437" s="978"/>
      <c r="MU437" s="978"/>
      <c r="MV437" s="978"/>
      <c r="MW437" s="978"/>
      <c r="MX437" s="978"/>
      <c r="MY437" s="978"/>
      <c r="MZ437" s="978"/>
      <c r="NA437" s="978"/>
      <c r="NB437" s="978"/>
      <c r="NC437" s="978"/>
      <c r="ND437" s="978"/>
      <c r="NE437" s="978"/>
      <c r="NF437" s="978"/>
      <c r="NG437" s="978"/>
      <c r="NH437" s="978"/>
      <c r="NI437" s="978"/>
      <c r="NJ437" s="978"/>
      <c r="NK437" s="978"/>
      <c r="NL437" s="978"/>
      <c r="NM437" s="978"/>
      <c r="NN437" s="978"/>
      <c r="NO437" s="978"/>
      <c r="NP437" s="978"/>
      <c r="NQ437" s="978"/>
      <c r="NR437" s="978"/>
      <c r="NS437" s="978"/>
      <c r="NT437" s="978"/>
      <c r="NU437" s="978"/>
      <c r="NV437" s="978"/>
      <c r="NW437" s="978"/>
      <c r="NX437" s="978"/>
      <c r="NY437" s="978"/>
      <c r="NZ437" s="978"/>
      <c r="OA437" s="978"/>
      <c r="OB437" s="978"/>
      <c r="OC437" s="978"/>
      <c r="OD437" s="978"/>
      <c r="OE437" s="978"/>
      <c r="OF437" s="978"/>
      <c r="OG437" s="978"/>
      <c r="OH437" s="978"/>
      <c r="OI437" s="978"/>
      <c r="OJ437" s="978"/>
      <c r="OK437" s="978"/>
      <c r="OL437" s="978"/>
      <c r="OM437" s="978"/>
      <c r="ON437" s="978"/>
      <c r="OO437" s="978"/>
      <c r="OP437" s="978"/>
      <c r="OQ437" s="978"/>
      <c r="OR437" s="978"/>
      <c r="OS437" s="978"/>
      <c r="OT437" s="978"/>
      <c r="OU437" s="978"/>
      <c r="OV437" s="978"/>
      <c r="OW437" s="978"/>
      <c r="OX437" s="978"/>
      <c r="OY437" s="978"/>
      <c r="OZ437" s="978"/>
      <c r="PA437" s="978"/>
      <c r="PB437" s="978"/>
      <c r="PC437" s="978"/>
      <c r="PD437" s="978"/>
      <c r="PE437" s="978"/>
      <c r="PF437" s="978"/>
      <c r="PG437" s="978"/>
      <c r="PH437" s="978"/>
      <c r="PI437" s="978"/>
      <c r="PJ437" s="978"/>
      <c r="PK437" s="978"/>
      <c r="PL437" s="978"/>
      <c r="PM437" s="978"/>
      <c r="PN437" s="978"/>
      <c r="PO437" s="978"/>
      <c r="PP437" s="978"/>
      <c r="PQ437" s="978"/>
      <c r="PR437" s="978"/>
      <c r="PS437" s="978"/>
      <c r="PT437" s="978"/>
      <c r="PU437" s="978"/>
      <c r="PV437" s="978"/>
      <c r="PW437" s="978"/>
      <c r="PX437" s="978"/>
      <c r="PY437" s="978"/>
      <c r="PZ437" s="978"/>
      <c r="QA437" s="978"/>
      <c r="QB437" s="978"/>
      <c r="QC437" s="978"/>
      <c r="QD437" s="978"/>
      <c r="QE437" s="978"/>
      <c r="QF437" s="978"/>
      <c r="QG437" s="978"/>
      <c r="QH437" s="978"/>
      <c r="QI437" s="978"/>
      <c r="QJ437" s="978"/>
      <c r="QK437" s="978"/>
      <c r="QL437" s="978"/>
      <c r="QM437" s="978"/>
      <c r="QN437" s="978"/>
      <c r="QO437" s="978"/>
      <c r="QP437" s="978"/>
      <c r="QQ437" s="978"/>
      <c r="QR437" s="978"/>
      <c r="QS437" s="978"/>
      <c r="QT437" s="978"/>
      <c r="QU437" s="978"/>
      <c r="QV437" s="978"/>
      <c r="QW437" s="978"/>
      <c r="QX437" s="978"/>
      <c r="QY437" s="978"/>
      <c r="QZ437" s="978"/>
      <c r="RA437" s="978"/>
      <c r="RB437" s="274"/>
      <c r="RC437" s="274"/>
    </row>
    <row r="438" spans="112:471" ht="17.25">
      <c r="DH438" s="274"/>
      <c r="DI438" s="274"/>
      <c r="DJ438" s="978"/>
      <c r="DK438" s="978"/>
      <c r="DL438" s="978"/>
      <c r="DM438" s="978"/>
      <c r="DN438" s="978"/>
      <c r="DO438" s="978"/>
      <c r="DP438" s="978"/>
      <c r="DQ438" s="978"/>
      <c r="DR438" s="978"/>
      <c r="DS438" s="978"/>
      <c r="DT438" s="978"/>
      <c r="DU438" s="978"/>
      <c r="DV438" s="978"/>
      <c r="DW438" s="978"/>
      <c r="DX438" s="978"/>
      <c r="DY438" s="978"/>
      <c r="DZ438" s="978"/>
      <c r="EA438" s="978"/>
      <c r="EB438" s="978"/>
      <c r="EC438" s="978"/>
      <c r="ED438" s="978"/>
      <c r="EE438" s="978"/>
      <c r="EF438" s="978"/>
      <c r="EG438" s="978"/>
      <c r="EH438" s="978"/>
      <c r="EI438" s="978"/>
      <c r="EJ438" s="978"/>
      <c r="EK438" s="978"/>
      <c r="EL438" s="978"/>
      <c r="EM438" s="978"/>
      <c r="EN438" s="978"/>
      <c r="EO438" s="978"/>
      <c r="EP438" s="978"/>
      <c r="EQ438" s="978"/>
      <c r="ER438" s="978"/>
      <c r="ES438" s="978"/>
      <c r="ET438" s="978"/>
      <c r="EU438" s="978"/>
      <c r="EV438" s="978"/>
      <c r="EW438" s="978"/>
      <c r="EX438" s="978"/>
      <c r="EY438" s="978"/>
      <c r="EZ438" s="978"/>
      <c r="FA438" s="978"/>
      <c r="FB438" s="978"/>
      <c r="FC438" s="978"/>
      <c r="FD438" s="978"/>
      <c r="FE438" s="978"/>
      <c r="FF438" s="978"/>
      <c r="FG438" s="978"/>
      <c r="FH438" s="978"/>
      <c r="FI438" s="978"/>
      <c r="FJ438" s="978"/>
      <c r="FK438" s="978"/>
      <c r="FL438" s="978"/>
      <c r="FM438" s="978"/>
      <c r="FN438" s="978"/>
      <c r="FO438" s="978"/>
      <c r="FP438" s="978"/>
      <c r="FQ438" s="978"/>
      <c r="FR438" s="978"/>
      <c r="FS438" s="978"/>
      <c r="FT438" s="978"/>
      <c r="FU438" s="978"/>
      <c r="FV438" s="978"/>
      <c r="FW438" s="978"/>
      <c r="FX438" s="978"/>
      <c r="FY438" s="978"/>
      <c r="FZ438" s="978"/>
      <c r="GA438" s="978"/>
      <c r="GB438" s="978"/>
      <c r="GC438" s="978"/>
      <c r="GD438" s="978"/>
      <c r="GE438" s="978"/>
      <c r="GF438" s="978"/>
      <c r="GG438" s="978"/>
      <c r="GH438" s="978"/>
      <c r="GI438" s="978"/>
      <c r="GJ438" s="978"/>
      <c r="GK438" s="978"/>
      <c r="GL438" s="978"/>
      <c r="GM438" s="978"/>
      <c r="GN438" s="978"/>
      <c r="GO438" s="978"/>
      <c r="GP438" s="978"/>
      <c r="GQ438" s="978"/>
      <c r="GR438" s="978"/>
      <c r="GS438" s="978"/>
      <c r="GT438" s="978"/>
      <c r="GU438" s="978"/>
      <c r="GV438" s="978"/>
      <c r="GW438" s="978"/>
      <c r="GX438" s="978"/>
      <c r="GY438" s="978"/>
      <c r="GZ438" s="978"/>
      <c r="HA438" s="978"/>
      <c r="HB438" s="978"/>
      <c r="HC438" s="978"/>
      <c r="HD438" s="978"/>
      <c r="HE438" s="978"/>
      <c r="HF438" s="978"/>
      <c r="HG438" s="978"/>
      <c r="HH438" s="978"/>
      <c r="HI438" s="978"/>
      <c r="HJ438" s="978"/>
      <c r="HK438" s="978"/>
      <c r="HL438" s="978"/>
      <c r="HM438" s="978"/>
      <c r="HN438" s="978"/>
      <c r="HO438" s="978"/>
      <c r="HP438" s="978"/>
      <c r="HQ438" s="978"/>
      <c r="HR438" s="978"/>
      <c r="HS438" s="978"/>
      <c r="HT438" s="978"/>
      <c r="HU438" s="978"/>
      <c r="HV438" s="978"/>
      <c r="HW438" s="978"/>
      <c r="HX438" s="978"/>
      <c r="HY438" s="978"/>
      <c r="HZ438" s="978"/>
      <c r="IA438" s="978"/>
      <c r="IB438" s="978"/>
      <c r="IC438" s="978"/>
      <c r="ID438" s="978"/>
      <c r="IE438" s="978"/>
      <c r="IF438" s="978"/>
      <c r="IG438" s="978"/>
      <c r="IH438" s="978"/>
      <c r="II438" s="978"/>
      <c r="IJ438" s="978"/>
      <c r="IK438" s="978"/>
      <c r="IL438" s="978"/>
      <c r="IM438" s="978"/>
      <c r="IN438" s="978"/>
      <c r="IO438" s="978"/>
      <c r="IP438" s="978"/>
      <c r="IQ438" s="978"/>
      <c r="IR438" s="978"/>
      <c r="IS438" s="978"/>
      <c r="IT438" s="978"/>
      <c r="IU438" s="978"/>
      <c r="IV438" s="978"/>
      <c r="IW438" s="978"/>
      <c r="IX438" s="978"/>
      <c r="IY438" s="978"/>
      <c r="IZ438" s="978"/>
      <c r="JA438" s="978"/>
      <c r="JB438" s="978"/>
      <c r="JC438" s="978"/>
      <c r="JD438" s="978"/>
      <c r="JE438" s="978"/>
      <c r="JF438" s="978"/>
      <c r="JG438" s="978"/>
      <c r="JH438" s="978"/>
      <c r="JI438" s="978"/>
      <c r="JJ438" s="978"/>
      <c r="JK438" s="978"/>
      <c r="JL438" s="978"/>
      <c r="JM438" s="978"/>
      <c r="JN438" s="978"/>
      <c r="JO438" s="978"/>
      <c r="JP438" s="978"/>
      <c r="JQ438" s="978"/>
      <c r="JR438" s="978"/>
      <c r="JS438" s="978"/>
      <c r="JT438" s="978"/>
      <c r="JU438" s="978"/>
      <c r="JV438" s="978"/>
      <c r="JW438" s="978"/>
      <c r="JX438" s="978"/>
      <c r="JY438" s="978"/>
      <c r="JZ438" s="978"/>
      <c r="KA438" s="978"/>
      <c r="KB438" s="978"/>
      <c r="KC438" s="978"/>
      <c r="KD438" s="978"/>
      <c r="KE438" s="978"/>
      <c r="KF438" s="978"/>
      <c r="KG438" s="978"/>
      <c r="KH438" s="978"/>
      <c r="KI438" s="978"/>
      <c r="KJ438" s="978"/>
      <c r="KK438" s="978"/>
      <c r="KL438" s="978"/>
      <c r="KM438" s="978"/>
      <c r="KN438" s="978"/>
      <c r="KO438" s="978"/>
      <c r="KP438" s="978"/>
      <c r="KQ438" s="978"/>
      <c r="KR438" s="978"/>
      <c r="KS438" s="978"/>
      <c r="KT438" s="978"/>
      <c r="KU438" s="978"/>
      <c r="KV438" s="978"/>
      <c r="KW438" s="978"/>
      <c r="KX438" s="978"/>
      <c r="KY438" s="978"/>
      <c r="KZ438" s="978"/>
      <c r="LA438" s="978"/>
      <c r="LB438" s="978"/>
      <c r="LC438" s="978"/>
      <c r="LD438" s="978"/>
      <c r="LE438" s="978"/>
      <c r="LF438" s="978"/>
      <c r="LG438" s="978"/>
      <c r="LH438" s="978"/>
      <c r="LI438" s="978"/>
      <c r="LJ438" s="978"/>
      <c r="LK438" s="978"/>
      <c r="LL438" s="978"/>
      <c r="LM438" s="978"/>
      <c r="LN438" s="978"/>
      <c r="LO438" s="978"/>
      <c r="LP438" s="978"/>
      <c r="LQ438" s="978"/>
      <c r="LR438" s="978"/>
      <c r="LS438" s="978"/>
      <c r="LT438" s="978"/>
      <c r="LU438" s="978"/>
      <c r="LV438" s="978"/>
      <c r="LW438" s="978"/>
      <c r="LX438" s="978"/>
      <c r="LY438" s="978"/>
      <c r="LZ438" s="978"/>
      <c r="MA438" s="978"/>
      <c r="MB438" s="978"/>
      <c r="MC438" s="978"/>
      <c r="MD438" s="978"/>
      <c r="ME438" s="978"/>
      <c r="MF438" s="978"/>
      <c r="MG438" s="978"/>
      <c r="MH438" s="978"/>
      <c r="MI438" s="978"/>
      <c r="MJ438" s="978"/>
      <c r="MK438" s="978"/>
      <c r="ML438" s="978"/>
      <c r="MM438" s="978"/>
      <c r="MN438" s="978"/>
      <c r="MO438" s="978"/>
      <c r="MP438" s="978"/>
      <c r="MQ438" s="978"/>
      <c r="MR438" s="978"/>
      <c r="MS438" s="978"/>
      <c r="MT438" s="978"/>
      <c r="MU438" s="978"/>
      <c r="MV438" s="978"/>
      <c r="MW438" s="978"/>
      <c r="MX438" s="978"/>
      <c r="MY438" s="978"/>
      <c r="MZ438" s="978"/>
      <c r="NA438" s="978"/>
      <c r="NB438" s="978"/>
      <c r="NC438" s="978"/>
      <c r="ND438" s="978"/>
      <c r="NE438" s="978"/>
      <c r="NF438" s="978"/>
      <c r="NG438" s="978"/>
      <c r="NH438" s="978"/>
      <c r="NI438" s="978"/>
      <c r="NJ438" s="978"/>
      <c r="NK438" s="978"/>
      <c r="NL438" s="978"/>
      <c r="NM438" s="978"/>
      <c r="NN438" s="978"/>
      <c r="NO438" s="978"/>
      <c r="NP438" s="978"/>
      <c r="NQ438" s="978"/>
      <c r="NR438" s="978"/>
      <c r="NS438" s="978"/>
      <c r="NT438" s="978"/>
      <c r="NU438" s="978"/>
      <c r="NV438" s="978"/>
      <c r="NW438" s="978"/>
      <c r="NX438" s="978"/>
      <c r="NY438" s="978"/>
      <c r="NZ438" s="978"/>
      <c r="OA438" s="978"/>
      <c r="OB438" s="978"/>
      <c r="OC438" s="978"/>
      <c r="OD438" s="978"/>
      <c r="OE438" s="978"/>
      <c r="OF438" s="978"/>
      <c r="OG438" s="978"/>
      <c r="OH438" s="978"/>
      <c r="OI438" s="978"/>
      <c r="OJ438" s="978"/>
      <c r="OK438" s="978"/>
      <c r="OL438" s="978"/>
      <c r="OM438" s="978"/>
      <c r="ON438" s="978"/>
      <c r="OO438" s="978"/>
      <c r="OP438" s="978"/>
      <c r="OQ438" s="978"/>
      <c r="OR438" s="978"/>
      <c r="OS438" s="978"/>
      <c r="OT438" s="978"/>
      <c r="OU438" s="978"/>
      <c r="OV438" s="978"/>
      <c r="OW438" s="978"/>
      <c r="OX438" s="978"/>
      <c r="OY438" s="978"/>
      <c r="OZ438" s="978"/>
      <c r="PA438" s="978"/>
      <c r="PB438" s="978"/>
      <c r="PC438" s="978"/>
      <c r="PD438" s="978"/>
      <c r="PE438" s="978"/>
      <c r="PF438" s="978"/>
      <c r="PG438" s="978"/>
      <c r="PH438" s="978"/>
      <c r="PI438" s="978"/>
      <c r="PJ438" s="978"/>
      <c r="PK438" s="978"/>
      <c r="PL438" s="978"/>
      <c r="PM438" s="978"/>
      <c r="PN438" s="978"/>
      <c r="PO438" s="978"/>
      <c r="PP438" s="978"/>
      <c r="PQ438" s="978"/>
      <c r="PR438" s="978"/>
      <c r="PS438" s="978"/>
      <c r="PT438" s="978"/>
      <c r="PU438" s="978"/>
      <c r="PV438" s="978"/>
      <c r="PW438" s="978"/>
      <c r="PX438" s="978"/>
      <c r="PY438" s="978"/>
      <c r="PZ438" s="978"/>
      <c r="QA438" s="978"/>
      <c r="QB438" s="978"/>
      <c r="QC438" s="978"/>
      <c r="QD438" s="978"/>
      <c r="QE438" s="978"/>
      <c r="QF438" s="978"/>
      <c r="QG438" s="978"/>
      <c r="QH438" s="978"/>
      <c r="QI438" s="978"/>
      <c r="QJ438" s="978"/>
      <c r="QK438" s="978"/>
      <c r="QL438" s="978"/>
      <c r="QM438" s="978"/>
      <c r="QN438" s="978"/>
      <c r="QO438" s="978"/>
      <c r="QP438" s="978"/>
      <c r="QQ438" s="978"/>
      <c r="QR438" s="978"/>
      <c r="QS438" s="978"/>
      <c r="QT438" s="978"/>
      <c r="QU438" s="978"/>
      <c r="QV438" s="978"/>
      <c r="QW438" s="978"/>
      <c r="QX438" s="978"/>
      <c r="QY438" s="978"/>
      <c r="QZ438" s="978"/>
      <c r="RA438" s="978"/>
      <c r="RB438" s="274"/>
      <c r="RC438" s="274"/>
    </row>
    <row r="439" spans="112:471">
      <c r="DH439" s="274"/>
      <c r="DI439" s="274"/>
      <c r="DJ439" s="274"/>
      <c r="DK439" s="274"/>
      <c r="DL439" s="274"/>
      <c r="DM439" s="274"/>
      <c r="DN439" s="274"/>
      <c r="DO439" s="274"/>
      <c r="DP439" s="274"/>
      <c r="DQ439" s="274"/>
      <c r="DR439" s="274"/>
      <c r="DS439" s="274"/>
      <c r="DT439" s="274"/>
      <c r="DU439" s="274"/>
      <c r="DV439" s="274"/>
      <c r="DW439" s="274"/>
      <c r="DX439" s="274"/>
      <c r="DY439" s="274"/>
      <c r="DZ439" s="274"/>
      <c r="EA439" s="274"/>
      <c r="EB439" s="274"/>
      <c r="EC439" s="274"/>
      <c r="ED439" s="274"/>
      <c r="EE439" s="274"/>
      <c r="EF439" s="274"/>
      <c r="EG439" s="274"/>
      <c r="EH439" s="274"/>
      <c r="EI439" s="274"/>
      <c r="EJ439" s="274"/>
      <c r="EK439" s="274"/>
      <c r="EL439" s="274"/>
      <c r="EM439" s="274"/>
      <c r="EN439" s="274"/>
      <c r="EO439" s="274"/>
      <c r="EP439" s="274"/>
      <c r="EQ439" s="274"/>
      <c r="ER439" s="274"/>
      <c r="ES439" s="274"/>
      <c r="ET439" s="274"/>
      <c r="EU439" s="274"/>
      <c r="EV439" s="274"/>
      <c r="EW439" s="274"/>
      <c r="EX439" s="274"/>
      <c r="EY439" s="274"/>
      <c r="EZ439" s="274"/>
      <c r="FA439" s="274"/>
      <c r="FB439" s="274"/>
      <c r="FC439" s="274"/>
      <c r="FD439" s="274"/>
      <c r="FE439" s="274"/>
      <c r="FF439" s="274"/>
      <c r="FG439" s="274"/>
      <c r="FH439" s="274"/>
      <c r="FI439" s="274"/>
      <c r="FJ439" s="274"/>
      <c r="FK439" s="274"/>
      <c r="FL439" s="274"/>
      <c r="FM439" s="274"/>
      <c r="FN439" s="274"/>
      <c r="FO439" s="274"/>
      <c r="FP439" s="274"/>
      <c r="FQ439" s="274"/>
      <c r="FR439" s="274"/>
      <c r="FS439" s="274"/>
      <c r="FT439" s="274"/>
      <c r="FU439" s="274"/>
      <c r="FV439" s="274"/>
      <c r="FW439" s="274"/>
      <c r="FX439" s="274"/>
      <c r="FY439" s="274"/>
      <c r="FZ439" s="274"/>
      <c r="GA439" s="274"/>
      <c r="GB439" s="274"/>
      <c r="GC439" s="274"/>
      <c r="GD439" s="274"/>
      <c r="GE439" s="274"/>
      <c r="GF439" s="274"/>
      <c r="GG439" s="274"/>
      <c r="GH439" s="274"/>
      <c r="GI439" s="274"/>
      <c r="GJ439" s="274"/>
      <c r="GK439" s="274"/>
      <c r="GL439" s="274"/>
      <c r="GM439" s="274"/>
      <c r="GN439" s="274"/>
      <c r="GO439" s="274"/>
      <c r="GP439" s="274"/>
      <c r="GQ439" s="274"/>
      <c r="GR439" s="274"/>
      <c r="GS439" s="274"/>
      <c r="GT439" s="274"/>
      <c r="GU439" s="274"/>
      <c r="GV439" s="274"/>
      <c r="GW439" s="274"/>
      <c r="GX439" s="274"/>
      <c r="GY439" s="274"/>
      <c r="GZ439" s="274"/>
      <c r="HA439" s="274"/>
      <c r="HB439" s="274"/>
      <c r="HC439" s="274"/>
      <c r="HD439" s="274"/>
      <c r="HE439" s="274"/>
      <c r="HF439" s="274"/>
      <c r="HG439" s="274"/>
      <c r="HH439" s="274"/>
      <c r="HI439" s="274"/>
      <c r="HJ439" s="274"/>
      <c r="HK439" s="274"/>
      <c r="HL439" s="274"/>
      <c r="HM439" s="274"/>
      <c r="HN439" s="274"/>
      <c r="HO439" s="274"/>
      <c r="HP439" s="274"/>
      <c r="HQ439" s="274"/>
      <c r="HR439" s="274"/>
      <c r="HS439" s="274"/>
      <c r="HT439" s="274"/>
      <c r="HU439" s="274"/>
      <c r="HV439" s="274"/>
      <c r="HW439" s="274"/>
      <c r="HX439" s="274"/>
      <c r="HY439" s="274"/>
      <c r="HZ439" s="274"/>
      <c r="IA439" s="274"/>
      <c r="IB439" s="274"/>
      <c r="IC439" s="274"/>
      <c r="ID439" s="274"/>
      <c r="IE439" s="274"/>
      <c r="IF439" s="274"/>
      <c r="IG439" s="274"/>
      <c r="IH439" s="274"/>
      <c r="II439" s="274"/>
      <c r="IJ439" s="274"/>
      <c r="IK439" s="274"/>
      <c r="IL439" s="274"/>
      <c r="IM439" s="274"/>
      <c r="IN439" s="274"/>
      <c r="IO439" s="274"/>
      <c r="IP439" s="274"/>
      <c r="IQ439" s="274"/>
      <c r="IR439" s="274"/>
      <c r="IS439" s="274"/>
      <c r="IT439" s="274"/>
      <c r="IU439" s="274"/>
      <c r="IV439" s="274"/>
      <c r="IW439" s="274"/>
      <c r="IX439" s="274"/>
      <c r="IY439" s="274"/>
      <c r="IZ439" s="274"/>
      <c r="JA439" s="274"/>
      <c r="JB439" s="274"/>
      <c r="JC439" s="274"/>
      <c r="JD439" s="274"/>
      <c r="JE439" s="274"/>
      <c r="JF439" s="274"/>
      <c r="JG439" s="274"/>
      <c r="JH439" s="274"/>
      <c r="JI439" s="274"/>
      <c r="JJ439" s="274"/>
      <c r="JK439" s="274"/>
      <c r="JL439" s="274"/>
      <c r="JM439" s="274"/>
      <c r="JN439" s="274"/>
      <c r="JO439" s="274"/>
      <c r="JP439" s="274"/>
      <c r="JQ439" s="274"/>
      <c r="JR439" s="274"/>
      <c r="JS439" s="274"/>
      <c r="JT439" s="274"/>
      <c r="JU439" s="274"/>
      <c r="JV439" s="274"/>
      <c r="JW439" s="274"/>
      <c r="JX439" s="274"/>
      <c r="JY439" s="274"/>
      <c r="JZ439" s="274"/>
      <c r="KA439" s="274"/>
      <c r="KB439" s="274"/>
      <c r="KC439" s="274"/>
      <c r="KD439" s="274"/>
      <c r="KE439" s="274"/>
      <c r="KF439" s="274"/>
      <c r="KG439" s="274"/>
      <c r="KH439" s="274"/>
      <c r="KI439" s="274"/>
      <c r="KJ439" s="274"/>
      <c r="KK439" s="274"/>
      <c r="KL439" s="274"/>
      <c r="KM439" s="274"/>
      <c r="KN439" s="274"/>
      <c r="KO439" s="274"/>
      <c r="KP439" s="274"/>
      <c r="KQ439" s="274"/>
      <c r="KR439" s="274"/>
      <c r="KS439" s="274"/>
      <c r="KT439" s="274"/>
      <c r="KU439" s="274"/>
      <c r="KV439" s="274"/>
      <c r="KW439" s="274"/>
      <c r="KX439" s="274"/>
      <c r="KY439" s="274"/>
      <c r="KZ439" s="274"/>
      <c r="LA439" s="274"/>
      <c r="LB439" s="274"/>
      <c r="LC439" s="274"/>
      <c r="LD439" s="274"/>
      <c r="LE439" s="274"/>
      <c r="LF439" s="274"/>
      <c r="LG439" s="274"/>
      <c r="LH439" s="274"/>
      <c r="LI439" s="274"/>
      <c r="LJ439" s="274"/>
      <c r="LK439" s="274"/>
      <c r="LL439" s="274"/>
      <c r="LM439" s="274"/>
      <c r="LN439" s="274"/>
      <c r="LO439" s="274"/>
      <c r="LP439" s="274"/>
      <c r="LQ439" s="274"/>
      <c r="LR439" s="274"/>
      <c r="LS439" s="274"/>
      <c r="LT439" s="274"/>
      <c r="LU439" s="274"/>
      <c r="LV439" s="274"/>
      <c r="LW439" s="274"/>
      <c r="LX439" s="274"/>
      <c r="LY439" s="274"/>
      <c r="LZ439" s="274"/>
      <c r="MA439" s="274"/>
      <c r="MB439" s="274"/>
      <c r="MC439" s="274"/>
      <c r="MD439" s="274"/>
      <c r="ME439" s="274"/>
      <c r="MF439" s="274"/>
      <c r="MG439" s="274"/>
      <c r="MH439" s="274"/>
      <c r="MI439" s="274"/>
      <c r="MJ439" s="274"/>
      <c r="MK439" s="274"/>
      <c r="ML439" s="274"/>
      <c r="MM439" s="274"/>
      <c r="MN439" s="274"/>
      <c r="MO439" s="274"/>
      <c r="MP439" s="274"/>
      <c r="MQ439" s="274"/>
      <c r="MR439" s="274"/>
      <c r="MS439" s="274"/>
      <c r="MT439" s="274"/>
      <c r="MU439" s="274"/>
      <c r="MV439" s="274"/>
      <c r="MW439" s="274"/>
      <c r="MX439" s="274"/>
      <c r="MY439" s="274"/>
      <c r="MZ439" s="274"/>
      <c r="NA439" s="274"/>
      <c r="NB439" s="274"/>
      <c r="NC439" s="274"/>
      <c r="ND439" s="274"/>
      <c r="NE439" s="274"/>
      <c r="NF439" s="274"/>
      <c r="NG439" s="274"/>
      <c r="NH439" s="274"/>
      <c r="NI439" s="274"/>
      <c r="NJ439" s="274"/>
      <c r="NK439" s="274"/>
      <c r="NL439" s="274"/>
      <c r="NM439" s="274"/>
      <c r="NN439" s="274"/>
      <c r="NO439" s="274"/>
      <c r="NP439" s="274"/>
      <c r="NQ439" s="274"/>
      <c r="NR439" s="274"/>
      <c r="NS439" s="274"/>
      <c r="NT439" s="274"/>
      <c r="NU439" s="274"/>
      <c r="NV439" s="274"/>
      <c r="NW439" s="274"/>
      <c r="NX439" s="274"/>
      <c r="NY439" s="274"/>
      <c r="NZ439" s="274"/>
      <c r="OA439" s="274"/>
      <c r="OB439" s="274"/>
      <c r="OC439" s="274"/>
      <c r="OD439" s="274"/>
      <c r="OE439" s="274"/>
      <c r="OF439" s="274"/>
      <c r="OG439" s="274"/>
      <c r="OH439" s="274"/>
      <c r="OI439" s="274"/>
      <c r="OJ439" s="274"/>
      <c r="OK439" s="274"/>
      <c r="OL439" s="274"/>
      <c r="OM439" s="274"/>
      <c r="ON439" s="274"/>
      <c r="OO439" s="274"/>
      <c r="OP439" s="274"/>
      <c r="OQ439" s="274"/>
      <c r="OR439" s="274"/>
      <c r="OS439" s="274"/>
      <c r="OT439" s="274"/>
      <c r="OU439" s="274"/>
      <c r="OV439" s="274"/>
      <c r="OW439" s="274"/>
      <c r="OX439" s="274"/>
      <c r="OY439" s="274"/>
      <c r="OZ439" s="274"/>
      <c r="PA439" s="274"/>
      <c r="PB439" s="274"/>
      <c r="PC439" s="274"/>
      <c r="PD439" s="274"/>
      <c r="PE439" s="274"/>
      <c r="PF439" s="274"/>
      <c r="PG439" s="274"/>
      <c r="PH439" s="274"/>
      <c r="PI439" s="274"/>
      <c r="PJ439" s="274"/>
      <c r="PK439" s="274"/>
      <c r="PL439" s="274"/>
      <c r="PM439" s="274"/>
      <c r="PN439" s="274"/>
      <c r="PO439" s="274"/>
      <c r="PP439" s="274"/>
      <c r="PQ439" s="274"/>
      <c r="PR439" s="274"/>
      <c r="PS439" s="274"/>
      <c r="PT439" s="274"/>
      <c r="PU439" s="274"/>
      <c r="PV439" s="274"/>
      <c r="PW439" s="274"/>
      <c r="PX439" s="274"/>
      <c r="PY439" s="274"/>
      <c r="PZ439" s="274"/>
      <c r="QA439" s="274"/>
      <c r="QB439" s="274"/>
      <c r="QC439" s="274"/>
      <c r="QD439" s="274"/>
      <c r="QE439" s="274"/>
      <c r="QF439" s="274"/>
      <c r="QG439" s="274"/>
      <c r="QH439" s="274"/>
      <c r="QI439" s="274"/>
      <c r="QJ439" s="274"/>
      <c r="QK439" s="274"/>
      <c r="QL439" s="274"/>
      <c r="QM439" s="274"/>
      <c r="QN439" s="274"/>
      <c r="QO439" s="274"/>
      <c r="QP439" s="274"/>
      <c r="QQ439" s="274"/>
      <c r="QR439" s="274"/>
      <c r="QS439" s="274"/>
      <c r="QT439" s="274"/>
      <c r="QU439" s="274"/>
      <c r="QV439" s="274"/>
      <c r="QW439" s="274"/>
      <c r="QX439" s="274"/>
      <c r="QY439" s="274"/>
      <c r="QZ439" s="274"/>
      <c r="RA439" s="274"/>
      <c r="RB439" s="274"/>
      <c r="RC439" s="274"/>
    </row>
    <row r="440" spans="112:471">
      <c r="DH440" s="274"/>
      <c r="DI440" s="274"/>
      <c r="DJ440" s="274"/>
      <c r="DK440" s="274"/>
      <c r="DL440" s="274"/>
      <c r="DM440" s="274"/>
      <c r="DN440" s="274"/>
      <c r="DO440" s="274"/>
      <c r="DP440" s="274"/>
      <c r="DQ440" s="274"/>
      <c r="DR440" s="274"/>
      <c r="DS440" s="274"/>
      <c r="DT440" s="274"/>
      <c r="DU440" s="274"/>
      <c r="DV440" s="274"/>
      <c r="DW440" s="274"/>
      <c r="DX440" s="274"/>
      <c r="DY440" s="274"/>
      <c r="DZ440" s="274"/>
      <c r="EA440" s="274"/>
      <c r="EB440" s="274"/>
      <c r="EC440" s="274"/>
      <c r="ED440" s="274"/>
      <c r="EE440" s="274"/>
      <c r="EF440" s="274"/>
      <c r="EG440" s="274"/>
      <c r="EH440" s="274"/>
      <c r="EI440" s="274"/>
      <c r="EJ440" s="274"/>
      <c r="EK440" s="274"/>
      <c r="EL440" s="274"/>
      <c r="EM440" s="274"/>
      <c r="EN440" s="274"/>
      <c r="EO440" s="274"/>
      <c r="EP440" s="274"/>
      <c r="EQ440" s="274"/>
      <c r="ER440" s="274"/>
      <c r="ES440" s="274"/>
      <c r="ET440" s="274"/>
      <c r="EU440" s="274"/>
      <c r="EV440" s="274"/>
      <c r="EW440" s="274"/>
      <c r="EX440" s="274"/>
      <c r="EY440" s="274"/>
      <c r="EZ440" s="274"/>
      <c r="FA440" s="274"/>
      <c r="FB440" s="274"/>
      <c r="FC440" s="274"/>
      <c r="FD440" s="274"/>
      <c r="FE440" s="274"/>
      <c r="FF440" s="274"/>
      <c r="FG440" s="274"/>
      <c r="FH440" s="274"/>
      <c r="FI440" s="274"/>
      <c r="FJ440" s="274"/>
      <c r="FK440" s="274"/>
      <c r="FL440" s="274"/>
      <c r="FM440" s="274"/>
      <c r="FN440" s="274"/>
      <c r="FO440" s="274"/>
      <c r="FP440" s="274"/>
      <c r="FQ440" s="274"/>
      <c r="FR440" s="274"/>
      <c r="FS440" s="274"/>
      <c r="FT440" s="274"/>
      <c r="FU440" s="274"/>
      <c r="FV440" s="274"/>
      <c r="FW440" s="274"/>
      <c r="FX440" s="274"/>
      <c r="FY440" s="274"/>
      <c r="FZ440" s="274"/>
      <c r="GA440" s="274"/>
      <c r="GB440" s="274"/>
      <c r="GC440" s="274"/>
      <c r="GD440" s="274"/>
      <c r="GE440" s="274"/>
      <c r="GF440" s="274"/>
      <c r="GG440" s="274"/>
      <c r="GH440" s="274"/>
      <c r="GI440" s="274"/>
      <c r="GJ440" s="274"/>
      <c r="GK440" s="274"/>
      <c r="GL440" s="274"/>
      <c r="GM440" s="274"/>
      <c r="GN440" s="274"/>
      <c r="GO440" s="274"/>
      <c r="GP440" s="274"/>
      <c r="GQ440" s="274"/>
      <c r="GR440" s="274"/>
      <c r="GS440" s="274"/>
      <c r="GT440" s="274"/>
      <c r="GU440" s="274"/>
      <c r="GV440" s="274"/>
      <c r="GW440" s="274"/>
      <c r="GX440" s="274"/>
      <c r="GY440" s="274"/>
      <c r="GZ440" s="274"/>
      <c r="HA440" s="274"/>
      <c r="HB440" s="274"/>
      <c r="HC440" s="274"/>
      <c r="HD440" s="274"/>
      <c r="HE440" s="274"/>
      <c r="HF440" s="274"/>
      <c r="HG440" s="274"/>
      <c r="HH440" s="274"/>
      <c r="HI440" s="274"/>
      <c r="HJ440" s="274"/>
      <c r="HK440" s="274"/>
      <c r="HL440" s="274"/>
      <c r="HM440" s="274"/>
      <c r="HN440" s="274"/>
      <c r="HO440" s="274"/>
      <c r="HP440" s="274"/>
      <c r="HQ440" s="274"/>
      <c r="HR440" s="274"/>
      <c r="HS440" s="274"/>
      <c r="HT440" s="274"/>
      <c r="HU440" s="274"/>
      <c r="HV440" s="274"/>
      <c r="HW440" s="274"/>
      <c r="HX440" s="274"/>
      <c r="HY440" s="274"/>
      <c r="HZ440" s="274"/>
      <c r="IA440" s="274"/>
      <c r="IB440" s="274"/>
      <c r="IC440" s="274"/>
      <c r="ID440" s="274"/>
      <c r="IE440" s="274"/>
      <c r="IF440" s="274"/>
      <c r="IG440" s="274"/>
      <c r="IH440" s="274"/>
      <c r="II440" s="274"/>
      <c r="IJ440" s="274"/>
      <c r="IK440" s="274"/>
      <c r="IL440" s="274"/>
      <c r="IM440" s="274"/>
      <c r="IN440" s="274"/>
      <c r="IO440" s="274"/>
      <c r="IP440" s="274"/>
      <c r="IQ440" s="274"/>
      <c r="IR440" s="274"/>
      <c r="IS440" s="274"/>
      <c r="IT440" s="274"/>
      <c r="IU440" s="274"/>
      <c r="IV440" s="274"/>
      <c r="IW440" s="274"/>
      <c r="IX440" s="274"/>
      <c r="IY440" s="274"/>
      <c r="IZ440" s="274"/>
      <c r="JA440" s="274"/>
      <c r="JB440" s="274"/>
      <c r="JC440" s="274"/>
      <c r="JD440" s="274"/>
      <c r="JE440" s="274"/>
      <c r="JF440" s="274"/>
      <c r="JG440" s="274"/>
      <c r="JH440" s="274"/>
      <c r="JI440" s="274"/>
      <c r="JJ440" s="274"/>
      <c r="JK440" s="274"/>
      <c r="JL440" s="274"/>
      <c r="JM440" s="274"/>
      <c r="JN440" s="274"/>
      <c r="JO440" s="274"/>
      <c r="JP440" s="274"/>
      <c r="JQ440" s="274"/>
      <c r="JR440" s="274"/>
      <c r="JS440" s="274"/>
      <c r="JT440" s="274"/>
      <c r="JU440" s="274"/>
      <c r="JV440" s="274"/>
      <c r="JW440" s="274"/>
      <c r="JX440" s="274"/>
      <c r="JY440" s="274"/>
      <c r="JZ440" s="274"/>
      <c r="KA440" s="274"/>
      <c r="KB440" s="274"/>
      <c r="KC440" s="274"/>
      <c r="KD440" s="274"/>
      <c r="KE440" s="274"/>
      <c r="KF440" s="274"/>
      <c r="KG440" s="274"/>
      <c r="KH440" s="274"/>
      <c r="KI440" s="274"/>
      <c r="KJ440" s="274"/>
      <c r="KK440" s="274"/>
      <c r="KL440" s="274"/>
      <c r="KM440" s="274"/>
      <c r="KN440" s="274"/>
      <c r="KO440" s="274"/>
      <c r="KP440" s="274"/>
      <c r="KQ440" s="274"/>
      <c r="KR440" s="274"/>
      <c r="KS440" s="274"/>
      <c r="KT440" s="274"/>
      <c r="KU440" s="274"/>
      <c r="KV440" s="274"/>
      <c r="KW440" s="274"/>
      <c r="KX440" s="274"/>
      <c r="KY440" s="274"/>
      <c r="KZ440" s="274"/>
      <c r="LA440" s="274"/>
      <c r="LB440" s="274"/>
      <c r="LC440" s="274"/>
      <c r="LD440" s="274"/>
      <c r="LE440" s="274"/>
      <c r="LF440" s="274"/>
      <c r="LG440" s="274"/>
      <c r="LH440" s="274"/>
      <c r="LI440" s="274"/>
      <c r="LJ440" s="274"/>
      <c r="LK440" s="274"/>
      <c r="LL440" s="274"/>
      <c r="LM440" s="274"/>
      <c r="LN440" s="274"/>
      <c r="LO440" s="274"/>
      <c r="LP440" s="274"/>
      <c r="LQ440" s="274"/>
      <c r="LR440" s="274"/>
      <c r="LS440" s="274"/>
      <c r="LT440" s="274"/>
      <c r="LU440" s="274"/>
      <c r="LV440" s="274"/>
      <c r="LW440" s="274"/>
      <c r="LX440" s="274"/>
      <c r="LY440" s="274"/>
      <c r="LZ440" s="274"/>
      <c r="MA440" s="274"/>
      <c r="MB440" s="274"/>
      <c r="MC440" s="274"/>
      <c r="MD440" s="274"/>
      <c r="ME440" s="274"/>
      <c r="MF440" s="274"/>
      <c r="MG440" s="274"/>
      <c r="MH440" s="274"/>
      <c r="MI440" s="274"/>
      <c r="MJ440" s="274"/>
      <c r="MK440" s="274"/>
      <c r="ML440" s="274"/>
      <c r="MM440" s="274"/>
      <c r="MN440" s="274"/>
      <c r="MO440" s="274"/>
      <c r="MP440" s="274"/>
      <c r="MQ440" s="274"/>
      <c r="MR440" s="274"/>
      <c r="MS440" s="274"/>
      <c r="MT440" s="274"/>
      <c r="MU440" s="274"/>
      <c r="MV440" s="274"/>
      <c r="MW440" s="274"/>
      <c r="MX440" s="274"/>
      <c r="MY440" s="274"/>
      <c r="MZ440" s="274"/>
      <c r="NA440" s="274"/>
      <c r="NB440" s="274"/>
      <c r="NC440" s="274"/>
      <c r="ND440" s="274"/>
      <c r="NE440" s="274"/>
      <c r="NF440" s="274"/>
      <c r="NG440" s="274"/>
      <c r="NH440" s="274"/>
      <c r="NI440" s="274"/>
      <c r="NJ440" s="274"/>
      <c r="NK440" s="274"/>
      <c r="NL440" s="274"/>
      <c r="NM440" s="274"/>
      <c r="NN440" s="274"/>
      <c r="NO440" s="274"/>
      <c r="NP440" s="274"/>
      <c r="NQ440" s="274"/>
      <c r="NR440" s="274"/>
      <c r="NS440" s="274"/>
      <c r="NT440" s="274"/>
      <c r="NU440" s="274"/>
      <c r="NV440" s="274"/>
      <c r="NW440" s="274"/>
      <c r="NX440" s="274"/>
      <c r="NY440" s="274"/>
      <c r="NZ440" s="274"/>
      <c r="OA440" s="274"/>
      <c r="OB440" s="274"/>
      <c r="OC440" s="274"/>
      <c r="OD440" s="274"/>
      <c r="OE440" s="274"/>
      <c r="OF440" s="274"/>
      <c r="OG440" s="274"/>
      <c r="OH440" s="274"/>
      <c r="OI440" s="274"/>
      <c r="OJ440" s="274"/>
      <c r="OK440" s="274"/>
      <c r="OL440" s="274"/>
      <c r="OM440" s="274"/>
      <c r="ON440" s="274"/>
      <c r="OO440" s="274"/>
      <c r="OP440" s="274"/>
      <c r="OQ440" s="274"/>
      <c r="OR440" s="274"/>
      <c r="OS440" s="274"/>
      <c r="OT440" s="274"/>
      <c r="OU440" s="274"/>
      <c r="OV440" s="274"/>
      <c r="OW440" s="274"/>
      <c r="OX440" s="274"/>
      <c r="OY440" s="274"/>
      <c r="OZ440" s="274"/>
      <c r="PA440" s="274"/>
      <c r="PB440" s="274"/>
      <c r="PC440" s="274"/>
      <c r="PD440" s="274"/>
      <c r="PE440" s="274"/>
      <c r="PF440" s="274"/>
      <c r="PG440" s="274"/>
      <c r="PH440" s="274"/>
      <c r="PI440" s="274"/>
      <c r="PJ440" s="274"/>
      <c r="PK440" s="274"/>
      <c r="PL440" s="274"/>
      <c r="PM440" s="274"/>
      <c r="PN440" s="274"/>
      <c r="PO440" s="274"/>
      <c r="PP440" s="274"/>
      <c r="PQ440" s="274"/>
      <c r="PR440" s="274"/>
      <c r="PS440" s="274"/>
      <c r="PT440" s="274"/>
      <c r="PU440" s="274"/>
      <c r="PV440" s="274"/>
      <c r="PW440" s="274"/>
      <c r="PX440" s="274"/>
      <c r="PY440" s="274"/>
      <c r="PZ440" s="274"/>
      <c r="QA440" s="274"/>
      <c r="QB440" s="274"/>
      <c r="QC440" s="274"/>
      <c r="QD440" s="274"/>
      <c r="QE440" s="274"/>
      <c r="QF440" s="274"/>
      <c r="QG440" s="274"/>
      <c r="QH440" s="274"/>
      <c r="QI440" s="274"/>
      <c r="QJ440" s="274"/>
      <c r="QK440" s="274"/>
      <c r="QL440" s="274"/>
      <c r="QM440" s="274"/>
      <c r="QN440" s="274"/>
      <c r="QO440" s="274"/>
      <c r="QP440" s="274"/>
      <c r="QQ440" s="274"/>
      <c r="QR440" s="274"/>
      <c r="QS440" s="274"/>
      <c r="QT440" s="274"/>
      <c r="QU440" s="274"/>
      <c r="QV440" s="274"/>
      <c r="QW440" s="274"/>
      <c r="QX440" s="274"/>
      <c r="QY440" s="274"/>
      <c r="QZ440" s="274"/>
      <c r="RA440" s="274"/>
      <c r="RB440" s="274"/>
      <c r="RC440" s="274"/>
    </row>
    <row r="441" spans="112:471" ht="17.25">
      <c r="DH441" s="274"/>
      <c r="DI441" s="274"/>
      <c r="DJ441" s="978"/>
      <c r="DK441" s="274"/>
      <c r="DL441" s="274"/>
      <c r="DM441" s="274"/>
      <c r="DN441" s="274"/>
      <c r="DO441" s="274"/>
      <c r="DP441" s="274"/>
      <c r="DQ441" s="274"/>
      <c r="DR441" s="274"/>
      <c r="DS441" s="274"/>
      <c r="DT441" s="274"/>
      <c r="DU441" s="274"/>
      <c r="DV441" s="274"/>
      <c r="DW441" s="274"/>
      <c r="DX441" s="274"/>
      <c r="DY441" s="274"/>
      <c r="DZ441" s="274"/>
      <c r="EA441" s="274"/>
      <c r="EB441" s="274"/>
      <c r="EC441" s="274"/>
      <c r="ED441" s="274"/>
      <c r="EE441" s="274"/>
      <c r="EF441" s="274"/>
      <c r="EG441" s="274"/>
      <c r="EH441" s="274"/>
      <c r="EI441" s="274"/>
      <c r="EJ441" s="274"/>
      <c r="EK441" s="274"/>
      <c r="EL441" s="274"/>
      <c r="EM441" s="274"/>
      <c r="EN441" s="274"/>
      <c r="EO441" s="274"/>
      <c r="EP441" s="274"/>
      <c r="EQ441" s="274"/>
      <c r="ER441" s="274"/>
      <c r="ES441" s="274"/>
      <c r="ET441" s="274"/>
      <c r="EU441" s="274"/>
      <c r="EV441" s="274"/>
      <c r="EW441" s="274"/>
      <c r="EX441" s="274"/>
      <c r="EY441" s="274"/>
      <c r="EZ441" s="274"/>
      <c r="FA441" s="274"/>
      <c r="FB441" s="274"/>
      <c r="FC441" s="274"/>
      <c r="FD441" s="274"/>
      <c r="FE441" s="274"/>
      <c r="FF441" s="274"/>
      <c r="FG441" s="274"/>
      <c r="FH441" s="274"/>
      <c r="FI441" s="274"/>
      <c r="FJ441" s="274"/>
      <c r="FK441" s="274"/>
      <c r="FL441" s="274"/>
      <c r="FM441" s="274"/>
      <c r="FN441" s="274"/>
      <c r="FO441" s="274"/>
      <c r="FP441" s="274"/>
      <c r="FQ441" s="274"/>
      <c r="FR441" s="274"/>
      <c r="FS441" s="274"/>
      <c r="FT441" s="274"/>
      <c r="FU441" s="274"/>
      <c r="FV441" s="274"/>
      <c r="FW441" s="274"/>
      <c r="FX441" s="274"/>
      <c r="FY441" s="274"/>
      <c r="FZ441" s="274"/>
      <c r="GA441" s="274"/>
      <c r="GB441" s="274"/>
      <c r="GC441" s="274"/>
      <c r="GD441" s="274"/>
      <c r="GE441" s="274"/>
      <c r="GF441" s="274"/>
      <c r="GG441" s="274"/>
      <c r="GH441" s="274"/>
      <c r="GI441" s="274"/>
      <c r="GJ441" s="274"/>
      <c r="GK441" s="274"/>
      <c r="GL441" s="274"/>
      <c r="GM441" s="274"/>
      <c r="GN441" s="274"/>
      <c r="GO441" s="274"/>
      <c r="GP441" s="274"/>
      <c r="GQ441" s="274"/>
      <c r="GR441" s="274"/>
      <c r="GS441" s="274"/>
      <c r="GT441" s="274"/>
      <c r="GU441" s="274"/>
      <c r="GV441" s="274"/>
      <c r="GW441" s="274"/>
      <c r="GX441" s="274"/>
      <c r="GY441" s="274"/>
      <c r="GZ441" s="274"/>
      <c r="HA441" s="274"/>
      <c r="HB441" s="274"/>
      <c r="HC441" s="274"/>
      <c r="HD441" s="274"/>
      <c r="HE441" s="274"/>
      <c r="HF441" s="274"/>
      <c r="HG441" s="274"/>
      <c r="HH441" s="274"/>
      <c r="HI441" s="274"/>
      <c r="HJ441" s="274"/>
      <c r="HK441" s="274"/>
      <c r="HL441" s="274"/>
      <c r="HM441" s="274"/>
      <c r="HN441" s="274"/>
      <c r="HO441" s="274"/>
      <c r="HP441" s="274"/>
      <c r="HQ441" s="274"/>
      <c r="HR441" s="274"/>
      <c r="HS441" s="274"/>
      <c r="HT441" s="274"/>
      <c r="HU441" s="274"/>
      <c r="HV441" s="274"/>
      <c r="HW441" s="274"/>
      <c r="HX441" s="274"/>
      <c r="HY441" s="274"/>
      <c r="HZ441" s="274"/>
      <c r="IA441" s="274"/>
      <c r="IB441" s="274"/>
      <c r="IC441" s="274"/>
      <c r="ID441" s="274"/>
      <c r="IE441" s="274"/>
      <c r="IF441" s="274"/>
      <c r="IG441" s="274"/>
      <c r="IH441" s="274"/>
      <c r="II441" s="274"/>
      <c r="IJ441" s="274"/>
      <c r="IK441" s="274"/>
      <c r="IL441" s="274"/>
      <c r="IM441" s="274"/>
      <c r="IN441" s="274"/>
      <c r="IO441" s="274"/>
      <c r="IP441" s="274"/>
      <c r="IQ441" s="274"/>
      <c r="IR441" s="274"/>
      <c r="IS441" s="274"/>
      <c r="IT441" s="274"/>
      <c r="IU441" s="274"/>
      <c r="IV441" s="274"/>
      <c r="IW441" s="274"/>
      <c r="IX441" s="274"/>
      <c r="IY441" s="274"/>
      <c r="IZ441" s="274"/>
      <c r="JA441" s="274"/>
      <c r="JB441" s="274"/>
      <c r="JC441" s="274"/>
      <c r="JD441" s="274"/>
      <c r="JE441" s="274"/>
      <c r="JF441" s="274"/>
      <c r="JG441" s="274"/>
      <c r="JH441" s="274"/>
      <c r="JI441" s="274"/>
      <c r="JJ441" s="274"/>
      <c r="JK441" s="274"/>
      <c r="JL441" s="274"/>
      <c r="JM441" s="274"/>
      <c r="JN441" s="274"/>
      <c r="JO441" s="274"/>
      <c r="JP441" s="274"/>
      <c r="JQ441" s="274"/>
      <c r="JR441" s="274"/>
      <c r="JS441" s="274"/>
      <c r="JT441" s="274"/>
      <c r="JU441" s="274"/>
      <c r="JV441" s="274"/>
      <c r="JW441" s="274"/>
      <c r="JX441" s="274"/>
      <c r="JY441" s="274"/>
      <c r="JZ441" s="274"/>
      <c r="KA441" s="274"/>
      <c r="KB441" s="274"/>
      <c r="KC441" s="274"/>
      <c r="KD441" s="274"/>
      <c r="KE441" s="274"/>
      <c r="KF441" s="274"/>
      <c r="KG441" s="274"/>
      <c r="KH441" s="274"/>
      <c r="KI441" s="274"/>
      <c r="KJ441" s="274"/>
      <c r="KK441" s="274"/>
      <c r="KL441" s="274"/>
      <c r="KM441" s="274"/>
      <c r="KN441" s="274"/>
      <c r="KO441" s="274"/>
      <c r="KP441" s="274"/>
      <c r="KQ441" s="274"/>
      <c r="KR441" s="274"/>
      <c r="KS441" s="274"/>
      <c r="KT441" s="274"/>
      <c r="KU441" s="274"/>
      <c r="KV441" s="274"/>
      <c r="KW441" s="274"/>
      <c r="KX441" s="274"/>
      <c r="KY441" s="274"/>
      <c r="KZ441" s="274"/>
      <c r="LA441" s="274"/>
      <c r="LB441" s="274"/>
      <c r="LC441" s="274"/>
      <c r="LD441" s="274"/>
      <c r="LE441" s="274"/>
      <c r="LF441" s="274"/>
      <c r="LG441" s="274"/>
      <c r="LH441" s="274"/>
      <c r="LI441" s="274"/>
      <c r="LJ441" s="274"/>
      <c r="LK441" s="274"/>
      <c r="LL441" s="274"/>
      <c r="LM441" s="274"/>
      <c r="LN441" s="274"/>
      <c r="LO441" s="274"/>
      <c r="LP441" s="274"/>
      <c r="LQ441" s="274"/>
      <c r="LR441" s="274"/>
      <c r="LS441" s="274"/>
      <c r="LT441" s="274"/>
      <c r="LU441" s="274"/>
      <c r="LV441" s="274"/>
      <c r="LW441" s="274"/>
      <c r="LX441" s="274"/>
      <c r="LY441" s="274"/>
      <c r="LZ441" s="274"/>
      <c r="MA441" s="274"/>
      <c r="MB441" s="274"/>
      <c r="MC441" s="274"/>
      <c r="MD441" s="274"/>
      <c r="ME441" s="274"/>
      <c r="MF441" s="274"/>
      <c r="MG441" s="274"/>
      <c r="MH441" s="274"/>
      <c r="MI441" s="274"/>
      <c r="MJ441" s="274"/>
      <c r="MK441" s="274"/>
      <c r="ML441" s="274"/>
      <c r="MM441" s="274"/>
      <c r="MN441" s="274"/>
      <c r="MO441" s="274"/>
      <c r="MP441" s="274"/>
      <c r="MQ441" s="274"/>
      <c r="MR441" s="274"/>
      <c r="MS441" s="274"/>
      <c r="MT441" s="274"/>
      <c r="MU441" s="274"/>
      <c r="MV441" s="274"/>
      <c r="MW441" s="274"/>
      <c r="MX441" s="274"/>
      <c r="MY441" s="274"/>
      <c r="MZ441" s="274"/>
      <c r="NA441" s="274"/>
      <c r="NB441" s="274"/>
      <c r="NC441" s="274"/>
      <c r="ND441" s="274"/>
      <c r="NE441" s="274"/>
      <c r="NF441" s="274"/>
      <c r="NG441" s="274"/>
      <c r="NH441" s="274"/>
      <c r="NI441" s="274"/>
      <c r="NJ441" s="274"/>
      <c r="NK441" s="274"/>
      <c r="NL441" s="274"/>
      <c r="NM441" s="274"/>
      <c r="NN441" s="274"/>
      <c r="NO441" s="274"/>
      <c r="NP441" s="274"/>
      <c r="NQ441" s="274"/>
      <c r="NR441" s="274"/>
      <c r="NS441" s="274"/>
      <c r="NT441" s="274"/>
      <c r="NU441" s="274"/>
      <c r="NV441" s="274"/>
      <c r="NW441" s="274"/>
      <c r="NX441" s="274"/>
      <c r="NY441" s="274"/>
      <c r="NZ441" s="274"/>
      <c r="OA441" s="274"/>
      <c r="OB441" s="274"/>
      <c r="OC441" s="274"/>
      <c r="OD441" s="274"/>
      <c r="OE441" s="274"/>
      <c r="OF441" s="274"/>
      <c r="OG441" s="274"/>
      <c r="OH441" s="274"/>
      <c r="OI441" s="274"/>
      <c r="OJ441" s="274"/>
      <c r="OK441" s="274"/>
      <c r="OL441" s="274"/>
      <c r="OM441" s="274"/>
      <c r="ON441" s="274"/>
      <c r="OO441" s="274"/>
      <c r="OP441" s="274"/>
      <c r="OQ441" s="274"/>
      <c r="OR441" s="274"/>
      <c r="OS441" s="274"/>
      <c r="OT441" s="274"/>
      <c r="OU441" s="274"/>
      <c r="OV441" s="274"/>
      <c r="OW441" s="274"/>
      <c r="OX441" s="274"/>
      <c r="OY441" s="274"/>
      <c r="OZ441" s="274"/>
      <c r="PA441" s="274"/>
      <c r="PB441" s="274"/>
      <c r="PC441" s="274"/>
      <c r="PD441" s="274"/>
      <c r="PE441" s="274"/>
      <c r="PF441" s="274"/>
      <c r="PG441" s="274"/>
      <c r="PH441" s="274"/>
      <c r="PI441" s="274"/>
      <c r="PJ441" s="274"/>
      <c r="PK441" s="274"/>
      <c r="PL441" s="274"/>
      <c r="PM441" s="274"/>
      <c r="PN441" s="274"/>
      <c r="PO441" s="274"/>
      <c r="PP441" s="274"/>
      <c r="PQ441" s="274"/>
      <c r="PR441" s="274"/>
      <c r="PS441" s="274"/>
      <c r="PT441" s="274"/>
      <c r="PU441" s="274"/>
      <c r="PV441" s="274"/>
      <c r="PW441" s="274"/>
      <c r="PX441" s="274"/>
      <c r="PY441" s="274"/>
      <c r="PZ441" s="274"/>
      <c r="QA441" s="274"/>
      <c r="QB441" s="274"/>
      <c r="QC441" s="274"/>
      <c r="QD441" s="274"/>
      <c r="QE441" s="274"/>
      <c r="QF441" s="274"/>
      <c r="QG441" s="274"/>
      <c r="QH441" s="274"/>
      <c r="QI441" s="274"/>
      <c r="QJ441" s="274"/>
      <c r="QK441" s="274"/>
      <c r="QL441" s="274"/>
      <c r="QM441" s="274"/>
      <c r="QN441" s="274"/>
      <c r="QO441" s="274"/>
      <c r="QP441" s="274"/>
      <c r="QQ441" s="274"/>
      <c r="QR441" s="274"/>
      <c r="QS441" s="274"/>
      <c r="QT441" s="274"/>
      <c r="QU441" s="274"/>
      <c r="QV441" s="274"/>
      <c r="QW441" s="274"/>
      <c r="QX441" s="274"/>
      <c r="QY441" s="274"/>
      <c r="QZ441" s="274"/>
      <c r="RA441" s="274"/>
      <c r="RB441" s="274"/>
      <c r="RC441" s="274"/>
    </row>
    <row r="442" spans="112:471" ht="17.25">
      <c r="DH442" s="274"/>
      <c r="DI442" s="274"/>
      <c r="DJ442" s="978"/>
      <c r="DK442" s="978"/>
      <c r="DL442" s="978"/>
      <c r="DM442" s="978"/>
      <c r="DN442" s="978"/>
      <c r="DO442" s="978"/>
      <c r="DP442" s="978"/>
      <c r="DQ442" s="978"/>
      <c r="DR442" s="978"/>
      <c r="DS442" s="978"/>
      <c r="DT442" s="978"/>
      <c r="DU442" s="978"/>
      <c r="DV442" s="978"/>
      <c r="DW442" s="978"/>
      <c r="DX442" s="978"/>
      <c r="DY442" s="978"/>
      <c r="DZ442" s="978"/>
      <c r="EA442" s="978"/>
      <c r="EB442" s="978"/>
      <c r="EC442" s="978"/>
      <c r="ED442" s="978"/>
      <c r="EE442" s="978"/>
      <c r="EF442" s="978"/>
      <c r="EG442" s="978"/>
      <c r="EH442" s="978"/>
      <c r="EI442" s="978"/>
      <c r="EJ442" s="978"/>
      <c r="EK442" s="978"/>
      <c r="EL442" s="978"/>
      <c r="EM442" s="978"/>
      <c r="EN442" s="978"/>
      <c r="EO442" s="978"/>
      <c r="EP442" s="978"/>
      <c r="EQ442" s="978"/>
      <c r="ER442" s="978"/>
      <c r="ES442" s="978"/>
      <c r="ET442" s="978"/>
      <c r="EU442" s="978"/>
      <c r="EV442" s="978"/>
      <c r="EW442" s="978"/>
      <c r="EX442" s="978"/>
      <c r="EY442" s="978"/>
      <c r="EZ442" s="978"/>
      <c r="FA442" s="978"/>
      <c r="FB442" s="978"/>
      <c r="FC442" s="978"/>
      <c r="FD442" s="978"/>
      <c r="FE442" s="978"/>
      <c r="FF442" s="978"/>
      <c r="FG442" s="978"/>
      <c r="FH442" s="978"/>
      <c r="FI442" s="978"/>
      <c r="FJ442" s="978"/>
      <c r="FK442" s="978"/>
      <c r="FL442" s="978"/>
      <c r="FM442" s="978"/>
      <c r="FN442" s="978"/>
      <c r="FO442" s="978"/>
      <c r="FP442" s="978"/>
      <c r="FQ442" s="978"/>
      <c r="FR442" s="978"/>
      <c r="FS442" s="978"/>
      <c r="FT442" s="978"/>
      <c r="FU442" s="978"/>
      <c r="FV442" s="978"/>
      <c r="FW442" s="978"/>
      <c r="FX442" s="978"/>
      <c r="FY442" s="978"/>
      <c r="FZ442" s="978"/>
      <c r="GA442" s="978"/>
      <c r="GB442" s="978"/>
      <c r="GC442" s="978"/>
      <c r="GD442" s="978"/>
      <c r="GE442" s="978"/>
      <c r="GF442" s="978"/>
      <c r="GG442" s="978"/>
      <c r="GH442" s="978"/>
      <c r="GI442" s="978"/>
      <c r="GJ442" s="978"/>
      <c r="GK442" s="978"/>
      <c r="GL442" s="978"/>
      <c r="GM442" s="978"/>
      <c r="GN442" s="978"/>
      <c r="GO442" s="978"/>
      <c r="GP442" s="978"/>
      <c r="GQ442" s="978"/>
      <c r="GR442" s="978"/>
      <c r="GS442" s="978"/>
      <c r="GT442" s="978"/>
      <c r="GU442" s="978"/>
      <c r="GV442" s="978"/>
      <c r="GW442" s="978"/>
      <c r="GX442" s="978"/>
      <c r="GY442" s="978"/>
      <c r="GZ442" s="978"/>
      <c r="HA442" s="978"/>
      <c r="HB442" s="978"/>
      <c r="HC442" s="978"/>
      <c r="HD442" s="978"/>
      <c r="HE442" s="978"/>
      <c r="HF442" s="978"/>
      <c r="HG442" s="978"/>
      <c r="HH442" s="978"/>
      <c r="HI442" s="978"/>
      <c r="HJ442" s="978"/>
      <c r="HK442" s="978"/>
      <c r="HL442" s="978"/>
      <c r="HM442" s="978"/>
      <c r="HN442" s="978"/>
      <c r="HO442" s="978"/>
      <c r="HP442" s="978"/>
      <c r="HQ442" s="978"/>
      <c r="HR442" s="978"/>
      <c r="HS442" s="978"/>
      <c r="HT442" s="978"/>
      <c r="HU442" s="978"/>
      <c r="HV442" s="978"/>
      <c r="HW442" s="978"/>
      <c r="HX442" s="978"/>
      <c r="HY442" s="978"/>
      <c r="HZ442" s="978"/>
      <c r="IA442" s="978"/>
      <c r="IB442" s="978"/>
      <c r="IC442" s="978"/>
      <c r="ID442" s="978"/>
      <c r="IE442" s="978"/>
      <c r="IF442" s="978"/>
      <c r="IG442" s="978"/>
      <c r="IH442" s="978"/>
      <c r="II442" s="978"/>
      <c r="IJ442" s="978"/>
      <c r="IK442" s="978"/>
      <c r="IL442" s="978"/>
      <c r="IM442" s="978"/>
      <c r="IN442" s="978"/>
      <c r="IO442" s="978"/>
      <c r="IP442" s="978"/>
      <c r="IQ442" s="978"/>
      <c r="IR442" s="978"/>
      <c r="IS442" s="978"/>
      <c r="IT442" s="978"/>
      <c r="IU442" s="978"/>
      <c r="IV442" s="978"/>
      <c r="IW442" s="978"/>
      <c r="IX442" s="978"/>
      <c r="IY442" s="978"/>
      <c r="IZ442" s="978"/>
      <c r="JA442" s="978"/>
      <c r="JB442" s="978"/>
      <c r="JC442" s="978"/>
      <c r="JD442" s="978"/>
      <c r="JE442" s="978"/>
      <c r="JF442" s="978"/>
      <c r="JG442" s="978"/>
      <c r="JH442" s="978"/>
      <c r="JI442" s="978"/>
      <c r="JJ442" s="978"/>
      <c r="JK442" s="978"/>
      <c r="JL442" s="978"/>
      <c r="JM442" s="978"/>
      <c r="JN442" s="978"/>
      <c r="JO442" s="978"/>
      <c r="JP442" s="978"/>
      <c r="JQ442" s="978"/>
      <c r="JR442" s="978"/>
      <c r="JS442" s="978"/>
      <c r="JT442" s="978"/>
      <c r="JU442" s="978"/>
      <c r="JV442" s="978"/>
      <c r="JW442" s="978"/>
      <c r="JX442" s="978"/>
      <c r="JY442" s="978"/>
      <c r="JZ442" s="978"/>
      <c r="KA442" s="978"/>
      <c r="KB442" s="978"/>
      <c r="KC442" s="978"/>
      <c r="KD442" s="978"/>
      <c r="KE442" s="978"/>
      <c r="KF442" s="978"/>
      <c r="KG442" s="978"/>
      <c r="KH442" s="978"/>
      <c r="KI442" s="978"/>
      <c r="KJ442" s="978"/>
      <c r="KK442" s="978"/>
      <c r="KL442" s="978"/>
      <c r="KM442" s="978"/>
      <c r="KN442" s="978"/>
      <c r="KO442" s="978"/>
      <c r="KP442" s="978"/>
      <c r="KQ442" s="978"/>
      <c r="KR442" s="978"/>
      <c r="KS442" s="978"/>
      <c r="KT442" s="978"/>
      <c r="KU442" s="978"/>
      <c r="KV442" s="978"/>
      <c r="KW442" s="978"/>
      <c r="KX442" s="978"/>
      <c r="KY442" s="978"/>
      <c r="KZ442" s="978"/>
      <c r="LA442" s="978"/>
      <c r="LB442" s="978"/>
      <c r="LC442" s="978"/>
      <c r="LD442" s="978"/>
      <c r="LE442" s="978"/>
      <c r="LF442" s="978"/>
      <c r="LG442" s="978"/>
      <c r="LH442" s="978"/>
      <c r="LI442" s="978"/>
      <c r="LJ442" s="978"/>
      <c r="LK442" s="978"/>
      <c r="LL442" s="978"/>
      <c r="LM442" s="978"/>
      <c r="LN442" s="978"/>
      <c r="LO442" s="978"/>
      <c r="LP442" s="978"/>
      <c r="LQ442" s="978"/>
      <c r="LR442" s="978"/>
      <c r="LS442" s="978"/>
      <c r="LT442" s="978"/>
      <c r="LU442" s="978"/>
      <c r="LV442" s="978"/>
      <c r="LW442" s="978"/>
      <c r="LX442" s="978"/>
      <c r="LY442" s="978"/>
      <c r="LZ442" s="978"/>
      <c r="MA442" s="978"/>
      <c r="MB442" s="978"/>
      <c r="MC442" s="978"/>
      <c r="MD442" s="978"/>
      <c r="ME442" s="978"/>
      <c r="MF442" s="978"/>
      <c r="MG442" s="978"/>
      <c r="MH442" s="978"/>
      <c r="MI442" s="978"/>
      <c r="MJ442" s="978"/>
      <c r="MK442" s="978"/>
      <c r="ML442" s="978"/>
      <c r="MM442" s="978"/>
      <c r="MN442" s="978"/>
      <c r="MO442" s="978"/>
      <c r="MP442" s="978"/>
      <c r="MQ442" s="978"/>
      <c r="MR442" s="978"/>
      <c r="MS442" s="978"/>
      <c r="MT442" s="978"/>
      <c r="MU442" s="978"/>
      <c r="MV442" s="978"/>
      <c r="MW442" s="978"/>
      <c r="MX442" s="978"/>
      <c r="MY442" s="978"/>
      <c r="MZ442" s="978"/>
      <c r="NA442" s="978"/>
      <c r="NB442" s="978"/>
      <c r="NC442" s="978"/>
      <c r="ND442" s="978"/>
      <c r="NE442" s="978"/>
      <c r="NF442" s="978"/>
      <c r="NG442" s="978"/>
      <c r="NH442" s="978"/>
      <c r="NI442" s="978"/>
      <c r="NJ442" s="978"/>
      <c r="NK442" s="978"/>
      <c r="NL442" s="978"/>
      <c r="NM442" s="978"/>
      <c r="NN442" s="978"/>
      <c r="NO442" s="978"/>
      <c r="NP442" s="978"/>
      <c r="NQ442" s="978"/>
      <c r="NR442" s="978"/>
      <c r="NS442" s="978"/>
      <c r="NT442" s="978"/>
      <c r="NU442" s="978"/>
      <c r="NV442" s="978"/>
      <c r="NW442" s="978"/>
      <c r="NX442" s="978"/>
      <c r="NY442" s="978"/>
      <c r="NZ442" s="978"/>
      <c r="OA442" s="978"/>
      <c r="OB442" s="978"/>
      <c r="OC442" s="978"/>
      <c r="OD442" s="978"/>
      <c r="OE442" s="978"/>
      <c r="OF442" s="978"/>
      <c r="OG442" s="978"/>
      <c r="OH442" s="978"/>
      <c r="OI442" s="978"/>
      <c r="OJ442" s="978"/>
      <c r="OK442" s="978"/>
      <c r="OL442" s="978"/>
      <c r="OM442" s="978"/>
      <c r="ON442" s="978"/>
      <c r="OO442" s="978"/>
      <c r="OP442" s="978"/>
      <c r="OQ442" s="978"/>
      <c r="OR442" s="978"/>
      <c r="OS442" s="978"/>
      <c r="OT442" s="978"/>
      <c r="OU442" s="978"/>
      <c r="OV442" s="978"/>
      <c r="OW442" s="978"/>
      <c r="OX442" s="978"/>
      <c r="OY442" s="978"/>
      <c r="OZ442" s="978"/>
      <c r="PA442" s="978"/>
      <c r="PB442" s="978"/>
      <c r="PC442" s="978"/>
      <c r="PD442" s="978"/>
      <c r="PE442" s="978"/>
      <c r="PF442" s="978"/>
      <c r="PG442" s="978"/>
      <c r="PH442" s="978"/>
      <c r="PI442" s="978"/>
      <c r="PJ442" s="978"/>
      <c r="PK442" s="978"/>
      <c r="PL442" s="978"/>
      <c r="PM442" s="978"/>
      <c r="PN442" s="978"/>
      <c r="PO442" s="978"/>
      <c r="PP442" s="978"/>
      <c r="PQ442" s="978"/>
      <c r="PR442" s="978"/>
      <c r="PS442" s="978"/>
      <c r="PT442" s="978"/>
      <c r="PU442" s="978"/>
      <c r="PV442" s="978"/>
      <c r="PW442" s="978"/>
      <c r="PX442" s="978"/>
      <c r="PY442" s="978"/>
      <c r="PZ442" s="978"/>
      <c r="QA442" s="978"/>
      <c r="QB442" s="978"/>
      <c r="QC442" s="978"/>
      <c r="QD442" s="978"/>
      <c r="QE442" s="978"/>
      <c r="QF442" s="978"/>
      <c r="QG442" s="978"/>
      <c r="QH442" s="978"/>
      <c r="QI442" s="978"/>
      <c r="QJ442" s="978"/>
      <c r="QK442" s="978"/>
      <c r="QL442" s="978"/>
      <c r="QM442" s="978"/>
      <c r="QN442" s="978"/>
      <c r="QO442" s="978"/>
      <c r="QP442" s="978"/>
      <c r="QQ442" s="978"/>
      <c r="QR442" s="978"/>
      <c r="QS442" s="978"/>
      <c r="QT442" s="978"/>
      <c r="QU442" s="978"/>
      <c r="QV442" s="978"/>
      <c r="QW442" s="978"/>
      <c r="QX442" s="978"/>
      <c r="QY442" s="978"/>
      <c r="QZ442" s="978"/>
      <c r="RA442" s="978"/>
      <c r="RB442" s="274"/>
      <c r="RC442" s="274"/>
    </row>
    <row r="443" spans="112:471" ht="17.25">
      <c r="DH443" s="274"/>
      <c r="DI443" s="274"/>
      <c r="DJ443" s="978"/>
      <c r="DK443" s="978"/>
      <c r="DL443" s="978"/>
      <c r="DM443" s="978"/>
      <c r="DN443" s="978"/>
      <c r="DO443" s="978"/>
      <c r="DP443" s="978"/>
      <c r="DQ443" s="978"/>
      <c r="DR443" s="978"/>
      <c r="DS443" s="978"/>
      <c r="DT443" s="978"/>
      <c r="DU443" s="978"/>
      <c r="DV443" s="978"/>
      <c r="DW443" s="978"/>
      <c r="DX443" s="978"/>
      <c r="DY443" s="978"/>
      <c r="DZ443" s="978"/>
      <c r="EA443" s="978"/>
      <c r="EB443" s="978"/>
      <c r="EC443" s="978"/>
      <c r="ED443" s="978"/>
      <c r="EE443" s="978"/>
      <c r="EF443" s="978"/>
      <c r="EG443" s="978"/>
      <c r="EH443" s="978"/>
      <c r="EI443" s="978"/>
      <c r="EJ443" s="978"/>
      <c r="EK443" s="978"/>
      <c r="EL443" s="978"/>
      <c r="EM443" s="978"/>
      <c r="EN443" s="978"/>
      <c r="EO443" s="978"/>
      <c r="EP443" s="978"/>
      <c r="EQ443" s="978"/>
      <c r="ER443" s="978"/>
      <c r="ES443" s="978"/>
      <c r="ET443" s="978"/>
      <c r="EU443" s="978"/>
      <c r="EV443" s="978"/>
      <c r="EW443" s="978"/>
      <c r="EX443" s="978"/>
      <c r="EY443" s="978"/>
      <c r="EZ443" s="978"/>
      <c r="FA443" s="978"/>
      <c r="FB443" s="978"/>
      <c r="FC443" s="978"/>
      <c r="FD443" s="978"/>
      <c r="FE443" s="978"/>
      <c r="FF443" s="978"/>
      <c r="FG443" s="978"/>
      <c r="FH443" s="978"/>
      <c r="FI443" s="978"/>
      <c r="FJ443" s="978"/>
      <c r="FK443" s="978"/>
      <c r="FL443" s="978"/>
      <c r="FM443" s="978"/>
      <c r="FN443" s="978"/>
      <c r="FO443" s="978"/>
      <c r="FP443" s="978"/>
      <c r="FQ443" s="978"/>
      <c r="FR443" s="978"/>
      <c r="FS443" s="978"/>
      <c r="FT443" s="978"/>
      <c r="FU443" s="978"/>
      <c r="FV443" s="978"/>
      <c r="FW443" s="978"/>
      <c r="FX443" s="978"/>
      <c r="FY443" s="978"/>
      <c r="FZ443" s="978"/>
      <c r="GA443" s="978"/>
      <c r="GB443" s="978"/>
      <c r="GC443" s="978"/>
      <c r="GD443" s="978"/>
      <c r="GE443" s="978"/>
      <c r="GF443" s="978"/>
      <c r="GG443" s="978"/>
      <c r="GH443" s="978"/>
      <c r="GI443" s="978"/>
      <c r="GJ443" s="978"/>
      <c r="GK443" s="978"/>
      <c r="GL443" s="978"/>
      <c r="GM443" s="978"/>
      <c r="GN443" s="978"/>
      <c r="GO443" s="978"/>
      <c r="GP443" s="978"/>
      <c r="GQ443" s="978"/>
      <c r="GR443" s="978"/>
      <c r="GS443" s="978"/>
      <c r="GT443" s="978"/>
      <c r="GU443" s="978"/>
      <c r="GV443" s="978"/>
      <c r="GW443" s="978"/>
      <c r="GX443" s="978"/>
      <c r="GY443" s="978"/>
      <c r="GZ443" s="978"/>
      <c r="HA443" s="978"/>
      <c r="HB443" s="978"/>
      <c r="HC443" s="978"/>
      <c r="HD443" s="978"/>
      <c r="HE443" s="978"/>
      <c r="HF443" s="978"/>
      <c r="HG443" s="978"/>
      <c r="HH443" s="978"/>
      <c r="HI443" s="978"/>
      <c r="HJ443" s="978"/>
      <c r="HK443" s="978"/>
      <c r="HL443" s="978"/>
      <c r="HM443" s="978"/>
      <c r="HN443" s="978"/>
      <c r="HO443" s="978"/>
      <c r="HP443" s="978"/>
      <c r="HQ443" s="978"/>
      <c r="HR443" s="978"/>
      <c r="HS443" s="978"/>
      <c r="HT443" s="978"/>
      <c r="HU443" s="978"/>
      <c r="HV443" s="978"/>
      <c r="HW443" s="978"/>
      <c r="HX443" s="978"/>
      <c r="HY443" s="978"/>
      <c r="HZ443" s="978"/>
      <c r="IA443" s="978"/>
      <c r="IB443" s="978"/>
      <c r="IC443" s="978"/>
      <c r="ID443" s="978"/>
      <c r="IE443" s="978"/>
      <c r="IF443" s="978"/>
      <c r="IG443" s="978"/>
      <c r="IH443" s="978"/>
      <c r="II443" s="978"/>
      <c r="IJ443" s="978"/>
      <c r="IK443" s="978"/>
      <c r="IL443" s="978"/>
      <c r="IM443" s="978"/>
      <c r="IN443" s="978"/>
      <c r="IO443" s="978"/>
      <c r="IP443" s="978"/>
      <c r="IQ443" s="978"/>
      <c r="IR443" s="978"/>
      <c r="IS443" s="978"/>
      <c r="IT443" s="978"/>
      <c r="IU443" s="978"/>
      <c r="IV443" s="978"/>
      <c r="IW443" s="978"/>
      <c r="IX443" s="978"/>
      <c r="IY443" s="978"/>
      <c r="IZ443" s="978"/>
      <c r="JA443" s="978"/>
      <c r="JB443" s="978"/>
      <c r="JC443" s="978"/>
      <c r="JD443" s="978"/>
      <c r="JE443" s="978"/>
      <c r="JF443" s="978"/>
      <c r="JG443" s="978"/>
      <c r="JH443" s="978"/>
      <c r="JI443" s="978"/>
      <c r="JJ443" s="978"/>
      <c r="JK443" s="978"/>
      <c r="JL443" s="978"/>
      <c r="JM443" s="978"/>
      <c r="JN443" s="978"/>
      <c r="JO443" s="978"/>
      <c r="JP443" s="978"/>
      <c r="JQ443" s="978"/>
      <c r="JR443" s="978"/>
      <c r="JS443" s="978"/>
      <c r="JT443" s="978"/>
      <c r="JU443" s="978"/>
      <c r="JV443" s="978"/>
      <c r="JW443" s="978"/>
      <c r="JX443" s="978"/>
      <c r="JY443" s="978"/>
      <c r="JZ443" s="978"/>
      <c r="KA443" s="978"/>
      <c r="KB443" s="978"/>
      <c r="KC443" s="978"/>
      <c r="KD443" s="978"/>
      <c r="KE443" s="978"/>
      <c r="KF443" s="978"/>
      <c r="KG443" s="978"/>
      <c r="KH443" s="978"/>
      <c r="KI443" s="978"/>
      <c r="KJ443" s="978"/>
      <c r="KK443" s="978"/>
      <c r="KL443" s="978"/>
      <c r="KM443" s="978"/>
      <c r="KN443" s="978"/>
      <c r="KO443" s="978"/>
      <c r="KP443" s="978"/>
      <c r="KQ443" s="978"/>
      <c r="KR443" s="978"/>
      <c r="KS443" s="978"/>
      <c r="KT443" s="978"/>
      <c r="KU443" s="978"/>
      <c r="KV443" s="978"/>
      <c r="KW443" s="978"/>
      <c r="KX443" s="978"/>
      <c r="KY443" s="978"/>
      <c r="KZ443" s="978"/>
      <c r="LA443" s="978"/>
      <c r="LB443" s="978"/>
      <c r="LC443" s="978"/>
      <c r="LD443" s="978"/>
      <c r="LE443" s="978"/>
      <c r="LF443" s="978"/>
      <c r="LG443" s="978"/>
      <c r="LH443" s="978"/>
      <c r="LI443" s="978"/>
      <c r="LJ443" s="978"/>
      <c r="LK443" s="978"/>
      <c r="LL443" s="978"/>
      <c r="LM443" s="978"/>
      <c r="LN443" s="978"/>
      <c r="LO443" s="978"/>
      <c r="LP443" s="978"/>
      <c r="LQ443" s="978"/>
      <c r="LR443" s="978"/>
      <c r="LS443" s="978"/>
      <c r="LT443" s="978"/>
      <c r="LU443" s="978"/>
      <c r="LV443" s="978"/>
      <c r="LW443" s="978"/>
      <c r="LX443" s="978"/>
      <c r="LY443" s="978"/>
      <c r="LZ443" s="978"/>
      <c r="MA443" s="978"/>
      <c r="MB443" s="978"/>
      <c r="MC443" s="978"/>
      <c r="MD443" s="978"/>
      <c r="ME443" s="978"/>
      <c r="MF443" s="978"/>
      <c r="MG443" s="978"/>
      <c r="MH443" s="978"/>
      <c r="MI443" s="978"/>
      <c r="MJ443" s="978"/>
      <c r="MK443" s="978"/>
      <c r="ML443" s="978"/>
      <c r="MM443" s="978"/>
      <c r="MN443" s="978"/>
      <c r="MO443" s="978"/>
      <c r="MP443" s="978"/>
      <c r="MQ443" s="978"/>
      <c r="MR443" s="978"/>
      <c r="MS443" s="978"/>
      <c r="MT443" s="978"/>
      <c r="MU443" s="978"/>
      <c r="MV443" s="978"/>
      <c r="MW443" s="978"/>
      <c r="MX443" s="978"/>
      <c r="MY443" s="978"/>
      <c r="MZ443" s="978"/>
      <c r="NA443" s="978"/>
      <c r="NB443" s="978"/>
      <c r="NC443" s="978"/>
      <c r="ND443" s="978"/>
      <c r="NE443" s="978"/>
      <c r="NF443" s="978"/>
      <c r="NG443" s="978"/>
      <c r="NH443" s="978"/>
      <c r="NI443" s="978"/>
      <c r="NJ443" s="978"/>
      <c r="NK443" s="978"/>
      <c r="NL443" s="978"/>
      <c r="NM443" s="978"/>
      <c r="NN443" s="978"/>
      <c r="NO443" s="978"/>
      <c r="NP443" s="978"/>
      <c r="NQ443" s="978"/>
      <c r="NR443" s="978"/>
      <c r="NS443" s="978"/>
      <c r="NT443" s="978"/>
      <c r="NU443" s="978"/>
      <c r="NV443" s="978"/>
      <c r="NW443" s="978"/>
      <c r="NX443" s="978"/>
      <c r="NY443" s="978"/>
      <c r="NZ443" s="978"/>
      <c r="OA443" s="978"/>
      <c r="OB443" s="978"/>
      <c r="OC443" s="978"/>
      <c r="OD443" s="978"/>
      <c r="OE443" s="978"/>
      <c r="OF443" s="978"/>
      <c r="OG443" s="978"/>
      <c r="OH443" s="978"/>
      <c r="OI443" s="978"/>
      <c r="OJ443" s="978"/>
      <c r="OK443" s="978"/>
      <c r="OL443" s="978"/>
      <c r="OM443" s="978"/>
      <c r="ON443" s="978"/>
      <c r="OO443" s="978"/>
      <c r="OP443" s="978"/>
      <c r="OQ443" s="978"/>
      <c r="OR443" s="978"/>
      <c r="OS443" s="978"/>
      <c r="OT443" s="978"/>
      <c r="OU443" s="978"/>
      <c r="OV443" s="978"/>
      <c r="OW443" s="978"/>
      <c r="OX443" s="978"/>
      <c r="OY443" s="978"/>
      <c r="OZ443" s="978"/>
      <c r="PA443" s="978"/>
      <c r="PB443" s="978"/>
      <c r="PC443" s="978"/>
      <c r="PD443" s="978"/>
      <c r="PE443" s="978"/>
      <c r="PF443" s="978"/>
      <c r="PG443" s="978"/>
      <c r="PH443" s="978"/>
      <c r="PI443" s="978"/>
      <c r="PJ443" s="978"/>
      <c r="PK443" s="978"/>
      <c r="PL443" s="978"/>
      <c r="PM443" s="978"/>
      <c r="PN443" s="978"/>
      <c r="PO443" s="978"/>
      <c r="PP443" s="978"/>
      <c r="PQ443" s="978"/>
      <c r="PR443" s="978"/>
      <c r="PS443" s="978"/>
      <c r="PT443" s="978"/>
      <c r="PU443" s="978"/>
      <c r="PV443" s="978"/>
      <c r="PW443" s="978"/>
      <c r="PX443" s="978"/>
      <c r="PY443" s="978"/>
      <c r="PZ443" s="978"/>
      <c r="QA443" s="978"/>
      <c r="QB443" s="978"/>
      <c r="QC443" s="978"/>
      <c r="QD443" s="978"/>
      <c r="QE443" s="978"/>
      <c r="QF443" s="978"/>
      <c r="QG443" s="978"/>
      <c r="QH443" s="978"/>
      <c r="QI443" s="978"/>
      <c r="QJ443" s="978"/>
      <c r="QK443" s="978"/>
      <c r="QL443" s="978"/>
      <c r="QM443" s="978"/>
      <c r="QN443" s="978"/>
      <c r="QO443" s="978"/>
      <c r="QP443" s="978"/>
      <c r="QQ443" s="978"/>
      <c r="QR443" s="978"/>
      <c r="QS443" s="978"/>
      <c r="QT443" s="978"/>
      <c r="QU443" s="978"/>
      <c r="QV443" s="978"/>
      <c r="QW443" s="978"/>
      <c r="QX443" s="978"/>
      <c r="QY443" s="978"/>
      <c r="QZ443" s="978"/>
      <c r="RA443" s="978"/>
      <c r="RB443" s="274"/>
      <c r="RC443" s="274"/>
    </row>
    <row r="444" spans="112:471" ht="17.25">
      <c r="DH444" s="274"/>
      <c r="DI444" s="274"/>
      <c r="DJ444" s="978"/>
      <c r="DK444" s="978"/>
      <c r="DL444" s="978"/>
      <c r="DM444" s="978"/>
      <c r="DN444" s="978"/>
      <c r="DO444" s="978"/>
      <c r="DP444" s="978"/>
      <c r="DQ444" s="978"/>
      <c r="DR444" s="978"/>
      <c r="DS444" s="978"/>
      <c r="DT444" s="978"/>
      <c r="DU444" s="978"/>
      <c r="DV444" s="978"/>
      <c r="DW444" s="978"/>
      <c r="DX444" s="978"/>
      <c r="DY444" s="978"/>
      <c r="DZ444" s="978"/>
      <c r="EA444" s="978"/>
      <c r="EB444" s="978"/>
      <c r="EC444" s="978"/>
      <c r="ED444" s="978"/>
      <c r="EE444" s="978"/>
      <c r="EF444" s="978"/>
      <c r="EG444" s="978"/>
      <c r="EH444" s="978"/>
      <c r="EI444" s="978"/>
      <c r="EJ444" s="978"/>
      <c r="EK444" s="978"/>
      <c r="EL444" s="978"/>
      <c r="EM444" s="978"/>
      <c r="EN444" s="978"/>
      <c r="EO444" s="978"/>
      <c r="EP444" s="978"/>
      <c r="EQ444" s="978"/>
      <c r="ER444" s="978"/>
      <c r="ES444" s="978"/>
      <c r="ET444" s="978"/>
      <c r="EU444" s="978"/>
      <c r="EV444" s="978"/>
      <c r="EW444" s="978"/>
      <c r="EX444" s="978"/>
      <c r="EY444" s="978"/>
      <c r="EZ444" s="978"/>
      <c r="FA444" s="978"/>
      <c r="FB444" s="978"/>
      <c r="FC444" s="978"/>
      <c r="FD444" s="978"/>
      <c r="FE444" s="978"/>
      <c r="FF444" s="978"/>
      <c r="FG444" s="978"/>
      <c r="FH444" s="978"/>
      <c r="FI444" s="978"/>
      <c r="FJ444" s="978"/>
      <c r="FK444" s="978"/>
      <c r="FL444" s="978"/>
      <c r="FM444" s="978"/>
      <c r="FN444" s="978"/>
      <c r="FO444" s="978"/>
      <c r="FP444" s="978"/>
      <c r="FQ444" s="978"/>
      <c r="FR444" s="978"/>
      <c r="FS444" s="978"/>
      <c r="FT444" s="978"/>
      <c r="FU444" s="978"/>
      <c r="FV444" s="978"/>
      <c r="FW444" s="978"/>
      <c r="FX444" s="978"/>
      <c r="FY444" s="978"/>
      <c r="FZ444" s="978"/>
      <c r="GA444" s="978"/>
      <c r="GB444" s="978"/>
      <c r="GC444" s="978"/>
      <c r="GD444" s="978"/>
      <c r="GE444" s="978"/>
      <c r="GF444" s="978"/>
      <c r="GG444" s="978"/>
      <c r="GH444" s="978"/>
      <c r="GI444" s="978"/>
      <c r="GJ444" s="978"/>
      <c r="GK444" s="978"/>
      <c r="GL444" s="978"/>
      <c r="GM444" s="978"/>
      <c r="GN444" s="978"/>
      <c r="GO444" s="978"/>
      <c r="GP444" s="978"/>
      <c r="GQ444" s="978"/>
      <c r="GR444" s="978"/>
      <c r="GS444" s="978"/>
      <c r="GT444" s="978"/>
      <c r="GU444" s="978"/>
      <c r="GV444" s="978"/>
      <c r="GW444" s="978"/>
      <c r="GX444" s="978"/>
      <c r="GY444" s="978"/>
      <c r="GZ444" s="978"/>
      <c r="HA444" s="978"/>
      <c r="HB444" s="978"/>
      <c r="HC444" s="978"/>
      <c r="HD444" s="978"/>
      <c r="HE444" s="978"/>
      <c r="HF444" s="978"/>
      <c r="HG444" s="978"/>
      <c r="HH444" s="978"/>
      <c r="HI444" s="978"/>
      <c r="HJ444" s="978"/>
      <c r="HK444" s="978"/>
      <c r="HL444" s="978"/>
      <c r="HM444" s="978"/>
      <c r="HN444" s="978"/>
      <c r="HO444" s="978"/>
      <c r="HP444" s="978"/>
      <c r="HQ444" s="978"/>
      <c r="HR444" s="978"/>
      <c r="HS444" s="978"/>
      <c r="HT444" s="978"/>
      <c r="HU444" s="978"/>
      <c r="HV444" s="978"/>
      <c r="HW444" s="978"/>
      <c r="HX444" s="978"/>
      <c r="HY444" s="978"/>
      <c r="HZ444" s="978"/>
      <c r="IA444" s="978"/>
      <c r="IB444" s="978"/>
      <c r="IC444" s="978"/>
      <c r="ID444" s="978"/>
      <c r="IE444" s="978"/>
      <c r="IF444" s="978"/>
      <c r="IG444" s="978"/>
      <c r="IH444" s="978"/>
      <c r="II444" s="978"/>
      <c r="IJ444" s="978"/>
      <c r="IK444" s="978"/>
      <c r="IL444" s="978"/>
      <c r="IM444" s="978"/>
      <c r="IN444" s="978"/>
      <c r="IO444" s="978"/>
      <c r="IP444" s="978"/>
      <c r="IQ444" s="978"/>
      <c r="IR444" s="978"/>
      <c r="IS444" s="978"/>
      <c r="IT444" s="978"/>
      <c r="IU444" s="978"/>
      <c r="IV444" s="978"/>
      <c r="IW444" s="978"/>
      <c r="IX444" s="978"/>
      <c r="IY444" s="978"/>
      <c r="IZ444" s="978"/>
      <c r="JA444" s="978"/>
      <c r="JB444" s="978"/>
      <c r="JC444" s="978"/>
      <c r="JD444" s="978"/>
      <c r="JE444" s="978"/>
      <c r="JF444" s="978"/>
      <c r="JG444" s="978"/>
      <c r="JH444" s="978"/>
      <c r="JI444" s="978"/>
      <c r="JJ444" s="978"/>
      <c r="JK444" s="978"/>
      <c r="JL444" s="978"/>
      <c r="JM444" s="978"/>
      <c r="JN444" s="978"/>
      <c r="JO444" s="978"/>
      <c r="JP444" s="978"/>
      <c r="JQ444" s="978"/>
      <c r="JR444" s="978"/>
      <c r="JS444" s="978"/>
      <c r="JT444" s="978"/>
      <c r="JU444" s="978"/>
      <c r="JV444" s="978"/>
      <c r="JW444" s="978"/>
      <c r="JX444" s="978"/>
      <c r="JY444" s="978"/>
      <c r="JZ444" s="978"/>
      <c r="KA444" s="978"/>
      <c r="KB444" s="978"/>
      <c r="KC444" s="978"/>
      <c r="KD444" s="978"/>
      <c r="KE444" s="978"/>
      <c r="KF444" s="978"/>
      <c r="KG444" s="978"/>
      <c r="KH444" s="978"/>
      <c r="KI444" s="978"/>
      <c r="KJ444" s="978"/>
      <c r="KK444" s="978"/>
      <c r="KL444" s="978"/>
      <c r="KM444" s="978"/>
      <c r="KN444" s="978"/>
      <c r="KO444" s="978"/>
      <c r="KP444" s="978"/>
      <c r="KQ444" s="978"/>
      <c r="KR444" s="978"/>
      <c r="KS444" s="978"/>
      <c r="KT444" s="978"/>
      <c r="KU444" s="978"/>
      <c r="KV444" s="978"/>
      <c r="KW444" s="978"/>
      <c r="KX444" s="978"/>
      <c r="KY444" s="978"/>
      <c r="KZ444" s="978"/>
      <c r="LA444" s="978"/>
      <c r="LB444" s="978"/>
      <c r="LC444" s="978"/>
      <c r="LD444" s="978"/>
      <c r="LE444" s="978"/>
      <c r="LF444" s="978"/>
      <c r="LG444" s="978"/>
      <c r="LH444" s="978"/>
      <c r="LI444" s="978"/>
      <c r="LJ444" s="978"/>
      <c r="LK444" s="978"/>
      <c r="LL444" s="978"/>
      <c r="LM444" s="978"/>
      <c r="LN444" s="978"/>
      <c r="LO444" s="978"/>
      <c r="LP444" s="978"/>
      <c r="LQ444" s="978"/>
      <c r="LR444" s="978"/>
      <c r="LS444" s="978"/>
      <c r="LT444" s="978"/>
      <c r="LU444" s="978"/>
      <c r="LV444" s="978"/>
      <c r="LW444" s="978"/>
      <c r="LX444" s="978"/>
      <c r="LY444" s="978"/>
      <c r="LZ444" s="978"/>
      <c r="MA444" s="978"/>
      <c r="MB444" s="978"/>
      <c r="MC444" s="978"/>
      <c r="MD444" s="978"/>
      <c r="ME444" s="978"/>
      <c r="MF444" s="978"/>
      <c r="MG444" s="978"/>
      <c r="MH444" s="978"/>
      <c r="MI444" s="978"/>
      <c r="MJ444" s="978"/>
      <c r="MK444" s="978"/>
      <c r="ML444" s="978"/>
      <c r="MM444" s="978"/>
      <c r="MN444" s="978"/>
      <c r="MO444" s="978"/>
      <c r="MP444" s="978"/>
      <c r="MQ444" s="978"/>
      <c r="MR444" s="978"/>
      <c r="MS444" s="978"/>
      <c r="MT444" s="978"/>
      <c r="MU444" s="978"/>
      <c r="MV444" s="978"/>
      <c r="MW444" s="978"/>
      <c r="MX444" s="978"/>
      <c r="MY444" s="978"/>
      <c r="MZ444" s="978"/>
      <c r="NA444" s="978"/>
      <c r="NB444" s="978"/>
      <c r="NC444" s="978"/>
      <c r="ND444" s="978"/>
      <c r="NE444" s="978"/>
      <c r="NF444" s="978"/>
      <c r="NG444" s="978"/>
      <c r="NH444" s="978"/>
      <c r="NI444" s="978"/>
      <c r="NJ444" s="978"/>
      <c r="NK444" s="978"/>
      <c r="NL444" s="978"/>
      <c r="NM444" s="978"/>
      <c r="NN444" s="978"/>
      <c r="NO444" s="978"/>
      <c r="NP444" s="978"/>
      <c r="NQ444" s="978"/>
      <c r="NR444" s="978"/>
      <c r="NS444" s="978"/>
      <c r="NT444" s="978"/>
      <c r="NU444" s="978"/>
      <c r="NV444" s="978"/>
      <c r="NW444" s="978"/>
      <c r="NX444" s="978"/>
      <c r="NY444" s="978"/>
      <c r="NZ444" s="978"/>
      <c r="OA444" s="978"/>
      <c r="OB444" s="978"/>
      <c r="OC444" s="978"/>
      <c r="OD444" s="978"/>
      <c r="OE444" s="978"/>
      <c r="OF444" s="978"/>
      <c r="OG444" s="978"/>
      <c r="OH444" s="978"/>
      <c r="OI444" s="978"/>
      <c r="OJ444" s="978"/>
      <c r="OK444" s="978"/>
      <c r="OL444" s="978"/>
      <c r="OM444" s="978"/>
      <c r="ON444" s="978"/>
      <c r="OO444" s="978"/>
      <c r="OP444" s="978"/>
      <c r="OQ444" s="978"/>
      <c r="OR444" s="978"/>
      <c r="OS444" s="978"/>
      <c r="OT444" s="978"/>
      <c r="OU444" s="978"/>
      <c r="OV444" s="978"/>
      <c r="OW444" s="978"/>
      <c r="OX444" s="978"/>
      <c r="OY444" s="978"/>
      <c r="OZ444" s="978"/>
      <c r="PA444" s="978"/>
      <c r="PB444" s="978"/>
      <c r="PC444" s="978"/>
      <c r="PD444" s="978"/>
      <c r="PE444" s="978"/>
      <c r="PF444" s="978"/>
      <c r="PG444" s="978"/>
      <c r="PH444" s="978"/>
      <c r="PI444" s="978"/>
      <c r="PJ444" s="978"/>
      <c r="PK444" s="978"/>
      <c r="PL444" s="978"/>
      <c r="PM444" s="978"/>
      <c r="PN444" s="978"/>
      <c r="PO444" s="978"/>
      <c r="PP444" s="978"/>
      <c r="PQ444" s="978"/>
      <c r="PR444" s="978"/>
      <c r="PS444" s="978"/>
      <c r="PT444" s="978"/>
      <c r="PU444" s="978"/>
      <c r="PV444" s="978"/>
      <c r="PW444" s="978"/>
      <c r="PX444" s="978"/>
      <c r="PY444" s="978"/>
      <c r="PZ444" s="978"/>
      <c r="QA444" s="978"/>
      <c r="QB444" s="978"/>
      <c r="QC444" s="978"/>
      <c r="QD444" s="978"/>
      <c r="QE444" s="978"/>
      <c r="QF444" s="978"/>
      <c r="QG444" s="978"/>
      <c r="QH444" s="978"/>
      <c r="QI444" s="978"/>
      <c r="QJ444" s="978"/>
      <c r="QK444" s="978"/>
      <c r="QL444" s="978"/>
      <c r="QM444" s="978"/>
      <c r="QN444" s="978"/>
      <c r="QO444" s="978"/>
      <c r="QP444" s="978"/>
      <c r="QQ444" s="978"/>
      <c r="QR444" s="978"/>
      <c r="QS444" s="978"/>
      <c r="QT444" s="978"/>
      <c r="QU444" s="978"/>
      <c r="QV444" s="978"/>
      <c r="QW444" s="978"/>
      <c r="QX444" s="978"/>
      <c r="QY444" s="978"/>
      <c r="QZ444" s="978"/>
      <c r="RA444" s="978"/>
      <c r="RB444" s="274"/>
      <c r="RC444" s="274"/>
    </row>
    <row r="445" spans="112:471" ht="17.25">
      <c r="DH445" s="274"/>
      <c r="DI445" s="274"/>
      <c r="DJ445" s="978"/>
      <c r="DK445" s="978"/>
      <c r="DL445" s="978"/>
      <c r="DM445" s="978"/>
      <c r="DN445" s="978"/>
      <c r="DO445" s="978"/>
      <c r="DP445" s="978"/>
      <c r="DQ445" s="978"/>
      <c r="DR445" s="978"/>
      <c r="DS445" s="978"/>
      <c r="DT445" s="978"/>
      <c r="DU445" s="978"/>
      <c r="DV445" s="978"/>
      <c r="DW445" s="978"/>
      <c r="DX445" s="978"/>
      <c r="DY445" s="978"/>
      <c r="DZ445" s="978"/>
      <c r="EA445" s="978"/>
      <c r="EB445" s="978"/>
      <c r="EC445" s="978"/>
      <c r="ED445" s="978"/>
      <c r="EE445" s="978"/>
      <c r="EF445" s="978"/>
      <c r="EG445" s="978"/>
      <c r="EH445" s="978"/>
      <c r="EI445" s="978"/>
      <c r="EJ445" s="978"/>
      <c r="EK445" s="978"/>
      <c r="EL445" s="978"/>
      <c r="EM445" s="978"/>
      <c r="EN445" s="978"/>
      <c r="EO445" s="978"/>
      <c r="EP445" s="978"/>
      <c r="EQ445" s="978"/>
      <c r="ER445" s="978"/>
      <c r="ES445" s="978"/>
      <c r="ET445" s="978"/>
      <c r="EU445" s="978"/>
      <c r="EV445" s="978"/>
      <c r="EW445" s="978"/>
      <c r="EX445" s="978"/>
      <c r="EY445" s="978"/>
      <c r="EZ445" s="978"/>
      <c r="FA445" s="978"/>
      <c r="FB445" s="978"/>
      <c r="FC445" s="978"/>
      <c r="FD445" s="978"/>
      <c r="FE445" s="978"/>
      <c r="FF445" s="978"/>
      <c r="FG445" s="978"/>
      <c r="FH445" s="978"/>
      <c r="FI445" s="978"/>
      <c r="FJ445" s="978"/>
      <c r="FK445" s="978"/>
      <c r="FL445" s="978"/>
      <c r="FM445" s="978"/>
      <c r="FN445" s="978"/>
      <c r="FO445" s="978"/>
      <c r="FP445" s="978"/>
      <c r="FQ445" s="978"/>
      <c r="FR445" s="978"/>
      <c r="FS445" s="978"/>
      <c r="FT445" s="978"/>
      <c r="FU445" s="978"/>
      <c r="FV445" s="978"/>
      <c r="FW445" s="978"/>
      <c r="FX445" s="978"/>
      <c r="FY445" s="978"/>
      <c r="FZ445" s="978"/>
      <c r="GA445" s="978"/>
      <c r="GB445" s="978"/>
      <c r="GC445" s="978"/>
      <c r="GD445" s="978"/>
      <c r="GE445" s="978"/>
      <c r="GF445" s="978"/>
      <c r="GG445" s="978"/>
      <c r="GH445" s="978"/>
      <c r="GI445" s="978"/>
      <c r="GJ445" s="978"/>
      <c r="GK445" s="978"/>
      <c r="GL445" s="978"/>
      <c r="GM445" s="978"/>
      <c r="GN445" s="978"/>
      <c r="GO445" s="978"/>
      <c r="GP445" s="978"/>
      <c r="GQ445" s="978"/>
      <c r="GR445" s="978"/>
      <c r="GS445" s="978"/>
      <c r="GT445" s="978"/>
      <c r="GU445" s="978"/>
      <c r="GV445" s="978"/>
      <c r="GW445" s="978"/>
      <c r="GX445" s="978"/>
      <c r="GY445" s="978"/>
      <c r="GZ445" s="978"/>
      <c r="HA445" s="978"/>
      <c r="HB445" s="978"/>
      <c r="HC445" s="978"/>
      <c r="HD445" s="978"/>
      <c r="HE445" s="978"/>
      <c r="HF445" s="978"/>
      <c r="HG445" s="978"/>
      <c r="HH445" s="978"/>
      <c r="HI445" s="978"/>
      <c r="HJ445" s="978"/>
      <c r="HK445" s="978"/>
      <c r="HL445" s="978"/>
      <c r="HM445" s="978"/>
      <c r="HN445" s="978"/>
      <c r="HO445" s="978"/>
      <c r="HP445" s="978"/>
      <c r="HQ445" s="978"/>
      <c r="HR445" s="978"/>
      <c r="HS445" s="978"/>
      <c r="HT445" s="978"/>
      <c r="HU445" s="978"/>
      <c r="HV445" s="978"/>
      <c r="HW445" s="978"/>
      <c r="HX445" s="978"/>
      <c r="HY445" s="978"/>
      <c r="HZ445" s="978"/>
      <c r="IA445" s="978"/>
      <c r="IB445" s="978"/>
      <c r="IC445" s="978"/>
      <c r="ID445" s="978"/>
      <c r="IE445" s="978"/>
      <c r="IF445" s="978"/>
      <c r="IG445" s="978"/>
      <c r="IH445" s="978"/>
      <c r="II445" s="978"/>
      <c r="IJ445" s="978"/>
      <c r="IK445" s="978"/>
      <c r="IL445" s="978"/>
      <c r="IM445" s="978"/>
      <c r="IN445" s="978"/>
      <c r="IO445" s="978"/>
      <c r="IP445" s="978"/>
      <c r="IQ445" s="978"/>
      <c r="IR445" s="978"/>
      <c r="IS445" s="978"/>
      <c r="IT445" s="978"/>
      <c r="IU445" s="978"/>
      <c r="IV445" s="978"/>
      <c r="IW445" s="978"/>
      <c r="IX445" s="978"/>
      <c r="IY445" s="978"/>
      <c r="IZ445" s="978"/>
      <c r="JA445" s="978"/>
      <c r="JB445" s="978"/>
      <c r="JC445" s="978"/>
      <c r="JD445" s="978"/>
      <c r="JE445" s="978"/>
      <c r="JF445" s="978"/>
      <c r="JG445" s="978"/>
      <c r="JH445" s="978"/>
      <c r="JI445" s="978"/>
      <c r="JJ445" s="978"/>
      <c r="JK445" s="978"/>
      <c r="JL445" s="978"/>
      <c r="JM445" s="978"/>
      <c r="JN445" s="978"/>
      <c r="JO445" s="978"/>
      <c r="JP445" s="978"/>
      <c r="JQ445" s="978"/>
      <c r="JR445" s="978"/>
      <c r="JS445" s="978"/>
      <c r="JT445" s="978"/>
      <c r="JU445" s="978"/>
      <c r="JV445" s="978"/>
      <c r="JW445" s="978"/>
      <c r="JX445" s="978"/>
      <c r="JY445" s="978"/>
      <c r="JZ445" s="978"/>
      <c r="KA445" s="978"/>
      <c r="KB445" s="978"/>
      <c r="KC445" s="978"/>
      <c r="KD445" s="978"/>
      <c r="KE445" s="978"/>
      <c r="KF445" s="978"/>
      <c r="KG445" s="978"/>
      <c r="KH445" s="978"/>
      <c r="KI445" s="978"/>
      <c r="KJ445" s="978"/>
      <c r="KK445" s="978"/>
      <c r="KL445" s="978"/>
      <c r="KM445" s="978"/>
      <c r="KN445" s="978"/>
      <c r="KO445" s="978"/>
      <c r="KP445" s="978"/>
      <c r="KQ445" s="978"/>
      <c r="KR445" s="978"/>
      <c r="KS445" s="978"/>
      <c r="KT445" s="978"/>
      <c r="KU445" s="978"/>
      <c r="KV445" s="978"/>
      <c r="KW445" s="978"/>
      <c r="KX445" s="978"/>
      <c r="KY445" s="978"/>
      <c r="KZ445" s="978"/>
      <c r="LA445" s="978"/>
      <c r="LB445" s="978"/>
      <c r="LC445" s="978"/>
      <c r="LD445" s="978"/>
      <c r="LE445" s="978"/>
      <c r="LF445" s="978"/>
      <c r="LG445" s="978"/>
      <c r="LH445" s="978"/>
      <c r="LI445" s="978"/>
      <c r="LJ445" s="978"/>
      <c r="LK445" s="978"/>
      <c r="LL445" s="978"/>
      <c r="LM445" s="978"/>
      <c r="LN445" s="978"/>
      <c r="LO445" s="978"/>
      <c r="LP445" s="978"/>
      <c r="LQ445" s="978"/>
      <c r="LR445" s="978"/>
      <c r="LS445" s="978"/>
      <c r="LT445" s="978"/>
      <c r="LU445" s="978"/>
      <c r="LV445" s="978"/>
      <c r="LW445" s="978"/>
      <c r="LX445" s="978"/>
      <c r="LY445" s="978"/>
      <c r="LZ445" s="978"/>
      <c r="MA445" s="978"/>
      <c r="MB445" s="978"/>
      <c r="MC445" s="978"/>
      <c r="MD445" s="978"/>
      <c r="ME445" s="978"/>
      <c r="MF445" s="978"/>
      <c r="MG445" s="978"/>
      <c r="MH445" s="978"/>
      <c r="MI445" s="978"/>
      <c r="MJ445" s="978"/>
      <c r="MK445" s="978"/>
      <c r="ML445" s="978"/>
      <c r="MM445" s="978"/>
      <c r="MN445" s="978"/>
      <c r="MO445" s="978"/>
      <c r="MP445" s="978"/>
      <c r="MQ445" s="978"/>
      <c r="MR445" s="978"/>
      <c r="MS445" s="978"/>
      <c r="MT445" s="978"/>
      <c r="MU445" s="978"/>
      <c r="MV445" s="978"/>
      <c r="MW445" s="978"/>
      <c r="MX445" s="978"/>
      <c r="MY445" s="978"/>
      <c r="MZ445" s="978"/>
      <c r="NA445" s="978"/>
      <c r="NB445" s="978"/>
      <c r="NC445" s="978"/>
      <c r="ND445" s="978"/>
      <c r="NE445" s="978"/>
      <c r="NF445" s="978"/>
      <c r="NG445" s="978"/>
      <c r="NH445" s="978"/>
      <c r="NI445" s="978"/>
      <c r="NJ445" s="978"/>
      <c r="NK445" s="978"/>
      <c r="NL445" s="978"/>
      <c r="NM445" s="978"/>
      <c r="NN445" s="978"/>
      <c r="NO445" s="978"/>
      <c r="NP445" s="978"/>
      <c r="NQ445" s="978"/>
      <c r="NR445" s="978"/>
      <c r="NS445" s="978"/>
      <c r="NT445" s="978"/>
      <c r="NU445" s="978"/>
      <c r="NV445" s="978"/>
      <c r="NW445" s="978"/>
      <c r="NX445" s="978"/>
      <c r="NY445" s="978"/>
      <c r="NZ445" s="978"/>
      <c r="OA445" s="978"/>
      <c r="OB445" s="978"/>
      <c r="OC445" s="978"/>
      <c r="OD445" s="978"/>
      <c r="OE445" s="978"/>
      <c r="OF445" s="978"/>
      <c r="OG445" s="978"/>
      <c r="OH445" s="978"/>
      <c r="OI445" s="978"/>
      <c r="OJ445" s="978"/>
      <c r="OK445" s="978"/>
      <c r="OL445" s="978"/>
      <c r="OM445" s="978"/>
      <c r="ON445" s="978"/>
      <c r="OO445" s="978"/>
      <c r="OP445" s="978"/>
      <c r="OQ445" s="978"/>
      <c r="OR445" s="978"/>
      <c r="OS445" s="978"/>
      <c r="OT445" s="978"/>
      <c r="OU445" s="978"/>
      <c r="OV445" s="978"/>
      <c r="OW445" s="978"/>
      <c r="OX445" s="978"/>
      <c r="OY445" s="978"/>
      <c r="OZ445" s="978"/>
      <c r="PA445" s="978"/>
      <c r="PB445" s="978"/>
      <c r="PC445" s="978"/>
      <c r="PD445" s="978"/>
      <c r="PE445" s="978"/>
      <c r="PF445" s="978"/>
      <c r="PG445" s="978"/>
      <c r="PH445" s="978"/>
      <c r="PI445" s="978"/>
      <c r="PJ445" s="978"/>
      <c r="PK445" s="978"/>
      <c r="PL445" s="978"/>
      <c r="PM445" s="978"/>
      <c r="PN445" s="978"/>
      <c r="PO445" s="978"/>
      <c r="PP445" s="978"/>
      <c r="PQ445" s="978"/>
      <c r="PR445" s="978"/>
      <c r="PS445" s="978"/>
      <c r="PT445" s="978"/>
      <c r="PU445" s="978"/>
      <c r="PV445" s="978"/>
      <c r="PW445" s="978"/>
      <c r="PX445" s="978"/>
      <c r="PY445" s="978"/>
      <c r="PZ445" s="978"/>
      <c r="QA445" s="978"/>
      <c r="QB445" s="978"/>
      <c r="QC445" s="978"/>
      <c r="QD445" s="978"/>
      <c r="QE445" s="978"/>
      <c r="QF445" s="978"/>
      <c r="QG445" s="978"/>
      <c r="QH445" s="978"/>
      <c r="QI445" s="978"/>
      <c r="QJ445" s="978"/>
      <c r="QK445" s="978"/>
      <c r="QL445" s="978"/>
      <c r="QM445" s="978"/>
      <c r="QN445" s="978"/>
      <c r="QO445" s="978"/>
      <c r="QP445" s="978"/>
      <c r="QQ445" s="978"/>
      <c r="QR445" s="978"/>
      <c r="QS445" s="978"/>
      <c r="QT445" s="978"/>
      <c r="QU445" s="978"/>
      <c r="QV445" s="978"/>
      <c r="QW445" s="978"/>
      <c r="QX445" s="978"/>
      <c r="QY445" s="978"/>
      <c r="QZ445" s="978"/>
      <c r="RA445" s="978"/>
      <c r="RB445" s="274"/>
      <c r="RC445" s="274"/>
    </row>
    <row r="446" spans="112:471" ht="17.25">
      <c r="DH446" s="274"/>
      <c r="DI446" s="274"/>
      <c r="DJ446" s="978"/>
      <c r="DK446" s="978"/>
      <c r="DL446" s="978"/>
      <c r="DM446" s="978"/>
      <c r="DN446" s="978"/>
      <c r="DO446" s="978"/>
      <c r="DP446" s="978"/>
      <c r="DQ446" s="978"/>
      <c r="DR446" s="978"/>
      <c r="DS446" s="978"/>
      <c r="DT446" s="978"/>
      <c r="DU446" s="978"/>
      <c r="DV446" s="978"/>
      <c r="DW446" s="978"/>
      <c r="DX446" s="978"/>
      <c r="DY446" s="978"/>
      <c r="DZ446" s="978"/>
      <c r="EA446" s="978"/>
      <c r="EB446" s="978"/>
      <c r="EC446" s="978"/>
      <c r="ED446" s="978"/>
      <c r="EE446" s="978"/>
      <c r="EF446" s="978"/>
      <c r="EG446" s="978"/>
      <c r="EH446" s="978"/>
      <c r="EI446" s="978"/>
      <c r="EJ446" s="978"/>
      <c r="EK446" s="978"/>
      <c r="EL446" s="978"/>
      <c r="EM446" s="978"/>
      <c r="EN446" s="978"/>
      <c r="EO446" s="978"/>
      <c r="EP446" s="978"/>
      <c r="EQ446" s="978"/>
      <c r="ER446" s="978"/>
      <c r="ES446" s="978"/>
      <c r="ET446" s="978"/>
      <c r="EU446" s="978"/>
      <c r="EV446" s="978"/>
      <c r="EW446" s="978"/>
      <c r="EX446" s="978"/>
      <c r="EY446" s="978"/>
      <c r="EZ446" s="978"/>
      <c r="FA446" s="978"/>
      <c r="FB446" s="978"/>
      <c r="FC446" s="978"/>
      <c r="FD446" s="978"/>
      <c r="FE446" s="978"/>
      <c r="FF446" s="978"/>
      <c r="FG446" s="978"/>
      <c r="FH446" s="978"/>
      <c r="FI446" s="978"/>
      <c r="FJ446" s="978"/>
      <c r="FK446" s="978"/>
      <c r="FL446" s="978"/>
      <c r="FM446" s="978"/>
      <c r="FN446" s="978"/>
      <c r="FO446" s="978"/>
      <c r="FP446" s="978"/>
      <c r="FQ446" s="978"/>
      <c r="FR446" s="978"/>
      <c r="FS446" s="978"/>
      <c r="FT446" s="978"/>
      <c r="FU446" s="978"/>
      <c r="FV446" s="978"/>
      <c r="FW446" s="978"/>
      <c r="FX446" s="978"/>
      <c r="FY446" s="978"/>
      <c r="FZ446" s="978"/>
      <c r="GA446" s="978"/>
      <c r="GB446" s="978"/>
      <c r="GC446" s="978"/>
      <c r="GD446" s="978"/>
      <c r="GE446" s="978"/>
      <c r="GF446" s="978"/>
      <c r="GG446" s="978"/>
      <c r="GH446" s="978"/>
      <c r="GI446" s="978"/>
      <c r="GJ446" s="978"/>
      <c r="GK446" s="978"/>
      <c r="GL446" s="978"/>
      <c r="GM446" s="978"/>
      <c r="GN446" s="978"/>
      <c r="GO446" s="978"/>
      <c r="GP446" s="978"/>
      <c r="GQ446" s="978"/>
      <c r="GR446" s="978"/>
      <c r="GS446" s="978"/>
      <c r="GT446" s="978"/>
      <c r="GU446" s="978"/>
      <c r="GV446" s="978"/>
      <c r="GW446" s="978"/>
      <c r="GX446" s="978"/>
      <c r="GY446" s="978"/>
      <c r="GZ446" s="978"/>
      <c r="HA446" s="978"/>
      <c r="HB446" s="978"/>
      <c r="HC446" s="978"/>
      <c r="HD446" s="978"/>
      <c r="HE446" s="978"/>
      <c r="HF446" s="978"/>
      <c r="HG446" s="978"/>
      <c r="HH446" s="978"/>
      <c r="HI446" s="978"/>
      <c r="HJ446" s="978"/>
      <c r="HK446" s="978"/>
      <c r="HL446" s="978"/>
      <c r="HM446" s="978"/>
      <c r="HN446" s="978"/>
      <c r="HO446" s="978"/>
      <c r="HP446" s="978"/>
      <c r="HQ446" s="978"/>
      <c r="HR446" s="978"/>
      <c r="HS446" s="978"/>
      <c r="HT446" s="978"/>
      <c r="HU446" s="978"/>
      <c r="HV446" s="978"/>
      <c r="HW446" s="978"/>
      <c r="HX446" s="978"/>
      <c r="HY446" s="978"/>
      <c r="HZ446" s="978"/>
      <c r="IA446" s="978"/>
      <c r="IB446" s="978"/>
      <c r="IC446" s="978"/>
      <c r="ID446" s="978"/>
      <c r="IE446" s="978"/>
      <c r="IF446" s="978"/>
      <c r="IG446" s="978"/>
      <c r="IH446" s="978"/>
      <c r="II446" s="978"/>
      <c r="IJ446" s="978"/>
      <c r="IK446" s="978"/>
      <c r="IL446" s="978"/>
      <c r="IM446" s="978"/>
      <c r="IN446" s="978"/>
      <c r="IO446" s="978"/>
      <c r="IP446" s="978"/>
      <c r="IQ446" s="978"/>
      <c r="IR446" s="978"/>
      <c r="IS446" s="978"/>
      <c r="IT446" s="978"/>
      <c r="IU446" s="978"/>
      <c r="IV446" s="978"/>
      <c r="IW446" s="978"/>
      <c r="IX446" s="978"/>
      <c r="IY446" s="978"/>
      <c r="IZ446" s="978"/>
      <c r="JA446" s="978"/>
      <c r="JB446" s="978"/>
      <c r="JC446" s="978"/>
      <c r="JD446" s="978"/>
      <c r="JE446" s="978"/>
      <c r="JF446" s="978"/>
      <c r="JG446" s="978"/>
      <c r="JH446" s="978"/>
      <c r="JI446" s="978"/>
      <c r="JJ446" s="978"/>
      <c r="JK446" s="978"/>
      <c r="JL446" s="978"/>
      <c r="JM446" s="978"/>
      <c r="JN446" s="978"/>
      <c r="JO446" s="978"/>
      <c r="JP446" s="978"/>
      <c r="JQ446" s="978"/>
      <c r="JR446" s="978"/>
      <c r="JS446" s="978"/>
      <c r="JT446" s="978"/>
      <c r="JU446" s="978"/>
      <c r="JV446" s="978"/>
      <c r="JW446" s="978"/>
      <c r="JX446" s="978"/>
      <c r="JY446" s="978"/>
      <c r="JZ446" s="978"/>
      <c r="KA446" s="978"/>
      <c r="KB446" s="978"/>
      <c r="KC446" s="978"/>
      <c r="KD446" s="978"/>
      <c r="KE446" s="978"/>
      <c r="KF446" s="978"/>
      <c r="KG446" s="978"/>
      <c r="KH446" s="978"/>
      <c r="KI446" s="978"/>
      <c r="KJ446" s="978"/>
      <c r="KK446" s="978"/>
      <c r="KL446" s="978"/>
      <c r="KM446" s="978"/>
      <c r="KN446" s="978"/>
      <c r="KO446" s="978"/>
      <c r="KP446" s="978"/>
      <c r="KQ446" s="978"/>
      <c r="KR446" s="978"/>
      <c r="KS446" s="978"/>
      <c r="KT446" s="978"/>
      <c r="KU446" s="978"/>
      <c r="KV446" s="978"/>
      <c r="KW446" s="978"/>
      <c r="KX446" s="978"/>
      <c r="KY446" s="978"/>
      <c r="KZ446" s="978"/>
      <c r="LA446" s="978"/>
      <c r="LB446" s="978"/>
      <c r="LC446" s="978"/>
      <c r="LD446" s="978"/>
      <c r="LE446" s="978"/>
      <c r="LF446" s="978"/>
      <c r="LG446" s="978"/>
      <c r="LH446" s="978"/>
      <c r="LI446" s="978"/>
      <c r="LJ446" s="978"/>
      <c r="LK446" s="978"/>
      <c r="LL446" s="978"/>
      <c r="LM446" s="978"/>
      <c r="LN446" s="978"/>
      <c r="LO446" s="978"/>
      <c r="LP446" s="978"/>
      <c r="LQ446" s="978"/>
      <c r="LR446" s="978"/>
      <c r="LS446" s="978"/>
      <c r="LT446" s="978"/>
      <c r="LU446" s="978"/>
      <c r="LV446" s="978"/>
      <c r="LW446" s="978"/>
      <c r="LX446" s="978"/>
      <c r="LY446" s="978"/>
      <c r="LZ446" s="978"/>
      <c r="MA446" s="978"/>
      <c r="MB446" s="978"/>
      <c r="MC446" s="978"/>
      <c r="MD446" s="978"/>
      <c r="ME446" s="978"/>
      <c r="MF446" s="978"/>
      <c r="MG446" s="978"/>
      <c r="MH446" s="978"/>
      <c r="MI446" s="978"/>
      <c r="MJ446" s="978"/>
      <c r="MK446" s="978"/>
      <c r="ML446" s="978"/>
      <c r="MM446" s="978"/>
      <c r="MN446" s="978"/>
      <c r="MO446" s="978"/>
      <c r="MP446" s="978"/>
      <c r="MQ446" s="978"/>
      <c r="MR446" s="978"/>
      <c r="MS446" s="978"/>
      <c r="MT446" s="978"/>
      <c r="MU446" s="978"/>
      <c r="MV446" s="978"/>
      <c r="MW446" s="978"/>
      <c r="MX446" s="978"/>
      <c r="MY446" s="978"/>
      <c r="MZ446" s="978"/>
      <c r="NA446" s="978"/>
      <c r="NB446" s="978"/>
      <c r="NC446" s="978"/>
      <c r="ND446" s="978"/>
      <c r="NE446" s="978"/>
      <c r="NF446" s="978"/>
      <c r="NG446" s="978"/>
      <c r="NH446" s="978"/>
      <c r="NI446" s="978"/>
      <c r="NJ446" s="978"/>
      <c r="NK446" s="978"/>
      <c r="NL446" s="978"/>
      <c r="NM446" s="978"/>
      <c r="NN446" s="978"/>
      <c r="NO446" s="978"/>
      <c r="NP446" s="978"/>
      <c r="NQ446" s="978"/>
      <c r="NR446" s="978"/>
      <c r="NS446" s="978"/>
      <c r="NT446" s="978"/>
      <c r="NU446" s="978"/>
      <c r="NV446" s="978"/>
      <c r="NW446" s="978"/>
      <c r="NX446" s="978"/>
      <c r="NY446" s="978"/>
      <c r="NZ446" s="978"/>
      <c r="OA446" s="978"/>
      <c r="OB446" s="978"/>
      <c r="OC446" s="978"/>
      <c r="OD446" s="978"/>
      <c r="OE446" s="978"/>
      <c r="OF446" s="978"/>
      <c r="OG446" s="978"/>
      <c r="OH446" s="978"/>
      <c r="OI446" s="978"/>
      <c r="OJ446" s="978"/>
      <c r="OK446" s="978"/>
      <c r="OL446" s="978"/>
      <c r="OM446" s="978"/>
      <c r="ON446" s="978"/>
      <c r="OO446" s="978"/>
      <c r="OP446" s="978"/>
      <c r="OQ446" s="978"/>
      <c r="OR446" s="978"/>
      <c r="OS446" s="978"/>
      <c r="OT446" s="978"/>
      <c r="OU446" s="978"/>
      <c r="OV446" s="978"/>
      <c r="OW446" s="978"/>
      <c r="OX446" s="978"/>
      <c r="OY446" s="978"/>
      <c r="OZ446" s="978"/>
      <c r="PA446" s="978"/>
      <c r="PB446" s="978"/>
      <c r="PC446" s="978"/>
      <c r="PD446" s="978"/>
      <c r="PE446" s="978"/>
      <c r="PF446" s="978"/>
      <c r="PG446" s="978"/>
      <c r="PH446" s="978"/>
      <c r="PI446" s="978"/>
      <c r="PJ446" s="978"/>
      <c r="PK446" s="978"/>
      <c r="PL446" s="978"/>
      <c r="PM446" s="978"/>
      <c r="PN446" s="978"/>
      <c r="PO446" s="978"/>
      <c r="PP446" s="978"/>
      <c r="PQ446" s="978"/>
      <c r="PR446" s="978"/>
      <c r="PS446" s="978"/>
      <c r="PT446" s="978"/>
      <c r="PU446" s="978"/>
      <c r="PV446" s="978"/>
      <c r="PW446" s="978"/>
      <c r="PX446" s="978"/>
      <c r="PY446" s="978"/>
      <c r="PZ446" s="978"/>
      <c r="QA446" s="978"/>
      <c r="QB446" s="978"/>
      <c r="QC446" s="978"/>
      <c r="QD446" s="978"/>
      <c r="QE446" s="978"/>
      <c r="QF446" s="978"/>
      <c r="QG446" s="978"/>
      <c r="QH446" s="978"/>
      <c r="QI446" s="978"/>
      <c r="QJ446" s="978"/>
      <c r="QK446" s="978"/>
      <c r="QL446" s="978"/>
      <c r="QM446" s="978"/>
      <c r="QN446" s="978"/>
      <c r="QO446" s="978"/>
      <c r="QP446" s="978"/>
      <c r="QQ446" s="978"/>
      <c r="QR446" s="978"/>
      <c r="QS446" s="978"/>
      <c r="QT446" s="978"/>
      <c r="QU446" s="978"/>
      <c r="QV446" s="978"/>
      <c r="QW446" s="978"/>
      <c r="QX446" s="978"/>
      <c r="QY446" s="978"/>
      <c r="QZ446" s="978"/>
      <c r="RA446" s="978"/>
      <c r="RB446" s="274"/>
      <c r="RC446" s="274"/>
    </row>
    <row r="447" spans="112:471" ht="17.25">
      <c r="DH447" s="274"/>
      <c r="DI447" s="274"/>
      <c r="DJ447" s="978"/>
      <c r="DK447" s="978"/>
      <c r="DL447" s="978"/>
      <c r="DM447" s="978"/>
      <c r="DN447" s="978"/>
      <c r="DO447" s="978"/>
      <c r="DP447" s="978"/>
      <c r="DQ447" s="978"/>
      <c r="DR447" s="978"/>
      <c r="DS447" s="978"/>
      <c r="DT447" s="978"/>
      <c r="DU447" s="978"/>
      <c r="DV447" s="978"/>
      <c r="DW447" s="978"/>
      <c r="DX447" s="978"/>
      <c r="DY447" s="978"/>
      <c r="DZ447" s="978"/>
      <c r="EA447" s="978"/>
      <c r="EB447" s="978"/>
      <c r="EC447" s="978"/>
      <c r="ED447" s="978"/>
      <c r="EE447" s="978"/>
      <c r="EF447" s="978"/>
      <c r="EG447" s="978"/>
      <c r="EH447" s="978"/>
      <c r="EI447" s="978"/>
      <c r="EJ447" s="978"/>
      <c r="EK447" s="978"/>
      <c r="EL447" s="978"/>
      <c r="EM447" s="978"/>
      <c r="EN447" s="978"/>
      <c r="EO447" s="978"/>
      <c r="EP447" s="978"/>
      <c r="EQ447" s="978"/>
      <c r="ER447" s="978"/>
      <c r="ES447" s="978"/>
      <c r="ET447" s="978"/>
      <c r="EU447" s="978"/>
      <c r="EV447" s="978"/>
      <c r="EW447" s="978"/>
      <c r="EX447" s="978"/>
      <c r="EY447" s="978"/>
      <c r="EZ447" s="978"/>
      <c r="FA447" s="978"/>
      <c r="FB447" s="978"/>
      <c r="FC447" s="978"/>
      <c r="FD447" s="978"/>
      <c r="FE447" s="978"/>
      <c r="FF447" s="978"/>
      <c r="FG447" s="978"/>
      <c r="FH447" s="978"/>
      <c r="FI447" s="978"/>
      <c r="FJ447" s="978"/>
      <c r="FK447" s="978"/>
      <c r="FL447" s="978"/>
      <c r="FM447" s="978"/>
      <c r="FN447" s="978"/>
      <c r="FO447" s="978"/>
      <c r="FP447" s="978"/>
      <c r="FQ447" s="978"/>
      <c r="FR447" s="978"/>
      <c r="FS447" s="978"/>
      <c r="FT447" s="978"/>
      <c r="FU447" s="978"/>
      <c r="FV447" s="978"/>
      <c r="FW447" s="978"/>
      <c r="FX447" s="978"/>
      <c r="FY447" s="978"/>
      <c r="FZ447" s="978"/>
      <c r="GA447" s="978"/>
      <c r="GB447" s="978"/>
      <c r="GC447" s="978"/>
      <c r="GD447" s="978"/>
      <c r="GE447" s="978"/>
      <c r="GF447" s="978"/>
      <c r="GG447" s="978"/>
      <c r="GH447" s="978"/>
      <c r="GI447" s="978"/>
      <c r="GJ447" s="978"/>
      <c r="GK447" s="978"/>
      <c r="GL447" s="978"/>
      <c r="GM447" s="978"/>
      <c r="GN447" s="978"/>
      <c r="GO447" s="978"/>
      <c r="GP447" s="978"/>
      <c r="GQ447" s="978"/>
      <c r="GR447" s="978"/>
      <c r="GS447" s="978"/>
      <c r="GT447" s="978"/>
      <c r="GU447" s="978"/>
      <c r="GV447" s="978"/>
      <c r="GW447" s="978"/>
      <c r="GX447" s="978"/>
      <c r="GY447" s="978"/>
      <c r="GZ447" s="978"/>
      <c r="HA447" s="978"/>
      <c r="HB447" s="978"/>
      <c r="HC447" s="978"/>
      <c r="HD447" s="978"/>
      <c r="HE447" s="978"/>
      <c r="HF447" s="978"/>
      <c r="HG447" s="978"/>
      <c r="HH447" s="978"/>
      <c r="HI447" s="978"/>
      <c r="HJ447" s="978"/>
      <c r="HK447" s="978"/>
      <c r="HL447" s="978"/>
      <c r="HM447" s="978"/>
      <c r="HN447" s="978"/>
      <c r="HO447" s="978"/>
      <c r="HP447" s="978"/>
      <c r="HQ447" s="978"/>
      <c r="HR447" s="978"/>
      <c r="HS447" s="978"/>
      <c r="HT447" s="978"/>
      <c r="HU447" s="978"/>
      <c r="HV447" s="978"/>
      <c r="HW447" s="978"/>
      <c r="HX447" s="978"/>
      <c r="HY447" s="978"/>
      <c r="HZ447" s="978"/>
      <c r="IA447" s="978"/>
      <c r="IB447" s="978"/>
      <c r="IC447" s="978"/>
      <c r="ID447" s="978"/>
      <c r="IE447" s="978"/>
      <c r="IF447" s="978"/>
      <c r="IG447" s="978"/>
      <c r="IH447" s="978"/>
      <c r="II447" s="978"/>
      <c r="IJ447" s="978"/>
      <c r="IK447" s="978"/>
      <c r="IL447" s="978"/>
      <c r="IM447" s="978"/>
      <c r="IN447" s="978"/>
      <c r="IO447" s="978"/>
      <c r="IP447" s="978"/>
      <c r="IQ447" s="978"/>
      <c r="IR447" s="978"/>
      <c r="IS447" s="978"/>
      <c r="IT447" s="978"/>
      <c r="IU447" s="978"/>
      <c r="IV447" s="978"/>
      <c r="IW447" s="978"/>
      <c r="IX447" s="978"/>
      <c r="IY447" s="978"/>
      <c r="IZ447" s="978"/>
      <c r="JA447" s="978"/>
      <c r="JB447" s="978"/>
      <c r="JC447" s="978"/>
      <c r="JD447" s="978"/>
      <c r="JE447" s="978"/>
      <c r="JF447" s="978"/>
      <c r="JG447" s="978"/>
      <c r="JH447" s="978"/>
      <c r="JI447" s="978"/>
      <c r="JJ447" s="978"/>
      <c r="JK447" s="978"/>
      <c r="JL447" s="978"/>
      <c r="JM447" s="978"/>
      <c r="JN447" s="978"/>
      <c r="JO447" s="978"/>
      <c r="JP447" s="978"/>
      <c r="JQ447" s="978"/>
      <c r="JR447" s="978"/>
      <c r="JS447" s="978"/>
      <c r="JT447" s="978"/>
      <c r="JU447" s="978"/>
      <c r="JV447" s="978"/>
      <c r="JW447" s="978"/>
      <c r="JX447" s="978"/>
      <c r="JY447" s="978"/>
      <c r="JZ447" s="978"/>
      <c r="KA447" s="978"/>
      <c r="KB447" s="978"/>
      <c r="KC447" s="978"/>
      <c r="KD447" s="978"/>
      <c r="KE447" s="978"/>
      <c r="KF447" s="978"/>
      <c r="KG447" s="978"/>
      <c r="KH447" s="978"/>
      <c r="KI447" s="978"/>
      <c r="KJ447" s="978"/>
      <c r="KK447" s="978"/>
      <c r="KL447" s="978"/>
      <c r="KM447" s="978"/>
      <c r="KN447" s="978"/>
      <c r="KO447" s="978"/>
      <c r="KP447" s="978"/>
      <c r="KQ447" s="978"/>
      <c r="KR447" s="978"/>
      <c r="KS447" s="978"/>
      <c r="KT447" s="978"/>
      <c r="KU447" s="978"/>
      <c r="KV447" s="978"/>
      <c r="KW447" s="978"/>
      <c r="KX447" s="978"/>
      <c r="KY447" s="978"/>
      <c r="KZ447" s="978"/>
      <c r="LA447" s="978"/>
      <c r="LB447" s="978"/>
      <c r="LC447" s="978"/>
      <c r="LD447" s="978"/>
      <c r="LE447" s="978"/>
      <c r="LF447" s="978"/>
      <c r="LG447" s="978"/>
      <c r="LH447" s="978"/>
      <c r="LI447" s="978"/>
      <c r="LJ447" s="978"/>
      <c r="LK447" s="978"/>
      <c r="LL447" s="978"/>
      <c r="LM447" s="978"/>
      <c r="LN447" s="978"/>
      <c r="LO447" s="978"/>
      <c r="LP447" s="978"/>
      <c r="LQ447" s="978"/>
      <c r="LR447" s="978"/>
      <c r="LS447" s="978"/>
      <c r="LT447" s="978"/>
      <c r="LU447" s="978"/>
      <c r="LV447" s="978"/>
      <c r="LW447" s="978"/>
      <c r="LX447" s="978"/>
      <c r="LY447" s="978"/>
      <c r="LZ447" s="978"/>
      <c r="MA447" s="978"/>
      <c r="MB447" s="978"/>
      <c r="MC447" s="978"/>
      <c r="MD447" s="978"/>
      <c r="ME447" s="978"/>
      <c r="MF447" s="978"/>
      <c r="MG447" s="978"/>
      <c r="MH447" s="978"/>
      <c r="MI447" s="978"/>
      <c r="MJ447" s="978"/>
      <c r="MK447" s="978"/>
      <c r="ML447" s="978"/>
      <c r="MM447" s="978"/>
      <c r="MN447" s="978"/>
      <c r="MO447" s="978"/>
      <c r="MP447" s="978"/>
      <c r="MQ447" s="978"/>
      <c r="MR447" s="978"/>
      <c r="MS447" s="978"/>
      <c r="MT447" s="978"/>
      <c r="MU447" s="978"/>
      <c r="MV447" s="978"/>
      <c r="MW447" s="978"/>
      <c r="MX447" s="978"/>
      <c r="MY447" s="978"/>
      <c r="MZ447" s="978"/>
      <c r="NA447" s="978"/>
      <c r="NB447" s="978"/>
      <c r="NC447" s="978"/>
      <c r="ND447" s="978"/>
      <c r="NE447" s="978"/>
      <c r="NF447" s="978"/>
      <c r="NG447" s="978"/>
      <c r="NH447" s="978"/>
      <c r="NI447" s="978"/>
      <c r="NJ447" s="978"/>
      <c r="NK447" s="978"/>
      <c r="NL447" s="978"/>
      <c r="NM447" s="978"/>
      <c r="NN447" s="978"/>
      <c r="NO447" s="978"/>
      <c r="NP447" s="978"/>
      <c r="NQ447" s="978"/>
      <c r="NR447" s="978"/>
      <c r="NS447" s="978"/>
      <c r="NT447" s="978"/>
      <c r="NU447" s="978"/>
      <c r="NV447" s="978"/>
      <c r="NW447" s="978"/>
      <c r="NX447" s="978"/>
      <c r="NY447" s="978"/>
      <c r="NZ447" s="978"/>
      <c r="OA447" s="978"/>
      <c r="OB447" s="978"/>
      <c r="OC447" s="978"/>
      <c r="OD447" s="978"/>
      <c r="OE447" s="978"/>
      <c r="OF447" s="978"/>
      <c r="OG447" s="978"/>
      <c r="OH447" s="978"/>
      <c r="OI447" s="978"/>
      <c r="OJ447" s="978"/>
      <c r="OK447" s="978"/>
      <c r="OL447" s="978"/>
      <c r="OM447" s="978"/>
      <c r="ON447" s="978"/>
      <c r="OO447" s="978"/>
      <c r="OP447" s="978"/>
      <c r="OQ447" s="978"/>
      <c r="OR447" s="978"/>
      <c r="OS447" s="978"/>
      <c r="OT447" s="978"/>
      <c r="OU447" s="978"/>
      <c r="OV447" s="978"/>
      <c r="OW447" s="978"/>
      <c r="OX447" s="978"/>
      <c r="OY447" s="978"/>
      <c r="OZ447" s="978"/>
      <c r="PA447" s="978"/>
      <c r="PB447" s="978"/>
      <c r="PC447" s="978"/>
      <c r="PD447" s="978"/>
      <c r="PE447" s="978"/>
      <c r="PF447" s="978"/>
      <c r="PG447" s="978"/>
      <c r="PH447" s="978"/>
      <c r="PI447" s="978"/>
      <c r="PJ447" s="978"/>
      <c r="PK447" s="978"/>
      <c r="PL447" s="978"/>
      <c r="PM447" s="978"/>
      <c r="PN447" s="978"/>
      <c r="PO447" s="978"/>
      <c r="PP447" s="978"/>
      <c r="PQ447" s="978"/>
      <c r="PR447" s="978"/>
      <c r="PS447" s="978"/>
      <c r="PT447" s="978"/>
      <c r="PU447" s="978"/>
      <c r="PV447" s="978"/>
      <c r="PW447" s="978"/>
      <c r="PX447" s="978"/>
      <c r="PY447" s="978"/>
      <c r="PZ447" s="978"/>
      <c r="QA447" s="978"/>
      <c r="QB447" s="978"/>
      <c r="QC447" s="978"/>
      <c r="QD447" s="978"/>
      <c r="QE447" s="978"/>
      <c r="QF447" s="978"/>
      <c r="QG447" s="978"/>
      <c r="QH447" s="978"/>
      <c r="QI447" s="978"/>
      <c r="QJ447" s="978"/>
      <c r="QK447" s="978"/>
      <c r="QL447" s="978"/>
      <c r="QM447" s="978"/>
      <c r="QN447" s="978"/>
      <c r="QO447" s="978"/>
      <c r="QP447" s="978"/>
      <c r="QQ447" s="978"/>
      <c r="QR447" s="978"/>
      <c r="QS447" s="978"/>
      <c r="QT447" s="978"/>
      <c r="QU447" s="978"/>
      <c r="QV447" s="978"/>
      <c r="QW447" s="978"/>
      <c r="QX447" s="978"/>
      <c r="QY447" s="978"/>
      <c r="QZ447" s="978"/>
      <c r="RA447" s="978"/>
      <c r="RB447" s="274"/>
      <c r="RC447" s="274"/>
    </row>
    <row r="448" spans="112:471" ht="17.25">
      <c r="DH448" s="274"/>
      <c r="DI448" s="274"/>
      <c r="DJ448" s="978"/>
      <c r="DK448" s="978"/>
      <c r="DL448" s="978"/>
      <c r="DM448" s="978"/>
      <c r="DN448" s="978"/>
      <c r="DO448" s="978"/>
      <c r="DP448" s="978"/>
      <c r="DQ448" s="978"/>
      <c r="DR448" s="978"/>
      <c r="DS448" s="978"/>
      <c r="DT448" s="978"/>
      <c r="DU448" s="978"/>
      <c r="DV448" s="978"/>
      <c r="DW448" s="978"/>
      <c r="DX448" s="978"/>
      <c r="DY448" s="978"/>
      <c r="DZ448" s="978"/>
      <c r="EA448" s="978"/>
      <c r="EB448" s="978"/>
      <c r="EC448" s="978"/>
      <c r="ED448" s="978"/>
      <c r="EE448" s="978"/>
      <c r="EF448" s="978"/>
      <c r="EG448" s="978"/>
      <c r="EH448" s="978"/>
      <c r="EI448" s="978"/>
      <c r="EJ448" s="978"/>
      <c r="EK448" s="978"/>
      <c r="EL448" s="978"/>
      <c r="EM448" s="978"/>
      <c r="EN448" s="978"/>
      <c r="EO448" s="978"/>
      <c r="EP448" s="978"/>
      <c r="EQ448" s="978"/>
      <c r="ER448" s="978"/>
      <c r="ES448" s="978"/>
      <c r="ET448" s="978"/>
      <c r="EU448" s="978"/>
      <c r="EV448" s="978"/>
      <c r="EW448" s="978"/>
      <c r="EX448" s="978"/>
      <c r="EY448" s="978"/>
      <c r="EZ448" s="978"/>
      <c r="FA448" s="978"/>
      <c r="FB448" s="978"/>
      <c r="FC448" s="978"/>
      <c r="FD448" s="978"/>
      <c r="FE448" s="978"/>
      <c r="FF448" s="978"/>
      <c r="FG448" s="978"/>
      <c r="FH448" s="978"/>
      <c r="FI448" s="978"/>
      <c r="FJ448" s="978"/>
      <c r="FK448" s="978"/>
      <c r="FL448" s="978"/>
      <c r="FM448" s="978"/>
      <c r="FN448" s="978"/>
      <c r="FO448" s="978"/>
      <c r="FP448" s="978"/>
      <c r="FQ448" s="978"/>
      <c r="FR448" s="978"/>
      <c r="FS448" s="978"/>
      <c r="FT448" s="978"/>
      <c r="FU448" s="978"/>
      <c r="FV448" s="978"/>
      <c r="FW448" s="978"/>
      <c r="FX448" s="978"/>
      <c r="FY448" s="978"/>
      <c r="FZ448" s="978"/>
      <c r="GA448" s="978"/>
      <c r="GB448" s="978"/>
      <c r="GC448" s="978"/>
      <c r="GD448" s="978"/>
      <c r="GE448" s="978"/>
      <c r="GF448" s="978"/>
      <c r="GG448" s="978"/>
      <c r="GH448" s="978"/>
      <c r="GI448" s="978"/>
      <c r="GJ448" s="978"/>
      <c r="GK448" s="978"/>
      <c r="GL448" s="978"/>
      <c r="GM448" s="978"/>
      <c r="GN448" s="978"/>
      <c r="GO448" s="978"/>
      <c r="GP448" s="978"/>
      <c r="GQ448" s="978"/>
      <c r="GR448" s="978"/>
      <c r="GS448" s="978"/>
      <c r="GT448" s="978"/>
      <c r="GU448" s="978"/>
      <c r="GV448" s="978"/>
      <c r="GW448" s="978"/>
      <c r="GX448" s="978"/>
      <c r="GY448" s="978"/>
      <c r="GZ448" s="978"/>
      <c r="HA448" s="978"/>
      <c r="HB448" s="978"/>
      <c r="HC448" s="978"/>
      <c r="HD448" s="978"/>
      <c r="HE448" s="978"/>
      <c r="HF448" s="978"/>
      <c r="HG448" s="978"/>
      <c r="HH448" s="978"/>
      <c r="HI448" s="978"/>
      <c r="HJ448" s="978"/>
      <c r="HK448" s="978"/>
      <c r="HL448" s="978"/>
      <c r="HM448" s="978"/>
      <c r="HN448" s="978"/>
      <c r="HO448" s="978"/>
      <c r="HP448" s="978"/>
      <c r="HQ448" s="978"/>
      <c r="HR448" s="978"/>
      <c r="HS448" s="978"/>
      <c r="HT448" s="978"/>
      <c r="HU448" s="978"/>
      <c r="HV448" s="978"/>
      <c r="HW448" s="978"/>
      <c r="HX448" s="978"/>
      <c r="HY448" s="978"/>
      <c r="HZ448" s="978"/>
      <c r="IA448" s="978"/>
      <c r="IB448" s="978"/>
      <c r="IC448" s="978"/>
      <c r="ID448" s="978"/>
      <c r="IE448" s="978"/>
      <c r="IF448" s="978"/>
      <c r="IG448" s="978"/>
      <c r="IH448" s="978"/>
      <c r="II448" s="978"/>
      <c r="IJ448" s="978"/>
      <c r="IK448" s="978"/>
      <c r="IL448" s="978"/>
      <c r="IM448" s="978"/>
      <c r="IN448" s="978"/>
      <c r="IO448" s="978"/>
      <c r="IP448" s="978"/>
      <c r="IQ448" s="978"/>
      <c r="IR448" s="978"/>
      <c r="IS448" s="978"/>
      <c r="IT448" s="978"/>
      <c r="IU448" s="978"/>
      <c r="IV448" s="978"/>
      <c r="IW448" s="978"/>
      <c r="IX448" s="978"/>
      <c r="IY448" s="978"/>
      <c r="IZ448" s="978"/>
      <c r="JA448" s="978"/>
      <c r="JB448" s="978"/>
      <c r="JC448" s="978"/>
      <c r="JD448" s="978"/>
      <c r="JE448" s="978"/>
      <c r="JF448" s="978"/>
      <c r="JG448" s="978"/>
      <c r="JH448" s="978"/>
      <c r="JI448" s="978"/>
      <c r="JJ448" s="978"/>
      <c r="JK448" s="978"/>
      <c r="JL448" s="978"/>
      <c r="JM448" s="978"/>
      <c r="JN448" s="978"/>
      <c r="JO448" s="978"/>
      <c r="JP448" s="978"/>
      <c r="JQ448" s="978"/>
      <c r="JR448" s="978"/>
      <c r="JS448" s="978"/>
      <c r="JT448" s="978"/>
      <c r="JU448" s="978"/>
      <c r="JV448" s="978"/>
      <c r="JW448" s="978"/>
      <c r="JX448" s="978"/>
      <c r="JY448" s="978"/>
      <c r="JZ448" s="978"/>
      <c r="KA448" s="978"/>
      <c r="KB448" s="978"/>
      <c r="KC448" s="978"/>
      <c r="KD448" s="978"/>
      <c r="KE448" s="978"/>
      <c r="KF448" s="978"/>
      <c r="KG448" s="978"/>
      <c r="KH448" s="978"/>
      <c r="KI448" s="978"/>
      <c r="KJ448" s="978"/>
      <c r="KK448" s="978"/>
      <c r="KL448" s="978"/>
      <c r="KM448" s="978"/>
      <c r="KN448" s="978"/>
      <c r="KO448" s="978"/>
      <c r="KP448" s="978"/>
      <c r="KQ448" s="978"/>
      <c r="KR448" s="978"/>
      <c r="KS448" s="978"/>
      <c r="KT448" s="978"/>
      <c r="KU448" s="978"/>
      <c r="KV448" s="978"/>
      <c r="KW448" s="978"/>
      <c r="KX448" s="978"/>
      <c r="KY448" s="978"/>
      <c r="KZ448" s="978"/>
      <c r="LA448" s="978"/>
      <c r="LB448" s="978"/>
      <c r="LC448" s="978"/>
      <c r="LD448" s="978"/>
      <c r="LE448" s="978"/>
      <c r="LF448" s="978"/>
      <c r="LG448" s="978"/>
      <c r="LH448" s="978"/>
      <c r="LI448" s="978"/>
      <c r="LJ448" s="978"/>
      <c r="LK448" s="978"/>
      <c r="LL448" s="978"/>
      <c r="LM448" s="978"/>
      <c r="LN448" s="978"/>
      <c r="LO448" s="978"/>
      <c r="LP448" s="978"/>
      <c r="LQ448" s="978"/>
      <c r="LR448" s="978"/>
      <c r="LS448" s="978"/>
      <c r="LT448" s="978"/>
      <c r="LU448" s="978"/>
      <c r="LV448" s="978"/>
      <c r="LW448" s="978"/>
      <c r="LX448" s="978"/>
      <c r="LY448" s="978"/>
      <c r="LZ448" s="978"/>
      <c r="MA448" s="978"/>
      <c r="MB448" s="978"/>
      <c r="MC448" s="978"/>
      <c r="MD448" s="978"/>
      <c r="ME448" s="978"/>
      <c r="MF448" s="978"/>
      <c r="MG448" s="978"/>
      <c r="MH448" s="978"/>
      <c r="MI448" s="978"/>
      <c r="MJ448" s="978"/>
      <c r="MK448" s="978"/>
      <c r="ML448" s="978"/>
      <c r="MM448" s="978"/>
      <c r="MN448" s="978"/>
      <c r="MO448" s="978"/>
      <c r="MP448" s="978"/>
      <c r="MQ448" s="978"/>
      <c r="MR448" s="978"/>
      <c r="MS448" s="978"/>
      <c r="MT448" s="978"/>
      <c r="MU448" s="978"/>
      <c r="MV448" s="978"/>
      <c r="MW448" s="978"/>
      <c r="MX448" s="978"/>
      <c r="MY448" s="978"/>
      <c r="MZ448" s="978"/>
      <c r="NA448" s="978"/>
      <c r="NB448" s="978"/>
      <c r="NC448" s="978"/>
      <c r="ND448" s="978"/>
      <c r="NE448" s="978"/>
      <c r="NF448" s="978"/>
      <c r="NG448" s="978"/>
      <c r="NH448" s="978"/>
      <c r="NI448" s="978"/>
      <c r="NJ448" s="978"/>
      <c r="NK448" s="978"/>
      <c r="NL448" s="978"/>
      <c r="NM448" s="978"/>
      <c r="NN448" s="978"/>
      <c r="NO448" s="978"/>
      <c r="NP448" s="978"/>
      <c r="NQ448" s="978"/>
      <c r="NR448" s="978"/>
      <c r="NS448" s="978"/>
      <c r="NT448" s="978"/>
      <c r="NU448" s="978"/>
      <c r="NV448" s="978"/>
      <c r="NW448" s="978"/>
      <c r="NX448" s="978"/>
      <c r="NY448" s="978"/>
      <c r="NZ448" s="978"/>
      <c r="OA448" s="978"/>
      <c r="OB448" s="978"/>
      <c r="OC448" s="978"/>
      <c r="OD448" s="978"/>
      <c r="OE448" s="978"/>
      <c r="OF448" s="978"/>
      <c r="OG448" s="978"/>
      <c r="OH448" s="978"/>
      <c r="OI448" s="978"/>
      <c r="OJ448" s="978"/>
      <c r="OK448" s="978"/>
      <c r="OL448" s="978"/>
      <c r="OM448" s="978"/>
      <c r="ON448" s="978"/>
      <c r="OO448" s="978"/>
      <c r="OP448" s="978"/>
      <c r="OQ448" s="978"/>
      <c r="OR448" s="978"/>
      <c r="OS448" s="978"/>
      <c r="OT448" s="978"/>
      <c r="OU448" s="978"/>
      <c r="OV448" s="978"/>
      <c r="OW448" s="978"/>
      <c r="OX448" s="978"/>
      <c r="OY448" s="978"/>
      <c r="OZ448" s="978"/>
      <c r="PA448" s="978"/>
      <c r="PB448" s="978"/>
      <c r="PC448" s="978"/>
      <c r="PD448" s="978"/>
      <c r="PE448" s="978"/>
      <c r="PF448" s="978"/>
      <c r="PG448" s="978"/>
      <c r="PH448" s="978"/>
      <c r="PI448" s="978"/>
      <c r="PJ448" s="978"/>
      <c r="PK448" s="978"/>
      <c r="PL448" s="978"/>
      <c r="PM448" s="978"/>
      <c r="PN448" s="978"/>
      <c r="PO448" s="978"/>
      <c r="PP448" s="978"/>
      <c r="PQ448" s="978"/>
      <c r="PR448" s="978"/>
      <c r="PS448" s="978"/>
      <c r="PT448" s="978"/>
      <c r="PU448" s="978"/>
      <c r="PV448" s="978"/>
      <c r="PW448" s="978"/>
      <c r="PX448" s="978"/>
      <c r="PY448" s="978"/>
      <c r="PZ448" s="978"/>
      <c r="QA448" s="978"/>
      <c r="QB448" s="978"/>
      <c r="QC448" s="978"/>
      <c r="QD448" s="978"/>
      <c r="QE448" s="978"/>
      <c r="QF448" s="978"/>
      <c r="QG448" s="978"/>
      <c r="QH448" s="978"/>
      <c r="QI448" s="978"/>
      <c r="QJ448" s="978"/>
      <c r="QK448" s="978"/>
      <c r="QL448" s="978"/>
      <c r="QM448" s="978"/>
      <c r="QN448" s="978"/>
      <c r="QO448" s="978"/>
      <c r="QP448" s="978"/>
      <c r="QQ448" s="978"/>
      <c r="QR448" s="978"/>
      <c r="QS448" s="978"/>
      <c r="QT448" s="978"/>
      <c r="QU448" s="978"/>
      <c r="QV448" s="978"/>
      <c r="QW448" s="978"/>
      <c r="QX448" s="978"/>
      <c r="QY448" s="978"/>
      <c r="QZ448" s="978"/>
      <c r="RA448" s="978"/>
      <c r="RB448" s="274"/>
      <c r="RC448" s="274"/>
    </row>
    <row r="449" spans="112:471" ht="17.25">
      <c r="DH449" s="274"/>
      <c r="DI449" s="274"/>
      <c r="DJ449" s="978"/>
      <c r="DK449" s="978"/>
      <c r="DL449" s="978"/>
      <c r="DM449" s="978"/>
      <c r="DN449" s="978"/>
      <c r="DO449" s="978"/>
      <c r="DP449" s="978"/>
      <c r="DQ449" s="978"/>
      <c r="DR449" s="978"/>
      <c r="DS449" s="978"/>
      <c r="DT449" s="978"/>
      <c r="DU449" s="978"/>
      <c r="DV449" s="978"/>
      <c r="DW449" s="978"/>
      <c r="DX449" s="978"/>
      <c r="DY449" s="978"/>
      <c r="DZ449" s="978"/>
      <c r="EA449" s="978"/>
      <c r="EB449" s="978"/>
      <c r="EC449" s="978"/>
      <c r="ED449" s="978"/>
      <c r="EE449" s="978"/>
      <c r="EF449" s="978"/>
      <c r="EG449" s="978"/>
      <c r="EH449" s="978"/>
      <c r="EI449" s="978"/>
      <c r="EJ449" s="978"/>
      <c r="EK449" s="978"/>
      <c r="EL449" s="978"/>
      <c r="EM449" s="978"/>
      <c r="EN449" s="978"/>
      <c r="EO449" s="978"/>
      <c r="EP449" s="978"/>
      <c r="EQ449" s="978"/>
      <c r="ER449" s="978"/>
      <c r="ES449" s="978"/>
      <c r="ET449" s="978"/>
      <c r="EU449" s="978"/>
      <c r="EV449" s="978"/>
      <c r="EW449" s="978"/>
      <c r="EX449" s="978"/>
      <c r="EY449" s="978"/>
      <c r="EZ449" s="978"/>
      <c r="FA449" s="978"/>
      <c r="FB449" s="978"/>
      <c r="FC449" s="978"/>
      <c r="FD449" s="978"/>
      <c r="FE449" s="978"/>
      <c r="FF449" s="978"/>
      <c r="FG449" s="978"/>
      <c r="FH449" s="978"/>
      <c r="FI449" s="978"/>
      <c r="FJ449" s="978"/>
      <c r="FK449" s="978"/>
      <c r="FL449" s="978"/>
      <c r="FM449" s="978"/>
      <c r="FN449" s="978"/>
      <c r="FO449" s="978"/>
      <c r="FP449" s="978"/>
      <c r="FQ449" s="978"/>
      <c r="FR449" s="978"/>
      <c r="FS449" s="978"/>
      <c r="FT449" s="978"/>
      <c r="FU449" s="978"/>
      <c r="FV449" s="978"/>
      <c r="FW449" s="978"/>
      <c r="FX449" s="978"/>
      <c r="FY449" s="978"/>
      <c r="FZ449" s="978"/>
      <c r="GA449" s="978"/>
      <c r="GB449" s="978"/>
      <c r="GC449" s="978"/>
      <c r="GD449" s="978"/>
      <c r="GE449" s="978"/>
      <c r="GF449" s="978"/>
      <c r="GG449" s="978"/>
      <c r="GH449" s="978"/>
      <c r="GI449" s="978"/>
      <c r="GJ449" s="978"/>
      <c r="GK449" s="978"/>
      <c r="GL449" s="978"/>
      <c r="GM449" s="978"/>
      <c r="GN449" s="978"/>
      <c r="GO449" s="978"/>
      <c r="GP449" s="978"/>
      <c r="GQ449" s="978"/>
      <c r="GR449" s="978"/>
      <c r="GS449" s="978"/>
      <c r="GT449" s="978"/>
      <c r="GU449" s="978"/>
      <c r="GV449" s="978"/>
      <c r="GW449" s="978"/>
      <c r="GX449" s="978"/>
      <c r="GY449" s="978"/>
      <c r="GZ449" s="978"/>
      <c r="HA449" s="978"/>
      <c r="HB449" s="978"/>
      <c r="HC449" s="978"/>
      <c r="HD449" s="978"/>
      <c r="HE449" s="978"/>
      <c r="HF449" s="978"/>
      <c r="HG449" s="978"/>
      <c r="HH449" s="978"/>
      <c r="HI449" s="978"/>
      <c r="HJ449" s="978"/>
      <c r="HK449" s="978"/>
      <c r="HL449" s="978"/>
      <c r="HM449" s="978"/>
      <c r="HN449" s="978"/>
      <c r="HO449" s="978"/>
      <c r="HP449" s="978"/>
      <c r="HQ449" s="978"/>
      <c r="HR449" s="978"/>
      <c r="HS449" s="978"/>
      <c r="HT449" s="978"/>
      <c r="HU449" s="978"/>
      <c r="HV449" s="978"/>
      <c r="HW449" s="978"/>
      <c r="HX449" s="978"/>
      <c r="HY449" s="978"/>
      <c r="HZ449" s="978"/>
      <c r="IA449" s="978"/>
      <c r="IB449" s="978"/>
      <c r="IC449" s="978"/>
      <c r="ID449" s="978"/>
      <c r="IE449" s="978"/>
      <c r="IF449" s="978"/>
      <c r="IG449" s="978"/>
      <c r="IH449" s="978"/>
      <c r="II449" s="978"/>
      <c r="IJ449" s="978"/>
      <c r="IK449" s="978"/>
      <c r="IL449" s="978"/>
      <c r="IM449" s="978"/>
      <c r="IN449" s="978"/>
      <c r="IO449" s="978"/>
      <c r="IP449" s="978"/>
      <c r="IQ449" s="978"/>
      <c r="IR449" s="978"/>
      <c r="IS449" s="978"/>
      <c r="IT449" s="978"/>
      <c r="IU449" s="978"/>
      <c r="IV449" s="978"/>
      <c r="IW449" s="978"/>
      <c r="IX449" s="978"/>
      <c r="IY449" s="978"/>
      <c r="IZ449" s="978"/>
      <c r="JA449" s="978"/>
      <c r="JB449" s="978"/>
      <c r="JC449" s="978"/>
      <c r="JD449" s="978"/>
      <c r="JE449" s="978"/>
      <c r="JF449" s="978"/>
      <c r="JG449" s="978"/>
      <c r="JH449" s="978"/>
      <c r="JI449" s="978"/>
      <c r="JJ449" s="978"/>
      <c r="JK449" s="978"/>
      <c r="JL449" s="978"/>
      <c r="JM449" s="978"/>
      <c r="JN449" s="978"/>
      <c r="JO449" s="978"/>
      <c r="JP449" s="978"/>
      <c r="JQ449" s="978"/>
      <c r="JR449" s="978"/>
      <c r="JS449" s="978"/>
      <c r="JT449" s="978"/>
      <c r="JU449" s="978"/>
      <c r="JV449" s="978"/>
      <c r="JW449" s="978"/>
      <c r="JX449" s="978"/>
      <c r="JY449" s="978"/>
      <c r="JZ449" s="978"/>
      <c r="KA449" s="978"/>
      <c r="KB449" s="978"/>
      <c r="KC449" s="978"/>
      <c r="KD449" s="978"/>
      <c r="KE449" s="978"/>
      <c r="KF449" s="978"/>
      <c r="KG449" s="978"/>
      <c r="KH449" s="978"/>
      <c r="KI449" s="978"/>
      <c r="KJ449" s="978"/>
      <c r="KK449" s="978"/>
      <c r="KL449" s="978"/>
      <c r="KM449" s="978"/>
      <c r="KN449" s="978"/>
      <c r="KO449" s="978"/>
      <c r="KP449" s="978"/>
      <c r="KQ449" s="978"/>
      <c r="KR449" s="978"/>
      <c r="KS449" s="978"/>
      <c r="KT449" s="978"/>
      <c r="KU449" s="978"/>
      <c r="KV449" s="978"/>
      <c r="KW449" s="978"/>
      <c r="KX449" s="978"/>
      <c r="KY449" s="978"/>
      <c r="KZ449" s="978"/>
      <c r="LA449" s="978"/>
      <c r="LB449" s="978"/>
      <c r="LC449" s="978"/>
      <c r="LD449" s="978"/>
      <c r="LE449" s="978"/>
      <c r="LF449" s="978"/>
      <c r="LG449" s="978"/>
      <c r="LH449" s="978"/>
      <c r="LI449" s="978"/>
      <c r="LJ449" s="978"/>
      <c r="LK449" s="978"/>
      <c r="LL449" s="978"/>
      <c r="LM449" s="978"/>
      <c r="LN449" s="978"/>
      <c r="LO449" s="978"/>
      <c r="LP449" s="978"/>
      <c r="LQ449" s="978"/>
      <c r="LR449" s="978"/>
      <c r="LS449" s="978"/>
      <c r="LT449" s="978"/>
      <c r="LU449" s="978"/>
      <c r="LV449" s="978"/>
      <c r="LW449" s="978"/>
      <c r="LX449" s="978"/>
      <c r="LY449" s="978"/>
      <c r="LZ449" s="978"/>
      <c r="MA449" s="978"/>
      <c r="MB449" s="978"/>
      <c r="MC449" s="978"/>
      <c r="MD449" s="978"/>
      <c r="ME449" s="978"/>
      <c r="MF449" s="978"/>
      <c r="MG449" s="978"/>
      <c r="MH449" s="978"/>
      <c r="MI449" s="978"/>
      <c r="MJ449" s="978"/>
      <c r="MK449" s="978"/>
      <c r="ML449" s="978"/>
      <c r="MM449" s="978"/>
      <c r="MN449" s="978"/>
      <c r="MO449" s="978"/>
      <c r="MP449" s="978"/>
      <c r="MQ449" s="978"/>
      <c r="MR449" s="978"/>
      <c r="MS449" s="978"/>
      <c r="MT449" s="978"/>
      <c r="MU449" s="978"/>
      <c r="MV449" s="978"/>
      <c r="MW449" s="978"/>
      <c r="MX449" s="978"/>
      <c r="MY449" s="978"/>
      <c r="MZ449" s="978"/>
      <c r="NA449" s="978"/>
      <c r="NB449" s="978"/>
      <c r="NC449" s="978"/>
      <c r="ND449" s="978"/>
      <c r="NE449" s="978"/>
      <c r="NF449" s="978"/>
      <c r="NG449" s="978"/>
      <c r="NH449" s="978"/>
      <c r="NI449" s="978"/>
      <c r="NJ449" s="978"/>
      <c r="NK449" s="978"/>
      <c r="NL449" s="978"/>
      <c r="NM449" s="978"/>
      <c r="NN449" s="978"/>
      <c r="NO449" s="978"/>
      <c r="NP449" s="978"/>
      <c r="NQ449" s="978"/>
      <c r="NR449" s="978"/>
      <c r="NS449" s="978"/>
      <c r="NT449" s="978"/>
      <c r="NU449" s="978"/>
      <c r="NV449" s="978"/>
      <c r="NW449" s="978"/>
      <c r="NX449" s="978"/>
      <c r="NY449" s="978"/>
      <c r="NZ449" s="978"/>
      <c r="OA449" s="978"/>
      <c r="OB449" s="978"/>
      <c r="OC449" s="978"/>
      <c r="OD449" s="978"/>
      <c r="OE449" s="978"/>
      <c r="OF449" s="978"/>
      <c r="OG449" s="978"/>
      <c r="OH449" s="978"/>
      <c r="OI449" s="978"/>
      <c r="OJ449" s="978"/>
      <c r="OK449" s="978"/>
      <c r="OL449" s="978"/>
      <c r="OM449" s="978"/>
      <c r="ON449" s="978"/>
      <c r="OO449" s="978"/>
      <c r="OP449" s="978"/>
      <c r="OQ449" s="978"/>
      <c r="OR449" s="978"/>
      <c r="OS449" s="978"/>
      <c r="OT449" s="978"/>
      <c r="OU449" s="978"/>
      <c r="OV449" s="978"/>
      <c r="OW449" s="978"/>
      <c r="OX449" s="978"/>
      <c r="OY449" s="978"/>
      <c r="OZ449" s="978"/>
      <c r="PA449" s="978"/>
      <c r="PB449" s="978"/>
      <c r="PC449" s="978"/>
      <c r="PD449" s="978"/>
      <c r="PE449" s="978"/>
      <c r="PF449" s="978"/>
      <c r="PG449" s="978"/>
      <c r="PH449" s="978"/>
      <c r="PI449" s="978"/>
      <c r="PJ449" s="978"/>
      <c r="PK449" s="978"/>
      <c r="PL449" s="978"/>
      <c r="PM449" s="978"/>
      <c r="PN449" s="978"/>
      <c r="PO449" s="978"/>
      <c r="PP449" s="978"/>
      <c r="PQ449" s="978"/>
      <c r="PR449" s="978"/>
      <c r="PS449" s="978"/>
      <c r="PT449" s="978"/>
      <c r="PU449" s="978"/>
      <c r="PV449" s="978"/>
      <c r="PW449" s="978"/>
      <c r="PX449" s="978"/>
      <c r="PY449" s="978"/>
      <c r="PZ449" s="978"/>
      <c r="QA449" s="978"/>
      <c r="QB449" s="978"/>
      <c r="QC449" s="978"/>
      <c r="QD449" s="978"/>
      <c r="QE449" s="978"/>
      <c r="QF449" s="978"/>
      <c r="QG449" s="978"/>
      <c r="QH449" s="978"/>
      <c r="QI449" s="978"/>
      <c r="QJ449" s="978"/>
      <c r="QK449" s="978"/>
      <c r="QL449" s="978"/>
      <c r="QM449" s="978"/>
      <c r="QN449" s="978"/>
      <c r="QO449" s="978"/>
      <c r="QP449" s="978"/>
      <c r="QQ449" s="978"/>
      <c r="QR449" s="978"/>
      <c r="QS449" s="978"/>
      <c r="QT449" s="978"/>
      <c r="QU449" s="978"/>
      <c r="QV449" s="978"/>
      <c r="QW449" s="978"/>
      <c r="QX449" s="978"/>
      <c r="QY449" s="978"/>
      <c r="QZ449" s="978"/>
      <c r="RA449" s="978"/>
      <c r="RB449" s="274"/>
      <c r="RC449" s="274"/>
    </row>
    <row r="450" spans="112:471">
      <c r="DH450" s="274"/>
      <c r="DI450" s="274"/>
      <c r="DJ450" s="274"/>
      <c r="DK450" s="274"/>
      <c r="DL450" s="274"/>
      <c r="DM450" s="274"/>
      <c r="DN450" s="274"/>
      <c r="DO450" s="274"/>
      <c r="DP450" s="274"/>
      <c r="DQ450" s="274"/>
      <c r="DR450" s="274"/>
      <c r="DS450" s="274"/>
      <c r="DT450" s="274"/>
      <c r="DU450" s="274"/>
      <c r="DV450" s="274"/>
      <c r="DW450" s="274"/>
      <c r="DX450" s="274"/>
      <c r="DY450" s="274"/>
      <c r="DZ450" s="274"/>
      <c r="EA450" s="274"/>
      <c r="EB450" s="274"/>
      <c r="EC450" s="274"/>
      <c r="ED450" s="274"/>
      <c r="EE450" s="274"/>
      <c r="EF450" s="274"/>
      <c r="EG450" s="274"/>
      <c r="EH450" s="274"/>
      <c r="EI450" s="274"/>
      <c r="EJ450" s="274"/>
      <c r="EK450" s="274"/>
      <c r="EL450" s="274"/>
      <c r="EM450" s="274"/>
      <c r="EN450" s="274"/>
      <c r="EO450" s="274"/>
      <c r="EP450" s="274"/>
      <c r="EQ450" s="274"/>
      <c r="ER450" s="274"/>
      <c r="ES450" s="274"/>
      <c r="ET450" s="274"/>
      <c r="EU450" s="274"/>
      <c r="EV450" s="274"/>
      <c r="EW450" s="274"/>
      <c r="EX450" s="274"/>
      <c r="EY450" s="274"/>
      <c r="EZ450" s="274"/>
      <c r="FA450" s="274"/>
      <c r="FB450" s="274"/>
      <c r="FC450" s="274"/>
      <c r="FD450" s="274"/>
      <c r="FE450" s="274"/>
      <c r="FF450" s="274"/>
      <c r="FG450" s="274"/>
      <c r="FH450" s="274"/>
      <c r="FI450" s="274"/>
      <c r="FJ450" s="274"/>
      <c r="FK450" s="274"/>
      <c r="FL450" s="274"/>
      <c r="FM450" s="274"/>
      <c r="FN450" s="274"/>
      <c r="FO450" s="274"/>
      <c r="FP450" s="274"/>
      <c r="FQ450" s="274"/>
      <c r="FR450" s="274"/>
      <c r="FS450" s="274"/>
      <c r="FT450" s="274"/>
      <c r="FU450" s="274"/>
      <c r="FV450" s="274"/>
      <c r="FW450" s="274"/>
      <c r="FX450" s="274"/>
      <c r="FY450" s="274"/>
      <c r="FZ450" s="274"/>
      <c r="GA450" s="274"/>
      <c r="GB450" s="274"/>
      <c r="GC450" s="274"/>
      <c r="GD450" s="274"/>
      <c r="GE450" s="274"/>
      <c r="GF450" s="274"/>
      <c r="GG450" s="274"/>
      <c r="GH450" s="274"/>
      <c r="GI450" s="274"/>
      <c r="GJ450" s="274"/>
      <c r="GK450" s="274"/>
      <c r="GL450" s="274"/>
      <c r="GM450" s="274"/>
      <c r="GN450" s="274"/>
      <c r="GO450" s="274"/>
      <c r="GP450" s="274"/>
      <c r="GQ450" s="274"/>
      <c r="GR450" s="274"/>
      <c r="GS450" s="274"/>
      <c r="GT450" s="274"/>
      <c r="GU450" s="274"/>
      <c r="GV450" s="274"/>
      <c r="GW450" s="274"/>
      <c r="GX450" s="274"/>
      <c r="GY450" s="274"/>
      <c r="GZ450" s="274"/>
      <c r="HA450" s="274"/>
      <c r="HB450" s="274"/>
      <c r="HC450" s="274"/>
      <c r="HD450" s="274"/>
      <c r="HE450" s="274"/>
      <c r="HF450" s="274"/>
      <c r="HG450" s="274"/>
      <c r="HH450" s="274"/>
      <c r="HI450" s="274"/>
      <c r="HJ450" s="274"/>
      <c r="HK450" s="274"/>
      <c r="HL450" s="274"/>
      <c r="HM450" s="274"/>
      <c r="HN450" s="274"/>
      <c r="HO450" s="274"/>
      <c r="HP450" s="274"/>
      <c r="HQ450" s="274"/>
      <c r="HR450" s="274"/>
      <c r="HS450" s="274"/>
      <c r="HT450" s="274"/>
      <c r="HU450" s="274"/>
      <c r="HV450" s="274"/>
      <c r="HW450" s="274"/>
      <c r="HX450" s="274"/>
      <c r="HY450" s="274"/>
      <c r="HZ450" s="274"/>
      <c r="IA450" s="274"/>
      <c r="IB450" s="274"/>
      <c r="IC450" s="274"/>
      <c r="ID450" s="274"/>
      <c r="IE450" s="274"/>
      <c r="IF450" s="274"/>
      <c r="IG450" s="274"/>
      <c r="IH450" s="274"/>
      <c r="II450" s="274"/>
      <c r="IJ450" s="274"/>
      <c r="IK450" s="274"/>
      <c r="IL450" s="274"/>
      <c r="IM450" s="274"/>
      <c r="IN450" s="274"/>
      <c r="IO450" s="274"/>
      <c r="IP450" s="274"/>
      <c r="IQ450" s="274"/>
      <c r="IR450" s="274"/>
      <c r="IS450" s="274"/>
      <c r="IT450" s="274"/>
      <c r="IU450" s="274"/>
      <c r="IV450" s="274"/>
      <c r="IW450" s="274"/>
      <c r="IX450" s="274"/>
      <c r="IY450" s="274"/>
      <c r="IZ450" s="274"/>
      <c r="JA450" s="274"/>
      <c r="JB450" s="274"/>
      <c r="JC450" s="274"/>
      <c r="JD450" s="274"/>
      <c r="JE450" s="274"/>
      <c r="JF450" s="274"/>
      <c r="JG450" s="274"/>
      <c r="JH450" s="274"/>
      <c r="JI450" s="274"/>
      <c r="JJ450" s="274"/>
      <c r="JK450" s="274"/>
      <c r="JL450" s="274"/>
      <c r="JM450" s="274"/>
      <c r="JN450" s="274"/>
      <c r="JO450" s="274"/>
      <c r="JP450" s="274"/>
      <c r="JQ450" s="274"/>
      <c r="JR450" s="274"/>
      <c r="JS450" s="274"/>
      <c r="JT450" s="274"/>
      <c r="JU450" s="274"/>
      <c r="JV450" s="274"/>
      <c r="JW450" s="274"/>
      <c r="JX450" s="274"/>
      <c r="JY450" s="274"/>
      <c r="JZ450" s="274"/>
      <c r="KA450" s="274"/>
      <c r="KB450" s="274"/>
      <c r="KC450" s="274"/>
      <c r="KD450" s="274"/>
      <c r="KE450" s="274"/>
      <c r="KF450" s="274"/>
      <c r="KG450" s="274"/>
      <c r="KH450" s="274"/>
      <c r="KI450" s="274"/>
      <c r="KJ450" s="274"/>
      <c r="KK450" s="274"/>
      <c r="KL450" s="274"/>
      <c r="KM450" s="274"/>
      <c r="KN450" s="274"/>
      <c r="KO450" s="274"/>
      <c r="KP450" s="274"/>
      <c r="KQ450" s="274"/>
      <c r="KR450" s="274"/>
      <c r="KS450" s="274"/>
      <c r="KT450" s="274"/>
      <c r="KU450" s="274"/>
      <c r="KV450" s="274"/>
      <c r="KW450" s="274"/>
      <c r="KX450" s="274"/>
      <c r="KY450" s="274"/>
      <c r="KZ450" s="274"/>
      <c r="LA450" s="274"/>
      <c r="LB450" s="274"/>
      <c r="LC450" s="274"/>
      <c r="LD450" s="274"/>
      <c r="LE450" s="274"/>
      <c r="LF450" s="274"/>
      <c r="LG450" s="274"/>
      <c r="LH450" s="274"/>
      <c r="LI450" s="274"/>
      <c r="LJ450" s="274"/>
      <c r="LK450" s="274"/>
      <c r="LL450" s="274"/>
      <c r="LM450" s="274"/>
      <c r="LN450" s="274"/>
      <c r="LO450" s="274"/>
      <c r="LP450" s="274"/>
      <c r="LQ450" s="274"/>
      <c r="LR450" s="274"/>
      <c r="LS450" s="274"/>
      <c r="LT450" s="274"/>
      <c r="LU450" s="274"/>
      <c r="LV450" s="274"/>
      <c r="LW450" s="274"/>
      <c r="LX450" s="274"/>
      <c r="LY450" s="274"/>
      <c r="LZ450" s="274"/>
      <c r="MA450" s="274"/>
      <c r="MB450" s="274"/>
      <c r="MC450" s="274"/>
      <c r="MD450" s="274"/>
      <c r="ME450" s="274"/>
      <c r="MF450" s="274"/>
      <c r="MG450" s="274"/>
      <c r="MH450" s="274"/>
      <c r="MI450" s="274"/>
      <c r="MJ450" s="274"/>
      <c r="MK450" s="274"/>
      <c r="ML450" s="274"/>
      <c r="MM450" s="274"/>
      <c r="MN450" s="274"/>
      <c r="MO450" s="274"/>
      <c r="MP450" s="274"/>
      <c r="MQ450" s="274"/>
      <c r="MR450" s="274"/>
      <c r="MS450" s="274"/>
      <c r="MT450" s="274"/>
      <c r="MU450" s="274"/>
      <c r="MV450" s="274"/>
      <c r="MW450" s="274"/>
      <c r="MX450" s="274"/>
      <c r="MY450" s="274"/>
      <c r="MZ450" s="274"/>
      <c r="NA450" s="274"/>
      <c r="NB450" s="274"/>
      <c r="NC450" s="274"/>
      <c r="ND450" s="274"/>
      <c r="NE450" s="274"/>
      <c r="NF450" s="274"/>
      <c r="NG450" s="274"/>
      <c r="NH450" s="274"/>
      <c r="NI450" s="274"/>
      <c r="NJ450" s="274"/>
      <c r="NK450" s="274"/>
      <c r="NL450" s="274"/>
      <c r="NM450" s="274"/>
      <c r="NN450" s="274"/>
      <c r="NO450" s="274"/>
      <c r="NP450" s="274"/>
      <c r="NQ450" s="274"/>
      <c r="NR450" s="274"/>
      <c r="NS450" s="274"/>
      <c r="NT450" s="274"/>
      <c r="NU450" s="274"/>
      <c r="NV450" s="274"/>
      <c r="NW450" s="274"/>
      <c r="NX450" s="274"/>
      <c r="NY450" s="274"/>
      <c r="NZ450" s="274"/>
      <c r="OA450" s="274"/>
      <c r="OB450" s="274"/>
      <c r="OC450" s="274"/>
      <c r="OD450" s="274"/>
      <c r="OE450" s="274"/>
      <c r="OF450" s="274"/>
      <c r="OG450" s="274"/>
      <c r="OH450" s="274"/>
      <c r="OI450" s="274"/>
      <c r="OJ450" s="274"/>
      <c r="OK450" s="274"/>
      <c r="OL450" s="274"/>
      <c r="OM450" s="274"/>
      <c r="ON450" s="274"/>
      <c r="OO450" s="274"/>
      <c r="OP450" s="274"/>
      <c r="OQ450" s="274"/>
      <c r="OR450" s="274"/>
      <c r="OS450" s="274"/>
      <c r="OT450" s="274"/>
      <c r="OU450" s="274"/>
      <c r="OV450" s="274"/>
      <c r="OW450" s="274"/>
      <c r="OX450" s="274"/>
      <c r="OY450" s="274"/>
      <c r="OZ450" s="274"/>
      <c r="PA450" s="274"/>
      <c r="PB450" s="274"/>
      <c r="PC450" s="274"/>
      <c r="PD450" s="274"/>
      <c r="PE450" s="274"/>
      <c r="PF450" s="274"/>
      <c r="PG450" s="274"/>
      <c r="PH450" s="274"/>
      <c r="PI450" s="274"/>
      <c r="PJ450" s="274"/>
      <c r="PK450" s="274"/>
      <c r="PL450" s="274"/>
      <c r="PM450" s="274"/>
      <c r="PN450" s="274"/>
      <c r="PO450" s="274"/>
      <c r="PP450" s="274"/>
      <c r="PQ450" s="274"/>
      <c r="PR450" s="274"/>
      <c r="PS450" s="274"/>
      <c r="PT450" s="274"/>
      <c r="PU450" s="274"/>
      <c r="PV450" s="274"/>
      <c r="PW450" s="274"/>
      <c r="PX450" s="274"/>
      <c r="PY450" s="274"/>
      <c r="PZ450" s="274"/>
      <c r="QA450" s="274"/>
      <c r="QB450" s="274"/>
      <c r="QC450" s="274"/>
      <c r="QD450" s="274"/>
      <c r="QE450" s="274"/>
      <c r="QF450" s="274"/>
      <c r="QG450" s="274"/>
      <c r="QH450" s="274"/>
      <c r="QI450" s="274"/>
      <c r="QJ450" s="274"/>
      <c r="QK450" s="274"/>
      <c r="QL450" s="274"/>
      <c r="QM450" s="274"/>
      <c r="QN450" s="274"/>
      <c r="QO450" s="274"/>
      <c r="QP450" s="274"/>
      <c r="QQ450" s="274"/>
      <c r="QR450" s="274"/>
      <c r="QS450" s="274"/>
      <c r="QT450" s="274"/>
      <c r="QU450" s="274"/>
      <c r="QV450" s="274"/>
      <c r="QW450" s="274"/>
      <c r="QX450" s="274"/>
      <c r="QY450" s="274"/>
      <c r="QZ450" s="274"/>
      <c r="RA450" s="274"/>
      <c r="RB450" s="274"/>
      <c r="RC450" s="274"/>
    </row>
    <row r="451" spans="112:471">
      <c r="DH451" s="274"/>
      <c r="DI451" s="274"/>
      <c r="DJ451" s="274"/>
      <c r="DK451" s="274"/>
      <c r="DL451" s="274"/>
      <c r="DM451" s="274"/>
      <c r="DN451" s="274"/>
      <c r="DO451" s="274"/>
      <c r="DP451" s="274"/>
      <c r="DQ451" s="274"/>
      <c r="DR451" s="274"/>
      <c r="DS451" s="274"/>
      <c r="DT451" s="274"/>
      <c r="DU451" s="274"/>
      <c r="DV451" s="274"/>
      <c r="DW451" s="274"/>
      <c r="DX451" s="274"/>
      <c r="DY451" s="274"/>
      <c r="DZ451" s="274"/>
      <c r="EA451" s="274"/>
      <c r="EB451" s="274"/>
      <c r="EC451" s="274"/>
      <c r="ED451" s="274"/>
      <c r="EE451" s="274"/>
      <c r="EF451" s="274"/>
      <c r="EG451" s="274"/>
      <c r="EH451" s="274"/>
      <c r="EI451" s="274"/>
      <c r="EJ451" s="274"/>
      <c r="EK451" s="274"/>
      <c r="EL451" s="274"/>
      <c r="EM451" s="274"/>
      <c r="EN451" s="274"/>
      <c r="EO451" s="274"/>
      <c r="EP451" s="274"/>
      <c r="EQ451" s="274"/>
      <c r="ER451" s="274"/>
      <c r="ES451" s="274"/>
      <c r="ET451" s="274"/>
      <c r="EU451" s="274"/>
      <c r="EV451" s="274"/>
      <c r="EW451" s="274"/>
      <c r="EX451" s="274"/>
      <c r="EY451" s="274"/>
      <c r="EZ451" s="274"/>
      <c r="FA451" s="274"/>
      <c r="FB451" s="274"/>
      <c r="FC451" s="274"/>
      <c r="FD451" s="274"/>
      <c r="FE451" s="274"/>
      <c r="FF451" s="274"/>
      <c r="FG451" s="274"/>
      <c r="FH451" s="274"/>
      <c r="FI451" s="274"/>
      <c r="FJ451" s="274"/>
      <c r="FK451" s="274"/>
      <c r="FL451" s="274"/>
      <c r="FM451" s="274"/>
      <c r="FN451" s="274"/>
      <c r="FO451" s="274"/>
      <c r="FP451" s="274"/>
      <c r="FQ451" s="274"/>
      <c r="FR451" s="274"/>
      <c r="FS451" s="274"/>
      <c r="FT451" s="274"/>
      <c r="FU451" s="274"/>
      <c r="FV451" s="274"/>
      <c r="FW451" s="274"/>
      <c r="FX451" s="274"/>
      <c r="FY451" s="274"/>
      <c r="FZ451" s="274"/>
      <c r="GA451" s="274"/>
      <c r="GB451" s="274"/>
      <c r="GC451" s="274"/>
      <c r="GD451" s="274"/>
      <c r="GE451" s="274"/>
      <c r="GF451" s="274"/>
      <c r="GG451" s="274"/>
      <c r="GH451" s="274"/>
      <c r="GI451" s="274"/>
      <c r="GJ451" s="274"/>
      <c r="GK451" s="274"/>
      <c r="GL451" s="274"/>
      <c r="GM451" s="274"/>
      <c r="GN451" s="274"/>
      <c r="GO451" s="274"/>
      <c r="GP451" s="274"/>
      <c r="GQ451" s="274"/>
      <c r="GR451" s="274"/>
      <c r="GS451" s="274"/>
      <c r="GT451" s="274"/>
      <c r="GU451" s="274"/>
      <c r="GV451" s="274"/>
      <c r="GW451" s="274"/>
      <c r="GX451" s="274"/>
      <c r="GY451" s="274"/>
      <c r="GZ451" s="274"/>
      <c r="HA451" s="274"/>
      <c r="HB451" s="274"/>
      <c r="HC451" s="274"/>
      <c r="HD451" s="274"/>
      <c r="HE451" s="274"/>
      <c r="HF451" s="274"/>
      <c r="HG451" s="274"/>
      <c r="HH451" s="274"/>
      <c r="HI451" s="274"/>
      <c r="HJ451" s="274"/>
      <c r="HK451" s="274"/>
      <c r="HL451" s="274"/>
      <c r="HM451" s="274"/>
      <c r="HN451" s="274"/>
      <c r="HO451" s="274"/>
      <c r="HP451" s="274"/>
      <c r="HQ451" s="274"/>
      <c r="HR451" s="274"/>
      <c r="HS451" s="274"/>
      <c r="HT451" s="274"/>
      <c r="HU451" s="274"/>
      <c r="HV451" s="274"/>
      <c r="HW451" s="274"/>
      <c r="HX451" s="274"/>
      <c r="HY451" s="274"/>
      <c r="HZ451" s="274"/>
      <c r="IA451" s="274"/>
      <c r="IB451" s="274"/>
      <c r="IC451" s="274"/>
      <c r="ID451" s="274"/>
      <c r="IE451" s="274"/>
      <c r="IF451" s="274"/>
      <c r="IG451" s="274"/>
      <c r="IH451" s="274"/>
      <c r="II451" s="274"/>
      <c r="IJ451" s="274"/>
      <c r="IK451" s="274"/>
      <c r="IL451" s="274"/>
      <c r="IM451" s="274"/>
      <c r="IN451" s="274"/>
      <c r="IO451" s="274"/>
      <c r="IP451" s="274"/>
      <c r="IQ451" s="274"/>
      <c r="IR451" s="274"/>
      <c r="IS451" s="274"/>
      <c r="IT451" s="274"/>
      <c r="IU451" s="274"/>
      <c r="IV451" s="274"/>
      <c r="IW451" s="274"/>
      <c r="IX451" s="274"/>
      <c r="IY451" s="274"/>
      <c r="IZ451" s="274"/>
      <c r="JA451" s="274"/>
      <c r="JB451" s="274"/>
      <c r="JC451" s="274"/>
      <c r="JD451" s="274"/>
      <c r="JE451" s="274"/>
      <c r="JF451" s="274"/>
      <c r="JG451" s="274"/>
      <c r="JH451" s="274"/>
      <c r="JI451" s="274"/>
      <c r="JJ451" s="274"/>
      <c r="JK451" s="274"/>
      <c r="JL451" s="274"/>
      <c r="JM451" s="274"/>
      <c r="JN451" s="274"/>
      <c r="JO451" s="274"/>
      <c r="JP451" s="274"/>
      <c r="JQ451" s="274"/>
      <c r="JR451" s="274"/>
      <c r="JS451" s="274"/>
      <c r="JT451" s="274"/>
      <c r="JU451" s="274"/>
      <c r="JV451" s="274"/>
      <c r="JW451" s="274"/>
      <c r="JX451" s="274"/>
      <c r="JY451" s="274"/>
      <c r="JZ451" s="274"/>
      <c r="KA451" s="274"/>
      <c r="KB451" s="274"/>
      <c r="KC451" s="274"/>
      <c r="KD451" s="274"/>
      <c r="KE451" s="274"/>
      <c r="KF451" s="274"/>
      <c r="KG451" s="274"/>
      <c r="KH451" s="274"/>
      <c r="KI451" s="274"/>
      <c r="KJ451" s="274"/>
      <c r="KK451" s="274"/>
      <c r="KL451" s="274"/>
      <c r="KM451" s="274"/>
      <c r="KN451" s="274"/>
      <c r="KO451" s="274"/>
      <c r="KP451" s="274"/>
      <c r="KQ451" s="274"/>
      <c r="KR451" s="274"/>
      <c r="KS451" s="274"/>
      <c r="KT451" s="274"/>
      <c r="KU451" s="274"/>
      <c r="KV451" s="274"/>
      <c r="KW451" s="274"/>
      <c r="KX451" s="274"/>
      <c r="KY451" s="274"/>
      <c r="KZ451" s="274"/>
      <c r="LA451" s="274"/>
      <c r="LB451" s="274"/>
      <c r="LC451" s="274"/>
      <c r="LD451" s="274"/>
      <c r="LE451" s="274"/>
      <c r="LF451" s="274"/>
      <c r="LG451" s="274"/>
      <c r="LH451" s="274"/>
      <c r="LI451" s="274"/>
      <c r="LJ451" s="274"/>
      <c r="LK451" s="274"/>
      <c r="LL451" s="274"/>
      <c r="LM451" s="274"/>
      <c r="LN451" s="274"/>
      <c r="LO451" s="274"/>
      <c r="LP451" s="274"/>
      <c r="LQ451" s="274"/>
      <c r="LR451" s="274"/>
      <c r="LS451" s="274"/>
      <c r="LT451" s="274"/>
      <c r="LU451" s="274"/>
      <c r="LV451" s="274"/>
      <c r="LW451" s="274"/>
      <c r="LX451" s="274"/>
      <c r="LY451" s="274"/>
      <c r="LZ451" s="274"/>
      <c r="MA451" s="274"/>
      <c r="MB451" s="274"/>
      <c r="MC451" s="274"/>
      <c r="MD451" s="274"/>
      <c r="ME451" s="274"/>
      <c r="MF451" s="274"/>
      <c r="MG451" s="274"/>
      <c r="MH451" s="274"/>
      <c r="MI451" s="274"/>
      <c r="MJ451" s="274"/>
      <c r="MK451" s="274"/>
      <c r="ML451" s="274"/>
      <c r="MM451" s="274"/>
      <c r="MN451" s="274"/>
      <c r="MO451" s="274"/>
      <c r="MP451" s="274"/>
      <c r="MQ451" s="274"/>
      <c r="MR451" s="274"/>
      <c r="MS451" s="274"/>
      <c r="MT451" s="274"/>
      <c r="MU451" s="274"/>
      <c r="MV451" s="274"/>
      <c r="MW451" s="274"/>
      <c r="MX451" s="274"/>
      <c r="MY451" s="274"/>
      <c r="MZ451" s="274"/>
      <c r="NA451" s="274"/>
      <c r="NB451" s="274"/>
      <c r="NC451" s="274"/>
      <c r="ND451" s="274"/>
      <c r="NE451" s="274"/>
      <c r="NF451" s="274"/>
      <c r="NG451" s="274"/>
      <c r="NH451" s="274"/>
      <c r="NI451" s="274"/>
      <c r="NJ451" s="274"/>
      <c r="NK451" s="274"/>
      <c r="NL451" s="274"/>
      <c r="NM451" s="274"/>
      <c r="NN451" s="274"/>
      <c r="NO451" s="274"/>
      <c r="NP451" s="274"/>
      <c r="NQ451" s="274"/>
      <c r="NR451" s="274"/>
      <c r="NS451" s="274"/>
      <c r="NT451" s="274"/>
      <c r="NU451" s="274"/>
      <c r="NV451" s="274"/>
      <c r="NW451" s="274"/>
      <c r="NX451" s="274"/>
      <c r="NY451" s="274"/>
      <c r="NZ451" s="274"/>
      <c r="OA451" s="274"/>
      <c r="OB451" s="274"/>
      <c r="OC451" s="274"/>
      <c r="OD451" s="274"/>
      <c r="OE451" s="274"/>
      <c r="OF451" s="274"/>
      <c r="OG451" s="274"/>
      <c r="OH451" s="274"/>
      <c r="OI451" s="274"/>
      <c r="OJ451" s="274"/>
      <c r="OK451" s="274"/>
      <c r="OL451" s="274"/>
      <c r="OM451" s="274"/>
      <c r="ON451" s="274"/>
      <c r="OO451" s="274"/>
      <c r="OP451" s="274"/>
      <c r="OQ451" s="274"/>
      <c r="OR451" s="274"/>
      <c r="OS451" s="274"/>
      <c r="OT451" s="274"/>
      <c r="OU451" s="274"/>
      <c r="OV451" s="274"/>
      <c r="OW451" s="274"/>
      <c r="OX451" s="274"/>
      <c r="OY451" s="274"/>
      <c r="OZ451" s="274"/>
      <c r="PA451" s="274"/>
      <c r="PB451" s="274"/>
      <c r="PC451" s="274"/>
      <c r="PD451" s="274"/>
      <c r="PE451" s="274"/>
      <c r="PF451" s="274"/>
      <c r="PG451" s="274"/>
      <c r="PH451" s="274"/>
      <c r="PI451" s="274"/>
      <c r="PJ451" s="274"/>
      <c r="PK451" s="274"/>
      <c r="PL451" s="274"/>
      <c r="PM451" s="274"/>
      <c r="PN451" s="274"/>
      <c r="PO451" s="274"/>
      <c r="PP451" s="274"/>
      <c r="PQ451" s="274"/>
      <c r="PR451" s="274"/>
      <c r="PS451" s="274"/>
      <c r="PT451" s="274"/>
      <c r="PU451" s="274"/>
      <c r="PV451" s="274"/>
      <c r="PW451" s="274"/>
      <c r="PX451" s="274"/>
      <c r="PY451" s="274"/>
      <c r="PZ451" s="274"/>
      <c r="QA451" s="274"/>
      <c r="QB451" s="274"/>
      <c r="QC451" s="274"/>
      <c r="QD451" s="274"/>
      <c r="QE451" s="274"/>
      <c r="QF451" s="274"/>
      <c r="QG451" s="274"/>
      <c r="QH451" s="274"/>
      <c r="QI451" s="274"/>
      <c r="QJ451" s="274"/>
      <c r="QK451" s="274"/>
      <c r="QL451" s="274"/>
      <c r="QM451" s="274"/>
      <c r="QN451" s="274"/>
      <c r="QO451" s="274"/>
      <c r="QP451" s="274"/>
      <c r="QQ451" s="274"/>
      <c r="QR451" s="274"/>
      <c r="QS451" s="274"/>
      <c r="QT451" s="274"/>
      <c r="QU451" s="274"/>
      <c r="QV451" s="274"/>
      <c r="QW451" s="274"/>
      <c r="QX451" s="274"/>
      <c r="QY451" s="274"/>
      <c r="QZ451" s="274"/>
      <c r="RA451" s="274"/>
      <c r="RB451" s="274"/>
      <c r="RC451" s="274"/>
    </row>
    <row r="452" spans="112:471" ht="17.25">
      <c r="DH452" s="274"/>
      <c r="DI452" s="274"/>
      <c r="DJ452" s="978"/>
      <c r="DK452" s="274"/>
      <c r="DL452" s="274"/>
      <c r="DM452" s="274"/>
      <c r="DN452" s="274"/>
      <c r="DO452" s="274"/>
      <c r="DP452" s="274"/>
      <c r="DQ452" s="274"/>
      <c r="DR452" s="274"/>
      <c r="DS452" s="274"/>
      <c r="DT452" s="274"/>
      <c r="DU452" s="274"/>
      <c r="DV452" s="274"/>
      <c r="DW452" s="274"/>
      <c r="DX452" s="274"/>
      <c r="DY452" s="274"/>
      <c r="DZ452" s="274"/>
      <c r="EA452" s="274"/>
      <c r="EB452" s="274"/>
      <c r="EC452" s="274"/>
      <c r="ED452" s="274"/>
      <c r="EE452" s="274"/>
      <c r="EF452" s="274"/>
      <c r="EG452" s="274"/>
      <c r="EH452" s="274"/>
      <c r="EI452" s="274"/>
      <c r="EJ452" s="274"/>
      <c r="EK452" s="274"/>
      <c r="EL452" s="274"/>
      <c r="EM452" s="274"/>
      <c r="EN452" s="274"/>
      <c r="EO452" s="274"/>
      <c r="EP452" s="274"/>
      <c r="EQ452" s="274"/>
      <c r="ER452" s="274"/>
      <c r="ES452" s="274"/>
      <c r="ET452" s="274"/>
      <c r="EU452" s="274"/>
      <c r="EV452" s="274"/>
      <c r="EW452" s="274"/>
      <c r="EX452" s="274"/>
      <c r="EY452" s="274"/>
      <c r="EZ452" s="274"/>
      <c r="FA452" s="274"/>
      <c r="FB452" s="274"/>
      <c r="FC452" s="274"/>
      <c r="FD452" s="274"/>
      <c r="FE452" s="274"/>
      <c r="FF452" s="274"/>
      <c r="FG452" s="274"/>
      <c r="FH452" s="274"/>
      <c r="FI452" s="274"/>
      <c r="FJ452" s="274"/>
      <c r="FK452" s="274"/>
      <c r="FL452" s="274"/>
      <c r="FM452" s="274"/>
      <c r="FN452" s="274"/>
      <c r="FO452" s="274"/>
      <c r="FP452" s="274"/>
      <c r="FQ452" s="274"/>
      <c r="FR452" s="274"/>
      <c r="FS452" s="274"/>
      <c r="FT452" s="274"/>
      <c r="FU452" s="274"/>
      <c r="FV452" s="274"/>
      <c r="FW452" s="274"/>
      <c r="FX452" s="274"/>
      <c r="FY452" s="274"/>
      <c r="FZ452" s="274"/>
      <c r="GA452" s="274"/>
      <c r="GB452" s="274"/>
      <c r="GC452" s="274"/>
      <c r="GD452" s="274"/>
      <c r="GE452" s="274"/>
      <c r="GF452" s="274"/>
      <c r="GG452" s="274"/>
      <c r="GH452" s="274"/>
      <c r="GI452" s="274"/>
      <c r="GJ452" s="274"/>
      <c r="GK452" s="274"/>
      <c r="GL452" s="274"/>
      <c r="GM452" s="274"/>
      <c r="GN452" s="274"/>
      <c r="GO452" s="274"/>
      <c r="GP452" s="274"/>
      <c r="GQ452" s="274"/>
      <c r="GR452" s="274"/>
      <c r="GS452" s="274"/>
      <c r="GT452" s="274"/>
      <c r="GU452" s="274"/>
      <c r="GV452" s="274"/>
      <c r="GW452" s="274"/>
      <c r="GX452" s="274"/>
      <c r="GY452" s="274"/>
      <c r="GZ452" s="274"/>
      <c r="HA452" s="274"/>
      <c r="HB452" s="274"/>
      <c r="HC452" s="274"/>
      <c r="HD452" s="274"/>
      <c r="HE452" s="274"/>
      <c r="HF452" s="274"/>
      <c r="HG452" s="274"/>
      <c r="HH452" s="274"/>
      <c r="HI452" s="274"/>
      <c r="HJ452" s="274"/>
      <c r="HK452" s="274"/>
      <c r="HL452" s="274"/>
      <c r="HM452" s="274"/>
      <c r="HN452" s="274"/>
      <c r="HO452" s="274"/>
      <c r="HP452" s="274"/>
      <c r="HQ452" s="274"/>
      <c r="HR452" s="274"/>
      <c r="HS452" s="274"/>
      <c r="HT452" s="274"/>
      <c r="HU452" s="274"/>
      <c r="HV452" s="274"/>
      <c r="HW452" s="274"/>
      <c r="HX452" s="274"/>
      <c r="HY452" s="274"/>
      <c r="HZ452" s="274"/>
      <c r="IA452" s="274"/>
      <c r="IB452" s="274"/>
      <c r="IC452" s="274"/>
      <c r="ID452" s="274"/>
      <c r="IE452" s="274"/>
      <c r="IF452" s="274"/>
      <c r="IG452" s="274"/>
      <c r="IH452" s="274"/>
      <c r="II452" s="274"/>
      <c r="IJ452" s="274"/>
      <c r="IK452" s="274"/>
      <c r="IL452" s="274"/>
      <c r="IM452" s="274"/>
      <c r="IN452" s="274"/>
      <c r="IO452" s="274"/>
      <c r="IP452" s="274"/>
      <c r="IQ452" s="274"/>
      <c r="IR452" s="274"/>
      <c r="IS452" s="274"/>
      <c r="IT452" s="274"/>
      <c r="IU452" s="274"/>
      <c r="IV452" s="274"/>
      <c r="IW452" s="274"/>
      <c r="IX452" s="274"/>
      <c r="IY452" s="274"/>
      <c r="IZ452" s="274"/>
      <c r="JA452" s="274"/>
      <c r="JB452" s="274"/>
      <c r="JC452" s="274"/>
      <c r="JD452" s="274"/>
      <c r="JE452" s="274"/>
      <c r="JF452" s="274"/>
      <c r="JG452" s="274"/>
      <c r="JH452" s="274"/>
      <c r="JI452" s="274"/>
      <c r="JJ452" s="274"/>
      <c r="JK452" s="274"/>
      <c r="JL452" s="274"/>
      <c r="JM452" s="274"/>
      <c r="JN452" s="274"/>
      <c r="JO452" s="274"/>
      <c r="JP452" s="274"/>
      <c r="JQ452" s="274"/>
      <c r="JR452" s="274"/>
      <c r="JS452" s="274"/>
      <c r="JT452" s="274"/>
      <c r="JU452" s="274"/>
      <c r="JV452" s="274"/>
      <c r="JW452" s="274"/>
      <c r="JX452" s="274"/>
      <c r="JY452" s="274"/>
      <c r="JZ452" s="274"/>
      <c r="KA452" s="274"/>
      <c r="KB452" s="274"/>
      <c r="KC452" s="274"/>
      <c r="KD452" s="274"/>
      <c r="KE452" s="274"/>
      <c r="KF452" s="274"/>
      <c r="KG452" s="274"/>
      <c r="KH452" s="274"/>
      <c r="KI452" s="274"/>
      <c r="KJ452" s="274"/>
      <c r="KK452" s="274"/>
      <c r="KL452" s="274"/>
      <c r="KM452" s="274"/>
      <c r="KN452" s="274"/>
      <c r="KO452" s="274"/>
      <c r="KP452" s="274"/>
      <c r="KQ452" s="274"/>
      <c r="KR452" s="274"/>
      <c r="KS452" s="274"/>
      <c r="KT452" s="274"/>
      <c r="KU452" s="274"/>
      <c r="KV452" s="274"/>
      <c r="KW452" s="274"/>
      <c r="KX452" s="274"/>
      <c r="KY452" s="274"/>
      <c r="KZ452" s="274"/>
      <c r="LA452" s="274"/>
      <c r="LB452" s="274"/>
      <c r="LC452" s="274"/>
      <c r="LD452" s="274"/>
      <c r="LE452" s="274"/>
      <c r="LF452" s="274"/>
      <c r="LG452" s="274"/>
      <c r="LH452" s="274"/>
      <c r="LI452" s="274"/>
      <c r="LJ452" s="274"/>
      <c r="LK452" s="274"/>
      <c r="LL452" s="274"/>
      <c r="LM452" s="274"/>
      <c r="LN452" s="274"/>
      <c r="LO452" s="274"/>
      <c r="LP452" s="274"/>
      <c r="LQ452" s="274"/>
      <c r="LR452" s="274"/>
      <c r="LS452" s="274"/>
      <c r="LT452" s="274"/>
      <c r="LU452" s="274"/>
      <c r="LV452" s="274"/>
      <c r="LW452" s="274"/>
      <c r="LX452" s="274"/>
      <c r="LY452" s="274"/>
      <c r="LZ452" s="274"/>
      <c r="MA452" s="274"/>
      <c r="MB452" s="274"/>
      <c r="MC452" s="274"/>
      <c r="MD452" s="274"/>
      <c r="ME452" s="274"/>
      <c r="MF452" s="274"/>
      <c r="MG452" s="274"/>
      <c r="MH452" s="274"/>
      <c r="MI452" s="274"/>
      <c r="MJ452" s="274"/>
      <c r="MK452" s="274"/>
      <c r="ML452" s="274"/>
      <c r="MM452" s="274"/>
      <c r="MN452" s="274"/>
      <c r="MO452" s="274"/>
      <c r="MP452" s="274"/>
      <c r="MQ452" s="274"/>
      <c r="MR452" s="274"/>
      <c r="MS452" s="274"/>
      <c r="MT452" s="274"/>
      <c r="MU452" s="274"/>
      <c r="MV452" s="274"/>
      <c r="MW452" s="274"/>
      <c r="MX452" s="274"/>
      <c r="MY452" s="274"/>
      <c r="MZ452" s="274"/>
      <c r="NA452" s="274"/>
      <c r="NB452" s="274"/>
      <c r="NC452" s="274"/>
      <c r="ND452" s="274"/>
      <c r="NE452" s="274"/>
      <c r="NF452" s="274"/>
      <c r="NG452" s="274"/>
      <c r="NH452" s="274"/>
      <c r="NI452" s="274"/>
      <c r="NJ452" s="274"/>
      <c r="NK452" s="274"/>
      <c r="NL452" s="274"/>
      <c r="NM452" s="274"/>
      <c r="NN452" s="274"/>
      <c r="NO452" s="274"/>
      <c r="NP452" s="274"/>
      <c r="NQ452" s="274"/>
      <c r="NR452" s="274"/>
      <c r="NS452" s="274"/>
      <c r="NT452" s="274"/>
      <c r="NU452" s="274"/>
      <c r="NV452" s="274"/>
      <c r="NW452" s="274"/>
      <c r="NX452" s="274"/>
      <c r="NY452" s="274"/>
      <c r="NZ452" s="274"/>
      <c r="OA452" s="274"/>
      <c r="OB452" s="274"/>
      <c r="OC452" s="274"/>
      <c r="OD452" s="274"/>
      <c r="OE452" s="274"/>
      <c r="OF452" s="274"/>
      <c r="OG452" s="274"/>
      <c r="OH452" s="274"/>
      <c r="OI452" s="274"/>
      <c r="OJ452" s="274"/>
      <c r="OK452" s="274"/>
      <c r="OL452" s="274"/>
      <c r="OM452" s="274"/>
      <c r="ON452" s="274"/>
      <c r="OO452" s="274"/>
      <c r="OP452" s="274"/>
      <c r="OQ452" s="274"/>
      <c r="OR452" s="274"/>
      <c r="OS452" s="274"/>
      <c r="OT452" s="274"/>
      <c r="OU452" s="274"/>
      <c r="OV452" s="274"/>
      <c r="OW452" s="274"/>
      <c r="OX452" s="274"/>
      <c r="OY452" s="274"/>
      <c r="OZ452" s="274"/>
      <c r="PA452" s="274"/>
      <c r="PB452" s="274"/>
      <c r="PC452" s="274"/>
      <c r="PD452" s="274"/>
      <c r="PE452" s="274"/>
      <c r="PF452" s="274"/>
      <c r="PG452" s="274"/>
      <c r="PH452" s="274"/>
      <c r="PI452" s="274"/>
      <c r="PJ452" s="274"/>
      <c r="PK452" s="274"/>
      <c r="PL452" s="274"/>
      <c r="PM452" s="274"/>
      <c r="PN452" s="274"/>
      <c r="PO452" s="274"/>
      <c r="PP452" s="274"/>
      <c r="PQ452" s="274"/>
      <c r="PR452" s="274"/>
      <c r="PS452" s="274"/>
      <c r="PT452" s="274"/>
      <c r="PU452" s="274"/>
      <c r="PV452" s="274"/>
      <c r="PW452" s="274"/>
      <c r="PX452" s="274"/>
      <c r="PY452" s="274"/>
      <c r="PZ452" s="274"/>
      <c r="QA452" s="274"/>
      <c r="QB452" s="274"/>
      <c r="QC452" s="274"/>
      <c r="QD452" s="274"/>
      <c r="QE452" s="274"/>
      <c r="QF452" s="274"/>
      <c r="QG452" s="274"/>
      <c r="QH452" s="274"/>
      <c r="QI452" s="274"/>
      <c r="QJ452" s="274"/>
      <c r="QK452" s="274"/>
      <c r="QL452" s="274"/>
      <c r="QM452" s="274"/>
      <c r="QN452" s="274"/>
      <c r="QO452" s="274"/>
      <c r="QP452" s="274"/>
      <c r="QQ452" s="274"/>
      <c r="QR452" s="274"/>
      <c r="QS452" s="274"/>
      <c r="QT452" s="274"/>
      <c r="QU452" s="274"/>
      <c r="QV452" s="274"/>
      <c r="QW452" s="274"/>
      <c r="QX452" s="274"/>
      <c r="QY452" s="274"/>
      <c r="QZ452" s="274"/>
      <c r="RA452" s="274"/>
      <c r="RB452" s="274"/>
      <c r="RC452" s="274"/>
    </row>
    <row r="453" spans="112:471" ht="17.25">
      <c r="DH453" s="274"/>
      <c r="DI453" s="274"/>
      <c r="DJ453" s="978"/>
      <c r="DK453" s="978"/>
      <c r="DL453" s="978"/>
      <c r="DM453" s="978"/>
      <c r="DN453" s="978"/>
      <c r="DO453" s="978"/>
      <c r="DP453" s="978"/>
      <c r="DQ453" s="978"/>
      <c r="DR453" s="978"/>
      <c r="DS453" s="978"/>
      <c r="DT453" s="978"/>
      <c r="DU453" s="978"/>
      <c r="DV453" s="978"/>
      <c r="DW453" s="978"/>
      <c r="DX453" s="978"/>
      <c r="DY453" s="978"/>
      <c r="DZ453" s="978"/>
      <c r="EA453" s="978"/>
      <c r="EB453" s="978"/>
      <c r="EC453" s="978"/>
      <c r="ED453" s="978"/>
      <c r="EE453" s="978"/>
      <c r="EF453" s="978"/>
      <c r="EG453" s="978"/>
      <c r="EH453" s="978"/>
      <c r="EI453" s="978"/>
      <c r="EJ453" s="978"/>
      <c r="EK453" s="978"/>
      <c r="EL453" s="978"/>
      <c r="EM453" s="978"/>
      <c r="EN453" s="978"/>
      <c r="EO453" s="978"/>
      <c r="EP453" s="978"/>
      <c r="EQ453" s="978"/>
      <c r="ER453" s="978"/>
      <c r="ES453" s="978"/>
      <c r="ET453" s="978"/>
      <c r="EU453" s="978"/>
      <c r="EV453" s="978"/>
      <c r="EW453" s="978"/>
      <c r="EX453" s="978"/>
      <c r="EY453" s="978"/>
      <c r="EZ453" s="978"/>
      <c r="FA453" s="978"/>
      <c r="FB453" s="978"/>
      <c r="FC453" s="978"/>
      <c r="FD453" s="978"/>
      <c r="FE453" s="978"/>
      <c r="FF453" s="978"/>
      <c r="FG453" s="978"/>
      <c r="FH453" s="978"/>
      <c r="FI453" s="978"/>
      <c r="FJ453" s="978"/>
      <c r="FK453" s="978"/>
      <c r="FL453" s="978"/>
      <c r="FM453" s="978"/>
      <c r="FN453" s="978"/>
      <c r="FO453" s="978"/>
      <c r="FP453" s="978"/>
      <c r="FQ453" s="978"/>
      <c r="FR453" s="978"/>
      <c r="FS453" s="978"/>
      <c r="FT453" s="978"/>
      <c r="FU453" s="978"/>
      <c r="FV453" s="978"/>
      <c r="FW453" s="978"/>
      <c r="FX453" s="978"/>
      <c r="FY453" s="978"/>
      <c r="FZ453" s="978"/>
      <c r="GA453" s="978"/>
      <c r="GB453" s="978"/>
      <c r="GC453" s="978"/>
      <c r="GD453" s="978"/>
      <c r="GE453" s="978"/>
      <c r="GF453" s="978"/>
      <c r="GG453" s="978"/>
      <c r="GH453" s="978"/>
      <c r="GI453" s="978"/>
      <c r="GJ453" s="978"/>
      <c r="GK453" s="978"/>
      <c r="GL453" s="978"/>
      <c r="GM453" s="978"/>
      <c r="GN453" s="978"/>
      <c r="GO453" s="978"/>
      <c r="GP453" s="978"/>
      <c r="GQ453" s="978"/>
      <c r="GR453" s="978"/>
      <c r="GS453" s="978"/>
      <c r="GT453" s="978"/>
      <c r="GU453" s="978"/>
      <c r="GV453" s="978"/>
      <c r="GW453" s="978"/>
      <c r="GX453" s="978"/>
      <c r="GY453" s="978"/>
      <c r="GZ453" s="978"/>
      <c r="HA453" s="978"/>
      <c r="HB453" s="978"/>
      <c r="HC453" s="978"/>
      <c r="HD453" s="978"/>
      <c r="HE453" s="978"/>
      <c r="HF453" s="978"/>
      <c r="HG453" s="978"/>
      <c r="HH453" s="978"/>
      <c r="HI453" s="978"/>
      <c r="HJ453" s="978"/>
      <c r="HK453" s="978"/>
      <c r="HL453" s="978"/>
      <c r="HM453" s="978"/>
      <c r="HN453" s="978"/>
      <c r="HO453" s="978"/>
      <c r="HP453" s="978"/>
      <c r="HQ453" s="978"/>
      <c r="HR453" s="978"/>
      <c r="HS453" s="978"/>
      <c r="HT453" s="978"/>
      <c r="HU453" s="978"/>
      <c r="HV453" s="978"/>
      <c r="HW453" s="978"/>
      <c r="HX453" s="978"/>
      <c r="HY453" s="978"/>
      <c r="HZ453" s="978"/>
      <c r="IA453" s="978"/>
      <c r="IB453" s="978"/>
      <c r="IC453" s="978"/>
      <c r="ID453" s="978"/>
      <c r="IE453" s="978"/>
      <c r="IF453" s="978"/>
      <c r="IG453" s="978"/>
      <c r="IH453" s="978"/>
      <c r="II453" s="978"/>
      <c r="IJ453" s="978"/>
      <c r="IK453" s="978"/>
      <c r="IL453" s="978"/>
      <c r="IM453" s="978"/>
      <c r="IN453" s="978"/>
      <c r="IO453" s="978"/>
      <c r="IP453" s="978"/>
      <c r="IQ453" s="978"/>
      <c r="IR453" s="978"/>
      <c r="IS453" s="978"/>
      <c r="IT453" s="978"/>
      <c r="IU453" s="978"/>
      <c r="IV453" s="978"/>
      <c r="IW453" s="978"/>
      <c r="IX453" s="978"/>
      <c r="IY453" s="978"/>
      <c r="IZ453" s="978"/>
      <c r="JA453" s="978"/>
      <c r="JB453" s="978"/>
      <c r="JC453" s="978"/>
      <c r="JD453" s="978"/>
      <c r="JE453" s="978"/>
      <c r="JF453" s="978"/>
      <c r="JG453" s="978"/>
      <c r="JH453" s="978"/>
      <c r="JI453" s="978"/>
      <c r="JJ453" s="978"/>
      <c r="JK453" s="978"/>
      <c r="JL453" s="978"/>
      <c r="JM453" s="978"/>
      <c r="JN453" s="978"/>
      <c r="JO453" s="978"/>
      <c r="JP453" s="978"/>
      <c r="JQ453" s="978"/>
      <c r="JR453" s="978"/>
      <c r="JS453" s="978"/>
      <c r="JT453" s="978"/>
      <c r="JU453" s="978"/>
      <c r="JV453" s="978"/>
      <c r="JW453" s="978"/>
      <c r="JX453" s="978"/>
      <c r="JY453" s="978"/>
      <c r="JZ453" s="978"/>
      <c r="KA453" s="978"/>
      <c r="KB453" s="978"/>
      <c r="KC453" s="978"/>
      <c r="KD453" s="978"/>
      <c r="KE453" s="978"/>
      <c r="KF453" s="978"/>
      <c r="KG453" s="978"/>
      <c r="KH453" s="978"/>
      <c r="KI453" s="978"/>
      <c r="KJ453" s="978"/>
      <c r="KK453" s="978"/>
      <c r="KL453" s="978"/>
      <c r="KM453" s="978"/>
      <c r="KN453" s="978"/>
      <c r="KO453" s="978"/>
      <c r="KP453" s="978"/>
      <c r="KQ453" s="978"/>
      <c r="KR453" s="978"/>
      <c r="KS453" s="978"/>
      <c r="KT453" s="978"/>
      <c r="KU453" s="978"/>
      <c r="KV453" s="978"/>
      <c r="KW453" s="978"/>
      <c r="KX453" s="978"/>
      <c r="KY453" s="978"/>
      <c r="KZ453" s="978"/>
      <c r="LA453" s="978"/>
      <c r="LB453" s="978"/>
      <c r="LC453" s="978"/>
      <c r="LD453" s="978"/>
      <c r="LE453" s="978"/>
      <c r="LF453" s="978"/>
      <c r="LG453" s="978"/>
      <c r="LH453" s="978"/>
      <c r="LI453" s="978"/>
      <c r="LJ453" s="978"/>
      <c r="LK453" s="978"/>
      <c r="LL453" s="978"/>
      <c r="LM453" s="978"/>
      <c r="LN453" s="978"/>
      <c r="LO453" s="978"/>
      <c r="LP453" s="978"/>
      <c r="LQ453" s="978"/>
      <c r="LR453" s="978"/>
      <c r="LS453" s="978"/>
      <c r="LT453" s="978"/>
      <c r="LU453" s="978"/>
      <c r="LV453" s="978"/>
      <c r="LW453" s="978"/>
      <c r="LX453" s="978"/>
      <c r="LY453" s="978"/>
      <c r="LZ453" s="978"/>
      <c r="MA453" s="978"/>
      <c r="MB453" s="978"/>
      <c r="MC453" s="978"/>
      <c r="MD453" s="978"/>
      <c r="ME453" s="978"/>
      <c r="MF453" s="978"/>
      <c r="MG453" s="978"/>
      <c r="MH453" s="978"/>
      <c r="MI453" s="978"/>
      <c r="MJ453" s="978"/>
      <c r="MK453" s="978"/>
      <c r="ML453" s="978"/>
      <c r="MM453" s="978"/>
      <c r="MN453" s="978"/>
      <c r="MO453" s="978"/>
      <c r="MP453" s="978"/>
      <c r="MQ453" s="978"/>
      <c r="MR453" s="978"/>
      <c r="MS453" s="978"/>
      <c r="MT453" s="978"/>
      <c r="MU453" s="978"/>
      <c r="MV453" s="978"/>
      <c r="MW453" s="978"/>
      <c r="MX453" s="978"/>
      <c r="MY453" s="978"/>
      <c r="MZ453" s="978"/>
      <c r="NA453" s="978"/>
      <c r="NB453" s="978"/>
      <c r="NC453" s="978"/>
      <c r="ND453" s="978"/>
      <c r="NE453" s="978"/>
      <c r="NF453" s="978"/>
      <c r="NG453" s="978"/>
      <c r="NH453" s="978"/>
      <c r="NI453" s="978"/>
      <c r="NJ453" s="978"/>
      <c r="NK453" s="978"/>
      <c r="NL453" s="978"/>
      <c r="NM453" s="978"/>
      <c r="NN453" s="978"/>
      <c r="NO453" s="978"/>
      <c r="NP453" s="978"/>
      <c r="NQ453" s="978"/>
      <c r="NR453" s="978"/>
      <c r="NS453" s="978"/>
      <c r="NT453" s="978"/>
      <c r="NU453" s="978"/>
      <c r="NV453" s="978"/>
      <c r="NW453" s="978"/>
      <c r="NX453" s="978"/>
      <c r="NY453" s="978"/>
      <c r="NZ453" s="978"/>
      <c r="OA453" s="978"/>
      <c r="OB453" s="978"/>
      <c r="OC453" s="978"/>
      <c r="OD453" s="978"/>
      <c r="OE453" s="978"/>
      <c r="OF453" s="978"/>
      <c r="OG453" s="978"/>
      <c r="OH453" s="978"/>
      <c r="OI453" s="978"/>
      <c r="OJ453" s="978"/>
      <c r="OK453" s="978"/>
      <c r="OL453" s="978"/>
      <c r="OM453" s="978"/>
      <c r="ON453" s="978"/>
      <c r="OO453" s="978"/>
      <c r="OP453" s="978"/>
      <c r="OQ453" s="978"/>
      <c r="OR453" s="978"/>
      <c r="OS453" s="978"/>
      <c r="OT453" s="978"/>
      <c r="OU453" s="978"/>
      <c r="OV453" s="978"/>
      <c r="OW453" s="978"/>
      <c r="OX453" s="978"/>
      <c r="OY453" s="978"/>
      <c r="OZ453" s="978"/>
      <c r="PA453" s="978"/>
      <c r="PB453" s="978"/>
      <c r="PC453" s="978"/>
      <c r="PD453" s="978"/>
      <c r="PE453" s="978"/>
      <c r="PF453" s="978"/>
      <c r="PG453" s="978"/>
      <c r="PH453" s="978"/>
      <c r="PI453" s="978"/>
      <c r="PJ453" s="978"/>
      <c r="PK453" s="978"/>
      <c r="PL453" s="978"/>
      <c r="PM453" s="978"/>
      <c r="PN453" s="978"/>
      <c r="PO453" s="978"/>
      <c r="PP453" s="978"/>
      <c r="PQ453" s="978"/>
      <c r="PR453" s="978"/>
      <c r="PS453" s="978"/>
      <c r="PT453" s="978"/>
      <c r="PU453" s="978"/>
      <c r="PV453" s="978"/>
      <c r="PW453" s="978"/>
      <c r="PX453" s="978"/>
      <c r="PY453" s="978"/>
      <c r="PZ453" s="978"/>
      <c r="QA453" s="978"/>
      <c r="QB453" s="978"/>
      <c r="QC453" s="978"/>
      <c r="QD453" s="978"/>
      <c r="QE453" s="978"/>
      <c r="QF453" s="978"/>
      <c r="QG453" s="978"/>
      <c r="QH453" s="978"/>
      <c r="QI453" s="978"/>
      <c r="QJ453" s="978"/>
      <c r="QK453" s="978"/>
      <c r="QL453" s="978"/>
      <c r="QM453" s="978"/>
      <c r="QN453" s="978"/>
      <c r="QO453" s="978"/>
      <c r="QP453" s="978"/>
      <c r="QQ453" s="978"/>
      <c r="QR453" s="978"/>
      <c r="QS453" s="978"/>
      <c r="QT453" s="978"/>
      <c r="QU453" s="978"/>
      <c r="QV453" s="978"/>
      <c r="QW453" s="978"/>
      <c r="QX453" s="978"/>
      <c r="QY453" s="978"/>
      <c r="QZ453" s="978"/>
      <c r="RA453" s="978"/>
      <c r="RB453" s="274"/>
      <c r="RC453" s="274"/>
    </row>
    <row r="454" spans="112:471" ht="17.25">
      <c r="DH454" s="274"/>
      <c r="DI454" s="274"/>
      <c r="DJ454" s="978"/>
      <c r="DK454" s="978"/>
      <c r="DL454" s="978"/>
      <c r="DM454" s="978"/>
      <c r="DN454" s="978"/>
      <c r="DO454" s="978"/>
      <c r="DP454" s="978"/>
      <c r="DQ454" s="978"/>
      <c r="DR454" s="978"/>
      <c r="DS454" s="978"/>
      <c r="DT454" s="978"/>
      <c r="DU454" s="978"/>
      <c r="DV454" s="978"/>
      <c r="DW454" s="978"/>
      <c r="DX454" s="978"/>
      <c r="DY454" s="978"/>
      <c r="DZ454" s="978"/>
      <c r="EA454" s="978"/>
      <c r="EB454" s="978"/>
      <c r="EC454" s="978"/>
      <c r="ED454" s="978"/>
      <c r="EE454" s="978"/>
      <c r="EF454" s="978"/>
      <c r="EG454" s="978"/>
      <c r="EH454" s="978"/>
      <c r="EI454" s="978"/>
      <c r="EJ454" s="978"/>
      <c r="EK454" s="978"/>
      <c r="EL454" s="978"/>
      <c r="EM454" s="978"/>
      <c r="EN454" s="978"/>
      <c r="EO454" s="978"/>
      <c r="EP454" s="978"/>
      <c r="EQ454" s="978"/>
      <c r="ER454" s="978"/>
      <c r="ES454" s="978"/>
      <c r="ET454" s="978"/>
      <c r="EU454" s="978"/>
      <c r="EV454" s="978"/>
      <c r="EW454" s="978"/>
      <c r="EX454" s="978"/>
      <c r="EY454" s="978"/>
      <c r="EZ454" s="978"/>
      <c r="FA454" s="978"/>
      <c r="FB454" s="978"/>
      <c r="FC454" s="978"/>
      <c r="FD454" s="978"/>
      <c r="FE454" s="978"/>
      <c r="FF454" s="978"/>
      <c r="FG454" s="978"/>
      <c r="FH454" s="978"/>
      <c r="FI454" s="978"/>
      <c r="FJ454" s="978"/>
      <c r="FK454" s="978"/>
      <c r="FL454" s="978"/>
      <c r="FM454" s="978"/>
      <c r="FN454" s="978"/>
      <c r="FO454" s="978"/>
      <c r="FP454" s="978"/>
      <c r="FQ454" s="978"/>
      <c r="FR454" s="978"/>
      <c r="FS454" s="978"/>
      <c r="FT454" s="978"/>
      <c r="FU454" s="978"/>
      <c r="FV454" s="978"/>
      <c r="FW454" s="978"/>
      <c r="FX454" s="978"/>
      <c r="FY454" s="978"/>
      <c r="FZ454" s="978"/>
      <c r="GA454" s="978"/>
      <c r="GB454" s="978"/>
      <c r="GC454" s="978"/>
      <c r="GD454" s="978"/>
      <c r="GE454" s="978"/>
      <c r="GF454" s="978"/>
      <c r="GG454" s="978"/>
      <c r="GH454" s="978"/>
      <c r="GI454" s="978"/>
      <c r="GJ454" s="978"/>
      <c r="GK454" s="978"/>
      <c r="GL454" s="978"/>
      <c r="GM454" s="978"/>
      <c r="GN454" s="978"/>
      <c r="GO454" s="978"/>
      <c r="GP454" s="978"/>
      <c r="GQ454" s="978"/>
      <c r="GR454" s="978"/>
      <c r="GS454" s="978"/>
      <c r="GT454" s="978"/>
      <c r="GU454" s="978"/>
      <c r="GV454" s="978"/>
      <c r="GW454" s="978"/>
      <c r="GX454" s="978"/>
      <c r="GY454" s="978"/>
      <c r="GZ454" s="978"/>
      <c r="HA454" s="978"/>
      <c r="HB454" s="978"/>
      <c r="HC454" s="978"/>
      <c r="HD454" s="978"/>
      <c r="HE454" s="978"/>
      <c r="HF454" s="978"/>
      <c r="HG454" s="978"/>
      <c r="HH454" s="978"/>
      <c r="HI454" s="978"/>
      <c r="HJ454" s="978"/>
      <c r="HK454" s="978"/>
      <c r="HL454" s="978"/>
      <c r="HM454" s="978"/>
      <c r="HN454" s="978"/>
      <c r="HO454" s="978"/>
      <c r="HP454" s="978"/>
      <c r="HQ454" s="978"/>
      <c r="HR454" s="978"/>
      <c r="HS454" s="978"/>
      <c r="HT454" s="978"/>
      <c r="HU454" s="978"/>
      <c r="HV454" s="978"/>
      <c r="HW454" s="978"/>
      <c r="HX454" s="978"/>
      <c r="HY454" s="978"/>
      <c r="HZ454" s="978"/>
      <c r="IA454" s="978"/>
      <c r="IB454" s="978"/>
      <c r="IC454" s="978"/>
      <c r="ID454" s="978"/>
      <c r="IE454" s="978"/>
      <c r="IF454" s="978"/>
      <c r="IG454" s="978"/>
      <c r="IH454" s="978"/>
      <c r="II454" s="978"/>
      <c r="IJ454" s="978"/>
      <c r="IK454" s="978"/>
      <c r="IL454" s="978"/>
      <c r="IM454" s="978"/>
      <c r="IN454" s="978"/>
      <c r="IO454" s="978"/>
      <c r="IP454" s="978"/>
      <c r="IQ454" s="978"/>
      <c r="IR454" s="978"/>
      <c r="IS454" s="978"/>
      <c r="IT454" s="978"/>
      <c r="IU454" s="978"/>
      <c r="IV454" s="978"/>
      <c r="IW454" s="978"/>
      <c r="IX454" s="978"/>
      <c r="IY454" s="978"/>
      <c r="IZ454" s="978"/>
      <c r="JA454" s="978"/>
      <c r="JB454" s="978"/>
      <c r="JC454" s="978"/>
      <c r="JD454" s="978"/>
      <c r="JE454" s="978"/>
      <c r="JF454" s="978"/>
      <c r="JG454" s="978"/>
      <c r="JH454" s="978"/>
      <c r="JI454" s="978"/>
      <c r="JJ454" s="978"/>
      <c r="JK454" s="978"/>
      <c r="JL454" s="978"/>
      <c r="JM454" s="978"/>
      <c r="JN454" s="978"/>
      <c r="JO454" s="978"/>
      <c r="JP454" s="978"/>
      <c r="JQ454" s="978"/>
      <c r="JR454" s="978"/>
      <c r="JS454" s="978"/>
      <c r="JT454" s="978"/>
      <c r="JU454" s="978"/>
      <c r="JV454" s="978"/>
      <c r="JW454" s="978"/>
      <c r="JX454" s="978"/>
      <c r="JY454" s="978"/>
      <c r="JZ454" s="978"/>
      <c r="KA454" s="978"/>
      <c r="KB454" s="978"/>
      <c r="KC454" s="978"/>
      <c r="KD454" s="978"/>
      <c r="KE454" s="978"/>
      <c r="KF454" s="978"/>
      <c r="KG454" s="978"/>
      <c r="KH454" s="978"/>
      <c r="KI454" s="978"/>
      <c r="KJ454" s="978"/>
      <c r="KK454" s="978"/>
      <c r="KL454" s="978"/>
      <c r="KM454" s="978"/>
      <c r="KN454" s="978"/>
      <c r="KO454" s="978"/>
      <c r="KP454" s="978"/>
      <c r="KQ454" s="978"/>
      <c r="KR454" s="978"/>
      <c r="KS454" s="978"/>
      <c r="KT454" s="978"/>
      <c r="KU454" s="978"/>
      <c r="KV454" s="978"/>
      <c r="KW454" s="978"/>
      <c r="KX454" s="978"/>
      <c r="KY454" s="978"/>
      <c r="KZ454" s="978"/>
      <c r="LA454" s="978"/>
      <c r="LB454" s="978"/>
      <c r="LC454" s="978"/>
      <c r="LD454" s="978"/>
      <c r="LE454" s="978"/>
      <c r="LF454" s="978"/>
      <c r="LG454" s="978"/>
      <c r="LH454" s="978"/>
      <c r="LI454" s="978"/>
      <c r="LJ454" s="978"/>
      <c r="LK454" s="978"/>
      <c r="LL454" s="978"/>
      <c r="LM454" s="978"/>
      <c r="LN454" s="978"/>
      <c r="LO454" s="978"/>
      <c r="LP454" s="978"/>
      <c r="LQ454" s="978"/>
      <c r="LR454" s="978"/>
      <c r="LS454" s="978"/>
      <c r="LT454" s="978"/>
      <c r="LU454" s="978"/>
      <c r="LV454" s="978"/>
      <c r="LW454" s="978"/>
      <c r="LX454" s="978"/>
      <c r="LY454" s="978"/>
      <c r="LZ454" s="978"/>
      <c r="MA454" s="978"/>
      <c r="MB454" s="978"/>
      <c r="MC454" s="978"/>
      <c r="MD454" s="978"/>
      <c r="ME454" s="978"/>
      <c r="MF454" s="978"/>
      <c r="MG454" s="978"/>
      <c r="MH454" s="978"/>
      <c r="MI454" s="978"/>
      <c r="MJ454" s="978"/>
      <c r="MK454" s="978"/>
      <c r="ML454" s="978"/>
      <c r="MM454" s="978"/>
      <c r="MN454" s="978"/>
      <c r="MO454" s="978"/>
      <c r="MP454" s="978"/>
      <c r="MQ454" s="978"/>
      <c r="MR454" s="978"/>
      <c r="MS454" s="978"/>
      <c r="MT454" s="978"/>
      <c r="MU454" s="978"/>
      <c r="MV454" s="978"/>
      <c r="MW454" s="978"/>
      <c r="MX454" s="978"/>
      <c r="MY454" s="978"/>
      <c r="MZ454" s="978"/>
      <c r="NA454" s="978"/>
      <c r="NB454" s="978"/>
      <c r="NC454" s="978"/>
      <c r="ND454" s="978"/>
      <c r="NE454" s="978"/>
      <c r="NF454" s="978"/>
      <c r="NG454" s="978"/>
      <c r="NH454" s="978"/>
      <c r="NI454" s="978"/>
      <c r="NJ454" s="978"/>
      <c r="NK454" s="978"/>
      <c r="NL454" s="978"/>
      <c r="NM454" s="978"/>
      <c r="NN454" s="978"/>
      <c r="NO454" s="978"/>
      <c r="NP454" s="978"/>
      <c r="NQ454" s="978"/>
      <c r="NR454" s="978"/>
      <c r="NS454" s="978"/>
      <c r="NT454" s="978"/>
      <c r="NU454" s="978"/>
      <c r="NV454" s="978"/>
      <c r="NW454" s="978"/>
      <c r="NX454" s="978"/>
      <c r="NY454" s="978"/>
      <c r="NZ454" s="978"/>
      <c r="OA454" s="978"/>
      <c r="OB454" s="978"/>
      <c r="OC454" s="978"/>
      <c r="OD454" s="978"/>
      <c r="OE454" s="978"/>
      <c r="OF454" s="978"/>
      <c r="OG454" s="978"/>
      <c r="OH454" s="978"/>
      <c r="OI454" s="978"/>
      <c r="OJ454" s="978"/>
      <c r="OK454" s="978"/>
      <c r="OL454" s="978"/>
      <c r="OM454" s="978"/>
      <c r="ON454" s="978"/>
      <c r="OO454" s="978"/>
      <c r="OP454" s="978"/>
      <c r="OQ454" s="978"/>
      <c r="OR454" s="978"/>
      <c r="OS454" s="978"/>
      <c r="OT454" s="978"/>
      <c r="OU454" s="978"/>
      <c r="OV454" s="978"/>
      <c r="OW454" s="978"/>
      <c r="OX454" s="978"/>
      <c r="OY454" s="978"/>
      <c r="OZ454" s="978"/>
      <c r="PA454" s="978"/>
      <c r="PB454" s="978"/>
      <c r="PC454" s="978"/>
      <c r="PD454" s="978"/>
      <c r="PE454" s="978"/>
      <c r="PF454" s="978"/>
      <c r="PG454" s="978"/>
      <c r="PH454" s="978"/>
      <c r="PI454" s="978"/>
      <c r="PJ454" s="978"/>
      <c r="PK454" s="978"/>
      <c r="PL454" s="978"/>
      <c r="PM454" s="978"/>
      <c r="PN454" s="978"/>
      <c r="PO454" s="978"/>
      <c r="PP454" s="978"/>
      <c r="PQ454" s="978"/>
      <c r="PR454" s="978"/>
      <c r="PS454" s="978"/>
      <c r="PT454" s="978"/>
      <c r="PU454" s="978"/>
      <c r="PV454" s="978"/>
      <c r="PW454" s="978"/>
      <c r="PX454" s="978"/>
      <c r="PY454" s="978"/>
      <c r="PZ454" s="978"/>
      <c r="QA454" s="978"/>
      <c r="QB454" s="978"/>
      <c r="QC454" s="978"/>
      <c r="QD454" s="978"/>
      <c r="QE454" s="978"/>
      <c r="QF454" s="978"/>
      <c r="QG454" s="978"/>
      <c r="QH454" s="978"/>
      <c r="QI454" s="978"/>
      <c r="QJ454" s="978"/>
      <c r="QK454" s="978"/>
      <c r="QL454" s="978"/>
      <c r="QM454" s="978"/>
      <c r="QN454" s="978"/>
      <c r="QO454" s="978"/>
      <c r="QP454" s="978"/>
      <c r="QQ454" s="978"/>
      <c r="QR454" s="978"/>
      <c r="QS454" s="978"/>
      <c r="QT454" s="978"/>
      <c r="QU454" s="978"/>
      <c r="QV454" s="978"/>
      <c r="QW454" s="978"/>
      <c r="QX454" s="978"/>
      <c r="QY454" s="978"/>
      <c r="QZ454" s="978"/>
      <c r="RA454" s="978"/>
      <c r="RB454" s="274"/>
      <c r="RC454" s="274"/>
    </row>
    <row r="455" spans="112:471" ht="17.25">
      <c r="DH455" s="274"/>
      <c r="DI455" s="274"/>
      <c r="DJ455" s="978"/>
      <c r="DK455" s="978"/>
      <c r="DL455" s="978"/>
      <c r="DM455" s="978"/>
      <c r="DN455" s="978"/>
      <c r="DO455" s="978"/>
      <c r="DP455" s="978"/>
      <c r="DQ455" s="978"/>
      <c r="DR455" s="978"/>
      <c r="DS455" s="978"/>
      <c r="DT455" s="978"/>
      <c r="DU455" s="978"/>
      <c r="DV455" s="978"/>
      <c r="DW455" s="978"/>
      <c r="DX455" s="978"/>
      <c r="DY455" s="978"/>
      <c r="DZ455" s="978"/>
      <c r="EA455" s="978"/>
      <c r="EB455" s="978"/>
      <c r="EC455" s="978"/>
      <c r="ED455" s="978"/>
      <c r="EE455" s="978"/>
      <c r="EF455" s="978"/>
      <c r="EG455" s="978"/>
      <c r="EH455" s="978"/>
      <c r="EI455" s="978"/>
      <c r="EJ455" s="978"/>
      <c r="EK455" s="978"/>
      <c r="EL455" s="978"/>
      <c r="EM455" s="978"/>
      <c r="EN455" s="978"/>
      <c r="EO455" s="978"/>
      <c r="EP455" s="978"/>
      <c r="EQ455" s="978"/>
      <c r="ER455" s="978"/>
      <c r="ES455" s="978"/>
      <c r="ET455" s="978"/>
      <c r="EU455" s="978"/>
      <c r="EV455" s="978"/>
      <c r="EW455" s="978"/>
      <c r="EX455" s="978"/>
      <c r="EY455" s="978"/>
      <c r="EZ455" s="978"/>
      <c r="FA455" s="978"/>
      <c r="FB455" s="978"/>
      <c r="FC455" s="978"/>
      <c r="FD455" s="978"/>
      <c r="FE455" s="978"/>
      <c r="FF455" s="978"/>
      <c r="FG455" s="978"/>
      <c r="FH455" s="978"/>
      <c r="FI455" s="978"/>
      <c r="FJ455" s="978"/>
      <c r="FK455" s="978"/>
      <c r="FL455" s="978"/>
      <c r="FM455" s="978"/>
      <c r="FN455" s="978"/>
      <c r="FO455" s="978"/>
      <c r="FP455" s="978"/>
      <c r="FQ455" s="978"/>
      <c r="FR455" s="978"/>
      <c r="FS455" s="978"/>
      <c r="FT455" s="978"/>
      <c r="FU455" s="978"/>
      <c r="FV455" s="978"/>
      <c r="FW455" s="978"/>
      <c r="FX455" s="978"/>
      <c r="FY455" s="978"/>
      <c r="FZ455" s="978"/>
      <c r="GA455" s="978"/>
      <c r="GB455" s="978"/>
      <c r="GC455" s="978"/>
      <c r="GD455" s="978"/>
      <c r="GE455" s="978"/>
      <c r="GF455" s="978"/>
      <c r="GG455" s="978"/>
      <c r="GH455" s="978"/>
      <c r="GI455" s="978"/>
      <c r="GJ455" s="978"/>
      <c r="GK455" s="978"/>
      <c r="GL455" s="978"/>
      <c r="GM455" s="978"/>
      <c r="GN455" s="978"/>
      <c r="GO455" s="978"/>
      <c r="GP455" s="978"/>
      <c r="GQ455" s="978"/>
      <c r="GR455" s="978"/>
      <c r="GS455" s="978"/>
      <c r="GT455" s="978"/>
      <c r="GU455" s="978"/>
      <c r="GV455" s="978"/>
      <c r="GW455" s="978"/>
      <c r="GX455" s="978"/>
      <c r="GY455" s="978"/>
      <c r="GZ455" s="978"/>
      <c r="HA455" s="978"/>
      <c r="HB455" s="978"/>
      <c r="HC455" s="978"/>
      <c r="HD455" s="978"/>
      <c r="HE455" s="978"/>
      <c r="HF455" s="978"/>
      <c r="HG455" s="978"/>
      <c r="HH455" s="978"/>
      <c r="HI455" s="978"/>
      <c r="HJ455" s="978"/>
      <c r="HK455" s="978"/>
      <c r="HL455" s="978"/>
      <c r="HM455" s="978"/>
      <c r="HN455" s="978"/>
      <c r="HO455" s="978"/>
      <c r="HP455" s="978"/>
      <c r="HQ455" s="978"/>
      <c r="HR455" s="978"/>
      <c r="HS455" s="978"/>
      <c r="HT455" s="978"/>
      <c r="HU455" s="978"/>
      <c r="HV455" s="978"/>
      <c r="HW455" s="978"/>
      <c r="HX455" s="978"/>
      <c r="HY455" s="978"/>
      <c r="HZ455" s="978"/>
      <c r="IA455" s="978"/>
      <c r="IB455" s="978"/>
      <c r="IC455" s="978"/>
      <c r="ID455" s="978"/>
      <c r="IE455" s="978"/>
      <c r="IF455" s="978"/>
      <c r="IG455" s="978"/>
      <c r="IH455" s="978"/>
      <c r="II455" s="978"/>
      <c r="IJ455" s="978"/>
      <c r="IK455" s="978"/>
      <c r="IL455" s="978"/>
      <c r="IM455" s="978"/>
      <c r="IN455" s="978"/>
      <c r="IO455" s="978"/>
      <c r="IP455" s="978"/>
      <c r="IQ455" s="978"/>
      <c r="IR455" s="978"/>
      <c r="IS455" s="978"/>
      <c r="IT455" s="978"/>
      <c r="IU455" s="978"/>
      <c r="IV455" s="978"/>
      <c r="IW455" s="978"/>
      <c r="IX455" s="978"/>
      <c r="IY455" s="978"/>
      <c r="IZ455" s="978"/>
      <c r="JA455" s="978"/>
      <c r="JB455" s="978"/>
      <c r="JC455" s="978"/>
      <c r="JD455" s="978"/>
      <c r="JE455" s="978"/>
      <c r="JF455" s="978"/>
      <c r="JG455" s="978"/>
      <c r="JH455" s="978"/>
      <c r="JI455" s="978"/>
      <c r="JJ455" s="978"/>
      <c r="JK455" s="978"/>
      <c r="JL455" s="978"/>
      <c r="JM455" s="978"/>
      <c r="JN455" s="978"/>
      <c r="JO455" s="978"/>
      <c r="JP455" s="978"/>
      <c r="JQ455" s="978"/>
      <c r="JR455" s="978"/>
      <c r="JS455" s="978"/>
      <c r="JT455" s="978"/>
      <c r="JU455" s="978"/>
      <c r="JV455" s="978"/>
      <c r="JW455" s="978"/>
      <c r="JX455" s="978"/>
      <c r="JY455" s="978"/>
      <c r="JZ455" s="978"/>
      <c r="KA455" s="978"/>
      <c r="KB455" s="978"/>
      <c r="KC455" s="978"/>
      <c r="KD455" s="978"/>
      <c r="KE455" s="978"/>
      <c r="KF455" s="978"/>
      <c r="KG455" s="978"/>
      <c r="KH455" s="978"/>
      <c r="KI455" s="978"/>
      <c r="KJ455" s="978"/>
      <c r="KK455" s="978"/>
      <c r="KL455" s="978"/>
      <c r="KM455" s="978"/>
      <c r="KN455" s="978"/>
      <c r="KO455" s="978"/>
      <c r="KP455" s="978"/>
      <c r="KQ455" s="978"/>
      <c r="KR455" s="978"/>
      <c r="KS455" s="978"/>
      <c r="KT455" s="978"/>
      <c r="KU455" s="978"/>
      <c r="KV455" s="978"/>
      <c r="KW455" s="978"/>
      <c r="KX455" s="978"/>
      <c r="KY455" s="978"/>
      <c r="KZ455" s="978"/>
      <c r="LA455" s="978"/>
      <c r="LB455" s="978"/>
      <c r="LC455" s="978"/>
      <c r="LD455" s="978"/>
      <c r="LE455" s="978"/>
      <c r="LF455" s="978"/>
      <c r="LG455" s="978"/>
      <c r="LH455" s="978"/>
      <c r="LI455" s="978"/>
      <c r="LJ455" s="978"/>
      <c r="LK455" s="978"/>
      <c r="LL455" s="978"/>
      <c r="LM455" s="978"/>
      <c r="LN455" s="978"/>
      <c r="LO455" s="978"/>
      <c r="LP455" s="978"/>
      <c r="LQ455" s="978"/>
      <c r="LR455" s="978"/>
      <c r="LS455" s="978"/>
      <c r="LT455" s="978"/>
      <c r="LU455" s="978"/>
      <c r="LV455" s="978"/>
      <c r="LW455" s="978"/>
      <c r="LX455" s="978"/>
      <c r="LY455" s="978"/>
      <c r="LZ455" s="978"/>
      <c r="MA455" s="978"/>
      <c r="MB455" s="978"/>
      <c r="MC455" s="978"/>
      <c r="MD455" s="978"/>
      <c r="ME455" s="978"/>
      <c r="MF455" s="978"/>
      <c r="MG455" s="978"/>
      <c r="MH455" s="978"/>
      <c r="MI455" s="978"/>
      <c r="MJ455" s="978"/>
      <c r="MK455" s="978"/>
      <c r="ML455" s="978"/>
      <c r="MM455" s="978"/>
      <c r="MN455" s="978"/>
      <c r="MO455" s="978"/>
      <c r="MP455" s="978"/>
      <c r="MQ455" s="978"/>
      <c r="MR455" s="978"/>
      <c r="MS455" s="978"/>
      <c r="MT455" s="978"/>
      <c r="MU455" s="978"/>
      <c r="MV455" s="978"/>
      <c r="MW455" s="978"/>
      <c r="MX455" s="978"/>
      <c r="MY455" s="978"/>
      <c r="MZ455" s="978"/>
      <c r="NA455" s="978"/>
      <c r="NB455" s="978"/>
      <c r="NC455" s="978"/>
      <c r="ND455" s="978"/>
      <c r="NE455" s="978"/>
      <c r="NF455" s="978"/>
      <c r="NG455" s="978"/>
      <c r="NH455" s="978"/>
      <c r="NI455" s="978"/>
      <c r="NJ455" s="978"/>
      <c r="NK455" s="978"/>
      <c r="NL455" s="978"/>
      <c r="NM455" s="978"/>
      <c r="NN455" s="978"/>
      <c r="NO455" s="978"/>
      <c r="NP455" s="978"/>
      <c r="NQ455" s="978"/>
      <c r="NR455" s="978"/>
      <c r="NS455" s="978"/>
      <c r="NT455" s="978"/>
      <c r="NU455" s="978"/>
      <c r="NV455" s="978"/>
      <c r="NW455" s="978"/>
      <c r="NX455" s="978"/>
      <c r="NY455" s="978"/>
      <c r="NZ455" s="978"/>
      <c r="OA455" s="978"/>
      <c r="OB455" s="978"/>
      <c r="OC455" s="978"/>
      <c r="OD455" s="978"/>
      <c r="OE455" s="978"/>
      <c r="OF455" s="978"/>
      <c r="OG455" s="978"/>
      <c r="OH455" s="978"/>
      <c r="OI455" s="978"/>
      <c r="OJ455" s="978"/>
      <c r="OK455" s="978"/>
      <c r="OL455" s="978"/>
      <c r="OM455" s="978"/>
      <c r="ON455" s="978"/>
      <c r="OO455" s="978"/>
      <c r="OP455" s="978"/>
      <c r="OQ455" s="978"/>
      <c r="OR455" s="978"/>
      <c r="OS455" s="978"/>
      <c r="OT455" s="978"/>
      <c r="OU455" s="978"/>
      <c r="OV455" s="978"/>
      <c r="OW455" s="978"/>
      <c r="OX455" s="978"/>
      <c r="OY455" s="978"/>
      <c r="OZ455" s="978"/>
      <c r="PA455" s="978"/>
      <c r="PB455" s="978"/>
      <c r="PC455" s="978"/>
      <c r="PD455" s="978"/>
      <c r="PE455" s="978"/>
      <c r="PF455" s="978"/>
      <c r="PG455" s="978"/>
      <c r="PH455" s="978"/>
      <c r="PI455" s="978"/>
      <c r="PJ455" s="978"/>
      <c r="PK455" s="978"/>
      <c r="PL455" s="978"/>
      <c r="PM455" s="978"/>
      <c r="PN455" s="978"/>
      <c r="PO455" s="978"/>
      <c r="PP455" s="978"/>
      <c r="PQ455" s="978"/>
      <c r="PR455" s="978"/>
      <c r="PS455" s="978"/>
      <c r="PT455" s="978"/>
      <c r="PU455" s="978"/>
      <c r="PV455" s="978"/>
      <c r="PW455" s="978"/>
      <c r="PX455" s="978"/>
      <c r="PY455" s="978"/>
      <c r="PZ455" s="978"/>
      <c r="QA455" s="978"/>
      <c r="QB455" s="978"/>
      <c r="QC455" s="978"/>
      <c r="QD455" s="978"/>
      <c r="QE455" s="978"/>
      <c r="QF455" s="978"/>
      <c r="QG455" s="978"/>
      <c r="QH455" s="978"/>
      <c r="QI455" s="978"/>
      <c r="QJ455" s="978"/>
      <c r="QK455" s="978"/>
      <c r="QL455" s="978"/>
      <c r="QM455" s="978"/>
      <c r="QN455" s="978"/>
      <c r="QO455" s="978"/>
      <c r="QP455" s="978"/>
      <c r="QQ455" s="978"/>
      <c r="QR455" s="978"/>
      <c r="QS455" s="978"/>
      <c r="QT455" s="978"/>
      <c r="QU455" s="978"/>
      <c r="QV455" s="978"/>
      <c r="QW455" s="978"/>
      <c r="QX455" s="978"/>
      <c r="QY455" s="978"/>
      <c r="QZ455" s="978"/>
      <c r="RA455" s="978"/>
      <c r="RB455" s="274"/>
      <c r="RC455" s="274"/>
    </row>
    <row r="456" spans="112:471" ht="17.25">
      <c r="DH456" s="274"/>
      <c r="DI456" s="274"/>
      <c r="DJ456" s="978"/>
      <c r="DK456" s="978"/>
      <c r="DL456" s="978"/>
      <c r="DM456" s="978"/>
      <c r="DN456" s="978"/>
      <c r="DO456" s="978"/>
      <c r="DP456" s="978"/>
      <c r="DQ456" s="978"/>
      <c r="DR456" s="978"/>
      <c r="DS456" s="978"/>
      <c r="DT456" s="978"/>
      <c r="DU456" s="978"/>
      <c r="DV456" s="978"/>
      <c r="DW456" s="978"/>
      <c r="DX456" s="978"/>
      <c r="DY456" s="978"/>
      <c r="DZ456" s="978"/>
      <c r="EA456" s="978"/>
      <c r="EB456" s="978"/>
      <c r="EC456" s="978"/>
      <c r="ED456" s="978"/>
      <c r="EE456" s="978"/>
      <c r="EF456" s="978"/>
      <c r="EG456" s="978"/>
      <c r="EH456" s="978"/>
      <c r="EI456" s="978"/>
      <c r="EJ456" s="978"/>
      <c r="EK456" s="978"/>
      <c r="EL456" s="978"/>
      <c r="EM456" s="978"/>
      <c r="EN456" s="978"/>
      <c r="EO456" s="978"/>
      <c r="EP456" s="978"/>
      <c r="EQ456" s="978"/>
      <c r="ER456" s="978"/>
      <c r="ES456" s="978"/>
      <c r="ET456" s="978"/>
      <c r="EU456" s="978"/>
      <c r="EV456" s="978"/>
      <c r="EW456" s="978"/>
      <c r="EX456" s="978"/>
      <c r="EY456" s="978"/>
      <c r="EZ456" s="978"/>
      <c r="FA456" s="978"/>
      <c r="FB456" s="978"/>
      <c r="FC456" s="978"/>
      <c r="FD456" s="978"/>
      <c r="FE456" s="978"/>
      <c r="FF456" s="978"/>
      <c r="FG456" s="978"/>
      <c r="FH456" s="978"/>
      <c r="FI456" s="978"/>
      <c r="FJ456" s="978"/>
      <c r="FK456" s="978"/>
      <c r="FL456" s="978"/>
      <c r="FM456" s="978"/>
      <c r="FN456" s="978"/>
      <c r="FO456" s="978"/>
      <c r="FP456" s="978"/>
      <c r="FQ456" s="978"/>
      <c r="FR456" s="978"/>
      <c r="FS456" s="978"/>
      <c r="FT456" s="978"/>
      <c r="FU456" s="978"/>
      <c r="FV456" s="978"/>
      <c r="FW456" s="978"/>
      <c r="FX456" s="978"/>
      <c r="FY456" s="978"/>
      <c r="FZ456" s="978"/>
      <c r="GA456" s="978"/>
      <c r="GB456" s="978"/>
      <c r="GC456" s="978"/>
      <c r="GD456" s="978"/>
      <c r="GE456" s="978"/>
      <c r="GF456" s="978"/>
      <c r="GG456" s="978"/>
      <c r="GH456" s="978"/>
      <c r="GI456" s="978"/>
      <c r="GJ456" s="978"/>
      <c r="GK456" s="978"/>
      <c r="GL456" s="978"/>
      <c r="GM456" s="978"/>
      <c r="GN456" s="978"/>
      <c r="GO456" s="978"/>
      <c r="GP456" s="978"/>
      <c r="GQ456" s="978"/>
      <c r="GR456" s="978"/>
      <c r="GS456" s="978"/>
      <c r="GT456" s="978"/>
      <c r="GU456" s="978"/>
      <c r="GV456" s="978"/>
      <c r="GW456" s="978"/>
      <c r="GX456" s="978"/>
      <c r="GY456" s="978"/>
      <c r="GZ456" s="978"/>
      <c r="HA456" s="978"/>
      <c r="HB456" s="978"/>
      <c r="HC456" s="978"/>
      <c r="HD456" s="978"/>
      <c r="HE456" s="978"/>
      <c r="HF456" s="978"/>
      <c r="HG456" s="978"/>
      <c r="HH456" s="978"/>
      <c r="HI456" s="978"/>
      <c r="HJ456" s="978"/>
      <c r="HK456" s="978"/>
      <c r="HL456" s="978"/>
      <c r="HM456" s="978"/>
      <c r="HN456" s="978"/>
      <c r="HO456" s="978"/>
      <c r="HP456" s="978"/>
      <c r="HQ456" s="978"/>
      <c r="HR456" s="978"/>
      <c r="HS456" s="978"/>
      <c r="HT456" s="978"/>
      <c r="HU456" s="978"/>
      <c r="HV456" s="978"/>
      <c r="HW456" s="978"/>
      <c r="HX456" s="978"/>
      <c r="HY456" s="978"/>
      <c r="HZ456" s="978"/>
      <c r="IA456" s="978"/>
      <c r="IB456" s="978"/>
      <c r="IC456" s="978"/>
      <c r="ID456" s="978"/>
      <c r="IE456" s="978"/>
      <c r="IF456" s="978"/>
      <c r="IG456" s="978"/>
      <c r="IH456" s="978"/>
      <c r="II456" s="978"/>
      <c r="IJ456" s="978"/>
      <c r="IK456" s="978"/>
      <c r="IL456" s="978"/>
      <c r="IM456" s="978"/>
      <c r="IN456" s="978"/>
      <c r="IO456" s="978"/>
      <c r="IP456" s="978"/>
      <c r="IQ456" s="978"/>
      <c r="IR456" s="978"/>
      <c r="IS456" s="978"/>
      <c r="IT456" s="978"/>
      <c r="IU456" s="978"/>
      <c r="IV456" s="978"/>
      <c r="IW456" s="978"/>
      <c r="IX456" s="978"/>
      <c r="IY456" s="978"/>
      <c r="IZ456" s="978"/>
      <c r="JA456" s="978"/>
      <c r="JB456" s="978"/>
      <c r="JC456" s="978"/>
      <c r="JD456" s="978"/>
      <c r="JE456" s="978"/>
      <c r="JF456" s="978"/>
      <c r="JG456" s="978"/>
      <c r="JH456" s="978"/>
      <c r="JI456" s="978"/>
      <c r="JJ456" s="978"/>
      <c r="JK456" s="978"/>
      <c r="JL456" s="978"/>
      <c r="JM456" s="978"/>
      <c r="JN456" s="978"/>
      <c r="JO456" s="978"/>
      <c r="JP456" s="978"/>
      <c r="JQ456" s="978"/>
      <c r="JR456" s="978"/>
      <c r="JS456" s="978"/>
      <c r="JT456" s="978"/>
      <c r="JU456" s="978"/>
      <c r="JV456" s="978"/>
      <c r="JW456" s="978"/>
      <c r="JX456" s="978"/>
      <c r="JY456" s="978"/>
      <c r="JZ456" s="978"/>
      <c r="KA456" s="978"/>
      <c r="KB456" s="978"/>
      <c r="KC456" s="978"/>
      <c r="KD456" s="978"/>
      <c r="KE456" s="978"/>
      <c r="KF456" s="978"/>
      <c r="KG456" s="978"/>
      <c r="KH456" s="978"/>
      <c r="KI456" s="978"/>
      <c r="KJ456" s="978"/>
      <c r="KK456" s="978"/>
      <c r="KL456" s="978"/>
      <c r="KM456" s="978"/>
      <c r="KN456" s="978"/>
      <c r="KO456" s="978"/>
      <c r="KP456" s="978"/>
      <c r="KQ456" s="978"/>
      <c r="KR456" s="978"/>
      <c r="KS456" s="978"/>
      <c r="KT456" s="978"/>
      <c r="KU456" s="978"/>
      <c r="KV456" s="978"/>
      <c r="KW456" s="978"/>
      <c r="KX456" s="978"/>
      <c r="KY456" s="978"/>
      <c r="KZ456" s="978"/>
      <c r="LA456" s="978"/>
      <c r="LB456" s="978"/>
      <c r="LC456" s="978"/>
      <c r="LD456" s="978"/>
      <c r="LE456" s="978"/>
      <c r="LF456" s="978"/>
      <c r="LG456" s="978"/>
      <c r="LH456" s="978"/>
      <c r="LI456" s="978"/>
      <c r="LJ456" s="978"/>
      <c r="LK456" s="978"/>
      <c r="LL456" s="978"/>
      <c r="LM456" s="978"/>
      <c r="LN456" s="978"/>
      <c r="LO456" s="978"/>
      <c r="LP456" s="978"/>
      <c r="LQ456" s="978"/>
      <c r="LR456" s="978"/>
      <c r="LS456" s="978"/>
      <c r="LT456" s="978"/>
      <c r="LU456" s="978"/>
      <c r="LV456" s="978"/>
      <c r="LW456" s="978"/>
      <c r="LX456" s="978"/>
      <c r="LY456" s="978"/>
      <c r="LZ456" s="978"/>
      <c r="MA456" s="978"/>
      <c r="MB456" s="978"/>
      <c r="MC456" s="978"/>
      <c r="MD456" s="978"/>
      <c r="ME456" s="978"/>
      <c r="MF456" s="978"/>
      <c r="MG456" s="978"/>
      <c r="MH456" s="978"/>
      <c r="MI456" s="978"/>
      <c r="MJ456" s="978"/>
      <c r="MK456" s="978"/>
      <c r="ML456" s="978"/>
      <c r="MM456" s="978"/>
      <c r="MN456" s="978"/>
      <c r="MO456" s="978"/>
      <c r="MP456" s="978"/>
      <c r="MQ456" s="978"/>
      <c r="MR456" s="978"/>
      <c r="MS456" s="978"/>
      <c r="MT456" s="978"/>
      <c r="MU456" s="978"/>
      <c r="MV456" s="978"/>
      <c r="MW456" s="978"/>
      <c r="MX456" s="978"/>
      <c r="MY456" s="978"/>
      <c r="MZ456" s="978"/>
      <c r="NA456" s="978"/>
      <c r="NB456" s="978"/>
      <c r="NC456" s="978"/>
      <c r="ND456" s="978"/>
      <c r="NE456" s="978"/>
      <c r="NF456" s="978"/>
      <c r="NG456" s="978"/>
      <c r="NH456" s="978"/>
      <c r="NI456" s="978"/>
      <c r="NJ456" s="978"/>
      <c r="NK456" s="978"/>
      <c r="NL456" s="978"/>
      <c r="NM456" s="978"/>
      <c r="NN456" s="978"/>
      <c r="NO456" s="978"/>
      <c r="NP456" s="978"/>
      <c r="NQ456" s="978"/>
      <c r="NR456" s="978"/>
      <c r="NS456" s="978"/>
      <c r="NT456" s="978"/>
      <c r="NU456" s="978"/>
      <c r="NV456" s="978"/>
      <c r="NW456" s="978"/>
      <c r="NX456" s="978"/>
      <c r="NY456" s="978"/>
      <c r="NZ456" s="978"/>
      <c r="OA456" s="978"/>
      <c r="OB456" s="978"/>
      <c r="OC456" s="978"/>
      <c r="OD456" s="978"/>
      <c r="OE456" s="978"/>
      <c r="OF456" s="978"/>
      <c r="OG456" s="978"/>
      <c r="OH456" s="978"/>
      <c r="OI456" s="978"/>
      <c r="OJ456" s="978"/>
      <c r="OK456" s="978"/>
      <c r="OL456" s="978"/>
      <c r="OM456" s="978"/>
      <c r="ON456" s="978"/>
      <c r="OO456" s="978"/>
      <c r="OP456" s="978"/>
      <c r="OQ456" s="978"/>
      <c r="OR456" s="978"/>
      <c r="OS456" s="978"/>
      <c r="OT456" s="978"/>
      <c r="OU456" s="978"/>
      <c r="OV456" s="978"/>
      <c r="OW456" s="978"/>
      <c r="OX456" s="978"/>
      <c r="OY456" s="978"/>
      <c r="OZ456" s="978"/>
      <c r="PA456" s="978"/>
      <c r="PB456" s="978"/>
      <c r="PC456" s="978"/>
      <c r="PD456" s="978"/>
      <c r="PE456" s="978"/>
      <c r="PF456" s="978"/>
      <c r="PG456" s="978"/>
      <c r="PH456" s="978"/>
      <c r="PI456" s="978"/>
      <c r="PJ456" s="978"/>
      <c r="PK456" s="978"/>
      <c r="PL456" s="978"/>
      <c r="PM456" s="978"/>
      <c r="PN456" s="978"/>
      <c r="PO456" s="978"/>
      <c r="PP456" s="978"/>
      <c r="PQ456" s="978"/>
      <c r="PR456" s="978"/>
      <c r="PS456" s="978"/>
      <c r="PT456" s="978"/>
      <c r="PU456" s="978"/>
      <c r="PV456" s="978"/>
      <c r="PW456" s="978"/>
      <c r="PX456" s="978"/>
      <c r="PY456" s="978"/>
      <c r="PZ456" s="978"/>
      <c r="QA456" s="978"/>
      <c r="QB456" s="978"/>
      <c r="QC456" s="978"/>
      <c r="QD456" s="978"/>
      <c r="QE456" s="978"/>
      <c r="QF456" s="978"/>
      <c r="QG456" s="978"/>
      <c r="QH456" s="978"/>
      <c r="QI456" s="978"/>
      <c r="QJ456" s="978"/>
      <c r="QK456" s="978"/>
      <c r="QL456" s="978"/>
      <c r="QM456" s="978"/>
      <c r="QN456" s="978"/>
      <c r="QO456" s="978"/>
      <c r="QP456" s="978"/>
      <c r="QQ456" s="978"/>
      <c r="QR456" s="978"/>
      <c r="QS456" s="978"/>
      <c r="QT456" s="978"/>
      <c r="QU456" s="978"/>
      <c r="QV456" s="978"/>
      <c r="QW456" s="978"/>
      <c r="QX456" s="978"/>
      <c r="QY456" s="978"/>
      <c r="QZ456" s="978"/>
      <c r="RA456" s="978"/>
      <c r="RB456" s="274"/>
      <c r="RC456" s="274"/>
    </row>
    <row r="457" spans="112:471" ht="17.25">
      <c r="DH457" s="274"/>
      <c r="DI457" s="274"/>
      <c r="DJ457" s="978"/>
      <c r="DK457" s="978"/>
      <c r="DL457" s="978"/>
      <c r="DM457" s="978"/>
      <c r="DN457" s="978"/>
      <c r="DO457" s="978"/>
      <c r="DP457" s="978"/>
      <c r="DQ457" s="978"/>
      <c r="DR457" s="978"/>
      <c r="DS457" s="978"/>
      <c r="DT457" s="978"/>
      <c r="DU457" s="978"/>
      <c r="DV457" s="978"/>
      <c r="DW457" s="978"/>
      <c r="DX457" s="978"/>
      <c r="DY457" s="978"/>
      <c r="DZ457" s="978"/>
      <c r="EA457" s="978"/>
      <c r="EB457" s="978"/>
      <c r="EC457" s="978"/>
      <c r="ED457" s="978"/>
      <c r="EE457" s="978"/>
      <c r="EF457" s="978"/>
      <c r="EG457" s="978"/>
      <c r="EH457" s="978"/>
      <c r="EI457" s="978"/>
      <c r="EJ457" s="978"/>
      <c r="EK457" s="978"/>
      <c r="EL457" s="978"/>
      <c r="EM457" s="978"/>
      <c r="EN457" s="978"/>
      <c r="EO457" s="978"/>
      <c r="EP457" s="978"/>
      <c r="EQ457" s="978"/>
      <c r="ER457" s="978"/>
      <c r="ES457" s="978"/>
      <c r="ET457" s="978"/>
      <c r="EU457" s="978"/>
      <c r="EV457" s="978"/>
      <c r="EW457" s="978"/>
      <c r="EX457" s="978"/>
      <c r="EY457" s="978"/>
      <c r="EZ457" s="978"/>
      <c r="FA457" s="978"/>
      <c r="FB457" s="978"/>
      <c r="FC457" s="978"/>
      <c r="FD457" s="978"/>
      <c r="FE457" s="978"/>
      <c r="FF457" s="978"/>
      <c r="FG457" s="978"/>
      <c r="FH457" s="978"/>
      <c r="FI457" s="978"/>
      <c r="FJ457" s="978"/>
      <c r="FK457" s="978"/>
      <c r="FL457" s="978"/>
      <c r="FM457" s="978"/>
      <c r="FN457" s="978"/>
      <c r="FO457" s="978"/>
      <c r="FP457" s="978"/>
      <c r="FQ457" s="978"/>
      <c r="FR457" s="978"/>
      <c r="FS457" s="978"/>
      <c r="FT457" s="978"/>
      <c r="FU457" s="978"/>
      <c r="FV457" s="978"/>
      <c r="FW457" s="978"/>
      <c r="FX457" s="978"/>
      <c r="FY457" s="978"/>
      <c r="FZ457" s="978"/>
      <c r="GA457" s="978"/>
      <c r="GB457" s="978"/>
      <c r="GC457" s="978"/>
      <c r="GD457" s="978"/>
      <c r="GE457" s="978"/>
      <c r="GF457" s="978"/>
      <c r="GG457" s="978"/>
      <c r="GH457" s="978"/>
      <c r="GI457" s="978"/>
      <c r="GJ457" s="978"/>
      <c r="GK457" s="978"/>
      <c r="GL457" s="978"/>
      <c r="GM457" s="978"/>
      <c r="GN457" s="978"/>
      <c r="GO457" s="978"/>
      <c r="GP457" s="978"/>
      <c r="GQ457" s="978"/>
      <c r="GR457" s="978"/>
      <c r="GS457" s="978"/>
      <c r="GT457" s="978"/>
      <c r="GU457" s="978"/>
      <c r="GV457" s="978"/>
      <c r="GW457" s="978"/>
      <c r="GX457" s="978"/>
      <c r="GY457" s="978"/>
      <c r="GZ457" s="978"/>
      <c r="HA457" s="978"/>
      <c r="HB457" s="978"/>
      <c r="HC457" s="978"/>
      <c r="HD457" s="978"/>
      <c r="HE457" s="978"/>
      <c r="HF457" s="978"/>
      <c r="HG457" s="978"/>
      <c r="HH457" s="978"/>
      <c r="HI457" s="978"/>
      <c r="HJ457" s="978"/>
      <c r="HK457" s="978"/>
      <c r="HL457" s="978"/>
      <c r="HM457" s="978"/>
      <c r="HN457" s="978"/>
      <c r="HO457" s="978"/>
      <c r="HP457" s="978"/>
      <c r="HQ457" s="978"/>
      <c r="HR457" s="978"/>
      <c r="HS457" s="978"/>
      <c r="HT457" s="978"/>
      <c r="HU457" s="978"/>
      <c r="HV457" s="978"/>
      <c r="HW457" s="978"/>
      <c r="HX457" s="978"/>
      <c r="HY457" s="978"/>
      <c r="HZ457" s="978"/>
      <c r="IA457" s="978"/>
      <c r="IB457" s="978"/>
      <c r="IC457" s="978"/>
      <c r="ID457" s="978"/>
      <c r="IE457" s="978"/>
      <c r="IF457" s="978"/>
      <c r="IG457" s="978"/>
      <c r="IH457" s="978"/>
      <c r="II457" s="978"/>
      <c r="IJ457" s="978"/>
      <c r="IK457" s="978"/>
      <c r="IL457" s="978"/>
      <c r="IM457" s="978"/>
      <c r="IN457" s="978"/>
      <c r="IO457" s="978"/>
      <c r="IP457" s="978"/>
      <c r="IQ457" s="978"/>
      <c r="IR457" s="978"/>
      <c r="IS457" s="978"/>
      <c r="IT457" s="978"/>
      <c r="IU457" s="978"/>
      <c r="IV457" s="978"/>
      <c r="IW457" s="978"/>
      <c r="IX457" s="978"/>
      <c r="IY457" s="978"/>
      <c r="IZ457" s="978"/>
      <c r="JA457" s="978"/>
      <c r="JB457" s="978"/>
      <c r="JC457" s="978"/>
      <c r="JD457" s="978"/>
      <c r="JE457" s="978"/>
      <c r="JF457" s="978"/>
      <c r="JG457" s="978"/>
      <c r="JH457" s="978"/>
      <c r="JI457" s="978"/>
      <c r="JJ457" s="978"/>
      <c r="JK457" s="978"/>
      <c r="JL457" s="978"/>
      <c r="JM457" s="978"/>
      <c r="JN457" s="978"/>
      <c r="JO457" s="978"/>
      <c r="JP457" s="978"/>
      <c r="JQ457" s="978"/>
      <c r="JR457" s="978"/>
      <c r="JS457" s="978"/>
      <c r="JT457" s="978"/>
      <c r="JU457" s="978"/>
      <c r="JV457" s="978"/>
      <c r="JW457" s="978"/>
      <c r="JX457" s="978"/>
      <c r="JY457" s="978"/>
      <c r="JZ457" s="978"/>
      <c r="KA457" s="978"/>
      <c r="KB457" s="978"/>
      <c r="KC457" s="978"/>
      <c r="KD457" s="978"/>
      <c r="KE457" s="978"/>
      <c r="KF457" s="978"/>
      <c r="KG457" s="978"/>
      <c r="KH457" s="978"/>
      <c r="KI457" s="978"/>
      <c r="KJ457" s="978"/>
      <c r="KK457" s="978"/>
      <c r="KL457" s="978"/>
      <c r="KM457" s="978"/>
      <c r="KN457" s="978"/>
      <c r="KO457" s="978"/>
      <c r="KP457" s="978"/>
      <c r="KQ457" s="978"/>
      <c r="KR457" s="978"/>
      <c r="KS457" s="978"/>
      <c r="KT457" s="978"/>
      <c r="KU457" s="978"/>
      <c r="KV457" s="978"/>
      <c r="KW457" s="978"/>
      <c r="KX457" s="978"/>
      <c r="KY457" s="978"/>
      <c r="KZ457" s="978"/>
      <c r="LA457" s="978"/>
      <c r="LB457" s="978"/>
      <c r="LC457" s="978"/>
      <c r="LD457" s="978"/>
      <c r="LE457" s="978"/>
      <c r="LF457" s="978"/>
      <c r="LG457" s="978"/>
      <c r="LH457" s="978"/>
      <c r="LI457" s="978"/>
      <c r="LJ457" s="978"/>
      <c r="LK457" s="978"/>
      <c r="LL457" s="978"/>
      <c r="LM457" s="978"/>
      <c r="LN457" s="978"/>
      <c r="LO457" s="978"/>
      <c r="LP457" s="978"/>
      <c r="LQ457" s="978"/>
      <c r="LR457" s="978"/>
      <c r="LS457" s="978"/>
      <c r="LT457" s="978"/>
      <c r="LU457" s="978"/>
      <c r="LV457" s="978"/>
      <c r="LW457" s="978"/>
      <c r="LX457" s="978"/>
      <c r="LY457" s="978"/>
      <c r="LZ457" s="978"/>
      <c r="MA457" s="978"/>
      <c r="MB457" s="978"/>
      <c r="MC457" s="978"/>
      <c r="MD457" s="978"/>
      <c r="ME457" s="978"/>
      <c r="MF457" s="978"/>
      <c r="MG457" s="978"/>
      <c r="MH457" s="978"/>
      <c r="MI457" s="978"/>
      <c r="MJ457" s="978"/>
      <c r="MK457" s="978"/>
      <c r="ML457" s="978"/>
      <c r="MM457" s="978"/>
      <c r="MN457" s="978"/>
      <c r="MO457" s="978"/>
      <c r="MP457" s="978"/>
      <c r="MQ457" s="978"/>
      <c r="MR457" s="978"/>
      <c r="MS457" s="978"/>
      <c r="MT457" s="978"/>
      <c r="MU457" s="978"/>
      <c r="MV457" s="978"/>
      <c r="MW457" s="978"/>
      <c r="MX457" s="978"/>
      <c r="MY457" s="978"/>
      <c r="MZ457" s="978"/>
      <c r="NA457" s="978"/>
      <c r="NB457" s="978"/>
      <c r="NC457" s="978"/>
      <c r="ND457" s="978"/>
      <c r="NE457" s="978"/>
      <c r="NF457" s="978"/>
      <c r="NG457" s="978"/>
      <c r="NH457" s="978"/>
      <c r="NI457" s="978"/>
      <c r="NJ457" s="978"/>
      <c r="NK457" s="978"/>
      <c r="NL457" s="978"/>
      <c r="NM457" s="978"/>
      <c r="NN457" s="978"/>
      <c r="NO457" s="978"/>
      <c r="NP457" s="978"/>
      <c r="NQ457" s="978"/>
      <c r="NR457" s="978"/>
      <c r="NS457" s="978"/>
      <c r="NT457" s="978"/>
      <c r="NU457" s="978"/>
      <c r="NV457" s="978"/>
      <c r="NW457" s="978"/>
      <c r="NX457" s="978"/>
      <c r="NY457" s="978"/>
      <c r="NZ457" s="978"/>
      <c r="OA457" s="978"/>
      <c r="OB457" s="978"/>
      <c r="OC457" s="978"/>
      <c r="OD457" s="978"/>
      <c r="OE457" s="978"/>
      <c r="OF457" s="978"/>
      <c r="OG457" s="978"/>
      <c r="OH457" s="978"/>
      <c r="OI457" s="978"/>
      <c r="OJ457" s="978"/>
      <c r="OK457" s="978"/>
      <c r="OL457" s="978"/>
      <c r="OM457" s="978"/>
      <c r="ON457" s="978"/>
      <c r="OO457" s="978"/>
      <c r="OP457" s="978"/>
      <c r="OQ457" s="978"/>
      <c r="OR457" s="978"/>
      <c r="OS457" s="978"/>
      <c r="OT457" s="978"/>
      <c r="OU457" s="978"/>
      <c r="OV457" s="978"/>
      <c r="OW457" s="978"/>
      <c r="OX457" s="978"/>
      <c r="OY457" s="978"/>
      <c r="OZ457" s="978"/>
      <c r="PA457" s="978"/>
      <c r="PB457" s="978"/>
      <c r="PC457" s="978"/>
      <c r="PD457" s="978"/>
      <c r="PE457" s="978"/>
      <c r="PF457" s="978"/>
      <c r="PG457" s="978"/>
      <c r="PH457" s="978"/>
      <c r="PI457" s="978"/>
      <c r="PJ457" s="978"/>
      <c r="PK457" s="978"/>
      <c r="PL457" s="978"/>
      <c r="PM457" s="978"/>
      <c r="PN457" s="978"/>
      <c r="PO457" s="978"/>
      <c r="PP457" s="978"/>
      <c r="PQ457" s="978"/>
      <c r="PR457" s="978"/>
      <c r="PS457" s="978"/>
      <c r="PT457" s="978"/>
      <c r="PU457" s="978"/>
      <c r="PV457" s="978"/>
      <c r="PW457" s="978"/>
      <c r="PX457" s="978"/>
      <c r="PY457" s="978"/>
      <c r="PZ457" s="978"/>
      <c r="QA457" s="978"/>
      <c r="QB457" s="978"/>
      <c r="QC457" s="978"/>
      <c r="QD457" s="978"/>
      <c r="QE457" s="978"/>
      <c r="QF457" s="978"/>
      <c r="QG457" s="978"/>
      <c r="QH457" s="978"/>
      <c r="QI457" s="978"/>
      <c r="QJ457" s="978"/>
      <c r="QK457" s="978"/>
      <c r="QL457" s="978"/>
      <c r="QM457" s="978"/>
      <c r="QN457" s="978"/>
      <c r="QO457" s="978"/>
      <c r="QP457" s="978"/>
      <c r="QQ457" s="978"/>
      <c r="QR457" s="978"/>
      <c r="QS457" s="978"/>
      <c r="QT457" s="978"/>
      <c r="QU457" s="978"/>
      <c r="QV457" s="978"/>
      <c r="QW457" s="978"/>
      <c r="QX457" s="978"/>
      <c r="QY457" s="978"/>
      <c r="QZ457" s="978"/>
      <c r="RA457" s="978"/>
      <c r="RB457" s="274"/>
      <c r="RC457" s="274"/>
    </row>
    <row r="458" spans="112:471" ht="17.25">
      <c r="DH458" s="274"/>
      <c r="DI458" s="274"/>
      <c r="DJ458" s="978"/>
      <c r="DK458" s="978"/>
      <c r="DL458" s="978"/>
      <c r="DM458" s="978"/>
      <c r="DN458" s="978"/>
      <c r="DO458" s="978"/>
      <c r="DP458" s="978"/>
      <c r="DQ458" s="978"/>
      <c r="DR458" s="978"/>
      <c r="DS458" s="978"/>
      <c r="DT458" s="978"/>
      <c r="DU458" s="978"/>
      <c r="DV458" s="978"/>
      <c r="DW458" s="978"/>
      <c r="DX458" s="978"/>
      <c r="DY458" s="978"/>
      <c r="DZ458" s="978"/>
      <c r="EA458" s="978"/>
      <c r="EB458" s="978"/>
      <c r="EC458" s="978"/>
      <c r="ED458" s="978"/>
      <c r="EE458" s="978"/>
      <c r="EF458" s="978"/>
      <c r="EG458" s="978"/>
      <c r="EH458" s="978"/>
      <c r="EI458" s="978"/>
      <c r="EJ458" s="978"/>
      <c r="EK458" s="978"/>
      <c r="EL458" s="978"/>
      <c r="EM458" s="978"/>
      <c r="EN458" s="978"/>
      <c r="EO458" s="978"/>
      <c r="EP458" s="978"/>
      <c r="EQ458" s="978"/>
      <c r="ER458" s="978"/>
      <c r="ES458" s="978"/>
      <c r="ET458" s="978"/>
      <c r="EU458" s="978"/>
      <c r="EV458" s="978"/>
      <c r="EW458" s="978"/>
      <c r="EX458" s="978"/>
      <c r="EY458" s="978"/>
      <c r="EZ458" s="978"/>
      <c r="FA458" s="978"/>
      <c r="FB458" s="978"/>
      <c r="FC458" s="978"/>
      <c r="FD458" s="978"/>
      <c r="FE458" s="978"/>
      <c r="FF458" s="978"/>
      <c r="FG458" s="978"/>
      <c r="FH458" s="978"/>
      <c r="FI458" s="978"/>
      <c r="FJ458" s="978"/>
      <c r="FK458" s="978"/>
      <c r="FL458" s="978"/>
      <c r="FM458" s="978"/>
      <c r="FN458" s="978"/>
      <c r="FO458" s="978"/>
      <c r="FP458" s="978"/>
      <c r="FQ458" s="978"/>
      <c r="FR458" s="978"/>
      <c r="FS458" s="978"/>
      <c r="FT458" s="978"/>
      <c r="FU458" s="978"/>
      <c r="FV458" s="978"/>
      <c r="FW458" s="978"/>
      <c r="FX458" s="978"/>
      <c r="FY458" s="978"/>
      <c r="FZ458" s="978"/>
      <c r="GA458" s="978"/>
      <c r="GB458" s="978"/>
      <c r="GC458" s="978"/>
      <c r="GD458" s="978"/>
      <c r="GE458" s="978"/>
      <c r="GF458" s="978"/>
      <c r="GG458" s="978"/>
      <c r="GH458" s="978"/>
      <c r="GI458" s="978"/>
      <c r="GJ458" s="978"/>
      <c r="GK458" s="978"/>
      <c r="GL458" s="978"/>
      <c r="GM458" s="978"/>
      <c r="GN458" s="978"/>
      <c r="GO458" s="978"/>
      <c r="GP458" s="978"/>
      <c r="GQ458" s="978"/>
      <c r="GR458" s="978"/>
      <c r="GS458" s="978"/>
      <c r="GT458" s="978"/>
      <c r="GU458" s="978"/>
      <c r="GV458" s="978"/>
      <c r="GW458" s="978"/>
      <c r="GX458" s="978"/>
      <c r="GY458" s="978"/>
      <c r="GZ458" s="978"/>
      <c r="HA458" s="978"/>
      <c r="HB458" s="978"/>
      <c r="HC458" s="978"/>
      <c r="HD458" s="978"/>
      <c r="HE458" s="978"/>
      <c r="HF458" s="978"/>
      <c r="HG458" s="978"/>
      <c r="HH458" s="978"/>
      <c r="HI458" s="978"/>
      <c r="HJ458" s="978"/>
      <c r="HK458" s="978"/>
      <c r="HL458" s="978"/>
      <c r="HM458" s="978"/>
      <c r="HN458" s="978"/>
      <c r="HO458" s="978"/>
      <c r="HP458" s="978"/>
      <c r="HQ458" s="978"/>
      <c r="HR458" s="978"/>
      <c r="HS458" s="978"/>
      <c r="HT458" s="978"/>
      <c r="HU458" s="978"/>
      <c r="HV458" s="978"/>
      <c r="HW458" s="978"/>
      <c r="HX458" s="978"/>
      <c r="HY458" s="978"/>
      <c r="HZ458" s="978"/>
      <c r="IA458" s="978"/>
      <c r="IB458" s="978"/>
      <c r="IC458" s="978"/>
      <c r="ID458" s="978"/>
      <c r="IE458" s="978"/>
      <c r="IF458" s="978"/>
      <c r="IG458" s="978"/>
      <c r="IH458" s="978"/>
      <c r="II458" s="978"/>
      <c r="IJ458" s="978"/>
      <c r="IK458" s="978"/>
      <c r="IL458" s="978"/>
      <c r="IM458" s="978"/>
      <c r="IN458" s="978"/>
      <c r="IO458" s="978"/>
      <c r="IP458" s="978"/>
      <c r="IQ458" s="978"/>
      <c r="IR458" s="978"/>
      <c r="IS458" s="978"/>
      <c r="IT458" s="978"/>
      <c r="IU458" s="978"/>
      <c r="IV458" s="978"/>
      <c r="IW458" s="978"/>
      <c r="IX458" s="978"/>
      <c r="IY458" s="978"/>
      <c r="IZ458" s="978"/>
      <c r="JA458" s="978"/>
      <c r="JB458" s="978"/>
      <c r="JC458" s="978"/>
      <c r="JD458" s="978"/>
      <c r="JE458" s="978"/>
      <c r="JF458" s="978"/>
      <c r="JG458" s="978"/>
      <c r="JH458" s="978"/>
      <c r="JI458" s="978"/>
      <c r="JJ458" s="978"/>
      <c r="JK458" s="978"/>
      <c r="JL458" s="978"/>
      <c r="JM458" s="978"/>
      <c r="JN458" s="978"/>
      <c r="JO458" s="978"/>
      <c r="JP458" s="978"/>
      <c r="JQ458" s="978"/>
      <c r="JR458" s="978"/>
      <c r="JS458" s="978"/>
      <c r="JT458" s="978"/>
      <c r="JU458" s="978"/>
      <c r="JV458" s="978"/>
      <c r="JW458" s="978"/>
      <c r="JX458" s="978"/>
      <c r="JY458" s="978"/>
      <c r="JZ458" s="978"/>
      <c r="KA458" s="978"/>
      <c r="KB458" s="978"/>
      <c r="KC458" s="978"/>
      <c r="KD458" s="978"/>
      <c r="KE458" s="978"/>
      <c r="KF458" s="978"/>
      <c r="KG458" s="978"/>
      <c r="KH458" s="978"/>
      <c r="KI458" s="978"/>
      <c r="KJ458" s="978"/>
      <c r="KK458" s="978"/>
      <c r="KL458" s="978"/>
      <c r="KM458" s="978"/>
      <c r="KN458" s="978"/>
      <c r="KO458" s="978"/>
      <c r="KP458" s="978"/>
      <c r="KQ458" s="978"/>
      <c r="KR458" s="978"/>
      <c r="KS458" s="978"/>
      <c r="KT458" s="978"/>
      <c r="KU458" s="978"/>
      <c r="KV458" s="978"/>
      <c r="KW458" s="978"/>
      <c r="KX458" s="978"/>
      <c r="KY458" s="978"/>
      <c r="KZ458" s="978"/>
      <c r="LA458" s="978"/>
      <c r="LB458" s="978"/>
      <c r="LC458" s="978"/>
      <c r="LD458" s="978"/>
      <c r="LE458" s="978"/>
      <c r="LF458" s="978"/>
      <c r="LG458" s="978"/>
      <c r="LH458" s="978"/>
      <c r="LI458" s="978"/>
      <c r="LJ458" s="978"/>
      <c r="LK458" s="978"/>
      <c r="LL458" s="978"/>
      <c r="LM458" s="978"/>
      <c r="LN458" s="978"/>
      <c r="LO458" s="978"/>
      <c r="LP458" s="978"/>
      <c r="LQ458" s="978"/>
      <c r="LR458" s="978"/>
      <c r="LS458" s="978"/>
      <c r="LT458" s="978"/>
      <c r="LU458" s="978"/>
      <c r="LV458" s="978"/>
      <c r="LW458" s="978"/>
      <c r="LX458" s="978"/>
      <c r="LY458" s="978"/>
      <c r="LZ458" s="978"/>
      <c r="MA458" s="978"/>
      <c r="MB458" s="978"/>
      <c r="MC458" s="978"/>
      <c r="MD458" s="978"/>
      <c r="ME458" s="978"/>
      <c r="MF458" s="978"/>
      <c r="MG458" s="978"/>
      <c r="MH458" s="978"/>
      <c r="MI458" s="978"/>
      <c r="MJ458" s="978"/>
      <c r="MK458" s="978"/>
      <c r="ML458" s="978"/>
      <c r="MM458" s="978"/>
      <c r="MN458" s="978"/>
      <c r="MO458" s="978"/>
      <c r="MP458" s="978"/>
      <c r="MQ458" s="978"/>
      <c r="MR458" s="978"/>
      <c r="MS458" s="978"/>
      <c r="MT458" s="978"/>
      <c r="MU458" s="978"/>
      <c r="MV458" s="978"/>
      <c r="MW458" s="978"/>
      <c r="MX458" s="978"/>
      <c r="MY458" s="978"/>
      <c r="MZ458" s="978"/>
      <c r="NA458" s="978"/>
      <c r="NB458" s="978"/>
      <c r="NC458" s="978"/>
      <c r="ND458" s="978"/>
      <c r="NE458" s="978"/>
      <c r="NF458" s="978"/>
      <c r="NG458" s="978"/>
      <c r="NH458" s="978"/>
      <c r="NI458" s="978"/>
      <c r="NJ458" s="978"/>
      <c r="NK458" s="978"/>
      <c r="NL458" s="978"/>
      <c r="NM458" s="978"/>
      <c r="NN458" s="978"/>
      <c r="NO458" s="978"/>
      <c r="NP458" s="978"/>
      <c r="NQ458" s="978"/>
      <c r="NR458" s="978"/>
      <c r="NS458" s="978"/>
      <c r="NT458" s="978"/>
      <c r="NU458" s="978"/>
      <c r="NV458" s="978"/>
      <c r="NW458" s="978"/>
      <c r="NX458" s="978"/>
      <c r="NY458" s="978"/>
      <c r="NZ458" s="978"/>
      <c r="OA458" s="978"/>
      <c r="OB458" s="978"/>
      <c r="OC458" s="978"/>
      <c r="OD458" s="978"/>
      <c r="OE458" s="978"/>
      <c r="OF458" s="978"/>
      <c r="OG458" s="978"/>
      <c r="OH458" s="978"/>
      <c r="OI458" s="978"/>
      <c r="OJ458" s="978"/>
      <c r="OK458" s="978"/>
      <c r="OL458" s="978"/>
      <c r="OM458" s="978"/>
      <c r="ON458" s="978"/>
      <c r="OO458" s="978"/>
      <c r="OP458" s="978"/>
      <c r="OQ458" s="978"/>
      <c r="OR458" s="978"/>
      <c r="OS458" s="978"/>
      <c r="OT458" s="978"/>
      <c r="OU458" s="978"/>
      <c r="OV458" s="978"/>
      <c r="OW458" s="978"/>
      <c r="OX458" s="978"/>
      <c r="OY458" s="978"/>
      <c r="OZ458" s="978"/>
      <c r="PA458" s="978"/>
      <c r="PB458" s="978"/>
      <c r="PC458" s="978"/>
      <c r="PD458" s="978"/>
      <c r="PE458" s="978"/>
      <c r="PF458" s="978"/>
      <c r="PG458" s="978"/>
      <c r="PH458" s="978"/>
      <c r="PI458" s="978"/>
      <c r="PJ458" s="978"/>
      <c r="PK458" s="978"/>
      <c r="PL458" s="978"/>
      <c r="PM458" s="978"/>
      <c r="PN458" s="978"/>
      <c r="PO458" s="978"/>
      <c r="PP458" s="978"/>
      <c r="PQ458" s="978"/>
      <c r="PR458" s="978"/>
      <c r="PS458" s="978"/>
      <c r="PT458" s="978"/>
      <c r="PU458" s="978"/>
      <c r="PV458" s="978"/>
      <c r="PW458" s="978"/>
      <c r="PX458" s="978"/>
      <c r="PY458" s="978"/>
      <c r="PZ458" s="978"/>
      <c r="QA458" s="978"/>
      <c r="QB458" s="978"/>
      <c r="QC458" s="978"/>
      <c r="QD458" s="978"/>
      <c r="QE458" s="978"/>
      <c r="QF458" s="978"/>
      <c r="QG458" s="978"/>
      <c r="QH458" s="978"/>
      <c r="QI458" s="978"/>
      <c r="QJ458" s="978"/>
      <c r="QK458" s="978"/>
      <c r="QL458" s="978"/>
      <c r="QM458" s="978"/>
      <c r="QN458" s="978"/>
      <c r="QO458" s="978"/>
      <c r="QP458" s="978"/>
      <c r="QQ458" s="978"/>
      <c r="QR458" s="978"/>
      <c r="QS458" s="978"/>
      <c r="QT458" s="978"/>
      <c r="QU458" s="978"/>
      <c r="QV458" s="978"/>
      <c r="QW458" s="978"/>
      <c r="QX458" s="978"/>
      <c r="QY458" s="978"/>
      <c r="QZ458" s="978"/>
      <c r="RA458" s="978"/>
      <c r="RB458" s="274"/>
      <c r="RC458" s="274"/>
    </row>
    <row r="459" spans="112:471" ht="17.25">
      <c r="DH459" s="274"/>
      <c r="DI459" s="274"/>
      <c r="DJ459" s="978"/>
      <c r="DK459" s="978"/>
      <c r="DL459" s="978"/>
      <c r="DM459" s="978"/>
      <c r="DN459" s="978"/>
      <c r="DO459" s="978"/>
      <c r="DP459" s="978"/>
      <c r="DQ459" s="978"/>
      <c r="DR459" s="978"/>
      <c r="DS459" s="978"/>
      <c r="DT459" s="978"/>
      <c r="DU459" s="978"/>
      <c r="DV459" s="978"/>
      <c r="DW459" s="978"/>
      <c r="DX459" s="978"/>
      <c r="DY459" s="978"/>
      <c r="DZ459" s="978"/>
      <c r="EA459" s="978"/>
      <c r="EB459" s="978"/>
      <c r="EC459" s="978"/>
      <c r="ED459" s="978"/>
      <c r="EE459" s="978"/>
      <c r="EF459" s="978"/>
      <c r="EG459" s="978"/>
      <c r="EH459" s="978"/>
      <c r="EI459" s="978"/>
      <c r="EJ459" s="978"/>
      <c r="EK459" s="978"/>
      <c r="EL459" s="978"/>
      <c r="EM459" s="978"/>
      <c r="EN459" s="978"/>
      <c r="EO459" s="978"/>
      <c r="EP459" s="978"/>
      <c r="EQ459" s="978"/>
      <c r="ER459" s="978"/>
      <c r="ES459" s="978"/>
      <c r="ET459" s="978"/>
      <c r="EU459" s="978"/>
      <c r="EV459" s="978"/>
      <c r="EW459" s="978"/>
      <c r="EX459" s="978"/>
      <c r="EY459" s="978"/>
      <c r="EZ459" s="978"/>
      <c r="FA459" s="978"/>
      <c r="FB459" s="978"/>
      <c r="FC459" s="978"/>
      <c r="FD459" s="978"/>
      <c r="FE459" s="978"/>
      <c r="FF459" s="978"/>
      <c r="FG459" s="978"/>
      <c r="FH459" s="978"/>
      <c r="FI459" s="978"/>
      <c r="FJ459" s="978"/>
      <c r="FK459" s="978"/>
      <c r="FL459" s="978"/>
      <c r="FM459" s="978"/>
      <c r="FN459" s="978"/>
      <c r="FO459" s="978"/>
      <c r="FP459" s="978"/>
      <c r="FQ459" s="978"/>
      <c r="FR459" s="978"/>
      <c r="FS459" s="978"/>
      <c r="FT459" s="978"/>
      <c r="FU459" s="978"/>
      <c r="FV459" s="978"/>
      <c r="FW459" s="978"/>
      <c r="FX459" s="978"/>
      <c r="FY459" s="978"/>
      <c r="FZ459" s="978"/>
      <c r="GA459" s="978"/>
      <c r="GB459" s="978"/>
      <c r="GC459" s="978"/>
      <c r="GD459" s="978"/>
      <c r="GE459" s="978"/>
      <c r="GF459" s="978"/>
      <c r="GG459" s="978"/>
      <c r="GH459" s="978"/>
      <c r="GI459" s="978"/>
      <c r="GJ459" s="978"/>
      <c r="GK459" s="978"/>
      <c r="GL459" s="978"/>
      <c r="GM459" s="978"/>
      <c r="GN459" s="978"/>
      <c r="GO459" s="978"/>
      <c r="GP459" s="978"/>
      <c r="GQ459" s="978"/>
      <c r="GR459" s="978"/>
      <c r="GS459" s="978"/>
      <c r="GT459" s="978"/>
      <c r="GU459" s="978"/>
      <c r="GV459" s="978"/>
      <c r="GW459" s="978"/>
      <c r="GX459" s="978"/>
      <c r="GY459" s="978"/>
      <c r="GZ459" s="978"/>
      <c r="HA459" s="978"/>
      <c r="HB459" s="978"/>
      <c r="HC459" s="978"/>
      <c r="HD459" s="978"/>
      <c r="HE459" s="978"/>
      <c r="HF459" s="978"/>
      <c r="HG459" s="978"/>
      <c r="HH459" s="978"/>
      <c r="HI459" s="978"/>
      <c r="HJ459" s="978"/>
      <c r="HK459" s="978"/>
      <c r="HL459" s="978"/>
      <c r="HM459" s="978"/>
      <c r="HN459" s="978"/>
      <c r="HO459" s="978"/>
      <c r="HP459" s="978"/>
      <c r="HQ459" s="978"/>
      <c r="HR459" s="978"/>
      <c r="HS459" s="978"/>
      <c r="HT459" s="978"/>
      <c r="HU459" s="978"/>
      <c r="HV459" s="978"/>
      <c r="HW459" s="978"/>
      <c r="HX459" s="978"/>
      <c r="HY459" s="978"/>
      <c r="HZ459" s="978"/>
      <c r="IA459" s="978"/>
      <c r="IB459" s="978"/>
      <c r="IC459" s="978"/>
      <c r="ID459" s="978"/>
      <c r="IE459" s="978"/>
      <c r="IF459" s="978"/>
      <c r="IG459" s="978"/>
      <c r="IH459" s="978"/>
      <c r="II459" s="978"/>
      <c r="IJ459" s="978"/>
      <c r="IK459" s="978"/>
      <c r="IL459" s="978"/>
      <c r="IM459" s="978"/>
      <c r="IN459" s="978"/>
      <c r="IO459" s="978"/>
      <c r="IP459" s="978"/>
      <c r="IQ459" s="978"/>
      <c r="IR459" s="978"/>
      <c r="IS459" s="978"/>
      <c r="IT459" s="978"/>
      <c r="IU459" s="978"/>
      <c r="IV459" s="978"/>
      <c r="IW459" s="978"/>
      <c r="IX459" s="978"/>
      <c r="IY459" s="978"/>
      <c r="IZ459" s="978"/>
      <c r="JA459" s="978"/>
      <c r="JB459" s="978"/>
      <c r="JC459" s="978"/>
      <c r="JD459" s="978"/>
      <c r="JE459" s="978"/>
      <c r="JF459" s="978"/>
      <c r="JG459" s="978"/>
      <c r="JH459" s="978"/>
      <c r="JI459" s="978"/>
      <c r="JJ459" s="978"/>
      <c r="JK459" s="978"/>
      <c r="JL459" s="978"/>
      <c r="JM459" s="978"/>
      <c r="JN459" s="978"/>
      <c r="JO459" s="978"/>
      <c r="JP459" s="978"/>
      <c r="JQ459" s="978"/>
      <c r="JR459" s="978"/>
      <c r="JS459" s="978"/>
      <c r="JT459" s="978"/>
      <c r="JU459" s="978"/>
      <c r="JV459" s="978"/>
      <c r="JW459" s="978"/>
      <c r="JX459" s="978"/>
      <c r="JY459" s="978"/>
      <c r="JZ459" s="978"/>
      <c r="KA459" s="978"/>
      <c r="KB459" s="978"/>
      <c r="KC459" s="978"/>
      <c r="KD459" s="978"/>
      <c r="KE459" s="978"/>
      <c r="KF459" s="978"/>
      <c r="KG459" s="978"/>
      <c r="KH459" s="978"/>
      <c r="KI459" s="978"/>
      <c r="KJ459" s="978"/>
      <c r="KK459" s="978"/>
      <c r="KL459" s="978"/>
      <c r="KM459" s="978"/>
      <c r="KN459" s="978"/>
      <c r="KO459" s="978"/>
      <c r="KP459" s="978"/>
      <c r="KQ459" s="978"/>
      <c r="KR459" s="978"/>
      <c r="KS459" s="978"/>
      <c r="KT459" s="978"/>
      <c r="KU459" s="978"/>
      <c r="KV459" s="978"/>
      <c r="KW459" s="978"/>
      <c r="KX459" s="978"/>
      <c r="KY459" s="978"/>
      <c r="KZ459" s="978"/>
      <c r="LA459" s="978"/>
      <c r="LB459" s="978"/>
      <c r="LC459" s="978"/>
      <c r="LD459" s="978"/>
      <c r="LE459" s="978"/>
      <c r="LF459" s="978"/>
      <c r="LG459" s="978"/>
      <c r="LH459" s="978"/>
      <c r="LI459" s="978"/>
      <c r="LJ459" s="978"/>
      <c r="LK459" s="978"/>
      <c r="LL459" s="978"/>
      <c r="LM459" s="978"/>
      <c r="LN459" s="978"/>
      <c r="LO459" s="978"/>
      <c r="LP459" s="978"/>
      <c r="LQ459" s="978"/>
      <c r="LR459" s="978"/>
      <c r="LS459" s="978"/>
      <c r="LT459" s="978"/>
      <c r="LU459" s="978"/>
      <c r="LV459" s="978"/>
      <c r="LW459" s="978"/>
      <c r="LX459" s="978"/>
      <c r="LY459" s="978"/>
      <c r="LZ459" s="978"/>
      <c r="MA459" s="978"/>
      <c r="MB459" s="978"/>
      <c r="MC459" s="978"/>
      <c r="MD459" s="978"/>
      <c r="ME459" s="978"/>
      <c r="MF459" s="978"/>
      <c r="MG459" s="978"/>
      <c r="MH459" s="978"/>
      <c r="MI459" s="978"/>
      <c r="MJ459" s="978"/>
      <c r="MK459" s="978"/>
      <c r="ML459" s="978"/>
      <c r="MM459" s="978"/>
      <c r="MN459" s="978"/>
      <c r="MO459" s="978"/>
      <c r="MP459" s="978"/>
      <c r="MQ459" s="978"/>
      <c r="MR459" s="978"/>
      <c r="MS459" s="978"/>
      <c r="MT459" s="978"/>
      <c r="MU459" s="978"/>
      <c r="MV459" s="978"/>
      <c r="MW459" s="978"/>
      <c r="MX459" s="978"/>
      <c r="MY459" s="978"/>
      <c r="MZ459" s="978"/>
      <c r="NA459" s="978"/>
      <c r="NB459" s="978"/>
      <c r="NC459" s="978"/>
      <c r="ND459" s="978"/>
      <c r="NE459" s="978"/>
      <c r="NF459" s="978"/>
      <c r="NG459" s="978"/>
      <c r="NH459" s="978"/>
      <c r="NI459" s="978"/>
      <c r="NJ459" s="978"/>
      <c r="NK459" s="978"/>
      <c r="NL459" s="978"/>
      <c r="NM459" s="978"/>
      <c r="NN459" s="978"/>
      <c r="NO459" s="978"/>
      <c r="NP459" s="978"/>
      <c r="NQ459" s="978"/>
      <c r="NR459" s="978"/>
      <c r="NS459" s="978"/>
      <c r="NT459" s="978"/>
      <c r="NU459" s="978"/>
      <c r="NV459" s="978"/>
      <c r="NW459" s="978"/>
      <c r="NX459" s="978"/>
      <c r="NY459" s="978"/>
      <c r="NZ459" s="978"/>
      <c r="OA459" s="978"/>
      <c r="OB459" s="978"/>
      <c r="OC459" s="978"/>
      <c r="OD459" s="978"/>
      <c r="OE459" s="978"/>
      <c r="OF459" s="978"/>
      <c r="OG459" s="978"/>
      <c r="OH459" s="978"/>
      <c r="OI459" s="978"/>
      <c r="OJ459" s="978"/>
      <c r="OK459" s="978"/>
      <c r="OL459" s="978"/>
      <c r="OM459" s="978"/>
      <c r="ON459" s="978"/>
      <c r="OO459" s="978"/>
      <c r="OP459" s="978"/>
      <c r="OQ459" s="978"/>
      <c r="OR459" s="978"/>
      <c r="OS459" s="978"/>
      <c r="OT459" s="978"/>
      <c r="OU459" s="978"/>
      <c r="OV459" s="978"/>
      <c r="OW459" s="978"/>
      <c r="OX459" s="978"/>
      <c r="OY459" s="978"/>
      <c r="OZ459" s="978"/>
      <c r="PA459" s="978"/>
      <c r="PB459" s="978"/>
      <c r="PC459" s="978"/>
      <c r="PD459" s="978"/>
      <c r="PE459" s="978"/>
      <c r="PF459" s="978"/>
      <c r="PG459" s="978"/>
      <c r="PH459" s="978"/>
      <c r="PI459" s="978"/>
      <c r="PJ459" s="978"/>
      <c r="PK459" s="978"/>
      <c r="PL459" s="978"/>
      <c r="PM459" s="978"/>
      <c r="PN459" s="978"/>
      <c r="PO459" s="978"/>
      <c r="PP459" s="978"/>
      <c r="PQ459" s="978"/>
      <c r="PR459" s="978"/>
      <c r="PS459" s="978"/>
      <c r="PT459" s="978"/>
      <c r="PU459" s="978"/>
      <c r="PV459" s="978"/>
      <c r="PW459" s="978"/>
      <c r="PX459" s="978"/>
      <c r="PY459" s="978"/>
      <c r="PZ459" s="978"/>
      <c r="QA459" s="978"/>
      <c r="QB459" s="978"/>
      <c r="QC459" s="978"/>
      <c r="QD459" s="978"/>
      <c r="QE459" s="978"/>
      <c r="QF459" s="978"/>
      <c r="QG459" s="978"/>
      <c r="QH459" s="978"/>
      <c r="QI459" s="978"/>
      <c r="QJ459" s="978"/>
      <c r="QK459" s="978"/>
      <c r="QL459" s="978"/>
      <c r="QM459" s="978"/>
      <c r="QN459" s="978"/>
      <c r="QO459" s="978"/>
      <c r="QP459" s="978"/>
      <c r="QQ459" s="978"/>
      <c r="QR459" s="978"/>
      <c r="QS459" s="978"/>
      <c r="QT459" s="978"/>
      <c r="QU459" s="978"/>
      <c r="QV459" s="978"/>
      <c r="QW459" s="978"/>
      <c r="QX459" s="978"/>
      <c r="QY459" s="978"/>
      <c r="QZ459" s="978"/>
      <c r="RA459" s="978"/>
      <c r="RB459" s="274"/>
      <c r="RC459" s="274"/>
    </row>
    <row r="460" spans="112:471" ht="17.25">
      <c r="DH460" s="274"/>
      <c r="DI460" s="274"/>
      <c r="DJ460" s="978"/>
      <c r="DK460" s="978"/>
      <c r="DL460" s="978"/>
      <c r="DM460" s="978"/>
      <c r="DN460" s="978"/>
      <c r="DO460" s="978"/>
      <c r="DP460" s="978"/>
      <c r="DQ460" s="978"/>
      <c r="DR460" s="978"/>
      <c r="DS460" s="978"/>
      <c r="DT460" s="978"/>
      <c r="DU460" s="978"/>
      <c r="DV460" s="978"/>
      <c r="DW460" s="978"/>
      <c r="DX460" s="978"/>
      <c r="DY460" s="978"/>
      <c r="DZ460" s="978"/>
      <c r="EA460" s="978"/>
      <c r="EB460" s="978"/>
      <c r="EC460" s="978"/>
      <c r="ED460" s="978"/>
      <c r="EE460" s="978"/>
      <c r="EF460" s="978"/>
      <c r="EG460" s="978"/>
      <c r="EH460" s="978"/>
      <c r="EI460" s="978"/>
      <c r="EJ460" s="978"/>
      <c r="EK460" s="978"/>
      <c r="EL460" s="978"/>
      <c r="EM460" s="978"/>
      <c r="EN460" s="978"/>
      <c r="EO460" s="978"/>
      <c r="EP460" s="978"/>
      <c r="EQ460" s="978"/>
      <c r="ER460" s="978"/>
      <c r="ES460" s="978"/>
      <c r="ET460" s="978"/>
      <c r="EU460" s="978"/>
      <c r="EV460" s="978"/>
      <c r="EW460" s="978"/>
      <c r="EX460" s="978"/>
      <c r="EY460" s="978"/>
      <c r="EZ460" s="978"/>
      <c r="FA460" s="978"/>
      <c r="FB460" s="978"/>
      <c r="FC460" s="978"/>
      <c r="FD460" s="978"/>
      <c r="FE460" s="978"/>
      <c r="FF460" s="978"/>
      <c r="FG460" s="978"/>
      <c r="FH460" s="978"/>
      <c r="FI460" s="978"/>
      <c r="FJ460" s="978"/>
      <c r="FK460" s="978"/>
      <c r="FL460" s="978"/>
      <c r="FM460" s="978"/>
      <c r="FN460" s="978"/>
      <c r="FO460" s="978"/>
      <c r="FP460" s="978"/>
      <c r="FQ460" s="978"/>
      <c r="FR460" s="978"/>
      <c r="FS460" s="978"/>
      <c r="FT460" s="978"/>
      <c r="FU460" s="978"/>
      <c r="FV460" s="978"/>
      <c r="FW460" s="978"/>
      <c r="FX460" s="978"/>
      <c r="FY460" s="978"/>
      <c r="FZ460" s="978"/>
      <c r="GA460" s="978"/>
      <c r="GB460" s="978"/>
      <c r="GC460" s="978"/>
      <c r="GD460" s="978"/>
      <c r="GE460" s="978"/>
      <c r="GF460" s="978"/>
      <c r="GG460" s="978"/>
      <c r="GH460" s="978"/>
      <c r="GI460" s="978"/>
      <c r="GJ460" s="978"/>
      <c r="GK460" s="978"/>
      <c r="GL460" s="978"/>
      <c r="GM460" s="978"/>
      <c r="GN460" s="978"/>
      <c r="GO460" s="978"/>
      <c r="GP460" s="978"/>
      <c r="GQ460" s="978"/>
      <c r="GR460" s="978"/>
      <c r="GS460" s="978"/>
      <c r="GT460" s="978"/>
      <c r="GU460" s="978"/>
      <c r="GV460" s="978"/>
      <c r="GW460" s="978"/>
      <c r="GX460" s="978"/>
      <c r="GY460" s="978"/>
      <c r="GZ460" s="978"/>
      <c r="HA460" s="978"/>
      <c r="HB460" s="978"/>
      <c r="HC460" s="978"/>
      <c r="HD460" s="978"/>
      <c r="HE460" s="978"/>
      <c r="HF460" s="978"/>
      <c r="HG460" s="978"/>
      <c r="HH460" s="978"/>
      <c r="HI460" s="978"/>
      <c r="HJ460" s="978"/>
      <c r="HK460" s="978"/>
      <c r="HL460" s="978"/>
      <c r="HM460" s="978"/>
      <c r="HN460" s="978"/>
      <c r="HO460" s="978"/>
      <c r="HP460" s="978"/>
      <c r="HQ460" s="978"/>
      <c r="HR460" s="978"/>
      <c r="HS460" s="978"/>
      <c r="HT460" s="978"/>
      <c r="HU460" s="978"/>
      <c r="HV460" s="978"/>
      <c r="HW460" s="978"/>
      <c r="HX460" s="978"/>
      <c r="HY460" s="978"/>
      <c r="HZ460" s="978"/>
      <c r="IA460" s="978"/>
      <c r="IB460" s="978"/>
      <c r="IC460" s="978"/>
      <c r="ID460" s="978"/>
      <c r="IE460" s="978"/>
      <c r="IF460" s="978"/>
      <c r="IG460" s="978"/>
      <c r="IH460" s="978"/>
      <c r="II460" s="978"/>
      <c r="IJ460" s="978"/>
      <c r="IK460" s="978"/>
      <c r="IL460" s="978"/>
      <c r="IM460" s="978"/>
      <c r="IN460" s="978"/>
      <c r="IO460" s="978"/>
      <c r="IP460" s="978"/>
      <c r="IQ460" s="978"/>
      <c r="IR460" s="978"/>
      <c r="IS460" s="978"/>
      <c r="IT460" s="978"/>
      <c r="IU460" s="978"/>
      <c r="IV460" s="978"/>
      <c r="IW460" s="978"/>
      <c r="IX460" s="978"/>
      <c r="IY460" s="978"/>
      <c r="IZ460" s="978"/>
      <c r="JA460" s="978"/>
      <c r="JB460" s="978"/>
      <c r="JC460" s="978"/>
      <c r="JD460" s="978"/>
      <c r="JE460" s="978"/>
      <c r="JF460" s="978"/>
      <c r="JG460" s="978"/>
      <c r="JH460" s="978"/>
      <c r="JI460" s="978"/>
      <c r="JJ460" s="978"/>
      <c r="JK460" s="978"/>
      <c r="JL460" s="978"/>
      <c r="JM460" s="978"/>
      <c r="JN460" s="978"/>
      <c r="JO460" s="978"/>
      <c r="JP460" s="978"/>
      <c r="JQ460" s="978"/>
      <c r="JR460" s="978"/>
      <c r="JS460" s="978"/>
      <c r="JT460" s="978"/>
      <c r="JU460" s="978"/>
      <c r="JV460" s="978"/>
      <c r="JW460" s="978"/>
      <c r="JX460" s="978"/>
      <c r="JY460" s="978"/>
      <c r="JZ460" s="978"/>
      <c r="KA460" s="978"/>
      <c r="KB460" s="978"/>
      <c r="KC460" s="978"/>
      <c r="KD460" s="978"/>
      <c r="KE460" s="978"/>
      <c r="KF460" s="978"/>
      <c r="KG460" s="978"/>
      <c r="KH460" s="978"/>
      <c r="KI460" s="978"/>
      <c r="KJ460" s="978"/>
      <c r="KK460" s="978"/>
      <c r="KL460" s="978"/>
      <c r="KM460" s="978"/>
      <c r="KN460" s="978"/>
      <c r="KO460" s="978"/>
      <c r="KP460" s="978"/>
      <c r="KQ460" s="978"/>
      <c r="KR460" s="978"/>
      <c r="KS460" s="978"/>
      <c r="KT460" s="978"/>
      <c r="KU460" s="978"/>
      <c r="KV460" s="978"/>
      <c r="KW460" s="978"/>
      <c r="KX460" s="978"/>
      <c r="KY460" s="978"/>
      <c r="KZ460" s="978"/>
      <c r="LA460" s="978"/>
      <c r="LB460" s="978"/>
      <c r="LC460" s="978"/>
      <c r="LD460" s="978"/>
      <c r="LE460" s="978"/>
      <c r="LF460" s="978"/>
      <c r="LG460" s="978"/>
      <c r="LH460" s="978"/>
      <c r="LI460" s="978"/>
      <c r="LJ460" s="978"/>
      <c r="LK460" s="978"/>
      <c r="LL460" s="978"/>
      <c r="LM460" s="978"/>
      <c r="LN460" s="978"/>
      <c r="LO460" s="978"/>
      <c r="LP460" s="978"/>
      <c r="LQ460" s="978"/>
      <c r="LR460" s="978"/>
      <c r="LS460" s="978"/>
      <c r="LT460" s="978"/>
      <c r="LU460" s="978"/>
      <c r="LV460" s="978"/>
      <c r="LW460" s="978"/>
      <c r="LX460" s="978"/>
      <c r="LY460" s="978"/>
      <c r="LZ460" s="978"/>
      <c r="MA460" s="978"/>
      <c r="MB460" s="978"/>
      <c r="MC460" s="978"/>
      <c r="MD460" s="978"/>
      <c r="ME460" s="978"/>
      <c r="MF460" s="978"/>
      <c r="MG460" s="978"/>
      <c r="MH460" s="978"/>
      <c r="MI460" s="978"/>
      <c r="MJ460" s="978"/>
      <c r="MK460" s="978"/>
      <c r="ML460" s="978"/>
      <c r="MM460" s="978"/>
      <c r="MN460" s="978"/>
      <c r="MO460" s="978"/>
      <c r="MP460" s="978"/>
      <c r="MQ460" s="978"/>
      <c r="MR460" s="978"/>
      <c r="MS460" s="978"/>
      <c r="MT460" s="978"/>
      <c r="MU460" s="978"/>
      <c r="MV460" s="978"/>
      <c r="MW460" s="978"/>
      <c r="MX460" s="978"/>
      <c r="MY460" s="978"/>
      <c r="MZ460" s="978"/>
      <c r="NA460" s="978"/>
      <c r="NB460" s="978"/>
      <c r="NC460" s="978"/>
      <c r="ND460" s="978"/>
      <c r="NE460" s="978"/>
      <c r="NF460" s="978"/>
      <c r="NG460" s="978"/>
      <c r="NH460" s="978"/>
      <c r="NI460" s="978"/>
      <c r="NJ460" s="978"/>
      <c r="NK460" s="978"/>
      <c r="NL460" s="978"/>
      <c r="NM460" s="978"/>
      <c r="NN460" s="978"/>
      <c r="NO460" s="978"/>
      <c r="NP460" s="978"/>
      <c r="NQ460" s="978"/>
      <c r="NR460" s="978"/>
      <c r="NS460" s="978"/>
      <c r="NT460" s="978"/>
      <c r="NU460" s="978"/>
      <c r="NV460" s="978"/>
      <c r="NW460" s="978"/>
      <c r="NX460" s="978"/>
      <c r="NY460" s="978"/>
      <c r="NZ460" s="978"/>
      <c r="OA460" s="978"/>
      <c r="OB460" s="978"/>
      <c r="OC460" s="978"/>
      <c r="OD460" s="978"/>
      <c r="OE460" s="978"/>
      <c r="OF460" s="978"/>
      <c r="OG460" s="978"/>
      <c r="OH460" s="978"/>
      <c r="OI460" s="978"/>
      <c r="OJ460" s="978"/>
      <c r="OK460" s="978"/>
      <c r="OL460" s="978"/>
      <c r="OM460" s="978"/>
      <c r="ON460" s="978"/>
      <c r="OO460" s="978"/>
      <c r="OP460" s="978"/>
      <c r="OQ460" s="978"/>
      <c r="OR460" s="978"/>
      <c r="OS460" s="978"/>
      <c r="OT460" s="978"/>
      <c r="OU460" s="978"/>
      <c r="OV460" s="978"/>
      <c r="OW460" s="978"/>
      <c r="OX460" s="978"/>
      <c r="OY460" s="978"/>
      <c r="OZ460" s="978"/>
      <c r="PA460" s="978"/>
      <c r="PB460" s="978"/>
      <c r="PC460" s="978"/>
      <c r="PD460" s="978"/>
      <c r="PE460" s="978"/>
      <c r="PF460" s="978"/>
      <c r="PG460" s="978"/>
      <c r="PH460" s="978"/>
      <c r="PI460" s="978"/>
      <c r="PJ460" s="978"/>
      <c r="PK460" s="978"/>
      <c r="PL460" s="978"/>
      <c r="PM460" s="978"/>
      <c r="PN460" s="978"/>
      <c r="PO460" s="978"/>
      <c r="PP460" s="978"/>
      <c r="PQ460" s="978"/>
      <c r="PR460" s="978"/>
      <c r="PS460" s="978"/>
      <c r="PT460" s="978"/>
      <c r="PU460" s="978"/>
      <c r="PV460" s="978"/>
      <c r="PW460" s="978"/>
      <c r="PX460" s="978"/>
      <c r="PY460" s="978"/>
      <c r="PZ460" s="978"/>
      <c r="QA460" s="978"/>
      <c r="QB460" s="978"/>
      <c r="QC460" s="978"/>
      <c r="QD460" s="978"/>
      <c r="QE460" s="978"/>
      <c r="QF460" s="978"/>
      <c r="QG460" s="978"/>
      <c r="QH460" s="978"/>
      <c r="QI460" s="978"/>
      <c r="QJ460" s="978"/>
      <c r="QK460" s="978"/>
      <c r="QL460" s="978"/>
      <c r="QM460" s="978"/>
      <c r="QN460" s="978"/>
      <c r="QO460" s="978"/>
      <c r="QP460" s="978"/>
      <c r="QQ460" s="978"/>
      <c r="QR460" s="978"/>
      <c r="QS460" s="978"/>
      <c r="QT460" s="978"/>
      <c r="QU460" s="978"/>
      <c r="QV460" s="978"/>
      <c r="QW460" s="978"/>
      <c r="QX460" s="978"/>
      <c r="QY460" s="978"/>
      <c r="QZ460" s="978"/>
      <c r="RA460" s="978"/>
      <c r="RB460" s="274"/>
      <c r="RC460" s="274"/>
    </row>
    <row r="461" spans="112:471">
      <c r="DH461" s="274"/>
      <c r="DI461" s="274"/>
      <c r="DJ461" s="274"/>
      <c r="DK461" s="274"/>
      <c r="DL461" s="274"/>
      <c r="DM461" s="274"/>
      <c r="DN461" s="274"/>
      <c r="DO461" s="274"/>
      <c r="DP461" s="274"/>
      <c r="DQ461" s="274"/>
      <c r="DR461" s="274"/>
      <c r="DS461" s="274"/>
      <c r="DT461" s="274"/>
      <c r="DU461" s="274"/>
      <c r="DV461" s="274"/>
      <c r="DW461" s="274"/>
      <c r="DX461" s="274"/>
      <c r="DY461" s="274"/>
      <c r="DZ461" s="274"/>
      <c r="EA461" s="274"/>
      <c r="EB461" s="274"/>
      <c r="EC461" s="274"/>
      <c r="ED461" s="274"/>
      <c r="EE461" s="274"/>
      <c r="EF461" s="274"/>
      <c r="EG461" s="274"/>
      <c r="EH461" s="274"/>
      <c r="EI461" s="274"/>
      <c r="EJ461" s="274"/>
      <c r="EK461" s="274"/>
      <c r="EL461" s="274"/>
      <c r="EM461" s="274"/>
      <c r="EN461" s="274"/>
      <c r="EO461" s="274"/>
      <c r="EP461" s="274"/>
      <c r="EQ461" s="274"/>
      <c r="ER461" s="274"/>
      <c r="ES461" s="274"/>
      <c r="ET461" s="274"/>
      <c r="EU461" s="274"/>
      <c r="EV461" s="274"/>
      <c r="EW461" s="274"/>
      <c r="EX461" s="274"/>
      <c r="EY461" s="274"/>
      <c r="EZ461" s="274"/>
      <c r="FA461" s="274"/>
      <c r="FB461" s="274"/>
      <c r="FC461" s="274"/>
      <c r="FD461" s="274"/>
      <c r="FE461" s="274"/>
      <c r="FF461" s="274"/>
      <c r="FG461" s="274"/>
      <c r="FH461" s="274"/>
      <c r="FI461" s="274"/>
      <c r="FJ461" s="274"/>
      <c r="FK461" s="274"/>
      <c r="FL461" s="274"/>
      <c r="FM461" s="274"/>
      <c r="FN461" s="274"/>
      <c r="FO461" s="274"/>
      <c r="FP461" s="274"/>
      <c r="FQ461" s="274"/>
      <c r="FR461" s="274"/>
      <c r="FS461" s="274"/>
      <c r="FT461" s="274"/>
      <c r="FU461" s="274"/>
      <c r="FV461" s="274"/>
      <c r="FW461" s="274"/>
      <c r="FX461" s="274"/>
      <c r="FY461" s="274"/>
      <c r="FZ461" s="274"/>
      <c r="GA461" s="274"/>
      <c r="GB461" s="274"/>
      <c r="GC461" s="274"/>
      <c r="GD461" s="274"/>
      <c r="GE461" s="274"/>
      <c r="GF461" s="274"/>
      <c r="GG461" s="274"/>
      <c r="GH461" s="274"/>
      <c r="GI461" s="274"/>
      <c r="GJ461" s="274"/>
      <c r="GK461" s="274"/>
      <c r="GL461" s="274"/>
      <c r="GM461" s="274"/>
      <c r="GN461" s="274"/>
      <c r="GO461" s="274"/>
      <c r="GP461" s="274"/>
      <c r="GQ461" s="274"/>
      <c r="GR461" s="274"/>
      <c r="GS461" s="274"/>
      <c r="GT461" s="274"/>
      <c r="GU461" s="274"/>
      <c r="GV461" s="274"/>
      <c r="GW461" s="274"/>
      <c r="GX461" s="274"/>
      <c r="GY461" s="274"/>
      <c r="GZ461" s="274"/>
      <c r="HA461" s="274"/>
      <c r="HB461" s="274"/>
      <c r="HC461" s="274"/>
      <c r="HD461" s="274"/>
      <c r="HE461" s="274"/>
      <c r="HF461" s="274"/>
      <c r="HG461" s="274"/>
      <c r="HH461" s="274"/>
      <c r="HI461" s="274"/>
      <c r="HJ461" s="274"/>
      <c r="HK461" s="274"/>
      <c r="HL461" s="274"/>
      <c r="HM461" s="274"/>
      <c r="HN461" s="274"/>
      <c r="HO461" s="274"/>
      <c r="HP461" s="274"/>
      <c r="HQ461" s="274"/>
      <c r="HR461" s="274"/>
      <c r="HS461" s="274"/>
      <c r="HT461" s="274"/>
      <c r="HU461" s="274"/>
      <c r="HV461" s="274"/>
      <c r="HW461" s="274"/>
      <c r="HX461" s="274"/>
      <c r="HY461" s="274"/>
      <c r="HZ461" s="274"/>
      <c r="IA461" s="274"/>
      <c r="IB461" s="274"/>
      <c r="IC461" s="274"/>
      <c r="ID461" s="274"/>
      <c r="IE461" s="274"/>
      <c r="IF461" s="274"/>
      <c r="IG461" s="274"/>
      <c r="IH461" s="274"/>
      <c r="II461" s="274"/>
      <c r="IJ461" s="274"/>
      <c r="IK461" s="274"/>
      <c r="IL461" s="274"/>
      <c r="IM461" s="274"/>
      <c r="IN461" s="274"/>
      <c r="IO461" s="274"/>
      <c r="IP461" s="274"/>
      <c r="IQ461" s="274"/>
      <c r="IR461" s="274"/>
      <c r="IS461" s="274"/>
      <c r="IT461" s="274"/>
      <c r="IU461" s="274"/>
      <c r="IV461" s="274"/>
      <c r="IW461" s="274"/>
      <c r="IX461" s="274"/>
      <c r="IY461" s="274"/>
      <c r="IZ461" s="274"/>
      <c r="JA461" s="274"/>
      <c r="JB461" s="274"/>
      <c r="JC461" s="274"/>
      <c r="JD461" s="274"/>
      <c r="JE461" s="274"/>
      <c r="JF461" s="274"/>
      <c r="JG461" s="274"/>
      <c r="JH461" s="274"/>
      <c r="JI461" s="274"/>
      <c r="JJ461" s="274"/>
      <c r="JK461" s="274"/>
      <c r="JL461" s="274"/>
      <c r="JM461" s="274"/>
      <c r="JN461" s="274"/>
      <c r="JO461" s="274"/>
      <c r="JP461" s="274"/>
      <c r="JQ461" s="274"/>
      <c r="JR461" s="274"/>
      <c r="JS461" s="274"/>
      <c r="JT461" s="274"/>
      <c r="JU461" s="274"/>
      <c r="JV461" s="274"/>
      <c r="JW461" s="274"/>
      <c r="JX461" s="274"/>
      <c r="JY461" s="274"/>
      <c r="JZ461" s="274"/>
      <c r="KA461" s="274"/>
      <c r="KB461" s="274"/>
      <c r="KC461" s="274"/>
      <c r="KD461" s="274"/>
      <c r="KE461" s="274"/>
      <c r="KF461" s="274"/>
      <c r="KG461" s="274"/>
      <c r="KH461" s="274"/>
      <c r="KI461" s="274"/>
      <c r="KJ461" s="274"/>
      <c r="KK461" s="274"/>
      <c r="KL461" s="274"/>
      <c r="KM461" s="274"/>
      <c r="KN461" s="274"/>
      <c r="KO461" s="274"/>
      <c r="KP461" s="274"/>
      <c r="KQ461" s="274"/>
      <c r="KR461" s="274"/>
      <c r="KS461" s="274"/>
      <c r="KT461" s="274"/>
      <c r="KU461" s="274"/>
      <c r="KV461" s="274"/>
      <c r="KW461" s="274"/>
      <c r="KX461" s="274"/>
      <c r="KY461" s="274"/>
      <c r="KZ461" s="274"/>
      <c r="LA461" s="274"/>
      <c r="LB461" s="274"/>
      <c r="LC461" s="274"/>
      <c r="LD461" s="274"/>
      <c r="LE461" s="274"/>
      <c r="LF461" s="274"/>
      <c r="LG461" s="274"/>
      <c r="LH461" s="274"/>
      <c r="LI461" s="274"/>
      <c r="LJ461" s="274"/>
      <c r="LK461" s="274"/>
      <c r="LL461" s="274"/>
      <c r="LM461" s="274"/>
      <c r="LN461" s="274"/>
      <c r="LO461" s="274"/>
      <c r="LP461" s="274"/>
      <c r="LQ461" s="274"/>
      <c r="LR461" s="274"/>
      <c r="LS461" s="274"/>
      <c r="LT461" s="274"/>
      <c r="LU461" s="274"/>
      <c r="LV461" s="274"/>
      <c r="LW461" s="274"/>
      <c r="LX461" s="274"/>
      <c r="LY461" s="274"/>
      <c r="LZ461" s="274"/>
      <c r="MA461" s="274"/>
      <c r="MB461" s="274"/>
      <c r="MC461" s="274"/>
      <c r="MD461" s="274"/>
      <c r="ME461" s="274"/>
      <c r="MF461" s="274"/>
      <c r="MG461" s="274"/>
      <c r="MH461" s="274"/>
      <c r="MI461" s="274"/>
      <c r="MJ461" s="274"/>
      <c r="MK461" s="274"/>
      <c r="ML461" s="274"/>
      <c r="MM461" s="274"/>
      <c r="MN461" s="274"/>
      <c r="MO461" s="274"/>
      <c r="MP461" s="274"/>
      <c r="MQ461" s="274"/>
      <c r="MR461" s="274"/>
      <c r="MS461" s="274"/>
      <c r="MT461" s="274"/>
      <c r="MU461" s="274"/>
      <c r="MV461" s="274"/>
      <c r="MW461" s="274"/>
      <c r="MX461" s="274"/>
      <c r="MY461" s="274"/>
      <c r="MZ461" s="274"/>
      <c r="NA461" s="274"/>
      <c r="NB461" s="274"/>
      <c r="NC461" s="274"/>
      <c r="ND461" s="274"/>
      <c r="NE461" s="274"/>
      <c r="NF461" s="274"/>
      <c r="NG461" s="274"/>
      <c r="NH461" s="274"/>
      <c r="NI461" s="274"/>
      <c r="NJ461" s="274"/>
      <c r="NK461" s="274"/>
      <c r="NL461" s="274"/>
      <c r="NM461" s="274"/>
      <c r="NN461" s="274"/>
      <c r="NO461" s="274"/>
      <c r="NP461" s="274"/>
      <c r="NQ461" s="274"/>
      <c r="NR461" s="274"/>
      <c r="NS461" s="274"/>
      <c r="NT461" s="274"/>
      <c r="NU461" s="274"/>
      <c r="NV461" s="274"/>
      <c r="NW461" s="274"/>
      <c r="NX461" s="274"/>
      <c r="NY461" s="274"/>
      <c r="NZ461" s="274"/>
      <c r="OA461" s="274"/>
      <c r="OB461" s="274"/>
      <c r="OC461" s="274"/>
      <c r="OD461" s="274"/>
      <c r="OE461" s="274"/>
      <c r="OF461" s="274"/>
      <c r="OG461" s="274"/>
      <c r="OH461" s="274"/>
      <c r="OI461" s="274"/>
      <c r="OJ461" s="274"/>
      <c r="OK461" s="274"/>
      <c r="OL461" s="274"/>
      <c r="OM461" s="274"/>
      <c r="ON461" s="274"/>
      <c r="OO461" s="274"/>
      <c r="OP461" s="274"/>
      <c r="OQ461" s="274"/>
      <c r="OR461" s="274"/>
      <c r="OS461" s="274"/>
      <c r="OT461" s="274"/>
      <c r="OU461" s="274"/>
      <c r="OV461" s="274"/>
      <c r="OW461" s="274"/>
      <c r="OX461" s="274"/>
      <c r="OY461" s="274"/>
      <c r="OZ461" s="274"/>
      <c r="PA461" s="274"/>
      <c r="PB461" s="274"/>
      <c r="PC461" s="274"/>
      <c r="PD461" s="274"/>
      <c r="PE461" s="274"/>
      <c r="PF461" s="274"/>
      <c r="PG461" s="274"/>
      <c r="PH461" s="274"/>
      <c r="PI461" s="274"/>
      <c r="PJ461" s="274"/>
      <c r="PK461" s="274"/>
      <c r="PL461" s="274"/>
      <c r="PM461" s="274"/>
      <c r="PN461" s="274"/>
      <c r="PO461" s="274"/>
      <c r="PP461" s="274"/>
      <c r="PQ461" s="274"/>
      <c r="PR461" s="274"/>
      <c r="PS461" s="274"/>
      <c r="PT461" s="274"/>
      <c r="PU461" s="274"/>
      <c r="PV461" s="274"/>
      <c r="PW461" s="274"/>
      <c r="PX461" s="274"/>
      <c r="PY461" s="274"/>
      <c r="PZ461" s="274"/>
      <c r="QA461" s="274"/>
      <c r="QB461" s="274"/>
      <c r="QC461" s="274"/>
      <c r="QD461" s="274"/>
      <c r="QE461" s="274"/>
      <c r="QF461" s="274"/>
      <c r="QG461" s="274"/>
      <c r="QH461" s="274"/>
      <c r="QI461" s="274"/>
      <c r="QJ461" s="274"/>
      <c r="QK461" s="274"/>
      <c r="QL461" s="274"/>
      <c r="QM461" s="274"/>
      <c r="QN461" s="274"/>
      <c r="QO461" s="274"/>
      <c r="QP461" s="274"/>
      <c r="QQ461" s="274"/>
      <c r="QR461" s="274"/>
      <c r="QS461" s="274"/>
      <c r="QT461" s="274"/>
      <c r="QU461" s="274"/>
      <c r="QV461" s="274"/>
      <c r="QW461" s="274"/>
      <c r="QX461" s="274"/>
      <c r="QY461" s="274"/>
      <c r="QZ461" s="274"/>
      <c r="RA461" s="274"/>
      <c r="RB461" s="274"/>
      <c r="RC461" s="274"/>
    </row>
    <row r="462" spans="112:471">
      <c r="DH462" s="274"/>
      <c r="DI462" s="274"/>
      <c r="DJ462" s="274"/>
      <c r="DK462" s="274"/>
      <c r="DL462" s="274"/>
      <c r="DM462" s="274"/>
      <c r="DN462" s="274"/>
      <c r="DO462" s="274"/>
      <c r="DP462" s="274"/>
      <c r="DQ462" s="274"/>
      <c r="DR462" s="274"/>
      <c r="DS462" s="274"/>
      <c r="DT462" s="274"/>
      <c r="DU462" s="274"/>
      <c r="DV462" s="274"/>
      <c r="DW462" s="274"/>
      <c r="DX462" s="274"/>
      <c r="DY462" s="274"/>
      <c r="DZ462" s="274"/>
      <c r="EA462" s="274"/>
      <c r="EB462" s="274"/>
      <c r="EC462" s="274"/>
      <c r="ED462" s="274"/>
      <c r="EE462" s="274"/>
      <c r="EF462" s="274"/>
      <c r="EG462" s="274"/>
      <c r="EH462" s="274"/>
      <c r="EI462" s="274"/>
      <c r="EJ462" s="274"/>
      <c r="EK462" s="274"/>
      <c r="EL462" s="274"/>
      <c r="EM462" s="274"/>
      <c r="EN462" s="274"/>
      <c r="EO462" s="274"/>
      <c r="EP462" s="274"/>
      <c r="EQ462" s="274"/>
      <c r="ER462" s="274"/>
      <c r="ES462" s="274"/>
      <c r="ET462" s="274"/>
      <c r="EU462" s="274"/>
      <c r="EV462" s="274"/>
      <c r="EW462" s="274"/>
      <c r="EX462" s="274"/>
      <c r="EY462" s="274"/>
      <c r="EZ462" s="274"/>
      <c r="FA462" s="274"/>
      <c r="FB462" s="274"/>
      <c r="FC462" s="274"/>
      <c r="FD462" s="274"/>
      <c r="FE462" s="274"/>
      <c r="FF462" s="274"/>
      <c r="FG462" s="274"/>
      <c r="FH462" s="274"/>
      <c r="FI462" s="274"/>
      <c r="FJ462" s="274"/>
      <c r="FK462" s="274"/>
      <c r="FL462" s="274"/>
      <c r="FM462" s="274"/>
      <c r="FN462" s="274"/>
      <c r="FO462" s="274"/>
      <c r="FP462" s="274"/>
      <c r="FQ462" s="274"/>
      <c r="FR462" s="274"/>
      <c r="FS462" s="274"/>
      <c r="FT462" s="274"/>
      <c r="FU462" s="274"/>
      <c r="FV462" s="274"/>
      <c r="FW462" s="274"/>
      <c r="FX462" s="274"/>
      <c r="FY462" s="274"/>
      <c r="FZ462" s="274"/>
      <c r="GA462" s="274"/>
      <c r="GB462" s="274"/>
      <c r="GC462" s="274"/>
      <c r="GD462" s="274"/>
      <c r="GE462" s="274"/>
      <c r="GF462" s="274"/>
      <c r="GG462" s="274"/>
      <c r="GH462" s="274"/>
      <c r="GI462" s="274"/>
      <c r="GJ462" s="274"/>
      <c r="GK462" s="274"/>
      <c r="GL462" s="274"/>
      <c r="GM462" s="274"/>
      <c r="GN462" s="274"/>
      <c r="GO462" s="274"/>
      <c r="GP462" s="274"/>
      <c r="GQ462" s="274"/>
      <c r="GR462" s="274"/>
      <c r="GS462" s="274"/>
      <c r="GT462" s="274"/>
      <c r="GU462" s="274"/>
      <c r="GV462" s="274"/>
      <c r="GW462" s="274"/>
      <c r="GX462" s="274"/>
      <c r="GY462" s="274"/>
      <c r="GZ462" s="274"/>
      <c r="HA462" s="274"/>
      <c r="HB462" s="274"/>
      <c r="HC462" s="274"/>
      <c r="HD462" s="274"/>
      <c r="HE462" s="274"/>
      <c r="HF462" s="274"/>
      <c r="HG462" s="274"/>
      <c r="HH462" s="274"/>
      <c r="HI462" s="274"/>
      <c r="HJ462" s="274"/>
      <c r="HK462" s="274"/>
      <c r="HL462" s="274"/>
      <c r="HM462" s="274"/>
      <c r="HN462" s="274"/>
      <c r="HO462" s="274"/>
      <c r="HP462" s="274"/>
      <c r="HQ462" s="274"/>
      <c r="HR462" s="274"/>
      <c r="HS462" s="274"/>
      <c r="HT462" s="274"/>
      <c r="HU462" s="274"/>
      <c r="HV462" s="274"/>
      <c r="HW462" s="274"/>
      <c r="HX462" s="274"/>
      <c r="HY462" s="274"/>
      <c r="HZ462" s="274"/>
      <c r="IA462" s="274"/>
      <c r="IB462" s="274"/>
      <c r="IC462" s="274"/>
      <c r="ID462" s="274"/>
      <c r="IE462" s="274"/>
      <c r="IF462" s="274"/>
      <c r="IG462" s="274"/>
      <c r="IH462" s="274"/>
      <c r="II462" s="274"/>
      <c r="IJ462" s="274"/>
      <c r="IK462" s="274"/>
      <c r="IL462" s="274"/>
      <c r="IM462" s="274"/>
      <c r="IN462" s="274"/>
      <c r="IO462" s="274"/>
      <c r="IP462" s="274"/>
      <c r="IQ462" s="274"/>
      <c r="IR462" s="274"/>
      <c r="IS462" s="274"/>
      <c r="IT462" s="274"/>
      <c r="IU462" s="274"/>
      <c r="IV462" s="274"/>
      <c r="IW462" s="274"/>
      <c r="IX462" s="274"/>
      <c r="IY462" s="274"/>
      <c r="IZ462" s="274"/>
      <c r="JA462" s="274"/>
      <c r="JB462" s="274"/>
      <c r="JC462" s="274"/>
      <c r="JD462" s="274"/>
      <c r="JE462" s="274"/>
      <c r="JF462" s="274"/>
      <c r="JG462" s="274"/>
      <c r="JH462" s="274"/>
      <c r="JI462" s="274"/>
      <c r="JJ462" s="274"/>
      <c r="JK462" s="274"/>
      <c r="JL462" s="274"/>
      <c r="JM462" s="274"/>
      <c r="JN462" s="274"/>
      <c r="JO462" s="274"/>
      <c r="JP462" s="274"/>
      <c r="JQ462" s="274"/>
      <c r="JR462" s="274"/>
      <c r="JS462" s="274"/>
      <c r="JT462" s="274"/>
      <c r="JU462" s="274"/>
      <c r="JV462" s="274"/>
      <c r="JW462" s="274"/>
      <c r="JX462" s="274"/>
      <c r="JY462" s="274"/>
      <c r="JZ462" s="274"/>
      <c r="KA462" s="274"/>
      <c r="KB462" s="274"/>
      <c r="KC462" s="274"/>
      <c r="KD462" s="274"/>
      <c r="KE462" s="274"/>
      <c r="KF462" s="274"/>
      <c r="KG462" s="274"/>
      <c r="KH462" s="274"/>
      <c r="KI462" s="274"/>
      <c r="KJ462" s="274"/>
      <c r="KK462" s="274"/>
      <c r="KL462" s="274"/>
      <c r="KM462" s="274"/>
      <c r="KN462" s="274"/>
      <c r="KO462" s="274"/>
      <c r="KP462" s="274"/>
      <c r="KQ462" s="274"/>
      <c r="KR462" s="274"/>
      <c r="KS462" s="274"/>
      <c r="KT462" s="274"/>
      <c r="KU462" s="274"/>
      <c r="KV462" s="274"/>
      <c r="KW462" s="274"/>
      <c r="KX462" s="274"/>
      <c r="KY462" s="274"/>
      <c r="KZ462" s="274"/>
      <c r="LA462" s="274"/>
      <c r="LB462" s="274"/>
      <c r="LC462" s="274"/>
      <c r="LD462" s="274"/>
      <c r="LE462" s="274"/>
      <c r="LF462" s="274"/>
      <c r="LG462" s="274"/>
      <c r="LH462" s="274"/>
      <c r="LI462" s="274"/>
      <c r="LJ462" s="274"/>
      <c r="LK462" s="274"/>
      <c r="LL462" s="274"/>
      <c r="LM462" s="274"/>
      <c r="LN462" s="274"/>
      <c r="LO462" s="274"/>
      <c r="LP462" s="274"/>
      <c r="LQ462" s="274"/>
      <c r="LR462" s="274"/>
      <c r="LS462" s="274"/>
      <c r="LT462" s="274"/>
      <c r="LU462" s="274"/>
      <c r="LV462" s="274"/>
      <c r="LW462" s="274"/>
      <c r="LX462" s="274"/>
      <c r="LY462" s="274"/>
      <c r="LZ462" s="274"/>
      <c r="MA462" s="274"/>
      <c r="MB462" s="274"/>
      <c r="MC462" s="274"/>
      <c r="MD462" s="274"/>
      <c r="ME462" s="274"/>
      <c r="MF462" s="274"/>
      <c r="MG462" s="274"/>
      <c r="MH462" s="274"/>
      <c r="MI462" s="274"/>
      <c r="MJ462" s="274"/>
      <c r="MK462" s="274"/>
      <c r="ML462" s="274"/>
      <c r="MM462" s="274"/>
      <c r="MN462" s="274"/>
      <c r="MO462" s="274"/>
      <c r="MP462" s="274"/>
      <c r="MQ462" s="274"/>
      <c r="MR462" s="274"/>
      <c r="MS462" s="274"/>
      <c r="MT462" s="274"/>
      <c r="MU462" s="274"/>
      <c r="MV462" s="274"/>
      <c r="MW462" s="274"/>
      <c r="MX462" s="274"/>
      <c r="MY462" s="274"/>
      <c r="MZ462" s="274"/>
      <c r="NA462" s="274"/>
      <c r="NB462" s="274"/>
      <c r="NC462" s="274"/>
      <c r="ND462" s="274"/>
      <c r="NE462" s="274"/>
      <c r="NF462" s="274"/>
      <c r="NG462" s="274"/>
      <c r="NH462" s="274"/>
      <c r="NI462" s="274"/>
      <c r="NJ462" s="274"/>
      <c r="NK462" s="274"/>
      <c r="NL462" s="274"/>
      <c r="NM462" s="274"/>
      <c r="NN462" s="274"/>
      <c r="NO462" s="274"/>
      <c r="NP462" s="274"/>
      <c r="NQ462" s="274"/>
      <c r="NR462" s="274"/>
      <c r="NS462" s="274"/>
      <c r="NT462" s="274"/>
      <c r="NU462" s="274"/>
      <c r="NV462" s="274"/>
      <c r="NW462" s="274"/>
      <c r="NX462" s="274"/>
      <c r="NY462" s="274"/>
      <c r="NZ462" s="274"/>
      <c r="OA462" s="274"/>
      <c r="OB462" s="274"/>
      <c r="OC462" s="274"/>
      <c r="OD462" s="274"/>
      <c r="OE462" s="274"/>
      <c r="OF462" s="274"/>
      <c r="OG462" s="274"/>
      <c r="OH462" s="274"/>
      <c r="OI462" s="274"/>
      <c r="OJ462" s="274"/>
      <c r="OK462" s="274"/>
      <c r="OL462" s="274"/>
      <c r="OM462" s="274"/>
      <c r="ON462" s="274"/>
      <c r="OO462" s="274"/>
      <c r="OP462" s="274"/>
      <c r="OQ462" s="274"/>
      <c r="OR462" s="274"/>
      <c r="OS462" s="274"/>
      <c r="OT462" s="274"/>
      <c r="OU462" s="274"/>
      <c r="OV462" s="274"/>
      <c r="OW462" s="274"/>
      <c r="OX462" s="274"/>
      <c r="OY462" s="274"/>
      <c r="OZ462" s="274"/>
      <c r="PA462" s="274"/>
      <c r="PB462" s="274"/>
      <c r="PC462" s="274"/>
      <c r="PD462" s="274"/>
      <c r="PE462" s="274"/>
      <c r="PF462" s="274"/>
      <c r="PG462" s="274"/>
      <c r="PH462" s="274"/>
      <c r="PI462" s="274"/>
      <c r="PJ462" s="274"/>
      <c r="PK462" s="274"/>
      <c r="PL462" s="274"/>
      <c r="PM462" s="274"/>
      <c r="PN462" s="274"/>
      <c r="PO462" s="274"/>
      <c r="PP462" s="274"/>
      <c r="PQ462" s="274"/>
      <c r="PR462" s="274"/>
      <c r="PS462" s="274"/>
      <c r="PT462" s="274"/>
      <c r="PU462" s="274"/>
      <c r="PV462" s="274"/>
      <c r="PW462" s="274"/>
      <c r="PX462" s="274"/>
      <c r="PY462" s="274"/>
      <c r="PZ462" s="274"/>
      <c r="QA462" s="274"/>
      <c r="QB462" s="274"/>
      <c r="QC462" s="274"/>
      <c r="QD462" s="274"/>
      <c r="QE462" s="274"/>
      <c r="QF462" s="274"/>
      <c r="QG462" s="274"/>
      <c r="QH462" s="274"/>
      <c r="QI462" s="274"/>
      <c r="QJ462" s="274"/>
      <c r="QK462" s="274"/>
      <c r="QL462" s="274"/>
      <c r="QM462" s="274"/>
      <c r="QN462" s="274"/>
      <c r="QO462" s="274"/>
      <c r="QP462" s="274"/>
      <c r="QQ462" s="274"/>
      <c r="QR462" s="274"/>
      <c r="QS462" s="274"/>
      <c r="QT462" s="274"/>
      <c r="QU462" s="274"/>
      <c r="QV462" s="274"/>
      <c r="QW462" s="274"/>
      <c r="QX462" s="274"/>
      <c r="QY462" s="274"/>
      <c r="QZ462" s="274"/>
      <c r="RA462" s="274"/>
      <c r="RB462" s="274"/>
      <c r="RC462" s="274"/>
    </row>
    <row r="463" spans="112:471" ht="17.25">
      <c r="DH463" s="274"/>
      <c r="DI463" s="274"/>
      <c r="DJ463" s="978"/>
      <c r="DK463" s="274"/>
      <c r="DL463" s="274"/>
      <c r="DM463" s="274"/>
      <c r="DN463" s="274"/>
      <c r="DO463" s="274"/>
      <c r="DP463" s="274"/>
      <c r="DQ463" s="274"/>
      <c r="DR463" s="274"/>
      <c r="DS463" s="274"/>
      <c r="DT463" s="274"/>
      <c r="DU463" s="274"/>
      <c r="DV463" s="274"/>
      <c r="DW463" s="274"/>
      <c r="DX463" s="274"/>
      <c r="DY463" s="274"/>
      <c r="DZ463" s="274"/>
      <c r="EA463" s="274"/>
      <c r="EB463" s="274"/>
      <c r="EC463" s="274"/>
      <c r="ED463" s="274"/>
      <c r="EE463" s="274"/>
      <c r="EF463" s="274"/>
      <c r="EG463" s="274"/>
      <c r="EH463" s="274"/>
      <c r="EI463" s="274"/>
      <c r="EJ463" s="274"/>
      <c r="EK463" s="274"/>
      <c r="EL463" s="274"/>
      <c r="EM463" s="274"/>
      <c r="EN463" s="274"/>
      <c r="EO463" s="274"/>
      <c r="EP463" s="274"/>
      <c r="EQ463" s="274"/>
      <c r="ER463" s="274"/>
      <c r="ES463" s="274"/>
      <c r="ET463" s="274"/>
      <c r="EU463" s="274"/>
      <c r="EV463" s="274"/>
      <c r="EW463" s="274"/>
      <c r="EX463" s="274"/>
      <c r="EY463" s="274"/>
      <c r="EZ463" s="274"/>
      <c r="FA463" s="274"/>
      <c r="FB463" s="274"/>
      <c r="FC463" s="274"/>
      <c r="FD463" s="274"/>
      <c r="FE463" s="274"/>
      <c r="FF463" s="274"/>
      <c r="FG463" s="274"/>
      <c r="FH463" s="274"/>
      <c r="FI463" s="274"/>
      <c r="FJ463" s="274"/>
      <c r="FK463" s="274"/>
      <c r="FL463" s="274"/>
      <c r="FM463" s="274"/>
      <c r="FN463" s="274"/>
      <c r="FO463" s="274"/>
      <c r="FP463" s="274"/>
      <c r="FQ463" s="274"/>
      <c r="FR463" s="274"/>
      <c r="FS463" s="274"/>
      <c r="FT463" s="274"/>
      <c r="FU463" s="274"/>
      <c r="FV463" s="274"/>
      <c r="FW463" s="274"/>
      <c r="FX463" s="274"/>
      <c r="FY463" s="274"/>
      <c r="FZ463" s="274"/>
      <c r="GA463" s="274"/>
      <c r="GB463" s="274"/>
      <c r="GC463" s="274"/>
      <c r="GD463" s="274"/>
      <c r="GE463" s="274"/>
      <c r="GF463" s="274"/>
      <c r="GG463" s="274"/>
      <c r="GH463" s="274"/>
      <c r="GI463" s="274"/>
      <c r="GJ463" s="274"/>
      <c r="GK463" s="274"/>
      <c r="GL463" s="274"/>
      <c r="GM463" s="274"/>
      <c r="GN463" s="274"/>
      <c r="GO463" s="274"/>
      <c r="GP463" s="274"/>
      <c r="GQ463" s="274"/>
      <c r="GR463" s="274"/>
      <c r="GS463" s="274"/>
      <c r="GT463" s="274"/>
      <c r="GU463" s="274"/>
      <c r="GV463" s="274"/>
      <c r="GW463" s="274"/>
      <c r="GX463" s="274"/>
      <c r="GY463" s="274"/>
      <c r="GZ463" s="274"/>
      <c r="HA463" s="274"/>
      <c r="HB463" s="274"/>
      <c r="HC463" s="274"/>
      <c r="HD463" s="274"/>
      <c r="HE463" s="274"/>
      <c r="HF463" s="274"/>
      <c r="HG463" s="274"/>
      <c r="HH463" s="274"/>
      <c r="HI463" s="274"/>
      <c r="HJ463" s="274"/>
      <c r="HK463" s="274"/>
      <c r="HL463" s="274"/>
      <c r="HM463" s="274"/>
      <c r="HN463" s="274"/>
      <c r="HO463" s="274"/>
      <c r="HP463" s="274"/>
      <c r="HQ463" s="274"/>
      <c r="HR463" s="274"/>
      <c r="HS463" s="274"/>
      <c r="HT463" s="274"/>
      <c r="HU463" s="274"/>
      <c r="HV463" s="274"/>
      <c r="HW463" s="274"/>
      <c r="HX463" s="274"/>
      <c r="HY463" s="274"/>
      <c r="HZ463" s="274"/>
      <c r="IA463" s="274"/>
      <c r="IB463" s="274"/>
      <c r="IC463" s="274"/>
      <c r="ID463" s="274"/>
      <c r="IE463" s="274"/>
      <c r="IF463" s="274"/>
      <c r="IG463" s="274"/>
      <c r="IH463" s="274"/>
      <c r="II463" s="274"/>
      <c r="IJ463" s="274"/>
      <c r="IK463" s="274"/>
      <c r="IL463" s="274"/>
      <c r="IM463" s="274"/>
      <c r="IN463" s="274"/>
      <c r="IO463" s="274"/>
      <c r="IP463" s="274"/>
      <c r="IQ463" s="274"/>
      <c r="IR463" s="274"/>
      <c r="IS463" s="274"/>
      <c r="IT463" s="274"/>
      <c r="IU463" s="274"/>
      <c r="IV463" s="274"/>
      <c r="IW463" s="274"/>
      <c r="IX463" s="274"/>
      <c r="IY463" s="274"/>
      <c r="IZ463" s="274"/>
      <c r="JA463" s="274"/>
      <c r="JB463" s="274"/>
      <c r="JC463" s="274"/>
      <c r="JD463" s="274"/>
      <c r="JE463" s="274"/>
      <c r="JF463" s="274"/>
      <c r="JG463" s="274"/>
      <c r="JH463" s="274"/>
      <c r="JI463" s="274"/>
      <c r="JJ463" s="274"/>
      <c r="JK463" s="274"/>
      <c r="JL463" s="274"/>
      <c r="JM463" s="274"/>
      <c r="JN463" s="274"/>
      <c r="JO463" s="274"/>
      <c r="JP463" s="274"/>
      <c r="JQ463" s="274"/>
      <c r="JR463" s="274"/>
      <c r="JS463" s="274"/>
      <c r="JT463" s="274"/>
      <c r="JU463" s="274"/>
      <c r="JV463" s="274"/>
      <c r="JW463" s="274"/>
      <c r="JX463" s="274"/>
      <c r="JY463" s="274"/>
      <c r="JZ463" s="274"/>
      <c r="KA463" s="274"/>
      <c r="KB463" s="274"/>
      <c r="KC463" s="274"/>
      <c r="KD463" s="274"/>
      <c r="KE463" s="274"/>
      <c r="KF463" s="274"/>
      <c r="KG463" s="274"/>
      <c r="KH463" s="274"/>
      <c r="KI463" s="274"/>
      <c r="KJ463" s="274"/>
      <c r="KK463" s="274"/>
      <c r="KL463" s="274"/>
      <c r="KM463" s="274"/>
      <c r="KN463" s="274"/>
      <c r="KO463" s="274"/>
      <c r="KP463" s="274"/>
      <c r="KQ463" s="274"/>
      <c r="KR463" s="274"/>
      <c r="KS463" s="274"/>
      <c r="KT463" s="274"/>
      <c r="KU463" s="274"/>
      <c r="KV463" s="274"/>
      <c r="KW463" s="274"/>
      <c r="KX463" s="274"/>
      <c r="KY463" s="274"/>
      <c r="KZ463" s="274"/>
      <c r="LA463" s="274"/>
      <c r="LB463" s="274"/>
      <c r="LC463" s="274"/>
      <c r="LD463" s="274"/>
      <c r="LE463" s="274"/>
      <c r="LF463" s="274"/>
      <c r="LG463" s="274"/>
      <c r="LH463" s="274"/>
      <c r="LI463" s="274"/>
      <c r="LJ463" s="274"/>
      <c r="LK463" s="274"/>
      <c r="LL463" s="274"/>
      <c r="LM463" s="274"/>
      <c r="LN463" s="274"/>
      <c r="LO463" s="274"/>
      <c r="LP463" s="274"/>
      <c r="LQ463" s="274"/>
      <c r="LR463" s="274"/>
      <c r="LS463" s="274"/>
      <c r="LT463" s="274"/>
      <c r="LU463" s="274"/>
      <c r="LV463" s="274"/>
      <c r="LW463" s="274"/>
      <c r="LX463" s="274"/>
      <c r="LY463" s="274"/>
      <c r="LZ463" s="274"/>
      <c r="MA463" s="274"/>
      <c r="MB463" s="274"/>
      <c r="MC463" s="274"/>
      <c r="MD463" s="274"/>
      <c r="ME463" s="274"/>
      <c r="MF463" s="274"/>
      <c r="MG463" s="274"/>
      <c r="MH463" s="274"/>
      <c r="MI463" s="274"/>
      <c r="MJ463" s="274"/>
      <c r="MK463" s="274"/>
      <c r="ML463" s="274"/>
      <c r="MM463" s="274"/>
      <c r="MN463" s="274"/>
      <c r="MO463" s="274"/>
      <c r="MP463" s="274"/>
      <c r="MQ463" s="274"/>
      <c r="MR463" s="274"/>
      <c r="MS463" s="274"/>
      <c r="MT463" s="274"/>
      <c r="MU463" s="274"/>
      <c r="MV463" s="274"/>
      <c r="MW463" s="274"/>
      <c r="MX463" s="274"/>
      <c r="MY463" s="274"/>
      <c r="MZ463" s="274"/>
      <c r="NA463" s="274"/>
      <c r="NB463" s="274"/>
      <c r="NC463" s="274"/>
      <c r="ND463" s="274"/>
      <c r="NE463" s="274"/>
      <c r="NF463" s="274"/>
      <c r="NG463" s="274"/>
      <c r="NH463" s="274"/>
      <c r="NI463" s="274"/>
      <c r="NJ463" s="274"/>
      <c r="NK463" s="274"/>
      <c r="NL463" s="274"/>
      <c r="NM463" s="274"/>
      <c r="NN463" s="274"/>
      <c r="NO463" s="274"/>
      <c r="NP463" s="274"/>
      <c r="NQ463" s="274"/>
      <c r="NR463" s="274"/>
      <c r="NS463" s="274"/>
      <c r="NT463" s="274"/>
      <c r="NU463" s="274"/>
      <c r="NV463" s="274"/>
      <c r="NW463" s="274"/>
      <c r="NX463" s="274"/>
      <c r="NY463" s="274"/>
      <c r="NZ463" s="274"/>
      <c r="OA463" s="274"/>
      <c r="OB463" s="274"/>
      <c r="OC463" s="274"/>
      <c r="OD463" s="274"/>
      <c r="OE463" s="274"/>
      <c r="OF463" s="274"/>
      <c r="OG463" s="274"/>
      <c r="OH463" s="274"/>
      <c r="OI463" s="274"/>
      <c r="OJ463" s="274"/>
      <c r="OK463" s="274"/>
      <c r="OL463" s="274"/>
      <c r="OM463" s="274"/>
      <c r="ON463" s="274"/>
      <c r="OO463" s="274"/>
      <c r="OP463" s="274"/>
      <c r="OQ463" s="274"/>
      <c r="OR463" s="274"/>
      <c r="OS463" s="274"/>
      <c r="OT463" s="274"/>
      <c r="OU463" s="274"/>
      <c r="OV463" s="274"/>
      <c r="OW463" s="274"/>
      <c r="OX463" s="274"/>
      <c r="OY463" s="274"/>
      <c r="OZ463" s="274"/>
      <c r="PA463" s="274"/>
      <c r="PB463" s="274"/>
      <c r="PC463" s="274"/>
      <c r="PD463" s="274"/>
      <c r="PE463" s="274"/>
      <c r="PF463" s="274"/>
      <c r="PG463" s="274"/>
      <c r="PH463" s="274"/>
      <c r="PI463" s="274"/>
      <c r="PJ463" s="274"/>
      <c r="PK463" s="274"/>
      <c r="PL463" s="274"/>
      <c r="PM463" s="274"/>
      <c r="PN463" s="274"/>
      <c r="PO463" s="274"/>
      <c r="PP463" s="274"/>
      <c r="PQ463" s="274"/>
      <c r="PR463" s="274"/>
      <c r="PS463" s="274"/>
      <c r="PT463" s="274"/>
      <c r="PU463" s="274"/>
      <c r="PV463" s="274"/>
      <c r="PW463" s="274"/>
      <c r="PX463" s="274"/>
      <c r="PY463" s="274"/>
      <c r="PZ463" s="274"/>
      <c r="QA463" s="274"/>
      <c r="QB463" s="274"/>
      <c r="QC463" s="274"/>
      <c r="QD463" s="274"/>
      <c r="QE463" s="274"/>
      <c r="QF463" s="274"/>
      <c r="QG463" s="274"/>
      <c r="QH463" s="274"/>
      <c r="QI463" s="274"/>
      <c r="QJ463" s="274"/>
      <c r="QK463" s="274"/>
      <c r="QL463" s="274"/>
      <c r="QM463" s="274"/>
      <c r="QN463" s="274"/>
      <c r="QO463" s="274"/>
      <c r="QP463" s="274"/>
      <c r="QQ463" s="274"/>
      <c r="QR463" s="274"/>
      <c r="QS463" s="274"/>
      <c r="QT463" s="274"/>
      <c r="QU463" s="274"/>
      <c r="QV463" s="274"/>
      <c r="QW463" s="274"/>
      <c r="QX463" s="274"/>
      <c r="QY463" s="274"/>
      <c r="QZ463" s="274"/>
      <c r="RA463" s="274"/>
      <c r="RB463" s="274"/>
      <c r="RC463" s="274"/>
    </row>
    <row r="464" spans="112:471" ht="17.25">
      <c r="DH464" s="274"/>
      <c r="DI464" s="274"/>
      <c r="DJ464" s="978"/>
      <c r="DK464" s="978"/>
      <c r="DL464" s="978"/>
      <c r="DM464" s="978"/>
      <c r="DN464" s="978"/>
      <c r="DO464" s="978"/>
      <c r="DP464" s="978"/>
      <c r="DQ464" s="978"/>
      <c r="DR464" s="978"/>
      <c r="DS464" s="978"/>
      <c r="DT464" s="978"/>
      <c r="DU464" s="978"/>
      <c r="DV464" s="978"/>
      <c r="DW464" s="978"/>
      <c r="DX464" s="978"/>
      <c r="DY464" s="978"/>
      <c r="DZ464" s="978"/>
      <c r="EA464" s="978"/>
      <c r="EB464" s="978"/>
      <c r="EC464" s="978"/>
      <c r="ED464" s="978"/>
      <c r="EE464" s="978"/>
      <c r="EF464" s="978"/>
      <c r="EG464" s="978"/>
      <c r="EH464" s="978"/>
      <c r="EI464" s="978"/>
      <c r="EJ464" s="978"/>
      <c r="EK464" s="978"/>
      <c r="EL464" s="978"/>
      <c r="EM464" s="978"/>
      <c r="EN464" s="978"/>
      <c r="EO464" s="978"/>
      <c r="EP464" s="978"/>
      <c r="EQ464" s="978"/>
      <c r="ER464" s="978"/>
      <c r="ES464" s="978"/>
      <c r="ET464" s="978"/>
      <c r="EU464" s="978"/>
      <c r="EV464" s="978"/>
      <c r="EW464" s="978"/>
      <c r="EX464" s="978"/>
      <c r="EY464" s="978"/>
      <c r="EZ464" s="978"/>
      <c r="FA464" s="978"/>
      <c r="FB464" s="978"/>
      <c r="FC464" s="978"/>
      <c r="FD464" s="978"/>
      <c r="FE464" s="978"/>
      <c r="FF464" s="978"/>
      <c r="FG464" s="978"/>
      <c r="FH464" s="978"/>
      <c r="FI464" s="978"/>
      <c r="FJ464" s="978"/>
      <c r="FK464" s="978"/>
      <c r="FL464" s="978"/>
      <c r="FM464" s="978"/>
      <c r="FN464" s="978"/>
      <c r="FO464" s="978"/>
      <c r="FP464" s="978"/>
      <c r="FQ464" s="978"/>
      <c r="FR464" s="978"/>
      <c r="FS464" s="978"/>
      <c r="FT464" s="978"/>
      <c r="FU464" s="978"/>
      <c r="FV464" s="978"/>
      <c r="FW464" s="978"/>
      <c r="FX464" s="978"/>
      <c r="FY464" s="978"/>
      <c r="FZ464" s="978"/>
      <c r="GA464" s="978"/>
      <c r="GB464" s="978"/>
      <c r="GC464" s="978"/>
      <c r="GD464" s="978"/>
      <c r="GE464" s="978"/>
      <c r="GF464" s="978"/>
      <c r="GG464" s="978"/>
      <c r="GH464" s="978"/>
      <c r="GI464" s="978"/>
      <c r="GJ464" s="978"/>
      <c r="GK464" s="978"/>
      <c r="GL464" s="978"/>
      <c r="GM464" s="978"/>
      <c r="GN464" s="978"/>
      <c r="GO464" s="978"/>
      <c r="GP464" s="978"/>
      <c r="GQ464" s="978"/>
      <c r="GR464" s="978"/>
      <c r="GS464" s="978"/>
      <c r="GT464" s="978"/>
      <c r="GU464" s="978"/>
      <c r="GV464" s="978"/>
      <c r="GW464" s="978"/>
      <c r="GX464" s="978"/>
      <c r="GY464" s="978"/>
      <c r="GZ464" s="978"/>
      <c r="HA464" s="978"/>
      <c r="HB464" s="978"/>
      <c r="HC464" s="978"/>
      <c r="HD464" s="978"/>
      <c r="HE464" s="978"/>
      <c r="HF464" s="978"/>
      <c r="HG464" s="978"/>
      <c r="HH464" s="978"/>
      <c r="HI464" s="978"/>
      <c r="HJ464" s="978"/>
      <c r="HK464" s="978"/>
      <c r="HL464" s="978"/>
      <c r="HM464" s="978"/>
      <c r="HN464" s="978"/>
      <c r="HO464" s="978"/>
      <c r="HP464" s="978"/>
      <c r="HQ464" s="978"/>
      <c r="HR464" s="978"/>
      <c r="HS464" s="978"/>
      <c r="HT464" s="978"/>
      <c r="HU464" s="978"/>
      <c r="HV464" s="978"/>
      <c r="HW464" s="978"/>
      <c r="HX464" s="978"/>
      <c r="HY464" s="978"/>
      <c r="HZ464" s="978"/>
      <c r="IA464" s="978"/>
      <c r="IB464" s="978"/>
      <c r="IC464" s="978"/>
      <c r="ID464" s="978"/>
      <c r="IE464" s="978"/>
      <c r="IF464" s="978"/>
      <c r="IG464" s="978"/>
      <c r="IH464" s="978"/>
      <c r="II464" s="978"/>
      <c r="IJ464" s="978"/>
      <c r="IK464" s="978"/>
      <c r="IL464" s="978"/>
      <c r="IM464" s="978"/>
      <c r="IN464" s="978"/>
      <c r="IO464" s="978"/>
      <c r="IP464" s="978"/>
      <c r="IQ464" s="978"/>
      <c r="IR464" s="978"/>
      <c r="IS464" s="978"/>
      <c r="IT464" s="978"/>
      <c r="IU464" s="978"/>
      <c r="IV464" s="978"/>
      <c r="IW464" s="978"/>
      <c r="IX464" s="978"/>
      <c r="IY464" s="978"/>
      <c r="IZ464" s="978"/>
      <c r="JA464" s="978"/>
      <c r="JB464" s="978"/>
      <c r="JC464" s="978"/>
      <c r="JD464" s="978"/>
      <c r="JE464" s="978"/>
      <c r="JF464" s="978"/>
      <c r="JG464" s="978"/>
      <c r="JH464" s="978"/>
      <c r="JI464" s="978"/>
      <c r="JJ464" s="978"/>
      <c r="JK464" s="978"/>
      <c r="JL464" s="978"/>
      <c r="JM464" s="978"/>
      <c r="JN464" s="978"/>
      <c r="JO464" s="978"/>
      <c r="JP464" s="978"/>
      <c r="JQ464" s="978"/>
      <c r="JR464" s="978"/>
      <c r="JS464" s="978"/>
      <c r="JT464" s="978"/>
      <c r="JU464" s="978"/>
      <c r="JV464" s="978"/>
      <c r="JW464" s="978"/>
      <c r="JX464" s="978"/>
      <c r="JY464" s="978"/>
      <c r="JZ464" s="978"/>
      <c r="KA464" s="978"/>
      <c r="KB464" s="978"/>
      <c r="KC464" s="978"/>
      <c r="KD464" s="978"/>
      <c r="KE464" s="978"/>
      <c r="KF464" s="978"/>
      <c r="KG464" s="978"/>
      <c r="KH464" s="978"/>
      <c r="KI464" s="978"/>
      <c r="KJ464" s="978"/>
      <c r="KK464" s="978"/>
      <c r="KL464" s="978"/>
      <c r="KM464" s="978"/>
      <c r="KN464" s="978"/>
      <c r="KO464" s="978"/>
      <c r="KP464" s="978"/>
      <c r="KQ464" s="978"/>
      <c r="KR464" s="978"/>
      <c r="KS464" s="978"/>
      <c r="KT464" s="978"/>
      <c r="KU464" s="978"/>
      <c r="KV464" s="978"/>
      <c r="KW464" s="978"/>
      <c r="KX464" s="978"/>
      <c r="KY464" s="978"/>
      <c r="KZ464" s="978"/>
      <c r="LA464" s="978"/>
      <c r="LB464" s="978"/>
      <c r="LC464" s="978"/>
      <c r="LD464" s="978"/>
      <c r="LE464" s="978"/>
      <c r="LF464" s="978"/>
      <c r="LG464" s="978"/>
      <c r="LH464" s="978"/>
      <c r="LI464" s="978"/>
      <c r="LJ464" s="978"/>
      <c r="LK464" s="978"/>
      <c r="LL464" s="978"/>
      <c r="LM464" s="978"/>
      <c r="LN464" s="978"/>
      <c r="LO464" s="978"/>
      <c r="LP464" s="978"/>
      <c r="LQ464" s="978"/>
      <c r="LR464" s="978"/>
      <c r="LS464" s="978"/>
      <c r="LT464" s="978"/>
      <c r="LU464" s="978"/>
      <c r="LV464" s="978"/>
      <c r="LW464" s="978"/>
      <c r="LX464" s="978"/>
      <c r="LY464" s="978"/>
      <c r="LZ464" s="978"/>
      <c r="MA464" s="978"/>
      <c r="MB464" s="978"/>
      <c r="MC464" s="978"/>
      <c r="MD464" s="978"/>
      <c r="ME464" s="978"/>
      <c r="MF464" s="978"/>
      <c r="MG464" s="978"/>
      <c r="MH464" s="978"/>
      <c r="MI464" s="978"/>
      <c r="MJ464" s="978"/>
      <c r="MK464" s="978"/>
      <c r="ML464" s="978"/>
      <c r="MM464" s="978"/>
      <c r="MN464" s="978"/>
      <c r="MO464" s="978"/>
      <c r="MP464" s="978"/>
      <c r="MQ464" s="978"/>
      <c r="MR464" s="978"/>
      <c r="MS464" s="978"/>
      <c r="MT464" s="978"/>
      <c r="MU464" s="978"/>
      <c r="MV464" s="978"/>
      <c r="MW464" s="978"/>
      <c r="MX464" s="978"/>
      <c r="MY464" s="978"/>
      <c r="MZ464" s="978"/>
      <c r="NA464" s="978"/>
      <c r="NB464" s="978"/>
      <c r="NC464" s="978"/>
      <c r="ND464" s="978"/>
      <c r="NE464" s="978"/>
      <c r="NF464" s="978"/>
      <c r="NG464" s="978"/>
      <c r="NH464" s="978"/>
      <c r="NI464" s="978"/>
      <c r="NJ464" s="978"/>
      <c r="NK464" s="978"/>
      <c r="NL464" s="978"/>
      <c r="NM464" s="978"/>
      <c r="NN464" s="978"/>
      <c r="NO464" s="978"/>
      <c r="NP464" s="978"/>
      <c r="NQ464" s="978"/>
      <c r="NR464" s="978"/>
      <c r="NS464" s="978"/>
      <c r="NT464" s="978"/>
      <c r="NU464" s="978"/>
      <c r="NV464" s="978"/>
      <c r="NW464" s="978"/>
      <c r="NX464" s="978"/>
      <c r="NY464" s="978"/>
      <c r="NZ464" s="978"/>
      <c r="OA464" s="978"/>
      <c r="OB464" s="978"/>
      <c r="OC464" s="978"/>
      <c r="OD464" s="978"/>
      <c r="OE464" s="978"/>
      <c r="OF464" s="978"/>
      <c r="OG464" s="978"/>
      <c r="OH464" s="978"/>
      <c r="OI464" s="978"/>
      <c r="OJ464" s="978"/>
      <c r="OK464" s="978"/>
      <c r="OL464" s="978"/>
      <c r="OM464" s="978"/>
      <c r="ON464" s="978"/>
      <c r="OO464" s="978"/>
      <c r="OP464" s="978"/>
      <c r="OQ464" s="978"/>
      <c r="OR464" s="978"/>
      <c r="OS464" s="978"/>
      <c r="OT464" s="978"/>
      <c r="OU464" s="978"/>
      <c r="OV464" s="978"/>
      <c r="OW464" s="978"/>
      <c r="OX464" s="978"/>
      <c r="OY464" s="978"/>
      <c r="OZ464" s="978"/>
      <c r="PA464" s="978"/>
      <c r="PB464" s="978"/>
      <c r="PC464" s="978"/>
      <c r="PD464" s="978"/>
      <c r="PE464" s="978"/>
      <c r="PF464" s="978"/>
      <c r="PG464" s="978"/>
      <c r="PH464" s="978"/>
      <c r="PI464" s="978"/>
      <c r="PJ464" s="978"/>
      <c r="PK464" s="978"/>
      <c r="PL464" s="978"/>
      <c r="PM464" s="978"/>
      <c r="PN464" s="978"/>
      <c r="PO464" s="978"/>
      <c r="PP464" s="978"/>
      <c r="PQ464" s="978"/>
      <c r="PR464" s="978"/>
      <c r="PS464" s="978"/>
      <c r="PT464" s="978"/>
      <c r="PU464" s="978"/>
      <c r="PV464" s="978"/>
      <c r="PW464" s="978"/>
      <c r="PX464" s="978"/>
      <c r="PY464" s="978"/>
      <c r="PZ464" s="978"/>
      <c r="QA464" s="978"/>
      <c r="QB464" s="978"/>
      <c r="QC464" s="978"/>
      <c r="QD464" s="978"/>
      <c r="QE464" s="978"/>
      <c r="QF464" s="978"/>
      <c r="QG464" s="978"/>
      <c r="QH464" s="978"/>
      <c r="QI464" s="978"/>
      <c r="QJ464" s="978"/>
      <c r="QK464" s="978"/>
      <c r="QL464" s="978"/>
      <c r="QM464" s="978"/>
      <c r="QN464" s="978"/>
      <c r="QO464" s="978"/>
      <c r="QP464" s="978"/>
      <c r="QQ464" s="978"/>
      <c r="QR464" s="978"/>
      <c r="QS464" s="978"/>
      <c r="QT464" s="978"/>
      <c r="QU464" s="978"/>
      <c r="QV464" s="978"/>
      <c r="QW464" s="978"/>
      <c r="QX464" s="978"/>
      <c r="QY464" s="978"/>
      <c r="QZ464" s="978"/>
      <c r="RA464" s="978"/>
      <c r="RB464" s="274"/>
      <c r="RC464" s="274"/>
    </row>
    <row r="465" spans="112:471" ht="17.25">
      <c r="DH465" s="274"/>
      <c r="DI465" s="274"/>
      <c r="DJ465" s="978"/>
      <c r="DK465" s="978"/>
      <c r="DL465" s="978"/>
      <c r="DM465" s="978"/>
      <c r="DN465" s="978"/>
      <c r="DO465" s="978"/>
      <c r="DP465" s="978"/>
      <c r="DQ465" s="978"/>
      <c r="DR465" s="978"/>
      <c r="DS465" s="978"/>
      <c r="DT465" s="978"/>
      <c r="DU465" s="978"/>
      <c r="DV465" s="978"/>
      <c r="DW465" s="978"/>
      <c r="DX465" s="978"/>
      <c r="DY465" s="978"/>
      <c r="DZ465" s="978"/>
      <c r="EA465" s="978"/>
      <c r="EB465" s="978"/>
      <c r="EC465" s="978"/>
      <c r="ED465" s="978"/>
      <c r="EE465" s="978"/>
      <c r="EF465" s="978"/>
      <c r="EG465" s="978"/>
      <c r="EH465" s="978"/>
      <c r="EI465" s="978"/>
      <c r="EJ465" s="978"/>
      <c r="EK465" s="978"/>
      <c r="EL465" s="978"/>
      <c r="EM465" s="978"/>
      <c r="EN465" s="978"/>
      <c r="EO465" s="978"/>
      <c r="EP465" s="978"/>
      <c r="EQ465" s="978"/>
      <c r="ER465" s="978"/>
      <c r="ES465" s="978"/>
      <c r="ET465" s="978"/>
      <c r="EU465" s="978"/>
      <c r="EV465" s="978"/>
      <c r="EW465" s="978"/>
      <c r="EX465" s="978"/>
      <c r="EY465" s="978"/>
      <c r="EZ465" s="978"/>
      <c r="FA465" s="978"/>
      <c r="FB465" s="978"/>
      <c r="FC465" s="978"/>
      <c r="FD465" s="978"/>
      <c r="FE465" s="978"/>
      <c r="FF465" s="978"/>
      <c r="FG465" s="978"/>
      <c r="FH465" s="978"/>
      <c r="FI465" s="978"/>
      <c r="FJ465" s="978"/>
      <c r="FK465" s="978"/>
      <c r="FL465" s="978"/>
      <c r="FM465" s="978"/>
      <c r="FN465" s="978"/>
      <c r="FO465" s="978"/>
      <c r="FP465" s="978"/>
      <c r="FQ465" s="978"/>
      <c r="FR465" s="978"/>
      <c r="FS465" s="978"/>
      <c r="FT465" s="978"/>
      <c r="FU465" s="978"/>
      <c r="FV465" s="978"/>
      <c r="FW465" s="978"/>
      <c r="FX465" s="978"/>
      <c r="FY465" s="978"/>
      <c r="FZ465" s="978"/>
      <c r="GA465" s="978"/>
      <c r="GB465" s="978"/>
      <c r="GC465" s="978"/>
      <c r="GD465" s="978"/>
      <c r="GE465" s="978"/>
      <c r="GF465" s="978"/>
      <c r="GG465" s="978"/>
      <c r="GH465" s="978"/>
      <c r="GI465" s="978"/>
      <c r="GJ465" s="978"/>
      <c r="GK465" s="978"/>
      <c r="GL465" s="978"/>
      <c r="GM465" s="978"/>
      <c r="GN465" s="978"/>
      <c r="GO465" s="978"/>
      <c r="GP465" s="978"/>
      <c r="GQ465" s="978"/>
      <c r="GR465" s="978"/>
      <c r="GS465" s="978"/>
      <c r="GT465" s="978"/>
      <c r="GU465" s="978"/>
      <c r="GV465" s="978"/>
      <c r="GW465" s="978"/>
      <c r="GX465" s="978"/>
      <c r="GY465" s="978"/>
      <c r="GZ465" s="978"/>
      <c r="HA465" s="978"/>
      <c r="HB465" s="978"/>
      <c r="HC465" s="978"/>
      <c r="HD465" s="978"/>
      <c r="HE465" s="978"/>
      <c r="HF465" s="978"/>
      <c r="HG465" s="978"/>
      <c r="HH465" s="978"/>
      <c r="HI465" s="978"/>
      <c r="HJ465" s="978"/>
      <c r="HK465" s="978"/>
      <c r="HL465" s="978"/>
      <c r="HM465" s="978"/>
      <c r="HN465" s="978"/>
      <c r="HO465" s="978"/>
      <c r="HP465" s="978"/>
      <c r="HQ465" s="978"/>
      <c r="HR465" s="978"/>
      <c r="HS465" s="978"/>
      <c r="HT465" s="978"/>
      <c r="HU465" s="978"/>
      <c r="HV465" s="978"/>
      <c r="HW465" s="978"/>
      <c r="HX465" s="978"/>
      <c r="HY465" s="978"/>
      <c r="HZ465" s="978"/>
      <c r="IA465" s="978"/>
      <c r="IB465" s="978"/>
      <c r="IC465" s="978"/>
      <c r="ID465" s="978"/>
      <c r="IE465" s="978"/>
      <c r="IF465" s="978"/>
      <c r="IG465" s="978"/>
      <c r="IH465" s="978"/>
      <c r="II465" s="978"/>
      <c r="IJ465" s="978"/>
      <c r="IK465" s="978"/>
      <c r="IL465" s="978"/>
      <c r="IM465" s="978"/>
      <c r="IN465" s="978"/>
      <c r="IO465" s="978"/>
      <c r="IP465" s="978"/>
      <c r="IQ465" s="978"/>
      <c r="IR465" s="978"/>
      <c r="IS465" s="978"/>
      <c r="IT465" s="978"/>
      <c r="IU465" s="978"/>
      <c r="IV465" s="978"/>
      <c r="IW465" s="978"/>
      <c r="IX465" s="978"/>
      <c r="IY465" s="978"/>
      <c r="IZ465" s="978"/>
      <c r="JA465" s="978"/>
      <c r="JB465" s="978"/>
      <c r="JC465" s="978"/>
      <c r="JD465" s="978"/>
      <c r="JE465" s="978"/>
      <c r="JF465" s="978"/>
      <c r="JG465" s="978"/>
      <c r="JH465" s="978"/>
      <c r="JI465" s="978"/>
      <c r="JJ465" s="978"/>
      <c r="JK465" s="978"/>
      <c r="JL465" s="978"/>
      <c r="JM465" s="978"/>
      <c r="JN465" s="978"/>
      <c r="JO465" s="978"/>
      <c r="JP465" s="978"/>
      <c r="JQ465" s="978"/>
      <c r="JR465" s="978"/>
      <c r="JS465" s="978"/>
      <c r="JT465" s="978"/>
      <c r="JU465" s="978"/>
      <c r="JV465" s="978"/>
      <c r="JW465" s="978"/>
      <c r="JX465" s="978"/>
      <c r="JY465" s="978"/>
      <c r="JZ465" s="978"/>
      <c r="KA465" s="978"/>
      <c r="KB465" s="978"/>
      <c r="KC465" s="978"/>
      <c r="KD465" s="978"/>
      <c r="KE465" s="978"/>
      <c r="KF465" s="978"/>
      <c r="KG465" s="978"/>
      <c r="KH465" s="978"/>
      <c r="KI465" s="978"/>
      <c r="KJ465" s="978"/>
      <c r="KK465" s="978"/>
      <c r="KL465" s="978"/>
      <c r="KM465" s="978"/>
      <c r="KN465" s="978"/>
      <c r="KO465" s="978"/>
      <c r="KP465" s="978"/>
      <c r="KQ465" s="978"/>
      <c r="KR465" s="978"/>
      <c r="KS465" s="978"/>
      <c r="KT465" s="978"/>
      <c r="KU465" s="978"/>
      <c r="KV465" s="978"/>
      <c r="KW465" s="978"/>
      <c r="KX465" s="978"/>
      <c r="KY465" s="978"/>
      <c r="KZ465" s="978"/>
      <c r="LA465" s="978"/>
      <c r="LB465" s="978"/>
      <c r="LC465" s="978"/>
      <c r="LD465" s="978"/>
      <c r="LE465" s="978"/>
      <c r="LF465" s="978"/>
      <c r="LG465" s="978"/>
      <c r="LH465" s="978"/>
      <c r="LI465" s="978"/>
      <c r="LJ465" s="978"/>
      <c r="LK465" s="978"/>
      <c r="LL465" s="978"/>
      <c r="LM465" s="978"/>
      <c r="LN465" s="978"/>
      <c r="LO465" s="978"/>
      <c r="LP465" s="978"/>
      <c r="LQ465" s="978"/>
      <c r="LR465" s="978"/>
      <c r="LS465" s="978"/>
      <c r="LT465" s="978"/>
      <c r="LU465" s="978"/>
      <c r="LV465" s="978"/>
      <c r="LW465" s="978"/>
      <c r="LX465" s="978"/>
      <c r="LY465" s="978"/>
      <c r="LZ465" s="978"/>
      <c r="MA465" s="978"/>
      <c r="MB465" s="978"/>
      <c r="MC465" s="978"/>
      <c r="MD465" s="978"/>
      <c r="ME465" s="978"/>
      <c r="MF465" s="978"/>
      <c r="MG465" s="978"/>
      <c r="MH465" s="978"/>
      <c r="MI465" s="978"/>
      <c r="MJ465" s="978"/>
      <c r="MK465" s="978"/>
      <c r="ML465" s="978"/>
      <c r="MM465" s="978"/>
      <c r="MN465" s="978"/>
      <c r="MO465" s="978"/>
      <c r="MP465" s="978"/>
      <c r="MQ465" s="978"/>
      <c r="MR465" s="978"/>
      <c r="MS465" s="978"/>
      <c r="MT465" s="978"/>
      <c r="MU465" s="978"/>
      <c r="MV465" s="978"/>
      <c r="MW465" s="978"/>
      <c r="MX465" s="978"/>
      <c r="MY465" s="978"/>
      <c r="MZ465" s="978"/>
      <c r="NA465" s="978"/>
      <c r="NB465" s="978"/>
      <c r="NC465" s="978"/>
      <c r="ND465" s="978"/>
      <c r="NE465" s="978"/>
      <c r="NF465" s="978"/>
      <c r="NG465" s="978"/>
      <c r="NH465" s="978"/>
      <c r="NI465" s="978"/>
      <c r="NJ465" s="978"/>
      <c r="NK465" s="978"/>
      <c r="NL465" s="978"/>
      <c r="NM465" s="978"/>
      <c r="NN465" s="978"/>
      <c r="NO465" s="978"/>
      <c r="NP465" s="978"/>
      <c r="NQ465" s="978"/>
      <c r="NR465" s="978"/>
      <c r="NS465" s="978"/>
      <c r="NT465" s="978"/>
      <c r="NU465" s="978"/>
      <c r="NV465" s="978"/>
      <c r="NW465" s="978"/>
      <c r="NX465" s="978"/>
      <c r="NY465" s="978"/>
      <c r="NZ465" s="978"/>
      <c r="OA465" s="978"/>
      <c r="OB465" s="978"/>
      <c r="OC465" s="978"/>
      <c r="OD465" s="978"/>
      <c r="OE465" s="978"/>
      <c r="OF465" s="978"/>
      <c r="OG465" s="978"/>
      <c r="OH465" s="978"/>
      <c r="OI465" s="978"/>
      <c r="OJ465" s="978"/>
      <c r="OK465" s="978"/>
      <c r="OL465" s="978"/>
      <c r="OM465" s="978"/>
      <c r="ON465" s="978"/>
      <c r="OO465" s="978"/>
      <c r="OP465" s="978"/>
      <c r="OQ465" s="978"/>
      <c r="OR465" s="978"/>
      <c r="OS465" s="978"/>
      <c r="OT465" s="978"/>
      <c r="OU465" s="978"/>
      <c r="OV465" s="978"/>
      <c r="OW465" s="978"/>
      <c r="OX465" s="978"/>
      <c r="OY465" s="978"/>
      <c r="OZ465" s="978"/>
      <c r="PA465" s="978"/>
      <c r="PB465" s="978"/>
      <c r="PC465" s="978"/>
      <c r="PD465" s="978"/>
      <c r="PE465" s="978"/>
      <c r="PF465" s="978"/>
      <c r="PG465" s="978"/>
      <c r="PH465" s="978"/>
      <c r="PI465" s="978"/>
      <c r="PJ465" s="978"/>
      <c r="PK465" s="978"/>
      <c r="PL465" s="978"/>
      <c r="PM465" s="978"/>
      <c r="PN465" s="978"/>
      <c r="PO465" s="978"/>
      <c r="PP465" s="978"/>
      <c r="PQ465" s="978"/>
      <c r="PR465" s="978"/>
      <c r="PS465" s="978"/>
      <c r="PT465" s="978"/>
      <c r="PU465" s="978"/>
      <c r="PV465" s="978"/>
      <c r="PW465" s="978"/>
      <c r="PX465" s="978"/>
      <c r="PY465" s="978"/>
      <c r="PZ465" s="978"/>
      <c r="QA465" s="978"/>
      <c r="QB465" s="978"/>
      <c r="QC465" s="978"/>
      <c r="QD465" s="978"/>
      <c r="QE465" s="978"/>
      <c r="QF465" s="978"/>
      <c r="QG465" s="978"/>
      <c r="QH465" s="978"/>
      <c r="QI465" s="978"/>
      <c r="QJ465" s="978"/>
      <c r="QK465" s="978"/>
      <c r="QL465" s="978"/>
      <c r="QM465" s="978"/>
      <c r="QN465" s="978"/>
      <c r="QO465" s="978"/>
      <c r="QP465" s="978"/>
      <c r="QQ465" s="978"/>
      <c r="QR465" s="978"/>
      <c r="QS465" s="978"/>
      <c r="QT465" s="978"/>
      <c r="QU465" s="978"/>
      <c r="QV465" s="978"/>
      <c r="QW465" s="978"/>
      <c r="QX465" s="978"/>
      <c r="QY465" s="978"/>
      <c r="QZ465" s="978"/>
      <c r="RA465" s="978"/>
      <c r="RB465" s="274"/>
      <c r="RC465" s="274"/>
    </row>
    <row r="466" spans="112:471" ht="17.25">
      <c r="DH466" s="274"/>
      <c r="DI466" s="274"/>
      <c r="DJ466" s="978"/>
      <c r="DK466" s="978"/>
      <c r="DL466" s="978"/>
      <c r="DM466" s="978"/>
      <c r="DN466" s="978"/>
      <c r="DO466" s="978"/>
      <c r="DP466" s="978"/>
      <c r="DQ466" s="978"/>
      <c r="DR466" s="978"/>
      <c r="DS466" s="978"/>
      <c r="DT466" s="978"/>
      <c r="DU466" s="978"/>
      <c r="DV466" s="978"/>
      <c r="DW466" s="978"/>
      <c r="DX466" s="978"/>
      <c r="DY466" s="978"/>
      <c r="DZ466" s="978"/>
      <c r="EA466" s="978"/>
      <c r="EB466" s="978"/>
      <c r="EC466" s="978"/>
      <c r="ED466" s="978"/>
      <c r="EE466" s="978"/>
      <c r="EF466" s="978"/>
      <c r="EG466" s="978"/>
      <c r="EH466" s="978"/>
      <c r="EI466" s="978"/>
      <c r="EJ466" s="978"/>
      <c r="EK466" s="978"/>
      <c r="EL466" s="978"/>
      <c r="EM466" s="978"/>
      <c r="EN466" s="978"/>
      <c r="EO466" s="978"/>
      <c r="EP466" s="978"/>
      <c r="EQ466" s="978"/>
      <c r="ER466" s="978"/>
      <c r="ES466" s="978"/>
      <c r="ET466" s="978"/>
      <c r="EU466" s="978"/>
      <c r="EV466" s="978"/>
      <c r="EW466" s="978"/>
      <c r="EX466" s="978"/>
      <c r="EY466" s="978"/>
      <c r="EZ466" s="978"/>
      <c r="FA466" s="978"/>
      <c r="FB466" s="978"/>
      <c r="FC466" s="978"/>
      <c r="FD466" s="978"/>
      <c r="FE466" s="978"/>
      <c r="FF466" s="978"/>
      <c r="FG466" s="978"/>
      <c r="FH466" s="978"/>
      <c r="FI466" s="978"/>
      <c r="FJ466" s="978"/>
      <c r="FK466" s="978"/>
      <c r="FL466" s="978"/>
      <c r="FM466" s="978"/>
      <c r="FN466" s="978"/>
      <c r="FO466" s="978"/>
      <c r="FP466" s="978"/>
      <c r="FQ466" s="978"/>
      <c r="FR466" s="978"/>
      <c r="FS466" s="978"/>
      <c r="FT466" s="978"/>
      <c r="FU466" s="978"/>
      <c r="FV466" s="978"/>
      <c r="FW466" s="978"/>
      <c r="FX466" s="978"/>
      <c r="FY466" s="978"/>
      <c r="FZ466" s="978"/>
      <c r="GA466" s="978"/>
      <c r="GB466" s="978"/>
      <c r="GC466" s="978"/>
      <c r="GD466" s="978"/>
      <c r="GE466" s="978"/>
      <c r="GF466" s="978"/>
      <c r="GG466" s="978"/>
      <c r="GH466" s="978"/>
      <c r="GI466" s="978"/>
      <c r="GJ466" s="978"/>
      <c r="GK466" s="978"/>
      <c r="GL466" s="978"/>
      <c r="GM466" s="978"/>
      <c r="GN466" s="978"/>
      <c r="GO466" s="978"/>
      <c r="GP466" s="978"/>
      <c r="GQ466" s="978"/>
      <c r="GR466" s="978"/>
      <c r="GS466" s="978"/>
      <c r="GT466" s="978"/>
      <c r="GU466" s="978"/>
      <c r="GV466" s="978"/>
      <c r="GW466" s="978"/>
      <c r="GX466" s="978"/>
      <c r="GY466" s="978"/>
      <c r="GZ466" s="978"/>
      <c r="HA466" s="978"/>
      <c r="HB466" s="978"/>
      <c r="HC466" s="978"/>
      <c r="HD466" s="978"/>
      <c r="HE466" s="978"/>
      <c r="HF466" s="978"/>
      <c r="HG466" s="978"/>
      <c r="HH466" s="978"/>
      <c r="HI466" s="978"/>
      <c r="HJ466" s="978"/>
      <c r="HK466" s="978"/>
      <c r="HL466" s="978"/>
      <c r="HM466" s="978"/>
      <c r="HN466" s="978"/>
      <c r="HO466" s="978"/>
      <c r="HP466" s="978"/>
      <c r="HQ466" s="978"/>
      <c r="HR466" s="978"/>
      <c r="HS466" s="978"/>
      <c r="HT466" s="978"/>
      <c r="HU466" s="978"/>
      <c r="HV466" s="978"/>
      <c r="HW466" s="978"/>
      <c r="HX466" s="978"/>
      <c r="HY466" s="978"/>
      <c r="HZ466" s="978"/>
      <c r="IA466" s="978"/>
      <c r="IB466" s="978"/>
      <c r="IC466" s="978"/>
      <c r="ID466" s="978"/>
      <c r="IE466" s="978"/>
      <c r="IF466" s="978"/>
      <c r="IG466" s="978"/>
      <c r="IH466" s="978"/>
      <c r="II466" s="978"/>
      <c r="IJ466" s="978"/>
      <c r="IK466" s="978"/>
      <c r="IL466" s="978"/>
      <c r="IM466" s="978"/>
      <c r="IN466" s="978"/>
      <c r="IO466" s="978"/>
      <c r="IP466" s="978"/>
      <c r="IQ466" s="978"/>
      <c r="IR466" s="978"/>
      <c r="IS466" s="978"/>
      <c r="IT466" s="978"/>
      <c r="IU466" s="978"/>
      <c r="IV466" s="978"/>
      <c r="IW466" s="978"/>
      <c r="IX466" s="978"/>
      <c r="IY466" s="978"/>
      <c r="IZ466" s="978"/>
      <c r="JA466" s="978"/>
      <c r="JB466" s="978"/>
      <c r="JC466" s="978"/>
      <c r="JD466" s="978"/>
      <c r="JE466" s="978"/>
      <c r="JF466" s="978"/>
      <c r="JG466" s="978"/>
      <c r="JH466" s="978"/>
      <c r="JI466" s="978"/>
      <c r="JJ466" s="978"/>
      <c r="JK466" s="978"/>
      <c r="JL466" s="978"/>
      <c r="JM466" s="978"/>
      <c r="JN466" s="978"/>
      <c r="JO466" s="978"/>
      <c r="JP466" s="978"/>
      <c r="JQ466" s="978"/>
      <c r="JR466" s="978"/>
      <c r="JS466" s="978"/>
      <c r="JT466" s="978"/>
      <c r="JU466" s="978"/>
      <c r="JV466" s="978"/>
      <c r="JW466" s="978"/>
      <c r="JX466" s="978"/>
      <c r="JY466" s="978"/>
      <c r="JZ466" s="978"/>
      <c r="KA466" s="978"/>
      <c r="KB466" s="978"/>
      <c r="KC466" s="978"/>
      <c r="KD466" s="978"/>
      <c r="KE466" s="978"/>
      <c r="KF466" s="978"/>
      <c r="KG466" s="978"/>
      <c r="KH466" s="978"/>
      <c r="KI466" s="978"/>
      <c r="KJ466" s="978"/>
      <c r="KK466" s="978"/>
      <c r="KL466" s="978"/>
      <c r="KM466" s="978"/>
      <c r="KN466" s="978"/>
      <c r="KO466" s="978"/>
      <c r="KP466" s="978"/>
      <c r="KQ466" s="978"/>
      <c r="KR466" s="978"/>
      <c r="KS466" s="978"/>
      <c r="KT466" s="978"/>
      <c r="KU466" s="978"/>
      <c r="KV466" s="978"/>
      <c r="KW466" s="978"/>
      <c r="KX466" s="978"/>
      <c r="KY466" s="978"/>
      <c r="KZ466" s="978"/>
      <c r="LA466" s="978"/>
      <c r="LB466" s="978"/>
      <c r="LC466" s="978"/>
      <c r="LD466" s="978"/>
      <c r="LE466" s="978"/>
      <c r="LF466" s="978"/>
      <c r="LG466" s="978"/>
      <c r="LH466" s="978"/>
      <c r="LI466" s="978"/>
      <c r="LJ466" s="978"/>
      <c r="LK466" s="978"/>
      <c r="LL466" s="978"/>
      <c r="LM466" s="978"/>
      <c r="LN466" s="978"/>
      <c r="LO466" s="978"/>
      <c r="LP466" s="978"/>
      <c r="LQ466" s="978"/>
      <c r="LR466" s="978"/>
      <c r="LS466" s="978"/>
      <c r="LT466" s="978"/>
      <c r="LU466" s="978"/>
      <c r="LV466" s="978"/>
      <c r="LW466" s="978"/>
      <c r="LX466" s="978"/>
      <c r="LY466" s="978"/>
      <c r="LZ466" s="978"/>
      <c r="MA466" s="978"/>
      <c r="MB466" s="978"/>
      <c r="MC466" s="978"/>
      <c r="MD466" s="978"/>
      <c r="ME466" s="978"/>
      <c r="MF466" s="978"/>
      <c r="MG466" s="978"/>
      <c r="MH466" s="978"/>
      <c r="MI466" s="978"/>
      <c r="MJ466" s="978"/>
      <c r="MK466" s="978"/>
      <c r="ML466" s="978"/>
      <c r="MM466" s="978"/>
      <c r="MN466" s="978"/>
      <c r="MO466" s="978"/>
      <c r="MP466" s="978"/>
      <c r="MQ466" s="978"/>
      <c r="MR466" s="978"/>
      <c r="MS466" s="978"/>
      <c r="MT466" s="978"/>
      <c r="MU466" s="978"/>
      <c r="MV466" s="978"/>
      <c r="MW466" s="978"/>
      <c r="MX466" s="978"/>
      <c r="MY466" s="978"/>
      <c r="MZ466" s="978"/>
      <c r="NA466" s="978"/>
      <c r="NB466" s="978"/>
      <c r="NC466" s="978"/>
      <c r="ND466" s="978"/>
      <c r="NE466" s="978"/>
      <c r="NF466" s="978"/>
      <c r="NG466" s="978"/>
      <c r="NH466" s="978"/>
      <c r="NI466" s="978"/>
      <c r="NJ466" s="978"/>
      <c r="NK466" s="978"/>
      <c r="NL466" s="978"/>
      <c r="NM466" s="978"/>
      <c r="NN466" s="978"/>
      <c r="NO466" s="978"/>
      <c r="NP466" s="978"/>
      <c r="NQ466" s="978"/>
      <c r="NR466" s="978"/>
      <c r="NS466" s="978"/>
      <c r="NT466" s="978"/>
      <c r="NU466" s="978"/>
      <c r="NV466" s="978"/>
      <c r="NW466" s="978"/>
      <c r="NX466" s="978"/>
      <c r="NY466" s="978"/>
      <c r="NZ466" s="978"/>
      <c r="OA466" s="978"/>
      <c r="OB466" s="978"/>
      <c r="OC466" s="978"/>
      <c r="OD466" s="978"/>
      <c r="OE466" s="978"/>
      <c r="OF466" s="978"/>
      <c r="OG466" s="978"/>
      <c r="OH466" s="978"/>
      <c r="OI466" s="978"/>
      <c r="OJ466" s="978"/>
      <c r="OK466" s="978"/>
      <c r="OL466" s="978"/>
      <c r="OM466" s="978"/>
      <c r="ON466" s="978"/>
      <c r="OO466" s="978"/>
      <c r="OP466" s="978"/>
      <c r="OQ466" s="978"/>
      <c r="OR466" s="978"/>
      <c r="OS466" s="978"/>
      <c r="OT466" s="978"/>
      <c r="OU466" s="978"/>
      <c r="OV466" s="978"/>
      <c r="OW466" s="978"/>
      <c r="OX466" s="978"/>
      <c r="OY466" s="978"/>
      <c r="OZ466" s="978"/>
      <c r="PA466" s="978"/>
      <c r="PB466" s="978"/>
      <c r="PC466" s="978"/>
      <c r="PD466" s="978"/>
      <c r="PE466" s="978"/>
      <c r="PF466" s="978"/>
      <c r="PG466" s="978"/>
      <c r="PH466" s="978"/>
      <c r="PI466" s="978"/>
      <c r="PJ466" s="978"/>
      <c r="PK466" s="978"/>
      <c r="PL466" s="978"/>
      <c r="PM466" s="978"/>
      <c r="PN466" s="978"/>
      <c r="PO466" s="978"/>
      <c r="PP466" s="978"/>
      <c r="PQ466" s="978"/>
      <c r="PR466" s="978"/>
      <c r="PS466" s="978"/>
      <c r="PT466" s="978"/>
      <c r="PU466" s="978"/>
      <c r="PV466" s="978"/>
      <c r="PW466" s="978"/>
      <c r="PX466" s="978"/>
      <c r="PY466" s="978"/>
      <c r="PZ466" s="978"/>
      <c r="QA466" s="978"/>
      <c r="QB466" s="978"/>
      <c r="QC466" s="978"/>
      <c r="QD466" s="978"/>
      <c r="QE466" s="978"/>
      <c r="QF466" s="978"/>
      <c r="QG466" s="978"/>
      <c r="QH466" s="978"/>
      <c r="QI466" s="978"/>
      <c r="QJ466" s="978"/>
      <c r="QK466" s="978"/>
      <c r="QL466" s="978"/>
      <c r="QM466" s="978"/>
      <c r="QN466" s="978"/>
      <c r="QO466" s="978"/>
      <c r="QP466" s="978"/>
      <c r="QQ466" s="978"/>
      <c r="QR466" s="978"/>
      <c r="QS466" s="978"/>
      <c r="QT466" s="978"/>
      <c r="QU466" s="978"/>
      <c r="QV466" s="978"/>
      <c r="QW466" s="978"/>
      <c r="QX466" s="978"/>
      <c r="QY466" s="978"/>
      <c r="QZ466" s="978"/>
      <c r="RA466" s="978"/>
      <c r="RB466" s="274"/>
      <c r="RC466" s="274"/>
    </row>
    <row r="467" spans="112:471" ht="17.25">
      <c r="DH467" s="274"/>
      <c r="DI467" s="274"/>
      <c r="DJ467" s="978"/>
      <c r="DK467" s="978"/>
      <c r="DL467" s="978"/>
      <c r="DM467" s="978"/>
      <c r="DN467" s="978"/>
      <c r="DO467" s="978"/>
      <c r="DP467" s="978"/>
      <c r="DQ467" s="978"/>
      <c r="DR467" s="978"/>
      <c r="DS467" s="978"/>
      <c r="DT467" s="978"/>
      <c r="DU467" s="978"/>
      <c r="DV467" s="978"/>
      <c r="DW467" s="978"/>
      <c r="DX467" s="978"/>
      <c r="DY467" s="978"/>
      <c r="DZ467" s="978"/>
      <c r="EA467" s="978"/>
      <c r="EB467" s="978"/>
      <c r="EC467" s="978"/>
      <c r="ED467" s="978"/>
      <c r="EE467" s="978"/>
      <c r="EF467" s="978"/>
      <c r="EG467" s="978"/>
      <c r="EH467" s="978"/>
      <c r="EI467" s="978"/>
      <c r="EJ467" s="978"/>
      <c r="EK467" s="978"/>
      <c r="EL467" s="978"/>
      <c r="EM467" s="978"/>
      <c r="EN467" s="978"/>
      <c r="EO467" s="978"/>
      <c r="EP467" s="978"/>
      <c r="EQ467" s="978"/>
      <c r="ER467" s="978"/>
      <c r="ES467" s="978"/>
      <c r="ET467" s="978"/>
      <c r="EU467" s="978"/>
      <c r="EV467" s="978"/>
      <c r="EW467" s="978"/>
      <c r="EX467" s="978"/>
      <c r="EY467" s="978"/>
      <c r="EZ467" s="978"/>
      <c r="FA467" s="978"/>
      <c r="FB467" s="978"/>
      <c r="FC467" s="978"/>
      <c r="FD467" s="978"/>
      <c r="FE467" s="978"/>
      <c r="FF467" s="978"/>
      <c r="FG467" s="978"/>
      <c r="FH467" s="978"/>
      <c r="FI467" s="978"/>
      <c r="FJ467" s="978"/>
      <c r="FK467" s="978"/>
      <c r="FL467" s="978"/>
      <c r="FM467" s="978"/>
      <c r="FN467" s="978"/>
      <c r="FO467" s="978"/>
      <c r="FP467" s="978"/>
      <c r="FQ467" s="978"/>
      <c r="FR467" s="978"/>
      <c r="FS467" s="978"/>
      <c r="FT467" s="978"/>
      <c r="FU467" s="978"/>
      <c r="FV467" s="978"/>
      <c r="FW467" s="978"/>
      <c r="FX467" s="978"/>
      <c r="FY467" s="978"/>
      <c r="FZ467" s="978"/>
      <c r="GA467" s="978"/>
      <c r="GB467" s="978"/>
      <c r="GC467" s="978"/>
      <c r="GD467" s="978"/>
      <c r="GE467" s="978"/>
      <c r="GF467" s="978"/>
      <c r="GG467" s="978"/>
      <c r="GH467" s="978"/>
      <c r="GI467" s="978"/>
      <c r="GJ467" s="978"/>
      <c r="GK467" s="978"/>
      <c r="GL467" s="978"/>
      <c r="GM467" s="978"/>
      <c r="GN467" s="978"/>
      <c r="GO467" s="978"/>
      <c r="GP467" s="978"/>
      <c r="GQ467" s="978"/>
      <c r="GR467" s="978"/>
      <c r="GS467" s="978"/>
      <c r="GT467" s="978"/>
      <c r="GU467" s="978"/>
      <c r="GV467" s="978"/>
      <c r="GW467" s="978"/>
      <c r="GX467" s="978"/>
      <c r="GY467" s="978"/>
      <c r="GZ467" s="978"/>
      <c r="HA467" s="978"/>
      <c r="HB467" s="978"/>
      <c r="HC467" s="978"/>
      <c r="HD467" s="978"/>
      <c r="HE467" s="978"/>
      <c r="HF467" s="978"/>
      <c r="HG467" s="978"/>
      <c r="HH467" s="978"/>
      <c r="HI467" s="978"/>
      <c r="HJ467" s="978"/>
      <c r="HK467" s="978"/>
      <c r="HL467" s="978"/>
      <c r="HM467" s="978"/>
      <c r="HN467" s="978"/>
      <c r="HO467" s="978"/>
      <c r="HP467" s="978"/>
      <c r="HQ467" s="978"/>
      <c r="HR467" s="978"/>
      <c r="HS467" s="978"/>
      <c r="HT467" s="978"/>
      <c r="HU467" s="978"/>
      <c r="HV467" s="978"/>
      <c r="HW467" s="978"/>
      <c r="HX467" s="978"/>
      <c r="HY467" s="978"/>
      <c r="HZ467" s="978"/>
      <c r="IA467" s="978"/>
      <c r="IB467" s="978"/>
      <c r="IC467" s="978"/>
      <c r="ID467" s="978"/>
      <c r="IE467" s="978"/>
      <c r="IF467" s="978"/>
      <c r="IG467" s="978"/>
      <c r="IH467" s="978"/>
      <c r="II467" s="978"/>
      <c r="IJ467" s="978"/>
      <c r="IK467" s="978"/>
      <c r="IL467" s="978"/>
      <c r="IM467" s="978"/>
      <c r="IN467" s="978"/>
      <c r="IO467" s="978"/>
      <c r="IP467" s="978"/>
      <c r="IQ467" s="978"/>
      <c r="IR467" s="978"/>
      <c r="IS467" s="978"/>
      <c r="IT467" s="978"/>
      <c r="IU467" s="978"/>
      <c r="IV467" s="978"/>
      <c r="IW467" s="978"/>
      <c r="IX467" s="978"/>
      <c r="IY467" s="978"/>
      <c r="IZ467" s="978"/>
      <c r="JA467" s="978"/>
      <c r="JB467" s="978"/>
      <c r="JC467" s="978"/>
      <c r="JD467" s="978"/>
      <c r="JE467" s="978"/>
      <c r="JF467" s="978"/>
      <c r="JG467" s="978"/>
      <c r="JH467" s="978"/>
      <c r="JI467" s="978"/>
      <c r="JJ467" s="978"/>
      <c r="JK467" s="978"/>
      <c r="JL467" s="978"/>
      <c r="JM467" s="978"/>
      <c r="JN467" s="978"/>
      <c r="JO467" s="978"/>
      <c r="JP467" s="978"/>
      <c r="JQ467" s="978"/>
      <c r="JR467" s="978"/>
      <c r="JS467" s="978"/>
      <c r="JT467" s="978"/>
      <c r="JU467" s="978"/>
      <c r="JV467" s="978"/>
      <c r="JW467" s="978"/>
      <c r="JX467" s="978"/>
      <c r="JY467" s="978"/>
      <c r="JZ467" s="978"/>
      <c r="KA467" s="978"/>
      <c r="KB467" s="978"/>
      <c r="KC467" s="978"/>
      <c r="KD467" s="978"/>
      <c r="KE467" s="978"/>
      <c r="KF467" s="978"/>
      <c r="KG467" s="978"/>
      <c r="KH467" s="978"/>
      <c r="KI467" s="978"/>
      <c r="KJ467" s="978"/>
      <c r="KK467" s="978"/>
      <c r="KL467" s="978"/>
      <c r="KM467" s="978"/>
      <c r="KN467" s="978"/>
      <c r="KO467" s="978"/>
      <c r="KP467" s="978"/>
      <c r="KQ467" s="978"/>
      <c r="KR467" s="978"/>
      <c r="KS467" s="978"/>
      <c r="KT467" s="978"/>
      <c r="KU467" s="978"/>
      <c r="KV467" s="978"/>
      <c r="KW467" s="978"/>
      <c r="KX467" s="978"/>
      <c r="KY467" s="978"/>
      <c r="KZ467" s="978"/>
      <c r="LA467" s="978"/>
      <c r="LB467" s="978"/>
      <c r="LC467" s="978"/>
      <c r="LD467" s="978"/>
      <c r="LE467" s="978"/>
      <c r="LF467" s="978"/>
      <c r="LG467" s="978"/>
      <c r="LH467" s="978"/>
      <c r="LI467" s="978"/>
      <c r="LJ467" s="978"/>
      <c r="LK467" s="978"/>
      <c r="LL467" s="978"/>
      <c r="LM467" s="978"/>
      <c r="LN467" s="978"/>
      <c r="LO467" s="978"/>
      <c r="LP467" s="978"/>
      <c r="LQ467" s="978"/>
      <c r="LR467" s="978"/>
      <c r="LS467" s="978"/>
      <c r="LT467" s="978"/>
      <c r="LU467" s="978"/>
      <c r="LV467" s="978"/>
      <c r="LW467" s="978"/>
      <c r="LX467" s="978"/>
      <c r="LY467" s="978"/>
      <c r="LZ467" s="978"/>
      <c r="MA467" s="978"/>
      <c r="MB467" s="978"/>
      <c r="MC467" s="978"/>
      <c r="MD467" s="978"/>
      <c r="ME467" s="978"/>
      <c r="MF467" s="978"/>
      <c r="MG467" s="978"/>
      <c r="MH467" s="978"/>
      <c r="MI467" s="978"/>
      <c r="MJ467" s="978"/>
      <c r="MK467" s="978"/>
      <c r="ML467" s="978"/>
      <c r="MM467" s="978"/>
      <c r="MN467" s="978"/>
      <c r="MO467" s="978"/>
      <c r="MP467" s="978"/>
      <c r="MQ467" s="978"/>
      <c r="MR467" s="978"/>
      <c r="MS467" s="978"/>
      <c r="MT467" s="978"/>
      <c r="MU467" s="978"/>
      <c r="MV467" s="978"/>
      <c r="MW467" s="978"/>
      <c r="MX467" s="978"/>
      <c r="MY467" s="978"/>
      <c r="MZ467" s="978"/>
      <c r="NA467" s="978"/>
      <c r="NB467" s="978"/>
      <c r="NC467" s="978"/>
      <c r="ND467" s="978"/>
      <c r="NE467" s="978"/>
      <c r="NF467" s="978"/>
      <c r="NG467" s="978"/>
      <c r="NH467" s="978"/>
      <c r="NI467" s="978"/>
      <c r="NJ467" s="978"/>
      <c r="NK467" s="978"/>
      <c r="NL467" s="978"/>
      <c r="NM467" s="978"/>
      <c r="NN467" s="978"/>
      <c r="NO467" s="978"/>
      <c r="NP467" s="978"/>
      <c r="NQ467" s="978"/>
      <c r="NR467" s="978"/>
      <c r="NS467" s="978"/>
      <c r="NT467" s="978"/>
      <c r="NU467" s="978"/>
      <c r="NV467" s="978"/>
      <c r="NW467" s="978"/>
      <c r="NX467" s="978"/>
      <c r="NY467" s="978"/>
      <c r="NZ467" s="978"/>
      <c r="OA467" s="978"/>
      <c r="OB467" s="978"/>
      <c r="OC467" s="978"/>
      <c r="OD467" s="978"/>
      <c r="OE467" s="978"/>
      <c r="OF467" s="978"/>
      <c r="OG467" s="978"/>
      <c r="OH467" s="978"/>
      <c r="OI467" s="978"/>
      <c r="OJ467" s="978"/>
      <c r="OK467" s="978"/>
      <c r="OL467" s="978"/>
      <c r="OM467" s="978"/>
      <c r="ON467" s="978"/>
      <c r="OO467" s="978"/>
      <c r="OP467" s="978"/>
      <c r="OQ467" s="978"/>
      <c r="OR467" s="978"/>
      <c r="OS467" s="978"/>
      <c r="OT467" s="978"/>
      <c r="OU467" s="978"/>
      <c r="OV467" s="978"/>
      <c r="OW467" s="978"/>
      <c r="OX467" s="978"/>
      <c r="OY467" s="978"/>
      <c r="OZ467" s="978"/>
      <c r="PA467" s="978"/>
      <c r="PB467" s="978"/>
      <c r="PC467" s="978"/>
      <c r="PD467" s="978"/>
      <c r="PE467" s="978"/>
      <c r="PF467" s="978"/>
      <c r="PG467" s="978"/>
      <c r="PH467" s="978"/>
      <c r="PI467" s="978"/>
      <c r="PJ467" s="978"/>
      <c r="PK467" s="978"/>
      <c r="PL467" s="978"/>
      <c r="PM467" s="978"/>
      <c r="PN467" s="978"/>
      <c r="PO467" s="978"/>
      <c r="PP467" s="978"/>
      <c r="PQ467" s="978"/>
      <c r="PR467" s="978"/>
      <c r="PS467" s="978"/>
      <c r="PT467" s="978"/>
      <c r="PU467" s="978"/>
      <c r="PV467" s="978"/>
      <c r="PW467" s="978"/>
      <c r="PX467" s="978"/>
      <c r="PY467" s="978"/>
      <c r="PZ467" s="978"/>
      <c r="QA467" s="978"/>
      <c r="QB467" s="978"/>
      <c r="QC467" s="978"/>
      <c r="QD467" s="978"/>
      <c r="QE467" s="978"/>
      <c r="QF467" s="978"/>
      <c r="QG467" s="978"/>
      <c r="QH467" s="978"/>
      <c r="QI467" s="978"/>
      <c r="QJ467" s="978"/>
      <c r="QK467" s="978"/>
      <c r="QL467" s="978"/>
      <c r="QM467" s="978"/>
      <c r="QN467" s="978"/>
      <c r="QO467" s="978"/>
      <c r="QP467" s="978"/>
      <c r="QQ467" s="978"/>
      <c r="QR467" s="978"/>
      <c r="QS467" s="978"/>
      <c r="QT467" s="978"/>
      <c r="QU467" s="978"/>
      <c r="QV467" s="978"/>
      <c r="QW467" s="978"/>
      <c r="QX467" s="978"/>
      <c r="QY467" s="978"/>
      <c r="QZ467" s="978"/>
      <c r="RA467" s="978"/>
      <c r="RB467" s="274"/>
      <c r="RC467" s="274"/>
    </row>
    <row r="468" spans="112:471" ht="17.25">
      <c r="DH468" s="274"/>
      <c r="DI468" s="274"/>
      <c r="DJ468" s="978"/>
      <c r="DK468" s="978"/>
      <c r="DL468" s="978"/>
      <c r="DM468" s="978"/>
      <c r="DN468" s="978"/>
      <c r="DO468" s="978"/>
      <c r="DP468" s="978"/>
      <c r="DQ468" s="978"/>
      <c r="DR468" s="978"/>
      <c r="DS468" s="978"/>
      <c r="DT468" s="978"/>
      <c r="DU468" s="978"/>
      <c r="DV468" s="978"/>
      <c r="DW468" s="978"/>
      <c r="DX468" s="978"/>
      <c r="DY468" s="978"/>
      <c r="DZ468" s="978"/>
      <c r="EA468" s="978"/>
      <c r="EB468" s="978"/>
      <c r="EC468" s="978"/>
      <c r="ED468" s="978"/>
      <c r="EE468" s="978"/>
      <c r="EF468" s="978"/>
      <c r="EG468" s="978"/>
      <c r="EH468" s="978"/>
      <c r="EI468" s="978"/>
      <c r="EJ468" s="978"/>
      <c r="EK468" s="978"/>
      <c r="EL468" s="978"/>
      <c r="EM468" s="978"/>
      <c r="EN468" s="978"/>
      <c r="EO468" s="978"/>
      <c r="EP468" s="978"/>
      <c r="EQ468" s="978"/>
      <c r="ER468" s="978"/>
      <c r="ES468" s="978"/>
      <c r="ET468" s="978"/>
      <c r="EU468" s="978"/>
      <c r="EV468" s="978"/>
      <c r="EW468" s="978"/>
      <c r="EX468" s="978"/>
      <c r="EY468" s="978"/>
      <c r="EZ468" s="978"/>
      <c r="FA468" s="978"/>
      <c r="FB468" s="978"/>
      <c r="FC468" s="978"/>
      <c r="FD468" s="978"/>
      <c r="FE468" s="978"/>
      <c r="FF468" s="978"/>
      <c r="FG468" s="978"/>
      <c r="FH468" s="978"/>
      <c r="FI468" s="978"/>
      <c r="FJ468" s="978"/>
      <c r="FK468" s="978"/>
      <c r="FL468" s="978"/>
      <c r="FM468" s="978"/>
      <c r="FN468" s="978"/>
      <c r="FO468" s="978"/>
      <c r="FP468" s="978"/>
      <c r="FQ468" s="978"/>
      <c r="FR468" s="978"/>
      <c r="FS468" s="978"/>
      <c r="FT468" s="978"/>
      <c r="FU468" s="978"/>
      <c r="FV468" s="978"/>
      <c r="FW468" s="978"/>
      <c r="FX468" s="978"/>
      <c r="FY468" s="978"/>
      <c r="FZ468" s="978"/>
      <c r="GA468" s="978"/>
      <c r="GB468" s="978"/>
      <c r="GC468" s="978"/>
      <c r="GD468" s="978"/>
      <c r="GE468" s="978"/>
      <c r="GF468" s="978"/>
      <c r="GG468" s="978"/>
      <c r="GH468" s="978"/>
      <c r="GI468" s="978"/>
      <c r="GJ468" s="978"/>
      <c r="GK468" s="978"/>
      <c r="GL468" s="978"/>
      <c r="GM468" s="978"/>
      <c r="GN468" s="978"/>
      <c r="GO468" s="978"/>
      <c r="GP468" s="978"/>
      <c r="GQ468" s="978"/>
      <c r="GR468" s="978"/>
      <c r="GS468" s="978"/>
      <c r="GT468" s="978"/>
      <c r="GU468" s="978"/>
      <c r="GV468" s="978"/>
      <c r="GW468" s="978"/>
      <c r="GX468" s="978"/>
      <c r="GY468" s="978"/>
      <c r="GZ468" s="978"/>
      <c r="HA468" s="978"/>
      <c r="HB468" s="978"/>
      <c r="HC468" s="978"/>
      <c r="HD468" s="978"/>
      <c r="HE468" s="978"/>
      <c r="HF468" s="978"/>
      <c r="HG468" s="978"/>
      <c r="HH468" s="978"/>
      <c r="HI468" s="978"/>
      <c r="HJ468" s="978"/>
      <c r="HK468" s="978"/>
      <c r="HL468" s="978"/>
      <c r="HM468" s="978"/>
      <c r="HN468" s="978"/>
      <c r="HO468" s="978"/>
      <c r="HP468" s="978"/>
      <c r="HQ468" s="978"/>
      <c r="HR468" s="978"/>
      <c r="HS468" s="978"/>
      <c r="HT468" s="978"/>
      <c r="HU468" s="978"/>
      <c r="HV468" s="978"/>
      <c r="HW468" s="978"/>
      <c r="HX468" s="978"/>
      <c r="HY468" s="978"/>
      <c r="HZ468" s="978"/>
      <c r="IA468" s="978"/>
      <c r="IB468" s="978"/>
      <c r="IC468" s="978"/>
      <c r="ID468" s="978"/>
      <c r="IE468" s="978"/>
      <c r="IF468" s="978"/>
      <c r="IG468" s="978"/>
      <c r="IH468" s="978"/>
      <c r="II468" s="978"/>
      <c r="IJ468" s="978"/>
      <c r="IK468" s="978"/>
      <c r="IL468" s="978"/>
      <c r="IM468" s="978"/>
      <c r="IN468" s="978"/>
      <c r="IO468" s="978"/>
      <c r="IP468" s="978"/>
      <c r="IQ468" s="978"/>
      <c r="IR468" s="978"/>
      <c r="IS468" s="978"/>
      <c r="IT468" s="978"/>
      <c r="IU468" s="978"/>
      <c r="IV468" s="978"/>
      <c r="IW468" s="978"/>
      <c r="IX468" s="978"/>
      <c r="IY468" s="978"/>
      <c r="IZ468" s="978"/>
      <c r="JA468" s="978"/>
      <c r="JB468" s="978"/>
      <c r="JC468" s="978"/>
      <c r="JD468" s="978"/>
      <c r="JE468" s="978"/>
      <c r="JF468" s="978"/>
      <c r="JG468" s="978"/>
      <c r="JH468" s="978"/>
      <c r="JI468" s="978"/>
      <c r="JJ468" s="978"/>
      <c r="JK468" s="978"/>
      <c r="JL468" s="978"/>
      <c r="JM468" s="978"/>
      <c r="JN468" s="978"/>
      <c r="JO468" s="978"/>
      <c r="JP468" s="978"/>
      <c r="JQ468" s="978"/>
      <c r="JR468" s="978"/>
      <c r="JS468" s="978"/>
      <c r="JT468" s="978"/>
      <c r="JU468" s="978"/>
      <c r="JV468" s="978"/>
      <c r="JW468" s="978"/>
      <c r="JX468" s="978"/>
      <c r="JY468" s="978"/>
      <c r="JZ468" s="978"/>
      <c r="KA468" s="978"/>
      <c r="KB468" s="978"/>
      <c r="KC468" s="978"/>
      <c r="KD468" s="978"/>
      <c r="KE468" s="978"/>
      <c r="KF468" s="978"/>
      <c r="KG468" s="978"/>
      <c r="KH468" s="978"/>
      <c r="KI468" s="978"/>
      <c r="KJ468" s="978"/>
      <c r="KK468" s="978"/>
      <c r="KL468" s="978"/>
      <c r="KM468" s="978"/>
      <c r="KN468" s="978"/>
      <c r="KO468" s="978"/>
      <c r="KP468" s="978"/>
      <c r="KQ468" s="978"/>
      <c r="KR468" s="978"/>
      <c r="KS468" s="978"/>
      <c r="KT468" s="978"/>
      <c r="KU468" s="978"/>
      <c r="KV468" s="978"/>
      <c r="KW468" s="978"/>
      <c r="KX468" s="978"/>
      <c r="KY468" s="978"/>
      <c r="KZ468" s="978"/>
      <c r="LA468" s="978"/>
      <c r="LB468" s="978"/>
      <c r="LC468" s="978"/>
      <c r="LD468" s="978"/>
      <c r="LE468" s="978"/>
      <c r="LF468" s="978"/>
      <c r="LG468" s="978"/>
      <c r="LH468" s="978"/>
      <c r="LI468" s="978"/>
      <c r="LJ468" s="978"/>
      <c r="LK468" s="978"/>
      <c r="LL468" s="978"/>
      <c r="LM468" s="978"/>
      <c r="LN468" s="978"/>
      <c r="LO468" s="978"/>
      <c r="LP468" s="978"/>
      <c r="LQ468" s="978"/>
      <c r="LR468" s="978"/>
      <c r="LS468" s="978"/>
      <c r="LT468" s="978"/>
      <c r="LU468" s="978"/>
      <c r="LV468" s="978"/>
      <c r="LW468" s="978"/>
      <c r="LX468" s="978"/>
      <c r="LY468" s="978"/>
      <c r="LZ468" s="978"/>
      <c r="MA468" s="978"/>
      <c r="MB468" s="978"/>
      <c r="MC468" s="978"/>
      <c r="MD468" s="978"/>
      <c r="ME468" s="978"/>
      <c r="MF468" s="978"/>
      <c r="MG468" s="978"/>
      <c r="MH468" s="978"/>
      <c r="MI468" s="978"/>
      <c r="MJ468" s="978"/>
      <c r="MK468" s="978"/>
      <c r="ML468" s="978"/>
      <c r="MM468" s="978"/>
      <c r="MN468" s="978"/>
      <c r="MO468" s="978"/>
      <c r="MP468" s="978"/>
      <c r="MQ468" s="978"/>
      <c r="MR468" s="978"/>
      <c r="MS468" s="978"/>
      <c r="MT468" s="978"/>
      <c r="MU468" s="978"/>
      <c r="MV468" s="978"/>
      <c r="MW468" s="978"/>
      <c r="MX468" s="978"/>
      <c r="MY468" s="978"/>
      <c r="MZ468" s="978"/>
      <c r="NA468" s="978"/>
      <c r="NB468" s="978"/>
      <c r="NC468" s="978"/>
      <c r="ND468" s="978"/>
      <c r="NE468" s="978"/>
      <c r="NF468" s="978"/>
      <c r="NG468" s="978"/>
      <c r="NH468" s="978"/>
      <c r="NI468" s="978"/>
      <c r="NJ468" s="978"/>
      <c r="NK468" s="978"/>
      <c r="NL468" s="978"/>
      <c r="NM468" s="978"/>
      <c r="NN468" s="978"/>
      <c r="NO468" s="978"/>
      <c r="NP468" s="978"/>
      <c r="NQ468" s="978"/>
      <c r="NR468" s="978"/>
      <c r="NS468" s="978"/>
      <c r="NT468" s="978"/>
      <c r="NU468" s="978"/>
      <c r="NV468" s="978"/>
      <c r="NW468" s="978"/>
      <c r="NX468" s="978"/>
      <c r="NY468" s="978"/>
      <c r="NZ468" s="978"/>
      <c r="OA468" s="978"/>
      <c r="OB468" s="978"/>
      <c r="OC468" s="978"/>
      <c r="OD468" s="978"/>
      <c r="OE468" s="978"/>
      <c r="OF468" s="978"/>
      <c r="OG468" s="978"/>
      <c r="OH468" s="978"/>
      <c r="OI468" s="978"/>
      <c r="OJ468" s="978"/>
      <c r="OK468" s="978"/>
      <c r="OL468" s="978"/>
      <c r="OM468" s="978"/>
      <c r="ON468" s="978"/>
      <c r="OO468" s="978"/>
      <c r="OP468" s="978"/>
      <c r="OQ468" s="978"/>
      <c r="OR468" s="978"/>
      <c r="OS468" s="978"/>
      <c r="OT468" s="978"/>
      <c r="OU468" s="978"/>
      <c r="OV468" s="978"/>
      <c r="OW468" s="978"/>
      <c r="OX468" s="978"/>
      <c r="OY468" s="978"/>
      <c r="OZ468" s="978"/>
      <c r="PA468" s="978"/>
      <c r="PB468" s="978"/>
      <c r="PC468" s="978"/>
      <c r="PD468" s="978"/>
      <c r="PE468" s="978"/>
      <c r="PF468" s="978"/>
      <c r="PG468" s="978"/>
      <c r="PH468" s="978"/>
      <c r="PI468" s="978"/>
      <c r="PJ468" s="978"/>
      <c r="PK468" s="978"/>
      <c r="PL468" s="978"/>
      <c r="PM468" s="978"/>
      <c r="PN468" s="978"/>
      <c r="PO468" s="978"/>
      <c r="PP468" s="978"/>
      <c r="PQ468" s="978"/>
      <c r="PR468" s="978"/>
      <c r="PS468" s="978"/>
      <c r="PT468" s="978"/>
      <c r="PU468" s="978"/>
      <c r="PV468" s="978"/>
      <c r="PW468" s="978"/>
      <c r="PX468" s="978"/>
      <c r="PY468" s="978"/>
      <c r="PZ468" s="978"/>
      <c r="QA468" s="978"/>
      <c r="QB468" s="978"/>
      <c r="QC468" s="978"/>
      <c r="QD468" s="978"/>
      <c r="QE468" s="978"/>
      <c r="QF468" s="978"/>
      <c r="QG468" s="978"/>
      <c r="QH468" s="978"/>
      <c r="QI468" s="978"/>
      <c r="QJ468" s="978"/>
      <c r="QK468" s="978"/>
      <c r="QL468" s="978"/>
      <c r="QM468" s="978"/>
      <c r="QN468" s="978"/>
      <c r="QO468" s="978"/>
      <c r="QP468" s="978"/>
      <c r="QQ468" s="978"/>
      <c r="QR468" s="978"/>
      <c r="QS468" s="978"/>
      <c r="QT468" s="978"/>
      <c r="QU468" s="978"/>
      <c r="QV468" s="978"/>
      <c r="QW468" s="978"/>
      <c r="QX468" s="978"/>
      <c r="QY468" s="978"/>
      <c r="QZ468" s="978"/>
      <c r="RA468" s="978"/>
      <c r="RB468" s="274"/>
      <c r="RC468" s="274"/>
    </row>
    <row r="469" spans="112:471" ht="17.25">
      <c r="DH469" s="274"/>
      <c r="DI469" s="274"/>
      <c r="DJ469" s="978"/>
      <c r="DK469" s="978"/>
      <c r="DL469" s="978"/>
      <c r="DM469" s="978"/>
      <c r="DN469" s="978"/>
      <c r="DO469" s="978"/>
      <c r="DP469" s="978"/>
      <c r="DQ469" s="978"/>
      <c r="DR469" s="978"/>
      <c r="DS469" s="978"/>
      <c r="DT469" s="978"/>
      <c r="DU469" s="978"/>
      <c r="DV469" s="978"/>
      <c r="DW469" s="978"/>
      <c r="DX469" s="978"/>
      <c r="DY469" s="978"/>
      <c r="DZ469" s="978"/>
      <c r="EA469" s="978"/>
      <c r="EB469" s="978"/>
      <c r="EC469" s="978"/>
      <c r="ED469" s="978"/>
      <c r="EE469" s="978"/>
      <c r="EF469" s="978"/>
      <c r="EG469" s="978"/>
      <c r="EH469" s="978"/>
      <c r="EI469" s="978"/>
      <c r="EJ469" s="978"/>
      <c r="EK469" s="978"/>
      <c r="EL469" s="978"/>
      <c r="EM469" s="978"/>
      <c r="EN469" s="978"/>
      <c r="EO469" s="978"/>
      <c r="EP469" s="978"/>
      <c r="EQ469" s="978"/>
      <c r="ER469" s="978"/>
      <c r="ES469" s="978"/>
      <c r="ET469" s="978"/>
      <c r="EU469" s="978"/>
      <c r="EV469" s="978"/>
      <c r="EW469" s="978"/>
      <c r="EX469" s="978"/>
      <c r="EY469" s="978"/>
      <c r="EZ469" s="978"/>
      <c r="FA469" s="978"/>
      <c r="FB469" s="978"/>
      <c r="FC469" s="978"/>
      <c r="FD469" s="978"/>
      <c r="FE469" s="978"/>
      <c r="FF469" s="978"/>
      <c r="FG469" s="978"/>
      <c r="FH469" s="978"/>
      <c r="FI469" s="978"/>
      <c r="FJ469" s="978"/>
      <c r="FK469" s="978"/>
      <c r="FL469" s="978"/>
      <c r="FM469" s="978"/>
      <c r="FN469" s="978"/>
      <c r="FO469" s="978"/>
      <c r="FP469" s="978"/>
      <c r="FQ469" s="978"/>
      <c r="FR469" s="978"/>
      <c r="FS469" s="978"/>
      <c r="FT469" s="978"/>
      <c r="FU469" s="978"/>
      <c r="FV469" s="978"/>
      <c r="FW469" s="978"/>
      <c r="FX469" s="978"/>
      <c r="FY469" s="978"/>
      <c r="FZ469" s="978"/>
      <c r="GA469" s="978"/>
      <c r="GB469" s="978"/>
      <c r="GC469" s="978"/>
      <c r="GD469" s="978"/>
      <c r="GE469" s="978"/>
      <c r="GF469" s="978"/>
      <c r="GG469" s="978"/>
      <c r="GH469" s="978"/>
      <c r="GI469" s="978"/>
      <c r="GJ469" s="978"/>
      <c r="GK469" s="978"/>
      <c r="GL469" s="978"/>
      <c r="GM469" s="978"/>
      <c r="GN469" s="978"/>
      <c r="GO469" s="978"/>
      <c r="GP469" s="978"/>
      <c r="GQ469" s="978"/>
      <c r="GR469" s="978"/>
      <c r="GS469" s="978"/>
      <c r="GT469" s="978"/>
      <c r="GU469" s="978"/>
      <c r="GV469" s="978"/>
      <c r="GW469" s="978"/>
      <c r="GX469" s="978"/>
      <c r="GY469" s="978"/>
      <c r="GZ469" s="978"/>
      <c r="HA469" s="978"/>
      <c r="HB469" s="978"/>
      <c r="HC469" s="978"/>
      <c r="HD469" s="978"/>
      <c r="HE469" s="978"/>
      <c r="HF469" s="978"/>
      <c r="HG469" s="978"/>
      <c r="HH469" s="978"/>
      <c r="HI469" s="978"/>
      <c r="HJ469" s="978"/>
      <c r="HK469" s="978"/>
      <c r="HL469" s="978"/>
      <c r="HM469" s="978"/>
      <c r="HN469" s="978"/>
      <c r="HO469" s="978"/>
      <c r="HP469" s="978"/>
      <c r="HQ469" s="978"/>
      <c r="HR469" s="978"/>
      <c r="HS469" s="978"/>
      <c r="HT469" s="978"/>
      <c r="HU469" s="978"/>
      <c r="HV469" s="978"/>
      <c r="HW469" s="978"/>
      <c r="HX469" s="978"/>
      <c r="HY469" s="978"/>
      <c r="HZ469" s="978"/>
      <c r="IA469" s="978"/>
      <c r="IB469" s="978"/>
      <c r="IC469" s="978"/>
      <c r="ID469" s="978"/>
      <c r="IE469" s="978"/>
      <c r="IF469" s="978"/>
      <c r="IG469" s="978"/>
      <c r="IH469" s="978"/>
      <c r="II469" s="978"/>
      <c r="IJ469" s="978"/>
      <c r="IK469" s="978"/>
      <c r="IL469" s="978"/>
      <c r="IM469" s="978"/>
      <c r="IN469" s="978"/>
      <c r="IO469" s="978"/>
      <c r="IP469" s="978"/>
      <c r="IQ469" s="978"/>
      <c r="IR469" s="978"/>
      <c r="IS469" s="978"/>
      <c r="IT469" s="978"/>
      <c r="IU469" s="978"/>
      <c r="IV469" s="978"/>
      <c r="IW469" s="978"/>
      <c r="IX469" s="978"/>
      <c r="IY469" s="978"/>
      <c r="IZ469" s="978"/>
      <c r="JA469" s="978"/>
      <c r="JB469" s="978"/>
      <c r="JC469" s="978"/>
      <c r="JD469" s="978"/>
      <c r="JE469" s="978"/>
      <c r="JF469" s="978"/>
      <c r="JG469" s="978"/>
      <c r="JH469" s="978"/>
      <c r="JI469" s="978"/>
      <c r="JJ469" s="978"/>
      <c r="JK469" s="978"/>
      <c r="JL469" s="978"/>
      <c r="JM469" s="978"/>
      <c r="JN469" s="978"/>
      <c r="JO469" s="978"/>
      <c r="JP469" s="978"/>
      <c r="JQ469" s="978"/>
      <c r="JR469" s="978"/>
      <c r="JS469" s="978"/>
      <c r="JT469" s="978"/>
      <c r="JU469" s="978"/>
      <c r="JV469" s="978"/>
      <c r="JW469" s="978"/>
      <c r="JX469" s="978"/>
      <c r="JY469" s="978"/>
      <c r="JZ469" s="978"/>
      <c r="KA469" s="978"/>
      <c r="KB469" s="978"/>
      <c r="KC469" s="978"/>
      <c r="KD469" s="978"/>
      <c r="KE469" s="978"/>
      <c r="KF469" s="978"/>
      <c r="KG469" s="978"/>
      <c r="KH469" s="978"/>
      <c r="KI469" s="978"/>
      <c r="KJ469" s="978"/>
      <c r="KK469" s="978"/>
      <c r="KL469" s="978"/>
      <c r="KM469" s="978"/>
      <c r="KN469" s="978"/>
      <c r="KO469" s="978"/>
      <c r="KP469" s="978"/>
      <c r="KQ469" s="978"/>
      <c r="KR469" s="978"/>
      <c r="KS469" s="978"/>
      <c r="KT469" s="978"/>
      <c r="KU469" s="978"/>
      <c r="KV469" s="978"/>
      <c r="KW469" s="978"/>
      <c r="KX469" s="978"/>
      <c r="KY469" s="978"/>
      <c r="KZ469" s="978"/>
      <c r="LA469" s="978"/>
      <c r="LB469" s="978"/>
      <c r="LC469" s="978"/>
      <c r="LD469" s="978"/>
      <c r="LE469" s="978"/>
      <c r="LF469" s="978"/>
      <c r="LG469" s="978"/>
      <c r="LH469" s="978"/>
      <c r="LI469" s="978"/>
      <c r="LJ469" s="978"/>
      <c r="LK469" s="978"/>
      <c r="LL469" s="978"/>
      <c r="LM469" s="978"/>
      <c r="LN469" s="978"/>
      <c r="LO469" s="978"/>
      <c r="LP469" s="978"/>
      <c r="LQ469" s="978"/>
      <c r="LR469" s="978"/>
      <c r="LS469" s="978"/>
      <c r="LT469" s="978"/>
      <c r="LU469" s="978"/>
      <c r="LV469" s="978"/>
      <c r="LW469" s="978"/>
      <c r="LX469" s="978"/>
      <c r="LY469" s="978"/>
      <c r="LZ469" s="978"/>
      <c r="MA469" s="978"/>
      <c r="MB469" s="978"/>
      <c r="MC469" s="978"/>
      <c r="MD469" s="978"/>
      <c r="ME469" s="978"/>
      <c r="MF469" s="978"/>
      <c r="MG469" s="978"/>
      <c r="MH469" s="978"/>
      <c r="MI469" s="978"/>
      <c r="MJ469" s="978"/>
      <c r="MK469" s="978"/>
      <c r="ML469" s="978"/>
      <c r="MM469" s="978"/>
      <c r="MN469" s="978"/>
      <c r="MO469" s="978"/>
      <c r="MP469" s="978"/>
      <c r="MQ469" s="978"/>
      <c r="MR469" s="978"/>
      <c r="MS469" s="978"/>
      <c r="MT469" s="978"/>
      <c r="MU469" s="978"/>
      <c r="MV469" s="978"/>
      <c r="MW469" s="978"/>
      <c r="MX469" s="978"/>
      <c r="MY469" s="978"/>
      <c r="MZ469" s="978"/>
      <c r="NA469" s="978"/>
      <c r="NB469" s="978"/>
      <c r="NC469" s="978"/>
      <c r="ND469" s="978"/>
      <c r="NE469" s="978"/>
      <c r="NF469" s="978"/>
      <c r="NG469" s="978"/>
      <c r="NH469" s="978"/>
      <c r="NI469" s="978"/>
      <c r="NJ469" s="978"/>
      <c r="NK469" s="978"/>
      <c r="NL469" s="978"/>
      <c r="NM469" s="978"/>
      <c r="NN469" s="978"/>
      <c r="NO469" s="978"/>
      <c r="NP469" s="978"/>
      <c r="NQ469" s="978"/>
      <c r="NR469" s="978"/>
      <c r="NS469" s="978"/>
      <c r="NT469" s="978"/>
      <c r="NU469" s="978"/>
      <c r="NV469" s="978"/>
      <c r="NW469" s="978"/>
      <c r="NX469" s="978"/>
      <c r="NY469" s="978"/>
      <c r="NZ469" s="978"/>
      <c r="OA469" s="978"/>
      <c r="OB469" s="978"/>
      <c r="OC469" s="978"/>
      <c r="OD469" s="978"/>
      <c r="OE469" s="978"/>
      <c r="OF469" s="978"/>
      <c r="OG469" s="978"/>
      <c r="OH469" s="978"/>
      <c r="OI469" s="978"/>
      <c r="OJ469" s="978"/>
      <c r="OK469" s="978"/>
      <c r="OL469" s="978"/>
      <c r="OM469" s="978"/>
      <c r="ON469" s="978"/>
      <c r="OO469" s="978"/>
      <c r="OP469" s="978"/>
      <c r="OQ469" s="978"/>
      <c r="OR469" s="978"/>
      <c r="OS469" s="978"/>
      <c r="OT469" s="978"/>
      <c r="OU469" s="978"/>
      <c r="OV469" s="978"/>
      <c r="OW469" s="978"/>
      <c r="OX469" s="978"/>
      <c r="OY469" s="978"/>
      <c r="OZ469" s="978"/>
      <c r="PA469" s="978"/>
      <c r="PB469" s="978"/>
      <c r="PC469" s="978"/>
      <c r="PD469" s="978"/>
      <c r="PE469" s="978"/>
      <c r="PF469" s="978"/>
      <c r="PG469" s="978"/>
      <c r="PH469" s="978"/>
      <c r="PI469" s="978"/>
      <c r="PJ469" s="978"/>
      <c r="PK469" s="978"/>
      <c r="PL469" s="978"/>
      <c r="PM469" s="978"/>
      <c r="PN469" s="978"/>
      <c r="PO469" s="978"/>
      <c r="PP469" s="978"/>
      <c r="PQ469" s="978"/>
      <c r="PR469" s="978"/>
      <c r="PS469" s="978"/>
      <c r="PT469" s="978"/>
      <c r="PU469" s="978"/>
      <c r="PV469" s="978"/>
      <c r="PW469" s="978"/>
      <c r="PX469" s="978"/>
      <c r="PY469" s="978"/>
      <c r="PZ469" s="978"/>
      <c r="QA469" s="978"/>
      <c r="QB469" s="978"/>
      <c r="QC469" s="978"/>
      <c r="QD469" s="978"/>
      <c r="QE469" s="978"/>
      <c r="QF469" s="978"/>
      <c r="QG469" s="978"/>
      <c r="QH469" s="978"/>
      <c r="QI469" s="978"/>
      <c r="QJ469" s="978"/>
      <c r="QK469" s="978"/>
      <c r="QL469" s="978"/>
      <c r="QM469" s="978"/>
      <c r="QN469" s="978"/>
      <c r="QO469" s="978"/>
      <c r="QP469" s="978"/>
      <c r="QQ469" s="978"/>
      <c r="QR469" s="978"/>
      <c r="QS469" s="978"/>
      <c r="QT469" s="978"/>
      <c r="QU469" s="978"/>
      <c r="QV469" s="978"/>
      <c r="QW469" s="978"/>
      <c r="QX469" s="978"/>
      <c r="QY469" s="978"/>
      <c r="QZ469" s="978"/>
      <c r="RA469" s="978"/>
      <c r="RB469" s="274"/>
      <c r="RC469" s="274"/>
    </row>
    <row r="470" spans="112:471" ht="17.25">
      <c r="DH470" s="274"/>
      <c r="DI470" s="274"/>
      <c r="DJ470" s="978"/>
      <c r="DK470" s="978"/>
      <c r="DL470" s="978"/>
      <c r="DM470" s="978"/>
      <c r="DN470" s="978"/>
      <c r="DO470" s="978"/>
      <c r="DP470" s="978"/>
      <c r="DQ470" s="978"/>
      <c r="DR470" s="978"/>
      <c r="DS470" s="978"/>
      <c r="DT470" s="978"/>
      <c r="DU470" s="978"/>
      <c r="DV470" s="978"/>
      <c r="DW470" s="978"/>
      <c r="DX470" s="978"/>
      <c r="DY470" s="978"/>
      <c r="DZ470" s="978"/>
      <c r="EA470" s="978"/>
      <c r="EB470" s="978"/>
      <c r="EC470" s="978"/>
      <c r="ED470" s="978"/>
      <c r="EE470" s="978"/>
      <c r="EF470" s="978"/>
      <c r="EG470" s="978"/>
      <c r="EH470" s="978"/>
      <c r="EI470" s="978"/>
      <c r="EJ470" s="978"/>
      <c r="EK470" s="978"/>
      <c r="EL470" s="978"/>
      <c r="EM470" s="978"/>
      <c r="EN470" s="978"/>
      <c r="EO470" s="978"/>
      <c r="EP470" s="978"/>
      <c r="EQ470" s="978"/>
      <c r="ER470" s="978"/>
      <c r="ES470" s="978"/>
      <c r="ET470" s="978"/>
      <c r="EU470" s="978"/>
      <c r="EV470" s="978"/>
      <c r="EW470" s="978"/>
      <c r="EX470" s="978"/>
      <c r="EY470" s="978"/>
      <c r="EZ470" s="978"/>
      <c r="FA470" s="978"/>
      <c r="FB470" s="978"/>
      <c r="FC470" s="978"/>
      <c r="FD470" s="978"/>
      <c r="FE470" s="978"/>
      <c r="FF470" s="978"/>
      <c r="FG470" s="978"/>
      <c r="FH470" s="978"/>
      <c r="FI470" s="978"/>
      <c r="FJ470" s="978"/>
      <c r="FK470" s="978"/>
      <c r="FL470" s="978"/>
      <c r="FM470" s="978"/>
      <c r="FN470" s="978"/>
      <c r="FO470" s="978"/>
      <c r="FP470" s="978"/>
      <c r="FQ470" s="978"/>
      <c r="FR470" s="978"/>
      <c r="FS470" s="978"/>
      <c r="FT470" s="978"/>
      <c r="FU470" s="978"/>
      <c r="FV470" s="978"/>
      <c r="FW470" s="978"/>
      <c r="FX470" s="978"/>
      <c r="FY470" s="978"/>
      <c r="FZ470" s="978"/>
      <c r="GA470" s="978"/>
      <c r="GB470" s="978"/>
      <c r="GC470" s="978"/>
      <c r="GD470" s="978"/>
      <c r="GE470" s="978"/>
      <c r="GF470" s="978"/>
      <c r="GG470" s="978"/>
      <c r="GH470" s="978"/>
      <c r="GI470" s="978"/>
      <c r="GJ470" s="978"/>
      <c r="GK470" s="978"/>
      <c r="GL470" s="978"/>
      <c r="GM470" s="978"/>
      <c r="GN470" s="978"/>
      <c r="GO470" s="978"/>
      <c r="GP470" s="978"/>
      <c r="GQ470" s="978"/>
      <c r="GR470" s="978"/>
      <c r="GS470" s="978"/>
      <c r="GT470" s="978"/>
      <c r="GU470" s="978"/>
      <c r="GV470" s="978"/>
      <c r="GW470" s="978"/>
      <c r="GX470" s="978"/>
      <c r="GY470" s="978"/>
      <c r="GZ470" s="978"/>
      <c r="HA470" s="978"/>
      <c r="HB470" s="978"/>
      <c r="HC470" s="978"/>
      <c r="HD470" s="978"/>
      <c r="HE470" s="978"/>
      <c r="HF470" s="978"/>
      <c r="HG470" s="978"/>
      <c r="HH470" s="978"/>
      <c r="HI470" s="978"/>
      <c r="HJ470" s="978"/>
      <c r="HK470" s="978"/>
      <c r="HL470" s="978"/>
      <c r="HM470" s="978"/>
      <c r="HN470" s="978"/>
      <c r="HO470" s="978"/>
      <c r="HP470" s="978"/>
      <c r="HQ470" s="978"/>
      <c r="HR470" s="978"/>
      <c r="HS470" s="978"/>
      <c r="HT470" s="978"/>
      <c r="HU470" s="978"/>
      <c r="HV470" s="978"/>
      <c r="HW470" s="978"/>
      <c r="HX470" s="978"/>
      <c r="HY470" s="978"/>
      <c r="HZ470" s="978"/>
      <c r="IA470" s="978"/>
      <c r="IB470" s="978"/>
      <c r="IC470" s="978"/>
      <c r="ID470" s="978"/>
      <c r="IE470" s="978"/>
      <c r="IF470" s="978"/>
      <c r="IG470" s="978"/>
      <c r="IH470" s="978"/>
      <c r="II470" s="978"/>
      <c r="IJ470" s="978"/>
      <c r="IK470" s="978"/>
      <c r="IL470" s="978"/>
      <c r="IM470" s="978"/>
      <c r="IN470" s="978"/>
      <c r="IO470" s="978"/>
      <c r="IP470" s="978"/>
      <c r="IQ470" s="978"/>
      <c r="IR470" s="978"/>
      <c r="IS470" s="978"/>
      <c r="IT470" s="978"/>
      <c r="IU470" s="978"/>
      <c r="IV470" s="978"/>
      <c r="IW470" s="978"/>
      <c r="IX470" s="978"/>
      <c r="IY470" s="978"/>
      <c r="IZ470" s="978"/>
      <c r="JA470" s="978"/>
      <c r="JB470" s="978"/>
      <c r="JC470" s="978"/>
      <c r="JD470" s="978"/>
      <c r="JE470" s="978"/>
      <c r="JF470" s="978"/>
      <c r="JG470" s="978"/>
      <c r="JH470" s="978"/>
      <c r="JI470" s="978"/>
      <c r="JJ470" s="978"/>
      <c r="JK470" s="978"/>
      <c r="JL470" s="978"/>
      <c r="JM470" s="978"/>
      <c r="JN470" s="978"/>
      <c r="JO470" s="978"/>
      <c r="JP470" s="978"/>
      <c r="JQ470" s="978"/>
      <c r="JR470" s="978"/>
      <c r="JS470" s="978"/>
      <c r="JT470" s="978"/>
      <c r="JU470" s="978"/>
      <c r="JV470" s="978"/>
      <c r="JW470" s="978"/>
      <c r="JX470" s="978"/>
      <c r="JY470" s="978"/>
      <c r="JZ470" s="978"/>
      <c r="KA470" s="978"/>
      <c r="KB470" s="978"/>
      <c r="KC470" s="978"/>
      <c r="KD470" s="978"/>
      <c r="KE470" s="978"/>
      <c r="KF470" s="978"/>
      <c r="KG470" s="978"/>
      <c r="KH470" s="978"/>
      <c r="KI470" s="978"/>
      <c r="KJ470" s="978"/>
      <c r="KK470" s="978"/>
      <c r="KL470" s="978"/>
      <c r="KM470" s="978"/>
      <c r="KN470" s="978"/>
      <c r="KO470" s="978"/>
      <c r="KP470" s="978"/>
      <c r="KQ470" s="978"/>
      <c r="KR470" s="978"/>
      <c r="KS470" s="978"/>
      <c r="KT470" s="978"/>
      <c r="KU470" s="978"/>
      <c r="KV470" s="978"/>
      <c r="KW470" s="978"/>
      <c r="KX470" s="978"/>
      <c r="KY470" s="978"/>
      <c r="KZ470" s="978"/>
      <c r="LA470" s="978"/>
      <c r="LB470" s="978"/>
      <c r="LC470" s="978"/>
      <c r="LD470" s="978"/>
      <c r="LE470" s="978"/>
      <c r="LF470" s="978"/>
      <c r="LG470" s="978"/>
      <c r="LH470" s="978"/>
      <c r="LI470" s="978"/>
      <c r="LJ470" s="978"/>
      <c r="LK470" s="978"/>
      <c r="LL470" s="978"/>
      <c r="LM470" s="978"/>
      <c r="LN470" s="978"/>
      <c r="LO470" s="978"/>
      <c r="LP470" s="978"/>
      <c r="LQ470" s="978"/>
      <c r="LR470" s="978"/>
      <c r="LS470" s="978"/>
      <c r="LT470" s="978"/>
      <c r="LU470" s="978"/>
      <c r="LV470" s="978"/>
      <c r="LW470" s="978"/>
      <c r="LX470" s="978"/>
      <c r="LY470" s="978"/>
      <c r="LZ470" s="978"/>
      <c r="MA470" s="978"/>
      <c r="MB470" s="978"/>
      <c r="MC470" s="978"/>
      <c r="MD470" s="978"/>
      <c r="ME470" s="978"/>
      <c r="MF470" s="978"/>
      <c r="MG470" s="978"/>
      <c r="MH470" s="978"/>
      <c r="MI470" s="978"/>
      <c r="MJ470" s="978"/>
      <c r="MK470" s="978"/>
      <c r="ML470" s="978"/>
      <c r="MM470" s="978"/>
      <c r="MN470" s="978"/>
      <c r="MO470" s="978"/>
      <c r="MP470" s="978"/>
      <c r="MQ470" s="978"/>
      <c r="MR470" s="978"/>
      <c r="MS470" s="978"/>
      <c r="MT470" s="978"/>
      <c r="MU470" s="978"/>
      <c r="MV470" s="978"/>
      <c r="MW470" s="978"/>
      <c r="MX470" s="978"/>
      <c r="MY470" s="978"/>
      <c r="MZ470" s="978"/>
      <c r="NA470" s="978"/>
      <c r="NB470" s="978"/>
      <c r="NC470" s="978"/>
      <c r="ND470" s="978"/>
      <c r="NE470" s="978"/>
      <c r="NF470" s="978"/>
      <c r="NG470" s="978"/>
      <c r="NH470" s="978"/>
      <c r="NI470" s="978"/>
      <c r="NJ470" s="978"/>
      <c r="NK470" s="978"/>
      <c r="NL470" s="978"/>
      <c r="NM470" s="978"/>
      <c r="NN470" s="978"/>
      <c r="NO470" s="978"/>
      <c r="NP470" s="978"/>
      <c r="NQ470" s="978"/>
      <c r="NR470" s="978"/>
      <c r="NS470" s="978"/>
      <c r="NT470" s="978"/>
      <c r="NU470" s="978"/>
      <c r="NV470" s="978"/>
      <c r="NW470" s="978"/>
      <c r="NX470" s="978"/>
      <c r="NY470" s="978"/>
      <c r="NZ470" s="978"/>
      <c r="OA470" s="978"/>
      <c r="OB470" s="978"/>
      <c r="OC470" s="978"/>
      <c r="OD470" s="978"/>
      <c r="OE470" s="978"/>
      <c r="OF470" s="978"/>
      <c r="OG470" s="978"/>
      <c r="OH470" s="978"/>
      <c r="OI470" s="978"/>
      <c r="OJ470" s="978"/>
      <c r="OK470" s="978"/>
      <c r="OL470" s="978"/>
      <c r="OM470" s="978"/>
      <c r="ON470" s="978"/>
      <c r="OO470" s="978"/>
      <c r="OP470" s="978"/>
      <c r="OQ470" s="978"/>
      <c r="OR470" s="978"/>
      <c r="OS470" s="978"/>
      <c r="OT470" s="978"/>
      <c r="OU470" s="978"/>
      <c r="OV470" s="978"/>
      <c r="OW470" s="978"/>
      <c r="OX470" s="978"/>
      <c r="OY470" s="978"/>
      <c r="OZ470" s="978"/>
      <c r="PA470" s="978"/>
      <c r="PB470" s="978"/>
      <c r="PC470" s="978"/>
      <c r="PD470" s="978"/>
      <c r="PE470" s="978"/>
      <c r="PF470" s="978"/>
      <c r="PG470" s="978"/>
      <c r="PH470" s="978"/>
      <c r="PI470" s="978"/>
      <c r="PJ470" s="978"/>
      <c r="PK470" s="978"/>
      <c r="PL470" s="978"/>
      <c r="PM470" s="978"/>
      <c r="PN470" s="978"/>
      <c r="PO470" s="978"/>
      <c r="PP470" s="978"/>
      <c r="PQ470" s="978"/>
      <c r="PR470" s="978"/>
      <c r="PS470" s="978"/>
      <c r="PT470" s="978"/>
      <c r="PU470" s="978"/>
      <c r="PV470" s="978"/>
      <c r="PW470" s="978"/>
      <c r="PX470" s="978"/>
      <c r="PY470" s="978"/>
      <c r="PZ470" s="978"/>
      <c r="QA470" s="978"/>
      <c r="QB470" s="978"/>
      <c r="QC470" s="978"/>
      <c r="QD470" s="978"/>
      <c r="QE470" s="978"/>
      <c r="QF470" s="978"/>
      <c r="QG470" s="978"/>
      <c r="QH470" s="978"/>
      <c r="QI470" s="978"/>
      <c r="QJ470" s="978"/>
      <c r="QK470" s="978"/>
      <c r="QL470" s="978"/>
      <c r="QM470" s="978"/>
      <c r="QN470" s="978"/>
      <c r="QO470" s="978"/>
      <c r="QP470" s="978"/>
      <c r="QQ470" s="978"/>
      <c r="QR470" s="978"/>
      <c r="QS470" s="978"/>
      <c r="QT470" s="978"/>
      <c r="QU470" s="978"/>
      <c r="QV470" s="978"/>
      <c r="QW470" s="978"/>
      <c r="QX470" s="978"/>
      <c r="QY470" s="978"/>
      <c r="QZ470" s="978"/>
      <c r="RA470" s="978"/>
      <c r="RB470" s="274"/>
      <c r="RC470" s="274"/>
    </row>
    <row r="471" spans="112:471" ht="17.25">
      <c r="DH471" s="274"/>
      <c r="DI471" s="274"/>
      <c r="DJ471" s="978"/>
      <c r="DK471" s="978"/>
      <c r="DL471" s="978"/>
      <c r="DM471" s="978"/>
      <c r="DN471" s="978"/>
      <c r="DO471" s="978"/>
      <c r="DP471" s="978"/>
      <c r="DQ471" s="978"/>
      <c r="DR471" s="978"/>
      <c r="DS471" s="978"/>
      <c r="DT471" s="978"/>
      <c r="DU471" s="978"/>
      <c r="DV471" s="978"/>
      <c r="DW471" s="978"/>
      <c r="DX471" s="978"/>
      <c r="DY471" s="978"/>
      <c r="DZ471" s="978"/>
      <c r="EA471" s="978"/>
      <c r="EB471" s="978"/>
      <c r="EC471" s="978"/>
      <c r="ED471" s="978"/>
      <c r="EE471" s="978"/>
      <c r="EF471" s="978"/>
      <c r="EG471" s="978"/>
      <c r="EH471" s="978"/>
      <c r="EI471" s="978"/>
      <c r="EJ471" s="978"/>
      <c r="EK471" s="978"/>
      <c r="EL471" s="978"/>
      <c r="EM471" s="978"/>
      <c r="EN471" s="978"/>
      <c r="EO471" s="978"/>
      <c r="EP471" s="978"/>
      <c r="EQ471" s="978"/>
      <c r="ER471" s="978"/>
      <c r="ES471" s="978"/>
      <c r="ET471" s="978"/>
      <c r="EU471" s="978"/>
      <c r="EV471" s="978"/>
      <c r="EW471" s="978"/>
      <c r="EX471" s="978"/>
      <c r="EY471" s="978"/>
      <c r="EZ471" s="978"/>
      <c r="FA471" s="978"/>
      <c r="FB471" s="978"/>
      <c r="FC471" s="978"/>
      <c r="FD471" s="978"/>
      <c r="FE471" s="978"/>
      <c r="FF471" s="978"/>
      <c r="FG471" s="978"/>
      <c r="FH471" s="978"/>
      <c r="FI471" s="978"/>
      <c r="FJ471" s="978"/>
      <c r="FK471" s="978"/>
      <c r="FL471" s="978"/>
      <c r="FM471" s="978"/>
      <c r="FN471" s="978"/>
      <c r="FO471" s="978"/>
      <c r="FP471" s="978"/>
      <c r="FQ471" s="978"/>
      <c r="FR471" s="978"/>
      <c r="FS471" s="978"/>
      <c r="FT471" s="978"/>
      <c r="FU471" s="978"/>
      <c r="FV471" s="978"/>
      <c r="FW471" s="978"/>
      <c r="FX471" s="978"/>
      <c r="FY471" s="978"/>
      <c r="FZ471" s="978"/>
      <c r="GA471" s="978"/>
      <c r="GB471" s="978"/>
      <c r="GC471" s="978"/>
      <c r="GD471" s="978"/>
      <c r="GE471" s="978"/>
      <c r="GF471" s="978"/>
      <c r="GG471" s="978"/>
      <c r="GH471" s="978"/>
      <c r="GI471" s="978"/>
      <c r="GJ471" s="978"/>
      <c r="GK471" s="978"/>
      <c r="GL471" s="978"/>
      <c r="GM471" s="978"/>
      <c r="GN471" s="978"/>
      <c r="GO471" s="978"/>
      <c r="GP471" s="978"/>
      <c r="GQ471" s="978"/>
      <c r="GR471" s="978"/>
      <c r="GS471" s="978"/>
      <c r="GT471" s="978"/>
      <c r="GU471" s="978"/>
      <c r="GV471" s="978"/>
      <c r="GW471" s="978"/>
      <c r="GX471" s="978"/>
      <c r="GY471" s="978"/>
      <c r="GZ471" s="978"/>
      <c r="HA471" s="978"/>
      <c r="HB471" s="978"/>
      <c r="HC471" s="978"/>
      <c r="HD471" s="978"/>
      <c r="HE471" s="978"/>
      <c r="HF471" s="978"/>
      <c r="HG471" s="978"/>
      <c r="HH471" s="978"/>
      <c r="HI471" s="978"/>
      <c r="HJ471" s="978"/>
      <c r="HK471" s="978"/>
      <c r="HL471" s="978"/>
      <c r="HM471" s="978"/>
      <c r="HN471" s="978"/>
      <c r="HO471" s="978"/>
      <c r="HP471" s="978"/>
      <c r="HQ471" s="978"/>
      <c r="HR471" s="978"/>
      <c r="HS471" s="978"/>
      <c r="HT471" s="978"/>
      <c r="HU471" s="978"/>
      <c r="HV471" s="978"/>
      <c r="HW471" s="978"/>
      <c r="HX471" s="978"/>
      <c r="HY471" s="978"/>
      <c r="HZ471" s="978"/>
      <c r="IA471" s="978"/>
      <c r="IB471" s="978"/>
      <c r="IC471" s="978"/>
      <c r="ID471" s="978"/>
      <c r="IE471" s="978"/>
      <c r="IF471" s="978"/>
      <c r="IG471" s="978"/>
      <c r="IH471" s="978"/>
      <c r="II471" s="978"/>
      <c r="IJ471" s="978"/>
      <c r="IK471" s="978"/>
      <c r="IL471" s="978"/>
      <c r="IM471" s="978"/>
      <c r="IN471" s="978"/>
      <c r="IO471" s="978"/>
      <c r="IP471" s="978"/>
      <c r="IQ471" s="978"/>
      <c r="IR471" s="978"/>
      <c r="IS471" s="978"/>
      <c r="IT471" s="978"/>
      <c r="IU471" s="978"/>
      <c r="IV471" s="978"/>
      <c r="IW471" s="978"/>
      <c r="IX471" s="978"/>
      <c r="IY471" s="978"/>
      <c r="IZ471" s="978"/>
      <c r="JA471" s="978"/>
      <c r="JB471" s="978"/>
      <c r="JC471" s="978"/>
      <c r="JD471" s="978"/>
      <c r="JE471" s="978"/>
      <c r="JF471" s="978"/>
      <c r="JG471" s="978"/>
      <c r="JH471" s="978"/>
      <c r="JI471" s="978"/>
      <c r="JJ471" s="978"/>
      <c r="JK471" s="978"/>
      <c r="JL471" s="978"/>
      <c r="JM471" s="978"/>
      <c r="JN471" s="978"/>
      <c r="JO471" s="978"/>
      <c r="JP471" s="978"/>
      <c r="JQ471" s="978"/>
      <c r="JR471" s="978"/>
      <c r="JS471" s="978"/>
      <c r="JT471" s="978"/>
      <c r="JU471" s="978"/>
      <c r="JV471" s="978"/>
      <c r="JW471" s="978"/>
      <c r="JX471" s="978"/>
      <c r="JY471" s="978"/>
      <c r="JZ471" s="978"/>
      <c r="KA471" s="978"/>
      <c r="KB471" s="978"/>
      <c r="KC471" s="978"/>
      <c r="KD471" s="978"/>
      <c r="KE471" s="978"/>
      <c r="KF471" s="978"/>
      <c r="KG471" s="978"/>
      <c r="KH471" s="978"/>
      <c r="KI471" s="978"/>
      <c r="KJ471" s="978"/>
      <c r="KK471" s="978"/>
      <c r="KL471" s="978"/>
      <c r="KM471" s="978"/>
      <c r="KN471" s="978"/>
      <c r="KO471" s="978"/>
      <c r="KP471" s="978"/>
      <c r="KQ471" s="978"/>
      <c r="KR471" s="978"/>
      <c r="KS471" s="978"/>
      <c r="KT471" s="978"/>
      <c r="KU471" s="978"/>
      <c r="KV471" s="978"/>
      <c r="KW471" s="978"/>
      <c r="KX471" s="978"/>
      <c r="KY471" s="978"/>
      <c r="KZ471" s="978"/>
      <c r="LA471" s="978"/>
      <c r="LB471" s="978"/>
      <c r="LC471" s="978"/>
      <c r="LD471" s="978"/>
      <c r="LE471" s="978"/>
      <c r="LF471" s="978"/>
      <c r="LG471" s="978"/>
      <c r="LH471" s="978"/>
      <c r="LI471" s="978"/>
      <c r="LJ471" s="978"/>
      <c r="LK471" s="978"/>
      <c r="LL471" s="978"/>
      <c r="LM471" s="978"/>
      <c r="LN471" s="978"/>
      <c r="LO471" s="978"/>
      <c r="LP471" s="978"/>
      <c r="LQ471" s="978"/>
      <c r="LR471" s="978"/>
      <c r="LS471" s="978"/>
      <c r="LT471" s="978"/>
      <c r="LU471" s="978"/>
      <c r="LV471" s="978"/>
      <c r="LW471" s="978"/>
      <c r="LX471" s="978"/>
      <c r="LY471" s="978"/>
      <c r="LZ471" s="978"/>
      <c r="MA471" s="978"/>
      <c r="MB471" s="978"/>
      <c r="MC471" s="978"/>
      <c r="MD471" s="978"/>
      <c r="ME471" s="978"/>
      <c r="MF471" s="978"/>
      <c r="MG471" s="978"/>
      <c r="MH471" s="978"/>
      <c r="MI471" s="978"/>
      <c r="MJ471" s="978"/>
      <c r="MK471" s="978"/>
      <c r="ML471" s="978"/>
      <c r="MM471" s="978"/>
      <c r="MN471" s="978"/>
      <c r="MO471" s="978"/>
      <c r="MP471" s="978"/>
      <c r="MQ471" s="978"/>
      <c r="MR471" s="978"/>
      <c r="MS471" s="978"/>
      <c r="MT471" s="978"/>
      <c r="MU471" s="978"/>
      <c r="MV471" s="978"/>
      <c r="MW471" s="978"/>
      <c r="MX471" s="978"/>
      <c r="MY471" s="978"/>
      <c r="MZ471" s="978"/>
      <c r="NA471" s="978"/>
      <c r="NB471" s="978"/>
      <c r="NC471" s="978"/>
      <c r="ND471" s="978"/>
      <c r="NE471" s="978"/>
      <c r="NF471" s="978"/>
      <c r="NG471" s="978"/>
      <c r="NH471" s="978"/>
      <c r="NI471" s="978"/>
      <c r="NJ471" s="978"/>
      <c r="NK471" s="978"/>
      <c r="NL471" s="978"/>
      <c r="NM471" s="978"/>
      <c r="NN471" s="978"/>
      <c r="NO471" s="978"/>
      <c r="NP471" s="978"/>
      <c r="NQ471" s="978"/>
      <c r="NR471" s="978"/>
      <c r="NS471" s="978"/>
      <c r="NT471" s="978"/>
      <c r="NU471" s="978"/>
      <c r="NV471" s="978"/>
      <c r="NW471" s="978"/>
      <c r="NX471" s="978"/>
      <c r="NY471" s="978"/>
      <c r="NZ471" s="978"/>
      <c r="OA471" s="978"/>
      <c r="OB471" s="978"/>
      <c r="OC471" s="978"/>
      <c r="OD471" s="978"/>
      <c r="OE471" s="978"/>
      <c r="OF471" s="978"/>
      <c r="OG471" s="978"/>
      <c r="OH471" s="978"/>
      <c r="OI471" s="978"/>
      <c r="OJ471" s="978"/>
      <c r="OK471" s="978"/>
      <c r="OL471" s="978"/>
      <c r="OM471" s="978"/>
      <c r="ON471" s="978"/>
      <c r="OO471" s="978"/>
      <c r="OP471" s="978"/>
      <c r="OQ471" s="978"/>
      <c r="OR471" s="978"/>
      <c r="OS471" s="978"/>
      <c r="OT471" s="978"/>
      <c r="OU471" s="978"/>
      <c r="OV471" s="978"/>
      <c r="OW471" s="978"/>
      <c r="OX471" s="978"/>
      <c r="OY471" s="978"/>
      <c r="OZ471" s="978"/>
      <c r="PA471" s="978"/>
      <c r="PB471" s="978"/>
      <c r="PC471" s="978"/>
      <c r="PD471" s="978"/>
      <c r="PE471" s="978"/>
      <c r="PF471" s="978"/>
      <c r="PG471" s="978"/>
      <c r="PH471" s="978"/>
      <c r="PI471" s="978"/>
      <c r="PJ471" s="978"/>
      <c r="PK471" s="978"/>
      <c r="PL471" s="978"/>
      <c r="PM471" s="978"/>
      <c r="PN471" s="978"/>
      <c r="PO471" s="978"/>
      <c r="PP471" s="978"/>
      <c r="PQ471" s="978"/>
      <c r="PR471" s="978"/>
      <c r="PS471" s="978"/>
      <c r="PT471" s="978"/>
      <c r="PU471" s="978"/>
      <c r="PV471" s="978"/>
      <c r="PW471" s="978"/>
      <c r="PX471" s="978"/>
      <c r="PY471" s="978"/>
      <c r="PZ471" s="978"/>
      <c r="QA471" s="978"/>
      <c r="QB471" s="978"/>
      <c r="QC471" s="978"/>
      <c r="QD471" s="978"/>
      <c r="QE471" s="978"/>
      <c r="QF471" s="978"/>
      <c r="QG471" s="978"/>
      <c r="QH471" s="978"/>
      <c r="QI471" s="978"/>
      <c r="QJ471" s="978"/>
      <c r="QK471" s="978"/>
      <c r="QL471" s="978"/>
      <c r="QM471" s="978"/>
      <c r="QN471" s="978"/>
      <c r="QO471" s="978"/>
      <c r="QP471" s="978"/>
      <c r="QQ471" s="978"/>
      <c r="QR471" s="978"/>
      <c r="QS471" s="978"/>
      <c r="QT471" s="978"/>
      <c r="QU471" s="978"/>
      <c r="QV471" s="978"/>
      <c r="QW471" s="978"/>
      <c r="QX471" s="978"/>
      <c r="QY471" s="978"/>
      <c r="QZ471" s="978"/>
      <c r="RA471" s="978"/>
      <c r="RB471" s="274"/>
      <c r="RC471" s="274"/>
    </row>
    <row r="472" spans="112:471">
      <c r="DH472" s="274"/>
      <c r="DI472" s="274"/>
      <c r="DJ472" s="274"/>
      <c r="DK472" s="274"/>
      <c r="DL472" s="274"/>
      <c r="DM472" s="274"/>
      <c r="DN472" s="274"/>
      <c r="DO472" s="274"/>
      <c r="DP472" s="274"/>
      <c r="DQ472" s="274"/>
      <c r="DR472" s="274"/>
      <c r="DS472" s="274"/>
      <c r="DT472" s="274"/>
      <c r="DU472" s="274"/>
      <c r="DV472" s="274"/>
      <c r="DW472" s="274"/>
      <c r="DX472" s="274"/>
      <c r="DY472" s="274"/>
      <c r="DZ472" s="274"/>
      <c r="EA472" s="274"/>
      <c r="EB472" s="274"/>
      <c r="EC472" s="274"/>
      <c r="ED472" s="274"/>
      <c r="EE472" s="274"/>
      <c r="EF472" s="274"/>
      <c r="EG472" s="274"/>
      <c r="EH472" s="274"/>
      <c r="EI472" s="274"/>
      <c r="EJ472" s="274"/>
      <c r="EK472" s="274"/>
      <c r="EL472" s="274"/>
      <c r="EM472" s="274"/>
      <c r="EN472" s="274"/>
      <c r="EO472" s="274"/>
      <c r="EP472" s="274"/>
      <c r="EQ472" s="274"/>
      <c r="ER472" s="274"/>
      <c r="ES472" s="274"/>
      <c r="ET472" s="274"/>
      <c r="EU472" s="274"/>
      <c r="EV472" s="274"/>
      <c r="EW472" s="274"/>
      <c r="EX472" s="274"/>
      <c r="EY472" s="274"/>
      <c r="EZ472" s="274"/>
      <c r="FA472" s="274"/>
      <c r="FB472" s="274"/>
      <c r="FC472" s="274"/>
      <c r="FD472" s="274"/>
      <c r="FE472" s="274"/>
      <c r="FF472" s="274"/>
      <c r="FG472" s="274"/>
      <c r="FH472" s="274"/>
      <c r="FI472" s="274"/>
      <c r="FJ472" s="274"/>
      <c r="FK472" s="274"/>
      <c r="FL472" s="274"/>
      <c r="FM472" s="274"/>
      <c r="FN472" s="274"/>
      <c r="FO472" s="274"/>
      <c r="FP472" s="274"/>
      <c r="FQ472" s="274"/>
      <c r="FR472" s="274"/>
      <c r="FS472" s="274"/>
      <c r="FT472" s="274"/>
      <c r="FU472" s="274"/>
      <c r="FV472" s="274"/>
      <c r="FW472" s="274"/>
      <c r="FX472" s="274"/>
      <c r="FY472" s="274"/>
      <c r="FZ472" s="274"/>
      <c r="GA472" s="274"/>
      <c r="GB472" s="274"/>
      <c r="GC472" s="274"/>
      <c r="GD472" s="274"/>
      <c r="GE472" s="274"/>
      <c r="GF472" s="274"/>
      <c r="GG472" s="274"/>
      <c r="GH472" s="274"/>
      <c r="GI472" s="274"/>
      <c r="GJ472" s="274"/>
      <c r="GK472" s="274"/>
      <c r="GL472" s="274"/>
      <c r="GM472" s="274"/>
      <c r="GN472" s="274"/>
      <c r="GO472" s="274"/>
      <c r="GP472" s="274"/>
      <c r="GQ472" s="274"/>
      <c r="GR472" s="274"/>
      <c r="GS472" s="274"/>
      <c r="GT472" s="274"/>
      <c r="GU472" s="274"/>
      <c r="GV472" s="274"/>
      <c r="GW472" s="274"/>
      <c r="GX472" s="274"/>
      <c r="GY472" s="274"/>
      <c r="GZ472" s="274"/>
      <c r="HA472" s="274"/>
      <c r="HB472" s="274"/>
      <c r="HC472" s="274"/>
      <c r="HD472" s="274"/>
      <c r="HE472" s="274"/>
      <c r="HF472" s="274"/>
      <c r="HG472" s="274"/>
      <c r="HH472" s="274"/>
      <c r="HI472" s="274"/>
      <c r="HJ472" s="274"/>
      <c r="HK472" s="274"/>
      <c r="HL472" s="274"/>
      <c r="HM472" s="274"/>
      <c r="HN472" s="274"/>
      <c r="HO472" s="274"/>
      <c r="HP472" s="274"/>
      <c r="HQ472" s="274"/>
      <c r="HR472" s="274"/>
      <c r="HS472" s="274"/>
      <c r="HT472" s="274"/>
      <c r="HU472" s="274"/>
      <c r="HV472" s="274"/>
      <c r="HW472" s="274"/>
      <c r="HX472" s="274"/>
      <c r="HY472" s="274"/>
      <c r="HZ472" s="274"/>
      <c r="IA472" s="274"/>
      <c r="IB472" s="274"/>
      <c r="IC472" s="274"/>
      <c r="ID472" s="274"/>
      <c r="IE472" s="274"/>
      <c r="IF472" s="274"/>
      <c r="IG472" s="274"/>
      <c r="IH472" s="274"/>
      <c r="II472" s="274"/>
      <c r="IJ472" s="274"/>
      <c r="IK472" s="274"/>
      <c r="IL472" s="274"/>
      <c r="IM472" s="274"/>
      <c r="IN472" s="274"/>
      <c r="IO472" s="274"/>
      <c r="IP472" s="274"/>
      <c r="IQ472" s="274"/>
      <c r="IR472" s="274"/>
      <c r="IS472" s="274"/>
      <c r="IT472" s="274"/>
      <c r="IU472" s="274"/>
      <c r="IV472" s="274"/>
      <c r="IW472" s="274"/>
      <c r="IX472" s="274"/>
      <c r="IY472" s="274"/>
      <c r="IZ472" s="274"/>
      <c r="JA472" s="274"/>
      <c r="JB472" s="274"/>
      <c r="JC472" s="274"/>
      <c r="JD472" s="274"/>
      <c r="JE472" s="274"/>
      <c r="JF472" s="274"/>
      <c r="JG472" s="274"/>
      <c r="JH472" s="274"/>
      <c r="JI472" s="274"/>
      <c r="JJ472" s="274"/>
      <c r="JK472" s="274"/>
      <c r="JL472" s="274"/>
      <c r="JM472" s="274"/>
      <c r="JN472" s="274"/>
      <c r="JO472" s="274"/>
      <c r="JP472" s="274"/>
      <c r="JQ472" s="274"/>
      <c r="JR472" s="274"/>
      <c r="JS472" s="274"/>
      <c r="JT472" s="274"/>
      <c r="JU472" s="274"/>
      <c r="JV472" s="274"/>
      <c r="JW472" s="274"/>
      <c r="JX472" s="274"/>
      <c r="JY472" s="274"/>
      <c r="JZ472" s="274"/>
      <c r="KA472" s="274"/>
      <c r="KB472" s="274"/>
      <c r="KC472" s="274"/>
      <c r="KD472" s="274"/>
      <c r="KE472" s="274"/>
      <c r="KF472" s="274"/>
      <c r="KG472" s="274"/>
      <c r="KH472" s="274"/>
      <c r="KI472" s="274"/>
      <c r="KJ472" s="274"/>
      <c r="KK472" s="274"/>
      <c r="KL472" s="274"/>
      <c r="KM472" s="274"/>
      <c r="KN472" s="274"/>
      <c r="KO472" s="274"/>
      <c r="KP472" s="274"/>
      <c r="KQ472" s="274"/>
      <c r="KR472" s="274"/>
      <c r="KS472" s="274"/>
      <c r="KT472" s="274"/>
      <c r="KU472" s="274"/>
      <c r="KV472" s="274"/>
      <c r="KW472" s="274"/>
      <c r="KX472" s="274"/>
      <c r="KY472" s="274"/>
      <c r="KZ472" s="274"/>
      <c r="LA472" s="274"/>
      <c r="LB472" s="274"/>
      <c r="LC472" s="274"/>
      <c r="LD472" s="274"/>
      <c r="LE472" s="274"/>
      <c r="LF472" s="274"/>
      <c r="LG472" s="274"/>
      <c r="LH472" s="274"/>
      <c r="LI472" s="274"/>
      <c r="LJ472" s="274"/>
      <c r="LK472" s="274"/>
      <c r="LL472" s="274"/>
      <c r="LM472" s="274"/>
      <c r="LN472" s="274"/>
      <c r="LO472" s="274"/>
      <c r="LP472" s="274"/>
      <c r="LQ472" s="274"/>
      <c r="LR472" s="274"/>
      <c r="LS472" s="274"/>
      <c r="LT472" s="274"/>
      <c r="LU472" s="274"/>
      <c r="LV472" s="274"/>
      <c r="LW472" s="274"/>
      <c r="LX472" s="274"/>
      <c r="LY472" s="274"/>
      <c r="LZ472" s="274"/>
      <c r="MA472" s="274"/>
      <c r="MB472" s="274"/>
      <c r="MC472" s="274"/>
      <c r="MD472" s="274"/>
      <c r="ME472" s="274"/>
      <c r="MF472" s="274"/>
      <c r="MG472" s="274"/>
      <c r="MH472" s="274"/>
      <c r="MI472" s="274"/>
      <c r="MJ472" s="274"/>
      <c r="MK472" s="274"/>
      <c r="ML472" s="274"/>
      <c r="MM472" s="274"/>
      <c r="MN472" s="274"/>
      <c r="MO472" s="274"/>
      <c r="MP472" s="274"/>
      <c r="MQ472" s="274"/>
      <c r="MR472" s="274"/>
      <c r="MS472" s="274"/>
      <c r="MT472" s="274"/>
      <c r="MU472" s="274"/>
      <c r="MV472" s="274"/>
      <c r="MW472" s="274"/>
      <c r="MX472" s="274"/>
      <c r="MY472" s="274"/>
      <c r="MZ472" s="274"/>
      <c r="NA472" s="274"/>
      <c r="NB472" s="274"/>
      <c r="NC472" s="274"/>
      <c r="ND472" s="274"/>
      <c r="NE472" s="274"/>
      <c r="NF472" s="274"/>
      <c r="NG472" s="274"/>
      <c r="NH472" s="274"/>
      <c r="NI472" s="274"/>
      <c r="NJ472" s="274"/>
      <c r="NK472" s="274"/>
      <c r="NL472" s="274"/>
      <c r="NM472" s="274"/>
      <c r="NN472" s="274"/>
      <c r="NO472" s="274"/>
      <c r="NP472" s="274"/>
      <c r="NQ472" s="274"/>
      <c r="NR472" s="274"/>
      <c r="NS472" s="274"/>
      <c r="NT472" s="274"/>
      <c r="NU472" s="274"/>
      <c r="NV472" s="274"/>
      <c r="NW472" s="274"/>
      <c r="NX472" s="274"/>
      <c r="NY472" s="274"/>
      <c r="NZ472" s="274"/>
      <c r="OA472" s="274"/>
      <c r="OB472" s="274"/>
      <c r="OC472" s="274"/>
      <c r="OD472" s="274"/>
      <c r="OE472" s="274"/>
      <c r="OF472" s="274"/>
      <c r="OG472" s="274"/>
      <c r="OH472" s="274"/>
      <c r="OI472" s="274"/>
      <c r="OJ472" s="274"/>
      <c r="OK472" s="274"/>
      <c r="OL472" s="274"/>
      <c r="OM472" s="274"/>
      <c r="ON472" s="274"/>
      <c r="OO472" s="274"/>
      <c r="OP472" s="274"/>
      <c r="OQ472" s="274"/>
      <c r="OR472" s="274"/>
      <c r="OS472" s="274"/>
      <c r="OT472" s="274"/>
      <c r="OU472" s="274"/>
      <c r="OV472" s="274"/>
      <c r="OW472" s="274"/>
      <c r="OX472" s="274"/>
      <c r="OY472" s="274"/>
      <c r="OZ472" s="274"/>
      <c r="PA472" s="274"/>
      <c r="PB472" s="274"/>
      <c r="PC472" s="274"/>
      <c r="PD472" s="274"/>
      <c r="PE472" s="274"/>
      <c r="PF472" s="274"/>
      <c r="PG472" s="274"/>
      <c r="PH472" s="274"/>
      <c r="PI472" s="274"/>
      <c r="PJ472" s="274"/>
      <c r="PK472" s="274"/>
      <c r="PL472" s="274"/>
      <c r="PM472" s="274"/>
      <c r="PN472" s="274"/>
      <c r="PO472" s="274"/>
      <c r="PP472" s="274"/>
      <c r="PQ472" s="274"/>
      <c r="PR472" s="274"/>
      <c r="PS472" s="274"/>
      <c r="PT472" s="274"/>
      <c r="PU472" s="274"/>
      <c r="PV472" s="274"/>
      <c r="PW472" s="274"/>
      <c r="PX472" s="274"/>
      <c r="PY472" s="274"/>
      <c r="PZ472" s="274"/>
      <c r="QA472" s="274"/>
      <c r="QB472" s="274"/>
      <c r="QC472" s="274"/>
      <c r="QD472" s="274"/>
      <c r="QE472" s="274"/>
      <c r="QF472" s="274"/>
      <c r="QG472" s="274"/>
      <c r="QH472" s="274"/>
      <c r="QI472" s="274"/>
      <c r="QJ472" s="274"/>
      <c r="QK472" s="274"/>
      <c r="QL472" s="274"/>
      <c r="QM472" s="274"/>
      <c r="QN472" s="274"/>
      <c r="QO472" s="274"/>
      <c r="QP472" s="274"/>
      <c r="QQ472" s="274"/>
      <c r="QR472" s="274"/>
      <c r="QS472" s="274"/>
      <c r="QT472" s="274"/>
      <c r="QU472" s="274"/>
      <c r="QV472" s="274"/>
      <c r="QW472" s="274"/>
      <c r="QX472" s="274"/>
      <c r="QY472" s="274"/>
      <c r="QZ472" s="274"/>
      <c r="RA472" s="274"/>
      <c r="RB472" s="274"/>
      <c r="RC472" s="274"/>
    </row>
    <row r="473" spans="112:471">
      <c r="DH473" s="274"/>
      <c r="DI473" s="274"/>
      <c r="DJ473" s="274"/>
      <c r="DK473" s="274"/>
      <c r="DL473" s="274"/>
      <c r="DM473" s="274"/>
      <c r="DN473" s="274"/>
      <c r="DO473" s="274"/>
      <c r="DP473" s="274"/>
      <c r="DQ473" s="274"/>
      <c r="DR473" s="274"/>
      <c r="DS473" s="274"/>
      <c r="DT473" s="274"/>
      <c r="DU473" s="274"/>
      <c r="DV473" s="274"/>
      <c r="DW473" s="274"/>
      <c r="DX473" s="274"/>
      <c r="DY473" s="274"/>
      <c r="DZ473" s="274"/>
      <c r="EA473" s="274"/>
      <c r="EB473" s="274"/>
      <c r="EC473" s="274"/>
      <c r="ED473" s="274"/>
      <c r="EE473" s="274"/>
      <c r="EF473" s="274"/>
      <c r="EG473" s="274"/>
      <c r="EH473" s="274"/>
      <c r="EI473" s="274"/>
      <c r="EJ473" s="274"/>
      <c r="EK473" s="274"/>
      <c r="EL473" s="274"/>
      <c r="EM473" s="274"/>
      <c r="EN473" s="274"/>
      <c r="EO473" s="274"/>
      <c r="EP473" s="274"/>
      <c r="EQ473" s="274"/>
      <c r="ER473" s="274"/>
      <c r="ES473" s="274"/>
      <c r="ET473" s="274"/>
      <c r="EU473" s="274"/>
      <c r="EV473" s="274"/>
      <c r="EW473" s="274"/>
      <c r="EX473" s="274"/>
      <c r="EY473" s="274"/>
      <c r="EZ473" s="274"/>
      <c r="FA473" s="274"/>
      <c r="FB473" s="274"/>
      <c r="FC473" s="274"/>
      <c r="FD473" s="274"/>
      <c r="FE473" s="274"/>
      <c r="FF473" s="274"/>
      <c r="FG473" s="274"/>
      <c r="FH473" s="274"/>
      <c r="FI473" s="274"/>
      <c r="FJ473" s="274"/>
      <c r="FK473" s="274"/>
      <c r="FL473" s="274"/>
      <c r="FM473" s="274"/>
      <c r="FN473" s="274"/>
      <c r="FO473" s="274"/>
      <c r="FP473" s="274"/>
      <c r="FQ473" s="274"/>
      <c r="FR473" s="274"/>
      <c r="FS473" s="274"/>
      <c r="FT473" s="274"/>
      <c r="FU473" s="274"/>
      <c r="FV473" s="274"/>
      <c r="FW473" s="274"/>
      <c r="FX473" s="274"/>
      <c r="FY473" s="274"/>
      <c r="FZ473" s="274"/>
      <c r="GA473" s="274"/>
      <c r="GB473" s="274"/>
      <c r="GC473" s="274"/>
      <c r="GD473" s="274"/>
      <c r="GE473" s="274"/>
      <c r="GF473" s="274"/>
      <c r="GG473" s="274"/>
      <c r="GH473" s="274"/>
      <c r="GI473" s="274"/>
      <c r="GJ473" s="274"/>
      <c r="GK473" s="274"/>
      <c r="GL473" s="274"/>
      <c r="GM473" s="274"/>
      <c r="GN473" s="274"/>
      <c r="GO473" s="274"/>
      <c r="GP473" s="274"/>
      <c r="GQ473" s="274"/>
      <c r="GR473" s="274"/>
      <c r="GS473" s="274"/>
      <c r="GT473" s="274"/>
      <c r="GU473" s="274"/>
      <c r="GV473" s="274"/>
      <c r="GW473" s="274"/>
      <c r="GX473" s="274"/>
      <c r="GY473" s="274"/>
      <c r="GZ473" s="274"/>
      <c r="HA473" s="274"/>
      <c r="HB473" s="274"/>
      <c r="HC473" s="274"/>
      <c r="HD473" s="274"/>
      <c r="HE473" s="274"/>
      <c r="HF473" s="274"/>
      <c r="HG473" s="274"/>
      <c r="HH473" s="274"/>
      <c r="HI473" s="274"/>
      <c r="HJ473" s="274"/>
      <c r="HK473" s="274"/>
      <c r="HL473" s="274"/>
      <c r="HM473" s="274"/>
      <c r="HN473" s="274"/>
      <c r="HO473" s="274"/>
      <c r="HP473" s="274"/>
      <c r="HQ473" s="274"/>
      <c r="HR473" s="274"/>
      <c r="HS473" s="274"/>
      <c r="HT473" s="274"/>
      <c r="HU473" s="274"/>
      <c r="HV473" s="274"/>
      <c r="HW473" s="274"/>
      <c r="HX473" s="274"/>
      <c r="HY473" s="274"/>
      <c r="HZ473" s="274"/>
      <c r="IA473" s="274"/>
      <c r="IB473" s="274"/>
      <c r="IC473" s="274"/>
      <c r="ID473" s="274"/>
      <c r="IE473" s="274"/>
      <c r="IF473" s="274"/>
      <c r="IG473" s="274"/>
      <c r="IH473" s="274"/>
      <c r="II473" s="274"/>
      <c r="IJ473" s="274"/>
      <c r="IK473" s="274"/>
      <c r="IL473" s="274"/>
      <c r="IM473" s="274"/>
      <c r="IN473" s="274"/>
      <c r="IO473" s="274"/>
      <c r="IP473" s="274"/>
      <c r="IQ473" s="274"/>
      <c r="IR473" s="274"/>
      <c r="IS473" s="274"/>
      <c r="IT473" s="274"/>
      <c r="IU473" s="274"/>
      <c r="IV473" s="274"/>
      <c r="IW473" s="274"/>
      <c r="IX473" s="274"/>
      <c r="IY473" s="274"/>
      <c r="IZ473" s="274"/>
      <c r="JA473" s="274"/>
      <c r="JB473" s="274"/>
      <c r="JC473" s="274"/>
      <c r="JD473" s="274"/>
      <c r="JE473" s="274"/>
      <c r="JF473" s="274"/>
      <c r="JG473" s="274"/>
      <c r="JH473" s="274"/>
      <c r="JI473" s="274"/>
      <c r="JJ473" s="274"/>
      <c r="JK473" s="274"/>
      <c r="JL473" s="274"/>
      <c r="JM473" s="274"/>
      <c r="JN473" s="274"/>
      <c r="JO473" s="274"/>
      <c r="JP473" s="274"/>
      <c r="JQ473" s="274"/>
      <c r="JR473" s="274"/>
      <c r="JS473" s="274"/>
      <c r="JT473" s="274"/>
      <c r="JU473" s="274"/>
      <c r="JV473" s="274"/>
      <c r="JW473" s="274"/>
      <c r="JX473" s="274"/>
      <c r="JY473" s="274"/>
      <c r="JZ473" s="274"/>
      <c r="KA473" s="274"/>
      <c r="KB473" s="274"/>
      <c r="KC473" s="274"/>
      <c r="KD473" s="274"/>
      <c r="KE473" s="274"/>
      <c r="KF473" s="274"/>
      <c r="KG473" s="274"/>
      <c r="KH473" s="274"/>
      <c r="KI473" s="274"/>
      <c r="KJ473" s="274"/>
      <c r="KK473" s="274"/>
      <c r="KL473" s="274"/>
      <c r="KM473" s="274"/>
      <c r="KN473" s="274"/>
      <c r="KO473" s="274"/>
      <c r="KP473" s="274"/>
      <c r="KQ473" s="274"/>
      <c r="KR473" s="274"/>
      <c r="KS473" s="274"/>
      <c r="KT473" s="274"/>
      <c r="KU473" s="274"/>
      <c r="KV473" s="274"/>
      <c r="KW473" s="274"/>
      <c r="KX473" s="274"/>
      <c r="KY473" s="274"/>
      <c r="KZ473" s="274"/>
      <c r="LA473" s="274"/>
      <c r="LB473" s="274"/>
      <c r="LC473" s="274"/>
      <c r="LD473" s="274"/>
      <c r="LE473" s="274"/>
      <c r="LF473" s="274"/>
      <c r="LG473" s="274"/>
      <c r="LH473" s="274"/>
      <c r="LI473" s="274"/>
      <c r="LJ473" s="274"/>
      <c r="LK473" s="274"/>
      <c r="LL473" s="274"/>
      <c r="LM473" s="274"/>
      <c r="LN473" s="274"/>
      <c r="LO473" s="274"/>
      <c r="LP473" s="274"/>
      <c r="LQ473" s="274"/>
      <c r="LR473" s="274"/>
      <c r="LS473" s="274"/>
      <c r="LT473" s="274"/>
      <c r="LU473" s="274"/>
      <c r="LV473" s="274"/>
      <c r="LW473" s="274"/>
      <c r="LX473" s="274"/>
      <c r="LY473" s="274"/>
      <c r="LZ473" s="274"/>
      <c r="MA473" s="274"/>
      <c r="MB473" s="274"/>
      <c r="MC473" s="274"/>
      <c r="MD473" s="274"/>
      <c r="ME473" s="274"/>
      <c r="MF473" s="274"/>
      <c r="MG473" s="274"/>
      <c r="MH473" s="274"/>
      <c r="MI473" s="274"/>
      <c r="MJ473" s="274"/>
      <c r="MK473" s="274"/>
      <c r="ML473" s="274"/>
      <c r="MM473" s="274"/>
      <c r="MN473" s="274"/>
      <c r="MO473" s="274"/>
      <c r="MP473" s="274"/>
      <c r="MQ473" s="274"/>
      <c r="MR473" s="274"/>
      <c r="MS473" s="274"/>
      <c r="MT473" s="274"/>
      <c r="MU473" s="274"/>
      <c r="MV473" s="274"/>
      <c r="MW473" s="274"/>
      <c r="MX473" s="274"/>
      <c r="MY473" s="274"/>
      <c r="MZ473" s="274"/>
      <c r="NA473" s="274"/>
      <c r="NB473" s="274"/>
      <c r="NC473" s="274"/>
      <c r="ND473" s="274"/>
      <c r="NE473" s="274"/>
      <c r="NF473" s="274"/>
      <c r="NG473" s="274"/>
      <c r="NH473" s="274"/>
      <c r="NI473" s="274"/>
      <c r="NJ473" s="274"/>
      <c r="NK473" s="274"/>
      <c r="NL473" s="274"/>
      <c r="NM473" s="274"/>
      <c r="NN473" s="274"/>
      <c r="NO473" s="274"/>
      <c r="NP473" s="274"/>
      <c r="NQ473" s="274"/>
      <c r="NR473" s="274"/>
      <c r="NS473" s="274"/>
      <c r="NT473" s="274"/>
      <c r="NU473" s="274"/>
      <c r="NV473" s="274"/>
      <c r="NW473" s="274"/>
      <c r="NX473" s="274"/>
      <c r="NY473" s="274"/>
      <c r="NZ473" s="274"/>
      <c r="OA473" s="274"/>
      <c r="OB473" s="274"/>
      <c r="OC473" s="274"/>
      <c r="OD473" s="274"/>
      <c r="OE473" s="274"/>
      <c r="OF473" s="274"/>
      <c r="OG473" s="274"/>
      <c r="OH473" s="274"/>
      <c r="OI473" s="274"/>
      <c r="OJ473" s="274"/>
      <c r="OK473" s="274"/>
      <c r="OL473" s="274"/>
      <c r="OM473" s="274"/>
      <c r="ON473" s="274"/>
      <c r="OO473" s="274"/>
      <c r="OP473" s="274"/>
      <c r="OQ473" s="274"/>
      <c r="OR473" s="274"/>
      <c r="OS473" s="274"/>
      <c r="OT473" s="274"/>
      <c r="OU473" s="274"/>
      <c r="OV473" s="274"/>
      <c r="OW473" s="274"/>
      <c r="OX473" s="274"/>
      <c r="OY473" s="274"/>
      <c r="OZ473" s="274"/>
      <c r="PA473" s="274"/>
      <c r="PB473" s="274"/>
      <c r="PC473" s="274"/>
      <c r="PD473" s="274"/>
      <c r="PE473" s="274"/>
      <c r="PF473" s="274"/>
      <c r="PG473" s="274"/>
      <c r="PH473" s="274"/>
      <c r="PI473" s="274"/>
      <c r="PJ473" s="274"/>
      <c r="PK473" s="274"/>
      <c r="PL473" s="274"/>
      <c r="PM473" s="274"/>
      <c r="PN473" s="274"/>
      <c r="PO473" s="274"/>
      <c r="PP473" s="274"/>
      <c r="PQ473" s="274"/>
      <c r="PR473" s="274"/>
      <c r="PS473" s="274"/>
      <c r="PT473" s="274"/>
      <c r="PU473" s="274"/>
      <c r="PV473" s="274"/>
      <c r="PW473" s="274"/>
      <c r="PX473" s="274"/>
      <c r="PY473" s="274"/>
      <c r="PZ473" s="274"/>
      <c r="QA473" s="274"/>
      <c r="QB473" s="274"/>
      <c r="QC473" s="274"/>
      <c r="QD473" s="274"/>
      <c r="QE473" s="274"/>
      <c r="QF473" s="274"/>
      <c r="QG473" s="274"/>
      <c r="QH473" s="274"/>
      <c r="QI473" s="274"/>
      <c r="QJ473" s="274"/>
      <c r="QK473" s="274"/>
      <c r="QL473" s="274"/>
      <c r="QM473" s="274"/>
      <c r="QN473" s="274"/>
      <c r="QO473" s="274"/>
      <c r="QP473" s="274"/>
      <c r="QQ473" s="274"/>
      <c r="QR473" s="274"/>
      <c r="QS473" s="274"/>
      <c r="QT473" s="274"/>
      <c r="QU473" s="274"/>
      <c r="QV473" s="274"/>
      <c r="QW473" s="274"/>
      <c r="QX473" s="274"/>
      <c r="QY473" s="274"/>
      <c r="QZ473" s="274"/>
      <c r="RA473" s="274"/>
      <c r="RB473" s="274"/>
      <c r="RC473" s="274"/>
    </row>
    <row r="474" spans="112:471" ht="17.25">
      <c r="DH474" s="274"/>
      <c r="DI474" s="274"/>
      <c r="DJ474" s="978"/>
      <c r="DK474" s="274"/>
      <c r="DL474" s="274"/>
      <c r="DM474" s="274"/>
      <c r="DN474" s="274"/>
      <c r="DO474" s="274"/>
      <c r="DP474" s="274"/>
      <c r="DQ474" s="274"/>
      <c r="DR474" s="274"/>
      <c r="DS474" s="274"/>
      <c r="DT474" s="274"/>
      <c r="DU474" s="274"/>
      <c r="DV474" s="274"/>
      <c r="DW474" s="274"/>
      <c r="DX474" s="274"/>
      <c r="DY474" s="274"/>
      <c r="DZ474" s="274"/>
      <c r="EA474" s="274"/>
      <c r="EB474" s="274"/>
      <c r="EC474" s="274"/>
      <c r="ED474" s="274"/>
      <c r="EE474" s="274"/>
      <c r="EF474" s="274"/>
      <c r="EG474" s="274"/>
      <c r="EH474" s="274"/>
      <c r="EI474" s="274"/>
      <c r="EJ474" s="274"/>
      <c r="EK474" s="274"/>
      <c r="EL474" s="274"/>
      <c r="EM474" s="274"/>
      <c r="EN474" s="274"/>
      <c r="EO474" s="274"/>
      <c r="EP474" s="274"/>
      <c r="EQ474" s="274"/>
      <c r="ER474" s="274"/>
      <c r="ES474" s="274"/>
      <c r="ET474" s="274"/>
      <c r="EU474" s="274"/>
      <c r="EV474" s="274"/>
      <c r="EW474" s="274"/>
      <c r="EX474" s="274"/>
      <c r="EY474" s="274"/>
      <c r="EZ474" s="274"/>
      <c r="FA474" s="274"/>
      <c r="FB474" s="274"/>
      <c r="FC474" s="274"/>
      <c r="FD474" s="274"/>
      <c r="FE474" s="274"/>
      <c r="FF474" s="274"/>
      <c r="FG474" s="274"/>
      <c r="FH474" s="274"/>
      <c r="FI474" s="274"/>
      <c r="FJ474" s="274"/>
      <c r="FK474" s="274"/>
      <c r="FL474" s="274"/>
      <c r="FM474" s="274"/>
      <c r="FN474" s="274"/>
      <c r="FO474" s="274"/>
      <c r="FP474" s="274"/>
      <c r="FQ474" s="274"/>
      <c r="FR474" s="274"/>
      <c r="FS474" s="274"/>
      <c r="FT474" s="274"/>
      <c r="FU474" s="274"/>
      <c r="FV474" s="274"/>
      <c r="FW474" s="274"/>
      <c r="FX474" s="274"/>
      <c r="FY474" s="274"/>
      <c r="FZ474" s="274"/>
      <c r="GA474" s="274"/>
      <c r="GB474" s="274"/>
      <c r="GC474" s="274"/>
      <c r="GD474" s="274"/>
      <c r="GE474" s="274"/>
      <c r="GF474" s="274"/>
      <c r="GG474" s="274"/>
      <c r="GH474" s="274"/>
      <c r="GI474" s="274"/>
      <c r="GJ474" s="274"/>
      <c r="GK474" s="274"/>
      <c r="GL474" s="274"/>
      <c r="GM474" s="274"/>
      <c r="GN474" s="274"/>
      <c r="GO474" s="274"/>
      <c r="GP474" s="274"/>
      <c r="GQ474" s="274"/>
      <c r="GR474" s="274"/>
      <c r="GS474" s="274"/>
      <c r="GT474" s="274"/>
      <c r="GU474" s="274"/>
      <c r="GV474" s="274"/>
      <c r="GW474" s="274"/>
      <c r="GX474" s="274"/>
      <c r="GY474" s="274"/>
      <c r="GZ474" s="274"/>
      <c r="HA474" s="274"/>
      <c r="HB474" s="274"/>
      <c r="HC474" s="274"/>
      <c r="HD474" s="274"/>
      <c r="HE474" s="274"/>
      <c r="HF474" s="274"/>
      <c r="HG474" s="274"/>
      <c r="HH474" s="274"/>
      <c r="HI474" s="274"/>
      <c r="HJ474" s="274"/>
      <c r="HK474" s="274"/>
      <c r="HL474" s="274"/>
      <c r="HM474" s="274"/>
      <c r="HN474" s="274"/>
      <c r="HO474" s="274"/>
      <c r="HP474" s="274"/>
      <c r="HQ474" s="274"/>
      <c r="HR474" s="274"/>
      <c r="HS474" s="274"/>
      <c r="HT474" s="274"/>
      <c r="HU474" s="274"/>
      <c r="HV474" s="274"/>
      <c r="HW474" s="274"/>
      <c r="HX474" s="274"/>
      <c r="HY474" s="274"/>
      <c r="HZ474" s="274"/>
      <c r="IA474" s="274"/>
      <c r="IB474" s="274"/>
      <c r="IC474" s="274"/>
      <c r="ID474" s="274"/>
      <c r="IE474" s="274"/>
      <c r="IF474" s="274"/>
      <c r="IG474" s="274"/>
      <c r="IH474" s="274"/>
      <c r="II474" s="274"/>
      <c r="IJ474" s="274"/>
      <c r="IK474" s="274"/>
      <c r="IL474" s="274"/>
      <c r="IM474" s="274"/>
      <c r="IN474" s="274"/>
      <c r="IO474" s="274"/>
      <c r="IP474" s="274"/>
      <c r="IQ474" s="274"/>
      <c r="IR474" s="274"/>
      <c r="IS474" s="274"/>
      <c r="IT474" s="274"/>
      <c r="IU474" s="274"/>
      <c r="IV474" s="274"/>
      <c r="IW474" s="274"/>
      <c r="IX474" s="274"/>
      <c r="IY474" s="274"/>
      <c r="IZ474" s="274"/>
      <c r="JA474" s="274"/>
      <c r="JB474" s="274"/>
      <c r="JC474" s="274"/>
      <c r="JD474" s="274"/>
      <c r="JE474" s="274"/>
      <c r="JF474" s="274"/>
      <c r="JG474" s="274"/>
      <c r="JH474" s="274"/>
      <c r="JI474" s="274"/>
      <c r="JJ474" s="274"/>
      <c r="JK474" s="274"/>
      <c r="JL474" s="274"/>
      <c r="JM474" s="274"/>
      <c r="JN474" s="274"/>
      <c r="JO474" s="274"/>
      <c r="JP474" s="274"/>
      <c r="JQ474" s="274"/>
      <c r="JR474" s="274"/>
      <c r="JS474" s="274"/>
      <c r="JT474" s="274"/>
      <c r="JU474" s="274"/>
      <c r="JV474" s="274"/>
      <c r="JW474" s="274"/>
      <c r="JX474" s="274"/>
      <c r="JY474" s="274"/>
      <c r="JZ474" s="274"/>
      <c r="KA474" s="274"/>
      <c r="KB474" s="274"/>
      <c r="KC474" s="274"/>
      <c r="KD474" s="274"/>
      <c r="KE474" s="274"/>
      <c r="KF474" s="274"/>
      <c r="KG474" s="274"/>
      <c r="KH474" s="274"/>
      <c r="KI474" s="274"/>
      <c r="KJ474" s="274"/>
      <c r="KK474" s="274"/>
      <c r="KL474" s="274"/>
      <c r="KM474" s="274"/>
      <c r="KN474" s="274"/>
      <c r="KO474" s="274"/>
      <c r="KP474" s="274"/>
      <c r="KQ474" s="274"/>
      <c r="KR474" s="274"/>
      <c r="KS474" s="274"/>
      <c r="KT474" s="274"/>
      <c r="KU474" s="274"/>
      <c r="KV474" s="274"/>
      <c r="KW474" s="274"/>
      <c r="KX474" s="274"/>
      <c r="KY474" s="274"/>
      <c r="KZ474" s="274"/>
      <c r="LA474" s="274"/>
      <c r="LB474" s="274"/>
      <c r="LC474" s="274"/>
      <c r="LD474" s="274"/>
      <c r="LE474" s="274"/>
      <c r="LF474" s="274"/>
      <c r="LG474" s="274"/>
      <c r="LH474" s="274"/>
      <c r="LI474" s="274"/>
      <c r="LJ474" s="274"/>
      <c r="LK474" s="274"/>
      <c r="LL474" s="274"/>
      <c r="LM474" s="274"/>
      <c r="LN474" s="274"/>
      <c r="LO474" s="274"/>
      <c r="LP474" s="274"/>
      <c r="LQ474" s="274"/>
      <c r="LR474" s="274"/>
      <c r="LS474" s="274"/>
      <c r="LT474" s="274"/>
      <c r="LU474" s="274"/>
      <c r="LV474" s="274"/>
      <c r="LW474" s="274"/>
      <c r="LX474" s="274"/>
      <c r="LY474" s="274"/>
      <c r="LZ474" s="274"/>
      <c r="MA474" s="274"/>
      <c r="MB474" s="274"/>
      <c r="MC474" s="274"/>
      <c r="MD474" s="274"/>
      <c r="ME474" s="274"/>
      <c r="MF474" s="274"/>
      <c r="MG474" s="274"/>
      <c r="MH474" s="274"/>
      <c r="MI474" s="274"/>
      <c r="MJ474" s="274"/>
      <c r="MK474" s="274"/>
      <c r="ML474" s="274"/>
      <c r="MM474" s="274"/>
      <c r="MN474" s="274"/>
      <c r="MO474" s="274"/>
      <c r="MP474" s="274"/>
      <c r="MQ474" s="274"/>
      <c r="MR474" s="274"/>
      <c r="MS474" s="274"/>
      <c r="MT474" s="274"/>
      <c r="MU474" s="274"/>
      <c r="MV474" s="274"/>
      <c r="MW474" s="274"/>
      <c r="MX474" s="274"/>
      <c r="MY474" s="274"/>
      <c r="MZ474" s="274"/>
      <c r="NA474" s="274"/>
      <c r="NB474" s="274"/>
      <c r="NC474" s="274"/>
      <c r="ND474" s="274"/>
      <c r="NE474" s="274"/>
      <c r="NF474" s="274"/>
      <c r="NG474" s="274"/>
      <c r="NH474" s="274"/>
      <c r="NI474" s="274"/>
      <c r="NJ474" s="274"/>
      <c r="NK474" s="274"/>
      <c r="NL474" s="274"/>
      <c r="NM474" s="274"/>
      <c r="NN474" s="274"/>
      <c r="NO474" s="274"/>
      <c r="NP474" s="274"/>
      <c r="NQ474" s="274"/>
      <c r="NR474" s="274"/>
      <c r="NS474" s="274"/>
      <c r="NT474" s="274"/>
      <c r="NU474" s="274"/>
      <c r="NV474" s="274"/>
      <c r="NW474" s="274"/>
      <c r="NX474" s="274"/>
      <c r="NY474" s="274"/>
      <c r="NZ474" s="274"/>
      <c r="OA474" s="274"/>
      <c r="OB474" s="274"/>
      <c r="OC474" s="274"/>
      <c r="OD474" s="274"/>
      <c r="OE474" s="274"/>
      <c r="OF474" s="274"/>
      <c r="OG474" s="274"/>
      <c r="OH474" s="274"/>
      <c r="OI474" s="274"/>
      <c r="OJ474" s="274"/>
      <c r="OK474" s="274"/>
      <c r="OL474" s="274"/>
      <c r="OM474" s="274"/>
      <c r="ON474" s="274"/>
      <c r="OO474" s="274"/>
      <c r="OP474" s="274"/>
      <c r="OQ474" s="274"/>
      <c r="OR474" s="274"/>
      <c r="OS474" s="274"/>
      <c r="OT474" s="274"/>
      <c r="OU474" s="274"/>
      <c r="OV474" s="274"/>
      <c r="OW474" s="274"/>
      <c r="OX474" s="274"/>
      <c r="OY474" s="274"/>
      <c r="OZ474" s="274"/>
      <c r="PA474" s="274"/>
      <c r="PB474" s="274"/>
      <c r="PC474" s="274"/>
      <c r="PD474" s="274"/>
      <c r="PE474" s="274"/>
      <c r="PF474" s="274"/>
      <c r="PG474" s="274"/>
      <c r="PH474" s="274"/>
      <c r="PI474" s="274"/>
      <c r="PJ474" s="274"/>
      <c r="PK474" s="274"/>
      <c r="PL474" s="274"/>
      <c r="PM474" s="274"/>
      <c r="PN474" s="274"/>
      <c r="PO474" s="274"/>
      <c r="PP474" s="274"/>
      <c r="PQ474" s="274"/>
      <c r="PR474" s="274"/>
      <c r="PS474" s="274"/>
      <c r="PT474" s="274"/>
      <c r="PU474" s="274"/>
      <c r="PV474" s="274"/>
      <c r="PW474" s="274"/>
      <c r="PX474" s="274"/>
      <c r="PY474" s="274"/>
      <c r="PZ474" s="274"/>
      <c r="QA474" s="274"/>
      <c r="QB474" s="274"/>
      <c r="QC474" s="274"/>
      <c r="QD474" s="274"/>
      <c r="QE474" s="274"/>
      <c r="QF474" s="274"/>
      <c r="QG474" s="274"/>
      <c r="QH474" s="274"/>
      <c r="QI474" s="274"/>
      <c r="QJ474" s="274"/>
      <c r="QK474" s="274"/>
      <c r="QL474" s="274"/>
      <c r="QM474" s="274"/>
      <c r="QN474" s="274"/>
      <c r="QO474" s="274"/>
      <c r="QP474" s="274"/>
      <c r="QQ474" s="274"/>
      <c r="QR474" s="274"/>
      <c r="QS474" s="274"/>
      <c r="QT474" s="274"/>
      <c r="QU474" s="274"/>
      <c r="QV474" s="274"/>
      <c r="QW474" s="274"/>
      <c r="QX474" s="274"/>
      <c r="QY474" s="274"/>
      <c r="QZ474" s="274"/>
      <c r="RA474" s="274"/>
      <c r="RB474" s="274"/>
      <c r="RC474" s="274"/>
    </row>
    <row r="475" spans="112:471" ht="17.25">
      <c r="DH475" s="274"/>
      <c r="DI475" s="274"/>
      <c r="DJ475" s="978"/>
      <c r="DK475" s="978"/>
      <c r="DL475" s="978"/>
      <c r="DM475" s="978"/>
      <c r="DN475" s="978"/>
      <c r="DO475" s="978"/>
      <c r="DP475" s="978"/>
      <c r="DQ475" s="978"/>
      <c r="DR475" s="978"/>
      <c r="DS475" s="978"/>
      <c r="DT475" s="978"/>
      <c r="DU475" s="978"/>
      <c r="DV475" s="978"/>
      <c r="DW475" s="978"/>
      <c r="DX475" s="978"/>
      <c r="DY475" s="978"/>
      <c r="DZ475" s="978"/>
      <c r="EA475" s="978"/>
      <c r="EB475" s="978"/>
      <c r="EC475" s="978"/>
      <c r="ED475" s="978"/>
      <c r="EE475" s="978"/>
      <c r="EF475" s="978"/>
      <c r="EG475" s="978"/>
      <c r="EH475" s="978"/>
      <c r="EI475" s="978"/>
      <c r="EJ475" s="978"/>
      <c r="EK475" s="978"/>
      <c r="EL475" s="978"/>
      <c r="EM475" s="978"/>
      <c r="EN475" s="978"/>
      <c r="EO475" s="978"/>
      <c r="EP475" s="978"/>
      <c r="EQ475" s="978"/>
      <c r="ER475" s="978"/>
      <c r="ES475" s="978"/>
      <c r="ET475" s="978"/>
      <c r="EU475" s="978"/>
      <c r="EV475" s="978"/>
      <c r="EW475" s="978"/>
      <c r="EX475" s="978"/>
      <c r="EY475" s="978"/>
      <c r="EZ475" s="978"/>
      <c r="FA475" s="978"/>
      <c r="FB475" s="978"/>
      <c r="FC475" s="978"/>
      <c r="FD475" s="978"/>
      <c r="FE475" s="978"/>
      <c r="FF475" s="978"/>
      <c r="FG475" s="978"/>
      <c r="FH475" s="978"/>
      <c r="FI475" s="978"/>
      <c r="FJ475" s="978"/>
      <c r="FK475" s="978"/>
      <c r="FL475" s="978"/>
      <c r="FM475" s="978"/>
      <c r="FN475" s="978"/>
      <c r="FO475" s="978"/>
      <c r="FP475" s="978"/>
      <c r="FQ475" s="978"/>
      <c r="FR475" s="978"/>
      <c r="FS475" s="978"/>
      <c r="FT475" s="978"/>
      <c r="FU475" s="978"/>
      <c r="FV475" s="978"/>
      <c r="FW475" s="978"/>
      <c r="FX475" s="978"/>
      <c r="FY475" s="978"/>
      <c r="FZ475" s="978"/>
      <c r="GA475" s="978"/>
      <c r="GB475" s="978"/>
      <c r="GC475" s="978"/>
      <c r="GD475" s="978"/>
      <c r="GE475" s="978"/>
      <c r="GF475" s="978"/>
      <c r="GG475" s="978"/>
      <c r="GH475" s="978"/>
      <c r="GI475" s="978"/>
      <c r="GJ475" s="978"/>
      <c r="GK475" s="978"/>
      <c r="GL475" s="978"/>
      <c r="GM475" s="978"/>
      <c r="GN475" s="978"/>
      <c r="GO475" s="978"/>
      <c r="GP475" s="978"/>
      <c r="GQ475" s="978"/>
      <c r="GR475" s="978"/>
      <c r="GS475" s="978"/>
      <c r="GT475" s="978"/>
      <c r="GU475" s="978"/>
      <c r="GV475" s="978"/>
      <c r="GW475" s="978"/>
      <c r="GX475" s="978"/>
      <c r="GY475" s="978"/>
      <c r="GZ475" s="978"/>
      <c r="HA475" s="978"/>
      <c r="HB475" s="978"/>
      <c r="HC475" s="978"/>
      <c r="HD475" s="978"/>
      <c r="HE475" s="978"/>
      <c r="HF475" s="978"/>
      <c r="HG475" s="978"/>
      <c r="HH475" s="978"/>
      <c r="HI475" s="978"/>
      <c r="HJ475" s="978"/>
      <c r="HK475" s="978"/>
      <c r="HL475" s="978"/>
      <c r="HM475" s="978"/>
      <c r="HN475" s="978"/>
      <c r="HO475" s="978"/>
      <c r="HP475" s="978"/>
      <c r="HQ475" s="978"/>
      <c r="HR475" s="978"/>
      <c r="HS475" s="978"/>
      <c r="HT475" s="978"/>
      <c r="HU475" s="978"/>
      <c r="HV475" s="978"/>
      <c r="HW475" s="978"/>
      <c r="HX475" s="978"/>
      <c r="HY475" s="978"/>
      <c r="HZ475" s="978"/>
      <c r="IA475" s="978"/>
      <c r="IB475" s="978"/>
      <c r="IC475" s="978"/>
      <c r="ID475" s="978"/>
      <c r="IE475" s="978"/>
      <c r="IF475" s="978"/>
      <c r="IG475" s="978"/>
      <c r="IH475" s="978"/>
      <c r="II475" s="978"/>
      <c r="IJ475" s="978"/>
      <c r="IK475" s="978"/>
      <c r="IL475" s="978"/>
      <c r="IM475" s="978"/>
      <c r="IN475" s="978"/>
      <c r="IO475" s="978"/>
      <c r="IP475" s="978"/>
      <c r="IQ475" s="978"/>
      <c r="IR475" s="978"/>
      <c r="IS475" s="978"/>
      <c r="IT475" s="978"/>
      <c r="IU475" s="978"/>
      <c r="IV475" s="978"/>
      <c r="IW475" s="978"/>
      <c r="IX475" s="978"/>
      <c r="IY475" s="978"/>
      <c r="IZ475" s="978"/>
      <c r="JA475" s="978"/>
      <c r="JB475" s="978"/>
      <c r="JC475" s="978"/>
      <c r="JD475" s="978"/>
      <c r="JE475" s="978"/>
      <c r="JF475" s="978"/>
      <c r="JG475" s="978"/>
      <c r="JH475" s="978"/>
      <c r="JI475" s="978"/>
      <c r="JJ475" s="978"/>
      <c r="JK475" s="978"/>
      <c r="JL475" s="978"/>
      <c r="JM475" s="978"/>
      <c r="JN475" s="978"/>
      <c r="JO475" s="978"/>
      <c r="JP475" s="978"/>
      <c r="JQ475" s="978"/>
      <c r="JR475" s="978"/>
      <c r="JS475" s="978"/>
      <c r="JT475" s="978"/>
      <c r="JU475" s="978"/>
      <c r="JV475" s="978"/>
      <c r="JW475" s="978"/>
      <c r="JX475" s="978"/>
      <c r="JY475" s="978"/>
      <c r="JZ475" s="978"/>
      <c r="KA475" s="978"/>
      <c r="KB475" s="978"/>
      <c r="KC475" s="978"/>
      <c r="KD475" s="978"/>
      <c r="KE475" s="978"/>
      <c r="KF475" s="978"/>
      <c r="KG475" s="978"/>
      <c r="KH475" s="978"/>
      <c r="KI475" s="978"/>
      <c r="KJ475" s="978"/>
      <c r="KK475" s="978"/>
      <c r="KL475" s="978"/>
      <c r="KM475" s="978"/>
      <c r="KN475" s="978"/>
      <c r="KO475" s="978"/>
      <c r="KP475" s="978"/>
      <c r="KQ475" s="978"/>
      <c r="KR475" s="978"/>
      <c r="KS475" s="978"/>
      <c r="KT475" s="978"/>
      <c r="KU475" s="978"/>
      <c r="KV475" s="978"/>
      <c r="KW475" s="978"/>
      <c r="KX475" s="978"/>
      <c r="KY475" s="978"/>
      <c r="KZ475" s="978"/>
      <c r="LA475" s="978"/>
      <c r="LB475" s="978"/>
      <c r="LC475" s="978"/>
      <c r="LD475" s="978"/>
      <c r="LE475" s="978"/>
      <c r="LF475" s="978"/>
      <c r="LG475" s="978"/>
      <c r="LH475" s="978"/>
      <c r="LI475" s="978"/>
      <c r="LJ475" s="978"/>
      <c r="LK475" s="978"/>
      <c r="LL475" s="978"/>
      <c r="LM475" s="978"/>
      <c r="LN475" s="978"/>
      <c r="LO475" s="978"/>
      <c r="LP475" s="978"/>
      <c r="LQ475" s="978"/>
      <c r="LR475" s="978"/>
      <c r="LS475" s="978"/>
      <c r="LT475" s="978"/>
      <c r="LU475" s="978"/>
      <c r="LV475" s="978"/>
      <c r="LW475" s="978"/>
      <c r="LX475" s="978"/>
      <c r="LY475" s="978"/>
      <c r="LZ475" s="978"/>
      <c r="MA475" s="978"/>
      <c r="MB475" s="978"/>
      <c r="MC475" s="978"/>
      <c r="MD475" s="978"/>
      <c r="ME475" s="978"/>
      <c r="MF475" s="978"/>
      <c r="MG475" s="978"/>
      <c r="MH475" s="978"/>
      <c r="MI475" s="978"/>
      <c r="MJ475" s="978"/>
      <c r="MK475" s="978"/>
      <c r="ML475" s="978"/>
      <c r="MM475" s="978"/>
      <c r="MN475" s="978"/>
      <c r="MO475" s="978"/>
      <c r="MP475" s="978"/>
      <c r="MQ475" s="978"/>
      <c r="MR475" s="978"/>
      <c r="MS475" s="978"/>
      <c r="MT475" s="978"/>
      <c r="MU475" s="978"/>
      <c r="MV475" s="978"/>
      <c r="MW475" s="978"/>
      <c r="MX475" s="978"/>
      <c r="MY475" s="978"/>
      <c r="MZ475" s="978"/>
      <c r="NA475" s="978"/>
      <c r="NB475" s="978"/>
      <c r="NC475" s="978"/>
      <c r="ND475" s="978"/>
      <c r="NE475" s="978"/>
      <c r="NF475" s="978"/>
      <c r="NG475" s="978"/>
      <c r="NH475" s="978"/>
      <c r="NI475" s="978"/>
      <c r="NJ475" s="978"/>
      <c r="NK475" s="978"/>
      <c r="NL475" s="978"/>
      <c r="NM475" s="978"/>
      <c r="NN475" s="978"/>
      <c r="NO475" s="978"/>
      <c r="NP475" s="978"/>
      <c r="NQ475" s="978"/>
      <c r="NR475" s="978"/>
      <c r="NS475" s="978"/>
      <c r="NT475" s="978"/>
      <c r="NU475" s="978"/>
      <c r="NV475" s="978"/>
      <c r="NW475" s="978"/>
      <c r="NX475" s="978"/>
      <c r="NY475" s="978"/>
      <c r="NZ475" s="978"/>
      <c r="OA475" s="978"/>
      <c r="OB475" s="978"/>
      <c r="OC475" s="978"/>
      <c r="OD475" s="978"/>
      <c r="OE475" s="978"/>
      <c r="OF475" s="978"/>
      <c r="OG475" s="978"/>
      <c r="OH475" s="978"/>
      <c r="OI475" s="978"/>
      <c r="OJ475" s="978"/>
      <c r="OK475" s="978"/>
      <c r="OL475" s="978"/>
      <c r="OM475" s="978"/>
      <c r="ON475" s="978"/>
      <c r="OO475" s="978"/>
      <c r="OP475" s="978"/>
      <c r="OQ475" s="978"/>
      <c r="OR475" s="978"/>
      <c r="OS475" s="978"/>
      <c r="OT475" s="978"/>
      <c r="OU475" s="978"/>
      <c r="OV475" s="978"/>
      <c r="OW475" s="978"/>
      <c r="OX475" s="978"/>
      <c r="OY475" s="978"/>
      <c r="OZ475" s="978"/>
      <c r="PA475" s="978"/>
      <c r="PB475" s="978"/>
      <c r="PC475" s="978"/>
      <c r="PD475" s="978"/>
      <c r="PE475" s="978"/>
      <c r="PF475" s="978"/>
      <c r="PG475" s="978"/>
      <c r="PH475" s="978"/>
      <c r="PI475" s="978"/>
      <c r="PJ475" s="978"/>
      <c r="PK475" s="978"/>
      <c r="PL475" s="978"/>
      <c r="PM475" s="978"/>
      <c r="PN475" s="978"/>
      <c r="PO475" s="978"/>
      <c r="PP475" s="978"/>
      <c r="PQ475" s="978"/>
      <c r="PR475" s="978"/>
      <c r="PS475" s="978"/>
      <c r="PT475" s="978"/>
      <c r="PU475" s="978"/>
      <c r="PV475" s="978"/>
      <c r="PW475" s="978"/>
      <c r="PX475" s="978"/>
      <c r="PY475" s="978"/>
      <c r="PZ475" s="978"/>
      <c r="QA475" s="978"/>
      <c r="QB475" s="978"/>
      <c r="QC475" s="978"/>
      <c r="QD475" s="978"/>
      <c r="QE475" s="978"/>
      <c r="QF475" s="978"/>
      <c r="QG475" s="978"/>
      <c r="QH475" s="978"/>
      <c r="QI475" s="978"/>
      <c r="QJ475" s="978"/>
      <c r="QK475" s="978"/>
      <c r="QL475" s="978"/>
      <c r="QM475" s="978"/>
      <c r="QN475" s="978"/>
      <c r="QO475" s="978"/>
      <c r="QP475" s="978"/>
      <c r="QQ475" s="978"/>
      <c r="QR475" s="978"/>
      <c r="QS475" s="978"/>
      <c r="QT475" s="978"/>
      <c r="QU475" s="978"/>
      <c r="QV475" s="978"/>
      <c r="QW475" s="978"/>
      <c r="QX475" s="978"/>
      <c r="QY475" s="978"/>
      <c r="QZ475" s="978"/>
      <c r="RA475" s="978"/>
      <c r="RB475" s="274"/>
      <c r="RC475" s="274"/>
    </row>
    <row r="476" spans="112:471" ht="17.25">
      <c r="DH476" s="274"/>
      <c r="DI476" s="274"/>
      <c r="DJ476" s="978"/>
      <c r="DK476" s="978"/>
      <c r="DL476" s="978"/>
      <c r="DM476" s="978"/>
      <c r="DN476" s="978"/>
      <c r="DO476" s="978"/>
      <c r="DP476" s="978"/>
      <c r="DQ476" s="978"/>
      <c r="DR476" s="978"/>
      <c r="DS476" s="978"/>
      <c r="DT476" s="978"/>
      <c r="DU476" s="978"/>
      <c r="DV476" s="978"/>
      <c r="DW476" s="978"/>
      <c r="DX476" s="978"/>
      <c r="DY476" s="978"/>
      <c r="DZ476" s="978"/>
      <c r="EA476" s="978"/>
      <c r="EB476" s="978"/>
      <c r="EC476" s="978"/>
      <c r="ED476" s="978"/>
      <c r="EE476" s="978"/>
      <c r="EF476" s="978"/>
      <c r="EG476" s="978"/>
      <c r="EH476" s="978"/>
      <c r="EI476" s="978"/>
      <c r="EJ476" s="978"/>
      <c r="EK476" s="978"/>
      <c r="EL476" s="978"/>
      <c r="EM476" s="978"/>
      <c r="EN476" s="978"/>
      <c r="EO476" s="978"/>
      <c r="EP476" s="978"/>
      <c r="EQ476" s="978"/>
      <c r="ER476" s="978"/>
      <c r="ES476" s="978"/>
      <c r="ET476" s="978"/>
      <c r="EU476" s="978"/>
      <c r="EV476" s="978"/>
      <c r="EW476" s="978"/>
      <c r="EX476" s="978"/>
      <c r="EY476" s="978"/>
      <c r="EZ476" s="978"/>
      <c r="FA476" s="978"/>
      <c r="FB476" s="978"/>
      <c r="FC476" s="978"/>
      <c r="FD476" s="978"/>
      <c r="FE476" s="978"/>
      <c r="FF476" s="978"/>
      <c r="FG476" s="978"/>
      <c r="FH476" s="978"/>
      <c r="FI476" s="978"/>
      <c r="FJ476" s="978"/>
      <c r="FK476" s="978"/>
      <c r="FL476" s="978"/>
      <c r="FM476" s="978"/>
      <c r="FN476" s="978"/>
      <c r="FO476" s="978"/>
      <c r="FP476" s="978"/>
      <c r="FQ476" s="978"/>
      <c r="FR476" s="978"/>
      <c r="FS476" s="978"/>
      <c r="FT476" s="978"/>
      <c r="FU476" s="978"/>
      <c r="FV476" s="978"/>
      <c r="FW476" s="978"/>
      <c r="FX476" s="978"/>
      <c r="FY476" s="978"/>
      <c r="FZ476" s="978"/>
      <c r="GA476" s="978"/>
      <c r="GB476" s="978"/>
      <c r="GC476" s="978"/>
      <c r="GD476" s="978"/>
      <c r="GE476" s="978"/>
      <c r="GF476" s="978"/>
      <c r="GG476" s="978"/>
      <c r="GH476" s="978"/>
      <c r="GI476" s="978"/>
      <c r="GJ476" s="978"/>
      <c r="GK476" s="978"/>
      <c r="GL476" s="978"/>
      <c r="GM476" s="978"/>
      <c r="GN476" s="978"/>
      <c r="GO476" s="978"/>
      <c r="GP476" s="978"/>
      <c r="GQ476" s="978"/>
      <c r="GR476" s="978"/>
      <c r="GS476" s="978"/>
      <c r="GT476" s="978"/>
      <c r="GU476" s="978"/>
      <c r="GV476" s="978"/>
      <c r="GW476" s="978"/>
      <c r="GX476" s="978"/>
      <c r="GY476" s="978"/>
      <c r="GZ476" s="978"/>
      <c r="HA476" s="978"/>
      <c r="HB476" s="978"/>
      <c r="HC476" s="978"/>
      <c r="HD476" s="978"/>
      <c r="HE476" s="978"/>
      <c r="HF476" s="978"/>
      <c r="HG476" s="978"/>
      <c r="HH476" s="978"/>
      <c r="HI476" s="978"/>
      <c r="HJ476" s="978"/>
      <c r="HK476" s="978"/>
      <c r="HL476" s="978"/>
      <c r="HM476" s="978"/>
      <c r="HN476" s="978"/>
      <c r="HO476" s="978"/>
      <c r="HP476" s="978"/>
      <c r="HQ476" s="978"/>
      <c r="HR476" s="978"/>
      <c r="HS476" s="978"/>
      <c r="HT476" s="978"/>
      <c r="HU476" s="978"/>
      <c r="HV476" s="978"/>
      <c r="HW476" s="978"/>
      <c r="HX476" s="978"/>
      <c r="HY476" s="978"/>
      <c r="HZ476" s="978"/>
      <c r="IA476" s="978"/>
      <c r="IB476" s="978"/>
      <c r="IC476" s="978"/>
      <c r="ID476" s="978"/>
      <c r="IE476" s="978"/>
      <c r="IF476" s="978"/>
      <c r="IG476" s="978"/>
      <c r="IH476" s="978"/>
      <c r="II476" s="978"/>
      <c r="IJ476" s="978"/>
      <c r="IK476" s="978"/>
      <c r="IL476" s="978"/>
      <c r="IM476" s="978"/>
      <c r="IN476" s="978"/>
      <c r="IO476" s="978"/>
      <c r="IP476" s="978"/>
      <c r="IQ476" s="978"/>
      <c r="IR476" s="978"/>
      <c r="IS476" s="978"/>
      <c r="IT476" s="978"/>
      <c r="IU476" s="978"/>
      <c r="IV476" s="978"/>
      <c r="IW476" s="978"/>
      <c r="IX476" s="978"/>
      <c r="IY476" s="978"/>
      <c r="IZ476" s="978"/>
      <c r="JA476" s="978"/>
      <c r="JB476" s="978"/>
      <c r="JC476" s="978"/>
      <c r="JD476" s="978"/>
      <c r="JE476" s="978"/>
      <c r="JF476" s="978"/>
      <c r="JG476" s="978"/>
      <c r="JH476" s="978"/>
      <c r="JI476" s="978"/>
      <c r="JJ476" s="978"/>
      <c r="JK476" s="978"/>
      <c r="JL476" s="978"/>
      <c r="JM476" s="978"/>
      <c r="JN476" s="978"/>
      <c r="JO476" s="978"/>
      <c r="JP476" s="978"/>
      <c r="JQ476" s="978"/>
      <c r="JR476" s="978"/>
      <c r="JS476" s="978"/>
      <c r="JT476" s="978"/>
      <c r="JU476" s="978"/>
      <c r="JV476" s="978"/>
      <c r="JW476" s="978"/>
      <c r="JX476" s="978"/>
      <c r="JY476" s="978"/>
      <c r="JZ476" s="978"/>
      <c r="KA476" s="978"/>
      <c r="KB476" s="978"/>
      <c r="KC476" s="978"/>
      <c r="KD476" s="978"/>
      <c r="KE476" s="978"/>
      <c r="KF476" s="978"/>
      <c r="KG476" s="978"/>
      <c r="KH476" s="978"/>
      <c r="KI476" s="978"/>
      <c r="KJ476" s="978"/>
      <c r="KK476" s="978"/>
      <c r="KL476" s="978"/>
      <c r="KM476" s="978"/>
      <c r="KN476" s="978"/>
      <c r="KO476" s="978"/>
      <c r="KP476" s="978"/>
      <c r="KQ476" s="978"/>
      <c r="KR476" s="978"/>
      <c r="KS476" s="978"/>
      <c r="KT476" s="978"/>
      <c r="KU476" s="978"/>
      <c r="KV476" s="978"/>
      <c r="KW476" s="978"/>
      <c r="KX476" s="978"/>
      <c r="KY476" s="978"/>
      <c r="KZ476" s="978"/>
      <c r="LA476" s="978"/>
      <c r="LB476" s="978"/>
      <c r="LC476" s="978"/>
      <c r="LD476" s="978"/>
      <c r="LE476" s="978"/>
      <c r="LF476" s="978"/>
      <c r="LG476" s="978"/>
      <c r="LH476" s="978"/>
      <c r="LI476" s="978"/>
      <c r="LJ476" s="978"/>
      <c r="LK476" s="978"/>
      <c r="LL476" s="978"/>
      <c r="LM476" s="978"/>
      <c r="LN476" s="978"/>
      <c r="LO476" s="978"/>
      <c r="LP476" s="978"/>
      <c r="LQ476" s="978"/>
      <c r="LR476" s="978"/>
      <c r="LS476" s="978"/>
      <c r="LT476" s="978"/>
      <c r="LU476" s="978"/>
      <c r="LV476" s="978"/>
      <c r="LW476" s="978"/>
      <c r="LX476" s="978"/>
      <c r="LY476" s="978"/>
      <c r="LZ476" s="978"/>
      <c r="MA476" s="978"/>
      <c r="MB476" s="978"/>
      <c r="MC476" s="978"/>
      <c r="MD476" s="978"/>
      <c r="ME476" s="978"/>
      <c r="MF476" s="978"/>
      <c r="MG476" s="978"/>
      <c r="MH476" s="978"/>
      <c r="MI476" s="978"/>
      <c r="MJ476" s="978"/>
      <c r="MK476" s="978"/>
      <c r="ML476" s="978"/>
      <c r="MM476" s="978"/>
      <c r="MN476" s="978"/>
      <c r="MO476" s="978"/>
      <c r="MP476" s="978"/>
      <c r="MQ476" s="978"/>
      <c r="MR476" s="978"/>
      <c r="MS476" s="978"/>
      <c r="MT476" s="978"/>
      <c r="MU476" s="978"/>
      <c r="MV476" s="978"/>
      <c r="MW476" s="978"/>
      <c r="MX476" s="978"/>
      <c r="MY476" s="978"/>
      <c r="MZ476" s="978"/>
      <c r="NA476" s="978"/>
      <c r="NB476" s="978"/>
      <c r="NC476" s="978"/>
      <c r="ND476" s="978"/>
      <c r="NE476" s="978"/>
      <c r="NF476" s="978"/>
      <c r="NG476" s="978"/>
      <c r="NH476" s="978"/>
      <c r="NI476" s="978"/>
      <c r="NJ476" s="978"/>
      <c r="NK476" s="978"/>
      <c r="NL476" s="978"/>
      <c r="NM476" s="978"/>
      <c r="NN476" s="978"/>
      <c r="NO476" s="978"/>
      <c r="NP476" s="978"/>
      <c r="NQ476" s="978"/>
      <c r="NR476" s="978"/>
      <c r="NS476" s="978"/>
      <c r="NT476" s="978"/>
      <c r="NU476" s="978"/>
      <c r="NV476" s="978"/>
      <c r="NW476" s="978"/>
      <c r="NX476" s="978"/>
      <c r="NY476" s="978"/>
      <c r="NZ476" s="978"/>
      <c r="OA476" s="978"/>
      <c r="OB476" s="978"/>
      <c r="OC476" s="978"/>
      <c r="OD476" s="978"/>
      <c r="OE476" s="978"/>
      <c r="OF476" s="978"/>
      <c r="OG476" s="978"/>
      <c r="OH476" s="978"/>
      <c r="OI476" s="978"/>
      <c r="OJ476" s="978"/>
      <c r="OK476" s="978"/>
      <c r="OL476" s="978"/>
      <c r="OM476" s="978"/>
      <c r="ON476" s="978"/>
      <c r="OO476" s="978"/>
      <c r="OP476" s="978"/>
      <c r="OQ476" s="978"/>
      <c r="OR476" s="978"/>
      <c r="OS476" s="978"/>
      <c r="OT476" s="978"/>
      <c r="OU476" s="978"/>
      <c r="OV476" s="978"/>
      <c r="OW476" s="978"/>
      <c r="OX476" s="978"/>
      <c r="OY476" s="978"/>
      <c r="OZ476" s="978"/>
      <c r="PA476" s="978"/>
      <c r="PB476" s="978"/>
      <c r="PC476" s="978"/>
      <c r="PD476" s="978"/>
      <c r="PE476" s="978"/>
      <c r="PF476" s="978"/>
      <c r="PG476" s="978"/>
      <c r="PH476" s="978"/>
      <c r="PI476" s="978"/>
      <c r="PJ476" s="978"/>
      <c r="PK476" s="978"/>
      <c r="PL476" s="978"/>
      <c r="PM476" s="978"/>
      <c r="PN476" s="978"/>
      <c r="PO476" s="978"/>
      <c r="PP476" s="978"/>
      <c r="PQ476" s="978"/>
      <c r="PR476" s="978"/>
      <c r="PS476" s="978"/>
      <c r="PT476" s="978"/>
      <c r="PU476" s="978"/>
      <c r="PV476" s="978"/>
      <c r="PW476" s="978"/>
      <c r="PX476" s="978"/>
      <c r="PY476" s="978"/>
      <c r="PZ476" s="978"/>
      <c r="QA476" s="978"/>
      <c r="QB476" s="978"/>
      <c r="QC476" s="978"/>
      <c r="QD476" s="978"/>
      <c r="QE476" s="978"/>
      <c r="QF476" s="978"/>
      <c r="QG476" s="978"/>
      <c r="QH476" s="978"/>
      <c r="QI476" s="978"/>
      <c r="QJ476" s="978"/>
      <c r="QK476" s="978"/>
      <c r="QL476" s="978"/>
      <c r="QM476" s="978"/>
      <c r="QN476" s="978"/>
      <c r="QO476" s="978"/>
      <c r="QP476" s="978"/>
      <c r="QQ476" s="978"/>
      <c r="QR476" s="978"/>
      <c r="QS476" s="978"/>
      <c r="QT476" s="978"/>
      <c r="QU476" s="978"/>
      <c r="QV476" s="978"/>
      <c r="QW476" s="978"/>
      <c r="QX476" s="978"/>
      <c r="QY476" s="978"/>
      <c r="QZ476" s="978"/>
      <c r="RA476" s="978"/>
      <c r="RB476" s="274"/>
      <c r="RC476" s="274"/>
    </row>
    <row r="477" spans="112:471" ht="17.25">
      <c r="DH477" s="274"/>
      <c r="DI477" s="274"/>
      <c r="DJ477" s="978"/>
      <c r="DK477" s="978"/>
      <c r="DL477" s="978"/>
      <c r="DM477" s="978"/>
      <c r="DN477" s="978"/>
      <c r="DO477" s="978"/>
      <c r="DP477" s="978"/>
      <c r="DQ477" s="978"/>
      <c r="DR477" s="978"/>
      <c r="DS477" s="978"/>
      <c r="DT477" s="978"/>
      <c r="DU477" s="978"/>
      <c r="DV477" s="978"/>
      <c r="DW477" s="978"/>
      <c r="DX477" s="978"/>
      <c r="DY477" s="978"/>
      <c r="DZ477" s="978"/>
      <c r="EA477" s="978"/>
      <c r="EB477" s="978"/>
      <c r="EC477" s="978"/>
      <c r="ED477" s="978"/>
      <c r="EE477" s="978"/>
      <c r="EF477" s="978"/>
      <c r="EG477" s="978"/>
      <c r="EH477" s="978"/>
      <c r="EI477" s="978"/>
      <c r="EJ477" s="978"/>
      <c r="EK477" s="978"/>
      <c r="EL477" s="978"/>
      <c r="EM477" s="978"/>
      <c r="EN477" s="978"/>
      <c r="EO477" s="978"/>
      <c r="EP477" s="978"/>
      <c r="EQ477" s="978"/>
      <c r="ER477" s="978"/>
      <c r="ES477" s="978"/>
      <c r="ET477" s="978"/>
      <c r="EU477" s="978"/>
      <c r="EV477" s="978"/>
      <c r="EW477" s="978"/>
      <c r="EX477" s="978"/>
      <c r="EY477" s="978"/>
      <c r="EZ477" s="978"/>
      <c r="FA477" s="978"/>
      <c r="FB477" s="978"/>
      <c r="FC477" s="978"/>
      <c r="FD477" s="978"/>
      <c r="FE477" s="978"/>
      <c r="FF477" s="978"/>
      <c r="FG477" s="978"/>
      <c r="FH477" s="978"/>
      <c r="FI477" s="978"/>
      <c r="FJ477" s="978"/>
      <c r="FK477" s="978"/>
      <c r="FL477" s="978"/>
      <c r="FM477" s="978"/>
      <c r="FN477" s="978"/>
      <c r="FO477" s="978"/>
      <c r="FP477" s="978"/>
      <c r="FQ477" s="978"/>
      <c r="FR477" s="978"/>
      <c r="FS477" s="978"/>
      <c r="FT477" s="978"/>
      <c r="FU477" s="978"/>
      <c r="FV477" s="978"/>
      <c r="FW477" s="978"/>
      <c r="FX477" s="978"/>
      <c r="FY477" s="978"/>
      <c r="FZ477" s="978"/>
      <c r="GA477" s="978"/>
      <c r="GB477" s="978"/>
      <c r="GC477" s="978"/>
      <c r="GD477" s="978"/>
      <c r="GE477" s="978"/>
      <c r="GF477" s="978"/>
      <c r="GG477" s="978"/>
      <c r="GH477" s="978"/>
      <c r="GI477" s="978"/>
      <c r="GJ477" s="978"/>
      <c r="GK477" s="978"/>
      <c r="GL477" s="978"/>
      <c r="GM477" s="978"/>
      <c r="GN477" s="978"/>
      <c r="GO477" s="978"/>
      <c r="GP477" s="978"/>
      <c r="GQ477" s="978"/>
      <c r="GR477" s="978"/>
      <c r="GS477" s="978"/>
      <c r="GT477" s="978"/>
      <c r="GU477" s="978"/>
      <c r="GV477" s="978"/>
      <c r="GW477" s="978"/>
      <c r="GX477" s="978"/>
      <c r="GY477" s="978"/>
      <c r="GZ477" s="978"/>
      <c r="HA477" s="978"/>
      <c r="HB477" s="978"/>
      <c r="HC477" s="978"/>
      <c r="HD477" s="978"/>
      <c r="HE477" s="978"/>
      <c r="HF477" s="978"/>
      <c r="HG477" s="978"/>
      <c r="HH477" s="978"/>
      <c r="HI477" s="978"/>
      <c r="HJ477" s="978"/>
      <c r="HK477" s="978"/>
      <c r="HL477" s="978"/>
      <c r="HM477" s="978"/>
      <c r="HN477" s="978"/>
      <c r="HO477" s="978"/>
      <c r="HP477" s="978"/>
      <c r="HQ477" s="978"/>
      <c r="HR477" s="978"/>
      <c r="HS477" s="978"/>
      <c r="HT477" s="978"/>
      <c r="HU477" s="978"/>
      <c r="HV477" s="978"/>
      <c r="HW477" s="978"/>
      <c r="HX477" s="978"/>
      <c r="HY477" s="978"/>
      <c r="HZ477" s="978"/>
      <c r="IA477" s="978"/>
      <c r="IB477" s="978"/>
      <c r="IC477" s="978"/>
      <c r="ID477" s="978"/>
      <c r="IE477" s="978"/>
      <c r="IF477" s="978"/>
      <c r="IG477" s="978"/>
      <c r="IH477" s="978"/>
      <c r="II477" s="978"/>
      <c r="IJ477" s="978"/>
      <c r="IK477" s="978"/>
      <c r="IL477" s="978"/>
      <c r="IM477" s="978"/>
      <c r="IN477" s="978"/>
      <c r="IO477" s="978"/>
      <c r="IP477" s="978"/>
      <c r="IQ477" s="978"/>
      <c r="IR477" s="978"/>
      <c r="IS477" s="978"/>
      <c r="IT477" s="978"/>
      <c r="IU477" s="978"/>
      <c r="IV477" s="978"/>
      <c r="IW477" s="978"/>
      <c r="IX477" s="978"/>
      <c r="IY477" s="978"/>
      <c r="IZ477" s="978"/>
      <c r="JA477" s="978"/>
      <c r="JB477" s="978"/>
      <c r="JC477" s="978"/>
      <c r="JD477" s="978"/>
      <c r="JE477" s="978"/>
      <c r="JF477" s="978"/>
      <c r="JG477" s="978"/>
      <c r="JH477" s="978"/>
      <c r="JI477" s="978"/>
      <c r="JJ477" s="978"/>
      <c r="JK477" s="978"/>
      <c r="JL477" s="978"/>
      <c r="JM477" s="978"/>
      <c r="JN477" s="978"/>
      <c r="JO477" s="978"/>
      <c r="JP477" s="978"/>
      <c r="JQ477" s="978"/>
      <c r="JR477" s="978"/>
      <c r="JS477" s="978"/>
      <c r="JT477" s="978"/>
      <c r="JU477" s="978"/>
      <c r="JV477" s="978"/>
      <c r="JW477" s="978"/>
      <c r="JX477" s="978"/>
      <c r="JY477" s="978"/>
      <c r="JZ477" s="978"/>
      <c r="KA477" s="978"/>
      <c r="KB477" s="978"/>
      <c r="KC477" s="978"/>
      <c r="KD477" s="978"/>
      <c r="KE477" s="978"/>
      <c r="KF477" s="978"/>
      <c r="KG477" s="978"/>
      <c r="KH477" s="978"/>
      <c r="KI477" s="978"/>
      <c r="KJ477" s="978"/>
      <c r="KK477" s="978"/>
      <c r="KL477" s="978"/>
      <c r="KM477" s="978"/>
      <c r="KN477" s="978"/>
      <c r="KO477" s="978"/>
      <c r="KP477" s="978"/>
      <c r="KQ477" s="978"/>
      <c r="KR477" s="978"/>
      <c r="KS477" s="978"/>
      <c r="KT477" s="978"/>
      <c r="KU477" s="978"/>
      <c r="KV477" s="978"/>
      <c r="KW477" s="978"/>
      <c r="KX477" s="978"/>
      <c r="KY477" s="978"/>
      <c r="KZ477" s="978"/>
      <c r="LA477" s="978"/>
      <c r="LB477" s="978"/>
      <c r="LC477" s="978"/>
      <c r="LD477" s="978"/>
      <c r="LE477" s="978"/>
      <c r="LF477" s="978"/>
      <c r="LG477" s="978"/>
      <c r="LH477" s="978"/>
      <c r="LI477" s="978"/>
      <c r="LJ477" s="978"/>
      <c r="LK477" s="978"/>
      <c r="LL477" s="978"/>
      <c r="LM477" s="978"/>
      <c r="LN477" s="978"/>
      <c r="LO477" s="978"/>
      <c r="LP477" s="978"/>
      <c r="LQ477" s="978"/>
      <c r="LR477" s="978"/>
      <c r="LS477" s="978"/>
      <c r="LT477" s="978"/>
      <c r="LU477" s="978"/>
      <c r="LV477" s="978"/>
      <c r="LW477" s="978"/>
      <c r="LX477" s="978"/>
      <c r="LY477" s="978"/>
      <c r="LZ477" s="978"/>
      <c r="MA477" s="978"/>
      <c r="MB477" s="978"/>
      <c r="MC477" s="978"/>
      <c r="MD477" s="978"/>
      <c r="ME477" s="978"/>
      <c r="MF477" s="978"/>
      <c r="MG477" s="978"/>
      <c r="MH477" s="978"/>
      <c r="MI477" s="978"/>
      <c r="MJ477" s="978"/>
      <c r="MK477" s="978"/>
      <c r="ML477" s="978"/>
      <c r="MM477" s="978"/>
      <c r="MN477" s="978"/>
      <c r="MO477" s="978"/>
      <c r="MP477" s="978"/>
      <c r="MQ477" s="978"/>
      <c r="MR477" s="978"/>
      <c r="MS477" s="978"/>
      <c r="MT477" s="978"/>
      <c r="MU477" s="978"/>
      <c r="MV477" s="978"/>
      <c r="MW477" s="978"/>
      <c r="MX477" s="978"/>
      <c r="MY477" s="978"/>
      <c r="MZ477" s="978"/>
      <c r="NA477" s="978"/>
      <c r="NB477" s="978"/>
      <c r="NC477" s="978"/>
      <c r="ND477" s="978"/>
      <c r="NE477" s="978"/>
      <c r="NF477" s="978"/>
      <c r="NG477" s="978"/>
      <c r="NH477" s="978"/>
      <c r="NI477" s="978"/>
      <c r="NJ477" s="978"/>
      <c r="NK477" s="978"/>
      <c r="NL477" s="978"/>
      <c r="NM477" s="978"/>
      <c r="NN477" s="978"/>
      <c r="NO477" s="978"/>
      <c r="NP477" s="978"/>
      <c r="NQ477" s="978"/>
      <c r="NR477" s="978"/>
      <c r="NS477" s="978"/>
      <c r="NT477" s="978"/>
      <c r="NU477" s="978"/>
      <c r="NV477" s="978"/>
      <c r="NW477" s="978"/>
      <c r="NX477" s="978"/>
      <c r="NY477" s="978"/>
      <c r="NZ477" s="978"/>
      <c r="OA477" s="978"/>
      <c r="OB477" s="978"/>
      <c r="OC477" s="978"/>
      <c r="OD477" s="978"/>
      <c r="OE477" s="978"/>
      <c r="OF477" s="978"/>
      <c r="OG477" s="978"/>
      <c r="OH477" s="978"/>
      <c r="OI477" s="978"/>
      <c r="OJ477" s="978"/>
      <c r="OK477" s="978"/>
      <c r="OL477" s="978"/>
      <c r="OM477" s="978"/>
      <c r="ON477" s="978"/>
      <c r="OO477" s="978"/>
      <c r="OP477" s="978"/>
      <c r="OQ477" s="978"/>
      <c r="OR477" s="978"/>
      <c r="OS477" s="978"/>
      <c r="OT477" s="978"/>
      <c r="OU477" s="978"/>
      <c r="OV477" s="978"/>
      <c r="OW477" s="978"/>
      <c r="OX477" s="978"/>
      <c r="OY477" s="978"/>
      <c r="OZ477" s="978"/>
      <c r="PA477" s="978"/>
      <c r="PB477" s="978"/>
      <c r="PC477" s="978"/>
      <c r="PD477" s="978"/>
      <c r="PE477" s="978"/>
      <c r="PF477" s="978"/>
      <c r="PG477" s="978"/>
      <c r="PH477" s="978"/>
      <c r="PI477" s="978"/>
      <c r="PJ477" s="978"/>
      <c r="PK477" s="978"/>
      <c r="PL477" s="978"/>
      <c r="PM477" s="978"/>
      <c r="PN477" s="978"/>
      <c r="PO477" s="978"/>
      <c r="PP477" s="978"/>
      <c r="PQ477" s="978"/>
      <c r="PR477" s="978"/>
      <c r="PS477" s="978"/>
      <c r="PT477" s="978"/>
      <c r="PU477" s="978"/>
      <c r="PV477" s="978"/>
      <c r="PW477" s="978"/>
      <c r="PX477" s="978"/>
      <c r="PY477" s="978"/>
      <c r="PZ477" s="978"/>
      <c r="QA477" s="978"/>
      <c r="QB477" s="978"/>
      <c r="QC477" s="978"/>
      <c r="QD477" s="978"/>
      <c r="QE477" s="978"/>
      <c r="QF477" s="978"/>
      <c r="QG477" s="978"/>
      <c r="QH477" s="978"/>
      <c r="QI477" s="978"/>
      <c r="QJ477" s="978"/>
      <c r="QK477" s="978"/>
      <c r="QL477" s="978"/>
      <c r="QM477" s="978"/>
      <c r="QN477" s="978"/>
      <c r="QO477" s="978"/>
      <c r="QP477" s="978"/>
      <c r="QQ477" s="978"/>
      <c r="QR477" s="978"/>
      <c r="QS477" s="978"/>
      <c r="QT477" s="978"/>
      <c r="QU477" s="978"/>
      <c r="QV477" s="978"/>
      <c r="QW477" s="978"/>
      <c r="QX477" s="978"/>
      <c r="QY477" s="978"/>
      <c r="QZ477" s="978"/>
      <c r="RA477" s="978"/>
      <c r="RB477" s="274"/>
      <c r="RC477" s="274"/>
    </row>
    <row r="478" spans="112:471" ht="17.25">
      <c r="DH478" s="274"/>
      <c r="DI478" s="274"/>
      <c r="DJ478" s="978"/>
      <c r="DK478" s="978"/>
      <c r="DL478" s="978"/>
      <c r="DM478" s="978"/>
      <c r="DN478" s="978"/>
      <c r="DO478" s="978"/>
      <c r="DP478" s="978"/>
      <c r="DQ478" s="978"/>
      <c r="DR478" s="978"/>
      <c r="DS478" s="978"/>
      <c r="DT478" s="978"/>
      <c r="DU478" s="978"/>
      <c r="DV478" s="978"/>
      <c r="DW478" s="978"/>
      <c r="DX478" s="978"/>
      <c r="DY478" s="978"/>
      <c r="DZ478" s="978"/>
      <c r="EA478" s="978"/>
      <c r="EB478" s="978"/>
      <c r="EC478" s="978"/>
      <c r="ED478" s="978"/>
      <c r="EE478" s="978"/>
      <c r="EF478" s="978"/>
      <c r="EG478" s="978"/>
      <c r="EH478" s="978"/>
      <c r="EI478" s="978"/>
      <c r="EJ478" s="978"/>
      <c r="EK478" s="978"/>
      <c r="EL478" s="978"/>
      <c r="EM478" s="978"/>
      <c r="EN478" s="978"/>
      <c r="EO478" s="978"/>
      <c r="EP478" s="978"/>
      <c r="EQ478" s="978"/>
      <c r="ER478" s="978"/>
      <c r="ES478" s="978"/>
      <c r="ET478" s="978"/>
      <c r="EU478" s="978"/>
      <c r="EV478" s="978"/>
      <c r="EW478" s="978"/>
      <c r="EX478" s="978"/>
      <c r="EY478" s="978"/>
      <c r="EZ478" s="978"/>
      <c r="FA478" s="978"/>
      <c r="FB478" s="978"/>
      <c r="FC478" s="978"/>
      <c r="FD478" s="978"/>
      <c r="FE478" s="978"/>
      <c r="FF478" s="978"/>
      <c r="FG478" s="978"/>
      <c r="FH478" s="978"/>
      <c r="FI478" s="978"/>
      <c r="FJ478" s="978"/>
      <c r="FK478" s="978"/>
      <c r="FL478" s="978"/>
      <c r="FM478" s="978"/>
      <c r="FN478" s="978"/>
      <c r="FO478" s="978"/>
      <c r="FP478" s="978"/>
      <c r="FQ478" s="978"/>
      <c r="FR478" s="978"/>
      <c r="FS478" s="978"/>
      <c r="FT478" s="978"/>
      <c r="FU478" s="978"/>
      <c r="FV478" s="978"/>
      <c r="FW478" s="978"/>
      <c r="FX478" s="978"/>
      <c r="FY478" s="978"/>
      <c r="FZ478" s="978"/>
      <c r="GA478" s="978"/>
      <c r="GB478" s="978"/>
      <c r="GC478" s="978"/>
      <c r="GD478" s="978"/>
      <c r="GE478" s="978"/>
      <c r="GF478" s="978"/>
      <c r="GG478" s="978"/>
      <c r="GH478" s="978"/>
      <c r="GI478" s="978"/>
      <c r="GJ478" s="978"/>
      <c r="GK478" s="978"/>
      <c r="GL478" s="978"/>
      <c r="GM478" s="978"/>
      <c r="GN478" s="978"/>
      <c r="GO478" s="978"/>
      <c r="GP478" s="978"/>
      <c r="GQ478" s="978"/>
      <c r="GR478" s="978"/>
      <c r="GS478" s="978"/>
      <c r="GT478" s="978"/>
      <c r="GU478" s="978"/>
      <c r="GV478" s="978"/>
      <c r="GW478" s="978"/>
      <c r="GX478" s="978"/>
      <c r="GY478" s="978"/>
      <c r="GZ478" s="978"/>
      <c r="HA478" s="978"/>
      <c r="HB478" s="978"/>
      <c r="HC478" s="978"/>
      <c r="HD478" s="978"/>
      <c r="HE478" s="978"/>
      <c r="HF478" s="978"/>
      <c r="HG478" s="978"/>
      <c r="HH478" s="978"/>
      <c r="HI478" s="978"/>
      <c r="HJ478" s="978"/>
      <c r="HK478" s="978"/>
      <c r="HL478" s="978"/>
      <c r="HM478" s="978"/>
      <c r="HN478" s="978"/>
      <c r="HO478" s="978"/>
      <c r="HP478" s="978"/>
      <c r="HQ478" s="978"/>
      <c r="HR478" s="978"/>
      <c r="HS478" s="978"/>
      <c r="HT478" s="978"/>
      <c r="HU478" s="978"/>
      <c r="HV478" s="978"/>
      <c r="HW478" s="978"/>
      <c r="HX478" s="978"/>
      <c r="HY478" s="978"/>
      <c r="HZ478" s="978"/>
      <c r="IA478" s="978"/>
      <c r="IB478" s="978"/>
      <c r="IC478" s="978"/>
      <c r="ID478" s="978"/>
      <c r="IE478" s="978"/>
      <c r="IF478" s="978"/>
      <c r="IG478" s="978"/>
      <c r="IH478" s="978"/>
      <c r="II478" s="978"/>
      <c r="IJ478" s="978"/>
      <c r="IK478" s="978"/>
      <c r="IL478" s="978"/>
      <c r="IM478" s="978"/>
      <c r="IN478" s="978"/>
      <c r="IO478" s="978"/>
      <c r="IP478" s="978"/>
      <c r="IQ478" s="978"/>
      <c r="IR478" s="978"/>
      <c r="IS478" s="978"/>
      <c r="IT478" s="978"/>
      <c r="IU478" s="978"/>
      <c r="IV478" s="978"/>
      <c r="IW478" s="978"/>
      <c r="IX478" s="978"/>
      <c r="IY478" s="978"/>
      <c r="IZ478" s="978"/>
      <c r="JA478" s="978"/>
      <c r="JB478" s="978"/>
      <c r="JC478" s="978"/>
      <c r="JD478" s="978"/>
      <c r="JE478" s="978"/>
      <c r="JF478" s="978"/>
      <c r="JG478" s="978"/>
      <c r="JH478" s="978"/>
      <c r="JI478" s="978"/>
      <c r="JJ478" s="978"/>
      <c r="JK478" s="978"/>
      <c r="JL478" s="978"/>
      <c r="JM478" s="978"/>
      <c r="JN478" s="978"/>
      <c r="JO478" s="978"/>
      <c r="JP478" s="978"/>
      <c r="JQ478" s="978"/>
      <c r="JR478" s="978"/>
      <c r="JS478" s="978"/>
      <c r="JT478" s="978"/>
      <c r="JU478" s="978"/>
      <c r="JV478" s="978"/>
      <c r="JW478" s="978"/>
      <c r="JX478" s="978"/>
      <c r="JY478" s="978"/>
      <c r="JZ478" s="978"/>
      <c r="KA478" s="978"/>
      <c r="KB478" s="978"/>
      <c r="KC478" s="978"/>
      <c r="KD478" s="978"/>
      <c r="KE478" s="978"/>
      <c r="KF478" s="978"/>
      <c r="KG478" s="978"/>
      <c r="KH478" s="978"/>
      <c r="KI478" s="978"/>
      <c r="KJ478" s="978"/>
      <c r="KK478" s="978"/>
      <c r="KL478" s="978"/>
      <c r="KM478" s="978"/>
      <c r="KN478" s="978"/>
      <c r="KO478" s="978"/>
      <c r="KP478" s="978"/>
      <c r="KQ478" s="978"/>
      <c r="KR478" s="978"/>
      <c r="KS478" s="978"/>
      <c r="KT478" s="978"/>
      <c r="KU478" s="978"/>
      <c r="KV478" s="978"/>
      <c r="KW478" s="978"/>
      <c r="KX478" s="978"/>
      <c r="KY478" s="978"/>
      <c r="KZ478" s="978"/>
      <c r="LA478" s="978"/>
      <c r="LB478" s="978"/>
      <c r="LC478" s="978"/>
      <c r="LD478" s="978"/>
      <c r="LE478" s="978"/>
      <c r="LF478" s="978"/>
      <c r="LG478" s="978"/>
      <c r="LH478" s="978"/>
      <c r="LI478" s="978"/>
      <c r="LJ478" s="978"/>
      <c r="LK478" s="978"/>
      <c r="LL478" s="978"/>
      <c r="LM478" s="978"/>
      <c r="LN478" s="978"/>
      <c r="LO478" s="978"/>
      <c r="LP478" s="978"/>
      <c r="LQ478" s="978"/>
      <c r="LR478" s="978"/>
      <c r="LS478" s="978"/>
      <c r="LT478" s="978"/>
      <c r="LU478" s="978"/>
      <c r="LV478" s="978"/>
      <c r="LW478" s="978"/>
      <c r="LX478" s="978"/>
      <c r="LY478" s="978"/>
      <c r="LZ478" s="978"/>
      <c r="MA478" s="978"/>
      <c r="MB478" s="978"/>
      <c r="MC478" s="978"/>
      <c r="MD478" s="978"/>
      <c r="ME478" s="978"/>
      <c r="MF478" s="978"/>
      <c r="MG478" s="978"/>
      <c r="MH478" s="978"/>
      <c r="MI478" s="978"/>
      <c r="MJ478" s="978"/>
      <c r="MK478" s="978"/>
      <c r="ML478" s="978"/>
      <c r="MM478" s="978"/>
      <c r="MN478" s="978"/>
      <c r="MO478" s="978"/>
      <c r="MP478" s="978"/>
      <c r="MQ478" s="978"/>
      <c r="MR478" s="978"/>
      <c r="MS478" s="978"/>
      <c r="MT478" s="978"/>
      <c r="MU478" s="978"/>
      <c r="MV478" s="978"/>
      <c r="MW478" s="978"/>
      <c r="MX478" s="978"/>
      <c r="MY478" s="978"/>
      <c r="MZ478" s="978"/>
      <c r="NA478" s="978"/>
      <c r="NB478" s="978"/>
      <c r="NC478" s="978"/>
      <c r="ND478" s="978"/>
      <c r="NE478" s="978"/>
      <c r="NF478" s="978"/>
      <c r="NG478" s="978"/>
      <c r="NH478" s="978"/>
      <c r="NI478" s="978"/>
      <c r="NJ478" s="978"/>
      <c r="NK478" s="978"/>
      <c r="NL478" s="978"/>
      <c r="NM478" s="978"/>
      <c r="NN478" s="978"/>
      <c r="NO478" s="978"/>
      <c r="NP478" s="978"/>
      <c r="NQ478" s="978"/>
      <c r="NR478" s="978"/>
      <c r="NS478" s="978"/>
      <c r="NT478" s="978"/>
      <c r="NU478" s="978"/>
      <c r="NV478" s="978"/>
      <c r="NW478" s="978"/>
      <c r="NX478" s="978"/>
      <c r="NY478" s="978"/>
      <c r="NZ478" s="978"/>
      <c r="OA478" s="978"/>
      <c r="OB478" s="978"/>
      <c r="OC478" s="978"/>
      <c r="OD478" s="978"/>
      <c r="OE478" s="978"/>
      <c r="OF478" s="978"/>
      <c r="OG478" s="978"/>
      <c r="OH478" s="978"/>
      <c r="OI478" s="978"/>
      <c r="OJ478" s="978"/>
      <c r="OK478" s="978"/>
      <c r="OL478" s="978"/>
      <c r="OM478" s="978"/>
      <c r="ON478" s="978"/>
      <c r="OO478" s="978"/>
      <c r="OP478" s="978"/>
      <c r="OQ478" s="978"/>
      <c r="OR478" s="978"/>
      <c r="OS478" s="978"/>
      <c r="OT478" s="978"/>
      <c r="OU478" s="978"/>
      <c r="OV478" s="978"/>
      <c r="OW478" s="978"/>
      <c r="OX478" s="978"/>
      <c r="OY478" s="978"/>
      <c r="OZ478" s="978"/>
      <c r="PA478" s="978"/>
      <c r="PB478" s="978"/>
      <c r="PC478" s="978"/>
      <c r="PD478" s="978"/>
      <c r="PE478" s="978"/>
      <c r="PF478" s="978"/>
      <c r="PG478" s="978"/>
      <c r="PH478" s="978"/>
      <c r="PI478" s="978"/>
      <c r="PJ478" s="978"/>
      <c r="PK478" s="978"/>
      <c r="PL478" s="978"/>
      <c r="PM478" s="978"/>
      <c r="PN478" s="978"/>
      <c r="PO478" s="978"/>
      <c r="PP478" s="978"/>
      <c r="PQ478" s="978"/>
      <c r="PR478" s="978"/>
      <c r="PS478" s="978"/>
      <c r="PT478" s="978"/>
      <c r="PU478" s="978"/>
      <c r="PV478" s="978"/>
      <c r="PW478" s="978"/>
      <c r="PX478" s="978"/>
      <c r="PY478" s="978"/>
      <c r="PZ478" s="978"/>
      <c r="QA478" s="978"/>
      <c r="QB478" s="978"/>
      <c r="QC478" s="978"/>
      <c r="QD478" s="978"/>
      <c r="QE478" s="978"/>
      <c r="QF478" s="978"/>
      <c r="QG478" s="978"/>
      <c r="QH478" s="978"/>
      <c r="QI478" s="978"/>
      <c r="QJ478" s="978"/>
      <c r="QK478" s="978"/>
      <c r="QL478" s="978"/>
      <c r="QM478" s="978"/>
      <c r="QN478" s="978"/>
      <c r="QO478" s="978"/>
      <c r="QP478" s="978"/>
      <c r="QQ478" s="978"/>
      <c r="QR478" s="978"/>
      <c r="QS478" s="978"/>
      <c r="QT478" s="978"/>
      <c r="QU478" s="978"/>
      <c r="QV478" s="978"/>
      <c r="QW478" s="978"/>
      <c r="QX478" s="978"/>
      <c r="QY478" s="978"/>
      <c r="QZ478" s="978"/>
      <c r="RA478" s="978"/>
      <c r="RB478" s="274"/>
      <c r="RC478" s="274"/>
    </row>
    <row r="479" spans="112:471" ht="17.25">
      <c r="DH479" s="274"/>
      <c r="DI479" s="274"/>
      <c r="DJ479" s="978"/>
      <c r="DK479" s="978"/>
      <c r="DL479" s="978"/>
      <c r="DM479" s="978"/>
      <c r="DN479" s="978"/>
      <c r="DO479" s="978"/>
      <c r="DP479" s="978"/>
      <c r="DQ479" s="978"/>
      <c r="DR479" s="978"/>
      <c r="DS479" s="978"/>
      <c r="DT479" s="978"/>
      <c r="DU479" s="978"/>
      <c r="DV479" s="978"/>
      <c r="DW479" s="978"/>
      <c r="DX479" s="978"/>
      <c r="DY479" s="978"/>
      <c r="DZ479" s="978"/>
      <c r="EA479" s="978"/>
      <c r="EB479" s="978"/>
      <c r="EC479" s="978"/>
      <c r="ED479" s="978"/>
      <c r="EE479" s="978"/>
      <c r="EF479" s="978"/>
      <c r="EG479" s="978"/>
      <c r="EH479" s="978"/>
      <c r="EI479" s="978"/>
      <c r="EJ479" s="978"/>
      <c r="EK479" s="978"/>
      <c r="EL479" s="978"/>
      <c r="EM479" s="978"/>
      <c r="EN479" s="978"/>
      <c r="EO479" s="978"/>
      <c r="EP479" s="978"/>
      <c r="EQ479" s="978"/>
      <c r="ER479" s="978"/>
      <c r="ES479" s="978"/>
      <c r="ET479" s="978"/>
      <c r="EU479" s="978"/>
      <c r="EV479" s="978"/>
      <c r="EW479" s="978"/>
      <c r="EX479" s="978"/>
      <c r="EY479" s="978"/>
      <c r="EZ479" s="978"/>
      <c r="FA479" s="978"/>
      <c r="FB479" s="978"/>
      <c r="FC479" s="978"/>
      <c r="FD479" s="978"/>
      <c r="FE479" s="978"/>
      <c r="FF479" s="978"/>
      <c r="FG479" s="978"/>
      <c r="FH479" s="978"/>
      <c r="FI479" s="978"/>
      <c r="FJ479" s="978"/>
      <c r="FK479" s="978"/>
      <c r="FL479" s="978"/>
      <c r="FM479" s="978"/>
      <c r="FN479" s="978"/>
      <c r="FO479" s="978"/>
      <c r="FP479" s="978"/>
      <c r="FQ479" s="978"/>
      <c r="FR479" s="978"/>
      <c r="FS479" s="978"/>
      <c r="FT479" s="978"/>
      <c r="FU479" s="978"/>
      <c r="FV479" s="978"/>
      <c r="FW479" s="978"/>
      <c r="FX479" s="978"/>
      <c r="FY479" s="978"/>
      <c r="FZ479" s="978"/>
      <c r="GA479" s="978"/>
      <c r="GB479" s="978"/>
      <c r="GC479" s="978"/>
      <c r="GD479" s="978"/>
      <c r="GE479" s="978"/>
      <c r="GF479" s="978"/>
      <c r="GG479" s="978"/>
      <c r="GH479" s="978"/>
      <c r="GI479" s="978"/>
      <c r="GJ479" s="978"/>
      <c r="GK479" s="978"/>
      <c r="GL479" s="978"/>
      <c r="GM479" s="978"/>
      <c r="GN479" s="978"/>
      <c r="GO479" s="978"/>
      <c r="GP479" s="978"/>
      <c r="GQ479" s="978"/>
      <c r="GR479" s="978"/>
      <c r="GS479" s="978"/>
      <c r="GT479" s="978"/>
      <c r="GU479" s="978"/>
      <c r="GV479" s="978"/>
      <c r="GW479" s="978"/>
      <c r="GX479" s="978"/>
      <c r="GY479" s="978"/>
      <c r="GZ479" s="978"/>
      <c r="HA479" s="978"/>
      <c r="HB479" s="978"/>
      <c r="HC479" s="978"/>
      <c r="HD479" s="978"/>
      <c r="HE479" s="978"/>
      <c r="HF479" s="978"/>
      <c r="HG479" s="978"/>
      <c r="HH479" s="978"/>
      <c r="HI479" s="978"/>
      <c r="HJ479" s="978"/>
      <c r="HK479" s="978"/>
      <c r="HL479" s="978"/>
      <c r="HM479" s="978"/>
      <c r="HN479" s="978"/>
      <c r="HO479" s="978"/>
      <c r="HP479" s="978"/>
      <c r="HQ479" s="978"/>
      <c r="HR479" s="978"/>
      <c r="HS479" s="978"/>
      <c r="HT479" s="978"/>
      <c r="HU479" s="978"/>
      <c r="HV479" s="978"/>
      <c r="HW479" s="978"/>
      <c r="HX479" s="978"/>
      <c r="HY479" s="978"/>
      <c r="HZ479" s="978"/>
      <c r="IA479" s="978"/>
      <c r="IB479" s="978"/>
      <c r="IC479" s="978"/>
      <c r="ID479" s="978"/>
      <c r="IE479" s="978"/>
      <c r="IF479" s="978"/>
      <c r="IG479" s="978"/>
      <c r="IH479" s="978"/>
      <c r="II479" s="978"/>
      <c r="IJ479" s="978"/>
      <c r="IK479" s="978"/>
      <c r="IL479" s="978"/>
      <c r="IM479" s="978"/>
      <c r="IN479" s="978"/>
      <c r="IO479" s="978"/>
      <c r="IP479" s="978"/>
      <c r="IQ479" s="978"/>
      <c r="IR479" s="978"/>
      <c r="IS479" s="978"/>
      <c r="IT479" s="978"/>
      <c r="IU479" s="978"/>
      <c r="IV479" s="978"/>
      <c r="IW479" s="978"/>
      <c r="IX479" s="978"/>
      <c r="IY479" s="978"/>
      <c r="IZ479" s="978"/>
      <c r="JA479" s="978"/>
      <c r="JB479" s="978"/>
      <c r="JC479" s="978"/>
      <c r="JD479" s="978"/>
      <c r="JE479" s="978"/>
      <c r="JF479" s="978"/>
      <c r="JG479" s="978"/>
      <c r="JH479" s="978"/>
      <c r="JI479" s="978"/>
      <c r="JJ479" s="978"/>
      <c r="JK479" s="978"/>
      <c r="JL479" s="978"/>
      <c r="JM479" s="978"/>
      <c r="JN479" s="978"/>
      <c r="JO479" s="978"/>
      <c r="JP479" s="978"/>
      <c r="JQ479" s="978"/>
      <c r="JR479" s="978"/>
      <c r="JS479" s="978"/>
      <c r="JT479" s="978"/>
      <c r="JU479" s="978"/>
      <c r="JV479" s="978"/>
      <c r="JW479" s="978"/>
      <c r="JX479" s="978"/>
      <c r="JY479" s="978"/>
      <c r="JZ479" s="978"/>
      <c r="KA479" s="978"/>
      <c r="KB479" s="978"/>
      <c r="KC479" s="978"/>
      <c r="KD479" s="978"/>
      <c r="KE479" s="978"/>
      <c r="KF479" s="978"/>
      <c r="KG479" s="978"/>
      <c r="KH479" s="978"/>
      <c r="KI479" s="978"/>
      <c r="KJ479" s="978"/>
      <c r="KK479" s="978"/>
      <c r="KL479" s="978"/>
      <c r="KM479" s="978"/>
      <c r="KN479" s="978"/>
      <c r="KO479" s="978"/>
      <c r="KP479" s="978"/>
      <c r="KQ479" s="978"/>
      <c r="KR479" s="978"/>
      <c r="KS479" s="978"/>
      <c r="KT479" s="978"/>
      <c r="KU479" s="978"/>
      <c r="KV479" s="978"/>
      <c r="KW479" s="978"/>
      <c r="KX479" s="978"/>
      <c r="KY479" s="978"/>
      <c r="KZ479" s="978"/>
      <c r="LA479" s="978"/>
      <c r="LB479" s="978"/>
      <c r="LC479" s="978"/>
      <c r="LD479" s="978"/>
      <c r="LE479" s="978"/>
      <c r="LF479" s="978"/>
      <c r="LG479" s="978"/>
      <c r="LH479" s="978"/>
      <c r="LI479" s="978"/>
      <c r="LJ479" s="978"/>
      <c r="LK479" s="978"/>
      <c r="LL479" s="978"/>
      <c r="LM479" s="978"/>
      <c r="LN479" s="978"/>
      <c r="LO479" s="978"/>
      <c r="LP479" s="978"/>
      <c r="LQ479" s="978"/>
      <c r="LR479" s="978"/>
      <c r="LS479" s="978"/>
      <c r="LT479" s="978"/>
      <c r="LU479" s="978"/>
      <c r="LV479" s="978"/>
      <c r="LW479" s="978"/>
      <c r="LX479" s="978"/>
      <c r="LY479" s="978"/>
      <c r="LZ479" s="978"/>
      <c r="MA479" s="978"/>
      <c r="MB479" s="978"/>
      <c r="MC479" s="978"/>
      <c r="MD479" s="978"/>
      <c r="ME479" s="978"/>
      <c r="MF479" s="978"/>
      <c r="MG479" s="978"/>
      <c r="MH479" s="978"/>
      <c r="MI479" s="978"/>
      <c r="MJ479" s="978"/>
      <c r="MK479" s="978"/>
      <c r="ML479" s="978"/>
      <c r="MM479" s="978"/>
      <c r="MN479" s="978"/>
      <c r="MO479" s="978"/>
      <c r="MP479" s="978"/>
      <c r="MQ479" s="978"/>
      <c r="MR479" s="978"/>
      <c r="MS479" s="978"/>
      <c r="MT479" s="978"/>
      <c r="MU479" s="978"/>
      <c r="MV479" s="978"/>
      <c r="MW479" s="978"/>
      <c r="MX479" s="978"/>
      <c r="MY479" s="978"/>
      <c r="MZ479" s="978"/>
      <c r="NA479" s="978"/>
      <c r="NB479" s="978"/>
      <c r="NC479" s="978"/>
      <c r="ND479" s="978"/>
      <c r="NE479" s="978"/>
      <c r="NF479" s="978"/>
      <c r="NG479" s="978"/>
      <c r="NH479" s="978"/>
      <c r="NI479" s="978"/>
      <c r="NJ479" s="978"/>
      <c r="NK479" s="978"/>
      <c r="NL479" s="978"/>
      <c r="NM479" s="978"/>
      <c r="NN479" s="978"/>
      <c r="NO479" s="978"/>
      <c r="NP479" s="978"/>
      <c r="NQ479" s="978"/>
      <c r="NR479" s="978"/>
      <c r="NS479" s="978"/>
      <c r="NT479" s="978"/>
      <c r="NU479" s="978"/>
      <c r="NV479" s="978"/>
      <c r="NW479" s="978"/>
      <c r="NX479" s="978"/>
      <c r="NY479" s="978"/>
      <c r="NZ479" s="978"/>
      <c r="OA479" s="978"/>
      <c r="OB479" s="978"/>
      <c r="OC479" s="978"/>
      <c r="OD479" s="978"/>
      <c r="OE479" s="978"/>
      <c r="OF479" s="978"/>
      <c r="OG479" s="978"/>
      <c r="OH479" s="978"/>
      <c r="OI479" s="978"/>
      <c r="OJ479" s="978"/>
      <c r="OK479" s="978"/>
      <c r="OL479" s="978"/>
      <c r="OM479" s="978"/>
      <c r="ON479" s="978"/>
      <c r="OO479" s="978"/>
      <c r="OP479" s="978"/>
      <c r="OQ479" s="978"/>
      <c r="OR479" s="978"/>
      <c r="OS479" s="978"/>
      <c r="OT479" s="978"/>
      <c r="OU479" s="978"/>
      <c r="OV479" s="978"/>
      <c r="OW479" s="978"/>
      <c r="OX479" s="978"/>
      <c r="OY479" s="978"/>
      <c r="OZ479" s="978"/>
      <c r="PA479" s="978"/>
      <c r="PB479" s="978"/>
      <c r="PC479" s="978"/>
      <c r="PD479" s="978"/>
      <c r="PE479" s="978"/>
      <c r="PF479" s="978"/>
      <c r="PG479" s="978"/>
      <c r="PH479" s="978"/>
      <c r="PI479" s="978"/>
      <c r="PJ479" s="978"/>
      <c r="PK479" s="978"/>
      <c r="PL479" s="978"/>
      <c r="PM479" s="978"/>
      <c r="PN479" s="978"/>
      <c r="PO479" s="978"/>
      <c r="PP479" s="978"/>
      <c r="PQ479" s="978"/>
      <c r="PR479" s="978"/>
      <c r="PS479" s="978"/>
      <c r="PT479" s="978"/>
      <c r="PU479" s="978"/>
      <c r="PV479" s="978"/>
      <c r="PW479" s="978"/>
      <c r="PX479" s="978"/>
      <c r="PY479" s="978"/>
      <c r="PZ479" s="978"/>
      <c r="QA479" s="978"/>
      <c r="QB479" s="978"/>
      <c r="QC479" s="978"/>
      <c r="QD479" s="978"/>
      <c r="QE479" s="978"/>
      <c r="QF479" s="978"/>
      <c r="QG479" s="978"/>
      <c r="QH479" s="978"/>
      <c r="QI479" s="978"/>
      <c r="QJ479" s="978"/>
      <c r="QK479" s="978"/>
      <c r="QL479" s="978"/>
      <c r="QM479" s="978"/>
      <c r="QN479" s="978"/>
      <c r="QO479" s="978"/>
      <c r="QP479" s="978"/>
      <c r="QQ479" s="978"/>
      <c r="QR479" s="978"/>
      <c r="QS479" s="978"/>
      <c r="QT479" s="978"/>
      <c r="QU479" s="978"/>
      <c r="QV479" s="978"/>
      <c r="QW479" s="978"/>
      <c r="QX479" s="978"/>
      <c r="QY479" s="978"/>
      <c r="QZ479" s="978"/>
      <c r="RA479" s="978"/>
      <c r="RB479" s="274"/>
      <c r="RC479" s="274"/>
    </row>
    <row r="480" spans="112:471" ht="17.25">
      <c r="DH480" s="274"/>
      <c r="DI480" s="274"/>
      <c r="DJ480" s="978"/>
      <c r="DK480" s="978"/>
      <c r="DL480" s="978"/>
      <c r="DM480" s="978"/>
      <c r="DN480" s="978"/>
      <c r="DO480" s="978"/>
      <c r="DP480" s="978"/>
      <c r="DQ480" s="978"/>
      <c r="DR480" s="978"/>
      <c r="DS480" s="978"/>
      <c r="DT480" s="978"/>
      <c r="DU480" s="978"/>
      <c r="DV480" s="978"/>
      <c r="DW480" s="978"/>
      <c r="DX480" s="978"/>
      <c r="DY480" s="978"/>
      <c r="DZ480" s="978"/>
      <c r="EA480" s="978"/>
      <c r="EB480" s="978"/>
      <c r="EC480" s="978"/>
      <c r="ED480" s="978"/>
      <c r="EE480" s="978"/>
      <c r="EF480" s="978"/>
      <c r="EG480" s="978"/>
      <c r="EH480" s="978"/>
      <c r="EI480" s="978"/>
      <c r="EJ480" s="978"/>
      <c r="EK480" s="978"/>
      <c r="EL480" s="978"/>
      <c r="EM480" s="978"/>
      <c r="EN480" s="978"/>
      <c r="EO480" s="978"/>
      <c r="EP480" s="978"/>
      <c r="EQ480" s="978"/>
      <c r="ER480" s="978"/>
      <c r="ES480" s="978"/>
      <c r="ET480" s="978"/>
      <c r="EU480" s="978"/>
      <c r="EV480" s="978"/>
      <c r="EW480" s="978"/>
      <c r="EX480" s="978"/>
      <c r="EY480" s="978"/>
      <c r="EZ480" s="978"/>
      <c r="FA480" s="978"/>
      <c r="FB480" s="978"/>
      <c r="FC480" s="978"/>
      <c r="FD480" s="978"/>
      <c r="FE480" s="978"/>
      <c r="FF480" s="978"/>
      <c r="FG480" s="978"/>
      <c r="FH480" s="978"/>
      <c r="FI480" s="978"/>
      <c r="FJ480" s="978"/>
      <c r="FK480" s="978"/>
      <c r="FL480" s="978"/>
      <c r="FM480" s="978"/>
      <c r="FN480" s="978"/>
      <c r="FO480" s="978"/>
      <c r="FP480" s="978"/>
      <c r="FQ480" s="978"/>
      <c r="FR480" s="978"/>
      <c r="FS480" s="978"/>
      <c r="FT480" s="978"/>
      <c r="FU480" s="978"/>
      <c r="FV480" s="978"/>
      <c r="FW480" s="978"/>
      <c r="FX480" s="978"/>
      <c r="FY480" s="978"/>
      <c r="FZ480" s="978"/>
      <c r="GA480" s="978"/>
      <c r="GB480" s="978"/>
      <c r="GC480" s="978"/>
      <c r="GD480" s="978"/>
      <c r="GE480" s="978"/>
      <c r="GF480" s="978"/>
      <c r="GG480" s="978"/>
      <c r="GH480" s="978"/>
      <c r="GI480" s="978"/>
      <c r="GJ480" s="978"/>
      <c r="GK480" s="978"/>
      <c r="GL480" s="978"/>
      <c r="GM480" s="978"/>
      <c r="GN480" s="978"/>
      <c r="GO480" s="978"/>
      <c r="GP480" s="978"/>
      <c r="GQ480" s="978"/>
      <c r="GR480" s="978"/>
      <c r="GS480" s="978"/>
      <c r="GT480" s="978"/>
      <c r="GU480" s="978"/>
      <c r="GV480" s="978"/>
      <c r="GW480" s="978"/>
      <c r="GX480" s="978"/>
      <c r="GY480" s="978"/>
      <c r="GZ480" s="978"/>
      <c r="HA480" s="978"/>
      <c r="HB480" s="978"/>
      <c r="HC480" s="978"/>
      <c r="HD480" s="978"/>
      <c r="HE480" s="978"/>
      <c r="HF480" s="978"/>
      <c r="HG480" s="978"/>
      <c r="HH480" s="978"/>
      <c r="HI480" s="978"/>
      <c r="HJ480" s="978"/>
      <c r="HK480" s="978"/>
      <c r="HL480" s="978"/>
      <c r="HM480" s="978"/>
      <c r="HN480" s="978"/>
      <c r="HO480" s="978"/>
      <c r="HP480" s="978"/>
      <c r="HQ480" s="978"/>
      <c r="HR480" s="978"/>
      <c r="HS480" s="978"/>
      <c r="HT480" s="978"/>
      <c r="HU480" s="978"/>
      <c r="HV480" s="978"/>
      <c r="HW480" s="978"/>
      <c r="HX480" s="978"/>
      <c r="HY480" s="978"/>
      <c r="HZ480" s="978"/>
      <c r="IA480" s="978"/>
      <c r="IB480" s="978"/>
      <c r="IC480" s="978"/>
      <c r="ID480" s="978"/>
      <c r="IE480" s="978"/>
      <c r="IF480" s="978"/>
      <c r="IG480" s="978"/>
      <c r="IH480" s="978"/>
      <c r="II480" s="978"/>
      <c r="IJ480" s="978"/>
      <c r="IK480" s="978"/>
      <c r="IL480" s="978"/>
      <c r="IM480" s="978"/>
      <c r="IN480" s="978"/>
      <c r="IO480" s="978"/>
      <c r="IP480" s="978"/>
      <c r="IQ480" s="978"/>
      <c r="IR480" s="978"/>
      <c r="IS480" s="978"/>
      <c r="IT480" s="978"/>
      <c r="IU480" s="978"/>
      <c r="IV480" s="978"/>
      <c r="IW480" s="978"/>
      <c r="IX480" s="978"/>
      <c r="IY480" s="978"/>
      <c r="IZ480" s="978"/>
      <c r="JA480" s="978"/>
      <c r="JB480" s="978"/>
      <c r="JC480" s="978"/>
      <c r="JD480" s="978"/>
      <c r="JE480" s="978"/>
      <c r="JF480" s="978"/>
      <c r="JG480" s="978"/>
      <c r="JH480" s="978"/>
      <c r="JI480" s="978"/>
      <c r="JJ480" s="978"/>
      <c r="JK480" s="978"/>
      <c r="JL480" s="978"/>
      <c r="JM480" s="978"/>
      <c r="JN480" s="978"/>
      <c r="JO480" s="978"/>
      <c r="JP480" s="978"/>
      <c r="JQ480" s="978"/>
      <c r="JR480" s="978"/>
      <c r="JS480" s="978"/>
      <c r="JT480" s="978"/>
      <c r="JU480" s="978"/>
      <c r="JV480" s="978"/>
      <c r="JW480" s="978"/>
      <c r="JX480" s="978"/>
      <c r="JY480" s="978"/>
      <c r="JZ480" s="978"/>
      <c r="KA480" s="978"/>
      <c r="KB480" s="978"/>
      <c r="KC480" s="978"/>
      <c r="KD480" s="978"/>
      <c r="KE480" s="978"/>
      <c r="KF480" s="978"/>
      <c r="KG480" s="978"/>
      <c r="KH480" s="978"/>
      <c r="KI480" s="978"/>
      <c r="KJ480" s="978"/>
      <c r="KK480" s="978"/>
      <c r="KL480" s="978"/>
      <c r="KM480" s="978"/>
      <c r="KN480" s="978"/>
      <c r="KO480" s="978"/>
      <c r="KP480" s="978"/>
      <c r="KQ480" s="978"/>
      <c r="KR480" s="978"/>
      <c r="KS480" s="978"/>
      <c r="KT480" s="978"/>
      <c r="KU480" s="978"/>
      <c r="KV480" s="978"/>
      <c r="KW480" s="978"/>
      <c r="KX480" s="978"/>
      <c r="KY480" s="978"/>
      <c r="KZ480" s="978"/>
      <c r="LA480" s="978"/>
      <c r="LB480" s="978"/>
      <c r="LC480" s="978"/>
      <c r="LD480" s="978"/>
      <c r="LE480" s="978"/>
      <c r="LF480" s="978"/>
      <c r="LG480" s="978"/>
      <c r="LH480" s="978"/>
      <c r="LI480" s="978"/>
      <c r="LJ480" s="978"/>
      <c r="LK480" s="978"/>
      <c r="LL480" s="978"/>
      <c r="LM480" s="978"/>
      <c r="LN480" s="978"/>
      <c r="LO480" s="978"/>
      <c r="LP480" s="978"/>
      <c r="LQ480" s="978"/>
      <c r="LR480" s="978"/>
      <c r="LS480" s="978"/>
      <c r="LT480" s="978"/>
      <c r="LU480" s="978"/>
      <c r="LV480" s="978"/>
      <c r="LW480" s="978"/>
      <c r="LX480" s="978"/>
      <c r="LY480" s="978"/>
      <c r="LZ480" s="978"/>
      <c r="MA480" s="978"/>
      <c r="MB480" s="978"/>
      <c r="MC480" s="978"/>
      <c r="MD480" s="978"/>
      <c r="ME480" s="978"/>
      <c r="MF480" s="978"/>
      <c r="MG480" s="978"/>
      <c r="MH480" s="978"/>
      <c r="MI480" s="978"/>
      <c r="MJ480" s="978"/>
      <c r="MK480" s="978"/>
      <c r="ML480" s="978"/>
      <c r="MM480" s="978"/>
      <c r="MN480" s="978"/>
      <c r="MO480" s="978"/>
      <c r="MP480" s="978"/>
      <c r="MQ480" s="978"/>
      <c r="MR480" s="978"/>
      <c r="MS480" s="978"/>
      <c r="MT480" s="978"/>
      <c r="MU480" s="978"/>
      <c r="MV480" s="978"/>
      <c r="MW480" s="978"/>
      <c r="MX480" s="978"/>
      <c r="MY480" s="978"/>
      <c r="MZ480" s="978"/>
      <c r="NA480" s="978"/>
      <c r="NB480" s="978"/>
      <c r="NC480" s="978"/>
      <c r="ND480" s="978"/>
      <c r="NE480" s="978"/>
      <c r="NF480" s="978"/>
      <c r="NG480" s="978"/>
      <c r="NH480" s="978"/>
      <c r="NI480" s="978"/>
      <c r="NJ480" s="978"/>
      <c r="NK480" s="978"/>
      <c r="NL480" s="978"/>
      <c r="NM480" s="978"/>
      <c r="NN480" s="978"/>
      <c r="NO480" s="978"/>
      <c r="NP480" s="978"/>
      <c r="NQ480" s="978"/>
      <c r="NR480" s="978"/>
      <c r="NS480" s="978"/>
      <c r="NT480" s="978"/>
      <c r="NU480" s="978"/>
      <c r="NV480" s="978"/>
      <c r="NW480" s="978"/>
      <c r="NX480" s="978"/>
      <c r="NY480" s="978"/>
      <c r="NZ480" s="978"/>
      <c r="OA480" s="978"/>
      <c r="OB480" s="978"/>
      <c r="OC480" s="978"/>
      <c r="OD480" s="978"/>
      <c r="OE480" s="978"/>
      <c r="OF480" s="978"/>
      <c r="OG480" s="978"/>
      <c r="OH480" s="978"/>
      <c r="OI480" s="978"/>
      <c r="OJ480" s="978"/>
      <c r="OK480" s="978"/>
      <c r="OL480" s="978"/>
      <c r="OM480" s="978"/>
      <c r="ON480" s="978"/>
      <c r="OO480" s="978"/>
      <c r="OP480" s="978"/>
      <c r="OQ480" s="978"/>
      <c r="OR480" s="978"/>
      <c r="OS480" s="978"/>
      <c r="OT480" s="978"/>
      <c r="OU480" s="978"/>
      <c r="OV480" s="978"/>
      <c r="OW480" s="978"/>
      <c r="OX480" s="978"/>
      <c r="OY480" s="978"/>
      <c r="OZ480" s="978"/>
      <c r="PA480" s="978"/>
      <c r="PB480" s="978"/>
      <c r="PC480" s="978"/>
      <c r="PD480" s="978"/>
      <c r="PE480" s="978"/>
      <c r="PF480" s="978"/>
      <c r="PG480" s="978"/>
      <c r="PH480" s="978"/>
      <c r="PI480" s="978"/>
      <c r="PJ480" s="978"/>
      <c r="PK480" s="978"/>
      <c r="PL480" s="978"/>
      <c r="PM480" s="978"/>
      <c r="PN480" s="978"/>
      <c r="PO480" s="978"/>
      <c r="PP480" s="978"/>
      <c r="PQ480" s="978"/>
      <c r="PR480" s="978"/>
      <c r="PS480" s="978"/>
      <c r="PT480" s="978"/>
      <c r="PU480" s="978"/>
      <c r="PV480" s="978"/>
      <c r="PW480" s="978"/>
      <c r="PX480" s="978"/>
      <c r="PY480" s="978"/>
      <c r="PZ480" s="978"/>
      <c r="QA480" s="978"/>
      <c r="QB480" s="978"/>
      <c r="QC480" s="978"/>
      <c r="QD480" s="978"/>
      <c r="QE480" s="978"/>
      <c r="QF480" s="978"/>
      <c r="QG480" s="978"/>
      <c r="QH480" s="978"/>
      <c r="QI480" s="978"/>
      <c r="QJ480" s="978"/>
      <c r="QK480" s="978"/>
      <c r="QL480" s="978"/>
      <c r="QM480" s="978"/>
      <c r="QN480" s="978"/>
      <c r="QO480" s="978"/>
      <c r="QP480" s="978"/>
      <c r="QQ480" s="978"/>
      <c r="QR480" s="978"/>
      <c r="QS480" s="978"/>
      <c r="QT480" s="978"/>
      <c r="QU480" s="978"/>
      <c r="QV480" s="978"/>
      <c r="QW480" s="978"/>
      <c r="QX480" s="978"/>
      <c r="QY480" s="978"/>
      <c r="QZ480" s="978"/>
      <c r="RA480" s="978"/>
      <c r="RB480" s="274"/>
      <c r="RC480" s="274"/>
    </row>
    <row r="481" spans="112:471" ht="17.25">
      <c r="DH481" s="274"/>
      <c r="DI481" s="274"/>
      <c r="DJ481" s="978"/>
      <c r="DK481" s="978"/>
      <c r="DL481" s="978"/>
      <c r="DM481" s="978"/>
      <c r="DN481" s="978"/>
      <c r="DO481" s="978"/>
      <c r="DP481" s="978"/>
      <c r="DQ481" s="978"/>
      <c r="DR481" s="978"/>
      <c r="DS481" s="978"/>
      <c r="DT481" s="978"/>
      <c r="DU481" s="978"/>
      <c r="DV481" s="978"/>
      <c r="DW481" s="978"/>
      <c r="DX481" s="978"/>
      <c r="DY481" s="978"/>
      <c r="DZ481" s="978"/>
      <c r="EA481" s="978"/>
      <c r="EB481" s="978"/>
      <c r="EC481" s="978"/>
      <c r="ED481" s="978"/>
      <c r="EE481" s="978"/>
      <c r="EF481" s="978"/>
      <c r="EG481" s="978"/>
      <c r="EH481" s="978"/>
      <c r="EI481" s="978"/>
      <c r="EJ481" s="978"/>
      <c r="EK481" s="978"/>
      <c r="EL481" s="978"/>
      <c r="EM481" s="978"/>
      <c r="EN481" s="978"/>
      <c r="EO481" s="978"/>
      <c r="EP481" s="978"/>
      <c r="EQ481" s="978"/>
      <c r="ER481" s="978"/>
      <c r="ES481" s="978"/>
      <c r="ET481" s="978"/>
      <c r="EU481" s="978"/>
      <c r="EV481" s="978"/>
      <c r="EW481" s="978"/>
      <c r="EX481" s="978"/>
      <c r="EY481" s="978"/>
      <c r="EZ481" s="978"/>
      <c r="FA481" s="978"/>
      <c r="FB481" s="978"/>
      <c r="FC481" s="978"/>
      <c r="FD481" s="978"/>
      <c r="FE481" s="978"/>
      <c r="FF481" s="978"/>
      <c r="FG481" s="978"/>
      <c r="FH481" s="978"/>
      <c r="FI481" s="978"/>
      <c r="FJ481" s="978"/>
      <c r="FK481" s="978"/>
      <c r="FL481" s="978"/>
      <c r="FM481" s="978"/>
      <c r="FN481" s="978"/>
      <c r="FO481" s="978"/>
      <c r="FP481" s="978"/>
      <c r="FQ481" s="978"/>
      <c r="FR481" s="978"/>
      <c r="FS481" s="978"/>
      <c r="FT481" s="978"/>
      <c r="FU481" s="978"/>
      <c r="FV481" s="978"/>
      <c r="FW481" s="978"/>
      <c r="FX481" s="978"/>
      <c r="FY481" s="978"/>
      <c r="FZ481" s="978"/>
      <c r="GA481" s="978"/>
      <c r="GB481" s="978"/>
      <c r="GC481" s="978"/>
      <c r="GD481" s="978"/>
      <c r="GE481" s="978"/>
      <c r="GF481" s="978"/>
      <c r="GG481" s="978"/>
      <c r="GH481" s="978"/>
      <c r="GI481" s="978"/>
      <c r="GJ481" s="978"/>
      <c r="GK481" s="978"/>
      <c r="GL481" s="978"/>
      <c r="GM481" s="978"/>
      <c r="GN481" s="978"/>
      <c r="GO481" s="978"/>
      <c r="GP481" s="978"/>
      <c r="GQ481" s="978"/>
      <c r="GR481" s="978"/>
      <c r="GS481" s="978"/>
      <c r="GT481" s="978"/>
      <c r="GU481" s="978"/>
      <c r="GV481" s="978"/>
      <c r="GW481" s="978"/>
      <c r="GX481" s="978"/>
      <c r="GY481" s="978"/>
      <c r="GZ481" s="978"/>
      <c r="HA481" s="978"/>
      <c r="HB481" s="978"/>
      <c r="HC481" s="978"/>
      <c r="HD481" s="978"/>
      <c r="HE481" s="978"/>
      <c r="HF481" s="978"/>
      <c r="HG481" s="978"/>
      <c r="HH481" s="978"/>
      <c r="HI481" s="978"/>
      <c r="HJ481" s="978"/>
      <c r="HK481" s="978"/>
      <c r="HL481" s="978"/>
      <c r="HM481" s="978"/>
      <c r="HN481" s="978"/>
      <c r="HO481" s="978"/>
      <c r="HP481" s="978"/>
      <c r="HQ481" s="978"/>
      <c r="HR481" s="978"/>
      <c r="HS481" s="978"/>
      <c r="HT481" s="978"/>
      <c r="HU481" s="978"/>
      <c r="HV481" s="978"/>
      <c r="HW481" s="978"/>
      <c r="HX481" s="978"/>
      <c r="HY481" s="978"/>
      <c r="HZ481" s="978"/>
      <c r="IA481" s="978"/>
      <c r="IB481" s="978"/>
      <c r="IC481" s="978"/>
      <c r="ID481" s="978"/>
      <c r="IE481" s="978"/>
      <c r="IF481" s="978"/>
      <c r="IG481" s="978"/>
      <c r="IH481" s="978"/>
      <c r="II481" s="978"/>
      <c r="IJ481" s="978"/>
      <c r="IK481" s="978"/>
      <c r="IL481" s="978"/>
      <c r="IM481" s="978"/>
      <c r="IN481" s="978"/>
      <c r="IO481" s="978"/>
      <c r="IP481" s="978"/>
      <c r="IQ481" s="978"/>
      <c r="IR481" s="978"/>
      <c r="IS481" s="978"/>
      <c r="IT481" s="978"/>
      <c r="IU481" s="978"/>
      <c r="IV481" s="978"/>
      <c r="IW481" s="978"/>
      <c r="IX481" s="978"/>
      <c r="IY481" s="978"/>
      <c r="IZ481" s="978"/>
      <c r="JA481" s="978"/>
      <c r="JB481" s="978"/>
      <c r="JC481" s="978"/>
      <c r="JD481" s="978"/>
      <c r="JE481" s="978"/>
      <c r="JF481" s="978"/>
      <c r="JG481" s="978"/>
      <c r="JH481" s="978"/>
      <c r="JI481" s="978"/>
      <c r="JJ481" s="978"/>
      <c r="JK481" s="978"/>
      <c r="JL481" s="978"/>
      <c r="JM481" s="978"/>
      <c r="JN481" s="978"/>
      <c r="JO481" s="978"/>
      <c r="JP481" s="978"/>
      <c r="JQ481" s="978"/>
      <c r="JR481" s="978"/>
      <c r="JS481" s="978"/>
      <c r="JT481" s="978"/>
      <c r="JU481" s="978"/>
      <c r="JV481" s="978"/>
      <c r="JW481" s="978"/>
      <c r="JX481" s="978"/>
      <c r="JY481" s="978"/>
      <c r="JZ481" s="978"/>
      <c r="KA481" s="978"/>
      <c r="KB481" s="978"/>
      <c r="KC481" s="978"/>
      <c r="KD481" s="978"/>
      <c r="KE481" s="978"/>
      <c r="KF481" s="978"/>
      <c r="KG481" s="978"/>
      <c r="KH481" s="978"/>
      <c r="KI481" s="978"/>
      <c r="KJ481" s="978"/>
      <c r="KK481" s="978"/>
      <c r="KL481" s="978"/>
      <c r="KM481" s="978"/>
      <c r="KN481" s="978"/>
      <c r="KO481" s="978"/>
      <c r="KP481" s="978"/>
      <c r="KQ481" s="978"/>
      <c r="KR481" s="978"/>
      <c r="KS481" s="978"/>
      <c r="KT481" s="978"/>
      <c r="KU481" s="978"/>
      <c r="KV481" s="978"/>
      <c r="KW481" s="978"/>
      <c r="KX481" s="978"/>
      <c r="KY481" s="978"/>
      <c r="KZ481" s="978"/>
      <c r="LA481" s="978"/>
      <c r="LB481" s="978"/>
      <c r="LC481" s="978"/>
      <c r="LD481" s="978"/>
      <c r="LE481" s="978"/>
      <c r="LF481" s="978"/>
      <c r="LG481" s="978"/>
      <c r="LH481" s="978"/>
      <c r="LI481" s="978"/>
      <c r="LJ481" s="978"/>
      <c r="LK481" s="978"/>
      <c r="LL481" s="978"/>
      <c r="LM481" s="978"/>
      <c r="LN481" s="978"/>
      <c r="LO481" s="978"/>
      <c r="LP481" s="978"/>
      <c r="LQ481" s="978"/>
      <c r="LR481" s="978"/>
      <c r="LS481" s="978"/>
      <c r="LT481" s="978"/>
      <c r="LU481" s="978"/>
      <c r="LV481" s="978"/>
      <c r="LW481" s="978"/>
      <c r="LX481" s="978"/>
      <c r="LY481" s="978"/>
      <c r="LZ481" s="978"/>
      <c r="MA481" s="978"/>
      <c r="MB481" s="978"/>
      <c r="MC481" s="978"/>
      <c r="MD481" s="978"/>
      <c r="ME481" s="978"/>
      <c r="MF481" s="978"/>
      <c r="MG481" s="978"/>
      <c r="MH481" s="978"/>
      <c r="MI481" s="978"/>
      <c r="MJ481" s="978"/>
      <c r="MK481" s="978"/>
      <c r="ML481" s="978"/>
      <c r="MM481" s="978"/>
      <c r="MN481" s="978"/>
      <c r="MO481" s="978"/>
      <c r="MP481" s="978"/>
      <c r="MQ481" s="978"/>
      <c r="MR481" s="978"/>
      <c r="MS481" s="978"/>
      <c r="MT481" s="978"/>
      <c r="MU481" s="978"/>
      <c r="MV481" s="978"/>
      <c r="MW481" s="978"/>
      <c r="MX481" s="978"/>
      <c r="MY481" s="978"/>
      <c r="MZ481" s="978"/>
      <c r="NA481" s="978"/>
      <c r="NB481" s="978"/>
      <c r="NC481" s="978"/>
      <c r="ND481" s="978"/>
      <c r="NE481" s="978"/>
      <c r="NF481" s="978"/>
      <c r="NG481" s="978"/>
      <c r="NH481" s="978"/>
      <c r="NI481" s="978"/>
      <c r="NJ481" s="978"/>
      <c r="NK481" s="978"/>
      <c r="NL481" s="978"/>
      <c r="NM481" s="978"/>
      <c r="NN481" s="978"/>
      <c r="NO481" s="978"/>
      <c r="NP481" s="978"/>
      <c r="NQ481" s="978"/>
      <c r="NR481" s="978"/>
      <c r="NS481" s="978"/>
      <c r="NT481" s="978"/>
      <c r="NU481" s="978"/>
      <c r="NV481" s="978"/>
      <c r="NW481" s="978"/>
      <c r="NX481" s="978"/>
      <c r="NY481" s="978"/>
      <c r="NZ481" s="978"/>
      <c r="OA481" s="978"/>
      <c r="OB481" s="978"/>
      <c r="OC481" s="978"/>
      <c r="OD481" s="978"/>
      <c r="OE481" s="978"/>
      <c r="OF481" s="978"/>
      <c r="OG481" s="978"/>
      <c r="OH481" s="978"/>
      <c r="OI481" s="978"/>
      <c r="OJ481" s="978"/>
      <c r="OK481" s="978"/>
      <c r="OL481" s="978"/>
      <c r="OM481" s="978"/>
      <c r="ON481" s="978"/>
      <c r="OO481" s="978"/>
      <c r="OP481" s="978"/>
      <c r="OQ481" s="978"/>
      <c r="OR481" s="978"/>
      <c r="OS481" s="978"/>
      <c r="OT481" s="978"/>
      <c r="OU481" s="978"/>
      <c r="OV481" s="978"/>
      <c r="OW481" s="978"/>
      <c r="OX481" s="978"/>
      <c r="OY481" s="978"/>
      <c r="OZ481" s="978"/>
      <c r="PA481" s="978"/>
      <c r="PB481" s="978"/>
      <c r="PC481" s="978"/>
      <c r="PD481" s="978"/>
      <c r="PE481" s="978"/>
      <c r="PF481" s="978"/>
      <c r="PG481" s="978"/>
      <c r="PH481" s="978"/>
      <c r="PI481" s="978"/>
      <c r="PJ481" s="978"/>
      <c r="PK481" s="978"/>
      <c r="PL481" s="978"/>
      <c r="PM481" s="978"/>
      <c r="PN481" s="978"/>
      <c r="PO481" s="978"/>
      <c r="PP481" s="978"/>
      <c r="PQ481" s="978"/>
      <c r="PR481" s="978"/>
      <c r="PS481" s="978"/>
      <c r="PT481" s="978"/>
      <c r="PU481" s="978"/>
      <c r="PV481" s="978"/>
      <c r="PW481" s="978"/>
      <c r="PX481" s="978"/>
      <c r="PY481" s="978"/>
      <c r="PZ481" s="978"/>
      <c r="QA481" s="978"/>
      <c r="QB481" s="978"/>
      <c r="QC481" s="978"/>
      <c r="QD481" s="978"/>
      <c r="QE481" s="978"/>
      <c r="QF481" s="978"/>
      <c r="QG481" s="978"/>
      <c r="QH481" s="978"/>
      <c r="QI481" s="978"/>
      <c r="QJ481" s="978"/>
      <c r="QK481" s="978"/>
      <c r="QL481" s="978"/>
      <c r="QM481" s="978"/>
      <c r="QN481" s="978"/>
      <c r="QO481" s="978"/>
      <c r="QP481" s="978"/>
      <c r="QQ481" s="978"/>
      <c r="QR481" s="978"/>
      <c r="QS481" s="978"/>
      <c r="QT481" s="978"/>
      <c r="QU481" s="978"/>
      <c r="QV481" s="978"/>
      <c r="QW481" s="978"/>
      <c r="QX481" s="978"/>
      <c r="QY481" s="978"/>
      <c r="QZ481" s="978"/>
      <c r="RA481" s="978"/>
      <c r="RB481" s="274"/>
      <c r="RC481" s="274"/>
    </row>
    <row r="482" spans="112:471" ht="17.25">
      <c r="DH482" s="274"/>
      <c r="DI482" s="274"/>
      <c r="DJ482" s="978"/>
      <c r="DK482" s="978"/>
      <c r="DL482" s="978"/>
      <c r="DM482" s="978"/>
      <c r="DN482" s="978"/>
      <c r="DO482" s="978"/>
      <c r="DP482" s="978"/>
      <c r="DQ482" s="978"/>
      <c r="DR482" s="978"/>
      <c r="DS482" s="978"/>
      <c r="DT482" s="978"/>
      <c r="DU482" s="978"/>
      <c r="DV482" s="978"/>
      <c r="DW482" s="978"/>
      <c r="DX482" s="978"/>
      <c r="DY482" s="978"/>
      <c r="DZ482" s="978"/>
      <c r="EA482" s="978"/>
      <c r="EB482" s="978"/>
      <c r="EC482" s="978"/>
      <c r="ED482" s="978"/>
      <c r="EE482" s="978"/>
      <c r="EF482" s="978"/>
      <c r="EG482" s="978"/>
      <c r="EH482" s="978"/>
      <c r="EI482" s="978"/>
      <c r="EJ482" s="978"/>
      <c r="EK482" s="978"/>
      <c r="EL482" s="978"/>
      <c r="EM482" s="978"/>
      <c r="EN482" s="978"/>
      <c r="EO482" s="978"/>
      <c r="EP482" s="978"/>
      <c r="EQ482" s="978"/>
      <c r="ER482" s="978"/>
      <c r="ES482" s="978"/>
      <c r="ET482" s="978"/>
      <c r="EU482" s="978"/>
      <c r="EV482" s="978"/>
      <c r="EW482" s="978"/>
      <c r="EX482" s="978"/>
      <c r="EY482" s="978"/>
      <c r="EZ482" s="978"/>
      <c r="FA482" s="978"/>
      <c r="FB482" s="978"/>
      <c r="FC482" s="978"/>
      <c r="FD482" s="978"/>
      <c r="FE482" s="978"/>
      <c r="FF482" s="978"/>
      <c r="FG482" s="978"/>
      <c r="FH482" s="978"/>
      <c r="FI482" s="978"/>
      <c r="FJ482" s="978"/>
      <c r="FK482" s="978"/>
      <c r="FL482" s="978"/>
      <c r="FM482" s="978"/>
      <c r="FN482" s="978"/>
      <c r="FO482" s="978"/>
      <c r="FP482" s="978"/>
      <c r="FQ482" s="978"/>
      <c r="FR482" s="978"/>
      <c r="FS482" s="978"/>
      <c r="FT482" s="978"/>
      <c r="FU482" s="978"/>
      <c r="FV482" s="978"/>
      <c r="FW482" s="978"/>
      <c r="FX482" s="978"/>
      <c r="FY482" s="978"/>
      <c r="FZ482" s="978"/>
      <c r="GA482" s="978"/>
      <c r="GB482" s="978"/>
      <c r="GC482" s="978"/>
      <c r="GD482" s="978"/>
      <c r="GE482" s="978"/>
      <c r="GF482" s="978"/>
      <c r="GG482" s="978"/>
      <c r="GH482" s="978"/>
      <c r="GI482" s="978"/>
      <c r="GJ482" s="978"/>
      <c r="GK482" s="978"/>
      <c r="GL482" s="978"/>
      <c r="GM482" s="978"/>
      <c r="GN482" s="978"/>
      <c r="GO482" s="978"/>
      <c r="GP482" s="978"/>
      <c r="GQ482" s="978"/>
      <c r="GR482" s="978"/>
      <c r="GS482" s="978"/>
      <c r="GT482" s="978"/>
      <c r="GU482" s="978"/>
      <c r="GV482" s="978"/>
      <c r="GW482" s="978"/>
      <c r="GX482" s="978"/>
      <c r="GY482" s="978"/>
      <c r="GZ482" s="978"/>
      <c r="HA482" s="978"/>
      <c r="HB482" s="978"/>
      <c r="HC482" s="978"/>
      <c r="HD482" s="978"/>
      <c r="HE482" s="978"/>
      <c r="HF482" s="978"/>
      <c r="HG482" s="978"/>
      <c r="HH482" s="978"/>
      <c r="HI482" s="978"/>
      <c r="HJ482" s="978"/>
      <c r="HK482" s="978"/>
      <c r="HL482" s="978"/>
      <c r="HM482" s="978"/>
      <c r="HN482" s="978"/>
      <c r="HO482" s="978"/>
      <c r="HP482" s="978"/>
      <c r="HQ482" s="978"/>
      <c r="HR482" s="978"/>
      <c r="HS482" s="978"/>
      <c r="HT482" s="978"/>
      <c r="HU482" s="978"/>
      <c r="HV482" s="978"/>
      <c r="HW482" s="978"/>
      <c r="HX482" s="978"/>
      <c r="HY482" s="978"/>
      <c r="HZ482" s="978"/>
      <c r="IA482" s="978"/>
      <c r="IB482" s="978"/>
      <c r="IC482" s="978"/>
      <c r="ID482" s="978"/>
      <c r="IE482" s="978"/>
      <c r="IF482" s="978"/>
      <c r="IG482" s="978"/>
      <c r="IH482" s="978"/>
      <c r="II482" s="978"/>
      <c r="IJ482" s="978"/>
      <c r="IK482" s="978"/>
      <c r="IL482" s="978"/>
      <c r="IM482" s="978"/>
      <c r="IN482" s="978"/>
      <c r="IO482" s="978"/>
      <c r="IP482" s="978"/>
      <c r="IQ482" s="978"/>
      <c r="IR482" s="978"/>
      <c r="IS482" s="978"/>
      <c r="IT482" s="978"/>
      <c r="IU482" s="978"/>
      <c r="IV482" s="978"/>
      <c r="IW482" s="978"/>
      <c r="IX482" s="978"/>
      <c r="IY482" s="978"/>
      <c r="IZ482" s="978"/>
      <c r="JA482" s="978"/>
      <c r="JB482" s="978"/>
      <c r="JC482" s="978"/>
      <c r="JD482" s="978"/>
      <c r="JE482" s="978"/>
      <c r="JF482" s="978"/>
      <c r="JG482" s="978"/>
      <c r="JH482" s="978"/>
      <c r="JI482" s="978"/>
      <c r="JJ482" s="978"/>
      <c r="JK482" s="978"/>
      <c r="JL482" s="978"/>
      <c r="JM482" s="978"/>
      <c r="JN482" s="978"/>
      <c r="JO482" s="978"/>
      <c r="JP482" s="978"/>
      <c r="JQ482" s="978"/>
      <c r="JR482" s="978"/>
      <c r="JS482" s="978"/>
      <c r="JT482" s="978"/>
      <c r="JU482" s="978"/>
      <c r="JV482" s="978"/>
      <c r="JW482" s="978"/>
      <c r="JX482" s="978"/>
      <c r="JY482" s="978"/>
      <c r="JZ482" s="978"/>
      <c r="KA482" s="978"/>
      <c r="KB482" s="978"/>
      <c r="KC482" s="978"/>
      <c r="KD482" s="978"/>
      <c r="KE482" s="978"/>
      <c r="KF482" s="978"/>
      <c r="KG482" s="978"/>
      <c r="KH482" s="978"/>
      <c r="KI482" s="978"/>
      <c r="KJ482" s="978"/>
      <c r="KK482" s="978"/>
      <c r="KL482" s="978"/>
      <c r="KM482" s="978"/>
      <c r="KN482" s="978"/>
      <c r="KO482" s="978"/>
      <c r="KP482" s="978"/>
      <c r="KQ482" s="978"/>
      <c r="KR482" s="978"/>
      <c r="KS482" s="978"/>
      <c r="KT482" s="978"/>
      <c r="KU482" s="978"/>
      <c r="KV482" s="978"/>
      <c r="KW482" s="978"/>
      <c r="KX482" s="978"/>
      <c r="KY482" s="978"/>
      <c r="KZ482" s="978"/>
      <c r="LA482" s="978"/>
      <c r="LB482" s="978"/>
      <c r="LC482" s="978"/>
      <c r="LD482" s="978"/>
      <c r="LE482" s="978"/>
      <c r="LF482" s="978"/>
      <c r="LG482" s="978"/>
      <c r="LH482" s="978"/>
      <c r="LI482" s="978"/>
      <c r="LJ482" s="978"/>
      <c r="LK482" s="978"/>
      <c r="LL482" s="978"/>
      <c r="LM482" s="978"/>
      <c r="LN482" s="978"/>
      <c r="LO482" s="978"/>
      <c r="LP482" s="978"/>
      <c r="LQ482" s="978"/>
      <c r="LR482" s="978"/>
      <c r="LS482" s="978"/>
      <c r="LT482" s="978"/>
      <c r="LU482" s="978"/>
      <c r="LV482" s="978"/>
      <c r="LW482" s="978"/>
      <c r="LX482" s="978"/>
      <c r="LY482" s="978"/>
      <c r="LZ482" s="978"/>
      <c r="MA482" s="978"/>
      <c r="MB482" s="978"/>
      <c r="MC482" s="978"/>
      <c r="MD482" s="978"/>
      <c r="ME482" s="978"/>
      <c r="MF482" s="978"/>
      <c r="MG482" s="978"/>
      <c r="MH482" s="978"/>
      <c r="MI482" s="978"/>
      <c r="MJ482" s="978"/>
      <c r="MK482" s="978"/>
      <c r="ML482" s="978"/>
      <c r="MM482" s="978"/>
      <c r="MN482" s="978"/>
      <c r="MO482" s="978"/>
      <c r="MP482" s="978"/>
      <c r="MQ482" s="978"/>
      <c r="MR482" s="978"/>
      <c r="MS482" s="978"/>
      <c r="MT482" s="978"/>
      <c r="MU482" s="978"/>
      <c r="MV482" s="978"/>
      <c r="MW482" s="978"/>
      <c r="MX482" s="978"/>
      <c r="MY482" s="978"/>
      <c r="MZ482" s="978"/>
      <c r="NA482" s="978"/>
      <c r="NB482" s="978"/>
      <c r="NC482" s="978"/>
      <c r="ND482" s="978"/>
      <c r="NE482" s="978"/>
      <c r="NF482" s="978"/>
      <c r="NG482" s="978"/>
      <c r="NH482" s="978"/>
      <c r="NI482" s="978"/>
      <c r="NJ482" s="978"/>
      <c r="NK482" s="978"/>
      <c r="NL482" s="978"/>
      <c r="NM482" s="978"/>
      <c r="NN482" s="978"/>
      <c r="NO482" s="978"/>
      <c r="NP482" s="978"/>
      <c r="NQ482" s="978"/>
      <c r="NR482" s="978"/>
      <c r="NS482" s="978"/>
      <c r="NT482" s="978"/>
      <c r="NU482" s="978"/>
      <c r="NV482" s="978"/>
      <c r="NW482" s="978"/>
      <c r="NX482" s="978"/>
      <c r="NY482" s="978"/>
      <c r="NZ482" s="978"/>
      <c r="OA482" s="978"/>
      <c r="OB482" s="978"/>
      <c r="OC482" s="978"/>
      <c r="OD482" s="978"/>
      <c r="OE482" s="978"/>
      <c r="OF482" s="978"/>
      <c r="OG482" s="978"/>
      <c r="OH482" s="978"/>
      <c r="OI482" s="978"/>
      <c r="OJ482" s="978"/>
      <c r="OK482" s="978"/>
      <c r="OL482" s="978"/>
      <c r="OM482" s="978"/>
      <c r="ON482" s="978"/>
      <c r="OO482" s="978"/>
      <c r="OP482" s="978"/>
      <c r="OQ482" s="978"/>
      <c r="OR482" s="978"/>
      <c r="OS482" s="978"/>
      <c r="OT482" s="978"/>
      <c r="OU482" s="978"/>
      <c r="OV482" s="978"/>
      <c r="OW482" s="978"/>
      <c r="OX482" s="978"/>
      <c r="OY482" s="978"/>
      <c r="OZ482" s="978"/>
      <c r="PA482" s="978"/>
      <c r="PB482" s="978"/>
      <c r="PC482" s="978"/>
      <c r="PD482" s="978"/>
      <c r="PE482" s="978"/>
      <c r="PF482" s="978"/>
      <c r="PG482" s="978"/>
      <c r="PH482" s="978"/>
      <c r="PI482" s="978"/>
      <c r="PJ482" s="978"/>
      <c r="PK482" s="978"/>
      <c r="PL482" s="978"/>
      <c r="PM482" s="978"/>
      <c r="PN482" s="978"/>
      <c r="PO482" s="978"/>
      <c r="PP482" s="978"/>
      <c r="PQ482" s="978"/>
      <c r="PR482" s="978"/>
      <c r="PS482" s="978"/>
      <c r="PT482" s="978"/>
      <c r="PU482" s="978"/>
      <c r="PV482" s="978"/>
      <c r="PW482" s="978"/>
      <c r="PX482" s="978"/>
      <c r="PY482" s="978"/>
      <c r="PZ482" s="978"/>
      <c r="QA482" s="978"/>
      <c r="QB482" s="978"/>
      <c r="QC482" s="978"/>
      <c r="QD482" s="978"/>
      <c r="QE482" s="978"/>
      <c r="QF482" s="978"/>
      <c r="QG482" s="978"/>
      <c r="QH482" s="978"/>
      <c r="QI482" s="978"/>
      <c r="QJ482" s="978"/>
      <c r="QK482" s="978"/>
      <c r="QL482" s="978"/>
      <c r="QM482" s="978"/>
      <c r="QN482" s="978"/>
      <c r="QO482" s="978"/>
      <c r="QP482" s="978"/>
      <c r="QQ482" s="978"/>
      <c r="QR482" s="978"/>
      <c r="QS482" s="978"/>
      <c r="QT482" s="978"/>
      <c r="QU482" s="978"/>
      <c r="QV482" s="978"/>
      <c r="QW482" s="978"/>
      <c r="QX482" s="978"/>
      <c r="QY482" s="978"/>
      <c r="QZ482" s="978"/>
      <c r="RA482" s="978"/>
      <c r="RB482" s="274"/>
      <c r="RC482" s="274"/>
    </row>
    <row r="483" spans="112:471">
      <c r="DH483" s="274"/>
      <c r="DI483" s="274"/>
      <c r="DJ483" s="274"/>
      <c r="DK483" s="274"/>
      <c r="DL483" s="274"/>
      <c r="DM483" s="274"/>
      <c r="DN483" s="274"/>
      <c r="DO483" s="274"/>
      <c r="DP483" s="274"/>
      <c r="DQ483" s="274"/>
      <c r="DR483" s="274"/>
      <c r="DS483" s="274"/>
      <c r="DT483" s="274"/>
      <c r="DU483" s="274"/>
      <c r="DV483" s="274"/>
      <c r="DW483" s="274"/>
      <c r="DX483" s="274"/>
      <c r="DY483" s="274"/>
      <c r="DZ483" s="274"/>
      <c r="EA483" s="274"/>
      <c r="EB483" s="274"/>
      <c r="EC483" s="274"/>
      <c r="ED483" s="274"/>
      <c r="EE483" s="274"/>
      <c r="EF483" s="274"/>
      <c r="EG483" s="274"/>
      <c r="EH483" s="274"/>
      <c r="EI483" s="274"/>
      <c r="EJ483" s="274"/>
      <c r="EK483" s="274"/>
      <c r="EL483" s="274"/>
      <c r="EM483" s="274"/>
      <c r="EN483" s="274"/>
      <c r="EO483" s="274"/>
      <c r="EP483" s="274"/>
      <c r="EQ483" s="274"/>
      <c r="ER483" s="274"/>
      <c r="ES483" s="274"/>
      <c r="ET483" s="274"/>
      <c r="EU483" s="274"/>
      <c r="EV483" s="274"/>
      <c r="EW483" s="274"/>
      <c r="EX483" s="274"/>
      <c r="EY483" s="274"/>
      <c r="EZ483" s="274"/>
      <c r="FA483" s="274"/>
      <c r="FB483" s="274"/>
      <c r="FC483" s="274"/>
      <c r="FD483" s="274"/>
      <c r="FE483" s="274"/>
      <c r="FF483" s="274"/>
      <c r="FG483" s="274"/>
      <c r="FH483" s="274"/>
      <c r="FI483" s="274"/>
      <c r="FJ483" s="274"/>
      <c r="FK483" s="274"/>
      <c r="FL483" s="274"/>
      <c r="FM483" s="274"/>
      <c r="FN483" s="274"/>
      <c r="FO483" s="274"/>
      <c r="FP483" s="274"/>
      <c r="FQ483" s="274"/>
      <c r="FR483" s="274"/>
      <c r="FS483" s="274"/>
      <c r="FT483" s="274"/>
      <c r="FU483" s="274"/>
      <c r="FV483" s="274"/>
      <c r="FW483" s="274"/>
      <c r="FX483" s="274"/>
      <c r="FY483" s="274"/>
      <c r="FZ483" s="274"/>
      <c r="GA483" s="274"/>
      <c r="GB483" s="274"/>
      <c r="GC483" s="274"/>
      <c r="GD483" s="274"/>
      <c r="GE483" s="274"/>
      <c r="GF483" s="274"/>
      <c r="GG483" s="274"/>
      <c r="GH483" s="274"/>
      <c r="GI483" s="274"/>
      <c r="GJ483" s="274"/>
      <c r="GK483" s="274"/>
      <c r="GL483" s="274"/>
      <c r="GM483" s="274"/>
      <c r="GN483" s="274"/>
      <c r="GO483" s="274"/>
      <c r="GP483" s="274"/>
      <c r="GQ483" s="274"/>
      <c r="GR483" s="274"/>
      <c r="GS483" s="274"/>
      <c r="GT483" s="274"/>
      <c r="GU483" s="274"/>
      <c r="GV483" s="274"/>
      <c r="GW483" s="274"/>
      <c r="GX483" s="274"/>
      <c r="GY483" s="274"/>
      <c r="GZ483" s="274"/>
      <c r="HA483" s="274"/>
      <c r="HB483" s="274"/>
      <c r="HC483" s="274"/>
      <c r="HD483" s="274"/>
      <c r="HE483" s="274"/>
      <c r="HF483" s="274"/>
      <c r="HG483" s="274"/>
      <c r="HH483" s="274"/>
      <c r="HI483" s="274"/>
      <c r="HJ483" s="274"/>
      <c r="HK483" s="274"/>
      <c r="HL483" s="274"/>
      <c r="HM483" s="274"/>
      <c r="HN483" s="274"/>
      <c r="HO483" s="274"/>
      <c r="HP483" s="274"/>
      <c r="HQ483" s="274"/>
      <c r="HR483" s="274"/>
      <c r="HS483" s="274"/>
      <c r="HT483" s="274"/>
      <c r="HU483" s="274"/>
      <c r="HV483" s="274"/>
      <c r="HW483" s="274"/>
      <c r="HX483" s="274"/>
      <c r="HY483" s="274"/>
      <c r="HZ483" s="274"/>
      <c r="IA483" s="274"/>
      <c r="IB483" s="274"/>
      <c r="IC483" s="274"/>
      <c r="ID483" s="274"/>
      <c r="IE483" s="274"/>
      <c r="IF483" s="274"/>
      <c r="IG483" s="274"/>
      <c r="IH483" s="274"/>
      <c r="II483" s="274"/>
      <c r="IJ483" s="274"/>
      <c r="IK483" s="274"/>
      <c r="IL483" s="274"/>
      <c r="IM483" s="274"/>
      <c r="IN483" s="274"/>
      <c r="IO483" s="274"/>
      <c r="IP483" s="274"/>
      <c r="IQ483" s="274"/>
      <c r="IR483" s="274"/>
      <c r="IS483" s="274"/>
      <c r="IT483" s="274"/>
      <c r="IU483" s="274"/>
      <c r="IV483" s="274"/>
      <c r="IW483" s="274"/>
      <c r="IX483" s="274"/>
      <c r="IY483" s="274"/>
      <c r="IZ483" s="274"/>
      <c r="JA483" s="274"/>
      <c r="JB483" s="274"/>
      <c r="JC483" s="274"/>
      <c r="JD483" s="274"/>
      <c r="JE483" s="274"/>
      <c r="JF483" s="274"/>
      <c r="JG483" s="274"/>
      <c r="JH483" s="274"/>
      <c r="JI483" s="274"/>
      <c r="JJ483" s="274"/>
      <c r="JK483" s="274"/>
      <c r="JL483" s="274"/>
      <c r="JM483" s="274"/>
      <c r="JN483" s="274"/>
      <c r="JO483" s="274"/>
      <c r="JP483" s="274"/>
      <c r="JQ483" s="274"/>
      <c r="JR483" s="274"/>
      <c r="JS483" s="274"/>
      <c r="JT483" s="274"/>
      <c r="JU483" s="274"/>
      <c r="JV483" s="274"/>
      <c r="JW483" s="274"/>
      <c r="JX483" s="274"/>
      <c r="JY483" s="274"/>
      <c r="JZ483" s="274"/>
      <c r="KA483" s="274"/>
      <c r="KB483" s="274"/>
      <c r="KC483" s="274"/>
      <c r="KD483" s="274"/>
      <c r="KE483" s="274"/>
      <c r="KF483" s="274"/>
      <c r="KG483" s="274"/>
      <c r="KH483" s="274"/>
      <c r="KI483" s="274"/>
      <c r="KJ483" s="274"/>
      <c r="KK483" s="274"/>
      <c r="KL483" s="274"/>
      <c r="KM483" s="274"/>
      <c r="KN483" s="274"/>
      <c r="KO483" s="274"/>
      <c r="KP483" s="274"/>
      <c r="KQ483" s="274"/>
      <c r="KR483" s="274"/>
      <c r="KS483" s="274"/>
      <c r="KT483" s="274"/>
      <c r="KU483" s="274"/>
      <c r="KV483" s="274"/>
      <c r="KW483" s="274"/>
      <c r="KX483" s="274"/>
      <c r="KY483" s="274"/>
      <c r="KZ483" s="274"/>
      <c r="LA483" s="274"/>
      <c r="LB483" s="274"/>
      <c r="LC483" s="274"/>
      <c r="LD483" s="274"/>
      <c r="LE483" s="274"/>
      <c r="LF483" s="274"/>
      <c r="LG483" s="274"/>
      <c r="LH483" s="274"/>
      <c r="LI483" s="274"/>
      <c r="LJ483" s="274"/>
      <c r="LK483" s="274"/>
      <c r="LL483" s="274"/>
      <c r="LM483" s="274"/>
      <c r="LN483" s="274"/>
      <c r="LO483" s="274"/>
      <c r="LP483" s="274"/>
      <c r="LQ483" s="274"/>
      <c r="LR483" s="274"/>
      <c r="LS483" s="274"/>
      <c r="LT483" s="274"/>
      <c r="LU483" s="274"/>
      <c r="LV483" s="274"/>
      <c r="LW483" s="274"/>
      <c r="LX483" s="274"/>
      <c r="LY483" s="274"/>
      <c r="LZ483" s="274"/>
      <c r="MA483" s="274"/>
      <c r="MB483" s="274"/>
      <c r="MC483" s="274"/>
      <c r="MD483" s="274"/>
      <c r="ME483" s="274"/>
      <c r="MF483" s="274"/>
      <c r="MG483" s="274"/>
      <c r="MH483" s="274"/>
      <c r="MI483" s="274"/>
      <c r="MJ483" s="274"/>
      <c r="MK483" s="274"/>
      <c r="ML483" s="274"/>
      <c r="MM483" s="274"/>
      <c r="MN483" s="274"/>
      <c r="MO483" s="274"/>
      <c r="MP483" s="274"/>
      <c r="MQ483" s="274"/>
      <c r="MR483" s="274"/>
      <c r="MS483" s="274"/>
      <c r="MT483" s="274"/>
      <c r="MU483" s="274"/>
      <c r="MV483" s="274"/>
      <c r="MW483" s="274"/>
      <c r="MX483" s="274"/>
      <c r="MY483" s="274"/>
      <c r="MZ483" s="274"/>
      <c r="NA483" s="274"/>
      <c r="NB483" s="274"/>
      <c r="NC483" s="274"/>
      <c r="ND483" s="274"/>
      <c r="NE483" s="274"/>
      <c r="NF483" s="274"/>
      <c r="NG483" s="274"/>
      <c r="NH483" s="274"/>
      <c r="NI483" s="274"/>
      <c r="NJ483" s="274"/>
      <c r="NK483" s="274"/>
      <c r="NL483" s="274"/>
      <c r="NM483" s="274"/>
      <c r="NN483" s="274"/>
      <c r="NO483" s="274"/>
      <c r="NP483" s="274"/>
      <c r="NQ483" s="274"/>
      <c r="NR483" s="274"/>
      <c r="NS483" s="274"/>
      <c r="NT483" s="274"/>
      <c r="NU483" s="274"/>
      <c r="NV483" s="274"/>
      <c r="NW483" s="274"/>
      <c r="NX483" s="274"/>
      <c r="NY483" s="274"/>
      <c r="NZ483" s="274"/>
      <c r="OA483" s="274"/>
      <c r="OB483" s="274"/>
      <c r="OC483" s="274"/>
      <c r="OD483" s="274"/>
      <c r="OE483" s="274"/>
      <c r="OF483" s="274"/>
      <c r="OG483" s="274"/>
      <c r="OH483" s="274"/>
      <c r="OI483" s="274"/>
      <c r="OJ483" s="274"/>
      <c r="OK483" s="274"/>
      <c r="OL483" s="274"/>
      <c r="OM483" s="274"/>
      <c r="ON483" s="274"/>
      <c r="OO483" s="274"/>
      <c r="OP483" s="274"/>
      <c r="OQ483" s="274"/>
      <c r="OR483" s="274"/>
      <c r="OS483" s="274"/>
      <c r="OT483" s="274"/>
      <c r="OU483" s="274"/>
      <c r="OV483" s="274"/>
      <c r="OW483" s="274"/>
      <c r="OX483" s="274"/>
      <c r="OY483" s="274"/>
      <c r="OZ483" s="274"/>
      <c r="PA483" s="274"/>
      <c r="PB483" s="274"/>
      <c r="PC483" s="274"/>
      <c r="PD483" s="274"/>
      <c r="PE483" s="274"/>
      <c r="PF483" s="274"/>
      <c r="PG483" s="274"/>
      <c r="PH483" s="274"/>
      <c r="PI483" s="274"/>
      <c r="PJ483" s="274"/>
      <c r="PK483" s="274"/>
      <c r="PL483" s="274"/>
      <c r="PM483" s="274"/>
      <c r="PN483" s="274"/>
      <c r="PO483" s="274"/>
      <c r="PP483" s="274"/>
      <c r="PQ483" s="274"/>
      <c r="PR483" s="274"/>
      <c r="PS483" s="274"/>
      <c r="PT483" s="274"/>
      <c r="PU483" s="274"/>
      <c r="PV483" s="274"/>
      <c r="PW483" s="274"/>
      <c r="PX483" s="274"/>
      <c r="PY483" s="274"/>
      <c r="PZ483" s="274"/>
      <c r="QA483" s="274"/>
      <c r="QB483" s="274"/>
      <c r="QC483" s="274"/>
      <c r="QD483" s="274"/>
      <c r="QE483" s="274"/>
      <c r="QF483" s="274"/>
      <c r="QG483" s="274"/>
      <c r="QH483" s="274"/>
      <c r="QI483" s="274"/>
      <c r="QJ483" s="274"/>
      <c r="QK483" s="274"/>
      <c r="QL483" s="274"/>
      <c r="QM483" s="274"/>
      <c r="QN483" s="274"/>
      <c r="QO483" s="274"/>
      <c r="QP483" s="274"/>
      <c r="QQ483" s="274"/>
      <c r="QR483" s="274"/>
      <c r="QS483" s="274"/>
      <c r="QT483" s="274"/>
      <c r="QU483" s="274"/>
      <c r="QV483" s="274"/>
      <c r="QW483" s="274"/>
      <c r="QX483" s="274"/>
      <c r="QY483" s="274"/>
      <c r="QZ483" s="274"/>
      <c r="RA483" s="274"/>
      <c r="RB483" s="274"/>
      <c r="RC483" s="274"/>
    </row>
    <row r="484" spans="112:471">
      <c r="DH484" s="274"/>
      <c r="DI484" s="274"/>
      <c r="DJ484" s="274"/>
      <c r="DK484" s="274"/>
      <c r="DL484" s="274"/>
      <c r="DM484" s="274"/>
      <c r="DN484" s="274"/>
      <c r="DO484" s="274"/>
      <c r="DP484" s="274"/>
      <c r="DQ484" s="274"/>
      <c r="DR484" s="274"/>
      <c r="DS484" s="274"/>
      <c r="DT484" s="274"/>
      <c r="DU484" s="274"/>
      <c r="DV484" s="274"/>
      <c r="DW484" s="274"/>
      <c r="DX484" s="274"/>
      <c r="DY484" s="274"/>
      <c r="DZ484" s="274"/>
      <c r="EA484" s="274"/>
      <c r="EB484" s="274"/>
      <c r="EC484" s="274"/>
      <c r="ED484" s="274"/>
      <c r="EE484" s="274"/>
      <c r="EF484" s="274"/>
      <c r="EG484" s="274"/>
      <c r="EH484" s="274"/>
      <c r="EI484" s="274"/>
      <c r="EJ484" s="274"/>
      <c r="EK484" s="274"/>
      <c r="EL484" s="274"/>
      <c r="EM484" s="274"/>
      <c r="EN484" s="274"/>
      <c r="EO484" s="274"/>
      <c r="EP484" s="274"/>
      <c r="EQ484" s="274"/>
      <c r="ER484" s="274"/>
      <c r="ES484" s="274"/>
      <c r="ET484" s="274"/>
      <c r="EU484" s="274"/>
      <c r="EV484" s="274"/>
      <c r="EW484" s="274"/>
      <c r="EX484" s="274"/>
      <c r="EY484" s="274"/>
      <c r="EZ484" s="274"/>
      <c r="FA484" s="274"/>
      <c r="FB484" s="274"/>
      <c r="FC484" s="274"/>
      <c r="FD484" s="274"/>
      <c r="FE484" s="274"/>
      <c r="FF484" s="274"/>
      <c r="FG484" s="274"/>
      <c r="FH484" s="274"/>
      <c r="FI484" s="274"/>
      <c r="FJ484" s="274"/>
      <c r="FK484" s="274"/>
      <c r="FL484" s="274"/>
      <c r="FM484" s="274"/>
      <c r="FN484" s="274"/>
      <c r="FO484" s="274"/>
      <c r="FP484" s="274"/>
      <c r="FQ484" s="274"/>
      <c r="FR484" s="274"/>
      <c r="FS484" s="274"/>
      <c r="FT484" s="274"/>
      <c r="FU484" s="274"/>
      <c r="FV484" s="274"/>
      <c r="FW484" s="274"/>
      <c r="FX484" s="274"/>
      <c r="FY484" s="274"/>
      <c r="FZ484" s="274"/>
      <c r="GA484" s="274"/>
      <c r="GB484" s="274"/>
      <c r="GC484" s="274"/>
      <c r="GD484" s="274"/>
      <c r="GE484" s="274"/>
      <c r="GF484" s="274"/>
      <c r="GG484" s="274"/>
      <c r="GH484" s="274"/>
      <c r="GI484" s="274"/>
      <c r="GJ484" s="274"/>
      <c r="GK484" s="274"/>
      <c r="GL484" s="274"/>
      <c r="GM484" s="274"/>
      <c r="GN484" s="274"/>
      <c r="GO484" s="274"/>
      <c r="GP484" s="274"/>
      <c r="GQ484" s="274"/>
      <c r="GR484" s="274"/>
      <c r="GS484" s="274"/>
      <c r="GT484" s="274"/>
      <c r="GU484" s="274"/>
      <c r="GV484" s="274"/>
      <c r="GW484" s="274"/>
      <c r="GX484" s="274"/>
      <c r="GY484" s="274"/>
      <c r="GZ484" s="274"/>
      <c r="HA484" s="274"/>
      <c r="HB484" s="274"/>
      <c r="HC484" s="274"/>
      <c r="HD484" s="274"/>
      <c r="HE484" s="274"/>
      <c r="HF484" s="274"/>
      <c r="HG484" s="274"/>
      <c r="HH484" s="274"/>
      <c r="HI484" s="274"/>
      <c r="HJ484" s="274"/>
      <c r="HK484" s="274"/>
      <c r="HL484" s="274"/>
      <c r="HM484" s="274"/>
      <c r="HN484" s="274"/>
      <c r="HO484" s="274"/>
      <c r="HP484" s="274"/>
      <c r="HQ484" s="274"/>
      <c r="HR484" s="274"/>
      <c r="HS484" s="274"/>
      <c r="HT484" s="274"/>
      <c r="HU484" s="274"/>
      <c r="HV484" s="274"/>
      <c r="HW484" s="274"/>
      <c r="HX484" s="274"/>
      <c r="HY484" s="274"/>
      <c r="HZ484" s="274"/>
      <c r="IA484" s="274"/>
      <c r="IB484" s="274"/>
      <c r="IC484" s="274"/>
      <c r="ID484" s="274"/>
      <c r="IE484" s="274"/>
      <c r="IF484" s="274"/>
      <c r="IG484" s="274"/>
      <c r="IH484" s="274"/>
      <c r="II484" s="274"/>
      <c r="IJ484" s="274"/>
      <c r="IK484" s="274"/>
      <c r="IL484" s="274"/>
      <c r="IM484" s="274"/>
      <c r="IN484" s="274"/>
      <c r="IO484" s="274"/>
      <c r="IP484" s="274"/>
      <c r="IQ484" s="274"/>
      <c r="IR484" s="274"/>
      <c r="IS484" s="274"/>
      <c r="IT484" s="274"/>
      <c r="IU484" s="274"/>
      <c r="IV484" s="274"/>
      <c r="IW484" s="274"/>
      <c r="IX484" s="274"/>
      <c r="IY484" s="274"/>
      <c r="IZ484" s="274"/>
      <c r="JA484" s="274"/>
      <c r="JB484" s="274"/>
      <c r="JC484" s="274"/>
      <c r="JD484" s="274"/>
      <c r="JE484" s="274"/>
      <c r="JF484" s="274"/>
      <c r="JG484" s="274"/>
      <c r="JH484" s="274"/>
      <c r="JI484" s="274"/>
      <c r="JJ484" s="274"/>
      <c r="JK484" s="274"/>
      <c r="JL484" s="274"/>
      <c r="JM484" s="274"/>
      <c r="JN484" s="274"/>
      <c r="JO484" s="274"/>
      <c r="JP484" s="274"/>
      <c r="JQ484" s="274"/>
      <c r="JR484" s="274"/>
      <c r="JS484" s="274"/>
      <c r="JT484" s="274"/>
      <c r="JU484" s="274"/>
      <c r="JV484" s="274"/>
      <c r="JW484" s="274"/>
      <c r="JX484" s="274"/>
      <c r="JY484" s="274"/>
      <c r="JZ484" s="274"/>
      <c r="KA484" s="274"/>
      <c r="KB484" s="274"/>
      <c r="KC484" s="274"/>
      <c r="KD484" s="274"/>
      <c r="KE484" s="274"/>
      <c r="KF484" s="274"/>
      <c r="KG484" s="274"/>
      <c r="KH484" s="274"/>
      <c r="KI484" s="274"/>
      <c r="KJ484" s="274"/>
      <c r="KK484" s="274"/>
      <c r="KL484" s="274"/>
      <c r="KM484" s="274"/>
      <c r="KN484" s="274"/>
      <c r="KO484" s="274"/>
      <c r="KP484" s="274"/>
      <c r="KQ484" s="274"/>
      <c r="KR484" s="274"/>
      <c r="KS484" s="274"/>
      <c r="KT484" s="274"/>
      <c r="KU484" s="274"/>
      <c r="KV484" s="274"/>
      <c r="KW484" s="274"/>
      <c r="KX484" s="274"/>
      <c r="KY484" s="274"/>
      <c r="KZ484" s="274"/>
      <c r="LA484" s="274"/>
      <c r="LB484" s="274"/>
      <c r="LC484" s="274"/>
      <c r="LD484" s="274"/>
      <c r="LE484" s="274"/>
      <c r="LF484" s="274"/>
      <c r="LG484" s="274"/>
      <c r="LH484" s="274"/>
      <c r="LI484" s="274"/>
      <c r="LJ484" s="274"/>
      <c r="LK484" s="274"/>
      <c r="LL484" s="274"/>
      <c r="LM484" s="274"/>
      <c r="LN484" s="274"/>
      <c r="LO484" s="274"/>
      <c r="LP484" s="274"/>
      <c r="LQ484" s="274"/>
      <c r="LR484" s="274"/>
      <c r="LS484" s="274"/>
      <c r="LT484" s="274"/>
      <c r="LU484" s="274"/>
      <c r="LV484" s="274"/>
      <c r="LW484" s="274"/>
      <c r="LX484" s="274"/>
      <c r="LY484" s="274"/>
      <c r="LZ484" s="274"/>
      <c r="MA484" s="274"/>
      <c r="MB484" s="274"/>
      <c r="MC484" s="274"/>
      <c r="MD484" s="274"/>
      <c r="ME484" s="274"/>
      <c r="MF484" s="274"/>
      <c r="MG484" s="274"/>
      <c r="MH484" s="274"/>
      <c r="MI484" s="274"/>
      <c r="MJ484" s="274"/>
      <c r="MK484" s="274"/>
      <c r="ML484" s="274"/>
      <c r="MM484" s="274"/>
      <c r="MN484" s="274"/>
      <c r="MO484" s="274"/>
      <c r="MP484" s="274"/>
      <c r="MQ484" s="274"/>
      <c r="MR484" s="274"/>
      <c r="MS484" s="274"/>
      <c r="MT484" s="274"/>
      <c r="MU484" s="274"/>
      <c r="MV484" s="274"/>
      <c r="MW484" s="274"/>
      <c r="MX484" s="274"/>
      <c r="MY484" s="274"/>
      <c r="MZ484" s="274"/>
      <c r="NA484" s="274"/>
      <c r="NB484" s="274"/>
      <c r="NC484" s="274"/>
      <c r="ND484" s="274"/>
      <c r="NE484" s="274"/>
      <c r="NF484" s="274"/>
      <c r="NG484" s="274"/>
      <c r="NH484" s="274"/>
      <c r="NI484" s="274"/>
      <c r="NJ484" s="274"/>
      <c r="NK484" s="274"/>
      <c r="NL484" s="274"/>
      <c r="NM484" s="274"/>
      <c r="NN484" s="274"/>
      <c r="NO484" s="274"/>
      <c r="NP484" s="274"/>
      <c r="NQ484" s="274"/>
      <c r="NR484" s="274"/>
      <c r="NS484" s="274"/>
      <c r="NT484" s="274"/>
      <c r="NU484" s="274"/>
      <c r="NV484" s="274"/>
      <c r="NW484" s="274"/>
      <c r="NX484" s="274"/>
      <c r="NY484" s="274"/>
      <c r="NZ484" s="274"/>
      <c r="OA484" s="274"/>
      <c r="OB484" s="274"/>
      <c r="OC484" s="274"/>
      <c r="OD484" s="274"/>
      <c r="OE484" s="274"/>
      <c r="OF484" s="274"/>
      <c r="OG484" s="274"/>
      <c r="OH484" s="274"/>
      <c r="OI484" s="274"/>
      <c r="OJ484" s="274"/>
      <c r="OK484" s="274"/>
      <c r="OL484" s="274"/>
      <c r="OM484" s="274"/>
      <c r="ON484" s="274"/>
      <c r="OO484" s="274"/>
      <c r="OP484" s="274"/>
      <c r="OQ484" s="274"/>
      <c r="OR484" s="274"/>
      <c r="OS484" s="274"/>
      <c r="OT484" s="274"/>
      <c r="OU484" s="274"/>
      <c r="OV484" s="274"/>
      <c r="OW484" s="274"/>
      <c r="OX484" s="274"/>
      <c r="OY484" s="274"/>
      <c r="OZ484" s="274"/>
      <c r="PA484" s="274"/>
      <c r="PB484" s="274"/>
      <c r="PC484" s="274"/>
      <c r="PD484" s="274"/>
      <c r="PE484" s="274"/>
      <c r="PF484" s="274"/>
      <c r="PG484" s="274"/>
      <c r="PH484" s="274"/>
      <c r="PI484" s="274"/>
      <c r="PJ484" s="274"/>
      <c r="PK484" s="274"/>
      <c r="PL484" s="274"/>
      <c r="PM484" s="274"/>
      <c r="PN484" s="274"/>
      <c r="PO484" s="274"/>
      <c r="PP484" s="274"/>
      <c r="PQ484" s="274"/>
      <c r="PR484" s="274"/>
      <c r="PS484" s="274"/>
      <c r="PT484" s="274"/>
      <c r="PU484" s="274"/>
      <c r="PV484" s="274"/>
      <c r="PW484" s="274"/>
      <c r="PX484" s="274"/>
      <c r="PY484" s="274"/>
      <c r="PZ484" s="274"/>
      <c r="QA484" s="274"/>
      <c r="QB484" s="274"/>
      <c r="QC484" s="274"/>
      <c r="QD484" s="274"/>
      <c r="QE484" s="274"/>
      <c r="QF484" s="274"/>
      <c r="QG484" s="274"/>
      <c r="QH484" s="274"/>
      <c r="QI484" s="274"/>
      <c r="QJ484" s="274"/>
      <c r="QK484" s="274"/>
      <c r="QL484" s="274"/>
      <c r="QM484" s="274"/>
      <c r="QN484" s="274"/>
      <c r="QO484" s="274"/>
      <c r="QP484" s="274"/>
      <c r="QQ484" s="274"/>
      <c r="QR484" s="274"/>
      <c r="QS484" s="274"/>
      <c r="QT484" s="274"/>
      <c r="QU484" s="274"/>
      <c r="QV484" s="274"/>
      <c r="QW484" s="274"/>
      <c r="QX484" s="274"/>
      <c r="QY484" s="274"/>
      <c r="QZ484" s="274"/>
      <c r="RA484" s="274"/>
      <c r="RB484" s="274"/>
      <c r="RC484" s="274"/>
    </row>
    <row r="485" spans="112:471" ht="17.25">
      <c r="DH485" s="274"/>
      <c r="DI485" s="274"/>
      <c r="DJ485" s="978"/>
      <c r="DK485" s="274"/>
      <c r="DL485" s="274"/>
      <c r="DM485" s="274"/>
      <c r="DN485" s="274"/>
      <c r="DO485" s="274"/>
      <c r="DP485" s="274"/>
      <c r="DQ485" s="274"/>
      <c r="DR485" s="274"/>
      <c r="DS485" s="274"/>
      <c r="DT485" s="274"/>
      <c r="DU485" s="274"/>
      <c r="DV485" s="274"/>
      <c r="DW485" s="274"/>
      <c r="DX485" s="274"/>
      <c r="DY485" s="274"/>
      <c r="DZ485" s="274"/>
      <c r="EA485" s="274"/>
      <c r="EB485" s="274"/>
      <c r="EC485" s="274"/>
      <c r="ED485" s="274"/>
      <c r="EE485" s="274"/>
      <c r="EF485" s="274"/>
      <c r="EG485" s="274"/>
      <c r="EH485" s="274"/>
      <c r="EI485" s="274"/>
      <c r="EJ485" s="274"/>
      <c r="EK485" s="274"/>
      <c r="EL485" s="274"/>
      <c r="EM485" s="274"/>
      <c r="EN485" s="274"/>
      <c r="EO485" s="274"/>
      <c r="EP485" s="274"/>
      <c r="EQ485" s="274"/>
      <c r="ER485" s="274"/>
      <c r="ES485" s="274"/>
      <c r="ET485" s="274"/>
      <c r="EU485" s="274"/>
      <c r="EV485" s="274"/>
      <c r="EW485" s="274"/>
      <c r="EX485" s="274"/>
      <c r="EY485" s="274"/>
      <c r="EZ485" s="274"/>
      <c r="FA485" s="274"/>
      <c r="FB485" s="274"/>
      <c r="FC485" s="274"/>
      <c r="FD485" s="274"/>
      <c r="FE485" s="274"/>
      <c r="FF485" s="274"/>
      <c r="FG485" s="274"/>
      <c r="FH485" s="274"/>
      <c r="FI485" s="274"/>
      <c r="FJ485" s="274"/>
      <c r="FK485" s="274"/>
      <c r="FL485" s="274"/>
      <c r="FM485" s="274"/>
      <c r="FN485" s="274"/>
      <c r="FO485" s="274"/>
      <c r="FP485" s="274"/>
      <c r="FQ485" s="274"/>
      <c r="FR485" s="274"/>
      <c r="FS485" s="274"/>
      <c r="FT485" s="274"/>
      <c r="FU485" s="274"/>
      <c r="FV485" s="274"/>
      <c r="FW485" s="274"/>
      <c r="FX485" s="274"/>
      <c r="FY485" s="274"/>
      <c r="FZ485" s="274"/>
      <c r="GA485" s="274"/>
      <c r="GB485" s="274"/>
      <c r="GC485" s="274"/>
      <c r="GD485" s="274"/>
      <c r="GE485" s="274"/>
      <c r="GF485" s="274"/>
      <c r="GG485" s="274"/>
      <c r="GH485" s="274"/>
      <c r="GI485" s="274"/>
      <c r="GJ485" s="274"/>
      <c r="GK485" s="274"/>
      <c r="GL485" s="274"/>
      <c r="GM485" s="274"/>
      <c r="GN485" s="274"/>
      <c r="GO485" s="274"/>
      <c r="GP485" s="274"/>
      <c r="GQ485" s="274"/>
      <c r="GR485" s="274"/>
      <c r="GS485" s="274"/>
      <c r="GT485" s="274"/>
      <c r="GU485" s="274"/>
      <c r="GV485" s="274"/>
      <c r="GW485" s="274"/>
      <c r="GX485" s="274"/>
      <c r="GY485" s="274"/>
      <c r="GZ485" s="274"/>
      <c r="HA485" s="274"/>
      <c r="HB485" s="274"/>
      <c r="HC485" s="274"/>
      <c r="HD485" s="274"/>
      <c r="HE485" s="274"/>
      <c r="HF485" s="274"/>
      <c r="HG485" s="274"/>
      <c r="HH485" s="274"/>
      <c r="HI485" s="274"/>
      <c r="HJ485" s="274"/>
      <c r="HK485" s="274"/>
      <c r="HL485" s="274"/>
      <c r="HM485" s="274"/>
      <c r="HN485" s="274"/>
      <c r="HO485" s="274"/>
      <c r="HP485" s="274"/>
      <c r="HQ485" s="274"/>
      <c r="HR485" s="274"/>
      <c r="HS485" s="274"/>
      <c r="HT485" s="274"/>
      <c r="HU485" s="274"/>
      <c r="HV485" s="274"/>
      <c r="HW485" s="274"/>
      <c r="HX485" s="274"/>
      <c r="HY485" s="274"/>
      <c r="HZ485" s="274"/>
      <c r="IA485" s="274"/>
      <c r="IB485" s="274"/>
      <c r="IC485" s="274"/>
      <c r="ID485" s="274"/>
      <c r="IE485" s="274"/>
      <c r="IF485" s="274"/>
      <c r="IG485" s="274"/>
      <c r="IH485" s="274"/>
      <c r="II485" s="274"/>
      <c r="IJ485" s="274"/>
      <c r="IK485" s="274"/>
      <c r="IL485" s="274"/>
      <c r="IM485" s="274"/>
      <c r="IN485" s="274"/>
      <c r="IO485" s="274"/>
      <c r="IP485" s="274"/>
      <c r="IQ485" s="274"/>
      <c r="IR485" s="274"/>
      <c r="IS485" s="274"/>
      <c r="IT485" s="274"/>
      <c r="IU485" s="274"/>
      <c r="IV485" s="274"/>
      <c r="IW485" s="274"/>
      <c r="IX485" s="274"/>
      <c r="IY485" s="274"/>
      <c r="IZ485" s="274"/>
      <c r="JA485" s="274"/>
      <c r="JB485" s="274"/>
      <c r="JC485" s="274"/>
      <c r="JD485" s="274"/>
      <c r="JE485" s="274"/>
      <c r="JF485" s="274"/>
      <c r="JG485" s="274"/>
      <c r="JH485" s="274"/>
      <c r="JI485" s="274"/>
      <c r="JJ485" s="274"/>
      <c r="JK485" s="274"/>
      <c r="JL485" s="274"/>
      <c r="JM485" s="274"/>
      <c r="JN485" s="274"/>
      <c r="JO485" s="274"/>
      <c r="JP485" s="274"/>
      <c r="JQ485" s="274"/>
      <c r="JR485" s="274"/>
      <c r="JS485" s="274"/>
      <c r="JT485" s="274"/>
      <c r="JU485" s="274"/>
      <c r="JV485" s="274"/>
      <c r="JW485" s="274"/>
      <c r="JX485" s="274"/>
      <c r="JY485" s="274"/>
      <c r="JZ485" s="274"/>
      <c r="KA485" s="274"/>
      <c r="KB485" s="274"/>
      <c r="KC485" s="274"/>
      <c r="KD485" s="274"/>
      <c r="KE485" s="274"/>
      <c r="KF485" s="274"/>
      <c r="KG485" s="274"/>
      <c r="KH485" s="274"/>
      <c r="KI485" s="274"/>
      <c r="KJ485" s="274"/>
      <c r="KK485" s="274"/>
      <c r="KL485" s="274"/>
      <c r="KM485" s="274"/>
      <c r="KN485" s="274"/>
      <c r="KO485" s="274"/>
      <c r="KP485" s="274"/>
      <c r="KQ485" s="274"/>
      <c r="KR485" s="274"/>
      <c r="KS485" s="274"/>
      <c r="KT485" s="274"/>
      <c r="KU485" s="274"/>
      <c r="KV485" s="274"/>
      <c r="KW485" s="274"/>
      <c r="KX485" s="274"/>
      <c r="KY485" s="274"/>
      <c r="KZ485" s="274"/>
      <c r="LA485" s="274"/>
      <c r="LB485" s="274"/>
      <c r="LC485" s="274"/>
      <c r="LD485" s="274"/>
      <c r="LE485" s="274"/>
      <c r="LF485" s="274"/>
      <c r="LG485" s="274"/>
      <c r="LH485" s="274"/>
      <c r="LI485" s="274"/>
      <c r="LJ485" s="274"/>
      <c r="LK485" s="274"/>
      <c r="LL485" s="274"/>
      <c r="LM485" s="274"/>
      <c r="LN485" s="274"/>
      <c r="LO485" s="274"/>
      <c r="LP485" s="274"/>
      <c r="LQ485" s="274"/>
      <c r="LR485" s="274"/>
      <c r="LS485" s="274"/>
      <c r="LT485" s="274"/>
      <c r="LU485" s="274"/>
      <c r="LV485" s="274"/>
      <c r="LW485" s="274"/>
      <c r="LX485" s="274"/>
      <c r="LY485" s="274"/>
      <c r="LZ485" s="274"/>
      <c r="MA485" s="274"/>
      <c r="MB485" s="274"/>
      <c r="MC485" s="274"/>
      <c r="MD485" s="274"/>
      <c r="ME485" s="274"/>
      <c r="MF485" s="274"/>
      <c r="MG485" s="274"/>
      <c r="MH485" s="274"/>
      <c r="MI485" s="274"/>
      <c r="MJ485" s="274"/>
      <c r="MK485" s="274"/>
      <c r="ML485" s="274"/>
      <c r="MM485" s="274"/>
      <c r="MN485" s="274"/>
      <c r="MO485" s="274"/>
      <c r="MP485" s="274"/>
      <c r="MQ485" s="274"/>
      <c r="MR485" s="274"/>
      <c r="MS485" s="274"/>
      <c r="MT485" s="274"/>
      <c r="MU485" s="274"/>
      <c r="MV485" s="274"/>
      <c r="MW485" s="274"/>
      <c r="MX485" s="274"/>
      <c r="MY485" s="274"/>
      <c r="MZ485" s="274"/>
      <c r="NA485" s="274"/>
      <c r="NB485" s="274"/>
      <c r="NC485" s="274"/>
      <c r="ND485" s="274"/>
      <c r="NE485" s="274"/>
      <c r="NF485" s="274"/>
      <c r="NG485" s="274"/>
      <c r="NH485" s="274"/>
      <c r="NI485" s="274"/>
      <c r="NJ485" s="274"/>
      <c r="NK485" s="274"/>
      <c r="NL485" s="274"/>
      <c r="NM485" s="274"/>
      <c r="NN485" s="274"/>
      <c r="NO485" s="274"/>
      <c r="NP485" s="274"/>
      <c r="NQ485" s="274"/>
      <c r="NR485" s="274"/>
      <c r="NS485" s="274"/>
      <c r="NT485" s="274"/>
      <c r="NU485" s="274"/>
      <c r="NV485" s="274"/>
      <c r="NW485" s="274"/>
      <c r="NX485" s="274"/>
      <c r="NY485" s="274"/>
      <c r="NZ485" s="274"/>
      <c r="OA485" s="274"/>
      <c r="OB485" s="274"/>
      <c r="OC485" s="274"/>
      <c r="OD485" s="274"/>
      <c r="OE485" s="274"/>
      <c r="OF485" s="274"/>
      <c r="OG485" s="274"/>
      <c r="OH485" s="274"/>
      <c r="OI485" s="274"/>
      <c r="OJ485" s="274"/>
      <c r="OK485" s="274"/>
      <c r="OL485" s="274"/>
      <c r="OM485" s="274"/>
      <c r="ON485" s="274"/>
      <c r="OO485" s="274"/>
      <c r="OP485" s="274"/>
      <c r="OQ485" s="274"/>
      <c r="OR485" s="274"/>
      <c r="OS485" s="274"/>
      <c r="OT485" s="274"/>
      <c r="OU485" s="274"/>
      <c r="OV485" s="274"/>
      <c r="OW485" s="274"/>
      <c r="OX485" s="274"/>
      <c r="OY485" s="274"/>
      <c r="OZ485" s="274"/>
      <c r="PA485" s="274"/>
      <c r="PB485" s="274"/>
      <c r="PC485" s="274"/>
      <c r="PD485" s="274"/>
      <c r="PE485" s="274"/>
      <c r="PF485" s="274"/>
      <c r="PG485" s="274"/>
      <c r="PH485" s="274"/>
      <c r="PI485" s="274"/>
      <c r="PJ485" s="274"/>
      <c r="PK485" s="274"/>
      <c r="PL485" s="274"/>
      <c r="PM485" s="274"/>
      <c r="PN485" s="274"/>
      <c r="PO485" s="274"/>
      <c r="PP485" s="274"/>
      <c r="PQ485" s="274"/>
      <c r="PR485" s="274"/>
      <c r="PS485" s="274"/>
      <c r="PT485" s="274"/>
      <c r="PU485" s="274"/>
      <c r="PV485" s="274"/>
      <c r="PW485" s="274"/>
      <c r="PX485" s="274"/>
      <c r="PY485" s="274"/>
      <c r="PZ485" s="274"/>
      <c r="QA485" s="274"/>
      <c r="QB485" s="274"/>
      <c r="QC485" s="274"/>
      <c r="QD485" s="274"/>
      <c r="QE485" s="274"/>
      <c r="QF485" s="274"/>
      <c r="QG485" s="274"/>
      <c r="QH485" s="274"/>
      <c r="QI485" s="274"/>
      <c r="QJ485" s="274"/>
      <c r="QK485" s="274"/>
      <c r="QL485" s="274"/>
      <c r="QM485" s="274"/>
      <c r="QN485" s="274"/>
      <c r="QO485" s="274"/>
      <c r="QP485" s="274"/>
      <c r="QQ485" s="274"/>
      <c r="QR485" s="274"/>
      <c r="QS485" s="274"/>
      <c r="QT485" s="274"/>
      <c r="QU485" s="274"/>
      <c r="QV485" s="274"/>
      <c r="QW485" s="274"/>
      <c r="QX485" s="274"/>
      <c r="QY485" s="274"/>
      <c r="QZ485" s="274"/>
      <c r="RA485" s="274"/>
      <c r="RB485" s="274"/>
      <c r="RC485" s="274"/>
    </row>
    <row r="486" spans="112:471" ht="17.25">
      <c r="DH486" s="274"/>
      <c r="DI486" s="274"/>
      <c r="DJ486" s="978"/>
      <c r="DK486" s="978"/>
      <c r="DL486" s="978"/>
      <c r="DM486" s="978"/>
      <c r="DN486" s="978"/>
      <c r="DO486" s="978"/>
      <c r="DP486" s="978"/>
      <c r="DQ486" s="978"/>
      <c r="DR486" s="978"/>
      <c r="DS486" s="978"/>
      <c r="DT486" s="978"/>
      <c r="DU486" s="978"/>
      <c r="DV486" s="978"/>
      <c r="DW486" s="978"/>
      <c r="DX486" s="978"/>
      <c r="DY486" s="978"/>
      <c r="DZ486" s="978"/>
      <c r="EA486" s="978"/>
      <c r="EB486" s="978"/>
      <c r="EC486" s="978"/>
      <c r="ED486" s="978"/>
      <c r="EE486" s="978"/>
      <c r="EF486" s="978"/>
      <c r="EG486" s="978"/>
      <c r="EH486" s="978"/>
      <c r="EI486" s="978"/>
      <c r="EJ486" s="978"/>
      <c r="EK486" s="978"/>
      <c r="EL486" s="978"/>
      <c r="EM486" s="978"/>
      <c r="EN486" s="978"/>
      <c r="EO486" s="978"/>
      <c r="EP486" s="978"/>
      <c r="EQ486" s="978"/>
      <c r="ER486" s="978"/>
      <c r="ES486" s="978"/>
      <c r="ET486" s="978"/>
      <c r="EU486" s="978"/>
      <c r="EV486" s="978"/>
      <c r="EW486" s="978"/>
      <c r="EX486" s="978"/>
      <c r="EY486" s="978"/>
      <c r="EZ486" s="978"/>
      <c r="FA486" s="978"/>
      <c r="FB486" s="978"/>
      <c r="FC486" s="978"/>
      <c r="FD486" s="978"/>
      <c r="FE486" s="978"/>
      <c r="FF486" s="978"/>
      <c r="FG486" s="978"/>
      <c r="FH486" s="978"/>
      <c r="FI486" s="978"/>
      <c r="FJ486" s="978"/>
      <c r="FK486" s="978"/>
      <c r="FL486" s="978"/>
      <c r="FM486" s="978"/>
      <c r="FN486" s="978"/>
      <c r="FO486" s="978"/>
      <c r="FP486" s="978"/>
      <c r="FQ486" s="978"/>
      <c r="FR486" s="978"/>
      <c r="FS486" s="978"/>
      <c r="FT486" s="978"/>
      <c r="FU486" s="978"/>
      <c r="FV486" s="978"/>
      <c r="FW486" s="978"/>
      <c r="FX486" s="978"/>
      <c r="FY486" s="978"/>
      <c r="FZ486" s="978"/>
      <c r="GA486" s="978"/>
      <c r="GB486" s="978"/>
      <c r="GC486" s="978"/>
      <c r="GD486" s="978"/>
      <c r="GE486" s="978"/>
      <c r="GF486" s="978"/>
      <c r="GG486" s="978"/>
      <c r="GH486" s="978"/>
      <c r="GI486" s="978"/>
      <c r="GJ486" s="978"/>
      <c r="GK486" s="978"/>
      <c r="GL486" s="978"/>
      <c r="GM486" s="978"/>
      <c r="GN486" s="978"/>
      <c r="GO486" s="978"/>
      <c r="GP486" s="978"/>
      <c r="GQ486" s="978"/>
      <c r="GR486" s="978"/>
      <c r="GS486" s="978"/>
      <c r="GT486" s="978"/>
      <c r="GU486" s="978"/>
      <c r="GV486" s="978"/>
      <c r="GW486" s="978"/>
      <c r="GX486" s="978"/>
      <c r="GY486" s="978"/>
      <c r="GZ486" s="978"/>
      <c r="HA486" s="978"/>
      <c r="HB486" s="978"/>
      <c r="HC486" s="978"/>
      <c r="HD486" s="978"/>
      <c r="HE486" s="978"/>
      <c r="HF486" s="978"/>
      <c r="HG486" s="978"/>
      <c r="HH486" s="978"/>
      <c r="HI486" s="978"/>
      <c r="HJ486" s="978"/>
      <c r="HK486" s="978"/>
      <c r="HL486" s="978"/>
      <c r="HM486" s="978"/>
      <c r="HN486" s="978"/>
      <c r="HO486" s="978"/>
      <c r="HP486" s="978"/>
      <c r="HQ486" s="978"/>
      <c r="HR486" s="978"/>
      <c r="HS486" s="978"/>
      <c r="HT486" s="978"/>
      <c r="HU486" s="978"/>
      <c r="HV486" s="978"/>
      <c r="HW486" s="978"/>
      <c r="HX486" s="978"/>
      <c r="HY486" s="978"/>
      <c r="HZ486" s="978"/>
      <c r="IA486" s="978"/>
      <c r="IB486" s="978"/>
      <c r="IC486" s="978"/>
      <c r="ID486" s="978"/>
      <c r="IE486" s="978"/>
      <c r="IF486" s="978"/>
      <c r="IG486" s="978"/>
      <c r="IH486" s="978"/>
      <c r="II486" s="978"/>
      <c r="IJ486" s="978"/>
      <c r="IK486" s="978"/>
      <c r="IL486" s="978"/>
      <c r="IM486" s="978"/>
      <c r="IN486" s="978"/>
      <c r="IO486" s="978"/>
      <c r="IP486" s="978"/>
      <c r="IQ486" s="978"/>
      <c r="IR486" s="978"/>
      <c r="IS486" s="978"/>
      <c r="IT486" s="978"/>
      <c r="IU486" s="978"/>
      <c r="IV486" s="978"/>
      <c r="IW486" s="978"/>
      <c r="IX486" s="978"/>
      <c r="IY486" s="978"/>
      <c r="IZ486" s="978"/>
      <c r="JA486" s="978"/>
      <c r="JB486" s="978"/>
      <c r="JC486" s="978"/>
      <c r="JD486" s="978"/>
      <c r="JE486" s="978"/>
      <c r="JF486" s="978"/>
      <c r="JG486" s="978"/>
      <c r="JH486" s="978"/>
      <c r="JI486" s="978"/>
      <c r="JJ486" s="978"/>
      <c r="JK486" s="978"/>
      <c r="JL486" s="978"/>
      <c r="JM486" s="978"/>
      <c r="JN486" s="978"/>
      <c r="JO486" s="978"/>
      <c r="JP486" s="978"/>
      <c r="JQ486" s="978"/>
      <c r="JR486" s="978"/>
      <c r="JS486" s="978"/>
      <c r="JT486" s="978"/>
      <c r="JU486" s="978"/>
      <c r="JV486" s="978"/>
      <c r="JW486" s="978"/>
      <c r="JX486" s="978"/>
      <c r="JY486" s="978"/>
      <c r="JZ486" s="978"/>
      <c r="KA486" s="978"/>
      <c r="KB486" s="978"/>
      <c r="KC486" s="978"/>
      <c r="KD486" s="978"/>
      <c r="KE486" s="978"/>
      <c r="KF486" s="978"/>
      <c r="KG486" s="978"/>
      <c r="KH486" s="978"/>
      <c r="KI486" s="978"/>
      <c r="KJ486" s="978"/>
      <c r="KK486" s="978"/>
      <c r="KL486" s="978"/>
      <c r="KM486" s="978"/>
      <c r="KN486" s="978"/>
      <c r="KO486" s="978"/>
      <c r="KP486" s="978"/>
      <c r="KQ486" s="978"/>
      <c r="KR486" s="978"/>
      <c r="KS486" s="978"/>
      <c r="KT486" s="978"/>
      <c r="KU486" s="978"/>
      <c r="KV486" s="978"/>
      <c r="KW486" s="978"/>
      <c r="KX486" s="978"/>
      <c r="KY486" s="978"/>
      <c r="KZ486" s="978"/>
      <c r="LA486" s="978"/>
      <c r="LB486" s="978"/>
      <c r="LC486" s="978"/>
      <c r="LD486" s="978"/>
      <c r="LE486" s="978"/>
      <c r="LF486" s="978"/>
      <c r="LG486" s="978"/>
      <c r="LH486" s="978"/>
      <c r="LI486" s="978"/>
      <c r="LJ486" s="978"/>
      <c r="LK486" s="978"/>
      <c r="LL486" s="978"/>
      <c r="LM486" s="978"/>
      <c r="LN486" s="978"/>
      <c r="LO486" s="978"/>
      <c r="LP486" s="978"/>
      <c r="LQ486" s="978"/>
      <c r="LR486" s="978"/>
      <c r="LS486" s="978"/>
      <c r="LT486" s="978"/>
      <c r="LU486" s="978"/>
      <c r="LV486" s="978"/>
      <c r="LW486" s="978"/>
      <c r="LX486" s="978"/>
      <c r="LY486" s="978"/>
      <c r="LZ486" s="978"/>
      <c r="MA486" s="978"/>
      <c r="MB486" s="978"/>
      <c r="MC486" s="978"/>
      <c r="MD486" s="978"/>
      <c r="ME486" s="978"/>
      <c r="MF486" s="978"/>
      <c r="MG486" s="978"/>
      <c r="MH486" s="978"/>
      <c r="MI486" s="978"/>
      <c r="MJ486" s="978"/>
      <c r="MK486" s="978"/>
      <c r="ML486" s="978"/>
      <c r="MM486" s="978"/>
      <c r="MN486" s="978"/>
      <c r="MO486" s="978"/>
      <c r="MP486" s="978"/>
      <c r="MQ486" s="978"/>
      <c r="MR486" s="978"/>
      <c r="MS486" s="978"/>
      <c r="MT486" s="978"/>
      <c r="MU486" s="978"/>
      <c r="MV486" s="978"/>
      <c r="MW486" s="978"/>
      <c r="MX486" s="978"/>
      <c r="MY486" s="978"/>
      <c r="MZ486" s="978"/>
      <c r="NA486" s="978"/>
      <c r="NB486" s="978"/>
      <c r="NC486" s="978"/>
      <c r="ND486" s="978"/>
      <c r="NE486" s="978"/>
      <c r="NF486" s="978"/>
      <c r="NG486" s="978"/>
      <c r="NH486" s="978"/>
      <c r="NI486" s="978"/>
      <c r="NJ486" s="978"/>
      <c r="NK486" s="978"/>
      <c r="NL486" s="978"/>
      <c r="NM486" s="978"/>
      <c r="NN486" s="978"/>
      <c r="NO486" s="978"/>
      <c r="NP486" s="978"/>
      <c r="NQ486" s="978"/>
      <c r="NR486" s="978"/>
      <c r="NS486" s="978"/>
      <c r="NT486" s="978"/>
      <c r="NU486" s="978"/>
      <c r="NV486" s="978"/>
      <c r="NW486" s="978"/>
      <c r="NX486" s="978"/>
      <c r="NY486" s="978"/>
      <c r="NZ486" s="978"/>
      <c r="OA486" s="978"/>
      <c r="OB486" s="978"/>
      <c r="OC486" s="978"/>
      <c r="OD486" s="978"/>
      <c r="OE486" s="978"/>
      <c r="OF486" s="978"/>
      <c r="OG486" s="978"/>
      <c r="OH486" s="978"/>
      <c r="OI486" s="978"/>
      <c r="OJ486" s="978"/>
      <c r="OK486" s="978"/>
      <c r="OL486" s="978"/>
      <c r="OM486" s="978"/>
      <c r="ON486" s="978"/>
      <c r="OO486" s="978"/>
      <c r="OP486" s="978"/>
      <c r="OQ486" s="978"/>
      <c r="OR486" s="978"/>
      <c r="OS486" s="978"/>
      <c r="OT486" s="978"/>
      <c r="OU486" s="978"/>
      <c r="OV486" s="978"/>
      <c r="OW486" s="978"/>
      <c r="OX486" s="978"/>
      <c r="OY486" s="978"/>
      <c r="OZ486" s="978"/>
      <c r="PA486" s="978"/>
      <c r="PB486" s="978"/>
      <c r="PC486" s="978"/>
      <c r="PD486" s="978"/>
      <c r="PE486" s="978"/>
      <c r="PF486" s="978"/>
      <c r="PG486" s="978"/>
      <c r="PH486" s="978"/>
      <c r="PI486" s="978"/>
      <c r="PJ486" s="978"/>
      <c r="PK486" s="978"/>
      <c r="PL486" s="978"/>
      <c r="PM486" s="978"/>
      <c r="PN486" s="978"/>
      <c r="PO486" s="978"/>
      <c r="PP486" s="978"/>
      <c r="PQ486" s="978"/>
      <c r="PR486" s="978"/>
      <c r="PS486" s="978"/>
      <c r="PT486" s="978"/>
      <c r="PU486" s="978"/>
      <c r="PV486" s="978"/>
      <c r="PW486" s="978"/>
      <c r="PX486" s="978"/>
      <c r="PY486" s="978"/>
      <c r="PZ486" s="978"/>
      <c r="QA486" s="978"/>
      <c r="QB486" s="978"/>
      <c r="QC486" s="978"/>
      <c r="QD486" s="978"/>
      <c r="QE486" s="978"/>
      <c r="QF486" s="978"/>
      <c r="QG486" s="978"/>
      <c r="QH486" s="978"/>
      <c r="QI486" s="978"/>
      <c r="QJ486" s="978"/>
      <c r="QK486" s="978"/>
      <c r="QL486" s="978"/>
      <c r="QM486" s="978"/>
      <c r="QN486" s="978"/>
      <c r="QO486" s="978"/>
      <c r="QP486" s="978"/>
      <c r="QQ486" s="978"/>
      <c r="QR486" s="978"/>
      <c r="QS486" s="978"/>
      <c r="QT486" s="978"/>
      <c r="QU486" s="978"/>
      <c r="QV486" s="978"/>
      <c r="QW486" s="978"/>
      <c r="QX486" s="978"/>
      <c r="QY486" s="978"/>
      <c r="QZ486" s="978"/>
      <c r="RA486" s="978"/>
      <c r="RB486" s="274"/>
      <c r="RC486" s="274"/>
    </row>
    <row r="487" spans="112:471" ht="17.25">
      <c r="DH487" s="274"/>
      <c r="DI487" s="274"/>
      <c r="DJ487" s="978"/>
      <c r="DK487" s="978"/>
      <c r="DL487" s="978"/>
      <c r="DM487" s="978"/>
      <c r="DN487" s="978"/>
      <c r="DO487" s="978"/>
      <c r="DP487" s="978"/>
      <c r="DQ487" s="978"/>
      <c r="DR487" s="978"/>
      <c r="DS487" s="978"/>
      <c r="DT487" s="978"/>
      <c r="DU487" s="978"/>
      <c r="DV487" s="978"/>
      <c r="DW487" s="978"/>
      <c r="DX487" s="978"/>
      <c r="DY487" s="978"/>
      <c r="DZ487" s="978"/>
      <c r="EA487" s="978"/>
      <c r="EB487" s="978"/>
      <c r="EC487" s="978"/>
      <c r="ED487" s="978"/>
      <c r="EE487" s="978"/>
      <c r="EF487" s="978"/>
      <c r="EG487" s="978"/>
      <c r="EH487" s="978"/>
      <c r="EI487" s="978"/>
      <c r="EJ487" s="978"/>
      <c r="EK487" s="978"/>
      <c r="EL487" s="978"/>
      <c r="EM487" s="978"/>
      <c r="EN487" s="978"/>
      <c r="EO487" s="978"/>
      <c r="EP487" s="978"/>
      <c r="EQ487" s="978"/>
      <c r="ER487" s="978"/>
      <c r="ES487" s="978"/>
      <c r="ET487" s="978"/>
      <c r="EU487" s="978"/>
      <c r="EV487" s="978"/>
      <c r="EW487" s="978"/>
      <c r="EX487" s="978"/>
      <c r="EY487" s="978"/>
      <c r="EZ487" s="978"/>
      <c r="FA487" s="978"/>
      <c r="FB487" s="978"/>
      <c r="FC487" s="978"/>
      <c r="FD487" s="978"/>
      <c r="FE487" s="978"/>
      <c r="FF487" s="978"/>
      <c r="FG487" s="978"/>
      <c r="FH487" s="978"/>
      <c r="FI487" s="978"/>
      <c r="FJ487" s="978"/>
      <c r="FK487" s="978"/>
      <c r="FL487" s="978"/>
      <c r="FM487" s="978"/>
      <c r="FN487" s="978"/>
      <c r="FO487" s="978"/>
      <c r="FP487" s="978"/>
      <c r="FQ487" s="978"/>
      <c r="FR487" s="978"/>
      <c r="FS487" s="978"/>
      <c r="FT487" s="978"/>
      <c r="FU487" s="978"/>
      <c r="FV487" s="978"/>
      <c r="FW487" s="978"/>
      <c r="FX487" s="978"/>
      <c r="FY487" s="978"/>
      <c r="FZ487" s="978"/>
      <c r="GA487" s="978"/>
      <c r="GB487" s="978"/>
      <c r="GC487" s="978"/>
      <c r="GD487" s="978"/>
      <c r="GE487" s="978"/>
      <c r="GF487" s="978"/>
      <c r="GG487" s="978"/>
      <c r="GH487" s="978"/>
      <c r="GI487" s="978"/>
      <c r="GJ487" s="978"/>
      <c r="GK487" s="978"/>
      <c r="GL487" s="978"/>
      <c r="GM487" s="978"/>
      <c r="GN487" s="978"/>
      <c r="GO487" s="978"/>
      <c r="GP487" s="978"/>
      <c r="GQ487" s="978"/>
      <c r="GR487" s="978"/>
      <c r="GS487" s="978"/>
      <c r="GT487" s="978"/>
      <c r="GU487" s="978"/>
      <c r="GV487" s="978"/>
      <c r="GW487" s="978"/>
      <c r="GX487" s="978"/>
      <c r="GY487" s="978"/>
      <c r="GZ487" s="978"/>
      <c r="HA487" s="978"/>
      <c r="HB487" s="978"/>
      <c r="HC487" s="978"/>
      <c r="HD487" s="978"/>
      <c r="HE487" s="978"/>
      <c r="HF487" s="978"/>
      <c r="HG487" s="978"/>
      <c r="HH487" s="978"/>
      <c r="HI487" s="978"/>
      <c r="HJ487" s="978"/>
      <c r="HK487" s="978"/>
      <c r="HL487" s="978"/>
      <c r="HM487" s="978"/>
      <c r="HN487" s="978"/>
      <c r="HO487" s="978"/>
      <c r="HP487" s="978"/>
      <c r="HQ487" s="978"/>
      <c r="HR487" s="978"/>
      <c r="HS487" s="978"/>
      <c r="HT487" s="978"/>
      <c r="HU487" s="978"/>
      <c r="HV487" s="978"/>
      <c r="HW487" s="978"/>
      <c r="HX487" s="978"/>
      <c r="HY487" s="978"/>
      <c r="HZ487" s="978"/>
      <c r="IA487" s="978"/>
      <c r="IB487" s="978"/>
      <c r="IC487" s="978"/>
      <c r="ID487" s="978"/>
      <c r="IE487" s="978"/>
      <c r="IF487" s="978"/>
      <c r="IG487" s="978"/>
      <c r="IH487" s="978"/>
      <c r="II487" s="978"/>
      <c r="IJ487" s="978"/>
      <c r="IK487" s="978"/>
      <c r="IL487" s="978"/>
      <c r="IM487" s="978"/>
      <c r="IN487" s="978"/>
      <c r="IO487" s="978"/>
      <c r="IP487" s="978"/>
      <c r="IQ487" s="978"/>
      <c r="IR487" s="978"/>
      <c r="IS487" s="978"/>
      <c r="IT487" s="978"/>
      <c r="IU487" s="978"/>
      <c r="IV487" s="978"/>
      <c r="IW487" s="978"/>
      <c r="IX487" s="978"/>
      <c r="IY487" s="978"/>
      <c r="IZ487" s="978"/>
      <c r="JA487" s="978"/>
      <c r="JB487" s="978"/>
      <c r="JC487" s="978"/>
      <c r="JD487" s="978"/>
      <c r="JE487" s="978"/>
      <c r="JF487" s="978"/>
      <c r="JG487" s="978"/>
      <c r="JH487" s="978"/>
      <c r="JI487" s="978"/>
      <c r="JJ487" s="978"/>
      <c r="JK487" s="978"/>
      <c r="JL487" s="978"/>
      <c r="JM487" s="978"/>
      <c r="JN487" s="978"/>
      <c r="JO487" s="978"/>
      <c r="JP487" s="978"/>
      <c r="JQ487" s="978"/>
      <c r="JR487" s="978"/>
      <c r="JS487" s="978"/>
      <c r="JT487" s="978"/>
      <c r="JU487" s="978"/>
      <c r="JV487" s="978"/>
      <c r="JW487" s="978"/>
      <c r="JX487" s="978"/>
      <c r="JY487" s="978"/>
      <c r="JZ487" s="978"/>
      <c r="KA487" s="978"/>
      <c r="KB487" s="978"/>
      <c r="KC487" s="978"/>
      <c r="KD487" s="978"/>
      <c r="KE487" s="978"/>
      <c r="KF487" s="978"/>
      <c r="KG487" s="978"/>
      <c r="KH487" s="978"/>
      <c r="KI487" s="978"/>
      <c r="KJ487" s="978"/>
      <c r="KK487" s="978"/>
      <c r="KL487" s="978"/>
      <c r="KM487" s="978"/>
      <c r="KN487" s="978"/>
      <c r="KO487" s="978"/>
      <c r="KP487" s="978"/>
      <c r="KQ487" s="978"/>
      <c r="KR487" s="978"/>
      <c r="KS487" s="978"/>
      <c r="KT487" s="978"/>
      <c r="KU487" s="978"/>
      <c r="KV487" s="978"/>
      <c r="KW487" s="978"/>
      <c r="KX487" s="978"/>
      <c r="KY487" s="978"/>
      <c r="KZ487" s="978"/>
      <c r="LA487" s="978"/>
      <c r="LB487" s="978"/>
      <c r="LC487" s="978"/>
      <c r="LD487" s="978"/>
      <c r="LE487" s="978"/>
      <c r="LF487" s="978"/>
      <c r="LG487" s="978"/>
      <c r="LH487" s="978"/>
      <c r="LI487" s="978"/>
      <c r="LJ487" s="978"/>
      <c r="LK487" s="978"/>
      <c r="LL487" s="978"/>
      <c r="LM487" s="978"/>
      <c r="LN487" s="978"/>
      <c r="LO487" s="978"/>
      <c r="LP487" s="978"/>
      <c r="LQ487" s="978"/>
      <c r="LR487" s="978"/>
      <c r="LS487" s="978"/>
      <c r="LT487" s="978"/>
      <c r="LU487" s="978"/>
      <c r="LV487" s="978"/>
      <c r="LW487" s="978"/>
      <c r="LX487" s="978"/>
      <c r="LY487" s="978"/>
      <c r="LZ487" s="978"/>
      <c r="MA487" s="978"/>
      <c r="MB487" s="978"/>
      <c r="MC487" s="978"/>
      <c r="MD487" s="978"/>
      <c r="ME487" s="978"/>
      <c r="MF487" s="978"/>
      <c r="MG487" s="978"/>
      <c r="MH487" s="978"/>
      <c r="MI487" s="978"/>
      <c r="MJ487" s="978"/>
      <c r="MK487" s="978"/>
      <c r="ML487" s="978"/>
      <c r="MM487" s="978"/>
      <c r="MN487" s="978"/>
      <c r="MO487" s="978"/>
      <c r="MP487" s="978"/>
      <c r="MQ487" s="978"/>
      <c r="MR487" s="978"/>
      <c r="MS487" s="978"/>
      <c r="MT487" s="978"/>
      <c r="MU487" s="978"/>
      <c r="MV487" s="978"/>
      <c r="MW487" s="978"/>
      <c r="MX487" s="978"/>
      <c r="MY487" s="978"/>
      <c r="MZ487" s="978"/>
      <c r="NA487" s="978"/>
      <c r="NB487" s="978"/>
      <c r="NC487" s="978"/>
      <c r="ND487" s="978"/>
      <c r="NE487" s="978"/>
      <c r="NF487" s="978"/>
      <c r="NG487" s="978"/>
      <c r="NH487" s="978"/>
      <c r="NI487" s="978"/>
      <c r="NJ487" s="978"/>
      <c r="NK487" s="978"/>
      <c r="NL487" s="978"/>
      <c r="NM487" s="978"/>
      <c r="NN487" s="978"/>
      <c r="NO487" s="978"/>
      <c r="NP487" s="978"/>
      <c r="NQ487" s="978"/>
      <c r="NR487" s="978"/>
      <c r="NS487" s="978"/>
      <c r="NT487" s="978"/>
      <c r="NU487" s="978"/>
      <c r="NV487" s="978"/>
      <c r="NW487" s="978"/>
      <c r="NX487" s="978"/>
      <c r="NY487" s="978"/>
      <c r="NZ487" s="978"/>
      <c r="OA487" s="978"/>
      <c r="OB487" s="978"/>
      <c r="OC487" s="978"/>
      <c r="OD487" s="978"/>
      <c r="OE487" s="978"/>
      <c r="OF487" s="978"/>
      <c r="OG487" s="978"/>
      <c r="OH487" s="978"/>
      <c r="OI487" s="978"/>
      <c r="OJ487" s="978"/>
      <c r="OK487" s="978"/>
      <c r="OL487" s="978"/>
      <c r="OM487" s="978"/>
      <c r="ON487" s="978"/>
      <c r="OO487" s="978"/>
      <c r="OP487" s="978"/>
      <c r="OQ487" s="978"/>
      <c r="OR487" s="978"/>
      <c r="OS487" s="978"/>
      <c r="OT487" s="978"/>
      <c r="OU487" s="978"/>
      <c r="OV487" s="978"/>
      <c r="OW487" s="978"/>
      <c r="OX487" s="978"/>
      <c r="OY487" s="978"/>
      <c r="OZ487" s="978"/>
      <c r="PA487" s="978"/>
      <c r="PB487" s="978"/>
      <c r="PC487" s="978"/>
      <c r="PD487" s="978"/>
      <c r="PE487" s="978"/>
      <c r="PF487" s="978"/>
      <c r="PG487" s="978"/>
      <c r="PH487" s="978"/>
      <c r="PI487" s="978"/>
      <c r="PJ487" s="978"/>
      <c r="PK487" s="978"/>
      <c r="PL487" s="978"/>
      <c r="PM487" s="978"/>
      <c r="PN487" s="978"/>
      <c r="PO487" s="978"/>
      <c r="PP487" s="978"/>
      <c r="PQ487" s="978"/>
      <c r="PR487" s="978"/>
      <c r="PS487" s="978"/>
      <c r="PT487" s="978"/>
      <c r="PU487" s="978"/>
      <c r="PV487" s="978"/>
      <c r="PW487" s="978"/>
      <c r="PX487" s="978"/>
      <c r="PY487" s="978"/>
      <c r="PZ487" s="978"/>
      <c r="QA487" s="978"/>
      <c r="QB487" s="978"/>
      <c r="QC487" s="978"/>
      <c r="QD487" s="978"/>
      <c r="QE487" s="978"/>
      <c r="QF487" s="978"/>
      <c r="QG487" s="978"/>
      <c r="QH487" s="978"/>
      <c r="QI487" s="978"/>
      <c r="QJ487" s="978"/>
      <c r="QK487" s="978"/>
      <c r="QL487" s="978"/>
      <c r="QM487" s="978"/>
      <c r="QN487" s="978"/>
      <c r="QO487" s="978"/>
      <c r="QP487" s="978"/>
      <c r="QQ487" s="978"/>
      <c r="QR487" s="978"/>
      <c r="QS487" s="978"/>
      <c r="QT487" s="978"/>
      <c r="QU487" s="978"/>
      <c r="QV487" s="978"/>
      <c r="QW487" s="978"/>
      <c r="QX487" s="978"/>
      <c r="QY487" s="978"/>
      <c r="QZ487" s="978"/>
      <c r="RA487" s="978"/>
      <c r="RB487" s="274"/>
      <c r="RC487" s="274"/>
    </row>
    <row r="488" spans="112:471" ht="17.25">
      <c r="DH488" s="274"/>
      <c r="DI488" s="274"/>
      <c r="DJ488" s="978"/>
      <c r="DK488" s="978"/>
      <c r="DL488" s="978"/>
      <c r="DM488" s="978"/>
      <c r="DN488" s="978"/>
      <c r="DO488" s="978"/>
      <c r="DP488" s="978"/>
      <c r="DQ488" s="978"/>
      <c r="DR488" s="978"/>
      <c r="DS488" s="978"/>
      <c r="DT488" s="978"/>
      <c r="DU488" s="978"/>
      <c r="DV488" s="978"/>
      <c r="DW488" s="978"/>
      <c r="DX488" s="978"/>
      <c r="DY488" s="978"/>
      <c r="DZ488" s="978"/>
      <c r="EA488" s="978"/>
      <c r="EB488" s="978"/>
      <c r="EC488" s="978"/>
      <c r="ED488" s="978"/>
      <c r="EE488" s="978"/>
      <c r="EF488" s="978"/>
      <c r="EG488" s="978"/>
      <c r="EH488" s="978"/>
      <c r="EI488" s="978"/>
      <c r="EJ488" s="978"/>
      <c r="EK488" s="978"/>
      <c r="EL488" s="978"/>
      <c r="EM488" s="978"/>
      <c r="EN488" s="978"/>
      <c r="EO488" s="978"/>
      <c r="EP488" s="978"/>
      <c r="EQ488" s="978"/>
      <c r="ER488" s="978"/>
      <c r="ES488" s="978"/>
      <c r="ET488" s="978"/>
      <c r="EU488" s="978"/>
      <c r="EV488" s="978"/>
      <c r="EW488" s="978"/>
      <c r="EX488" s="978"/>
      <c r="EY488" s="978"/>
      <c r="EZ488" s="978"/>
      <c r="FA488" s="978"/>
      <c r="FB488" s="978"/>
      <c r="FC488" s="978"/>
      <c r="FD488" s="978"/>
      <c r="FE488" s="978"/>
      <c r="FF488" s="978"/>
      <c r="FG488" s="978"/>
      <c r="FH488" s="978"/>
      <c r="FI488" s="978"/>
      <c r="FJ488" s="978"/>
      <c r="FK488" s="978"/>
      <c r="FL488" s="978"/>
      <c r="FM488" s="978"/>
      <c r="FN488" s="978"/>
      <c r="FO488" s="978"/>
      <c r="FP488" s="978"/>
      <c r="FQ488" s="978"/>
      <c r="FR488" s="978"/>
      <c r="FS488" s="978"/>
      <c r="FT488" s="978"/>
      <c r="FU488" s="978"/>
      <c r="FV488" s="978"/>
      <c r="FW488" s="978"/>
      <c r="FX488" s="978"/>
      <c r="FY488" s="978"/>
      <c r="FZ488" s="978"/>
      <c r="GA488" s="978"/>
      <c r="GB488" s="978"/>
      <c r="GC488" s="978"/>
      <c r="GD488" s="978"/>
      <c r="GE488" s="978"/>
      <c r="GF488" s="978"/>
      <c r="GG488" s="978"/>
      <c r="GH488" s="978"/>
      <c r="GI488" s="978"/>
      <c r="GJ488" s="978"/>
      <c r="GK488" s="978"/>
      <c r="GL488" s="978"/>
      <c r="GM488" s="978"/>
      <c r="GN488" s="978"/>
      <c r="GO488" s="978"/>
      <c r="GP488" s="978"/>
      <c r="GQ488" s="978"/>
      <c r="GR488" s="978"/>
      <c r="GS488" s="978"/>
      <c r="GT488" s="978"/>
      <c r="GU488" s="978"/>
      <c r="GV488" s="978"/>
      <c r="GW488" s="978"/>
      <c r="GX488" s="978"/>
      <c r="GY488" s="978"/>
      <c r="GZ488" s="978"/>
      <c r="HA488" s="978"/>
      <c r="HB488" s="978"/>
      <c r="HC488" s="978"/>
      <c r="HD488" s="978"/>
      <c r="HE488" s="978"/>
      <c r="HF488" s="978"/>
      <c r="HG488" s="978"/>
      <c r="HH488" s="978"/>
      <c r="HI488" s="978"/>
      <c r="HJ488" s="978"/>
      <c r="HK488" s="978"/>
      <c r="HL488" s="978"/>
      <c r="HM488" s="978"/>
      <c r="HN488" s="978"/>
      <c r="HO488" s="978"/>
      <c r="HP488" s="978"/>
      <c r="HQ488" s="978"/>
      <c r="HR488" s="978"/>
      <c r="HS488" s="978"/>
      <c r="HT488" s="978"/>
      <c r="HU488" s="978"/>
      <c r="HV488" s="978"/>
      <c r="HW488" s="978"/>
      <c r="HX488" s="978"/>
      <c r="HY488" s="978"/>
      <c r="HZ488" s="978"/>
      <c r="IA488" s="978"/>
      <c r="IB488" s="978"/>
      <c r="IC488" s="978"/>
      <c r="ID488" s="978"/>
      <c r="IE488" s="978"/>
      <c r="IF488" s="978"/>
      <c r="IG488" s="978"/>
      <c r="IH488" s="978"/>
      <c r="II488" s="978"/>
      <c r="IJ488" s="978"/>
      <c r="IK488" s="978"/>
      <c r="IL488" s="978"/>
      <c r="IM488" s="978"/>
      <c r="IN488" s="978"/>
      <c r="IO488" s="978"/>
      <c r="IP488" s="978"/>
      <c r="IQ488" s="978"/>
      <c r="IR488" s="978"/>
      <c r="IS488" s="978"/>
      <c r="IT488" s="978"/>
      <c r="IU488" s="978"/>
      <c r="IV488" s="978"/>
      <c r="IW488" s="978"/>
      <c r="IX488" s="978"/>
      <c r="IY488" s="978"/>
      <c r="IZ488" s="978"/>
      <c r="JA488" s="978"/>
      <c r="JB488" s="978"/>
      <c r="JC488" s="978"/>
      <c r="JD488" s="978"/>
      <c r="JE488" s="978"/>
      <c r="JF488" s="978"/>
      <c r="JG488" s="978"/>
      <c r="JH488" s="978"/>
      <c r="JI488" s="978"/>
      <c r="JJ488" s="978"/>
      <c r="JK488" s="978"/>
      <c r="JL488" s="978"/>
      <c r="JM488" s="978"/>
      <c r="JN488" s="978"/>
      <c r="JO488" s="978"/>
      <c r="JP488" s="978"/>
      <c r="JQ488" s="978"/>
      <c r="JR488" s="978"/>
      <c r="JS488" s="978"/>
      <c r="JT488" s="978"/>
      <c r="JU488" s="978"/>
      <c r="JV488" s="978"/>
      <c r="JW488" s="978"/>
      <c r="JX488" s="978"/>
      <c r="JY488" s="978"/>
      <c r="JZ488" s="978"/>
      <c r="KA488" s="978"/>
      <c r="KB488" s="978"/>
      <c r="KC488" s="978"/>
      <c r="KD488" s="978"/>
      <c r="KE488" s="978"/>
      <c r="KF488" s="978"/>
      <c r="KG488" s="978"/>
      <c r="KH488" s="978"/>
      <c r="KI488" s="978"/>
      <c r="KJ488" s="978"/>
      <c r="KK488" s="978"/>
      <c r="KL488" s="978"/>
      <c r="KM488" s="978"/>
      <c r="KN488" s="978"/>
      <c r="KO488" s="978"/>
      <c r="KP488" s="978"/>
      <c r="KQ488" s="978"/>
      <c r="KR488" s="978"/>
      <c r="KS488" s="978"/>
      <c r="KT488" s="978"/>
      <c r="KU488" s="978"/>
      <c r="KV488" s="978"/>
      <c r="KW488" s="978"/>
      <c r="KX488" s="978"/>
      <c r="KY488" s="978"/>
      <c r="KZ488" s="978"/>
      <c r="LA488" s="978"/>
      <c r="LB488" s="978"/>
      <c r="LC488" s="978"/>
      <c r="LD488" s="978"/>
      <c r="LE488" s="978"/>
      <c r="LF488" s="978"/>
      <c r="LG488" s="978"/>
      <c r="LH488" s="978"/>
      <c r="LI488" s="978"/>
      <c r="LJ488" s="978"/>
      <c r="LK488" s="978"/>
      <c r="LL488" s="978"/>
      <c r="LM488" s="978"/>
      <c r="LN488" s="978"/>
      <c r="LO488" s="978"/>
      <c r="LP488" s="978"/>
      <c r="LQ488" s="978"/>
      <c r="LR488" s="978"/>
      <c r="LS488" s="978"/>
      <c r="LT488" s="978"/>
      <c r="LU488" s="978"/>
      <c r="LV488" s="978"/>
      <c r="LW488" s="978"/>
      <c r="LX488" s="978"/>
      <c r="LY488" s="978"/>
      <c r="LZ488" s="978"/>
      <c r="MA488" s="978"/>
      <c r="MB488" s="978"/>
      <c r="MC488" s="978"/>
      <c r="MD488" s="978"/>
      <c r="ME488" s="978"/>
      <c r="MF488" s="978"/>
      <c r="MG488" s="978"/>
      <c r="MH488" s="978"/>
      <c r="MI488" s="978"/>
      <c r="MJ488" s="978"/>
      <c r="MK488" s="978"/>
      <c r="ML488" s="978"/>
      <c r="MM488" s="978"/>
      <c r="MN488" s="978"/>
      <c r="MO488" s="978"/>
      <c r="MP488" s="978"/>
      <c r="MQ488" s="978"/>
      <c r="MR488" s="978"/>
      <c r="MS488" s="978"/>
      <c r="MT488" s="978"/>
      <c r="MU488" s="978"/>
      <c r="MV488" s="978"/>
      <c r="MW488" s="978"/>
      <c r="MX488" s="978"/>
      <c r="MY488" s="978"/>
      <c r="MZ488" s="978"/>
      <c r="NA488" s="978"/>
      <c r="NB488" s="978"/>
      <c r="NC488" s="978"/>
      <c r="ND488" s="978"/>
      <c r="NE488" s="978"/>
      <c r="NF488" s="978"/>
      <c r="NG488" s="978"/>
      <c r="NH488" s="978"/>
      <c r="NI488" s="978"/>
      <c r="NJ488" s="978"/>
      <c r="NK488" s="978"/>
      <c r="NL488" s="978"/>
      <c r="NM488" s="978"/>
      <c r="NN488" s="978"/>
      <c r="NO488" s="978"/>
      <c r="NP488" s="978"/>
      <c r="NQ488" s="978"/>
      <c r="NR488" s="978"/>
      <c r="NS488" s="978"/>
      <c r="NT488" s="978"/>
      <c r="NU488" s="978"/>
      <c r="NV488" s="978"/>
      <c r="NW488" s="978"/>
      <c r="NX488" s="978"/>
      <c r="NY488" s="978"/>
      <c r="NZ488" s="978"/>
      <c r="OA488" s="978"/>
      <c r="OB488" s="978"/>
      <c r="OC488" s="978"/>
      <c r="OD488" s="978"/>
      <c r="OE488" s="978"/>
      <c r="OF488" s="978"/>
      <c r="OG488" s="978"/>
      <c r="OH488" s="978"/>
      <c r="OI488" s="978"/>
      <c r="OJ488" s="978"/>
      <c r="OK488" s="978"/>
      <c r="OL488" s="978"/>
      <c r="OM488" s="978"/>
      <c r="ON488" s="978"/>
      <c r="OO488" s="978"/>
      <c r="OP488" s="978"/>
      <c r="OQ488" s="978"/>
      <c r="OR488" s="978"/>
      <c r="OS488" s="978"/>
      <c r="OT488" s="978"/>
      <c r="OU488" s="978"/>
      <c r="OV488" s="978"/>
      <c r="OW488" s="978"/>
      <c r="OX488" s="978"/>
      <c r="OY488" s="978"/>
      <c r="OZ488" s="978"/>
      <c r="PA488" s="978"/>
      <c r="PB488" s="978"/>
      <c r="PC488" s="978"/>
      <c r="PD488" s="978"/>
      <c r="PE488" s="978"/>
      <c r="PF488" s="978"/>
      <c r="PG488" s="978"/>
      <c r="PH488" s="978"/>
      <c r="PI488" s="978"/>
      <c r="PJ488" s="978"/>
      <c r="PK488" s="978"/>
      <c r="PL488" s="978"/>
      <c r="PM488" s="978"/>
      <c r="PN488" s="978"/>
      <c r="PO488" s="978"/>
      <c r="PP488" s="978"/>
      <c r="PQ488" s="978"/>
      <c r="PR488" s="978"/>
      <c r="PS488" s="978"/>
      <c r="PT488" s="978"/>
      <c r="PU488" s="978"/>
      <c r="PV488" s="978"/>
      <c r="PW488" s="978"/>
      <c r="PX488" s="978"/>
      <c r="PY488" s="978"/>
      <c r="PZ488" s="978"/>
      <c r="QA488" s="978"/>
      <c r="QB488" s="978"/>
      <c r="QC488" s="978"/>
      <c r="QD488" s="978"/>
      <c r="QE488" s="978"/>
      <c r="QF488" s="978"/>
      <c r="QG488" s="978"/>
      <c r="QH488" s="978"/>
      <c r="QI488" s="978"/>
      <c r="QJ488" s="978"/>
      <c r="QK488" s="978"/>
      <c r="QL488" s="978"/>
      <c r="QM488" s="978"/>
      <c r="QN488" s="978"/>
      <c r="QO488" s="978"/>
      <c r="QP488" s="978"/>
      <c r="QQ488" s="978"/>
      <c r="QR488" s="978"/>
      <c r="QS488" s="978"/>
      <c r="QT488" s="978"/>
      <c r="QU488" s="978"/>
      <c r="QV488" s="978"/>
      <c r="QW488" s="978"/>
      <c r="QX488" s="978"/>
      <c r="QY488" s="978"/>
      <c r="QZ488" s="978"/>
      <c r="RA488" s="978"/>
      <c r="RB488" s="274"/>
      <c r="RC488" s="274"/>
    </row>
    <row r="489" spans="112:471" ht="17.25">
      <c r="DH489" s="274"/>
      <c r="DI489" s="274"/>
      <c r="DJ489" s="978"/>
      <c r="DK489" s="978"/>
      <c r="DL489" s="978"/>
      <c r="DM489" s="978"/>
      <c r="DN489" s="978"/>
      <c r="DO489" s="978"/>
      <c r="DP489" s="978"/>
      <c r="DQ489" s="978"/>
      <c r="DR489" s="978"/>
      <c r="DS489" s="978"/>
      <c r="DT489" s="978"/>
      <c r="DU489" s="978"/>
      <c r="DV489" s="978"/>
      <c r="DW489" s="978"/>
      <c r="DX489" s="978"/>
      <c r="DY489" s="978"/>
      <c r="DZ489" s="978"/>
      <c r="EA489" s="978"/>
      <c r="EB489" s="978"/>
      <c r="EC489" s="978"/>
      <c r="ED489" s="978"/>
      <c r="EE489" s="978"/>
      <c r="EF489" s="978"/>
      <c r="EG489" s="978"/>
      <c r="EH489" s="978"/>
      <c r="EI489" s="978"/>
      <c r="EJ489" s="978"/>
      <c r="EK489" s="978"/>
      <c r="EL489" s="978"/>
      <c r="EM489" s="978"/>
      <c r="EN489" s="978"/>
      <c r="EO489" s="978"/>
      <c r="EP489" s="978"/>
      <c r="EQ489" s="978"/>
      <c r="ER489" s="978"/>
      <c r="ES489" s="978"/>
      <c r="ET489" s="978"/>
      <c r="EU489" s="978"/>
      <c r="EV489" s="978"/>
      <c r="EW489" s="978"/>
      <c r="EX489" s="978"/>
      <c r="EY489" s="978"/>
      <c r="EZ489" s="978"/>
      <c r="FA489" s="978"/>
      <c r="FB489" s="978"/>
      <c r="FC489" s="978"/>
      <c r="FD489" s="978"/>
      <c r="FE489" s="978"/>
      <c r="FF489" s="978"/>
      <c r="FG489" s="978"/>
      <c r="FH489" s="978"/>
      <c r="FI489" s="978"/>
      <c r="FJ489" s="978"/>
      <c r="FK489" s="978"/>
      <c r="FL489" s="978"/>
      <c r="FM489" s="978"/>
      <c r="FN489" s="978"/>
      <c r="FO489" s="978"/>
      <c r="FP489" s="978"/>
      <c r="FQ489" s="978"/>
      <c r="FR489" s="978"/>
      <c r="FS489" s="978"/>
      <c r="FT489" s="978"/>
      <c r="FU489" s="978"/>
      <c r="FV489" s="978"/>
      <c r="FW489" s="978"/>
      <c r="FX489" s="978"/>
      <c r="FY489" s="978"/>
      <c r="FZ489" s="978"/>
      <c r="GA489" s="978"/>
      <c r="GB489" s="978"/>
      <c r="GC489" s="978"/>
      <c r="GD489" s="978"/>
      <c r="GE489" s="978"/>
      <c r="GF489" s="978"/>
      <c r="GG489" s="978"/>
      <c r="GH489" s="978"/>
      <c r="GI489" s="978"/>
      <c r="GJ489" s="978"/>
      <c r="GK489" s="978"/>
      <c r="GL489" s="978"/>
      <c r="GM489" s="978"/>
      <c r="GN489" s="978"/>
      <c r="GO489" s="978"/>
      <c r="GP489" s="978"/>
      <c r="GQ489" s="978"/>
      <c r="GR489" s="978"/>
      <c r="GS489" s="978"/>
      <c r="GT489" s="978"/>
      <c r="GU489" s="978"/>
      <c r="GV489" s="978"/>
      <c r="GW489" s="978"/>
      <c r="GX489" s="978"/>
      <c r="GY489" s="978"/>
      <c r="GZ489" s="978"/>
      <c r="HA489" s="978"/>
      <c r="HB489" s="978"/>
      <c r="HC489" s="978"/>
      <c r="HD489" s="978"/>
      <c r="HE489" s="978"/>
      <c r="HF489" s="978"/>
      <c r="HG489" s="978"/>
      <c r="HH489" s="978"/>
      <c r="HI489" s="978"/>
      <c r="HJ489" s="978"/>
      <c r="HK489" s="978"/>
      <c r="HL489" s="978"/>
      <c r="HM489" s="978"/>
      <c r="HN489" s="978"/>
      <c r="HO489" s="978"/>
      <c r="HP489" s="978"/>
      <c r="HQ489" s="978"/>
      <c r="HR489" s="978"/>
      <c r="HS489" s="978"/>
      <c r="HT489" s="978"/>
      <c r="HU489" s="978"/>
      <c r="HV489" s="978"/>
      <c r="HW489" s="978"/>
      <c r="HX489" s="978"/>
      <c r="HY489" s="978"/>
      <c r="HZ489" s="978"/>
      <c r="IA489" s="978"/>
      <c r="IB489" s="978"/>
      <c r="IC489" s="978"/>
      <c r="ID489" s="978"/>
      <c r="IE489" s="978"/>
      <c r="IF489" s="978"/>
      <c r="IG489" s="978"/>
      <c r="IH489" s="978"/>
      <c r="II489" s="978"/>
      <c r="IJ489" s="978"/>
      <c r="IK489" s="978"/>
      <c r="IL489" s="978"/>
      <c r="IM489" s="978"/>
      <c r="IN489" s="978"/>
      <c r="IO489" s="978"/>
      <c r="IP489" s="978"/>
      <c r="IQ489" s="978"/>
      <c r="IR489" s="978"/>
      <c r="IS489" s="978"/>
      <c r="IT489" s="978"/>
      <c r="IU489" s="978"/>
      <c r="IV489" s="978"/>
      <c r="IW489" s="978"/>
      <c r="IX489" s="978"/>
      <c r="IY489" s="978"/>
      <c r="IZ489" s="978"/>
      <c r="JA489" s="978"/>
      <c r="JB489" s="978"/>
      <c r="JC489" s="978"/>
      <c r="JD489" s="978"/>
      <c r="JE489" s="978"/>
      <c r="JF489" s="978"/>
      <c r="JG489" s="978"/>
      <c r="JH489" s="978"/>
      <c r="JI489" s="978"/>
      <c r="JJ489" s="978"/>
      <c r="JK489" s="978"/>
      <c r="JL489" s="978"/>
      <c r="JM489" s="978"/>
      <c r="JN489" s="978"/>
      <c r="JO489" s="978"/>
      <c r="JP489" s="978"/>
      <c r="JQ489" s="978"/>
      <c r="JR489" s="978"/>
      <c r="JS489" s="978"/>
      <c r="JT489" s="978"/>
      <c r="JU489" s="978"/>
      <c r="JV489" s="978"/>
      <c r="JW489" s="978"/>
      <c r="JX489" s="978"/>
      <c r="JY489" s="978"/>
      <c r="JZ489" s="978"/>
      <c r="KA489" s="978"/>
      <c r="KB489" s="978"/>
      <c r="KC489" s="978"/>
      <c r="KD489" s="978"/>
      <c r="KE489" s="978"/>
      <c r="KF489" s="978"/>
      <c r="KG489" s="978"/>
      <c r="KH489" s="978"/>
      <c r="KI489" s="978"/>
      <c r="KJ489" s="978"/>
      <c r="KK489" s="978"/>
      <c r="KL489" s="978"/>
      <c r="KM489" s="978"/>
      <c r="KN489" s="978"/>
      <c r="KO489" s="978"/>
      <c r="KP489" s="978"/>
      <c r="KQ489" s="978"/>
      <c r="KR489" s="978"/>
      <c r="KS489" s="978"/>
      <c r="KT489" s="978"/>
      <c r="KU489" s="978"/>
      <c r="KV489" s="978"/>
      <c r="KW489" s="978"/>
      <c r="KX489" s="978"/>
      <c r="KY489" s="978"/>
      <c r="KZ489" s="978"/>
      <c r="LA489" s="978"/>
      <c r="LB489" s="978"/>
      <c r="LC489" s="978"/>
      <c r="LD489" s="978"/>
      <c r="LE489" s="978"/>
      <c r="LF489" s="978"/>
      <c r="LG489" s="978"/>
      <c r="LH489" s="978"/>
      <c r="LI489" s="978"/>
      <c r="LJ489" s="978"/>
      <c r="LK489" s="978"/>
      <c r="LL489" s="978"/>
      <c r="LM489" s="978"/>
      <c r="LN489" s="978"/>
      <c r="LO489" s="978"/>
      <c r="LP489" s="978"/>
      <c r="LQ489" s="978"/>
      <c r="LR489" s="978"/>
      <c r="LS489" s="978"/>
      <c r="LT489" s="978"/>
      <c r="LU489" s="978"/>
      <c r="LV489" s="978"/>
      <c r="LW489" s="978"/>
      <c r="LX489" s="978"/>
      <c r="LY489" s="978"/>
      <c r="LZ489" s="978"/>
      <c r="MA489" s="978"/>
      <c r="MB489" s="978"/>
      <c r="MC489" s="978"/>
      <c r="MD489" s="978"/>
      <c r="ME489" s="978"/>
      <c r="MF489" s="978"/>
      <c r="MG489" s="978"/>
      <c r="MH489" s="978"/>
      <c r="MI489" s="978"/>
      <c r="MJ489" s="978"/>
      <c r="MK489" s="978"/>
      <c r="ML489" s="978"/>
      <c r="MM489" s="978"/>
      <c r="MN489" s="978"/>
      <c r="MO489" s="978"/>
      <c r="MP489" s="978"/>
      <c r="MQ489" s="978"/>
      <c r="MR489" s="978"/>
      <c r="MS489" s="978"/>
      <c r="MT489" s="978"/>
      <c r="MU489" s="978"/>
      <c r="MV489" s="978"/>
      <c r="MW489" s="978"/>
      <c r="MX489" s="978"/>
      <c r="MY489" s="978"/>
      <c r="MZ489" s="978"/>
      <c r="NA489" s="978"/>
      <c r="NB489" s="978"/>
      <c r="NC489" s="978"/>
      <c r="ND489" s="978"/>
      <c r="NE489" s="978"/>
      <c r="NF489" s="978"/>
      <c r="NG489" s="978"/>
      <c r="NH489" s="978"/>
      <c r="NI489" s="978"/>
      <c r="NJ489" s="978"/>
      <c r="NK489" s="978"/>
      <c r="NL489" s="978"/>
      <c r="NM489" s="978"/>
      <c r="NN489" s="978"/>
      <c r="NO489" s="978"/>
      <c r="NP489" s="978"/>
      <c r="NQ489" s="978"/>
      <c r="NR489" s="978"/>
      <c r="NS489" s="978"/>
      <c r="NT489" s="978"/>
      <c r="NU489" s="978"/>
      <c r="NV489" s="978"/>
      <c r="NW489" s="978"/>
      <c r="NX489" s="978"/>
      <c r="NY489" s="978"/>
      <c r="NZ489" s="978"/>
      <c r="OA489" s="978"/>
      <c r="OB489" s="978"/>
      <c r="OC489" s="978"/>
      <c r="OD489" s="978"/>
      <c r="OE489" s="978"/>
      <c r="OF489" s="978"/>
      <c r="OG489" s="978"/>
      <c r="OH489" s="978"/>
      <c r="OI489" s="978"/>
      <c r="OJ489" s="978"/>
      <c r="OK489" s="978"/>
      <c r="OL489" s="978"/>
      <c r="OM489" s="978"/>
      <c r="ON489" s="978"/>
      <c r="OO489" s="978"/>
      <c r="OP489" s="978"/>
      <c r="OQ489" s="978"/>
      <c r="OR489" s="978"/>
      <c r="OS489" s="978"/>
      <c r="OT489" s="978"/>
      <c r="OU489" s="978"/>
      <c r="OV489" s="978"/>
      <c r="OW489" s="978"/>
      <c r="OX489" s="978"/>
      <c r="OY489" s="978"/>
      <c r="OZ489" s="978"/>
      <c r="PA489" s="978"/>
      <c r="PB489" s="978"/>
      <c r="PC489" s="978"/>
      <c r="PD489" s="978"/>
      <c r="PE489" s="978"/>
      <c r="PF489" s="978"/>
      <c r="PG489" s="978"/>
      <c r="PH489" s="978"/>
      <c r="PI489" s="978"/>
      <c r="PJ489" s="978"/>
      <c r="PK489" s="978"/>
      <c r="PL489" s="978"/>
      <c r="PM489" s="978"/>
      <c r="PN489" s="978"/>
      <c r="PO489" s="978"/>
      <c r="PP489" s="978"/>
      <c r="PQ489" s="978"/>
      <c r="PR489" s="978"/>
      <c r="PS489" s="978"/>
      <c r="PT489" s="978"/>
      <c r="PU489" s="978"/>
      <c r="PV489" s="978"/>
      <c r="PW489" s="978"/>
      <c r="PX489" s="978"/>
      <c r="PY489" s="978"/>
      <c r="PZ489" s="978"/>
      <c r="QA489" s="978"/>
      <c r="QB489" s="978"/>
      <c r="QC489" s="978"/>
      <c r="QD489" s="978"/>
      <c r="QE489" s="978"/>
      <c r="QF489" s="978"/>
      <c r="QG489" s="978"/>
      <c r="QH489" s="978"/>
      <c r="QI489" s="978"/>
      <c r="QJ489" s="978"/>
      <c r="QK489" s="978"/>
      <c r="QL489" s="978"/>
      <c r="QM489" s="978"/>
      <c r="QN489" s="978"/>
      <c r="QO489" s="978"/>
      <c r="QP489" s="978"/>
      <c r="QQ489" s="978"/>
      <c r="QR489" s="978"/>
      <c r="QS489" s="978"/>
      <c r="QT489" s="978"/>
      <c r="QU489" s="978"/>
      <c r="QV489" s="978"/>
      <c r="QW489" s="978"/>
      <c r="QX489" s="978"/>
      <c r="QY489" s="978"/>
      <c r="QZ489" s="978"/>
      <c r="RA489" s="978"/>
      <c r="RB489" s="274"/>
      <c r="RC489" s="274"/>
    </row>
    <row r="490" spans="112:471" ht="17.25">
      <c r="DH490" s="274"/>
      <c r="DI490" s="274"/>
      <c r="DJ490" s="978"/>
      <c r="DK490" s="978"/>
      <c r="DL490" s="978"/>
      <c r="DM490" s="978"/>
      <c r="DN490" s="978"/>
      <c r="DO490" s="978"/>
      <c r="DP490" s="978"/>
      <c r="DQ490" s="978"/>
      <c r="DR490" s="978"/>
      <c r="DS490" s="978"/>
      <c r="DT490" s="978"/>
      <c r="DU490" s="978"/>
      <c r="DV490" s="978"/>
      <c r="DW490" s="978"/>
      <c r="DX490" s="978"/>
      <c r="DY490" s="978"/>
      <c r="DZ490" s="978"/>
      <c r="EA490" s="978"/>
      <c r="EB490" s="978"/>
      <c r="EC490" s="978"/>
      <c r="ED490" s="978"/>
      <c r="EE490" s="978"/>
      <c r="EF490" s="978"/>
      <c r="EG490" s="978"/>
      <c r="EH490" s="978"/>
      <c r="EI490" s="978"/>
      <c r="EJ490" s="978"/>
      <c r="EK490" s="978"/>
      <c r="EL490" s="978"/>
      <c r="EM490" s="978"/>
      <c r="EN490" s="978"/>
      <c r="EO490" s="978"/>
      <c r="EP490" s="978"/>
      <c r="EQ490" s="978"/>
      <c r="ER490" s="978"/>
      <c r="ES490" s="978"/>
      <c r="ET490" s="978"/>
      <c r="EU490" s="978"/>
      <c r="EV490" s="978"/>
      <c r="EW490" s="978"/>
      <c r="EX490" s="978"/>
      <c r="EY490" s="978"/>
      <c r="EZ490" s="978"/>
      <c r="FA490" s="978"/>
      <c r="FB490" s="978"/>
      <c r="FC490" s="978"/>
      <c r="FD490" s="978"/>
      <c r="FE490" s="978"/>
      <c r="FF490" s="978"/>
      <c r="FG490" s="978"/>
      <c r="FH490" s="978"/>
      <c r="FI490" s="978"/>
      <c r="FJ490" s="978"/>
      <c r="FK490" s="978"/>
      <c r="FL490" s="978"/>
      <c r="FM490" s="978"/>
      <c r="FN490" s="978"/>
      <c r="FO490" s="978"/>
      <c r="FP490" s="978"/>
      <c r="FQ490" s="978"/>
      <c r="FR490" s="978"/>
      <c r="FS490" s="978"/>
      <c r="FT490" s="978"/>
      <c r="FU490" s="978"/>
      <c r="FV490" s="978"/>
      <c r="FW490" s="978"/>
      <c r="FX490" s="978"/>
      <c r="FY490" s="978"/>
      <c r="FZ490" s="978"/>
      <c r="GA490" s="978"/>
      <c r="GB490" s="978"/>
      <c r="GC490" s="978"/>
      <c r="GD490" s="978"/>
      <c r="GE490" s="978"/>
      <c r="GF490" s="978"/>
      <c r="GG490" s="978"/>
      <c r="GH490" s="978"/>
      <c r="GI490" s="978"/>
      <c r="GJ490" s="978"/>
      <c r="GK490" s="978"/>
      <c r="GL490" s="978"/>
      <c r="GM490" s="978"/>
      <c r="GN490" s="978"/>
      <c r="GO490" s="978"/>
      <c r="GP490" s="978"/>
      <c r="GQ490" s="978"/>
      <c r="GR490" s="978"/>
      <c r="GS490" s="978"/>
      <c r="GT490" s="978"/>
      <c r="GU490" s="978"/>
      <c r="GV490" s="978"/>
      <c r="GW490" s="978"/>
      <c r="GX490" s="978"/>
      <c r="GY490" s="978"/>
      <c r="GZ490" s="978"/>
      <c r="HA490" s="978"/>
      <c r="HB490" s="978"/>
      <c r="HC490" s="978"/>
      <c r="HD490" s="978"/>
      <c r="HE490" s="978"/>
      <c r="HF490" s="978"/>
      <c r="HG490" s="978"/>
      <c r="HH490" s="978"/>
      <c r="HI490" s="978"/>
      <c r="HJ490" s="978"/>
      <c r="HK490" s="978"/>
      <c r="HL490" s="978"/>
      <c r="HM490" s="978"/>
      <c r="HN490" s="978"/>
      <c r="HO490" s="978"/>
      <c r="HP490" s="978"/>
      <c r="HQ490" s="978"/>
      <c r="HR490" s="978"/>
      <c r="HS490" s="978"/>
      <c r="HT490" s="978"/>
      <c r="HU490" s="978"/>
      <c r="HV490" s="978"/>
      <c r="HW490" s="978"/>
      <c r="HX490" s="978"/>
      <c r="HY490" s="978"/>
      <c r="HZ490" s="978"/>
      <c r="IA490" s="978"/>
      <c r="IB490" s="978"/>
      <c r="IC490" s="978"/>
      <c r="ID490" s="978"/>
      <c r="IE490" s="978"/>
      <c r="IF490" s="978"/>
      <c r="IG490" s="978"/>
      <c r="IH490" s="978"/>
      <c r="II490" s="978"/>
      <c r="IJ490" s="978"/>
      <c r="IK490" s="978"/>
      <c r="IL490" s="978"/>
      <c r="IM490" s="978"/>
      <c r="IN490" s="978"/>
      <c r="IO490" s="978"/>
      <c r="IP490" s="978"/>
      <c r="IQ490" s="978"/>
      <c r="IR490" s="978"/>
      <c r="IS490" s="978"/>
      <c r="IT490" s="978"/>
      <c r="IU490" s="978"/>
      <c r="IV490" s="978"/>
      <c r="IW490" s="978"/>
      <c r="IX490" s="978"/>
      <c r="IY490" s="978"/>
      <c r="IZ490" s="978"/>
      <c r="JA490" s="978"/>
      <c r="JB490" s="978"/>
      <c r="JC490" s="978"/>
      <c r="JD490" s="978"/>
      <c r="JE490" s="978"/>
      <c r="JF490" s="978"/>
      <c r="JG490" s="978"/>
      <c r="JH490" s="978"/>
      <c r="JI490" s="978"/>
      <c r="JJ490" s="978"/>
      <c r="JK490" s="978"/>
      <c r="JL490" s="978"/>
      <c r="JM490" s="978"/>
      <c r="JN490" s="978"/>
      <c r="JO490" s="978"/>
      <c r="JP490" s="978"/>
      <c r="JQ490" s="978"/>
      <c r="JR490" s="978"/>
      <c r="JS490" s="978"/>
      <c r="JT490" s="978"/>
      <c r="JU490" s="978"/>
      <c r="JV490" s="978"/>
      <c r="JW490" s="978"/>
      <c r="JX490" s="978"/>
      <c r="JY490" s="978"/>
      <c r="JZ490" s="978"/>
      <c r="KA490" s="978"/>
      <c r="KB490" s="978"/>
      <c r="KC490" s="978"/>
      <c r="KD490" s="978"/>
      <c r="KE490" s="978"/>
      <c r="KF490" s="978"/>
      <c r="KG490" s="978"/>
      <c r="KH490" s="978"/>
      <c r="KI490" s="978"/>
      <c r="KJ490" s="978"/>
      <c r="KK490" s="978"/>
      <c r="KL490" s="978"/>
      <c r="KM490" s="978"/>
      <c r="KN490" s="978"/>
      <c r="KO490" s="978"/>
      <c r="KP490" s="978"/>
      <c r="KQ490" s="978"/>
      <c r="KR490" s="978"/>
      <c r="KS490" s="978"/>
      <c r="KT490" s="978"/>
      <c r="KU490" s="978"/>
      <c r="KV490" s="978"/>
      <c r="KW490" s="978"/>
      <c r="KX490" s="978"/>
      <c r="KY490" s="978"/>
      <c r="KZ490" s="978"/>
      <c r="LA490" s="978"/>
      <c r="LB490" s="978"/>
      <c r="LC490" s="978"/>
      <c r="LD490" s="978"/>
      <c r="LE490" s="978"/>
      <c r="LF490" s="978"/>
      <c r="LG490" s="978"/>
      <c r="LH490" s="978"/>
      <c r="LI490" s="978"/>
      <c r="LJ490" s="978"/>
      <c r="LK490" s="978"/>
      <c r="LL490" s="978"/>
      <c r="LM490" s="978"/>
      <c r="LN490" s="978"/>
      <c r="LO490" s="978"/>
      <c r="LP490" s="978"/>
      <c r="LQ490" s="978"/>
      <c r="LR490" s="978"/>
      <c r="LS490" s="978"/>
      <c r="LT490" s="978"/>
      <c r="LU490" s="978"/>
      <c r="LV490" s="978"/>
      <c r="LW490" s="978"/>
      <c r="LX490" s="978"/>
      <c r="LY490" s="978"/>
      <c r="LZ490" s="978"/>
      <c r="MA490" s="978"/>
      <c r="MB490" s="978"/>
      <c r="MC490" s="978"/>
      <c r="MD490" s="978"/>
      <c r="ME490" s="978"/>
      <c r="MF490" s="978"/>
      <c r="MG490" s="978"/>
      <c r="MH490" s="978"/>
      <c r="MI490" s="978"/>
      <c r="MJ490" s="978"/>
      <c r="MK490" s="978"/>
      <c r="ML490" s="978"/>
      <c r="MM490" s="978"/>
      <c r="MN490" s="978"/>
      <c r="MO490" s="978"/>
      <c r="MP490" s="978"/>
      <c r="MQ490" s="978"/>
      <c r="MR490" s="978"/>
      <c r="MS490" s="978"/>
      <c r="MT490" s="978"/>
      <c r="MU490" s="978"/>
      <c r="MV490" s="978"/>
      <c r="MW490" s="978"/>
      <c r="MX490" s="978"/>
      <c r="MY490" s="978"/>
      <c r="MZ490" s="978"/>
      <c r="NA490" s="978"/>
      <c r="NB490" s="978"/>
      <c r="NC490" s="978"/>
      <c r="ND490" s="978"/>
      <c r="NE490" s="978"/>
      <c r="NF490" s="978"/>
      <c r="NG490" s="978"/>
      <c r="NH490" s="978"/>
      <c r="NI490" s="978"/>
      <c r="NJ490" s="978"/>
      <c r="NK490" s="978"/>
      <c r="NL490" s="978"/>
      <c r="NM490" s="978"/>
      <c r="NN490" s="978"/>
      <c r="NO490" s="978"/>
      <c r="NP490" s="978"/>
      <c r="NQ490" s="978"/>
      <c r="NR490" s="978"/>
      <c r="NS490" s="978"/>
      <c r="NT490" s="978"/>
      <c r="NU490" s="978"/>
      <c r="NV490" s="978"/>
      <c r="NW490" s="978"/>
      <c r="NX490" s="978"/>
      <c r="NY490" s="978"/>
      <c r="NZ490" s="978"/>
      <c r="OA490" s="978"/>
      <c r="OB490" s="978"/>
      <c r="OC490" s="978"/>
      <c r="OD490" s="978"/>
      <c r="OE490" s="978"/>
      <c r="OF490" s="978"/>
      <c r="OG490" s="978"/>
      <c r="OH490" s="978"/>
      <c r="OI490" s="978"/>
      <c r="OJ490" s="978"/>
      <c r="OK490" s="978"/>
      <c r="OL490" s="978"/>
      <c r="OM490" s="978"/>
      <c r="ON490" s="978"/>
      <c r="OO490" s="978"/>
      <c r="OP490" s="978"/>
      <c r="OQ490" s="978"/>
      <c r="OR490" s="978"/>
      <c r="OS490" s="978"/>
      <c r="OT490" s="978"/>
      <c r="OU490" s="978"/>
      <c r="OV490" s="978"/>
      <c r="OW490" s="978"/>
      <c r="OX490" s="978"/>
      <c r="OY490" s="978"/>
      <c r="OZ490" s="978"/>
      <c r="PA490" s="978"/>
      <c r="PB490" s="978"/>
      <c r="PC490" s="978"/>
      <c r="PD490" s="978"/>
      <c r="PE490" s="978"/>
      <c r="PF490" s="978"/>
      <c r="PG490" s="978"/>
      <c r="PH490" s="978"/>
      <c r="PI490" s="978"/>
      <c r="PJ490" s="978"/>
      <c r="PK490" s="978"/>
      <c r="PL490" s="978"/>
      <c r="PM490" s="978"/>
      <c r="PN490" s="978"/>
      <c r="PO490" s="978"/>
      <c r="PP490" s="978"/>
      <c r="PQ490" s="978"/>
      <c r="PR490" s="978"/>
      <c r="PS490" s="978"/>
      <c r="PT490" s="978"/>
      <c r="PU490" s="978"/>
      <c r="PV490" s="978"/>
      <c r="PW490" s="978"/>
      <c r="PX490" s="978"/>
      <c r="PY490" s="978"/>
      <c r="PZ490" s="978"/>
      <c r="QA490" s="978"/>
      <c r="QB490" s="978"/>
      <c r="QC490" s="978"/>
      <c r="QD490" s="978"/>
      <c r="QE490" s="978"/>
      <c r="QF490" s="978"/>
      <c r="QG490" s="978"/>
      <c r="QH490" s="978"/>
      <c r="QI490" s="978"/>
      <c r="QJ490" s="978"/>
      <c r="QK490" s="978"/>
      <c r="QL490" s="978"/>
      <c r="QM490" s="978"/>
      <c r="QN490" s="978"/>
      <c r="QO490" s="978"/>
      <c r="QP490" s="978"/>
      <c r="QQ490" s="978"/>
      <c r="QR490" s="978"/>
      <c r="QS490" s="978"/>
      <c r="QT490" s="978"/>
      <c r="QU490" s="978"/>
      <c r="QV490" s="978"/>
      <c r="QW490" s="978"/>
      <c r="QX490" s="978"/>
      <c r="QY490" s="978"/>
      <c r="QZ490" s="978"/>
      <c r="RA490" s="978"/>
      <c r="RB490" s="274"/>
      <c r="RC490" s="274"/>
    </row>
    <row r="491" spans="112:471" ht="17.25">
      <c r="DH491" s="274"/>
      <c r="DI491" s="274"/>
      <c r="DJ491" s="978"/>
      <c r="DK491" s="978"/>
      <c r="DL491" s="978"/>
      <c r="DM491" s="978"/>
      <c r="DN491" s="978"/>
      <c r="DO491" s="978"/>
      <c r="DP491" s="978"/>
      <c r="DQ491" s="978"/>
      <c r="DR491" s="978"/>
      <c r="DS491" s="978"/>
      <c r="DT491" s="978"/>
      <c r="DU491" s="978"/>
      <c r="DV491" s="978"/>
      <c r="DW491" s="978"/>
      <c r="DX491" s="978"/>
      <c r="DY491" s="978"/>
      <c r="DZ491" s="978"/>
      <c r="EA491" s="978"/>
      <c r="EB491" s="978"/>
      <c r="EC491" s="978"/>
      <c r="ED491" s="978"/>
      <c r="EE491" s="978"/>
      <c r="EF491" s="978"/>
      <c r="EG491" s="978"/>
      <c r="EH491" s="978"/>
      <c r="EI491" s="978"/>
      <c r="EJ491" s="978"/>
      <c r="EK491" s="978"/>
      <c r="EL491" s="978"/>
      <c r="EM491" s="978"/>
      <c r="EN491" s="978"/>
      <c r="EO491" s="978"/>
      <c r="EP491" s="978"/>
      <c r="EQ491" s="978"/>
      <c r="ER491" s="978"/>
      <c r="ES491" s="978"/>
      <c r="ET491" s="978"/>
      <c r="EU491" s="978"/>
      <c r="EV491" s="978"/>
      <c r="EW491" s="978"/>
      <c r="EX491" s="978"/>
      <c r="EY491" s="978"/>
      <c r="EZ491" s="978"/>
      <c r="FA491" s="978"/>
      <c r="FB491" s="978"/>
      <c r="FC491" s="978"/>
      <c r="FD491" s="978"/>
      <c r="FE491" s="978"/>
      <c r="FF491" s="978"/>
      <c r="FG491" s="978"/>
      <c r="FH491" s="978"/>
      <c r="FI491" s="978"/>
      <c r="FJ491" s="978"/>
      <c r="FK491" s="978"/>
      <c r="FL491" s="978"/>
      <c r="FM491" s="978"/>
      <c r="FN491" s="978"/>
      <c r="FO491" s="978"/>
      <c r="FP491" s="978"/>
      <c r="FQ491" s="978"/>
      <c r="FR491" s="978"/>
      <c r="FS491" s="978"/>
      <c r="FT491" s="978"/>
      <c r="FU491" s="978"/>
      <c r="FV491" s="978"/>
      <c r="FW491" s="978"/>
      <c r="FX491" s="978"/>
      <c r="FY491" s="978"/>
      <c r="FZ491" s="978"/>
      <c r="GA491" s="978"/>
      <c r="GB491" s="978"/>
      <c r="GC491" s="978"/>
      <c r="GD491" s="978"/>
      <c r="GE491" s="978"/>
      <c r="GF491" s="978"/>
      <c r="GG491" s="978"/>
      <c r="GH491" s="978"/>
      <c r="GI491" s="978"/>
      <c r="GJ491" s="978"/>
      <c r="GK491" s="978"/>
      <c r="GL491" s="978"/>
      <c r="GM491" s="978"/>
      <c r="GN491" s="978"/>
      <c r="GO491" s="978"/>
      <c r="GP491" s="978"/>
      <c r="GQ491" s="978"/>
      <c r="GR491" s="978"/>
      <c r="GS491" s="978"/>
      <c r="GT491" s="978"/>
      <c r="GU491" s="978"/>
      <c r="GV491" s="978"/>
      <c r="GW491" s="978"/>
      <c r="GX491" s="978"/>
      <c r="GY491" s="978"/>
      <c r="GZ491" s="978"/>
      <c r="HA491" s="978"/>
      <c r="HB491" s="978"/>
      <c r="HC491" s="978"/>
      <c r="HD491" s="978"/>
      <c r="HE491" s="978"/>
      <c r="HF491" s="978"/>
      <c r="HG491" s="978"/>
      <c r="HH491" s="978"/>
      <c r="HI491" s="978"/>
      <c r="HJ491" s="978"/>
      <c r="HK491" s="978"/>
      <c r="HL491" s="978"/>
      <c r="HM491" s="978"/>
      <c r="HN491" s="978"/>
      <c r="HO491" s="978"/>
      <c r="HP491" s="978"/>
      <c r="HQ491" s="978"/>
      <c r="HR491" s="978"/>
      <c r="HS491" s="978"/>
      <c r="HT491" s="978"/>
      <c r="HU491" s="978"/>
      <c r="HV491" s="978"/>
      <c r="HW491" s="978"/>
      <c r="HX491" s="978"/>
      <c r="HY491" s="978"/>
      <c r="HZ491" s="978"/>
      <c r="IA491" s="978"/>
      <c r="IB491" s="978"/>
      <c r="IC491" s="978"/>
      <c r="ID491" s="978"/>
      <c r="IE491" s="978"/>
      <c r="IF491" s="978"/>
      <c r="IG491" s="978"/>
      <c r="IH491" s="978"/>
      <c r="II491" s="978"/>
      <c r="IJ491" s="978"/>
      <c r="IK491" s="978"/>
      <c r="IL491" s="978"/>
      <c r="IM491" s="978"/>
      <c r="IN491" s="978"/>
      <c r="IO491" s="978"/>
      <c r="IP491" s="978"/>
      <c r="IQ491" s="978"/>
      <c r="IR491" s="978"/>
      <c r="IS491" s="978"/>
      <c r="IT491" s="978"/>
      <c r="IU491" s="978"/>
      <c r="IV491" s="978"/>
      <c r="IW491" s="978"/>
      <c r="IX491" s="978"/>
      <c r="IY491" s="978"/>
      <c r="IZ491" s="978"/>
      <c r="JA491" s="978"/>
      <c r="JB491" s="978"/>
      <c r="JC491" s="978"/>
      <c r="JD491" s="978"/>
      <c r="JE491" s="978"/>
      <c r="JF491" s="978"/>
      <c r="JG491" s="978"/>
      <c r="JH491" s="978"/>
      <c r="JI491" s="978"/>
      <c r="JJ491" s="978"/>
      <c r="JK491" s="978"/>
      <c r="JL491" s="978"/>
      <c r="JM491" s="978"/>
      <c r="JN491" s="978"/>
      <c r="JO491" s="978"/>
      <c r="JP491" s="978"/>
      <c r="JQ491" s="978"/>
      <c r="JR491" s="978"/>
      <c r="JS491" s="978"/>
      <c r="JT491" s="978"/>
      <c r="JU491" s="978"/>
      <c r="JV491" s="978"/>
      <c r="JW491" s="978"/>
      <c r="JX491" s="978"/>
      <c r="JY491" s="978"/>
      <c r="JZ491" s="978"/>
      <c r="KA491" s="978"/>
      <c r="KB491" s="978"/>
      <c r="KC491" s="978"/>
      <c r="KD491" s="978"/>
      <c r="KE491" s="978"/>
      <c r="KF491" s="978"/>
      <c r="KG491" s="978"/>
      <c r="KH491" s="978"/>
      <c r="KI491" s="978"/>
      <c r="KJ491" s="978"/>
      <c r="KK491" s="978"/>
      <c r="KL491" s="978"/>
      <c r="KM491" s="978"/>
      <c r="KN491" s="978"/>
      <c r="KO491" s="978"/>
      <c r="KP491" s="978"/>
      <c r="KQ491" s="978"/>
      <c r="KR491" s="978"/>
      <c r="KS491" s="978"/>
      <c r="KT491" s="978"/>
      <c r="KU491" s="978"/>
      <c r="KV491" s="978"/>
      <c r="KW491" s="978"/>
      <c r="KX491" s="978"/>
      <c r="KY491" s="978"/>
      <c r="KZ491" s="978"/>
      <c r="LA491" s="978"/>
      <c r="LB491" s="978"/>
      <c r="LC491" s="978"/>
      <c r="LD491" s="978"/>
      <c r="LE491" s="978"/>
      <c r="LF491" s="978"/>
      <c r="LG491" s="978"/>
      <c r="LH491" s="978"/>
      <c r="LI491" s="978"/>
      <c r="LJ491" s="978"/>
      <c r="LK491" s="978"/>
      <c r="LL491" s="978"/>
      <c r="LM491" s="978"/>
      <c r="LN491" s="978"/>
      <c r="LO491" s="978"/>
      <c r="LP491" s="978"/>
      <c r="LQ491" s="978"/>
      <c r="LR491" s="978"/>
      <c r="LS491" s="978"/>
      <c r="LT491" s="978"/>
      <c r="LU491" s="978"/>
      <c r="LV491" s="978"/>
      <c r="LW491" s="978"/>
      <c r="LX491" s="978"/>
      <c r="LY491" s="978"/>
      <c r="LZ491" s="978"/>
      <c r="MA491" s="978"/>
      <c r="MB491" s="978"/>
      <c r="MC491" s="978"/>
      <c r="MD491" s="978"/>
      <c r="ME491" s="978"/>
      <c r="MF491" s="978"/>
      <c r="MG491" s="978"/>
      <c r="MH491" s="978"/>
      <c r="MI491" s="978"/>
      <c r="MJ491" s="978"/>
      <c r="MK491" s="978"/>
      <c r="ML491" s="978"/>
      <c r="MM491" s="978"/>
      <c r="MN491" s="978"/>
      <c r="MO491" s="978"/>
      <c r="MP491" s="978"/>
      <c r="MQ491" s="978"/>
      <c r="MR491" s="978"/>
      <c r="MS491" s="978"/>
      <c r="MT491" s="978"/>
      <c r="MU491" s="978"/>
      <c r="MV491" s="978"/>
      <c r="MW491" s="978"/>
      <c r="MX491" s="978"/>
      <c r="MY491" s="978"/>
      <c r="MZ491" s="978"/>
      <c r="NA491" s="978"/>
      <c r="NB491" s="978"/>
      <c r="NC491" s="978"/>
      <c r="ND491" s="978"/>
      <c r="NE491" s="978"/>
      <c r="NF491" s="978"/>
      <c r="NG491" s="978"/>
      <c r="NH491" s="978"/>
      <c r="NI491" s="978"/>
      <c r="NJ491" s="978"/>
      <c r="NK491" s="978"/>
      <c r="NL491" s="978"/>
      <c r="NM491" s="978"/>
      <c r="NN491" s="978"/>
      <c r="NO491" s="978"/>
      <c r="NP491" s="978"/>
      <c r="NQ491" s="978"/>
      <c r="NR491" s="978"/>
      <c r="NS491" s="978"/>
      <c r="NT491" s="978"/>
      <c r="NU491" s="978"/>
      <c r="NV491" s="978"/>
      <c r="NW491" s="978"/>
      <c r="NX491" s="978"/>
      <c r="NY491" s="978"/>
      <c r="NZ491" s="978"/>
      <c r="OA491" s="978"/>
      <c r="OB491" s="978"/>
      <c r="OC491" s="978"/>
      <c r="OD491" s="978"/>
      <c r="OE491" s="978"/>
      <c r="OF491" s="978"/>
      <c r="OG491" s="978"/>
      <c r="OH491" s="978"/>
      <c r="OI491" s="978"/>
      <c r="OJ491" s="978"/>
      <c r="OK491" s="978"/>
      <c r="OL491" s="978"/>
      <c r="OM491" s="978"/>
      <c r="ON491" s="978"/>
      <c r="OO491" s="978"/>
      <c r="OP491" s="978"/>
      <c r="OQ491" s="978"/>
      <c r="OR491" s="978"/>
      <c r="OS491" s="978"/>
      <c r="OT491" s="978"/>
      <c r="OU491" s="978"/>
      <c r="OV491" s="978"/>
      <c r="OW491" s="978"/>
      <c r="OX491" s="978"/>
      <c r="OY491" s="978"/>
      <c r="OZ491" s="978"/>
      <c r="PA491" s="978"/>
      <c r="PB491" s="978"/>
      <c r="PC491" s="978"/>
      <c r="PD491" s="978"/>
      <c r="PE491" s="978"/>
      <c r="PF491" s="978"/>
      <c r="PG491" s="978"/>
      <c r="PH491" s="978"/>
      <c r="PI491" s="978"/>
      <c r="PJ491" s="978"/>
      <c r="PK491" s="978"/>
      <c r="PL491" s="978"/>
      <c r="PM491" s="978"/>
      <c r="PN491" s="978"/>
      <c r="PO491" s="978"/>
      <c r="PP491" s="978"/>
      <c r="PQ491" s="978"/>
      <c r="PR491" s="978"/>
      <c r="PS491" s="978"/>
      <c r="PT491" s="978"/>
      <c r="PU491" s="978"/>
      <c r="PV491" s="978"/>
      <c r="PW491" s="978"/>
      <c r="PX491" s="978"/>
      <c r="PY491" s="978"/>
      <c r="PZ491" s="978"/>
      <c r="QA491" s="978"/>
      <c r="QB491" s="978"/>
      <c r="QC491" s="978"/>
      <c r="QD491" s="978"/>
      <c r="QE491" s="978"/>
      <c r="QF491" s="978"/>
      <c r="QG491" s="978"/>
      <c r="QH491" s="978"/>
      <c r="QI491" s="978"/>
      <c r="QJ491" s="978"/>
      <c r="QK491" s="978"/>
      <c r="QL491" s="978"/>
      <c r="QM491" s="978"/>
      <c r="QN491" s="978"/>
      <c r="QO491" s="978"/>
      <c r="QP491" s="978"/>
      <c r="QQ491" s="978"/>
      <c r="QR491" s="978"/>
      <c r="QS491" s="978"/>
      <c r="QT491" s="978"/>
      <c r="QU491" s="978"/>
      <c r="QV491" s="978"/>
      <c r="QW491" s="978"/>
      <c r="QX491" s="978"/>
      <c r="QY491" s="978"/>
      <c r="QZ491" s="978"/>
      <c r="RA491" s="978"/>
      <c r="RB491" s="274"/>
      <c r="RC491" s="274"/>
    </row>
    <row r="492" spans="112:471" ht="17.25">
      <c r="DH492" s="274"/>
      <c r="DI492" s="274"/>
      <c r="DJ492" s="978"/>
      <c r="DK492" s="978"/>
      <c r="DL492" s="978"/>
      <c r="DM492" s="978"/>
      <c r="DN492" s="978"/>
      <c r="DO492" s="978"/>
      <c r="DP492" s="978"/>
      <c r="DQ492" s="978"/>
      <c r="DR492" s="978"/>
      <c r="DS492" s="978"/>
      <c r="DT492" s="978"/>
      <c r="DU492" s="978"/>
      <c r="DV492" s="978"/>
      <c r="DW492" s="978"/>
      <c r="DX492" s="978"/>
      <c r="DY492" s="978"/>
      <c r="DZ492" s="978"/>
      <c r="EA492" s="978"/>
      <c r="EB492" s="978"/>
      <c r="EC492" s="978"/>
      <c r="ED492" s="978"/>
      <c r="EE492" s="978"/>
      <c r="EF492" s="978"/>
      <c r="EG492" s="978"/>
      <c r="EH492" s="978"/>
      <c r="EI492" s="978"/>
      <c r="EJ492" s="978"/>
      <c r="EK492" s="978"/>
      <c r="EL492" s="978"/>
      <c r="EM492" s="978"/>
      <c r="EN492" s="978"/>
      <c r="EO492" s="978"/>
      <c r="EP492" s="978"/>
      <c r="EQ492" s="978"/>
      <c r="ER492" s="978"/>
      <c r="ES492" s="978"/>
      <c r="ET492" s="978"/>
      <c r="EU492" s="978"/>
      <c r="EV492" s="978"/>
      <c r="EW492" s="978"/>
      <c r="EX492" s="978"/>
      <c r="EY492" s="978"/>
      <c r="EZ492" s="978"/>
      <c r="FA492" s="978"/>
      <c r="FB492" s="978"/>
      <c r="FC492" s="978"/>
      <c r="FD492" s="978"/>
      <c r="FE492" s="978"/>
      <c r="FF492" s="978"/>
      <c r="FG492" s="978"/>
      <c r="FH492" s="978"/>
      <c r="FI492" s="978"/>
      <c r="FJ492" s="978"/>
      <c r="FK492" s="978"/>
      <c r="FL492" s="978"/>
      <c r="FM492" s="978"/>
      <c r="FN492" s="978"/>
      <c r="FO492" s="978"/>
      <c r="FP492" s="978"/>
      <c r="FQ492" s="978"/>
      <c r="FR492" s="978"/>
      <c r="FS492" s="978"/>
      <c r="FT492" s="978"/>
      <c r="FU492" s="978"/>
      <c r="FV492" s="978"/>
      <c r="FW492" s="978"/>
      <c r="FX492" s="978"/>
      <c r="FY492" s="978"/>
      <c r="FZ492" s="978"/>
      <c r="GA492" s="978"/>
      <c r="GB492" s="978"/>
      <c r="GC492" s="978"/>
      <c r="GD492" s="978"/>
      <c r="GE492" s="978"/>
      <c r="GF492" s="978"/>
      <c r="GG492" s="978"/>
      <c r="GH492" s="978"/>
      <c r="GI492" s="978"/>
      <c r="GJ492" s="978"/>
      <c r="GK492" s="978"/>
      <c r="GL492" s="978"/>
      <c r="GM492" s="978"/>
      <c r="GN492" s="978"/>
      <c r="GO492" s="978"/>
      <c r="GP492" s="978"/>
      <c r="GQ492" s="978"/>
      <c r="GR492" s="978"/>
      <c r="GS492" s="978"/>
      <c r="GT492" s="978"/>
      <c r="GU492" s="978"/>
      <c r="GV492" s="978"/>
      <c r="GW492" s="978"/>
      <c r="GX492" s="978"/>
      <c r="GY492" s="978"/>
      <c r="GZ492" s="978"/>
      <c r="HA492" s="978"/>
      <c r="HB492" s="978"/>
      <c r="HC492" s="978"/>
      <c r="HD492" s="978"/>
      <c r="HE492" s="978"/>
      <c r="HF492" s="978"/>
      <c r="HG492" s="978"/>
      <c r="HH492" s="978"/>
      <c r="HI492" s="978"/>
      <c r="HJ492" s="978"/>
      <c r="HK492" s="978"/>
      <c r="HL492" s="978"/>
      <c r="HM492" s="978"/>
      <c r="HN492" s="978"/>
      <c r="HO492" s="978"/>
      <c r="HP492" s="978"/>
      <c r="HQ492" s="978"/>
      <c r="HR492" s="978"/>
      <c r="HS492" s="978"/>
      <c r="HT492" s="978"/>
      <c r="HU492" s="978"/>
      <c r="HV492" s="978"/>
      <c r="HW492" s="978"/>
      <c r="HX492" s="978"/>
      <c r="HY492" s="978"/>
      <c r="HZ492" s="978"/>
      <c r="IA492" s="978"/>
      <c r="IB492" s="978"/>
      <c r="IC492" s="978"/>
      <c r="ID492" s="978"/>
      <c r="IE492" s="978"/>
      <c r="IF492" s="978"/>
      <c r="IG492" s="978"/>
      <c r="IH492" s="978"/>
      <c r="II492" s="978"/>
      <c r="IJ492" s="978"/>
      <c r="IK492" s="978"/>
      <c r="IL492" s="978"/>
      <c r="IM492" s="978"/>
      <c r="IN492" s="978"/>
      <c r="IO492" s="978"/>
      <c r="IP492" s="978"/>
      <c r="IQ492" s="978"/>
      <c r="IR492" s="978"/>
      <c r="IS492" s="978"/>
      <c r="IT492" s="978"/>
      <c r="IU492" s="978"/>
      <c r="IV492" s="978"/>
      <c r="IW492" s="978"/>
      <c r="IX492" s="978"/>
      <c r="IY492" s="978"/>
      <c r="IZ492" s="978"/>
      <c r="JA492" s="978"/>
      <c r="JB492" s="978"/>
      <c r="JC492" s="978"/>
      <c r="JD492" s="978"/>
      <c r="JE492" s="978"/>
      <c r="JF492" s="978"/>
      <c r="JG492" s="978"/>
      <c r="JH492" s="978"/>
      <c r="JI492" s="978"/>
      <c r="JJ492" s="978"/>
      <c r="JK492" s="978"/>
      <c r="JL492" s="978"/>
      <c r="JM492" s="978"/>
      <c r="JN492" s="978"/>
      <c r="JO492" s="978"/>
      <c r="JP492" s="978"/>
      <c r="JQ492" s="978"/>
      <c r="JR492" s="978"/>
      <c r="JS492" s="978"/>
      <c r="JT492" s="978"/>
      <c r="JU492" s="978"/>
      <c r="JV492" s="978"/>
      <c r="JW492" s="978"/>
      <c r="JX492" s="978"/>
      <c r="JY492" s="978"/>
      <c r="JZ492" s="978"/>
      <c r="KA492" s="978"/>
      <c r="KB492" s="978"/>
      <c r="KC492" s="978"/>
      <c r="KD492" s="978"/>
      <c r="KE492" s="978"/>
      <c r="KF492" s="978"/>
      <c r="KG492" s="978"/>
      <c r="KH492" s="978"/>
      <c r="KI492" s="978"/>
      <c r="KJ492" s="978"/>
      <c r="KK492" s="978"/>
      <c r="KL492" s="978"/>
      <c r="KM492" s="978"/>
      <c r="KN492" s="978"/>
      <c r="KO492" s="978"/>
      <c r="KP492" s="978"/>
      <c r="KQ492" s="978"/>
      <c r="KR492" s="978"/>
      <c r="KS492" s="978"/>
      <c r="KT492" s="978"/>
      <c r="KU492" s="978"/>
      <c r="KV492" s="978"/>
      <c r="KW492" s="978"/>
      <c r="KX492" s="978"/>
      <c r="KY492" s="978"/>
      <c r="KZ492" s="978"/>
      <c r="LA492" s="978"/>
      <c r="LB492" s="978"/>
      <c r="LC492" s="978"/>
      <c r="LD492" s="978"/>
      <c r="LE492" s="978"/>
      <c r="LF492" s="978"/>
      <c r="LG492" s="978"/>
      <c r="LH492" s="978"/>
      <c r="LI492" s="978"/>
      <c r="LJ492" s="978"/>
      <c r="LK492" s="978"/>
      <c r="LL492" s="978"/>
      <c r="LM492" s="978"/>
      <c r="LN492" s="978"/>
      <c r="LO492" s="978"/>
      <c r="LP492" s="978"/>
      <c r="LQ492" s="978"/>
      <c r="LR492" s="978"/>
      <c r="LS492" s="978"/>
      <c r="LT492" s="978"/>
      <c r="LU492" s="978"/>
      <c r="LV492" s="978"/>
      <c r="LW492" s="978"/>
      <c r="LX492" s="978"/>
      <c r="LY492" s="978"/>
      <c r="LZ492" s="978"/>
      <c r="MA492" s="978"/>
      <c r="MB492" s="978"/>
      <c r="MC492" s="978"/>
      <c r="MD492" s="978"/>
      <c r="ME492" s="978"/>
      <c r="MF492" s="978"/>
      <c r="MG492" s="978"/>
      <c r="MH492" s="978"/>
      <c r="MI492" s="978"/>
      <c r="MJ492" s="978"/>
      <c r="MK492" s="978"/>
      <c r="ML492" s="978"/>
      <c r="MM492" s="978"/>
      <c r="MN492" s="978"/>
      <c r="MO492" s="978"/>
      <c r="MP492" s="978"/>
      <c r="MQ492" s="978"/>
      <c r="MR492" s="978"/>
      <c r="MS492" s="978"/>
      <c r="MT492" s="978"/>
      <c r="MU492" s="978"/>
      <c r="MV492" s="978"/>
      <c r="MW492" s="978"/>
      <c r="MX492" s="978"/>
      <c r="MY492" s="978"/>
      <c r="MZ492" s="978"/>
      <c r="NA492" s="978"/>
      <c r="NB492" s="978"/>
      <c r="NC492" s="978"/>
      <c r="ND492" s="978"/>
      <c r="NE492" s="978"/>
      <c r="NF492" s="978"/>
      <c r="NG492" s="978"/>
      <c r="NH492" s="978"/>
      <c r="NI492" s="978"/>
      <c r="NJ492" s="978"/>
      <c r="NK492" s="978"/>
      <c r="NL492" s="978"/>
      <c r="NM492" s="978"/>
      <c r="NN492" s="978"/>
      <c r="NO492" s="978"/>
      <c r="NP492" s="978"/>
      <c r="NQ492" s="978"/>
      <c r="NR492" s="978"/>
      <c r="NS492" s="978"/>
      <c r="NT492" s="978"/>
      <c r="NU492" s="978"/>
      <c r="NV492" s="978"/>
      <c r="NW492" s="978"/>
      <c r="NX492" s="978"/>
      <c r="NY492" s="978"/>
      <c r="NZ492" s="978"/>
      <c r="OA492" s="978"/>
      <c r="OB492" s="978"/>
      <c r="OC492" s="978"/>
      <c r="OD492" s="978"/>
      <c r="OE492" s="978"/>
      <c r="OF492" s="978"/>
      <c r="OG492" s="978"/>
      <c r="OH492" s="978"/>
      <c r="OI492" s="978"/>
      <c r="OJ492" s="978"/>
      <c r="OK492" s="978"/>
      <c r="OL492" s="978"/>
      <c r="OM492" s="978"/>
      <c r="ON492" s="978"/>
      <c r="OO492" s="978"/>
      <c r="OP492" s="978"/>
      <c r="OQ492" s="978"/>
      <c r="OR492" s="978"/>
      <c r="OS492" s="978"/>
      <c r="OT492" s="978"/>
      <c r="OU492" s="978"/>
      <c r="OV492" s="978"/>
      <c r="OW492" s="978"/>
      <c r="OX492" s="978"/>
      <c r="OY492" s="978"/>
      <c r="OZ492" s="978"/>
      <c r="PA492" s="978"/>
      <c r="PB492" s="978"/>
      <c r="PC492" s="978"/>
      <c r="PD492" s="978"/>
      <c r="PE492" s="978"/>
      <c r="PF492" s="978"/>
      <c r="PG492" s="978"/>
      <c r="PH492" s="978"/>
      <c r="PI492" s="978"/>
      <c r="PJ492" s="978"/>
      <c r="PK492" s="978"/>
      <c r="PL492" s="978"/>
      <c r="PM492" s="978"/>
      <c r="PN492" s="978"/>
      <c r="PO492" s="978"/>
      <c r="PP492" s="978"/>
      <c r="PQ492" s="978"/>
      <c r="PR492" s="978"/>
      <c r="PS492" s="978"/>
      <c r="PT492" s="978"/>
      <c r="PU492" s="978"/>
      <c r="PV492" s="978"/>
      <c r="PW492" s="978"/>
      <c r="PX492" s="978"/>
      <c r="PY492" s="978"/>
      <c r="PZ492" s="978"/>
      <c r="QA492" s="978"/>
      <c r="QB492" s="978"/>
      <c r="QC492" s="978"/>
      <c r="QD492" s="978"/>
      <c r="QE492" s="978"/>
      <c r="QF492" s="978"/>
      <c r="QG492" s="978"/>
      <c r="QH492" s="978"/>
      <c r="QI492" s="978"/>
      <c r="QJ492" s="978"/>
      <c r="QK492" s="978"/>
      <c r="QL492" s="978"/>
      <c r="QM492" s="978"/>
      <c r="QN492" s="978"/>
      <c r="QO492" s="978"/>
      <c r="QP492" s="978"/>
      <c r="QQ492" s="978"/>
      <c r="QR492" s="978"/>
      <c r="QS492" s="978"/>
      <c r="QT492" s="978"/>
      <c r="QU492" s="978"/>
      <c r="QV492" s="978"/>
      <c r="QW492" s="978"/>
      <c r="QX492" s="978"/>
      <c r="QY492" s="978"/>
      <c r="QZ492" s="978"/>
      <c r="RA492" s="978"/>
      <c r="RB492" s="274"/>
      <c r="RC492" s="274"/>
    </row>
    <row r="493" spans="112:471" ht="17.25">
      <c r="DH493" s="274"/>
      <c r="DI493" s="274"/>
      <c r="DJ493" s="978"/>
      <c r="DK493" s="978"/>
      <c r="DL493" s="978"/>
      <c r="DM493" s="978"/>
      <c r="DN493" s="978"/>
      <c r="DO493" s="978"/>
      <c r="DP493" s="978"/>
      <c r="DQ493" s="978"/>
      <c r="DR493" s="978"/>
      <c r="DS493" s="978"/>
      <c r="DT493" s="978"/>
      <c r="DU493" s="978"/>
      <c r="DV493" s="978"/>
      <c r="DW493" s="978"/>
      <c r="DX493" s="978"/>
      <c r="DY493" s="978"/>
      <c r="DZ493" s="978"/>
      <c r="EA493" s="978"/>
      <c r="EB493" s="978"/>
      <c r="EC493" s="978"/>
      <c r="ED493" s="978"/>
      <c r="EE493" s="978"/>
      <c r="EF493" s="978"/>
      <c r="EG493" s="978"/>
      <c r="EH493" s="978"/>
      <c r="EI493" s="978"/>
      <c r="EJ493" s="978"/>
      <c r="EK493" s="978"/>
      <c r="EL493" s="978"/>
      <c r="EM493" s="978"/>
      <c r="EN493" s="978"/>
      <c r="EO493" s="978"/>
      <c r="EP493" s="978"/>
      <c r="EQ493" s="978"/>
      <c r="ER493" s="978"/>
      <c r="ES493" s="978"/>
      <c r="ET493" s="978"/>
      <c r="EU493" s="978"/>
      <c r="EV493" s="978"/>
      <c r="EW493" s="978"/>
      <c r="EX493" s="978"/>
      <c r="EY493" s="978"/>
      <c r="EZ493" s="978"/>
      <c r="FA493" s="978"/>
      <c r="FB493" s="978"/>
      <c r="FC493" s="978"/>
      <c r="FD493" s="978"/>
      <c r="FE493" s="978"/>
      <c r="FF493" s="978"/>
      <c r="FG493" s="978"/>
      <c r="FH493" s="978"/>
      <c r="FI493" s="978"/>
      <c r="FJ493" s="978"/>
      <c r="FK493" s="978"/>
      <c r="FL493" s="978"/>
      <c r="FM493" s="978"/>
      <c r="FN493" s="978"/>
      <c r="FO493" s="978"/>
      <c r="FP493" s="978"/>
      <c r="FQ493" s="978"/>
      <c r="FR493" s="978"/>
      <c r="FS493" s="978"/>
      <c r="FT493" s="978"/>
      <c r="FU493" s="978"/>
      <c r="FV493" s="978"/>
      <c r="FW493" s="978"/>
      <c r="FX493" s="978"/>
      <c r="FY493" s="978"/>
      <c r="FZ493" s="978"/>
      <c r="GA493" s="978"/>
      <c r="GB493" s="978"/>
      <c r="GC493" s="978"/>
      <c r="GD493" s="978"/>
      <c r="GE493" s="978"/>
      <c r="GF493" s="978"/>
      <c r="GG493" s="978"/>
      <c r="GH493" s="978"/>
      <c r="GI493" s="978"/>
      <c r="GJ493" s="978"/>
      <c r="GK493" s="978"/>
      <c r="GL493" s="978"/>
      <c r="GM493" s="978"/>
      <c r="GN493" s="978"/>
      <c r="GO493" s="978"/>
      <c r="GP493" s="978"/>
      <c r="GQ493" s="978"/>
      <c r="GR493" s="978"/>
      <c r="GS493" s="978"/>
      <c r="GT493" s="978"/>
      <c r="GU493" s="978"/>
      <c r="GV493" s="978"/>
      <c r="GW493" s="978"/>
      <c r="GX493" s="978"/>
      <c r="GY493" s="978"/>
      <c r="GZ493" s="978"/>
      <c r="HA493" s="978"/>
      <c r="HB493" s="978"/>
      <c r="HC493" s="978"/>
      <c r="HD493" s="978"/>
      <c r="HE493" s="978"/>
      <c r="HF493" s="978"/>
      <c r="HG493" s="978"/>
      <c r="HH493" s="978"/>
      <c r="HI493" s="978"/>
      <c r="HJ493" s="978"/>
      <c r="HK493" s="978"/>
      <c r="HL493" s="978"/>
      <c r="HM493" s="978"/>
      <c r="HN493" s="978"/>
      <c r="HO493" s="978"/>
      <c r="HP493" s="978"/>
      <c r="HQ493" s="978"/>
      <c r="HR493" s="978"/>
      <c r="HS493" s="978"/>
      <c r="HT493" s="978"/>
      <c r="HU493" s="978"/>
      <c r="HV493" s="978"/>
      <c r="HW493" s="978"/>
      <c r="HX493" s="978"/>
      <c r="HY493" s="978"/>
      <c r="HZ493" s="978"/>
      <c r="IA493" s="978"/>
      <c r="IB493" s="978"/>
      <c r="IC493" s="978"/>
      <c r="ID493" s="978"/>
      <c r="IE493" s="978"/>
      <c r="IF493" s="978"/>
      <c r="IG493" s="978"/>
      <c r="IH493" s="978"/>
      <c r="II493" s="978"/>
      <c r="IJ493" s="978"/>
      <c r="IK493" s="978"/>
      <c r="IL493" s="978"/>
      <c r="IM493" s="978"/>
      <c r="IN493" s="978"/>
      <c r="IO493" s="978"/>
      <c r="IP493" s="978"/>
      <c r="IQ493" s="978"/>
      <c r="IR493" s="978"/>
      <c r="IS493" s="978"/>
      <c r="IT493" s="978"/>
      <c r="IU493" s="978"/>
      <c r="IV493" s="978"/>
      <c r="IW493" s="978"/>
      <c r="IX493" s="978"/>
      <c r="IY493" s="978"/>
      <c r="IZ493" s="978"/>
      <c r="JA493" s="978"/>
      <c r="JB493" s="978"/>
      <c r="JC493" s="978"/>
      <c r="JD493" s="978"/>
      <c r="JE493" s="978"/>
      <c r="JF493" s="978"/>
      <c r="JG493" s="978"/>
      <c r="JH493" s="978"/>
      <c r="JI493" s="978"/>
      <c r="JJ493" s="978"/>
      <c r="JK493" s="978"/>
      <c r="JL493" s="978"/>
      <c r="JM493" s="978"/>
      <c r="JN493" s="978"/>
      <c r="JO493" s="978"/>
      <c r="JP493" s="978"/>
      <c r="JQ493" s="978"/>
      <c r="JR493" s="978"/>
      <c r="JS493" s="978"/>
      <c r="JT493" s="978"/>
      <c r="JU493" s="978"/>
      <c r="JV493" s="978"/>
      <c r="JW493" s="978"/>
      <c r="JX493" s="978"/>
      <c r="JY493" s="978"/>
      <c r="JZ493" s="978"/>
      <c r="KA493" s="978"/>
      <c r="KB493" s="978"/>
      <c r="KC493" s="978"/>
      <c r="KD493" s="978"/>
      <c r="KE493" s="978"/>
      <c r="KF493" s="978"/>
      <c r="KG493" s="978"/>
      <c r="KH493" s="978"/>
      <c r="KI493" s="978"/>
      <c r="KJ493" s="978"/>
      <c r="KK493" s="978"/>
      <c r="KL493" s="978"/>
      <c r="KM493" s="978"/>
      <c r="KN493" s="978"/>
      <c r="KO493" s="978"/>
      <c r="KP493" s="978"/>
      <c r="KQ493" s="978"/>
      <c r="KR493" s="978"/>
      <c r="KS493" s="978"/>
      <c r="KT493" s="978"/>
      <c r="KU493" s="978"/>
      <c r="KV493" s="978"/>
      <c r="KW493" s="978"/>
      <c r="KX493" s="978"/>
      <c r="KY493" s="978"/>
      <c r="KZ493" s="978"/>
      <c r="LA493" s="978"/>
      <c r="LB493" s="978"/>
      <c r="LC493" s="978"/>
      <c r="LD493" s="978"/>
      <c r="LE493" s="978"/>
      <c r="LF493" s="978"/>
      <c r="LG493" s="978"/>
      <c r="LH493" s="978"/>
      <c r="LI493" s="978"/>
      <c r="LJ493" s="978"/>
      <c r="LK493" s="978"/>
      <c r="LL493" s="978"/>
      <c r="LM493" s="978"/>
      <c r="LN493" s="978"/>
      <c r="LO493" s="978"/>
      <c r="LP493" s="978"/>
      <c r="LQ493" s="978"/>
      <c r="LR493" s="978"/>
      <c r="LS493" s="978"/>
      <c r="LT493" s="978"/>
      <c r="LU493" s="978"/>
      <c r="LV493" s="978"/>
      <c r="LW493" s="978"/>
      <c r="LX493" s="978"/>
      <c r="LY493" s="978"/>
      <c r="LZ493" s="978"/>
      <c r="MA493" s="978"/>
      <c r="MB493" s="978"/>
      <c r="MC493" s="978"/>
      <c r="MD493" s="978"/>
      <c r="ME493" s="978"/>
      <c r="MF493" s="978"/>
      <c r="MG493" s="978"/>
      <c r="MH493" s="978"/>
      <c r="MI493" s="978"/>
      <c r="MJ493" s="978"/>
      <c r="MK493" s="978"/>
      <c r="ML493" s="978"/>
      <c r="MM493" s="978"/>
      <c r="MN493" s="978"/>
      <c r="MO493" s="978"/>
      <c r="MP493" s="978"/>
      <c r="MQ493" s="978"/>
      <c r="MR493" s="978"/>
      <c r="MS493" s="978"/>
      <c r="MT493" s="978"/>
      <c r="MU493" s="978"/>
      <c r="MV493" s="978"/>
      <c r="MW493" s="978"/>
      <c r="MX493" s="978"/>
      <c r="MY493" s="978"/>
      <c r="MZ493" s="978"/>
      <c r="NA493" s="978"/>
      <c r="NB493" s="978"/>
      <c r="NC493" s="978"/>
      <c r="ND493" s="978"/>
      <c r="NE493" s="978"/>
      <c r="NF493" s="978"/>
      <c r="NG493" s="978"/>
      <c r="NH493" s="978"/>
      <c r="NI493" s="978"/>
      <c r="NJ493" s="978"/>
      <c r="NK493" s="978"/>
      <c r="NL493" s="978"/>
      <c r="NM493" s="978"/>
      <c r="NN493" s="978"/>
      <c r="NO493" s="978"/>
      <c r="NP493" s="978"/>
      <c r="NQ493" s="978"/>
      <c r="NR493" s="978"/>
      <c r="NS493" s="978"/>
      <c r="NT493" s="978"/>
      <c r="NU493" s="978"/>
      <c r="NV493" s="978"/>
      <c r="NW493" s="978"/>
      <c r="NX493" s="978"/>
      <c r="NY493" s="978"/>
      <c r="NZ493" s="978"/>
      <c r="OA493" s="978"/>
      <c r="OB493" s="978"/>
      <c r="OC493" s="978"/>
      <c r="OD493" s="978"/>
      <c r="OE493" s="978"/>
      <c r="OF493" s="978"/>
      <c r="OG493" s="978"/>
      <c r="OH493" s="978"/>
      <c r="OI493" s="978"/>
      <c r="OJ493" s="978"/>
      <c r="OK493" s="978"/>
      <c r="OL493" s="978"/>
      <c r="OM493" s="978"/>
      <c r="ON493" s="978"/>
      <c r="OO493" s="978"/>
      <c r="OP493" s="978"/>
      <c r="OQ493" s="978"/>
      <c r="OR493" s="978"/>
      <c r="OS493" s="978"/>
      <c r="OT493" s="978"/>
      <c r="OU493" s="978"/>
      <c r="OV493" s="978"/>
      <c r="OW493" s="978"/>
      <c r="OX493" s="978"/>
      <c r="OY493" s="978"/>
      <c r="OZ493" s="978"/>
      <c r="PA493" s="978"/>
      <c r="PB493" s="978"/>
      <c r="PC493" s="978"/>
      <c r="PD493" s="978"/>
      <c r="PE493" s="978"/>
      <c r="PF493" s="978"/>
      <c r="PG493" s="978"/>
      <c r="PH493" s="978"/>
      <c r="PI493" s="978"/>
      <c r="PJ493" s="978"/>
      <c r="PK493" s="978"/>
      <c r="PL493" s="978"/>
      <c r="PM493" s="978"/>
      <c r="PN493" s="978"/>
      <c r="PO493" s="978"/>
      <c r="PP493" s="978"/>
      <c r="PQ493" s="978"/>
      <c r="PR493" s="978"/>
      <c r="PS493" s="978"/>
      <c r="PT493" s="978"/>
      <c r="PU493" s="978"/>
      <c r="PV493" s="978"/>
      <c r="PW493" s="978"/>
      <c r="PX493" s="978"/>
      <c r="PY493" s="978"/>
      <c r="PZ493" s="978"/>
      <c r="QA493" s="978"/>
      <c r="QB493" s="978"/>
      <c r="QC493" s="978"/>
      <c r="QD493" s="978"/>
      <c r="QE493" s="978"/>
      <c r="QF493" s="978"/>
      <c r="QG493" s="978"/>
      <c r="QH493" s="978"/>
      <c r="QI493" s="978"/>
      <c r="QJ493" s="978"/>
      <c r="QK493" s="978"/>
      <c r="QL493" s="978"/>
      <c r="QM493" s="978"/>
      <c r="QN493" s="978"/>
      <c r="QO493" s="978"/>
      <c r="QP493" s="978"/>
      <c r="QQ493" s="978"/>
      <c r="QR493" s="978"/>
      <c r="QS493" s="978"/>
      <c r="QT493" s="978"/>
      <c r="QU493" s="978"/>
      <c r="QV493" s="978"/>
      <c r="QW493" s="978"/>
      <c r="QX493" s="978"/>
      <c r="QY493" s="978"/>
      <c r="QZ493" s="978"/>
      <c r="RA493" s="978"/>
      <c r="RB493" s="274"/>
      <c r="RC493" s="274"/>
    </row>
    <row r="494" spans="112:471">
      <c r="DH494" s="274"/>
      <c r="DI494" s="274"/>
      <c r="DJ494" s="274"/>
      <c r="DK494" s="274"/>
      <c r="DL494" s="274"/>
      <c r="DM494" s="274"/>
      <c r="DN494" s="274"/>
      <c r="DO494" s="274"/>
      <c r="DP494" s="274"/>
      <c r="DQ494" s="274"/>
      <c r="DR494" s="274"/>
      <c r="DS494" s="274"/>
      <c r="DT494" s="274"/>
      <c r="DU494" s="274"/>
      <c r="DV494" s="274"/>
      <c r="DW494" s="274"/>
      <c r="DX494" s="274"/>
      <c r="DY494" s="274"/>
      <c r="DZ494" s="274"/>
      <c r="EA494" s="274"/>
      <c r="EB494" s="274"/>
      <c r="EC494" s="274"/>
      <c r="ED494" s="274"/>
      <c r="EE494" s="274"/>
      <c r="EF494" s="274"/>
      <c r="EG494" s="274"/>
      <c r="EH494" s="274"/>
      <c r="EI494" s="274"/>
      <c r="EJ494" s="274"/>
      <c r="EK494" s="274"/>
      <c r="EL494" s="274"/>
      <c r="EM494" s="274"/>
      <c r="EN494" s="274"/>
      <c r="EO494" s="274"/>
      <c r="EP494" s="274"/>
      <c r="EQ494" s="274"/>
      <c r="ER494" s="274"/>
      <c r="ES494" s="274"/>
      <c r="ET494" s="274"/>
      <c r="EU494" s="274"/>
      <c r="EV494" s="274"/>
      <c r="EW494" s="274"/>
      <c r="EX494" s="274"/>
      <c r="EY494" s="274"/>
      <c r="EZ494" s="274"/>
      <c r="FA494" s="274"/>
      <c r="FB494" s="274"/>
      <c r="FC494" s="274"/>
      <c r="FD494" s="274"/>
      <c r="FE494" s="274"/>
      <c r="FF494" s="274"/>
      <c r="FG494" s="274"/>
      <c r="FH494" s="274"/>
      <c r="FI494" s="274"/>
      <c r="FJ494" s="274"/>
      <c r="FK494" s="274"/>
      <c r="FL494" s="274"/>
      <c r="FM494" s="274"/>
      <c r="FN494" s="274"/>
      <c r="FO494" s="274"/>
      <c r="FP494" s="274"/>
      <c r="FQ494" s="274"/>
      <c r="FR494" s="274"/>
      <c r="FS494" s="274"/>
      <c r="FT494" s="274"/>
      <c r="FU494" s="274"/>
      <c r="FV494" s="274"/>
      <c r="FW494" s="274"/>
      <c r="FX494" s="274"/>
      <c r="FY494" s="274"/>
      <c r="FZ494" s="274"/>
      <c r="GA494" s="274"/>
      <c r="GB494" s="274"/>
      <c r="GC494" s="274"/>
      <c r="GD494" s="274"/>
      <c r="GE494" s="274"/>
      <c r="GF494" s="274"/>
      <c r="GG494" s="274"/>
      <c r="GH494" s="274"/>
      <c r="GI494" s="274"/>
      <c r="GJ494" s="274"/>
      <c r="GK494" s="274"/>
      <c r="GL494" s="274"/>
      <c r="GM494" s="274"/>
      <c r="GN494" s="274"/>
      <c r="GO494" s="274"/>
      <c r="GP494" s="274"/>
      <c r="GQ494" s="274"/>
      <c r="GR494" s="274"/>
      <c r="GS494" s="274"/>
      <c r="GT494" s="274"/>
      <c r="GU494" s="274"/>
      <c r="GV494" s="274"/>
      <c r="GW494" s="274"/>
      <c r="GX494" s="274"/>
      <c r="GY494" s="274"/>
      <c r="GZ494" s="274"/>
      <c r="HA494" s="274"/>
      <c r="HB494" s="274"/>
      <c r="HC494" s="274"/>
      <c r="HD494" s="274"/>
      <c r="HE494" s="274"/>
      <c r="HF494" s="274"/>
      <c r="HG494" s="274"/>
      <c r="HH494" s="274"/>
      <c r="HI494" s="274"/>
      <c r="HJ494" s="274"/>
      <c r="HK494" s="274"/>
      <c r="HL494" s="274"/>
      <c r="HM494" s="274"/>
      <c r="HN494" s="274"/>
      <c r="HO494" s="274"/>
      <c r="HP494" s="274"/>
      <c r="HQ494" s="274"/>
      <c r="HR494" s="274"/>
      <c r="HS494" s="274"/>
      <c r="HT494" s="274"/>
      <c r="HU494" s="274"/>
      <c r="HV494" s="274"/>
      <c r="HW494" s="274"/>
      <c r="HX494" s="274"/>
      <c r="HY494" s="274"/>
      <c r="HZ494" s="274"/>
      <c r="IA494" s="274"/>
      <c r="IB494" s="274"/>
      <c r="IC494" s="274"/>
      <c r="ID494" s="274"/>
      <c r="IE494" s="274"/>
      <c r="IF494" s="274"/>
      <c r="IG494" s="274"/>
      <c r="IH494" s="274"/>
      <c r="II494" s="274"/>
      <c r="IJ494" s="274"/>
      <c r="IK494" s="274"/>
      <c r="IL494" s="274"/>
      <c r="IM494" s="274"/>
      <c r="IN494" s="274"/>
      <c r="IO494" s="274"/>
      <c r="IP494" s="274"/>
      <c r="IQ494" s="274"/>
      <c r="IR494" s="274"/>
      <c r="IS494" s="274"/>
      <c r="IT494" s="274"/>
      <c r="IU494" s="274"/>
      <c r="IV494" s="274"/>
      <c r="IW494" s="274"/>
      <c r="IX494" s="274"/>
      <c r="IY494" s="274"/>
      <c r="IZ494" s="274"/>
      <c r="JA494" s="274"/>
      <c r="JB494" s="274"/>
      <c r="JC494" s="274"/>
      <c r="JD494" s="274"/>
      <c r="JE494" s="274"/>
      <c r="JF494" s="274"/>
      <c r="JG494" s="274"/>
      <c r="JH494" s="274"/>
      <c r="JI494" s="274"/>
      <c r="JJ494" s="274"/>
      <c r="JK494" s="274"/>
      <c r="JL494" s="274"/>
      <c r="JM494" s="274"/>
      <c r="JN494" s="274"/>
      <c r="JO494" s="274"/>
      <c r="JP494" s="274"/>
      <c r="JQ494" s="274"/>
      <c r="JR494" s="274"/>
      <c r="JS494" s="274"/>
      <c r="JT494" s="274"/>
      <c r="JU494" s="274"/>
      <c r="JV494" s="274"/>
      <c r="JW494" s="274"/>
      <c r="JX494" s="274"/>
      <c r="JY494" s="274"/>
      <c r="JZ494" s="274"/>
      <c r="KA494" s="274"/>
      <c r="KB494" s="274"/>
      <c r="KC494" s="274"/>
      <c r="KD494" s="274"/>
      <c r="KE494" s="274"/>
      <c r="KF494" s="274"/>
      <c r="KG494" s="274"/>
      <c r="KH494" s="274"/>
      <c r="KI494" s="274"/>
      <c r="KJ494" s="274"/>
      <c r="KK494" s="274"/>
      <c r="KL494" s="274"/>
      <c r="KM494" s="274"/>
      <c r="KN494" s="274"/>
      <c r="KO494" s="274"/>
      <c r="KP494" s="274"/>
      <c r="KQ494" s="274"/>
      <c r="KR494" s="274"/>
      <c r="KS494" s="274"/>
      <c r="KT494" s="274"/>
      <c r="KU494" s="274"/>
      <c r="KV494" s="274"/>
      <c r="KW494" s="274"/>
      <c r="KX494" s="274"/>
      <c r="KY494" s="274"/>
      <c r="KZ494" s="274"/>
      <c r="LA494" s="274"/>
      <c r="LB494" s="274"/>
      <c r="LC494" s="274"/>
      <c r="LD494" s="274"/>
      <c r="LE494" s="274"/>
      <c r="LF494" s="274"/>
      <c r="LG494" s="274"/>
      <c r="LH494" s="274"/>
      <c r="LI494" s="274"/>
      <c r="LJ494" s="274"/>
      <c r="LK494" s="274"/>
      <c r="LL494" s="274"/>
      <c r="LM494" s="274"/>
      <c r="LN494" s="274"/>
      <c r="LO494" s="274"/>
      <c r="LP494" s="274"/>
      <c r="LQ494" s="274"/>
      <c r="LR494" s="274"/>
      <c r="LS494" s="274"/>
      <c r="LT494" s="274"/>
      <c r="LU494" s="274"/>
      <c r="LV494" s="274"/>
      <c r="LW494" s="274"/>
      <c r="LX494" s="274"/>
      <c r="LY494" s="274"/>
      <c r="LZ494" s="274"/>
      <c r="MA494" s="274"/>
      <c r="MB494" s="274"/>
      <c r="MC494" s="274"/>
      <c r="MD494" s="274"/>
      <c r="ME494" s="274"/>
      <c r="MF494" s="274"/>
      <c r="MG494" s="274"/>
      <c r="MH494" s="274"/>
      <c r="MI494" s="274"/>
      <c r="MJ494" s="274"/>
      <c r="MK494" s="274"/>
      <c r="ML494" s="274"/>
      <c r="MM494" s="274"/>
      <c r="MN494" s="274"/>
      <c r="MO494" s="274"/>
      <c r="MP494" s="274"/>
      <c r="MQ494" s="274"/>
      <c r="MR494" s="274"/>
      <c r="MS494" s="274"/>
      <c r="MT494" s="274"/>
      <c r="MU494" s="274"/>
      <c r="MV494" s="274"/>
      <c r="MW494" s="274"/>
      <c r="MX494" s="274"/>
      <c r="MY494" s="274"/>
      <c r="MZ494" s="274"/>
      <c r="NA494" s="274"/>
      <c r="NB494" s="274"/>
      <c r="NC494" s="274"/>
      <c r="ND494" s="274"/>
      <c r="NE494" s="274"/>
      <c r="NF494" s="274"/>
      <c r="NG494" s="274"/>
      <c r="NH494" s="274"/>
      <c r="NI494" s="274"/>
      <c r="NJ494" s="274"/>
      <c r="NK494" s="274"/>
      <c r="NL494" s="274"/>
      <c r="NM494" s="274"/>
      <c r="NN494" s="274"/>
      <c r="NO494" s="274"/>
      <c r="NP494" s="274"/>
      <c r="NQ494" s="274"/>
      <c r="NR494" s="274"/>
      <c r="NS494" s="274"/>
      <c r="NT494" s="274"/>
      <c r="NU494" s="274"/>
      <c r="NV494" s="274"/>
      <c r="NW494" s="274"/>
      <c r="NX494" s="274"/>
      <c r="NY494" s="274"/>
      <c r="NZ494" s="274"/>
      <c r="OA494" s="274"/>
      <c r="OB494" s="274"/>
      <c r="OC494" s="274"/>
      <c r="OD494" s="274"/>
      <c r="OE494" s="274"/>
      <c r="OF494" s="274"/>
      <c r="OG494" s="274"/>
      <c r="OH494" s="274"/>
      <c r="OI494" s="274"/>
      <c r="OJ494" s="274"/>
      <c r="OK494" s="274"/>
      <c r="OL494" s="274"/>
      <c r="OM494" s="274"/>
      <c r="ON494" s="274"/>
      <c r="OO494" s="274"/>
      <c r="OP494" s="274"/>
      <c r="OQ494" s="274"/>
      <c r="OR494" s="274"/>
      <c r="OS494" s="274"/>
      <c r="OT494" s="274"/>
      <c r="OU494" s="274"/>
      <c r="OV494" s="274"/>
      <c r="OW494" s="274"/>
      <c r="OX494" s="274"/>
      <c r="OY494" s="274"/>
      <c r="OZ494" s="274"/>
      <c r="PA494" s="274"/>
      <c r="PB494" s="274"/>
      <c r="PC494" s="274"/>
      <c r="PD494" s="274"/>
      <c r="PE494" s="274"/>
      <c r="PF494" s="274"/>
      <c r="PG494" s="274"/>
      <c r="PH494" s="274"/>
      <c r="PI494" s="274"/>
      <c r="PJ494" s="274"/>
      <c r="PK494" s="274"/>
      <c r="PL494" s="274"/>
      <c r="PM494" s="274"/>
      <c r="PN494" s="274"/>
      <c r="PO494" s="274"/>
      <c r="PP494" s="274"/>
      <c r="PQ494" s="274"/>
      <c r="PR494" s="274"/>
      <c r="PS494" s="274"/>
      <c r="PT494" s="274"/>
      <c r="PU494" s="274"/>
      <c r="PV494" s="274"/>
      <c r="PW494" s="274"/>
      <c r="PX494" s="274"/>
      <c r="PY494" s="274"/>
      <c r="PZ494" s="274"/>
      <c r="QA494" s="274"/>
      <c r="QB494" s="274"/>
      <c r="QC494" s="274"/>
      <c r="QD494" s="274"/>
      <c r="QE494" s="274"/>
      <c r="QF494" s="274"/>
      <c r="QG494" s="274"/>
      <c r="QH494" s="274"/>
      <c r="QI494" s="274"/>
      <c r="QJ494" s="274"/>
      <c r="QK494" s="274"/>
      <c r="QL494" s="274"/>
      <c r="QM494" s="274"/>
      <c r="QN494" s="274"/>
      <c r="QO494" s="274"/>
      <c r="QP494" s="274"/>
      <c r="QQ494" s="274"/>
      <c r="QR494" s="274"/>
      <c r="QS494" s="274"/>
      <c r="QT494" s="274"/>
      <c r="QU494" s="274"/>
      <c r="QV494" s="274"/>
      <c r="QW494" s="274"/>
      <c r="QX494" s="274"/>
      <c r="QY494" s="274"/>
      <c r="QZ494" s="274"/>
      <c r="RA494" s="274"/>
      <c r="RB494" s="274"/>
      <c r="RC494" s="274"/>
    </row>
    <row r="495" spans="112:471">
      <c r="DH495" s="274"/>
      <c r="DI495" s="274"/>
      <c r="DJ495" s="274"/>
      <c r="DK495" s="274"/>
      <c r="DL495" s="274"/>
      <c r="DM495" s="274"/>
      <c r="DN495" s="274"/>
      <c r="DO495" s="274"/>
      <c r="DP495" s="274"/>
      <c r="DQ495" s="274"/>
      <c r="DR495" s="274"/>
      <c r="DS495" s="274"/>
      <c r="DT495" s="274"/>
      <c r="DU495" s="274"/>
      <c r="DV495" s="274"/>
      <c r="DW495" s="274"/>
      <c r="DX495" s="274"/>
      <c r="DY495" s="274"/>
      <c r="DZ495" s="274"/>
      <c r="EA495" s="274"/>
      <c r="EB495" s="274"/>
      <c r="EC495" s="274"/>
      <c r="ED495" s="274"/>
      <c r="EE495" s="274"/>
      <c r="EF495" s="274"/>
      <c r="EG495" s="274"/>
      <c r="EH495" s="274"/>
      <c r="EI495" s="274"/>
      <c r="EJ495" s="274"/>
      <c r="EK495" s="274"/>
      <c r="EL495" s="274"/>
      <c r="EM495" s="274"/>
      <c r="EN495" s="274"/>
      <c r="EO495" s="274"/>
      <c r="EP495" s="274"/>
      <c r="EQ495" s="274"/>
      <c r="ER495" s="274"/>
      <c r="ES495" s="274"/>
      <c r="ET495" s="274"/>
      <c r="EU495" s="274"/>
      <c r="EV495" s="274"/>
      <c r="EW495" s="274"/>
      <c r="EX495" s="274"/>
      <c r="EY495" s="274"/>
      <c r="EZ495" s="274"/>
      <c r="FA495" s="274"/>
      <c r="FB495" s="274"/>
      <c r="FC495" s="274"/>
      <c r="FD495" s="274"/>
      <c r="FE495" s="274"/>
      <c r="FF495" s="274"/>
      <c r="FG495" s="274"/>
      <c r="FH495" s="274"/>
      <c r="FI495" s="274"/>
      <c r="FJ495" s="274"/>
      <c r="FK495" s="274"/>
      <c r="FL495" s="274"/>
      <c r="FM495" s="274"/>
      <c r="FN495" s="274"/>
      <c r="FO495" s="274"/>
      <c r="FP495" s="274"/>
      <c r="FQ495" s="274"/>
      <c r="FR495" s="274"/>
      <c r="FS495" s="274"/>
      <c r="FT495" s="274"/>
      <c r="FU495" s="274"/>
      <c r="FV495" s="274"/>
      <c r="FW495" s="274"/>
      <c r="FX495" s="274"/>
      <c r="FY495" s="274"/>
      <c r="FZ495" s="274"/>
      <c r="GA495" s="274"/>
      <c r="GB495" s="274"/>
      <c r="GC495" s="274"/>
      <c r="GD495" s="274"/>
      <c r="GE495" s="274"/>
      <c r="GF495" s="274"/>
      <c r="GG495" s="274"/>
      <c r="GH495" s="274"/>
      <c r="GI495" s="274"/>
      <c r="GJ495" s="274"/>
      <c r="GK495" s="274"/>
      <c r="GL495" s="274"/>
      <c r="GM495" s="274"/>
      <c r="GN495" s="274"/>
      <c r="GO495" s="274"/>
      <c r="GP495" s="274"/>
      <c r="GQ495" s="274"/>
      <c r="GR495" s="274"/>
      <c r="GS495" s="274"/>
      <c r="GT495" s="274"/>
      <c r="GU495" s="274"/>
      <c r="GV495" s="274"/>
      <c r="GW495" s="274"/>
      <c r="GX495" s="274"/>
      <c r="GY495" s="274"/>
      <c r="GZ495" s="274"/>
      <c r="HA495" s="274"/>
      <c r="HB495" s="274"/>
      <c r="HC495" s="274"/>
      <c r="HD495" s="274"/>
      <c r="HE495" s="274"/>
      <c r="HF495" s="274"/>
      <c r="HG495" s="274"/>
      <c r="HH495" s="274"/>
      <c r="HI495" s="274"/>
      <c r="HJ495" s="274"/>
      <c r="HK495" s="274"/>
      <c r="HL495" s="274"/>
      <c r="HM495" s="274"/>
      <c r="HN495" s="274"/>
      <c r="HO495" s="274"/>
      <c r="HP495" s="274"/>
      <c r="HQ495" s="274"/>
      <c r="HR495" s="274"/>
      <c r="HS495" s="274"/>
      <c r="HT495" s="274"/>
      <c r="HU495" s="274"/>
      <c r="HV495" s="274"/>
      <c r="HW495" s="274"/>
      <c r="HX495" s="274"/>
      <c r="HY495" s="274"/>
      <c r="HZ495" s="274"/>
      <c r="IA495" s="274"/>
      <c r="IB495" s="274"/>
      <c r="IC495" s="274"/>
      <c r="ID495" s="274"/>
      <c r="IE495" s="274"/>
      <c r="IF495" s="274"/>
      <c r="IG495" s="274"/>
      <c r="IH495" s="274"/>
      <c r="II495" s="274"/>
      <c r="IJ495" s="274"/>
      <c r="IK495" s="274"/>
      <c r="IL495" s="274"/>
      <c r="IM495" s="274"/>
      <c r="IN495" s="274"/>
      <c r="IO495" s="274"/>
      <c r="IP495" s="274"/>
      <c r="IQ495" s="274"/>
      <c r="IR495" s="274"/>
      <c r="IS495" s="274"/>
      <c r="IT495" s="274"/>
      <c r="IU495" s="274"/>
      <c r="IV495" s="274"/>
      <c r="IW495" s="274"/>
      <c r="IX495" s="274"/>
      <c r="IY495" s="274"/>
      <c r="IZ495" s="274"/>
      <c r="JA495" s="274"/>
      <c r="JB495" s="274"/>
      <c r="JC495" s="274"/>
      <c r="JD495" s="274"/>
      <c r="JE495" s="274"/>
      <c r="JF495" s="274"/>
      <c r="JG495" s="274"/>
      <c r="JH495" s="274"/>
      <c r="JI495" s="274"/>
      <c r="JJ495" s="274"/>
      <c r="JK495" s="274"/>
      <c r="JL495" s="274"/>
      <c r="JM495" s="274"/>
      <c r="JN495" s="274"/>
      <c r="JO495" s="274"/>
      <c r="JP495" s="274"/>
      <c r="JQ495" s="274"/>
      <c r="JR495" s="274"/>
      <c r="JS495" s="274"/>
      <c r="JT495" s="274"/>
      <c r="JU495" s="274"/>
      <c r="JV495" s="274"/>
      <c r="JW495" s="274"/>
      <c r="JX495" s="274"/>
      <c r="JY495" s="274"/>
      <c r="JZ495" s="274"/>
      <c r="KA495" s="274"/>
      <c r="KB495" s="274"/>
      <c r="KC495" s="274"/>
      <c r="KD495" s="274"/>
      <c r="KE495" s="274"/>
      <c r="KF495" s="274"/>
      <c r="KG495" s="274"/>
      <c r="KH495" s="274"/>
      <c r="KI495" s="274"/>
      <c r="KJ495" s="274"/>
      <c r="KK495" s="274"/>
      <c r="KL495" s="274"/>
      <c r="KM495" s="274"/>
      <c r="KN495" s="274"/>
      <c r="KO495" s="274"/>
      <c r="KP495" s="274"/>
      <c r="KQ495" s="274"/>
      <c r="KR495" s="274"/>
      <c r="KS495" s="274"/>
      <c r="KT495" s="274"/>
      <c r="KU495" s="274"/>
      <c r="KV495" s="274"/>
      <c r="KW495" s="274"/>
      <c r="KX495" s="274"/>
      <c r="KY495" s="274"/>
      <c r="KZ495" s="274"/>
      <c r="LA495" s="274"/>
      <c r="LB495" s="274"/>
      <c r="LC495" s="274"/>
      <c r="LD495" s="274"/>
      <c r="LE495" s="274"/>
      <c r="LF495" s="274"/>
      <c r="LG495" s="274"/>
      <c r="LH495" s="274"/>
      <c r="LI495" s="274"/>
      <c r="LJ495" s="274"/>
      <c r="LK495" s="274"/>
      <c r="LL495" s="274"/>
      <c r="LM495" s="274"/>
      <c r="LN495" s="274"/>
      <c r="LO495" s="274"/>
      <c r="LP495" s="274"/>
      <c r="LQ495" s="274"/>
      <c r="LR495" s="274"/>
      <c r="LS495" s="274"/>
      <c r="LT495" s="274"/>
      <c r="LU495" s="274"/>
      <c r="LV495" s="274"/>
      <c r="LW495" s="274"/>
      <c r="LX495" s="274"/>
      <c r="LY495" s="274"/>
      <c r="LZ495" s="274"/>
      <c r="MA495" s="274"/>
      <c r="MB495" s="274"/>
      <c r="MC495" s="274"/>
      <c r="MD495" s="274"/>
      <c r="ME495" s="274"/>
      <c r="MF495" s="274"/>
      <c r="MG495" s="274"/>
      <c r="MH495" s="274"/>
      <c r="MI495" s="274"/>
      <c r="MJ495" s="274"/>
      <c r="MK495" s="274"/>
      <c r="ML495" s="274"/>
      <c r="MM495" s="274"/>
      <c r="MN495" s="274"/>
      <c r="MO495" s="274"/>
      <c r="MP495" s="274"/>
      <c r="MQ495" s="274"/>
      <c r="MR495" s="274"/>
      <c r="MS495" s="274"/>
      <c r="MT495" s="274"/>
      <c r="MU495" s="274"/>
      <c r="MV495" s="274"/>
      <c r="MW495" s="274"/>
      <c r="MX495" s="274"/>
      <c r="MY495" s="274"/>
      <c r="MZ495" s="274"/>
      <c r="NA495" s="274"/>
      <c r="NB495" s="274"/>
      <c r="NC495" s="274"/>
      <c r="ND495" s="274"/>
      <c r="NE495" s="274"/>
      <c r="NF495" s="274"/>
      <c r="NG495" s="274"/>
      <c r="NH495" s="274"/>
      <c r="NI495" s="274"/>
      <c r="NJ495" s="274"/>
      <c r="NK495" s="274"/>
      <c r="NL495" s="274"/>
      <c r="NM495" s="274"/>
      <c r="NN495" s="274"/>
      <c r="NO495" s="274"/>
      <c r="NP495" s="274"/>
      <c r="NQ495" s="274"/>
      <c r="NR495" s="274"/>
      <c r="NS495" s="274"/>
      <c r="NT495" s="274"/>
      <c r="NU495" s="274"/>
      <c r="NV495" s="274"/>
      <c r="NW495" s="274"/>
      <c r="NX495" s="274"/>
      <c r="NY495" s="274"/>
      <c r="NZ495" s="274"/>
      <c r="OA495" s="274"/>
      <c r="OB495" s="274"/>
      <c r="OC495" s="274"/>
      <c r="OD495" s="274"/>
      <c r="OE495" s="274"/>
      <c r="OF495" s="274"/>
      <c r="OG495" s="274"/>
      <c r="OH495" s="274"/>
      <c r="OI495" s="274"/>
      <c r="OJ495" s="274"/>
      <c r="OK495" s="274"/>
      <c r="OL495" s="274"/>
      <c r="OM495" s="274"/>
      <c r="ON495" s="274"/>
      <c r="OO495" s="274"/>
      <c r="OP495" s="274"/>
      <c r="OQ495" s="274"/>
      <c r="OR495" s="274"/>
      <c r="OS495" s="274"/>
      <c r="OT495" s="274"/>
      <c r="OU495" s="274"/>
      <c r="OV495" s="274"/>
      <c r="OW495" s="274"/>
      <c r="OX495" s="274"/>
      <c r="OY495" s="274"/>
      <c r="OZ495" s="274"/>
      <c r="PA495" s="274"/>
      <c r="PB495" s="274"/>
      <c r="PC495" s="274"/>
      <c r="PD495" s="274"/>
      <c r="PE495" s="274"/>
      <c r="PF495" s="274"/>
      <c r="PG495" s="274"/>
      <c r="PH495" s="274"/>
      <c r="PI495" s="274"/>
      <c r="PJ495" s="274"/>
      <c r="PK495" s="274"/>
      <c r="PL495" s="274"/>
      <c r="PM495" s="274"/>
      <c r="PN495" s="274"/>
      <c r="PO495" s="274"/>
      <c r="PP495" s="274"/>
      <c r="PQ495" s="274"/>
      <c r="PR495" s="274"/>
      <c r="PS495" s="274"/>
      <c r="PT495" s="274"/>
      <c r="PU495" s="274"/>
      <c r="PV495" s="274"/>
      <c r="PW495" s="274"/>
      <c r="PX495" s="274"/>
      <c r="PY495" s="274"/>
      <c r="PZ495" s="274"/>
      <c r="QA495" s="274"/>
      <c r="QB495" s="274"/>
      <c r="QC495" s="274"/>
      <c r="QD495" s="274"/>
      <c r="QE495" s="274"/>
      <c r="QF495" s="274"/>
      <c r="QG495" s="274"/>
      <c r="QH495" s="274"/>
      <c r="QI495" s="274"/>
      <c r="QJ495" s="274"/>
      <c r="QK495" s="274"/>
      <c r="QL495" s="274"/>
      <c r="QM495" s="274"/>
      <c r="QN495" s="274"/>
      <c r="QO495" s="274"/>
      <c r="QP495" s="274"/>
      <c r="QQ495" s="274"/>
      <c r="QR495" s="274"/>
      <c r="QS495" s="274"/>
      <c r="QT495" s="274"/>
      <c r="QU495" s="274"/>
      <c r="QV495" s="274"/>
      <c r="QW495" s="274"/>
      <c r="QX495" s="274"/>
      <c r="QY495" s="274"/>
      <c r="QZ495" s="274"/>
      <c r="RA495" s="274"/>
      <c r="RB495" s="274"/>
      <c r="RC495" s="274"/>
    </row>
    <row r="496" spans="112:471" ht="17.25">
      <c r="DH496" s="274"/>
      <c r="DI496" s="274"/>
      <c r="DJ496" s="978"/>
      <c r="DK496" s="274"/>
      <c r="DL496" s="274"/>
      <c r="DM496" s="274"/>
      <c r="DN496" s="274"/>
      <c r="DO496" s="274"/>
      <c r="DP496" s="274"/>
      <c r="DQ496" s="274"/>
      <c r="DR496" s="274"/>
      <c r="DS496" s="274"/>
      <c r="DT496" s="274"/>
      <c r="DU496" s="274"/>
      <c r="DV496" s="274"/>
      <c r="DW496" s="274"/>
      <c r="DX496" s="274"/>
      <c r="DY496" s="274"/>
      <c r="DZ496" s="274"/>
      <c r="EA496" s="274"/>
      <c r="EB496" s="274"/>
      <c r="EC496" s="274"/>
      <c r="ED496" s="274"/>
      <c r="EE496" s="274"/>
      <c r="EF496" s="274"/>
      <c r="EG496" s="274"/>
      <c r="EH496" s="274"/>
      <c r="EI496" s="274"/>
      <c r="EJ496" s="274"/>
      <c r="EK496" s="274"/>
      <c r="EL496" s="274"/>
      <c r="EM496" s="274"/>
      <c r="EN496" s="274"/>
      <c r="EO496" s="274"/>
      <c r="EP496" s="274"/>
      <c r="EQ496" s="274"/>
      <c r="ER496" s="274"/>
      <c r="ES496" s="274"/>
      <c r="ET496" s="274"/>
      <c r="EU496" s="274"/>
      <c r="EV496" s="274"/>
      <c r="EW496" s="274"/>
      <c r="EX496" s="274"/>
      <c r="EY496" s="274"/>
      <c r="EZ496" s="274"/>
      <c r="FA496" s="274"/>
      <c r="FB496" s="274"/>
      <c r="FC496" s="274"/>
      <c r="FD496" s="274"/>
      <c r="FE496" s="274"/>
      <c r="FF496" s="274"/>
      <c r="FG496" s="274"/>
      <c r="FH496" s="274"/>
      <c r="FI496" s="274"/>
      <c r="FJ496" s="274"/>
      <c r="FK496" s="274"/>
      <c r="FL496" s="274"/>
      <c r="FM496" s="274"/>
      <c r="FN496" s="274"/>
      <c r="FO496" s="274"/>
      <c r="FP496" s="274"/>
      <c r="FQ496" s="274"/>
      <c r="FR496" s="274"/>
      <c r="FS496" s="274"/>
      <c r="FT496" s="274"/>
      <c r="FU496" s="274"/>
      <c r="FV496" s="274"/>
      <c r="FW496" s="274"/>
      <c r="FX496" s="274"/>
      <c r="FY496" s="274"/>
      <c r="FZ496" s="274"/>
      <c r="GA496" s="274"/>
      <c r="GB496" s="274"/>
      <c r="GC496" s="274"/>
      <c r="GD496" s="274"/>
      <c r="GE496" s="274"/>
      <c r="GF496" s="274"/>
      <c r="GG496" s="274"/>
      <c r="GH496" s="274"/>
      <c r="GI496" s="274"/>
      <c r="GJ496" s="274"/>
      <c r="GK496" s="274"/>
      <c r="GL496" s="274"/>
      <c r="GM496" s="274"/>
      <c r="GN496" s="274"/>
      <c r="GO496" s="274"/>
      <c r="GP496" s="274"/>
      <c r="GQ496" s="274"/>
      <c r="GR496" s="274"/>
      <c r="GS496" s="274"/>
      <c r="GT496" s="274"/>
      <c r="GU496" s="274"/>
      <c r="GV496" s="274"/>
      <c r="GW496" s="274"/>
      <c r="GX496" s="274"/>
      <c r="GY496" s="274"/>
      <c r="GZ496" s="274"/>
      <c r="HA496" s="274"/>
      <c r="HB496" s="274"/>
      <c r="HC496" s="274"/>
      <c r="HD496" s="274"/>
      <c r="HE496" s="274"/>
      <c r="HF496" s="274"/>
      <c r="HG496" s="274"/>
      <c r="HH496" s="274"/>
      <c r="HI496" s="274"/>
      <c r="HJ496" s="274"/>
      <c r="HK496" s="274"/>
      <c r="HL496" s="274"/>
      <c r="HM496" s="274"/>
      <c r="HN496" s="274"/>
      <c r="HO496" s="274"/>
      <c r="HP496" s="274"/>
      <c r="HQ496" s="274"/>
      <c r="HR496" s="274"/>
      <c r="HS496" s="274"/>
      <c r="HT496" s="274"/>
      <c r="HU496" s="274"/>
      <c r="HV496" s="274"/>
      <c r="HW496" s="274"/>
      <c r="HX496" s="274"/>
      <c r="HY496" s="274"/>
      <c r="HZ496" s="274"/>
      <c r="IA496" s="274"/>
      <c r="IB496" s="274"/>
      <c r="IC496" s="274"/>
      <c r="ID496" s="274"/>
      <c r="IE496" s="274"/>
      <c r="IF496" s="274"/>
      <c r="IG496" s="274"/>
      <c r="IH496" s="274"/>
      <c r="II496" s="274"/>
      <c r="IJ496" s="274"/>
      <c r="IK496" s="274"/>
      <c r="IL496" s="274"/>
      <c r="IM496" s="274"/>
      <c r="IN496" s="274"/>
      <c r="IO496" s="274"/>
      <c r="IP496" s="274"/>
      <c r="IQ496" s="274"/>
      <c r="IR496" s="274"/>
      <c r="IS496" s="274"/>
      <c r="IT496" s="274"/>
      <c r="IU496" s="274"/>
      <c r="IV496" s="274"/>
      <c r="IW496" s="274"/>
      <c r="IX496" s="274"/>
      <c r="IY496" s="274"/>
      <c r="IZ496" s="274"/>
      <c r="JA496" s="274"/>
      <c r="JB496" s="274"/>
      <c r="JC496" s="274"/>
      <c r="JD496" s="274"/>
      <c r="JE496" s="274"/>
      <c r="JF496" s="274"/>
      <c r="JG496" s="274"/>
      <c r="JH496" s="274"/>
      <c r="JI496" s="274"/>
      <c r="JJ496" s="274"/>
      <c r="JK496" s="274"/>
      <c r="JL496" s="274"/>
      <c r="JM496" s="274"/>
      <c r="JN496" s="274"/>
      <c r="JO496" s="274"/>
      <c r="JP496" s="274"/>
      <c r="JQ496" s="274"/>
      <c r="JR496" s="274"/>
      <c r="JS496" s="274"/>
      <c r="JT496" s="274"/>
      <c r="JU496" s="274"/>
      <c r="JV496" s="274"/>
      <c r="JW496" s="274"/>
      <c r="JX496" s="274"/>
      <c r="JY496" s="274"/>
      <c r="JZ496" s="274"/>
      <c r="KA496" s="274"/>
      <c r="KB496" s="274"/>
      <c r="KC496" s="274"/>
      <c r="KD496" s="274"/>
      <c r="KE496" s="274"/>
      <c r="KF496" s="274"/>
      <c r="KG496" s="274"/>
      <c r="KH496" s="274"/>
      <c r="KI496" s="274"/>
      <c r="KJ496" s="274"/>
      <c r="KK496" s="274"/>
      <c r="KL496" s="274"/>
      <c r="KM496" s="274"/>
      <c r="KN496" s="274"/>
      <c r="KO496" s="274"/>
      <c r="KP496" s="274"/>
      <c r="KQ496" s="274"/>
      <c r="KR496" s="274"/>
      <c r="KS496" s="274"/>
      <c r="KT496" s="274"/>
      <c r="KU496" s="274"/>
      <c r="KV496" s="274"/>
      <c r="KW496" s="274"/>
      <c r="KX496" s="274"/>
      <c r="KY496" s="274"/>
      <c r="KZ496" s="274"/>
      <c r="LA496" s="274"/>
      <c r="LB496" s="274"/>
      <c r="LC496" s="274"/>
      <c r="LD496" s="274"/>
      <c r="LE496" s="274"/>
      <c r="LF496" s="274"/>
      <c r="LG496" s="274"/>
      <c r="LH496" s="274"/>
      <c r="LI496" s="274"/>
      <c r="LJ496" s="274"/>
      <c r="LK496" s="274"/>
      <c r="LL496" s="274"/>
      <c r="LM496" s="274"/>
      <c r="LN496" s="274"/>
      <c r="LO496" s="274"/>
      <c r="LP496" s="274"/>
      <c r="LQ496" s="274"/>
      <c r="LR496" s="274"/>
      <c r="LS496" s="274"/>
      <c r="LT496" s="274"/>
      <c r="LU496" s="274"/>
      <c r="LV496" s="274"/>
      <c r="LW496" s="274"/>
      <c r="LX496" s="274"/>
      <c r="LY496" s="274"/>
      <c r="LZ496" s="274"/>
      <c r="MA496" s="274"/>
      <c r="MB496" s="274"/>
      <c r="MC496" s="274"/>
      <c r="MD496" s="274"/>
      <c r="ME496" s="274"/>
      <c r="MF496" s="274"/>
      <c r="MG496" s="274"/>
      <c r="MH496" s="274"/>
      <c r="MI496" s="274"/>
      <c r="MJ496" s="274"/>
      <c r="MK496" s="274"/>
      <c r="ML496" s="274"/>
      <c r="MM496" s="274"/>
      <c r="MN496" s="274"/>
      <c r="MO496" s="274"/>
      <c r="MP496" s="274"/>
      <c r="MQ496" s="274"/>
      <c r="MR496" s="274"/>
      <c r="MS496" s="274"/>
      <c r="MT496" s="274"/>
      <c r="MU496" s="274"/>
      <c r="MV496" s="274"/>
      <c r="MW496" s="274"/>
      <c r="MX496" s="274"/>
      <c r="MY496" s="274"/>
      <c r="MZ496" s="274"/>
      <c r="NA496" s="274"/>
      <c r="NB496" s="274"/>
      <c r="NC496" s="274"/>
      <c r="ND496" s="274"/>
      <c r="NE496" s="274"/>
      <c r="NF496" s="274"/>
      <c r="NG496" s="274"/>
      <c r="NH496" s="274"/>
      <c r="NI496" s="274"/>
      <c r="NJ496" s="274"/>
      <c r="NK496" s="274"/>
      <c r="NL496" s="274"/>
      <c r="NM496" s="274"/>
      <c r="NN496" s="274"/>
      <c r="NO496" s="274"/>
      <c r="NP496" s="274"/>
      <c r="NQ496" s="274"/>
      <c r="NR496" s="274"/>
      <c r="NS496" s="274"/>
      <c r="NT496" s="274"/>
      <c r="NU496" s="274"/>
      <c r="NV496" s="274"/>
      <c r="NW496" s="274"/>
      <c r="NX496" s="274"/>
      <c r="NY496" s="274"/>
      <c r="NZ496" s="274"/>
      <c r="OA496" s="274"/>
      <c r="OB496" s="274"/>
      <c r="OC496" s="274"/>
      <c r="OD496" s="274"/>
      <c r="OE496" s="274"/>
      <c r="OF496" s="274"/>
      <c r="OG496" s="274"/>
      <c r="OH496" s="274"/>
      <c r="OI496" s="274"/>
      <c r="OJ496" s="274"/>
      <c r="OK496" s="274"/>
      <c r="OL496" s="274"/>
      <c r="OM496" s="274"/>
      <c r="ON496" s="274"/>
      <c r="OO496" s="274"/>
      <c r="OP496" s="274"/>
      <c r="OQ496" s="274"/>
      <c r="OR496" s="274"/>
      <c r="OS496" s="274"/>
      <c r="OT496" s="274"/>
      <c r="OU496" s="274"/>
      <c r="OV496" s="274"/>
      <c r="OW496" s="274"/>
      <c r="OX496" s="274"/>
      <c r="OY496" s="274"/>
      <c r="OZ496" s="274"/>
      <c r="PA496" s="274"/>
      <c r="PB496" s="274"/>
      <c r="PC496" s="274"/>
      <c r="PD496" s="274"/>
      <c r="PE496" s="274"/>
      <c r="PF496" s="274"/>
      <c r="PG496" s="274"/>
      <c r="PH496" s="274"/>
      <c r="PI496" s="274"/>
      <c r="PJ496" s="274"/>
      <c r="PK496" s="274"/>
      <c r="PL496" s="274"/>
      <c r="PM496" s="274"/>
      <c r="PN496" s="274"/>
      <c r="PO496" s="274"/>
      <c r="PP496" s="274"/>
      <c r="PQ496" s="274"/>
      <c r="PR496" s="274"/>
      <c r="PS496" s="274"/>
      <c r="PT496" s="274"/>
      <c r="PU496" s="274"/>
      <c r="PV496" s="274"/>
      <c r="PW496" s="274"/>
      <c r="PX496" s="274"/>
      <c r="PY496" s="274"/>
      <c r="PZ496" s="274"/>
      <c r="QA496" s="274"/>
      <c r="QB496" s="274"/>
      <c r="QC496" s="274"/>
      <c r="QD496" s="274"/>
      <c r="QE496" s="274"/>
      <c r="QF496" s="274"/>
      <c r="QG496" s="274"/>
      <c r="QH496" s="274"/>
      <c r="QI496" s="274"/>
      <c r="QJ496" s="274"/>
      <c r="QK496" s="274"/>
      <c r="QL496" s="274"/>
      <c r="QM496" s="274"/>
      <c r="QN496" s="274"/>
      <c r="QO496" s="274"/>
      <c r="QP496" s="274"/>
      <c r="QQ496" s="274"/>
      <c r="QR496" s="274"/>
      <c r="QS496" s="274"/>
      <c r="QT496" s="274"/>
      <c r="QU496" s="274"/>
      <c r="QV496" s="274"/>
      <c r="QW496" s="274"/>
      <c r="QX496" s="274"/>
      <c r="QY496" s="274"/>
      <c r="QZ496" s="274"/>
      <c r="RA496" s="274"/>
      <c r="RB496" s="274"/>
      <c r="RC496" s="274"/>
    </row>
    <row r="497" spans="112:471" ht="17.25">
      <c r="DH497" s="274"/>
      <c r="DI497" s="274"/>
      <c r="DJ497" s="978"/>
      <c r="DK497" s="978"/>
      <c r="DL497" s="978"/>
      <c r="DM497" s="978"/>
      <c r="DN497" s="978"/>
      <c r="DO497" s="978"/>
      <c r="DP497" s="978"/>
      <c r="DQ497" s="978"/>
      <c r="DR497" s="978"/>
      <c r="DS497" s="978"/>
      <c r="DT497" s="978"/>
      <c r="DU497" s="978"/>
      <c r="DV497" s="978"/>
      <c r="DW497" s="978"/>
      <c r="DX497" s="978"/>
      <c r="DY497" s="978"/>
      <c r="DZ497" s="978"/>
      <c r="EA497" s="978"/>
      <c r="EB497" s="978"/>
      <c r="EC497" s="978"/>
      <c r="ED497" s="978"/>
      <c r="EE497" s="978"/>
      <c r="EF497" s="978"/>
      <c r="EG497" s="978"/>
      <c r="EH497" s="978"/>
      <c r="EI497" s="978"/>
      <c r="EJ497" s="978"/>
      <c r="EK497" s="978"/>
      <c r="EL497" s="978"/>
      <c r="EM497" s="978"/>
      <c r="EN497" s="978"/>
      <c r="EO497" s="978"/>
      <c r="EP497" s="978"/>
      <c r="EQ497" s="978"/>
      <c r="ER497" s="978"/>
      <c r="ES497" s="978"/>
      <c r="ET497" s="978"/>
      <c r="EU497" s="978"/>
      <c r="EV497" s="978"/>
      <c r="EW497" s="978"/>
      <c r="EX497" s="978"/>
      <c r="EY497" s="978"/>
      <c r="EZ497" s="978"/>
      <c r="FA497" s="978"/>
      <c r="FB497" s="978"/>
      <c r="FC497" s="978"/>
      <c r="FD497" s="978"/>
      <c r="FE497" s="978"/>
      <c r="FF497" s="978"/>
      <c r="FG497" s="978"/>
      <c r="FH497" s="978"/>
      <c r="FI497" s="978"/>
      <c r="FJ497" s="978"/>
      <c r="FK497" s="978"/>
      <c r="FL497" s="978"/>
      <c r="FM497" s="978"/>
      <c r="FN497" s="978"/>
      <c r="FO497" s="978"/>
      <c r="FP497" s="978"/>
      <c r="FQ497" s="978"/>
      <c r="FR497" s="978"/>
      <c r="FS497" s="978"/>
      <c r="FT497" s="978"/>
      <c r="FU497" s="978"/>
      <c r="FV497" s="978"/>
      <c r="FW497" s="978"/>
      <c r="FX497" s="978"/>
      <c r="FY497" s="978"/>
      <c r="FZ497" s="978"/>
      <c r="GA497" s="978"/>
      <c r="GB497" s="978"/>
      <c r="GC497" s="978"/>
      <c r="GD497" s="978"/>
      <c r="GE497" s="978"/>
      <c r="GF497" s="978"/>
      <c r="GG497" s="978"/>
      <c r="GH497" s="978"/>
      <c r="GI497" s="978"/>
      <c r="GJ497" s="978"/>
      <c r="GK497" s="978"/>
      <c r="GL497" s="978"/>
      <c r="GM497" s="978"/>
      <c r="GN497" s="978"/>
      <c r="GO497" s="978"/>
      <c r="GP497" s="978"/>
      <c r="GQ497" s="978"/>
      <c r="GR497" s="978"/>
      <c r="GS497" s="978"/>
      <c r="GT497" s="978"/>
      <c r="GU497" s="978"/>
      <c r="GV497" s="978"/>
      <c r="GW497" s="978"/>
      <c r="GX497" s="978"/>
      <c r="GY497" s="978"/>
      <c r="GZ497" s="978"/>
      <c r="HA497" s="978"/>
      <c r="HB497" s="978"/>
      <c r="HC497" s="978"/>
      <c r="HD497" s="978"/>
      <c r="HE497" s="978"/>
      <c r="HF497" s="978"/>
      <c r="HG497" s="978"/>
      <c r="HH497" s="978"/>
      <c r="HI497" s="978"/>
      <c r="HJ497" s="978"/>
      <c r="HK497" s="978"/>
      <c r="HL497" s="978"/>
      <c r="HM497" s="978"/>
      <c r="HN497" s="978"/>
      <c r="HO497" s="978"/>
      <c r="HP497" s="978"/>
      <c r="HQ497" s="978"/>
      <c r="HR497" s="978"/>
      <c r="HS497" s="978"/>
      <c r="HT497" s="978"/>
      <c r="HU497" s="978"/>
      <c r="HV497" s="978"/>
      <c r="HW497" s="978"/>
      <c r="HX497" s="978"/>
      <c r="HY497" s="978"/>
      <c r="HZ497" s="978"/>
      <c r="IA497" s="978"/>
      <c r="IB497" s="978"/>
      <c r="IC497" s="978"/>
      <c r="ID497" s="978"/>
      <c r="IE497" s="978"/>
      <c r="IF497" s="978"/>
      <c r="IG497" s="978"/>
      <c r="IH497" s="978"/>
      <c r="II497" s="978"/>
      <c r="IJ497" s="978"/>
      <c r="IK497" s="978"/>
      <c r="IL497" s="978"/>
      <c r="IM497" s="978"/>
      <c r="IN497" s="978"/>
      <c r="IO497" s="978"/>
      <c r="IP497" s="978"/>
      <c r="IQ497" s="978"/>
      <c r="IR497" s="978"/>
      <c r="IS497" s="978"/>
      <c r="IT497" s="978"/>
      <c r="IU497" s="978"/>
      <c r="IV497" s="978"/>
      <c r="IW497" s="978"/>
      <c r="IX497" s="978"/>
      <c r="IY497" s="978"/>
      <c r="IZ497" s="978"/>
      <c r="JA497" s="978"/>
      <c r="JB497" s="978"/>
      <c r="JC497" s="978"/>
      <c r="JD497" s="978"/>
      <c r="JE497" s="978"/>
      <c r="JF497" s="978"/>
      <c r="JG497" s="978"/>
      <c r="JH497" s="978"/>
      <c r="JI497" s="978"/>
      <c r="JJ497" s="978"/>
      <c r="JK497" s="978"/>
      <c r="JL497" s="978"/>
      <c r="JM497" s="978"/>
      <c r="JN497" s="978"/>
      <c r="JO497" s="978"/>
      <c r="JP497" s="978"/>
      <c r="JQ497" s="978"/>
      <c r="JR497" s="978"/>
      <c r="JS497" s="978"/>
      <c r="JT497" s="978"/>
      <c r="JU497" s="978"/>
      <c r="JV497" s="978"/>
      <c r="JW497" s="978"/>
      <c r="JX497" s="978"/>
      <c r="JY497" s="978"/>
      <c r="JZ497" s="978"/>
      <c r="KA497" s="978"/>
      <c r="KB497" s="978"/>
      <c r="KC497" s="978"/>
      <c r="KD497" s="978"/>
      <c r="KE497" s="978"/>
      <c r="KF497" s="978"/>
      <c r="KG497" s="978"/>
      <c r="KH497" s="978"/>
      <c r="KI497" s="978"/>
      <c r="KJ497" s="978"/>
      <c r="KK497" s="978"/>
      <c r="KL497" s="978"/>
      <c r="KM497" s="978"/>
      <c r="KN497" s="978"/>
      <c r="KO497" s="978"/>
      <c r="KP497" s="978"/>
      <c r="KQ497" s="978"/>
      <c r="KR497" s="978"/>
      <c r="KS497" s="978"/>
      <c r="KT497" s="978"/>
      <c r="KU497" s="978"/>
      <c r="KV497" s="978"/>
      <c r="KW497" s="978"/>
      <c r="KX497" s="978"/>
      <c r="KY497" s="978"/>
      <c r="KZ497" s="978"/>
      <c r="LA497" s="978"/>
      <c r="LB497" s="978"/>
      <c r="LC497" s="978"/>
      <c r="LD497" s="978"/>
      <c r="LE497" s="978"/>
      <c r="LF497" s="978"/>
      <c r="LG497" s="978"/>
      <c r="LH497" s="978"/>
      <c r="LI497" s="978"/>
      <c r="LJ497" s="978"/>
      <c r="LK497" s="978"/>
      <c r="LL497" s="978"/>
      <c r="LM497" s="978"/>
      <c r="LN497" s="978"/>
      <c r="LO497" s="978"/>
      <c r="LP497" s="978"/>
      <c r="LQ497" s="978"/>
      <c r="LR497" s="978"/>
      <c r="LS497" s="978"/>
      <c r="LT497" s="978"/>
      <c r="LU497" s="978"/>
      <c r="LV497" s="978"/>
      <c r="LW497" s="978"/>
      <c r="LX497" s="978"/>
      <c r="LY497" s="978"/>
      <c r="LZ497" s="978"/>
      <c r="MA497" s="978"/>
      <c r="MB497" s="978"/>
      <c r="MC497" s="978"/>
      <c r="MD497" s="978"/>
      <c r="ME497" s="978"/>
      <c r="MF497" s="978"/>
      <c r="MG497" s="978"/>
      <c r="MH497" s="978"/>
      <c r="MI497" s="978"/>
      <c r="MJ497" s="978"/>
      <c r="MK497" s="978"/>
      <c r="ML497" s="978"/>
      <c r="MM497" s="978"/>
      <c r="MN497" s="978"/>
      <c r="MO497" s="978"/>
      <c r="MP497" s="978"/>
      <c r="MQ497" s="978"/>
      <c r="MR497" s="978"/>
      <c r="MS497" s="978"/>
      <c r="MT497" s="978"/>
      <c r="MU497" s="978"/>
      <c r="MV497" s="978"/>
      <c r="MW497" s="978"/>
      <c r="MX497" s="978"/>
      <c r="MY497" s="978"/>
      <c r="MZ497" s="978"/>
      <c r="NA497" s="978"/>
      <c r="NB497" s="978"/>
      <c r="NC497" s="978"/>
      <c r="ND497" s="978"/>
      <c r="NE497" s="978"/>
      <c r="NF497" s="978"/>
      <c r="NG497" s="978"/>
      <c r="NH497" s="978"/>
      <c r="NI497" s="978"/>
      <c r="NJ497" s="978"/>
      <c r="NK497" s="978"/>
      <c r="NL497" s="978"/>
      <c r="NM497" s="978"/>
      <c r="NN497" s="978"/>
      <c r="NO497" s="978"/>
      <c r="NP497" s="978"/>
      <c r="NQ497" s="978"/>
      <c r="NR497" s="978"/>
      <c r="NS497" s="978"/>
      <c r="NT497" s="978"/>
      <c r="NU497" s="978"/>
      <c r="NV497" s="978"/>
      <c r="NW497" s="978"/>
      <c r="NX497" s="978"/>
      <c r="NY497" s="978"/>
      <c r="NZ497" s="978"/>
      <c r="OA497" s="978"/>
      <c r="OB497" s="978"/>
      <c r="OC497" s="978"/>
      <c r="OD497" s="978"/>
      <c r="OE497" s="978"/>
      <c r="OF497" s="978"/>
      <c r="OG497" s="978"/>
      <c r="OH497" s="978"/>
      <c r="OI497" s="978"/>
      <c r="OJ497" s="978"/>
      <c r="OK497" s="978"/>
      <c r="OL497" s="978"/>
      <c r="OM497" s="978"/>
      <c r="ON497" s="978"/>
      <c r="OO497" s="978"/>
      <c r="OP497" s="978"/>
      <c r="OQ497" s="978"/>
      <c r="OR497" s="978"/>
      <c r="OS497" s="978"/>
      <c r="OT497" s="978"/>
      <c r="OU497" s="978"/>
      <c r="OV497" s="978"/>
      <c r="OW497" s="978"/>
      <c r="OX497" s="978"/>
      <c r="OY497" s="978"/>
      <c r="OZ497" s="978"/>
      <c r="PA497" s="978"/>
      <c r="PB497" s="978"/>
      <c r="PC497" s="978"/>
      <c r="PD497" s="978"/>
      <c r="PE497" s="978"/>
      <c r="PF497" s="978"/>
      <c r="PG497" s="978"/>
      <c r="PH497" s="978"/>
      <c r="PI497" s="978"/>
      <c r="PJ497" s="978"/>
      <c r="PK497" s="978"/>
      <c r="PL497" s="978"/>
      <c r="PM497" s="978"/>
      <c r="PN497" s="978"/>
      <c r="PO497" s="978"/>
      <c r="PP497" s="978"/>
      <c r="PQ497" s="978"/>
      <c r="PR497" s="978"/>
      <c r="PS497" s="978"/>
      <c r="PT497" s="978"/>
      <c r="PU497" s="978"/>
      <c r="PV497" s="978"/>
      <c r="PW497" s="978"/>
      <c r="PX497" s="978"/>
      <c r="PY497" s="978"/>
      <c r="PZ497" s="978"/>
      <c r="QA497" s="978"/>
      <c r="QB497" s="978"/>
      <c r="QC497" s="978"/>
      <c r="QD497" s="978"/>
      <c r="QE497" s="978"/>
      <c r="QF497" s="978"/>
      <c r="QG497" s="978"/>
      <c r="QH497" s="978"/>
      <c r="QI497" s="978"/>
      <c r="QJ497" s="978"/>
      <c r="QK497" s="978"/>
      <c r="QL497" s="978"/>
      <c r="QM497" s="978"/>
      <c r="QN497" s="978"/>
      <c r="QO497" s="978"/>
      <c r="QP497" s="978"/>
      <c r="QQ497" s="978"/>
      <c r="QR497" s="978"/>
      <c r="QS497" s="978"/>
      <c r="QT497" s="978"/>
      <c r="QU497" s="978"/>
      <c r="QV497" s="978"/>
      <c r="QW497" s="978"/>
      <c r="QX497" s="978"/>
      <c r="QY497" s="978"/>
      <c r="QZ497" s="978"/>
      <c r="RA497" s="978"/>
      <c r="RB497" s="274"/>
      <c r="RC497" s="274"/>
    </row>
    <row r="498" spans="112:471" ht="17.25">
      <c r="DH498" s="274"/>
      <c r="DI498" s="274"/>
      <c r="DJ498" s="978"/>
      <c r="DK498" s="978"/>
      <c r="DL498" s="978"/>
      <c r="DM498" s="978"/>
      <c r="DN498" s="978"/>
      <c r="DO498" s="978"/>
      <c r="DP498" s="978"/>
      <c r="DQ498" s="978"/>
      <c r="DR498" s="978"/>
      <c r="DS498" s="978"/>
      <c r="DT498" s="978"/>
      <c r="DU498" s="978"/>
      <c r="DV498" s="978"/>
      <c r="DW498" s="978"/>
      <c r="DX498" s="978"/>
      <c r="DY498" s="978"/>
      <c r="DZ498" s="978"/>
      <c r="EA498" s="978"/>
      <c r="EB498" s="978"/>
      <c r="EC498" s="978"/>
      <c r="ED498" s="978"/>
      <c r="EE498" s="978"/>
      <c r="EF498" s="978"/>
      <c r="EG498" s="978"/>
      <c r="EH498" s="978"/>
      <c r="EI498" s="978"/>
      <c r="EJ498" s="978"/>
      <c r="EK498" s="978"/>
      <c r="EL498" s="978"/>
      <c r="EM498" s="978"/>
      <c r="EN498" s="978"/>
      <c r="EO498" s="978"/>
      <c r="EP498" s="978"/>
      <c r="EQ498" s="978"/>
      <c r="ER498" s="978"/>
      <c r="ES498" s="978"/>
      <c r="ET498" s="978"/>
      <c r="EU498" s="978"/>
      <c r="EV498" s="978"/>
      <c r="EW498" s="978"/>
      <c r="EX498" s="978"/>
      <c r="EY498" s="978"/>
      <c r="EZ498" s="978"/>
      <c r="FA498" s="978"/>
      <c r="FB498" s="978"/>
      <c r="FC498" s="978"/>
      <c r="FD498" s="978"/>
      <c r="FE498" s="978"/>
      <c r="FF498" s="978"/>
      <c r="FG498" s="978"/>
      <c r="FH498" s="978"/>
      <c r="FI498" s="978"/>
      <c r="FJ498" s="978"/>
      <c r="FK498" s="978"/>
      <c r="FL498" s="978"/>
      <c r="FM498" s="978"/>
      <c r="FN498" s="978"/>
      <c r="FO498" s="978"/>
      <c r="FP498" s="978"/>
      <c r="FQ498" s="978"/>
      <c r="FR498" s="978"/>
      <c r="FS498" s="978"/>
      <c r="FT498" s="978"/>
      <c r="FU498" s="978"/>
      <c r="FV498" s="978"/>
      <c r="FW498" s="978"/>
      <c r="FX498" s="978"/>
      <c r="FY498" s="978"/>
      <c r="FZ498" s="978"/>
      <c r="GA498" s="978"/>
      <c r="GB498" s="978"/>
      <c r="GC498" s="978"/>
      <c r="GD498" s="978"/>
      <c r="GE498" s="978"/>
      <c r="GF498" s="978"/>
      <c r="GG498" s="978"/>
      <c r="GH498" s="978"/>
      <c r="GI498" s="978"/>
      <c r="GJ498" s="978"/>
      <c r="GK498" s="978"/>
      <c r="GL498" s="978"/>
      <c r="GM498" s="978"/>
      <c r="GN498" s="978"/>
      <c r="GO498" s="978"/>
      <c r="GP498" s="978"/>
      <c r="GQ498" s="978"/>
      <c r="GR498" s="978"/>
      <c r="GS498" s="978"/>
      <c r="GT498" s="978"/>
      <c r="GU498" s="978"/>
      <c r="GV498" s="978"/>
      <c r="GW498" s="978"/>
      <c r="GX498" s="978"/>
      <c r="GY498" s="978"/>
      <c r="GZ498" s="978"/>
      <c r="HA498" s="978"/>
      <c r="HB498" s="978"/>
      <c r="HC498" s="978"/>
      <c r="HD498" s="978"/>
      <c r="HE498" s="978"/>
      <c r="HF498" s="978"/>
      <c r="HG498" s="978"/>
      <c r="HH498" s="978"/>
      <c r="HI498" s="978"/>
      <c r="HJ498" s="978"/>
      <c r="HK498" s="978"/>
      <c r="HL498" s="978"/>
      <c r="HM498" s="978"/>
      <c r="HN498" s="978"/>
      <c r="HO498" s="978"/>
      <c r="HP498" s="978"/>
      <c r="HQ498" s="978"/>
      <c r="HR498" s="978"/>
      <c r="HS498" s="978"/>
      <c r="HT498" s="978"/>
      <c r="HU498" s="978"/>
      <c r="HV498" s="978"/>
      <c r="HW498" s="978"/>
      <c r="HX498" s="978"/>
      <c r="HY498" s="978"/>
      <c r="HZ498" s="978"/>
      <c r="IA498" s="978"/>
      <c r="IB498" s="978"/>
      <c r="IC498" s="978"/>
      <c r="ID498" s="978"/>
      <c r="IE498" s="978"/>
      <c r="IF498" s="978"/>
      <c r="IG498" s="978"/>
      <c r="IH498" s="978"/>
      <c r="II498" s="978"/>
      <c r="IJ498" s="978"/>
      <c r="IK498" s="978"/>
      <c r="IL498" s="978"/>
      <c r="IM498" s="978"/>
      <c r="IN498" s="978"/>
      <c r="IO498" s="978"/>
      <c r="IP498" s="978"/>
      <c r="IQ498" s="978"/>
      <c r="IR498" s="978"/>
      <c r="IS498" s="978"/>
      <c r="IT498" s="978"/>
      <c r="IU498" s="978"/>
      <c r="IV498" s="978"/>
      <c r="IW498" s="978"/>
      <c r="IX498" s="978"/>
      <c r="IY498" s="978"/>
      <c r="IZ498" s="978"/>
      <c r="JA498" s="978"/>
      <c r="JB498" s="978"/>
      <c r="JC498" s="978"/>
      <c r="JD498" s="978"/>
      <c r="JE498" s="978"/>
      <c r="JF498" s="978"/>
      <c r="JG498" s="978"/>
      <c r="JH498" s="978"/>
      <c r="JI498" s="978"/>
      <c r="JJ498" s="978"/>
      <c r="JK498" s="978"/>
      <c r="JL498" s="978"/>
      <c r="JM498" s="978"/>
      <c r="JN498" s="978"/>
      <c r="JO498" s="978"/>
      <c r="JP498" s="978"/>
      <c r="JQ498" s="978"/>
      <c r="JR498" s="978"/>
      <c r="JS498" s="978"/>
      <c r="JT498" s="978"/>
      <c r="JU498" s="978"/>
      <c r="JV498" s="978"/>
      <c r="JW498" s="978"/>
      <c r="JX498" s="978"/>
      <c r="JY498" s="978"/>
      <c r="JZ498" s="978"/>
      <c r="KA498" s="978"/>
      <c r="KB498" s="978"/>
      <c r="KC498" s="978"/>
      <c r="KD498" s="978"/>
      <c r="KE498" s="978"/>
      <c r="KF498" s="978"/>
      <c r="KG498" s="978"/>
      <c r="KH498" s="978"/>
      <c r="KI498" s="978"/>
      <c r="KJ498" s="978"/>
      <c r="KK498" s="978"/>
      <c r="KL498" s="978"/>
      <c r="KM498" s="978"/>
      <c r="KN498" s="978"/>
      <c r="KO498" s="978"/>
      <c r="KP498" s="978"/>
      <c r="KQ498" s="978"/>
      <c r="KR498" s="978"/>
      <c r="KS498" s="978"/>
      <c r="KT498" s="978"/>
      <c r="KU498" s="978"/>
      <c r="KV498" s="978"/>
      <c r="KW498" s="978"/>
      <c r="KX498" s="978"/>
      <c r="KY498" s="978"/>
      <c r="KZ498" s="978"/>
      <c r="LA498" s="978"/>
      <c r="LB498" s="978"/>
      <c r="LC498" s="978"/>
      <c r="LD498" s="978"/>
      <c r="LE498" s="978"/>
      <c r="LF498" s="978"/>
      <c r="LG498" s="978"/>
      <c r="LH498" s="978"/>
      <c r="LI498" s="978"/>
      <c r="LJ498" s="978"/>
      <c r="LK498" s="978"/>
      <c r="LL498" s="978"/>
      <c r="LM498" s="978"/>
      <c r="LN498" s="978"/>
      <c r="LO498" s="978"/>
      <c r="LP498" s="978"/>
      <c r="LQ498" s="978"/>
      <c r="LR498" s="978"/>
      <c r="LS498" s="978"/>
      <c r="LT498" s="978"/>
      <c r="LU498" s="978"/>
      <c r="LV498" s="978"/>
      <c r="LW498" s="978"/>
      <c r="LX498" s="978"/>
      <c r="LY498" s="978"/>
      <c r="LZ498" s="978"/>
      <c r="MA498" s="978"/>
      <c r="MB498" s="978"/>
      <c r="MC498" s="978"/>
      <c r="MD498" s="978"/>
      <c r="ME498" s="978"/>
      <c r="MF498" s="978"/>
      <c r="MG498" s="978"/>
      <c r="MH498" s="978"/>
      <c r="MI498" s="978"/>
      <c r="MJ498" s="978"/>
      <c r="MK498" s="978"/>
      <c r="ML498" s="978"/>
      <c r="MM498" s="978"/>
      <c r="MN498" s="978"/>
      <c r="MO498" s="978"/>
      <c r="MP498" s="978"/>
      <c r="MQ498" s="978"/>
      <c r="MR498" s="978"/>
      <c r="MS498" s="978"/>
      <c r="MT498" s="978"/>
      <c r="MU498" s="978"/>
      <c r="MV498" s="978"/>
      <c r="MW498" s="978"/>
      <c r="MX498" s="978"/>
      <c r="MY498" s="978"/>
      <c r="MZ498" s="978"/>
      <c r="NA498" s="978"/>
      <c r="NB498" s="978"/>
      <c r="NC498" s="978"/>
      <c r="ND498" s="978"/>
      <c r="NE498" s="978"/>
      <c r="NF498" s="978"/>
      <c r="NG498" s="978"/>
      <c r="NH498" s="978"/>
      <c r="NI498" s="978"/>
      <c r="NJ498" s="978"/>
      <c r="NK498" s="978"/>
      <c r="NL498" s="978"/>
      <c r="NM498" s="978"/>
      <c r="NN498" s="978"/>
      <c r="NO498" s="978"/>
      <c r="NP498" s="978"/>
      <c r="NQ498" s="978"/>
      <c r="NR498" s="978"/>
      <c r="NS498" s="978"/>
      <c r="NT498" s="978"/>
      <c r="NU498" s="978"/>
      <c r="NV498" s="978"/>
      <c r="NW498" s="978"/>
      <c r="NX498" s="978"/>
      <c r="NY498" s="978"/>
      <c r="NZ498" s="978"/>
      <c r="OA498" s="978"/>
      <c r="OB498" s="978"/>
      <c r="OC498" s="978"/>
      <c r="OD498" s="978"/>
      <c r="OE498" s="978"/>
      <c r="OF498" s="978"/>
      <c r="OG498" s="978"/>
      <c r="OH498" s="978"/>
      <c r="OI498" s="978"/>
      <c r="OJ498" s="978"/>
      <c r="OK498" s="978"/>
      <c r="OL498" s="978"/>
      <c r="OM498" s="978"/>
      <c r="ON498" s="978"/>
      <c r="OO498" s="978"/>
      <c r="OP498" s="978"/>
      <c r="OQ498" s="978"/>
      <c r="OR498" s="978"/>
      <c r="OS498" s="978"/>
      <c r="OT498" s="978"/>
      <c r="OU498" s="978"/>
      <c r="OV498" s="978"/>
      <c r="OW498" s="978"/>
      <c r="OX498" s="978"/>
      <c r="OY498" s="978"/>
      <c r="OZ498" s="978"/>
      <c r="PA498" s="978"/>
      <c r="PB498" s="978"/>
      <c r="PC498" s="978"/>
      <c r="PD498" s="978"/>
      <c r="PE498" s="978"/>
      <c r="PF498" s="978"/>
      <c r="PG498" s="978"/>
      <c r="PH498" s="978"/>
      <c r="PI498" s="978"/>
      <c r="PJ498" s="978"/>
      <c r="PK498" s="978"/>
      <c r="PL498" s="978"/>
      <c r="PM498" s="978"/>
      <c r="PN498" s="978"/>
      <c r="PO498" s="978"/>
      <c r="PP498" s="978"/>
      <c r="PQ498" s="978"/>
      <c r="PR498" s="978"/>
      <c r="PS498" s="978"/>
      <c r="PT498" s="978"/>
      <c r="PU498" s="978"/>
      <c r="PV498" s="978"/>
      <c r="PW498" s="978"/>
      <c r="PX498" s="978"/>
      <c r="PY498" s="978"/>
      <c r="PZ498" s="978"/>
      <c r="QA498" s="978"/>
      <c r="QB498" s="978"/>
      <c r="QC498" s="978"/>
      <c r="QD498" s="978"/>
      <c r="QE498" s="978"/>
      <c r="QF498" s="978"/>
      <c r="QG498" s="978"/>
      <c r="QH498" s="978"/>
      <c r="QI498" s="978"/>
      <c r="QJ498" s="978"/>
      <c r="QK498" s="978"/>
      <c r="QL498" s="978"/>
      <c r="QM498" s="978"/>
      <c r="QN498" s="978"/>
      <c r="QO498" s="978"/>
      <c r="QP498" s="978"/>
      <c r="QQ498" s="978"/>
      <c r="QR498" s="978"/>
      <c r="QS498" s="978"/>
      <c r="QT498" s="978"/>
      <c r="QU498" s="978"/>
      <c r="QV498" s="978"/>
      <c r="QW498" s="978"/>
      <c r="QX498" s="978"/>
      <c r="QY498" s="978"/>
      <c r="QZ498" s="978"/>
      <c r="RA498" s="978"/>
      <c r="RB498" s="274"/>
      <c r="RC498" s="274"/>
    </row>
    <row r="499" spans="112:471" ht="17.25">
      <c r="DH499" s="274"/>
      <c r="DI499" s="274"/>
      <c r="DJ499" s="978"/>
      <c r="DK499" s="978"/>
      <c r="DL499" s="978"/>
      <c r="DM499" s="978"/>
      <c r="DN499" s="978"/>
      <c r="DO499" s="978"/>
      <c r="DP499" s="978"/>
      <c r="DQ499" s="978"/>
      <c r="DR499" s="978"/>
      <c r="DS499" s="978"/>
      <c r="DT499" s="978"/>
      <c r="DU499" s="978"/>
      <c r="DV499" s="978"/>
      <c r="DW499" s="978"/>
      <c r="DX499" s="978"/>
      <c r="DY499" s="978"/>
      <c r="DZ499" s="978"/>
      <c r="EA499" s="978"/>
      <c r="EB499" s="978"/>
      <c r="EC499" s="978"/>
      <c r="ED499" s="978"/>
      <c r="EE499" s="978"/>
      <c r="EF499" s="978"/>
      <c r="EG499" s="978"/>
      <c r="EH499" s="978"/>
      <c r="EI499" s="978"/>
      <c r="EJ499" s="978"/>
      <c r="EK499" s="978"/>
      <c r="EL499" s="978"/>
      <c r="EM499" s="978"/>
      <c r="EN499" s="978"/>
      <c r="EO499" s="978"/>
      <c r="EP499" s="978"/>
      <c r="EQ499" s="978"/>
      <c r="ER499" s="978"/>
      <c r="ES499" s="978"/>
      <c r="ET499" s="978"/>
      <c r="EU499" s="978"/>
      <c r="EV499" s="978"/>
      <c r="EW499" s="978"/>
      <c r="EX499" s="978"/>
      <c r="EY499" s="978"/>
      <c r="EZ499" s="978"/>
      <c r="FA499" s="978"/>
      <c r="FB499" s="978"/>
      <c r="FC499" s="978"/>
      <c r="FD499" s="978"/>
      <c r="FE499" s="978"/>
      <c r="FF499" s="978"/>
      <c r="FG499" s="978"/>
      <c r="FH499" s="978"/>
      <c r="FI499" s="978"/>
      <c r="FJ499" s="978"/>
      <c r="FK499" s="978"/>
      <c r="FL499" s="978"/>
      <c r="FM499" s="978"/>
      <c r="FN499" s="978"/>
      <c r="FO499" s="978"/>
      <c r="FP499" s="978"/>
      <c r="FQ499" s="978"/>
      <c r="FR499" s="978"/>
      <c r="FS499" s="978"/>
      <c r="FT499" s="978"/>
      <c r="FU499" s="978"/>
      <c r="FV499" s="978"/>
      <c r="FW499" s="978"/>
      <c r="FX499" s="978"/>
      <c r="FY499" s="978"/>
      <c r="FZ499" s="978"/>
      <c r="GA499" s="978"/>
      <c r="GB499" s="978"/>
      <c r="GC499" s="978"/>
      <c r="GD499" s="978"/>
      <c r="GE499" s="978"/>
      <c r="GF499" s="978"/>
      <c r="GG499" s="978"/>
      <c r="GH499" s="978"/>
      <c r="GI499" s="978"/>
      <c r="GJ499" s="978"/>
      <c r="GK499" s="978"/>
      <c r="GL499" s="978"/>
      <c r="GM499" s="978"/>
      <c r="GN499" s="978"/>
      <c r="GO499" s="978"/>
      <c r="GP499" s="978"/>
      <c r="GQ499" s="978"/>
      <c r="GR499" s="978"/>
      <c r="GS499" s="978"/>
      <c r="GT499" s="978"/>
      <c r="GU499" s="978"/>
      <c r="GV499" s="978"/>
      <c r="GW499" s="978"/>
      <c r="GX499" s="978"/>
      <c r="GY499" s="978"/>
      <c r="GZ499" s="978"/>
      <c r="HA499" s="978"/>
      <c r="HB499" s="978"/>
      <c r="HC499" s="978"/>
      <c r="HD499" s="978"/>
      <c r="HE499" s="978"/>
      <c r="HF499" s="978"/>
      <c r="HG499" s="978"/>
      <c r="HH499" s="978"/>
      <c r="HI499" s="978"/>
      <c r="HJ499" s="978"/>
      <c r="HK499" s="978"/>
      <c r="HL499" s="978"/>
      <c r="HM499" s="978"/>
      <c r="HN499" s="978"/>
      <c r="HO499" s="978"/>
      <c r="HP499" s="978"/>
      <c r="HQ499" s="978"/>
      <c r="HR499" s="978"/>
      <c r="HS499" s="978"/>
      <c r="HT499" s="978"/>
      <c r="HU499" s="978"/>
      <c r="HV499" s="978"/>
      <c r="HW499" s="978"/>
      <c r="HX499" s="978"/>
      <c r="HY499" s="978"/>
      <c r="HZ499" s="978"/>
      <c r="IA499" s="978"/>
      <c r="IB499" s="978"/>
      <c r="IC499" s="978"/>
      <c r="ID499" s="978"/>
      <c r="IE499" s="978"/>
      <c r="IF499" s="978"/>
      <c r="IG499" s="978"/>
      <c r="IH499" s="978"/>
      <c r="II499" s="978"/>
      <c r="IJ499" s="978"/>
      <c r="IK499" s="978"/>
      <c r="IL499" s="978"/>
      <c r="IM499" s="978"/>
      <c r="IN499" s="978"/>
      <c r="IO499" s="978"/>
      <c r="IP499" s="978"/>
      <c r="IQ499" s="978"/>
      <c r="IR499" s="978"/>
      <c r="IS499" s="978"/>
      <c r="IT499" s="978"/>
      <c r="IU499" s="978"/>
      <c r="IV499" s="978"/>
      <c r="IW499" s="978"/>
      <c r="IX499" s="978"/>
      <c r="IY499" s="978"/>
      <c r="IZ499" s="978"/>
      <c r="JA499" s="978"/>
      <c r="JB499" s="978"/>
      <c r="JC499" s="978"/>
      <c r="JD499" s="978"/>
      <c r="JE499" s="978"/>
      <c r="JF499" s="978"/>
      <c r="JG499" s="978"/>
      <c r="JH499" s="978"/>
      <c r="JI499" s="978"/>
      <c r="JJ499" s="978"/>
      <c r="JK499" s="978"/>
      <c r="JL499" s="978"/>
      <c r="JM499" s="978"/>
      <c r="JN499" s="978"/>
      <c r="JO499" s="978"/>
      <c r="JP499" s="978"/>
      <c r="JQ499" s="978"/>
      <c r="JR499" s="978"/>
      <c r="JS499" s="978"/>
      <c r="JT499" s="978"/>
      <c r="JU499" s="978"/>
      <c r="JV499" s="978"/>
      <c r="JW499" s="978"/>
      <c r="JX499" s="978"/>
      <c r="JY499" s="978"/>
      <c r="JZ499" s="978"/>
      <c r="KA499" s="978"/>
      <c r="KB499" s="978"/>
      <c r="KC499" s="978"/>
      <c r="KD499" s="978"/>
      <c r="KE499" s="978"/>
      <c r="KF499" s="978"/>
      <c r="KG499" s="978"/>
      <c r="KH499" s="978"/>
      <c r="KI499" s="978"/>
      <c r="KJ499" s="978"/>
      <c r="KK499" s="978"/>
      <c r="KL499" s="978"/>
      <c r="KM499" s="978"/>
      <c r="KN499" s="978"/>
      <c r="KO499" s="978"/>
      <c r="KP499" s="978"/>
      <c r="KQ499" s="978"/>
      <c r="KR499" s="978"/>
      <c r="KS499" s="978"/>
      <c r="KT499" s="978"/>
      <c r="KU499" s="978"/>
      <c r="KV499" s="978"/>
      <c r="KW499" s="978"/>
      <c r="KX499" s="978"/>
      <c r="KY499" s="978"/>
      <c r="KZ499" s="978"/>
      <c r="LA499" s="978"/>
      <c r="LB499" s="978"/>
      <c r="LC499" s="978"/>
      <c r="LD499" s="978"/>
      <c r="LE499" s="978"/>
      <c r="LF499" s="978"/>
      <c r="LG499" s="978"/>
      <c r="LH499" s="978"/>
      <c r="LI499" s="978"/>
      <c r="LJ499" s="978"/>
      <c r="LK499" s="978"/>
      <c r="LL499" s="978"/>
      <c r="LM499" s="978"/>
      <c r="LN499" s="978"/>
      <c r="LO499" s="978"/>
      <c r="LP499" s="978"/>
      <c r="LQ499" s="978"/>
      <c r="LR499" s="978"/>
      <c r="LS499" s="978"/>
      <c r="LT499" s="978"/>
      <c r="LU499" s="978"/>
      <c r="LV499" s="978"/>
      <c r="LW499" s="978"/>
      <c r="LX499" s="978"/>
      <c r="LY499" s="978"/>
      <c r="LZ499" s="978"/>
      <c r="MA499" s="978"/>
      <c r="MB499" s="978"/>
      <c r="MC499" s="978"/>
      <c r="MD499" s="978"/>
      <c r="ME499" s="978"/>
      <c r="MF499" s="978"/>
      <c r="MG499" s="978"/>
      <c r="MH499" s="978"/>
      <c r="MI499" s="978"/>
      <c r="MJ499" s="978"/>
      <c r="MK499" s="978"/>
      <c r="ML499" s="978"/>
      <c r="MM499" s="978"/>
      <c r="MN499" s="978"/>
      <c r="MO499" s="978"/>
      <c r="MP499" s="978"/>
      <c r="MQ499" s="978"/>
      <c r="MR499" s="978"/>
      <c r="MS499" s="978"/>
      <c r="MT499" s="978"/>
      <c r="MU499" s="978"/>
      <c r="MV499" s="978"/>
      <c r="MW499" s="978"/>
      <c r="MX499" s="978"/>
      <c r="MY499" s="978"/>
      <c r="MZ499" s="978"/>
      <c r="NA499" s="978"/>
      <c r="NB499" s="978"/>
      <c r="NC499" s="978"/>
      <c r="ND499" s="978"/>
      <c r="NE499" s="978"/>
      <c r="NF499" s="978"/>
      <c r="NG499" s="978"/>
      <c r="NH499" s="978"/>
      <c r="NI499" s="978"/>
      <c r="NJ499" s="978"/>
      <c r="NK499" s="978"/>
      <c r="NL499" s="978"/>
      <c r="NM499" s="978"/>
      <c r="NN499" s="978"/>
      <c r="NO499" s="978"/>
      <c r="NP499" s="978"/>
      <c r="NQ499" s="978"/>
      <c r="NR499" s="978"/>
      <c r="NS499" s="978"/>
      <c r="NT499" s="978"/>
      <c r="NU499" s="978"/>
      <c r="NV499" s="978"/>
      <c r="NW499" s="978"/>
      <c r="NX499" s="978"/>
      <c r="NY499" s="978"/>
      <c r="NZ499" s="978"/>
      <c r="OA499" s="978"/>
      <c r="OB499" s="978"/>
      <c r="OC499" s="978"/>
      <c r="OD499" s="978"/>
      <c r="OE499" s="978"/>
      <c r="OF499" s="978"/>
      <c r="OG499" s="978"/>
      <c r="OH499" s="978"/>
      <c r="OI499" s="978"/>
      <c r="OJ499" s="978"/>
      <c r="OK499" s="978"/>
      <c r="OL499" s="978"/>
      <c r="OM499" s="978"/>
      <c r="ON499" s="978"/>
      <c r="OO499" s="978"/>
      <c r="OP499" s="978"/>
      <c r="OQ499" s="978"/>
      <c r="OR499" s="978"/>
      <c r="OS499" s="978"/>
      <c r="OT499" s="978"/>
      <c r="OU499" s="978"/>
      <c r="OV499" s="978"/>
      <c r="OW499" s="978"/>
      <c r="OX499" s="978"/>
      <c r="OY499" s="978"/>
      <c r="OZ499" s="978"/>
      <c r="PA499" s="978"/>
      <c r="PB499" s="978"/>
      <c r="PC499" s="978"/>
      <c r="PD499" s="978"/>
      <c r="PE499" s="978"/>
      <c r="PF499" s="978"/>
      <c r="PG499" s="978"/>
      <c r="PH499" s="978"/>
      <c r="PI499" s="978"/>
      <c r="PJ499" s="978"/>
      <c r="PK499" s="978"/>
      <c r="PL499" s="978"/>
      <c r="PM499" s="978"/>
      <c r="PN499" s="978"/>
      <c r="PO499" s="978"/>
      <c r="PP499" s="978"/>
      <c r="PQ499" s="978"/>
      <c r="PR499" s="978"/>
      <c r="PS499" s="978"/>
      <c r="PT499" s="978"/>
      <c r="PU499" s="978"/>
      <c r="PV499" s="978"/>
      <c r="PW499" s="978"/>
      <c r="PX499" s="978"/>
      <c r="PY499" s="978"/>
      <c r="PZ499" s="978"/>
      <c r="QA499" s="978"/>
      <c r="QB499" s="978"/>
      <c r="QC499" s="978"/>
      <c r="QD499" s="978"/>
      <c r="QE499" s="978"/>
      <c r="QF499" s="978"/>
      <c r="QG499" s="978"/>
      <c r="QH499" s="978"/>
      <c r="QI499" s="978"/>
      <c r="QJ499" s="978"/>
      <c r="QK499" s="978"/>
      <c r="QL499" s="978"/>
      <c r="QM499" s="978"/>
      <c r="QN499" s="978"/>
      <c r="QO499" s="978"/>
      <c r="QP499" s="978"/>
      <c r="QQ499" s="978"/>
      <c r="QR499" s="978"/>
      <c r="QS499" s="978"/>
      <c r="QT499" s="978"/>
      <c r="QU499" s="978"/>
      <c r="QV499" s="978"/>
      <c r="QW499" s="978"/>
      <c r="QX499" s="978"/>
      <c r="QY499" s="978"/>
      <c r="QZ499" s="978"/>
      <c r="RA499" s="978"/>
      <c r="RB499" s="274"/>
      <c r="RC499" s="274"/>
    </row>
    <row r="500" spans="112:471" ht="17.25">
      <c r="DH500" s="274"/>
      <c r="DI500" s="274"/>
      <c r="DJ500" s="978"/>
      <c r="DK500" s="978"/>
      <c r="DL500" s="978"/>
      <c r="DM500" s="978"/>
      <c r="DN500" s="978"/>
      <c r="DO500" s="978"/>
      <c r="DP500" s="978"/>
      <c r="DQ500" s="978"/>
      <c r="DR500" s="978"/>
      <c r="DS500" s="978"/>
      <c r="DT500" s="978"/>
      <c r="DU500" s="978"/>
      <c r="DV500" s="978"/>
      <c r="DW500" s="978"/>
      <c r="DX500" s="978"/>
      <c r="DY500" s="978"/>
      <c r="DZ500" s="978"/>
      <c r="EA500" s="978"/>
      <c r="EB500" s="978"/>
      <c r="EC500" s="978"/>
      <c r="ED500" s="978"/>
      <c r="EE500" s="978"/>
      <c r="EF500" s="978"/>
      <c r="EG500" s="978"/>
      <c r="EH500" s="978"/>
      <c r="EI500" s="978"/>
      <c r="EJ500" s="978"/>
      <c r="EK500" s="978"/>
      <c r="EL500" s="978"/>
      <c r="EM500" s="978"/>
      <c r="EN500" s="978"/>
      <c r="EO500" s="978"/>
      <c r="EP500" s="978"/>
      <c r="EQ500" s="978"/>
      <c r="ER500" s="978"/>
      <c r="ES500" s="978"/>
      <c r="ET500" s="978"/>
      <c r="EU500" s="978"/>
      <c r="EV500" s="978"/>
      <c r="EW500" s="978"/>
      <c r="EX500" s="978"/>
      <c r="EY500" s="978"/>
      <c r="EZ500" s="978"/>
      <c r="FA500" s="978"/>
      <c r="FB500" s="978"/>
      <c r="FC500" s="978"/>
      <c r="FD500" s="978"/>
      <c r="FE500" s="978"/>
      <c r="FF500" s="978"/>
      <c r="FG500" s="978"/>
      <c r="FH500" s="978"/>
      <c r="FI500" s="978"/>
      <c r="FJ500" s="978"/>
      <c r="FK500" s="978"/>
      <c r="FL500" s="978"/>
      <c r="FM500" s="978"/>
      <c r="FN500" s="978"/>
      <c r="FO500" s="978"/>
      <c r="FP500" s="978"/>
      <c r="FQ500" s="978"/>
      <c r="FR500" s="978"/>
      <c r="FS500" s="978"/>
      <c r="FT500" s="978"/>
      <c r="FU500" s="978"/>
      <c r="FV500" s="978"/>
      <c r="FW500" s="978"/>
      <c r="FX500" s="978"/>
      <c r="FY500" s="978"/>
      <c r="FZ500" s="978"/>
      <c r="GA500" s="978"/>
      <c r="GB500" s="978"/>
      <c r="GC500" s="978"/>
      <c r="GD500" s="978"/>
      <c r="GE500" s="978"/>
      <c r="GF500" s="978"/>
      <c r="GG500" s="978"/>
      <c r="GH500" s="978"/>
      <c r="GI500" s="978"/>
      <c r="GJ500" s="978"/>
      <c r="GK500" s="978"/>
      <c r="GL500" s="978"/>
      <c r="GM500" s="978"/>
      <c r="GN500" s="978"/>
      <c r="GO500" s="978"/>
      <c r="GP500" s="978"/>
      <c r="GQ500" s="978"/>
      <c r="GR500" s="978"/>
      <c r="GS500" s="978"/>
      <c r="GT500" s="978"/>
      <c r="GU500" s="978"/>
      <c r="GV500" s="978"/>
      <c r="GW500" s="978"/>
      <c r="GX500" s="978"/>
      <c r="GY500" s="978"/>
      <c r="GZ500" s="978"/>
      <c r="HA500" s="978"/>
      <c r="HB500" s="978"/>
      <c r="HC500" s="978"/>
      <c r="HD500" s="978"/>
      <c r="HE500" s="978"/>
      <c r="HF500" s="978"/>
      <c r="HG500" s="978"/>
      <c r="HH500" s="978"/>
      <c r="HI500" s="978"/>
      <c r="HJ500" s="978"/>
      <c r="HK500" s="978"/>
      <c r="HL500" s="978"/>
      <c r="HM500" s="978"/>
      <c r="HN500" s="978"/>
      <c r="HO500" s="978"/>
      <c r="HP500" s="978"/>
      <c r="HQ500" s="978"/>
      <c r="HR500" s="978"/>
      <c r="HS500" s="978"/>
      <c r="HT500" s="978"/>
      <c r="HU500" s="978"/>
      <c r="HV500" s="978"/>
      <c r="HW500" s="978"/>
      <c r="HX500" s="978"/>
      <c r="HY500" s="978"/>
      <c r="HZ500" s="978"/>
      <c r="IA500" s="978"/>
      <c r="IB500" s="978"/>
      <c r="IC500" s="978"/>
      <c r="ID500" s="978"/>
      <c r="IE500" s="978"/>
      <c r="IF500" s="978"/>
      <c r="IG500" s="978"/>
      <c r="IH500" s="978"/>
      <c r="II500" s="978"/>
      <c r="IJ500" s="978"/>
      <c r="IK500" s="978"/>
      <c r="IL500" s="978"/>
      <c r="IM500" s="978"/>
      <c r="IN500" s="978"/>
      <c r="IO500" s="978"/>
      <c r="IP500" s="978"/>
      <c r="IQ500" s="978"/>
      <c r="IR500" s="978"/>
      <c r="IS500" s="978"/>
      <c r="IT500" s="978"/>
      <c r="IU500" s="978"/>
      <c r="IV500" s="978"/>
      <c r="IW500" s="978"/>
      <c r="IX500" s="978"/>
      <c r="IY500" s="978"/>
      <c r="IZ500" s="978"/>
      <c r="JA500" s="978"/>
      <c r="JB500" s="978"/>
      <c r="JC500" s="978"/>
      <c r="JD500" s="978"/>
      <c r="JE500" s="978"/>
      <c r="JF500" s="978"/>
      <c r="JG500" s="978"/>
      <c r="JH500" s="978"/>
      <c r="JI500" s="978"/>
      <c r="JJ500" s="978"/>
      <c r="JK500" s="978"/>
      <c r="JL500" s="978"/>
      <c r="JM500" s="978"/>
      <c r="JN500" s="978"/>
      <c r="JO500" s="978"/>
      <c r="JP500" s="978"/>
      <c r="JQ500" s="978"/>
      <c r="JR500" s="978"/>
      <c r="JS500" s="978"/>
      <c r="JT500" s="978"/>
      <c r="JU500" s="978"/>
      <c r="JV500" s="978"/>
      <c r="JW500" s="978"/>
      <c r="JX500" s="978"/>
      <c r="JY500" s="978"/>
      <c r="JZ500" s="978"/>
      <c r="KA500" s="978"/>
      <c r="KB500" s="978"/>
      <c r="KC500" s="978"/>
      <c r="KD500" s="978"/>
      <c r="KE500" s="978"/>
      <c r="KF500" s="978"/>
      <c r="KG500" s="978"/>
      <c r="KH500" s="978"/>
      <c r="KI500" s="978"/>
      <c r="KJ500" s="978"/>
      <c r="KK500" s="978"/>
      <c r="KL500" s="978"/>
      <c r="KM500" s="978"/>
      <c r="KN500" s="978"/>
      <c r="KO500" s="978"/>
      <c r="KP500" s="978"/>
      <c r="KQ500" s="978"/>
      <c r="KR500" s="978"/>
      <c r="KS500" s="978"/>
      <c r="KT500" s="978"/>
      <c r="KU500" s="978"/>
      <c r="KV500" s="978"/>
      <c r="KW500" s="978"/>
      <c r="KX500" s="978"/>
      <c r="KY500" s="978"/>
      <c r="KZ500" s="978"/>
      <c r="LA500" s="978"/>
      <c r="LB500" s="978"/>
      <c r="LC500" s="978"/>
      <c r="LD500" s="978"/>
      <c r="LE500" s="978"/>
      <c r="LF500" s="978"/>
      <c r="LG500" s="978"/>
      <c r="LH500" s="978"/>
      <c r="LI500" s="978"/>
      <c r="LJ500" s="978"/>
      <c r="LK500" s="978"/>
      <c r="LL500" s="978"/>
      <c r="LM500" s="978"/>
      <c r="LN500" s="978"/>
      <c r="LO500" s="978"/>
      <c r="LP500" s="978"/>
      <c r="LQ500" s="978"/>
      <c r="LR500" s="978"/>
      <c r="LS500" s="978"/>
      <c r="LT500" s="978"/>
      <c r="LU500" s="978"/>
      <c r="LV500" s="978"/>
      <c r="LW500" s="978"/>
      <c r="LX500" s="978"/>
      <c r="LY500" s="978"/>
      <c r="LZ500" s="978"/>
      <c r="MA500" s="978"/>
      <c r="MB500" s="978"/>
      <c r="MC500" s="978"/>
      <c r="MD500" s="978"/>
      <c r="ME500" s="978"/>
      <c r="MF500" s="978"/>
      <c r="MG500" s="978"/>
      <c r="MH500" s="978"/>
      <c r="MI500" s="978"/>
      <c r="MJ500" s="978"/>
      <c r="MK500" s="978"/>
      <c r="ML500" s="978"/>
      <c r="MM500" s="978"/>
      <c r="MN500" s="978"/>
      <c r="MO500" s="978"/>
      <c r="MP500" s="978"/>
      <c r="MQ500" s="978"/>
      <c r="MR500" s="978"/>
      <c r="MS500" s="978"/>
      <c r="MT500" s="978"/>
      <c r="MU500" s="978"/>
      <c r="MV500" s="978"/>
      <c r="MW500" s="978"/>
      <c r="MX500" s="978"/>
      <c r="MY500" s="978"/>
      <c r="MZ500" s="978"/>
      <c r="NA500" s="978"/>
      <c r="NB500" s="978"/>
      <c r="NC500" s="978"/>
      <c r="ND500" s="978"/>
      <c r="NE500" s="978"/>
      <c r="NF500" s="978"/>
      <c r="NG500" s="978"/>
      <c r="NH500" s="978"/>
      <c r="NI500" s="978"/>
      <c r="NJ500" s="978"/>
      <c r="NK500" s="978"/>
      <c r="NL500" s="978"/>
      <c r="NM500" s="978"/>
      <c r="NN500" s="978"/>
      <c r="NO500" s="978"/>
      <c r="NP500" s="978"/>
      <c r="NQ500" s="978"/>
      <c r="NR500" s="978"/>
      <c r="NS500" s="978"/>
      <c r="NT500" s="978"/>
      <c r="NU500" s="978"/>
      <c r="NV500" s="978"/>
      <c r="NW500" s="978"/>
      <c r="NX500" s="978"/>
      <c r="NY500" s="978"/>
      <c r="NZ500" s="978"/>
      <c r="OA500" s="978"/>
      <c r="OB500" s="978"/>
      <c r="OC500" s="978"/>
      <c r="OD500" s="978"/>
      <c r="OE500" s="978"/>
      <c r="OF500" s="978"/>
      <c r="OG500" s="978"/>
      <c r="OH500" s="978"/>
      <c r="OI500" s="978"/>
      <c r="OJ500" s="978"/>
      <c r="OK500" s="978"/>
      <c r="OL500" s="978"/>
      <c r="OM500" s="978"/>
      <c r="ON500" s="978"/>
      <c r="OO500" s="978"/>
      <c r="OP500" s="978"/>
      <c r="OQ500" s="978"/>
      <c r="OR500" s="978"/>
      <c r="OS500" s="978"/>
      <c r="OT500" s="978"/>
      <c r="OU500" s="978"/>
      <c r="OV500" s="978"/>
      <c r="OW500" s="978"/>
      <c r="OX500" s="978"/>
      <c r="OY500" s="978"/>
      <c r="OZ500" s="978"/>
      <c r="PA500" s="978"/>
      <c r="PB500" s="978"/>
      <c r="PC500" s="978"/>
      <c r="PD500" s="978"/>
      <c r="PE500" s="978"/>
      <c r="PF500" s="978"/>
      <c r="PG500" s="978"/>
      <c r="PH500" s="978"/>
      <c r="PI500" s="978"/>
      <c r="PJ500" s="978"/>
      <c r="PK500" s="978"/>
      <c r="PL500" s="978"/>
      <c r="PM500" s="978"/>
      <c r="PN500" s="978"/>
      <c r="PO500" s="978"/>
      <c r="PP500" s="978"/>
      <c r="PQ500" s="978"/>
      <c r="PR500" s="978"/>
      <c r="PS500" s="978"/>
      <c r="PT500" s="978"/>
      <c r="PU500" s="978"/>
      <c r="PV500" s="978"/>
      <c r="PW500" s="978"/>
      <c r="PX500" s="978"/>
      <c r="PY500" s="978"/>
      <c r="PZ500" s="978"/>
      <c r="QA500" s="978"/>
      <c r="QB500" s="978"/>
      <c r="QC500" s="978"/>
      <c r="QD500" s="978"/>
      <c r="QE500" s="978"/>
      <c r="QF500" s="978"/>
      <c r="QG500" s="978"/>
      <c r="QH500" s="978"/>
      <c r="QI500" s="978"/>
      <c r="QJ500" s="978"/>
      <c r="QK500" s="978"/>
      <c r="QL500" s="978"/>
      <c r="QM500" s="978"/>
      <c r="QN500" s="978"/>
      <c r="QO500" s="978"/>
      <c r="QP500" s="978"/>
      <c r="QQ500" s="978"/>
      <c r="QR500" s="978"/>
      <c r="QS500" s="978"/>
      <c r="QT500" s="978"/>
      <c r="QU500" s="978"/>
      <c r="QV500" s="978"/>
      <c r="QW500" s="978"/>
      <c r="QX500" s="978"/>
      <c r="QY500" s="978"/>
      <c r="QZ500" s="978"/>
      <c r="RA500" s="978"/>
      <c r="RB500" s="274"/>
      <c r="RC500" s="274"/>
    </row>
    <row r="501" spans="112:471" ht="17.25">
      <c r="DH501" s="274"/>
      <c r="DI501" s="274"/>
      <c r="DJ501" s="978"/>
      <c r="DK501" s="978"/>
      <c r="DL501" s="978"/>
      <c r="DM501" s="978"/>
      <c r="DN501" s="978"/>
      <c r="DO501" s="978"/>
      <c r="DP501" s="978"/>
      <c r="DQ501" s="978"/>
      <c r="DR501" s="978"/>
      <c r="DS501" s="978"/>
      <c r="DT501" s="978"/>
      <c r="DU501" s="978"/>
      <c r="DV501" s="978"/>
      <c r="DW501" s="978"/>
      <c r="DX501" s="978"/>
      <c r="DY501" s="978"/>
      <c r="DZ501" s="978"/>
      <c r="EA501" s="978"/>
      <c r="EB501" s="978"/>
      <c r="EC501" s="978"/>
      <c r="ED501" s="978"/>
      <c r="EE501" s="978"/>
      <c r="EF501" s="978"/>
      <c r="EG501" s="978"/>
      <c r="EH501" s="978"/>
      <c r="EI501" s="978"/>
      <c r="EJ501" s="978"/>
      <c r="EK501" s="978"/>
      <c r="EL501" s="978"/>
      <c r="EM501" s="978"/>
      <c r="EN501" s="978"/>
      <c r="EO501" s="978"/>
      <c r="EP501" s="978"/>
      <c r="EQ501" s="978"/>
      <c r="ER501" s="978"/>
      <c r="ES501" s="978"/>
      <c r="ET501" s="978"/>
      <c r="EU501" s="978"/>
      <c r="EV501" s="978"/>
      <c r="EW501" s="978"/>
      <c r="EX501" s="978"/>
      <c r="EY501" s="978"/>
      <c r="EZ501" s="978"/>
      <c r="FA501" s="978"/>
      <c r="FB501" s="978"/>
      <c r="FC501" s="978"/>
      <c r="FD501" s="978"/>
      <c r="FE501" s="978"/>
      <c r="FF501" s="978"/>
      <c r="FG501" s="978"/>
      <c r="FH501" s="978"/>
      <c r="FI501" s="978"/>
      <c r="FJ501" s="978"/>
      <c r="FK501" s="978"/>
      <c r="FL501" s="978"/>
      <c r="FM501" s="978"/>
      <c r="FN501" s="978"/>
      <c r="FO501" s="978"/>
      <c r="FP501" s="978"/>
      <c r="FQ501" s="978"/>
      <c r="FR501" s="978"/>
      <c r="FS501" s="978"/>
      <c r="FT501" s="978"/>
      <c r="FU501" s="978"/>
      <c r="FV501" s="978"/>
      <c r="FW501" s="978"/>
      <c r="FX501" s="978"/>
      <c r="FY501" s="978"/>
      <c r="FZ501" s="978"/>
      <c r="GA501" s="978"/>
      <c r="GB501" s="978"/>
      <c r="GC501" s="978"/>
      <c r="GD501" s="978"/>
      <c r="GE501" s="978"/>
      <c r="GF501" s="978"/>
      <c r="GG501" s="978"/>
      <c r="GH501" s="978"/>
      <c r="GI501" s="978"/>
      <c r="GJ501" s="978"/>
      <c r="GK501" s="978"/>
      <c r="GL501" s="978"/>
      <c r="GM501" s="978"/>
      <c r="GN501" s="978"/>
      <c r="GO501" s="978"/>
      <c r="GP501" s="978"/>
      <c r="GQ501" s="978"/>
      <c r="GR501" s="978"/>
      <c r="GS501" s="978"/>
      <c r="GT501" s="978"/>
      <c r="GU501" s="978"/>
      <c r="GV501" s="978"/>
      <c r="GW501" s="978"/>
      <c r="GX501" s="978"/>
      <c r="GY501" s="978"/>
      <c r="GZ501" s="978"/>
      <c r="HA501" s="978"/>
      <c r="HB501" s="978"/>
      <c r="HC501" s="978"/>
      <c r="HD501" s="978"/>
      <c r="HE501" s="978"/>
      <c r="HF501" s="978"/>
      <c r="HG501" s="978"/>
      <c r="HH501" s="978"/>
      <c r="HI501" s="978"/>
      <c r="HJ501" s="978"/>
      <c r="HK501" s="978"/>
      <c r="HL501" s="978"/>
      <c r="HM501" s="978"/>
      <c r="HN501" s="978"/>
      <c r="HO501" s="978"/>
      <c r="HP501" s="978"/>
      <c r="HQ501" s="978"/>
      <c r="HR501" s="978"/>
      <c r="HS501" s="978"/>
      <c r="HT501" s="978"/>
      <c r="HU501" s="978"/>
      <c r="HV501" s="978"/>
      <c r="HW501" s="978"/>
      <c r="HX501" s="978"/>
      <c r="HY501" s="978"/>
      <c r="HZ501" s="978"/>
      <c r="IA501" s="978"/>
      <c r="IB501" s="978"/>
      <c r="IC501" s="978"/>
      <c r="ID501" s="978"/>
      <c r="IE501" s="978"/>
      <c r="IF501" s="978"/>
      <c r="IG501" s="978"/>
      <c r="IH501" s="978"/>
      <c r="II501" s="978"/>
      <c r="IJ501" s="978"/>
      <c r="IK501" s="978"/>
      <c r="IL501" s="978"/>
      <c r="IM501" s="978"/>
      <c r="IN501" s="978"/>
      <c r="IO501" s="978"/>
      <c r="IP501" s="978"/>
      <c r="IQ501" s="978"/>
      <c r="IR501" s="978"/>
      <c r="IS501" s="978"/>
      <c r="IT501" s="978"/>
      <c r="IU501" s="978"/>
      <c r="IV501" s="978"/>
      <c r="IW501" s="978"/>
      <c r="IX501" s="978"/>
      <c r="IY501" s="978"/>
      <c r="IZ501" s="978"/>
      <c r="JA501" s="978"/>
      <c r="JB501" s="978"/>
      <c r="JC501" s="978"/>
      <c r="JD501" s="978"/>
      <c r="JE501" s="978"/>
      <c r="JF501" s="978"/>
      <c r="JG501" s="978"/>
      <c r="JH501" s="978"/>
      <c r="JI501" s="978"/>
      <c r="JJ501" s="978"/>
      <c r="JK501" s="978"/>
      <c r="JL501" s="978"/>
      <c r="JM501" s="978"/>
      <c r="JN501" s="978"/>
      <c r="JO501" s="978"/>
      <c r="JP501" s="978"/>
      <c r="JQ501" s="978"/>
      <c r="JR501" s="978"/>
      <c r="JS501" s="978"/>
      <c r="JT501" s="978"/>
      <c r="JU501" s="978"/>
      <c r="JV501" s="978"/>
      <c r="JW501" s="978"/>
      <c r="JX501" s="978"/>
      <c r="JY501" s="978"/>
      <c r="JZ501" s="978"/>
      <c r="KA501" s="978"/>
      <c r="KB501" s="978"/>
      <c r="KC501" s="978"/>
      <c r="KD501" s="978"/>
      <c r="KE501" s="978"/>
      <c r="KF501" s="978"/>
      <c r="KG501" s="978"/>
      <c r="KH501" s="978"/>
      <c r="KI501" s="978"/>
      <c r="KJ501" s="978"/>
      <c r="KK501" s="978"/>
      <c r="KL501" s="978"/>
      <c r="KM501" s="978"/>
      <c r="KN501" s="978"/>
      <c r="KO501" s="978"/>
      <c r="KP501" s="978"/>
      <c r="KQ501" s="978"/>
      <c r="KR501" s="978"/>
      <c r="KS501" s="978"/>
      <c r="KT501" s="978"/>
      <c r="KU501" s="978"/>
      <c r="KV501" s="978"/>
      <c r="KW501" s="978"/>
      <c r="KX501" s="978"/>
      <c r="KY501" s="978"/>
      <c r="KZ501" s="978"/>
      <c r="LA501" s="978"/>
      <c r="LB501" s="978"/>
      <c r="LC501" s="978"/>
      <c r="LD501" s="978"/>
      <c r="LE501" s="978"/>
      <c r="LF501" s="978"/>
      <c r="LG501" s="978"/>
      <c r="LH501" s="978"/>
      <c r="LI501" s="978"/>
      <c r="LJ501" s="978"/>
      <c r="LK501" s="978"/>
      <c r="LL501" s="978"/>
      <c r="LM501" s="978"/>
      <c r="LN501" s="978"/>
      <c r="LO501" s="978"/>
      <c r="LP501" s="978"/>
      <c r="LQ501" s="978"/>
      <c r="LR501" s="978"/>
      <c r="LS501" s="978"/>
      <c r="LT501" s="978"/>
      <c r="LU501" s="978"/>
      <c r="LV501" s="978"/>
      <c r="LW501" s="978"/>
      <c r="LX501" s="978"/>
      <c r="LY501" s="978"/>
      <c r="LZ501" s="978"/>
      <c r="MA501" s="978"/>
      <c r="MB501" s="978"/>
      <c r="MC501" s="978"/>
      <c r="MD501" s="978"/>
      <c r="ME501" s="978"/>
      <c r="MF501" s="978"/>
      <c r="MG501" s="978"/>
      <c r="MH501" s="978"/>
      <c r="MI501" s="978"/>
      <c r="MJ501" s="978"/>
      <c r="MK501" s="978"/>
      <c r="ML501" s="978"/>
      <c r="MM501" s="978"/>
      <c r="MN501" s="978"/>
      <c r="MO501" s="978"/>
      <c r="MP501" s="978"/>
      <c r="MQ501" s="978"/>
      <c r="MR501" s="978"/>
      <c r="MS501" s="978"/>
      <c r="MT501" s="978"/>
      <c r="MU501" s="978"/>
      <c r="MV501" s="978"/>
      <c r="MW501" s="978"/>
      <c r="MX501" s="978"/>
      <c r="MY501" s="978"/>
      <c r="MZ501" s="978"/>
      <c r="NA501" s="978"/>
      <c r="NB501" s="978"/>
      <c r="NC501" s="978"/>
      <c r="ND501" s="978"/>
      <c r="NE501" s="978"/>
      <c r="NF501" s="978"/>
      <c r="NG501" s="978"/>
      <c r="NH501" s="978"/>
      <c r="NI501" s="978"/>
      <c r="NJ501" s="978"/>
      <c r="NK501" s="978"/>
      <c r="NL501" s="978"/>
      <c r="NM501" s="978"/>
      <c r="NN501" s="978"/>
      <c r="NO501" s="978"/>
      <c r="NP501" s="978"/>
      <c r="NQ501" s="978"/>
      <c r="NR501" s="978"/>
      <c r="NS501" s="978"/>
      <c r="NT501" s="978"/>
      <c r="NU501" s="978"/>
      <c r="NV501" s="978"/>
      <c r="NW501" s="978"/>
      <c r="NX501" s="978"/>
      <c r="NY501" s="978"/>
      <c r="NZ501" s="978"/>
      <c r="OA501" s="978"/>
      <c r="OB501" s="978"/>
      <c r="OC501" s="978"/>
      <c r="OD501" s="978"/>
      <c r="OE501" s="978"/>
      <c r="OF501" s="978"/>
      <c r="OG501" s="978"/>
      <c r="OH501" s="978"/>
      <c r="OI501" s="978"/>
      <c r="OJ501" s="978"/>
      <c r="OK501" s="978"/>
      <c r="OL501" s="978"/>
      <c r="OM501" s="978"/>
      <c r="ON501" s="978"/>
      <c r="OO501" s="978"/>
      <c r="OP501" s="978"/>
      <c r="OQ501" s="978"/>
      <c r="OR501" s="978"/>
      <c r="OS501" s="978"/>
      <c r="OT501" s="978"/>
      <c r="OU501" s="978"/>
      <c r="OV501" s="978"/>
      <c r="OW501" s="978"/>
      <c r="OX501" s="978"/>
      <c r="OY501" s="978"/>
      <c r="OZ501" s="978"/>
      <c r="PA501" s="978"/>
      <c r="PB501" s="978"/>
      <c r="PC501" s="978"/>
      <c r="PD501" s="978"/>
      <c r="PE501" s="978"/>
      <c r="PF501" s="978"/>
      <c r="PG501" s="978"/>
      <c r="PH501" s="978"/>
      <c r="PI501" s="978"/>
      <c r="PJ501" s="978"/>
      <c r="PK501" s="978"/>
      <c r="PL501" s="978"/>
      <c r="PM501" s="978"/>
      <c r="PN501" s="978"/>
      <c r="PO501" s="978"/>
      <c r="PP501" s="978"/>
      <c r="PQ501" s="978"/>
      <c r="PR501" s="978"/>
      <c r="PS501" s="978"/>
      <c r="PT501" s="978"/>
      <c r="PU501" s="978"/>
      <c r="PV501" s="978"/>
      <c r="PW501" s="978"/>
      <c r="PX501" s="978"/>
      <c r="PY501" s="978"/>
      <c r="PZ501" s="978"/>
      <c r="QA501" s="978"/>
      <c r="QB501" s="978"/>
      <c r="QC501" s="978"/>
      <c r="QD501" s="978"/>
      <c r="QE501" s="978"/>
      <c r="QF501" s="978"/>
      <c r="QG501" s="978"/>
      <c r="QH501" s="978"/>
      <c r="QI501" s="978"/>
      <c r="QJ501" s="978"/>
      <c r="QK501" s="978"/>
      <c r="QL501" s="978"/>
      <c r="QM501" s="978"/>
      <c r="QN501" s="978"/>
      <c r="QO501" s="978"/>
      <c r="QP501" s="978"/>
      <c r="QQ501" s="978"/>
      <c r="QR501" s="978"/>
      <c r="QS501" s="978"/>
      <c r="QT501" s="978"/>
      <c r="QU501" s="978"/>
      <c r="QV501" s="978"/>
      <c r="QW501" s="978"/>
      <c r="QX501" s="978"/>
      <c r="QY501" s="978"/>
      <c r="QZ501" s="978"/>
      <c r="RA501" s="978"/>
      <c r="RB501" s="274"/>
      <c r="RC501" s="274"/>
    </row>
    <row r="502" spans="112:471" ht="17.25">
      <c r="DH502" s="274"/>
      <c r="DI502" s="274"/>
      <c r="DJ502" s="978"/>
      <c r="DK502" s="978"/>
      <c r="DL502" s="978"/>
      <c r="DM502" s="978"/>
      <c r="DN502" s="978"/>
      <c r="DO502" s="978"/>
      <c r="DP502" s="978"/>
      <c r="DQ502" s="978"/>
      <c r="DR502" s="978"/>
      <c r="DS502" s="978"/>
      <c r="DT502" s="978"/>
      <c r="DU502" s="978"/>
      <c r="DV502" s="978"/>
      <c r="DW502" s="978"/>
      <c r="DX502" s="978"/>
      <c r="DY502" s="978"/>
      <c r="DZ502" s="978"/>
      <c r="EA502" s="978"/>
      <c r="EB502" s="978"/>
      <c r="EC502" s="978"/>
      <c r="ED502" s="978"/>
      <c r="EE502" s="978"/>
      <c r="EF502" s="978"/>
      <c r="EG502" s="978"/>
      <c r="EH502" s="978"/>
      <c r="EI502" s="978"/>
      <c r="EJ502" s="978"/>
      <c r="EK502" s="978"/>
      <c r="EL502" s="978"/>
      <c r="EM502" s="978"/>
      <c r="EN502" s="978"/>
      <c r="EO502" s="978"/>
      <c r="EP502" s="978"/>
      <c r="EQ502" s="978"/>
      <c r="ER502" s="978"/>
      <c r="ES502" s="978"/>
      <c r="ET502" s="978"/>
      <c r="EU502" s="978"/>
      <c r="EV502" s="978"/>
      <c r="EW502" s="978"/>
      <c r="EX502" s="978"/>
      <c r="EY502" s="978"/>
      <c r="EZ502" s="978"/>
      <c r="FA502" s="978"/>
      <c r="FB502" s="978"/>
      <c r="FC502" s="978"/>
      <c r="FD502" s="978"/>
      <c r="FE502" s="978"/>
      <c r="FF502" s="978"/>
      <c r="FG502" s="978"/>
      <c r="FH502" s="978"/>
      <c r="FI502" s="978"/>
      <c r="FJ502" s="978"/>
      <c r="FK502" s="978"/>
      <c r="FL502" s="978"/>
      <c r="FM502" s="978"/>
      <c r="FN502" s="978"/>
      <c r="FO502" s="978"/>
      <c r="FP502" s="978"/>
      <c r="FQ502" s="978"/>
      <c r="FR502" s="978"/>
      <c r="FS502" s="978"/>
      <c r="FT502" s="978"/>
      <c r="FU502" s="978"/>
      <c r="FV502" s="978"/>
      <c r="FW502" s="978"/>
      <c r="FX502" s="978"/>
      <c r="FY502" s="978"/>
      <c r="FZ502" s="978"/>
      <c r="GA502" s="978"/>
      <c r="GB502" s="978"/>
      <c r="GC502" s="978"/>
      <c r="GD502" s="978"/>
      <c r="GE502" s="978"/>
      <c r="GF502" s="978"/>
      <c r="GG502" s="978"/>
      <c r="GH502" s="978"/>
      <c r="GI502" s="978"/>
      <c r="GJ502" s="978"/>
      <c r="GK502" s="978"/>
      <c r="GL502" s="978"/>
      <c r="GM502" s="978"/>
      <c r="GN502" s="978"/>
      <c r="GO502" s="978"/>
      <c r="GP502" s="978"/>
      <c r="GQ502" s="978"/>
      <c r="GR502" s="978"/>
      <c r="GS502" s="978"/>
      <c r="GT502" s="978"/>
      <c r="GU502" s="978"/>
      <c r="GV502" s="978"/>
      <c r="GW502" s="978"/>
      <c r="GX502" s="978"/>
      <c r="GY502" s="978"/>
      <c r="GZ502" s="978"/>
      <c r="HA502" s="978"/>
      <c r="HB502" s="978"/>
      <c r="HC502" s="978"/>
      <c r="HD502" s="978"/>
      <c r="HE502" s="978"/>
      <c r="HF502" s="978"/>
      <c r="HG502" s="978"/>
      <c r="HH502" s="978"/>
      <c r="HI502" s="978"/>
      <c r="HJ502" s="978"/>
      <c r="HK502" s="978"/>
      <c r="HL502" s="978"/>
      <c r="HM502" s="978"/>
      <c r="HN502" s="978"/>
      <c r="HO502" s="978"/>
      <c r="HP502" s="978"/>
      <c r="HQ502" s="978"/>
      <c r="HR502" s="978"/>
      <c r="HS502" s="978"/>
      <c r="HT502" s="978"/>
      <c r="HU502" s="978"/>
      <c r="HV502" s="978"/>
      <c r="HW502" s="978"/>
      <c r="HX502" s="978"/>
      <c r="HY502" s="978"/>
      <c r="HZ502" s="978"/>
      <c r="IA502" s="978"/>
      <c r="IB502" s="978"/>
      <c r="IC502" s="978"/>
      <c r="ID502" s="978"/>
      <c r="IE502" s="978"/>
      <c r="IF502" s="978"/>
      <c r="IG502" s="978"/>
      <c r="IH502" s="978"/>
      <c r="II502" s="978"/>
      <c r="IJ502" s="978"/>
      <c r="IK502" s="978"/>
      <c r="IL502" s="978"/>
      <c r="IM502" s="978"/>
      <c r="IN502" s="978"/>
      <c r="IO502" s="978"/>
      <c r="IP502" s="978"/>
      <c r="IQ502" s="978"/>
      <c r="IR502" s="978"/>
      <c r="IS502" s="978"/>
      <c r="IT502" s="978"/>
      <c r="IU502" s="978"/>
      <c r="IV502" s="978"/>
      <c r="IW502" s="978"/>
      <c r="IX502" s="978"/>
      <c r="IY502" s="978"/>
      <c r="IZ502" s="978"/>
      <c r="JA502" s="978"/>
      <c r="JB502" s="978"/>
      <c r="JC502" s="978"/>
      <c r="JD502" s="978"/>
      <c r="JE502" s="978"/>
      <c r="JF502" s="978"/>
      <c r="JG502" s="978"/>
      <c r="JH502" s="978"/>
      <c r="JI502" s="978"/>
      <c r="JJ502" s="978"/>
      <c r="JK502" s="978"/>
      <c r="JL502" s="978"/>
      <c r="JM502" s="978"/>
      <c r="JN502" s="978"/>
      <c r="JO502" s="978"/>
      <c r="JP502" s="978"/>
      <c r="JQ502" s="978"/>
      <c r="JR502" s="978"/>
      <c r="JS502" s="978"/>
      <c r="JT502" s="978"/>
      <c r="JU502" s="978"/>
      <c r="JV502" s="978"/>
      <c r="JW502" s="978"/>
      <c r="JX502" s="978"/>
      <c r="JY502" s="978"/>
      <c r="JZ502" s="978"/>
      <c r="KA502" s="978"/>
      <c r="KB502" s="978"/>
      <c r="KC502" s="978"/>
      <c r="KD502" s="978"/>
      <c r="KE502" s="978"/>
      <c r="KF502" s="978"/>
      <c r="KG502" s="978"/>
      <c r="KH502" s="978"/>
      <c r="KI502" s="978"/>
      <c r="KJ502" s="978"/>
      <c r="KK502" s="978"/>
      <c r="KL502" s="978"/>
      <c r="KM502" s="978"/>
      <c r="KN502" s="978"/>
      <c r="KO502" s="978"/>
      <c r="KP502" s="978"/>
      <c r="KQ502" s="978"/>
      <c r="KR502" s="978"/>
      <c r="KS502" s="978"/>
      <c r="KT502" s="978"/>
      <c r="KU502" s="978"/>
      <c r="KV502" s="978"/>
      <c r="KW502" s="978"/>
      <c r="KX502" s="978"/>
      <c r="KY502" s="978"/>
      <c r="KZ502" s="978"/>
      <c r="LA502" s="978"/>
      <c r="LB502" s="978"/>
      <c r="LC502" s="978"/>
      <c r="LD502" s="978"/>
      <c r="LE502" s="978"/>
      <c r="LF502" s="978"/>
      <c r="LG502" s="978"/>
      <c r="LH502" s="978"/>
      <c r="LI502" s="978"/>
      <c r="LJ502" s="978"/>
      <c r="LK502" s="978"/>
      <c r="LL502" s="978"/>
      <c r="LM502" s="978"/>
      <c r="LN502" s="978"/>
      <c r="LO502" s="978"/>
      <c r="LP502" s="978"/>
      <c r="LQ502" s="978"/>
      <c r="LR502" s="978"/>
      <c r="LS502" s="978"/>
      <c r="LT502" s="978"/>
      <c r="LU502" s="978"/>
      <c r="LV502" s="978"/>
      <c r="LW502" s="978"/>
      <c r="LX502" s="978"/>
      <c r="LY502" s="978"/>
      <c r="LZ502" s="978"/>
      <c r="MA502" s="978"/>
      <c r="MB502" s="978"/>
      <c r="MC502" s="978"/>
      <c r="MD502" s="978"/>
      <c r="ME502" s="978"/>
      <c r="MF502" s="978"/>
      <c r="MG502" s="978"/>
      <c r="MH502" s="978"/>
      <c r="MI502" s="978"/>
      <c r="MJ502" s="978"/>
      <c r="MK502" s="978"/>
      <c r="ML502" s="978"/>
      <c r="MM502" s="978"/>
      <c r="MN502" s="978"/>
      <c r="MO502" s="978"/>
      <c r="MP502" s="978"/>
      <c r="MQ502" s="978"/>
      <c r="MR502" s="978"/>
      <c r="MS502" s="978"/>
      <c r="MT502" s="978"/>
      <c r="MU502" s="978"/>
      <c r="MV502" s="978"/>
      <c r="MW502" s="978"/>
      <c r="MX502" s="978"/>
      <c r="MY502" s="978"/>
      <c r="MZ502" s="978"/>
      <c r="NA502" s="978"/>
      <c r="NB502" s="978"/>
      <c r="NC502" s="978"/>
      <c r="ND502" s="978"/>
      <c r="NE502" s="978"/>
      <c r="NF502" s="978"/>
      <c r="NG502" s="978"/>
      <c r="NH502" s="978"/>
      <c r="NI502" s="978"/>
      <c r="NJ502" s="978"/>
      <c r="NK502" s="978"/>
      <c r="NL502" s="978"/>
      <c r="NM502" s="978"/>
      <c r="NN502" s="978"/>
      <c r="NO502" s="978"/>
      <c r="NP502" s="978"/>
      <c r="NQ502" s="978"/>
      <c r="NR502" s="978"/>
      <c r="NS502" s="978"/>
      <c r="NT502" s="978"/>
      <c r="NU502" s="978"/>
      <c r="NV502" s="978"/>
      <c r="NW502" s="978"/>
      <c r="NX502" s="978"/>
      <c r="NY502" s="978"/>
      <c r="NZ502" s="978"/>
      <c r="OA502" s="978"/>
      <c r="OB502" s="978"/>
      <c r="OC502" s="978"/>
      <c r="OD502" s="978"/>
      <c r="OE502" s="978"/>
      <c r="OF502" s="978"/>
      <c r="OG502" s="978"/>
      <c r="OH502" s="978"/>
      <c r="OI502" s="978"/>
      <c r="OJ502" s="978"/>
      <c r="OK502" s="978"/>
      <c r="OL502" s="978"/>
      <c r="OM502" s="978"/>
      <c r="ON502" s="978"/>
      <c r="OO502" s="978"/>
      <c r="OP502" s="978"/>
      <c r="OQ502" s="978"/>
      <c r="OR502" s="978"/>
      <c r="OS502" s="978"/>
      <c r="OT502" s="978"/>
      <c r="OU502" s="978"/>
      <c r="OV502" s="978"/>
      <c r="OW502" s="978"/>
      <c r="OX502" s="978"/>
      <c r="OY502" s="978"/>
      <c r="OZ502" s="978"/>
      <c r="PA502" s="978"/>
      <c r="PB502" s="978"/>
      <c r="PC502" s="978"/>
      <c r="PD502" s="978"/>
      <c r="PE502" s="978"/>
      <c r="PF502" s="978"/>
      <c r="PG502" s="978"/>
      <c r="PH502" s="978"/>
      <c r="PI502" s="978"/>
      <c r="PJ502" s="978"/>
      <c r="PK502" s="978"/>
      <c r="PL502" s="978"/>
      <c r="PM502" s="978"/>
      <c r="PN502" s="978"/>
      <c r="PO502" s="978"/>
      <c r="PP502" s="978"/>
      <c r="PQ502" s="978"/>
      <c r="PR502" s="978"/>
      <c r="PS502" s="978"/>
      <c r="PT502" s="978"/>
      <c r="PU502" s="978"/>
      <c r="PV502" s="978"/>
      <c r="PW502" s="978"/>
      <c r="PX502" s="978"/>
      <c r="PY502" s="978"/>
      <c r="PZ502" s="978"/>
      <c r="QA502" s="978"/>
      <c r="QB502" s="978"/>
      <c r="QC502" s="978"/>
      <c r="QD502" s="978"/>
      <c r="QE502" s="978"/>
      <c r="QF502" s="978"/>
      <c r="QG502" s="978"/>
      <c r="QH502" s="978"/>
      <c r="QI502" s="978"/>
      <c r="QJ502" s="978"/>
      <c r="QK502" s="978"/>
      <c r="QL502" s="978"/>
      <c r="QM502" s="978"/>
      <c r="QN502" s="978"/>
      <c r="QO502" s="978"/>
      <c r="QP502" s="978"/>
      <c r="QQ502" s="978"/>
      <c r="QR502" s="978"/>
      <c r="QS502" s="978"/>
      <c r="QT502" s="978"/>
      <c r="QU502" s="978"/>
      <c r="QV502" s="978"/>
      <c r="QW502" s="978"/>
      <c r="QX502" s="978"/>
      <c r="QY502" s="978"/>
      <c r="QZ502" s="978"/>
      <c r="RA502" s="978"/>
      <c r="RB502" s="274"/>
      <c r="RC502" s="274"/>
    </row>
    <row r="503" spans="112:471" ht="17.25">
      <c r="DH503" s="274"/>
      <c r="DI503" s="274"/>
      <c r="DJ503" s="978"/>
      <c r="DK503" s="978"/>
      <c r="DL503" s="978"/>
      <c r="DM503" s="978"/>
      <c r="DN503" s="978"/>
      <c r="DO503" s="978"/>
      <c r="DP503" s="978"/>
      <c r="DQ503" s="978"/>
      <c r="DR503" s="978"/>
      <c r="DS503" s="978"/>
      <c r="DT503" s="978"/>
      <c r="DU503" s="978"/>
      <c r="DV503" s="978"/>
      <c r="DW503" s="978"/>
      <c r="DX503" s="978"/>
      <c r="DY503" s="978"/>
      <c r="DZ503" s="978"/>
      <c r="EA503" s="978"/>
      <c r="EB503" s="978"/>
      <c r="EC503" s="978"/>
      <c r="ED503" s="978"/>
      <c r="EE503" s="978"/>
      <c r="EF503" s="978"/>
      <c r="EG503" s="978"/>
      <c r="EH503" s="978"/>
      <c r="EI503" s="978"/>
      <c r="EJ503" s="978"/>
      <c r="EK503" s="978"/>
      <c r="EL503" s="978"/>
      <c r="EM503" s="978"/>
      <c r="EN503" s="978"/>
      <c r="EO503" s="978"/>
      <c r="EP503" s="978"/>
      <c r="EQ503" s="978"/>
      <c r="ER503" s="978"/>
      <c r="ES503" s="978"/>
      <c r="ET503" s="978"/>
      <c r="EU503" s="978"/>
      <c r="EV503" s="978"/>
      <c r="EW503" s="978"/>
      <c r="EX503" s="978"/>
      <c r="EY503" s="978"/>
      <c r="EZ503" s="978"/>
      <c r="FA503" s="978"/>
      <c r="FB503" s="978"/>
      <c r="FC503" s="978"/>
      <c r="FD503" s="978"/>
      <c r="FE503" s="978"/>
      <c r="FF503" s="978"/>
      <c r="FG503" s="978"/>
      <c r="FH503" s="978"/>
      <c r="FI503" s="978"/>
      <c r="FJ503" s="978"/>
      <c r="FK503" s="978"/>
      <c r="FL503" s="978"/>
      <c r="FM503" s="978"/>
      <c r="FN503" s="978"/>
      <c r="FO503" s="978"/>
      <c r="FP503" s="978"/>
      <c r="FQ503" s="978"/>
      <c r="FR503" s="978"/>
      <c r="FS503" s="978"/>
      <c r="FT503" s="978"/>
      <c r="FU503" s="978"/>
      <c r="FV503" s="978"/>
      <c r="FW503" s="978"/>
      <c r="FX503" s="978"/>
      <c r="FY503" s="978"/>
      <c r="FZ503" s="978"/>
      <c r="GA503" s="978"/>
      <c r="GB503" s="978"/>
      <c r="GC503" s="978"/>
      <c r="GD503" s="978"/>
      <c r="GE503" s="978"/>
      <c r="GF503" s="978"/>
      <c r="GG503" s="978"/>
      <c r="GH503" s="978"/>
      <c r="GI503" s="978"/>
      <c r="GJ503" s="978"/>
      <c r="GK503" s="978"/>
      <c r="GL503" s="978"/>
      <c r="GM503" s="978"/>
      <c r="GN503" s="978"/>
      <c r="GO503" s="978"/>
      <c r="GP503" s="978"/>
      <c r="GQ503" s="978"/>
      <c r="GR503" s="978"/>
      <c r="GS503" s="978"/>
      <c r="GT503" s="978"/>
      <c r="GU503" s="978"/>
      <c r="GV503" s="978"/>
      <c r="GW503" s="978"/>
      <c r="GX503" s="978"/>
      <c r="GY503" s="978"/>
      <c r="GZ503" s="978"/>
      <c r="HA503" s="978"/>
      <c r="HB503" s="978"/>
      <c r="HC503" s="978"/>
      <c r="HD503" s="978"/>
      <c r="HE503" s="978"/>
      <c r="HF503" s="978"/>
      <c r="HG503" s="978"/>
      <c r="HH503" s="978"/>
      <c r="HI503" s="978"/>
      <c r="HJ503" s="978"/>
      <c r="HK503" s="978"/>
      <c r="HL503" s="978"/>
      <c r="HM503" s="978"/>
      <c r="HN503" s="978"/>
      <c r="HO503" s="978"/>
      <c r="HP503" s="978"/>
      <c r="HQ503" s="978"/>
      <c r="HR503" s="978"/>
      <c r="HS503" s="978"/>
      <c r="HT503" s="978"/>
      <c r="HU503" s="978"/>
      <c r="HV503" s="978"/>
      <c r="HW503" s="978"/>
      <c r="HX503" s="978"/>
      <c r="HY503" s="978"/>
      <c r="HZ503" s="978"/>
      <c r="IA503" s="978"/>
      <c r="IB503" s="978"/>
      <c r="IC503" s="978"/>
      <c r="ID503" s="978"/>
      <c r="IE503" s="978"/>
      <c r="IF503" s="978"/>
      <c r="IG503" s="978"/>
      <c r="IH503" s="978"/>
      <c r="II503" s="978"/>
      <c r="IJ503" s="978"/>
      <c r="IK503" s="978"/>
      <c r="IL503" s="978"/>
      <c r="IM503" s="978"/>
      <c r="IN503" s="978"/>
      <c r="IO503" s="978"/>
      <c r="IP503" s="978"/>
      <c r="IQ503" s="978"/>
      <c r="IR503" s="978"/>
      <c r="IS503" s="978"/>
      <c r="IT503" s="978"/>
      <c r="IU503" s="978"/>
      <c r="IV503" s="978"/>
      <c r="IW503" s="978"/>
      <c r="IX503" s="978"/>
      <c r="IY503" s="978"/>
      <c r="IZ503" s="978"/>
      <c r="JA503" s="978"/>
      <c r="JB503" s="978"/>
      <c r="JC503" s="978"/>
      <c r="JD503" s="978"/>
      <c r="JE503" s="978"/>
      <c r="JF503" s="978"/>
      <c r="JG503" s="978"/>
      <c r="JH503" s="978"/>
      <c r="JI503" s="978"/>
      <c r="JJ503" s="978"/>
      <c r="JK503" s="978"/>
      <c r="JL503" s="978"/>
      <c r="JM503" s="978"/>
      <c r="JN503" s="978"/>
      <c r="JO503" s="978"/>
      <c r="JP503" s="978"/>
      <c r="JQ503" s="978"/>
      <c r="JR503" s="978"/>
      <c r="JS503" s="978"/>
      <c r="JT503" s="978"/>
      <c r="JU503" s="978"/>
      <c r="JV503" s="978"/>
      <c r="JW503" s="978"/>
      <c r="JX503" s="978"/>
      <c r="JY503" s="978"/>
      <c r="JZ503" s="978"/>
      <c r="KA503" s="978"/>
      <c r="KB503" s="978"/>
      <c r="KC503" s="978"/>
      <c r="KD503" s="978"/>
      <c r="KE503" s="978"/>
      <c r="KF503" s="978"/>
      <c r="KG503" s="978"/>
      <c r="KH503" s="978"/>
      <c r="KI503" s="978"/>
      <c r="KJ503" s="978"/>
      <c r="KK503" s="978"/>
      <c r="KL503" s="978"/>
      <c r="KM503" s="978"/>
      <c r="KN503" s="978"/>
      <c r="KO503" s="978"/>
      <c r="KP503" s="978"/>
      <c r="KQ503" s="978"/>
      <c r="KR503" s="978"/>
      <c r="KS503" s="978"/>
      <c r="KT503" s="978"/>
      <c r="KU503" s="978"/>
      <c r="KV503" s="978"/>
      <c r="KW503" s="978"/>
      <c r="KX503" s="978"/>
      <c r="KY503" s="978"/>
      <c r="KZ503" s="978"/>
      <c r="LA503" s="978"/>
      <c r="LB503" s="978"/>
      <c r="LC503" s="978"/>
      <c r="LD503" s="978"/>
      <c r="LE503" s="978"/>
      <c r="LF503" s="978"/>
      <c r="LG503" s="978"/>
      <c r="LH503" s="978"/>
      <c r="LI503" s="978"/>
      <c r="LJ503" s="978"/>
      <c r="LK503" s="978"/>
      <c r="LL503" s="978"/>
      <c r="LM503" s="978"/>
      <c r="LN503" s="978"/>
      <c r="LO503" s="978"/>
      <c r="LP503" s="978"/>
      <c r="LQ503" s="978"/>
      <c r="LR503" s="978"/>
      <c r="LS503" s="978"/>
      <c r="LT503" s="978"/>
      <c r="LU503" s="978"/>
      <c r="LV503" s="978"/>
      <c r="LW503" s="978"/>
      <c r="LX503" s="978"/>
      <c r="LY503" s="978"/>
      <c r="LZ503" s="978"/>
      <c r="MA503" s="978"/>
      <c r="MB503" s="978"/>
      <c r="MC503" s="978"/>
      <c r="MD503" s="978"/>
      <c r="ME503" s="978"/>
      <c r="MF503" s="978"/>
      <c r="MG503" s="978"/>
      <c r="MH503" s="978"/>
      <c r="MI503" s="978"/>
      <c r="MJ503" s="978"/>
      <c r="MK503" s="978"/>
      <c r="ML503" s="978"/>
      <c r="MM503" s="978"/>
      <c r="MN503" s="978"/>
      <c r="MO503" s="978"/>
      <c r="MP503" s="978"/>
      <c r="MQ503" s="978"/>
      <c r="MR503" s="978"/>
      <c r="MS503" s="978"/>
      <c r="MT503" s="978"/>
      <c r="MU503" s="978"/>
      <c r="MV503" s="978"/>
      <c r="MW503" s="978"/>
      <c r="MX503" s="978"/>
      <c r="MY503" s="978"/>
      <c r="MZ503" s="978"/>
      <c r="NA503" s="978"/>
      <c r="NB503" s="978"/>
      <c r="NC503" s="978"/>
      <c r="ND503" s="978"/>
      <c r="NE503" s="978"/>
      <c r="NF503" s="978"/>
      <c r="NG503" s="978"/>
      <c r="NH503" s="978"/>
      <c r="NI503" s="978"/>
      <c r="NJ503" s="978"/>
      <c r="NK503" s="978"/>
      <c r="NL503" s="978"/>
      <c r="NM503" s="978"/>
      <c r="NN503" s="978"/>
      <c r="NO503" s="978"/>
      <c r="NP503" s="978"/>
      <c r="NQ503" s="978"/>
      <c r="NR503" s="978"/>
      <c r="NS503" s="978"/>
      <c r="NT503" s="978"/>
      <c r="NU503" s="978"/>
      <c r="NV503" s="978"/>
      <c r="NW503" s="978"/>
      <c r="NX503" s="978"/>
      <c r="NY503" s="978"/>
      <c r="NZ503" s="978"/>
      <c r="OA503" s="978"/>
      <c r="OB503" s="978"/>
      <c r="OC503" s="978"/>
      <c r="OD503" s="978"/>
      <c r="OE503" s="978"/>
      <c r="OF503" s="978"/>
      <c r="OG503" s="978"/>
      <c r="OH503" s="978"/>
      <c r="OI503" s="978"/>
      <c r="OJ503" s="978"/>
      <c r="OK503" s="978"/>
      <c r="OL503" s="978"/>
      <c r="OM503" s="978"/>
      <c r="ON503" s="978"/>
      <c r="OO503" s="978"/>
      <c r="OP503" s="978"/>
      <c r="OQ503" s="978"/>
      <c r="OR503" s="978"/>
      <c r="OS503" s="978"/>
      <c r="OT503" s="978"/>
      <c r="OU503" s="978"/>
      <c r="OV503" s="978"/>
      <c r="OW503" s="978"/>
      <c r="OX503" s="978"/>
      <c r="OY503" s="978"/>
      <c r="OZ503" s="978"/>
      <c r="PA503" s="978"/>
      <c r="PB503" s="978"/>
      <c r="PC503" s="978"/>
      <c r="PD503" s="978"/>
      <c r="PE503" s="978"/>
      <c r="PF503" s="978"/>
      <c r="PG503" s="978"/>
      <c r="PH503" s="978"/>
      <c r="PI503" s="978"/>
      <c r="PJ503" s="978"/>
      <c r="PK503" s="978"/>
      <c r="PL503" s="978"/>
      <c r="PM503" s="978"/>
      <c r="PN503" s="978"/>
      <c r="PO503" s="978"/>
      <c r="PP503" s="978"/>
      <c r="PQ503" s="978"/>
      <c r="PR503" s="978"/>
      <c r="PS503" s="978"/>
      <c r="PT503" s="978"/>
      <c r="PU503" s="978"/>
      <c r="PV503" s="978"/>
      <c r="PW503" s="978"/>
      <c r="PX503" s="978"/>
      <c r="PY503" s="978"/>
      <c r="PZ503" s="978"/>
      <c r="QA503" s="978"/>
      <c r="QB503" s="978"/>
      <c r="QC503" s="978"/>
      <c r="QD503" s="978"/>
      <c r="QE503" s="978"/>
      <c r="QF503" s="978"/>
      <c r="QG503" s="978"/>
      <c r="QH503" s="978"/>
      <c r="QI503" s="978"/>
      <c r="QJ503" s="978"/>
      <c r="QK503" s="978"/>
      <c r="QL503" s="978"/>
      <c r="QM503" s="978"/>
      <c r="QN503" s="978"/>
      <c r="QO503" s="978"/>
      <c r="QP503" s="978"/>
      <c r="QQ503" s="978"/>
      <c r="QR503" s="978"/>
      <c r="QS503" s="978"/>
      <c r="QT503" s="978"/>
      <c r="QU503" s="978"/>
      <c r="QV503" s="978"/>
      <c r="QW503" s="978"/>
      <c r="QX503" s="978"/>
      <c r="QY503" s="978"/>
      <c r="QZ503" s="978"/>
      <c r="RA503" s="978"/>
      <c r="RB503" s="274"/>
      <c r="RC503" s="274"/>
    </row>
    <row r="504" spans="112:471" ht="17.25">
      <c r="DH504" s="274"/>
      <c r="DI504" s="274"/>
      <c r="DJ504" s="978"/>
      <c r="DK504" s="978"/>
      <c r="DL504" s="978"/>
      <c r="DM504" s="978"/>
      <c r="DN504" s="978"/>
      <c r="DO504" s="978"/>
      <c r="DP504" s="978"/>
      <c r="DQ504" s="978"/>
      <c r="DR504" s="978"/>
      <c r="DS504" s="978"/>
      <c r="DT504" s="978"/>
      <c r="DU504" s="978"/>
      <c r="DV504" s="978"/>
      <c r="DW504" s="978"/>
      <c r="DX504" s="978"/>
      <c r="DY504" s="978"/>
      <c r="DZ504" s="978"/>
      <c r="EA504" s="978"/>
      <c r="EB504" s="978"/>
      <c r="EC504" s="978"/>
      <c r="ED504" s="978"/>
      <c r="EE504" s="978"/>
      <c r="EF504" s="978"/>
      <c r="EG504" s="978"/>
      <c r="EH504" s="978"/>
      <c r="EI504" s="978"/>
      <c r="EJ504" s="978"/>
      <c r="EK504" s="978"/>
      <c r="EL504" s="978"/>
      <c r="EM504" s="978"/>
      <c r="EN504" s="978"/>
      <c r="EO504" s="978"/>
      <c r="EP504" s="978"/>
      <c r="EQ504" s="978"/>
      <c r="ER504" s="978"/>
      <c r="ES504" s="978"/>
      <c r="ET504" s="978"/>
      <c r="EU504" s="978"/>
      <c r="EV504" s="978"/>
      <c r="EW504" s="978"/>
      <c r="EX504" s="978"/>
      <c r="EY504" s="978"/>
      <c r="EZ504" s="978"/>
      <c r="FA504" s="978"/>
      <c r="FB504" s="978"/>
      <c r="FC504" s="978"/>
      <c r="FD504" s="978"/>
      <c r="FE504" s="978"/>
      <c r="FF504" s="978"/>
      <c r="FG504" s="978"/>
      <c r="FH504" s="978"/>
      <c r="FI504" s="978"/>
      <c r="FJ504" s="978"/>
      <c r="FK504" s="978"/>
      <c r="FL504" s="978"/>
      <c r="FM504" s="978"/>
      <c r="FN504" s="978"/>
      <c r="FO504" s="978"/>
      <c r="FP504" s="978"/>
      <c r="FQ504" s="978"/>
      <c r="FR504" s="978"/>
      <c r="FS504" s="978"/>
      <c r="FT504" s="978"/>
      <c r="FU504" s="978"/>
      <c r="FV504" s="978"/>
      <c r="FW504" s="978"/>
      <c r="FX504" s="978"/>
      <c r="FY504" s="978"/>
      <c r="FZ504" s="978"/>
      <c r="GA504" s="978"/>
      <c r="GB504" s="978"/>
      <c r="GC504" s="978"/>
      <c r="GD504" s="978"/>
      <c r="GE504" s="978"/>
      <c r="GF504" s="978"/>
      <c r="GG504" s="978"/>
      <c r="GH504" s="978"/>
      <c r="GI504" s="978"/>
      <c r="GJ504" s="978"/>
      <c r="GK504" s="978"/>
      <c r="GL504" s="978"/>
      <c r="GM504" s="978"/>
      <c r="GN504" s="978"/>
      <c r="GO504" s="978"/>
      <c r="GP504" s="978"/>
      <c r="GQ504" s="978"/>
      <c r="GR504" s="978"/>
      <c r="GS504" s="978"/>
      <c r="GT504" s="978"/>
      <c r="GU504" s="978"/>
      <c r="GV504" s="978"/>
      <c r="GW504" s="978"/>
      <c r="GX504" s="978"/>
      <c r="GY504" s="978"/>
      <c r="GZ504" s="978"/>
      <c r="HA504" s="978"/>
      <c r="HB504" s="978"/>
      <c r="HC504" s="978"/>
      <c r="HD504" s="978"/>
      <c r="HE504" s="978"/>
      <c r="HF504" s="978"/>
      <c r="HG504" s="978"/>
      <c r="HH504" s="978"/>
      <c r="HI504" s="978"/>
      <c r="HJ504" s="978"/>
      <c r="HK504" s="978"/>
      <c r="HL504" s="978"/>
      <c r="HM504" s="978"/>
      <c r="HN504" s="978"/>
      <c r="HO504" s="978"/>
      <c r="HP504" s="978"/>
      <c r="HQ504" s="978"/>
      <c r="HR504" s="978"/>
      <c r="HS504" s="978"/>
      <c r="HT504" s="978"/>
      <c r="HU504" s="978"/>
      <c r="HV504" s="978"/>
      <c r="HW504" s="978"/>
      <c r="HX504" s="978"/>
      <c r="HY504" s="978"/>
      <c r="HZ504" s="978"/>
      <c r="IA504" s="978"/>
      <c r="IB504" s="978"/>
      <c r="IC504" s="978"/>
      <c r="ID504" s="978"/>
      <c r="IE504" s="978"/>
      <c r="IF504" s="978"/>
      <c r="IG504" s="978"/>
      <c r="IH504" s="978"/>
      <c r="II504" s="978"/>
      <c r="IJ504" s="978"/>
      <c r="IK504" s="978"/>
      <c r="IL504" s="978"/>
      <c r="IM504" s="978"/>
      <c r="IN504" s="978"/>
      <c r="IO504" s="978"/>
      <c r="IP504" s="978"/>
      <c r="IQ504" s="978"/>
      <c r="IR504" s="978"/>
      <c r="IS504" s="978"/>
      <c r="IT504" s="978"/>
      <c r="IU504" s="978"/>
      <c r="IV504" s="978"/>
      <c r="IW504" s="978"/>
      <c r="IX504" s="978"/>
      <c r="IY504" s="978"/>
      <c r="IZ504" s="978"/>
      <c r="JA504" s="978"/>
      <c r="JB504" s="978"/>
      <c r="JC504" s="978"/>
      <c r="JD504" s="978"/>
      <c r="JE504" s="978"/>
      <c r="JF504" s="978"/>
      <c r="JG504" s="978"/>
      <c r="JH504" s="978"/>
      <c r="JI504" s="978"/>
      <c r="JJ504" s="978"/>
      <c r="JK504" s="978"/>
      <c r="JL504" s="978"/>
      <c r="JM504" s="978"/>
      <c r="JN504" s="978"/>
      <c r="JO504" s="978"/>
      <c r="JP504" s="978"/>
      <c r="JQ504" s="978"/>
      <c r="JR504" s="978"/>
      <c r="JS504" s="978"/>
      <c r="JT504" s="978"/>
      <c r="JU504" s="978"/>
      <c r="JV504" s="978"/>
      <c r="JW504" s="978"/>
      <c r="JX504" s="978"/>
      <c r="JY504" s="978"/>
      <c r="JZ504" s="978"/>
      <c r="KA504" s="978"/>
      <c r="KB504" s="978"/>
      <c r="KC504" s="978"/>
      <c r="KD504" s="978"/>
      <c r="KE504" s="978"/>
      <c r="KF504" s="978"/>
      <c r="KG504" s="978"/>
      <c r="KH504" s="978"/>
      <c r="KI504" s="978"/>
      <c r="KJ504" s="978"/>
      <c r="KK504" s="978"/>
      <c r="KL504" s="978"/>
      <c r="KM504" s="978"/>
      <c r="KN504" s="978"/>
      <c r="KO504" s="978"/>
      <c r="KP504" s="978"/>
      <c r="KQ504" s="978"/>
      <c r="KR504" s="978"/>
      <c r="KS504" s="978"/>
      <c r="KT504" s="978"/>
      <c r="KU504" s="978"/>
      <c r="KV504" s="978"/>
      <c r="KW504" s="978"/>
      <c r="KX504" s="978"/>
      <c r="KY504" s="978"/>
      <c r="KZ504" s="978"/>
      <c r="LA504" s="978"/>
      <c r="LB504" s="978"/>
      <c r="LC504" s="978"/>
      <c r="LD504" s="978"/>
      <c r="LE504" s="978"/>
      <c r="LF504" s="978"/>
      <c r="LG504" s="978"/>
      <c r="LH504" s="978"/>
      <c r="LI504" s="978"/>
      <c r="LJ504" s="978"/>
      <c r="LK504" s="978"/>
      <c r="LL504" s="978"/>
      <c r="LM504" s="978"/>
      <c r="LN504" s="978"/>
      <c r="LO504" s="978"/>
      <c r="LP504" s="978"/>
      <c r="LQ504" s="978"/>
      <c r="LR504" s="978"/>
      <c r="LS504" s="978"/>
      <c r="LT504" s="978"/>
      <c r="LU504" s="978"/>
      <c r="LV504" s="978"/>
      <c r="LW504" s="978"/>
      <c r="LX504" s="978"/>
      <c r="LY504" s="978"/>
      <c r="LZ504" s="978"/>
      <c r="MA504" s="978"/>
      <c r="MB504" s="978"/>
      <c r="MC504" s="978"/>
      <c r="MD504" s="978"/>
      <c r="ME504" s="978"/>
      <c r="MF504" s="978"/>
      <c r="MG504" s="978"/>
      <c r="MH504" s="978"/>
      <c r="MI504" s="978"/>
      <c r="MJ504" s="978"/>
      <c r="MK504" s="978"/>
      <c r="ML504" s="978"/>
      <c r="MM504" s="978"/>
      <c r="MN504" s="978"/>
      <c r="MO504" s="978"/>
      <c r="MP504" s="978"/>
      <c r="MQ504" s="978"/>
      <c r="MR504" s="978"/>
      <c r="MS504" s="978"/>
      <c r="MT504" s="978"/>
      <c r="MU504" s="978"/>
      <c r="MV504" s="978"/>
      <c r="MW504" s="978"/>
      <c r="MX504" s="978"/>
      <c r="MY504" s="978"/>
      <c r="MZ504" s="978"/>
      <c r="NA504" s="978"/>
      <c r="NB504" s="978"/>
      <c r="NC504" s="978"/>
      <c r="ND504" s="978"/>
      <c r="NE504" s="978"/>
      <c r="NF504" s="978"/>
      <c r="NG504" s="978"/>
      <c r="NH504" s="978"/>
      <c r="NI504" s="978"/>
      <c r="NJ504" s="978"/>
      <c r="NK504" s="978"/>
      <c r="NL504" s="978"/>
      <c r="NM504" s="978"/>
      <c r="NN504" s="978"/>
      <c r="NO504" s="978"/>
      <c r="NP504" s="978"/>
      <c r="NQ504" s="978"/>
      <c r="NR504" s="978"/>
      <c r="NS504" s="978"/>
      <c r="NT504" s="978"/>
      <c r="NU504" s="978"/>
      <c r="NV504" s="978"/>
      <c r="NW504" s="978"/>
      <c r="NX504" s="978"/>
      <c r="NY504" s="978"/>
      <c r="NZ504" s="978"/>
      <c r="OA504" s="978"/>
      <c r="OB504" s="978"/>
      <c r="OC504" s="978"/>
      <c r="OD504" s="978"/>
      <c r="OE504" s="978"/>
      <c r="OF504" s="978"/>
      <c r="OG504" s="978"/>
      <c r="OH504" s="978"/>
      <c r="OI504" s="978"/>
      <c r="OJ504" s="978"/>
      <c r="OK504" s="978"/>
      <c r="OL504" s="978"/>
      <c r="OM504" s="978"/>
      <c r="ON504" s="978"/>
      <c r="OO504" s="978"/>
      <c r="OP504" s="978"/>
      <c r="OQ504" s="978"/>
      <c r="OR504" s="978"/>
      <c r="OS504" s="978"/>
      <c r="OT504" s="978"/>
      <c r="OU504" s="978"/>
      <c r="OV504" s="978"/>
      <c r="OW504" s="978"/>
      <c r="OX504" s="978"/>
      <c r="OY504" s="978"/>
      <c r="OZ504" s="978"/>
      <c r="PA504" s="978"/>
      <c r="PB504" s="978"/>
      <c r="PC504" s="978"/>
      <c r="PD504" s="978"/>
      <c r="PE504" s="978"/>
      <c r="PF504" s="978"/>
      <c r="PG504" s="978"/>
      <c r="PH504" s="978"/>
      <c r="PI504" s="978"/>
      <c r="PJ504" s="978"/>
      <c r="PK504" s="978"/>
      <c r="PL504" s="978"/>
      <c r="PM504" s="978"/>
      <c r="PN504" s="978"/>
      <c r="PO504" s="978"/>
      <c r="PP504" s="978"/>
      <c r="PQ504" s="978"/>
      <c r="PR504" s="978"/>
      <c r="PS504" s="978"/>
      <c r="PT504" s="978"/>
      <c r="PU504" s="978"/>
      <c r="PV504" s="978"/>
      <c r="PW504" s="978"/>
      <c r="PX504" s="978"/>
      <c r="PY504" s="978"/>
      <c r="PZ504" s="978"/>
      <c r="QA504" s="978"/>
      <c r="QB504" s="978"/>
      <c r="QC504" s="978"/>
      <c r="QD504" s="978"/>
      <c r="QE504" s="978"/>
      <c r="QF504" s="978"/>
      <c r="QG504" s="978"/>
      <c r="QH504" s="978"/>
      <c r="QI504" s="978"/>
      <c r="QJ504" s="978"/>
      <c r="QK504" s="978"/>
      <c r="QL504" s="978"/>
      <c r="QM504" s="978"/>
      <c r="QN504" s="978"/>
      <c r="QO504" s="978"/>
      <c r="QP504" s="978"/>
      <c r="QQ504" s="978"/>
      <c r="QR504" s="978"/>
      <c r="QS504" s="978"/>
      <c r="QT504" s="978"/>
      <c r="QU504" s="978"/>
      <c r="QV504" s="978"/>
      <c r="QW504" s="978"/>
      <c r="QX504" s="978"/>
      <c r="QY504" s="978"/>
      <c r="QZ504" s="978"/>
      <c r="RA504" s="978"/>
      <c r="RB504" s="274"/>
      <c r="RC504" s="274"/>
    </row>
    <row r="505" spans="112:471">
      <c r="DH505" s="274"/>
      <c r="DI505" s="274"/>
      <c r="DJ505" s="274"/>
      <c r="DK505" s="274"/>
      <c r="DL505" s="274"/>
      <c r="DM505" s="274"/>
      <c r="DN505" s="274"/>
      <c r="DO505" s="274"/>
      <c r="DP505" s="274"/>
      <c r="DQ505" s="274"/>
      <c r="DR505" s="274"/>
      <c r="DS505" s="274"/>
      <c r="DT505" s="274"/>
      <c r="DU505" s="274"/>
      <c r="DV505" s="274"/>
      <c r="DW505" s="274"/>
      <c r="DX505" s="274"/>
      <c r="DY505" s="274"/>
      <c r="DZ505" s="274"/>
      <c r="EA505" s="274"/>
      <c r="EB505" s="274"/>
      <c r="EC505" s="274"/>
      <c r="ED505" s="274"/>
      <c r="EE505" s="274"/>
      <c r="EF505" s="274"/>
      <c r="EG505" s="274"/>
      <c r="EH505" s="274"/>
      <c r="EI505" s="274"/>
      <c r="EJ505" s="274"/>
      <c r="EK505" s="274"/>
      <c r="EL505" s="274"/>
      <c r="EM505" s="274"/>
      <c r="EN505" s="274"/>
      <c r="EO505" s="274"/>
      <c r="EP505" s="274"/>
      <c r="EQ505" s="274"/>
      <c r="ER505" s="274"/>
      <c r="ES505" s="274"/>
      <c r="ET505" s="274"/>
      <c r="EU505" s="274"/>
      <c r="EV505" s="274"/>
      <c r="EW505" s="274"/>
      <c r="EX505" s="274"/>
      <c r="EY505" s="274"/>
      <c r="EZ505" s="274"/>
      <c r="FA505" s="274"/>
      <c r="FB505" s="274"/>
      <c r="FC505" s="274"/>
      <c r="FD505" s="274"/>
      <c r="FE505" s="274"/>
      <c r="FF505" s="274"/>
      <c r="FG505" s="274"/>
      <c r="FH505" s="274"/>
      <c r="FI505" s="274"/>
      <c r="FJ505" s="274"/>
      <c r="FK505" s="274"/>
      <c r="FL505" s="274"/>
      <c r="FM505" s="274"/>
      <c r="FN505" s="274"/>
      <c r="FO505" s="274"/>
      <c r="FP505" s="274"/>
      <c r="FQ505" s="274"/>
      <c r="FR505" s="274"/>
      <c r="FS505" s="274"/>
      <c r="FT505" s="274"/>
      <c r="FU505" s="274"/>
      <c r="FV505" s="274"/>
      <c r="FW505" s="274"/>
      <c r="FX505" s="274"/>
      <c r="FY505" s="274"/>
      <c r="FZ505" s="274"/>
      <c r="GA505" s="274"/>
      <c r="GB505" s="274"/>
      <c r="GC505" s="274"/>
      <c r="GD505" s="274"/>
      <c r="GE505" s="274"/>
      <c r="GF505" s="274"/>
      <c r="GG505" s="274"/>
      <c r="GH505" s="274"/>
      <c r="GI505" s="274"/>
      <c r="GJ505" s="274"/>
      <c r="GK505" s="274"/>
      <c r="GL505" s="274"/>
      <c r="GM505" s="274"/>
      <c r="GN505" s="274"/>
      <c r="GO505" s="274"/>
      <c r="GP505" s="274"/>
      <c r="GQ505" s="274"/>
      <c r="GR505" s="274"/>
      <c r="GS505" s="274"/>
      <c r="GT505" s="274"/>
      <c r="GU505" s="274"/>
      <c r="GV505" s="274"/>
      <c r="GW505" s="274"/>
      <c r="GX505" s="274"/>
      <c r="GY505" s="274"/>
      <c r="GZ505" s="274"/>
      <c r="HA505" s="274"/>
      <c r="HB505" s="274"/>
      <c r="HC505" s="274"/>
      <c r="HD505" s="274"/>
      <c r="HE505" s="274"/>
      <c r="HF505" s="274"/>
      <c r="HG505" s="274"/>
      <c r="HH505" s="274"/>
      <c r="HI505" s="274"/>
      <c r="HJ505" s="274"/>
      <c r="HK505" s="274"/>
      <c r="HL505" s="274"/>
      <c r="HM505" s="274"/>
      <c r="HN505" s="274"/>
      <c r="HO505" s="274"/>
      <c r="HP505" s="274"/>
      <c r="HQ505" s="274"/>
      <c r="HR505" s="274"/>
      <c r="HS505" s="274"/>
      <c r="HT505" s="274"/>
      <c r="HU505" s="274"/>
      <c r="HV505" s="274"/>
      <c r="HW505" s="274"/>
      <c r="HX505" s="274"/>
      <c r="HY505" s="274"/>
      <c r="HZ505" s="274"/>
      <c r="IA505" s="274"/>
      <c r="IB505" s="274"/>
      <c r="IC505" s="274"/>
      <c r="ID505" s="274"/>
      <c r="IE505" s="274"/>
      <c r="IF505" s="274"/>
      <c r="IG505" s="274"/>
      <c r="IH505" s="274"/>
      <c r="II505" s="274"/>
      <c r="IJ505" s="274"/>
      <c r="IK505" s="274"/>
      <c r="IL505" s="274"/>
      <c r="IM505" s="274"/>
      <c r="IN505" s="274"/>
      <c r="IO505" s="274"/>
      <c r="IP505" s="274"/>
      <c r="IQ505" s="274"/>
      <c r="IR505" s="274"/>
      <c r="IS505" s="274"/>
      <c r="IT505" s="274"/>
      <c r="IU505" s="274"/>
      <c r="IV505" s="274"/>
      <c r="IW505" s="274"/>
      <c r="IX505" s="274"/>
      <c r="IY505" s="274"/>
      <c r="IZ505" s="274"/>
      <c r="JA505" s="274"/>
      <c r="JB505" s="274"/>
      <c r="JC505" s="274"/>
      <c r="JD505" s="274"/>
      <c r="JE505" s="274"/>
      <c r="JF505" s="274"/>
      <c r="JG505" s="274"/>
      <c r="JH505" s="274"/>
      <c r="JI505" s="274"/>
      <c r="JJ505" s="274"/>
      <c r="JK505" s="274"/>
      <c r="JL505" s="274"/>
      <c r="JM505" s="274"/>
      <c r="JN505" s="274"/>
      <c r="JO505" s="274"/>
      <c r="JP505" s="274"/>
      <c r="JQ505" s="274"/>
      <c r="JR505" s="274"/>
      <c r="JS505" s="274"/>
      <c r="JT505" s="274"/>
      <c r="JU505" s="274"/>
      <c r="JV505" s="274"/>
      <c r="JW505" s="274"/>
      <c r="JX505" s="274"/>
      <c r="JY505" s="274"/>
      <c r="JZ505" s="274"/>
      <c r="KA505" s="274"/>
      <c r="KB505" s="274"/>
      <c r="KC505" s="274"/>
      <c r="KD505" s="274"/>
      <c r="KE505" s="274"/>
      <c r="KF505" s="274"/>
      <c r="KG505" s="274"/>
      <c r="KH505" s="274"/>
      <c r="KI505" s="274"/>
      <c r="KJ505" s="274"/>
      <c r="KK505" s="274"/>
      <c r="KL505" s="274"/>
      <c r="KM505" s="274"/>
      <c r="KN505" s="274"/>
      <c r="KO505" s="274"/>
      <c r="KP505" s="274"/>
      <c r="KQ505" s="274"/>
      <c r="KR505" s="274"/>
      <c r="KS505" s="274"/>
      <c r="KT505" s="274"/>
      <c r="KU505" s="274"/>
      <c r="KV505" s="274"/>
      <c r="KW505" s="274"/>
      <c r="KX505" s="274"/>
      <c r="KY505" s="274"/>
      <c r="KZ505" s="274"/>
      <c r="LA505" s="274"/>
      <c r="LB505" s="274"/>
      <c r="LC505" s="274"/>
      <c r="LD505" s="274"/>
      <c r="LE505" s="274"/>
      <c r="LF505" s="274"/>
      <c r="LG505" s="274"/>
      <c r="LH505" s="274"/>
      <c r="LI505" s="274"/>
      <c r="LJ505" s="274"/>
      <c r="LK505" s="274"/>
      <c r="LL505" s="274"/>
      <c r="LM505" s="274"/>
      <c r="LN505" s="274"/>
      <c r="LO505" s="274"/>
      <c r="LP505" s="274"/>
      <c r="LQ505" s="274"/>
      <c r="LR505" s="274"/>
      <c r="LS505" s="274"/>
      <c r="LT505" s="274"/>
      <c r="LU505" s="274"/>
      <c r="LV505" s="274"/>
      <c r="LW505" s="274"/>
      <c r="LX505" s="274"/>
      <c r="LY505" s="274"/>
      <c r="LZ505" s="274"/>
      <c r="MA505" s="274"/>
      <c r="MB505" s="274"/>
      <c r="MC505" s="274"/>
      <c r="MD505" s="274"/>
      <c r="ME505" s="274"/>
      <c r="MF505" s="274"/>
      <c r="MG505" s="274"/>
      <c r="MH505" s="274"/>
      <c r="MI505" s="274"/>
      <c r="MJ505" s="274"/>
      <c r="MK505" s="274"/>
      <c r="ML505" s="274"/>
      <c r="MM505" s="274"/>
      <c r="MN505" s="274"/>
      <c r="MO505" s="274"/>
      <c r="MP505" s="274"/>
      <c r="MQ505" s="274"/>
      <c r="MR505" s="274"/>
      <c r="MS505" s="274"/>
      <c r="MT505" s="274"/>
      <c r="MU505" s="274"/>
      <c r="MV505" s="274"/>
      <c r="MW505" s="274"/>
      <c r="MX505" s="274"/>
      <c r="MY505" s="274"/>
      <c r="MZ505" s="274"/>
      <c r="NA505" s="274"/>
      <c r="NB505" s="274"/>
      <c r="NC505" s="274"/>
      <c r="ND505" s="274"/>
      <c r="NE505" s="274"/>
      <c r="NF505" s="274"/>
      <c r="NG505" s="274"/>
      <c r="NH505" s="274"/>
      <c r="NI505" s="274"/>
      <c r="NJ505" s="274"/>
      <c r="NK505" s="274"/>
      <c r="NL505" s="274"/>
      <c r="NM505" s="274"/>
      <c r="NN505" s="274"/>
      <c r="NO505" s="274"/>
      <c r="NP505" s="274"/>
      <c r="NQ505" s="274"/>
      <c r="NR505" s="274"/>
      <c r="NS505" s="274"/>
      <c r="NT505" s="274"/>
      <c r="NU505" s="274"/>
      <c r="NV505" s="274"/>
      <c r="NW505" s="274"/>
      <c r="NX505" s="274"/>
      <c r="NY505" s="274"/>
      <c r="NZ505" s="274"/>
      <c r="OA505" s="274"/>
      <c r="OB505" s="274"/>
      <c r="OC505" s="274"/>
      <c r="OD505" s="274"/>
      <c r="OE505" s="274"/>
      <c r="OF505" s="274"/>
      <c r="OG505" s="274"/>
      <c r="OH505" s="274"/>
      <c r="OI505" s="274"/>
      <c r="OJ505" s="274"/>
      <c r="OK505" s="274"/>
      <c r="OL505" s="274"/>
      <c r="OM505" s="274"/>
      <c r="ON505" s="274"/>
      <c r="OO505" s="274"/>
      <c r="OP505" s="274"/>
      <c r="OQ505" s="274"/>
      <c r="OR505" s="274"/>
      <c r="OS505" s="274"/>
      <c r="OT505" s="274"/>
      <c r="OU505" s="274"/>
      <c r="OV505" s="274"/>
      <c r="OW505" s="274"/>
      <c r="OX505" s="274"/>
      <c r="OY505" s="274"/>
      <c r="OZ505" s="274"/>
      <c r="PA505" s="274"/>
      <c r="PB505" s="274"/>
      <c r="PC505" s="274"/>
      <c r="PD505" s="274"/>
      <c r="PE505" s="274"/>
      <c r="PF505" s="274"/>
      <c r="PG505" s="274"/>
      <c r="PH505" s="274"/>
      <c r="PI505" s="274"/>
      <c r="PJ505" s="274"/>
      <c r="PK505" s="274"/>
      <c r="PL505" s="274"/>
      <c r="PM505" s="274"/>
      <c r="PN505" s="274"/>
      <c r="PO505" s="274"/>
      <c r="PP505" s="274"/>
      <c r="PQ505" s="274"/>
      <c r="PR505" s="274"/>
      <c r="PS505" s="274"/>
      <c r="PT505" s="274"/>
      <c r="PU505" s="274"/>
      <c r="PV505" s="274"/>
      <c r="PW505" s="274"/>
      <c r="PX505" s="274"/>
      <c r="PY505" s="274"/>
      <c r="PZ505" s="274"/>
      <c r="QA505" s="274"/>
      <c r="QB505" s="274"/>
      <c r="QC505" s="274"/>
      <c r="QD505" s="274"/>
      <c r="QE505" s="274"/>
      <c r="QF505" s="274"/>
      <c r="QG505" s="274"/>
      <c r="QH505" s="274"/>
      <c r="QI505" s="274"/>
      <c r="QJ505" s="274"/>
      <c r="QK505" s="274"/>
      <c r="QL505" s="274"/>
      <c r="QM505" s="274"/>
      <c r="QN505" s="274"/>
      <c r="QO505" s="274"/>
      <c r="QP505" s="274"/>
      <c r="QQ505" s="274"/>
      <c r="QR505" s="274"/>
      <c r="QS505" s="274"/>
      <c r="QT505" s="274"/>
      <c r="QU505" s="274"/>
      <c r="QV505" s="274"/>
      <c r="QW505" s="274"/>
      <c r="QX505" s="274"/>
      <c r="QY505" s="274"/>
      <c r="QZ505" s="274"/>
      <c r="RA505" s="274"/>
      <c r="RB505" s="274"/>
      <c r="RC505" s="274"/>
    </row>
    <row r="506" spans="112:471">
      <c r="DH506" s="274"/>
      <c r="DI506" s="274"/>
      <c r="DJ506" s="274"/>
      <c r="DK506" s="274"/>
      <c r="DL506" s="274"/>
      <c r="DM506" s="274"/>
      <c r="DN506" s="274"/>
      <c r="DO506" s="274"/>
      <c r="DP506" s="274"/>
      <c r="DQ506" s="274"/>
      <c r="DR506" s="274"/>
      <c r="DS506" s="274"/>
      <c r="DT506" s="274"/>
      <c r="DU506" s="274"/>
      <c r="DV506" s="274"/>
      <c r="DW506" s="274"/>
      <c r="DX506" s="274"/>
      <c r="DY506" s="274"/>
      <c r="DZ506" s="274"/>
      <c r="EA506" s="274"/>
      <c r="EB506" s="274"/>
      <c r="EC506" s="274"/>
      <c r="ED506" s="274"/>
      <c r="EE506" s="274"/>
      <c r="EF506" s="274"/>
      <c r="EG506" s="274"/>
      <c r="EH506" s="274"/>
      <c r="EI506" s="274"/>
      <c r="EJ506" s="274"/>
      <c r="EK506" s="274"/>
      <c r="EL506" s="274"/>
      <c r="EM506" s="274"/>
      <c r="EN506" s="274"/>
      <c r="EO506" s="274"/>
      <c r="EP506" s="274"/>
      <c r="EQ506" s="274"/>
      <c r="ER506" s="274"/>
      <c r="ES506" s="274"/>
      <c r="ET506" s="274"/>
      <c r="EU506" s="274"/>
      <c r="EV506" s="274"/>
      <c r="EW506" s="274"/>
      <c r="EX506" s="274"/>
      <c r="EY506" s="274"/>
      <c r="EZ506" s="274"/>
      <c r="FA506" s="274"/>
      <c r="FB506" s="274"/>
      <c r="FC506" s="274"/>
      <c r="FD506" s="274"/>
      <c r="FE506" s="274"/>
      <c r="FF506" s="274"/>
      <c r="FG506" s="274"/>
      <c r="FH506" s="274"/>
      <c r="FI506" s="274"/>
      <c r="FJ506" s="274"/>
      <c r="FK506" s="274"/>
      <c r="FL506" s="274"/>
      <c r="FM506" s="274"/>
      <c r="FN506" s="274"/>
      <c r="FO506" s="274"/>
      <c r="FP506" s="274"/>
      <c r="FQ506" s="274"/>
      <c r="FR506" s="274"/>
      <c r="FS506" s="274"/>
      <c r="FT506" s="274"/>
      <c r="FU506" s="274"/>
      <c r="FV506" s="274"/>
      <c r="FW506" s="274"/>
      <c r="FX506" s="274"/>
      <c r="FY506" s="274"/>
      <c r="FZ506" s="274"/>
      <c r="GA506" s="274"/>
      <c r="GB506" s="274"/>
      <c r="GC506" s="274"/>
      <c r="GD506" s="274"/>
      <c r="GE506" s="274"/>
      <c r="GF506" s="274"/>
      <c r="GG506" s="274"/>
      <c r="GH506" s="274"/>
      <c r="GI506" s="274"/>
      <c r="GJ506" s="274"/>
      <c r="GK506" s="274"/>
      <c r="GL506" s="274"/>
      <c r="GM506" s="274"/>
      <c r="GN506" s="274"/>
      <c r="GO506" s="274"/>
      <c r="GP506" s="274"/>
      <c r="GQ506" s="274"/>
      <c r="GR506" s="274"/>
      <c r="GS506" s="274"/>
      <c r="GT506" s="274"/>
      <c r="GU506" s="274"/>
      <c r="GV506" s="274"/>
      <c r="GW506" s="274"/>
      <c r="GX506" s="274"/>
      <c r="GY506" s="274"/>
      <c r="GZ506" s="274"/>
      <c r="HA506" s="274"/>
      <c r="HB506" s="274"/>
      <c r="HC506" s="274"/>
      <c r="HD506" s="274"/>
      <c r="HE506" s="274"/>
      <c r="HF506" s="274"/>
      <c r="HG506" s="274"/>
      <c r="HH506" s="274"/>
      <c r="HI506" s="274"/>
      <c r="HJ506" s="274"/>
      <c r="HK506" s="274"/>
      <c r="HL506" s="274"/>
      <c r="HM506" s="274"/>
      <c r="HN506" s="274"/>
      <c r="HO506" s="274"/>
      <c r="HP506" s="274"/>
      <c r="HQ506" s="274"/>
      <c r="HR506" s="274"/>
      <c r="HS506" s="274"/>
      <c r="HT506" s="274"/>
      <c r="HU506" s="274"/>
      <c r="HV506" s="274"/>
      <c r="HW506" s="274"/>
      <c r="HX506" s="274"/>
      <c r="HY506" s="274"/>
      <c r="HZ506" s="274"/>
      <c r="IA506" s="274"/>
      <c r="IB506" s="274"/>
      <c r="IC506" s="274"/>
      <c r="ID506" s="274"/>
      <c r="IE506" s="274"/>
      <c r="IF506" s="274"/>
      <c r="IG506" s="274"/>
      <c r="IH506" s="274"/>
      <c r="II506" s="274"/>
      <c r="IJ506" s="274"/>
      <c r="IK506" s="274"/>
      <c r="IL506" s="274"/>
      <c r="IM506" s="274"/>
      <c r="IN506" s="274"/>
      <c r="IO506" s="274"/>
      <c r="IP506" s="274"/>
      <c r="IQ506" s="274"/>
      <c r="IR506" s="274"/>
      <c r="IS506" s="274"/>
      <c r="IT506" s="274"/>
      <c r="IU506" s="274"/>
      <c r="IV506" s="274"/>
      <c r="IW506" s="274"/>
      <c r="IX506" s="274"/>
      <c r="IY506" s="274"/>
      <c r="IZ506" s="274"/>
      <c r="JA506" s="274"/>
      <c r="JB506" s="274"/>
      <c r="JC506" s="274"/>
      <c r="JD506" s="274"/>
      <c r="JE506" s="274"/>
      <c r="JF506" s="274"/>
      <c r="JG506" s="274"/>
      <c r="JH506" s="274"/>
      <c r="JI506" s="274"/>
      <c r="JJ506" s="274"/>
      <c r="JK506" s="274"/>
      <c r="JL506" s="274"/>
      <c r="JM506" s="274"/>
      <c r="JN506" s="274"/>
      <c r="JO506" s="274"/>
      <c r="JP506" s="274"/>
      <c r="JQ506" s="274"/>
      <c r="JR506" s="274"/>
      <c r="JS506" s="274"/>
      <c r="JT506" s="274"/>
      <c r="JU506" s="274"/>
      <c r="JV506" s="274"/>
      <c r="JW506" s="274"/>
      <c r="JX506" s="274"/>
      <c r="JY506" s="274"/>
      <c r="JZ506" s="274"/>
      <c r="KA506" s="274"/>
      <c r="KB506" s="274"/>
      <c r="KC506" s="274"/>
      <c r="KD506" s="274"/>
      <c r="KE506" s="274"/>
      <c r="KF506" s="274"/>
      <c r="KG506" s="274"/>
      <c r="KH506" s="274"/>
      <c r="KI506" s="274"/>
      <c r="KJ506" s="274"/>
      <c r="KK506" s="274"/>
      <c r="KL506" s="274"/>
      <c r="KM506" s="274"/>
      <c r="KN506" s="274"/>
      <c r="KO506" s="274"/>
      <c r="KP506" s="274"/>
      <c r="KQ506" s="274"/>
      <c r="KR506" s="274"/>
      <c r="KS506" s="274"/>
      <c r="KT506" s="274"/>
      <c r="KU506" s="274"/>
      <c r="KV506" s="274"/>
      <c r="KW506" s="274"/>
      <c r="KX506" s="274"/>
      <c r="KY506" s="274"/>
      <c r="KZ506" s="274"/>
      <c r="LA506" s="274"/>
      <c r="LB506" s="274"/>
      <c r="LC506" s="274"/>
      <c r="LD506" s="274"/>
      <c r="LE506" s="274"/>
      <c r="LF506" s="274"/>
      <c r="LG506" s="274"/>
      <c r="LH506" s="274"/>
      <c r="LI506" s="274"/>
      <c r="LJ506" s="274"/>
      <c r="LK506" s="274"/>
      <c r="LL506" s="274"/>
      <c r="LM506" s="274"/>
      <c r="LN506" s="274"/>
      <c r="LO506" s="274"/>
      <c r="LP506" s="274"/>
      <c r="LQ506" s="274"/>
      <c r="LR506" s="274"/>
      <c r="LS506" s="274"/>
      <c r="LT506" s="274"/>
      <c r="LU506" s="274"/>
      <c r="LV506" s="274"/>
      <c r="LW506" s="274"/>
      <c r="LX506" s="274"/>
      <c r="LY506" s="274"/>
      <c r="LZ506" s="274"/>
      <c r="MA506" s="274"/>
      <c r="MB506" s="274"/>
      <c r="MC506" s="274"/>
      <c r="MD506" s="274"/>
      <c r="ME506" s="274"/>
      <c r="MF506" s="274"/>
      <c r="MG506" s="274"/>
      <c r="MH506" s="274"/>
      <c r="MI506" s="274"/>
      <c r="MJ506" s="274"/>
      <c r="MK506" s="274"/>
      <c r="ML506" s="274"/>
      <c r="MM506" s="274"/>
      <c r="MN506" s="274"/>
      <c r="MO506" s="274"/>
      <c r="MP506" s="274"/>
      <c r="MQ506" s="274"/>
      <c r="MR506" s="274"/>
      <c r="MS506" s="274"/>
      <c r="MT506" s="274"/>
      <c r="MU506" s="274"/>
      <c r="MV506" s="274"/>
      <c r="MW506" s="274"/>
      <c r="MX506" s="274"/>
      <c r="MY506" s="274"/>
      <c r="MZ506" s="274"/>
      <c r="NA506" s="274"/>
      <c r="NB506" s="274"/>
      <c r="NC506" s="274"/>
      <c r="ND506" s="274"/>
      <c r="NE506" s="274"/>
      <c r="NF506" s="274"/>
      <c r="NG506" s="274"/>
      <c r="NH506" s="274"/>
      <c r="NI506" s="274"/>
      <c r="NJ506" s="274"/>
      <c r="NK506" s="274"/>
      <c r="NL506" s="274"/>
      <c r="NM506" s="274"/>
      <c r="NN506" s="274"/>
      <c r="NO506" s="274"/>
      <c r="NP506" s="274"/>
      <c r="NQ506" s="274"/>
      <c r="NR506" s="274"/>
      <c r="NS506" s="274"/>
      <c r="NT506" s="274"/>
      <c r="NU506" s="274"/>
      <c r="NV506" s="274"/>
      <c r="NW506" s="274"/>
      <c r="NX506" s="274"/>
      <c r="NY506" s="274"/>
      <c r="NZ506" s="274"/>
      <c r="OA506" s="274"/>
      <c r="OB506" s="274"/>
      <c r="OC506" s="274"/>
      <c r="OD506" s="274"/>
      <c r="OE506" s="274"/>
      <c r="OF506" s="274"/>
      <c r="OG506" s="274"/>
      <c r="OH506" s="274"/>
      <c r="OI506" s="274"/>
      <c r="OJ506" s="274"/>
      <c r="OK506" s="274"/>
      <c r="OL506" s="274"/>
      <c r="OM506" s="274"/>
      <c r="ON506" s="274"/>
      <c r="OO506" s="274"/>
      <c r="OP506" s="274"/>
      <c r="OQ506" s="274"/>
      <c r="OR506" s="274"/>
      <c r="OS506" s="274"/>
      <c r="OT506" s="274"/>
      <c r="OU506" s="274"/>
      <c r="OV506" s="274"/>
      <c r="OW506" s="274"/>
      <c r="OX506" s="274"/>
      <c r="OY506" s="274"/>
      <c r="OZ506" s="274"/>
      <c r="PA506" s="274"/>
      <c r="PB506" s="274"/>
      <c r="PC506" s="274"/>
      <c r="PD506" s="274"/>
      <c r="PE506" s="274"/>
      <c r="PF506" s="274"/>
      <c r="PG506" s="274"/>
      <c r="PH506" s="274"/>
      <c r="PI506" s="274"/>
      <c r="PJ506" s="274"/>
      <c r="PK506" s="274"/>
      <c r="PL506" s="274"/>
      <c r="PM506" s="274"/>
      <c r="PN506" s="274"/>
      <c r="PO506" s="274"/>
      <c r="PP506" s="274"/>
      <c r="PQ506" s="274"/>
      <c r="PR506" s="274"/>
      <c r="PS506" s="274"/>
      <c r="PT506" s="274"/>
      <c r="PU506" s="274"/>
      <c r="PV506" s="274"/>
      <c r="PW506" s="274"/>
      <c r="PX506" s="274"/>
      <c r="PY506" s="274"/>
      <c r="PZ506" s="274"/>
      <c r="QA506" s="274"/>
      <c r="QB506" s="274"/>
      <c r="QC506" s="274"/>
      <c r="QD506" s="274"/>
      <c r="QE506" s="274"/>
      <c r="QF506" s="274"/>
      <c r="QG506" s="274"/>
      <c r="QH506" s="274"/>
      <c r="QI506" s="274"/>
      <c r="QJ506" s="274"/>
      <c r="QK506" s="274"/>
      <c r="QL506" s="274"/>
      <c r="QM506" s="274"/>
      <c r="QN506" s="274"/>
      <c r="QO506" s="274"/>
      <c r="QP506" s="274"/>
      <c r="QQ506" s="274"/>
      <c r="QR506" s="274"/>
      <c r="QS506" s="274"/>
      <c r="QT506" s="274"/>
      <c r="QU506" s="274"/>
      <c r="QV506" s="274"/>
      <c r="QW506" s="274"/>
      <c r="QX506" s="274"/>
      <c r="QY506" s="274"/>
      <c r="QZ506" s="274"/>
      <c r="RA506" s="274"/>
      <c r="RB506" s="274"/>
      <c r="RC506" s="274"/>
    </row>
    <row r="507" spans="112:471" ht="17.25">
      <c r="DH507" s="274"/>
      <c r="DI507" s="274"/>
      <c r="DJ507" s="978"/>
      <c r="DK507" s="274"/>
      <c r="DL507" s="274"/>
      <c r="DM507" s="274"/>
      <c r="DN507" s="274"/>
      <c r="DO507" s="274"/>
      <c r="DP507" s="274"/>
      <c r="DQ507" s="274"/>
      <c r="DR507" s="274"/>
      <c r="DS507" s="274"/>
      <c r="DT507" s="274"/>
      <c r="DU507" s="274"/>
      <c r="DV507" s="274"/>
      <c r="DW507" s="274"/>
      <c r="DX507" s="274"/>
      <c r="DY507" s="274"/>
      <c r="DZ507" s="274"/>
      <c r="EA507" s="274"/>
      <c r="EB507" s="274"/>
      <c r="EC507" s="274"/>
      <c r="ED507" s="274"/>
      <c r="EE507" s="274"/>
      <c r="EF507" s="274"/>
      <c r="EG507" s="274"/>
      <c r="EH507" s="274"/>
      <c r="EI507" s="274"/>
      <c r="EJ507" s="274"/>
      <c r="EK507" s="274"/>
      <c r="EL507" s="274"/>
      <c r="EM507" s="274"/>
      <c r="EN507" s="274"/>
      <c r="EO507" s="274"/>
      <c r="EP507" s="274"/>
      <c r="EQ507" s="274"/>
      <c r="ER507" s="274"/>
      <c r="ES507" s="274"/>
      <c r="ET507" s="274"/>
      <c r="EU507" s="274"/>
      <c r="EV507" s="274"/>
      <c r="EW507" s="274"/>
      <c r="EX507" s="274"/>
      <c r="EY507" s="274"/>
      <c r="EZ507" s="274"/>
      <c r="FA507" s="274"/>
      <c r="FB507" s="274"/>
      <c r="FC507" s="274"/>
      <c r="FD507" s="274"/>
      <c r="FE507" s="274"/>
      <c r="FF507" s="274"/>
      <c r="FG507" s="274"/>
      <c r="FH507" s="274"/>
      <c r="FI507" s="274"/>
      <c r="FJ507" s="274"/>
      <c r="FK507" s="274"/>
      <c r="FL507" s="274"/>
      <c r="FM507" s="274"/>
      <c r="FN507" s="274"/>
      <c r="FO507" s="274"/>
      <c r="FP507" s="274"/>
      <c r="FQ507" s="274"/>
      <c r="FR507" s="274"/>
      <c r="FS507" s="274"/>
      <c r="FT507" s="274"/>
      <c r="FU507" s="274"/>
      <c r="FV507" s="274"/>
      <c r="FW507" s="274"/>
      <c r="FX507" s="274"/>
      <c r="FY507" s="274"/>
      <c r="FZ507" s="274"/>
      <c r="GA507" s="274"/>
      <c r="GB507" s="274"/>
      <c r="GC507" s="274"/>
      <c r="GD507" s="274"/>
      <c r="GE507" s="274"/>
      <c r="GF507" s="274"/>
      <c r="GG507" s="274"/>
      <c r="GH507" s="274"/>
      <c r="GI507" s="274"/>
      <c r="GJ507" s="274"/>
      <c r="GK507" s="274"/>
      <c r="GL507" s="274"/>
      <c r="GM507" s="274"/>
      <c r="GN507" s="274"/>
      <c r="GO507" s="274"/>
      <c r="GP507" s="274"/>
      <c r="GQ507" s="274"/>
      <c r="GR507" s="274"/>
      <c r="GS507" s="274"/>
      <c r="GT507" s="274"/>
      <c r="GU507" s="274"/>
      <c r="GV507" s="274"/>
      <c r="GW507" s="274"/>
      <c r="GX507" s="274"/>
      <c r="GY507" s="274"/>
      <c r="GZ507" s="274"/>
      <c r="HA507" s="274"/>
      <c r="HB507" s="274"/>
      <c r="HC507" s="274"/>
      <c r="HD507" s="274"/>
      <c r="HE507" s="274"/>
      <c r="HF507" s="274"/>
      <c r="HG507" s="274"/>
      <c r="HH507" s="274"/>
      <c r="HI507" s="274"/>
      <c r="HJ507" s="274"/>
      <c r="HK507" s="274"/>
      <c r="HL507" s="274"/>
      <c r="HM507" s="274"/>
      <c r="HN507" s="274"/>
      <c r="HO507" s="274"/>
      <c r="HP507" s="274"/>
      <c r="HQ507" s="274"/>
      <c r="HR507" s="274"/>
      <c r="HS507" s="274"/>
      <c r="HT507" s="274"/>
      <c r="HU507" s="274"/>
      <c r="HV507" s="274"/>
      <c r="HW507" s="274"/>
      <c r="HX507" s="274"/>
      <c r="HY507" s="274"/>
      <c r="HZ507" s="274"/>
      <c r="IA507" s="274"/>
      <c r="IB507" s="274"/>
      <c r="IC507" s="274"/>
      <c r="ID507" s="274"/>
      <c r="IE507" s="274"/>
      <c r="IF507" s="274"/>
      <c r="IG507" s="274"/>
      <c r="IH507" s="274"/>
      <c r="II507" s="274"/>
      <c r="IJ507" s="274"/>
      <c r="IK507" s="274"/>
      <c r="IL507" s="274"/>
      <c r="IM507" s="274"/>
      <c r="IN507" s="274"/>
      <c r="IO507" s="274"/>
      <c r="IP507" s="274"/>
      <c r="IQ507" s="274"/>
      <c r="IR507" s="274"/>
      <c r="IS507" s="274"/>
      <c r="IT507" s="274"/>
      <c r="IU507" s="274"/>
      <c r="IV507" s="274"/>
      <c r="IW507" s="274"/>
      <c r="IX507" s="274"/>
      <c r="IY507" s="274"/>
      <c r="IZ507" s="274"/>
      <c r="JA507" s="274"/>
      <c r="JB507" s="274"/>
      <c r="JC507" s="274"/>
      <c r="JD507" s="274"/>
      <c r="JE507" s="274"/>
      <c r="JF507" s="274"/>
      <c r="JG507" s="274"/>
      <c r="JH507" s="274"/>
      <c r="JI507" s="274"/>
      <c r="JJ507" s="274"/>
      <c r="JK507" s="274"/>
      <c r="JL507" s="274"/>
      <c r="JM507" s="274"/>
      <c r="JN507" s="274"/>
      <c r="JO507" s="274"/>
      <c r="JP507" s="274"/>
      <c r="JQ507" s="274"/>
      <c r="JR507" s="274"/>
      <c r="JS507" s="274"/>
      <c r="JT507" s="274"/>
      <c r="JU507" s="274"/>
      <c r="JV507" s="274"/>
      <c r="JW507" s="274"/>
      <c r="JX507" s="274"/>
      <c r="JY507" s="274"/>
      <c r="JZ507" s="274"/>
      <c r="KA507" s="274"/>
      <c r="KB507" s="274"/>
      <c r="KC507" s="274"/>
      <c r="KD507" s="274"/>
      <c r="KE507" s="274"/>
      <c r="KF507" s="274"/>
      <c r="KG507" s="274"/>
      <c r="KH507" s="274"/>
      <c r="KI507" s="274"/>
      <c r="KJ507" s="274"/>
      <c r="KK507" s="274"/>
      <c r="KL507" s="274"/>
      <c r="KM507" s="274"/>
      <c r="KN507" s="274"/>
      <c r="KO507" s="274"/>
      <c r="KP507" s="274"/>
      <c r="KQ507" s="274"/>
      <c r="KR507" s="274"/>
      <c r="KS507" s="274"/>
      <c r="KT507" s="274"/>
      <c r="KU507" s="274"/>
      <c r="KV507" s="274"/>
      <c r="KW507" s="274"/>
      <c r="KX507" s="274"/>
      <c r="KY507" s="274"/>
      <c r="KZ507" s="274"/>
      <c r="LA507" s="274"/>
      <c r="LB507" s="274"/>
      <c r="LC507" s="274"/>
      <c r="LD507" s="274"/>
      <c r="LE507" s="274"/>
      <c r="LF507" s="274"/>
      <c r="LG507" s="274"/>
      <c r="LH507" s="274"/>
      <c r="LI507" s="274"/>
      <c r="LJ507" s="274"/>
      <c r="LK507" s="274"/>
      <c r="LL507" s="274"/>
      <c r="LM507" s="274"/>
      <c r="LN507" s="274"/>
      <c r="LO507" s="274"/>
      <c r="LP507" s="274"/>
      <c r="LQ507" s="274"/>
      <c r="LR507" s="274"/>
      <c r="LS507" s="274"/>
      <c r="LT507" s="274"/>
      <c r="LU507" s="274"/>
      <c r="LV507" s="274"/>
      <c r="LW507" s="274"/>
      <c r="LX507" s="274"/>
      <c r="LY507" s="274"/>
      <c r="LZ507" s="274"/>
      <c r="MA507" s="274"/>
      <c r="MB507" s="274"/>
      <c r="MC507" s="274"/>
      <c r="MD507" s="274"/>
      <c r="ME507" s="274"/>
      <c r="MF507" s="274"/>
      <c r="MG507" s="274"/>
      <c r="MH507" s="274"/>
      <c r="MI507" s="274"/>
      <c r="MJ507" s="274"/>
      <c r="MK507" s="274"/>
      <c r="ML507" s="274"/>
      <c r="MM507" s="274"/>
      <c r="MN507" s="274"/>
      <c r="MO507" s="274"/>
      <c r="MP507" s="274"/>
      <c r="MQ507" s="274"/>
      <c r="MR507" s="274"/>
      <c r="MS507" s="274"/>
      <c r="MT507" s="274"/>
      <c r="MU507" s="274"/>
      <c r="MV507" s="274"/>
      <c r="MW507" s="274"/>
      <c r="MX507" s="274"/>
      <c r="MY507" s="274"/>
      <c r="MZ507" s="274"/>
      <c r="NA507" s="274"/>
      <c r="NB507" s="274"/>
      <c r="NC507" s="274"/>
      <c r="ND507" s="274"/>
      <c r="NE507" s="274"/>
      <c r="NF507" s="274"/>
      <c r="NG507" s="274"/>
      <c r="NH507" s="274"/>
      <c r="NI507" s="274"/>
      <c r="NJ507" s="274"/>
      <c r="NK507" s="274"/>
      <c r="NL507" s="274"/>
      <c r="NM507" s="274"/>
      <c r="NN507" s="274"/>
      <c r="NO507" s="274"/>
      <c r="NP507" s="274"/>
      <c r="NQ507" s="274"/>
      <c r="NR507" s="274"/>
      <c r="NS507" s="274"/>
      <c r="NT507" s="274"/>
      <c r="NU507" s="274"/>
      <c r="NV507" s="274"/>
      <c r="NW507" s="274"/>
      <c r="NX507" s="274"/>
      <c r="NY507" s="274"/>
      <c r="NZ507" s="274"/>
      <c r="OA507" s="274"/>
      <c r="OB507" s="274"/>
      <c r="OC507" s="274"/>
      <c r="OD507" s="274"/>
      <c r="OE507" s="274"/>
      <c r="OF507" s="274"/>
      <c r="OG507" s="274"/>
      <c r="OH507" s="274"/>
      <c r="OI507" s="274"/>
      <c r="OJ507" s="274"/>
      <c r="OK507" s="274"/>
      <c r="OL507" s="274"/>
      <c r="OM507" s="274"/>
      <c r="ON507" s="274"/>
      <c r="OO507" s="274"/>
      <c r="OP507" s="274"/>
      <c r="OQ507" s="274"/>
      <c r="OR507" s="274"/>
      <c r="OS507" s="274"/>
      <c r="OT507" s="274"/>
      <c r="OU507" s="274"/>
      <c r="OV507" s="274"/>
      <c r="OW507" s="274"/>
      <c r="OX507" s="274"/>
      <c r="OY507" s="274"/>
      <c r="OZ507" s="274"/>
      <c r="PA507" s="274"/>
      <c r="PB507" s="274"/>
      <c r="PC507" s="274"/>
      <c r="PD507" s="274"/>
      <c r="PE507" s="274"/>
      <c r="PF507" s="274"/>
      <c r="PG507" s="274"/>
      <c r="PH507" s="274"/>
      <c r="PI507" s="274"/>
      <c r="PJ507" s="274"/>
      <c r="PK507" s="274"/>
      <c r="PL507" s="274"/>
      <c r="PM507" s="274"/>
      <c r="PN507" s="274"/>
      <c r="PO507" s="274"/>
      <c r="PP507" s="274"/>
      <c r="PQ507" s="274"/>
      <c r="PR507" s="274"/>
      <c r="PS507" s="274"/>
      <c r="PT507" s="274"/>
      <c r="PU507" s="274"/>
      <c r="PV507" s="274"/>
      <c r="PW507" s="274"/>
      <c r="PX507" s="274"/>
      <c r="PY507" s="274"/>
      <c r="PZ507" s="274"/>
      <c r="QA507" s="274"/>
      <c r="QB507" s="274"/>
      <c r="QC507" s="274"/>
      <c r="QD507" s="274"/>
      <c r="QE507" s="274"/>
      <c r="QF507" s="274"/>
      <c r="QG507" s="274"/>
      <c r="QH507" s="274"/>
      <c r="QI507" s="274"/>
      <c r="QJ507" s="274"/>
      <c r="QK507" s="274"/>
      <c r="QL507" s="274"/>
      <c r="QM507" s="274"/>
      <c r="QN507" s="274"/>
      <c r="QO507" s="274"/>
      <c r="QP507" s="274"/>
      <c r="QQ507" s="274"/>
      <c r="QR507" s="274"/>
      <c r="QS507" s="274"/>
      <c r="QT507" s="274"/>
      <c r="QU507" s="274"/>
      <c r="QV507" s="274"/>
      <c r="QW507" s="274"/>
      <c r="QX507" s="274"/>
      <c r="QY507" s="274"/>
      <c r="QZ507" s="274"/>
      <c r="RA507" s="274"/>
      <c r="RB507" s="274"/>
      <c r="RC507" s="274"/>
    </row>
    <row r="508" spans="112:471" ht="17.25">
      <c r="DH508" s="274"/>
      <c r="DI508" s="274"/>
      <c r="DJ508" s="978"/>
      <c r="DK508" s="978"/>
      <c r="DL508" s="978"/>
      <c r="DM508" s="978"/>
      <c r="DN508" s="978"/>
      <c r="DO508" s="978"/>
      <c r="DP508" s="978"/>
      <c r="DQ508" s="978"/>
      <c r="DR508" s="978"/>
      <c r="DS508" s="978"/>
      <c r="DT508" s="978"/>
      <c r="DU508" s="978"/>
      <c r="DV508" s="978"/>
      <c r="DW508" s="978"/>
      <c r="DX508" s="978"/>
      <c r="DY508" s="978"/>
      <c r="DZ508" s="978"/>
      <c r="EA508" s="978"/>
      <c r="EB508" s="978"/>
      <c r="EC508" s="978"/>
      <c r="ED508" s="978"/>
      <c r="EE508" s="978"/>
      <c r="EF508" s="978"/>
      <c r="EG508" s="978"/>
      <c r="EH508" s="978"/>
      <c r="EI508" s="978"/>
      <c r="EJ508" s="978"/>
      <c r="EK508" s="978"/>
      <c r="EL508" s="978"/>
      <c r="EM508" s="978"/>
      <c r="EN508" s="978"/>
      <c r="EO508" s="978"/>
      <c r="EP508" s="978"/>
      <c r="EQ508" s="978"/>
      <c r="ER508" s="978"/>
      <c r="ES508" s="978"/>
      <c r="ET508" s="978"/>
      <c r="EU508" s="978"/>
      <c r="EV508" s="978"/>
      <c r="EW508" s="978"/>
      <c r="EX508" s="978"/>
      <c r="EY508" s="978"/>
      <c r="EZ508" s="978"/>
      <c r="FA508" s="978"/>
      <c r="FB508" s="978"/>
      <c r="FC508" s="978"/>
      <c r="FD508" s="978"/>
      <c r="FE508" s="978"/>
      <c r="FF508" s="978"/>
      <c r="FG508" s="978"/>
      <c r="FH508" s="978"/>
      <c r="FI508" s="978"/>
      <c r="FJ508" s="978"/>
      <c r="FK508" s="978"/>
      <c r="FL508" s="978"/>
      <c r="FM508" s="978"/>
      <c r="FN508" s="978"/>
      <c r="FO508" s="978"/>
      <c r="FP508" s="978"/>
      <c r="FQ508" s="978"/>
      <c r="FR508" s="978"/>
      <c r="FS508" s="978"/>
      <c r="FT508" s="978"/>
      <c r="FU508" s="978"/>
      <c r="FV508" s="978"/>
      <c r="FW508" s="978"/>
      <c r="FX508" s="978"/>
      <c r="FY508" s="978"/>
      <c r="FZ508" s="978"/>
      <c r="GA508" s="978"/>
      <c r="GB508" s="978"/>
      <c r="GC508" s="978"/>
      <c r="GD508" s="978"/>
      <c r="GE508" s="978"/>
      <c r="GF508" s="978"/>
      <c r="GG508" s="978"/>
      <c r="GH508" s="978"/>
      <c r="GI508" s="978"/>
      <c r="GJ508" s="978"/>
      <c r="GK508" s="978"/>
      <c r="GL508" s="978"/>
      <c r="GM508" s="978"/>
      <c r="GN508" s="978"/>
      <c r="GO508" s="978"/>
      <c r="GP508" s="978"/>
      <c r="GQ508" s="978"/>
      <c r="GR508" s="978"/>
      <c r="GS508" s="978"/>
      <c r="GT508" s="978"/>
      <c r="GU508" s="978"/>
      <c r="GV508" s="978"/>
      <c r="GW508" s="978"/>
      <c r="GX508" s="978"/>
      <c r="GY508" s="978"/>
      <c r="GZ508" s="978"/>
      <c r="HA508" s="978"/>
      <c r="HB508" s="978"/>
      <c r="HC508" s="978"/>
      <c r="HD508" s="978"/>
      <c r="HE508" s="978"/>
      <c r="HF508" s="978"/>
      <c r="HG508" s="978"/>
      <c r="HH508" s="978"/>
      <c r="HI508" s="978"/>
      <c r="HJ508" s="978"/>
      <c r="HK508" s="978"/>
      <c r="HL508" s="978"/>
      <c r="HM508" s="978"/>
      <c r="HN508" s="978"/>
      <c r="HO508" s="978"/>
      <c r="HP508" s="978"/>
      <c r="HQ508" s="978"/>
      <c r="HR508" s="978"/>
      <c r="HS508" s="978"/>
      <c r="HT508" s="978"/>
      <c r="HU508" s="978"/>
      <c r="HV508" s="978"/>
      <c r="HW508" s="978"/>
      <c r="HX508" s="978"/>
      <c r="HY508" s="978"/>
      <c r="HZ508" s="978"/>
      <c r="IA508" s="978"/>
      <c r="IB508" s="978"/>
      <c r="IC508" s="978"/>
      <c r="ID508" s="978"/>
      <c r="IE508" s="978"/>
      <c r="IF508" s="978"/>
      <c r="IG508" s="978"/>
      <c r="IH508" s="978"/>
      <c r="II508" s="978"/>
      <c r="IJ508" s="978"/>
      <c r="IK508" s="978"/>
      <c r="IL508" s="978"/>
      <c r="IM508" s="978"/>
      <c r="IN508" s="978"/>
      <c r="IO508" s="978"/>
      <c r="IP508" s="978"/>
      <c r="IQ508" s="978"/>
      <c r="IR508" s="978"/>
      <c r="IS508" s="978"/>
      <c r="IT508" s="978"/>
      <c r="IU508" s="978"/>
      <c r="IV508" s="978"/>
      <c r="IW508" s="978"/>
      <c r="IX508" s="978"/>
      <c r="IY508" s="978"/>
      <c r="IZ508" s="978"/>
      <c r="JA508" s="978"/>
      <c r="JB508" s="978"/>
      <c r="JC508" s="978"/>
      <c r="JD508" s="978"/>
      <c r="JE508" s="978"/>
      <c r="JF508" s="978"/>
      <c r="JG508" s="978"/>
      <c r="JH508" s="978"/>
      <c r="JI508" s="978"/>
      <c r="JJ508" s="978"/>
      <c r="JK508" s="978"/>
      <c r="JL508" s="978"/>
      <c r="JM508" s="978"/>
      <c r="JN508" s="978"/>
      <c r="JO508" s="978"/>
      <c r="JP508" s="978"/>
      <c r="JQ508" s="978"/>
      <c r="JR508" s="978"/>
      <c r="JS508" s="978"/>
      <c r="JT508" s="978"/>
      <c r="JU508" s="978"/>
      <c r="JV508" s="978"/>
      <c r="JW508" s="978"/>
      <c r="JX508" s="978"/>
      <c r="JY508" s="978"/>
      <c r="JZ508" s="978"/>
      <c r="KA508" s="978"/>
      <c r="KB508" s="978"/>
      <c r="KC508" s="978"/>
      <c r="KD508" s="978"/>
      <c r="KE508" s="978"/>
      <c r="KF508" s="978"/>
      <c r="KG508" s="978"/>
      <c r="KH508" s="978"/>
      <c r="KI508" s="978"/>
      <c r="KJ508" s="978"/>
      <c r="KK508" s="978"/>
      <c r="KL508" s="978"/>
      <c r="KM508" s="978"/>
      <c r="KN508" s="978"/>
      <c r="KO508" s="978"/>
      <c r="KP508" s="978"/>
      <c r="KQ508" s="978"/>
      <c r="KR508" s="978"/>
      <c r="KS508" s="978"/>
      <c r="KT508" s="978"/>
      <c r="KU508" s="978"/>
      <c r="KV508" s="978"/>
      <c r="KW508" s="978"/>
      <c r="KX508" s="978"/>
      <c r="KY508" s="978"/>
      <c r="KZ508" s="978"/>
      <c r="LA508" s="978"/>
      <c r="LB508" s="978"/>
      <c r="LC508" s="978"/>
      <c r="LD508" s="978"/>
      <c r="LE508" s="978"/>
      <c r="LF508" s="978"/>
      <c r="LG508" s="978"/>
      <c r="LH508" s="978"/>
      <c r="LI508" s="978"/>
      <c r="LJ508" s="978"/>
      <c r="LK508" s="978"/>
      <c r="LL508" s="978"/>
      <c r="LM508" s="978"/>
      <c r="LN508" s="978"/>
      <c r="LO508" s="978"/>
      <c r="LP508" s="978"/>
      <c r="LQ508" s="978"/>
      <c r="LR508" s="978"/>
      <c r="LS508" s="978"/>
      <c r="LT508" s="978"/>
      <c r="LU508" s="978"/>
      <c r="LV508" s="978"/>
      <c r="LW508" s="978"/>
      <c r="LX508" s="978"/>
      <c r="LY508" s="978"/>
      <c r="LZ508" s="978"/>
      <c r="MA508" s="978"/>
      <c r="MB508" s="978"/>
      <c r="MC508" s="978"/>
      <c r="MD508" s="978"/>
      <c r="ME508" s="978"/>
      <c r="MF508" s="978"/>
      <c r="MG508" s="978"/>
      <c r="MH508" s="978"/>
      <c r="MI508" s="978"/>
      <c r="MJ508" s="978"/>
      <c r="MK508" s="978"/>
      <c r="ML508" s="978"/>
      <c r="MM508" s="978"/>
      <c r="MN508" s="978"/>
      <c r="MO508" s="978"/>
      <c r="MP508" s="978"/>
      <c r="MQ508" s="978"/>
      <c r="MR508" s="978"/>
      <c r="MS508" s="978"/>
      <c r="MT508" s="978"/>
      <c r="MU508" s="978"/>
      <c r="MV508" s="978"/>
      <c r="MW508" s="978"/>
      <c r="MX508" s="978"/>
      <c r="MY508" s="978"/>
      <c r="MZ508" s="978"/>
      <c r="NA508" s="978"/>
      <c r="NB508" s="978"/>
      <c r="NC508" s="978"/>
      <c r="ND508" s="978"/>
      <c r="NE508" s="978"/>
      <c r="NF508" s="978"/>
      <c r="NG508" s="978"/>
      <c r="NH508" s="978"/>
      <c r="NI508" s="978"/>
      <c r="NJ508" s="978"/>
      <c r="NK508" s="978"/>
      <c r="NL508" s="978"/>
      <c r="NM508" s="978"/>
      <c r="NN508" s="978"/>
      <c r="NO508" s="978"/>
      <c r="NP508" s="978"/>
      <c r="NQ508" s="978"/>
      <c r="NR508" s="978"/>
      <c r="NS508" s="978"/>
      <c r="NT508" s="978"/>
      <c r="NU508" s="978"/>
      <c r="NV508" s="978"/>
      <c r="NW508" s="978"/>
      <c r="NX508" s="978"/>
      <c r="NY508" s="978"/>
      <c r="NZ508" s="978"/>
      <c r="OA508" s="978"/>
      <c r="OB508" s="978"/>
      <c r="OC508" s="978"/>
      <c r="OD508" s="978"/>
      <c r="OE508" s="978"/>
      <c r="OF508" s="978"/>
      <c r="OG508" s="978"/>
      <c r="OH508" s="978"/>
      <c r="OI508" s="978"/>
      <c r="OJ508" s="978"/>
      <c r="OK508" s="978"/>
      <c r="OL508" s="978"/>
      <c r="OM508" s="978"/>
      <c r="ON508" s="978"/>
      <c r="OO508" s="978"/>
      <c r="OP508" s="978"/>
      <c r="OQ508" s="978"/>
      <c r="OR508" s="978"/>
      <c r="OS508" s="978"/>
      <c r="OT508" s="978"/>
      <c r="OU508" s="978"/>
      <c r="OV508" s="978"/>
      <c r="OW508" s="978"/>
      <c r="OX508" s="978"/>
      <c r="OY508" s="978"/>
      <c r="OZ508" s="978"/>
      <c r="PA508" s="978"/>
      <c r="PB508" s="978"/>
      <c r="PC508" s="978"/>
      <c r="PD508" s="978"/>
      <c r="PE508" s="978"/>
      <c r="PF508" s="978"/>
      <c r="PG508" s="978"/>
      <c r="PH508" s="978"/>
      <c r="PI508" s="978"/>
      <c r="PJ508" s="978"/>
      <c r="PK508" s="978"/>
      <c r="PL508" s="978"/>
      <c r="PM508" s="978"/>
      <c r="PN508" s="978"/>
      <c r="PO508" s="978"/>
      <c r="PP508" s="978"/>
      <c r="PQ508" s="978"/>
      <c r="PR508" s="978"/>
      <c r="PS508" s="978"/>
      <c r="PT508" s="978"/>
      <c r="PU508" s="978"/>
      <c r="PV508" s="978"/>
      <c r="PW508" s="978"/>
      <c r="PX508" s="978"/>
      <c r="PY508" s="978"/>
      <c r="PZ508" s="978"/>
      <c r="QA508" s="978"/>
      <c r="QB508" s="978"/>
      <c r="QC508" s="978"/>
      <c r="QD508" s="978"/>
      <c r="QE508" s="978"/>
      <c r="QF508" s="978"/>
      <c r="QG508" s="978"/>
      <c r="QH508" s="978"/>
      <c r="QI508" s="978"/>
      <c r="QJ508" s="978"/>
      <c r="QK508" s="978"/>
      <c r="QL508" s="978"/>
      <c r="QM508" s="978"/>
      <c r="QN508" s="978"/>
      <c r="QO508" s="978"/>
      <c r="QP508" s="978"/>
      <c r="QQ508" s="978"/>
      <c r="QR508" s="978"/>
      <c r="QS508" s="978"/>
      <c r="QT508" s="978"/>
      <c r="QU508" s="978"/>
      <c r="QV508" s="978"/>
      <c r="QW508" s="978"/>
      <c r="QX508" s="978"/>
      <c r="QY508" s="978"/>
      <c r="QZ508" s="978"/>
      <c r="RA508" s="978"/>
      <c r="RB508" s="274"/>
      <c r="RC508" s="274"/>
    </row>
    <row r="509" spans="112:471" ht="17.25">
      <c r="DH509" s="274"/>
      <c r="DI509" s="274"/>
      <c r="DJ509" s="978"/>
      <c r="DK509" s="978"/>
      <c r="DL509" s="978"/>
      <c r="DM509" s="978"/>
      <c r="DN509" s="978"/>
      <c r="DO509" s="978"/>
      <c r="DP509" s="978"/>
      <c r="DQ509" s="978"/>
      <c r="DR509" s="978"/>
      <c r="DS509" s="978"/>
      <c r="DT509" s="978"/>
      <c r="DU509" s="978"/>
      <c r="DV509" s="978"/>
      <c r="DW509" s="978"/>
      <c r="DX509" s="978"/>
      <c r="DY509" s="978"/>
      <c r="DZ509" s="978"/>
      <c r="EA509" s="978"/>
      <c r="EB509" s="978"/>
      <c r="EC509" s="978"/>
      <c r="ED509" s="978"/>
      <c r="EE509" s="978"/>
      <c r="EF509" s="978"/>
      <c r="EG509" s="978"/>
      <c r="EH509" s="978"/>
      <c r="EI509" s="978"/>
      <c r="EJ509" s="978"/>
      <c r="EK509" s="978"/>
      <c r="EL509" s="978"/>
      <c r="EM509" s="978"/>
      <c r="EN509" s="978"/>
      <c r="EO509" s="978"/>
      <c r="EP509" s="978"/>
      <c r="EQ509" s="978"/>
      <c r="ER509" s="978"/>
      <c r="ES509" s="978"/>
      <c r="ET509" s="978"/>
      <c r="EU509" s="978"/>
      <c r="EV509" s="978"/>
      <c r="EW509" s="978"/>
      <c r="EX509" s="978"/>
      <c r="EY509" s="978"/>
      <c r="EZ509" s="978"/>
      <c r="FA509" s="978"/>
      <c r="FB509" s="978"/>
      <c r="FC509" s="978"/>
      <c r="FD509" s="978"/>
      <c r="FE509" s="978"/>
      <c r="FF509" s="978"/>
      <c r="FG509" s="978"/>
      <c r="FH509" s="978"/>
      <c r="FI509" s="978"/>
      <c r="FJ509" s="978"/>
      <c r="FK509" s="978"/>
      <c r="FL509" s="978"/>
      <c r="FM509" s="978"/>
      <c r="FN509" s="978"/>
      <c r="FO509" s="978"/>
      <c r="FP509" s="978"/>
      <c r="FQ509" s="978"/>
      <c r="FR509" s="978"/>
      <c r="FS509" s="978"/>
      <c r="FT509" s="978"/>
      <c r="FU509" s="978"/>
      <c r="FV509" s="978"/>
      <c r="FW509" s="978"/>
      <c r="FX509" s="978"/>
      <c r="FY509" s="978"/>
      <c r="FZ509" s="978"/>
      <c r="GA509" s="978"/>
      <c r="GB509" s="978"/>
      <c r="GC509" s="978"/>
      <c r="GD509" s="978"/>
      <c r="GE509" s="978"/>
      <c r="GF509" s="978"/>
      <c r="GG509" s="978"/>
      <c r="GH509" s="978"/>
      <c r="GI509" s="978"/>
      <c r="GJ509" s="978"/>
      <c r="GK509" s="978"/>
      <c r="GL509" s="978"/>
      <c r="GM509" s="978"/>
      <c r="GN509" s="978"/>
      <c r="GO509" s="978"/>
      <c r="GP509" s="978"/>
      <c r="GQ509" s="978"/>
      <c r="GR509" s="978"/>
      <c r="GS509" s="978"/>
      <c r="GT509" s="978"/>
      <c r="GU509" s="978"/>
      <c r="GV509" s="978"/>
      <c r="GW509" s="978"/>
      <c r="GX509" s="978"/>
      <c r="GY509" s="978"/>
      <c r="GZ509" s="978"/>
      <c r="HA509" s="978"/>
      <c r="HB509" s="978"/>
      <c r="HC509" s="978"/>
      <c r="HD509" s="978"/>
      <c r="HE509" s="978"/>
      <c r="HF509" s="978"/>
      <c r="HG509" s="978"/>
      <c r="HH509" s="978"/>
      <c r="HI509" s="978"/>
      <c r="HJ509" s="978"/>
      <c r="HK509" s="978"/>
      <c r="HL509" s="978"/>
      <c r="HM509" s="978"/>
      <c r="HN509" s="978"/>
      <c r="HO509" s="978"/>
      <c r="HP509" s="978"/>
      <c r="HQ509" s="978"/>
      <c r="HR509" s="978"/>
      <c r="HS509" s="978"/>
      <c r="HT509" s="978"/>
      <c r="HU509" s="978"/>
      <c r="HV509" s="978"/>
      <c r="HW509" s="978"/>
      <c r="HX509" s="978"/>
      <c r="HY509" s="978"/>
      <c r="HZ509" s="978"/>
      <c r="IA509" s="978"/>
      <c r="IB509" s="978"/>
      <c r="IC509" s="978"/>
      <c r="ID509" s="978"/>
      <c r="IE509" s="978"/>
      <c r="IF509" s="978"/>
      <c r="IG509" s="978"/>
      <c r="IH509" s="978"/>
      <c r="II509" s="978"/>
      <c r="IJ509" s="978"/>
      <c r="IK509" s="978"/>
      <c r="IL509" s="978"/>
      <c r="IM509" s="978"/>
      <c r="IN509" s="978"/>
      <c r="IO509" s="978"/>
      <c r="IP509" s="978"/>
      <c r="IQ509" s="978"/>
      <c r="IR509" s="978"/>
      <c r="IS509" s="978"/>
      <c r="IT509" s="978"/>
      <c r="IU509" s="978"/>
      <c r="IV509" s="978"/>
      <c r="IW509" s="978"/>
      <c r="IX509" s="978"/>
      <c r="IY509" s="978"/>
      <c r="IZ509" s="978"/>
      <c r="JA509" s="978"/>
      <c r="JB509" s="978"/>
      <c r="JC509" s="978"/>
      <c r="JD509" s="978"/>
      <c r="JE509" s="978"/>
      <c r="JF509" s="978"/>
      <c r="JG509" s="978"/>
      <c r="JH509" s="978"/>
      <c r="JI509" s="978"/>
      <c r="JJ509" s="978"/>
      <c r="JK509" s="978"/>
      <c r="JL509" s="978"/>
      <c r="JM509" s="978"/>
      <c r="JN509" s="978"/>
      <c r="JO509" s="978"/>
      <c r="JP509" s="978"/>
      <c r="JQ509" s="978"/>
      <c r="JR509" s="978"/>
      <c r="JS509" s="978"/>
      <c r="JT509" s="978"/>
      <c r="JU509" s="978"/>
      <c r="JV509" s="978"/>
      <c r="JW509" s="978"/>
      <c r="JX509" s="978"/>
      <c r="JY509" s="978"/>
      <c r="JZ509" s="978"/>
      <c r="KA509" s="978"/>
      <c r="KB509" s="978"/>
      <c r="KC509" s="978"/>
      <c r="KD509" s="978"/>
      <c r="KE509" s="978"/>
      <c r="KF509" s="978"/>
      <c r="KG509" s="978"/>
      <c r="KH509" s="978"/>
      <c r="KI509" s="978"/>
      <c r="KJ509" s="978"/>
      <c r="KK509" s="978"/>
      <c r="KL509" s="978"/>
      <c r="KM509" s="978"/>
      <c r="KN509" s="978"/>
      <c r="KO509" s="978"/>
      <c r="KP509" s="978"/>
      <c r="KQ509" s="978"/>
      <c r="KR509" s="978"/>
      <c r="KS509" s="978"/>
      <c r="KT509" s="978"/>
      <c r="KU509" s="978"/>
      <c r="KV509" s="978"/>
      <c r="KW509" s="978"/>
      <c r="KX509" s="978"/>
      <c r="KY509" s="978"/>
      <c r="KZ509" s="978"/>
      <c r="LA509" s="978"/>
      <c r="LB509" s="978"/>
      <c r="LC509" s="978"/>
      <c r="LD509" s="978"/>
      <c r="LE509" s="978"/>
      <c r="LF509" s="978"/>
      <c r="LG509" s="978"/>
      <c r="LH509" s="978"/>
      <c r="LI509" s="978"/>
      <c r="LJ509" s="978"/>
      <c r="LK509" s="978"/>
      <c r="LL509" s="978"/>
      <c r="LM509" s="978"/>
      <c r="LN509" s="978"/>
      <c r="LO509" s="978"/>
      <c r="LP509" s="978"/>
      <c r="LQ509" s="978"/>
      <c r="LR509" s="978"/>
      <c r="LS509" s="978"/>
      <c r="LT509" s="978"/>
      <c r="LU509" s="978"/>
      <c r="LV509" s="978"/>
      <c r="LW509" s="978"/>
      <c r="LX509" s="978"/>
      <c r="LY509" s="978"/>
      <c r="LZ509" s="978"/>
      <c r="MA509" s="978"/>
      <c r="MB509" s="978"/>
      <c r="MC509" s="978"/>
      <c r="MD509" s="978"/>
      <c r="ME509" s="978"/>
      <c r="MF509" s="978"/>
      <c r="MG509" s="978"/>
      <c r="MH509" s="978"/>
      <c r="MI509" s="978"/>
      <c r="MJ509" s="978"/>
      <c r="MK509" s="978"/>
      <c r="ML509" s="978"/>
      <c r="MM509" s="978"/>
      <c r="MN509" s="978"/>
      <c r="MO509" s="978"/>
      <c r="MP509" s="978"/>
      <c r="MQ509" s="978"/>
      <c r="MR509" s="978"/>
      <c r="MS509" s="978"/>
      <c r="MT509" s="978"/>
      <c r="MU509" s="978"/>
      <c r="MV509" s="978"/>
      <c r="MW509" s="978"/>
      <c r="MX509" s="978"/>
      <c r="MY509" s="978"/>
      <c r="MZ509" s="978"/>
      <c r="NA509" s="978"/>
      <c r="NB509" s="978"/>
      <c r="NC509" s="978"/>
      <c r="ND509" s="978"/>
      <c r="NE509" s="978"/>
      <c r="NF509" s="978"/>
      <c r="NG509" s="978"/>
      <c r="NH509" s="978"/>
      <c r="NI509" s="978"/>
      <c r="NJ509" s="978"/>
      <c r="NK509" s="978"/>
      <c r="NL509" s="978"/>
      <c r="NM509" s="978"/>
      <c r="NN509" s="978"/>
      <c r="NO509" s="978"/>
      <c r="NP509" s="978"/>
      <c r="NQ509" s="978"/>
      <c r="NR509" s="978"/>
      <c r="NS509" s="978"/>
      <c r="NT509" s="978"/>
      <c r="NU509" s="978"/>
      <c r="NV509" s="978"/>
      <c r="NW509" s="978"/>
      <c r="NX509" s="978"/>
      <c r="NY509" s="978"/>
      <c r="NZ509" s="978"/>
      <c r="OA509" s="978"/>
      <c r="OB509" s="978"/>
      <c r="OC509" s="978"/>
      <c r="OD509" s="978"/>
      <c r="OE509" s="978"/>
      <c r="OF509" s="978"/>
      <c r="OG509" s="978"/>
      <c r="OH509" s="978"/>
      <c r="OI509" s="978"/>
      <c r="OJ509" s="978"/>
      <c r="OK509" s="978"/>
      <c r="OL509" s="978"/>
      <c r="OM509" s="978"/>
      <c r="ON509" s="978"/>
      <c r="OO509" s="978"/>
      <c r="OP509" s="978"/>
      <c r="OQ509" s="978"/>
      <c r="OR509" s="978"/>
      <c r="OS509" s="978"/>
      <c r="OT509" s="978"/>
      <c r="OU509" s="978"/>
      <c r="OV509" s="978"/>
      <c r="OW509" s="978"/>
      <c r="OX509" s="978"/>
      <c r="OY509" s="978"/>
      <c r="OZ509" s="978"/>
      <c r="PA509" s="978"/>
      <c r="PB509" s="978"/>
      <c r="PC509" s="978"/>
      <c r="PD509" s="978"/>
      <c r="PE509" s="978"/>
      <c r="PF509" s="978"/>
      <c r="PG509" s="978"/>
      <c r="PH509" s="978"/>
      <c r="PI509" s="978"/>
      <c r="PJ509" s="978"/>
      <c r="PK509" s="978"/>
      <c r="PL509" s="978"/>
      <c r="PM509" s="978"/>
      <c r="PN509" s="978"/>
      <c r="PO509" s="978"/>
      <c r="PP509" s="978"/>
      <c r="PQ509" s="978"/>
      <c r="PR509" s="978"/>
      <c r="PS509" s="978"/>
      <c r="PT509" s="978"/>
      <c r="PU509" s="978"/>
      <c r="PV509" s="978"/>
      <c r="PW509" s="978"/>
      <c r="PX509" s="978"/>
      <c r="PY509" s="978"/>
      <c r="PZ509" s="978"/>
      <c r="QA509" s="978"/>
      <c r="QB509" s="978"/>
      <c r="QC509" s="978"/>
      <c r="QD509" s="978"/>
      <c r="QE509" s="978"/>
      <c r="QF509" s="978"/>
      <c r="QG509" s="978"/>
      <c r="QH509" s="978"/>
      <c r="QI509" s="978"/>
      <c r="QJ509" s="978"/>
      <c r="QK509" s="978"/>
      <c r="QL509" s="978"/>
      <c r="QM509" s="978"/>
      <c r="QN509" s="978"/>
      <c r="QO509" s="978"/>
      <c r="QP509" s="978"/>
      <c r="QQ509" s="978"/>
      <c r="QR509" s="978"/>
      <c r="QS509" s="978"/>
      <c r="QT509" s="978"/>
      <c r="QU509" s="978"/>
      <c r="QV509" s="978"/>
      <c r="QW509" s="978"/>
      <c r="QX509" s="978"/>
      <c r="QY509" s="978"/>
      <c r="QZ509" s="978"/>
      <c r="RA509" s="978"/>
      <c r="RB509" s="274"/>
      <c r="RC509" s="274"/>
    </row>
    <row r="510" spans="112:471" ht="17.25">
      <c r="DH510" s="274"/>
      <c r="DI510" s="274"/>
      <c r="DJ510" s="978"/>
      <c r="DK510" s="978"/>
      <c r="DL510" s="978"/>
      <c r="DM510" s="978"/>
      <c r="DN510" s="978"/>
      <c r="DO510" s="978"/>
      <c r="DP510" s="978"/>
      <c r="DQ510" s="978"/>
      <c r="DR510" s="978"/>
      <c r="DS510" s="978"/>
      <c r="DT510" s="978"/>
      <c r="DU510" s="978"/>
      <c r="DV510" s="978"/>
      <c r="DW510" s="978"/>
      <c r="DX510" s="978"/>
      <c r="DY510" s="978"/>
      <c r="DZ510" s="978"/>
      <c r="EA510" s="978"/>
      <c r="EB510" s="978"/>
      <c r="EC510" s="978"/>
      <c r="ED510" s="978"/>
      <c r="EE510" s="978"/>
      <c r="EF510" s="978"/>
      <c r="EG510" s="978"/>
      <c r="EH510" s="978"/>
      <c r="EI510" s="978"/>
      <c r="EJ510" s="978"/>
      <c r="EK510" s="978"/>
      <c r="EL510" s="978"/>
      <c r="EM510" s="978"/>
      <c r="EN510" s="978"/>
      <c r="EO510" s="978"/>
      <c r="EP510" s="978"/>
      <c r="EQ510" s="978"/>
      <c r="ER510" s="978"/>
      <c r="ES510" s="978"/>
      <c r="ET510" s="978"/>
      <c r="EU510" s="978"/>
      <c r="EV510" s="978"/>
      <c r="EW510" s="978"/>
      <c r="EX510" s="978"/>
      <c r="EY510" s="978"/>
      <c r="EZ510" s="978"/>
      <c r="FA510" s="978"/>
      <c r="FB510" s="978"/>
      <c r="FC510" s="978"/>
      <c r="FD510" s="978"/>
      <c r="FE510" s="978"/>
      <c r="FF510" s="978"/>
      <c r="FG510" s="978"/>
      <c r="FH510" s="978"/>
      <c r="FI510" s="978"/>
      <c r="FJ510" s="978"/>
      <c r="FK510" s="978"/>
      <c r="FL510" s="978"/>
      <c r="FM510" s="978"/>
      <c r="FN510" s="978"/>
      <c r="FO510" s="978"/>
      <c r="FP510" s="978"/>
      <c r="FQ510" s="978"/>
      <c r="FR510" s="978"/>
      <c r="FS510" s="978"/>
      <c r="FT510" s="978"/>
      <c r="FU510" s="978"/>
      <c r="FV510" s="978"/>
      <c r="FW510" s="978"/>
      <c r="FX510" s="978"/>
      <c r="FY510" s="978"/>
      <c r="FZ510" s="978"/>
      <c r="GA510" s="978"/>
      <c r="GB510" s="978"/>
      <c r="GC510" s="978"/>
      <c r="GD510" s="978"/>
      <c r="GE510" s="978"/>
      <c r="GF510" s="978"/>
      <c r="GG510" s="978"/>
      <c r="GH510" s="978"/>
      <c r="GI510" s="978"/>
      <c r="GJ510" s="978"/>
      <c r="GK510" s="978"/>
      <c r="GL510" s="978"/>
      <c r="GM510" s="978"/>
      <c r="GN510" s="978"/>
      <c r="GO510" s="978"/>
      <c r="GP510" s="978"/>
      <c r="GQ510" s="978"/>
      <c r="GR510" s="978"/>
      <c r="GS510" s="978"/>
      <c r="GT510" s="978"/>
      <c r="GU510" s="978"/>
      <c r="GV510" s="978"/>
      <c r="GW510" s="978"/>
      <c r="GX510" s="978"/>
      <c r="GY510" s="978"/>
      <c r="GZ510" s="978"/>
      <c r="HA510" s="978"/>
      <c r="HB510" s="978"/>
      <c r="HC510" s="978"/>
      <c r="HD510" s="978"/>
      <c r="HE510" s="978"/>
      <c r="HF510" s="978"/>
      <c r="HG510" s="978"/>
      <c r="HH510" s="978"/>
      <c r="HI510" s="978"/>
      <c r="HJ510" s="978"/>
      <c r="HK510" s="978"/>
      <c r="HL510" s="978"/>
      <c r="HM510" s="978"/>
      <c r="HN510" s="978"/>
      <c r="HO510" s="978"/>
      <c r="HP510" s="978"/>
      <c r="HQ510" s="978"/>
      <c r="HR510" s="978"/>
      <c r="HS510" s="978"/>
      <c r="HT510" s="978"/>
      <c r="HU510" s="978"/>
      <c r="HV510" s="978"/>
      <c r="HW510" s="978"/>
      <c r="HX510" s="978"/>
      <c r="HY510" s="978"/>
      <c r="HZ510" s="978"/>
      <c r="IA510" s="978"/>
      <c r="IB510" s="978"/>
      <c r="IC510" s="978"/>
      <c r="ID510" s="978"/>
      <c r="IE510" s="978"/>
      <c r="IF510" s="978"/>
      <c r="IG510" s="978"/>
      <c r="IH510" s="978"/>
      <c r="II510" s="978"/>
      <c r="IJ510" s="978"/>
      <c r="IK510" s="978"/>
      <c r="IL510" s="978"/>
      <c r="IM510" s="978"/>
      <c r="IN510" s="978"/>
      <c r="IO510" s="978"/>
      <c r="IP510" s="978"/>
      <c r="IQ510" s="978"/>
      <c r="IR510" s="978"/>
      <c r="IS510" s="978"/>
      <c r="IT510" s="978"/>
      <c r="IU510" s="978"/>
      <c r="IV510" s="978"/>
      <c r="IW510" s="978"/>
      <c r="IX510" s="978"/>
      <c r="IY510" s="978"/>
      <c r="IZ510" s="978"/>
      <c r="JA510" s="978"/>
      <c r="JB510" s="978"/>
      <c r="JC510" s="978"/>
      <c r="JD510" s="978"/>
      <c r="JE510" s="978"/>
      <c r="JF510" s="978"/>
      <c r="JG510" s="978"/>
      <c r="JH510" s="978"/>
      <c r="JI510" s="978"/>
      <c r="JJ510" s="978"/>
      <c r="JK510" s="978"/>
      <c r="JL510" s="978"/>
      <c r="JM510" s="978"/>
      <c r="JN510" s="978"/>
      <c r="JO510" s="978"/>
      <c r="JP510" s="978"/>
      <c r="JQ510" s="978"/>
      <c r="JR510" s="978"/>
      <c r="JS510" s="978"/>
      <c r="JT510" s="978"/>
      <c r="JU510" s="978"/>
      <c r="JV510" s="978"/>
      <c r="JW510" s="978"/>
      <c r="JX510" s="978"/>
      <c r="JY510" s="978"/>
      <c r="JZ510" s="978"/>
      <c r="KA510" s="978"/>
      <c r="KB510" s="978"/>
      <c r="KC510" s="978"/>
      <c r="KD510" s="978"/>
      <c r="KE510" s="978"/>
      <c r="KF510" s="978"/>
      <c r="KG510" s="978"/>
      <c r="KH510" s="978"/>
      <c r="KI510" s="978"/>
      <c r="KJ510" s="978"/>
      <c r="KK510" s="978"/>
      <c r="KL510" s="978"/>
      <c r="KM510" s="978"/>
      <c r="KN510" s="978"/>
      <c r="KO510" s="978"/>
      <c r="KP510" s="978"/>
      <c r="KQ510" s="978"/>
      <c r="KR510" s="978"/>
      <c r="KS510" s="978"/>
      <c r="KT510" s="978"/>
      <c r="KU510" s="978"/>
      <c r="KV510" s="978"/>
      <c r="KW510" s="978"/>
      <c r="KX510" s="978"/>
      <c r="KY510" s="978"/>
      <c r="KZ510" s="978"/>
      <c r="LA510" s="978"/>
      <c r="LB510" s="978"/>
      <c r="LC510" s="978"/>
      <c r="LD510" s="978"/>
      <c r="LE510" s="978"/>
      <c r="LF510" s="978"/>
      <c r="LG510" s="978"/>
      <c r="LH510" s="978"/>
      <c r="LI510" s="978"/>
      <c r="LJ510" s="978"/>
      <c r="LK510" s="978"/>
      <c r="LL510" s="978"/>
      <c r="LM510" s="978"/>
      <c r="LN510" s="978"/>
      <c r="LO510" s="978"/>
      <c r="LP510" s="978"/>
      <c r="LQ510" s="978"/>
      <c r="LR510" s="978"/>
      <c r="LS510" s="978"/>
      <c r="LT510" s="978"/>
      <c r="LU510" s="978"/>
      <c r="LV510" s="978"/>
      <c r="LW510" s="978"/>
      <c r="LX510" s="978"/>
      <c r="LY510" s="978"/>
      <c r="LZ510" s="978"/>
      <c r="MA510" s="978"/>
      <c r="MB510" s="978"/>
      <c r="MC510" s="978"/>
      <c r="MD510" s="978"/>
      <c r="ME510" s="978"/>
      <c r="MF510" s="978"/>
      <c r="MG510" s="978"/>
      <c r="MH510" s="978"/>
      <c r="MI510" s="978"/>
      <c r="MJ510" s="978"/>
      <c r="MK510" s="978"/>
      <c r="ML510" s="978"/>
      <c r="MM510" s="978"/>
      <c r="MN510" s="978"/>
      <c r="MO510" s="978"/>
      <c r="MP510" s="978"/>
      <c r="MQ510" s="978"/>
      <c r="MR510" s="978"/>
      <c r="MS510" s="978"/>
      <c r="MT510" s="978"/>
      <c r="MU510" s="978"/>
      <c r="MV510" s="978"/>
      <c r="MW510" s="978"/>
      <c r="MX510" s="978"/>
      <c r="MY510" s="978"/>
      <c r="MZ510" s="978"/>
      <c r="NA510" s="978"/>
      <c r="NB510" s="978"/>
      <c r="NC510" s="978"/>
      <c r="ND510" s="978"/>
      <c r="NE510" s="978"/>
      <c r="NF510" s="978"/>
      <c r="NG510" s="978"/>
      <c r="NH510" s="978"/>
      <c r="NI510" s="978"/>
      <c r="NJ510" s="978"/>
      <c r="NK510" s="978"/>
      <c r="NL510" s="978"/>
      <c r="NM510" s="978"/>
      <c r="NN510" s="978"/>
      <c r="NO510" s="978"/>
      <c r="NP510" s="978"/>
      <c r="NQ510" s="978"/>
      <c r="NR510" s="978"/>
      <c r="NS510" s="978"/>
      <c r="NT510" s="978"/>
      <c r="NU510" s="978"/>
      <c r="NV510" s="978"/>
      <c r="NW510" s="978"/>
      <c r="NX510" s="978"/>
      <c r="NY510" s="978"/>
      <c r="NZ510" s="978"/>
      <c r="OA510" s="978"/>
      <c r="OB510" s="978"/>
      <c r="OC510" s="978"/>
      <c r="OD510" s="978"/>
      <c r="OE510" s="978"/>
      <c r="OF510" s="978"/>
      <c r="OG510" s="978"/>
      <c r="OH510" s="978"/>
      <c r="OI510" s="978"/>
      <c r="OJ510" s="978"/>
      <c r="OK510" s="978"/>
      <c r="OL510" s="978"/>
      <c r="OM510" s="978"/>
      <c r="ON510" s="978"/>
      <c r="OO510" s="978"/>
      <c r="OP510" s="978"/>
      <c r="OQ510" s="978"/>
      <c r="OR510" s="978"/>
      <c r="OS510" s="978"/>
      <c r="OT510" s="978"/>
      <c r="OU510" s="978"/>
      <c r="OV510" s="978"/>
      <c r="OW510" s="978"/>
      <c r="OX510" s="978"/>
      <c r="OY510" s="978"/>
      <c r="OZ510" s="978"/>
      <c r="PA510" s="978"/>
      <c r="PB510" s="978"/>
      <c r="PC510" s="978"/>
      <c r="PD510" s="978"/>
      <c r="PE510" s="978"/>
      <c r="PF510" s="978"/>
      <c r="PG510" s="978"/>
      <c r="PH510" s="978"/>
      <c r="PI510" s="978"/>
      <c r="PJ510" s="978"/>
      <c r="PK510" s="978"/>
      <c r="PL510" s="978"/>
      <c r="PM510" s="978"/>
      <c r="PN510" s="978"/>
      <c r="PO510" s="978"/>
      <c r="PP510" s="978"/>
      <c r="PQ510" s="978"/>
      <c r="PR510" s="978"/>
      <c r="PS510" s="978"/>
      <c r="PT510" s="978"/>
      <c r="PU510" s="978"/>
      <c r="PV510" s="978"/>
      <c r="PW510" s="978"/>
      <c r="PX510" s="978"/>
      <c r="PY510" s="978"/>
      <c r="PZ510" s="978"/>
      <c r="QA510" s="978"/>
      <c r="QB510" s="978"/>
      <c r="QC510" s="978"/>
      <c r="QD510" s="978"/>
      <c r="QE510" s="978"/>
      <c r="QF510" s="978"/>
      <c r="QG510" s="978"/>
      <c r="QH510" s="978"/>
      <c r="QI510" s="978"/>
      <c r="QJ510" s="978"/>
      <c r="QK510" s="978"/>
      <c r="QL510" s="978"/>
      <c r="QM510" s="978"/>
      <c r="QN510" s="978"/>
      <c r="QO510" s="978"/>
      <c r="QP510" s="978"/>
      <c r="QQ510" s="978"/>
      <c r="QR510" s="978"/>
      <c r="QS510" s="978"/>
      <c r="QT510" s="978"/>
      <c r="QU510" s="978"/>
      <c r="QV510" s="978"/>
      <c r="QW510" s="978"/>
      <c r="QX510" s="978"/>
      <c r="QY510" s="978"/>
      <c r="QZ510" s="978"/>
      <c r="RA510" s="978"/>
      <c r="RB510" s="274"/>
      <c r="RC510" s="274"/>
    </row>
    <row r="511" spans="112:471" ht="17.25">
      <c r="DH511" s="274"/>
      <c r="DI511" s="274"/>
      <c r="DJ511" s="978"/>
      <c r="DK511" s="978"/>
      <c r="DL511" s="978"/>
      <c r="DM511" s="978"/>
      <c r="DN511" s="978"/>
      <c r="DO511" s="978"/>
      <c r="DP511" s="978"/>
      <c r="DQ511" s="978"/>
      <c r="DR511" s="978"/>
      <c r="DS511" s="978"/>
      <c r="DT511" s="978"/>
      <c r="DU511" s="978"/>
      <c r="DV511" s="978"/>
      <c r="DW511" s="978"/>
      <c r="DX511" s="978"/>
      <c r="DY511" s="978"/>
      <c r="DZ511" s="978"/>
      <c r="EA511" s="978"/>
      <c r="EB511" s="978"/>
      <c r="EC511" s="978"/>
      <c r="ED511" s="978"/>
      <c r="EE511" s="978"/>
      <c r="EF511" s="978"/>
      <c r="EG511" s="978"/>
      <c r="EH511" s="978"/>
      <c r="EI511" s="978"/>
      <c r="EJ511" s="978"/>
      <c r="EK511" s="978"/>
      <c r="EL511" s="978"/>
      <c r="EM511" s="978"/>
      <c r="EN511" s="978"/>
      <c r="EO511" s="978"/>
      <c r="EP511" s="978"/>
      <c r="EQ511" s="978"/>
      <c r="ER511" s="978"/>
      <c r="ES511" s="978"/>
      <c r="ET511" s="978"/>
      <c r="EU511" s="978"/>
      <c r="EV511" s="978"/>
      <c r="EW511" s="978"/>
      <c r="EX511" s="978"/>
      <c r="EY511" s="978"/>
      <c r="EZ511" s="978"/>
      <c r="FA511" s="978"/>
      <c r="FB511" s="978"/>
      <c r="FC511" s="978"/>
      <c r="FD511" s="978"/>
      <c r="FE511" s="978"/>
      <c r="FF511" s="978"/>
      <c r="FG511" s="978"/>
      <c r="FH511" s="978"/>
      <c r="FI511" s="978"/>
      <c r="FJ511" s="978"/>
      <c r="FK511" s="978"/>
      <c r="FL511" s="978"/>
      <c r="FM511" s="978"/>
      <c r="FN511" s="978"/>
      <c r="FO511" s="978"/>
      <c r="FP511" s="978"/>
      <c r="FQ511" s="978"/>
      <c r="FR511" s="978"/>
      <c r="FS511" s="978"/>
      <c r="FT511" s="978"/>
      <c r="FU511" s="978"/>
      <c r="FV511" s="978"/>
      <c r="FW511" s="978"/>
      <c r="FX511" s="978"/>
      <c r="FY511" s="978"/>
      <c r="FZ511" s="978"/>
      <c r="GA511" s="978"/>
      <c r="GB511" s="978"/>
      <c r="GC511" s="978"/>
      <c r="GD511" s="978"/>
      <c r="GE511" s="978"/>
      <c r="GF511" s="978"/>
      <c r="GG511" s="978"/>
      <c r="GH511" s="978"/>
      <c r="GI511" s="978"/>
      <c r="GJ511" s="978"/>
      <c r="GK511" s="978"/>
      <c r="GL511" s="978"/>
      <c r="GM511" s="978"/>
      <c r="GN511" s="978"/>
      <c r="GO511" s="978"/>
      <c r="GP511" s="978"/>
      <c r="GQ511" s="978"/>
      <c r="GR511" s="978"/>
      <c r="GS511" s="978"/>
      <c r="GT511" s="978"/>
      <c r="GU511" s="978"/>
      <c r="GV511" s="978"/>
      <c r="GW511" s="978"/>
      <c r="GX511" s="978"/>
      <c r="GY511" s="978"/>
      <c r="GZ511" s="978"/>
      <c r="HA511" s="978"/>
      <c r="HB511" s="978"/>
      <c r="HC511" s="978"/>
      <c r="HD511" s="978"/>
      <c r="HE511" s="978"/>
      <c r="HF511" s="978"/>
      <c r="HG511" s="978"/>
      <c r="HH511" s="978"/>
      <c r="HI511" s="978"/>
      <c r="HJ511" s="978"/>
      <c r="HK511" s="978"/>
      <c r="HL511" s="978"/>
      <c r="HM511" s="978"/>
      <c r="HN511" s="978"/>
      <c r="HO511" s="978"/>
      <c r="HP511" s="978"/>
      <c r="HQ511" s="978"/>
      <c r="HR511" s="978"/>
      <c r="HS511" s="978"/>
      <c r="HT511" s="978"/>
      <c r="HU511" s="978"/>
      <c r="HV511" s="978"/>
      <c r="HW511" s="978"/>
      <c r="HX511" s="978"/>
      <c r="HY511" s="978"/>
      <c r="HZ511" s="978"/>
      <c r="IA511" s="978"/>
      <c r="IB511" s="978"/>
      <c r="IC511" s="978"/>
      <c r="ID511" s="978"/>
      <c r="IE511" s="978"/>
      <c r="IF511" s="978"/>
      <c r="IG511" s="978"/>
      <c r="IH511" s="978"/>
      <c r="II511" s="978"/>
      <c r="IJ511" s="978"/>
      <c r="IK511" s="978"/>
      <c r="IL511" s="978"/>
      <c r="IM511" s="978"/>
      <c r="IN511" s="978"/>
      <c r="IO511" s="978"/>
      <c r="IP511" s="978"/>
      <c r="IQ511" s="978"/>
      <c r="IR511" s="978"/>
      <c r="IS511" s="978"/>
      <c r="IT511" s="978"/>
      <c r="IU511" s="978"/>
      <c r="IV511" s="978"/>
      <c r="IW511" s="978"/>
      <c r="IX511" s="978"/>
      <c r="IY511" s="978"/>
      <c r="IZ511" s="978"/>
      <c r="JA511" s="978"/>
      <c r="JB511" s="978"/>
      <c r="JC511" s="978"/>
      <c r="JD511" s="978"/>
      <c r="JE511" s="978"/>
      <c r="JF511" s="978"/>
      <c r="JG511" s="978"/>
      <c r="JH511" s="978"/>
      <c r="JI511" s="978"/>
      <c r="JJ511" s="978"/>
      <c r="JK511" s="978"/>
      <c r="JL511" s="978"/>
      <c r="JM511" s="978"/>
      <c r="JN511" s="978"/>
      <c r="JO511" s="978"/>
      <c r="JP511" s="978"/>
      <c r="JQ511" s="978"/>
      <c r="JR511" s="978"/>
      <c r="JS511" s="978"/>
      <c r="JT511" s="978"/>
      <c r="JU511" s="978"/>
      <c r="JV511" s="978"/>
      <c r="JW511" s="978"/>
      <c r="JX511" s="978"/>
      <c r="JY511" s="978"/>
      <c r="JZ511" s="978"/>
      <c r="KA511" s="978"/>
      <c r="KB511" s="978"/>
      <c r="KC511" s="978"/>
      <c r="KD511" s="978"/>
      <c r="KE511" s="978"/>
      <c r="KF511" s="978"/>
      <c r="KG511" s="978"/>
      <c r="KH511" s="978"/>
      <c r="KI511" s="978"/>
      <c r="KJ511" s="978"/>
      <c r="KK511" s="978"/>
      <c r="KL511" s="978"/>
      <c r="KM511" s="978"/>
      <c r="KN511" s="978"/>
      <c r="KO511" s="978"/>
      <c r="KP511" s="978"/>
      <c r="KQ511" s="978"/>
      <c r="KR511" s="978"/>
      <c r="KS511" s="978"/>
      <c r="KT511" s="978"/>
      <c r="KU511" s="978"/>
      <c r="KV511" s="978"/>
      <c r="KW511" s="978"/>
      <c r="KX511" s="978"/>
      <c r="KY511" s="978"/>
      <c r="KZ511" s="978"/>
      <c r="LA511" s="978"/>
      <c r="LB511" s="978"/>
      <c r="LC511" s="978"/>
      <c r="LD511" s="978"/>
      <c r="LE511" s="978"/>
      <c r="LF511" s="978"/>
      <c r="LG511" s="978"/>
      <c r="LH511" s="978"/>
      <c r="LI511" s="978"/>
      <c r="LJ511" s="978"/>
      <c r="LK511" s="978"/>
      <c r="LL511" s="978"/>
      <c r="LM511" s="978"/>
      <c r="LN511" s="978"/>
      <c r="LO511" s="978"/>
      <c r="LP511" s="978"/>
      <c r="LQ511" s="978"/>
      <c r="LR511" s="978"/>
      <c r="LS511" s="978"/>
      <c r="LT511" s="978"/>
      <c r="LU511" s="978"/>
      <c r="LV511" s="978"/>
      <c r="LW511" s="978"/>
      <c r="LX511" s="978"/>
      <c r="LY511" s="978"/>
      <c r="LZ511" s="978"/>
      <c r="MA511" s="978"/>
      <c r="MB511" s="978"/>
      <c r="MC511" s="978"/>
      <c r="MD511" s="978"/>
      <c r="ME511" s="978"/>
      <c r="MF511" s="978"/>
      <c r="MG511" s="978"/>
      <c r="MH511" s="978"/>
      <c r="MI511" s="978"/>
      <c r="MJ511" s="978"/>
      <c r="MK511" s="978"/>
      <c r="ML511" s="978"/>
      <c r="MM511" s="978"/>
      <c r="MN511" s="978"/>
      <c r="MO511" s="978"/>
      <c r="MP511" s="978"/>
      <c r="MQ511" s="978"/>
      <c r="MR511" s="978"/>
      <c r="MS511" s="978"/>
      <c r="MT511" s="978"/>
      <c r="MU511" s="978"/>
      <c r="MV511" s="978"/>
      <c r="MW511" s="978"/>
      <c r="MX511" s="978"/>
      <c r="MY511" s="978"/>
      <c r="MZ511" s="978"/>
      <c r="NA511" s="978"/>
      <c r="NB511" s="978"/>
      <c r="NC511" s="978"/>
      <c r="ND511" s="978"/>
      <c r="NE511" s="978"/>
      <c r="NF511" s="978"/>
      <c r="NG511" s="978"/>
      <c r="NH511" s="978"/>
      <c r="NI511" s="978"/>
      <c r="NJ511" s="978"/>
      <c r="NK511" s="978"/>
      <c r="NL511" s="978"/>
      <c r="NM511" s="978"/>
      <c r="NN511" s="978"/>
      <c r="NO511" s="978"/>
      <c r="NP511" s="978"/>
      <c r="NQ511" s="978"/>
      <c r="NR511" s="978"/>
      <c r="NS511" s="978"/>
      <c r="NT511" s="978"/>
      <c r="NU511" s="978"/>
      <c r="NV511" s="978"/>
      <c r="NW511" s="978"/>
      <c r="NX511" s="978"/>
      <c r="NY511" s="978"/>
      <c r="NZ511" s="978"/>
      <c r="OA511" s="978"/>
      <c r="OB511" s="978"/>
      <c r="OC511" s="978"/>
      <c r="OD511" s="978"/>
      <c r="OE511" s="978"/>
      <c r="OF511" s="978"/>
      <c r="OG511" s="978"/>
      <c r="OH511" s="978"/>
      <c r="OI511" s="978"/>
      <c r="OJ511" s="978"/>
      <c r="OK511" s="978"/>
      <c r="OL511" s="978"/>
      <c r="OM511" s="978"/>
      <c r="ON511" s="978"/>
      <c r="OO511" s="978"/>
      <c r="OP511" s="978"/>
      <c r="OQ511" s="978"/>
      <c r="OR511" s="978"/>
      <c r="OS511" s="978"/>
      <c r="OT511" s="978"/>
      <c r="OU511" s="978"/>
      <c r="OV511" s="978"/>
      <c r="OW511" s="978"/>
      <c r="OX511" s="978"/>
      <c r="OY511" s="978"/>
      <c r="OZ511" s="978"/>
      <c r="PA511" s="978"/>
      <c r="PB511" s="978"/>
      <c r="PC511" s="978"/>
      <c r="PD511" s="978"/>
      <c r="PE511" s="978"/>
      <c r="PF511" s="978"/>
      <c r="PG511" s="978"/>
      <c r="PH511" s="978"/>
      <c r="PI511" s="978"/>
      <c r="PJ511" s="978"/>
      <c r="PK511" s="978"/>
      <c r="PL511" s="978"/>
      <c r="PM511" s="978"/>
      <c r="PN511" s="978"/>
      <c r="PO511" s="978"/>
      <c r="PP511" s="978"/>
      <c r="PQ511" s="978"/>
      <c r="PR511" s="978"/>
      <c r="PS511" s="978"/>
      <c r="PT511" s="978"/>
      <c r="PU511" s="978"/>
      <c r="PV511" s="978"/>
      <c r="PW511" s="978"/>
      <c r="PX511" s="978"/>
      <c r="PY511" s="978"/>
      <c r="PZ511" s="978"/>
      <c r="QA511" s="978"/>
      <c r="QB511" s="978"/>
      <c r="QC511" s="978"/>
      <c r="QD511" s="978"/>
      <c r="QE511" s="978"/>
      <c r="QF511" s="978"/>
      <c r="QG511" s="978"/>
      <c r="QH511" s="978"/>
      <c r="QI511" s="978"/>
      <c r="QJ511" s="978"/>
      <c r="QK511" s="978"/>
      <c r="QL511" s="978"/>
      <c r="QM511" s="978"/>
      <c r="QN511" s="978"/>
      <c r="QO511" s="978"/>
      <c r="QP511" s="978"/>
      <c r="QQ511" s="978"/>
      <c r="QR511" s="978"/>
      <c r="QS511" s="978"/>
      <c r="QT511" s="978"/>
      <c r="QU511" s="978"/>
      <c r="QV511" s="978"/>
      <c r="QW511" s="978"/>
      <c r="QX511" s="978"/>
      <c r="QY511" s="978"/>
      <c r="QZ511" s="978"/>
      <c r="RA511" s="978"/>
      <c r="RB511" s="274"/>
      <c r="RC511" s="274"/>
    </row>
    <row r="512" spans="112:471" ht="17.25">
      <c r="DH512" s="274"/>
      <c r="DI512" s="274"/>
      <c r="DJ512" s="978"/>
      <c r="DK512" s="978"/>
      <c r="DL512" s="978"/>
      <c r="DM512" s="978"/>
      <c r="DN512" s="978"/>
      <c r="DO512" s="978"/>
      <c r="DP512" s="978"/>
      <c r="DQ512" s="978"/>
      <c r="DR512" s="978"/>
      <c r="DS512" s="978"/>
      <c r="DT512" s="978"/>
      <c r="DU512" s="978"/>
      <c r="DV512" s="978"/>
      <c r="DW512" s="978"/>
      <c r="DX512" s="978"/>
      <c r="DY512" s="978"/>
      <c r="DZ512" s="978"/>
      <c r="EA512" s="978"/>
      <c r="EB512" s="978"/>
      <c r="EC512" s="978"/>
      <c r="ED512" s="978"/>
      <c r="EE512" s="978"/>
      <c r="EF512" s="978"/>
      <c r="EG512" s="978"/>
      <c r="EH512" s="978"/>
      <c r="EI512" s="978"/>
      <c r="EJ512" s="978"/>
      <c r="EK512" s="978"/>
      <c r="EL512" s="978"/>
      <c r="EM512" s="978"/>
      <c r="EN512" s="978"/>
      <c r="EO512" s="978"/>
      <c r="EP512" s="978"/>
      <c r="EQ512" s="978"/>
      <c r="ER512" s="978"/>
      <c r="ES512" s="978"/>
      <c r="ET512" s="978"/>
      <c r="EU512" s="978"/>
      <c r="EV512" s="978"/>
      <c r="EW512" s="978"/>
      <c r="EX512" s="978"/>
      <c r="EY512" s="978"/>
      <c r="EZ512" s="978"/>
      <c r="FA512" s="978"/>
      <c r="FB512" s="978"/>
      <c r="FC512" s="978"/>
      <c r="FD512" s="978"/>
      <c r="FE512" s="978"/>
      <c r="FF512" s="978"/>
      <c r="FG512" s="978"/>
      <c r="FH512" s="978"/>
      <c r="FI512" s="978"/>
      <c r="FJ512" s="978"/>
      <c r="FK512" s="978"/>
      <c r="FL512" s="978"/>
      <c r="FM512" s="978"/>
      <c r="FN512" s="978"/>
      <c r="FO512" s="978"/>
      <c r="FP512" s="978"/>
      <c r="FQ512" s="978"/>
      <c r="FR512" s="978"/>
      <c r="FS512" s="978"/>
      <c r="FT512" s="978"/>
      <c r="FU512" s="978"/>
      <c r="FV512" s="978"/>
      <c r="FW512" s="978"/>
      <c r="FX512" s="978"/>
      <c r="FY512" s="978"/>
      <c r="FZ512" s="978"/>
      <c r="GA512" s="978"/>
      <c r="GB512" s="978"/>
      <c r="GC512" s="978"/>
      <c r="GD512" s="978"/>
      <c r="GE512" s="978"/>
      <c r="GF512" s="978"/>
      <c r="GG512" s="978"/>
      <c r="GH512" s="978"/>
      <c r="GI512" s="978"/>
      <c r="GJ512" s="978"/>
      <c r="GK512" s="978"/>
      <c r="GL512" s="978"/>
      <c r="GM512" s="978"/>
      <c r="GN512" s="978"/>
      <c r="GO512" s="978"/>
      <c r="GP512" s="978"/>
      <c r="GQ512" s="978"/>
      <c r="GR512" s="978"/>
      <c r="GS512" s="978"/>
      <c r="GT512" s="978"/>
      <c r="GU512" s="978"/>
      <c r="GV512" s="978"/>
      <c r="GW512" s="978"/>
      <c r="GX512" s="978"/>
      <c r="GY512" s="978"/>
      <c r="GZ512" s="978"/>
      <c r="HA512" s="978"/>
      <c r="HB512" s="978"/>
      <c r="HC512" s="978"/>
      <c r="HD512" s="978"/>
      <c r="HE512" s="978"/>
      <c r="HF512" s="978"/>
      <c r="HG512" s="978"/>
      <c r="HH512" s="978"/>
      <c r="HI512" s="978"/>
      <c r="HJ512" s="978"/>
      <c r="HK512" s="978"/>
      <c r="HL512" s="978"/>
      <c r="HM512" s="978"/>
      <c r="HN512" s="978"/>
      <c r="HO512" s="978"/>
      <c r="HP512" s="978"/>
      <c r="HQ512" s="978"/>
      <c r="HR512" s="978"/>
      <c r="HS512" s="978"/>
      <c r="HT512" s="978"/>
      <c r="HU512" s="978"/>
      <c r="HV512" s="978"/>
      <c r="HW512" s="978"/>
      <c r="HX512" s="978"/>
      <c r="HY512" s="978"/>
      <c r="HZ512" s="978"/>
      <c r="IA512" s="978"/>
      <c r="IB512" s="978"/>
      <c r="IC512" s="978"/>
      <c r="ID512" s="978"/>
      <c r="IE512" s="978"/>
      <c r="IF512" s="978"/>
      <c r="IG512" s="978"/>
      <c r="IH512" s="978"/>
      <c r="II512" s="978"/>
      <c r="IJ512" s="978"/>
      <c r="IK512" s="978"/>
      <c r="IL512" s="978"/>
      <c r="IM512" s="978"/>
      <c r="IN512" s="978"/>
      <c r="IO512" s="978"/>
      <c r="IP512" s="978"/>
      <c r="IQ512" s="978"/>
      <c r="IR512" s="978"/>
      <c r="IS512" s="978"/>
      <c r="IT512" s="978"/>
      <c r="IU512" s="978"/>
      <c r="IV512" s="978"/>
      <c r="IW512" s="978"/>
      <c r="IX512" s="978"/>
      <c r="IY512" s="978"/>
      <c r="IZ512" s="978"/>
      <c r="JA512" s="978"/>
      <c r="JB512" s="978"/>
      <c r="JC512" s="978"/>
      <c r="JD512" s="978"/>
      <c r="JE512" s="978"/>
      <c r="JF512" s="978"/>
      <c r="JG512" s="978"/>
      <c r="JH512" s="978"/>
      <c r="JI512" s="978"/>
      <c r="JJ512" s="978"/>
      <c r="JK512" s="978"/>
      <c r="JL512" s="978"/>
      <c r="JM512" s="978"/>
      <c r="JN512" s="978"/>
      <c r="JO512" s="978"/>
      <c r="JP512" s="978"/>
      <c r="JQ512" s="978"/>
      <c r="JR512" s="978"/>
      <c r="JS512" s="978"/>
      <c r="JT512" s="978"/>
      <c r="JU512" s="978"/>
      <c r="JV512" s="978"/>
      <c r="JW512" s="978"/>
      <c r="JX512" s="978"/>
      <c r="JY512" s="978"/>
      <c r="JZ512" s="978"/>
      <c r="KA512" s="978"/>
      <c r="KB512" s="978"/>
      <c r="KC512" s="978"/>
      <c r="KD512" s="978"/>
      <c r="KE512" s="978"/>
      <c r="KF512" s="978"/>
      <c r="KG512" s="978"/>
      <c r="KH512" s="978"/>
      <c r="KI512" s="978"/>
      <c r="KJ512" s="978"/>
      <c r="KK512" s="978"/>
      <c r="KL512" s="978"/>
      <c r="KM512" s="978"/>
      <c r="KN512" s="978"/>
      <c r="KO512" s="978"/>
      <c r="KP512" s="978"/>
      <c r="KQ512" s="978"/>
      <c r="KR512" s="978"/>
      <c r="KS512" s="978"/>
      <c r="KT512" s="978"/>
      <c r="KU512" s="978"/>
      <c r="KV512" s="978"/>
      <c r="KW512" s="978"/>
      <c r="KX512" s="978"/>
      <c r="KY512" s="978"/>
      <c r="KZ512" s="978"/>
      <c r="LA512" s="978"/>
      <c r="LB512" s="978"/>
      <c r="LC512" s="978"/>
      <c r="LD512" s="978"/>
      <c r="LE512" s="978"/>
      <c r="LF512" s="978"/>
      <c r="LG512" s="978"/>
      <c r="LH512" s="978"/>
      <c r="LI512" s="978"/>
      <c r="LJ512" s="978"/>
      <c r="LK512" s="978"/>
      <c r="LL512" s="978"/>
      <c r="LM512" s="978"/>
      <c r="LN512" s="978"/>
      <c r="LO512" s="978"/>
      <c r="LP512" s="978"/>
      <c r="LQ512" s="978"/>
      <c r="LR512" s="978"/>
      <c r="LS512" s="978"/>
      <c r="LT512" s="978"/>
      <c r="LU512" s="978"/>
      <c r="LV512" s="978"/>
      <c r="LW512" s="978"/>
      <c r="LX512" s="978"/>
      <c r="LY512" s="978"/>
      <c r="LZ512" s="978"/>
      <c r="MA512" s="978"/>
      <c r="MB512" s="978"/>
      <c r="MC512" s="978"/>
      <c r="MD512" s="978"/>
      <c r="ME512" s="978"/>
      <c r="MF512" s="978"/>
      <c r="MG512" s="978"/>
      <c r="MH512" s="978"/>
      <c r="MI512" s="978"/>
      <c r="MJ512" s="978"/>
      <c r="MK512" s="978"/>
      <c r="ML512" s="978"/>
      <c r="MM512" s="978"/>
      <c r="MN512" s="978"/>
      <c r="MO512" s="978"/>
      <c r="MP512" s="978"/>
      <c r="MQ512" s="978"/>
      <c r="MR512" s="978"/>
      <c r="MS512" s="978"/>
      <c r="MT512" s="978"/>
      <c r="MU512" s="978"/>
      <c r="MV512" s="978"/>
      <c r="MW512" s="978"/>
      <c r="MX512" s="978"/>
      <c r="MY512" s="978"/>
      <c r="MZ512" s="978"/>
      <c r="NA512" s="978"/>
      <c r="NB512" s="978"/>
      <c r="NC512" s="978"/>
      <c r="ND512" s="978"/>
      <c r="NE512" s="978"/>
      <c r="NF512" s="978"/>
      <c r="NG512" s="978"/>
      <c r="NH512" s="978"/>
      <c r="NI512" s="978"/>
      <c r="NJ512" s="978"/>
      <c r="NK512" s="978"/>
      <c r="NL512" s="978"/>
      <c r="NM512" s="978"/>
      <c r="NN512" s="978"/>
      <c r="NO512" s="978"/>
      <c r="NP512" s="978"/>
      <c r="NQ512" s="978"/>
      <c r="NR512" s="978"/>
      <c r="NS512" s="978"/>
      <c r="NT512" s="978"/>
      <c r="NU512" s="978"/>
      <c r="NV512" s="978"/>
      <c r="NW512" s="978"/>
      <c r="NX512" s="978"/>
      <c r="NY512" s="978"/>
      <c r="NZ512" s="978"/>
      <c r="OA512" s="978"/>
      <c r="OB512" s="978"/>
      <c r="OC512" s="978"/>
      <c r="OD512" s="978"/>
      <c r="OE512" s="978"/>
      <c r="OF512" s="978"/>
      <c r="OG512" s="978"/>
      <c r="OH512" s="978"/>
      <c r="OI512" s="978"/>
      <c r="OJ512" s="978"/>
      <c r="OK512" s="978"/>
      <c r="OL512" s="978"/>
      <c r="OM512" s="978"/>
      <c r="ON512" s="978"/>
      <c r="OO512" s="978"/>
      <c r="OP512" s="978"/>
      <c r="OQ512" s="978"/>
      <c r="OR512" s="978"/>
      <c r="OS512" s="978"/>
      <c r="OT512" s="978"/>
      <c r="OU512" s="978"/>
      <c r="OV512" s="978"/>
      <c r="OW512" s="978"/>
      <c r="OX512" s="978"/>
      <c r="OY512" s="978"/>
      <c r="OZ512" s="978"/>
      <c r="PA512" s="978"/>
      <c r="PB512" s="978"/>
      <c r="PC512" s="978"/>
      <c r="PD512" s="978"/>
      <c r="PE512" s="978"/>
      <c r="PF512" s="978"/>
      <c r="PG512" s="978"/>
      <c r="PH512" s="978"/>
      <c r="PI512" s="978"/>
      <c r="PJ512" s="978"/>
      <c r="PK512" s="978"/>
      <c r="PL512" s="978"/>
      <c r="PM512" s="978"/>
      <c r="PN512" s="978"/>
      <c r="PO512" s="978"/>
      <c r="PP512" s="978"/>
      <c r="PQ512" s="978"/>
      <c r="PR512" s="978"/>
      <c r="PS512" s="978"/>
      <c r="PT512" s="978"/>
      <c r="PU512" s="978"/>
      <c r="PV512" s="978"/>
      <c r="PW512" s="978"/>
      <c r="PX512" s="978"/>
      <c r="PY512" s="978"/>
      <c r="PZ512" s="978"/>
      <c r="QA512" s="978"/>
      <c r="QB512" s="978"/>
      <c r="QC512" s="978"/>
      <c r="QD512" s="978"/>
      <c r="QE512" s="978"/>
      <c r="QF512" s="978"/>
      <c r="QG512" s="978"/>
      <c r="QH512" s="978"/>
      <c r="QI512" s="978"/>
      <c r="QJ512" s="978"/>
      <c r="QK512" s="978"/>
      <c r="QL512" s="978"/>
      <c r="QM512" s="978"/>
      <c r="QN512" s="978"/>
      <c r="QO512" s="978"/>
      <c r="QP512" s="978"/>
      <c r="QQ512" s="978"/>
      <c r="QR512" s="978"/>
      <c r="QS512" s="978"/>
      <c r="QT512" s="978"/>
      <c r="QU512" s="978"/>
      <c r="QV512" s="978"/>
      <c r="QW512" s="978"/>
      <c r="QX512" s="978"/>
      <c r="QY512" s="978"/>
      <c r="QZ512" s="978"/>
      <c r="RA512" s="978"/>
      <c r="RB512" s="274"/>
      <c r="RC512" s="274"/>
    </row>
    <row r="513" spans="112:471" ht="17.25">
      <c r="DH513" s="274"/>
      <c r="DI513" s="274"/>
      <c r="DJ513" s="978"/>
      <c r="DK513" s="978"/>
      <c r="DL513" s="978"/>
      <c r="DM513" s="978"/>
      <c r="DN513" s="978"/>
      <c r="DO513" s="978"/>
      <c r="DP513" s="978"/>
      <c r="DQ513" s="978"/>
      <c r="DR513" s="978"/>
      <c r="DS513" s="978"/>
      <c r="DT513" s="978"/>
      <c r="DU513" s="978"/>
      <c r="DV513" s="978"/>
      <c r="DW513" s="978"/>
      <c r="DX513" s="978"/>
      <c r="DY513" s="978"/>
      <c r="DZ513" s="978"/>
      <c r="EA513" s="978"/>
      <c r="EB513" s="978"/>
      <c r="EC513" s="978"/>
      <c r="ED513" s="978"/>
      <c r="EE513" s="978"/>
      <c r="EF513" s="978"/>
      <c r="EG513" s="978"/>
      <c r="EH513" s="978"/>
      <c r="EI513" s="978"/>
      <c r="EJ513" s="978"/>
      <c r="EK513" s="978"/>
      <c r="EL513" s="978"/>
      <c r="EM513" s="978"/>
      <c r="EN513" s="978"/>
      <c r="EO513" s="978"/>
      <c r="EP513" s="978"/>
      <c r="EQ513" s="978"/>
      <c r="ER513" s="978"/>
      <c r="ES513" s="978"/>
      <c r="ET513" s="978"/>
      <c r="EU513" s="978"/>
      <c r="EV513" s="978"/>
      <c r="EW513" s="978"/>
      <c r="EX513" s="978"/>
      <c r="EY513" s="978"/>
      <c r="EZ513" s="978"/>
      <c r="FA513" s="978"/>
      <c r="FB513" s="978"/>
      <c r="FC513" s="978"/>
      <c r="FD513" s="978"/>
      <c r="FE513" s="978"/>
      <c r="FF513" s="978"/>
      <c r="FG513" s="978"/>
      <c r="FH513" s="978"/>
      <c r="FI513" s="978"/>
      <c r="FJ513" s="978"/>
      <c r="FK513" s="978"/>
      <c r="FL513" s="978"/>
      <c r="FM513" s="978"/>
      <c r="FN513" s="978"/>
      <c r="FO513" s="978"/>
      <c r="FP513" s="978"/>
      <c r="FQ513" s="978"/>
      <c r="FR513" s="978"/>
      <c r="FS513" s="978"/>
      <c r="FT513" s="978"/>
      <c r="FU513" s="978"/>
      <c r="FV513" s="978"/>
      <c r="FW513" s="978"/>
      <c r="FX513" s="978"/>
      <c r="FY513" s="978"/>
      <c r="FZ513" s="978"/>
      <c r="GA513" s="978"/>
      <c r="GB513" s="978"/>
      <c r="GC513" s="978"/>
      <c r="GD513" s="978"/>
      <c r="GE513" s="978"/>
      <c r="GF513" s="978"/>
      <c r="GG513" s="978"/>
      <c r="GH513" s="978"/>
      <c r="GI513" s="978"/>
      <c r="GJ513" s="978"/>
      <c r="GK513" s="978"/>
      <c r="GL513" s="978"/>
      <c r="GM513" s="978"/>
      <c r="GN513" s="978"/>
      <c r="GO513" s="978"/>
      <c r="GP513" s="978"/>
      <c r="GQ513" s="978"/>
      <c r="GR513" s="978"/>
      <c r="GS513" s="978"/>
      <c r="GT513" s="978"/>
      <c r="GU513" s="978"/>
      <c r="GV513" s="978"/>
      <c r="GW513" s="978"/>
      <c r="GX513" s="978"/>
      <c r="GY513" s="978"/>
      <c r="GZ513" s="978"/>
      <c r="HA513" s="978"/>
      <c r="HB513" s="978"/>
      <c r="HC513" s="978"/>
      <c r="HD513" s="978"/>
      <c r="HE513" s="978"/>
      <c r="HF513" s="978"/>
      <c r="HG513" s="978"/>
      <c r="HH513" s="978"/>
      <c r="HI513" s="978"/>
      <c r="HJ513" s="978"/>
      <c r="HK513" s="978"/>
      <c r="HL513" s="978"/>
      <c r="HM513" s="978"/>
      <c r="HN513" s="978"/>
      <c r="HO513" s="978"/>
      <c r="HP513" s="978"/>
      <c r="HQ513" s="978"/>
      <c r="HR513" s="978"/>
      <c r="HS513" s="978"/>
      <c r="HT513" s="978"/>
      <c r="HU513" s="978"/>
      <c r="HV513" s="978"/>
      <c r="HW513" s="978"/>
      <c r="HX513" s="978"/>
      <c r="HY513" s="978"/>
      <c r="HZ513" s="978"/>
      <c r="IA513" s="978"/>
      <c r="IB513" s="978"/>
      <c r="IC513" s="978"/>
      <c r="ID513" s="978"/>
      <c r="IE513" s="978"/>
      <c r="IF513" s="978"/>
      <c r="IG513" s="978"/>
      <c r="IH513" s="978"/>
      <c r="II513" s="978"/>
      <c r="IJ513" s="978"/>
      <c r="IK513" s="978"/>
      <c r="IL513" s="978"/>
      <c r="IM513" s="978"/>
      <c r="IN513" s="978"/>
      <c r="IO513" s="978"/>
      <c r="IP513" s="978"/>
      <c r="IQ513" s="978"/>
      <c r="IR513" s="978"/>
      <c r="IS513" s="978"/>
      <c r="IT513" s="978"/>
      <c r="IU513" s="978"/>
      <c r="IV513" s="978"/>
      <c r="IW513" s="978"/>
      <c r="IX513" s="978"/>
      <c r="IY513" s="978"/>
      <c r="IZ513" s="978"/>
      <c r="JA513" s="978"/>
      <c r="JB513" s="978"/>
      <c r="JC513" s="978"/>
      <c r="JD513" s="978"/>
      <c r="JE513" s="978"/>
      <c r="JF513" s="978"/>
      <c r="JG513" s="978"/>
      <c r="JH513" s="978"/>
      <c r="JI513" s="978"/>
      <c r="JJ513" s="978"/>
      <c r="JK513" s="978"/>
      <c r="JL513" s="978"/>
      <c r="JM513" s="978"/>
      <c r="JN513" s="978"/>
      <c r="JO513" s="978"/>
      <c r="JP513" s="978"/>
      <c r="JQ513" s="978"/>
      <c r="JR513" s="978"/>
      <c r="JS513" s="978"/>
      <c r="JT513" s="978"/>
      <c r="JU513" s="978"/>
      <c r="JV513" s="978"/>
      <c r="JW513" s="978"/>
      <c r="JX513" s="978"/>
      <c r="JY513" s="978"/>
      <c r="JZ513" s="978"/>
      <c r="KA513" s="978"/>
      <c r="KB513" s="978"/>
      <c r="KC513" s="978"/>
      <c r="KD513" s="978"/>
      <c r="KE513" s="978"/>
      <c r="KF513" s="978"/>
      <c r="KG513" s="978"/>
      <c r="KH513" s="978"/>
      <c r="KI513" s="978"/>
      <c r="KJ513" s="978"/>
      <c r="KK513" s="978"/>
      <c r="KL513" s="978"/>
      <c r="KM513" s="978"/>
      <c r="KN513" s="978"/>
      <c r="KO513" s="978"/>
      <c r="KP513" s="978"/>
      <c r="KQ513" s="978"/>
      <c r="KR513" s="978"/>
      <c r="KS513" s="978"/>
      <c r="KT513" s="978"/>
      <c r="KU513" s="978"/>
      <c r="KV513" s="978"/>
      <c r="KW513" s="978"/>
      <c r="KX513" s="978"/>
      <c r="KY513" s="978"/>
      <c r="KZ513" s="978"/>
      <c r="LA513" s="978"/>
      <c r="LB513" s="978"/>
      <c r="LC513" s="978"/>
      <c r="LD513" s="978"/>
      <c r="LE513" s="978"/>
      <c r="LF513" s="978"/>
      <c r="LG513" s="978"/>
      <c r="LH513" s="978"/>
      <c r="LI513" s="978"/>
      <c r="LJ513" s="978"/>
      <c r="LK513" s="978"/>
      <c r="LL513" s="978"/>
      <c r="LM513" s="978"/>
      <c r="LN513" s="978"/>
      <c r="LO513" s="978"/>
      <c r="LP513" s="978"/>
      <c r="LQ513" s="978"/>
      <c r="LR513" s="978"/>
      <c r="LS513" s="978"/>
      <c r="LT513" s="978"/>
      <c r="LU513" s="978"/>
      <c r="LV513" s="978"/>
      <c r="LW513" s="978"/>
      <c r="LX513" s="978"/>
      <c r="LY513" s="978"/>
      <c r="LZ513" s="978"/>
      <c r="MA513" s="978"/>
      <c r="MB513" s="978"/>
      <c r="MC513" s="978"/>
      <c r="MD513" s="978"/>
      <c r="ME513" s="978"/>
      <c r="MF513" s="978"/>
      <c r="MG513" s="978"/>
      <c r="MH513" s="978"/>
      <c r="MI513" s="978"/>
      <c r="MJ513" s="978"/>
      <c r="MK513" s="978"/>
      <c r="ML513" s="978"/>
      <c r="MM513" s="978"/>
      <c r="MN513" s="978"/>
      <c r="MO513" s="978"/>
      <c r="MP513" s="978"/>
      <c r="MQ513" s="978"/>
      <c r="MR513" s="978"/>
      <c r="MS513" s="978"/>
      <c r="MT513" s="978"/>
      <c r="MU513" s="978"/>
      <c r="MV513" s="978"/>
      <c r="MW513" s="978"/>
      <c r="MX513" s="978"/>
      <c r="MY513" s="978"/>
      <c r="MZ513" s="978"/>
      <c r="NA513" s="978"/>
      <c r="NB513" s="978"/>
      <c r="NC513" s="978"/>
      <c r="ND513" s="978"/>
      <c r="NE513" s="978"/>
      <c r="NF513" s="978"/>
      <c r="NG513" s="978"/>
      <c r="NH513" s="978"/>
      <c r="NI513" s="978"/>
      <c r="NJ513" s="978"/>
      <c r="NK513" s="978"/>
      <c r="NL513" s="978"/>
      <c r="NM513" s="978"/>
      <c r="NN513" s="978"/>
      <c r="NO513" s="978"/>
      <c r="NP513" s="978"/>
      <c r="NQ513" s="978"/>
      <c r="NR513" s="978"/>
      <c r="NS513" s="978"/>
      <c r="NT513" s="978"/>
      <c r="NU513" s="978"/>
      <c r="NV513" s="978"/>
      <c r="NW513" s="978"/>
      <c r="NX513" s="978"/>
      <c r="NY513" s="978"/>
      <c r="NZ513" s="978"/>
      <c r="OA513" s="978"/>
      <c r="OB513" s="978"/>
      <c r="OC513" s="978"/>
      <c r="OD513" s="978"/>
      <c r="OE513" s="978"/>
      <c r="OF513" s="978"/>
      <c r="OG513" s="978"/>
      <c r="OH513" s="978"/>
      <c r="OI513" s="978"/>
      <c r="OJ513" s="978"/>
      <c r="OK513" s="978"/>
      <c r="OL513" s="978"/>
      <c r="OM513" s="978"/>
      <c r="ON513" s="978"/>
      <c r="OO513" s="978"/>
      <c r="OP513" s="978"/>
      <c r="OQ513" s="978"/>
      <c r="OR513" s="978"/>
      <c r="OS513" s="978"/>
      <c r="OT513" s="978"/>
      <c r="OU513" s="978"/>
      <c r="OV513" s="978"/>
      <c r="OW513" s="978"/>
      <c r="OX513" s="978"/>
      <c r="OY513" s="978"/>
      <c r="OZ513" s="978"/>
      <c r="PA513" s="978"/>
      <c r="PB513" s="978"/>
      <c r="PC513" s="978"/>
      <c r="PD513" s="978"/>
      <c r="PE513" s="978"/>
      <c r="PF513" s="978"/>
      <c r="PG513" s="978"/>
      <c r="PH513" s="978"/>
      <c r="PI513" s="978"/>
      <c r="PJ513" s="978"/>
      <c r="PK513" s="978"/>
      <c r="PL513" s="978"/>
      <c r="PM513" s="978"/>
      <c r="PN513" s="978"/>
      <c r="PO513" s="978"/>
      <c r="PP513" s="978"/>
      <c r="PQ513" s="978"/>
      <c r="PR513" s="978"/>
      <c r="PS513" s="978"/>
      <c r="PT513" s="978"/>
      <c r="PU513" s="978"/>
      <c r="PV513" s="978"/>
      <c r="PW513" s="978"/>
      <c r="PX513" s="978"/>
      <c r="PY513" s="978"/>
      <c r="PZ513" s="978"/>
      <c r="QA513" s="978"/>
      <c r="QB513" s="978"/>
      <c r="QC513" s="978"/>
      <c r="QD513" s="978"/>
      <c r="QE513" s="978"/>
      <c r="QF513" s="978"/>
      <c r="QG513" s="978"/>
      <c r="QH513" s="978"/>
      <c r="QI513" s="978"/>
      <c r="QJ513" s="978"/>
      <c r="QK513" s="978"/>
      <c r="QL513" s="978"/>
      <c r="QM513" s="978"/>
      <c r="QN513" s="978"/>
      <c r="QO513" s="978"/>
      <c r="QP513" s="978"/>
      <c r="QQ513" s="978"/>
      <c r="QR513" s="978"/>
      <c r="QS513" s="978"/>
      <c r="QT513" s="978"/>
      <c r="QU513" s="978"/>
      <c r="QV513" s="978"/>
      <c r="QW513" s="978"/>
      <c r="QX513" s="978"/>
      <c r="QY513" s="978"/>
      <c r="QZ513" s="978"/>
      <c r="RA513" s="978"/>
      <c r="RB513" s="274"/>
      <c r="RC513" s="274"/>
    </row>
    <row r="514" spans="112:471" ht="17.25">
      <c r="DH514" s="274"/>
      <c r="DI514" s="274"/>
      <c r="DJ514" s="978"/>
      <c r="DK514" s="978"/>
      <c r="DL514" s="978"/>
      <c r="DM514" s="978"/>
      <c r="DN514" s="978"/>
      <c r="DO514" s="978"/>
      <c r="DP514" s="978"/>
      <c r="DQ514" s="978"/>
      <c r="DR514" s="978"/>
      <c r="DS514" s="978"/>
      <c r="DT514" s="978"/>
      <c r="DU514" s="978"/>
      <c r="DV514" s="978"/>
      <c r="DW514" s="978"/>
      <c r="DX514" s="978"/>
      <c r="DY514" s="978"/>
      <c r="DZ514" s="978"/>
      <c r="EA514" s="978"/>
      <c r="EB514" s="978"/>
      <c r="EC514" s="978"/>
      <c r="ED514" s="978"/>
      <c r="EE514" s="978"/>
      <c r="EF514" s="978"/>
      <c r="EG514" s="978"/>
      <c r="EH514" s="978"/>
      <c r="EI514" s="978"/>
      <c r="EJ514" s="978"/>
      <c r="EK514" s="978"/>
      <c r="EL514" s="978"/>
      <c r="EM514" s="978"/>
      <c r="EN514" s="978"/>
      <c r="EO514" s="978"/>
      <c r="EP514" s="978"/>
      <c r="EQ514" s="978"/>
      <c r="ER514" s="978"/>
      <c r="ES514" s="978"/>
      <c r="ET514" s="978"/>
      <c r="EU514" s="978"/>
      <c r="EV514" s="978"/>
      <c r="EW514" s="978"/>
      <c r="EX514" s="978"/>
      <c r="EY514" s="978"/>
      <c r="EZ514" s="978"/>
      <c r="FA514" s="978"/>
      <c r="FB514" s="978"/>
      <c r="FC514" s="978"/>
      <c r="FD514" s="978"/>
      <c r="FE514" s="978"/>
      <c r="FF514" s="978"/>
      <c r="FG514" s="978"/>
      <c r="FH514" s="978"/>
      <c r="FI514" s="978"/>
      <c r="FJ514" s="978"/>
      <c r="FK514" s="978"/>
      <c r="FL514" s="978"/>
      <c r="FM514" s="978"/>
      <c r="FN514" s="978"/>
      <c r="FO514" s="978"/>
      <c r="FP514" s="978"/>
      <c r="FQ514" s="978"/>
      <c r="FR514" s="978"/>
      <c r="FS514" s="978"/>
      <c r="FT514" s="978"/>
      <c r="FU514" s="978"/>
      <c r="FV514" s="978"/>
      <c r="FW514" s="978"/>
      <c r="FX514" s="978"/>
      <c r="FY514" s="978"/>
      <c r="FZ514" s="978"/>
      <c r="GA514" s="978"/>
      <c r="GB514" s="978"/>
      <c r="GC514" s="978"/>
      <c r="GD514" s="978"/>
      <c r="GE514" s="978"/>
      <c r="GF514" s="978"/>
      <c r="GG514" s="978"/>
      <c r="GH514" s="978"/>
      <c r="GI514" s="978"/>
      <c r="GJ514" s="978"/>
      <c r="GK514" s="978"/>
      <c r="GL514" s="978"/>
      <c r="GM514" s="978"/>
      <c r="GN514" s="978"/>
      <c r="GO514" s="978"/>
      <c r="GP514" s="978"/>
      <c r="GQ514" s="978"/>
      <c r="GR514" s="978"/>
      <c r="GS514" s="978"/>
      <c r="GT514" s="978"/>
      <c r="GU514" s="978"/>
      <c r="GV514" s="978"/>
      <c r="GW514" s="978"/>
      <c r="GX514" s="978"/>
      <c r="GY514" s="978"/>
      <c r="GZ514" s="978"/>
      <c r="HA514" s="978"/>
      <c r="HB514" s="978"/>
      <c r="HC514" s="978"/>
      <c r="HD514" s="978"/>
      <c r="HE514" s="978"/>
      <c r="HF514" s="978"/>
      <c r="HG514" s="978"/>
      <c r="HH514" s="978"/>
      <c r="HI514" s="978"/>
      <c r="HJ514" s="978"/>
      <c r="HK514" s="978"/>
      <c r="HL514" s="978"/>
      <c r="HM514" s="978"/>
      <c r="HN514" s="978"/>
      <c r="HO514" s="978"/>
      <c r="HP514" s="978"/>
      <c r="HQ514" s="978"/>
      <c r="HR514" s="978"/>
      <c r="HS514" s="978"/>
      <c r="HT514" s="978"/>
      <c r="HU514" s="978"/>
      <c r="HV514" s="978"/>
      <c r="HW514" s="978"/>
      <c r="HX514" s="978"/>
      <c r="HY514" s="978"/>
      <c r="HZ514" s="978"/>
      <c r="IA514" s="978"/>
      <c r="IB514" s="978"/>
      <c r="IC514" s="978"/>
      <c r="ID514" s="978"/>
      <c r="IE514" s="978"/>
      <c r="IF514" s="978"/>
      <c r="IG514" s="978"/>
      <c r="IH514" s="978"/>
      <c r="II514" s="978"/>
      <c r="IJ514" s="978"/>
      <c r="IK514" s="978"/>
      <c r="IL514" s="978"/>
      <c r="IM514" s="978"/>
      <c r="IN514" s="978"/>
      <c r="IO514" s="978"/>
      <c r="IP514" s="978"/>
      <c r="IQ514" s="978"/>
      <c r="IR514" s="978"/>
      <c r="IS514" s="978"/>
      <c r="IT514" s="978"/>
      <c r="IU514" s="978"/>
      <c r="IV514" s="978"/>
      <c r="IW514" s="978"/>
      <c r="IX514" s="978"/>
      <c r="IY514" s="978"/>
      <c r="IZ514" s="978"/>
      <c r="JA514" s="978"/>
      <c r="JB514" s="978"/>
      <c r="JC514" s="978"/>
      <c r="JD514" s="978"/>
      <c r="JE514" s="978"/>
      <c r="JF514" s="978"/>
      <c r="JG514" s="978"/>
      <c r="JH514" s="978"/>
      <c r="JI514" s="978"/>
      <c r="JJ514" s="978"/>
      <c r="JK514" s="978"/>
      <c r="JL514" s="978"/>
      <c r="JM514" s="978"/>
      <c r="JN514" s="978"/>
      <c r="JO514" s="978"/>
      <c r="JP514" s="978"/>
      <c r="JQ514" s="978"/>
      <c r="JR514" s="978"/>
      <c r="JS514" s="978"/>
      <c r="JT514" s="978"/>
      <c r="JU514" s="978"/>
      <c r="JV514" s="978"/>
      <c r="JW514" s="978"/>
      <c r="JX514" s="978"/>
      <c r="JY514" s="978"/>
      <c r="JZ514" s="978"/>
      <c r="KA514" s="978"/>
      <c r="KB514" s="978"/>
      <c r="KC514" s="978"/>
      <c r="KD514" s="978"/>
      <c r="KE514" s="978"/>
      <c r="KF514" s="978"/>
      <c r="KG514" s="978"/>
      <c r="KH514" s="978"/>
      <c r="KI514" s="978"/>
      <c r="KJ514" s="978"/>
      <c r="KK514" s="978"/>
      <c r="KL514" s="978"/>
      <c r="KM514" s="978"/>
      <c r="KN514" s="978"/>
      <c r="KO514" s="978"/>
      <c r="KP514" s="978"/>
      <c r="KQ514" s="978"/>
      <c r="KR514" s="978"/>
      <c r="KS514" s="978"/>
      <c r="KT514" s="978"/>
      <c r="KU514" s="978"/>
      <c r="KV514" s="978"/>
      <c r="KW514" s="978"/>
      <c r="KX514" s="978"/>
      <c r="KY514" s="978"/>
      <c r="KZ514" s="978"/>
      <c r="LA514" s="978"/>
      <c r="LB514" s="978"/>
      <c r="LC514" s="978"/>
      <c r="LD514" s="978"/>
      <c r="LE514" s="978"/>
      <c r="LF514" s="978"/>
      <c r="LG514" s="978"/>
      <c r="LH514" s="978"/>
      <c r="LI514" s="978"/>
      <c r="LJ514" s="978"/>
      <c r="LK514" s="978"/>
      <c r="LL514" s="978"/>
      <c r="LM514" s="978"/>
      <c r="LN514" s="978"/>
      <c r="LO514" s="978"/>
      <c r="LP514" s="978"/>
      <c r="LQ514" s="978"/>
      <c r="LR514" s="978"/>
      <c r="LS514" s="978"/>
      <c r="LT514" s="978"/>
      <c r="LU514" s="978"/>
      <c r="LV514" s="978"/>
      <c r="LW514" s="978"/>
      <c r="LX514" s="978"/>
      <c r="LY514" s="978"/>
      <c r="LZ514" s="978"/>
      <c r="MA514" s="978"/>
      <c r="MB514" s="978"/>
      <c r="MC514" s="978"/>
      <c r="MD514" s="978"/>
      <c r="ME514" s="978"/>
      <c r="MF514" s="978"/>
      <c r="MG514" s="978"/>
      <c r="MH514" s="978"/>
      <c r="MI514" s="978"/>
      <c r="MJ514" s="978"/>
      <c r="MK514" s="978"/>
      <c r="ML514" s="978"/>
      <c r="MM514" s="978"/>
      <c r="MN514" s="978"/>
      <c r="MO514" s="978"/>
      <c r="MP514" s="978"/>
      <c r="MQ514" s="978"/>
      <c r="MR514" s="978"/>
      <c r="MS514" s="978"/>
      <c r="MT514" s="978"/>
      <c r="MU514" s="978"/>
      <c r="MV514" s="978"/>
      <c r="MW514" s="978"/>
      <c r="MX514" s="978"/>
      <c r="MY514" s="978"/>
      <c r="MZ514" s="978"/>
      <c r="NA514" s="978"/>
      <c r="NB514" s="978"/>
      <c r="NC514" s="978"/>
      <c r="ND514" s="978"/>
      <c r="NE514" s="978"/>
      <c r="NF514" s="978"/>
      <c r="NG514" s="978"/>
      <c r="NH514" s="978"/>
      <c r="NI514" s="978"/>
      <c r="NJ514" s="978"/>
      <c r="NK514" s="978"/>
      <c r="NL514" s="978"/>
      <c r="NM514" s="978"/>
      <c r="NN514" s="978"/>
      <c r="NO514" s="978"/>
      <c r="NP514" s="978"/>
      <c r="NQ514" s="978"/>
      <c r="NR514" s="978"/>
      <c r="NS514" s="978"/>
      <c r="NT514" s="978"/>
      <c r="NU514" s="978"/>
      <c r="NV514" s="978"/>
      <c r="NW514" s="978"/>
      <c r="NX514" s="978"/>
      <c r="NY514" s="978"/>
      <c r="NZ514" s="978"/>
      <c r="OA514" s="978"/>
      <c r="OB514" s="978"/>
      <c r="OC514" s="978"/>
      <c r="OD514" s="978"/>
      <c r="OE514" s="978"/>
      <c r="OF514" s="978"/>
      <c r="OG514" s="978"/>
      <c r="OH514" s="978"/>
      <c r="OI514" s="978"/>
      <c r="OJ514" s="978"/>
      <c r="OK514" s="978"/>
      <c r="OL514" s="978"/>
      <c r="OM514" s="978"/>
      <c r="ON514" s="978"/>
      <c r="OO514" s="978"/>
      <c r="OP514" s="978"/>
      <c r="OQ514" s="978"/>
      <c r="OR514" s="978"/>
      <c r="OS514" s="978"/>
      <c r="OT514" s="978"/>
      <c r="OU514" s="978"/>
      <c r="OV514" s="978"/>
      <c r="OW514" s="978"/>
      <c r="OX514" s="978"/>
      <c r="OY514" s="978"/>
      <c r="OZ514" s="978"/>
      <c r="PA514" s="978"/>
      <c r="PB514" s="978"/>
      <c r="PC514" s="978"/>
      <c r="PD514" s="978"/>
      <c r="PE514" s="978"/>
      <c r="PF514" s="978"/>
      <c r="PG514" s="978"/>
      <c r="PH514" s="978"/>
      <c r="PI514" s="978"/>
      <c r="PJ514" s="978"/>
      <c r="PK514" s="978"/>
      <c r="PL514" s="978"/>
      <c r="PM514" s="978"/>
      <c r="PN514" s="978"/>
      <c r="PO514" s="978"/>
      <c r="PP514" s="978"/>
      <c r="PQ514" s="978"/>
      <c r="PR514" s="978"/>
      <c r="PS514" s="978"/>
      <c r="PT514" s="978"/>
      <c r="PU514" s="978"/>
      <c r="PV514" s="978"/>
      <c r="PW514" s="978"/>
      <c r="PX514" s="978"/>
      <c r="PY514" s="978"/>
      <c r="PZ514" s="978"/>
      <c r="QA514" s="978"/>
      <c r="QB514" s="978"/>
      <c r="QC514" s="978"/>
      <c r="QD514" s="978"/>
      <c r="QE514" s="978"/>
      <c r="QF514" s="978"/>
      <c r="QG514" s="978"/>
      <c r="QH514" s="978"/>
      <c r="QI514" s="978"/>
      <c r="QJ514" s="978"/>
      <c r="QK514" s="978"/>
      <c r="QL514" s="978"/>
      <c r="QM514" s="978"/>
      <c r="QN514" s="978"/>
      <c r="QO514" s="978"/>
      <c r="QP514" s="978"/>
      <c r="QQ514" s="978"/>
      <c r="QR514" s="978"/>
      <c r="QS514" s="978"/>
      <c r="QT514" s="978"/>
      <c r="QU514" s="978"/>
      <c r="QV514" s="978"/>
      <c r="QW514" s="978"/>
      <c r="QX514" s="978"/>
      <c r="QY514" s="978"/>
      <c r="QZ514" s="978"/>
      <c r="RA514" s="978"/>
      <c r="RB514" s="274"/>
      <c r="RC514" s="274"/>
    </row>
    <row r="515" spans="112:471" ht="17.25">
      <c r="DH515" s="274"/>
      <c r="DI515" s="274"/>
      <c r="DJ515" s="978"/>
      <c r="DK515" s="978"/>
      <c r="DL515" s="978"/>
      <c r="DM515" s="978"/>
      <c r="DN515" s="978"/>
      <c r="DO515" s="978"/>
      <c r="DP515" s="978"/>
      <c r="DQ515" s="978"/>
      <c r="DR515" s="978"/>
      <c r="DS515" s="978"/>
      <c r="DT515" s="978"/>
      <c r="DU515" s="978"/>
      <c r="DV515" s="978"/>
      <c r="DW515" s="978"/>
      <c r="DX515" s="978"/>
      <c r="DY515" s="978"/>
      <c r="DZ515" s="978"/>
      <c r="EA515" s="978"/>
      <c r="EB515" s="978"/>
      <c r="EC515" s="978"/>
      <c r="ED515" s="978"/>
      <c r="EE515" s="978"/>
      <c r="EF515" s="978"/>
      <c r="EG515" s="978"/>
      <c r="EH515" s="978"/>
      <c r="EI515" s="978"/>
      <c r="EJ515" s="978"/>
      <c r="EK515" s="978"/>
      <c r="EL515" s="978"/>
      <c r="EM515" s="978"/>
      <c r="EN515" s="978"/>
      <c r="EO515" s="978"/>
      <c r="EP515" s="978"/>
      <c r="EQ515" s="978"/>
      <c r="ER515" s="978"/>
      <c r="ES515" s="978"/>
      <c r="ET515" s="978"/>
      <c r="EU515" s="978"/>
      <c r="EV515" s="978"/>
      <c r="EW515" s="978"/>
      <c r="EX515" s="978"/>
      <c r="EY515" s="978"/>
      <c r="EZ515" s="978"/>
      <c r="FA515" s="978"/>
      <c r="FB515" s="978"/>
      <c r="FC515" s="978"/>
      <c r="FD515" s="978"/>
      <c r="FE515" s="978"/>
      <c r="FF515" s="978"/>
      <c r="FG515" s="978"/>
      <c r="FH515" s="978"/>
      <c r="FI515" s="978"/>
      <c r="FJ515" s="978"/>
      <c r="FK515" s="978"/>
      <c r="FL515" s="978"/>
      <c r="FM515" s="978"/>
      <c r="FN515" s="978"/>
      <c r="FO515" s="978"/>
      <c r="FP515" s="978"/>
      <c r="FQ515" s="978"/>
      <c r="FR515" s="978"/>
      <c r="FS515" s="978"/>
      <c r="FT515" s="978"/>
      <c r="FU515" s="978"/>
      <c r="FV515" s="978"/>
      <c r="FW515" s="978"/>
      <c r="FX515" s="978"/>
      <c r="FY515" s="978"/>
      <c r="FZ515" s="978"/>
      <c r="GA515" s="978"/>
      <c r="GB515" s="978"/>
      <c r="GC515" s="978"/>
      <c r="GD515" s="978"/>
      <c r="GE515" s="978"/>
      <c r="GF515" s="978"/>
      <c r="GG515" s="978"/>
      <c r="GH515" s="978"/>
      <c r="GI515" s="978"/>
      <c r="GJ515" s="978"/>
      <c r="GK515" s="978"/>
      <c r="GL515" s="978"/>
      <c r="GM515" s="978"/>
      <c r="GN515" s="978"/>
      <c r="GO515" s="978"/>
      <c r="GP515" s="978"/>
      <c r="GQ515" s="978"/>
      <c r="GR515" s="978"/>
      <c r="GS515" s="978"/>
      <c r="GT515" s="978"/>
      <c r="GU515" s="978"/>
      <c r="GV515" s="978"/>
      <c r="GW515" s="978"/>
      <c r="GX515" s="978"/>
      <c r="GY515" s="978"/>
      <c r="GZ515" s="978"/>
      <c r="HA515" s="978"/>
      <c r="HB515" s="978"/>
      <c r="HC515" s="978"/>
      <c r="HD515" s="978"/>
      <c r="HE515" s="978"/>
      <c r="HF515" s="978"/>
      <c r="HG515" s="978"/>
      <c r="HH515" s="978"/>
      <c r="HI515" s="978"/>
      <c r="HJ515" s="978"/>
      <c r="HK515" s="978"/>
      <c r="HL515" s="978"/>
      <c r="HM515" s="978"/>
      <c r="HN515" s="978"/>
      <c r="HO515" s="978"/>
      <c r="HP515" s="978"/>
      <c r="HQ515" s="978"/>
      <c r="HR515" s="978"/>
      <c r="HS515" s="978"/>
      <c r="HT515" s="978"/>
      <c r="HU515" s="978"/>
      <c r="HV515" s="978"/>
      <c r="HW515" s="978"/>
      <c r="HX515" s="978"/>
      <c r="HY515" s="978"/>
      <c r="HZ515" s="978"/>
      <c r="IA515" s="978"/>
      <c r="IB515" s="978"/>
      <c r="IC515" s="978"/>
      <c r="ID515" s="978"/>
      <c r="IE515" s="978"/>
      <c r="IF515" s="978"/>
      <c r="IG515" s="978"/>
      <c r="IH515" s="978"/>
      <c r="II515" s="978"/>
      <c r="IJ515" s="978"/>
      <c r="IK515" s="978"/>
      <c r="IL515" s="978"/>
      <c r="IM515" s="978"/>
      <c r="IN515" s="978"/>
      <c r="IO515" s="978"/>
      <c r="IP515" s="978"/>
      <c r="IQ515" s="978"/>
      <c r="IR515" s="978"/>
      <c r="IS515" s="978"/>
      <c r="IT515" s="978"/>
      <c r="IU515" s="978"/>
      <c r="IV515" s="978"/>
      <c r="IW515" s="978"/>
      <c r="IX515" s="978"/>
      <c r="IY515" s="978"/>
      <c r="IZ515" s="978"/>
      <c r="JA515" s="978"/>
      <c r="JB515" s="978"/>
      <c r="JC515" s="978"/>
      <c r="JD515" s="978"/>
      <c r="JE515" s="978"/>
      <c r="JF515" s="978"/>
      <c r="JG515" s="978"/>
      <c r="JH515" s="978"/>
      <c r="JI515" s="978"/>
      <c r="JJ515" s="978"/>
      <c r="JK515" s="978"/>
      <c r="JL515" s="978"/>
      <c r="JM515" s="978"/>
      <c r="JN515" s="978"/>
      <c r="JO515" s="978"/>
      <c r="JP515" s="978"/>
      <c r="JQ515" s="978"/>
      <c r="JR515" s="978"/>
      <c r="JS515" s="978"/>
      <c r="JT515" s="978"/>
      <c r="JU515" s="978"/>
      <c r="JV515" s="978"/>
      <c r="JW515" s="978"/>
      <c r="JX515" s="978"/>
      <c r="JY515" s="978"/>
      <c r="JZ515" s="978"/>
      <c r="KA515" s="978"/>
      <c r="KB515" s="978"/>
      <c r="KC515" s="978"/>
      <c r="KD515" s="978"/>
      <c r="KE515" s="978"/>
      <c r="KF515" s="978"/>
      <c r="KG515" s="978"/>
      <c r="KH515" s="978"/>
      <c r="KI515" s="978"/>
      <c r="KJ515" s="978"/>
      <c r="KK515" s="978"/>
      <c r="KL515" s="978"/>
      <c r="KM515" s="978"/>
      <c r="KN515" s="978"/>
      <c r="KO515" s="978"/>
      <c r="KP515" s="978"/>
      <c r="KQ515" s="978"/>
      <c r="KR515" s="978"/>
      <c r="KS515" s="978"/>
      <c r="KT515" s="978"/>
      <c r="KU515" s="978"/>
      <c r="KV515" s="978"/>
      <c r="KW515" s="978"/>
      <c r="KX515" s="978"/>
      <c r="KY515" s="978"/>
      <c r="KZ515" s="978"/>
      <c r="LA515" s="978"/>
      <c r="LB515" s="978"/>
      <c r="LC515" s="978"/>
      <c r="LD515" s="978"/>
      <c r="LE515" s="978"/>
      <c r="LF515" s="978"/>
      <c r="LG515" s="978"/>
      <c r="LH515" s="978"/>
      <c r="LI515" s="978"/>
      <c r="LJ515" s="978"/>
      <c r="LK515" s="978"/>
      <c r="LL515" s="978"/>
      <c r="LM515" s="978"/>
      <c r="LN515" s="978"/>
      <c r="LO515" s="978"/>
      <c r="LP515" s="978"/>
      <c r="LQ515" s="978"/>
      <c r="LR515" s="978"/>
      <c r="LS515" s="978"/>
      <c r="LT515" s="978"/>
      <c r="LU515" s="978"/>
      <c r="LV515" s="978"/>
      <c r="LW515" s="978"/>
      <c r="LX515" s="978"/>
      <c r="LY515" s="978"/>
      <c r="LZ515" s="978"/>
      <c r="MA515" s="978"/>
      <c r="MB515" s="978"/>
      <c r="MC515" s="978"/>
      <c r="MD515" s="978"/>
      <c r="ME515" s="978"/>
      <c r="MF515" s="978"/>
      <c r="MG515" s="978"/>
      <c r="MH515" s="978"/>
      <c r="MI515" s="978"/>
      <c r="MJ515" s="978"/>
      <c r="MK515" s="978"/>
      <c r="ML515" s="978"/>
      <c r="MM515" s="978"/>
      <c r="MN515" s="978"/>
      <c r="MO515" s="978"/>
      <c r="MP515" s="978"/>
      <c r="MQ515" s="978"/>
      <c r="MR515" s="978"/>
      <c r="MS515" s="978"/>
      <c r="MT515" s="978"/>
      <c r="MU515" s="978"/>
      <c r="MV515" s="978"/>
      <c r="MW515" s="978"/>
      <c r="MX515" s="978"/>
      <c r="MY515" s="978"/>
      <c r="MZ515" s="978"/>
      <c r="NA515" s="978"/>
      <c r="NB515" s="978"/>
      <c r="NC515" s="978"/>
      <c r="ND515" s="978"/>
      <c r="NE515" s="978"/>
      <c r="NF515" s="978"/>
      <c r="NG515" s="978"/>
      <c r="NH515" s="978"/>
      <c r="NI515" s="978"/>
      <c r="NJ515" s="978"/>
      <c r="NK515" s="978"/>
      <c r="NL515" s="978"/>
      <c r="NM515" s="978"/>
      <c r="NN515" s="978"/>
      <c r="NO515" s="978"/>
      <c r="NP515" s="978"/>
      <c r="NQ515" s="978"/>
      <c r="NR515" s="978"/>
      <c r="NS515" s="978"/>
      <c r="NT515" s="978"/>
      <c r="NU515" s="978"/>
      <c r="NV515" s="978"/>
      <c r="NW515" s="978"/>
      <c r="NX515" s="978"/>
      <c r="NY515" s="978"/>
      <c r="NZ515" s="978"/>
      <c r="OA515" s="978"/>
      <c r="OB515" s="978"/>
      <c r="OC515" s="978"/>
      <c r="OD515" s="978"/>
      <c r="OE515" s="978"/>
      <c r="OF515" s="978"/>
      <c r="OG515" s="978"/>
      <c r="OH515" s="978"/>
      <c r="OI515" s="978"/>
      <c r="OJ515" s="978"/>
      <c r="OK515" s="978"/>
      <c r="OL515" s="978"/>
      <c r="OM515" s="978"/>
      <c r="ON515" s="978"/>
      <c r="OO515" s="978"/>
      <c r="OP515" s="978"/>
      <c r="OQ515" s="978"/>
      <c r="OR515" s="978"/>
      <c r="OS515" s="978"/>
      <c r="OT515" s="978"/>
      <c r="OU515" s="978"/>
      <c r="OV515" s="978"/>
      <c r="OW515" s="978"/>
      <c r="OX515" s="978"/>
      <c r="OY515" s="978"/>
      <c r="OZ515" s="978"/>
      <c r="PA515" s="978"/>
      <c r="PB515" s="978"/>
      <c r="PC515" s="978"/>
      <c r="PD515" s="978"/>
      <c r="PE515" s="978"/>
      <c r="PF515" s="978"/>
      <c r="PG515" s="978"/>
      <c r="PH515" s="978"/>
      <c r="PI515" s="978"/>
      <c r="PJ515" s="978"/>
      <c r="PK515" s="978"/>
      <c r="PL515" s="978"/>
      <c r="PM515" s="978"/>
      <c r="PN515" s="978"/>
      <c r="PO515" s="978"/>
      <c r="PP515" s="978"/>
      <c r="PQ515" s="978"/>
      <c r="PR515" s="978"/>
      <c r="PS515" s="978"/>
      <c r="PT515" s="978"/>
      <c r="PU515" s="978"/>
      <c r="PV515" s="978"/>
      <c r="PW515" s="978"/>
      <c r="PX515" s="978"/>
      <c r="PY515" s="978"/>
      <c r="PZ515" s="978"/>
      <c r="QA515" s="978"/>
      <c r="QB515" s="978"/>
      <c r="QC515" s="978"/>
      <c r="QD515" s="978"/>
      <c r="QE515" s="978"/>
      <c r="QF515" s="978"/>
      <c r="QG515" s="978"/>
      <c r="QH515" s="978"/>
      <c r="QI515" s="978"/>
      <c r="QJ515" s="978"/>
      <c r="QK515" s="978"/>
      <c r="QL515" s="978"/>
      <c r="QM515" s="978"/>
      <c r="QN515" s="978"/>
      <c r="QO515" s="978"/>
      <c r="QP515" s="978"/>
      <c r="QQ515" s="978"/>
      <c r="QR515" s="978"/>
      <c r="QS515" s="978"/>
      <c r="QT515" s="978"/>
      <c r="QU515" s="978"/>
      <c r="QV515" s="978"/>
      <c r="QW515" s="978"/>
      <c r="QX515" s="978"/>
      <c r="QY515" s="978"/>
      <c r="QZ515" s="978"/>
      <c r="RA515" s="978"/>
      <c r="RB515" s="274"/>
      <c r="RC515" s="274"/>
    </row>
    <row r="516" spans="112:471">
      <c r="DH516" s="274"/>
      <c r="DI516" s="274"/>
      <c r="DJ516" s="274"/>
      <c r="DK516" s="274"/>
      <c r="DL516" s="274"/>
      <c r="DM516" s="274"/>
      <c r="DN516" s="274"/>
      <c r="DO516" s="274"/>
      <c r="DP516" s="274"/>
      <c r="DQ516" s="274"/>
      <c r="DR516" s="274"/>
      <c r="DS516" s="274"/>
      <c r="DT516" s="274"/>
      <c r="DU516" s="274"/>
      <c r="DV516" s="274"/>
      <c r="DW516" s="274"/>
      <c r="DX516" s="274"/>
      <c r="DY516" s="274"/>
      <c r="DZ516" s="274"/>
      <c r="EA516" s="274"/>
      <c r="EB516" s="274"/>
      <c r="EC516" s="274"/>
      <c r="ED516" s="274"/>
      <c r="EE516" s="274"/>
      <c r="EF516" s="274"/>
      <c r="EG516" s="274"/>
      <c r="EH516" s="274"/>
      <c r="EI516" s="274"/>
      <c r="EJ516" s="274"/>
      <c r="EK516" s="274"/>
      <c r="EL516" s="274"/>
      <c r="EM516" s="274"/>
      <c r="EN516" s="274"/>
      <c r="EO516" s="274"/>
      <c r="EP516" s="274"/>
      <c r="EQ516" s="274"/>
      <c r="ER516" s="274"/>
      <c r="ES516" s="274"/>
      <c r="ET516" s="274"/>
      <c r="EU516" s="274"/>
      <c r="EV516" s="274"/>
      <c r="EW516" s="274"/>
      <c r="EX516" s="274"/>
      <c r="EY516" s="274"/>
      <c r="EZ516" s="274"/>
      <c r="FA516" s="274"/>
      <c r="FB516" s="274"/>
      <c r="FC516" s="274"/>
      <c r="FD516" s="274"/>
      <c r="FE516" s="274"/>
      <c r="FF516" s="274"/>
      <c r="FG516" s="274"/>
      <c r="FH516" s="274"/>
      <c r="FI516" s="274"/>
      <c r="FJ516" s="274"/>
      <c r="FK516" s="274"/>
      <c r="FL516" s="274"/>
      <c r="FM516" s="274"/>
      <c r="FN516" s="274"/>
      <c r="FO516" s="274"/>
      <c r="FP516" s="274"/>
      <c r="FQ516" s="274"/>
      <c r="FR516" s="274"/>
      <c r="FS516" s="274"/>
      <c r="FT516" s="274"/>
      <c r="FU516" s="274"/>
      <c r="FV516" s="274"/>
      <c r="FW516" s="274"/>
      <c r="FX516" s="274"/>
      <c r="FY516" s="274"/>
      <c r="FZ516" s="274"/>
      <c r="GA516" s="274"/>
      <c r="GB516" s="274"/>
      <c r="GC516" s="274"/>
      <c r="GD516" s="274"/>
      <c r="GE516" s="274"/>
      <c r="GF516" s="274"/>
      <c r="GG516" s="274"/>
      <c r="GH516" s="274"/>
      <c r="GI516" s="274"/>
      <c r="GJ516" s="274"/>
      <c r="GK516" s="274"/>
      <c r="GL516" s="274"/>
      <c r="GM516" s="274"/>
      <c r="GN516" s="274"/>
      <c r="GO516" s="274"/>
      <c r="GP516" s="274"/>
      <c r="GQ516" s="274"/>
      <c r="GR516" s="274"/>
      <c r="GS516" s="274"/>
      <c r="GT516" s="274"/>
      <c r="GU516" s="274"/>
      <c r="GV516" s="274"/>
      <c r="GW516" s="274"/>
      <c r="GX516" s="274"/>
      <c r="GY516" s="274"/>
      <c r="GZ516" s="274"/>
      <c r="HA516" s="274"/>
      <c r="HB516" s="274"/>
      <c r="HC516" s="274"/>
      <c r="HD516" s="274"/>
      <c r="HE516" s="274"/>
      <c r="HF516" s="274"/>
      <c r="HG516" s="274"/>
      <c r="HH516" s="274"/>
      <c r="HI516" s="274"/>
      <c r="HJ516" s="274"/>
      <c r="HK516" s="274"/>
      <c r="HL516" s="274"/>
      <c r="HM516" s="274"/>
      <c r="HN516" s="274"/>
      <c r="HO516" s="274"/>
      <c r="HP516" s="274"/>
      <c r="HQ516" s="274"/>
      <c r="HR516" s="274"/>
      <c r="HS516" s="274"/>
      <c r="HT516" s="274"/>
      <c r="HU516" s="274"/>
      <c r="HV516" s="274"/>
      <c r="HW516" s="274"/>
      <c r="HX516" s="274"/>
      <c r="HY516" s="274"/>
      <c r="HZ516" s="274"/>
      <c r="IA516" s="274"/>
      <c r="IB516" s="274"/>
      <c r="IC516" s="274"/>
      <c r="ID516" s="274"/>
      <c r="IE516" s="274"/>
      <c r="IF516" s="274"/>
      <c r="IG516" s="274"/>
      <c r="IH516" s="274"/>
      <c r="II516" s="274"/>
      <c r="IJ516" s="274"/>
      <c r="IK516" s="274"/>
      <c r="IL516" s="274"/>
      <c r="IM516" s="274"/>
      <c r="IN516" s="274"/>
      <c r="IO516" s="274"/>
      <c r="IP516" s="274"/>
      <c r="IQ516" s="274"/>
      <c r="IR516" s="274"/>
      <c r="IS516" s="274"/>
      <c r="IT516" s="274"/>
      <c r="IU516" s="274"/>
      <c r="IV516" s="274"/>
      <c r="IW516" s="274"/>
      <c r="IX516" s="274"/>
      <c r="IY516" s="274"/>
      <c r="IZ516" s="274"/>
      <c r="JA516" s="274"/>
      <c r="JB516" s="274"/>
      <c r="JC516" s="274"/>
      <c r="JD516" s="274"/>
      <c r="JE516" s="274"/>
      <c r="JF516" s="274"/>
      <c r="JG516" s="274"/>
      <c r="JH516" s="274"/>
      <c r="JI516" s="274"/>
      <c r="JJ516" s="274"/>
      <c r="JK516" s="274"/>
      <c r="JL516" s="274"/>
      <c r="JM516" s="274"/>
      <c r="JN516" s="274"/>
      <c r="JO516" s="274"/>
      <c r="JP516" s="274"/>
      <c r="JQ516" s="274"/>
      <c r="JR516" s="274"/>
      <c r="JS516" s="274"/>
      <c r="JT516" s="274"/>
      <c r="JU516" s="274"/>
      <c r="JV516" s="274"/>
      <c r="JW516" s="274"/>
      <c r="JX516" s="274"/>
      <c r="JY516" s="274"/>
      <c r="JZ516" s="274"/>
      <c r="KA516" s="274"/>
      <c r="KB516" s="274"/>
      <c r="KC516" s="274"/>
      <c r="KD516" s="274"/>
      <c r="KE516" s="274"/>
      <c r="KF516" s="274"/>
      <c r="KG516" s="274"/>
      <c r="KH516" s="274"/>
      <c r="KI516" s="274"/>
      <c r="KJ516" s="274"/>
      <c r="KK516" s="274"/>
      <c r="KL516" s="274"/>
      <c r="KM516" s="274"/>
      <c r="KN516" s="274"/>
      <c r="KO516" s="274"/>
      <c r="KP516" s="274"/>
      <c r="KQ516" s="274"/>
      <c r="KR516" s="274"/>
      <c r="KS516" s="274"/>
      <c r="KT516" s="274"/>
      <c r="KU516" s="274"/>
      <c r="KV516" s="274"/>
      <c r="KW516" s="274"/>
      <c r="KX516" s="274"/>
      <c r="KY516" s="274"/>
      <c r="KZ516" s="274"/>
      <c r="LA516" s="274"/>
      <c r="LB516" s="274"/>
      <c r="LC516" s="274"/>
      <c r="LD516" s="274"/>
      <c r="LE516" s="274"/>
      <c r="LF516" s="274"/>
      <c r="LG516" s="274"/>
      <c r="LH516" s="274"/>
      <c r="LI516" s="274"/>
      <c r="LJ516" s="274"/>
      <c r="LK516" s="274"/>
      <c r="LL516" s="274"/>
      <c r="LM516" s="274"/>
      <c r="LN516" s="274"/>
      <c r="LO516" s="274"/>
      <c r="LP516" s="274"/>
      <c r="LQ516" s="274"/>
      <c r="LR516" s="274"/>
      <c r="LS516" s="274"/>
      <c r="LT516" s="274"/>
      <c r="LU516" s="274"/>
      <c r="LV516" s="274"/>
      <c r="LW516" s="274"/>
      <c r="LX516" s="274"/>
      <c r="LY516" s="274"/>
      <c r="LZ516" s="274"/>
      <c r="MA516" s="274"/>
      <c r="MB516" s="274"/>
      <c r="MC516" s="274"/>
      <c r="MD516" s="274"/>
      <c r="ME516" s="274"/>
      <c r="MF516" s="274"/>
      <c r="MG516" s="274"/>
      <c r="MH516" s="274"/>
      <c r="MI516" s="274"/>
      <c r="MJ516" s="274"/>
      <c r="MK516" s="274"/>
      <c r="ML516" s="274"/>
      <c r="MM516" s="274"/>
      <c r="MN516" s="274"/>
      <c r="MO516" s="274"/>
      <c r="MP516" s="274"/>
      <c r="MQ516" s="274"/>
      <c r="MR516" s="274"/>
      <c r="MS516" s="274"/>
      <c r="MT516" s="274"/>
      <c r="MU516" s="274"/>
      <c r="MV516" s="274"/>
      <c r="MW516" s="274"/>
      <c r="MX516" s="274"/>
      <c r="MY516" s="274"/>
      <c r="MZ516" s="274"/>
      <c r="NA516" s="274"/>
      <c r="NB516" s="274"/>
      <c r="NC516" s="274"/>
      <c r="ND516" s="274"/>
      <c r="NE516" s="274"/>
      <c r="NF516" s="274"/>
      <c r="NG516" s="274"/>
      <c r="NH516" s="274"/>
      <c r="NI516" s="274"/>
      <c r="NJ516" s="274"/>
      <c r="NK516" s="274"/>
      <c r="NL516" s="274"/>
      <c r="NM516" s="274"/>
      <c r="NN516" s="274"/>
      <c r="NO516" s="274"/>
      <c r="NP516" s="274"/>
      <c r="NQ516" s="274"/>
      <c r="NR516" s="274"/>
      <c r="NS516" s="274"/>
      <c r="NT516" s="274"/>
      <c r="NU516" s="274"/>
      <c r="NV516" s="274"/>
      <c r="NW516" s="274"/>
      <c r="NX516" s="274"/>
      <c r="NY516" s="274"/>
      <c r="NZ516" s="274"/>
      <c r="OA516" s="274"/>
      <c r="OB516" s="274"/>
      <c r="OC516" s="274"/>
      <c r="OD516" s="274"/>
      <c r="OE516" s="274"/>
      <c r="OF516" s="274"/>
      <c r="OG516" s="274"/>
      <c r="OH516" s="274"/>
      <c r="OI516" s="274"/>
      <c r="OJ516" s="274"/>
      <c r="OK516" s="274"/>
      <c r="OL516" s="274"/>
      <c r="OM516" s="274"/>
      <c r="ON516" s="274"/>
      <c r="OO516" s="274"/>
      <c r="OP516" s="274"/>
      <c r="OQ516" s="274"/>
      <c r="OR516" s="274"/>
      <c r="OS516" s="274"/>
      <c r="OT516" s="274"/>
      <c r="OU516" s="274"/>
      <c r="OV516" s="274"/>
      <c r="OW516" s="274"/>
      <c r="OX516" s="274"/>
      <c r="OY516" s="274"/>
      <c r="OZ516" s="274"/>
      <c r="PA516" s="274"/>
      <c r="PB516" s="274"/>
      <c r="PC516" s="274"/>
      <c r="PD516" s="274"/>
      <c r="PE516" s="274"/>
      <c r="PF516" s="274"/>
      <c r="PG516" s="274"/>
      <c r="PH516" s="274"/>
      <c r="PI516" s="274"/>
      <c r="PJ516" s="274"/>
      <c r="PK516" s="274"/>
      <c r="PL516" s="274"/>
      <c r="PM516" s="274"/>
      <c r="PN516" s="274"/>
      <c r="PO516" s="274"/>
      <c r="PP516" s="274"/>
      <c r="PQ516" s="274"/>
      <c r="PR516" s="274"/>
      <c r="PS516" s="274"/>
      <c r="PT516" s="274"/>
      <c r="PU516" s="274"/>
      <c r="PV516" s="274"/>
      <c r="PW516" s="274"/>
      <c r="PX516" s="274"/>
      <c r="PY516" s="274"/>
      <c r="PZ516" s="274"/>
      <c r="QA516" s="274"/>
      <c r="QB516" s="274"/>
      <c r="QC516" s="274"/>
      <c r="QD516" s="274"/>
      <c r="QE516" s="274"/>
      <c r="QF516" s="274"/>
      <c r="QG516" s="274"/>
      <c r="QH516" s="274"/>
      <c r="QI516" s="274"/>
      <c r="QJ516" s="274"/>
      <c r="QK516" s="274"/>
      <c r="QL516" s="274"/>
      <c r="QM516" s="274"/>
      <c r="QN516" s="274"/>
      <c r="QO516" s="274"/>
      <c r="QP516" s="274"/>
      <c r="QQ516" s="274"/>
      <c r="QR516" s="274"/>
      <c r="QS516" s="274"/>
      <c r="QT516" s="274"/>
      <c r="QU516" s="274"/>
      <c r="QV516" s="274"/>
      <c r="QW516" s="274"/>
      <c r="QX516" s="274"/>
      <c r="QY516" s="274"/>
      <c r="QZ516" s="274"/>
      <c r="RA516" s="274"/>
      <c r="RB516" s="274"/>
      <c r="RC516" s="274"/>
    </row>
    <row r="517" spans="112:471">
      <c r="DH517" s="274"/>
      <c r="DI517" s="274"/>
      <c r="DJ517" s="274"/>
      <c r="DK517" s="274"/>
      <c r="DL517" s="274"/>
      <c r="DM517" s="274"/>
      <c r="DN517" s="274"/>
      <c r="DO517" s="274"/>
      <c r="DP517" s="274"/>
      <c r="DQ517" s="274"/>
      <c r="DR517" s="274"/>
      <c r="DS517" s="274"/>
      <c r="DT517" s="274"/>
      <c r="DU517" s="274"/>
      <c r="DV517" s="274"/>
      <c r="DW517" s="274"/>
      <c r="DX517" s="274"/>
      <c r="DY517" s="274"/>
      <c r="DZ517" s="274"/>
      <c r="EA517" s="274"/>
      <c r="EB517" s="274"/>
      <c r="EC517" s="274"/>
      <c r="ED517" s="274"/>
      <c r="EE517" s="274"/>
      <c r="EF517" s="274"/>
      <c r="EG517" s="274"/>
      <c r="EH517" s="274"/>
      <c r="EI517" s="274"/>
      <c r="EJ517" s="274"/>
      <c r="EK517" s="274"/>
      <c r="EL517" s="274"/>
      <c r="EM517" s="274"/>
      <c r="EN517" s="274"/>
      <c r="EO517" s="274"/>
      <c r="EP517" s="274"/>
      <c r="EQ517" s="274"/>
      <c r="ER517" s="274"/>
      <c r="ES517" s="274"/>
      <c r="ET517" s="274"/>
      <c r="EU517" s="274"/>
      <c r="EV517" s="274"/>
      <c r="EW517" s="274"/>
      <c r="EX517" s="274"/>
      <c r="EY517" s="274"/>
      <c r="EZ517" s="274"/>
      <c r="FA517" s="274"/>
      <c r="FB517" s="274"/>
      <c r="FC517" s="274"/>
      <c r="FD517" s="274"/>
      <c r="FE517" s="274"/>
      <c r="FF517" s="274"/>
      <c r="FG517" s="274"/>
      <c r="FH517" s="274"/>
      <c r="FI517" s="274"/>
      <c r="FJ517" s="274"/>
      <c r="FK517" s="274"/>
      <c r="FL517" s="274"/>
      <c r="FM517" s="274"/>
      <c r="FN517" s="274"/>
      <c r="FO517" s="274"/>
      <c r="FP517" s="274"/>
      <c r="FQ517" s="274"/>
      <c r="FR517" s="274"/>
      <c r="FS517" s="274"/>
      <c r="FT517" s="274"/>
      <c r="FU517" s="274"/>
      <c r="FV517" s="274"/>
      <c r="FW517" s="274"/>
      <c r="FX517" s="274"/>
      <c r="FY517" s="274"/>
      <c r="FZ517" s="274"/>
      <c r="GA517" s="274"/>
      <c r="GB517" s="274"/>
      <c r="GC517" s="274"/>
      <c r="GD517" s="274"/>
      <c r="GE517" s="274"/>
      <c r="GF517" s="274"/>
      <c r="GG517" s="274"/>
      <c r="GH517" s="274"/>
      <c r="GI517" s="274"/>
      <c r="GJ517" s="274"/>
      <c r="GK517" s="274"/>
      <c r="GL517" s="274"/>
      <c r="GM517" s="274"/>
      <c r="GN517" s="274"/>
      <c r="GO517" s="274"/>
      <c r="GP517" s="274"/>
      <c r="GQ517" s="274"/>
      <c r="GR517" s="274"/>
      <c r="GS517" s="274"/>
      <c r="GT517" s="274"/>
      <c r="GU517" s="274"/>
      <c r="GV517" s="274"/>
      <c r="GW517" s="274"/>
      <c r="GX517" s="274"/>
      <c r="GY517" s="274"/>
      <c r="GZ517" s="274"/>
      <c r="HA517" s="274"/>
      <c r="HB517" s="274"/>
      <c r="HC517" s="274"/>
      <c r="HD517" s="274"/>
      <c r="HE517" s="274"/>
      <c r="HF517" s="274"/>
      <c r="HG517" s="274"/>
      <c r="HH517" s="274"/>
      <c r="HI517" s="274"/>
      <c r="HJ517" s="274"/>
      <c r="HK517" s="274"/>
      <c r="HL517" s="274"/>
      <c r="HM517" s="274"/>
      <c r="HN517" s="274"/>
      <c r="HO517" s="274"/>
      <c r="HP517" s="274"/>
      <c r="HQ517" s="274"/>
      <c r="HR517" s="274"/>
      <c r="HS517" s="274"/>
      <c r="HT517" s="274"/>
      <c r="HU517" s="274"/>
      <c r="HV517" s="274"/>
      <c r="HW517" s="274"/>
      <c r="HX517" s="274"/>
      <c r="HY517" s="274"/>
      <c r="HZ517" s="274"/>
      <c r="IA517" s="274"/>
      <c r="IB517" s="274"/>
      <c r="IC517" s="274"/>
      <c r="ID517" s="274"/>
      <c r="IE517" s="274"/>
      <c r="IF517" s="274"/>
      <c r="IG517" s="274"/>
      <c r="IH517" s="274"/>
      <c r="II517" s="274"/>
      <c r="IJ517" s="274"/>
      <c r="IK517" s="274"/>
      <c r="IL517" s="274"/>
      <c r="IM517" s="274"/>
      <c r="IN517" s="274"/>
      <c r="IO517" s="274"/>
      <c r="IP517" s="274"/>
      <c r="IQ517" s="274"/>
      <c r="IR517" s="274"/>
      <c r="IS517" s="274"/>
      <c r="IT517" s="274"/>
      <c r="IU517" s="274"/>
      <c r="IV517" s="274"/>
      <c r="IW517" s="274"/>
      <c r="IX517" s="274"/>
      <c r="IY517" s="274"/>
      <c r="IZ517" s="274"/>
      <c r="JA517" s="274"/>
      <c r="JB517" s="274"/>
      <c r="JC517" s="274"/>
      <c r="JD517" s="274"/>
      <c r="JE517" s="274"/>
      <c r="JF517" s="274"/>
      <c r="JG517" s="274"/>
      <c r="JH517" s="274"/>
      <c r="JI517" s="274"/>
      <c r="JJ517" s="274"/>
      <c r="JK517" s="274"/>
      <c r="JL517" s="274"/>
      <c r="JM517" s="274"/>
      <c r="JN517" s="274"/>
      <c r="JO517" s="274"/>
      <c r="JP517" s="274"/>
      <c r="JQ517" s="274"/>
      <c r="JR517" s="274"/>
      <c r="JS517" s="274"/>
      <c r="JT517" s="274"/>
      <c r="JU517" s="274"/>
      <c r="JV517" s="274"/>
      <c r="JW517" s="274"/>
      <c r="JX517" s="274"/>
      <c r="JY517" s="274"/>
      <c r="JZ517" s="274"/>
      <c r="KA517" s="274"/>
      <c r="KB517" s="274"/>
      <c r="KC517" s="274"/>
      <c r="KD517" s="274"/>
      <c r="KE517" s="274"/>
      <c r="KF517" s="274"/>
      <c r="KG517" s="274"/>
      <c r="KH517" s="274"/>
      <c r="KI517" s="274"/>
      <c r="KJ517" s="274"/>
      <c r="KK517" s="274"/>
      <c r="KL517" s="274"/>
      <c r="KM517" s="274"/>
      <c r="KN517" s="274"/>
      <c r="KO517" s="274"/>
      <c r="KP517" s="274"/>
      <c r="KQ517" s="274"/>
      <c r="KR517" s="274"/>
      <c r="KS517" s="274"/>
      <c r="KT517" s="274"/>
      <c r="KU517" s="274"/>
      <c r="KV517" s="274"/>
      <c r="KW517" s="274"/>
      <c r="KX517" s="274"/>
      <c r="KY517" s="274"/>
      <c r="KZ517" s="274"/>
      <c r="LA517" s="274"/>
      <c r="LB517" s="274"/>
      <c r="LC517" s="274"/>
      <c r="LD517" s="274"/>
      <c r="LE517" s="274"/>
      <c r="LF517" s="274"/>
      <c r="LG517" s="274"/>
      <c r="LH517" s="274"/>
      <c r="LI517" s="274"/>
      <c r="LJ517" s="274"/>
      <c r="LK517" s="274"/>
      <c r="LL517" s="274"/>
      <c r="LM517" s="274"/>
      <c r="LN517" s="274"/>
      <c r="LO517" s="274"/>
      <c r="LP517" s="274"/>
      <c r="LQ517" s="274"/>
      <c r="LR517" s="274"/>
      <c r="LS517" s="274"/>
      <c r="LT517" s="274"/>
      <c r="LU517" s="274"/>
      <c r="LV517" s="274"/>
      <c r="LW517" s="274"/>
      <c r="LX517" s="274"/>
      <c r="LY517" s="274"/>
      <c r="LZ517" s="274"/>
      <c r="MA517" s="274"/>
      <c r="MB517" s="274"/>
      <c r="MC517" s="274"/>
      <c r="MD517" s="274"/>
      <c r="ME517" s="274"/>
      <c r="MF517" s="274"/>
      <c r="MG517" s="274"/>
      <c r="MH517" s="274"/>
      <c r="MI517" s="274"/>
      <c r="MJ517" s="274"/>
      <c r="MK517" s="274"/>
      <c r="ML517" s="274"/>
      <c r="MM517" s="274"/>
      <c r="MN517" s="274"/>
      <c r="MO517" s="274"/>
      <c r="MP517" s="274"/>
      <c r="MQ517" s="274"/>
      <c r="MR517" s="274"/>
      <c r="MS517" s="274"/>
      <c r="MT517" s="274"/>
      <c r="MU517" s="274"/>
      <c r="MV517" s="274"/>
      <c r="MW517" s="274"/>
      <c r="MX517" s="274"/>
      <c r="MY517" s="274"/>
      <c r="MZ517" s="274"/>
      <c r="NA517" s="274"/>
      <c r="NB517" s="274"/>
      <c r="NC517" s="274"/>
      <c r="ND517" s="274"/>
      <c r="NE517" s="274"/>
      <c r="NF517" s="274"/>
      <c r="NG517" s="274"/>
      <c r="NH517" s="274"/>
      <c r="NI517" s="274"/>
      <c r="NJ517" s="274"/>
      <c r="NK517" s="274"/>
      <c r="NL517" s="274"/>
      <c r="NM517" s="274"/>
      <c r="NN517" s="274"/>
      <c r="NO517" s="274"/>
      <c r="NP517" s="274"/>
      <c r="NQ517" s="274"/>
      <c r="NR517" s="274"/>
      <c r="NS517" s="274"/>
      <c r="NT517" s="274"/>
      <c r="NU517" s="274"/>
      <c r="NV517" s="274"/>
      <c r="NW517" s="274"/>
      <c r="NX517" s="274"/>
      <c r="NY517" s="274"/>
      <c r="NZ517" s="274"/>
      <c r="OA517" s="274"/>
      <c r="OB517" s="274"/>
      <c r="OC517" s="274"/>
      <c r="OD517" s="274"/>
      <c r="OE517" s="274"/>
      <c r="OF517" s="274"/>
      <c r="OG517" s="274"/>
      <c r="OH517" s="274"/>
      <c r="OI517" s="274"/>
      <c r="OJ517" s="274"/>
      <c r="OK517" s="274"/>
      <c r="OL517" s="274"/>
      <c r="OM517" s="274"/>
      <c r="ON517" s="274"/>
      <c r="OO517" s="274"/>
      <c r="OP517" s="274"/>
      <c r="OQ517" s="274"/>
      <c r="OR517" s="274"/>
      <c r="OS517" s="274"/>
      <c r="OT517" s="274"/>
      <c r="OU517" s="274"/>
      <c r="OV517" s="274"/>
      <c r="OW517" s="274"/>
      <c r="OX517" s="274"/>
      <c r="OY517" s="274"/>
      <c r="OZ517" s="274"/>
      <c r="PA517" s="274"/>
      <c r="PB517" s="274"/>
      <c r="PC517" s="274"/>
      <c r="PD517" s="274"/>
      <c r="PE517" s="274"/>
      <c r="PF517" s="274"/>
      <c r="PG517" s="274"/>
      <c r="PH517" s="274"/>
      <c r="PI517" s="274"/>
      <c r="PJ517" s="274"/>
      <c r="PK517" s="274"/>
      <c r="PL517" s="274"/>
      <c r="PM517" s="274"/>
      <c r="PN517" s="274"/>
      <c r="PO517" s="274"/>
      <c r="PP517" s="274"/>
      <c r="PQ517" s="274"/>
      <c r="PR517" s="274"/>
      <c r="PS517" s="274"/>
      <c r="PT517" s="274"/>
      <c r="PU517" s="274"/>
      <c r="PV517" s="274"/>
      <c r="PW517" s="274"/>
      <c r="PX517" s="274"/>
      <c r="PY517" s="274"/>
      <c r="PZ517" s="274"/>
      <c r="QA517" s="274"/>
      <c r="QB517" s="274"/>
      <c r="QC517" s="274"/>
      <c r="QD517" s="274"/>
      <c r="QE517" s="274"/>
      <c r="QF517" s="274"/>
      <c r="QG517" s="274"/>
      <c r="QH517" s="274"/>
      <c r="QI517" s="274"/>
      <c r="QJ517" s="274"/>
      <c r="QK517" s="274"/>
      <c r="QL517" s="274"/>
      <c r="QM517" s="274"/>
      <c r="QN517" s="274"/>
      <c r="QO517" s="274"/>
      <c r="QP517" s="274"/>
      <c r="QQ517" s="274"/>
      <c r="QR517" s="274"/>
      <c r="QS517" s="274"/>
      <c r="QT517" s="274"/>
      <c r="QU517" s="274"/>
      <c r="QV517" s="274"/>
      <c r="QW517" s="274"/>
      <c r="QX517" s="274"/>
      <c r="QY517" s="274"/>
      <c r="QZ517" s="274"/>
      <c r="RA517" s="274"/>
      <c r="RB517" s="274"/>
      <c r="RC517" s="274"/>
    </row>
    <row r="518" spans="112:471" ht="17.25">
      <c r="DH518" s="274"/>
      <c r="DI518" s="274"/>
      <c r="DJ518" s="978"/>
      <c r="DK518" s="274"/>
      <c r="DL518" s="274"/>
      <c r="DM518" s="274"/>
      <c r="DN518" s="274"/>
      <c r="DO518" s="274"/>
      <c r="DP518" s="274"/>
      <c r="DQ518" s="274"/>
      <c r="DR518" s="274"/>
      <c r="DS518" s="274"/>
      <c r="DT518" s="274"/>
      <c r="DU518" s="274"/>
      <c r="DV518" s="274"/>
      <c r="DW518" s="274"/>
      <c r="DX518" s="274"/>
      <c r="DY518" s="274"/>
      <c r="DZ518" s="274"/>
      <c r="EA518" s="274"/>
      <c r="EB518" s="274"/>
      <c r="EC518" s="274"/>
      <c r="ED518" s="274"/>
      <c r="EE518" s="274"/>
      <c r="EF518" s="274"/>
      <c r="EG518" s="274"/>
      <c r="EH518" s="274"/>
      <c r="EI518" s="274"/>
      <c r="EJ518" s="274"/>
      <c r="EK518" s="274"/>
      <c r="EL518" s="274"/>
      <c r="EM518" s="274"/>
      <c r="EN518" s="274"/>
      <c r="EO518" s="274"/>
      <c r="EP518" s="274"/>
      <c r="EQ518" s="274"/>
      <c r="ER518" s="274"/>
      <c r="ES518" s="274"/>
      <c r="ET518" s="274"/>
      <c r="EU518" s="274"/>
      <c r="EV518" s="274"/>
      <c r="EW518" s="274"/>
      <c r="EX518" s="274"/>
      <c r="EY518" s="274"/>
      <c r="EZ518" s="274"/>
      <c r="FA518" s="274"/>
      <c r="FB518" s="274"/>
      <c r="FC518" s="274"/>
      <c r="FD518" s="274"/>
      <c r="FE518" s="274"/>
      <c r="FF518" s="274"/>
      <c r="FG518" s="274"/>
      <c r="FH518" s="274"/>
      <c r="FI518" s="274"/>
      <c r="FJ518" s="274"/>
      <c r="FK518" s="274"/>
      <c r="FL518" s="274"/>
      <c r="FM518" s="274"/>
      <c r="FN518" s="274"/>
      <c r="FO518" s="274"/>
      <c r="FP518" s="274"/>
      <c r="FQ518" s="274"/>
      <c r="FR518" s="274"/>
      <c r="FS518" s="274"/>
      <c r="FT518" s="274"/>
      <c r="FU518" s="274"/>
      <c r="FV518" s="274"/>
      <c r="FW518" s="274"/>
      <c r="FX518" s="274"/>
      <c r="FY518" s="274"/>
      <c r="FZ518" s="274"/>
      <c r="GA518" s="274"/>
      <c r="GB518" s="274"/>
      <c r="GC518" s="274"/>
      <c r="GD518" s="274"/>
      <c r="GE518" s="274"/>
      <c r="GF518" s="274"/>
      <c r="GG518" s="274"/>
      <c r="GH518" s="274"/>
      <c r="GI518" s="274"/>
      <c r="GJ518" s="274"/>
      <c r="GK518" s="274"/>
      <c r="GL518" s="274"/>
      <c r="GM518" s="274"/>
      <c r="GN518" s="274"/>
      <c r="GO518" s="274"/>
      <c r="GP518" s="274"/>
      <c r="GQ518" s="274"/>
      <c r="GR518" s="274"/>
      <c r="GS518" s="274"/>
      <c r="GT518" s="274"/>
      <c r="GU518" s="274"/>
      <c r="GV518" s="274"/>
      <c r="GW518" s="274"/>
      <c r="GX518" s="274"/>
      <c r="GY518" s="274"/>
      <c r="GZ518" s="274"/>
      <c r="HA518" s="274"/>
      <c r="HB518" s="274"/>
      <c r="HC518" s="274"/>
      <c r="HD518" s="274"/>
      <c r="HE518" s="274"/>
      <c r="HF518" s="274"/>
      <c r="HG518" s="274"/>
      <c r="HH518" s="274"/>
      <c r="HI518" s="274"/>
      <c r="HJ518" s="274"/>
      <c r="HK518" s="274"/>
      <c r="HL518" s="274"/>
      <c r="HM518" s="274"/>
      <c r="HN518" s="274"/>
      <c r="HO518" s="274"/>
      <c r="HP518" s="274"/>
      <c r="HQ518" s="274"/>
      <c r="HR518" s="274"/>
      <c r="HS518" s="274"/>
      <c r="HT518" s="274"/>
      <c r="HU518" s="274"/>
      <c r="HV518" s="274"/>
      <c r="HW518" s="274"/>
      <c r="HX518" s="274"/>
      <c r="HY518" s="274"/>
      <c r="HZ518" s="274"/>
      <c r="IA518" s="274"/>
      <c r="IB518" s="274"/>
      <c r="IC518" s="274"/>
      <c r="ID518" s="274"/>
      <c r="IE518" s="274"/>
      <c r="IF518" s="274"/>
      <c r="IG518" s="274"/>
      <c r="IH518" s="274"/>
      <c r="II518" s="274"/>
      <c r="IJ518" s="274"/>
      <c r="IK518" s="274"/>
      <c r="IL518" s="274"/>
      <c r="IM518" s="274"/>
      <c r="IN518" s="274"/>
      <c r="IO518" s="274"/>
      <c r="IP518" s="274"/>
      <c r="IQ518" s="274"/>
      <c r="IR518" s="274"/>
      <c r="IS518" s="274"/>
      <c r="IT518" s="274"/>
      <c r="IU518" s="274"/>
      <c r="IV518" s="274"/>
      <c r="IW518" s="274"/>
      <c r="IX518" s="274"/>
      <c r="IY518" s="274"/>
      <c r="IZ518" s="274"/>
      <c r="JA518" s="274"/>
      <c r="JB518" s="274"/>
      <c r="JC518" s="274"/>
      <c r="JD518" s="274"/>
      <c r="JE518" s="274"/>
      <c r="JF518" s="274"/>
      <c r="JG518" s="274"/>
      <c r="JH518" s="274"/>
      <c r="JI518" s="274"/>
      <c r="JJ518" s="274"/>
      <c r="JK518" s="274"/>
      <c r="JL518" s="274"/>
      <c r="JM518" s="274"/>
      <c r="JN518" s="274"/>
      <c r="JO518" s="274"/>
      <c r="JP518" s="274"/>
      <c r="JQ518" s="274"/>
      <c r="JR518" s="274"/>
      <c r="JS518" s="274"/>
      <c r="JT518" s="274"/>
      <c r="JU518" s="274"/>
      <c r="JV518" s="274"/>
      <c r="JW518" s="274"/>
      <c r="JX518" s="274"/>
      <c r="JY518" s="274"/>
      <c r="JZ518" s="274"/>
      <c r="KA518" s="274"/>
      <c r="KB518" s="274"/>
      <c r="KC518" s="274"/>
      <c r="KD518" s="274"/>
      <c r="KE518" s="274"/>
      <c r="KF518" s="274"/>
      <c r="KG518" s="274"/>
      <c r="KH518" s="274"/>
      <c r="KI518" s="274"/>
      <c r="KJ518" s="274"/>
      <c r="KK518" s="274"/>
      <c r="KL518" s="274"/>
      <c r="KM518" s="274"/>
      <c r="KN518" s="274"/>
      <c r="KO518" s="274"/>
      <c r="KP518" s="274"/>
      <c r="KQ518" s="274"/>
      <c r="KR518" s="274"/>
      <c r="KS518" s="274"/>
      <c r="KT518" s="274"/>
      <c r="KU518" s="274"/>
      <c r="KV518" s="274"/>
      <c r="KW518" s="274"/>
      <c r="KX518" s="274"/>
      <c r="KY518" s="274"/>
      <c r="KZ518" s="274"/>
      <c r="LA518" s="274"/>
      <c r="LB518" s="274"/>
      <c r="LC518" s="274"/>
      <c r="LD518" s="274"/>
      <c r="LE518" s="274"/>
      <c r="LF518" s="274"/>
      <c r="LG518" s="274"/>
      <c r="LH518" s="274"/>
      <c r="LI518" s="274"/>
      <c r="LJ518" s="274"/>
      <c r="LK518" s="274"/>
      <c r="LL518" s="274"/>
      <c r="LM518" s="274"/>
      <c r="LN518" s="274"/>
      <c r="LO518" s="274"/>
      <c r="LP518" s="274"/>
      <c r="LQ518" s="274"/>
      <c r="LR518" s="274"/>
      <c r="LS518" s="274"/>
      <c r="LT518" s="274"/>
      <c r="LU518" s="274"/>
      <c r="LV518" s="274"/>
      <c r="LW518" s="274"/>
      <c r="LX518" s="274"/>
      <c r="LY518" s="274"/>
      <c r="LZ518" s="274"/>
      <c r="MA518" s="274"/>
      <c r="MB518" s="274"/>
      <c r="MC518" s="274"/>
      <c r="MD518" s="274"/>
      <c r="ME518" s="274"/>
      <c r="MF518" s="274"/>
      <c r="MG518" s="274"/>
      <c r="MH518" s="274"/>
      <c r="MI518" s="274"/>
      <c r="MJ518" s="274"/>
      <c r="MK518" s="274"/>
      <c r="ML518" s="274"/>
      <c r="MM518" s="274"/>
      <c r="MN518" s="274"/>
      <c r="MO518" s="274"/>
      <c r="MP518" s="274"/>
      <c r="MQ518" s="274"/>
      <c r="MR518" s="274"/>
      <c r="MS518" s="274"/>
      <c r="MT518" s="274"/>
      <c r="MU518" s="274"/>
      <c r="MV518" s="274"/>
      <c r="MW518" s="274"/>
      <c r="MX518" s="274"/>
      <c r="MY518" s="274"/>
      <c r="MZ518" s="274"/>
      <c r="NA518" s="274"/>
      <c r="NB518" s="274"/>
      <c r="NC518" s="274"/>
      <c r="ND518" s="274"/>
      <c r="NE518" s="274"/>
      <c r="NF518" s="274"/>
      <c r="NG518" s="274"/>
      <c r="NH518" s="274"/>
      <c r="NI518" s="274"/>
      <c r="NJ518" s="274"/>
      <c r="NK518" s="274"/>
      <c r="NL518" s="274"/>
      <c r="NM518" s="274"/>
      <c r="NN518" s="274"/>
      <c r="NO518" s="274"/>
      <c r="NP518" s="274"/>
      <c r="NQ518" s="274"/>
      <c r="NR518" s="274"/>
      <c r="NS518" s="274"/>
      <c r="NT518" s="274"/>
      <c r="NU518" s="274"/>
      <c r="NV518" s="274"/>
      <c r="NW518" s="274"/>
      <c r="NX518" s="274"/>
      <c r="NY518" s="274"/>
      <c r="NZ518" s="274"/>
      <c r="OA518" s="274"/>
      <c r="OB518" s="274"/>
      <c r="OC518" s="274"/>
      <c r="OD518" s="274"/>
      <c r="OE518" s="274"/>
      <c r="OF518" s="274"/>
      <c r="OG518" s="274"/>
      <c r="OH518" s="274"/>
      <c r="OI518" s="274"/>
      <c r="OJ518" s="274"/>
      <c r="OK518" s="274"/>
      <c r="OL518" s="274"/>
      <c r="OM518" s="274"/>
      <c r="ON518" s="274"/>
      <c r="OO518" s="274"/>
      <c r="OP518" s="274"/>
      <c r="OQ518" s="274"/>
      <c r="OR518" s="274"/>
      <c r="OS518" s="274"/>
      <c r="OT518" s="274"/>
      <c r="OU518" s="274"/>
      <c r="OV518" s="274"/>
      <c r="OW518" s="274"/>
      <c r="OX518" s="274"/>
      <c r="OY518" s="274"/>
      <c r="OZ518" s="274"/>
      <c r="PA518" s="274"/>
      <c r="PB518" s="274"/>
      <c r="PC518" s="274"/>
      <c r="PD518" s="274"/>
      <c r="PE518" s="274"/>
      <c r="PF518" s="274"/>
      <c r="PG518" s="274"/>
      <c r="PH518" s="274"/>
      <c r="PI518" s="274"/>
      <c r="PJ518" s="274"/>
      <c r="PK518" s="274"/>
      <c r="PL518" s="274"/>
      <c r="PM518" s="274"/>
      <c r="PN518" s="274"/>
      <c r="PO518" s="274"/>
      <c r="PP518" s="274"/>
      <c r="PQ518" s="274"/>
      <c r="PR518" s="274"/>
      <c r="PS518" s="274"/>
      <c r="PT518" s="274"/>
      <c r="PU518" s="274"/>
      <c r="PV518" s="274"/>
      <c r="PW518" s="274"/>
      <c r="PX518" s="274"/>
      <c r="PY518" s="274"/>
      <c r="PZ518" s="274"/>
      <c r="QA518" s="274"/>
      <c r="QB518" s="274"/>
      <c r="QC518" s="274"/>
      <c r="QD518" s="274"/>
      <c r="QE518" s="274"/>
      <c r="QF518" s="274"/>
      <c r="QG518" s="274"/>
      <c r="QH518" s="274"/>
      <c r="QI518" s="274"/>
      <c r="QJ518" s="274"/>
      <c r="QK518" s="274"/>
      <c r="QL518" s="274"/>
      <c r="QM518" s="274"/>
      <c r="QN518" s="274"/>
      <c r="QO518" s="274"/>
      <c r="QP518" s="274"/>
      <c r="QQ518" s="274"/>
      <c r="QR518" s="274"/>
      <c r="QS518" s="274"/>
      <c r="QT518" s="274"/>
      <c r="QU518" s="274"/>
      <c r="QV518" s="274"/>
      <c r="QW518" s="274"/>
      <c r="QX518" s="274"/>
      <c r="QY518" s="274"/>
      <c r="QZ518" s="274"/>
      <c r="RA518" s="274"/>
      <c r="RB518" s="274"/>
      <c r="RC518" s="274"/>
    </row>
    <row r="519" spans="112:471" ht="17.25">
      <c r="DH519" s="274"/>
      <c r="DI519" s="274"/>
      <c r="DJ519" s="978"/>
      <c r="DK519" s="978"/>
      <c r="DL519" s="978"/>
      <c r="DM519" s="978"/>
      <c r="DN519" s="978"/>
      <c r="DO519" s="978"/>
      <c r="DP519" s="978"/>
      <c r="DQ519" s="978"/>
      <c r="DR519" s="978"/>
      <c r="DS519" s="978"/>
      <c r="DT519" s="978"/>
      <c r="DU519" s="978"/>
      <c r="DV519" s="978"/>
      <c r="DW519" s="978"/>
      <c r="DX519" s="978"/>
      <c r="DY519" s="978"/>
      <c r="DZ519" s="978"/>
      <c r="EA519" s="978"/>
      <c r="EB519" s="978"/>
      <c r="EC519" s="978"/>
      <c r="ED519" s="978"/>
      <c r="EE519" s="978"/>
      <c r="EF519" s="978"/>
      <c r="EG519" s="978"/>
      <c r="EH519" s="978"/>
      <c r="EI519" s="978"/>
      <c r="EJ519" s="978"/>
      <c r="EK519" s="978"/>
      <c r="EL519" s="978"/>
      <c r="EM519" s="978"/>
      <c r="EN519" s="978"/>
      <c r="EO519" s="978"/>
      <c r="EP519" s="978"/>
      <c r="EQ519" s="978"/>
      <c r="ER519" s="978"/>
      <c r="ES519" s="978"/>
      <c r="ET519" s="978"/>
      <c r="EU519" s="978"/>
      <c r="EV519" s="978"/>
      <c r="EW519" s="978"/>
      <c r="EX519" s="978"/>
      <c r="EY519" s="978"/>
      <c r="EZ519" s="978"/>
      <c r="FA519" s="978"/>
      <c r="FB519" s="978"/>
      <c r="FC519" s="978"/>
      <c r="FD519" s="978"/>
      <c r="FE519" s="978"/>
      <c r="FF519" s="978"/>
      <c r="FG519" s="978"/>
      <c r="FH519" s="978"/>
      <c r="FI519" s="978"/>
      <c r="FJ519" s="978"/>
      <c r="FK519" s="978"/>
      <c r="FL519" s="978"/>
      <c r="FM519" s="978"/>
      <c r="FN519" s="978"/>
      <c r="FO519" s="978"/>
      <c r="FP519" s="978"/>
      <c r="FQ519" s="978"/>
      <c r="FR519" s="978"/>
      <c r="FS519" s="978"/>
      <c r="FT519" s="978"/>
      <c r="FU519" s="978"/>
      <c r="FV519" s="978"/>
      <c r="FW519" s="978"/>
      <c r="FX519" s="978"/>
      <c r="FY519" s="978"/>
      <c r="FZ519" s="978"/>
      <c r="GA519" s="978"/>
      <c r="GB519" s="978"/>
      <c r="GC519" s="978"/>
      <c r="GD519" s="978"/>
      <c r="GE519" s="978"/>
      <c r="GF519" s="978"/>
      <c r="GG519" s="978"/>
      <c r="GH519" s="978"/>
      <c r="GI519" s="978"/>
      <c r="GJ519" s="978"/>
      <c r="GK519" s="978"/>
      <c r="GL519" s="978"/>
      <c r="GM519" s="978"/>
      <c r="GN519" s="978"/>
      <c r="GO519" s="978"/>
      <c r="GP519" s="978"/>
      <c r="GQ519" s="978"/>
      <c r="GR519" s="978"/>
      <c r="GS519" s="978"/>
      <c r="GT519" s="978"/>
      <c r="GU519" s="978"/>
      <c r="GV519" s="978"/>
      <c r="GW519" s="978"/>
      <c r="GX519" s="978"/>
      <c r="GY519" s="978"/>
      <c r="GZ519" s="978"/>
      <c r="HA519" s="978"/>
      <c r="HB519" s="978"/>
      <c r="HC519" s="978"/>
      <c r="HD519" s="978"/>
      <c r="HE519" s="978"/>
      <c r="HF519" s="978"/>
      <c r="HG519" s="978"/>
      <c r="HH519" s="978"/>
      <c r="HI519" s="978"/>
      <c r="HJ519" s="978"/>
      <c r="HK519" s="978"/>
      <c r="HL519" s="978"/>
      <c r="HM519" s="978"/>
      <c r="HN519" s="978"/>
      <c r="HO519" s="978"/>
      <c r="HP519" s="978"/>
      <c r="HQ519" s="978"/>
      <c r="HR519" s="978"/>
      <c r="HS519" s="978"/>
      <c r="HT519" s="978"/>
      <c r="HU519" s="978"/>
      <c r="HV519" s="978"/>
      <c r="HW519" s="978"/>
      <c r="HX519" s="978"/>
      <c r="HY519" s="978"/>
      <c r="HZ519" s="978"/>
      <c r="IA519" s="978"/>
      <c r="IB519" s="978"/>
      <c r="IC519" s="978"/>
      <c r="ID519" s="978"/>
      <c r="IE519" s="978"/>
      <c r="IF519" s="978"/>
      <c r="IG519" s="978"/>
      <c r="IH519" s="978"/>
      <c r="II519" s="978"/>
      <c r="IJ519" s="978"/>
      <c r="IK519" s="978"/>
      <c r="IL519" s="978"/>
      <c r="IM519" s="978"/>
      <c r="IN519" s="978"/>
      <c r="IO519" s="978"/>
      <c r="IP519" s="978"/>
      <c r="IQ519" s="978"/>
      <c r="IR519" s="978"/>
      <c r="IS519" s="978"/>
      <c r="IT519" s="978"/>
      <c r="IU519" s="978"/>
      <c r="IV519" s="978"/>
      <c r="IW519" s="978"/>
      <c r="IX519" s="978"/>
      <c r="IY519" s="978"/>
      <c r="IZ519" s="978"/>
      <c r="JA519" s="978"/>
      <c r="JB519" s="978"/>
      <c r="JC519" s="978"/>
      <c r="JD519" s="978"/>
      <c r="JE519" s="978"/>
      <c r="JF519" s="978"/>
      <c r="JG519" s="978"/>
      <c r="JH519" s="978"/>
      <c r="JI519" s="978"/>
      <c r="JJ519" s="978"/>
      <c r="JK519" s="978"/>
      <c r="JL519" s="978"/>
      <c r="JM519" s="978"/>
      <c r="JN519" s="978"/>
      <c r="JO519" s="978"/>
      <c r="JP519" s="978"/>
      <c r="JQ519" s="978"/>
      <c r="JR519" s="978"/>
      <c r="JS519" s="978"/>
      <c r="JT519" s="978"/>
      <c r="JU519" s="978"/>
      <c r="JV519" s="978"/>
      <c r="JW519" s="978"/>
      <c r="JX519" s="978"/>
      <c r="JY519" s="978"/>
      <c r="JZ519" s="978"/>
      <c r="KA519" s="978"/>
      <c r="KB519" s="978"/>
      <c r="KC519" s="978"/>
      <c r="KD519" s="978"/>
      <c r="KE519" s="978"/>
      <c r="KF519" s="978"/>
      <c r="KG519" s="978"/>
      <c r="KH519" s="978"/>
      <c r="KI519" s="978"/>
      <c r="KJ519" s="978"/>
      <c r="KK519" s="978"/>
      <c r="KL519" s="978"/>
      <c r="KM519" s="978"/>
      <c r="KN519" s="978"/>
      <c r="KO519" s="978"/>
      <c r="KP519" s="978"/>
      <c r="KQ519" s="978"/>
      <c r="KR519" s="978"/>
      <c r="KS519" s="978"/>
      <c r="KT519" s="978"/>
      <c r="KU519" s="978"/>
      <c r="KV519" s="978"/>
      <c r="KW519" s="978"/>
      <c r="KX519" s="978"/>
      <c r="KY519" s="978"/>
      <c r="KZ519" s="978"/>
      <c r="LA519" s="978"/>
      <c r="LB519" s="978"/>
      <c r="LC519" s="978"/>
      <c r="LD519" s="978"/>
      <c r="LE519" s="978"/>
      <c r="LF519" s="978"/>
      <c r="LG519" s="978"/>
      <c r="LH519" s="978"/>
      <c r="LI519" s="978"/>
      <c r="LJ519" s="978"/>
      <c r="LK519" s="978"/>
      <c r="LL519" s="978"/>
      <c r="LM519" s="978"/>
      <c r="LN519" s="978"/>
      <c r="LO519" s="978"/>
      <c r="LP519" s="978"/>
      <c r="LQ519" s="978"/>
      <c r="LR519" s="978"/>
      <c r="LS519" s="978"/>
      <c r="LT519" s="978"/>
      <c r="LU519" s="978"/>
      <c r="LV519" s="978"/>
      <c r="LW519" s="978"/>
      <c r="LX519" s="978"/>
      <c r="LY519" s="978"/>
      <c r="LZ519" s="978"/>
      <c r="MA519" s="978"/>
      <c r="MB519" s="978"/>
      <c r="MC519" s="978"/>
      <c r="MD519" s="978"/>
      <c r="ME519" s="978"/>
      <c r="MF519" s="978"/>
      <c r="MG519" s="978"/>
      <c r="MH519" s="978"/>
      <c r="MI519" s="978"/>
      <c r="MJ519" s="978"/>
      <c r="MK519" s="978"/>
      <c r="ML519" s="978"/>
      <c r="MM519" s="978"/>
      <c r="MN519" s="978"/>
      <c r="MO519" s="978"/>
      <c r="MP519" s="978"/>
      <c r="MQ519" s="978"/>
      <c r="MR519" s="978"/>
      <c r="MS519" s="978"/>
      <c r="MT519" s="978"/>
      <c r="MU519" s="978"/>
      <c r="MV519" s="978"/>
      <c r="MW519" s="978"/>
      <c r="MX519" s="978"/>
      <c r="MY519" s="978"/>
      <c r="MZ519" s="978"/>
      <c r="NA519" s="978"/>
      <c r="NB519" s="978"/>
      <c r="NC519" s="978"/>
      <c r="ND519" s="978"/>
      <c r="NE519" s="978"/>
      <c r="NF519" s="978"/>
      <c r="NG519" s="978"/>
      <c r="NH519" s="978"/>
      <c r="NI519" s="978"/>
      <c r="NJ519" s="978"/>
      <c r="NK519" s="978"/>
      <c r="NL519" s="978"/>
      <c r="NM519" s="978"/>
      <c r="NN519" s="978"/>
      <c r="NO519" s="978"/>
      <c r="NP519" s="978"/>
      <c r="NQ519" s="978"/>
      <c r="NR519" s="978"/>
      <c r="NS519" s="978"/>
      <c r="NT519" s="978"/>
      <c r="NU519" s="978"/>
      <c r="NV519" s="978"/>
      <c r="NW519" s="978"/>
      <c r="NX519" s="978"/>
      <c r="NY519" s="978"/>
      <c r="NZ519" s="978"/>
      <c r="OA519" s="978"/>
      <c r="OB519" s="978"/>
      <c r="OC519" s="978"/>
      <c r="OD519" s="978"/>
      <c r="OE519" s="978"/>
      <c r="OF519" s="978"/>
      <c r="OG519" s="978"/>
      <c r="OH519" s="978"/>
      <c r="OI519" s="978"/>
      <c r="OJ519" s="978"/>
      <c r="OK519" s="978"/>
      <c r="OL519" s="978"/>
      <c r="OM519" s="978"/>
      <c r="ON519" s="978"/>
      <c r="OO519" s="978"/>
      <c r="OP519" s="978"/>
      <c r="OQ519" s="978"/>
      <c r="OR519" s="978"/>
      <c r="OS519" s="978"/>
      <c r="OT519" s="978"/>
      <c r="OU519" s="978"/>
      <c r="OV519" s="978"/>
      <c r="OW519" s="978"/>
      <c r="OX519" s="978"/>
      <c r="OY519" s="978"/>
      <c r="OZ519" s="978"/>
      <c r="PA519" s="978"/>
      <c r="PB519" s="978"/>
      <c r="PC519" s="978"/>
      <c r="PD519" s="978"/>
      <c r="PE519" s="978"/>
      <c r="PF519" s="978"/>
      <c r="PG519" s="978"/>
      <c r="PH519" s="978"/>
      <c r="PI519" s="978"/>
      <c r="PJ519" s="978"/>
      <c r="PK519" s="978"/>
      <c r="PL519" s="978"/>
      <c r="PM519" s="978"/>
      <c r="PN519" s="978"/>
      <c r="PO519" s="978"/>
      <c r="PP519" s="978"/>
      <c r="PQ519" s="978"/>
      <c r="PR519" s="978"/>
      <c r="PS519" s="978"/>
      <c r="PT519" s="978"/>
      <c r="PU519" s="978"/>
      <c r="PV519" s="978"/>
      <c r="PW519" s="978"/>
      <c r="PX519" s="978"/>
      <c r="PY519" s="978"/>
      <c r="PZ519" s="978"/>
      <c r="QA519" s="978"/>
      <c r="QB519" s="978"/>
      <c r="QC519" s="978"/>
      <c r="QD519" s="978"/>
      <c r="QE519" s="978"/>
      <c r="QF519" s="978"/>
      <c r="QG519" s="978"/>
      <c r="QH519" s="978"/>
      <c r="QI519" s="978"/>
      <c r="QJ519" s="978"/>
      <c r="QK519" s="978"/>
      <c r="QL519" s="978"/>
      <c r="QM519" s="978"/>
      <c r="QN519" s="978"/>
      <c r="QO519" s="978"/>
      <c r="QP519" s="978"/>
      <c r="QQ519" s="978"/>
      <c r="QR519" s="978"/>
      <c r="QS519" s="978"/>
      <c r="QT519" s="978"/>
      <c r="QU519" s="978"/>
      <c r="QV519" s="978"/>
      <c r="QW519" s="978"/>
      <c r="QX519" s="978"/>
      <c r="QY519" s="978"/>
      <c r="QZ519" s="978"/>
      <c r="RA519" s="978"/>
      <c r="RB519" s="274"/>
      <c r="RC519" s="274"/>
    </row>
    <row r="520" spans="112:471" ht="17.25">
      <c r="DH520" s="274"/>
      <c r="DI520" s="274"/>
      <c r="DJ520" s="978"/>
      <c r="DK520" s="978"/>
      <c r="DL520" s="978"/>
      <c r="DM520" s="978"/>
      <c r="DN520" s="978"/>
      <c r="DO520" s="978"/>
      <c r="DP520" s="978"/>
      <c r="DQ520" s="978"/>
      <c r="DR520" s="978"/>
      <c r="DS520" s="978"/>
      <c r="DT520" s="978"/>
      <c r="DU520" s="978"/>
      <c r="DV520" s="978"/>
      <c r="DW520" s="978"/>
      <c r="DX520" s="978"/>
      <c r="DY520" s="978"/>
      <c r="DZ520" s="978"/>
      <c r="EA520" s="978"/>
      <c r="EB520" s="978"/>
      <c r="EC520" s="978"/>
      <c r="ED520" s="978"/>
      <c r="EE520" s="978"/>
      <c r="EF520" s="978"/>
      <c r="EG520" s="978"/>
      <c r="EH520" s="978"/>
      <c r="EI520" s="978"/>
      <c r="EJ520" s="978"/>
      <c r="EK520" s="978"/>
      <c r="EL520" s="978"/>
      <c r="EM520" s="978"/>
      <c r="EN520" s="978"/>
      <c r="EO520" s="978"/>
      <c r="EP520" s="978"/>
      <c r="EQ520" s="978"/>
      <c r="ER520" s="978"/>
      <c r="ES520" s="978"/>
      <c r="ET520" s="978"/>
      <c r="EU520" s="978"/>
      <c r="EV520" s="978"/>
      <c r="EW520" s="978"/>
      <c r="EX520" s="978"/>
      <c r="EY520" s="978"/>
      <c r="EZ520" s="978"/>
      <c r="FA520" s="978"/>
      <c r="FB520" s="978"/>
      <c r="FC520" s="978"/>
      <c r="FD520" s="978"/>
      <c r="FE520" s="978"/>
      <c r="FF520" s="978"/>
      <c r="FG520" s="978"/>
      <c r="FH520" s="978"/>
      <c r="FI520" s="978"/>
      <c r="FJ520" s="978"/>
      <c r="FK520" s="978"/>
      <c r="FL520" s="978"/>
      <c r="FM520" s="978"/>
      <c r="FN520" s="978"/>
      <c r="FO520" s="978"/>
      <c r="FP520" s="978"/>
      <c r="FQ520" s="978"/>
      <c r="FR520" s="978"/>
      <c r="FS520" s="978"/>
      <c r="FT520" s="978"/>
      <c r="FU520" s="978"/>
      <c r="FV520" s="978"/>
      <c r="FW520" s="978"/>
      <c r="FX520" s="978"/>
      <c r="FY520" s="978"/>
      <c r="FZ520" s="978"/>
      <c r="GA520" s="978"/>
      <c r="GB520" s="978"/>
      <c r="GC520" s="978"/>
      <c r="GD520" s="978"/>
      <c r="GE520" s="978"/>
      <c r="GF520" s="978"/>
      <c r="GG520" s="978"/>
      <c r="GH520" s="978"/>
      <c r="GI520" s="978"/>
      <c r="GJ520" s="978"/>
      <c r="GK520" s="978"/>
      <c r="GL520" s="978"/>
      <c r="GM520" s="978"/>
      <c r="GN520" s="978"/>
      <c r="GO520" s="978"/>
      <c r="GP520" s="978"/>
      <c r="GQ520" s="978"/>
      <c r="GR520" s="978"/>
      <c r="GS520" s="978"/>
      <c r="GT520" s="978"/>
      <c r="GU520" s="978"/>
      <c r="GV520" s="978"/>
      <c r="GW520" s="978"/>
      <c r="GX520" s="978"/>
      <c r="GY520" s="978"/>
      <c r="GZ520" s="978"/>
      <c r="HA520" s="978"/>
      <c r="HB520" s="978"/>
      <c r="HC520" s="978"/>
      <c r="HD520" s="978"/>
      <c r="HE520" s="978"/>
      <c r="HF520" s="978"/>
      <c r="HG520" s="978"/>
      <c r="HH520" s="978"/>
      <c r="HI520" s="978"/>
      <c r="HJ520" s="978"/>
      <c r="HK520" s="978"/>
      <c r="HL520" s="978"/>
      <c r="HM520" s="978"/>
      <c r="HN520" s="978"/>
      <c r="HO520" s="978"/>
      <c r="HP520" s="978"/>
      <c r="HQ520" s="978"/>
      <c r="HR520" s="978"/>
      <c r="HS520" s="978"/>
      <c r="HT520" s="978"/>
      <c r="HU520" s="978"/>
      <c r="HV520" s="978"/>
      <c r="HW520" s="978"/>
      <c r="HX520" s="978"/>
      <c r="HY520" s="978"/>
      <c r="HZ520" s="978"/>
      <c r="IA520" s="978"/>
      <c r="IB520" s="978"/>
      <c r="IC520" s="978"/>
      <c r="ID520" s="978"/>
      <c r="IE520" s="978"/>
      <c r="IF520" s="978"/>
      <c r="IG520" s="978"/>
      <c r="IH520" s="978"/>
      <c r="II520" s="978"/>
      <c r="IJ520" s="978"/>
      <c r="IK520" s="978"/>
      <c r="IL520" s="978"/>
      <c r="IM520" s="978"/>
      <c r="IN520" s="978"/>
      <c r="IO520" s="978"/>
      <c r="IP520" s="978"/>
      <c r="IQ520" s="978"/>
      <c r="IR520" s="978"/>
      <c r="IS520" s="978"/>
      <c r="IT520" s="978"/>
      <c r="IU520" s="978"/>
      <c r="IV520" s="978"/>
      <c r="IW520" s="978"/>
      <c r="IX520" s="978"/>
      <c r="IY520" s="978"/>
      <c r="IZ520" s="978"/>
      <c r="JA520" s="978"/>
      <c r="JB520" s="978"/>
      <c r="JC520" s="978"/>
      <c r="JD520" s="978"/>
      <c r="JE520" s="978"/>
      <c r="JF520" s="978"/>
      <c r="JG520" s="978"/>
      <c r="JH520" s="978"/>
      <c r="JI520" s="978"/>
      <c r="JJ520" s="978"/>
      <c r="JK520" s="978"/>
      <c r="JL520" s="978"/>
      <c r="JM520" s="978"/>
      <c r="JN520" s="978"/>
      <c r="JO520" s="978"/>
      <c r="JP520" s="978"/>
      <c r="JQ520" s="978"/>
      <c r="JR520" s="978"/>
      <c r="JS520" s="978"/>
      <c r="JT520" s="978"/>
      <c r="JU520" s="978"/>
      <c r="JV520" s="978"/>
      <c r="JW520" s="978"/>
      <c r="JX520" s="978"/>
      <c r="JY520" s="978"/>
      <c r="JZ520" s="978"/>
      <c r="KA520" s="978"/>
      <c r="KB520" s="978"/>
      <c r="KC520" s="978"/>
      <c r="KD520" s="978"/>
      <c r="KE520" s="978"/>
      <c r="KF520" s="978"/>
      <c r="KG520" s="978"/>
      <c r="KH520" s="978"/>
      <c r="KI520" s="978"/>
      <c r="KJ520" s="978"/>
      <c r="KK520" s="978"/>
      <c r="KL520" s="978"/>
      <c r="KM520" s="978"/>
      <c r="KN520" s="978"/>
      <c r="KO520" s="978"/>
      <c r="KP520" s="978"/>
      <c r="KQ520" s="978"/>
      <c r="KR520" s="978"/>
      <c r="KS520" s="978"/>
      <c r="KT520" s="978"/>
      <c r="KU520" s="978"/>
      <c r="KV520" s="978"/>
      <c r="KW520" s="978"/>
      <c r="KX520" s="978"/>
      <c r="KY520" s="978"/>
      <c r="KZ520" s="978"/>
      <c r="LA520" s="978"/>
      <c r="LB520" s="978"/>
      <c r="LC520" s="978"/>
      <c r="LD520" s="978"/>
      <c r="LE520" s="978"/>
      <c r="LF520" s="978"/>
      <c r="LG520" s="978"/>
      <c r="LH520" s="978"/>
      <c r="LI520" s="978"/>
      <c r="LJ520" s="978"/>
      <c r="LK520" s="978"/>
      <c r="LL520" s="978"/>
      <c r="LM520" s="978"/>
      <c r="LN520" s="978"/>
      <c r="LO520" s="978"/>
      <c r="LP520" s="978"/>
      <c r="LQ520" s="978"/>
      <c r="LR520" s="978"/>
      <c r="LS520" s="978"/>
      <c r="LT520" s="978"/>
      <c r="LU520" s="978"/>
      <c r="LV520" s="978"/>
      <c r="LW520" s="978"/>
      <c r="LX520" s="978"/>
      <c r="LY520" s="978"/>
      <c r="LZ520" s="978"/>
      <c r="MA520" s="978"/>
      <c r="MB520" s="978"/>
      <c r="MC520" s="978"/>
      <c r="MD520" s="978"/>
      <c r="ME520" s="978"/>
      <c r="MF520" s="978"/>
      <c r="MG520" s="978"/>
      <c r="MH520" s="978"/>
      <c r="MI520" s="978"/>
      <c r="MJ520" s="978"/>
      <c r="MK520" s="978"/>
      <c r="ML520" s="978"/>
      <c r="MM520" s="978"/>
      <c r="MN520" s="978"/>
      <c r="MO520" s="978"/>
      <c r="MP520" s="978"/>
      <c r="MQ520" s="978"/>
      <c r="MR520" s="978"/>
      <c r="MS520" s="978"/>
      <c r="MT520" s="978"/>
      <c r="MU520" s="978"/>
      <c r="MV520" s="978"/>
      <c r="MW520" s="978"/>
      <c r="MX520" s="978"/>
      <c r="MY520" s="978"/>
      <c r="MZ520" s="978"/>
      <c r="NA520" s="978"/>
      <c r="NB520" s="978"/>
      <c r="NC520" s="978"/>
      <c r="ND520" s="978"/>
      <c r="NE520" s="978"/>
      <c r="NF520" s="978"/>
      <c r="NG520" s="978"/>
      <c r="NH520" s="978"/>
      <c r="NI520" s="978"/>
      <c r="NJ520" s="978"/>
      <c r="NK520" s="978"/>
      <c r="NL520" s="978"/>
      <c r="NM520" s="978"/>
      <c r="NN520" s="978"/>
      <c r="NO520" s="978"/>
      <c r="NP520" s="978"/>
      <c r="NQ520" s="978"/>
      <c r="NR520" s="978"/>
      <c r="NS520" s="978"/>
      <c r="NT520" s="978"/>
      <c r="NU520" s="978"/>
      <c r="NV520" s="978"/>
      <c r="NW520" s="978"/>
      <c r="NX520" s="978"/>
      <c r="NY520" s="978"/>
      <c r="NZ520" s="978"/>
      <c r="OA520" s="978"/>
      <c r="OB520" s="978"/>
      <c r="OC520" s="978"/>
      <c r="OD520" s="978"/>
      <c r="OE520" s="978"/>
      <c r="OF520" s="978"/>
      <c r="OG520" s="978"/>
      <c r="OH520" s="978"/>
      <c r="OI520" s="978"/>
      <c r="OJ520" s="978"/>
      <c r="OK520" s="978"/>
      <c r="OL520" s="978"/>
      <c r="OM520" s="978"/>
      <c r="ON520" s="978"/>
      <c r="OO520" s="978"/>
      <c r="OP520" s="978"/>
      <c r="OQ520" s="978"/>
      <c r="OR520" s="978"/>
      <c r="OS520" s="978"/>
      <c r="OT520" s="978"/>
      <c r="OU520" s="978"/>
      <c r="OV520" s="978"/>
      <c r="OW520" s="978"/>
      <c r="OX520" s="978"/>
      <c r="OY520" s="978"/>
      <c r="OZ520" s="978"/>
      <c r="PA520" s="978"/>
      <c r="PB520" s="978"/>
      <c r="PC520" s="978"/>
      <c r="PD520" s="978"/>
      <c r="PE520" s="978"/>
      <c r="PF520" s="978"/>
      <c r="PG520" s="978"/>
      <c r="PH520" s="978"/>
      <c r="PI520" s="978"/>
      <c r="PJ520" s="978"/>
      <c r="PK520" s="978"/>
      <c r="PL520" s="978"/>
      <c r="PM520" s="978"/>
      <c r="PN520" s="978"/>
      <c r="PO520" s="978"/>
      <c r="PP520" s="978"/>
      <c r="PQ520" s="978"/>
      <c r="PR520" s="978"/>
      <c r="PS520" s="978"/>
      <c r="PT520" s="978"/>
      <c r="PU520" s="978"/>
      <c r="PV520" s="978"/>
      <c r="PW520" s="978"/>
      <c r="PX520" s="978"/>
      <c r="PY520" s="978"/>
      <c r="PZ520" s="978"/>
      <c r="QA520" s="978"/>
      <c r="QB520" s="978"/>
      <c r="QC520" s="978"/>
      <c r="QD520" s="978"/>
      <c r="QE520" s="978"/>
      <c r="QF520" s="978"/>
      <c r="QG520" s="978"/>
      <c r="QH520" s="978"/>
      <c r="QI520" s="978"/>
      <c r="QJ520" s="978"/>
      <c r="QK520" s="978"/>
      <c r="QL520" s="978"/>
      <c r="QM520" s="978"/>
      <c r="QN520" s="978"/>
      <c r="QO520" s="978"/>
      <c r="QP520" s="978"/>
      <c r="QQ520" s="978"/>
      <c r="QR520" s="978"/>
      <c r="QS520" s="978"/>
      <c r="QT520" s="978"/>
      <c r="QU520" s="978"/>
      <c r="QV520" s="978"/>
      <c r="QW520" s="978"/>
      <c r="QX520" s="978"/>
      <c r="QY520" s="978"/>
      <c r="QZ520" s="978"/>
      <c r="RA520" s="978"/>
      <c r="RB520" s="274"/>
      <c r="RC520" s="274"/>
    </row>
    <row r="521" spans="112:471" ht="17.25">
      <c r="DH521" s="274"/>
      <c r="DI521" s="274"/>
      <c r="DJ521" s="978"/>
      <c r="DK521" s="978"/>
      <c r="DL521" s="978"/>
      <c r="DM521" s="978"/>
      <c r="DN521" s="978"/>
      <c r="DO521" s="978"/>
      <c r="DP521" s="978"/>
      <c r="DQ521" s="978"/>
      <c r="DR521" s="978"/>
      <c r="DS521" s="978"/>
      <c r="DT521" s="978"/>
      <c r="DU521" s="978"/>
      <c r="DV521" s="978"/>
      <c r="DW521" s="978"/>
      <c r="DX521" s="978"/>
      <c r="DY521" s="978"/>
      <c r="DZ521" s="978"/>
      <c r="EA521" s="978"/>
      <c r="EB521" s="978"/>
      <c r="EC521" s="978"/>
      <c r="ED521" s="978"/>
      <c r="EE521" s="978"/>
      <c r="EF521" s="978"/>
      <c r="EG521" s="978"/>
      <c r="EH521" s="978"/>
      <c r="EI521" s="978"/>
      <c r="EJ521" s="978"/>
      <c r="EK521" s="978"/>
      <c r="EL521" s="978"/>
      <c r="EM521" s="978"/>
      <c r="EN521" s="978"/>
      <c r="EO521" s="978"/>
      <c r="EP521" s="978"/>
      <c r="EQ521" s="978"/>
      <c r="ER521" s="978"/>
      <c r="ES521" s="978"/>
      <c r="ET521" s="978"/>
      <c r="EU521" s="978"/>
      <c r="EV521" s="978"/>
      <c r="EW521" s="978"/>
      <c r="EX521" s="978"/>
      <c r="EY521" s="978"/>
      <c r="EZ521" s="978"/>
      <c r="FA521" s="978"/>
      <c r="FB521" s="978"/>
      <c r="FC521" s="978"/>
      <c r="FD521" s="978"/>
      <c r="FE521" s="978"/>
      <c r="FF521" s="978"/>
      <c r="FG521" s="978"/>
      <c r="FH521" s="978"/>
      <c r="FI521" s="978"/>
      <c r="FJ521" s="978"/>
      <c r="FK521" s="978"/>
      <c r="FL521" s="978"/>
      <c r="FM521" s="978"/>
      <c r="FN521" s="978"/>
      <c r="FO521" s="978"/>
      <c r="FP521" s="978"/>
      <c r="FQ521" s="978"/>
      <c r="FR521" s="978"/>
      <c r="FS521" s="978"/>
      <c r="FT521" s="978"/>
      <c r="FU521" s="978"/>
      <c r="FV521" s="978"/>
      <c r="FW521" s="978"/>
      <c r="FX521" s="978"/>
      <c r="FY521" s="978"/>
      <c r="FZ521" s="978"/>
      <c r="GA521" s="978"/>
      <c r="GB521" s="978"/>
      <c r="GC521" s="978"/>
      <c r="GD521" s="978"/>
      <c r="GE521" s="978"/>
      <c r="GF521" s="978"/>
      <c r="GG521" s="978"/>
      <c r="GH521" s="978"/>
      <c r="GI521" s="978"/>
      <c r="GJ521" s="978"/>
      <c r="GK521" s="978"/>
      <c r="GL521" s="978"/>
      <c r="GM521" s="978"/>
      <c r="GN521" s="978"/>
      <c r="GO521" s="978"/>
      <c r="GP521" s="978"/>
      <c r="GQ521" s="978"/>
      <c r="GR521" s="978"/>
      <c r="GS521" s="978"/>
      <c r="GT521" s="978"/>
      <c r="GU521" s="978"/>
      <c r="GV521" s="978"/>
      <c r="GW521" s="978"/>
      <c r="GX521" s="978"/>
      <c r="GY521" s="978"/>
      <c r="GZ521" s="978"/>
      <c r="HA521" s="978"/>
      <c r="HB521" s="978"/>
      <c r="HC521" s="978"/>
      <c r="HD521" s="978"/>
      <c r="HE521" s="978"/>
      <c r="HF521" s="978"/>
      <c r="HG521" s="978"/>
      <c r="HH521" s="978"/>
      <c r="HI521" s="978"/>
      <c r="HJ521" s="978"/>
      <c r="HK521" s="978"/>
      <c r="HL521" s="978"/>
      <c r="HM521" s="978"/>
      <c r="HN521" s="978"/>
      <c r="HO521" s="978"/>
      <c r="HP521" s="978"/>
      <c r="HQ521" s="978"/>
      <c r="HR521" s="978"/>
      <c r="HS521" s="978"/>
      <c r="HT521" s="978"/>
      <c r="HU521" s="978"/>
      <c r="HV521" s="978"/>
      <c r="HW521" s="978"/>
      <c r="HX521" s="978"/>
      <c r="HY521" s="978"/>
      <c r="HZ521" s="978"/>
      <c r="IA521" s="978"/>
      <c r="IB521" s="978"/>
      <c r="IC521" s="978"/>
      <c r="ID521" s="978"/>
      <c r="IE521" s="978"/>
      <c r="IF521" s="978"/>
      <c r="IG521" s="978"/>
      <c r="IH521" s="978"/>
      <c r="II521" s="978"/>
      <c r="IJ521" s="978"/>
      <c r="IK521" s="978"/>
      <c r="IL521" s="978"/>
      <c r="IM521" s="978"/>
      <c r="IN521" s="978"/>
      <c r="IO521" s="978"/>
      <c r="IP521" s="978"/>
      <c r="IQ521" s="978"/>
      <c r="IR521" s="978"/>
      <c r="IS521" s="978"/>
      <c r="IT521" s="978"/>
      <c r="IU521" s="978"/>
      <c r="IV521" s="978"/>
      <c r="IW521" s="978"/>
      <c r="IX521" s="978"/>
      <c r="IY521" s="978"/>
      <c r="IZ521" s="978"/>
      <c r="JA521" s="978"/>
      <c r="JB521" s="978"/>
      <c r="JC521" s="978"/>
      <c r="JD521" s="978"/>
      <c r="JE521" s="978"/>
      <c r="JF521" s="978"/>
      <c r="JG521" s="978"/>
      <c r="JH521" s="978"/>
      <c r="JI521" s="978"/>
      <c r="JJ521" s="978"/>
      <c r="JK521" s="978"/>
      <c r="JL521" s="978"/>
      <c r="JM521" s="978"/>
      <c r="JN521" s="978"/>
      <c r="JO521" s="978"/>
      <c r="JP521" s="978"/>
      <c r="JQ521" s="978"/>
      <c r="JR521" s="978"/>
      <c r="JS521" s="978"/>
      <c r="JT521" s="978"/>
      <c r="JU521" s="978"/>
      <c r="JV521" s="978"/>
      <c r="JW521" s="978"/>
      <c r="JX521" s="978"/>
      <c r="JY521" s="978"/>
      <c r="JZ521" s="978"/>
      <c r="KA521" s="978"/>
      <c r="KB521" s="978"/>
      <c r="KC521" s="978"/>
      <c r="KD521" s="978"/>
      <c r="KE521" s="978"/>
      <c r="KF521" s="978"/>
      <c r="KG521" s="978"/>
      <c r="KH521" s="978"/>
      <c r="KI521" s="978"/>
      <c r="KJ521" s="978"/>
      <c r="KK521" s="978"/>
      <c r="KL521" s="978"/>
      <c r="KM521" s="978"/>
      <c r="KN521" s="978"/>
      <c r="KO521" s="978"/>
      <c r="KP521" s="978"/>
      <c r="KQ521" s="978"/>
      <c r="KR521" s="978"/>
      <c r="KS521" s="978"/>
      <c r="KT521" s="978"/>
      <c r="KU521" s="978"/>
      <c r="KV521" s="978"/>
      <c r="KW521" s="978"/>
      <c r="KX521" s="978"/>
      <c r="KY521" s="978"/>
      <c r="KZ521" s="978"/>
      <c r="LA521" s="978"/>
      <c r="LB521" s="978"/>
      <c r="LC521" s="978"/>
      <c r="LD521" s="978"/>
      <c r="LE521" s="978"/>
      <c r="LF521" s="978"/>
      <c r="LG521" s="978"/>
      <c r="LH521" s="978"/>
      <c r="LI521" s="978"/>
      <c r="LJ521" s="978"/>
      <c r="LK521" s="978"/>
      <c r="LL521" s="978"/>
      <c r="LM521" s="978"/>
      <c r="LN521" s="978"/>
      <c r="LO521" s="978"/>
      <c r="LP521" s="978"/>
      <c r="LQ521" s="978"/>
      <c r="LR521" s="978"/>
      <c r="LS521" s="978"/>
      <c r="LT521" s="978"/>
      <c r="LU521" s="978"/>
      <c r="LV521" s="978"/>
      <c r="LW521" s="978"/>
      <c r="LX521" s="978"/>
      <c r="LY521" s="978"/>
      <c r="LZ521" s="978"/>
      <c r="MA521" s="978"/>
      <c r="MB521" s="978"/>
      <c r="MC521" s="978"/>
      <c r="MD521" s="978"/>
      <c r="ME521" s="978"/>
      <c r="MF521" s="978"/>
      <c r="MG521" s="978"/>
      <c r="MH521" s="978"/>
      <c r="MI521" s="978"/>
      <c r="MJ521" s="978"/>
      <c r="MK521" s="978"/>
      <c r="ML521" s="978"/>
      <c r="MM521" s="978"/>
      <c r="MN521" s="978"/>
      <c r="MO521" s="978"/>
      <c r="MP521" s="978"/>
      <c r="MQ521" s="978"/>
      <c r="MR521" s="978"/>
      <c r="MS521" s="978"/>
      <c r="MT521" s="978"/>
      <c r="MU521" s="978"/>
      <c r="MV521" s="978"/>
      <c r="MW521" s="978"/>
      <c r="MX521" s="978"/>
      <c r="MY521" s="978"/>
      <c r="MZ521" s="978"/>
      <c r="NA521" s="978"/>
      <c r="NB521" s="978"/>
      <c r="NC521" s="978"/>
      <c r="ND521" s="978"/>
      <c r="NE521" s="978"/>
      <c r="NF521" s="978"/>
      <c r="NG521" s="978"/>
      <c r="NH521" s="978"/>
      <c r="NI521" s="978"/>
      <c r="NJ521" s="978"/>
      <c r="NK521" s="978"/>
      <c r="NL521" s="978"/>
      <c r="NM521" s="978"/>
      <c r="NN521" s="978"/>
      <c r="NO521" s="978"/>
      <c r="NP521" s="978"/>
      <c r="NQ521" s="978"/>
      <c r="NR521" s="978"/>
      <c r="NS521" s="978"/>
      <c r="NT521" s="978"/>
      <c r="NU521" s="978"/>
      <c r="NV521" s="978"/>
      <c r="NW521" s="978"/>
      <c r="NX521" s="978"/>
      <c r="NY521" s="978"/>
      <c r="NZ521" s="978"/>
      <c r="OA521" s="978"/>
      <c r="OB521" s="978"/>
      <c r="OC521" s="978"/>
      <c r="OD521" s="978"/>
      <c r="OE521" s="978"/>
      <c r="OF521" s="978"/>
      <c r="OG521" s="978"/>
      <c r="OH521" s="978"/>
      <c r="OI521" s="978"/>
      <c r="OJ521" s="978"/>
      <c r="OK521" s="978"/>
      <c r="OL521" s="978"/>
      <c r="OM521" s="978"/>
      <c r="ON521" s="978"/>
      <c r="OO521" s="978"/>
      <c r="OP521" s="978"/>
      <c r="OQ521" s="978"/>
      <c r="OR521" s="978"/>
      <c r="OS521" s="978"/>
      <c r="OT521" s="978"/>
      <c r="OU521" s="978"/>
      <c r="OV521" s="978"/>
      <c r="OW521" s="978"/>
      <c r="OX521" s="978"/>
      <c r="OY521" s="978"/>
      <c r="OZ521" s="978"/>
      <c r="PA521" s="978"/>
      <c r="PB521" s="978"/>
      <c r="PC521" s="978"/>
      <c r="PD521" s="978"/>
      <c r="PE521" s="978"/>
      <c r="PF521" s="978"/>
      <c r="PG521" s="978"/>
      <c r="PH521" s="978"/>
      <c r="PI521" s="978"/>
      <c r="PJ521" s="978"/>
      <c r="PK521" s="978"/>
      <c r="PL521" s="978"/>
      <c r="PM521" s="978"/>
      <c r="PN521" s="978"/>
      <c r="PO521" s="978"/>
      <c r="PP521" s="978"/>
      <c r="PQ521" s="978"/>
      <c r="PR521" s="978"/>
      <c r="PS521" s="978"/>
      <c r="PT521" s="978"/>
      <c r="PU521" s="978"/>
      <c r="PV521" s="978"/>
      <c r="PW521" s="978"/>
      <c r="PX521" s="978"/>
      <c r="PY521" s="978"/>
      <c r="PZ521" s="978"/>
      <c r="QA521" s="978"/>
      <c r="QB521" s="978"/>
      <c r="QC521" s="978"/>
      <c r="QD521" s="978"/>
      <c r="QE521" s="978"/>
      <c r="QF521" s="978"/>
      <c r="QG521" s="978"/>
      <c r="QH521" s="978"/>
      <c r="QI521" s="978"/>
      <c r="QJ521" s="978"/>
      <c r="QK521" s="978"/>
      <c r="QL521" s="978"/>
      <c r="QM521" s="978"/>
      <c r="QN521" s="978"/>
      <c r="QO521" s="978"/>
      <c r="QP521" s="978"/>
      <c r="QQ521" s="978"/>
      <c r="QR521" s="978"/>
      <c r="QS521" s="978"/>
      <c r="QT521" s="978"/>
      <c r="QU521" s="978"/>
      <c r="QV521" s="978"/>
      <c r="QW521" s="978"/>
      <c r="QX521" s="978"/>
      <c r="QY521" s="978"/>
      <c r="QZ521" s="978"/>
      <c r="RA521" s="978"/>
      <c r="RB521" s="274"/>
      <c r="RC521" s="274"/>
    </row>
    <row r="522" spans="112:471" ht="17.25">
      <c r="DH522" s="274"/>
      <c r="DI522" s="274"/>
      <c r="DJ522" s="978"/>
      <c r="DK522" s="978"/>
      <c r="DL522" s="978"/>
      <c r="DM522" s="978"/>
      <c r="DN522" s="978"/>
      <c r="DO522" s="978"/>
      <c r="DP522" s="978"/>
      <c r="DQ522" s="978"/>
      <c r="DR522" s="978"/>
      <c r="DS522" s="978"/>
      <c r="DT522" s="978"/>
      <c r="DU522" s="978"/>
      <c r="DV522" s="978"/>
      <c r="DW522" s="978"/>
      <c r="DX522" s="978"/>
      <c r="DY522" s="978"/>
      <c r="DZ522" s="978"/>
      <c r="EA522" s="978"/>
      <c r="EB522" s="978"/>
      <c r="EC522" s="978"/>
      <c r="ED522" s="978"/>
      <c r="EE522" s="978"/>
      <c r="EF522" s="978"/>
      <c r="EG522" s="978"/>
      <c r="EH522" s="978"/>
      <c r="EI522" s="978"/>
      <c r="EJ522" s="978"/>
      <c r="EK522" s="978"/>
      <c r="EL522" s="978"/>
      <c r="EM522" s="978"/>
      <c r="EN522" s="978"/>
      <c r="EO522" s="978"/>
      <c r="EP522" s="978"/>
      <c r="EQ522" s="978"/>
      <c r="ER522" s="978"/>
      <c r="ES522" s="978"/>
      <c r="ET522" s="978"/>
      <c r="EU522" s="978"/>
      <c r="EV522" s="978"/>
      <c r="EW522" s="978"/>
      <c r="EX522" s="978"/>
      <c r="EY522" s="978"/>
      <c r="EZ522" s="978"/>
      <c r="FA522" s="978"/>
      <c r="FB522" s="978"/>
      <c r="FC522" s="978"/>
      <c r="FD522" s="978"/>
      <c r="FE522" s="978"/>
      <c r="FF522" s="978"/>
      <c r="FG522" s="978"/>
      <c r="FH522" s="978"/>
      <c r="FI522" s="978"/>
      <c r="FJ522" s="978"/>
      <c r="FK522" s="978"/>
      <c r="FL522" s="978"/>
      <c r="FM522" s="978"/>
      <c r="FN522" s="978"/>
      <c r="FO522" s="978"/>
      <c r="FP522" s="978"/>
      <c r="FQ522" s="978"/>
      <c r="FR522" s="978"/>
      <c r="FS522" s="978"/>
      <c r="FT522" s="978"/>
      <c r="FU522" s="978"/>
      <c r="FV522" s="978"/>
      <c r="FW522" s="978"/>
      <c r="FX522" s="978"/>
      <c r="FY522" s="978"/>
      <c r="FZ522" s="978"/>
      <c r="GA522" s="978"/>
      <c r="GB522" s="978"/>
      <c r="GC522" s="978"/>
      <c r="GD522" s="978"/>
      <c r="GE522" s="978"/>
      <c r="GF522" s="978"/>
      <c r="GG522" s="978"/>
      <c r="GH522" s="978"/>
      <c r="GI522" s="978"/>
      <c r="GJ522" s="978"/>
      <c r="GK522" s="978"/>
      <c r="GL522" s="978"/>
      <c r="GM522" s="978"/>
      <c r="GN522" s="978"/>
      <c r="GO522" s="978"/>
      <c r="GP522" s="978"/>
      <c r="GQ522" s="978"/>
      <c r="GR522" s="978"/>
      <c r="GS522" s="978"/>
      <c r="GT522" s="978"/>
      <c r="GU522" s="978"/>
      <c r="GV522" s="978"/>
      <c r="GW522" s="978"/>
      <c r="GX522" s="978"/>
      <c r="GY522" s="978"/>
      <c r="GZ522" s="978"/>
      <c r="HA522" s="978"/>
      <c r="HB522" s="978"/>
      <c r="HC522" s="978"/>
      <c r="HD522" s="978"/>
      <c r="HE522" s="978"/>
      <c r="HF522" s="978"/>
      <c r="HG522" s="978"/>
      <c r="HH522" s="978"/>
      <c r="HI522" s="978"/>
      <c r="HJ522" s="978"/>
      <c r="HK522" s="978"/>
      <c r="HL522" s="978"/>
      <c r="HM522" s="978"/>
      <c r="HN522" s="978"/>
      <c r="HO522" s="978"/>
      <c r="HP522" s="978"/>
      <c r="HQ522" s="978"/>
      <c r="HR522" s="978"/>
      <c r="HS522" s="978"/>
      <c r="HT522" s="978"/>
      <c r="HU522" s="978"/>
      <c r="HV522" s="978"/>
      <c r="HW522" s="978"/>
      <c r="HX522" s="978"/>
      <c r="HY522" s="978"/>
      <c r="HZ522" s="978"/>
      <c r="IA522" s="978"/>
      <c r="IB522" s="978"/>
      <c r="IC522" s="978"/>
      <c r="ID522" s="978"/>
      <c r="IE522" s="978"/>
      <c r="IF522" s="978"/>
      <c r="IG522" s="978"/>
      <c r="IH522" s="978"/>
      <c r="II522" s="978"/>
      <c r="IJ522" s="978"/>
      <c r="IK522" s="978"/>
      <c r="IL522" s="978"/>
      <c r="IM522" s="978"/>
      <c r="IN522" s="978"/>
      <c r="IO522" s="978"/>
      <c r="IP522" s="978"/>
      <c r="IQ522" s="978"/>
      <c r="IR522" s="978"/>
      <c r="IS522" s="978"/>
      <c r="IT522" s="978"/>
      <c r="IU522" s="978"/>
      <c r="IV522" s="978"/>
      <c r="IW522" s="978"/>
      <c r="IX522" s="978"/>
      <c r="IY522" s="978"/>
      <c r="IZ522" s="978"/>
      <c r="JA522" s="978"/>
      <c r="JB522" s="978"/>
      <c r="JC522" s="978"/>
      <c r="JD522" s="978"/>
      <c r="JE522" s="978"/>
      <c r="JF522" s="978"/>
      <c r="JG522" s="978"/>
      <c r="JH522" s="978"/>
      <c r="JI522" s="978"/>
      <c r="JJ522" s="978"/>
      <c r="JK522" s="978"/>
      <c r="JL522" s="978"/>
      <c r="JM522" s="978"/>
      <c r="JN522" s="978"/>
      <c r="JO522" s="978"/>
      <c r="JP522" s="978"/>
      <c r="JQ522" s="978"/>
      <c r="JR522" s="978"/>
      <c r="JS522" s="978"/>
      <c r="JT522" s="978"/>
      <c r="JU522" s="978"/>
      <c r="JV522" s="978"/>
      <c r="JW522" s="978"/>
      <c r="JX522" s="978"/>
      <c r="JY522" s="978"/>
      <c r="JZ522" s="978"/>
      <c r="KA522" s="978"/>
      <c r="KB522" s="978"/>
      <c r="KC522" s="978"/>
      <c r="KD522" s="978"/>
      <c r="KE522" s="978"/>
      <c r="KF522" s="978"/>
      <c r="KG522" s="978"/>
      <c r="KH522" s="978"/>
      <c r="KI522" s="978"/>
      <c r="KJ522" s="978"/>
      <c r="KK522" s="978"/>
      <c r="KL522" s="978"/>
      <c r="KM522" s="978"/>
      <c r="KN522" s="978"/>
      <c r="KO522" s="978"/>
      <c r="KP522" s="978"/>
      <c r="KQ522" s="978"/>
      <c r="KR522" s="978"/>
      <c r="KS522" s="978"/>
      <c r="KT522" s="978"/>
      <c r="KU522" s="978"/>
      <c r="KV522" s="978"/>
      <c r="KW522" s="978"/>
      <c r="KX522" s="978"/>
      <c r="KY522" s="978"/>
      <c r="KZ522" s="978"/>
      <c r="LA522" s="978"/>
      <c r="LB522" s="978"/>
      <c r="LC522" s="978"/>
      <c r="LD522" s="978"/>
      <c r="LE522" s="978"/>
      <c r="LF522" s="978"/>
      <c r="LG522" s="978"/>
      <c r="LH522" s="978"/>
      <c r="LI522" s="978"/>
      <c r="LJ522" s="978"/>
      <c r="LK522" s="978"/>
      <c r="LL522" s="978"/>
      <c r="LM522" s="978"/>
      <c r="LN522" s="978"/>
      <c r="LO522" s="978"/>
      <c r="LP522" s="978"/>
      <c r="LQ522" s="978"/>
      <c r="LR522" s="978"/>
      <c r="LS522" s="978"/>
      <c r="LT522" s="978"/>
      <c r="LU522" s="978"/>
      <c r="LV522" s="978"/>
      <c r="LW522" s="978"/>
      <c r="LX522" s="978"/>
      <c r="LY522" s="978"/>
      <c r="LZ522" s="978"/>
      <c r="MA522" s="978"/>
      <c r="MB522" s="978"/>
      <c r="MC522" s="978"/>
      <c r="MD522" s="978"/>
      <c r="ME522" s="978"/>
      <c r="MF522" s="978"/>
      <c r="MG522" s="978"/>
      <c r="MH522" s="978"/>
      <c r="MI522" s="978"/>
      <c r="MJ522" s="978"/>
      <c r="MK522" s="978"/>
      <c r="ML522" s="978"/>
      <c r="MM522" s="978"/>
      <c r="MN522" s="978"/>
      <c r="MO522" s="978"/>
      <c r="MP522" s="978"/>
      <c r="MQ522" s="978"/>
      <c r="MR522" s="978"/>
      <c r="MS522" s="978"/>
      <c r="MT522" s="978"/>
      <c r="MU522" s="978"/>
      <c r="MV522" s="978"/>
      <c r="MW522" s="978"/>
      <c r="MX522" s="978"/>
      <c r="MY522" s="978"/>
      <c r="MZ522" s="978"/>
      <c r="NA522" s="978"/>
      <c r="NB522" s="978"/>
      <c r="NC522" s="978"/>
      <c r="ND522" s="978"/>
      <c r="NE522" s="978"/>
      <c r="NF522" s="978"/>
      <c r="NG522" s="978"/>
      <c r="NH522" s="978"/>
      <c r="NI522" s="978"/>
      <c r="NJ522" s="978"/>
      <c r="NK522" s="978"/>
      <c r="NL522" s="978"/>
      <c r="NM522" s="978"/>
      <c r="NN522" s="978"/>
      <c r="NO522" s="978"/>
      <c r="NP522" s="978"/>
      <c r="NQ522" s="978"/>
      <c r="NR522" s="978"/>
      <c r="NS522" s="978"/>
      <c r="NT522" s="978"/>
      <c r="NU522" s="978"/>
      <c r="NV522" s="978"/>
      <c r="NW522" s="978"/>
      <c r="NX522" s="978"/>
      <c r="NY522" s="978"/>
      <c r="NZ522" s="978"/>
      <c r="OA522" s="978"/>
      <c r="OB522" s="978"/>
      <c r="OC522" s="978"/>
      <c r="OD522" s="978"/>
      <c r="OE522" s="978"/>
      <c r="OF522" s="978"/>
      <c r="OG522" s="978"/>
      <c r="OH522" s="978"/>
      <c r="OI522" s="978"/>
      <c r="OJ522" s="978"/>
      <c r="OK522" s="978"/>
      <c r="OL522" s="978"/>
      <c r="OM522" s="978"/>
      <c r="ON522" s="978"/>
      <c r="OO522" s="978"/>
      <c r="OP522" s="978"/>
      <c r="OQ522" s="978"/>
      <c r="OR522" s="978"/>
      <c r="OS522" s="978"/>
      <c r="OT522" s="978"/>
      <c r="OU522" s="978"/>
      <c r="OV522" s="978"/>
      <c r="OW522" s="978"/>
      <c r="OX522" s="978"/>
      <c r="OY522" s="978"/>
      <c r="OZ522" s="978"/>
      <c r="PA522" s="978"/>
      <c r="PB522" s="978"/>
      <c r="PC522" s="978"/>
      <c r="PD522" s="978"/>
      <c r="PE522" s="978"/>
      <c r="PF522" s="978"/>
      <c r="PG522" s="978"/>
      <c r="PH522" s="978"/>
      <c r="PI522" s="978"/>
      <c r="PJ522" s="978"/>
      <c r="PK522" s="978"/>
      <c r="PL522" s="978"/>
      <c r="PM522" s="978"/>
      <c r="PN522" s="978"/>
      <c r="PO522" s="978"/>
      <c r="PP522" s="978"/>
      <c r="PQ522" s="978"/>
      <c r="PR522" s="978"/>
      <c r="PS522" s="978"/>
      <c r="PT522" s="978"/>
      <c r="PU522" s="978"/>
      <c r="PV522" s="978"/>
      <c r="PW522" s="978"/>
      <c r="PX522" s="978"/>
      <c r="PY522" s="978"/>
      <c r="PZ522" s="978"/>
      <c r="QA522" s="978"/>
      <c r="QB522" s="978"/>
      <c r="QC522" s="978"/>
      <c r="QD522" s="978"/>
      <c r="QE522" s="978"/>
      <c r="QF522" s="978"/>
      <c r="QG522" s="978"/>
      <c r="QH522" s="978"/>
      <c r="QI522" s="978"/>
      <c r="QJ522" s="978"/>
      <c r="QK522" s="978"/>
      <c r="QL522" s="978"/>
      <c r="QM522" s="978"/>
      <c r="QN522" s="978"/>
      <c r="QO522" s="978"/>
      <c r="QP522" s="978"/>
      <c r="QQ522" s="978"/>
      <c r="QR522" s="978"/>
      <c r="QS522" s="978"/>
      <c r="QT522" s="978"/>
      <c r="QU522" s="978"/>
      <c r="QV522" s="978"/>
      <c r="QW522" s="978"/>
      <c r="QX522" s="978"/>
      <c r="QY522" s="978"/>
      <c r="QZ522" s="978"/>
      <c r="RA522" s="978"/>
      <c r="RB522" s="274"/>
      <c r="RC522" s="274"/>
    </row>
    <row r="523" spans="112:471" ht="17.25">
      <c r="DH523" s="274"/>
      <c r="DI523" s="274"/>
      <c r="DJ523" s="978"/>
      <c r="DK523" s="978"/>
      <c r="DL523" s="978"/>
      <c r="DM523" s="978"/>
      <c r="DN523" s="978"/>
      <c r="DO523" s="978"/>
      <c r="DP523" s="978"/>
      <c r="DQ523" s="978"/>
      <c r="DR523" s="978"/>
      <c r="DS523" s="978"/>
      <c r="DT523" s="978"/>
      <c r="DU523" s="978"/>
      <c r="DV523" s="978"/>
      <c r="DW523" s="978"/>
      <c r="DX523" s="978"/>
      <c r="DY523" s="978"/>
      <c r="DZ523" s="978"/>
      <c r="EA523" s="978"/>
      <c r="EB523" s="978"/>
      <c r="EC523" s="978"/>
      <c r="ED523" s="978"/>
      <c r="EE523" s="978"/>
      <c r="EF523" s="978"/>
      <c r="EG523" s="978"/>
      <c r="EH523" s="978"/>
      <c r="EI523" s="978"/>
      <c r="EJ523" s="978"/>
      <c r="EK523" s="978"/>
      <c r="EL523" s="978"/>
      <c r="EM523" s="978"/>
      <c r="EN523" s="978"/>
      <c r="EO523" s="978"/>
      <c r="EP523" s="978"/>
      <c r="EQ523" s="978"/>
      <c r="ER523" s="978"/>
      <c r="ES523" s="978"/>
      <c r="ET523" s="978"/>
      <c r="EU523" s="978"/>
      <c r="EV523" s="978"/>
      <c r="EW523" s="978"/>
      <c r="EX523" s="978"/>
      <c r="EY523" s="978"/>
      <c r="EZ523" s="978"/>
      <c r="FA523" s="978"/>
      <c r="FB523" s="978"/>
      <c r="FC523" s="978"/>
      <c r="FD523" s="978"/>
      <c r="FE523" s="978"/>
      <c r="FF523" s="978"/>
      <c r="FG523" s="978"/>
      <c r="FH523" s="978"/>
      <c r="FI523" s="978"/>
      <c r="FJ523" s="978"/>
      <c r="FK523" s="978"/>
      <c r="FL523" s="978"/>
      <c r="FM523" s="978"/>
      <c r="FN523" s="978"/>
      <c r="FO523" s="978"/>
      <c r="FP523" s="978"/>
      <c r="FQ523" s="978"/>
      <c r="FR523" s="978"/>
      <c r="FS523" s="978"/>
      <c r="FT523" s="978"/>
      <c r="FU523" s="978"/>
      <c r="FV523" s="978"/>
      <c r="FW523" s="978"/>
      <c r="FX523" s="978"/>
      <c r="FY523" s="978"/>
      <c r="FZ523" s="978"/>
      <c r="GA523" s="978"/>
      <c r="GB523" s="978"/>
      <c r="GC523" s="978"/>
      <c r="GD523" s="978"/>
      <c r="GE523" s="978"/>
      <c r="GF523" s="978"/>
      <c r="GG523" s="978"/>
      <c r="GH523" s="978"/>
      <c r="GI523" s="978"/>
      <c r="GJ523" s="978"/>
      <c r="GK523" s="978"/>
      <c r="GL523" s="978"/>
      <c r="GM523" s="978"/>
      <c r="GN523" s="978"/>
      <c r="GO523" s="978"/>
      <c r="GP523" s="978"/>
      <c r="GQ523" s="978"/>
      <c r="GR523" s="978"/>
      <c r="GS523" s="978"/>
      <c r="GT523" s="978"/>
      <c r="GU523" s="978"/>
      <c r="GV523" s="978"/>
      <c r="GW523" s="978"/>
      <c r="GX523" s="978"/>
      <c r="GY523" s="978"/>
      <c r="GZ523" s="978"/>
      <c r="HA523" s="978"/>
      <c r="HB523" s="978"/>
      <c r="HC523" s="978"/>
      <c r="HD523" s="978"/>
      <c r="HE523" s="978"/>
      <c r="HF523" s="978"/>
      <c r="HG523" s="978"/>
      <c r="HH523" s="978"/>
      <c r="HI523" s="978"/>
      <c r="HJ523" s="978"/>
      <c r="HK523" s="978"/>
      <c r="HL523" s="978"/>
      <c r="HM523" s="978"/>
      <c r="HN523" s="978"/>
      <c r="HO523" s="978"/>
      <c r="HP523" s="978"/>
      <c r="HQ523" s="978"/>
      <c r="HR523" s="978"/>
      <c r="HS523" s="978"/>
      <c r="HT523" s="978"/>
      <c r="HU523" s="978"/>
      <c r="HV523" s="978"/>
      <c r="HW523" s="978"/>
      <c r="HX523" s="978"/>
      <c r="HY523" s="978"/>
      <c r="HZ523" s="978"/>
      <c r="IA523" s="978"/>
      <c r="IB523" s="978"/>
      <c r="IC523" s="978"/>
      <c r="ID523" s="978"/>
      <c r="IE523" s="978"/>
      <c r="IF523" s="978"/>
      <c r="IG523" s="978"/>
      <c r="IH523" s="978"/>
      <c r="II523" s="978"/>
      <c r="IJ523" s="978"/>
      <c r="IK523" s="978"/>
      <c r="IL523" s="978"/>
      <c r="IM523" s="978"/>
      <c r="IN523" s="978"/>
      <c r="IO523" s="978"/>
      <c r="IP523" s="978"/>
      <c r="IQ523" s="978"/>
      <c r="IR523" s="978"/>
      <c r="IS523" s="978"/>
      <c r="IT523" s="978"/>
      <c r="IU523" s="978"/>
      <c r="IV523" s="978"/>
      <c r="IW523" s="978"/>
      <c r="IX523" s="978"/>
      <c r="IY523" s="978"/>
      <c r="IZ523" s="978"/>
      <c r="JA523" s="978"/>
      <c r="JB523" s="978"/>
      <c r="JC523" s="978"/>
      <c r="JD523" s="978"/>
      <c r="JE523" s="978"/>
      <c r="JF523" s="978"/>
      <c r="JG523" s="978"/>
      <c r="JH523" s="978"/>
      <c r="JI523" s="978"/>
      <c r="JJ523" s="978"/>
      <c r="JK523" s="978"/>
      <c r="JL523" s="978"/>
      <c r="JM523" s="978"/>
      <c r="JN523" s="978"/>
      <c r="JO523" s="978"/>
      <c r="JP523" s="978"/>
      <c r="JQ523" s="978"/>
      <c r="JR523" s="978"/>
      <c r="JS523" s="978"/>
      <c r="JT523" s="978"/>
      <c r="JU523" s="978"/>
      <c r="JV523" s="978"/>
      <c r="JW523" s="978"/>
      <c r="JX523" s="978"/>
      <c r="JY523" s="978"/>
      <c r="JZ523" s="978"/>
      <c r="KA523" s="978"/>
      <c r="KB523" s="978"/>
      <c r="KC523" s="978"/>
      <c r="KD523" s="978"/>
      <c r="KE523" s="978"/>
      <c r="KF523" s="978"/>
      <c r="KG523" s="978"/>
      <c r="KH523" s="978"/>
      <c r="KI523" s="978"/>
      <c r="KJ523" s="978"/>
      <c r="KK523" s="978"/>
      <c r="KL523" s="978"/>
      <c r="KM523" s="978"/>
      <c r="KN523" s="978"/>
      <c r="KO523" s="978"/>
      <c r="KP523" s="978"/>
      <c r="KQ523" s="978"/>
      <c r="KR523" s="978"/>
      <c r="KS523" s="978"/>
      <c r="KT523" s="978"/>
      <c r="KU523" s="978"/>
      <c r="KV523" s="978"/>
      <c r="KW523" s="978"/>
      <c r="KX523" s="978"/>
      <c r="KY523" s="978"/>
      <c r="KZ523" s="978"/>
      <c r="LA523" s="978"/>
      <c r="LB523" s="978"/>
      <c r="LC523" s="978"/>
      <c r="LD523" s="978"/>
      <c r="LE523" s="978"/>
      <c r="LF523" s="978"/>
      <c r="LG523" s="978"/>
      <c r="LH523" s="978"/>
      <c r="LI523" s="978"/>
      <c r="LJ523" s="978"/>
      <c r="LK523" s="978"/>
      <c r="LL523" s="978"/>
      <c r="LM523" s="978"/>
      <c r="LN523" s="978"/>
      <c r="LO523" s="978"/>
      <c r="LP523" s="978"/>
      <c r="LQ523" s="978"/>
      <c r="LR523" s="978"/>
      <c r="LS523" s="978"/>
      <c r="LT523" s="978"/>
      <c r="LU523" s="978"/>
      <c r="LV523" s="978"/>
      <c r="LW523" s="978"/>
      <c r="LX523" s="978"/>
      <c r="LY523" s="978"/>
      <c r="LZ523" s="978"/>
      <c r="MA523" s="978"/>
      <c r="MB523" s="978"/>
      <c r="MC523" s="978"/>
      <c r="MD523" s="978"/>
      <c r="ME523" s="978"/>
      <c r="MF523" s="978"/>
      <c r="MG523" s="978"/>
      <c r="MH523" s="978"/>
      <c r="MI523" s="978"/>
      <c r="MJ523" s="978"/>
      <c r="MK523" s="978"/>
      <c r="ML523" s="978"/>
      <c r="MM523" s="978"/>
      <c r="MN523" s="978"/>
      <c r="MO523" s="978"/>
      <c r="MP523" s="978"/>
      <c r="MQ523" s="978"/>
      <c r="MR523" s="978"/>
      <c r="MS523" s="978"/>
      <c r="MT523" s="978"/>
      <c r="MU523" s="978"/>
      <c r="MV523" s="978"/>
      <c r="MW523" s="978"/>
      <c r="MX523" s="978"/>
      <c r="MY523" s="978"/>
      <c r="MZ523" s="978"/>
      <c r="NA523" s="978"/>
      <c r="NB523" s="978"/>
      <c r="NC523" s="978"/>
      <c r="ND523" s="978"/>
      <c r="NE523" s="978"/>
      <c r="NF523" s="978"/>
      <c r="NG523" s="978"/>
      <c r="NH523" s="978"/>
      <c r="NI523" s="978"/>
      <c r="NJ523" s="978"/>
      <c r="NK523" s="978"/>
      <c r="NL523" s="978"/>
      <c r="NM523" s="978"/>
      <c r="NN523" s="978"/>
      <c r="NO523" s="978"/>
      <c r="NP523" s="978"/>
      <c r="NQ523" s="978"/>
      <c r="NR523" s="978"/>
      <c r="NS523" s="978"/>
      <c r="NT523" s="978"/>
      <c r="NU523" s="978"/>
      <c r="NV523" s="978"/>
      <c r="NW523" s="978"/>
      <c r="NX523" s="978"/>
      <c r="NY523" s="978"/>
      <c r="NZ523" s="978"/>
      <c r="OA523" s="978"/>
      <c r="OB523" s="978"/>
      <c r="OC523" s="978"/>
      <c r="OD523" s="978"/>
      <c r="OE523" s="978"/>
      <c r="OF523" s="978"/>
      <c r="OG523" s="978"/>
      <c r="OH523" s="978"/>
      <c r="OI523" s="978"/>
      <c r="OJ523" s="978"/>
      <c r="OK523" s="978"/>
      <c r="OL523" s="978"/>
      <c r="OM523" s="978"/>
      <c r="ON523" s="978"/>
      <c r="OO523" s="978"/>
      <c r="OP523" s="978"/>
      <c r="OQ523" s="978"/>
      <c r="OR523" s="978"/>
      <c r="OS523" s="978"/>
      <c r="OT523" s="978"/>
      <c r="OU523" s="978"/>
      <c r="OV523" s="978"/>
      <c r="OW523" s="978"/>
      <c r="OX523" s="978"/>
      <c r="OY523" s="978"/>
      <c r="OZ523" s="978"/>
      <c r="PA523" s="978"/>
      <c r="PB523" s="978"/>
      <c r="PC523" s="978"/>
      <c r="PD523" s="978"/>
      <c r="PE523" s="978"/>
      <c r="PF523" s="978"/>
      <c r="PG523" s="978"/>
      <c r="PH523" s="978"/>
      <c r="PI523" s="978"/>
      <c r="PJ523" s="978"/>
      <c r="PK523" s="978"/>
      <c r="PL523" s="978"/>
      <c r="PM523" s="978"/>
      <c r="PN523" s="978"/>
      <c r="PO523" s="978"/>
      <c r="PP523" s="978"/>
      <c r="PQ523" s="978"/>
      <c r="PR523" s="978"/>
      <c r="PS523" s="978"/>
      <c r="PT523" s="978"/>
      <c r="PU523" s="978"/>
      <c r="PV523" s="978"/>
      <c r="PW523" s="978"/>
      <c r="PX523" s="978"/>
      <c r="PY523" s="978"/>
      <c r="PZ523" s="978"/>
      <c r="QA523" s="978"/>
      <c r="QB523" s="978"/>
      <c r="QC523" s="978"/>
      <c r="QD523" s="978"/>
      <c r="QE523" s="978"/>
      <c r="QF523" s="978"/>
      <c r="QG523" s="978"/>
      <c r="QH523" s="978"/>
      <c r="QI523" s="978"/>
      <c r="QJ523" s="978"/>
      <c r="QK523" s="978"/>
      <c r="QL523" s="978"/>
      <c r="QM523" s="978"/>
      <c r="QN523" s="978"/>
      <c r="QO523" s="978"/>
      <c r="QP523" s="978"/>
      <c r="QQ523" s="978"/>
      <c r="QR523" s="978"/>
      <c r="QS523" s="978"/>
      <c r="QT523" s="978"/>
      <c r="QU523" s="978"/>
      <c r="QV523" s="978"/>
      <c r="QW523" s="978"/>
      <c r="QX523" s="978"/>
      <c r="QY523" s="978"/>
      <c r="QZ523" s="978"/>
      <c r="RA523" s="978"/>
      <c r="RB523" s="274"/>
      <c r="RC523" s="274"/>
    </row>
    <row r="524" spans="112:471" ht="17.25">
      <c r="DH524" s="274"/>
      <c r="DI524" s="274"/>
      <c r="DJ524" s="978"/>
      <c r="DK524" s="978"/>
      <c r="DL524" s="978"/>
      <c r="DM524" s="978"/>
      <c r="DN524" s="978"/>
      <c r="DO524" s="978"/>
      <c r="DP524" s="978"/>
      <c r="DQ524" s="978"/>
      <c r="DR524" s="978"/>
      <c r="DS524" s="978"/>
      <c r="DT524" s="978"/>
      <c r="DU524" s="978"/>
      <c r="DV524" s="978"/>
      <c r="DW524" s="978"/>
      <c r="DX524" s="978"/>
      <c r="DY524" s="978"/>
      <c r="DZ524" s="978"/>
      <c r="EA524" s="978"/>
      <c r="EB524" s="978"/>
      <c r="EC524" s="978"/>
      <c r="ED524" s="978"/>
      <c r="EE524" s="978"/>
      <c r="EF524" s="978"/>
      <c r="EG524" s="978"/>
      <c r="EH524" s="978"/>
      <c r="EI524" s="978"/>
      <c r="EJ524" s="978"/>
      <c r="EK524" s="978"/>
      <c r="EL524" s="978"/>
      <c r="EM524" s="978"/>
      <c r="EN524" s="978"/>
      <c r="EO524" s="978"/>
      <c r="EP524" s="978"/>
      <c r="EQ524" s="978"/>
      <c r="ER524" s="978"/>
      <c r="ES524" s="978"/>
      <c r="ET524" s="978"/>
      <c r="EU524" s="978"/>
      <c r="EV524" s="978"/>
      <c r="EW524" s="978"/>
      <c r="EX524" s="978"/>
      <c r="EY524" s="978"/>
      <c r="EZ524" s="978"/>
      <c r="FA524" s="978"/>
      <c r="FB524" s="978"/>
      <c r="FC524" s="978"/>
      <c r="FD524" s="978"/>
      <c r="FE524" s="978"/>
      <c r="FF524" s="978"/>
      <c r="FG524" s="978"/>
      <c r="FH524" s="978"/>
      <c r="FI524" s="978"/>
      <c r="FJ524" s="978"/>
      <c r="FK524" s="978"/>
      <c r="FL524" s="978"/>
      <c r="FM524" s="978"/>
      <c r="FN524" s="978"/>
      <c r="FO524" s="978"/>
      <c r="FP524" s="978"/>
      <c r="FQ524" s="978"/>
      <c r="FR524" s="978"/>
      <c r="FS524" s="978"/>
      <c r="FT524" s="978"/>
      <c r="FU524" s="978"/>
      <c r="FV524" s="978"/>
      <c r="FW524" s="978"/>
      <c r="FX524" s="978"/>
      <c r="FY524" s="978"/>
      <c r="FZ524" s="978"/>
      <c r="GA524" s="978"/>
      <c r="GB524" s="978"/>
      <c r="GC524" s="978"/>
      <c r="GD524" s="978"/>
      <c r="GE524" s="978"/>
      <c r="GF524" s="978"/>
      <c r="GG524" s="978"/>
      <c r="GH524" s="978"/>
      <c r="GI524" s="978"/>
      <c r="GJ524" s="978"/>
      <c r="GK524" s="978"/>
      <c r="GL524" s="978"/>
      <c r="GM524" s="978"/>
      <c r="GN524" s="978"/>
      <c r="GO524" s="978"/>
      <c r="GP524" s="978"/>
      <c r="GQ524" s="978"/>
      <c r="GR524" s="978"/>
      <c r="GS524" s="978"/>
      <c r="GT524" s="978"/>
      <c r="GU524" s="978"/>
      <c r="GV524" s="978"/>
      <c r="GW524" s="978"/>
      <c r="GX524" s="978"/>
      <c r="GY524" s="978"/>
      <c r="GZ524" s="978"/>
      <c r="HA524" s="978"/>
      <c r="HB524" s="978"/>
      <c r="HC524" s="978"/>
      <c r="HD524" s="978"/>
      <c r="HE524" s="978"/>
      <c r="HF524" s="978"/>
      <c r="HG524" s="978"/>
      <c r="HH524" s="978"/>
      <c r="HI524" s="978"/>
      <c r="HJ524" s="978"/>
      <c r="HK524" s="978"/>
      <c r="HL524" s="978"/>
      <c r="HM524" s="978"/>
      <c r="HN524" s="978"/>
      <c r="HO524" s="978"/>
      <c r="HP524" s="978"/>
      <c r="HQ524" s="978"/>
      <c r="HR524" s="978"/>
      <c r="HS524" s="978"/>
      <c r="HT524" s="978"/>
      <c r="HU524" s="978"/>
      <c r="HV524" s="978"/>
      <c r="HW524" s="978"/>
      <c r="HX524" s="978"/>
      <c r="HY524" s="978"/>
      <c r="HZ524" s="978"/>
      <c r="IA524" s="978"/>
      <c r="IB524" s="978"/>
      <c r="IC524" s="978"/>
      <c r="ID524" s="978"/>
      <c r="IE524" s="978"/>
      <c r="IF524" s="978"/>
      <c r="IG524" s="978"/>
      <c r="IH524" s="978"/>
      <c r="II524" s="978"/>
      <c r="IJ524" s="978"/>
      <c r="IK524" s="978"/>
      <c r="IL524" s="978"/>
      <c r="IM524" s="978"/>
      <c r="IN524" s="978"/>
      <c r="IO524" s="978"/>
      <c r="IP524" s="978"/>
      <c r="IQ524" s="978"/>
      <c r="IR524" s="978"/>
      <c r="IS524" s="978"/>
      <c r="IT524" s="978"/>
      <c r="IU524" s="978"/>
      <c r="IV524" s="978"/>
      <c r="IW524" s="978"/>
      <c r="IX524" s="978"/>
      <c r="IY524" s="978"/>
      <c r="IZ524" s="978"/>
      <c r="JA524" s="978"/>
      <c r="JB524" s="978"/>
      <c r="JC524" s="978"/>
      <c r="JD524" s="978"/>
      <c r="JE524" s="978"/>
      <c r="JF524" s="978"/>
      <c r="JG524" s="978"/>
      <c r="JH524" s="978"/>
      <c r="JI524" s="978"/>
      <c r="JJ524" s="978"/>
      <c r="JK524" s="978"/>
      <c r="JL524" s="978"/>
      <c r="JM524" s="978"/>
      <c r="JN524" s="978"/>
      <c r="JO524" s="978"/>
      <c r="JP524" s="978"/>
      <c r="JQ524" s="978"/>
      <c r="JR524" s="978"/>
      <c r="JS524" s="978"/>
      <c r="JT524" s="978"/>
      <c r="JU524" s="978"/>
      <c r="JV524" s="978"/>
      <c r="JW524" s="978"/>
      <c r="JX524" s="978"/>
      <c r="JY524" s="978"/>
      <c r="JZ524" s="978"/>
      <c r="KA524" s="978"/>
      <c r="KB524" s="978"/>
      <c r="KC524" s="978"/>
      <c r="KD524" s="978"/>
      <c r="KE524" s="978"/>
      <c r="KF524" s="978"/>
      <c r="KG524" s="978"/>
      <c r="KH524" s="978"/>
      <c r="KI524" s="978"/>
      <c r="KJ524" s="978"/>
      <c r="KK524" s="978"/>
      <c r="KL524" s="978"/>
      <c r="KM524" s="978"/>
      <c r="KN524" s="978"/>
      <c r="KO524" s="978"/>
      <c r="KP524" s="978"/>
      <c r="KQ524" s="978"/>
      <c r="KR524" s="978"/>
      <c r="KS524" s="978"/>
      <c r="KT524" s="978"/>
      <c r="KU524" s="978"/>
      <c r="KV524" s="978"/>
      <c r="KW524" s="978"/>
      <c r="KX524" s="978"/>
      <c r="KY524" s="978"/>
      <c r="KZ524" s="978"/>
      <c r="LA524" s="978"/>
      <c r="LB524" s="978"/>
      <c r="LC524" s="978"/>
      <c r="LD524" s="978"/>
      <c r="LE524" s="978"/>
      <c r="LF524" s="978"/>
      <c r="LG524" s="978"/>
      <c r="LH524" s="978"/>
      <c r="LI524" s="978"/>
      <c r="LJ524" s="978"/>
      <c r="LK524" s="978"/>
      <c r="LL524" s="978"/>
      <c r="LM524" s="978"/>
      <c r="LN524" s="978"/>
      <c r="LO524" s="978"/>
      <c r="LP524" s="978"/>
      <c r="LQ524" s="978"/>
      <c r="LR524" s="978"/>
      <c r="LS524" s="978"/>
      <c r="LT524" s="978"/>
      <c r="LU524" s="978"/>
      <c r="LV524" s="978"/>
      <c r="LW524" s="978"/>
      <c r="LX524" s="978"/>
      <c r="LY524" s="978"/>
      <c r="LZ524" s="978"/>
      <c r="MA524" s="978"/>
      <c r="MB524" s="978"/>
      <c r="MC524" s="978"/>
      <c r="MD524" s="978"/>
      <c r="ME524" s="978"/>
      <c r="MF524" s="978"/>
      <c r="MG524" s="978"/>
      <c r="MH524" s="978"/>
      <c r="MI524" s="978"/>
      <c r="MJ524" s="978"/>
      <c r="MK524" s="978"/>
      <c r="ML524" s="978"/>
      <c r="MM524" s="978"/>
      <c r="MN524" s="978"/>
      <c r="MO524" s="978"/>
      <c r="MP524" s="978"/>
      <c r="MQ524" s="978"/>
      <c r="MR524" s="978"/>
      <c r="MS524" s="978"/>
      <c r="MT524" s="978"/>
      <c r="MU524" s="978"/>
      <c r="MV524" s="978"/>
      <c r="MW524" s="978"/>
      <c r="MX524" s="978"/>
      <c r="MY524" s="978"/>
      <c r="MZ524" s="978"/>
      <c r="NA524" s="978"/>
      <c r="NB524" s="978"/>
      <c r="NC524" s="978"/>
      <c r="ND524" s="978"/>
      <c r="NE524" s="978"/>
      <c r="NF524" s="978"/>
      <c r="NG524" s="978"/>
      <c r="NH524" s="978"/>
      <c r="NI524" s="978"/>
      <c r="NJ524" s="978"/>
      <c r="NK524" s="978"/>
      <c r="NL524" s="978"/>
      <c r="NM524" s="978"/>
      <c r="NN524" s="978"/>
      <c r="NO524" s="978"/>
      <c r="NP524" s="978"/>
      <c r="NQ524" s="978"/>
      <c r="NR524" s="978"/>
      <c r="NS524" s="978"/>
      <c r="NT524" s="978"/>
      <c r="NU524" s="978"/>
      <c r="NV524" s="978"/>
      <c r="NW524" s="978"/>
      <c r="NX524" s="978"/>
      <c r="NY524" s="978"/>
      <c r="NZ524" s="978"/>
      <c r="OA524" s="978"/>
      <c r="OB524" s="978"/>
      <c r="OC524" s="978"/>
      <c r="OD524" s="978"/>
      <c r="OE524" s="978"/>
      <c r="OF524" s="978"/>
      <c r="OG524" s="978"/>
      <c r="OH524" s="978"/>
      <c r="OI524" s="978"/>
      <c r="OJ524" s="978"/>
      <c r="OK524" s="978"/>
      <c r="OL524" s="978"/>
      <c r="OM524" s="978"/>
      <c r="ON524" s="978"/>
      <c r="OO524" s="978"/>
      <c r="OP524" s="978"/>
      <c r="OQ524" s="978"/>
      <c r="OR524" s="978"/>
      <c r="OS524" s="978"/>
      <c r="OT524" s="978"/>
      <c r="OU524" s="978"/>
      <c r="OV524" s="978"/>
      <c r="OW524" s="978"/>
      <c r="OX524" s="978"/>
      <c r="OY524" s="978"/>
      <c r="OZ524" s="978"/>
      <c r="PA524" s="978"/>
      <c r="PB524" s="978"/>
      <c r="PC524" s="978"/>
      <c r="PD524" s="978"/>
      <c r="PE524" s="978"/>
      <c r="PF524" s="978"/>
      <c r="PG524" s="978"/>
      <c r="PH524" s="978"/>
      <c r="PI524" s="978"/>
      <c r="PJ524" s="978"/>
      <c r="PK524" s="978"/>
      <c r="PL524" s="978"/>
      <c r="PM524" s="978"/>
      <c r="PN524" s="978"/>
      <c r="PO524" s="978"/>
      <c r="PP524" s="978"/>
      <c r="PQ524" s="978"/>
      <c r="PR524" s="978"/>
      <c r="PS524" s="978"/>
      <c r="PT524" s="978"/>
      <c r="PU524" s="978"/>
      <c r="PV524" s="978"/>
      <c r="PW524" s="978"/>
      <c r="PX524" s="978"/>
      <c r="PY524" s="978"/>
      <c r="PZ524" s="978"/>
      <c r="QA524" s="978"/>
      <c r="QB524" s="978"/>
      <c r="QC524" s="978"/>
      <c r="QD524" s="978"/>
      <c r="QE524" s="978"/>
      <c r="QF524" s="978"/>
      <c r="QG524" s="978"/>
      <c r="QH524" s="978"/>
      <c r="QI524" s="978"/>
      <c r="QJ524" s="978"/>
      <c r="QK524" s="978"/>
      <c r="QL524" s="978"/>
      <c r="QM524" s="978"/>
      <c r="QN524" s="978"/>
      <c r="QO524" s="978"/>
      <c r="QP524" s="978"/>
      <c r="QQ524" s="978"/>
      <c r="QR524" s="978"/>
      <c r="QS524" s="978"/>
      <c r="QT524" s="978"/>
      <c r="QU524" s="978"/>
      <c r="QV524" s="978"/>
      <c r="QW524" s="978"/>
      <c r="QX524" s="978"/>
      <c r="QY524" s="978"/>
      <c r="QZ524" s="978"/>
      <c r="RA524" s="978"/>
      <c r="RB524" s="274"/>
      <c r="RC524" s="274"/>
    </row>
    <row r="525" spans="112:471" ht="17.25">
      <c r="DH525" s="274"/>
      <c r="DI525" s="274"/>
      <c r="DJ525" s="978"/>
      <c r="DK525" s="978"/>
      <c r="DL525" s="978"/>
      <c r="DM525" s="978"/>
      <c r="DN525" s="978"/>
      <c r="DO525" s="978"/>
      <c r="DP525" s="978"/>
      <c r="DQ525" s="978"/>
      <c r="DR525" s="978"/>
      <c r="DS525" s="978"/>
      <c r="DT525" s="978"/>
      <c r="DU525" s="978"/>
      <c r="DV525" s="978"/>
      <c r="DW525" s="978"/>
      <c r="DX525" s="978"/>
      <c r="DY525" s="978"/>
      <c r="DZ525" s="978"/>
      <c r="EA525" s="978"/>
      <c r="EB525" s="978"/>
      <c r="EC525" s="978"/>
      <c r="ED525" s="978"/>
      <c r="EE525" s="978"/>
      <c r="EF525" s="978"/>
      <c r="EG525" s="978"/>
      <c r="EH525" s="978"/>
      <c r="EI525" s="978"/>
      <c r="EJ525" s="978"/>
      <c r="EK525" s="978"/>
      <c r="EL525" s="978"/>
      <c r="EM525" s="978"/>
      <c r="EN525" s="978"/>
      <c r="EO525" s="978"/>
      <c r="EP525" s="978"/>
      <c r="EQ525" s="978"/>
      <c r="ER525" s="978"/>
      <c r="ES525" s="978"/>
      <c r="ET525" s="978"/>
      <c r="EU525" s="978"/>
      <c r="EV525" s="978"/>
      <c r="EW525" s="978"/>
      <c r="EX525" s="978"/>
      <c r="EY525" s="978"/>
      <c r="EZ525" s="978"/>
      <c r="FA525" s="978"/>
      <c r="FB525" s="978"/>
      <c r="FC525" s="978"/>
      <c r="FD525" s="978"/>
      <c r="FE525" s="978"/>
      <c r="FF525" s="978"/>
      <c r="FG525" s="978"/>
      <c r="FH525" s="978"/>
      <c r="FI525" s="978"/>
      <c r="FJ525" s="978"/>
      <c r="FK525" s="978"/>
      <c r="FL525" s="978"/>
      <c r="FM525" s="978"/>
      <c r="FN525" s="978"/>
      <c r="FO525" s="978"/>
      <c r="FP525" s="978"/>
      <c r="FQ525" s="978"/>
      <c r="FR525" s="978"/>
      <c r="FS525" s="978"/>
      <c r="FT525" s="978"/>
      <c r="FU525" s="978"/>
      <c r="FV525" s="978"/>
      <c r="FW525" s="978"/>
      <c r="FX525" s="978"/>
      <c r="FY525" s="978"/>
      <c r="FZ525" s="978"/>
      <c r="GA525" s="978"/>
      <c r="GB525" s="978"/>
      <c r="GC525" s="978"/>
      <c r="GD525" s="978"/>
      <c r="GE525" s="978"/>
      <c r="GF525" s="978"/>
      <c r="GG525" s="978"/>
      <c r="GH525" s="978"/>
      <c r="GI525" s="978"/>
      <c r="GJ525" s="978"/>
      <c r="GK525" s="978"/>
      <c r="GL525" s="978"/>
      <c r="GM525" s="978"/>
      <c r="GN525" s="978"/>
      <c r="GO525" s="978"/>
      <c r="GP525" s="978"/>
      <c r="GQ525" s="978"/>
      <c r="GR525" s="978"/>
      <c r="GS525" s="978"/>
      <c r="GT525" s="978"/>
      <c r="GU525" s="978"/>
      <c r="GV525" s="978"/>
      <c r="GW525" s="978"/>
      <c r="GX525" s="978"/>
      <c r="GY525" s="978"/>
      <c r="GZ525" s="978"/>
      <c r="HA525" s="978"/>
      <c r="HB525" s="978"/>
      <c r="HC525" s="978"/>
      <c r="HD525" s="978"/>
      <c r="HE525" s="978"/>
      <c r="HF525" s="978"/>
      <c r="HG525" s="978"/>
      <c r="HH525" s="978"/>
      <c r="HI525" s="978"/>
      <c r="HJ525" s="978"/>
      <c r="HK525" s="978"/>
      <c r="HL525" s="978"/>
      <c r="HM525" s="978"/>
      <c r="HN525" s="978"/>
      <c r="HO525" s="978"/>
      <c r="HP525" s="978"/>
      <c r="HQ525" s="978"/>
      <c r="HR525" s="978"/>
      <c r="HS525" s="978"/>
      <c r="HT525" s="978"/>
      <c r="HU525" s="978"/>
      <c r="HV525" s="978"/>
      <c r="HW525" s="978"/>
      <c r="HX525" s="978"/>
      <c r="HY525" s="978"/>
      <c r="HZ525" s="978"/>
      <c r="IA525" s="978"/>
      <c r="IB525" s="978"/>
      <c r="IC525" s="978"/>
      <c r="ID525" s="978"/>
      <c r="IE525" s="978"/>
      <c r="IF525" s="978"/>
      <c r="IG525" s="978"/>
      <c r="IH525" s="978"/>
      <c r="II525" s="978"/>
      <c r="IJ525" s="978"/>
      <c r="IK525" s="978"/>
      <c r="IL525" s="978"/>
      <c r="IM525" s="978"/>
      <c r="IN525" s="978"/>
      <c r="IO525" s="978"/>
      <c r="IP525" s="978"/>
      <c r="IQ525" s="978"/>
      <c r="IR525" s="978"/>
      <c r="IS525" s="978"/>
      <c r="IT525" s="978"/>
      <c r="IU525" s="978"/>
      <c r="IV525" s="978"/>
      <c r="IW525" s="978"/>
      <c r="IX525" s="978"/>
      <c r="IY525" s="978"/>
      <c r="IZ525" s="978"/>
      <c r="JA525" s="978"/>
      <c r="JB525" s="978"/>
      <c r="JC525" s="978"/>
      <c r="JD525" s="978"/>
      <c r="JE525" s="978"/>
      <c r="JF525" s="978"/>
      <c r="JG525" s="978"/>
      <c r="JH525" s="978"/>
      <c r="JI525" s="978"/>
      <c r="JJ525" s="978"/>
      <c r="JK525" s="978"/>
      <c r="JL525" s="978"/>
      <c r="JM525" s="978"/>
      <c r="JN525" s="978"/>
      <c r="JO525" s="978"/>
      <c r="JP525" s="978"/>
      <c r="JQ525" s="978"/>
      <c r="JR525" s="978"/>
      <c r="JS525" s="978"/>
      <c r="JT525" s="978"/>
      <c r="JU525" s="978"/>
      <c r="JV525" s="978"/>
      <c r="JW525" s="978"/>
      <c r="JX525" s="978"/>
      <c r="JY525" s="978"/>
      <c r="JZ525" s="978"/>
      <c r="KA525" s="978"/>
      <c r="KB525" s="978"/>
      <c r="KC525" s="978"/>
      <c r="KD525" s="978"/>
      <c r="KE525" s="978"/>
      <c r="KF525" s="978"/>
      <c r="KG525" s="978"/>
      <c r="KH525" s="978"/>
      <c r="KI525" s="978"/>
      <c r="KJ525" s="978"/>
      <c r="KK525" s="978"/>
      <c r="KL525" s="978"/>
      <c r="KM525" s="978"/>
      <c r="KN525" s="978"/>
      <c r="KO525" s="978"/>
      <c r="KP525" s="978"/>
      <c r="KQ525" s="978"/>
      <c r="KR525" s="978"/>
      <c r="KS525" s="978"/>
      <c r="KT525" s="978"/>
      <c r="KU525" s="978"/>
      <c r="KV525" s="978"/>
      <c r="KW525" s="978"/>
      <c r="KX525" s="978"/>
      <c r="KY525" s="978"/>
      <c r="KZ525" s="978"/>
      <c r="LA525" s="978"/>
      <c r="LB525" s="978"/>
      <c r="LC525" s="978"/>
      <c r="LD525" s="978"/>
      <c r="LE525" s="978"/>
      <c r="LF525" s="978"/>
      <c r="LG525" s="978"/>
      <c r="LH525" s="978"/>
      <c r="LI525" s="978"/>
      <c r="LJ525" s="978"/>
      <c r="LK525" s="978"/>
      <c r="LL525" s="978"/>
      <c r="LM525" s="978"/>
      <c r="LN525" s="978"/>
      <c r="LO525" s="978"/>
      <c r="LP525" s="978"/>
      <c r="LQ525" s="978"/>
      <c r="LR525" s="978"/>
      <c r="LS525" s="978"/>
      <c r="LT525" s="978"/>
      <c r="LU525" s="978"/>
      <c r="LV525" s="978"/>
      <c r="LW525" s="978"/>
      <c r="LX525" s="978"/>
      <c r="LY525" s="978"/>
      <c r="LZ525" s="978"/>
      <c r="MA525" s="978"/>
      <c r="MB525" s="978"/>
      <c r="MC525" s="978"/>
      <c r="MD525" s="978"/>
      <c r="ME525" s="978"/>
      <c r="MF525" s="978"/>
      <c r="MG525" s="978"/>
      <c r="MH525" s="978"/>
      <c r="MI525" s="978"/>
      <c r="MJ525" s="978"/>
      <c r="MK525" s="978"/>
      <c r="ML525" s="978"/>
      <c r="MM525" s="978"/>
      <c r="MN525" s="978"/>
      <c r="MO525" s="978"/>
      <c r="MP525" s="978"/>
      <c r="MQ525" s="978"/>
      <c r="MR525" s="978"/>
      <c r="MS525" s="978"/>
      <c r="MT525" s="978"/>
      <c r="MU525" s="978"/>
      <c r="MV525" s="978"/>
      <c r="MW525" s="978"/>
      <c r="MX525" s="978"/>
      <c r="MY525" s="978"/>
      <c r="MZ525" s="978"/>
      <c r="NA525" s="978"/>
      <c r="NB525" s="978"/>
      <c r="NC525" s="978"/>
      <c r="ND525" s="978"/>
      <c r="NE525" s="978"/>
      <c r="NF525" s="978"/>
      <c r="NG525" s="978"/>
      <c r="NH525" s="978"/>
      <c r="NI525" s="978"/>
      <c r="NJ525" s="978"/>
      <c r="NK525" s="978"/>
      <c r="NL525" s="978"/>
      <c r="NM525" s="978"/>
      <c r="NN525" s="978"/>
      <c r="NO525" s="978"/>
      <c r="NP525" s="978"/>
      <c r="NQ525" s="978"/>
      <c r="NR525" s="978"/>
      <c r="NS525" s="978"/>
      <c r="NT525" s="978"/>
      <c r="NU525" s="978"/>
      <c r="NV525" s="978"/>
      <c r="NW525" s="978"/>
      <c r="NX525" s="978"/>
      <c r="NY525" s="978"/>
      <c r="NZ525" s="978"/>
      <c r="OA525" s="978"/>
      <c r="OB525" s="978"/>
      <c r="OC525" s="978"/>
      <c r="OD525" s="978"/>
      <c r="OE525" s="978"/>
      <c r="OF525" s="978"/>
      <c r="OG525" s="978"/>
      <c r="OH525" s="978"/>
      <c r="OI525" s="978"/>
      <c r="OJ525" s="978"/>
      <c r="OK525" s="978"/>
      <c r="OL525" s="978"/>
      <c r="OM525" s="978"/>
      <c r="ON525" s="978"/>
      <c r="OO525" s="978"/>
      <c r="OP525" s="978"/>
      <c r="OQ525" s="978"/>
      <c r="OR525" s="978"/>
      <c r="OS525" s="978"/>
      <c r="OT525" s="978"/>
      <c r="OU525" s="978"/>
      <c r="OV525" s="978"/>
      <c r="OW525" s="978"/>
      <c r="OX525" s="978"/>
      <c r="OY525" s="978"/>
      <c r="OZ525" s="978"/>
      <c r="PA525" s="978"/>
      <c r="PB525" s="978"/>
      <c r="PC525" s="978"/>
      <c r="PD525" s="978"/>
      <c r="PE525" s="978"/>
      <c r="PF525" s="978"/>
      <c r="PG525" s="978"/>
      <c r="PH525" s="978"/>
      <c r="PI525" s="978"/>
      <c r="PJ525" s="978"/>
      <c r="PK525" s="978"/>
      <c r="PL525" s="978"/>
      <c r="PM525" s="978"/>
      <c r="PN525" s="978"/>
      <c r="PO525" s="978"/>
      <c r="PP525" s="978"/>
      <c r="PQ525" s="978"/>
      <c r="PR525" s="978"/>
      <c r="PS525" s="978"/>
      <c r="PT525" s="978"/>
      <c r="PU525" s="978"/>
      <c r="PV525" s="978"/>
      <c r="PW525" s="978"/>
      <c r="PX525" s="978"/>
      <c r="PY525" s="978"/>
      <c r="PZ525" s="978"/>
      <c r="QA525" s="978"/>
      <c r="QB525" s="978"/>
      <c r="QC525" s="978"/>
      <c r="QD525" s="978"/>
      <c r="QE525" s="978"/>
      <c r="QF525" s="978"/>
      <c r="QG525" s="978"/>
      <c r="QH525" s="978"/>
      <c r="QI525" s="978"/>
      <c r="QJ525" s="978"/>
      <c r="QK525" s="978"/>
      <c r="QL525" s="978"/>
      <c r="QM525" s="978"/>
      <c r="QN525" s="978"/>
      <c r="QO525" s="978"/>
      <c r="QP525" s="978"/>
      <c r="QQ525" s="978"/>
      <c r="QR525" s="978"/>
      <c r="QS525" s="978"/>
      <c r="QT525" s="978"/>
      <c r="QU525" s="978"/>
      <c r="QV525" s="978"/>
      <c r="QW525" s="978"/>
      <c r="QX525" s="978"/>
      <c r="QY525" s="978"/>
      <c r="QZ525" s="978"/>
      <c r="RA525" s="978"/>
      <c r="RB525" s="274"/>
      <c r="RC525" s="274"/>
    </row>
    <row r="526" spans="112:471" ht="17.25">
      <c r="DH526" s="274"/>
      <c r="DI526" s="274"/>
      <c r="DJ526" s="978"/>
      <c r="DK526" s="978"/>
      <c r="DL526" s="978"/>
      <c r="DM526" s="978"/>
      <c r="DN526" s="978"/>
      <c r="DO526" s="978"/>
      <c r="DP526" s="978"/>
      <c r="DQ526" s="978"/>
      <c r="DR526" s="978"/>
      <c r="DS526" s="978"/>
      <c r="DT526" s="978"/>
      <c r="DU526" s="978"/>
      <c r="DV526" s="978"/>
      <c r="DW526" s="978"/>
      <c r="DX526" s="978"/>
      <c r="DY526" s="978"/>
      <c r="DZ526" s="978"/>
      <c r="EA526" s="978"/>
      <c r="EB526" s="978"/>
      <c r="EC526" s="978"/>
      <c r="ED526" s="978"/>
      <c r="EE526" s="978"/>
      <c r="EF526" s="978"/>
      <c r="EG526" s="978"/>
      <c r="EH526" s="978"/>
      <c r="EI526" s="978"/>
      <c r="EJ526" s="978"/>
      <c r="EK526" s="978"/>
      <c r="EL526" s="978"/>
      <c r="EM526" s="978"/>
      <c r="EN526" s="978"/>
      <c r="EO526" s="978"/>
      <c r="EP526" s="978"/>
      <c r="EQ526" s="978"/>
      <c r="ER526" s="978"/>
      <c r="ES526" s="978"/>
      <c r="ET526" s="978"/>
      <c r="EU526" s="978"/>
      <c r="EV526" s="978"/>
      <c r="EW526" s="978"/>
      <c r="EX526" s="978"/>
      <c r="EY526" s="978"/>
      <c r="EZ526" s="978"/>
      <c r="FA526" s="978"/>
      <c r="FB526" s="978"/>
      <c r="FC526" s="978"/>
      <c r="FD526" s="978"/>
      <c r="FE526" s="978"/>
      <c r="FF526" s="978"/>
      <c r="FG526" s="978"/>
      <c r="FH526" s="978"/>
      <c r="FI526" s="978"/>
      <c r="FJ526" s="978"/>
      <c r="FK526" s="978"/>
      <c r="FL526" s="978"/>
      <c r="FM526" s="978"/>
      <c r="FN526" s="978"/>
      <c r="FO526" s="978"/>
      <c r="FP526" s="978"/>
      <c r="FQ526" s="978"/>
      <c r="FR526" s="978"/>
      <c r="FS526" s="978"/>
      <c r="FT526" s="978"/>
      <c r="FU526" s="978"/>
      <c r="FV526" s="978"/>
      <c r="FW526" s="978"/>
      <c r="FX526" s="978"/>
      <c r="FY526" s="978"/>
      <c r="FZ526" s="978"/>
      <c r="GA526" s="978"/>
      <c r="GB526" s="978"/>
      <c r="GC526" s="978"/>
      <c r="GD526" s="978"/>
      <c r="GE526" s="978"/>
      <c r="GF526" s="978"/>
      <c r="GG526" s="978"/>
      <c r="GH526" s="978"/>
      <c r="GI526" s="978"/>
      <c r="GJ526" s="978"/>
      <c r="GK526" s="978"/>
      <c r="GL526" s="978"/>
      <c r="GM526" s="978"/>
      <c r="GN526" s="978"/>
      <c r="GO526" s="978"/>
      <c r="GP526" s="978"/>
      <c r="GQ526" s="978"/>
      <c r="GR526" s="978"/>
      <c r="GS526" s="978"/>
      <c r="GT526" s="978"/>
      <c r="GU526" s="978"/>
      <c r="GV526" s="978"/>
      <c r="GW526" s="978"/>
      <c r="GX526" s="978"/>
      <c r="GY526" s="978"/>
      <c r="GZ526" s="978"/>
      <c r="HA526" s="978"/>
      <c r="HB526" s="978"/>
      <c r="HC526" s="978"/>
      <c r="HD526" s="978"/>
      <c r="HE526" s="978"/>
      <c r="HF526" s="978"/>
      <c r="HG526" s="978"/>
      <c r="HH526" s="978"/>
      <c r="HI526" s="978"/>
      <c r="HJ526" s="978"/>
      <c r="HK526" s="978"/>
      <c r="HL526" s="978"/>
      <c r="HM526" s="978"/>
      <c r="HN526" s="978"/>
      <c r="HO526" s="978"/>
      <c r="HP526" s="978"/>
      <c r="HQ526" s="978"/>
      <c r="HR526" s="978"/>
      <c r="HS526" s="978"/>
      <c r="HT526" s="978"/>
      <c r="HU526" s="978"/>
      <c r="HV526" s="978"/>
      <c r="HW526" s="978"/>
      <c r="HX526" s="978"/>
      <c r="HY526" s="978"/>
      <c r="HZ526" s="978"/>
      <c r="IA526" s="978"/>
      <c r="IB526" s="978"/>
      <c r="IC526" s="978"/>
      <c r="ID526" s="978"/>
      <c r="IE526" s="978"/>
      <c r="IF526" s="978"/>
      <c r="IG526" s="978"/>
      <c r="IH526" s="978"/>
      <c r="II526" s="978"/>
      <c r="IJ526" s="978"/>
      <c r="IK526" s="978"/>
      <c r="IL526" s="978"/>
      <c r="IM526" s="978"/>
      <c r="IN526" s="978"/>
      <c r="IO526" s="978"/>
      <c r="IP526" s="978"/>
      <c r="IQ526" s="978"/>
      <c r="IR526" s="978"/>
      <c r="IS526" s="978"/>
      <c r="IT526" s="978"/>
      <c r="IU526" s="978"/>
      <c r="IV526" s="978"/>
      <c r="IW526" s="978"/>
      <c r="IX526" s="978"/>
      <c r="IY526" s="978"/>
      <c r="IZ526" s="978"/>
      <c r="JA526" s="978"/>
      <c r="JB526" s="978"/>
      <c r="JC526" s="978"/>
      <c r="JD526" s="978"/>
      <c r="JE526" s="978"/>
      <c r="JF526" s="978"/>
      <c r="JG526" s="978"/>
      <c r="JH526" s="978"/>
      <c r="JI526" s="978"/>
      <c r="JJ526" s="978"/>
      <c r="JK526" s="978"/>
      <c r="JL526" s="978"/>
      <c r="JM526" s="978"/>
      <c r="JN526" s="978"/>
      <c r="JO526" s="978"/>
      <c r="JP526" s="978"/>
      <c r="JQ526" s="978"/>
      <c r="JR526" s="978"/>
      <c r="JS526" s="978"/>
      <c r="JT526" s="978"/>
      <c r="JU526" s="978"/>
      <c r="JV526" s="978"/>
      <c r="JW526" s="978"/>
      <c r="JX526" s="978"/>
      <c r="JY526" s="978"/>
      <c r="JZ526" s="978"/>
      <c r="KA526" s="978"/>
      <c r="KB526" s="978"/>
      <c r="KC526" s="978"/>
      <c r="KD526" s="978"/>
      <c r="KE526" s="978"/>
      <c r="KF526" s="978"/>
      <c r="KG526" s="978"/>
      <c r="KH526" s="978"/>
      <c r="KI526" s="978"/>
      <c r="KJ526" s="978"/>
      <c r="KK526" s="978"/>
      <c r="KL526" s="978"/>
      <c r="KM526" s="978"/>
      <c r="KN526" s="978"/>
      <c r="KO526" s="978"/>
      <c r="KP526" s="978"/>
      <c r="KQ526" s="978"/>
      <c r="KR526" s="978"/>
      <c r="KS526" s="978"/>
      <c r="KT526" s="978"/>
      <c r="KU526" s="978"/>
      <c r="KV526" s="978"/>
      <c r="KW526" s="978"/>
      <c r="KX526" s="978"/>
      <c r="KY526" s="978"/>
      <c r="KZ526" s="978"/>
      <c r="LA526" s="978"/>
      <c r="LB526" s="978"/>
      <c r="LC526" s="978"/>
      <c r="LD526" s="978"/>
      <c r="LE526" s="978"/>
      <c r="LF526" s="978"/>
      <c r="LG526" s="978"/>
      <c r="LH526" s="978"/>
      <c r="LI526" s="978"/>
      <c r="LJ526" s="978"/>
      <c r="LK526" s="978"/>
      <c r="LL526" s="978"/>
      <c r="LM526" s="978"/>
      <c r="LN526" s="978"/>
      <c r="LO526" s="978"/>
      <c r="LP526" s="978"/>
      <c r="LQ526" s="978"/>
      <c r="LR526" s="978"/>
      <c r="LS526" s="978"/>
      <c r="LT526" s="978"/>
      <c r="LU526" s="978"/>
      <c r="LV526" s="978"/>
      <c r="LW526" s="978"/>
      <c r="LX526" s="978"/>
      <c r="LY526" s="978"/>
      <c r="LZ526" s="978"/>
      <c r="MA526" s="978"/>
      <c r="MB526" s="978"/>
      <c r="MC526" s="978"/>
      <c r="MD526" s="978"/>
      <c r="ME526" s="978"/>
      <c r="MF526" s="978"/>
      <c r="MG526" s="978"/>
      <c r="MH526" s="978"/>
      <c r="MI526" s="978"/>
      <c r="MJ526" s="978"/>
      <c r="MK526" s="978"/>
      <c r="ML526" s="978"/>
      <c r="MM526" s="978"/>
      <c r="MN526" s="978"/>
      <c r="MO526" s="978"/>
      <c r="MP526" s="978"/>
      <c r="MQ526" s="978"/>
      <c r="MR526" s="978"/>
      <c r="MS526" s="978"/>
      <c r="MT526" s="978"/>
      <c r="MU526" s="978"/>
      <c r="MV526" s="978"/>
      <c r="MW526" s="978"/>
      <c r="MX526" s="978"/>
      <c r="MY526" s="978"/>
      <c r="MZ526" s="978"/>
      <c r="NA526" s="978"/>
      <c r="NB526" s="978"/>
      <c r="NC526" s="978"/>
      <c r="ND526" s="978"/>
      <c r="NE526" s="978"/>
      <c r="NF526" s="978"/>
      <c r="NG526" s="978"/>
      <c r="NH526" s="978"/>
      <c r="NI526" s="978"/>
      <c r="NJ526" s="978"/>
      <c r="NK526" s="978"/>
      <c r="NL526" s="978"/>
      <c r="NM526" s="978"/>
      <c r="NN526" s="978"/>
      <c r="NO526" s="978"/>
      <c r="NP526" s="978"/>
      <c r="NQ526" s="978"/>
      <c r="NR526" s="978"/>
      <c r="NS526" s="978"/>
      <c r="NT526" s="978"/>
      <c r="NU526" s="978"/>
      <c r="NV526" s="978"/>
      <c r="NW526" s="978"/>
      <c r="NX526" s="978"/>
      <c r="NY526" s="978"/>
      <c r="NZ526" s="978"/>
      <c r="OA526" s="978"/>
      <c r="OB526" s="978"/>
      <c r="OC526" s="978"/>
      <c r="OD526" s="978"/>
      <c r="OE526" s="978"/>
      <c r="OF526" s="978"/>
      <c r="OG526" s="978"/>
      <c r="OH526" s="978"/>
      <c r="OI526" s="978"/>
      <c r="OJ526" s="978"/>
      <c r="OK526" s="978"/>
      <c r="OL526" s="978"/>
      <c r="OM526" s="978"/>
      <c r="ON526" s="978"/>
      <c r="OO526" s="978"/>
      <c r="OP526" s="978"/>
      <c r="OQ526" s="978"/>
      <c r="OR526" s="978"/>
      <c r="OS526" s="978"/>
      <c r="OT526" s="978"/>
      <c r="OU526" s="978"/>
      <c r="OV526" s="978"/>
      <c r="OW526" s="978"/>
      <c r="OX526" s="978"/>
      <c r="OY526" s="978"/>
      <c r="OZ526" s="978"/>
      <c r="PA526" s="978"/>
      <c r="PB526" s="978"/>
      <c r="PC526" s="978"/>
      <c r="PD526" s="978"/>
      <c r="PE526" s="978"/>
      <c r="PF526" s="978"/>
      <c r="PG526" s="978"/>
      <c r="PH526" s="978"/>
      <c r="PI526" s="978"/>
      <c r="PJ526" s="978"/>
      <c r="PK526" s="978"/>
      <c r="PL526" s="978"/>
      <c r="PM526" s="978"/>
      <c r="PN526" s="978"/>
      <c r="PO526" s="978"/>
      <c r="PP526" s="978"/>
      <c r="PQ526" s="978"/>
      <c r="PR526" s="978"/>
      <c r="PS526" s="978"/>
      <c r="PT526" s="978"/>
      <c r="PU526" s="978"/>
      <c r="PV526" s="978"/>
      <c r="PW526" s="978"/>
      <c r="PX526" s="978"/>
      <c r="PY526" s="978"/>
      <c r="PZ526" s="978"/>
      <c r="QA526" s="978"/>
      <c r="QB526" s="978"/>
      <c r="QC526" s="978"/>
      <c r="QD526" s="978"/>
      <c r="QE526" s="978"/>
      <c r="QF526" s="978"/>
      <c r="QG526" s="978"/>
      <c r="QH526" s="978"/>
      <c r="QI526" s="978"/>
      <c r="QJ526" s="978"/>
      <c r="QK526" s="978"/>
      <c r="QL526" s="978"/>
      <c r="QM526" s="978"/>
      <c r="QN526" s="978"/>
      <c r="QO526" s="978"/>
      <c r="QP526" s="978"/>
      <c r="QQ526" s="978"/>
      <c r="QR526" s="978"/>
      <c r="QS526" s="978"/>
      <c r="QT526" s="978"/>
      <c r="QU526" s="978"/>
      <c r="QV526" s="978"/>
      <c r="QW526" s="978"/>
      <c r="QX526" s="978"/>
      <c r="QY526" s="978"/>
      <c r="QZ526" s="978"/>
      <c r="RA526" s="978"/>
      <c r="RB526" s="274"/>
      <c r="RC526" s="274"/>
    </row>
    <row r="527" spans="112:471">
      <c r="DH527" s="274"/>
      <c r="DI527" s="274"/>
      <c r="DJ527" s="274"/>
      <c r="DK527" s="274"/>
      <c r="DL527" s="274"/>
      <c r="DM527" s="274"/>
      <c r="DN527" s="274"/>
      <c r="DO527" s="274"/>
      <c r="DP527" s="274"/>
      <c r="DQ527" s="274"/>
      <c r="DR527" s="274"/>
      <c r="DS527" s="274"/>
      <c r="DT527" s="274"/>
      <c r="DU527" s="274"/>
      <c r="DV527" s="274"/>
      <c r="DW527" s="274"/>
      <c r="DX527" s="274"/>
      <c r="DY527" s="274"/>
      <c r="DZ527" s="274"/>
      <c r="EA527" s="274"/>
      <c r="EB527" s="274"/>
      <c r="EC527" s="274"/>
      <c r="ED527" s="274"/>
      <c r="EE527" s="274"/>
      <c r="EF527" s="274"/>
      <c r="EG527" s="274"/>
      <c r="EH527" s="274"/>
      <c r="EI527" s="274"/>
      <c r="EJ527" s="274"/>
      <c r="EK527" s="274"/>
      <c r="EL527" s="274"/>
      <c r="EM527" s="274"/>
      <c r="EN527" s="274"/>
      <c r="EO527" s="274"/>
      <c r="EP527" s="274"/>
      <c r="EQ527" s="274"/>
      <c r="ER527" s="274"/>
      <c r="ES527" s="274"/>
      <c r="ET527" s="274"/>
      <c r="EU527" s="274"/>
      <c r="EV527" s="274"/>
      <c r="EW527" s="274"/>
      <c r="EX527" s="274"/>
      <c r="EY527" s="274"/>
      <c r="EZ527" s="274"/>
      <c r="FA527" s="274"/>
      <c r="FB527" s="274"/>
      <c r="FC527" s="274"/>
      <c r="FD527" s="274"/>
      <c r="FE527" s="274"/>
      <c r="FF527" s="274"/>
      <c r="FG527" s="274"/>
      <c r="FH527" s="274"/>
      <c r="FI527" s="274"/>
      <c r="FJ527" s="274"/>
      <c r="FK527" s="274"/>
      <c r="FL527" s="274"/>
      <c r="FM527" s="274"/>
      <c r="FN527" s="274"/>
      <c r="FO527" s="274"/>
      <c r="FP527" s="274"/>
      <c r="FQ527" s="274"/>
      <c r="FR527" s="274"/>
      <c r="FS527" s="274"/>
      <c r="FT527" s="274"/>
      <c r="FU527" s="274"/>
      <c r="FV527" s="274"/>
      <c r="FW527" s="274"/>
      <c r="FX527" s="274"/>
      <c r="FY527" s="274"/>
      <c r="FZ527" s="274"/>
      <c r="GA527" s="274"/>
      <c r="GB527" s="274"/>
      <c r="GC527" s="274"/>
      <c r="GD527" s="274"/>
      <c r="GE527" s="274"/>
      <c r="GF527" s="274"/>
      <c r="GG527" s="274"/>
      <c r="GH527" s="274"/>
      <c r="GI527" s="274"/>
      <c r="GJ527" s="274"/>
      <c r="GK527" s="274"/>
      <c r="GL527" s="274"/>
      <c r="GM527" s="274"/>
      <c r="GN527" s="274"/>
      <c r="GO527" s="274"/>
      <c r="GP527" s="274"/>
      <c r="GQ527" s="274"/>
      <c r="GR527" s="274"/>
      <c r="GS527" s="274"/>
      <c r="GT527" s="274"/>
      <c r="GU527" s="274"/>
      <c r="GV527" s="274"/>
      <c r="GW527" s="274"/>
      <c r="GX527" s="274"/>
      <c r="GY527" s="274"/>
      <c r="GZ527" s="274"/>
      <c r="HA527" s="274"/>
      <c r="HB527" s="274"/>
      <c r="HC527" s="274"/>
      <c r="HD527" s="274"/>
      <c r="HE527" s="274"/>
      <c r="HF527" s="274"/>
      <c r="HG527" s="274"/>
      <c r="HH527" s="274"/>
      <c r="HI527" s="274"/>
      <c r="HJ527" s="274"/>
      <c r="HK527" s="274"/>
      <c r="HL527" s="274"/>
      <c r="HM527" s="274"/>
      <c r="HN527" s="274"/>
      <c r="HO527" s="274"/>
      <c r="HP527" s="274"/>
      <c r="HQ527" s="274"/>
      <c r="HR527" s="274"/>
      <c r="HS527" s="274"/>
      <c r="HT527" s="274"/>
      <c r="HU527" s="274"/>
      <c r="HV527" s="274"/>
      <c r="HW527" s="274"/>
      <c r="HX527" s="274"/>
      <c r="HY527" s="274"/>
      <c r="HZ527" s="274"/>
      <c r="IA527" s="274"/>
      <c r="IB527" s="274"/>
      <c r="IC527" s="274"/>
      <c r="ID527" s="274"/>
      <c r="IE527" s="274"/>
      <c r="IF527" s="274"/>
      <c r="IG527" s="274"/>
      <c r="IH527" s="274"/>
      <c r="II527" s="274"/>
      <c r="IJ527" s="274"/>
      <c r="IK527" s="274"/>
      <c r="IL527" s="274"/>
      <c r="IM527" s="274"/>
      <c r="IN527" s="274"/>
      <c r="IO527" s="274"/>
      <c r="IP527" s="274"/>
      <c r="IQ527" s="274"/>
      <c r="IR527" s="274"/>
      <c r="IS527" s="274"/>
      <c r="IT527" s="274"/>
      <c r="IU527" s="274"/>
      <c r="IV527" s="274"/>
      <c r="IW527" s="274"/>
      <c r="IX527" s="274"/>
      <c r="IY527" s="274"/>
      <c r="IZ527" s="274"/>
      <c r="JA527" s="274"/>
      <c r="JB527" s="274"/>
      <c r="JC527" s="274"/>
      <c r="JD527" s="274"/>
      <c r="JE527" s="274"/>
      <c r="JF527" s="274"/>
      <c r="JG527" s="274"/>
      <c r="JH527" s="274"/>
      <c r="JI527" s="274"/>
      <c r="JJ527" s="274"/>
      <c r="JK527" s="274"/>
      <c r="JL527" s="274"/>
      <c r="JM527" s="274"/>
      <c r="JN527" s="274"/>
      <c r="JO527" s="274"/>
      <c r="JP527" s="274"/>
      <c r="JQ527" s="274"/>
      <c r="JR527" s="274"/>
      <c r="JS527" s="274"/>
      <c r="JT527" s="274"/>
      <c r="JU527" s="274"/>
      <c r="JV527" s="274"/>
      <c r="JW527" s="274"/>
      <c r="JX527" s="274"/>
      <c r="JY527" s="274"/>
      <c r="JZ527" s="274"/>
      <c r="KA527" s="274"/>
      <c r="KB527" s="274"/>
      <c r="KC527" s="274"/>
      <c r="KD527" s="274"/>
      <c r="KE527" s="274"/>
      <c r="KF527" s="274"/>
      <c r="KG527" s="274"/>
      <c r="KH527" s="274"/>
      <c r="KI527" s="274"/>
      <c r="KJ527" s="274"/>
      <c r="KK527" s="274"/>
      <c r="KL527" s="274"/>
      <c r="KM527" s="274"/>
      <c r="KN527" s="274"/>
      <c r="KO527" s="274"/>
      <c r="KP527" s="274"/>
      <c r="KQ527" s="274"/>
      <c r="KR527" s="274"/>
      <c r="KS527" s="274"/>
      <c r="KT527" s="274"/>
      <c r="KU527" s="274"/>
      <c r="KV527" s="274"/>
      <c r="KW527" s="274"/>
      <c r="KX527" s="274"/>
      <c r="KY527" s="274"/>
      <c r="KZ527" s="274"/>
      <c r="LA527" s="274"/>
      <c r="LB527" s="274"/>
      <c r="LC527" s="274"/>
      <c r="LD527" s="274"/>
      <c r="LE527" s="274"/>
      <c r="LF527" s="274"/>
      <c r="LG527" s="274"/>
      <c r="LH527" s="274"/>
      <c r="LI527" s="274"/>
      <c r="LJ527" s="274"/>
      <c r="LK527" s="274"/>
      <c r="LL527" s="274"/>
      <c r="LM527" s="274"/>
      <c r="LN527" s="274"/>
      <c r="LO527" s="274"/>
      <c r="LP527" s="274"/>
      <c r="LQ527" s="274"/>
      <c r="LR527" s="274"/>
      <c r="LS527" s="274"/>
      <c r="LT527" s="274"/>
      <c r="LU527" s="274"/>
      <c r="LV527" s="274"/>
      <c r="LW527" s="274"/>
      <c r="LX527" s="274"/>
      <c r="LY527" s="274"/>
      <c r="LZ527" s="274"/>
      <c r="MA527" s="274"/>
      <c r="MB527" s="274"/>
      <c r="MC527" s="274"/>
      <c r="MD527" s="274"/>
      <c r="ME527" s="274"/>
      <c r="MF527" s="274"/>
      <c r="MG527" s="274"/>
      <c r="MH527" s="274"/>
      <c r="MI527" s="274"/>
      <c r="MJ527" s="274"/>
      <c r="MK527" s="274"/>
      <c r="ML527" s="274"/>
      <c r="MM527" s="274"/>
      <c r="MN527" s="274"/>
      <c r="MO527" s="274"/>
      <c r="MP527" s="274"/>
      <c r="MQ527" s="274"/>
      <c r="MR527" s="274"/>
      <c r="MS527" s="274"/>
      <c r="MT527" s="274"/>
      <c r="MU527" s="274"/>
      <c r="MV527" s="274"/>
      <c r="MW527" s="274"/>
      <c r="MX527" s="274"/>
      <c r="MY527" s="274"/>
      <c r="MZ527" s="274"/>
      <c r="NA527" s="274"/>
      <c r="NB527" s="274"/>
      <c r="NC527" s="274"/>
      <c r="ND527" s="274"/>
      <c r="NE527" s="274"/>
      <c r="NF527" s="274"/>
      <c r="NG527" s="274"/>
      <c r="NH527" s="274"/>
      <c r="NI527" s="274"/>
      <c r="NJ527" s="274"/>
      <c r="NK527" s="274"/>
      <c r="NL527" s="274"/>
      <c r="NM527" s="274"/>
      <c r="NN527" s="274"/>
      <c r="NO527" s="274"/>
      <c r="NP527" s="274"/>
      <c r="NQ527" s="274"/>
      <c r="NR527" s="274"/>
      <c r="NS527" s="274"/>
      <c r="NT527" s="274"/>
      <c r="NU527" s="274"/>
      <c r="NV527" s="274"/>
      <c r="NW527" s="274"/>
      <c r="NX527" s="274"/>
      <c r="NY527" s="274"/>
      <c r="NZ527" s="274"/>
      <c r="OA527" s="274"/>
      <c r="OB527" s="274"/>
      <c r="OC527" s="274"/>
      <c r="OD527" s="274"/>
      <c r="OE527" s="274"/>
      <c r="OF527" s="274"/>
      <c r="OG527" s="274"/>
      <c r="OH527" s="274"/>
      <c r="OI527" s="274"/>
      <c r="OJ527" s="274"/>
      <c r="OK527" s="274"/>
      <c r="OL527" s="274"/>
      <c r="OM527" s="274"/>
      <c r="ON527" s="274"/>
      <c r="OO527" s="274"/>
      <c r="OP527" s="274"/>
      <c r="OQ527" s="274"/>
      <c r="OR527" s="274"/>
      <c r="OS527" s="274"/>
      <c r="OT527" s="274"/>
      <c r="OU527" s="274"/>
      <c r="OV527" s="274"/>
      <c r="OW527" s="274"/>
      <c r="OX527" s="274"/>
      <c r="OY527" s="274"/>
      <c r="OZ527" s="274"/>
      <c r="PA527" s="274"/>
      <c r="PB527" s="274"/>
      <c r="PC527" s="274"/>
      <c r="PD527" s="274"/>
      <c r="PE527" s="274"/>
      <c r="PF527" s="274"/>
      <c r="PG527" s="274"/>
      <c r="PH527" s="274"/>
      <c r="PI527" s="274"/>
      <c r="PJ527" s="274"/>
      <c r="PK527" s="274"/>
      <c r="PL527" s="274"/>
      <c r="PM527" s="274"/>
      <c r="PN527" s="274"/>
      <c r="PO527" s="274"/>
      <c r="PP527" s="274"/>
      <c r="PQ527" s="274"/>
      <c r="PR527" s="274"/>
      <c r="PS527" s="274"/>
      <c r="PT527" s="274"/>
      <c r="PU527" s="274"/>
      <c r="PV527" s="274"/>
      <c r="PW527" s="274"/>
      <c r="PX527" s="274"/>
      <c r="PY527" s="274"/>
      <c r="PZ527" s="274"/>
      <c r="QA527" s="274"/>
      <c r="QB527" s="274"/>
      <c r="QC527" s="274"/>
      <c r="QD527" s="274"/>
      <c r="QE527" s="274"/>
      <c r="QF527" s="274"/>
      <c r="QG527" s="274"/>
      <c r="QH527" s="274"/>
      <c r="QI527" s="274"/>
      <c r="QJ527" s="274"/>
      <c r="QK527" s="274"/>
      <c r="QL527" s="274"/>
      <c r="QM527" s="274"/>
      <c r="QN527" s="274"/>
      <c r="QO527" s="274"/>
      <c r="QP527" s="274"/>
      <c r="QQ527" s="274"/>
      <c r="QR527" s="274"/>
      <c r="QS527" s="274"/>
      <c r="QT527" s="274"/>
      <c r="QU527" s="274"/>
      <c r="QV527" s="274"/>
      <c r="QW527" s="274"/>
      <c r="QX527" s="274"/>
      <c r="QY527" s="274"/>
      <c r="QZ527" s="274"/>
      <c r="RA527" s="274"/>
      <c r="RB527" s="274"/>
      <c r="RC527" s="274"/>
    </row>
    <row r="528" spans="112:471">
      <c r="DH528" s="274"/>
      <c r="DI528" s="274"/>
      <c r="DJ528" s="274"/>
      <c r="DK528" s="274"/>
      <c r="DL528" s="274"/>
      <c r="DM528" s="274"/>
      <c r="DN528" s="274"/>
      <c r="DO528" s="274"/>
      <c r="DP528" s="274"/>
      <c r="DQ528" s="274"/>
      <c r="DR528" s="274"/>
      <c r="DS528" s="274"/>
      <c r="DT528" s="274"/>
      <c r="DU528" s="274"/>
      <c r="DV528" s="274"/>
      <c r="DW528" s="274"/>
      <c r="DX528" s="274"/>
      <c r="DY528" s="274"/>
      <c r="DZ528" s="274"/>
      <c r="EA528" s="274"/>
      <c r="EB528" s="274"/>
      <c r="EC528" s="274"/>
      <c r="ED528" s="274"/>
      <c r="EE528" s="274"/>
      <c r="EF528" s="274"/>
      <c r="EG528" s="274"/>
      <c r="EH528" s="274"/>
      <c r="EI528" s="274"/>
      <c r="EJ528" s="274"/>
      <c r="EK528" s="274"/>
      <c r="EL528" s="274"/>
      <c r="EM528" s="274"/>
      <c r="EN528" s="274"/>
      <c r="EO528" s="274"/>
      <c r="EP528" s="274"/>
      <c r="EQ528" s="274"/>
      <c r="ER528" s="274"/>
      <c r="ES528" s="274"/>
      <c r="ET528" s="274"/>
      <c r="EU528" s="274"/>
      <c r="EV528" s="274"/>
      <c r="EW528" s="274"/>
      <c r="EX528" s="274"/>
      <c r="EY528" s="274"/>
      <c r="EZ528" s="274"/>
      <c r="FA528" s="274"/>
      <c r="FB528" s="274"/>
      <c r="FC528" s="274"/>
      <c r="FD528" s="274"/>
      <c r="FE528" s="274"/>
      <c r="FF528" s="274"/>
      <c r="FG528" s="274"/>
      <c r="FH528" s="274"/>
      <c r="FI528" s="274"/>
      <c r="FJ528" s="274"/>
      <c r="FK528" s="274"/>
      <c r="FL528" s="274"/>
      <c r="FM528" s="274"/>
      <c r="FN528" s="274"/>
      <c r="FO528" s="274"/>
      <c r="FP528" s="274"/>
      <c r="FQ528" s="274"/>
      <c r="FR528" s="274"/>
      <c r="FS528" s="274"/>
      <c r="FT528" s="274"/>
      <c r="FU528" s="274"/>
      <c r="FV528" s="274"/>
      <c r="FW528" s="274"/>
      <c r="FX528" s="274"/>
      <c r="FY528" s="274"/>
      <c r="FZ528" s="274"/>
      <c r="GA528" s="274"/>
      <c r="GB528" s="274"/>
      <c r="GC528" s="274"/>
      <c r="GD528" s="274"/>
      <c r="GE528" s="274"/>
      <c r="GF528" s="274"/>
      <c r="GG528" s="274"/>
      <c r="GH528" s="274"/>
      <c r="GI528" s="274"/>
      <c r="GJ528" s="274"/>
      <c r="GK528" s="274"/>
      <c r="GL528" s="274"/>
      <c r="GM528" s="274"/>
      <c r="GN528" s="274"/>
      <c r="GO528" s="274"/>
      <c r="GP528" s="274"/>
      <c r="GQ528" s="274"/>
      <c r="GR528" s="274"/>
      <c r="GS528" s="274"/>
      <c r="GT528" s="274"/>
      <c r="GU528" s="274"/>
      <c r="GV528" s="274"/>
      <c r="GW528" s="274"/>
      <c r="GX528" s="274"/>
      <c r="GY528" s="274"/>
      <c r="GZ528" s="274"/>
      <c r="HA528" s="274"/>
      <c r="HB528" s="274"/>
      <c r="HC528" s="274"/>
      <c r="HD528" s="274"/>
      <c r="HE528" s="274"/>
      <c r="HF528" s="274"/>
      <c r="HG528" s="274"/>
      <c r="HH528" s="274"/>
      <c r="HI528" s="274"/>
      <c r="HJ528" s="274"/>
      <c r="HK528" s="274"/>
      <c r="HL528" s="274"/>
      <c r="HM528" s="274"/>
      <c r="HN528" s="274"/>
      <c r="HO528" s="274"/>
      <c r="HP528" s="274"/>
      <c r="HQ528" s="274"/>
      <c r="HR528" s="274"/>
      <c r="HS528" s="274"/>
      <c r="HT528" s="274"/>
      <c r="HU528" s="274"/>
      <c r="HV528" s="274"/>
      <c r="HW528" s="274"/>
      <c r="HX528" s="274"/>
      <c r="HY528" s="274"/>
      <c r="HZ528" s="274"/>
      <c r="IA528" s="274"/>
      <c r="IB528" s="274"/>
      <c r="IC528" s="274"/>
      <c r="ID528" s="274"/>
      <c r="IE528" s="274"/>
      <c r="IF528" s="274"/>
      <c r="IG528" s="274"/>
      <c r="IH528" s="274"/>
      <c r="II528" s="274"/>
      <c r="IJ528" s="274"/>
      <c r="IK528" s="274"/>
      <c r="IL528" s="274"/>
      <c r="IM528" s="274"/>
      <c r="IN528" s="274"/>
      <c r="IO528" s="274"/>
      <c r="IP528" s="274"/>
      <c r="IQ528" s="274"/>
      <c r="IR528" s="274"/>
      <c r="IS528" s="274"/>
      <c r="IT528" s="274"/>
      <c r="IU528" s="274"/>
      <c r="IV528" s="274"/>
      <c r="IW528" s="274"/>
      <c r="IX528" s="274"/>
      <c r="IY528" s="274"/>
      <c r="IZ528" s="274"/>
      <c r="JA528" s="274"/>
      <c r="JB528" s="274"/>
      <c r="JC528" s="274"/>
      <c r="JD528" s="274"/>
      <c r="JE528" s="274"/>
      <c r="JF528" s="274"/>
      <c r="JG528" s="274"/>
      <c r="JH528" s="274"/>
      <c r="JI528" s="274"/>
      <c r="JJ528" s="274"/>
      <c r="JK528" s="274"/>
      <c r="JL528" s="274"/>
      <c r="JM528" s="274"/>
      <c r="JN528" s="274"/>
      <c r="JO528" s="274"/>
      <c r="JP528" s="274"/>
      <c r="JQ528" s="274"/>
      <c r="JR528" s="274"/>
      <c r="JS528" s="274"/>
      <c r="JT528" s="274"/>
      <c r="JU528" s="274"/>
      <c r="JV528" s="274"/>
      <c r="JW528" s="274"/>
      <c r="JX528" s="274"/>
      <c r="JY528" s="274"/>
      <c r="JZ528" s="274"/>
      <c r="KA528" s="274"/>
      <c r="KB528" s="274"/>
      <c r="KC528" s="274"/>
      <c r="KD528" s="274"/>
      <c r="KE528" s="274"/>
      <c r="KF528" s="274"/>
      <c r="KG528" s="274"/>
      <c r="KH528" s="274"/>
      <c r="KI528" s="274"/>
      <c r="KJ528" s="274"/>
      <c r="KK528" s="274"/>
      <c r="KL528" s="274"/>
      <c r="KM528" s="274"/>
      <c r="KN528" s="274"/>
      <c r="KO528" s="274"/>
      <c r="KP528" s="274"/>
      <c r="KQ528" s="274"/>
      <c r="KR528" s="274"/>
      <c r="KS528" s="274"/>
      <c r="KT528" s="274"/>
      <c r="KU528" s="274"/>
      <c r="KV528" s="274"/>
      <c r="KW528" s="274"/>
      <c r="KX528" s="274"/>
      <c r="KY528" s="274"/>
      <c r="KZ528" s="274"/>
      <c r="LA528" s="274"/>
      <c r="LB528" s="274"/>
      <c r="LC528" s="274"/>
      <c r="LD528" s="274"/>
      <c r="LE528" s="274"/>
      <c r="LF528" s="274"/>
      <c r="LG528" s="274"/>
      <c r="LH528" s="274"/>
      <c r="LI528" s="274"/>
      <c r="LJ528" s="274"/>
      <c r="LK528" s="274"/>
      <c r="LL528" s="274"/>
      <c r="LM528" s="274"/>
      <c r="LN528" s="274"/>
      <c r="LO528" s="274"/>
      <c r="LP528" s="274"/>
      <c r="LQ528" s="274"/>
      <c r="LR528" s="274"/>
      <c r="LS528" s="274"/>
      <c r="LT528" s="274"/>
      <c r="LU528" s="274"/>
      <c r="LV528" s="274"/>
      <c r="LW528" s="274"/>
      <c r="LX528" s="274"/>
      <c r="LY528" s="274"/>
      <c r="LZ528" s="274"/>
      <c r="MA528" s="274"/>
      <c r="MB528" s="274"/>
      <c r="MC528" s="274"/>
      <c r="MD528" s="274"/>
      <c r="ME528" s="274"/>
      <c r="MF528" s="274"/>
      <c r="MG528" s="274"/>
      <c r="MH528" s="274"/>
      <c r="MI528" s="274"/>
      <c r="MJ528" s="274"/>
      <c r="MK528" s="274"/>
      <c r="ML528" s="274"/>
      <c r="MM528" s="274"/>
      <c r="MN528" s="274"/>
      <c r="MO528" s="274"/>
      <c r="MP528" s="274"/>
      <c r="MQ528" s="274"/>
      <c r="MR528" s="274"/>
      <c r="MS528" s="274"/>
      <c r="MT528" s="274"/>
      <c r="MU528" s="274"/>
      <c r="MV528" s="274"/>
      <c r="MW528" s="274"/>
      <c r="MX528" s="274"/>
      <c r="MY528" s="274"/>
      <c r="MZ528" s="274"/>
      <c r="NA528" s="274"/>
      <c r="NB528" s="274"/>
      <c r="NC528" s="274"/>
      <c r="ND528" s="274"/>
      <c r="NE528" s="274"/>
      <c r="NF528" s="274"/>
      <c r="NG528" s="274"/>
      <c r="NH528" s="274"/>
      <c r="NI528" s="274"/>
      <c r="NJ528" s="274"/>
      <c r="NK528" s="274"/>
      <c r="NL528" s="274"/>
      <c r="NM528" s="274"/>
      <c r="NN528" s="274"/>
      <c r="NO528" s="274"/>
      <c r="NP528" s="274"/>
      <c r="NQ528" s="274"/>
      <c r="NR528" s="274"/>
      <c r="NS528" s="274"/>
      <c r="NT528" s="274"/>
      <c r="NU528" s="274"/>
      <c r="NV528" s="274"/>
      <c r="NW528" s="274"/>
      <c r="NX528" s="274"/>
      <c r="NY528" s="274"/>
      <c r="NZ528" s="274"/>
      <c r="OA528" s="274"/>
      <c r="OB528" s="274"/>
      <c r="OC528" s="274"/>
      <c r="OD528" s="274"/>
      <c r="OE528" s="274"/>
      <c r="OF528" s="274"/>
      <c r="OG528" s="274"/>
      <c r="OH528" s="274"/>
      <c r="OI528" s="274"/>
      <c r="OJ528" s="274"/>
      <c r="OK528" s="274"/>
      <c r="OL528" s="274"/>
      <c r="OM528" s="274"/>
      <c r="ON528" s="274"/>
      <c r="OO528" s="274"/>
      <c r="OP528" s="274"/>
      <c r="OQ528" s="274"/>
      <c r="OR528" s="274"/>
      <c r="OS528" s="274"/>
      <c r="OT528" s="274"/>
      <c r="OU528" s="274"/>
      <c r="OV528" s="274"/>
      <c r="OW528" s="274"/>
      <c r="OX528" s="274"/>
      <c r="OY528" s="274"/>
      <c r="OZ528" s="274"/>
      <c r="PA528" s="274"/>
      <c r="PB528" s="274"/>
      <c r="PC528" s="274"/>
      <c r="PD528" s="274"/>
      <c r="PE528" s="274"/>
      <c r="PF528" s="274"/>
      <c r="PG528" s="274"/>
      <c r="PH528" s="274"/>
      <c r="PI528" s="274"/>
      <c r="PJ528" s="274"/>
      <c r="PK528" s="274"/>
      <c r="PL528" s="274"/>
      <c r="PM528" s="274"/>
      <c r="PN528" s="274"/>
      <c r="PO528" s="274"/>
      <c r="PP528" s="274"/>
      <c r="PQ528" s="274"/>
      <c r="PR528" s="274"/>
      <c r="PS528" s="274"/>
      <c r="PT528" s="274"/>
      <c r="PU528" s="274"/>
      <c r="PV528" s="274"/>
      <c r="PW528" s="274"/>
      <c r="PX528" s="274"/>
      <c r="PY528" s="274"/>
      <c r="PZ528" s="274"/>
      <c r="QA528" s="274"/>
      <c r="QB528" s="274"/>
      <c r="QC528" s="274"/>
      <c r="QD528" s="274"/>
      <c r="QE528" s="274"/>
      <c r="QF528" s="274"/>
      <c r="QG528" s="274"/>
      <c r="QH528" s="274"/>
      <c r="QI528" s="274"/>
      <c r="QJ528" s="274"/>
      <c r="QK528" s="274"/>
      <c r="QL528" s="274"/>
      <c r="QM528" s="274"/>
      <c r="QN528" s="274"/>
      <c r="QO528" s="274"/>
      <c r="QP528" s="274"/>
      <c r="QQ528" s="274"/>
      <c r="QR528" s="274"/>
      <c r="QS528" s="274"/>
      <c r="QT528" s="274"/>
      <c r="QU528" s="274"/>
      <c r="QV528" s="274"/>
      <c r="QW528" s="274"/>
      <c r="QX528" s="274"/>
      <c r="QY528" s="274"/>
      <c r="QZ528" s="274"/>
      <c r="RA528" s="274"/>
      <c r="RB528" s="274"/>
      <c r="RC528" s="274"/>
    </row>
    <row r="529" spans="112:471" ht="17.25">
      <c r="DH529" s="274"/>
      <c r="DI529" s="274"/>
      <c r="DJ529" s="978"/>
      <c r="DK529" s="274"/>
      <c r="DL529" s="274"/>
      <c r="DM529" s="274"/>
      <c r="DN529" s="274"/>
      <c r="DO529" s="274"/>
      <c r="DP529" s="274"/>
      <c r="DQ529" s="274"/>
      <c r="DR529" s="274"/>
      <c r="DS529" s="274"/>
      <c r="DT529" s="274"/>
      <c r="DU529" s="274"/>
      <c r="DV529" s="274"/>
      <c r="DW529" s="274"/>
      <c r="DX529" s="274"/>
      <c r="DY529" s="274"/>
      <c r="DZ529" s="274"/>
      <c r="EA529" s="274"/>
      <c r="EB529" s="274"/>
      <c r="EC529" s="274"/>
      <c r="ED529" s="274"/>
      <c r="EE529" s="274"/>
      <c r="EF529" s="274"/>
      <c r="EG529" s="274"/>
      <c r="EH529" s="274"/>
      <c r="EI529" s="274"/>
      <c r="EJ529" s="274"/>
      <c r="EK529" s="274"/>
      <c r="EL529" s="274"/>
      <c r="EM529" s="274"/>
      <c r="EN529" s="274"/>
      <c r="EO529" s="274"/>
      <c r="EP529" s="274"/>
      <c r="EQ529" s="274"/>
      <c r="ER529" s="274"/>
      <c r="ES529" s="274"/>
      <c r="ET529" s="274"/>
      <c r="EU529" s="274"/>
      <c r="EV529" s="274"/>
      <c r="EW529" s="274"/>
      <c r="EX529" s="274"/>
      <c r="EY529" s="274"/>
      <c r="EZ529" s="274"/>
      <c r="FA529" s="274"/>
      <c r="FB529" s="274"/>
      <c r="FC529" s="274"/>
      <c r="FD529" s="274"/>
      <c r="FE529" s="274"/>
      <c r="FF529" s="274"/>
      <c r="FG529" s="274"/>
      <c r="FH529" s="274"/>
      <c r="FI529" s="274"/>
      <c r="FJ529" s="274"/>
      <c r="FK529" s="274"/>
      <c r="FL529" s="274"/>
      <c r="FM529" s="274"/>
      <c r="FN529" s="274"/>
      <c r="FO529" s="274"/>
      <c r="FP529" s="274"/>
      <c r="FQ529" s="274"/>
      <c r="FR529" s="274"/>
      <c r="FS529" s="274"/>
      <c r="FT529" s="274"/>
      <c r="FU529" s="274"/>
      <c r="FV529" s="274"/>
      <c r="FW529" s="274"/>
      <c r="FX529" s="274"/>
      <c r="FY529" s="274"/>
      <c r="FZ529" s="274"/>
      <c r="GA529" s="274"/>
      <c r="GB529" s="274"/>
      <c r="GC529" s="274"/>
      <c r="GD529" s="274"/>
      <c r="GE529" s="274"/>
      <c r="GF529" s="274"/>
      <c r="GG529" s="274"/>
      <c r="GH529" s="274"/>
      <c r="GI529" s="274"/>
      <c r="GJ529" s="274"/>
      <c r="GK529" s="274"/>
      <c r="GL529" s="274"/>
      <c r="GM529" s="274"/>
      <c r="GN529" s="274"/>
      <c r="GO529" s="274"/>
      <c r="GP529" s="274"/>
      <c r="GQ529" s="274"/>
      <c r="GR529" s="274"/>
      <c r="GS529" s="274"/>
      <c r="GT529" s="274"/>
      <c r="GU529" s="274"/>
      <c r="GV529" s="274"/>
      <c r="GW529" s="274"/>
      <c r="GX529" s="274"/>
      <c r="GY529" s="274"/>
      <c r="GZ529" s="274"/>
      <c r="HA529" s="274"/>
      <c r="HB529" s="274"/>
      <c r="HC529" s="274"/>
      <c r="HD529" s="274"/>
      <c r="HE529" s="274"/>
      <c r="HF529" s="274"/>
      <c r="HG529" s="274"/>
      <c r="HH529" s="274"/>
      <c r="HI529" s="274"/>
      <c r="HJ529" s="274"/>
      <c r="HK529" s="274"/>
      <c r="HL529" s="274"/>
      <c r="HM529" s="274"/>
      <c r="HN529" s="274"/>
      <c r="HO529" s="274"/>
      <c r="HP529" s="274"/>
      <c r="HQ529" s="274"/>
      <c r="HR529" s="274"/>
      <c r="HS529" s="274"/>
      <c r="HT529" s="274"/>
      <c r="HU529" s="274"/>
      <c r="HV529" s="274"/>
      <c r="HW529" s="274"/>
      <c r="HX529" s="274"/>
      <c r="HY529" s="274"/>
      <c r="HZ529" s="274"/>
      <c r="IA529" s="274"/>
      <c r="IB529" s="274"/>
      <c r="IC529" s="274"/>
      <c r="ID529" s="274"/>
      <c r="IE529" s="274"/>
      <c r="IF529" s="274"/>
      <c r="IG529" s="274"/>
      <c r="IH529" s="274"/>
      <c r="II529" s="274"/>
      <c r="IJ529" s="274"/>
      <c r="IK529" s="274"/>
      <c r="IL529" s="274"/>
      <c r="IM529" s="274"/>
      <c r="IN529" s="274"/>
      <c r="IO529" s="274"/>
      <c r="IP529" s="274"/>
      <c r="IQ529" s="274"/>
      <c r="IR529" s="274"/>
      <c r="IS529" s="274"/>
      <c r="IT529" s="274"/>
      <c r="IU529" s="274"/>
      <c r="IV529" s="274"/>
      <c r="IW529" s="274"/>
      <c r="IX529" s="274"/>
      <c r="IY529" s="274"/>
      <c r="IZ529" s="274"/>
      <c r="JA529" s="274"/>
      <c r="JB529" s="274"/>
      <c r="JC529" s="274"/>
      <c r="JD529" s="274"/>
      <c r="JE529" s="274"/>
      <c r="JF529" s="274"/>
      <c r="JG529" s="274"/>
      <c r="JH529" s="274"/>
      <c r="JI529" s="274"/>
      <c r="JJ529" s="274"/>
      <c r="JK529" s="274"/>
      <c r="JL529" s="274"/>
      <c r="JM529" s="274"/>
      <c r="JN529" s="274"/>
      <c r="JO529" s="274"/>
      <c r="JP529" s="274"/>
      <c r="JQ529" s="274"/>
      <c r="JR529" s="274"/>
      <c r="JS529" s="274"/>
      <c r="JT529" s="274"/>
      <c r="JU529" s="274"/>
      <c r="JV529" s="274"/>
      <c r="JW529" s="274"/>
      <c r="JX529" s="274"/>
      <c r="JY529" s="274"/>
      <c r="JZ529" s="274"/>
      <c r="KA529" s="274"/>
      <c r="KB529" s="274"/>
      <c r="KC529" s="274"/>
      <c r="KD529" s="274"/>
      <c r="KE529" s="274"/>
      <c r="KF529" s="274"/>
      <c r="KG529" s="274"/>
      <c r="KH529" s="274"/>
      <c r="KI529" s="274"/>
      <c r="KJ529" s="274"/>
      <c r="KK529" s="274"/>
      <c r="KL529" s="274"/>
      <c r="KM529" s="274"/>
      <c r="KN529" s="274"/>
      <c r="KO529" s="274"/>
      <c r="KP529" s="274"/>
      <c r="KQ529" s="274"/>
      <c r="KR529" s="274"/>
      <c r="KS529" s="274"/>
      <c r="KT529" s="274"/>
      <c r="KU529" s="274"/>
      <c r="KV529" s="274"/>
      <c r="KW529" s="274"/>
      <c r="KX529" s="274"/>
      <c r="KY529" s="274"/>
      <c r="KZ529" s="274"/>
      <c r="LA529" s="274"/>
      <c r="LB529" s="274"/>
      <c r="LC529" s="274"/>
      <c r="LD529" s="274"/>
      <c r="LE529" s="274"/>
      <c r="LF529" s="274"/>
      <c r="LG529" s="274"/>
      <c r="LH529" s="274"/>
      <c r="LI529" s="274"/>
      <c r="LJ529" s="274"/>
      <c r="LK529" s="274"/>
      <c r="LL529" s="274"/>
      <c r="LM529" s="274"/>
      <c r="LN529" s="274"/>
      <c r="LO529" s="274"/>
      <c r="LP529" s="274"/>
      <c r="LQ529" s="274"/>
      <c r="LR529" s="274"/>
      <c r="LS529" s="274"/>
      <c r="LT529" s="274"/>
      <c r="LU529" s="274"/>
      <c r="LV529" s="274"/>
      <c r="LW529" s="274"/>
      <c r="LX529" s="274"/>
      <c r="LY529" s="274"/>
      <c r="LZ529" s="274"/>
      <c r="MA529" s="274"/>
      <c r="MB529" s="274"/>
      <c r="MC529" s="274"/>
      <c r="MD529" s="274"/>
      <c r="ME529" s="274"/>
      <c r="MF529" s="274"/>
      <c r="MG529" s="274"/>
      <c r="MH529" s="274"/>
      <c r="MI529" s="274"/>
      <c r="MJ529" s="274"/>
      <c r="MK529" s="274"/>
      <c r="ML529" s="274"/>
      <c r="MM529" s="274"/>
      <c r="MN529" s="274"/>
      <c r="MO529" s="274"/>
      <c r="MP529" s="274"/>
      <c r="MQ529" s="274"/>
      <c r="MR529" s="274"/>
      <c r="MS529" s="274"/>
      <c r="MT529" s="274"/>
      <c r="MU529" s="274"/>
      <c r="MV529" s="274"/>
      <c r="MW529" s="274"/>
      <c r="MX529" s="274"/>
      <c r="MY529" s="274"/>
      <c r="MZ529" s="274"/>
      <c r="NA529" s="274"/>
      <c r="NB529" s="274"/>
      <c r="NC529" s="274"/>
      <c r="ND529" s="274"/>
      <c r="NE529" s="274"/>
      <c r="NF529" s="274"/>
      <c r="NG529" s="274"/>
      <c r="NH529" s="274"/>
      <c r="NI529" s="274"/>
      <c r="NJ529" s="274"/>
      <c r="NK529" s="274"/>
      <c r="NL529" s="274"/>
      <c r="NM529" s="274"/>
      <c r="NN529" s="274"/>
      <c r="NO529" s="274"/>
      <c r="NP529" s="274"/>
      <c r="NQ529" s="274"/>
      <c r="NR529" s="274"/>
      <c r="NS529" s="274"/>
      <c r="NT529" s="274"/>
      <c r="NU529" s="274"/>
      <c r="NV529" s="274"/>
      <c r="NW529" s="274"/>
      <c r="NX529" s="274"/>
      <c r="NY529" s="274"/>
      <c r="NZ529" s="274"/>
      <c r="OA529" s="274"/>
      <c r="OB529" s="274"/>
      <c r="OC529" s="274"/>
      <c r="OD529" s="274"/>
      <c r="OE529" s="274"/>
      <c r="OF529" s="274"/>
      <c r="OG529" s="274"/>
      <c r="OH529" s="274"/>
      <c r="OI529" s="274"/>
      <c r="OJ529" s="274"/>
      <c r="OK529" s="274"/>
      <c r="OL529" s="274"/>
      <c r="OM529" s="274"/>
      <c r="ON529" s="274"/>
      <c r="OO529" s="274"/>
      <c r="OP529" s="274"/>
      <c r="OQ529" s="274"/>
      <c r="OR529" s="274"/>
      <c r="OS529" s="274"/>
      <c r="OT529" s="274"/>
      <c r="OU529" s="274"/>
      <c r="OV529" s="274"/>
      <c r="OW529" s="274"/>
      <c r="OX529" s="274"/>
      <c r="OY529" s="274"/>
      <c r="OZ529" s="274"/>
      <c r="PA529" s="274"/>
      <c r="PB529" s="274"/>
      <c r="PC529" s="274"/>
      <c r="PD529" s="274"/>
      <c r="PE529" s="274"/>
      <c r="PF529" s="274"/>
      <c r="PG529" s="274"/>
      <c r="PH529" s="274"/>
      <c r="PI529" s="274"/>
      <c r="PJ529" s="274"/>
      <c r="PK529" s="274"/>
      <c r="PL529" s="274"/>
      <c r="PM529" s="274"/>
      <c r="PN529" s="274"/>
      <c r="PO529" s="274"/>
      <c r="PP529" s="274"/>
      <c r="PQ529" s="274"/>
      <c r="PR529" s="274"/>
      <c r="PS529" s="274"/>
      <c r="PT529" s="274"/>
      <c r="PU529" s="274"/>
      <c r="PV529" s="274"/>
      <c r="PW529" s="274"/>
      <c r="PX529" s="274"/>
      <c r="PY529" s="274"/>
      <c r="PZ529" s="274"/>
      <c r="QA529" s="274"/>
      <c r="QB529" s="274"/>
      <c r="QC529" s="274"/>
      <c r="QD529" s="274"/>
      <c r="QE529" s="274"/>
      <c r="QF529" s="274"/>
      <c r="QG529" s="274"/>
      <c r="QH529" s="274"/>
      <c r="QI529" s="274"/>
      <c r="QJ529" s="274"/>
      <c r="QK529" s="274"/>
      <c r="QL529" s="274"/>
      <c r="QM529" s="274"/>
      <c r="QN529" s="274"/>
      <c r="QO529" s="274"/>
      <c r="QP529" s="274"/>
      <c r="QQ529" s="274"/>
      <c r="QR529" s="274"/>
      <c r="QS529" s="274"/>
      <c r="QT529" s="274"/>
      <c r="QU529" s="274"/>
      <c r="QV529" s="274"/>
      <c r="QW529" s="274"/>
      <c r="QX529" s="274"/>
      <c r="QY529" s="274"/>
      <c r="QZ529" s="274"/>
      <c r="RA529" s="274"/>
      <c r="RB529" s="274"/>
      <c r="RC529" s="274"/>
    </row>
    <row r="530" spans="112:471" ht="17.25">
      <c r="DH530" s="274"/>
      <c r="DI530" s="274"/>
      <c r="DJ530" s="978"/>
      <c r="DK530" s="978"/>
      <c r="DL530" s="978"/>
      <c r="DM530" s="978"/>
      <c r="DN530" s="978"/>
      <c r="DO530" s="978"/>
      <c r="DP530" s="978"/>
      <c r="DQ530" s="978"/>
      <c r="DR530" s="978"/>
      <c r="DS530" s="978"/>
      <c r="DT530" s="978"/>
      <c r="DU530" s="978"/>
      <c r="DV530" s="978"/>
      <c r="DW530" s="978"/>
      <c r="DX530" s="978"/>
      <c r="DY530" s="978"/>
      <c r="DZ530" s="978"/>
      <c r="EA530" s="978"/>
      <c r="EB530" s="978"/>
      <c r="EC530" s="978"/>
      <c r="ED530" s="978"/>
      <c r="EE530" s="978"/>
      <c r="EF530" s="978"/>
      <c r="EG530" s="978"/>
      <c r="EH530" s="978"/>
      <c r="EI530" s="978"/>
      <c r="EJ530" s="978"/>
      <c r="EK530" s="978"/>
      <c r="EL530" s="978"/>
      <c r="EM530" s="978"/>
      <c r="EN530" s="978"/>
      <c r="EO530" s="978"/>
      <c r="EP530" s="978"/>
      <c r="EQ530" s="978"/>
      <c r="ER530" s="978"/>
      <c r="ES530" s="978"/>
      <c r="ET530" s="978"/>
      <c r="EU530" s="978"/>
      <c r="EV530" s="978"/>
      <c r="EW530" s="978"/>
      <c r="EX530" s="978"/>
      <c r="EY530" s="978"/>
      <c r="EZ530" s="978"/>
      <c r="FA530" s="978"/>
      <c r="FB530" s="978"/>
      <c r="FC530" s="978"/>
      <c r="FD530" s="978"/>
      <c r="FE530" s="978"/>
      <c r="FF530" s="978"/>
      <c r="FG530" s="978"/>
      <c r="FH530" s="978"/>
      <c r="FI530" s="978"/>
      <c r="FJ530" s="978"/>
      <c r="FK530" s="978"/>
      <c r="FL530" s="978"/>
      <c r="FM530" s="978"/>
      <c r="FN530" s="978"/>
      <c r="FO530" s="978"/>
      <c r="FP530" s="978"/>
      <c r="FQ530" s="978"/>
      <c r="FR530" s="978"/>
      <c r="FS530" s="978"/>
      <c r="FT530" s="978"/>
      <c r="FU530" s="978"/>
      <c r="FV530" s="978"/>
      <c r="FW530" s="978"/>
      <c r="FX530" s="978"/>
      <c r="FY530" s="978"/>
      <c r="FZ530" s="978"/>
      <c r="GA530" s="978"/>
      <c r="GB530" s="978"/>
      <c r="GC530" s="978"/>
      <c r="GD530" s="978"/>
      <c r="GE530" s="978"/>
      <c r="GF530" s="978"/>
      <c r="GG530" s="978"/>
      <c r="GH530" s="978"/>
      <c r="GI530" s="978"/>
      <c r="GJ530" s="978"/>
      <c r="GK530" s="978"/>
      <c r="GL530" s="978"/>
      <c r="GM530" s="978"/>
      <c r="GN530" s="978"/>
      <c r="GO530" s="978"/>
      <c r="GP530" s="978"/>
      <c r="GQ530" s="978"/>
      <c r="GR530" s="978"/>
      <c r="GS530" s="978"/>
      <c r="GT530" s="978"/>
      <c r="GU530" s="978"/>
      <c r="GV530" s="978"/>
      <c r="GW530" s="978"/>
      <c r="GX530" s="978"/>
      <c r="GY530" s="978"/>
      <c r="GZ530" s="978"/>
      <c r="HA530" s="978"/>
      <c r="HB530" s="978"/>
      <c r="HC530" s="978"/>
      <c r="HD530" s="978"/>
      <c r="HE530" s="978"/>
      <c r="HF530" s="978"/>
      <c r="HG530" s="978"/>
      <c r="HH530" s="978"/>
      <c r="HI530" s="978"/>
      <c r="HJ530" s="978"/>
      <c r="HK530" s="978"/>
      <c r="HL530" s="978"/>
      <c r="HM530" s="978"/>
      <c r="HN530" s="978"/>
      <c r="HO530" s="978"/>
      <c r="HP530" s="978"/>
      <c r="HQ530" s="978"/>
      <c r="HR530" s="978"/>
      <c r="HS530" s="978"/>
      <c r="HT530" s="978"/>
      <c r="HU530" s="978"/>
      <c r="HV530" s="978"/>
      <c r="HW530" s="978"/>
      <c r="HX530" s="978"/>
      <c r="HY530" s="978"/>
      <c r="HZ530" s="978"/>
      <c r="IA530" s="978"/>
      <c r="IB530" s="978"/>
      <c r="IC530" s="978"/>
      <c r="ID530" s="978"/>
      <c r="IE530" s="978"/>
      <c r="IF530" s="978"/>
      <c r="IG530" s="978"/>
      <c r="IH530" s="978"/>
      <c r="II530" s="978"/>
      <c r="IJ530" s="978"/>
      <c r="IK530" s="978"/>
      <c r="IL530" s="978"/>
      <c r="IM530" s="978"/>
      <c r="IN530" s="978"/>
      <c r="IO530" s="978"/>
      <c r="IP530" s="978"/>
      <c r="IQ530" s="978"/>
      <c r="IR530" s="978"/>
      <c r="IS530" s="978"/>
      <c r="IT530" s="978"/>
      <c r="IU530" s="978"/>
      <c r="IV530" s="978"/>
      <c r="IW530" s="978"/>
      <c r="IX530" s="978"/>
      <c r="IY530" s="978"/>
      <c r="IZ530" s="978"/>
      <c r="JA530" s="978"/>
      <c r="JB530" s="978"/>
      <c r="JC530" s="978"/>
      <c r="JD530" s="978"/>
      <c r="JE530" s="978"/>
      <c r="JF530" s="978"/>
      <c r="JG530" s="978"/>
      <c r="JH530" s="978"/>
      <c r="JI530" s="978"/>
      <c r="JJ530" s="978"/>
      <c r="JK530" s="978"/>
      <c r="JL530" s="978"/>
      <c r="JM530" s="978"/>
      <c r="JN530" s="978"/>
      <c r="JO530" s="978"/>
      <c r="JP530" s="978"/>
      <c r="JQ530" s="978"/>
      <c r="JR530" s="978"/>
      <c r="JS530" s="978"/>
      <c r="JT530" s="978"/>
      <c r="JU530" s="978"/>
      <c r="JV530" s="978"/>
      <c r="JW530" s="978"/>
      <c r="JX530" s="978"/>
      <c r="JY530" s="978"/>
      <c r="JZ530" s="978"/>
      <c r="KA530" s="978"/>
      <c r="KB530" s="978"/>
      <c r="KC530" s="978"/>
      <c r="KD530" s="978"/>
      <c r="KE530" s="978"/>
      <c r="KF530" s="978"/>
      <c r="KG530" s="978"/>
      <c r="KH530" s="978"/>
      <c r="KI530" s="978"/>
      <c r="KJ530" s="978"/>
      <c r="KK530" s="978"/>
      <c r="KL530" s="978"/>
      <c r="KM530" s="978"/>
      <c r="KN530" s="978"/>
      <c r="KO530" s="978"/>
      <c r="KP530" s="978"/>
      <c r="KQ530" s="978"/>
      <c r="KR530" s="978"/>
      <c r="KS530" s="978"/>
      <c r="KT530" s="978"/>
      <c r="KU530" s="978"/>
      <c r="KV530" s="978"/>
      <c r="KW530" s="978"/>
      <c r="KX530" s="978"/>
      <c r="KY530" s="978"/>
      <c r="KZ530" s="978"/>
      <c r="LA530" s="978"/>
      <c r="LB530" s="978"/>
      <c r="LC530" s="978"/>
      <c r="LD530" s="978"/>
      <c r="LE530" s="978"/>
      <c r="LF530" s="978"/>
      <c r="LG530" s="978"/>
      <c r="LH530" s="978"/>
      <c r="LI530" s="978"/>
      <c r="LJ530" s="978"/>
      <c r="LK530" s="978"/>
      <c r="LL530" s="978"/>
      <c r="LM530" s="978"/>
      <c r="LN530" s="978"/>
      <c r="LO530" s="978"/>
      <c r="LP530" s="978"/>
      <c r="LQ530" s="978"/>
      <c r="LR530" s="978"/>
      <c r="LS530" s="978"/>
      <c r="LT530" s="978"/>
      <c r="LU530" s="978"/>
      <c r="LV530" s="978"/>
      <c r="LW530" s="978"/>
      <c r="LX530" s="978"/>
      <c r="LY530" s="978"/>
      <c r="LZ530" s="978"/>
      <c r="MA530" s="978"/>
      <c r="MB530" s="978"/>
      <c r="MC530" s="978"/>
      <c r="MD530" s="978"/>
      <c r="ME530" s="978"/>
      <c r="MF530" s="978"/>
      <c r="MG530" s="978"/>
      <c r="MH530" s="978"/>
      <c r="MI530" s="978"/>
      <c r="MJ530" s="978"/>
      <c r="MK530" s="978"/>
      <c r="ML530" s="978"/>
      <c r="MM530" s="978"/>
      <c r="MN530" s="978"/>
      <c r="MO530" s="978"/>
      <c r="MP530" s="978"/>
      <c r="MQ530" s="978"/>
      <c r="MR530" s="978"/>
      <c r="MS530" s="978"/>
      <c r="MT530" s="978"/>
      <c r="MU530" s="978"/>
      <c r="MV530" s="978"/>
      <c r="MW530" s="978"/>
      <c r="MX530" s="978"/>
      <c r="MY530" s="978"/>
      <c r="MZ530" s="978"/>
      <c r="NA530" s="978"/>
      <c r="NB530" s="978"/>
      <c r="NC530" s="978"/>
      <c r="ND530" s="978"/>
      <c r="NE530" s="978"/>
      <c r="NF530" s="978"/>
      <c r="NG530" s="978"/>
      <c r="NH530" s="978"/>
      <c r="NI530" s="978"/>
      <c r="NJ530" s="978"/>
      <c r="NK530" s="978"/>
      <c r="NL530" s="978"/>
      <c r="NM530" s="978"/>
      <c r="NN530" s="978"/>
      <c r="NO530" s="978"/>
      <c r="NP530" s="978"/>
      <c r="NQ530" s="978"/>
      <c r="NR530" s="978"/>
      <c r="NS530" s="978"/>
      <c r="NT530" s="978"/>
      <c r="NU530" s="978"/>
      <c r="NV530" s="978"/>
      <c r="NW530" s="978"/>
      <c r="NX530" s="978"/>
      <c r="NY530" s="978"/>
      <c r="NZ530" s="978"/>
      <c r="OA530" s="978"/>
      <c r="OB530" s="978"/>
      <c r="OC530" s="978"/>
      <c r="OD530" s="978"/>
      <c r="OE530" s="978"/>
      <c r="OF530" s="978"/>
      <c r="OG530" s="978"/>
      <c r="OH530" s="978"/>
      <c r="OI530" s="978"/>
      <c r="OJ530" s="978"/>
      <c r="OK530" s="978"/>
      <c r="OL530" s="978"/>
      <c r="OM530" s="978"/>
      <c r="ON530" s="978"/>
      <c r="OO530" s="978"/>
      <c r="OP530" s="978"/>
      <c r="OQ530" s="978"/>
      <c r="OR530" s="978"/>
      <c r="OS530" s="978"/>
      <c r="OT530" s="978"/>
      <c r="OU530" s="978"/>
      <c r="OV530" s="978"/>
      <c r="OW530" s="978"/>
      <c r="OX530" s="978"/>
      <c r="OY530" s="978"/>
      <c r="OZ530" s="978"/>
      <c r="PA530" s="978"/>
      <c r="PB530" s="978"/>
      <c r="PC530" s="978"/>
      <c r="PD530" s="978"/>
      <c r="PE530" s="978"/>
      <c r="PF530" s="978"/>
      <c r="PG530" s="978"/>
      <c r="PH530" s="978"/>
      <c r="PI530" s="978"/>
      <c r="PJ530" s="978"/>
      <c r="PK530" s="978"/>
      <c r="PL530" s="978"/>
      <c r="PM530" s="978"/>
      <c r="PN530" s="978"/>
      <c r="PO530" s="978"/>
      <c r="PP530" s="978"/>
      <c r="PQ530" s="978"/>
      <c r="PR530" s="978"/>
      <c r="PS530" s="978"/>
      <c r="PT530" s="978"/>
      <c r="PU530" s="978"/>
      <c r="PV530" s="978"/>
      <c r="PW530" s="978"/>
      <c r="PX530" s="978"/>
      <c r="PY530" s="978"/>
      <c r="PZ530" s="978"/>
      <c r="QA530" s="978"/>
      <c r="QB530" s="978"/>
      <c r="QC530" s="978"/>
      <c r="QD530" s="978"/>
      <c r="QE530" s="978"/>
      <c r="QF530" s="978"/>
      <c r="QG530" s="978"/>
      <c r="QH530" s="978"/>
      <c r="QI530" s="978"/>
      <c r="QJ530" s="978"/>
      <c r="QK530" s="978"/>
      <c r="QL530" s="978"/>
      <c r="QM530" s="978"/>
      <c r="QN530" s="978"/>
      <c r="QO530" s="978"/>
      <c r="QP530" s="978"/>
      <c r="QQ530" s="978"/>
      <c r="QR530" s="978"/>
      <c r="QS530" s="978"/>
      <c r="QT530" s="978"/>
      <c r="QU530" s="978"/>
      <c r="QV530" s="978"/>
      <c r="QW530" s="978"/>
      <c r="QX530" s="978"/>
      <c r="QY530" s="978"/>
      <c r="QZ530" s="978"/>
      <c r="RA530" s="978"/>
      <c r="RB530" s="274"/>
      <c r="RC530" s="274"/>
    </row>
    <row r="531" spans="112:471" ht="17.25">
      <c r="DH531" s="274"/>
      <c r="DI531" s="274"/>
      <c r="DJ531" s="978"/>
      <c r="DK531" s="978"/>
      <c r="DL531" s="978"/>
      <c r="DM531" s="978"/>
      <c r="DN531" s="978"/>
      <c r="DO531" s="978"/>
      <c r="DP531" s="978"/>
      <c r="DQ531" s="978"/>
      <c r="DR531" s="978"/>
      <c r="DS531" s="978"/>
      <c r="DT531" s="978"/>
      <c r="DU531" s="978"/>
      <c r="DV531" s="978"/>
      <c r="DW531" s="978"/>
      <c r="DX531" s="978"/>
      <c r="DY531" s="978"/>
      <c r="DZ531" s="978"/>
      <c r="EA531" s="978"/>
      <c r="EB531" s="978"/>
      <c r="EC531" s="978"/>
      <c r="ED531" s="978"/>
      <c r="EE531" s="978"/>
      <c r="EF531" s="978"/>
      <c r="EG531" s="978"/>
      <c r="EH531" s="978"/>
      <c r="EI531" s="978"/>
      <c r="EJ531" s="978"/>
      <c r="EK531" s="978"/>
      <c r="EL531" s="978"/>
      <c r="EM531" s="978"/>
      <c r="EN531" s="978"/>
      <c r="EO531" s="978"/>
      <c r="EP531" s="978"/>
      <c r="EQ531" s="978"/>
      <c r="ER531" s="978"/>
      <c r="ES531" s="978"/>
      <c r="ET531" s="978"/>
      <c r="EU531" s="978"/>
      <c r="EV531" s="978"/>
      <c r="EW531" s="978"/>
      <c r="EX531" s="978"/>
      <c r="EY531" s="978"/>
      <c r="EZ531" s="978"/>
      <c r="FA531" s="978"/>
      <c r="FB531" s="978"/>
      <c r="FC531" s="978"/>
      <c r="FD531" s="978"/>
      <c r="FE531" s="978"/>
      <c r="FF531" s="978"/>
      <c r="FG531" s="978"/>
      <c r="FH531" s="978"/>
      <c r="FI531" s="978"/>
      <c r="FJ531" s="978"/>
      <c r="FK531" s="978"/>
      <c r="FL531" s="978"/>
      <c r="FM531" s="978"/>
      <c r="FN531" s="978"/>
      <c r="FO531" s="978"/>
      <c r="FP531" s="978"/>
      <c r="FQ531" s="978"/>
      <c r="FR531" s="978"/>
      <c r="FS531" s="978"/>
      <c r="FT531" s="978"/>
      <c r="FU531" s="978"/>
      <c r="FV531" s="978"/>
      <c r="FW531" s="978"/>
      <c r="FX531" s="978"/>
      <c r="FY531" s="978"/>
      <c r="FZ531" s="978"/>
      <c r="GA531" s="978"/>
      <c r="GB531" s="978"/>
      <c r="GC531" s="978"/>
      <c r="GD531" s="978"/>
      <c r="GE531" s="978"/>
      <c r="GF531" s="978"/>
      <c r="GG531" s="978"/>
      <c r="GH531" s="978"/>
      <c r="GI531" s="978"/>
      <c r="GJ531" s="978"/>
      <c r="GK531" s="978"/>
      <c r="GL531" s="978"/>
      <c r="GM531" s="978"/>
      <c r="GN531" s="978"/>
      <c r="GO531" s="978"/>
      <c r="GP531" s="978"/>
      <c r="GQ531" s="978"/>
      <c r="GR531" s="978"/>
      <c r="GS531" s="978"/>
      <c r="GT531" s="978"/>
      <c r="GU531" s="978"/>
      <c r="GV531" s="978"/>
      <c r="GW531" s="978"/>
      <c r="GX531" s="978"/>
      <c r="GY531" s="978"/>
      <c r="GZ531" s="978"/>
      <c r="HA531" s="978"/>
      <c r="HB531" s="978"/>
      <c r="HC531" s="978"/>
      <c r="HD531" s="978"/>
      <c r="HE531" s="978"/>
      <c r="HF531" s="978"/>
      <c r="HG531" s="978"/>
      <c r="HH531" s="978"/>
      <c r="HI531" s="978"/>
      <c r="HJ531" s="978"/>
      <c r="HK531" s="978"/>
      <c r="HL531" s="978"/>
      <c r="HM531" s="978"/>
      <c r="HN531" s="978"/>
      <c r="HO531" s="978"/>
      <c r="HP531" s="978"/>
      <c r="HQ531" s="978"/>
      <c r="HR531" s="978"/>
      <c r="HS531" s="978"/>
      <c r="HT531" s="978"/>
      <c r="HU531" s="978"/>
      <c r="HV531" s="978"/>
      <c r="HW531" s="978"/>
      <c r="HX531" s="978"/>
      <c r="HY531" s="978"/>
      <c r="HZ531" s="978"/>
      <c r="IA531" s="978"/>
      <c r="IB531" s="978"/>
      <c r="IC531" s="978"/>
      <c r="ID531" s="978"/>
      <c r="IE531" s="978"/>
      <c r="IF531" s="978"/>
      <c r="IG531" s="978"/>
      <c r="IH531" s="978"/>
      <c r="II531" s="978"/>
      <c r="IJ531" s="978"/>
      <c r="IK531" s="978"/>
      <c r="IL531" s="978"/>
      <c r="IM531" s="978"/>
      <c r="IN531" s="978"/>
      <c r="IO531" s="978"/>
      <c r="IP531" s="978"/>
      <c r="IQ531" s="978"/>
      <c r="IR531" s="978"/>
      <c r="IS531" s="978"/>
      <c r="IT531" s="978"/>
      <c r="IU531" s="978"/>
      <c r="IV531" s="978"/>
      <c r="IW531" s="978"/>
      <c r="IX531" s="978"/>
      <c r="IY531" s="978"/>
      <c r="IZ531" s="978"/>
      <c r="JA531" s="978"/>
      <c r="JB531" s="978"/>
      <c r="JC531" s="978"/>
      <c r="JD531" s="978"/>
      <c r="JE531" s="978"/>
      <c r="JF531" s="978"/>
      <c r="JG531" s="978"/>
      <c r="JH531" s="978"/>
      <c r="JI531" s="978"/>
      <c r="JJ531" s="978"/>
      <c r="JK531" s="978"/>
      <c r="JL531" s="978"/>
      <c r="JM531" s="978"/>
      <c r="JN531" s="978"/>
      <c r="JO531" s="978"/>
      <c r="JP531" s="978"/>
      <c r="JQ531" s="978"/>
      <c r="JR531" s="978"/>
      <c r="JS531" s="978"/>
      <c r="JT531" s="978"/>
      <c r="JU531" s="978"/>
      <c r="JV531" s="978"/>
      <c r="JW531" s="978"/>
      <c r="JX531" s="978"/>
      <c r="JY531" s="978"/>
      <c r="JZ531" s="978"/>
      <c r="KA531" s="978"/>
      <c r="KB531" s="978"/>
      <c r="KC531" s="978"/>
      <c r="KD531" s="978"/>
      <c r="KE531" s="978"/>
      <c r="KF531" s="978"/>
      <c r="KG531" s="978"/>
      <c r="KH531" s="978"/>
      <c r="KI531" s="978"/>
      <c r="KJ531" s="978"/>
      <c r="KK531" s="978"/>
      <c r="KL531" s="978"/>
      <c r="KM531" s="978"/>
      <c r="KN531" s="978"/>
      <c r="KO531" s="978"/>
      <c r="KP531" s="978"/>
      <c r="KQ531" s="978"/>
      <c r="KR531" s="978"/>
      <c r="KS531" s="978"/>
      <c r="KT531" s="978"/>
      <c r="KU531" s="978"/>
      <c r="KV531" s="978"/>
      <c r="KW531" s="978"/>
      <c r="KX531" s="978"/>
      <c r="KY531" s="978"/>
      <c r="KZ531" s="978"/>
      <c r="LA531" s="978"/>
      <c r="LB531" s="978"/>
      <c r="LC531" s="978"/>
      <c r="LD531" s="978"/>
      <c r="LE531" s="978"/>
      <c r="LF531" s="978"/>
      <c r="LG531" s="978"/>
      <c r="LH531" s="978"/>
      <c r="LI531" s="978"/>
      <c r="LJ531" s="978"/>
      <c r="LK531" s="978"/>
      <c r="LL531" s="978"/>
      <c r="LM531" s="978"/>
      <c r="LN531" s="978"/>
      <c r="LO531" s="978"/>
      <c r="LP531" s="978"/>
      <c r="LQ531" s="978"/>
      <c r="LR531" s="978"/>
      <c r="LS531" s="978"/>
      <c r="LT531" s="978"/>
      <c r="LU531" s="978"/>
      <c r="LV531" s="978"/>
      <c r="LW531" s="978"/>
      <c r="LX531" s="978"/>
      <c r="LY531" s="978"/>
      <c r="LZ531" s="978"/>
      <c r="MA531" s="978"/>
      <c r="MB531" s="978"/>
      <c r="MC531" s="978"/>
      <c r="MD531" s="978"/>
      <c r="ME531" s="978"/>
      <c r="MF531" s="978"/>
      <c r="MG531" s="978"/>
      <c r="MH531" s="978"/>
      <c r="MI531" s="978"/>
      <c r="MJ531" s="978"/>
      <c r="MK531" s="978"/>
      <c r="ML531" s="978"/>
      <c r="MM531" s="978"/>
      <c r="MN531" s="978"/>
      <c r="MO531" s="978"/>
      <c r="MP531" s="978"/>
      <c r="MQ531" s="978"/>
      <c r="MR531" s="978"/>
      <c r="MS531" s="978"/>
      <c r="MT531" s="978"/>
      <c r="MU531" s="978"/>
      <c r="MV531" s="978"/>
      <c r="MW531" s="978"/>
      <c r="MX531" s="978"/>
      <c r="MY531" s="978"/>
      <c r="MZ531" s="978"/>
      <c r="NA531" s="978"/>
      <c r="NB531" s="978"/>
      <c r="NC531" s="978"/>
      <c r="ND531" s="978"/>
      <c r="NE531" s="978"/>
      <c r="NF531" s="978"/>
      <c r="NG531" s="978"/>
      <c r="NH531" s="978"/>
      <c r="NI531" s="978"/>
      <c r="NJ531" s="978"/>
      <c r="NK531" s="978"/>
      <c r="NL531" s="978"/>
      <c r="NM531" s="978"/>
      <c r="NN531" s="978"/>
      <c r="NO531" s="978"/>
      <c r="NP531" s="978"/>
      <c r="NQ531" s="978"/>
      <c r="NR531" s="978"/>
      <c r="NS531" s="978"/>
      <c r="NT531" s="978"/>
      <c r="NU531" s="978"/>
      <c r="NV531" s="978"/>
      <c r="NW531" s="978"/>
      <c r="NX531" s="978"/>
      <c r="NY531" s="978"/>
      <c r="NZ531" s="978"/>
      <c r="OA531" s="978"/>
      <c r="OB531" s="978"/>
      <c r="OC531" s="978"/>
      <c r="OD531" s="978"/>
      <c r="OE531" s="978"/>
      <c r="OF531" s="978"/>
      <c r="OG531" s="978"/>
      <c r="OH531" s="978"/>
      <c r="OI531" s="978"/>
      <c r="OJ531" s="978"/>
      <c r="OK531" s="978"/>
      <c r="OL531" s="978"/>
      <c r="OM531" s="978"/>
      <c r="ON531" s="978"/>
      <c r="OO531" s="978"/>
      <c r="OP531" s="978"/>
      <c r="OQ531" s="978"/>
      <c r="OR531" s="978"/>
      <c r="OS531" s="978"/>
      <c r="OT531" s="978"/>
      <c r="OU531" s="978"/>
      <c r="OV531" s="978"/>
      <c r="OW531" s="978"/>
      <c r="OX531" s="978"/>
      <c r="OY531" s="978"/>
      <c r="OZ531" s="978"/>
      <c r="PA531" s="978"/>
      <c r="PB531" s="978"/>
      <c r="PC531" s="978"/>
      <c r="PD531" s="978"/>
      <c r="PE531" s="978"/>
      <c r="PF531" s="978"/>
      <c r="PG531" s="978"/>
      <c r="PH531" s="978"/>
      <c r="PI531" s="978"/>
      <c r="PJ531" s="978"/>
      <c r="PK531" s="978"/>
      <c r="PL531" s="978"/>
      <c r="PM531" s="978"/>
      <c r="PN531" s="978"/>
      <c r="PO531" s="978"/>
      <c r="PP531" s="978"/>
      <c r="PQ531" s="978"/>
      <c r="PR531" s="978"/>
      <c r="PS531" s="978"/>
      <c r="PT531" s="978"/>
      <c r="PU531" s="978"/>
      <c r="PV531" s="978"/>
      <c r="PW531" s="978"/>
      <c r="PX531" s="978"/>
      <c r="PY531" s="978"/>
      <c r="PZ531" s="978"/>
      <c r="QA531" s="978"/>
      <c r="QB531" s="978"/>
      <c r="QC531" s="978"/>
      <c r="QD531" s="978"/>
      <c r="QE531" s="978"/>
      <c r="QF531" s="978"/>
      <c r="QG531" s="978"/>
      <c r="QH531" s="978"/>
      <c r="QI531" s="978"/>
      <c r="QJ531" s="978"/>
      <c r="QK531" s="978"/>
      <c r="QL531" s="978"/>
      <c r="QM531" s="978"/>
      <c r="QN531" s="978"/>
      <c r="QO531" s="978"/>
      <c r="QP531" s="978"/>
      <c r="QQ531" s="978"/>
      <c r="QR531" s="978"/>
      <c r="QS531" s="978"/>
      <c r="QT531" s="978"/>
      <c r="QU531" s="978"/>
      <c r="QV531" s="978"/>
      <c r="QW531" s="978"/>
      <c r="QX531" s="978"/>
      <c r="QY531" s="978"/>
      <c r="QZ531" s="978"/>
      <c r="RA531" s="978"/>
      <c r="RB531" s="274"/>
      <c r="RC531" s="274"/>
    </row>
    <row r="532" spans="112:471" ht="17.25">
      <c r="DH532" s="274"/>
      <c r="DI532" s="274"/>
      <c r="DJ532" s="978"/>
      <c r="DK532" s="978"/>
      <c r="DL532" s="978"/>
      <c r="DM532" s="978"/>
      <c r="DN532" s="978"/>
      <c r="DO532" s="978"/>
      <c r="DP532" s="978"/>
      <c r="DQ532" s="978"/>
      <c r="DR532" s="978"/>
      <c r="DS532" s="978"/>
      <c r="DT532" s="978"/>
      <c r="DU532" s="978"/>
      <c r="DV532" s="978"/>
      <c r="DW532" s="978"/>
      <c r="DX532" s="978"/>
      <c r="DY532" s="978"/>
      <c r="DZ532" s="978"/>
      <c r="EA532" s="978"/>
      <c r="EB532" s="978"/>
      <c r="EC532" s="978"/>
      <c r="ED532" s="978"/>
      <c r="EE532" s="978"/>
      <c r="EF532" s="978"/>
      <c r="EG532" s="978"/>
      <c r="EH532" s="978"/>
      <c r="EI532" s="978"/>
      <c r="EJ532" s="978"/>
      <c r="EK532" s="978"/>
      <c r="EL532" s="978"/>
      <c r="EM532" s="978"/>
      <c r="EN532" s="978"/>
      <c r="EO532" s="978"/>
      <c r="EP532" s="978"/>
      <c r="EQ532" s="978"/>
      <c r="ER532" s="978"/>
      <c r="ES532" s="978"/>
      <c r="ET532" s="978"/>
      <c r="EU532" s="978"/>
      <c r="EV532" s="978"/>
      <c r="EW532" s="978"/>
      <c r="EX532" s="978"/>
      <c r="EY532" s="978"/>
      <c r="EZ532" s="978"/>
      <c r="FA532" s="978"/>
      <c r="FB532" s="978"/>
      <c r="FC532" s="978"/>
      <c r="FD532" s="978"/>
      <c r="FE532" s="978"/>
      <c r="FF532" s="978"/>
      <c r="FG532" s="978"/>
      <c r="FH532" s="978"/>
      <c r="FI532" s="978"/>
      <c r="FJ532" s="978"/>
      <c r="FK532" s="978"/>
      <c r="FL532" s="978"/>
      <c r="FM532" s="978"/>
      <c r="FN532" s="978"/>
      <c r="FO532" s="978"/>
      <c r="FP532" s="978"/>
      <c r="FQ532" s="978"/>
      <c r="FR532" s="978"/>
      <c r="FS532" s="978"/>
      <c r="FT532" s="978"/>
      <c r="FU532" s="978"/>
      <c r="FV532" s="978"/>
      <c r="FW532" s="978"/>
      <c r="FX532" s="978"/>
      <c r="FY532" s="978"/>
      <c r="FZ532" s="978"/>
      <c r="GA532" s="978"/>
      <c r="GB532" s="978"/>
      <c r="GC532" s="978"/>
      <c r="GD532" s="978"/>
      <c r="GE532" s="978"/>
      <c r="GF532" s="978"/>
      <c r="GG532" s="978"/>
      <c r="GH532" s="978"/>
      <c r="GI532" s="978"/>
      <c r="GJ532" s="978"/>
      <c r="GK532" s="978"/>
      <c r="GL532" s="978"/>
      <c r="GM532" s="978"/>
      <c r="GN532" s="978"/>
      <c r="GO532" s="978"/>
      <c r="GP532" s="978"/>
      <c r="GQ532" s="978"/>
      <c r="GR532" s="978"/>
      <c r="GS532" s="978"/>
      <c r="GT532" s="978"/>
      <c r="GU532" s="978"/>
      <c r="GV532" s="978"/>
      <c r="GW532" s="978"/>
      <c r="GX532" s="978"/>
      <c r="GY532" s="978"/>
      <c r="GZ532" s="978"/>
      <c r="HA532" s="978"/>
      <c r="HB532" s="978"/>
      <c r="HC532" s="978"/>
      <c r="HD532" s="978"/>
      <c r="HE532" s="978"/>
      <c r="HF532" s="978"/>
      <c r="HG532" s="978"/>
      <c r="HH532" s="978"/>
      <c r="HI532" s="978"/>
      <c r="HJ532" s="978"/>
      <c r="HK532" s="978"/>
      <c r="HL532" s="978"/>
      <c r="HM532" s="978"/>
      <c r="HN532" s="978"/>
      <c r="HO532" s="978"/>
      <c r="HP532" s="978"/>
      <c r="HQ532" s="978"/>
      <c r="HR532" s="978"/>
      <c r="HS532" s="978"/>
      <c r="HT532" s="978"/>
      <c r="HU532" s="978"/>
      <c r="HV532" s="978"/>
      <c r="HW532" s="978"/>
      <c r="HX532" s="978"/>
      <c r="HY532" s="978"/>
      <c r="HZ532" s="978"/>
      <c r="IA532" s="978"/>
      <c r="IB532" s="978"/>
      <c r="IC532" s="978"/>
      <c r="ID532" s="978"/>
      <c r="IE532" s="978"/>
      <c r="IF532" s="978"/>
      <c r="IG532" s="978"/>
      <c r="IH532" s="978"/>
      <c r="II532" s="978"/>
      <c r="IJ532" s="978"/>
      <c r="IK532" s="978"/>
      <c r="IL532" s="978"/>
      <c r="IM532" s="978"/>
      <c r="IN532" s="978"/>
      <c r="IO532" s="978"/>
      <c r="IP532" s="978"/>
      <c r="IQ532" s="978"/>
      <c r="IR532" s="978"/>
      <c r="IS532" s="978"/>
      <c r="IT532" s="978"/>
      <c r="IU532" s="978"/>
      <c r="IV532" s="978"/>
      <c r="IW532" s="978"/>
      <c r="IX532" s="978"/>
      <c r="IY532" s="978"/>
      <c r="IZ532" s="978"/>
      <c r="JA532" s="978"/>
      <c r="JB532" s="978"/>
      <c r="JC532" s="978"/>
      <c r="JD532" s="978"/>
      <c r="JE532" s="978"/>
      <c r="JF532" s="978"/>
      <c r="JG532" s="978"/>
      <c r="JH532" s="978"/>
      <c r="JI532" s="978"/>
      <c r="JJ532" s="978"/>
      <c r="JK532" s="978"/>
      <c r="JL532" s="978"/>
      <c r="JM532" s="978"/>
      <c r="JN532" s="978"/>
      <c r="JO532" s="978"/>
      <c r="JP532" s="978"/>
      <c r="JQ532" s="978"/>
      <c r="JR532" s="978"/>
      <c r="JS532" s="978"/>
      <c r="JT532" s="978"/>
      <c r="JU532" s="978"/>
      <c r="JV532" s="978"/>
      <c r="JW532" s="978"/>
      <c r="JX532" s="978"/>
      <c r="JY532" s="978"/>
      <c r="JZ532" s="978"/>
      <c r="KA532" s="978"/>
      <c r="KB532" s="978"/>
      <c r="KC532" s="978"/>
      <c r="KD532" s="978"/>
      <c r="KE532" s="978"/>
      <c r="KF532" s="978"/>
      <c r="KG532" s="978"/>
      <c r="KH532" s="978"/>
      <c r="KI532" s="978"/>
      <c r="KJ532" s="978"/>
      <c r="KK532" s="978"/>
      <c r="KL532" s="978"/>
      <c r="KM532" s="978"/>
      <c r="KN532" s="978"/>
      <c r="KO532" s="978"/>
      <c r="KP532" s="978"/>
      <c r="KQ532" s="978"/>
      <c r="KR532" s="978"/>
      <c r="KS532" s="978"/>
      <c r="KT532" s="978"/>
      <c r="KU532" s="978"/>
      <c r="KV532" s="978"/>
      <c r="KW532" s="978"/>
      <c r="KX532" s="978"/>
      <c r="KY532" s="978"/>
      <c r="KZ532" s="978"/>
      <c r="LA532" s="978"/>
      <c r="LB532" s="978"/>
      <c r="LC532" s="978"/>
      <c r="LD532" s="978"/>
      <c r="LE532" s="978"/>
      <c r="LF532" s="978"/>
      <c r="LG532" s="978"/>
      <c r="LH532" s="978"/>
      <c r="LI532" s="978"/>
      <c r="LJ532" s="978"/>
      <c r="LK532" s="978"/>
      <c r="LL532" s="978"/>
      <c r="LM532" s="978"/>
      <c r="LN532" s="978"/>
      <c r="LO532" s="978"/>
      <c r="LP532" s="978"/>
      <c r="LQ532" s="978"/>
      <c r="LR532" s="978"/>
      <c r="LS532" s="978"/>
      <c r="LT532" s="978"/>
      <c r="LU532" s="978"/>
      <c r="LV532" s="978"/>
      <c r="LW532" s="978"/>
      <c r="LX532" s="978"/>
      <c r="LY532" s="978"/>
      <c r="LZ532" s="978"/>
      <c r="MA532" s="978"/>
      <c r="MB532" s="978"/>
      <c r="MC532" s="978"/>
      <c r="MD532" s="978"/>
      <c r="ME532" s="978"/>
      <c r="MF532" s="978"/>
      <c r="MG532" s="978"/>
      <c r="MH532" s="978"/>
      <c r="MI532" s="978"/>
      <c r="MJ532" s="978"/>
      <c r="MK532" s="978"/>
      <c r="ML532" s="978"/>
      <c r="MM532" s="978"/>
      <c r="MN532" s="978"/>
      <c r="MO532" s="978"/>
      <c r="MP532" s="978"/>
      <c r="MQ532" s="978"/>
      <c r="MR532" s="978"/>
      <c r="MS532" s="978"/>
      <c r="MT532" s="978"/>
      <c r="MU532" s="978"/>
      <c r="MV532" s="978"/>
      <c r="MW532" s="978"/>
      <c r="MX532" s="978"/>
      <c r="MY532" s="978"/>
      <c r="MZ532" s="978"/>
      <c r="NA532" s="978"/>
      <c r="NB532" s="978"/>
      <c r="NC532" s="978"/>
      <c r="ND532" s="978"/>
      <c r="NE532" s="978"/>
      <c r="NF532" s="978"/>
      <c r="NG532" s="978"/>
      <c r="NH532" s="978"/>
      <c r="NI532" s="978"/>
      <c r="NJ532" s="978"/>
      <c r="NK532" s="978"/>
      <c r="NL532" s="978"/>
      <c r="NM532" s="978"/>
      <c r="NN532" s="978"/>
      <c r="NO532" s="978"/>
      <c r="NP532" s="978"/>
      <c r="NQ532" s="978"/>
      <c r="NR532" s="978"/>
      <c r="NS532" s="978"/>
      <c r="NT532" s="978"/>
      <c r="NU532" s="978"/>
      <c r="NV532" s="978"/>
      <c r="NW532" s="978"/>
      <c r="NX532" s="978"/>
      <c r="NY532" s="978"/>
      <c r="NZ532" s="978"/>
      <c r="OA532" s="978"/>
      <c r="OB532" s="978"/>
      <c r="OC532" s="978"/>
      <c r="OD532" s="978"/>
      <c r="OE532" s="978"/>
      <c r="OF532" s="978"/>
      <c r="OG532" s="978"/>
      <c r="OH532" s="978"/>
      <c r="OI532" s="978"/>
      <c r="OJ532" s="978"/>
      <c r="OK532" s="978"/>
      <c r="OL532" s="978"/>
      <c r="OM532" s="978"/>
      <c r="ON532" s="978"/>
      <c r="OO532" s="978"/>
      <c r="OP532" s="978"/>
      <c r="OQ532" s="978"/>
      <c r="OR532" s="978"/>
      <c r="OS532" s="978"/>
      <c r="OT532" s="978"/>
      <c r="OU532" s="978"/>
      <c r="OV532" s="978"/>
      <c r="OW532" s="978"/>
      <c r="OX532" s="978"/>
      <c r="OY532" s="978"/>
      <c r="OZ532" s="978"/>
      <c r="PA532" s="978"/>
      <c r="PB532" s="978"/>
      <c r="PC532" s="978"/>
      <c r="PD532" s="978"/>
      <c r="PE532" s="978"/>
      <c r="PF532" s="978"/>
      <c r="PG532" s="978"/>
      <c r="PH532" s="978"/>
      <c r="PI532" s="978"/>
      <c r="PJ532" s="978"/>
      <c r="PK532" s="978"/>
      <c r="PL532" s="978"/>
      <c r="PM532" s="978"/>
      <c r="PN532" s="978"/>
      <c r="PO532" s="978"/>
      <c r="PP532" s="978"/>
      <c r="PQ532" s="978"/>
      <c r="PR532" s="978"/>
      <c r="PS532" s="978"/>
      <c r="PT532" s="978"/>
      <c r="PU532" s="978"/>
      <c r="PV532" s="978"/>
      <c r="PW532" s="978"/>
      <c r="PX532" s="978"/>
      <c r="PY532" s="978"/>
      <c r="PZ532" s="978"/>
      <c r="QA532" s="978"/>
      <c r="QB532" s="978"/>
      <c r="QC532" s="978"/>
      <c r="QD532" s="978"/>
      <c r="QE532" s="978"/>
      <c r="QF532" s="978"/>
      <c r="QG532" s="978"/>
      <c r="QH532" s="978"/>
      <c r="QI532" s="978"/>
      <c r="QJ532" s="978"/>
      <c r="QK532" s="978"/>
      <c r="QL532" s="978"/>
      <c r="QM532" s="978"/>
      <c r="QN532" s="978"/>
      <c r="QO532" s="978"/>
      <c r="QP532" s="978"/>
      <c r="QQ532" s="978"/>
      <c r="QR532" s="978"/>
      <c r="QS532" s="978"/>
      <c r="QT532" s="978"/>
      <c r="QU532" s="978"/>
      <c r="QV532" s="978"/>
      <c r="QW532" s="978"/>
      <c r="QX532" s="978"/>
      <c r="QY532" s="978"/>
      <c r="QZ532" s="978"/>
      <c r="RA532" s="978"/>
      <c r="RB532" s="274"/>
      <c r="RC532" s="274"/>
    </row>
    <row r="533" spans="112:471" ht="17.25">
      <c r="DH533" s="274"/>
      <c r="DI533" s="274"/>
      <c r="DJ533" s="978"/>
      <c r="DK533" s="978"/>
      <c r="DL533" s="978"/>
      <c r="DM533" s="978"/>
      <c r="DN533" s="978"/>
      <c r="DO533" s="978"/>
      <c r="DP533" s="978"/>
      <c r="DQ533" s="978"/>
      <c r="DR533" s="978"/>
      <c r="DS533" s="978"/>
      <c r="DT533" s="978"/>
      <c r="DU533" s="978"/>
      <c r="DV533" s="978"/>
      <c r="DW533" s="978"/>
      <c r="DX533" s="978"/>
      <c r="DY533" s="978"/>
      <c r="DZ533" s="978"/>
      <c r="EA533" s="978"/>
      <c r="EB533" s="978"/>
      <c r="EC533" s="978"/>
      <c r="ED533" s="978"/>
      <c r="EE533" s="978"/>
      <c r="EF533" s="978"/>
      <c r="EG533" s="978"/>
      <c r="EH533" s="978"/>
      <c r="EI533" s="978"/>
      <c r="EJ533" s="978"/>
      <c r="EK533" s="978"/>
      <c r="EL533" s="978"/>
      <c r="EM533" s="978"/>
      <c r="EN533" s="978"/>
      <c r="EO533" s="978"/>
      <c r="EP533" s="978"/>
      <c r="EQ533" s="978"/>
      <c r="ER533" s="978"/>
      <c r="ES533" s="978"/>
      <c r="ET533" s="978"/>
      <c r="EU533" s="978"/>
      <c r="EV533" s="978"/>
      <c r="EW533" s="978"/>
      <c r="EX533" s="978"/>
      <c r="EY533" s="978"/>
      <c r="EZ533" s="978"/>
      <c r="FA533" s="978"/>
      <c r="FB533" s="978"/>
      <c r="FC533" s="978"/>
      <c r="FD533" s="978"/>
      <c r="FE533" s="978"/>
      <c r="FF533" s="978"/>
      <c r="FG533" s="978"/>
      <c r="FH533" s="978"/>
      <c r="FI533" s="978"/>
      <c r="FJ533" s="978"/>
      <c r="FK533" s="978"/>
      <c r="FL533" s="978"/>
      <c r="FM533" s="978"/>
      <c r="FN533" s="978"/>
      <c r="FO533" s="978"/>
      <c r="FP533" s="978"/>
      <c r="FQ533" s="978"/>
      <c r="FR533" s="978"/>
      <c r="FS533" s="978"/>
      <c r="FT533" s="978"/>
      <c r="FU533" s="978"/>
      <c r="FV533" s="978"/>
      <c r="FW533" s="978"/>
      <c r="FX533" s="978"/>
      <c r="FY533" s="978"/>
      <c r="FZ533" s="978"/>
      <c r="GA533" s="978"/>
      <c r="GB533" s="978"/>
      <c r="GC533" s="978"/>
      <c r="GD533" s="978"/>
      <c r="GE533" s="978"/>
      <c r="GF533" s="978"/>
      <c r="GG533" s="978"/>
      <c r="GH533" s="978"/>
      <c r="GI533" s="978"/>
      <c r="GJ533" s="978"/>
      <c r="GK533" s="978"/>
      <c r="GL533" s="978"/>
      <c r="GM533" s="978"/>
      <c r="GN533" s="978"/>
      <c r="GO533" s="978"/>
      <c r="GP533" s="978"/>
      <c r="GQ533" s="978"/>
      <c r="GR533" s="978"/>
      <c r="GS533" s="978"/>
      <c r="GT533" s="978"/>
      <c r="GU533" s="978"/>
      <c r="GV533" s="978"/>
      <c r="GW533" s="978"/>
      <c r="GX533" s="978"/>
      <c r="GY533" s="978"/>
      <c r="GZ533" s="978"/>
      <c r="HA533" s="978"/>
      <c r="HB533" s="978"/>
      <c r="HC533" s="978"/>
      <c r="HD533" s="978"/>
      <c r="HE533" s="978"/>
      <c r="HF533" s="978"/>
      <c r="HG533" s="978"/>
      <c r="HH533" s="978"/>
      <c r="HI533" s="978"/>
      <c r="HJ533" s="978"/>
      <c r="HK533" s="978"/>
      <c r="HL533" s="978"/>
      <c r="HM533" s="978"/>
      <c r="HN533" s="978"/>
      <c r="HO533" s="978"/>
      <c r="HP533" s="978"/>
      <c r="HQ533" s="978"/>
      <c r="HR533" s="978"/>
      <c r="HS533" s="978"/>
      <c r="HT533" s="978"/>
      <c r="HU533" s="978"/>
      <c r="HV533" s="978"/>
      <c r="HW533" s="978"/>
      <c r="HX533" s="978"/>
      <c r="HY533" s="978"/>
      <c r="HZ533" s="978"/>
      <c r="IA533" s="978"/>
      <c r="IB533" s="978"/>
      <c r="IC533" s="978"/>
      <c r="ID533" s="978"/>
      <c r="IE533" s="978"/>
      <c r="IF533" s="978"/>
      <c r="IG533" s="978"/>
      <c r="IH533" s="978"/>
      <c r="II533" s="978"/>
      <c r="IJ533" s="978"/>
      <c r="IK533" s="978"/>
      <c r="IL533" s="978"/>
      <c r="IM533" s="978"/>
      <c r="IN533" s="978"/>
      <c r="IO533" s="978"/>
      <c r="IP533" s="978"/>
      <c r="IQ533" s="978"/>
      <c r="IR533" s="978"/>
      <c r="IS533" s="978"/>
      <c r="IT533" s="978"/>
      <c r="IU533" s="978"/>
      <c r="IV533" s="978"/>
      <c r="IW533" s="978"/>
      <c r="IX533" s="978"/>
      <c r="IY533" s="978"/>
      <c r="IZ533" s="978"/>
      <c r="JA533" s="978"/>
      <c r="JB533" s="978"/>
      <c r="JC533" s="978"/>
      <c r="JD533" s="978"/>
      <c r="JE533" s="978"/>
      <c r="JF533" s="978"/>
      <c r="JG533" s="978"/>
      <c r="JH533" s="978"/>
      <c r="JI533" s="978"/>
      <c r="JJ533" s="978"/>
      <c r="JK533" s="978"/>
      <c r="JL533" s="978"/>
      <c r="JM533" s="978"/>
      <c r="JN533" s="978"/>
      <c r="JO533" s="978"/>
      <c r="JP533" s="978"/>
      <c r="JQ533" s="978"/>
      <c r="JR533" s="978"/>
      <c r="JS533" s="978"/>
      <c r="JT533" s="978"/>
      <c r="JU533" s="978"/>
      <c r="JV533" s="978"/>
      <c r="JW533" s="978"/>
      <c r="JX533" s="978"/>
      <c r="JY533" s="978"/>
      <c r="JZ533" s="978"/>
      <c r="KA533" s="978"/>
      <c r="KB533" s="978"/>
      <c r="KC533" s="978"/>
      <c r="KD533" s="978"/>
      <c r="KE533" s="978"/>
      <c r="KF533" s="978"/>
      <c r="KG533" s="978"/>
      <c r="KH533" s="978"/>
      <c r="KI533" s="978"/>
      <c r="KJ533" s="978"/>
      <c r="KK533" s="978"/>
      <c r="KL533" s="978"/>
      <c r="KM533" s="978"/>
      <c r="KN533" s="978"/>
      <c r="KO533" s="978"/>
      <c r="KP533" s="978"/>
      <c r="KQ533" s="978"/>
      <c r="KR533" s="978"/>
      <c r="KS533" s="978"/>
      <c r="KT533" s="978"/>
      <c r="KU533" s="978"/>
      <c r="KV533" s="978"/>
      <c r="KW533" s="978"/>
      <c r="KX533" s="978"/>
      <c r="KY533" s="978"/>
      <c r="KZ533" s="978"/>
      <c r="LA533" s="978"/>
      <c r="LB533" s="978"/>
      <c r="LC533" s="978"/>
      <c r="LD533" s="978"/>
      <c r="LE533" s="978"/>
      <c r="LF533" s="978"/>
      <c r="LG533" s="978"/>
      <c r="LH533" s="978"/>
      <c r="LI533" s="978"/>
      <c r="LJ533" s="978"/>
      <c r="LK533" s="978"/>
      <c r="LL533" s="978"/>
      <c r="LM533" s="978"/>
      <c r="LN533" s="978"/>
      <c r="LO533" s="978"/>
      <c r="LP533" s="978"/>
      <c r="LQ533" s="978"/>
      <c r="LR533" s="978"/>
      <c r="LS533" s="978"/>
      <c r="LT533" s="978"/>
      <c r="LU533" s="978"/>
      <c r="LV533" s="978"/>
      <c r="LW533" s="978"/>
      <c r="LX533" s="978"/>
      <c r="LY533" s="978"/>
      <c r="LZ533" s="978"/>
      <c r="MA533" s="978"/>
      <c r="MB533" s="978"/>
      <c r="MC533" s="978"/>
      <c r="MD533" s="978"/>
      <c r="ME533" s="978"/>
      <c r="MF533" s="978"/>
      <c r="MG533" s="978"/>
      <c r="MH533" s="978"/>
      <c r="MI533" s="978"/>
      <c r="MJ533" s="978"/>
      <c r="MK533" s="978"/>
      <c r="ML533" s="978"/>
      <c r="MM533" s="978"/>
      <c r="MN533" s="978"/>
      <c r="MO533" s="978"/>
      <c r="MP533" s="978"/>
      <c r="MQ533" s="978"/>
      <c r="MR533" s="978"/>
      <c r="MS533" s="978"/>
      <c r="MT533" s="978"/>
      <c r="MU533" s="978"/>
      <c r="MV533" s="978"/>
      <c r="MW533" s="978"/>
      <c r="MX533" s="978"/>
      <c r="MY533" s="978"/>
      <c r="MZ533" s="978"/>
      <c r="NA533" s="978"/>
      <c r="NB533" s="978"/>
      <c r="NC533" s="978"/>
      <c r="ND533" s="978"/>
      <c r="NE533" s="978"/>
      <c r="NF533" s="978"/>
      <c r="NG533" s="978"/>
      <c r="NH533" s="978"/>
      <c r="NI533" s="978"/>
      <c r="NJ533" s="978"/>
      <c r="NK533" s="978"/>
      <c r="NL533" s="978"/>
      <c r="NM533" s="978"/>
      <c r="NN533" s="978"/>
      <c r="NO533" s="978"/>
      <c r="NP533" s="978"/>
      <c r="NQ533" s="978"/>
      <c r="NR533" s="978"/>
      <c r="NS533" s="978"/>
      <c r="NT533" s="978"/>
      <c r="NU533" s="978"/>
      <c r="NV533" s="978"/>
      <c r="NW533" s="978"/>
      <c r="NX533" s="978"/>
      <c r="NY533" s="978"/>
      <c r="NZ533" s="978"/>
      <c r="OA533" s="978"/>
      <c r="OB533" s="978"/>
      <c r="OC533" s="978"/>
      <c r="OD533" s="978"/>
      <c r="OE533" s="978"/>
      <c r="OF533" s="978"/>
      <c r="OG533" s="978"/>
      <c r="OH533" s="978"/>
      <c r="OI533" s="978"/>
      <c r="OJ533" s="978"/>
      <c r="OK533" s="978"/>
      <c r="OL533" s="978"/>
      <c r="OM533" s="978"/>
      <c r="ON533" s="978"/>
      <c r="OO533" s="978"/>
      <c r="OP533" s="978"/>
      <c r="OQ533" s="978"/>
      <c r="OR533" s="978"/>
      <c r="OS533" s="978"/>
      <c r="OT533" s="978"/>
      <c r="OU533" s="978"/>
      <c r="OV533" s="978"/>
      <c r="OW533" s="978"/>
      <c r="OX533" s="978"/>
      <c r="OY533" s="978"/>
      <c r="OZ533" s="978"/>
      <c r="PA533" s="978"/>
      <c r="PB533" s="978"/>
      <c r="PC533" s="978"/>
      <c r="PD533" s="978"/>
      <c r="PE533" s="978"/>
      <c r="PF533" s="978"/>
      <c r="PG533" s="978"/>
      <c r="PH533" s="978"/>
      <c r="PI533" s="978"/>
      <c r="PJ533" s="978"/>
      <c r="PK533" s="978"/>
      <c r="PL533" s="978"/>
      <c r="PM533" s="978"/>
      <c r="PN533" s="978"/>
      <c r="PO533" s="978"/>
      <c r="PP533" s="978"/>
      <c r="PQ533" s="978"/>
      <c r="PR533" s="978"/>
      <c r="PS533" s="978"/>
      <c r="PT533" s="978"/>
      <c r="PU533" s="978"/>
      <c r="PV533" s="978"/>
      <c r="PW533" s="978"/>
      <c r="PX533" s="978"/>
      <c r="PY533" s="978"/>
      <c r="PZ533" s="978"/>
      <c r="QA533" s="978"/>
      <c r="QB533" s="978"/>
      <c r="QC533" s="978"/>
      <c r="QD533" s="978"/>
      <c r="QE533" s="978"/>
      <c r="QF533" s="978"/>
      <c r="QG533" s="978"/>
      <c r="QH533" s="978"/>
      <c r="QI533" s="978"/>
      <c r="QJ533" s="978"/>
      <c r="QK533" s="978"/>
      <c r="QL533" s="978"/>
      <c r="QM533" s="978"/>
      <c r="QN533" s="978"/>
      <c r="QO533" s="978"/>
      <c r="QP533" s="978"/>
      <c r="QQ533" s="978"/>
      <c r="QR533" s="978"/>
      <c r="QS533" s="978"/>
      <c r="QT533" s="978"/>
      <c r="QU533" s="978"/>
      <c r="QV533" s="978"/>
      <c r="QW533" s="978"/>
      <c r="QX533" s="978"/>
      <c r="QY533" s="978"/>
      <c r="QZ533" s="978"/>
      <c r="RA533" s="978"/>
      <c r="RB533" s="274"/>
      <c r="RC533" s="274"/>
    </row>
    <row r="534" spans="112:471" ht="17.25">
      <c r="DH534" s="274"/>
      <c r="DI534" s="274"/>
      <c r="DJ534" s="978"/>
      <c r="DK534" s="978"/>
      <c r="DL534" s="978"/>
      <c r="DM534" s="978"/>
      <c r="DN534" s="978"/>
      <c r="DO534" s="978"/>
      <c r="DP534" s="978"/>
      <c r="DQ534" s="978"/>
      <c r="DR534" s="978"/>
      <c r="DS534" s="978"/>
      <c r="DT534" s="978"/>
      <c r="DU534" s="978"/>
      <c r="DV534" s="978"/>
      <c r="DW534" s="978"/>
      <c r="DX534" s="978"/>
      <c r="DY534" s="978"/>
      <c r="DZ534" s="978"/>
      <c r="EA534" s="978"/>
      <c r="EB534" s="978"/>
      <c r="EC534" s="978"/>
      <c r="ED534" s="978"/>
      <c r="EE534" s="978"/>
      <c r="EF534" s="978"/>
      <c r="EG534" s="978"/>
      <c r="EH534" s="978"/>
      <c r="EI534" s="978"/>
      <c r="EJ534" s="978"/>
      <c r="EK534" s="978"/>
      <c r="EL534" s="978"/>
      <c r="EM534" s="978"/>
      <c r="EN534" s="978"/>
      <c r="EO534" s="978"/>
      <c r="EP534" s="978"/>
      <c r="EQ534" s="978"/>
      <c r="ER534" s="978"/>
      <c r="ES534" s="978"/>
      <c r="ET534" s="978"/>
      <c r="EU534" s="978"/>
      <c r="EV534" s="978"/>
      <c r="EW534" s="978"/>
      <c r="EX534" s="978"/>
      <c r="EY534" s="978"/>
      <c r="EZ534" s="978"/>
      <c r="FA534" s="978"/>
      <c r="FB534" s="978"/>
      <c r="FC534" s="978"/>
      <c r="FD534" s="978"/>
      <c r="FE534" s="978"/>
      <c r="FF534" s="978"/>
      <c r="FG534" s="978"/>
      <c r="FH534" s="978"/>
      <c r="FI534" s="978"/>
      <c r="FJ534" s="978"/>
      <c r="FK534" s="978"/>
      <c r="FL534" s="978"/>
      <c r="FM534" s="978"/>
      <c r="FN534" s="978"/>
      <c r="FO534" s="978"/>
      <c r="FP534" s="978"/>
      <c r="FQ534" s="978"/>
      <c r="FR534" s="978"/>
      <c r="FS534" s="978"/>
      <c r="FT534" s="978"/>
      <c r="FU534" s="978"/>
      <c r="FV534" s="978"/>
      <c r="FW534" s="978"/>
      <c r="FX534" s="978"/>
      <c r="FY534" s="978"/>
      <c r="FZ534" s="978"/>
      <c r="GA534" s="978"/>
      <c r="GB534" s="978"/>
      <c r="GC534" s="978"/>
      <c r="GD534" s="978"/>
      <c r="GE534" s="978"/>
      <c r="GF534" s="978"/>
      <c r="GG534" s="978"/>
      <c r="GH534" s="978"/>
      <c r="GI534" s="978"/>
      <c r="GJ534" s="978"/>
      <c r="GK534" s="978"/>
      <c r="GL534" s="978"/>
      <c r="GM534" s="978"/>
      <c r="GN534" s="978"/>
      <c r="GO534" s="978"/>
      <c r="GP534" s="978"/>
      <c r="GQ534" s="978"/>
      <c r="GR534" s="978"/>
      <c r="GS534" s="978"/>
      <c r="GT534" s="978"/>
      <c r="GU534" s="978"/>
      <c r="GV534" s="978"/>
      <c r="GW534" s="978"/>
      <c r="GX534" s="978"/>
      <c r="GY534" s="978"/>
      <c r="GZ534" s="978"/>
      <c r="HA534" s="978"/>
      <c r="HB534" s="978"/>
      <c r="HC534" s="978"/>
      <c r="HD534" s="978"/>
      <c r="HE534" s="978"/>
      <c r="HF534" s="978"/>
      <c r="HG534" s="978"/>
      <c r="HH534" s="978"/>
      <c r="HI534" s="978"/>
      <c r="HJ534" s="978"/>
      <c r="HK534" s="978"/>
      <c r="HL534" s="978"/>
      <c r="HM534" s="978"/>
      <c r="HN534" s="978"/>
      <c r="HO534" s="978"/>
      <c r="HP534" s="978"/>
      <c r="HQ534" s="978"/>
      <c r="HR534" s="978"/>
      <c r="HS534" s="978"/>
      <c r="HT534" s="978"/>
      <c r="HU534" s="978"/>
      <c r="HV534" s="978"/>
      <c r="HW534" s="978"/>
      <c r="HX534" s="978"/>
      <c r="HY534" s="978"/>
      <c r="HZ534" s="978"/>
      <c r="IA534" s="978"/>
      <c r="IB534" s="978"/>
      <c r="IC534" s="978"/>
      <c r="ID534" s="978"/>
      <c r="IE534" s="978"/>
      <c r="IF534" s="978"/>
      <c r="IG534" s="978"/>
      <c r="IH534" s="978"/>
      <c r="II534" s="978"/>
      <c r="IJ534" s="978"/>
      <c r="IK534" s="978"/>
      <c r="IL534" s="978"/>
      <c r="IM534" s="978"/>
      <c r="IN534" s="978"/>
      <c r="IO534" s="978"/>
      <c r="IP534" s="978"/>
      <c r="IQ534" s="978"/>
      <c r="IR534" s="978"/>
      <c r="IS534" s="978"/>
      <c r="IT534" s="978"/>
      <c r="IU534" s="978"/>
      <c r="IV534" s="978"/>
      <c r="IW534" s="978"/>
      <c r="IX534" s="978"/>
      <c r="IY534" s="978"/>
      <c r="IZ534" s="978"/>
      <c r="JA534" s="978"/>
      <c r="JB534" s="978"/>
      <c r="JC534" s="978"/>
      <c r="JD534" s="978"/>
      <c r="JE534" s="978"/>
      <c r="JF534" s="978"/>
      <c r="JG534" s="978"/>
      <c r="JH534" s="978"/>
      <c r="JI534" s="978"/>
      <c r="JJ534" s="978"/>
      <c r="JK534" s="978"/>
      <c r="JL534" s="978"/>
      <c r="JM534" s="978"/>
      <c r="JN534" s="978"/>
      <c r="JO534" s="978"/>
      <c r="JP534" s="978"/>
      <c r="JQ534" s="978"/>
      <c r="JR534" s="978"/>
      <c r="JS534" s="978"/>
      <c r="JT534" s="978"/>
      <c r="JU534" s="978"/>
      <c r="JV534" s="978"/>
      <c r="JW534" s="978"/>
      <c r="JX534" s="978"/>
      <c r="JY534" s="978"/>
      <c r="JZ534" s="978"/>
      <c r="KA534" s="978"/>
      <c r="KB534" s="978"/>
      <c r="KC534" s="978"/>
      <c r="KD534" s="978"/>
      <c r="KE534" s="978"/>
      <c r="KF534" s="978"/>
      <c r="KG534" s="978"/>
      <c r="KH534" s="978"/>
      <c r="KI534" s="978"/>
      <c r="KJ534" s="978"/>
      <c r="KK534" s="978"/>
      <c r="KL534" s="978"/>
      <c r="KM534" s="978"/>
      <c r="KN534" s="978"/>
      <c r="KO534" s="978"/>
      <c r="KP534" s="978"/>
      <c r="KQ534" s="978"/>
      <c r="KR534" s="978"/>
      <c r="KS534" s="978"/>
      <c r="KT534" s="978"/>
      <c r="KU534" s="978"/>
      <c r="KV534" s="978"/>
      <c r="KW534" s="978"/>
      <c r="KX534" s="978"/>
      <c r="KY534" s="978"/>
      <c r="KZ534" s="978"/>
      <c r="LA534" s="978"/>
      <c r="LB534" s="978"/>
      <c r="LC534" s="978"/>
      <c r="LD534" s="978"/>
      <c r="LE534" s="978"/>
      <c r="LF534" s="978"/>
      <c r="LG534" s="978"/>
      <c r="LH534" s="978"/>
      <c r="LI534" s="978"/>
      <c r="LJ534" s="978"/>
      <c r="LK534" s="978"/>
      <c r="LL534" s="978"/>
      <c r="LM534" s="978"/>
      <c r="LN534" s="978"/>
      <c r="LO534" s="978"/>
      <c r="LP534" s="978"/>
      <c r="LQ534" s="978"/>
      <c r="LR534" s="978"/>
      <c r="LS534" s="978"/>
      <c r="LT534" s="978"/>
      <c r="LU534" s="978"/>
      <c r="LV534" s="978"/>
      <c r="LW534" s="978"/>
      <c r="LX534" s="978"/>
      <c r="LY534" s="978"/>
      <c r="LZ534" s="978"/>
      <c r="MA534" s="978"/>
      <c r="MB534" s="978"/>
      <c r="MC534" s="978"/>
      <c r="MD534" s="978"/>
      <c r="ME534" s="978"/>
      <c r="MF534" s="978"/>
      <c r="MG534" s="978"/>
      <c r="MH534" s="978"/>
      <c r="MI534" s="978"/>
      <c r="MJ534" s="978"/>
      <c r="MK534" s="978"/>
      <c r="ML534" s="978"/>
      <c r="MM534" s="978"/>
      <c r="MN534" s="978"/>
      <c r="MO534" s="978"/>
      <c r="MP534" s="978"/>
      <c r="MQ534" s="978"/>
      <c r="MR534" s="978"/>
      <c r="MS534" s="978"/>
      <c r="MT534" s="978"/>
      <c r="MU534" s="978"/>
      <c r="MV534" s="978"/>
      <c r="MW534" s="978"/>
      <c r="MX534" s="978"/>
      <c r="MY534" s="978"/>
      <c r="MZ534" s="978"/>
      <c r="NA534" s="978"/>
      <c r="NB534" s="978"/>
      <c r="NC534" s="978"/>
      <c r="ND534" s="978"/>
      <c r="NE534" s="978"/>
      <c r="NF534" s="978"/>
      <c r="NG534" s="978"/>
      <c r="NH534" s="978"/>
      <c r="NI534" s="978"/>
      <c r="NJ534" s="978"/>
      <c r="NK534" s="978"/>
      <c r="NL534" s="978"/>
      <c r="NM534" s="978"/>
      <c r="NN534" s="978"/>
      <c r="NO534" s="978"/>
      <c r="NP534" s="978"/>
      <c r="NQ534" s="978"/>
      <c r="NR534" s="978"/>
      <c r="NS534" s="978"/>
      <c r="NT534" s="978"/>
      <c r="NU534" s="978"/>
      <c r="NV534" s="978"/>
      <c r="NW534" s="978"/>
      <c r="NX534" s="978"/>
      <c r="NY534" s="978"/>
      <c r="NZ534" s="978"/>
      <c r="OA534" s="978"/>
      <c r="OB534" s="978"/>
      <c r="OC534" s="978"/>
      <c r="OD534" s="978"/>
      <c r="OE534" s="978"/>
      <c r="OF534" s="978"/>
      <c r="OG534" s="978"/>
      <c r="OH534" s="978"/>
      <c r="OI534" s="978"/>
      <c r="OJ534" s="978"/>
      <c r="OK534" s="978"/>
      <c r="OL534" s="978"/>
      <c r="OM534" s="978"/>
      <c r="ON534" s="978"/>
      <c r="OO534" s="978"/>
      <c r="OP534" s="978"/>
      <c r="OQ534" s="978"/>
      <c r="OR534" s="978"/>
      <c r="OS534" s="978"/>
      <c r="OT534" s="978"/>
      <c r="OU534" s="978"/>
      <c r="OV534" s="978"/>
      <c r="OW534" s="978"/>
      <c r="OX534" s="978"/>
      <c r="OY534" s="978"/>
      <c r="OZ534" s="978"/>
      <c r="PA534" s="978"/>
      <c r="PB534" s="978"/>
      <c r="PC534" s="978"/>
      <c r="PD534" s="978"/>
      <c r="PE534" s="978"/>
      <c r="PF534" s="978"/>
      <c r="PG534" s="978"/>
      <c r="PH534" s="978"/>
      <c r="PI534" s="978"/>
      <c r="PJ534" s="978"/>
      <c r="PK534" s="978"/>
      <c r="PL534" s="978"/>
      <c r="PM534" s="978"/>
      <c r="PN534" s="978"/>
      <c r="PO534" s="978"/>
      <c r="PP534" s="978"/>
      <c r="PQ534" s="978"/>
      <c r="PR534" s="978"/>
      <c r="PS534" s="978"/>
      <c r="PT534" s="978"/>
      <c r="PU534" s="978"/>
      <c r="PV534" s="978"/>
      <c r="PW534" s="978"/>
      <c r="PX534" s="978"/>
      <c r="PY534" s="978"/>
      <c r="PZ534" s="978"/>
      <c r="QA534" s="978"/>
      <c r="QB534" s="978"/>
      <c r="QC534" s="978"/>
      <c r="QD534" s="978"/>
      <c r="QE534" s="978"/>
      <c r="QF534" s="978"/>
      <c r="QG534" s="978"/>
      <c r="QH534" s="978"/>
      <c r="QI534" s="978"/>
      <c r="QJ534" s="978"/>
      <c r="QK534" s="978"/>
      <c r="QL534" s="978"/>
      <c r="QM534" s="978"/>
      <c r="QN534" s="978"/>
      <c r="QO534" s="978"/>
      <c r="QP534" s="978"/>
      <c r="QQ534" s="978"/>
      <c r="QR534" s="978"/>
      <c r="QS534" s="978"/>
      <c r="QT534" s="978"/>
      <c r="QU534" s="978"/>
      <c r="QV534" s="978"/>
      <c r="QW534" s="978"/>
      <c r="QX534" s="978"/>
      <c r="QY534" s="978"/>
      <c r="QZ534" s="978"/>
      <c r="RA534" s="978"/>
      <c r="RB534" s="274"/>
      <c r="RC534" s="274"/>
    </row>
    <row r="535" spans="112:471" ht="17.25">
      <c r="DH535" s="274"/>
      <c r="DI535" s="274"/>
      <c r="DJ535" s="978"/>
      <c r="DK535" s="978"/>
      <c r="DL535" s="978"/>
      <c r="DM535" s="978"/>
      <c r="DN535" s="978"/>
      <c r="DO535" s="978"/>
      <c r="DP535" s="978"/>
      <c r="DQ535" s="978"/>
      <c r="DR535" s="978"/>
      <c r="DS535" s="978"/>
      <c r="DT535" s="978"/>
      <c r="DU535" s="978"/>
      <c r="DV535" s="978"/>
      <c r="DW535" s="978"/>
      <c r="DX535" s="978"/>
      <c r="DY535" s="978"/>
      <c r="DZ535" s="978"/>
      <c r="EA535" s="978"/>
      <c r="EB535" s="978"/>
      <c r="EC535" s="978"/>
      <c r="ED535" s="978"/>
      <c r="EE535" s="978"/>
      <c r="EF535" s="978"/>
      <c r="EG535" s="978"/>
      <c r="EH535" s="978"/>
      <c r="EI535" s="978"/>
      <c r="EJ535" s="978"/>
      <c r="EK535" s="978"/>
      <c r="EL535" s="978"/>
      <c r="EM535" s="978"/>
      <c r="EN535" s="978"/>
      <c r="EO535" s="978"/>
      <c r="EP535" s="978"/>
      <c r="EQ535" s="978"/>
      <c r="ER535" s="978"/>
      <c r="ES535" s="978"/>
      <c r="ET535" s="978"/>
      <c r="EU535" s="978"/>
      <c r="EV535" s="978"/>
      <c r="EW535" s="978"/>
      <c r="EX535" s="978"/>
      <c r="EY535" s="978"/>
      <c r="EZ535" s="978"/>
      <c r="FA535" s="978"/>
      <c r="FB535" s="978"/>
      <c r="FC535" s="978"/>
      <c r="FD535" s="978"/>
      <c r="FE535" s="978"/>
      <c r="FF535" s="978"/>
      <c r="FG535" s="978"/>
      <c r="FH535" s="978"/>
      <c r="FI535" s="978"/>
      <c r="FJ535" s="978"/>
      <c r="FK535" s="978"/>
      <c r="FL535" s="978"/>
      <c r="FM535" s="978"/>
      <c r="FN535" s="978"/>
      <c r="FO535" s="978"/>
      <c r="FP535" s="978"/>
      <c r="FQ535" s="978"/>
      <c r="FR535" s="978"/>
      <c r="FS535" s="978"/>
      <c r="FT535" s="978"/>
      <c r="FU535" s="978"/>
      <c r="FV535" s="978"/>
      <c r="FW535" s="978"/>
      <c r="FX535" s="978"/>
      <c r="FY535" s="978"/>
      <c r="FZ535" s="978"/>
      <c r="GA535" s="978"/>
      <c r="GB535" s="978"/>
      <c r="GC535" s="978"/>
      <c r="GD535" s="978"/>
      <c r="GE535" s="978"/>
      <c r="GF535" s="978"/>
      <c r="GG535" s="978"/>
      <c r="GH535" s="978"/>
      <c r="GI535" s="978"/>
      <c r="GJ535" s="978"/>
      <c r="GK535" s="978"/>
      <c r="GL535" s="978"/>
      <c r="GM535" s="978"/>
      <c r="GN535" s="978"/>
      <c r="GO535" s="978"/>
      <c r="GP535" s="978"/>
      <c r="GQ535" s="978"/>
      <c r="GR535" s="978"/>
      <c r="GS535" s="978"/>
      <c r="GT535" s="978"/>
      <c r="GU535" s="978"/>
      <c r="GV535" s="978"/>
      <c r="GW535" s="978"/>
      <c r="GX535" s="978"/>
      <c r="GY535" s="978"/>
      <c r="GZ535" s="978"/>
      <c r="HA535" s="978"/>
      <c r="HB535" s="978"/>
      <c r="HC535" s="978"/>
      <c r="HD535" s="978"/>
      <c r="HE535" s="978"/>
      <c r="HF535" s="978"/>
      <c r="HG535" s="978"/>
      <c r="HH535" s="978"/>
      <c r="HI535" s="978"/>
      <c r="HJ535" s="978"/>
      <c r="HK535" s="978"/>
      <c r="HL535" s="978"/>
      <c r="HM535" s="978"/>
      <c r="HN535" s="978"/>
      <c r="HO535" s="978"/>
      <c r="HP535" s="978"/>
      <c r="HQ535" s="978"/>
      <c r="HR535" s="978"/>
      <c r="HS535" s="978"/>
      <c r="HT535" s="978"/>
      <c r="HU535" s="978"/>
      <c r="HV535" s="978"/>
      <c r="HW535" s="978"/>
      <c r="HX535" s="978"/>
      <c r="HY535" s="978"/>
      <c r="HZ535" s="978"/>
      <c r="IA535" s="978"/>
      <c r="IB535" s="978"/>
      <c r="IC535" s="978"/>
      <c r="ID535" s="978"/>
      <c r="IE535" s="978"/>
      <c r="IF535" s="978"/>
      <c r="IG535" s="978"/>
      <c r="IH535" s="978"/>
      <c r="II535" s="978"/>
      <c r="IJ535" s="978"/>
      <c r="IK535" s="978"/>
      <c r="IL535" s="978"/>
      <c r="IM535" s="978"/>
      <c r="IN535" s="978"/>
      <c r="IO535" s="978"/>
      <c r="IP535" s="978"/>
      <c r="IQ535" s="978"/>
      <c r="IR535" s="978"/>
      <c r="IS535" s="978"/>
      <c r="IT535" s="978"/>
      <c r="IU535" s="978"/>
      <c r="IV535" s="978"/>
      <c r="IW535" s="978"/>
      <c r="IX535" s="978"/>
      <c r="IY535" s="978"/>
      <c r="IZ535" s="978"/>
      <c r="JA535" s="978"/>
      <c r="JB535" s="978"/>
      <c r="JC535" s="978"/>
      <c r="JD535" s="978"/>
      <c r="JE535" s="978"/>
      <c r="JF535" s="978"/>
      <c r="JG535" s="978"/>
      <c r="JH535" s="978"/>
      <c r="JI535" s="978"/>
      <c r="JJ535" s="978"/>
      <c r="JK535" s="978"/>
      <c r="JL535" s="978"/>
      <c r="JM535" s="978"/>
      <c r="JN535" s="978"/>
      <c r="JO535" s="978"/>
      <c r="JP535" s="978"/>
      <c r="JQ535" s="978"/>
      <c r="JR535" s="978"/>
      <c r="JS535" s="978"/>
      <c r="JT535" s="978"/>
      <c r="JU535" s="978"/>
      <c r="JV535" s="978"/>
      <c r="JW535" s="978"/>
      <c r="JX535" s="978"/>
      <c r="JY535" s="978"/>
      <c r="JZ535" s="978"/>
      <c r="KA535" s="978"/>
      <c r="KB535" s="978"/>
      <c r="KC535" s="978"/>
      <c r="KD535" s="978"/>
      <c r="KE535" s="978"/>
      <c r="KF535" s="978"/>
      <c r="KG535" s="978"/>
      <c r="KH535" s="978"/>
      <c r="KI535" s="978"/>
      <c r="KJ535" s="978"/>
      <c r="KK535" s="978"/>
      <c r="KL535" s="978"/>
      <c r="KM535" s="978"/>
      <c r="KN535" s="978"/>
      <c r="KO535" s="978"/>
      <c r="KP535" s="978"/>
      <c r="KQ535" s="978"/>
      <c r="KR535" s="978"/>
      <c r="KS535" s="978"/>
      <c r="KT535" s="978"/>
      <c r="KU535" s="978"/>
      <c r="KV535" s="978"/>
      <c r="KW535" s="978"/>
      <c r="KX535" s="978"/>
      <c r="KY535" s="978"/>
      <c r="KZ535" s="978"/>
      <c r="LA535" s="978"/>
      <c r="LB535" s="978"/>
      <c r="LC535" s="978"/>
      <c r="LD535" s="978"/>
      <c r="LE535" s="978"/>
      <c r="LF535" s="978"/>
      <c r="LG535" s="978"/>
      <c r="LH535" s="978"/>
      <c r="LI535" s="978"/>
      <c r="LJ535" s="978"/>
      <c r="LK535" s="978"/>
      <c r="LL535" s="978"/>
      <c r="LM535" s="978"/>
      <c r="LN535" s="978"/>
      <c r="LO535" s="978"/>
      <c r="LP535" s="978"/>
      <c r="LQ535" s="978"/>
      <c r="LR535" s="978"/>
      <c r="LS535" s="978"/>
      <c r="LT535" s="978"/>
      <c r="LU535" s="978"/>
      <c r="LV535" s="978"/>
      <c r="LW535" s="978"/>
      <c r="LX535" s="978"/>
      <c r="LY535" s="978"/>
      <c r="LZ535" s="978"/>
      <c r="MA535" s="978"/>
      <c r="MB535" s="978"/>
      <c r="MC535" s="978"/>
      <c r="MD535" s="978"/>
      <c r="ME535" s="978"/>
      <c r="MF535" s="978"/>
      <c r="MG535" s="978"/>
      <c r="MH535" s="978"/>
      <c r="MI535" s="978"/>
      <c r="MJ535" s="978"/>
      <c r="MK535" s="978"/>
      <c r="ML535" s="978"/>
      <c r="MM535" s="978"/>
      <c r="MN535" s="978"/>
      <c r="MO535" s="978"/>
      <c r="MP535" s="978"/>
      <c r="MQ535" s="978"/>
      <c r="MR535" s="978"/>
      <c r="MS535" s="978"/>
      <c r="MT535" s="978"/>
      <c r="MU535" s="978"/>
      <c r="MV535" s="978"/>
      <c r="MW535" s="978"/>
      <c r="MX535" s="978"/>
      <c r="MY535" s="978"/>
      <c r="MZ535" s="978"/>
      <c r="NA535" s="978"/>
      <c r="NB535" s="978"/>
      <c r="NC535" s="978"/>
      <c r="ND535" s="978"/>
      <c r="NE535" s="978"/>
      <c r="NF535" s="978"/>
      <c r="NG535" s="978"/>
      <c r="NH535" s="978"/>
      <c r="NI535" s="978"/>
      <c r="NJ535" s="978"/>
      <c r="NK535" s="978"/>
      <c r="NL535" s="978"/>
      <c r="NM535" s="978"/>
      <c r="NN535" s="978"/>
      <c r="NO535" s="978"/>
      <c r="NP535" s="978"/>
      <c r="NQ535" s="978"/>
      <c r="NR535" s="978"/>
      <c r="NS535" s="978"/>
      <c r="NT535" s="978"/>
      <c r="NU535" s="978"/>
      <c r="NV535" s="978"/>
      <c r="NW535" s="978"/>
      <c r="NX535" s="978"/>
      <c r="NY535" s="978"/>
      <c r="NZ535" s="978"/>
      <c r="OA535" s="978"/>
      <c r="OB535" s="978"/>
      <c r="OC535" s="978"/>
      <c r="OD535" s="978"/>
      <c r="OE535" s="978"/>
      <c r="OF535" s="978"/>
      <c r="OG535" s="978"/>
      <c r="OH535" s="978"/>
      <c r="OI535" s="978"/>
      <c r="OJ535" s="978"/>
      <c r="OK535" s="978"/>
      <c r="OL535" s="978"/>
      <c r="OM535" s="978"/>
      <c r="ON535" s="978"/>
      <c r="OO535" s="978"/>
      <c r="OP535" s="978"/>
      <c r="OQ535" s="978"/>
      <c r="OR535" s="978"/>
      <c r="OS535" s="978"/>
      <c r="OT535" s="978"/>
      <c r="OU535" s="978"/>
      <c r="OV535" s="978"/>
      <c r="OW535" s="978"/>
      <c r="OX535" s="978"/>
      <c r="OY535" s="978"/>
      <c r="OZ535" s="978"/>
      <c r="PA535" s="978"/>
      <c r="PB535" s="978"/>
      <c r="PC535" s="978"/>
      <c r="PD535" s="978"/>
      <c r="PE535" s="978"/>
      <c r="PF535" s="978"/>
      <c r="PG535" s="978"/>
      <c r="PH535" s="978"/>
      <c r="PI535" s="978"/>
      <c r="PJ535" s="978"/>
      <c r="PK535" s="978"/>
      <c r="PL535" s="978"/>
      <c r="PM535" s="978"/>
      <c r="PN535" s="978"/>
      <c r="PO535" s="978"/>
      <c r="PP535" s="978"/>
      <c r="PQ535" s="978"/>
      <c r="PR535" s="978"/>
      <c r="PS535" s="978"/>
      <c r="PT535" s="978"/>
      <c r="PU535" s="978"/>
      <c r="PV535" s="978"/>
      <c r="PW535" s="978"/>
      <c r="PX535" s="978"/>
      <c r="PY535" s="978"/>
      <c r="PZ535" s="978"/>
      <c r="QA535" s="978"/>
      <c r="QB535" s="978"/>
      <c r="QC535" s="978"/>
      <c r="QD535" s="978"/>
      <c r="QE535" s="978"/>
      <c r="QF535" s="978"/>
      <c r="QG535" s="978"/>
      <c r="QH535" s="978"/>
      <c r="QI535" s="978"/>
      <c r="QJ535" s="978"/>
      <c r="QK535" s="978"/>
      <c r="QL535" s="978"/>
      <c r="QM535" s="978"/>
      <c r="QN535" s="978"/>
      <c r="QO535" s="978"/>
      <c r="QP535" s="978"/>
      <c r="QQ535" s="978"/>
      <c r="QR535" s="978"/>
      <c r="QS535" s="978"/>
      <c r="QT535" s="978"/>
      <c r="QU535" s="978"/>
      <c r="QV535" s="978"/>
      <c r="QW535" s="978"/>
      <c r="QX535" s="978"/>
      <c r="QY535" s="978"/>
      <c r="QZ535" s="978"/>
      <c r="RA535" s="978"/>
      <c r="RB535" s="274"/>
      <c r="RC535" s="274"/>
    </row>
    <row r="536" spans="112:471" ht="17.25">
      <c r="DH536" s="274"/>
      <c r="DI536" s="274"/>
      <c r="DJ536" s="978"/>
      <c r="DK536" s="978"/>
      <c r="DL536" s="978"/>
      <c r="DM536" s="978"/>
      <c r="DN536" s="978"/>
      <c r="DO536" s="978"/>
      <c r="DP536" s="978"/>
      <c r="DQ536" s="978"/>
      <c r="DR536" s="978"/>
      <c r="DS536" s="978"/>
      <c r="DT536" s="978"/>
      <c r="DU536" s="978"/>
      <c r="DV536" s="978"/>
      <c r="DW536" s="978"/>
      <c r="DX536" s="978"/>
      <c r="DY536" s="978"/>
      <c r="DZ536" s="978"/>
      <c r="EA536" s="978"/>
      <c r="EB536" s="978"/>
      <c r="EC536" s="978"/>
      <c r="ED536" s="978"/>
      <c r="EE536" s="978"/>
      <c r="EF536" s="978"/>
      <c r="EG536" s="978"/>
      <c r="EH536" s="978"/>
      <c r="EI536" s="978"/>
      <c r="EJ536" s="978"/>
      <c r="EK536" s="978"/>
      <c r="EL536" s="978"/>
      <c r="EM536" s="978"/>
      <c r="EN536" s="978"/>
      <c r="EO536" s="978"/>
      <c r="EP536" s="978"/>
      <c r="EQ536" s="978"/>
      <c r="ER536" s="978"/>
      <c r="ES536" s="978"/>
      <c r="ET536" s="978"/>
      <c r="EU536" s="978"/>
      <c r="EV536" s="978"/>
      <c r="EW536" s="978"/>
      <c r="EX536" s="978"/>
      <c r="EY536" s="978"/>
      <c r="EZ536" s="978"/>
      <c r="FA536" s="978"/>
      <c r="FB536" s="978"/>
      <c r="FC536" s="978"/>
      <c r="FD536" s="978"/>
      <c r="FE536" s="978"/>
      <c r="FF536" s="978"/>
      <c r="FG536" s="978"/>
      <c r="FH536" s="978"/>
      <c r="FI536" s="978"/>
      <c r="FJ536" s="978"/>
      <c r="FK536" s="978"/>
      <c r="FL536" s="978"/>
      <c r="FM536" s="978"/>
      <c r="FN536" s="978"/>
      <c r="FO536" s="978"/>
      <c r="FP536" s="978"/>
      <c r="FQ536" s="978"/>
      <c r="FR536" s="978"/>
      <c r="FS536" s="978"/>
      <c r="FT536" s="978"/>
      <c r="FU536" s="978"/>
      <c r="FV536" s="978"/>
      <c r="FW536" s="978"/>
      <c r="FX536" s="978"/>
      <c r="FY536" s="978"/>
      <c r="FZ536" s="978"/>
      <c r="GA536" s="978"/>
      <c r="GB536" s="978"/>
      <c r="GC536" s="978"/>
      <c r="GD536" s="978"/>
      <c r="GE536" s="978"/>
      <c r="GF536" s="978"/>
      <c r="GG536" s="978"/>
      <c r="GH536" s="978"/>
      <c r="GI536" s="978"/>
      <c r="GJ536" s="978"/>
      <c r="GK536" s="978"/>
      <c r="GL536" s="978"/>
      <c r="GM536" s="978"/>
      <c r="GN536" s="978"/>
      <c r="GO536" s="978"/>
      <c r="GP536" s="978"/>
      <c r="GQ536" s="978"/>
      <c r="GR536" s="978"/>
      <c r="GS536" s="978"/>
      <c r="GT536" s="978"/>
      <c r="GU536" s="978"/>
      <c r="GV536" s="978"/>
      <c r="GW536" s="978"/>
      <c r="GX536" s="978"/>
      <c r="GY536" s="978"/>
      <c r="GZ536" s="978"/>
      <c r="HA536" s="978"/>
      <c r="HB536" s="978"/>
      <c r="HC536" s="978"/>
      <c r="HD536" s="978"/>
      <c r="HE536" s="978"/>
      <c r="HF536" s="978"/>
      <c r="HG536" s="978"/>
      <c r="HH536" s="978"/>
      <c r="HI536" s="978"/>
      <c r="HJ536" s="978"/>
      <c r="HK536" s="978"/>
      <c r="HL536" s="978"/>
      <c r="HM536" s="978"/>
      <c r="HN536" s="978"/>
      <c r="HO536" s="978"/>
      <c r="HP536" s="978"/>
      <c r="HQ536" s="978"/>
      <c r="HR536" s="978"/>
      <c r="HS536" s="978"/>
      <c r="HT536" s="978"/>
      <c r="HU536" s="978"/>
      <c r="HV536" s="978"/>
      <c r="HW536" s="978"/>
      <c r="HX536" s="978"/>
      <c r="HY536" s="978"/>
      <c r="HZ536" s="978"/>
      <c r="IA536" s="978"/>
      <c r="IB536" s="978"/>
      <c r="IC536" s="978"/>
      <c r="ID536" s="978"/>
      <c r="IE536" s="978"/>
      <c r="IF536" s="978"/>
      <c r="IG536" s="978"/>
      <c r="IH536" s="978"/>
      <c r="II536" s="978"/>
      <c r="IJ536" s="978"/>
      <c r="IK536" s="978"/>
      <c r="IL536" s="978"/>
      <c r="IM536" s="978"/>
      <c r="IN536" s="978"/>
      <c r="IO536" s="978"/>
      <c r="IP536" s="978"/>
      <c r="IQ536" s="978"/>
      <c r="IR536" s="978"/>
      <c r="IS536" s="978"/>
      <c r="IT536" s="978"/>
      <c r="IU536" s="978"/>
      <c r="IV536" s="978"/>
      <c r="IW536" s="978"/>
      <c r="IX536" s="978"/>
      <c r="IY536" s="978"/>
      <c r="IZ536" s="978"/>
      <c r="JA536" s="978"/>
      <c r="JB536" s="978"/>
      <c r="JC536" s="978"/>
      <c r="JD536" s="978"/>
      <c r="JE536" s="978"/>
      <c r="JF536" s="978"/>
      <c r="JG536" s="978"/>
      <c r="JH536" s="978"/>
      <c r="JI536" s="978"/>
      <c r="JJ536" s="978"/>
      <c r="JK536" s="978"/>
      <c r="JL536" s="978"/>
      <c r="JM536" s="978"/>
      <c r="JN536" s="978"/>
      <c r="JO536" s="978"/>
      <c r="JP536" s="978"/>
      <c r="JQ536" s="978"/>
      <c r="JR536" s="978"/>
      <c r="JS536" s="978"/>
      <c r="JT536" s="978"/>
      <c r="JU536" s="978"/>
      <c r="JV536" s="978"/>
      <c r="JW536" s="978"/>
      <c r="JX536" s="978"/>
      <c r="JY536" s="978"/>
      <c r="JZ536" s="978"/>
      <c r="KA536" s="978"/>
      <c r="KB536" s="978"/>
      <c r="KC536" s="978"/>
      <c r="KD536" s="978"/>
      <c r="KE536" s="978"/>
      <c r="KF536" s="978"/>
      <c r="KG536" s="978"/>
      <c r="KH536" s="978"/>
      <c r="KI536" s="978"/>
      <c r="KJ536" s="978"/>
      <c r="KK536" s="978"/>
      <c r="KL536" s="978"/>
      <c r="KM536" s="978"/>
      <c r="KN536" s="978"/>
      <c r="KO536" s="978"/>
      <c r="KP536" s="978"/>
      <c r="KQ536" s="978"/>
      <c r="KR536" s="978"/>
      <c r="KS536" s="978"/>
      <c r="KT536" s="978"/>
      <c r="KU536" s="978"/>
      <c r="KV536" s="978"/>
      <c r="KW536" s="978"/>
      <c r="KX536" s="978"/>
      <c r="KY536" s="978"/>
      <c r="KZ536" s="978"/>
      <c r="LA536" s="978"/>
      <c r="LB536" s="978"/>
      <c r="LC536" s="978"/>
      <c r="LD536" s="978"/>
      <c r="LE536" s="978"/>
      <c r="LF536" s="978"/>
      <c r="LG536" s="978"/>
      <c r="LH536" s="978"/>
      <c r="LI536" s="978"/>
      <c r="LJ536" s="978"/>
      <c r="LK536" s="978"/>
      <c r="LL536" s="978"/>
      <c r="LM536" s="978"/>
      <c r="LN536" s="978"/>
      <c r="LO536" s="978"/>
      <c r="LP536" s="978"/>
      <c r="LQ536" s="978"/>
      <c r="LR536" s="978"/>
      <c r="LS536" s="978"/>
      <c r="LT536" s="978"/>
      <c r="LU536" s="978"/>
      <c r="LV536" s="978"/>
      <c r="LW536" s="978"/>
      <c r="LX536" s="978"/>
      <c r="LY536" s="978"/>
      <c r="LZ536" s="978"/>
      <c r="MA536" s="978"/>
      <c r="MB536" s="978"/>
      <c r="MC536" s="978"/>
      <c r="MD536" s="978"/>
      <c r="ME536" s="978"/>
      <c r="MF536" s="978"/>
      <c r="MG536" s="978"/>
      <c r="MH536" s="978"/>
      <c r="MI536" s="978"/>
      <c r="MJ536" s="978"/>
      <c r="MK536" s="978"/>
      <c r="ML536" s="978"/>
      <c r="MM536" s="978"/>
      <c r="MN536" s="978"/>
      <c r="MO536" s="978"/>
      <c r="MP536" s="978"/>
      <c r="MQ536" s="978"/>
      <c r="MR536" s="978"/>
      <c r="MS536" s="978"/>
      <c r="MT536" s="978"/>
      <c r="MU536" s="978"/>
      <c r="MV536" s="978"/>
      <c r="MW536" s="978"/>
      <c r="MX536" s="978"/>
      <c r="MY536" s="978"/>
      <c r="MZ536" s="978"/>
      <c r="NA536" s="978"/>
      <c r="NB536" s="978"/>
      <c r="NC536" s="978"/>
      <c r="ND536" s="978"/>
      <c r="NE536" s="978"/>
      <c r="NF536" s="978"/>
      <c r="NG536" s="978"/>
      <c r="NH536" s="978"/>
      <c r="NI536" s="978"/>
      <c r="NJ536" s="978"/>
      <c r="NK536" s="978"/>
      <c r="NL536" s="978"/>
      <c r="NM536" s="978"/>
      <c r="NN536" s="978"/>
      <c r="NO536" s="978"/>
      <c r="NP536" s="978"/>
      <c r="NQ536" s="978"/>
      <c r="NR536" s="978"/>
      <c r="NS536" s="978"/>
      <c r="NT536" s="978"/>
      <c r="NU536" s="978"/>
      <c r="NV536" s="978"/>
      <c r="NW536" s="978"/>
      <c r="NX536" s="978"/>
      <c r="NY536" s="978"/>
      <c r="NZ536" s="978"/>
      <c r="OA536" s="978"/>
      <c r="OB536" s="978"/>
      <c r="OC536" s="978"/>
      <c r="OD536" s="978"/>
      <c r="OE536" s="978"/>
      <c r="OF536" s="978"/>
      <c r="OG536" s="978"/>
      <c r="OH536" s="978"/>
      <c r="OI536" s="978"/>
      <c r="OJ536" s="978"/>
      <c r="OK536" s="978"/>
      <c r="OL536" s="978"/>
      <c r="OM536" s="978"/>
      <c r="ON536" s="978"/>
      <c r="OO536" s="978"/>
      <c r="OP536" s="978"/>
      <c r="OQ536" s="978"/>
      <c r="OR536" s="978"/>
      <c r="OS536" s="978"/>
      <c r="OT536" s="978"/>
      <c r="OU536" s="978"/>
      <c r="OV536" s="978"/>
      <c r="OW536" s="978"/>
      <c r="OX536" s="978"/>
      <c r="OY536" s="978"/>
      <c r="OZ536" s="978"/>
      <c r="PA536" s="978"/>
      <c r="PB536" s="978"/>
      <c r="PC536" s="978"/>
      <c r="PD536" s="978"/>
      <c r="PE536" s="978"/>
      <c r="PF536" s="978"/>
      <c r="PG536" s="978"/>
      <c r="PH536" s="978"/>
      <c r="PI536" s="978"/>
      <c r="PJ536" s="978"/>
      <c r="PK536" s="978"/>
      <c r="PL536" s="978"/>
      <c r="PM536" s="978"/>
      <c r="PN536" s="978"/>
      <c r="PO536" s="978"/>
      <c r="PP536" s="978"/>
      <c r="PQ536" s="978"/>
      <c r="PR536" s="978"/>
      <c r="PS536" s="978"/>
      <c r="PT536" s="978"/>
      <c r="PU536" s="978"/>
      <c r="PV536" s="978"/>
      <c r="PW536" s="978"/>
      <c r="PX536" s="978"/>
      <c r="PY536" s="978"/>
      <c r="PZ536" s="978"/>
      <c r="QA536" s="978"/>
      <c r="QB536" s="978"/>
      <c r="QC536" s="978"/>
      <c r="QD536" s="978"/>
      <c r="QE536" s="978"/>
      <c r="QF536" s="978"/>
      <c r="QG536" s="978"/>
      <c r="QH536" s="978"/>
      <c r="QI536" s="978"/>
      <c r="QJ536" s="978"/>
      <c r="QK536" s="978"/>
      <c r="QL536" s="978"/>
      <c r="QM536" s="978"/>
      <c r="QN536" s="978"/>
      <c r="QO536" s="978"/>
      <c r="QP536" s="978"/>
      <c r="QQ536" s="978"/>
      <c r="QR536" s="978"/>
      <c r="QS536" s="978"/>
      <c r="QT536" s="978"/>
      <c r="QU536" s="978"/>
      <c r="QV536" s="978"/>
      <c r="QW536" s="978"/>
      <c r="QX536" s="978"/>
      <c r="QY536" s="978"/>
      <c r="QZ536" s="978"/>
      <c r="RA536" s="978"/>
      <c r="RB536" s="274"/>
      <c r="RC536" s="274"/>
    </row>
    <row r="537" spans="112:471" ht="17.25">
      <c r="DH537" s="274"/>
      <c r="DI537" s="274"/>
      <c r="DJ537" s="978"/>
      <c r="DK537" s="978"/>
      <c r="DL537" s="978"/>
      <c r="DM537" s="978"/>
      <c r="DN537" s="978"/>
      <c r="DO537" s="978"/>
      <c r="DP537" s="978"/>
      <c r="DQ537" s="978"/>
      <c r="DR537" s="978"/>
      <c r="DS537" s="978"/>
      <c r="DT537" s="978"/>
      <c r="DU537" s="978"/>
      <c r="DV537" s="978"/>
      <c r="DW537" s="978"/>
      <c r="DX537" s="978"/>
      <c r="DY537" s="978"/>
      <c r="DZ537" s="978"/>
      <c r="EA537" s="978"/>
      <c r="EB537" s="978"/>
      <c r="EC537" s="978"/>
      <c r="ED537" s="978"/>
      <c r="EE537" s="978"/>
      <c r="EF537" s="978"/>
      <c r="EG537" s="978"/>
      <c r="EH537" s="978"/>
      <c r="EI537" s="978"/>
      <c r="EJ537" s="978"/>
      <c r="EK537" s="978"/>
      <c r="EL537" s="978"/>
      <c r="EM537" s="978"/>
      <c r="EN537" s="978"/>
      <c r="EO537" s="978"/>
      <c r="EP537" s="978"/>
      <c r="EQ537" s="978"/>
      <c r="ER537" s="978"/>
      <c r="ES537" s="978"/>
      <c r="ET537" s="978"/>
      <c r="EU537" s="978"/>
      <c r="EV537" s="978"/>
      <c r="EW537" s="978"/>
      <c r="EX537" s="978"/>
      <c r="EY537" s="978"/>
      <c r="EZ537" s="978"/>
      <c r="FA537" s="978"/>
      <c r="FB537" s="978"/>
      <c r="FC537" s="978"/>
      <c r="FD537" s="978"/>
      <c r="FE537" s="978"/>
      <c r="FF537" s="978"/>
      <c r="FG537" s="978"/>
      <c r="FH537" s="978"/>
      <c r="FI537" s="978"/>
      <c r="FJ537" s="978"/>
      <c r="FK537" s="978"/>
      <c r="FL537" s="978"/>
      <c r="FM537" s="978"/>
      <c r="FN537" s="978"/>
      <c r="FO537" s="978"/>
      <c r="FP537" s="978"/>
      <c r="FQ537" s="978"/>
      <c r="FR537" s="978"/>
      <c r="FS537" s="978"/>
      <c r="FT537" s="978"/>
      <c r="FU537" s="978"/>
      <c r="FV537" s="978"/>
      <c r="FW537" s="978"/>
      <c r="FX537" s="978"/>
      <c r="FY537" s="978"/>
      <c r="FZ537" s="978"/>
      <c r="GA537" s="978"/>
      <c r="GB537" s="978"/>
      <c r="GC537" s="978"/>
      <c r="GD537" s="978"/>
      <c r="GE537" s="978"/>
      <c r="GF537" s="978"/>
      <c r="GG537" s="978"/>
      <c r="GH537" s="978"/>
      <c r="GI537" s="978"/>
      <c r="GJ537" s="978"/>
      <c r="GK537" s="978"/>
      <c r="GL537" s="978"/>
      <c r="GM537" s="978"/>
      <c r="GN537" s="978"/>
      <c r="GO537" s="978"/>
      <c r="GP537" s="978"/>
      <c r="GQ537" s="978"/>
      <c r="GR537" s="978"/>
      <c r="GS537" s="978"/>
      <c r="GT537" s="978"/>
      <c r="GU537" s="978"/>
      <c r="GV537" s="978"/>
      <c r="GW537" s="978"/>
      <c r="GX537" s="978"/>
      <c r="GY537" s="978"/>
      <c r="GZ537" s="978"/>
      <c r="HA537" s="978"/>
      <c r="HB537" s="978"/>
      <c r="HC537" s="978"/>
      <c r="HD537" s="978"/>
      <c r="HE537" s="978"/>
      <c r="HF537" s="978"/>
      <c r="HG537" s="978"/>
      <c r="HH537" s="978"/>
      <c r="HI537" s="978"/>
      <c r="HJ537" s="978"/>
      <c r="HK537" s="978"/>
      <c r="HL537" s="978"/>
      <c r="HM537" s="978"/>
      <c r="HN537" s="978"/>
      <c r="HO537" s="978"/>
      <c r="HP537" s="978"/>
      <c r="HQ537" s="978"/>
      <c r="HR537" s="978"/>
      <c r="HS537" s="978"/>
      <c r="HT537" s="978"/>
      <c r="HU537" s="978"/>
      <c r="HV537" s="978"/>
      <c r="HW537" s="978"/>
      <c r="HX537" s="978"/>
      <c r="HY537" s="978"/>
      <c r="HZ537" s="978"/>
      <c r="IA537" s="978"/>
      <c r="IB537" s="978"/>
      <c r="IC537" s="978"/>
      <c r="ID537" s="978"/>
      <c r="IE537" s="978"/>
      <c r="IF537" s="978"/>
      <c r="IG537" s="978"/>
      <c r="IH537" s="978"/>
      <c r="II537" s="978"/>
      <c r="IJ537" s="978"/>
      <c r="IK537" s="978"/>
      <c r="IL537" s="978"/>
      <c r="IM537" s="978"/>
      <c r="IN537" s="978"/>
      <c r="IO537" s="978"/>
      <c r="IP537" s="978"/>
      <c r="IQ537" s="978"/>
      <c r="IR537" s="978"/>
      <c r="IS537" s="978"/>
      <c r="IT537" s="978"/>
      <c r="IU537" s="978"/>
      <c r="IV537" s="978"/>
      <c r="IW537" s="978"/>
      <c r="IX537" s="978"/>
      <c r="IY537" s="978"/>
      <c r="IZ537" s="978"/>
      <c r="JA537" s="978"/>
      <c r="JB537" s="978"/>
      <c r="JC537" s="978"/>
      <c r="JD537" s="978"/>
      <c r="JE537" s="978"/>
      <c r="JF537" s="978"/>
      <c r="JG537" s="978"/>
      <c r="JH537" s="978"/>
      <c r="JI537" s="978"/>
      <c r="JJ537" s="978"/>
      <c r="JK537" s="978"/>
      <c r="JL537" s="978"/>
      <c r="JM537" s="978"/>
      <c r="JN537" s="978"/>
      <c r="JO537" s="978"/>
      <c r="JP537" s="978"/>
      <c r="JQ537" s="978"/>
      <c r="JR537" s="978"/>
      <c r="JS537" s="978"/>
      <c r="JT537" s="978"/>
      <c r="JU537" s="978"/>
      <c r="JV537" s="978"/>
      <c r="JW537" s="978"/>
      <c r="JX537" s="978"/>
      <c r="JY537" s="978"/>
      <c r="JZ537" s="978"/>
      <c r="KA537" s="978"/>
      <c r="KB537" s="978"/>
      <c r="KC537" s="978"/>
      <c r="KD537" s="978"/>
      <c r="KE537" s="978"/>
      <c r="KF537" s="978"/>
      <c r="KG537" s="978"/>
      <c r="KH537" s="978"/>
      <c r="KI537" s="978"/>
      <c r="KJ537" s="978"/>
      <c r="KK537" s="978"/>
      <c r="KL537" s="978"/>
      <c r="KM537" s="978"/>
      <c r="KN537" s="978"/>
      <c r="KO537" s="978"/>
      <c r="KP537" s="978"/>
      <c r="KQ537" s="978"/>
      <c r="KR537" s="978"/>
      <c r="KS537" s="978"/>
      <c r="KT537" s="978"/>
      <c r="KU537" s="978"/>
      <c r="KV537" s="978"/>
      <c r="KW537" s="978"/>
      <c r="KX537" s="978"/>
      <c r="KY537" s="978"/>
      <c r="KZ537" s="978"/>
      <c r="LA537" s="978"/>
      <c r="LB537" s="978"/>
      <c r="LC537" s="978"/>
      <c r="LD537" s="978"/>
      <c r="LE537" s="978"/>
      <c r="LF537" s="978"/>
      <c r="LG537" s="978"/>
      <c r="LH537" s="978"/>
      <c r="LI537" s="978"/>
      <c r="LJ537" s="978"/>
      <c r="LK537" s="978"/>
      <c r="LL537" s="978"/>
      <c r="LM537" s="978"/>
      <c r="LN537" s="978"/>
      <c r="LO537" s="978"/>
      <c r="LP537" s="978"/>
      <c r="LQ537" s="978"/>
      <c r="LR537" s="978"/>
      <c r="LS537" s="978"/>
      <c r="LT537" s="978"/>
      <c r="LU537" s="978"/>
      <c r="LV537" s="978"/>
      <c r="LW537" s="978"/>
      <c r="LX537" s="978"/>
      <c r="LY537" s="978"/>
      <c r="LZ537" s="978"/>
      <c r="MA537" s="978"/>
      <c r="MB537" s="978"/>
      <c r="MC537" s="978"/>
      <c r="MD537" s="978"/>
      <c r="ME537" s="978"/>
      <c r="MF537" s="978"/>
      <c r="MG537" s="978"/>
      <c r="MH537" s="978"/>
      <c r="MI537" s="978"/>
      <c r="MJ537" s="978"/>
      <c r="MK537" s="978"/>
      <c r="ML537" s="978"/>
      <c r="MM537" s="978"/>
      <c r="MN537" s="978"/>
      <c r="MO537" s="978"/>
      <c r="MP537" s="978"/>
      <c r="MQ537" s="978"/>
      <c r="MR537" s="978"/>
      <c r="MS537" s="978"/>
      <c r="MT537" s="978"/>
      <c r="MU537" s="978"/>
      <c r="MV537" s="978"/>
      <c r="MW537" s="978"/>
      <c r="MX537" s="978"/>
      <c r="MY537" s="978"/>
      <c r="MZ537" s="978"/>
      <c r="NA537" s="978"/>
      <c r="NB537" s="978"/>
      <c r="NC537" s="978"/>
      <c r="ND537" s="978"/>
      <c r="NE537" s="978"/>
      <c r="NF537" s="978"/>
      <c r="NG537" s="978"/>
      <c r="NH537" s="978"/>
      <c r="NI537" s="978"/>
      <c r="NJ537" s="978"/>
      <c r="NK537" s="978"/>
      <c r="NL537" s="978"/>
      <c r="NM537" s="978"/>
      <c r="NN537" s="978"/>
      <c r="NO537" s="978"/>
      <c r="NP537" s="978"/>
      <c r="NQ537" s="978"/>
      <c r="NR537" s="978"/>
      <c r="NS537" s="978"/>
      <c r="NT537" s="978"/>
      <c r="NU537" s="978"/>
      <c r="NV537" s="978"/>
      <c r="NW537" s="978"/>
      <c r="NX537" s="978"/>
      <c r="NY537" s="978"/>
      <c r="NZ537" s="978"/>
      <c r="OA537" s="978"/>
      <c r="OB537" s="978"/>
      <c r="OC537" s="978"/>
      <c r="OD537" s="978"/>
      <c r="OE537" s="978"/>
      <c r="OF537" s="978"/>
      <c r="OG537" s="978"/>
      <c r="OH537" s="978"/>
      <c r="OI537" s="978"/>
      <c r="OJ537" s="978"/>
      <c r="OK537" s="978"/>
      <c r="OL537" s="978"/>
      <c r="OM537" s="978"/>
      <c r="ON537" s="978"/>
      <c r="OO537" s="978"/>
      <c r="OP537" s="978"/>
      <c r="OQ537" s="978"/>
      <c r="OR537" s="978"/>
      <c r="OS537" s="978"/>
      <c r="OT537" s="978"/>
      <c r="OU537" s="978"/>
      <c r="OV537" s="978"/>
      <c r="OW537" s="978"/>
      <c r="OX537" s="978"/>
      <c r="OY537" s="978"/>
      <c r="OZ537" s="978"/>
      <c r="PA537" s="978"/>
      <c r="PB537" s="978"/>
      <c r="PC537" s="978"/>
      <c r="PD537" s="978"/>
      <c r="PE537" s="978"/>
      <c r="PF537" s="978"/>
      <c r="PG537" s="978"/>
      <c r="PH537" s="978"/>
      <c r="PI537" s="978"/>
      <c r="PJ537" s="978"/>
      <c r="PK537" s="978"/>
      <c r="PL537" s="978"/>
      <c r="PM537" s="978"/>
      <c r="PN537" s="978"/>
      <c r="PO537" s="978"/>
      <c r="PP537" s="978"/>
      <c r="PQ537" s="978"/>
      <c r="PR537" s="978"/>
      <c r="PS537" s="978"/>
      <c r="PT537" s="978"/>
      <c r="PU537" s="978"/>
      <c r="PV537" s="978"/>
      <c r="PW537" s="978"/>
      <c r="PX537" s="978"/>
      <c r="PY537" s="978"/>
      <c r="PZ537" s="978"/>
      <c r="QA537" s="978"/>
      <c r="QB537" s="978"/>
      <c r="QC537" s="978"/>
      <c r="QD537" s="978"/>
      <c r="QE537" s="978"/>
      <c r="QF537" s="978"/>
      <c r="QG537" s="978"/>
      <c r="QH537" s="978"/>
      <c r="QI537" s="978"/>
      <c r="QJ537" s="978"/>
      <c r="QK537" s="978"/>
      <c r="QL537" s="978"/>
      <c r="QM537" s="978"/>
      <c r="QN537" s="978"/>
      <c r="QO537" s="978"/>
      <c r="QP537" s="978"/>
      <c r="QQ537" s="978"/>
      <c r="QR537" s="978"/>
      <c r="QS537" s="978"/>
      <c r="QT537" s="978"/>
      <c r="QU537" s="978"/>
      <c r="QV537" s="978"/>
      <c r="QW537" s="978"/>
      <c r="QX537" s="978"/>
      <c r="QY537" s="978"/>
      <c r="QZ537" s="978"/>
      <c r="RA537" s="978"/>
      <c r="RB537" s="274"/>
      <c r="RC537" s="274"/>
    </row>
    <row r="538" spans="112:471">
      <c r="DH538" s="274"/>
      <c r="DI538" s="274"/>
      <c r="DJ538" s="274"/>
      <c r="DK538" s="274"/>
      <c r="DL538" s="274"/>
      <c r="DM538" s="274"/>
      <c r="DN538" s="274"/>
      <c r="DO538" s="274"/>
      <c r="DP538" s="274"/>
      <c r="DQ538" s="274"/>
      <c r="DR538" s="274"/>
      <c r="DS538" s="274"/>
      <c r="DT538" s="274"/>
      <c r="DU538" s="274"/>
      <c r="DV538" s="274"/>
      <c r="DW538" s="274"/>
      <c r="DX538" s="274"/>
      <c r="DY538" s="274"/>
      <c r="DZ538" s="274"/>
      <c r="EA538" s="274"/>
      <c r="EB538" s="274"/>
      <c r="EC538" s="274"/>
      <c r="ED538" s="274"/>
      <c r="EE538" s="274"/>
      <c r="EF538" s="274"/>
      <c r="EG538" s="274"/>
      <c r="EH538" s="274"/>
      <c r="EI538" s="274"/>
      <c r="EJ538" s="274"/>
      <c r="EK538" s="274"/>
      <c r="EL538" s="274"/>
      <c r="EM538" s="274"/>
      <c r="EN538" s="274"/>
      <c r="EO538" s="274"/>
      <c r="EP538" s="274"/>
      <c r="EQ538" s="274"/>
      <c r="ER538" s="274"/>
      <c r="ES538" s="274"/>
      <c r="ET538" s="274"/>
      <c r="EU538" s="274"/>
      <c r="EV538" s="274"/>
      <c r="EW538" s="274"/>
      <c r="EX538" s="274"/>
      <c r="EY538" s="274"/>
      <c r="EZ538" s="274"/>
      <c r="FA538" s="274"/>
      <c r="FB538" s="274"/>
      <c r="FC538" s="274"/>
      <c r="FD538" s="274"/>
      <c r="FE538" s="274"/>
      <c r="FF538" s="274"/>
      <c r="FG538" s="274"/>
      <c r="FH538" s="274"/>
      <c r="FI538" s="274"/>
      <c r="FJ538" s="274"/>
      <c r="FK538" s="274"/>
      <c r="FL538" s="274"/>
      <c r="FM538" s="274"/>
      <c r="FN538" s="274"/>
      <c r="FO538" s="274"/>
      <c r="FP538" s="274"/>
      <c r="FQ538" s="274"/>
      <c r="FR538" s="274"/>
      <c r="FS538" s="274"/>
      <c r="FT538" s="274"/>
      <c r="FU538" s="274"/>
      <c r="FV538" s="274"/>
      <c r="FW538" s="274"/>
      <c r="FX538" s="274"/>
      <c r="FY538" s="274"/>
      <c r="FZ538" s="274"/>
      <c r="GA538" s="274"/>
      <c r="GB538" s="274"/>
      <c r="GC538" s="274"/>
      <c r="GD538" s="274"/>
      <c r="GE538" s="274"/>
      <c r="GF538" s="274"/>
      <c r="GG538" s="274"/>
      <c r="GH538" s="274"/>
      <c r="GI538" s="274"/>
      <c r="GJ538" s="274"/>
      <c r="GK538" s="274"/>
      <c r="GL538" s="274"/>
      <c r="GM538" s="274"/>
      <c r="GN538" s="274"/>
      <c r="GO538" s="274"/>
      <c r="GP538" s="274"/>
      <c r="GQ538" s="274"/>
      <c r="GR538" s="274"/>
      <c r="GS538" s="274"/>
      <c r="GT538" s="274"/>
      <c r="GU538" s="274"/>
      <c r="GV538" s="274"/>
      <c r="GW538" s="274"/>
      <c r="GX538" s="274"/>
      <c r="GY538" s="274"/>
      <c r="GZ538" s="274"/>
      <c r="HA538" s="274"/>
      <c r="HB538" s="274"/>
      <c r="HC538" s="274"/>
      <c r="HD538" s="274"/>
      <c r="HE538" s="274"/>
      <c r="HF538" s="274"/>
      <c r="HG538" s="274"/>
      <c r="HH538" s="274"/>
      <c r="HI538" s="274"/>
      <c r="HJ538" s="274"/>
      <c r="HK538" s="274"/>
      <c r="HL538" s="274"/>
      <c r="HM538" s="274"/>
      <c r="HN538" s="274"/>
      <c r="HO538" s="274"/>
      <c r="HP538" s="274"/>
      <c r="HQ538" s="274"/>
      <c r="HR538" s="274"/>
      <c r="HS538" s="274"/>
      <c r="HT538" s="274"/>
      <c r="HU538" s="274"/>
      <c r="HV538" s="274"/>
      <c r="HW538" s="274"/>
      <c r="HX538" s="274"/>
      <c r="HY538" s="274"/>
      <c r="HZ538" s="274"/>
      <c r="IA538" s="274"/>
      <c r="IB538" s="274"/>
      <c r="IC538" s="274"/>
      <c r="ID538" s="274"/>
      <c r="IE538" s="274"/>
      <c r="IF538" s="274"/>
      <c r="IG538" s="274"/>
      <c r="IH538" s="274"/>
      <c r="II538" s="274"/>
      <c r="IJ538" s="274"/>
      <c r="IK538" s="274"/>
      <c r="IL538" s="274"/>
      <c r="IM538" s="274"/>
      <c r="IN538" s="274"/>
      <c r="IO538" s="274"/>
      <c r="IP538" s="274"/>
      <c r="IQ538" s="274"/>
      <c r="IR538" s="274"/>
      <c r="IS538" s="274"/>
      <c r="IT538" s="274"/>
      <c r="IU538" s="274"/>
      <c r="IV538" s="274"/>
      <c r="IW538" s="274"/>
      <c r="IX538" s="274"/>
      <c r="IY538" s="274"/>
      <c r="IZ538" s="274"/>
      <c r="JA538" s="274"/>
      <c r="JB538" s="274"/>
      <c r="JC538" s="274"/>
      <c r="JD538" s="274"/>
      <c r="JE538" s="274"/>
      <c r="JF538" s="274"/>
      <c r="JG538" s="274"/>
      <c r="JH538" s="274"/>
      <c r="JI538" s="274"/>
      <c r="JJ538" s="274"/>
      <c r="JK538" s="274"/>
      <c r="JL538" s="274"/>
      <c r="JM538" s="274"/>
      <c r="JN538" s="274"/>
      <c r="JO538" s="274"/>
      <c r="JP538" s="274"/>
      <c r="JQ538" s="274"/>
      <c r="JR538" s="274"/>
      <c r="JS538" s="274"/>
      <c r="JT538" s="274"/>
      <c r="JU538" s="274"/>
      <c r="JV538" s="274"/>
      <c r="JW538" s="274"/>
      <c r="JX538" s="274"/>
      <c r="JY538" s="274"/>
      <c r="JZ538" s="274"/>
      <c r="KA538" s="274"/>
      <c r="KB538" s="274"/>
      <c r="KC538" s="274"/>
      <c r="KD538" s="274"/>
      <c r="KE538" s="274"/>
      <c r="KF538" s="274"/>
      <c r="KG538" s="274"/>
      <c r="KH538" s="274"/>
      <c r="KI538" s="274"/>
      <c r="KJ538" s="274"/>
      <c r="KK538" s="274"/>
      <c r="KL538" s="274"/>
      <c r="KM538" s="274"/>
      <c r="KN538" s="274"/>
      <c r="KO538" s="274"/>
      <c r="KP538" s="274"/>
      <c r="KQ538" s="274"/>
      <c r="KR538" s="274"/>
      <c r="KS538" s="274"/>
      <c r="KT538" s="274"/>
      <c r="KU538" s="274"/>
      <c r="KV538" s="274"/>
      <c r="KW538" s="274"/>
      <c r="KX538" s="274"/>
      <c r="KY538" s="274"/>
      <c r="KZ538" s="274"/>
      <c r="LA538" s="274"/>
      <c r="LB538" s="274"/>
      <c r="LC538" s="274"/>
      <c r="LD538" s="274"/>
      <c r="LE538" s="274"/>
      <c r="LF538" s="274"/>
      <c r="LG538" s="274"/>
      <c r="LH538" s="274"/>
      <c r="LI538" s="274"/>
      <c r="LJ538" s="274"/>
      <c r="LK538" s="274"/>
      <c r="LL538" s="274"/>
      <c r="LM538" s="274"/>
      <c r="LN538" s="274"/>
      <c r="LO538" s="274"/>
      <c r="LP538" s="274"/>
      <c r="LQ538" s="274"/>
      <c r="LR538" s="274"/>
      <c r="LS538" s="274"/>
      <c r="LT538" s="274"/>
      <c r="LU538" s="274"/>
      <c r="LV538" s="274"/>
      <c r="LW538" s="274"/>
      <c r="LX538" s="274"/>
      <c r="LY538" s="274"/>
      <c r="LZ538" s="274"/>
      <c r="MA538" s="274"/>
      <c r="MB538" s="274"/>
      <c r="MC538" s="274"/>
      <c r="MD538" s="274"/>
      <c r="ME538" s="274"/>
      <c r="MF538" s="274"/>
      <c r="MG538" s="274"/>
      <c r="MH538" s="274"/>
      <c r="MI538" s="274"/>
      <c r="MJ538" s="274"/>
      <c r="MK538" s="274"/>
      <c r="ML538" s="274"/>
      <c r="MM538" s="274"/>
      <c r="MN538" s="274"/>
      <c r="MO538" s="274"/>
      <c r="MP538" s="274"/>
      <c r="MQ538" s="274"/>
      <c r="MR538" s="274"/>
      <c r="MS538" s="274"/>
      <c r="MT538" s="274"/>
      <c r="MU538" s="274"/>
      <c r="MV538" s="274"/>
      <c r="MW538" s="274"/>
      <c r="MX538" s="274"/>
      <c r="MY538" s="274"/>
      <c r="MZ538" s="274"/>
      <c r="NA538" s="274"/>
      <c r="NB538" s="274"/>
      <c r="NC538" s="274"/>
      <c r="ND538" s="274"/>
      <c r="NE538" s="274"/>
      <c r="NF538" s="274"/>
      <c r="NG538" s="274"/>
      <c r="NH538" s="274"/>
      <c r="NI538" s="274"/>
      <c r="NJ538" s="274"/>
      <c r="NK538" s="274"/>
      <c r="NL538" s="274"/>
      <c r="NM538" s="274"/>
      <c r="NN538" s="274"/>
      <c r="NO538" s="274"/>
      <c r="NP538" s="274"/>
      <c r="NQ538" s="274"/>
      <c r="NR538" s="274"/>
      <c r="NS538" s="274"/>
      <c r="NT538" s="274"/>
      <c r="NU538" s="274"/>
      <c r="NV538" s="274"/>
      <c r="NW538" s="274"/>
      <c r="NX538" s="274"/>
      <c r="NY538" s="274"/>
      <c r="NZ538" s="274"/>
      <c r="OA538" s="274"/>
      <c r="OB538" s="274"/>
      <c r="OC538" s="274"/>
      <c r="OD538" s="274"/>
      <c r="OE538" s="274"/>
      <c r="OF538" s="274"/>
      <c r="OG538" s="274"/>
      <c r="OH538" s="274"/>
      <c r="OI538" s="274"/>
      <c r="OJ538" s="274"/>
      <c r="OK538" s="274"/>
      <c r="OL538" s="274"/>
      <c r="OM538" s="274"/>
      <c r="ON538" s="274"/>
      <c r="OO538" s="274"/>
      <c r="OP538" s="274"/>
      <c r="OQ538" s="274"/>
      <c r="OR538" s="274"/>
      <c r="OS538" s="274"/>
      <c r="OT538" s="274"/>
      <c r="OU538" s="274"/>
      <c r="OV538" s="274"/>
      <c r="OW538" s="274"/>
      <c r="OX538" s="274"/>
      <c r="OY538" s="274"/>
      <c r="OZ538" s="274"/>
      <c r="PA538" s="274"/>
      <c r="PB538" s="274"/>
      <c r="PC538" s="274"/>
      <c r="PD538" s="274"/>
      <c r="PE538" s="274"/>
      <c r="PF538" s="274"/>
      <c r="PG538" s="274"/>
      <c r="PH538" s="274"/>
      <c r="PI538" s="274"/>
      <c r="PJ538" s="274"/>
      <c r="PK538" s="274"/>
      <c r="PL538" s="274"/>
      <c r="PM538" s="274"/>
      <c r="PN538" s="274"/>
      <c r="PO538" s="274"/>
      <c r="PP538" s="274"/>
      <c r="PQ538" s="274"/>
      <c r="PR538" s="274"/>
      <c r="PS538" s="274"/>
      <c r="PT538" s="274"/>
      <c r="PU538" s="274"/>
      <c r="PV538" s="274"/>
      <c r="PW538" s="274"/>
      <c r="PX538" s="274"/>
      <c r="PY538" s="274"/>
      <c r="PZ538" s="274"/>
      <c r="QA538" s="274"/>
      <c r="QB538" s="274"/>
      <c r="QC538" s="274"/>
      <c r="QD538" s="274"/>
      <c r="QE538" s="274"/>
      <c r="QF538" s="274"/>
      <c r="QG538" s="274"/>
      <c r="QH538" s="274"/>
      <c r="QI538" s="274"/>
      <c r="QJ538" s="274"/>
      <c r="QK538" s="274"/>
      <c r="QL538" s="274"/>
      <c r="QM538" s="274"/>
      <c r="QN538" s="274"/>
      <c r="QO538" s="274"/>
      <c r="QP538" s="274"/>
      <c r="QQ538" s="274"/>
      <c r="QR538" s="274"/>
      <c r="QS538" s="274"/>
      <c r="QT538" s="274"/>
      <c r="QU538" s="274"/>
      <c r="QV538" s="274"/>
      <c r="QW538" s="274"/>
      <c r="QX538" s="274"/>
      <c r="QY538" s="274"/>
      <c r="QZ538" s="274"/>
      <c r="RA538" s="274"/>
      <c r="RB538" s="274"/>
      <c r="RC538" s="274"/>
    </row>
    <row r="539" spans="112:471">
      <c r="DH539" s="274"/>
      <c r="DI539" s="274"/>
      <c r="DJ539" s="274"/>
      <c r="DK539" s="274"/>
      <c r="DL539" s="274"/>
      <c r="DM539" s="274"/>
      <c r="DN539" s="274"/>
      <c r="DO539" s="274"/>
      <c r="DP539" s="274"/>
      <c r="DQ539" s="274"/>
      <c r="DR539" s="274"/>
      <c r="DS539" s="274"/>
      <c r="DT539" s="274"/>
      <c r="DU539" s="274"/>
      <c r="DV539" s="274"/>
      <c r="DW539" s="274"/>
      <c r="DX539" s="274"/>
      <c r="DY539" s="274"/>
      <c r="DZ539" s="274"/>
      <c r="EA539" s="274"/>
      <c r="EB539" s="274"/>
      <c r="EC539" s="274"/>
      <c r="ED539" s="274"/>
      <c r="EE539" s="274"/>
      <c r="EF539" s="274"/>
      <c r="EG539" s="274"/>
      <c r="EH539" s="274"/>
      <c r="EI539" s="274"/>
      <c r="EJ539" s="274"/>
      <c r="EK539" s="274"/>
      <c r="EL539" s="274"/>
      <c r="EM539" s="274"/>
      <c r="EN539" s="274"/>
      <c r="EO539" s="274"/>
      <c r="EP539" s="274"/>
      <c r="EQ539" s="274"/>
      <c r="ER539" s="274"/>
      <c r="ES539" s="274"/>
      <c r="ET539" s="274"/>
      <c r="EU539" s="274"/>
      <c r="EV539" s="274"/>
      <c r="EW539" s="274"/>
      <c r="EX539" s="274"/>
      <c r="EY539" s="274"/>
      <c r="EZ539" s="274"/>
      <c r="FA539" s="274"/>
      <c r="FB539" s="274"/>
      <c r="FC539" s="274"/>
      <c r="FD539" s="274"/>
      <c r="FE539" s="274"/>
      <c r="FF539" s="274"/>
      <c r="FG539" s="274"/>
      <c r="FH539" s="274"/>
      <c r="FI539" s="274"/>
      <c r="FJ539" s="274"/>
      <c r="FK539" s="274"/>
      <c r="FL539" s="274"/>
      <c r="FM539" s="274"/>
      <c r="FN539" s="274"/>
      <c r="FO539" s="274"/>
      <c r="FP539" s="274"/>
      <c r="FQ539" s="274"/>
      <c r="FR539" s="274"/>
      <c r="FS539" s="274"/>
      <c r="FT539" s="274"/>
      <c r="FU539" s="274"/>
      <c r="FV539" s="274"/>
      <c r="FW539" s="274"/>
      <c r="FX539" s="274"/>
      <c r="FY539" s="274"/>
      <c r="FZ539" s="274"/>
      <c r="GA539" s="274"/>
      <c r="GB539" s="274"/>
      <c r="GC539" s="274"/>
      <c r="GD539" s="274"/>
      <c r="GE539" s="274"/>
      <c r="GF539" s="274"/>
      <c r="GG539" s="274"/>
      <c r="GH539" s="274"/>
      <c r="GI539" s="274"/>
      <c r="GJ539" s="274"/>
      <c r="GK539" s="274"/>
      <c r="GL539" s="274"/>
      <c r="GM539" s="274"/>
      <c r="GN539" s="274"/>
      <c r="GO539" s="274"/>
      <c r="GP539" s="274"/>
      <c r="GQ539" s="274"/>
      <c r="GR539" s="274"/>
      <c r="GS539" s="274"/>
      <c r="GT539" s="274"/>
      <c r="GU539" s="274"/>
      <c r="GV539" s="274"/>
      <c r="GW539" s="274"/>
      <c r="GX539" s="274"/>
      <c r="GY539" s="274"/>
      <c r="GZ539" s="274"/>
      <c r="HA539" s="274"/>
      <c r="HB539" s="274"/>
      <c r="HC539" s="274"/>
      <c r="HD539" s="274"/>
      <c r="HE539" s="274"/>
      <c r="HF539" s="274"/>
      <c r="HG539" s="274"/>
      <c r="HH539" s="274"/>
      <c r="HI539" s="274"/>
      <c r="HJ539" s="274"/>
      <c r="HK539" s="274"/>
      <c r="HL539" s="274"/>
      <c r="HM539" s="274"/>
      <c r="HN539" s="274"/>
      <c r="HO539" s="274"/>
      <c r="HP539" s="274"/>
      <c r="HQ539" s="274"/>
      <c r="HR539" s="274"/>
      <c r="HS539" s="274"/>
      <c r="HT539" s="274"/>
      <c r="HU539" s="274"/>
      <c r="HV539" s="274"/>
      <c r="HW539" s="274"/>
      <c r="HX539" s="274"/>
      <c r="HY539" s="274"/>
      <c r="HZ539" s="274"/>
      <c r="IA539" s="274"/>
      <c r="IB539" s="274"/>
      <c r="IC539" s="274"/>
      <c r="ID539" s="274"/>
      <c r="IE539" s="274"/>
      <c r="IF539" s="274"/>
      <c r="IG539" s="274"/>
      <c r="IH539" s="274"/>
      <c r="II539" s="274"/>
      <c r="IJ539" s="274"/>
      <c r="IK539" s="274"/>
      <c r="IL539" s="274"/>
      <c r="IM539" s="274"/>
      <c r="IN539" s="274"/>
      <c r="IO539" s="274"/>
      <c r="IP539" s="274"/>
      <c r="IQ539" s="274"/>
      <c r="IR539" s="274"/>
      <c r="IS539" s="274"/>
      <c r="IT539" s="274"/>
      <c r="IU539" s="274"/>
      <c r="IV539" s="274"/>
      <c r="IW539" s="274"/>
      <c r="IX539" s="274"/>
      <c r="IY539" s="274"/>
      <c r="IZ539" s="274"/>
      <c r="JA539" s="274"/>
      <c r="JB539" s="274"/>
      <c r="JC539" s="274"/>
      <c r="JD539" s="274"/>
      <c r="JE539" s="274"/>
      <c r="JF539" s="274"/>
      <c r="JG539" s="274"/>
      <c r="JH539" s="274"/>
      <c r="JI539" s="274"/>
      <c r="JJ539" s="274"/>
      <c r="JK539" s="274"/>
      <c r="JL539" s="274"/>
      <c r="JM539" s="274"/>
      <c r="JN539" s="274"/>
      <c r="JO539" s="274"/>
      <c r="JP539" s="274"/>
      <c r="JQ539" s="274"/>
      <c r="JR539" s="274"/>
      <c r="JS539" s="274"/>
      <c r="JT539" s="274"/>
      <c r="JU539" s="274"/>
      <c r="JV539" s="274"/>
      <c r="JW539" s="274"/>
      <c r="JX539" s="274"/>
      <c r="JY539" s="274"/>
      <c r="JZ539" s="274"/>
      <c r="KA539" s="274"/>
      <c r="KB539" s="274"/>
      <c r="KC539" s="274"/>
      <c r="KD539" s="274"/>
      <c r="KE539" s="274"/>
      <c r="KF539" s="274"/>
      <c r="KG539" s="274"/>
      <c r="KH539" s="274"/>
      <c r="KI539" s="274"/>
      <c r="KJ539" s="274"/>
      <c r="KK539" s="274"/>
      <c r="KL539" s="274"/>
      <c r="KM539" s="274"/>
      <c r="KN539" s="274"/>
      <c r="KO539" s="274"/>
      <c r="KP539" s="274"/>
      <c r="KQ539" s="274"/>
      <c r="KR539" s="274"/>
      <c r="KS539" s="274"/>
      <c r="KT539" s="274"/>
      <c r="KU539" s="274"/>
      <c r="KV539" s="274"/>
      <c r="KW539" s="274"/>
      <c r="KX539" s="274"/>
      <c r="KY539" s="274"/>
      <c r="KZ539" s="274"/>
      <c r="LA539" s="274"/>
      <c r="LB539" s="274"/>
      <c r="LC539" s="274"/>
      <c r="LD539" s="274"/>
      <c r="LE539" s="274"/>
      <c r="LF539" s="274"/>
      <c r="LG539" s="274"/>
      <c r="LH539" s="274"/>
      <c r="LI539" s="274"/>
      <c r="LJ539" s="274"/>
      <c r="LK539" s="274"/>
      <c r="LL539" s="274"/>
      <c r="LM539" s="274"/>
      <c r="LN539" s="274"/>
      <c r="LO539" s="274"/>
      <c r="LP539" s="274"/>
      <c r="LQ539" s="274"/>
      <c r="LR539" s="274"/>
      <c r="LS539" s="274"/>
      <c r="LT539" s="274"/>
      <c r="LU539" s="274"/>
      <c r="LV539" s="274"/>
      <c r="LW539" s="274"/>
      <c r="LX539" s="274"/>
      <c r="LY539" s="274"/>
      <c r="LZ539" s="274"/>
      <c r="MA539" s="274"/>
      <c r="MB539" s="274"/>
      <c r="MC539" s="274"/>
      <c r="MD539" s="274"/>
      <c r="ME539" s="274"/>
      <c r="MF539" s="274"/>
      <c r="MG539" s="274"/>
      <c r="MH539" s="274"/>
      <c r="MI539" s="274"/>
      <c r="MJ539" s="274"/>
      <c r="MK539" s="274"/>
      <c r="ML539" s="274"/>
      <c r="MM539" s="274"/>
      <c r="MN539" s="274"/>
      <c r="MO539" s="274"/>
      <c r="MP539" s="274"/>
      <c r="MQ539" s="274"/>
      <c r="MR539" s="274"/>
      <c r="MS539" s="274"/>
      <c r="MT539" s="274"/>
      <c r="MU539" s="274"/>
      <c r="MV539" s="274"/>
      <c r="MW539" s="274"/>
      <c r="MX539" s="274"/>
      <c r="MY539" s="274"/>
      <c r="MZ539" s="274"/>
      <c r="NA539" s="274"/>
      <c r="NB539" s="274"/>
      <c r="NC539" s="274"/>
      <c r="ND539" s="274"/>
      <c r="NE539" s="274"/>
      <c r="NF539" s="274"/>
      <c r="NG539" s="274"/>
      <c r="NH539" s="274"/>
      <c r="NI539" s="274"/>
      <c r="NJ539" s="274"/>
      <c r="NK539" s="274"/>
      <c r="NL539" s="274"/>
      <c r="NM539" s="274"/>
      <c r="NN539" s="274"/>
      <c r="NO539" s="274"/>
      <c r="NP539" s="274"/>
      <c r="NQ539" s="274"/>
      <c r="NR539" s="274"/>
      <c r="NS539" s="274"/>
      <c r="NT539" s="274"/>
      <c r="NU539" s="274"/>
      <c r="NV539" s="274"/>
      <c r="NW539" s="274"/>
      <c r="NX539" s="274"/>
      <c r="NY539" s="274"/>
      <c r="NZ539" s="274"/>
      <c r="OA539" s="274"/>
      <c r="OB539" s="274"/>
      <c r="OC539" s="274"/>
      <c r="OD539" s="274"/>
      <c r="OE539" s="274"/>
      <c r="OF539" s="274"/>
      <c r="OG539" s="274"/>
      <c r="OH539" s="274"/>
      <c r="OI539" s="274"/>
      <c r="OJ539" s="274"/>
      <c r="OK539" s="274"/>
      <c r="OL539" s="274"/>
      <c r="OM539" s="274"/>
      <c r="ON539" s="274"/>
      <c r="OO539" s="274"/>
      <c r="OP539" s="274"/>
      <c r="OQ539" s="274"/>
      <c r="OR539" s="274"/>
      <c r="OS539" s="274"/>
      <c r="OT539" s="274"/>
      <c r="OU539" s="274"/>
      <c r="OV539" s="274"/>
      <c r="OW539" s="274"/>
      <c r="OX539" s="274"/>
      <c r="OY539" s="274"/>
      <c r="OZ539" s="274"/>
      <c r="PA539" s="274"/>
      <c r="PB539" s="274"/>
      <c r="PC539" s="274"/>
      <c r="PD539" s="274"/>
      <c r="PE539" s="274"/>
      <c r="PF539" s="274"/>
      <c r="PG539" s="274"/>
      <c r="PH539" s="274"/>
      <c r="PI539" s="274"/>
      <c r="PJ539" s="274"/>
      <c r="PK539" s="274"/>
      <c r="PL539" s="274"/>
      <c r="PM539" s="274"/>
      <c r="PN539" s="274"/>
      <c r="PO539" s="274"/>
      <c r="PP539" s="274"/>
      <c r="PQ539" s="274"/>
      <c r="PR539" s="274"/>
      <c r="PS539" s="274"/>
      <c r="PT539" s="274"/>
      <c r="PU539" s="274"/>
      <c r="PV539" s="274"/>
      <c r="PW539" s="274"/>
      <c r="PX539" s="274"/>
      <c r="PY539" s="274"/>
      <c r="PZ539" s="274"/>
      <c r="QA539" s="274"/>
      <c r="QB539" s="274"/>
      <c r="QC539" s="274"/>
      <c r="QD539" s="274"/>
      <c r="QE539" s="274"/>
      <c r="QF539" s="274"/>
      <c r="QG539" s="274"/>
      <c r="QH539" s="274"/>
      <c r="QI539" s="274"/>
      <c r="QJ539" s="274"/>
      <c r="QK539" s="274"/>
      <c r="QL539" s="274"/>
      <c r="QM539" s="274"/>
      <c r="QN539" s="274"/>
      <c r="QO539" s="274"/>
      <c r="QP539" s="274"/>
      <c r="QQ539" s="274"/>
      <c r="QR539" s="274"/>
      <c r="QS539" s="274"/>
      <c r="QT539" s="274"/>
      <c r="QU539" s="274"/>
      <c r="QV539" s="274"/>
      <c r="QW539" s="274"/>
      <c r="QX539" s="274"/>
      <c r="QY539" s="274"/>
      <c r="QZ539" s="274"/>
      <c r="RA539" s="274"/>
      <c r="RB539" s="274"/>
      <c r="RC539" s="274"/>
    </row>
    <row r="540" spans="112:471">
      <c r="DH540" s="274"/>
      <c r="DI540" s="274"/>
      <c r="DJ540" s="274"/>
      <c r="DK540" s="274"/>
      <c r="DL540" s="274"/>
      <c r="DM540" s="274"/>
      <c r="DN540" s="274"/>
      <c r="DO540" s="274"/>
      <c r="DP540" s="274"/>
      <c r="DQ540" s="274"/>
      <c r="DR540" s="274"/>
      <c r="DS540" s="274"/>
      <c r="DT540" s="274"/>
      <c r="DU540" s="274"/>
      <c r="DV540" s="274"/>
      <c r="DW540" s="274"/>
      <c r="DX540" s="274"/>
      <c r="DY540" s="274"/>
      <c r="DZ540" s="274"/>
      <c r="EA540" s="274"/>
      <c r="EB540" s="274"/>
      <c r="EC540" s="274"/>
      <c r="ED540" s="274"/>
      <c r="EE540" s="274"/>
      <c r="EF540" s="274"/>
      <c r="EG540" s="274"/>
      <c r="EH540" s="274"/>
      <c r="EI540" s="274"/>
      <c r="EJ540" s="274"/>
      <c r="EK540" s="274"/>
      <c r="EL540" s="274"/>
      <c r="EM540" s="274"/>
      <c r="EN540" s="274"/>
      <c r="EO540" s="274"/>
      <c r="EP540" s="274"/>
      <c r="EQ540" s="274"/>
      <c r="ER540" s="274"/>
      <c r="ES540" s="274"/>
      <c r="ET540" s="274"/>
      <c r="EU540" s="274"/>
      <c r="EV540" s="274"/>
      <c r="EW540" s="274"/>
      <c r="EX540" s="274"/>
      <c r="EY540" s="274"/>
      <c r="EZ540" s="274"/>
      <c r="FA540" s="274"/>
      <c r="FB540" s="274"/>
      <c r="FC540" s="274"/>
      <c r="FD540" s="274"/>
      <c r="FE540" s="274"/>
      <c r="FF540" s="274"/>
      <c r="FG540" s="274"/>
      <c r="FH540" s="274"/>
      <c r="FI540" s="274"/>
      <c r="FJ540" s="274"/>
      <c r="FK540" s="274"/>
      <c r="FL540" s="274"/>
      <c r="FM540" s="274"/>
      <c r="FN540" s="274"/>
      <c r="FO540" s="274"/>
      <c r="FP540" s="274"/>
      <c r="FQ540" s="274"/>
      <c r="FR540" s="274"/>
      <c r="FS540" s="274"/>
      <c r="FT540" s="274"/>
      <c r="FU540" s="274"/>
      <c r="FV540" s="274"/>
      <c r="FW540" s="274"/>
      <c r="FX540" s="274"/>
      <c r="FY540" s="274"/>
      <c r="FZ540" s="274"/>
      <c r="GA540" s="274"/>
      <c r="GB540" s="274"/>
      <c r="GC540" s="274"/>
      <c r="GD540" s="274"/>
      <c r="GE540" s="274"/>
      <c r="GF540" s="274"/>
      <c r="GG540" s="274"/>
      <c r="GH540" s="274"/>
      <c r="GI540" s="274"/>
      <c r="GJ540" s="274"/>
      <c r="GK540" s="274"/>
      <c r="GL540" s="274"/>
      <c r="GM540" s="274"/>
      <c r="GN540" s="274"/>
      <c r="GO540" s="274"/>
      <c r="GP540" s="274"/>
      <c r="GQ540" s="274"/>
      <c r="GR540" s="274"/>
      <c r="GS540" s="274"/>
      <c r="GT540" s="274"/>
      <c r="GU540" s="274"/>
      <c r="GV540" s="274"/>
      <c r="GW540" s="274"/>
      <c r="GX540" s="274"/>
      <c r="GY540" s="274"/>
      <c r="GZ540" s="274"/>
      <c r="HA540" s="274"/>
      <c r="HB540" s="274"/>
      <c r="HC540" s="274"/>
      <c r="HD540" s="274"/>
      <c r="HE540" s="274"/>
      <c r="HF540" s="274"/>
      <c r="HG540" s="274"/>
      <c r="HH540" s="274"/>
      <c r="HI540" s="274"/>
      <c r="HJ540" s="274"/>
      <c r="HK540" s="274"/>
      <c r="HL540" s="274"/>
      <c r="HM540" s="274"/>
      <c r="HN540" s="274"/>
      <c r="HO540" s="274"/>
      <c r="HP540" s="274"/>
      <c r="HQ540" s="274"/>
      <c r="HR540" s="274"/>
      <c r="HS540" s="274"/>
      <c r="HT540" s="274"/>
      <c r="HU540" s="274"/>
      <c r="HV540" s="274"/>
      <c r="HW540" s="274"/>
      <c r="HX540" s="274"/>
      <c r="HY540" s="274"/>
      <c r="HZ540" s="274"/>
      <c r="IA540" s="274"/>
      <c r="IB540" s="274"/>
      <c r="IC540" s="274"/>
      <c r="ID540" s="274"/>
      <c r="IE540" s="274"/>
      <c r="IF540" s="274"/>
      <c r="IG540" s="274"/>
      <c r="IH540" s="274"/>
      <c r="II540" s="274"/>
      <c r="IJ540" s="274"/>
      <c r="IK540" s="274"/>
      <c r="IL540" s="274"/>
      <c r="IM540" s="274"/>
      <c r="IN540" s="274"/>
      <c r="IO540" s="274"/>
      <c r="IP540" s="274"/>
      <c r="IQ540" s="274"/>
      <c r="IR540" s="274"/>
      <c r="IS540" s="274"/>
      <c r="IT540" s="274"/>
      <c r="IU540" s="274"/>
      <c r="IV540" s="274"/>
      <c r="IW540" s="274"/>
      <c r="IX540" s="274"/>
      <c r="IY540" s="274"/>
      <c r="IZ540" s="274"/>
      <c r="JA540" s="274"/>
      <c r="JB540" s="274"/>
      <c r="JC540" s="274"/>
      <c r="JD540" s="274"/>
      <c r="JE540" s="274"/>
      <c r="JF540" s="274"/>
      <c r="JG540" s="274"/>
      <c r="JH540" s="274"/>
      <c r="JI540" s="274"/>
      <c r="JJ540" s="274"/>
      <c r="JK540" s="274"/>
      <c r="JL540" s="274"/>
      <c r="JM540" s="274"/>
      <c r="JN540" s="274"/>
      <c r="JO540" s="274"/>
      <c r="JP540" s="274"/>
      <c r="JQ540" s="274"/>
      <c r="JR540" s="274"/>
      <c r="JS540" s="274"/>
      <c r="JT540" s="274"/>
      <c r="JU540" s="274"/>
      <c r="JV540" s="274"/>
      <c r="JW540" s="274"/>
      <c r="JX540" s="274"/>
      <c r="JY540" s="274"/>
      <c r="JZ540" s="274"/>
      <c r="KA540" s="274"/>
      <c r="KB540" s="274"/>
      <c r="KC540" s="274"/>
      <c r="KD540" s="274"/>
      <c r="KE540" s="274"/>
      <c r="KF540" s="274"/>
      <c r="KG540" s="274"/>
      <c r="KH540" s="274"/>
      <c r="KI540" s="274"/>
      <c r="KJ540" s="274"/>
      <c r="KK540" s="274"/>
      <c r="KL540" s="274"/>
      <c r="KM540" s="274"/>
      <c r="KN540" s="274"/>
      <c r="KO540" s="274"/>
      <c r="KP540" s="274"/>
      <c r="KQ540" s="274"/>
      <c r="KR540" s="274"/>
      <c r="KS540" s="274"/>
      <c r="KT540" s="274"/>
      <c r="KU540" s="274"/>
      <c r="KV540" s="274"/>
      <c r="KW540" s="274"/>
      <c r="KX540" s="274"/>
      <c r="KY540" s="274"/>
      <c r="KZ540" s="274"/>
      <c r="LA540" s="274"/>
      <c r="LB540" s="274"/>
      <c r="LC540" s="274"/>
      <c r="LD540" s="274"/>
      <c r="LE540" s="274"/>
      <c r="LF540" s="274"/>
      <c r="LG540" s="274"/>
      <c r="LH540" s="274"/>
      <c r="LI540" s="274"/>
      <c r="LJ540" s="274"/>
      <c r="LK540" s="274"/>
      <c r="LL540" s="274"/>
      <c r="LM540" s="274"/>
      <c r="LN540" s="274"/>
      <c r="LO540" s="274"/>
      <c r="LP540" s="274"/>
      <c r="LQ540" s="274"/>
      <c r="LR540" s="274"/>
      <c r="LS540" s="274"/>
      <c r="LT540" s="274"/>
      <c r="LU540" s="274"/>
      <c r="LV540" s="274"/>
      <c r="LW540" s="274"/>
      <c r="LX540" s="274"/>
      <c r="LY540" s="274"/>
      <c r="LZ540" s="274"/>
      <c r="MA540" s="274"/>
      <c r="MB540" s="274"/>
      <c r="MC540" s="274"/>
      <c r="MD540" s="274"/>
      <c r="ME540" s="274"/>
      <c r="MF540" s="274"/>
      <c r="MG540" s="274"/>
      <c r="MH540" s="274"/>
      <c r="MI540" s="274"/>
      <c r="MJ540" s="274"/>
      <c r="MK540" s="274"/>
      <c r="ML540" s="274"/>
      <c r="MM540" s="274"/>
      <c r="MN540" s="274"/>
      <c r="MO540" s="274"/>
      <c r="MP540" s="274"/>
      <c r="MQ540" s="274"/>
      <c r="MR540" s="274"/>
      <c r="MS540" s="274"/>
      <c r="MT540" s="274"/>
      <c r="MU540" s="274"/>
      <c r="MV540" s="274"/>
      <c r="MW540" s="274"/>
      <c r="MX540" s="274"/>
      <c r="MY540" s="274"/>
      <c r="MZ540" s="274"/>
      <c r="NA540" s="274"/>
      <c r="NB540" s="274"/>
      <c r="NC540" s="274"/>
      <c r="ND540" s="274"/>
      <c r="NE540" s="274"/>
      <c r="NF540" s="274"/>
      <c r="NG540" s="274"/>
      <c r="NH540" s="274"/>
      <c r="NI540" s="274"/>
      <c r="NJ540" s="274"/>
      <c r="NK540" s="274"/>
      <c r="NL540" s="274"/>
      <c r="NM540" s="274"/>
      <c r="NN540" s="274"/>
      <c r="NO540" s="274"/>
      <c r="NP540" s="274"/>
      <c r="NQ540" s="274"/>
      <c r="NR540" s="274"/>
      <c r="NS540" s="274"/>
      <c r="NT540" s="274"/>
      <c r="NU540" s="274"/>
      <c r="NV540" s="274"/>
      <c r="NW540" s="274"/>
      <c r="NX540" s="274"/>
      <c r="NY540" s="274"/>
      <c r="NZ540" s="274"/>
      <c r="OA540" s="274"/>
      <c r="OB540" s="274"/>
      <c r="OC540" s="274"/>
      <c r="OD540" s="274"/>
      <c r="OE540" s="274"/>
      <c r="OF540" s="274"/>
      <c r="OG540" s="274"/>
      <c r="OH540" s="274"/>
      <c r="OI540" s="274"/>
      <c r="OJ540" s="274"/>
      <c r="OK540" s="274"/>
      <c r="OL540" s="274"/>
      <c r="OM540" s="274"/>
      <c r="ON540" s="274"/>
      <c r="OO540" s="274"/>
      <c r="OP540" s="274"/>
      <c r="OQ540" s="274"/>
      <c r="OR540" s="274"/>
      <c r="OS540" s="274"/>
      <c r="OT540" s="274"/>
      <c r="OU540" s="274"/>
      <c r="OV540" s="274"/>
      <c r="OW540" s="274"/>
      <c r="OX540" s="274"/>
      <c r="OY540" s="274"/>
      <c r="OZ540" s="274"/>
      <c r="PA540" s="274"/>
      <c r="PB540" s="274"/>
      <c r="PC540" s="274"/>
      <c r="PD540" s="274"/>
      <c r="PE540" s="274"/>
      <c r="PF540" s="274"/>
      <c r="PG540" s="274"/>
      <c r="PH540" s="274"/>
      <c r="PI540" s="274"/>
      <c r="PJ540" s="274"/>
      <c r="PK540" s="274"/>
      <c r="PL540" s="274"/>
      <c r="PM540" s="274"/>
      <c r="PN540" s="274"/>
      <c r="PO540" s="274"/>
      <c r="PP540" s="274"/>
      <c r="PQ540" s="274"/>
      <c r="PR540" s="274"/>
      <c r="PS540" s="274"/>
      <c r="PT540" s="274"/>
      <c r="PU540" s="274"/>
      <c r="PV540" s="274"/>
      <c r="PW540" s="274"/>
      <c r="PX540" s="274"/>
      <c r="PY540" s="274"/>
      <c r="PZ540" s="274"/>
      <c r="QA540" s="274"/>
      <c r="QB540" s="274"/>
      <c r="QC540" s="274"/>
      <c r="QD540" s="274"/>
      <c r="QE540" s="274"/>
      <c r="QF540" s="274"/>
      <c r="QG540" s="274"/>
      <c r="QH540" s="274"/>
      <c r="QI540" s="274"/>
      <c r="QJ540" s="274"/>
      <c r="QK540" s="274"/>
      <c r="QL540" s="274"/>
      <c r="QM540" s="274"/>
      <c r="QN540" s="274"/>
      <c r="QO540" s="274"/>
      <c r="QP540" s="274"/>
      <c r="QQ540" s="274"/>
      <c r="QR540" s="274"/>
      <c r="QS540" s="274"/>
      <c r="QT540" s="274"/>
      <c r="QU540" s="274"/>
      <c r="QV540" s="274"/>
      <c r="QW540" s="274"/>
      <c r="QX540" s="274"/>
      <c r="QY540" s="274"/>
      <c r="QZ540" s="274"/>
      <c r="RA540" s="274"/>
      <c r="RB540" s="274"/>
      <c r="RC540" s="274"/>
    </row>
    <row r="541" spans="112:471">
      <c r="DH541" s="274"/>
      <c r="DI541" s="274"/>
      <c r="DJ541" s="274"/>
      <c r="DK541" s="274"/>
      <c r="DL541" s="274"/>
      <c r="DM541" s="274"/>
      <c r="DN541" s="274"/>
      <c r="DO541" s="274"/>
      <c r="DP541" s="274"/>
      <c r="DQ541" s="274"/>
      <c r="DR541" s="274"/>
      <c r="DS541" s="274"/>
      <c r="DT541" s="274"/>
      <c r="DU541" s="274"/>
      <c r="DV541" s="274"/>
      <c r="DW541" s="274"/>
      <c r="DX541" s="274"/>
      <c r="DY541" s="274"/>
      <c r="DZ541" s="274"/>
      <c r="EA541" s="274"/>
      <c r="EB541" s="274"/>
      <c r="EC541" s="274"/>
      <c r="ED541" s="274"/>
      <c r="EE541" s="274"/>
      <c r="EF541" s="274"/>
      <c r="EG541" s="274"/>
      <c r="EH541" s="274"/>
      <c r="EI541" s="274"/>
      <c r="EJ541" s="274"/>
      <c r="EK541" s="274"/>
      <c r="EL541" s="274"/>
      <c r="EM541" s="274"/>
      <c r="EN541" s="274"/>
      <c r="EO541" s="274"/>
      <c r="EP541" s="274"/>
      <c r="EQ541" s="274"/>
      <c r="ER541" s="274"/>
      <c r="ES541" s="274"/>
      <c r="ET541" s="274"/>
      <c r="EU541" s="274"/>
      <c r="EV541" s="274"/>
      <c r="EW541" s="274"/>
      <c r="EX541" s="274"/>
      <c r="EY541" s="274"/>
      <c r="EZ541" s="274"/>
      <c r="FA541" s="274"/>
      <c r="FB541" s="274"/>
      <c r="FC541" s="274"/>
      <c r="FD541" s="274"/>
      <c r="FE541" s="274"/>
      <c r="FF541" s="274"/>
      <c r="FG541" s="274"/>
      <c r="FH541" s="274"/>
      <c r="FI541" s="274"/>
      <c r="FJ541" s="274"/>
      <c r="FK541" s="274"/>
      <c r="FL541" s="274"/>
      <c r="FM541" s="274"/>
      <c r="FN541" s="274"/>
      <c r="FO541" s="274"/>
      <c r="FP541" s="274"/>
      <c r="FQ541" s="274"/>
      <c r="FR541" s="274"/>
      <c r="FS541" s="274"/>
      <c r="FT541" s="274"/>
      <c r="FU541" s="274"/>
      <c r="FV541" s="274"/>
      <c r="FW541" s="274"/>
      <c r="FX541" s="274"/>
      <c r="FY541" s="274"/>
      <c r="FZ541" s="274"/>
      <c r="GA541" s="274"/>
      <c r="GB541" s="274"/>
      <c r="GC541" s="274"/>
      <c r="GD541" s="274"/>
      <c r="GE541" s="274"/>
      <c r="GF541" s="274"/>
      <c r="GG541" s="274"/>
      <c r="GH541" s="274"/>
      <c r="GI541" s="274"/>
      <c r="GJ541" s="274"/>
      <c r="GK541" s="274"/>
      <c r="GL541" s="274"/>
      <c r="GM541" s="274"/>
      <c r="GN541" s="274"/>
      <c r="GO541" s="274"/>
      <c r="GP541" s="274"/>
      <c r="GQ541" s="274"/>
      <c r="GR541" s="274"/>
      <c r="GS541" s="274"/>
      <c r="GT541" s="274"/>
      <c r="GU541" s="274"/>
      <c r="GV541" s="274"/>
      <c r="GW541" s="274"/>
      <c r="GX541" s="274"/>
      <c r="GY541" s="274"/>
      <c r="GZ541" s="274"/>
      <c r="HA541" s="274"/>
      <c r="HB541" s="274"/>
      <c r="HC541" s="274"/>
      <c r="HD541" s="274"/>
      <c r="HE541" s="274"/>
      <c r="HF541" s="274"/>
      <c r="HG541" s="274"/>
      <c r="HH541" s="274"/>
      <c r="HI541" s="274"/>
      <c r="HJ541" s="274"/>
      <c r="HK541" s="274"/>
      <c r="HL541" s="274"/>
      <c r="HM541" s="274"/>
      <c r="HN541" s="274"/>
      <c r="HO541" s="274"/>
      <c r="HP541" s="274"/>
      <c r="HQ541" s="274"/>
      <c r="HR541" s="274"/>
      <c r="HS541" s="274"/>
      <c r="HT541" s="274"/>
      <c r="HU541" s="274"/>
      <c r="HV541" s="274"/>
      <c r="HW541" s="274"/>
      <c r="HX541" s="274"/>
      <c r="HY541" s="274"/>
      <c r="HZ541" s="274"/>
      <c r="IA541" s="274"/>
      <c r="IB541" s="274"/>
      <c r="IC541" s="274"/>
      <c r="ID541" s="274"/>
      <c r="IE541" s="274"/>
      <c r="IF541" s="274"/>
      <c r="IG541" s="274"/>
      <c r="IH541" s="274"/>
      <c r="II541" s="274"/>
      <c r="IJ541" s="274"/>
      <c r="IK541" s="274"/>
      <c r="IL541" s="274"/>
      <c r="IM541" s="274"/>
      <c r="IN541" s="274"/>
      <c r="IO541" s="274"/>
      <c r="IP541" s="274"/>
      <c r="IQ541" s="274"/>
      <c r="IR541" s="274"/>
      <c r="IS541" s="274"/>
      <c r="IT541" s="274"/>
      <c r="IU541" s="274"/>
      <c r="IV541" s="274"/>
      <c r="IW541" s="274"/>
      <c r="IX541" s="274"/>
      <c r="IY541" s="274"/>
      <c r="IZ541" s="274"/>
      <c r="JA541" s="274"/>
      <c r="JB541" s="274"/>
      <c r="JC541" s="274"/>
      <c r="JD541" s="274"/>
      <c r="JE541" s="274"/>
      <c r="JF541" s="274"/>
      <c r="JG541" s="274"/>
      <c r="JH541" s="274"/>
      <c r="JI541" s="274"/>
      <c r="JJ541" s="274"/>
      <c r="JK541" s="274"/>
      <c r="JL541" s="274"/>
      <c r="JM541" s="274"/>
      <c r="JN541" s="274"/>
      <c r="JO541" s="274"/>
      <c r="JP541" s="274"/>
      <c r="JQ541" s="274"/>
      <c r="JR541" s="274"/>
      <c r="JS541" s="274"/>
      <c r="JT541" s="274"/>
      <c r="JU541" s="274"/>
      <c r="JV541" s="274"/>
      <c r="JW541" s="274"/>
      <c r="JX541" s="274"/>
      <c r="JY541" s="274"/>
      <c r="JZ541" s="274"/>
      <c r="KA541" s="274"/>
      <c r="KB541" s="274"/>
      <c r="KC541" s="274"/>
      <c r="KD541" s="274"/>
      <c r="KE541" s="274"/>
      <c r="KF541" s="274"/>
      <c r="KG541" s="274"/>
      <c r="KH541" s="274"/>
      <c r="KI541" s="274"/>
      <c r="KJ541" s="274"/>
      <c r="KK541" s="274"/>
      <c r="KL541" s="274"/>
      <c r="KM541" s="274"/>
      <c r="KN541" s="274"/>
      <c r="KO541" s="274"/>
      <c r="KP541" s="274"/>
      <c r="KQ541" s="274"/>
      <c r="KR541" s="274"/>
      <c r="KS541" s="274"/>
      <c r="KT541" s="274"/>
      <c r="KU541" s="274"/>
      <c r="KV541" s="274"/>
      <c r="KW541" s="274"/>
      <c r="KX541" s="274"/>
      <c r="KY541" s="274"/>
      <c r="KZ541" s="274"/>
      <c r="LA541" s="274"/>
      <c r="LB541" s="274"/>
      <c r="LC541" s="274"/>
      <c r="LD541" s="274"/>
      <c r="LE541" s="274"/>
      <c r="LF541" s="274"/>
      <c r="LG541" s="274"/>
      <c r="LH541" s="274"/>
      <c r="LI541" s="274"/>
      <c r="LJ541" s="274"/>
      <c r="LK541" s="274"/>
      <c r="LL541" s="274"/>
      <c r="LM541" s="274"/>
      <c r="LN541" s="274"/>
      <c r="LO541" s="274"/>
      <c r="LP541" s="274"/>
      <c r="LQ541" s="274"/>
      <c r="LR541" s="274"/>
      <c r="LS541" s="274"/>
      <c r="LT541" s="274"/>
      <c r="LU541" s="274"/>
      <c r="LV541" s="274"/>
      <c r="LW541" s="274"/>
      <c r="LX541" s="274"/>
      <c r="LY541" s="274"/>
      <c r="LZ541" s="274"/>
      <c r="MA541" s="274"/>
      <c r="MB541" s="274"/>
      <c r="MC541" s="274"/>
      <c r="MD541" s="274"/>
      <c r="ME541" s="274"/>
      <c r="MF541" s="274"/>
      <c r="MG541" s="274"/>
      <c r="MH541" s="274"/>
      <c r="MI541" s="274"/>
      <c r="MJ541" s="274"/>
      <c r="MK541" s="274"/>
      <c r="ML541" s="274"/>
      <c r="MM541" s="274"/>
      <c r="MN541" s="274"/>
      <c r="MO541" s="274"/>
      <c r="MP541" s="274"/>
      <c r="MQ541" s="274"/>
      <c r="MR541" s="274"/>
      <c r="MS541" s="274"/>
      <c r="MT541" s="274"/>
      <c r="MU541" s="274"/>
      <c r="MV541" s="274"/>
      <c r="MW541" s="274"/>
      <c r="MX541" s="274"/>
      <c r="MY541" s="274"/>
      <c r="MZ541" s="274"/>
      <c r="NA541" s="274"/>
      <c r="NB541" s="274"/>
      <c r="NC541" s="274"/>
      <c r="ND541" s="274"/>
      <c r="NE541" s="274"/>
      <c r="NF541" s="274"/>
      <c r="NG541" s="274"/>
      <c r="NH541" s="274"/>
      <c r="NI541" s="274"/>
      <c r="NJ541" s="274"/>
      <c r="NK541" s="274"/>
      <c r="NL541" s="274"/>
      <c r="NM541" s="274"/>
      <c r="NN541" s="274"/>
      <c r="NO541" s="274"/>
      <c r="NP541" s="274"/>
      <c r="NQ541" s="274"/>
      <c r="NR541" s="274"/>
      <c r="NS541" s="274"/>
      <c r="NT541" s="274"/>
      <c r="NU541" s="274"/>
      <c r="NV541" s="274"/>
      <c r="NW541" s="274"/>
      <c r="NX541" s="274"/>
      <c r="NY541" s="274"/>
      <c r="NZ541" s="274"/>
      <c r="OA541" s="274"/>
      <c r="OB541" s="274"/>
      <c r="OC541" s="274"/>
      <c r="OD541" s="274"/>
      <c r="OE541" s="274"/>
      <c r="OF541" s="274"/>
      <c r="OG541" s="274"/>
      <c r="OH541" s="274"/>
      <c r="OI541" s="274"/>
      <c r="OJ541" s="274"/>
      <c r="OK541" s="274"/>
      <c r="OL541" s="274"/>
      <c r="OM541" s="274"/>
      <c r="ON541" s="274"/>
      <c r="OO541" s="274"/>
      <c r="OP541" s="274"/>
      <c r="OQ541" s="274"/>
      <c r="OR541" s="274"/>
      <c r="OS541" s="274"/>
      <c r="OT541" s="274"/>
      <c r="OU541" s="274"/>
      <c r="OV541" s="274"/>
      <c r="OW541" s="274"/>
      <c r="OX541" s="274"/>
      <c r="OY541" s="274"/>
      <c r="OZ541" s="274"/>
      <c r="PA541" s="274"/>
      <c r="PB541" s="274"/>
      <c r="PC541" s="274"/>
      <c r="PD541" s="274"/>
      <c r="PE541" s="274"/>
      <c r="PF541" s="274"/>
      <c r="PG541" s="274"/>
      <c r="PH541" s="274"/>
      <c r="PI541" s="274"/>
      <c r="PJ541" s="274"/>
      <c r="PK541" s="274"/>
      <c r="PL541" s="274"/>
      <c r="PM541" s="274"/>
      <c r="PN541" s="274"/>
      <c r="PO541" s="274"/>
      <c r="PP541" s="274"/>
      <c r="PQ541" s="274"/>
      <c r="PR541" s="274"/>
      <c r="PS541" s="274"/>
      <c r="PT541" s="274"/>
      <c r="PU541" s="274"/>
      <c r="PV541" s="274"/>
      <c r="PW541" s="274"/>
      <c r="PX541" s="274"/>
      <c r="PY541" s="274"/>
      <c r="PZ541" s="274"/>
      <c r="QA541" s="274"/>
      <c r="QB541" s="274"/>
      <c r="QC541" s="274"/>
      <c r="QD541" s="274"/>
      <c r="QE541" s="274"/>
      <c r="QF541" s="274"/>
      <c r="QG541" s="274"/>
      <c r="QH541" s="274"/>
      <c r="QI541" s="274"/>
      <c r="QJ541" s="274"/>
      <c r="QK541" s="274"/>
      <c r="QL541" s="274"/>
      <c r="QM541" s="274"/>
      <c r="QN541" s="274"/>
      <c r="QO541" s="274"/>
      <c r="QP541" s="274"/>
      <c r="QQ541" s="274"/>
      <c r="QR541" s="274"/>
      <c r="QS541" s="274"/>
      <c r="QT541" s="274"/>
      <c r="QU541" s="274"/>
      <c r="QV541" s="274"/>
      <c r="QW541" s="274"/>
      <c r="QX541" s="274"/>
      <c r="QY541" s="274"/>
      <c r="QZ541" s="274"/>
      <c r="RA541" s="274"/>
      <c r="RB541" s="274"/>
      <c r="RC541" s="274"/>
    </row>
    <row r="542" spans="112:471">
      <c r="DH542" s="274"/>
      <c r="DI542" s="274"/>
      <c r="DJ542" s="274"/>
      <c r="DK542" s="274"/>
      <c r="DL542" s="274"/>
      <c r="DM542" s="274"/>
      <c r="DN542" s="274"/>
      <c r="DO542" s="274"/>
      <c r="DP542" s="274"/>
      <c r="DQ542" s="274"/>
      <c r="DR542" s="274"/>
      <c r="DS542" s="274"/>
      <c r="DT542" s="274"/>
      <c r="DU542" s="274"/>
      <c r="DV542" s="274"/>
      <c r="DW542" s="274"/>
      <c r="DX542" s="274"/>
      <c r="DY542" s="274"/>
      <c r="DZ542" s="274"/>
      <c r="EA542" s="274"/>
      <c r="EB542" s="274"/>
      <c r="EC542" s="274"/>
      <c r="ED542" s="274"/>
      <c r="EE542" s="274"/>
      <c r="EF542" s="274"/>
      <c r="EG542" s="274"/>
      <c r="EH542" s="274"/>
      <c r="EI542" s="274"/>
      <c r="EJ542" s="274"/>
      <c r="EK542" s="274"/>
      <c r="EL542" s="274"/>
      <c r="EM542" s="274"/>
      <c r="EN542" s="274"/>
      <c r="EO542" s="274"/>
      <c r="EP542" s="274"/>
      <c r="EQ542" s="274"/>
      <c r="ER542" s="274"/>
      <c r="ES542" s="274"/>
      <c r="ET542" s="274"/>
      <c r="EU542" s="274"/>
      <c r="EV542" s="274"/>
      <c r="EW542" s="274"/>
      <c r="EX542" s="274"/>
      <c r="EY542" s="274"/>
      <c r="EZ542" s="274"/>
      <c r="FA542" s="274"/>
      <c r="FB542" s="274"/>
      <c r="FC542" s="274"/>
      <c r="FD542" s="274"/>
      <c r="FE542" s="274"/>
      <c r="FF542" s="274"/>
      <c r="FG542" s="274"/>
      <c r="FH542" s="274"/>
      <c r="FI542" s="274"/>
      <c r="FJ542" s="274"/>
      <c r="FK542" s="274"/>
      <c r="FL542" s="274"/>
      <c r="FM542" s="274"/>
      <c r="FN542" s="274"/>
      <c r="FO542" s="274"/>
      <c r="FP542" s="274"/>
      <c r="FQ542" s="274"/>
      <c r="FR542" s="274"/>
      <c r="FS542" s="274"/>
      <c r="FT542" s="274"/>
      <c r="FU542" s="274"/>
      <c r="FV542" s="274"/>
      <c r="FW542" s="274"/>
      <c r="FX542" s="274"/>
      <c r="FY542" s="274"/>
      <c r="FZ542" s="274"/>
      <c r="GA542" s="274"/>
      <c r="GB542" s="274"/>
      <c r="GC542" s="274"/>
      <c r="GD542" s="274"/>
      <c r="GE542" s="274"/>
      <c r="GF542" s="274"/>
      <c r="GG542" s="274"/>
      <c r="GH542" s="274"/>
      <c r="GI542" s="274"/>
      <c r="GJ542" s="274"/>
      <c r="GK542" s="274"/>
      <c r="GL542" s="274"/>
      <c r="GM542" s="274"/>
      <c r="GN542" s="274"/>
      <c r="GO542" s="274"/>
      <c r="GP542" s="274"/>
      <c r="GQ542" s="274"/>
      <c r="GR542" s="274"/>
      <c r="GS542" s="274"/>
      <c r="GT542" s="274"/>
      <c r="GU542" s="274"/>
      <c r="GV542" s="274"/>
      <c r="GW542" s="274"/>
      <c r="GX542" s="274"/>
      <c r="GY542" s="274"/>
      <c r="GZ542" s="274"/>
      <c r="HA542" s="274"/>
      <c r="HB542" s="274"/>
      <c r="HC542" s="274"/>
      <c r="HD542" s="274"/>
      <c r="HE542" s="274"/>
      <c r="HF542" s="274"/>
      <c r="HG542" s="274"/>
      <c r="HH542" s="274"/>
      <c r="HI542" s="274"/>
      <c r="HJ542" s="274"/>
      <c r="HK542" s="274"/>
      <c r="HL542" s="274"/>
      <c r="HM542" s="274"/>
      <c r="HN542" s="274"/>
      <c r="HO542" s="274"/>
      <c r="HP542" s="274"/>
      <c r="HQ542" s="274"/>
      <c r="HR542" s="274"/>
      <c r="HS542" s="274"/>
      <c r="HT542" s="274"/>
      <c r="HU542" s="274"/>
      <c r="HV542" s="274"/>
      <c r="HW542" s="274"/>
      <c r="HX542" s="274"/>
      <c r="HY542" s="274"/>
      <c r="HZ542" s="274"/>
      <c r="IA542" s="274"/>
      <c r="IB542" s="274"/>
      <c r="IC542" s="274"/>
      <c r="ID542" s="274"/>
      <c r="IE542" s="274"/>
      <c r="IF542" s="274"/>
      <c r="IG542" s="274"/>
      <c r="IH542" s="274"/>
      <c r="II542" s="274"/>
      <c r="IJ542" s="274"/>
      <c r="IK542" s="274"/>
      <c r="IL542" s="274"/>
      <c r="IM542" s="274"/>
      <c r="IN542" s="274"/>
      <c r="IO542" s="274"/>
      <c r="IP542" s="274"/>
      <c r="IQ542" s="274"/>
      <c r="IR542" s="274"/>
      <c r="IS542" s="274"/>
      <c r="IT542" s="274"/>
      <c r="IU542" s="274"/>
      <c r="IV542" s="274"/>
      <c r="IW542" s="274"/>
      <c r="IX542" s="274"/>
      <c r="IY542" s="274"/>
      <c r="IZ542" s="274"/>
      <c r="JA542" s="274"/>
      <c r="JB542" s="274"/>
      <c r="JC542" s="274"/>
      <c r="JD542" s="274"/>
      <c r="JE542" s="274"/>
      <c r="JF542" s="274"/>
      <c r="JG542" s="274"/>
      <c r="JH542" s="274"/>
      <c r="JI542" s="274"/>
      <c r="JJ542" s="274"/>
      <c r="JK542" s="274"/>
      <c r="JL542" s="274"/>
      <c r="JM542" s="274"/>
      <c r="JN542" s="274"/>
      <c r="JO542" s="274"/>
      <c r="JP542" s="274"/>
      <c r="JQ542" s="274"/>
      <c r="JR542" s="274"/>
      <c r="JS542" s="274"/>
      <c r="JT542" s="274"/>
      <c r="JU542" s="274"/>
      <c r="JV542" s="274"/>
      <c r="JW542" s="274"/>
      <c r="JX542" s="274"/>
      <c r="JY542" s="274"/>
      <c r="JZ542" s="274"/>
      <c r="KA542" s="274"/>
      <c r="KB542" s="274"/>
      <c r="KC542" s="274"/>
      <c r="KD542" s="274"/>
      <c r="KE542" s="274"/>
      <c r="KF542" s="274"/>
      <c r="KG542" s="274"/>
      <c r="KH542" s="274"/>
      <c r="KI542" s="274"/>
      <c r="KJ542" s="274"/>
      <c r="KK542" s="274"/>
      <c r="KL542" s="274"/>
      <c r="KM542" s="274"/>
      <c r="KN542" s="274"/>
      <c r="KO542" s="274"/>
      <c r="KP542" s="274"/>
      <c r="KQ542" s="274"/>
      <c r="KR542" s="274"/>
      <c r="KS542" s="274"/>
      <c r="KT542" s="274"/>
      <c r="KU542" s="274"/>
      <c r="KV542" s="274"/>
      <c r="KW542" s="274"/>
      <c r="KX542" s="274"/>
      <c r="KY542" s="274"/>
      <c r="KZ542" s="274"/>
      <c r="LA542" s="274"/>
      <c r="LB542" s="274"/>
      <c r="LC542" s="274"/>
      <c r="LD542" s="274"/>
      <c r="LE542" s="274"/>
      <c r="LF542" s="274"/>
      <c r="LG542" s="274"/>
      <c r="LH542" s="274"/>
      <c r="LI542" s="274"/>
      <c r="LJ542" s="274"/>
      <c r="LK542" s="274"/>
      <c r="LL542" s="274"/>
      <c r="LM542" s="274"/>
      <c r="LN542" s="274"/>
      <c r="LO542" s="274"/>
      <c r="LP542" s="274"/>
      <c r="LQ542" s="274"/>
      <c r="LR542" s="274"/>
      <c r="LS542" s="274"/>
      <c r="LT542" s="274"/>
      <c r="LU542" s="274"/>
      <c r="LV542" s="274"/>
      <c r="LW542" s="274"/>
      <c r="LX542" s="274"/>
      <c r="LY542" s="274"/>
      <c r="LZ542" s="274"/>
      <c r="MA542" s="274"/>
      <c r="MB542" s="274"/>
      <c r="MC542" s="274"/>
      <c r="MD542" s="274"/>
      <c r="ME542" s="274"/>
      <c r="MF542" s="274"/>
      <c r="MG542" s="274"/>
      <c r="MH542" s="274"/>
      <c r="MI542" s="274"/>
      <c r="MJ542" s="274"/>
      <c r="MK542" s="274"/>
      <c r="ML542" s="274"/>
      <c r="MM542" s="274"/>
      <c r="MN542" s="274"/>
      <c r="MO542" s="274"/>
      <c r="MP542" s="274"/>
      <c r="MQ542" s="274"/>
      <c r="MR542" s="274"/>
      <c r="MS542" s="274"/>
      <c r="MT542" s="274"/>
      <c r="MU542" s="274"/>
      <c r="MV542" s="274"/>
      <c r="MW542" s="274"/>
      <c r="MX542" s="274"/>
      <c r="MY542" s="274"/>
      <c r="MZ542" s="274"/>
      <c r="NA542" s="274"/>
      <c r="NB542" s="274"/>
      <c r="NC542" s="274"/>
      <c r="ND542" s="274"/>
      <c r="NE542" s="274"/>
      <c r="NF542" s="274"/>
      <c r="NG542" s="274"/>
      <c r="NH542" s="274"/>
      <c r="NI542" s="274"/>
      <c r="NJ542" s="274"/>
      <c r="NK542" s="274"/>
      <c r="NL542" s="274"/>
      <c r="NM542" s="274"/>
      <c r="NN542" s="274"/>
      <c r="NO542" s="274"/>
      <c r="NP542" s="274"/>
      <c r="NQ542" s="274"/>
      <c r="NR542" s="274"/>
      <c r="NS542" s="274"/>
      <c r="NT542" s="274"/>
      <c r="NU542" s="274"/>
      <c r="NV542" s="274"/>
      <c r="NW542" s="274"/>
      <c r="NX542" s="274"/>
      <c r="NY542" s="274"/>
      <c r="NZ542" s="274"/>
      <c r="OA542" s="274"/>
      <c r="OB542" s="274"/>
      <c r="OC542" s="274"/>
      <c r="OD542" s="274"/>
      <c r="OE542" s="274"/>
      <c r="OF542" s="274"/>
      <c r="OG542" s="274"/>
      <c r="OH542" s="274"/>
      <c r="OI542" s="274"/>
      <c r="OJ542" s="274"/>
      <c r="OK542" s="274"/>
      <c r="OL542" s="274"/>
      <c r="OM542" s="274"/>
      <c r="ON542" s="274"/>
      <c r="OO542" s="274"/>
      <c r="OP542" s="274"/>
      <c r="OQ542" s="274"/>
      <c r="OR542" s="274"/>
      <c r="OS542" s="274"/>
      <c r="OT542" s="274"/>
      <c r="OU542" s="274"/>
      <c r="OV542" s="274"/>
      <c r="OW542" s="274"/>
      <c r="OX542" s="274"/>
      <c r="OY542" s="274"/>
      <c r="OZ542" s="274"/>
      <c r="PA542" s="274"/>
      <c r="PB542" s="274"/>
      <c r="PC542" s="274"/>
      <c r="PD542" s="274"/>
      <c r="PE542" s="274"/>
      <c r="PF542" s="274"/>
      <c r="PG542" s="274"/>
      <c r="PH542" s="274"/>
      <c r="PI542" s="274"/>
      <c r="PJ542" s="274"/>
      <c r="PK542" s="274"/>
      <c r="PL542" s="274"/>
      <c r="PM542" s="274"/>
      <c r="PN542" s="274"/>
      <c r="PO542" s="274"/>
      <c r="PP542" s="274"/>
      <c r="PQ542" s="274"/>
      <c r="PR542" s="274"/>
      <c r="PS542" s="274"/>
      <c r="PT542" s="274"/>
      <c r="PU542" s="274"/>
      <c r="PV542" s="274"/>
      <c r="PW542" s="274"/>
      <c r="PX542" s="274"/>
      <c r="PY542" s="274"/>
      <c r="PZ542" s="274"/>
      <c r="QA542" s="274"/>
      <c r="QB542" s="274"/>
      <c r="QC542" s="274"/>
      <c r="QD542" s="274"/>
      <c r="QE542" s="274"/>
      <c r="QF542" s="274"/>
      <c r="QG542" s="274"/>
      <c r="QH542" s="274"/>
      <c r="QI542" s="274"/>
      <c r="QJ542" s="274"/>
      <c r="QK542" s="274"/>
      <c r="QL542" s="274"/>
      <c r="QM542" s="274"/>
      <c r="QN542" s="274"/>
      <c r="QO542" s="274"/>
      <c r="QP542" s="274"/>
      <c r="QQ542" s="274"/>
      <c r="QR542" s="274"/>
      <c r="QS542" s="274"/>
      <c r="QT542" s="274"/>
      <c r="QU542" s="274"/>
      <c r="QV542" s="274"/>
      <c r="QW542" s="274"/>
      <c r="QX542" s="274"/>
      <c r="QY542" s="274"/>
      <c r="QZ542" s="274"/>
      <c r="RA542" s="274"/>
      <c r="RB542" s="274"/>
      <c r="RC542" s="274"/>
    </row>
    <row r="543" spans="112:471">
      <c r="DH543" s="274"/>
      <c r="DI543" s="274"/>
      <c r="DJ543" s="274"/>
      <c r="DK543" s="274"/>
      <c r="DL543" s="274"/>
      <c r="DM543" s="274"/>
      <c r="DN543" s="274"/>
      <c r="DO543" s="274"/>
      <c r="DP543" s="274"/>
      <c r="DQ543" s="274"/>
      <c r="DR543" s="274"/>
      <c r="DS543" s="274"/>
      <c r="DT543" s="274"/>
      <c r="DU543" s="274"/>
      <c r="DV543" s="274"/>
      <c r="DW543" s="274"/>
      <c r="DX543" s="274"/>
      <c r="DY543" s="274"/>
      <c r="DZ543" s="274"/>
      <c r="EA543" s="274"/>
      <c r="EB543" s="274"/>
      <c r="EC543" s="274"/>
      <c r="ED543" s="274"/>
      <c r="EE543" s="274"/>
      <c r="EF543" s="274"/>
      <c r="EG543" s="274"/>
      <c r="EH543" s="274"/>
      <c r="EI543" s="274"/>
      <c r="EJ543" s="274"/>
      <c r="EK543" s="274"/>
      <c r="EL543" s="274"/>
      <c r="EM543" s="274"/>
      <c r="EN543" s="274"/>
      <c r="EO543" s="274"/>
      <c r="EP543" s="274"/>
      <c r="EQ543" s="274"/>
      <c r="ER543" s="274"/>
      <c r="ES543" s="274"/>
      <c r="ET543" s="274"/>
      <c r="EU543" s="274"/>
      <c r="EV543" s="274"/>
      <c r="EW543" s="274"/>
      <c r="EX543" s="274"/>
      <c r="EY543" s="274"/>
      <c r="EZ543" s="274"/>
      <c r="FA543" s="274"/>
      <c r="FB543" s="274"/>
      <c r="FC543" s="274"/>
      <c r="FD543" s="274"/>
      <c r="FE543" s="274"/>
      <c r="FF543" s="274"/>
      <c r="FG543" s="274"/>
      <c r="FH543" s="274"/>
      <c r="FI543" s="274"/>
      <c r="FJ543" s="274"/>
      <c r="FK543" s="274"/>
      <c r="FL543" s="274"/>
      <c r="FM543" s="274"/>
      <c r="FN543" s="274"/>
      <c r="FO543" s="274"/>
      <c r="FP543" s="274"/>
      <c r="FQ543" s="274"/>
      <c r="FR543" s="274"/>
      <c r="FS543" s="274"/>
      <c r="FT543" s="274"/>
      <c r="FU543" s="274"/>
      <c r="FV543" s="274"/>
      <c r="FW543" s="274"/>
      <c r="FX543" s="274"/>
      <c r="FY543" s="274"/>
      <c r="FZ543" s="274"/>
      <c r="GA543" s="274"/>
      <c r="GB543" s="274"/>
      <c r="GC543" s="274"/>
      <c r="GD543" s="274"/>
      <c r="GE543" s="274"/>
      <c r="GF543" s="274"/>
      <c r="GG543" s="274"/>
      <c r="GH543" s="274"/>
      <c r="GI543" s="274"/>
      <c r="GJ543" s="274"/>
      <c r="GK543" s="274"/>
      <c r="GL543" s="274"/>
      <c r="GM543" s="274"/>
      <c r="GN543" s="274"/>
      <c r="GO543" s="274"/>
      <c r="GP543" s="274"/>
      <c r="GQ543" s="274"/>
      <c r="GR543" s="274"/>
      <c r="GS543" s="274"/>
      <c r="GT543" s="274"/>
      <c r="GU543" s="274"/>
      <c r="GV543" s="274"/>
      <c r="GW543" s="274"/>
      <c r="GX543" s="274"/>
      <c r="GY543" s="274"/>
      <c r="GZ543" s="274"/>
      <c r="HA543" s="274"/>
      <c r="HB543" s="274"/>
      <c r="HC543" s="274"/>
      <c r="HD543" s="274"/>
      <c r="HE543" s="274"/>
      <c r="HF543" s="274"/>
      <c r="HG543" s="274"/>
      <c r="HH543" s="274"/>
      <c r="HI543" s="274"/>
      <c r="HJ543" s="274"/>
      <c r="HK543" s="274"/>
      <c r="HL543" s="274"/>
      <c r="HM543" s="274"/>
      <c r="HN543" s="274"/>
      <c r="HO543" s="274"/>
      <c r="HP543" s="274"/>
      <c r="HQ543" s="274"/>
      <c r="HR543" s="274"/>
      <c r="HS543" s="274"/>
      <c r="HT543" s="274"/>
      <c r="HU543" s="274"/>
      <c r="HV543" s="274"/>
      <c r="HW543" s="274"/>
      <c r="HX543" s="274"/>
      <c r="HY543" s="274"/>
      <c r="HZ543" s="274"/>
      <c r="IA543" s="274"/>
      <c r="IB543" s="274"/>
      <c r="IC543" s="274"/>
      <c r="ID543" s="274"/>
      <c r="IE543" s="274"/>
      <c r="IF543" s="274"/>
      <c r="IG543" s="274"/>
      <c r="IH543" s="274"/>
      <c r="II543" s="274"/>
      <c r="IJ543" s="274"/>
      <c r="IK543" s="274"/>
      <c r="IL543" s="274"/>
      <c r="IM543" s="274"/>
      <c r="IN543" s="274"/>
      <c r="IO543" s="274"/>
      <c r="IP543" s="274"/>
      <c r="IQ543" s="274"/>
      <c r="IR543" s="274"/>
      <c r="IS543" s="274"/>
      <c r="IT543" s="274"/>
      <c r="IU543" s="274"/>
      <c r="IV543" s="274"/>
      <c r="IW543" s="274"/>
      <c r="IX543" s="274"/>
      <c r="IY543" s="274"/>
      <c r="IZ543" s="274"/>
      <c r="JA543" s="274"/>
      <c r="JB543" s="274"/>
      <c r="JC543" s="274"/>
      <c r="JD543" s="274"/>
      <c r="JE543" s="274"/>
      <c r="JF543" s="274"/>
      <c r="JG543" s="274"/>
      <c r="JH543" s="274"/>
      <c r="JI543" s="274"/>
      <c r="JJ543" s="274"/>
      <c r="JK543" s="274"/>
      <c r="JL543" s="274"/>
      <c r="JM543" s="274"/>
      <c r="JN543" s="274"/>
      <c r="JO543" s="274"/>
      <c r="JP543" s="274"/>
      <c r="JQ543" s="274"/>
      <c r="JR543" s="274"/>
      <c r="JS543" s="274"/>
      <c r="JT543" s="274"/>
      <c r="JU543" s="274"/>
      <c r="JV543" s="274"/>
      <c r="JW543" s="274"/>
      <c r="JX543" s="274"/>
      <c r="JY543" s="274"/>
      <c r="JZ543" s="274"/>
      <c r="KA543" s="274"/>
      <c r="KB543" s="274"/>
      <c r="KC543" s="274"/>
      <c r="KD543" s="274"/>
      <c r="KE543" s="274"/>
      <c r="KF543" s="274"/>
      <c r="KG543" s="274"/>
      <c r="KH543" s="274"/>
      <c r="KI543" s="274"/>
      <c r="KJ543" s="274"/>
      <c r="KK543" s="274"/>
      <c r="KL543" s="274"/>
      <c r="KM543" s="274"/>
      <c r="KN543" s="274"/>
      <c r="KO543" s="274"/>
      <c r="KP543" s="274"/>
      <c r="KQ543" s="274"/>
      <c r="KR543" s="274"/>
      <c r="KS543" s="274"/>
      <c r="KT543" s="274"/>
      <c r="KU543" s="274"/>
      <c r="KV543" s="274"/>
      <c r="KW543" s="274"/>
      <c r="KX543" s="274"/>
      <c r="KY543" s="274"/>
      <c r="KZ543" s="274"/>
      <c r="LA543" s="274"/>
      <c r="LB543" s="274"/>
      <c r="LC543" s="274"/>
      <c r="LD543" s="274"/>
      <c r="LE543" s="274"/>
      <c r="LF543" s="274"/>
      <c r="LG543" s="274"/>
      <c r="LH543" s="274"/>
      <c r="LI543" s="274"/>
      <c r="LJ543" s="274"/>
      <c r="LK543" s="274"/>
      <c r="LL543" s="274"/>
      <c r="LM543" s="274"/>
      <c r="LN543" s="274"/>
      <c r="LO543" s="274"/>
      <c r="LP543" s="274"/>
      <c r="LQ543" s="274"/>
      <c r="LR543" s="274"/>
      <c r="LS543" s="274"/>
      <c r="LT543" s="274"/>
      <c r="LU543" s="274"/>
      <c r="LV543" s="274"/>
      <c r="LW543" s="274"/>
      <c r="LX543" s="274"/>
      <c r="LY543" s="274"/>
      <c r="LZ543" s="274"/>
      <c r="MA543" s="274"/>
      <c r="MB543" s="274"/>
      <c r="MC543" s="274"/>
      <c r="MD543" s="274"/>
      <c r="ME543" s="274"/>
      <c r="MF543" s="274"/>
      <c r="MG543" s="274"/>
      <c r="MH543" s="274"/>
      <c r="MI543" s="274"/>
      <c r="MJ543" s="274"/>
      <c r="MK543" s="274"/>
      <c r="ML543" s="274"/>
      <c r="MM543" s="274"/>
      <c r="MN543" s="274"/>
      <c r="MO543" s="274"/>
      <c r="MP543" s="274"/>
      <c r="MQ543" s="274"/>
      <c r="MR543" s="274"/>
      <c r="MS543" s="274"/>
      <c r="MT543" s="274"/>
      <c r="MU543" s="274"/>
      <c r="MV543" s="274"/>
      <c r="MW543" s="274"/>
      <c r="MX543" s="274"/>
      <c r="MY543" s="274"/>
      <c r="MZ543" s="274"/>
      <c r="NA543" s="274"/>
      <c r="NB543" s="274"/>
      <c r="NC543" s="274"/>
      <c r="ND543" s="274"/>
      <c r="NE543" s="274"/>
      <c r="NF543" s="274"/>
      <c r="NG543" s="274"/>
      <c r="NH543" s="274"/>
      <c r="NI543" s="274"/>
      <c r="NJ543" s="274"/>
      <c r="NK543" s="274"/>
      <c r="NL543" s="274"/>
      <c r="NM543" s="274"/>
      <c r="NN543" s="274"/>
      <c r="NO543" s="274"/>
      <c r="NP543" s="274"/>
      <c r="NQ543" s="274"/>
      <c r="NR543" s="274"/>
      <c r="NS543" s="274"/>
      <c r="NT543" s="274"/>
      <c r="NU543" s="274"/>
      <c r="NV543" s="274"/>
      <c r="NW543" s="274"/>
      <c r="NX543" s="274"/>
      <c r="NY543" s="274"/>
      <c r="NZ543" s="274"/>
      <c r="OA543" s="274"/>
      <c r="OB543" s="274"/>
      <c r="OC543" s="274"/>
      <c r="OD543" s="274"/>
      <c r="OE543" s="274"/>
      <c r="OF543" s="274"/>
      <c r="OG543" s="274"/>
      <c r="OH543" s="274"/>
      <c r="OI543" s="274"/>
      <c r="OJ543" s="274"/>
      <c r="OK543" s="274"/>
      <c r="OL543" s="274"/>
      <c r="OM543" s="274"/>
      <c r="ON543" s="274"/>
      <c r="OO543" s="274"/>
      <c r="OP543" s="274"/>
      <c r="OQ543" s="274"/>
      <c r="OR543" s="274"/>
      <c r="OS543" s="274"/>
      <c r="OT543" s="274"/>
      <c r="OU543" s="274"/>
      <c r="OV543" s="274"/>
      <c r="OW543" s="274"/>
      <c r="OX543" s="274"/>
      <c r="OY543" s="274"/>
      <c r="OZ543" s="274"/>
      <c r="PA543" s="274"/>
      <c r="PB543" s="274"/>
      <c r="PC543" s="274"/>
      <c r="PD543" s="274"/>
      <c r="PE543" s="274"/>
      <c r="PF543" s="274"/>
      <c r="PG543" s="274"/>
      <c r="PH543" s="274"/>
      <c r="PI543" s="274"/>
      <c r="PJ543" s="274"/>
      <c r="PK543" s="274"/>
      <c r="PL543" s="274"/>
      <c r="PM543" s="274"/>
      <c r="PN543" s="274"/>
      <c r="PO543" s="274"/>
      <c r="PP543" s="274"/>
      <c r="PQ543" s="274"/>
      <c r="PR543" s="274"/>
      <c r="PS543" s="274"/>
      <c r="PT543" s="274"/>
      <c r="PU543" s="274"/>
      <c r="PV543" s="274"/>
      <c r="PW543" s="274"/>
      <c r="PX543" s="274"/>
      <c r="PY543" s="274"/>
      <c r="PZ543" s="274"/>
      <c r="QA543" s="274"/>
      <c r="QB543" s="274"/>
      <c r="QC543" s="274"/>
      <c r="QD543" s="274"/>
      <c r="QE543" s="274"/>
      <c r="QF543" s="274"/>
      <c r="QG543" s="274"/>
      <c r="QH543" s="274"/>
      <c r="QI543" s="274"/>
      <c r="QJ543" s="274"/>
      <c r="QK543" s="274"/>
      <c r="QL543" s="274"/>
      <c r="QM543" s="274"/>
      <c r="QN543" s="274"/>
      <c r="QO543" s="274"/>
      <c r="QP543" s="274"/>
      <c r="QQ543" s="274"/>
      <c r="QR543" s="274"/>
      <c r="QS543" s="274"/>
      <c r="QT543" s="274"/>
      <c r="QU543" s="274"/>
      <c r="QV543" s="274"/>
      <c r="QW543" s="274"/>
      <c r="QX543" s="274"/>
      <c r="QY543" s="274"/>
      <c r="QZ543" s="274"/>
      <c r="RA543" s="274"/>
      <c r="RB543" s="274"/>
      <c r="RC543" s="274"/>
    </row>
    <row r="544" spans="112:471">
      <c r="DH544" s="274"/>
      <c r="DI544" s="274"/>
      <c r="DJ544" s="274"/>
      <c r="DK544" s="274"/>
      <c r="DL544" s="274"/>
      <c r="DM544" s="274"/>
      <c r="DN544" s="274"/>
      <c r="DO544" s="274"/>
      <c r="DP544" s="274"/>
      <c r="DQ544" s="274"/>
      <c r="DR544" s="274"/>
      <c r="DS544" s="274"/>
      <c r="DT544" s="274"/>
      <c r="DU544" s="274"/>
      <c r="DV544" s="274"/>
      <c r="DW544" s="274"/>
      <c r="DX544" s="274"/>
      <c r="DY544" s="274"/>
      <c r="DZ544" s="274"/>
      <c r="EA544" s="274"/>
      <c r="EB544" s="274"/>
      <c r="EC544" s="274"/>
      <c r="ED544" s="274"/>
      <c r="EE544" s="274"/>
      <c r="EF544" s="274"/>
      <c r="EG544" s="274"/>
      <c r="EH544" s="274"/>
      <c r="EI544" s="274"/>
      <c r="EJ544" s="274"/>
      <c r="EK544" s="274"/>
      <c r="EL544" s="274"/>
      <c r="EM544" s="274"/>
      <c r="EN544" s="274"/>
      <c r="EO544" s="274"/>
      <c r="EP544" s="274"/>
      <c r="EQ544" s="274"/>
      <c r="ER544" s="274"/>
      <c r="ES544" s="274"/>
      <c r="ET544" s="274"/>
      <c r="EU544" s="274"/>
      <c r="EV544" s="274"/>
      <c r="EW544" s="274"/>
      <c r="EX544" s="274"/>
      <c r="EY544" s="274"/>
      <c r="EZ544" s="274"/>
      <c r="FA544" s="274"/>
      <c r="FB544" s="274"/>
      <c r="FC544" s="274"/>
      <c r="FD544" s="274"/>
      <c r="FE544" s="274"/>
      <c r="FF544" s="274"/>
      <c r="FG544" s="274"/>
      <c r="FH544" s="274"/>
      <c r="FI544" s="274"/>
      <c r="FJ544" s="274"/>
      <c r="FK544" s="274"/>
      <c r="FL544" s="274"/>
      <c r="FM544" s="274"/>
      <c r="FN544" s="274"/>
      <c r="FO544" s="274"/>
      <c r="FP544" s="274"/>
      <c r="FQ544" s="274"/>
      <c r="FR544" s="274"/>
      <c r="FS544" s="274"/>
      <c r="FT544" s="274"/>
      <c r="FU544" s="274"/>
      <c r="FV544" s="274"/>
      <c r="FW544" s="274"/>
      <c r="FX544" s="274"/>
      <c r="FY544" s="274"/>
      <c r="FZ544" s="274"/>
      <c r="GA544" s="274"/>
      <c r="GB544" s="274"/>
      <c r="GC544" s="274"/>
      <c r="GD544" s="274"/>
      <c r="GE544" s="274"/>
      <c r="GF544" s="274"/>
      <c r="GG544" s="274"/>
      <c r="GH544" s="274"/>
      <c r="GI544" s="274"/>
      <c r="GJ544" s="274"/>
      <c r="GK544" s="274"/>
      <c r="GL544" s="274"/>
      <c r="GM544" s="274"/>
      <c r="GN544" s="274"/>
      <c r="GO544" s="274"/>
      <c r="GP544" s="274"/>
      <c r="GQ544" s="274"/>
      <c r="GR544" s="274"/>
      <c r="GS544" s="274"/>
      <c r="GT544" s="274"/>
      <c r="GU544" s="274"/>
      <c r="GV544" s="274"/>
      <c r="GW544" s="274"/>
      <c r="GX544" s="274"/>
      <c r="GY544" s="274"/>
      <c r="GZ544" s="274"/>
      <c r="HA544" s="274"/>
      <c r="HB544" s="274"/>
      <c r="HC544" s="274"/>
      <c r="HD544" s="274"/>
      <c r="HE544" s="274"/>
      <c r="HF544" s="274"/>
      <c r="HG544" s="274"/>
      <c r="HH544" s="274"/>
      <c r="HI544" s="274"/>
      <c r="HJ544" s="274"/>
      <c r="HK544" s="274"/>
      <c r="HL544" s="274"/>
      <c r="HM544" s="274"/>
      <c r="HN544" s="274"/>
      <c r="HO544" s="274"/>
      <c r="HP544" s="274"/>
      <c r="HQ544" s="274"/>
      <c r="HR544" s="274"/>
      <c r="HS544" s="274"/>
      <c r="HT544" s="274"/>
      <c r="HU544" s="274"/>
      <c r="HV544" s="274"/>
      <c r="HW544" s="274"/>
      <c r="HX544" s="274"/>
      <c r="HY544" s="274"/>
      <c r="HZ544" s="274"/>
      <c r="IA544" s="274"/>
      <c r="IB544" s="274"/>
      <c r="IC544" s="274"/>
      <c r="ID544" s="274"/>
      <c r="IE544" s="274"/>
      <c r="IF544" s="274"/>
      <c r="IG544" s="274"/>
      <c r="IH544" s="274"/>
      <c r="II544" s="274"/>
      <c r="IJ544" s="274"/>
      <c r="IK544" s="274"/>
      <c r="IL544" s="274"/>
      <c r="IM544" s="274"/>
      <c r="IN544" s="274"/>
      <c r="IO544" s="274"/>
      <c r="IP544" s="274"/>
      <c r="IQ544" s="274"/>
      <c r="IR544" s="274"/>
      <c r="IS544" s="274"/>
      <c r="IT544" s="274"/>
      <c r="IU544" s="274"/>
      <c r="IV544" s="274"/>
      <c r="IW544" s="274"/>
      <c r="IX544" s="274"/>
      <c r="IY544" s="274"/>
      <c r="IZ544" s="274"/>
      <c r="JA544" s="274"/>
      <c r="JB544" s="274"/>
      <c r="JC544" s="274"/>
      <c r="JD544" s="274"/>
      <c r="JE544" s="274"/>
      <c r="JF544" s="274"/>
      <c r="JG544" s="274"/>
      <c r="JH544" s="274"/>
      <c r="JI544" s="274"/>
      <c r="JJ544" s="274"/>
      <c r="JK544" s="274"/>
      <c r="JL544" s="274"/>
      <c r="JM544" s="274"/>
      <c r="JN544" s="274"/>
      <c r="JO544" s="274"/>
      <c r="JP544" s="274"/>
      <c r="JQ544" s="274"/>
      <c r="JR544" s="274"/>
      <c r="JS544" s="274"/>
      <c r="JT544" s="274"/>
      <c r="JU544" s="274"/>
      <c r="JV544" s="274"/>
      <c r="JW544" s="274"/>
      <c r="JX544" s="274"/>
      <c r="JY544" s="274"/>
      <c r="JZ544" s="274"/>
      <c r="KA544" s="274"/>
      <c r="KB544" s="274"/>
      <c r="KC544" s="274"/>
      <c r="KD544" s="274"/>
      <c r="KE544" s="274"/>
      <c r="KF544" s="274"/>
      <c r="KG544" s="274"/>
      <c r="KH544" s="274"/>
      <c r="KI544" s="274"/>
      <c r="KJ544" s="274"/>
      <c r="KK544" s="274"/>
      <c r="KL544" s="274"/>
      <c r="KM544" s="274"/>
      <c r="KN544" s="274"/>
      <c r="KO544" s="274"/>
      <c r="KP544" s="274"/>
      <c r="KQ544" s="274"/>
      <c r="KR544" s="274"/>
      <c r="KS544" s="274"/>
      <c r="KT544" s="274"/>
      <c r="KU544" s="274"/>
      <c r="KV544" s="274"/>
      <c r="KW544" s="274"/>
      <c r="KX544" s="274"/>
      <c r="KY544" s="274"/>
      <c r="KZ544" s="274"/>
      <c r="LA544" s="274"/>
      <c r="LB544" s="274"/>
      <c r="LC544" s="274"/>
      <c r="LD544" s="274"/>
      <c r="LE544" s="274"/>
      <c r="LF544" s="274"/>
      <c r="LG544" s="274"/>
      <c r="LH544" s="274"/>
      <c r="LI544" s="274"/>
      <c r="LJ544" s="274"/>
      <c r="LK544" s="274"/>
      <c r="LL544" s="274"/>
      <c r="LM544" s="274"/>
      <c r="LN544" s="274"/>
      <c r="LO544" s="274"/>
      <c r="LP544" s="274"/>
      <c r="LQ544" s="274"/>
      <c r="LR544" s="274"/>
      <c r="LS544" s="274"/>
      <c r="LT544" s="274"/>
      <c r="LU544" s="274"/>
      <c r="LV544" s="274"/>
      <c r="LW544" s="274"/>
      <c r="LX544" s="274"/>
      <c r="LY544" s="274"/>
      <c r="LZ544" s="274"/>
      <c r="MA544" s="274"/>
      <c r="MB544" s="274"/>
      <c r="MC544" s="274"/>
      <c r="MD544" s="274"/>
      <c r="ME544" s="274"/>
      <c r="MF544" s="274"/>
      <c r="MG544" s="274"/>
      <c r="MH544" s="274"/>
      <c r="MI544" s="274"/>
      <c r="MJ544" s="274"/>
      <c r="MK544" s="274"/>
      <c r="ML544" s="274"/>
      <c r="MM544" s="274"/>
      <c r="MN544" s="274"/>
      <c r="MO544" s="274"/>
      <c r="MP544" s="274"/>
      <c r="MQ544" s="274"/>
      <c r="MR544" s="274"/>
      <c r="MS544" s="274"/>
      <c r="MT544" s="274"/>
      <c r="MU544" s="274"/>
      <c r="MV544" s="274"/>
      <c r="MW544" s="274"/>
      <c r="MX544" s="274"/>
      <c r="MY544" s="274"/>
      <c r="MZ544" s="274"/>
      <c r="NA544" s="274"/>
      <c r="NB544" s="274"/>
      <c r="NC544" s="274"/>
      <c r="ND544" s="274"/>
      <c r="NE544" s="274"/>
      <c r="NF544" s="274"/>
      <c r="NG544" s="274"/>
      <c r="NH544" s="274"/>
      <c r="NI544" s="274"/>
      <c r="NJ544" s="274"/>
      <c r="NK544" s="274"/>
      <c r="NL544" s="274"/>
      <c r="NM544" s="274"/>
      <c r="NN544" s="274"/>
      <c r="NO544" s="274"/>
      <c r="NP544" s="274"/>
      <c r="NQ544" s="274"/>
      <c r="NR544" s="274"/>
      <c r="NS544" s="274"/>
      <c r="NT544" s="274"/>
      <c r="NU544" s="274"/>
      <c r="NV544" s="274"/>
      <c r="NW544" s="274"/>
      <c r="NX544" s="274"/>
      <c r="NY544" s="274"/>
      <c r="NZ544" s="274"/>
      <c r="OA544" s="274"/>
      <c r="OB544" s="274"/>
      <c r="OC544" s="274"/>
      <c r="OD544" s="274"/>
      <c r="OE544" s="274"/>
      <c r="OF544" s="274"/>
      <c r="OG544" s="274"/>
      <c r="OH544" s="274"/>
      <c r="OI544" s="274"/>
      <c r="OJ544" s="274"/>
      <c r="OK544" s="274"/>
      <c r="OL544" s="274"/>
      <c r="OM544" s="274"/>
      <c r="ON544" s="274"/>
      <c r="OO544" s="274"/>
      <c r="OP544" s="274"/>
      <c r="OQ544" s="274"/>
      <c r="OR544" s="274"/>
      <c r="OS544" s="274"/>
      <c r="OT544" s="274"/>
      <c r="OU544" s="274"/>
      <c r="OV544" s="274"/>
      <c r="OW544" s="274"/>
      <c r="OX544" s="274"/>
      <c r="OY544" s="274"/>
      <c r="OZ544" s="274"/>
      <c r="PA544" s="274"/>
      <c r="PB544" s="274"/>
      <c r="PC544" s="274"/>
      <c r="PD544" s="274"/>
      <c r="PE544" s="274"/>
      <c r="PF544" s="274"/>
      <c r="PG544" s="274"/>
      <c r="PH544" s="274"/>
      <c r="PI544" s="274"/>
      <c r="PJ544" s="274"/>
      <c r="PK544" s="274"/>
      <c r="PL544" s="274"/>
      <c r="PM544" s="274"/>
      <c r="PN544" s="274"/>
      <c r="PO544" s="274"/>
      <c r="PP544" s="274"/>
      <c r="PQ544" s="274"/>
      <c r="PR544" s="274"/>
      <c r="PS544" s="274"/>
      <c r="PT544" s="274"/>
      <c r="PU544" s="274"/>
      <c r="PV544" s="274"/>
      <c r="PW544" s="274"/>
      <c r="PX544" s="274"/>
      <c r="PY544" s="274"/>
      <c r="PZ544" s="274"/>
      <c r="QA544" s="274"/>
      <c r="QB544" s="274"/>
      <c r="QC544" s="274"/>
      <c r="QD544" s="274"/>
      <c r="QE544" s="274"/>
      <c r="QF544" s="274"/>
      <c r="QG544" s="274"/>
      <c r="QH544" s="274"/>
      <c r="QI544" s="274"/>
      <c r="QJ544" s="274"/>
      <c r="QK544" s="274"/>
      <c r="QL544" s="274"/>
      <c r="QM544" s="274"/>
      <c r="QN544" s="274"/>
      <c r="QO544" s="274"/>
      <c r="QP544" s="274"/>
      <c r="QQ544" s="274"/>
      <c r="QR544" s="274"/>
      <c r="QS544" s="274"/>
      <c r="QT544" s="274"/>
      <c r="QU544" s="274"/>
      <c r="QV544" s="274"/>
      <c r="QW544" s="274"/>
      <c r="QX544" s="274"/>
      <c r="QY544" s="274"/>
      <c r="QZ544" s="274"/>
      <c r="RA544" s="274"/>
      <c r="RB544" s="274"/>
      <c r="RC544" s="274"/>
    </row>
    <row r="545" spans="112:471">
      <c r="DH545" s="274"/>
      <c r="DI545" s="274"/>
      <c r="DJ545" s="274"/>
      <c r="DK545" s="274"/>
      <c r="DL545" s="274"/>
      <c r="DM545" s="274"/>
      <c r="DN545" s="274"/>
      <c r="DO545" s="274"/>
      <c r="DP545" s="274"/>
      <c r="DQ545" s="274"/>
      <c r="DR545" s="274"/>
      <c r="DS545" s="274"/>
      <c r="DT545" s="274"/>
      <c r="DU545" s="274"/>
      <c r="DV545" s="274"/>
      <c r="DW545" s="274"/>
      <c r="DX545" s="274"/>
      <c r="DY545" s="274"/>
      <c r="DZ545" s="274"/>
      <c r="EA545" s="274"/>
      <c r="EB545" s="274"/>
      <c r="EC545" s="274"/>
      <c r="ED545" s="274"/>
      <c r="EE545" s="274"/>
      <c r="EF545" s="274"/>
      <c r="EG545" s="274"/>
      <c r="EH545" s="274"/>
      <c r="EI545" s="274"/>
      <c r="EJ545" s="274"/>
      <c r="EK545" s="274"/>
      <c r="EL545" s="274"/>
      <c r="EM545" s="274"/>
      <c r="EN545" s="274"/>
      <c r="EO545" s="274"/>
      <c r="EP545" s="274"/>
      <c r="EQ545" s="274"/>
      <c r="ER545" s="274"/>
      <c r="ES545" s="274"/>
      <c r="ET545" s="274"/>
      <c r="EU545" s="274"/>
      <c r="EV545" s="274"/>
      <c r="EW545" s="274"/>
      <c r="EX545" s="274"/>
      <c r="EY545" s="274"/>
      <c r="EZ545" s="274"/>
      <c r="FA545" s="274"/>
      <c r="FB545" s="274"/>
      <c r="FC545" s="274"/>
      <c r="FD545" s="274"/>
      <c r="FE545" s="274"/>
      <c r="FF545" s="274"/>
      <c r="FG545" s="274"/>
      <c r="FH545" s="274"/>
      <c r="FI545" s="274"/>
      <c r="FJ545" s="274"/>
      <c r="FK545" s="274"/>
      <c r="FL545" s="274"/>
      <c r="FM545" s="274"/>
      <c r="FN545" s="274"/>
      <c r="FO545" s="274"/>
      <c r="FP545" s="274"/>
      <c r="FQ545" s="274"/>
      <c r="FR545" s="274"/>
      <c r="FS545" s="274"/>
      <c r="FT545" s="274"/>
      <c r="FU545" s="274"/>
      <c r="FV545" s="274"/>
      <c r="FW545" s="274"/>
      <c r="FX545" s="274"/>
      <c r="FY545" s="274"/>
      <c r="FZ545" s="274"/>
      <c r="GA545" s="274"/>
      <c r="GB545" s="274"/>
      <c r="GC545" s="274"/>
      <c r="GD545" s="274"/>
      <c r="GE545" s="274"/>
      <c r="GF545" s="274"/>
      <c r="GG545" s="274"/>
      <c r="GH545" s="274"/>
      <c r="GI545" s="274"/>
      <c r="GJ545" s="274"/>
      <c r="GK545" s="274"/>
      <c r="GL545" s="274"/>
      <c r="GM545" s="274"/>
      <c r="GN545" s="274"/>
      <c r="GO545" s="274"/>
      <c r="GP545" s="274"/>
      <c r="GQ545" s="274"/>
      <c r="GR545" s="274"/>
      <c r="GS545" s="274"/>
      <c r="GT545" s="274"/>
      <c r="GU545" s="274"/>
      <c r="GV545" s="274"/>
      <c r="GW545" s="274"/>
      <c r="GX545" s="274"/>
      <c r="GY545" s="274"/>
      <c r="GZ545" s="274"/>
      <c r="HA545" s="274"/>
      <c r="HB545" s="274"/>
      <c r="HC545" s="274"/>
      <c r="HD545" s="274"/>
      <c r="HE545" s="274"/>
      <c r="HF545" s="274"/>
      <c r="HG545" s="274"/>
      <c r="HH545" s="274"/>
      <c r="HI545" s="274"/>
      <c r="HJ545" s="274"/>
      <c r="HK545" s="274"/>
      <c r="HL545" s="274"/>
      <c r="HM545" s="274"/>
      <c r="HN545" s="274"/>
      <c r="HO545" s="274"/>
      <c r="HP545" s="274"/>
      <c r="HQ545" s="274"/>
      <c r="HR545" s="274"/>
      <c r="HS545" s="274"/>
      <c r="HT545" s="274"/>
      <c r="HU545" s="274"/>
      <c r="HV545" s="274"/>
      <c r="HW545" s="274"/>
      <c r="HX545" s="274"/>
      <c r="HY545" s="274"/>
      <c r="HZ545" s="274"/>
      <c r="IA545" s="274"/>
      <c r="IB545" s="274"/>
      <c r="IC545" s="274"/>
      <c r="ID545" s="274"/>
      <c r="IE545" s="274"/>
      <c r="IF545" s="274"/>
      <c r="IG545" s="274"/>
      <c r="IH545" s="274"/>
      <c r="II545" s="274"/>
      <c r="IJ545" s="274"/>
      <c r="IK545" s="274"/>
      <c r="IL545" s="274"/>
      <c r="IM545" s="274"/>
      <c r="IN545" s="274"/>
      <c r="IO545" s="274"/>
      <c r="IP545" s="274"/>
      <c r="IQ545" s="274"/>
      <c r="IR545" s="274"/>
      <c r="IS545" s="274"/>
      <c r="IT545" s="274"/>
      <c r="IU545" s="274"/>
      <c r="IV545" s="274"/>
      <c r="IW545" s="274"/>
      <c r="IX545" s="274"/>
      <c r="IY545" s="274"/>
      <c r="IZ545" s="274"/>
      <c r="JA545" s="274"/>
      <c r="JB545" s="274"/>
      <c r="JC545" s="274"/>
      <c r="JD545" s="274"/>
      <c r="JE545" s="274"/>
      <c r="JF545" s="274"/>
      <c r="JG545" s="274"/>
      <c r="JH545" s="274"/>
      <c r="JI545" s="274"/>
      <c r="JJ545" s="274"/>
      <c r="JK545" s="274"/>
      <c r="JL545" s="274"/>
      <c r="JM545" s="274"/>
      <c r="JN545" s="274"/>
      <c r="JO545" s="274"/>
      <c r="JP545" s="274"/>
      <c r="JQ545" s="274"/>
      <c r="JR545" s="274"/>
      <c r="JS545" s="274"/>
      <c r="JT545" s="274"/>
      <c r="JU545" s="274"/>
      <c r="JV545" s="274"/>
      <c r="JW545" s="274"/>
      <c r="JX545" s="274"/>
      <c r="JY545" s="274"/>
      <c r="JZ545" s="274"/>
      <c r="KA545" s="274"/>
      <c r="KB545" s="274"/>
      <c r="KC545" s="274"/>
      <c r="KD545" s="274"/>
      <c r="KE545" s="274"/>
      <c r="KF545" s="274"/>
      <c r="KG545" s="274"/>
      <c r="KH545" s="274"/>
      <c r="KI545" s="274"/>
      <c r="KJ545" s="274"/>
      <c r="KK545" s="274"/>
      <c r="KL545" s="274"/>
      <c r="KM545" s="274"/>
      <c r="KN545" s="274"/>
      <c r="KO545" s="274"/>
      <c r="KP545" s="274"/>
      <c r="KQ545" s="274"/>
      <c r="KR545" s="274"/>
      <c r="KS545" s="274"/>
      <c r="KT545" s="274"/>
      <c r="KU545" s="274"/>
      <c r="KV545" s="274"/>
      <c r="KW545" s="274"/>
      <c r="KX545" s="274"/>
      <c r="KY545" s="274"/>
      <c r="KZ545" s="274"/>
      <c r="LA545" s="274"/>
      <c r="LB545" s="274"/>
      <c r="LC545" s="274"/>
      <c r="LD545" s="274"/>
      <c r="LE545" s="274"/>
      <c r="LF545" s="274"/>
      <c r="LG545" s="274"/>
      <c r="LH545" s="274"/>
      <c r="LI545" s="274"/>
      <c r="LJ545" s="274"/>
      <c r="LK545" s="274"/>
      <c r="LL545" s="274"/>
      <c r="LM545" s="274"/>
      <c r="LN545" s="274"/>
      <c r="LO545" s="274"/>
      <c r="LP545" s="274"/>
      <c r="LQ545" s="274"/>
      <c r="LR545" s="274"/>
      <c r="LS545" s="274"/>
      <c r="LT545" s="274"/>
      <c r="LU545" s="274"/>
      <c r="LV545" s="274"/>
      <c r="LW545" s="274"/>
      <c r="LX545" s="274"/>
      <c r="LY545" s="274"/>
      <c r="LZ545" s="274"/>
      <c r="MA545" s="274"/>
      <c r="MB545" s="274"/>
      <c r="MC545" s="274"/>
      <c r="MD545" s="274"/>
      <c r="ME545" s="274"/>
      <c r="MF545" s="274"/>
      <c r="MG545" s="274"/>
      <c r="MH545" s="274"/>
      <c r="MI545" s="274"/>
      <c r="MJ545" s="274"/>
      <c r="MK545" s="274"/>
      <c r="ML545" s="274"/>
      <c r="MM545" s="274"/>
      <c r="MN545" s="274"/>
      <c r="MO545" s="274"/>
      <c r="MP545" s="274"/>
      <c r="MQ545" s="274"/>
      <c r="MR545" s="274"/>
      <c r="MS545" s="274"/>
      <c r="MT545" s="274"/>
      <c r="MU545" s="274"/>
      <c r="MV545" s="274"/>
      <c r="MW545" s="274"/>
      <c r="MX545" s="274"/>
      <c r="MY545" s="274"/>
      <c r="MZ545" s="274"/>
      <c r="NA545" s="274"/>
      <c r="NB545" s="274"/>
      <c r="NC545" s="274"/>
      <c r="ND545" s="274"/>
      <c r="NE545" s="274"/>
      <c r="NF545" s="274"/>
      <c r="NG545" s="274"/>
      <c r="NH545" s="274"/>
      <c r="NI545" s="274"/>
      <c r="NJ545" s="274"/>
      <c r="NK545" s="274"/>
      <c r="NL545" s="274"/>
      <c r="NM545" s="274"/>
      <c r="NN545" s="274"/>
      <c r="NO545" s="274"/>
      <c r="NP545" s="274"/>
      <c r="NQ545" s="274"/>
      <c r="NR545" s="274"/>
      <c r="NS545" s="274"/>
      <c r="NT545" s="274"/>
      <c r="NU545" s="274"/>
      <c r="NV545" s="274"/>
      <c r="NW545" s="274"/>
      <c r="NX545" s="274"/>
      <c r="NY545" s="274"/>
      <c r="NZ545" s="274"/>
      <c r="OA545" s="274"/>
      <c r="OB545" s="274"/>
      <c r="OC545" s="274"/>
      <c r="OD545" s="274"/>
      <c r="OE545" s="274"/>
      <c r="OF545" s="274"/>
      <c r="OG545" s="274"/>
      <c r="OH545" s="274"/>
      <c r="OI545" s="274"/>
      <c r="OJ545" s="274"/>
      <c r="OK545" s="274"/>
      <c r="OL545" s="274"/>
      <c r="OM545" s="274"/>
      <c r="ON545" s="274"/>
      <c r="OO545" s="274"/>
      <c r="OP545" s="274"/>
      <c r="OQ545" s="274"/>
      <c r="OR545" s="274"/>
      <c r="OS545" s="274"/>
      <c r="OT545" s="274"/>
      <c r="OU545" s="274"/>
      <c r="OV545" s="274"/>
      <c r="OW545" s="274"/>
      <c r="OX545" s="274"/>
      <c r="OY545" s="274"/>
      <c r="OZ545" s="274"/>
      <c r="PA545" s="274"/>
      <c r="PB545" s="274"/>
      <c r="PC545" s="274"/>
      <c r="PD545" s="274"/>
      <c r="PE545" s="274"/>
      <c r="PF545" s="274"/>
      <c r="PG545" s="274"/>
      <c r="PH545" s="274"/>
      <c r="PI545" s="274"/>
      <c r="PJ545" s="274"/>
      <c r="PK545" s="274"/>
      <c r="PL545" s="274"/>
      <c r="PM545" s="274"/>
      <c r="PN545" s="274"/>
      <c r="PO545" s="274"/>
      <c r="PP545" s="274"/>
      <c r="PQ545" s="274"/>
      <c r="PR545" s="274"/>
      <c r="PS545" s="274"/>
      <c r="PT545" s="274"/>
      <c r="PU545" s="274"/>
      <c r="PV545" s="274"/>
      <c r="PW545" s="274"/>
      <c r="PX545" s="274"/>
      <c r="PY545" s="274"/>
      <c r="PZ545" s="274"/>
      <c r="QA545" s="274"/>
      <c r="QB545" s="274"/>
      <c r="QC545" s="274"/>
      <c r="QD545" s="274"/>
      <c r="QE545" s="274"/>
      <c r="QF545" s="274"/>
      <c r="QG545" s="274"/>
      <c r="QH545" s="274"/>
      <c r="QI545" s="274"/>
      <c r="QJ545" s="274"/>
      <c r="QK545" s="274"/>
      <c r="QL545" s="274"/>
      <c r="QM545" s="274"/>
      <c r="QN545" s="274"/>
      <c r="QO545" s="274"/>
      <c r="QP545" s="274"/>
      <c r="QQ545" s="274"/>
      <c r="QR545" s="274"/>
      <c r="QS545" s="274"/>
      <c r="QT545" s="274"/>
      <c r="QU545" s="274"/>
      <c r="QV545" s="274"/>
      <c r="QW545" s="274"/>
      <c r="QX545" s="274"/>
      <c r="QY545" s="274"/>
      <c r="QZ545" s="274"/>
      <c r="RA545" s="274"/>
      <c r="RB545" s="274"/>
      <c r="RC545" s="274"/>
    </row>
    <row r="546" spans="112:471">
      <c r="DH546" s="274"/>
      <c r="DI546" s="274"/>
      <c r="DJ546" s="274"/>
      <c r="DK546" s="274"/>
      <c r="DL546" s="274"/>
      <c r="DM546" s="274"/>
      <c r="DN546" s="274"/>
      <c r="DO546" s="274"/>
      <c r="DP546" s="274"/>
      <c r="DQ546" s="274"/>
      <c r="DR546" s="274"/>
      <c r="DS546" s="274"/>
      <c r="DT546" s="274"/>
      <c r="DU546" s="274"/>
      <c r="DV546" s="274"/>
      <c r="DW546" s="274"/>
      <c r="DX546" s="274"/>
      <c r="DY546" s="274"/>
      <c r="DZ546" s="274"/>
      <c r="EA546" s="274"/>
      <c r="EB546" s="274"/>
      <c r="EC546" s="274"/>
      <c r="ED546" s="274"/>
      <c r="EE546" s="274"/>
      <c r="EF546" s="274"/>
      <c r="EG546" s="274"/>
      <c r="EH546" s="274"/>
      <c r="EI546" s="274"/>
      <c r="EJ546" s="274"/>
      <c r="EK546" s="274"/>
      <c r="EL546" s="274"/>
      <c r="EM546" s="274"/>
      <c r="EN546" s="274"/>
      <c r="EO546" s="274"/>
      <c r="EP546" s="274"/>
      <c r="EQ546" s="274"/>
      <c r="ER546" s="274"/>
      <c r="ES546" s="274"/>
      <c r="ET546" s="274"/>
      <c r="EU546" s="274"/>
      <c r="EV546" s="274"/>
      <c r="EW546" s="274"/>
      <c r="EX546" s="274"/>
      <c r="EY546" s="274"/>
      <c r="EZ546" s="274"/>
      <c r="FA546" s="274"/>
      <c r="FB546" s="274"/>
      <c r="FC546" s="274"/>
      <c r="FD546" s="274"/>
      <c r="FE546" s="274"/>
      <c r="FF546" s="274"/>
      <c r="FG546" s="274"/>
      <c r="FH546" s="274"/>
      <c r="FI546" s="274"/>
      <c r="FJ546" s="274"/>
      <c r="FK546" s="274"/>
      <c r="FL546" s="274"/>
      <c r="FM546" s="274"/>
      <c r="FN546" s="274"/>
      <c r="FO546" s="274"/>
      <c r="FP546" s="274"/>
      <c r="FQ546" s="274"/>
      <c r="FR546" s="274"/>
      <c r="FS546" s="274"/>
      <c r="FT546" s="274"/>
      <c r="FU546" s="274"/>
      <c r="FV546" s="274"/>
      <c r="FW546" s="274"/>
      <c r="FX546" s="274"/>
      <c r="FY546" s="274"/>
      <c r="FZ546" s="274"/>
      <c r="GA546" s="274"/>
      <c r="GB546" s="274"/>
      <c r="GC546" s="274"/>
      <c r="GD546" s="274"/>
      <c r="GE546" s="274"/>
      <c r="GF546" s="274"/>
      <c r="GG546" s="274"/>
      <c r="GH546" s="274"/>
      <c r="GI546" s="274"/>
      <c r="GJ546" s="274"/>
      <c r="GK546" s="274"/>
      <c r="GL546" s="274"/>
      <c r="GM546" s="274"/>
      <c r="GN546" s="274"/>
      <c r="GO546" s="274"/>
      <c r="GP546" s="274"/>
      <c r="GQ546" s="274"/>
      <c r="GR546" s="274"/>
      <c r="GS546" s="274"/>
      <c r="GT546" s="274"/>
      <c r="GU546" s="274"/>
      <c r="GV546" s="274"/>
      <c r="GW546" s="274"/>
      <c r="GX546" s="274"/>
      <c r="GY546" s="274"/>
      <c r="GZ546" s="274"/>
      <c r="HA546" s="274"/>
      <c r="HB546" s="274"/>
      <c r="HC546" s="274"/>
      <c r="HD546" s="274"/>
      <c r="HE546" s="274"/>
      <c r="HF546" s="274"/>
      <c r="HG546" s="274"/>
      <c r="HH546" s="274"/>
      <c r="HI546" s="274"/>
      <c r="HJ546" s="274"/>
      <c r="HK546" s="274"/>
      <c r="HL546" s="274"/>
      <c r="HM546" s="274"/>
      <c r="HN546" s="274"/>
      <c r="HO546" s="274"/>
      <c r="HP546" s="274"/>
      <c r="HQ546" s="274"/>
      <c r="HR546" s="274"/>
      <c r="HS546" s="274"/>
      <c r="HT546" s="274"/>
      <c r="HU546" s="274"/>
      <c r="HV546" s="274"/>
      <c r="HW546" s="274"/>
      <c r="HX546" s="274"/>
      <c r="HY546" s="274"/>
      <c r="HZ546" s="274"/>
      <c r="IA546" s="274"/>
      <c r="IB546" s="274"/>
      <c r="IC546" s="274"/>
      <c r="ID546" s="274"/>
      <c r="IE546" s="274"/>
      <c r="IF546" s="274"/>
      <c r="IG546" s="274"/>
      <c r="IH546" s="274"/>
      <c r="II546" s="274"/>
      <c r="IJ546" s="274"/>
      <c r="IK546" s="274"/>
      <c r="IL546" s="274"/>
      <c r="IM546" s="274"/>
      <c r="IN546" s="274"/>
      <c r="IO546" s="274"/>
      <c r="IP546" s="274"/>
      <c r="IQ546" s="274"/>
      <c r="IR546" s="274"/>
      <c r="IS546" s="274"/>
      <c r="IT546" s="274"/>
      <c r="IU546" s="274"/>
      <c r="IV546" s="274"/>
      <c r="IW546" s="274"/>
      <c r="IX546" s="274"/>
      <c r="IY546" s="274"/>
      <c r="IZ546" s="274"/>
      <c r="JA546" s="274"/>
      <c r="JB546" s="274"/>
      <c r="JC546" s="274"/>
      <c r="JD546" s="274"/>
      <c r="JE546" s="274"/>
      <c r="JF546" s="274"/>
      <c r="JG546" s="274"/>
      <c r="JH546" s="274"/>
      <c r="JI546" s="274"/>
      <c r="JJ546" s="274"/>
      <c r="JK546" s="274"/>
      <c r="JL546" s="274"/>
      <c r="JM546" s="274"/>
      <c r="JN546" s="274"/>
      <c r="JO546" s="274"/>
      <c r="JP546" s="274"/>
      <c r="JQ546" s="274"/>
      <c r="JR546" s="274"/>
      <c r="JS546" s="274"/>
      <c r="JT546" s="274"/>
      <c r="JU546" s="274"/>
      <c r="JV546" s="274"/>
      <c r="JW546" s="274"/>
      <c r="JX546" s="274"/>
      <c r="JY546" s="274"/>
      <c r="JZ546" s="274"/>
      <c r="KA546" s="274"/>
      <c r="KB546" s="274"/>
      <c r="KC546" s="274"/>
      <c r="KD546" s="274"/>
      <c r="KE546" s="274"/>
      <c r="KF546" s="274"/>
      <c r="KG546" s="274"/>
      <c r="KH546" s="274"/>
      <c r="KI546" s="274"/>
      <c r="KJ546" s="274"/>
      <c r="KK546" s="274"/>
      <c r="KL546" s="274"/>
      <c r="KM546" s="274"/>
      <c r="KN546" s="274"/>
      <c r="KO546" s="274"/>
      <c r="KP546" s="274"/>
      <c r="KQ546" s="274"/>
      <c r="KR546" s="274"/>
      <c r="KS546" s="274"/>
      <c r="KT546" s="274"/>
      <c r="KU546" s="274"/>
      <c r="KV546" s="274"/>
      <c r="KW546" s="274"/>
      <c r="KX546" s="274"/>
      <c r="KY546" s="274"/>
      <c r="KZ546" s="274"/>
      <c r="LA546" s="274"/>
      <c r="LB546" s="274"/>
      <c r="LC546" s="274"/>
      <c r="LD546" s="274"/>
      <c r="LE546" s="274"/>
      <c r="LF546" s="274"/>
      <c r="LG546" s="274"/>
      <c r="LH546" s="274"/>
      <c r="LI546" s="274"/>
      <c r="LJ546" s="274"/>
      <c r="LK546" s="274"/>
      <c r="LL546" s="274"/>
      <c r="LM546" s="274"/>
      <c r="LN546" s="274"/>
      <c r="LO546" s="274"/>
      <c r="LP546" s="274"/>
      <c r="LQ546" s="274"/>
      <c r="LR546" s="274"/>
      <c r="LS546" s="274"/>
      <c r="LT546" s="274"/>
      <c r="LU546" s="274"/>
      <c r="LV546" s="274"/>
      <c r="LW546" s="274"/>
      <c r="LX546" s="274"/>
      <c r="LY546" s="274"/>
      <c r="LZ546" s="274"/>
      <c r="MA546" s="274"/>
      <c r="MB546" s="274"/>
      <c r="MC546" s="274"/>
      <c r="MD546" s="274"/>
      <c r="ME546" s="274"/>
      <c r="MF546" s="274"/>
      <c r="MG546" s="274"/>
      <c r="MH546" s="274"/>
      <c r="MI546" s="274"/>
      <c r="MJ546" s="274"/>
      <c r="MK546" s="274"/>
      <c r="ML546" s="274"/>
      <c r="MM546" s="274"/>
      <c r="MN546" s="274"/>
      <c r="MO546" s="274"/>
      <c r="MP546" s="274"/>
      <c r="MQ546" s="274"/>
      <c r="MR546" s="274"/>
      <c r="MS546" s="274"/>
      <c r="MT546" s="274"/>
      <c r="MU546" s="274"/>
      <c r="MV546" s="274"/>
      <c r="MW546" s="274"/>
      <c r="MX546" s="274"/>
      <c r="MY546" s="274"/>
      <c r="MZ546" s="274"/>
      <c r="NA546" s="274"/>
      <c r="NB546" s="274"/>
      <c r="NC546" s="274"/>
      <c r="ND546" s="274"/>
      <c r="NE546" s="274"/>
      <c r="NF546" s="274"/>
      <c r="NG546" s="274"/>
      <c r="NH546" s="274"/>
      <c r="NI546" s="274"/>
      <c r="NJ546" s="274"/>
      <c r="NK546" s="274"/>
      <c r="NL546" s="274"/>
      <c r="NM546" s="274"/>
      <c r="NN546" s="274"/>
      <c r="NO546" s="274"/>
      <c r="NP546" s="274"/>
      <c r="NQ546" s="274"/>
      <c r="NR546" s="274"/>
      <c r="NS546" s="274"/>
      <c r="NT546" s="274"/>
      <c r="NU546" s="274"/>
      <c r="NV546" s="274"/>
      <c r="NW546" s="274"/>
      <c r="NX546" s="274"/>
      <c r="NY546" s="274"/>
      <c r="NZ546" s="274"/>
      <c r="OA546" s="274"/>
      <c r="OB546" s="274"/>
      <c r="OC546" s="274"/>
      <c r="OD546" s="274"/>
      <c r="OE546" s="274"/>
      <c r="OF546" s="274"/>
      <c r="OG546" s="274"/>
      <c r="OH546" s="274"/>
      <c r="OI546" s="274"/>
      <c r="OJ546" s="274"/>
      <c r="OK546" s="274"/>
      <c r="OL546" s="274"/>
      <c r="OM546" s="274"/>
      <c r="ON546" s="274"/>
      <c r="OO546" s="274"/>
      <c r="OP546" s="274"/>
      <c r="OQ546" s="274"/>
      <c r="OR546" s="274"/>
      <c r="OS546" s="274"/>
      <c r="OT546" s="274"/>
      <c r="OU546" s="274"/>
      <c r="OV546" s="274"/>
      <c r="OW546" s="274"/>
      <c r="OX546" s="274"/>
      <c r="OY546" s="274"/>
      <c r="OZ546" s="274"/>
      <c r="PA546" s="274"/>
      <c r="PB546" s="274"/>
      <c r="PC546" s="274"/>
      <c r="PD546" s="274"/>
      <c r="PE546" s="274"/>
      <c r="PF546" s="274"/>
      <c r="PG546" s="274"/>
      <c r="PH546" s="274"/>
      <c r="PI546" s="274"/>
      <c r="PJ546" s="274"/>
      <c r="PK546" s="274"/>
      <c r="PL546" s="274"/>
      <c r="PM546" s="274"/>
      <c r="PN546" s="274"/>
      <c r="PO546" s="274"/>
      <c r="PP546" s="274"/>
      <c r="PQ546" s="274"/>
      <c r="PR546" s="274"/>
      <c r="PS546" s="274"/>
      <c r="PT546" s="274"/>
      <c r="PU546" s="274"/>
      <c r="PV546" s="274"/>
      <c r="PW546" s="274"/>
      <c r="PX546" s="274"/>
      <c r="PY546" s="274"/>
      <c r="PZ546" s="274"/>
      <c r="QA546" s="274"/>
      <c r="QB546" s="274"/>
      <c r="QC546" s="274"/>
      <c r="QD546" s="274"/>
      <c r="QE546" s="274"/>
      <c r="QF546" s="274"/>
      <c r="QG546" s="274"/>
      <c r="QH546" s="274"/>
      <c r="QI546" s="274"/>
      <c r="QJ546" s="274"/>
      <c r="QK546" s="274"/>
      <c r="QL546" s="274"/>
      <c r="QM546" s="274"/>
      <c r="QN546" s="274"/>
      <c r="QO546" s="274"/>
      <c r="QP546" s="274"/>
      <c r="QQ546" s="274"/>
      <c r="QR546" s="274"/>
      <c r="QS546" s="274"/>
      <c r="QT546" s="274"/>
      <c r="QU546" s="274"/>
      <c r="QV546" s="274"/>
      <c r="QW546" s="274"/>
      <c r="QX546" s="274"/>
      <c r="QY546" s="274"/>
      <c r="QZ546" s="274"/>
      <c r="RA546" s="274"/>
      <c r="RB546" s="274"/>
      <c r="RC546" s="274"/>
    </row>
    <row r="547" spans="112:471">
      <c r="DH547" s="274"/>
      <c r="DI547" s="274"/>
      <c r="DJ547" s="274"/>
      <c r="DK547" s="274"/>
      <c r="DL547" s="274"/>
      <c r="DM547" s="274"/>
      <c r="DN547" s="274"/>
      <c r="DO547" s="274"/>
      <c r="DP547" s="274"/>
      <c r="DQ547" s="274"/>
      <c r="DR547" s="274"/>
      <c r="DS547" s="274"/>
      <c r="DT547" s="274"/>
      <c r="DU547" s="274"/>
      <c r="DV547" s="274"/>
      <c r="DW547" s="274"/>
      <c r="DX547" s="274"/>
      <c r="DY547" s="274"/>
      <c r="DZ547" s="274"/>
      <c r="EA547" s="274"/>
      <c r="EB547" s="274"/>
      <c r="EC547" s="274"/>
      <c r="ED547" s="274"/>
      <c r="EE547" s="274"/>
      <c r="EF547" s="274"/>
      <c r="EG547" s="274"/>
      <c r="EH547" s="274"/>
      <c r="EI547" s="274"/>
      <c r="EJ547" s="274"/>
      <c r="EK547" s="274"/>
      <c r="EL547" s="274"/>
      <c r="EM547" s="274"/>
      <c r="EN547" s="274"/>
      <c r="EO547" s="274"/>
      <c r="EP547" s="274"/>
      <c r="EQ547" s="274"/>
      <c r="ER547" s="274"/>
      <c r="ES547" s="274"/>
      <c r="ET547" s="274"/>
      <c r="EU547" s="274"/>
      <c r="EV547" s="274"/>
      <c r="EW547" s="274"/>
      <c r="EX547" s="274"/>
      <c r="EY547" s="274"/>
      <c r="EZ547" s="274"/>
      <c r="FA547" s="274"/>
      <c r="FB547" s="274"/>
      <c r="FC547" s="274"/>
      <c r="FD547" s="274"/>
      <c r="FE547" s="274"/>
      <c r="FF547" s="274"/>
      <c r="FG547" s="274"/>
      <c r="FH547" s="274"/>
      <c r="FI547" s="274"/>
      <c r="FJ547" s="274"/>
      <c r="FK547" s="274"/>
      <c r="FL547" s="274"/>
      <c r="FM547" s="274"/>
      <c r="FN547" s="274"/>
      <c r="FO547" s="274"/>
      <c r="FP547" s="274"/>
      <c r="FQ547" s="274"/>
      <c r="FR547" s="274"/>
      <c r="FS547" s="274"/>
      <c r="FT547" s="274"/>
      <c r="FU547" s="274"/>
      <c r="FV547" s="274"/>
      <c r="FW547" s="274"/>
      <c r="FX547" s="274"/>
      <c r="FY547" s="274"/>
      <c r="FZ547" s="274"/>
      <c r="GA547" s="274"/>
      <c r="GB547" s="274"/>
      <c r="GC547" s="274"/>
      <c r="GD547" s="274"/>
      <c r="GE547" s="274"/>
      <c r="GF547" s="274"/>
      <c r="GG547" s="274"/>
      <c r="GH547" s="274"/>
      <c r="GI547" s="274"/>
      <c r="GJ547" s="274"/>
      <c r="GK547" s="274"/>
      <c r="GL547" s="274"/>
      <c r="GM547" s="274"/>
      <c r="GN547" s="274"/>
      <c r="GO547" s="274"/>
      <c r="GP547" s="274"/>
      <c r="GQ547" s="274"/>
      <c r="GR547" s="274"/>
      <c r="GS547" s="274"/>
      <c r="GT547" s="274"/>
      <c r="GU547" s="274"/>
      <c r="GV547" s="274"/>
      <c r="GW547" s="274"/>
      <c r="GX547" s="274"/>
      <c r="GY547" s="274"/>
      <c r="GZ547" s="274"/>
      <c r="HA547" s="274"/>
      <c r="HB547" s="274"/>
      <c r="HC547" s="274"/>
      <c r="HD547" s="274"/>
      <c r="HE547" s="274"/>
      <c r="HF547" s="274"/>
      <c r="HG547" s="274"/>
      <c r="HH547" s="274"/>
      <c r="HI547" s="274"/>
      <c r="HJ547" s="274"/>
      <c r="HK547" s="274"/>
      <c r="HL547" s="274"/>
      <c r="HM547" s="274"/>
      <c r="HN547" s="274"/>
      <c r="HO547" s="274"/>
      <c r="HP547" s="274"/>
      <c r="HQ547" s="274"/>
      <c r="HR547" s="274"/>
      <c r="HS547" s="274"/>
      <c r="HT547" s="274"/>
      <c r="HU547" s="274"/>
      <c r="HV547" s="274"/>
      <c r="HW547" s="274"/>
      <c r="HX547" s="274"/>
      <c r="HY547" s="274"/>
      <c r="HZ547" s="274"/>
      <c r="IA547" s="274"/>
      <c r="IB547" s="274"/>
      <c r="IC547" s="274"/>
      <c r="ID547" s="274"/>
      <c r="IE547" s="274"/>
      <c r="IF547" s="274"/>
      <c r="IG547" s="274"/>
      <c r="IH547" s="274"/>
      <c r="II547" s="274"/>
      <c r="IJ547" s="274"/>
      <c r="IK547" s="274"/>
      <c r="IL547" s="274"/>
      <c r="IM547" s="274"/>
      <c r="IN547" s="274"/>
      <c r="IO547" s="274"/>
      <c r="IP547" s="274"/>
      <c r="IQ547" s="274"/>
      <c r="IR547" s="274"/>
      <c r="IS547" s="274"/>
      <c r="IT547" s="274"/>
      <c r="IU547" s="274"/>
      <c r="IV547" s="274"/>
      <c r="IW547" s="274"/>
      <c r="IX547" s="274"/>
      <c r="IY547" s="274"/>
      <c r="IZ547" s="274"/>
      <c r="JA547" s="274"/>
      <c r="JB547" s="274"/>
      <c r="JC547" s="274"/>
      <c r="JD547" s="274"/>
      <c r="JE547" s="274"/>
      <c r="JF547" s="274"/>
      <c r="JG547" s="274"/>
      <c r="JH547" s="274"/>
      <c r="JI547" s="274"/>
      <c r="JJ547" s="274"/>
      <c r="JK547" s="274"/>
      <c r="JL547" s="274"/>
      <c r="JM547" s="274"/>
      <c r="JN547" s="274"/>
      <c r="JO547" s="274"/>
      <c r="JP547" s="274"/>
      <c r="JQ547" s="274"/>
      <c r="JR547" s="274"/>
      <c r="JS547" s="274"/>
      <c r="JT547" s="274"/>
      <c r="JU547" s="274"/>
      <c r="JV547" s="274"/>
      <c r="JW547" s="274"/>
      <c r="JX547" s="274"/>
      <c r="JY547" s="274"/>
      <c r="JZ547" s="274"/>
      <c r="KA547" s="274"/>
      <c r="KB547" s="274"/>
      <c r="KC547" s="274"/>
      <c r="KD547" s="274"/>
      <c r="KE547" s="274"/>
      <c r="KF547" s="274"/>
      <c r="KG547" s="274"/>
      <c r="KH547" s="274"/>
      <c r="KI547" s="274"/>
      <c r="KJ547" s="274"/>
      <c r="KK547" s="274"/>
      <c r="KL547" s="274"/>
      <c r="KM547" s="274"/>
      <c r="KN547" s="274"/>
      <c r="KO547" s="274"/>
      <c r="KP547" s="274"/>
      <c r="KQ547" s="274"/>
      <c r="KR547" s="274"/>
      <c r="KS547" s="274"/>
      <c r="KT547" s="274"/>
      <c r="KU547" s="274"/>
      <c r="KV547" s="274"/>
      <c r="KW547" s="274"/>
      <c r="KX547" s="274"/>
      <c r="KY547" s="274"/>
      <c r="KZ547" s="274"/>
      <c r="LA547" s="274"/>
      <c r="LB547" s="274"/>
      <c r="LC547" s="274"/>
      <c r="LD547" s="274"/>
      <c r="LE547" s="274"/>
      <c r="LF547" s="274"/>
      <c r="LG547" s="274"/>
      <c r="LH547" s="274"/>
      <c r="LI547" s="274"/>
      <c r="LJ547" s="274"/>
      <c r="LK547" s="274"/>
      <c r="LL547" s="274"/>
      <c r="LM547" s="274"/>
      <c r="LN547" s="274"/>
      <c r="LO547" s="274"/>
      <c r="LP547" s="274"/>
      <c r="LQ547" s="274"/>
      <c r="LR547" s="274"/>
      <c r="LS547" s="274"/>
      <c r="LT547" s="274"/>
      <c r="LU547" s="274"/>
      <c r="LV547" s="274"/>
      <c r="LW547" s="274"/>
      <c r="LX547" s="274"/>
      <c r="LY547" s="274"/>
      <c r="LZ547" s="274"/>
      <c r="MA547" s="274"/>
      <c r="MB547" s="274"/>
      <c r="MC547" s="274"/>
      <c r="MD547" s="274"/>
      <c r="ME547" s="274"/>
      <c r="MF547" s="274"/>
      <c r="MG547" s="274"/>
      <c r="MH547" s="274"/>
      <c r="MI547" s="274"/>
      <c r="MJ547" s="274"/>
      <c r="MK547" s="274"/>
      <c r="ML547" s="274"/>
      <c r="MM547" s="274"/>
      <c r="MN547" s="274"/>
      <c r="MO547" s="274"/>
      <c r="MP547" s="274"/>
      <c r="MQ547" s="274"/>
      <c r="MR547" s="274"/>
      <c r="MS547" s="274"/>
      <c r="MT547" s="274"/>
      <c r="MU547" s="274"/>
      <c r="MV547" s="274"/>
      <c r="MW547" s="274"/>
      <c r="MX547" s="274"/>
      <c r="MY547" s="274"/>
      <c r="MZ547" s="274"/>
      <c r="NA547" s="274"/>
      <c r="NB547" s="274"/>
      <c r="NC547" s="274"/>
      <c r="ND547" s="274"/>
      <c r="NE547" s="274"/>
      <c r="NF547" s="274"/>
      <c r="NG547" s="274"/>
      <c r="NH547" s="274"/>
      <c r="NI547" s="274"/>
      <c r="NJ547" s="274"/>
      <c r="NK547" s="274"/>
      <c r="NL547" s="274"/>
      <c r="NM547" s="274"/>
      <c r="NN547" s="274"/>
      <c r="NO547" s="274"/>
      <c r="NP547" s="274"/>
      <c r="NQ547" s="274"/>
      <c r="NR547" s="274"/>
      <c r="NS547" s="274"/>
      <c r="NT547" s="274"/>
      <c r="NU547" s="274"/>
      <c r="NV547" s="274"/>
      <c r="NW547" s="274"/>
      <c r="NX547" s="274"/>
      <c r="NY547" s="274"/>
      <c r="NZ547" s="274"/>
      <c r="OA547" s="274"/>
      <c r="OB547" s="274"/>
      <c r="OC547" s="274"/>
      <c r="OD547" s="274"/>
      <c r="OE547" s="274"/>
      <c r="OF547" s="274"/>
      <c r="OG547" s="274"/>
      <c r="OH547" s="274"/>
      <c r="OI547" s="274"/>
      <c r="OJ547" s="274"/>
      <c r="OK547" s="274"/>
      <c r="OL547" s="274"/>
      <c r="OM547" s="274"/>
      <c r="ON547" s="274"/>
      <c r="OO547" s="274"/>
      <c r="OP547" s="274"/>
      <c r="OQ547" s="274"/>
      <c r="OR547" s="274"/>
      <c r="OS547" s="274"/>
      <c r="OT547" s="274"/>
      <c r="OU547" s="274"/>
      <c r="OV547" s="274"/>
      <c r="OW547" s="274"/>
      <c r="OX547" s="274"/>
      <c r="OY547" s="274"/>
      <c r="OZ547" s="274"/>
      <c r="PA547" s="274"/>
      <c r="PB547" s="274"/>
      <c r="PC547" s="274"/>
      <c r="PD547" s="274"/>
      <c r="PE547" s="274"/>
      <c r="PF547" s="274"/>
      <c r="PG547" s="274"/>
      <c r="PH547" s="274"/>
      <c r="PI547" s="274"/>
      <c r="PJ547" s="274"/>
      <c r="PK547" s="274"/>
      <c r="PL547" s="274"/>
      <c r="PM547" s="274"/>
      <c r="PN547" s="274"/>
      <c r="PO547" s="274"/>
      <c r="PP547" s="274"/>
      <c r="PQ547" s="274"/>
      <c r="PR547" s="274"/>
      <c r="PS547" s="274"/>
      <c r="PT547" s="274"/>
      <c r="PU547" s="274"/>
      <c r="PV547" s="274"/>
      <c r="PW547" s="274"/>
      <c r="PX547" s="274"/>
      <c r="PY547" s="274"/>
      <c r="PZ547" s="274"/>
      <c r="QA547" s="274"/>
      <c r="QB547" s="274"/>
      <c r="QC547" s="274"/>
      <c r="QD547" s="274"/>
      <c r="QE547" s="274"/>
      <c r="QF547" s="274"/>
      <c r="QG547" s="274"/>
      <c r="QH547" s="274"/>
      <c r="QI547" s="274"/>
      <c r="QJ547" s="274"/>
      <c r="QK547" s="274"/>
      <c r="QL547" s="274"/>
      <c r="QM547" s="274"/>
      <c r="QN547" s="274"/>
      <c r="QO547" s="274"/>
      <c r="QP547" s="274"/>
      <c r="QQ547" s="274"/>
      <c r="QR547" s="274"/>
      <c r="QS547" s="274"/>
      <c r="QT547" s="274"/>
      <c r="QU547" s="274"/>
      <c r="QV547" s="274"/>
      <c r="QW547" s="274"/>
      <c r="QX547" s="274"/>
      <c r="QY547" s="274"/>
      <c r="QZ547" s="274"/>
      <c r="RA547" s="274"/>
      <c r="RB547" s="274"/>
      <c r="RC547" s="274"/>
    </row>
    <row r="548" spans="112:471">
      <c r="DH548" s="274"/>
      <c r="DI548" s="274"/>
      <c r="DJ548" s="274"/>
      <c r="DK548" s="274"/>
      <c r="DL548" s="274"/>
      <c r="DM548" s="274"/>
      <c r="DN548" s="274"/>
      <c r="DO548" s="274"/>
      <c r="DP548" s="274"/>
      <c r="DQ548" s="274"/>
      <c r="DR548" s="274"/>
      <c r="DS548" s="274"/>
      <c r="DT548" s="274"/>
      <c r="DU548" s="274"/>
      <c r="DV548" s="274"/>
      <c r="DW548" s="274"/>
      <c r="DX548" s="274"/>
      <c r="DY548" s="274"/>
      <c r="DZ548" s="274"/>
      <c r="EA548" s="274"/>
      <c r="EB548" s="274"/>
      <c r="EC548" s="274"/>
      <c r="ED548" s="274"/>
      <c r="EE548" s="274"/>
      <c r="EF548" s="274"/>
      <c r="EG548" s="274"/>
      <c r="EH548" s="274"/>
      <c r="EI548" s="274"/>
      <c r="EJ548" s="274"/>
      <c r="EK548" s="274"/>
      <c r="EL548" s="274"/>
      <c r="EM548" s="274"/>
      <c r="EN548" s="274"/>
      <c r="EO548" s="274"/>
      <c r="EP548" s="274"/>
      <c r="EQ548" s="274"/>
      <c r="ER548" s="274"/>
      <c r="ES548" s="274"/>
      <c r="ET548" s="274"/>
      <c r="EU548" s="274"/>
      <c r="EV548" s="274"/>
      <c r="EW548" s="274"/>
      <c r="EX548" s="274"/>
      <c r="EY548" s="274"/>
      <c r="EZ548" s="274"/>
      <c r="FA548" s="274"/>
      <c r="FB548" s="274"/>
      <c r="FC548" s="274"/>
      <c r="FD548" s="274"/>
      <c r="FE548" s="274"/>
      <c r="FF548" s="274"/>
      <c r="FG548" s="274"/>
      <c r="FH548" s="274"/>
      <c r="FI548" s="274"/>
      <c r="FJ548" s="274"/>
      <c r="FK548" s="274"/>
      <c r="FL548" s="274"/>
      <c r="FM548" s="274"/>
      <c r="FN548" s="274"/>
      <c r="FO548" s="274"/>
      <c r="FP548" s="274"/>
      <c r="FQ548" s="274"/>
      <c r="FR548" s="274"/>
      <c r="FS548" s="274"/>
      <c r="FT548" s="274"/>
      <c r="FU548" s="274"/>
      <c r="FV548" s="274"/>
      <c r="FW548" s="274"/>
      <c r="FX548" s="274"/>
      <c r="FY548" s="274"/>
      <c r="FZ548" s="274"/>
      <c r="GA548" s="274"/>
      <c r="GB548" s="274"/>
      <c r="GC548" s="274"/>
      <c r="GD548" s="274"/>
      <c r="GE548" s="274"/>
      <c r="GF548" s="274"/>
      <c r="GG548" s="274"/>
      <c r="GH548" s="274"/>
      <c r="GI548" s="274"/>
      <c r="GJ548" s="274"/>
      <c r="GK548" s="274"/>
      <c r="GL548" s="274"/>
      <c r="GM548" s="274"/>
      <c r="GN548" s="274"/>
      <c r="GO548" s="274"/>
      <c r="GP548" s="274"/>
      <c r="GQ548" s="274"/>
      <c r="GR548" s="274"/>
      <c r="GS548" s="274"/>
      <c r="GT548" s="274"/>
      <c r="GU548" s="274"/>
      <c r="GV548" s="274"/>
      <c r="GW548" s="274"/>
      <c r="GX548" s="274"/>
      <c r="GY548" s="274"/>
      <c r="GZ548" s="274"/>
      <c r="HA548" s="274"/>
      <c r="HB548" s="274"/>
      <c r="HC548" s="274"/>
      <c r="HD548" s="274"/>
      <c r="HE548" s="274"/>
      <c r="HF548" s="274"/>
      <c r="HG548" s="274"/>
      <c r="HH548" s="274"/>
      <c r="HI548" s="274"/>
      <c r="HJ548" s="274"/>
      <c r="HK548" s="274"/>
      <c r="HL548" s="274"/>
      <c r="HM548" s="274"/>
      <c r="HN548" s="274"/>
      <c r="HO548" s="274"/>
      <c r="HP548" s="274"/>
      <c r="HQ548" s="274"/>
      <c r="HR548" s="274"/>
      <c r="HS548" s="274"/>
      <c r="HT548" s="274"/>
      <c r="HU548" s="274"/>
      <c r="HV548" s="274"/>
      <c r="HW548" s="274"/>
      <c r="HX548" s="274"/>
      <c r="HY548" s="274"/>
      <c r="HZ548" s="274"/>
      <c r="IA548" s="274"/>
      <c r="IB548" s="274"/>
      <c r="IC548" s="274"/>
      <c r="ID548" s="274"/>
      <c r="IE548" s="274"/>
      <c r="IF548" s="274"/>
      <c r="IG548" s="274"/>
      <c r="IH548" s="274"/>
      <c r="II548" s="274"/>
      <c r="IJ548" s="274"/>
      <c r="IK548" s="274"/>
      <c r="IL548" s="274"/>
      <c r="IM548" s="274"/>
      <c r="IN548" s="274"/>
      <c r="IO548" s="274"/>
      <c r="IP548" s="274"/>
      <c r="IQ548" s="274"/>
      <c r="IR548" s="274"/>
      <c r="IS548" s="274"/>
      <c r="IT548" s="274"/>
      <c r="IU548" s="274"/>
      <c r="IV548" s="274"/>
      <c r="IW548" s="274"/>
      <c r="IX548" s="274"/>
      <c r="IY548" s="274"/>
      <c r="IZ548" s="274"/>
      <c r="JA548" s="274"/>
      <c r="JB548" s="274"/>
      <c r="JC548" s="274"/>
      <c r="JD548" s="274"/>
      <c r="JE548" s="274"/>
      <c r="JF548" s="274"/>
      <c r="JG548" s="274"/>
      <c r="JH548" s="274"/>
      <c r="JI548" s="274"/>
      <c r="JJ548" s="274"/>
      <c r="JK548" s="274"/>
      <c r="JL548" s="274"/>
      <c r="JM548" s="274"/>
      <c r="JN548" s="274"/>
      <c r="JO548" s="274"/>
      <c r="JP548" s="274"/>
      <c r="JQ548" s="274"/>
      <c r="JR548" s="274"/>
      <c r="JS548" s="274"/>
      <c r="JT548" s="274"/>
      <c r="JU548" s="274"/>
      <c r="JV548" s="274"/>
      <c r="JW548" s="274"/>
      <c r="JX548" s="274"/>
      <c r="JY548" s="274"/>
      <c r="JZ548" s="274"/>
      <c r="KA548" s="274"/>
      <c r="KB548" s="274"/>
      <c r="KC548" s="274"/>
      <c r="KD548" s="274"/>
      <c r="KE548" s="274"/>
      <c r="KF548" s="274"/>
      <c r="KG548" s="274"/>
      <c r="KH548" s="274"/>
      <c r="KI548" s="274"/>
      <c r="KJ548" s="274"/>
      <c r="KK548" s="274"/>
      <c r="KL548" s="274"/>
      <c r="KM548" s="274"/>
      <c r="KN548" s="274"/>
      <c r="KO548" s="274"/>
      <c r="KP548" s="274"/>
      <c r="KQ548" s="274"/>
      <c r="KR548" s="274"/>
      <c r="KS548" s="274"/>
      <c r="KT548" s="274"/>
      <c r="KU548" s="274"/>
      <c r="KV548" s="274"/>
      <c r="KW548" s="274"/>
      <c r="KX548" s="274"/>
      <c r="KY548" s="274"/>
      <c r="KZ548" s="274"/>
      <c r="LA548" s="274"/>
      <c r="LB548" s="274"/>
      <c r="LC548" s="274"/>
      <c r="LD548" s="274"/>
      <c r="LE548" s="274"/>
      <c r="LF548" s="274"/>
      <c r="LG548" s="274"/>
      <c r="LH548" s="274"/>
      <c r="LI548" s="274"/>
      <c r="LJ548" s="274"/>
      <c r="LK548" s="274"/>
      <c r="LL548" s="274"/>
      <c r="LM548" s="274"/>
      <c r="LN548" s="274"/>
      <c r="LO548" s="274"/>
      <c r="LP548" s="274"/>
      <c r="LQ548" s="274"/>
      <c r="LR548" s="274"/>
      <c r="LS548" s="274"/>
      <c r="LT548" s="274"/>
      <c r="LU548" s="274"/>
      <c r="LV548" s="274"/>
      <c r="LW548" s="274"/>
      <c r="LX548" s="274"/>
      <c r="LY548" s="274"/>
      <c r="LZ548" s="274"/>
      <c r="MA548" s="274"/>
      <c r="MB548" s="274"/>
      <c r="MC548" s="274"/>
      <c r="MD548" s="274"/>
      <c r="ME548" s="274"/>
      <c r="MF548" s="274"/>
      <c r="MG548" s="274"/>
      <c r="MH548" s="274"/>
      <c r="MI548" s="274"/>
      <c r="MJ548" s="274"/>
      <c r="MK548" s="274"/>
      <c r="ML548" s="274"/>
      <c r="MM548" s="274"/>
      <c r="MN548" s="274"/>
      <c r="MO548" s="274"/>
      <c r="MP548" s="274"/>
      <c r="MQ548" s="274"/>
      <c r="MR548" s="274"/>
      <c r="MS548" s="274"/>
      <c r="MT548" s="274"/>
      <c r="MU548" s="274"/>
      <c r="MV548" s="274"/>
      <c r="MW548" s="274"/>
      <c r="MX548" s="274"/>
      <c r="MY548" s="274"/>
      <c r="MZ548" s="274"/>
      <c r="NA548" s="274"/>
      <c r="NB548" s="274"/>
      <c r="NC548" s="274"/>
      <c r="ND548" s="274"/>
      <c r="NE548" s="274"/>
      <c r="NF548" s="274"/>
      <c r="NG548" s="274"/>
      <c r="NH548" s="274"/>
      <c r="NI548" s="274"/>
      <c r="NJ548" s="274"/>
      <c r="NK548" s="274"/>
      <c r="NL548" s="274"/>
      <c r="NM548" s="274"/>
      <c r="NN548" s="274"/>
      <c r="NO548" s="274"/>
      <c r="NP548" s="274"/>
      <c r="NQ548" s="274"/>
      <c r="NR548" s="274"/>
      <c r="NS548" s="274"/>
      <c r="NT548" s="274"/>
      <c r="NU548" s="274"/>
      <c r="NV548" s="274"/>
      <c r="NW548" s="274"/>
      <c r="NX548" s="274"/>
      <c r="NY548" s="274"/>
      <c r="NZ548" s="274"/>
      <c r="OA548" s="274"/>
      <c r="OB548" s="274"/>
      <c r="OC548" s="274"/>
      <c r="OD548" s="274"/>
      <c r="OE548" s="274"/>
      <c r="OF548" s="274"/>
      <c r="OG548" s="274"/>
      <c r="OH548" s="274"/>
      <c r="OI548" s="274"/>
      <c r="OJ548" s="274"/>
      <c r="OK548" s="274"/>
      <c r="OL548" s="274"/>
      <c r="OM548" s="274"/>
      <c r="ON548" s="274"/>
      <c r="OO548" s="274"/>
      <c r="OP548" s="274"/>
      <c r="OQ548" s="274"/>
      <c r="OR548" s="274"/>
      <c r="OS548" s="274"/>
      <c r="OT548" s="274"/>
      <c r="OU548" s="274"/>
      <c r="OV548" s="274"/>
      <c r="OW548" s="274"/>
      <c r="OX548" s="274"/>
      <c r="OY548" s="274"/>
      <c r="OZ548" s="274"/>
      <c r="PA548" s="274"/>
      <c r="PB548" s="274"/>
      <c r="PC548" s="274"/>
      <c r="PD548" s="274"/>
      <c r="PE548" s="274"/>
      <c r="PF548" s="274"/>
      <c r="PG548" s="274"/>
      <c r="PH548" s="274"/>
      <c r="PI548" s="274"/>
      <c r="PJ548" s="274"/>
      <c r="PK548" s="274"/>
      <c r="PL548" s="274"/>
      <c r="PM548" s="274"/>
      <c r="PN548" s="274"/>
      <c r="PO548" s="274"/>
      <c r="PP548" s="274"/>
      <c r="PQ548" s="274"/>
      <c r="PR548" s="274"/>
      <c r="PS548" s="274"/>
      <c r="PT548" s="274"/>
      <c r="PU548" s="274"/>
      <c r="PV548" s="274"/>
      <c r="PW548" s="274"/>
      <c r="PX548" s="274"/>
      <c r="PY548" s="274"/>
      <c r="PZ548" s="274"/>
      <c r="QA548" s="274"/>
      <c r="QB548" s="274"/>
      <c r="QC548" s="274"/>
      <c r="QD548" s="274"/>
      <c r="QE548" s="274"/>
      <c r="QF548" s="274"/>
      <c r="QG548" s="274"/>
      <c r="QH548" s="274"/>
      <c r="QI548" s="274"/>
      <c r="QJ548" s="274"/>
      <c r="QK548" s="274"/>
      <c r="QL548" s="274"/>
      <c r="QM548" s="274"/>
      <c r="QN548" s="274"/>
      <c r="QO548" s="274"/>
      <c r="QP548" s="274"/>
      <c r="QQ548" s="274"/>
      <c r="QR548" s="274"/>
      <c r="QS548" s="274"/>
      <c r="QT548" s="274"/>
      <c r="QU548" s="274"/>
      <c r="QV548" s="274"/>
      <c r="QW548" s="274"/>
      <c r="QX548" s="274"/>
      <c r="QY548" s="274"/>
      <c r="QZ548" s="274"/>
      <c r="RA548" s="274"/>
      <c r="RB548" s="274"/>
      <c r="RC548" s="274"/>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D1:U31"/>
  <sheetViews>
    <sheetView rightToLeft="1" topLeftCell="C1" zoomScale="93" workbookViewId="0">
      <selection activeCell="F1" sqref="F1"/>
    </sheetView>
  </sheetViews>
  <sheetFormatPr defaultRowHeight="15"/>
  <cols>
    <col min="3" max="3" width="7.5703125" customWidth="1"/>
    <col min="4" max="4" width="6.140625" customWidth="1"/>
    <col min="5" max="5" width="20.42578125" customWidth="1"/>
    <col min="9" max="9" width="12.85546875" customWidth="1"/>
    <col min="10" max="10" width="7.85546875" customWidth="1"/>
    <col min="11" max="11" width="13.140625" customWidth="1"/>
    <col min="12" max="12" width="10.5703125" customWidth="1"/>
    <col min="13" max="13" width="10.42578125" customWidth="1"/>
    <col min="14" max="14" width="10.85546875" customWidth="1"/>
  </cols>
  <sheetData>
    <row r="1" spans="4:21" ht="15.75" thickBot="1"/>
    <row r="2" spans="4:21">
      <c r="D2" s="102" t="s">
        <v>144</v>
      </c>
      <c r="E2" s="103" t="s">
        <v>381</v>
      </c>
      <c r="F2" s="103" t="s">
        <v>389</v>
      </c>
      <c r="G2" s="103" t="s">
        <v>175</v>
      </c>
      <c r="H2" s="103" t="s">
        <v>382</v>
      </c>
      <c r="I2" s="103" t="s">
        <v>177</v>
      </c>
      <c r="J2" s="103" t="s">
        <v>383</v>
      </c>
      <c r="K2" s="103" t="s">
        <v>385</v>
      </c>
      <c r="L2" s="103" t="s">
        <v>386</v>
      </c>
      <c r="M2" s="103" t="s">
        <v>401</v>
      </c>
      <c r="N2" s="103" t="s">
        <v>402</v>
      </c>
      <c r="O2" s="103" t="s">
        <v>390</v>
      </c>
      <c r="P2" s="103" t="s">
        <v>391</v>
      </c>
      <c r="Q2" s="103" t="s">
        <v>392</v>
      </c>
      <c r="R2" s="103" t="s">
        <v>393</v>
      </c>
      <c r="S2" s="103" t="s">
        <v>407</v>
      </c>
      <c r="T2" s="103" t="s">
        <v>408</v>
      </c>
      <c r="U2" s="104"/>
    </row>
    <row r="3" spans="4:21">
      <c r="D3" s="122"/>
      <c r="E3" s="123">
        <v>30</v>
      </c>
      <c r="F3" s="123">
        <v>30</v>
      </c>
      <c r="G3" s="123">
        <v>44</v>
      </c>
      <c r="H3" s="123">
        <v>33</v>
      </c>
      <c r="I3" s="123">
        <v>35</v>
      </c>
      <c r="J3" s="123">
        <v>50</v>
      </c>
      <c r="K3" s="123">
        <v>50</v>
      </c>
      <c r="L3" s="123">
        <v>10</v>
      </c>
      <c r="M3" s="123">
        <v>65</v>
      </c>
      <c r="N3" s="123">
        <v>71</v>
      </c>
      <c r="O3" s="123">
        <v>1286</v>
      </c>
      <c r="P3" s="123">
        <v>9</v>
      </c>
      <c r="Q3" s="123">
        <v>21.156481400000001</v>
      </c>
      <c r="R3" s="123">
        <v>0.26388889999999998</v>
      </c>
      <c r="S3" s="123">
        <v>55</v>
      </c>
      <c r="T3" s="123">
        <v>48</v>
      </c>
      <c r="U3" s="124"/>
    </row>
    <row r="4" spans="4:21">
      <c r="D4" s="105" t="s">
        <v>144</v>
      </c>
      <c r="E4" s="106" t="s">
        <v>295</v>
      </c>
      <c r="F4" s="106" t="s">
        <v>297</v>
      </c>
      <c r="G4" s="106" t="s">
        <v>278</v>
      </c>
      <c r="H4" s="106" t="s">
        <v>658</v>
      </c>
      <c r="I4" s="106" t="s">
        <v>659</v>
      </c>
      <c r="J4" s="106" t="s">
        <v>378</v>
      </c>
      <c r="K4" s="106" t="s">
        <v>660</v>
      </c>
      <c r="L4" s="106" t="s">
        <v>661</v>
      </c>
      <c r="M4" s="106" t="s">
        <v>662</v>
      </c>
      <c r="N4" s="106" t="s">
        <v>667</v>
      </c>
      <c r="O4" s="106"/>
      <c r="P4" s="106"/>
      <c r="Q4" s="106"/>
      <c r="R4" s="106"/>
      <c r="S4" s="106"/>
      <c r="T4" s="106"/>
      <c r="U4" s="107"/>
    </row>
    <row r="5" spans="4:21" ht="15.75" thickBot="1">
      <c r="D5" s="125"/>
      <c r="E5" s="126">
        <v>18</v>
      </c>
      <c r="F5" s="126">
        <v>42</v>
      </c>
      <c r="G5" s="126">
        <v>34</v>
      </c>
      <c r="H5" s="126">
        <v>66</v>
      </c>
      <c r="I5" s="126">
        <v>55</v>
      </c>
      <c r="J5" s="126">
        <v>43</v>
      </c>
      <c r="K5" s="126">
        <v>33</v>
      </c>
      <c r="L5" s="126">
        <v>40</v>
      </c>
      <c r="M5" s="126">
        <v>45</v>
      </c>
      <c r="N5" s="126">
        <v>18</v>
      </c>
      <c r="O5" s="126"/>
      <c r="P5" s="126"/>
      <c r="Q5" s="126"/>
      <c r="R5" s="126"/>
      <c r="S5" s="126"/>
      <c r="T5" s="126"/>
      <c r="U5" s="127"/>
    </row>
    <row r="6" spans="4:21">
      <c r="D6" s="108">
        <v>1</v>
      </c>
      <c r="E6" s="109" t="s">
        <v>380</v>
      </c>
      <c r="F6" s="109" t="e">
        <f ca="1">[4]!ml(E3)</f>
        <v>#NAME?</v>
      </c>
      <c r="G6" s="110">
        <v>23</v>
      </c>
      <c r="H6" s="110" t="s">
        <v>281</v>
      </c>
      <c r="I6" s="110" t="e">
        <f ca="1">[4]!asher(E3,I3)</f>
        <v>#NAME?</v>
      </c>
      <c r="J6" s="109">
        <v>45</v>
      </c>
      <c r="K6" s="109" t="s">
        <v>415</v>
      </c>
      <c r="L6" s="109" t="e">
        <f ca="1">[4]!jowsat(I3,F13,H5)</f>
        <v>#NAME?</v>
      </c>
      <c r="M6" s="110">
        <v>67</v>
      </c>
      <c r="N6" s="110" t="s">
        <v>508</v>
      </c>
      <c r="O6" s="110" t="e">
        <f ca="1">[4]!tzohre2(L5)</f>
        <v>#NAME?</v>
      </c>
      <c r="P6" s="109">
        <v>89</v>
      </c>
      <c r="Q6" s="109"/>
      <c r="R6" s="109"/>
      <c r="S6" s="110">
        <v>111</v>
      </c>
      <c r="T6" s="110"/>
      <c r="U6" s="111"/>
    </row>
    <row r="7" spans="4:21">
      <c r="D7" s="112">
        <v>2</v>
      </c>
      <c r="E7" s="113" t="s">
        <v>282</v>
      </c>
      <c r="F7" s="113" t="e">
        <f ca="1">[4]!tl(F3)</f>
        <v>#NAME?</v>
      </c>
      <c r="G7" s="114">
        <v>24</v>
      </c>
      <c r="H7" s="114" t="s">
        <v>356</v>
      </c>
      <c r="I7" s="114" t="e">
        <f ca="1">[4]!fdaer(G3,H3,F5,I3)</f>
        <v>#NAME?</v>
      </c>
      <c r="J7" s="113">
        <v>46</v>
      </c>
      <c r="K7" s="113"/>
      <c r="L7" s="113"/>
      <c r="M7" s="114">
        <v>68</v>
      </c>
      <c r="N7" s="114" t="s">
        <v>509</v>
      </c>
      <c r="O7" s="114" t="e">
        <f ca="1">[4]!tota2(L5)</f>
        <v>#NAME?</v>
      </c>
      <c r="P7" s="113">
        <v>90</v>
      </c>
      <c r="Q7" s="113"/>
      <c r="R7" s="113"/>
      <c r="S7" s="114">
        <v>112</v>
      </c>
      <c r="T7" s="114"/>
      <c r="U7" s="115"/>
    </row>
    <row r="8" spans="4:21">
      <c r="D8" s="112">
        <v>3</v>
      </c>
      <c r="E8" s="113" t="s">
        <v>214</v>
      </c>
      <c r="F8" s="113" t="e">
        <f ca="1">[4]!sem(I3,H3)</f>
        <v>#NAME?</v>
      </c>
      <c r="G8" s="114">
        <v>25</v>
      </c>
      <c r="H8" s="114" t="s">
        <v>218</v>
      </c>
      <c r="I8" s="114" t="e">
        <f ca="1">[4]!mtl(E3)</f>
        <v>#NAME?</v>
      </c>
      <c r="J8" s="113">
        <v>47</v>
      </c>
      <c r="K8" s="113" t="s">
        <v>416</v>
      </c>
      <c r="L8" s="113" t="e">
        <f ca="1">[4]!arzqmr(T3)</f>
        <v>#NAME?</v>
      </c>
      <c r="M8" s="114">
        <v>69</v>
      </c>
      <c r="N8" s="114" t="s">
        <v>492</v>
      </c>
      <c r="O8" s="114" t="e">
        <f ca="1">[4]!taqk(J5,L20)</f>
        <v>#NAME?</v>
      </c>
      <c r="P8" s="113">
        <v>91</v>
      </c>
      <c r="Q8" s="113"/>
      <c r="R8" s="113"/>
      <c r="S8" s="114">
        <v>113</v>
      </c>
      <c r="T8" s="114"/>
      <c r="U8" s="115"/>
    </row>
    <row r="9" spans="4:21">
      <c r="D9" s="112">
        <v>4</v>
      </c>
      <c r="E9" s="113" t="s">
        <v>418</v>
      </c>
      <c r="F9" s="113" t="e">
        <f ca="1">[4]!mail2(H3)</f>
        <v>#NAME?</v>
      </c>
      <c r="G9" s="114">
        <v>26</v>
      </c>
      <c r="H9" s="114" t="s">
        <v>384</v>
      </c>
      <c r="I9" s="114" t="e">
        <f ca="1">[4]!tash(K3,L3)</f>
        <v>#NAME?</v>
      </c>
      <c r="J9" s="113">
        <v>48</v>
      </c>
      <c r="K9" s="113" t="s">
        <v>417</v>
      </c>
      <c r="L9" s="113" t="e">
        <f ca="1">[4]!zwa(T3)</f>
        <v>#NAME?</v>
      </c>
      <c r="M9" s="114">
        <v>70</v>
      </c>
      <c r="N9" s="114" t="s">
        <v>663</v>
      </c>
      <c r="O9" s="114" t="e">
        <f ca="1">[4]!taqk(J5,L21)</f>
        <v>#NAME?</v>
      </c>
      <c r="P9" s="113">
        <v>92</v>
      </c>
      <c r="Q9" s="113"/>
      <c r="R9" s="113"/>
      <c r="S9" s="114">
        <v>114</v>
      </c>
      <c r="T9" s="114"/>
      <c r="U9" s="115"/>
    </row>
    <row r="10" spans="4:21">
      <c r="D10" s="112">
        <v>5</v>
      </c>
      <c r="E10" s="113" t="s">
        <v>193</v>
      </c>
      <c r="F10" s="113" t="e">
        <f ca="1">[4]!bjn(H3)</f>
        <v>#NAME?</v>
      </c>
      <c r="G10" s="114">
        <v>27</v>
      </c>
      <c r="H10" s="114" t="s">
        <v>387</v>
      </c>
      <c r="I10" s="114" t="e">
        <f ca="1">[4]!taam(K3)</f>
        <v>#NAME?</v>
      </c>
      <c r="J10" s="113">
        <v>49</v>
      </c>
      <c r="K10" s="113" t="s">
        <v>495</v>
      </c>
      <c r="L10" s="113" t="e">
        <f ca="1">[4]!zshams(J5,I5)</f>
        <v>#NAME?</v>
      </c>
      <c r="M10" s="114">
        <v>71</v>
      </c>
      <c r="N10" s="114" t="s">
        <v>664</v>
      </c>
      <c r="O10" s="114"/>
      <c r="P10" s="113">
        <v>93</v>
      </c>
      <c r="Q10" s="113"/>
      <c r="R10" s="113"/>
      <c r="S10" s="114">
        <v>115</v>
      </c>
      <c r="T10" s="114"/>
      <c r="U10" s="115"/>
    </row>
    <row r="11" spans="4:21">
      <c r="D11" s="112">
        <v>6</v>
      </c>
      <c r="E11" s="113" t="s">
        <v>195</v>
      </c>
      <c r="F11" s="113" t="e">
        <f ca="1">[4]!mnk(H3)</f>
        <v>#NAME?</v>
      </c>
      <c r="G11" s="114">
        <v>28</v>
      </c>
      <c r="H11" s="114" t="s">
        <v>388</v>
      </c>
      <c r="I11" s="114" t="e">
        <f ca="1">[4]!wasat(O3,P3,Q3,R3)</f>
        <v>#NAME?</v>
      </c>
      <c r="J11" s="113">
        <v>50</v>
      </c>
      <c r="K11" s="113" t="s">
        <v>474</v>
      </c>
      <c r="L11" s="113" t="e">
        <f ca="1">[4]!bkhsh(K5)</f>
        <v>#NAME?</v>
      </c>
      <c r="M11" s="114">
        <v>72</v>
      </c>
      <c r="N11" s="114" t="s">
        <v>665</v>
      </c>
      <c r="O11" s="114" t="e">
        <f ca="1">[4]!taqk(J5,L23)</f>
        <v>#NAME?</v>
      </c>
      <c r="P11" s="113">
        <v>94</v>
      </c>
      <c r="Q11" s="113"/>
      <c r="R11" s="113"/>
      <c r="S11" s="114">
        <v>116</v>
      </c>
      <c r="T11" s="114"/>
      <c r="U11" s="115"/>
    </row>
    <row r="12" spans="4:21">
      <c r="D12" s="112">
        <v>7</v>
      </c>
      <c r="E12" s="113" t="s">
        <v>203</v>
      </c>
      <c r="F12" s="113" t="e">
        <f ca="1">[4]!hess(G3,H3)</f>
        <v>#NAME?</v>
      </c>
      <c r="G12" s="114">
        <v>29</v>
      </c>
      <c r="H12" s="114" t="s">
        <v>386</v>
      </c>
      <c r="I12" s="114" t="e">
        <f ca="1">[4]!oujsh(O3,P3,Q3,R3)</f>
        <v>#NAME?</v>
      </c>
      <c r="J12" s="113">
        <v>51</v>
      </c>
      <c r="K12" s="113" t="s">
        <v>497</v>
      </c>
      <c r="L12" s="113" t="e">
        <f ca="1">[4]!bshams(K3,L3)</f>
        <v>#NAME?</v>
      </c>
      <c r="M12" s="114">
        <v>73</v>
      </c>
      <c r="N12" s="114" t="s">
        <v>666</v>
      </c>
      <c r="O12" s="114" t="e">
        <f ca="1">[4]!taqk(J5,L24)</f>
        <v>#NAME?</v>
      </c>
      <c r="P12" s="113">
        <v>95</v>
      </c>
      <c r="Q12" s="113"/>
      <c r="R12" s="113"/>
      <c r="S12" s="114">
        <v>117</v>
      </c>
      <c r="T12" s="114"/>
      <c r="U12" s="115"/>
    </row>
    <row r="13" spans="4:21">
      <c r="D13" s="112">
        <v>8</v>
      </c>
      <c r="E13" s="113" t="s">
        <v>359</v>
      </c>
      <c r="F13" s="113" t="e">
        <f ca="1">[4]!bkm(G3,H3)</f>
        <v>#NAME?</v>
      </c>
      <c r="G13" s="114">
        <v>30</v>
      </c>
      <c r="H13" s="114" t="s">
        <v>394</v>
      </c>
      <c r="I13" s="114" t="e">
        <f ca="1">[4]!tadna(I3,E3)</f>
        <v>#NAME?</v>
      </c>
      <c r="J13" s="113">
        <v>52</v>
      </c>
      <c r="K13" s="113" t="s">
        <v>496</v>
      </c>
      <c r="L13" s="113" t="e">
        <f ca="1">[4]!bkhar(L20,L11,L10,L12,N5)</f>
        <v>#NAME?</v>
      </c>
      <c r="M13" s="114">
        <v>74</v>
      </c>
      <c r="N13" s="114"/>
      <c r="O13" s="114"/>
      <c r="P13" s="113">
        <v>96</v>
      </c>
      <c r="Q13" s="113"/>
      <c r="R13" s="113"/>
      <c r="S13" s="114">
        <v>118</v>
      </c>
      <c r="T13" s="114"/>
      <c r="U13" s="115"/>
    </row>
    <row r="14" spans="4:21">
      <c r="D14" s="112">
        <v>9</v>
      </c>
      <c r="E14" s="113" t="s">
        <v>241</v>
      </c>
      <c r="F14" s="113" t="e">
        <f ca="1">[4]!bkr(G3,H3)</f>
        <v>#NAME?</v>
      </c>
      <c r="G14" s="114">
        <v>31</v>
      </c>
      <c r="H14" s="114" t="s">
        <v>206</v>
      </c>
      <c r="I14" s="114" t="e">
        <f ca="1">[4]!MTB(E3,I3)</f>
        <v>#NAME?</v>
      </c>
      <c r="J14" s="113">
        <v>53</v>
      </c>
      <c r="K14" s="113" t="s">
        <v>498</v>
      </c>
      <c r="L14" s="113" t="e">
        <f ca="1">[4]!zarz(L12,L10,N5)</f>
        <v>#NAME?</v>
      </c>
      <c r="M14" s="114">
        <v>75</v>
      </c>
      <c r="N14" s="114"/>
      <c r="O14" s="114"/>
      <c r="P14" s="113">
        <v>97</v>
      </c>
      <c r="Q14" s="113"/>
      <c r="R14" s="113"/>
      <c r="S14" s="114">
        <v>119</v>
      </c>
      <c r="T14" s="114"/>
      <c r="U14" s="115"/>
    </row>
    <row r="15" spans="4:21">
      <c r="D15" s="112">
        <v>10</v>
      </c>
      <c r="E15" s="113" t="s">
        <v>240</v>
      </c>
      <c r="F15" s="113" t="e">
        <f ca="1">[4]!bmn(G3,H3)</f>
        <v>#NAME?</v>
      </c>
      <c r="G15" s="114">
        <v>32</v>
      </c>
      <c r="H15" s="114" t="s">
        <v>395</v>
      </c>
      <c r="I15" s="114" t="e">
        <f ca="1">[4]!taq(O3,P3,Q3,R3)</f>
        <v>#NAME?</v>
      </c>
      <c r="J15" s="113">
        <v>54</v>
      </c>
      <c r="K15" s="113" t="s">
        <v>499</v>
      </c>
      <c r="L15" s="113" t="e">
        <f ca="1">[4]!tmer1(M5)</f>
        <v>#NAME?</v>
      </c>
      <c r="M15" s="114">
        <v>76</v>
      </c>
      <c r="N15" s="114"/>
      <c r="O15" s="114"/>
      <c r="P15" s="113">
        <v>98</v>
      </c>
      <c r="Q15" s="113"/>
      <c r="R15" s="113"/>
      <c r="S15" s="114">
        <v>120</v>
      </c>
      <c r="T15" s="114"/>
      <c r="U15" s="115"/>
    </row>
    <row r="16" spans="4:21">
      <c r="D16" s="112">
        <v>11</v>
      </c>
      <c r="E16" s="113" t="s">
        <v>375</v>
      </c>
      <c r="F16" s="113" t="e">
        <f ca="1">[4]!mtm(G3,H3)</f>
        <v>#NAME?</v>
      </c>
      <c r="G16" s="114">
        <v>33</v>
      </c>
      <c r="H16" s="114" t="s">
        <v>396</v>
      </c>
      <c r="I16" s="114" t="e">
        <f ca="1">[4]!mtash(O3,P3,Q3,R3)</f>
        <v>#NAME?</v>
      </c>
      <c r="J16" s="113">
        <v>55</v>
      </c>
      <c r="K16" s="113" t="s">
        <v>500</v>
      </c>
      <c r="L16" s="113" t="e">
        <f ca="1">[4]!tmosh1(M5)</f>
        <v>#NAME?</v>
      </c>
      <c r="M16" s="114">
        <v>77</v>
      </c>
      <c r="N16" s="114"/>
      <c r="O16" s="114"/>
      <c r="P16" s="113">
        <v>99</v>
      </c>
      <c r="Q16" s="113"/>
      <c r="R16" s="113"/>
      <c r="S16" s="114">
        <v>121</v>
      </c>
      <c r="T16" s="114"/>
      <c r="U16" s="115"/>
    </row>
    <row r="17" spans="4:21">
      <c r="D17" s="112">
        <v>12</v>
      </c>
      <c r="E17" s="113" t="s">
        <v>419</v>
      </c>
      <c r="F17" s="113" t="e">
        <f ca="1">[4]!qrk(F13,I3)</f>
        <v>#NAME?</v>
      </c>
      <c r="G17" s="114">
        <v>34</v>
      </c>
      <c r="H17" s="114" t="s">
        <v>397</v>
      </c>
      <c r="I17" s="114" t="e">
        <f ca="1">[4]!taqm1(M3,N3)</f>
        <v>#NAME?</v>
      </c>
      <c r="J17" s="113">
        <v>56</v>
      </c>
      <c r="K17" s="113" t="s">
        <v>501</v>
      </c>
      <c r="L17" s="113" t="e">
        <f ca="1">[4]!tzohal1(M5)</f>
        <v>#NAME?</v>
      </c>
      <c r="M17" s="114">
        <v>78</v>
      </c>
      <c r="N17" s="114"/>
      <c r="O17" s="114"/>
      <c r="P17" s="113">
        <v>100</v>
      </c>
      <c r="Q17" s="113"/>
      <c r="R17" s="113"/>
      <c r="S17" s="114">
        <v>122</v>
      </c>
      <c r="T17" s="114"/>
      <c r="U17" s="115"/>
    </row>
    <row r="18" spans="4:21">
      <c r="D18" s="112">
        <v>13</v>
      </c>
      <c r="E18" s="113" t="s">
        <v>420</v>
      </c>
      <c r="F18" s="113" t="e">
        <f ca="1">[4]!qnk(F13,I3)</f>
        <v>#NAME?</v>
      </c>
      <c r="G18" s="114">
        <v>35</v>
      </c>
      <c r="H18" s="114" t="s">
        <v>398</v>
      </c>
      <c r="I18" s="114" t="e">
        <f ca="1">[4]!taqm2(M3,L3,I15)</f>
        <v>#NAME?</v>
      </c>
      <c r="J18" s="113">
        <v>57</v>
      </c>
      <c r="K18" s="113" t="s">
        <v>502</v>
      </c>
      <c r="L18" s="113" t="e">
        <f ca="1">[4]!tzohre1(M5)</f>
        <v>#NAME?</v>
      </c>
      <c r="M18" s="114">
        <v>79</v>
      </c>
      <c r="N18" s="114"/>
      <c r="O18" s="114"/>
      <c r="P18" s="113">
        <v>101</v>
      </c>
      <c r="Q18" s="113"/>
      <c r="R18" s="113"/>
      <c r="S18" s="114">
        <v>123</v>
      </c>
      <c r="T18" s="114"/>
      <c r="U18" s="115"/>
    </row>
    <row r="19" spans="4:21">
      <c r="D19" s="112">
        <v>14</v>
      </c>
      <c r="E19" s="113" t="s">
        <v>364</v>
      </c>
      <c r="F19" s="113" t="e">
        <f ca="1">[4]!qsn(F13,I3)</f>
        <v>#NAME?</v>
      </c>
      <c r="G19" s="114">
        <v>36</v>
      </c>
      <c r="H19" s="114" t="s">
        <v>399</v>
      </c>
      <c r="I19" s="114" t="e">
        <f ca="1">[4]!taqm3(S3,I16)</f>
        <v>#NAME?</v>
      </c>
      <c r="J19" s="113">
        <v>58</v>
      </c>
      <c r="K19" s="113" t="s">
        <v>503</v>
      </c>
      <c r="L19" s="113" t="e">
        <f ca="1">[4]!tota1(M5)</f>
        <v>#NAME?</v>
      </c>
      <c r="M19" s="114">
        <v>80</v>
      </c>
      <c r="N19" s="114"/>
      <c r="O19" s="114"/>
      <c r="P19" s="113">
        <v>102</v>
      </c>
      <c r="Q19" s="113"/>
      <c r="R19" s="113"/>
      <c r="S19" s="114">
        <v>124</v>
      </c>
      <c r="T19" s="114"/>
      <c r="U19" s="115"/>
    </row>
    <row r="20" spans="4:21">
      <c r="D20" s="112">
        <v>15</v>
      </c>
      <c r="E20" s="113" t="s">
        <v>421</v>
      </c>
      <c r="F20" s="113" t="e">
        <f ca="1">[4]!qsl(F6,I3)</f>
        <v>#NAME?</v>
      </c>
      <c r="G20" s="114">
        <v>37</v>
      </c>
      <c r="H20" s="114" t="s">
        <v>400</v>
      </c>
      <c r="I20" s="114" t="e">
        <f ca="1">[4]!taqm4(T3)</f>
        <v>#NAME?</v>
      </c>
      <c r="J20" s="113">
        <v>59</v>
      </c>
      <c r="K20" s="113" t="s">
        <v>504</v>
      </c>
      <c r="L20" s="113" t="e">
        <f ca="1">[4]!arzmr(L5)</f>
        <v>#NAME?</v>
      </c>
      <c r="M20" s="114">
        <v>81</v>
      </c>
      <c r="N20" s="114"/>
      <c r="O20" s="114"/>
      <c r="P20" s="113">
        <v>103</v>
      </c>
      <c r="Q20" s="113"/>
      <c r="R20" s="113"/>
      <c r="S20" s="114">
        <v>125</v>
      </c>
      <c r="T20" s="114"/>
      <c r="U20" s="115"/>
    </row>
    <row r="21" spans="4:21">
      <c r="D21" s="112">
        <v>16</v>
      </c>
      <c r="E21" s="113" t="s">
        <v>422</v>
      </c>
      <c r="F21" s="113" t="e">
        <f ca="1">[4]!mtdt(G3,H3,I3)</f>
        <v>#NAME?</v>
      </c>
      <c r="G21" s="114">
        <v>38</v>
      </c>
      <c r="H21" s="114" t="s">
        <v>409</v>
      </c>
      <c r="I21" s="114" t="e">
        <f ca="1">[4]!mosr(I3,E3)</f>
        <v>#NAME?</v>
      </c>
      <c r="J21" s="113">
        <v>60</v>
      </c>
      <c r="K21" s="113" t="s">
        <v>446</v>
      </c>
      <c r="L21" s="113" t="e">
        <f ca="1">[4]!arzmo(L5)</f>
        <v>#NAME?</v>
      </c>
      <c r="M21" s="114">
        <v>82</v>
      </c>
      <c r="N21" s="114"/>
      <c r="O21" s="114"/>
      <c r="P21" s="113">
        <v>104</v>
      </c>
      <c r="Q21" s="113"/>
      <c r="R21" s="113"/>
      <c r="S21" s="114">
        <v>126</v>
      </c>
      <c r="T21" s="114"/>
      <c r="U21" s="115"/>
    </row>
    <row r="22" spans="4:21">
      <c r="D22" s="112">
        <v>17</v>
      </c>
      <c r="E22" s="113" t="s">
        <v>423</v>
      </c>
      <c r="F22" s="113" t="e">
        <f ca="1">[4]!mtdq(G3,H3,I3)</f>
        <v>#NAME?</v>
      </c>
      <c r="G22" s="114">
        <v>39</v>
      </c>
      <c r="H22" s="114" t="s">
        <v>410</v>
      </c>
      <c r="I22" s="114" t="e">
        <f ca="1">[4]!movr(I3,E3)</f>
        <v>#NAME?</v>
      </c>
      <c r="J22" s="113">
        <v>61</v>
      </c>
      <c r="K22" s="113" t="s">
        <v>447</v>
      </c>
      <c r="L22" s="113"/>
      <c r="M22" s="114">
        <v>83</v>
      </c>
      <c r="N22" s="114"/>
      <c r="O22" s="114"/>
      <c r="P22" s="113">
        <v>105</v>
      </c>
      <c r="Q22" s="113"/>
      <c r="R22" s="113"/>
      <c r="S22" s="114">
        <v>127</v>
      </c>
      <c r="T22" s="114"/>
      <c r="U22" s="115"/>
    </row>
    <row r="23" spans="4:21">
      <c r="D23" s="112">
        <v>18</v>
      </c>
      <c r="E23" s="113" t="s">
        <v>424</v>
      </c>
      <c r="F23" s="113" t="e">
        <f ca="1">[4]!tdnk(I3,F13)</f>
        <v>#NAME?</v>
      </c>
      <c r="G23" s="114">
        <v>40</v>
      </c>
      <c r="H23" s="114" t="s">
        <v>411</v>
      </c>
      <c r="I23" s="114" t="e">
        <f ca="1">[4]!mossh(I3,E3)</f>
        <v>#NAME?</v>
      </c>
      <c r="J23" s="113">
        <v>62</v>
      </c>
      <c r="K23" s="113" t="s">
        <v>448</v>
      </c>
      <c r="L23" s="113" t="e">
        <f ca="1">[4]!arzzr(L5)</f>
        <v>#NAME?</v>
      </c>
      <c r="M23" s="114">
        <v>84</v>
      </c>
      <c r="N23" s="114"/>
      <c r="O23" s="114"/>
      <c r="P23" s="113">
        <v>106</v>
      </c>
      <c r="Q23" s="113"/>
      <c r="R23" s="113"/>
      <c r="S23" s="114">
        <v>128</v>
      </c>
      <c r="T23" s="114"/>
      <c r="U23" s="115"/>
    </row>
    <row r="24" spans="4:21">
      <c r="D24" s="112">
        <v>19</v>
      </c>
      <c r="E24" s="113" t="s">
        <v>425</v>
      </c>
      <c r="F24" s="113" t="e">
        <f ca="1">[4]!tazmb(F3,I3)</f>
        <v>#NAME?</v>
      </c>
      <c r="G24" s="114">
        <v>41</v>
      </c>
      <c r="H24" s="114" t="s">
        <v>412</v>
      </c>
      <c r="I24" s="114" t="e">
        <f ca="1">[4]!movsh(I3,E3)</f>
        <v>#NAME?</v>
      </c>
      <c r="J24" s="113">
        <v>63</v>
      </c>
      <c r="K24" s="113" t="s">
        <v>449</v>
      </c>
      <c r="L24" s="113" t="e">
        <f ca="1">[4]!arzota(L5)</f>
        <v>#NAME?</v>
      </c>
      <c r="M24" s="114">
        <v>85</v>
      </c>
      <c r="N24" s="114"/>
      <c r="O24" s="114"/>
      <c r="P24" s="113">
        <v>107</v>
      </c>
      <c r="Q24" s="113"/>
      <c r="R24" s="113"/>
      <c r="S24" s="114">
        <v>129</v>
      </c>
      <c r="T24" s="114"/>
      <c r="U24" s="115"/>
    </row>
    <row r="25" spans="4:21">
      <c r="D25" s="112">
        <v>20</v>
      </c>
      <c r="E25" s="113" t="s">
        <v>426</v>
      </c>
      <c r="F25" s="113" t="e">
        <f ca="1">[4]!dtl(G3,H3,I3)</f>
        <v>#NAME?</v>
      </c>
      <c r="G25" s="114">
        <v>42</v>
      </c>
      <c r="H25" s="114" t="s">
        <v>413</v>
      </c>
      <c r="I25" s="114" t="e">
        <f ca="1">[4]!kahrir(I3,E3)</f>
        <v>#NAME?</v>
      </c>
      <c r="J25" s="113">
        <v>64</v>
      </c>
      <c r="K25" s="113" t="s">
        <v>505</v>
      </c>
      <c r="L25" s="113" t="e">
        <f ca="1">[4]!tmer2(L5)</f>
        <v>#NAME?</v>
      </c>
      <c r="M25" s="114">
        <v>86</v>
      </c>
      <c r="N25" s="114"/>
      <c r="O25" s="114"/>
      <c r="P25" s="113">
        <v>108</v>
      </c>
      <c r="Q25" s="113"/>
      <c r="R25" s="113"/>
      <c r="S25" s="114">
        <v>130</v>
      </c>
      <c r="T25" s="114"/>
      <c r="U25" s="115"/>
    </row>
    <row r="26" spans="4:21">
      <c r="D26" s="112">
        <v>21</v>
      </c>
      <c r="E26" s="113" t="s">
        <v>427</v>
      </c>
      <c r="F26" s="116" t="e">
        <f ca="1">[4]!mtq(F19,F21)</f>
        <v>#NAME?</v>
      </c>
      <c r="G26" s="114">
        <v>43</v>
      </c>
      <c r="H26" s="114" t="s">
        <v>414</v>
      </c>
      <c r="I26" s="114" t="e">
        <f ca="1">[4]!kahrish(I3,E3)</f>
        <v>#NAME?</v>
      </c>
      <c r="J26" s="113">
        <v>65</v>
      </c>
      <c r="K26" s="113" t="s">
        <v>506</v>
      </c>
      <c r="L26" s="113" t="e">
        <f ca="1">[4]!tmosh2(L5)</f>
        <v>#NAME?</v>
      </c>
      <c r="M26" s="114">
        <v>87</v>
      </c>
      <c r="N26" s="114"/>
      <c r="O26" s="114"/>
      <c r="P26" s="113">
        <v>109</v>
      </c>
      <c r="Q26" s="113"/>
      <c r="R26" s="113"/>
      <c r="S26" s="114">
        <v>131</v>
      </c>
      <c r="T26" s="114"/>
      <c r="U26" s="115"/>
    </row>
    <row r="27" spans="4:21" ht="15.75" thickBot="1">
      <c r="D27" s="117">
        <v>22</v>
      </c>
      <c r="E27" s="118" t="s">
        <v>428</v>
      </c>
      <c r="F27" s="118" t="e">
        <f ca="1">[4]!sazr(I3,F13,F5,E5)</f>
        <v>#NAME?</v>
      </c>
      <c r="G27" s="119">
        <v>44</v>
      </c>
      <c r="H27" s="119" t="s">
        <v>231</v>
      </c>
      <c r="I27" s="120" t="e">
        <f ca="1">[4]!arzr(G5,F6,I14)</f>
        <v>#NAME?</v>
      </c>
      <c r="J27" s="118">
        <v>66</v>
      </c>
      <c r="K27" s="118" t="s">
        <v>507</v>
      </c>
      <c r="L27" s="118"/>
      <c r="M27" s="119">
        <v>88</v>
      </c>
      <c r="N27" s="119"/>
      <c r="O27" s="119"/>
      <c r="P27" s="118">
        <v>110</v>
      </c>
      <c r="Q27" s="118"/>
      <c r="R27" s="118"/>
      <c r="S27" s="119">
        <v>132</v>
      </c>
      <c r="T27" s="119"/>
      <c r="U27" s="121"/>
    </row>
    <row r="29" spans="4:21">
      <c r="G29" s="114"/>
    </row>
    <row r="30" spans="4:21">
      <c r="G30" s="114"/>
    </row>
    <row r="31" spans="4:21">
      <c r="G31" s="114"/>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BW40"/>
  <sheetViews>
    <sheetView rightToLeft="1" topLeftCell="A10" zoomScale="89" zoomScaleNormal="89" workbookViewId="0">
      <selection activeCell="N11" sqref="N11:P23"/>
    </sheetView>
  </sheetViews>
  <sheetFormatPr defaultRowHeight="15"/>
  <cols>
    <col min="2" max="2" width="13.5703125" customWidth="1"/>
    <col min="3" max="3" width="15.7109375" customWidth="1"/>
    <col min="12" max="12" width="13.28515625" customWidth="1"/>
    <col min="13" max="13" width="11" customWidth="1"/>
    <col min="15" max="15" width="16.140625" customWidth="1"/>
    <col min="20" max="20" width="15.42578125" customWidth="1"/>
    <col min="22" max="22" width="11.5703125" customWidth="1"/>
    <col min="31" max="31" width="11.140625" customWidth="1"/>
    <col min="32" max="32" width="20" customWidth="1"/>
    <col min="33" max="33" width="9.140625" customWidth="1"/>
    <col min="34" max="34" width="11" customWidth="1"/>
    <col min="40" max="40" width="19.5703125" customWidth="1"/>
    <col min="46" max="46" width="10.42578125" customWidth="1"/>
    <col min="48" max="48" width="20.140625" customWidth="1"/>
    <col min="49" max="49" width="9.85546875" customWidth="1"/>
    <col min="56" max="56" width="19.28515625" customWidth="1"/>
    <col min="57" max="57" width="12.28515625" customWidth="1"/>
  </cols>
  <sheetData>
    <row r="2" spans="2:75">
      <c r="B2" t="s">
        <v>265</v>
      </c>
      <c r="C2" t="s">
        <v>267</v>
      </c>
      <c r="L2" t="s">
        <v>266</v>
      </c>
    </row>
    <row r="3" spans="2:75" ht="24.75">
      <c r="B3" s="35" t="s">
        <v>257</v>
      </c>
      <c r="C3" s="35">
        <v>92</v>
      </c>
      <c r="D3" s="28">
        <f t="shared" ref="D3:D9" si="0">INT(C3)</f>
        <v>92</v>
      </c>
      <c r="E3" s="28">
        <f t="shared" ref="E3:E9" si="1">INT((C3-D3)*60)</f>
        <v>0</v>
      </c>
      <c r="F3" s="28">
        <f t="shared" ref="F3:F9" si="2">INT((((C3-D3)*60)-E3)*60)</f>
        <v>0</v>
      </c>
      <c r="G3" s="28">
        <f t="shared" ref="G3:G9" si="3">INT((((((C3-D3)*60)-E3)*60)-F3)*60)</f>
        <v>0</v>
      </c>
      <c r="H3" s="28">
        <f t="shared" ref="H3:H9" si="4">INT((((((((C3-D3)*60)-E3)*60)-F3)*60)-G3)*60)</f>
        <v>0</v>
      </c>
      <c r="I3" s="28">
        <f t="shared" ref="I3:I9" si="5">INT((((((((((C3-D3)*60)-E3)*60)-F3)*60)-G3)*60)-H3)*60)</f>
        <v>0</v>
      </c>
      <c r="J3" s="28">
        <f t="shared" ref="J3:J9" si="6">INT((((((((((((C3-D3)*60)-E3)*60)-F3)*60)-G3)*60)-H3)*60)-I3)*60)</f>
        <v>0</v>
      </c>
      <c r="L3" s="35" t="s">
        <v>257</v>
      </c>
      <c r="M3" s="35">
        <f>C3</f>
        <v>92</v>
      </c>
      <c r="N3" s="28">
        <f t="shared" ref="N3:N9" si="7">INT(M3)</f>
        <v>92</v>
      </c>
      <c r="O3" s="28">
        <f t="shared" ref="O3:O9" si="8">INT((M3-N3)*60)</f>
        <v>0</v>
      </c>
      <c r="P3" s="28">
        <f t="shared" ref="P3:P9" si="9">INT((((M3-N3)*60)-O3)*60)</f>
        <v>0</v>
      </c>
      <c r="Q3" s="28">
        <f t="shared" ref="Q3:Q9" si="10">INT((((((M3-N3)*60)-O3)*60)-P3)*60)</f>
        <v>0</v>
      </c>
      <c r="R3" s="28">
        <f t="shared" ref="R3:R9" si="11">INT((((((((M3-N3)*60)-O3)*60)-P3)*60)-Q3)*60)</f>
        <v>0</v>
      </c>
      <c r="S3" s="28">
        <f t="shared" ref="S3:S9" si="12">INT((((((((((M3-N3)*60)-O3)*60)-P3)*60)-Q3)*60)-R3)*60)</f>
        <v>0</v>
      </c>
      <c r="T3" s="28">
        <f t="shared" ref="T3:T9" si="13">INT((((((((((((M3-N3)*60)-O3)*60)-P3)*60)-Q3)*60)-R3)*60)-S3)*60)</f>
        <v>0</v>
      </c>
    </row>
    <row r="4" spans="2:75" ht="24.75">
      <c r="B4" s="35" t="s">
        <v>258</v>
      </c>
      <c r="C4" s="35">
        <v>3.3601619530000001E-2</v>
      </c>
      <c r="D4" s="28">
        <f t="shared" si="0"/>
        <v>0</v>
      </c>
      <c r="E4" s="28">
        <f t="shared" si="1"/>
        <v>2</v>
      </c>
      <c r="F4" s="28">
        <f t="shared" si="2"/>
        <v>0</v>
      </c>
      <c r="G4" s="28">
        <f t="shared" si="3"/>
        <v>57</v>
      </c>
      <c r="H4" s="28">
        <f t="shared" si="4"/>
        <v>56</v>
      </c>
      <c r="I4" s="28">
        <f t="shared" si="5"/>
        <v>59</v>
      </c>
      <c r="J4" s="28">
        <f t="shared" si="6"/>
        <v>20</v>
      </c>
      <c r="L4" s="35" t="s">
        <v>258</v>
      </c>
      <c r="M4" s="35">
        <f>2.01610185186</f>
        <v>2.0161018518599998</v>
      </c>
      <c r="N4" s="28">
        <f t="shared" si="7"/>
        <v>2</v>
      </c>
      <c r="O4" s="28">
        <f t="shared" si="8"/>
        <v>0</v>
      </c>
      <c r="P4" s="28">
        <f t="shared" si="9"/>
        <v>57</v>
      </c>
      <c r="Q4" s="28">
        <f t="shared" si="10"/>
        <v>58</v>
      </c>
      <c r="R4" s="28">
        <f t="shared" si="11"/>
        <v>0</v>
      </c>
      <c r="S4" s="28">
        <f t="shared" si="12"/>
        <v>0</v>
      </c>
      <c r="T4" s="28">
        <f t="shared" si="13"/>
        <v>0</v>
      </c>
    </row>
    <row r="5" spans="2:75" ht="24.75">
      <c r="B5" s="34" t="s">
        <v>259</v>
      </c>
      <c r="C5" s="34">
        <f>ABS(COS(RADIANS(C3)))*C4</f>
        <v>1.1726796099859268E-3</v>
      </c>
      <c r="D5" s="26">
        <f t="shared" si="0"/>
        <v>0</v>
      </c>
      <c r="E5" s="26">
        <f t="shared" si="1"/>
        <v>0</v>
      </c>
      <c r="F5" s="26">
        <f t="shared" si="2"/>
        <v>4</v>
      </c>
      <c r="G5" s="26">
        <f t="shared" si="3"/>
        <v>13</v>
      </c>
      <c r="H5" s="26">
        <f t="shared" si="4"/>
        <v>17</v>
      </c>
      <c r="I5" s="26">
        <f t="shared" si="5"/>
        <v>55</v>
      </c>
      <c r="J5" s="26">
        <f t="shared" si="6"/>
        <v>39</v>
      </c>
      <c r="L5" s="24"/>
      <c r="M5" s="24">
        <f>SIN(RADIANS(M3))*M4</f>
        <v>2.0148736970850956</v>
      </c>
      <c r="N5" s="26">
        <f t="shared" si="7"/>
        <v>2</v>
      </c>
      <c r="O5" s="26">
        <f t="shared" si="8"/>
        <v>0</v>
      </c>
      <c r="P5" s="26">
        <f t="shared" si="9"/>
        <v>53</v>
      </c>
      <c r="Q5" s="26">
        <f t="shared" si="10"/>
        <v>32</v>
      </c>
      <c r="R5" s="26">
        <f t="shared" si="11"/>
        <v>43</v>
      </c>
      <c r="S5" s="26">
        <f t="shared" si="12"/>
        <v>6</v>
      </c>
      <c r="T5" s="26">
        <f t="shared" si="13"/>
        <v>51</v>
      </c>
    </row>
    <row r="6" spans="2:75" ht="24.75">
      <c r="B6" s="34" t="s">
        <v>260</v>
      </c>
      <c r="C6" s="34">
        <f>SIN(RADIANS(C3))*C4</f>
        <v>3.3581150331267698E-2</v>
      </c>
      <c r="D6" s="26">
        <f t="shared" si="0"/>
        <v>0</v>
      </c>
      <c r="E6" s="26">
        <f t="shared" si="1"/>
        <v>2</v>
      </c>
      <c r="F6" s="26">
        <f t="shared" si="2"/>
        <v>0</v>
      </c>
      <c r="G6" s="26">
        <f t="shared" si="3"/>
        <v>53</v>
      </c>
      <c r="H6" s="26">
        <f t="shared" si="4"/>
        <v>31</v>
      </c>
      <c r="I6" s="26">
        <f t="shared" si="5"/>
        <v>42</v>
      </c>
      <c r="J6" s="26">
        <f t="shared" si="6"/>
        <v>29</v>
      </c>
      <c r="L6" s="24"/>
      <c r="M6" s="24">
        <f>COS(RADIANS(M3))*M4</f>
        <v>-7.0360939930894137E-2</v>
      </c>
      <c r="N6" s="26">
        <f t="shared" si="7"/>
        <v>-1</v>
      </c>
      <c r="O6" s="26">
        <f t="shared" si="8"/>
        <v>55</v>
      </c>
      <c r="P6" s="26">
        <f t="shared" si="9"/>
        <v>46</v>
      </c>
      <c r="Q6" s="26">
        <f t="shared" si="10"/>
        <v>42</v>
      </c>
      <c r="R6" s="26">
        <f t="shared" si="11"/>
        <v>2</v>
      </c>
      <c r="S6" s="26">
        <f t="shared" si="12"/>
        <v>13</v>
      </c>
      <c r="T6" s="26">
        <f t="shared" si="13"/>
        <v>6</v>
      </c>
      <c r="BF6" s="478"/>
      <c r="BG6" s="478"/>
      <c r="BH6" s="478"/>
      <c r="BI6" s="479"/>
      <c r="BK6" s="231" t="s">
        <v>60</v>
      </c>
      <c r="BL6" s="232">
        <v>60</v>
      </c>
      <c r="BM6" s="256" t="s">
        <v>5</v>
      </c>
      <c r="BN6" s="257">
        <v>10</v>
      </c>
      <c r="BR6" s="231" t="s">
        <v>60</v>
      </c>
      <c r="BS6" s="232">
        <v>1348</v>
      </c>
      <c r="BT6" s="256" t="s">
        <v>5</v>
      </c>
      <c r="BU6" s="257">
        <v>28</v>
      </c>
    </row>
    <row r="7" spans="2:75" ht="24.75">
      <c r="B7" s="34" t="s">
        <v>261</v>
      </c>
      <c r="C7" s="34">
        <f>IF(90&lt;C3&lt;=270,2-C5,2+C5)</f>
        <v>2.001172679609986</v>
      </c>
      <c r="D7" s="26">
        <f t="shared" si="0"/>
        <v>2</v>
      </c>
      <c r="E7" s="26">
        <f t="shared" si="1"/>
        <v>0</v>
      </c>
      <c r="F7" s="26">
        <f t="shared" si="2"/>
        <v>4</v>
      </c>
      <c r="G7" s="26">
        <f t="shared" si="3"/>
        <v>13</v>
      </c>
      <c r="H7" s="26">
        <f t="shared" si="4"/>
        <v>17</v>
      </c>
      <c r="I7" s="26">
        <f t="shared" si="5"/>
        <v>55</v>
      </c>
      <c r="J7" s="26">
        <f t="shared" si="6"/>
        <v>39</v>
      </c>
      <c r="L7" s="24"/>
      <c r="M7" s="24">
        <f>SQRT(POWER((120+M6),2)+POWER(M5,2))</f>
        <v>119.94656327337461</v>
      </c>
      <c r="N7" s="26">
        <f t="shared" si="7"/>
        <v>119</v>
      </c>
      <c r="O7" s="26">
        <f t="shared" si="8"/>
        <v>56</v>
      </c>
      <c r="P7" s="26">
        <f t="shared" si="9"/>
        <v>47</v>
      </c>
      <c r="Q7" s="26">
        <f t="shared" si="10"/>
        <v>37</v>
      </c>
      <c r="R7" s="26">
        <f t="shared" si="11"/>
        <v>40</v>
      </c>
      <c r="S7" s="26">
        <f t="shared" si="12"/>
        <v>1</v>
      </c>
      <c r="T7" s="26">
        <f t="shared" si="13"/>
        <v>22</v>
      </c>
      <c r="AE7" t="s">
        <v>2274</v>
      </c>
      <c r="AG7">
        <f>AG30</f>
        <v>3.3425925925925928E-2</v>
      </c>
      <c r="AH7" s="451">
        <f>INT(ABS(AG7))</f>
        <v>0</v>
      </c>
      <c r="AI7" s="451">
        <f>INT((ABS(AG7)-AH7)*60)</f>
        <v>2</v>
      </c>
      <c r="AJ7" s="451">
        <f>INT((((ABS(AG7)-AH7)*60)-AI7)*60)</f>
        <v>0</v>
      </c>
      <c r="AK7" s="452">
        <f>INT((((((ABS(AG7)-AH7)*60)-AI7)*60)-AJ7)*60)</f>
        <v>19</v>
      </c>
      <c r="AM7" s="327" t="s">
        <v>2275</v>
      </c>
      <c r="AN7" s="327"/>
      <c r="AO7" s="327">
        <f>AO30</f>
        <v>4.2222222222221717E-4</v>
      </c>
      <c r="AP7" s="451">
        <f>INT(ABS(AO7))</f>
        <v>0</v>
      </c>
      <c r="AQ7" s="451">
        <f>INT((ABS(AO7)-AP7)*60)</f>
        <v>0</v>
      </c>
      <c r="AR7" s="451">
        <f>INT((((ABS(AO7)-AP7)*60)-AQ7)*60)</f>
        <v>1</v>
      </c>
      <c r="AS7" s="452">
        <f>INT((((((ABS(AO7)-AP7)*60)-AQ7)*60)-AR7)*60)</f>
        <v>31</v>
      </c>
      <c r="AU7" s="467" t="s">
        <v>2279</v>
      </c>
      <c r="AV7" s="295"/>
      <c r="AW7" s="295">
        <f>AW33</f>
        <v>0.37541666666666668</v>
      </c>
      <c r="AX7" s="468">
        <f>INT(ABS(AW7))</f>
        <v>0</v>
      </c>
      <c r="AY7" s="468">
        <f>INT((ABS(AW7)-AX7)*60)</f>
        <v>22</v>
      </c>
      <c r="AZ7" s="468">
        <f>INT((((ABS(AW7)-AX7)*60)-AY7)*60)</f>
        <v>31</v>
      </c>
      <c r="BA7" s="469">
        <f>INT((((((ABS(AW7)-AX7)*60)-AY7)*60)-AZ7)*60)</f>
        <v>30</v>
      </c>
      <c r="BB7" s="327"/>
      <c r="BC7" s="476" t="s">
        <v>2292</v>
      </c>
      <c r="BD7" s="477"/>
      <c r="BE7" s="477">
        <f>[2]!taqm3(BE8,BE9)</f>
        <v>6.597222222222221E-2</v>
      </c>
      <c r="BF7" s="478">
        <f>INT(ABS(BE7))</f>
        <v>0</v>
      </c>
      <c r="BG7" s="478">
        <f>INT((ABS(BE7)-BF7)*60)</f>
        <v>3</v>
      </c>
      <c r="BH7" s="478">
        <f>INT((((ABS(BE7)-BF7)*60)-BG7)*60)</f>
        <v>57</v>
      </c>
      <c r="BI7" s="479">
        <f>INT((((((ABS(BE7)-BF7)*60)-BG7)*60)-BH7)*60)</f>
        <v>29</v>
      </c>
      <c r="BK7" s="252" t="s">
        <v>4</v>
      </c>
      <c r="BL7" s="253">
        <v>1</v>
      </c>
      <c r="BM7" s="250" t="s">
        <v>219</v>
      </c>
      <c r="BN7" s="258">
        <v>1</v>
      </c>
      <c r="BR7" s="252" t="s">
        <v>4</v>
      </c>
      <c r="BS7" s="253">
        <v>7</v>
      </c>
      <c r="BT7" s="250" t="s">
        <v>219</v>
      </c>
      <c r="BU7" s="258">
        <v>4</v>
      </c>
    </row>
    <row r="8" spans="2:75" ht="24.75">
      <c r="B8" s="34" t="s">
        <v>262</v>
      </c>
      <c r="C8" s="34">
        <f>SQRT(POWER(C6,2)+POWER(C7,2))</f>
        <v>2.0014544179858262</v>
      </c>
      <c r="D8" s="26">
        <f t="shared" si="0"/>
        <v>2</v>
      </c>
      <c r="E8" s="26">
        <f t="shared" si="1"/>
        <v>0</v>
      </c>
      <c r="F8" s="26">
        <f t="shared" si="2"/>
        <v>5</v>
      </c>
      <c r="G8" s="26">
        <f t="shared" si="3"/>
        <v>14</v>
      </c>
      <c r="H8" s="26">
        <f t="shared" si="4"/>
        <v>9</v>
      </c>
      <c r="I8" s="26">
        <f t="shared" si="5"/>
        <v>15</v>
      </c>
      <c r="J8" s="26">
        <f t="shared" si="6"/>
        <v>25</v>
      </c>
      <c r="L8" s="24"/>
      <c r="M8" s="24">
        <f>M5/M7</f>
        <v>1.6798094435543962E-2</v>
      </c>
      <c r="N8" s="26">
        <f t="shared" si="7"/>
        <v>0</v>
      </c>
      <c r="O8" s="26">
        <f t="shared" si="8"/>
        <v>1</v>
      </c>
      <c r="P8" s="26">
        <f t="shared" si="9"/>
        <v>0</v>
      </c>
      <c r="Q8" s="26">
        <f t="shared" si="10"/>
        <v>28</v>
      </c>
      <c r="R8" s="26">
        <f t="shared" si="11"/>
        <v>23</v>
      </c>
      <c r="S8" s="26">
        <f t="shared" si="12"/>
        <v>18</v>
      </c>
      <c r="T8" s="26">
        <f t="shared" si="13"/>
        <v>13</v>
      </c>
      <c r="AE8" s="263"/>
      <c r="AF8" s="249" t="s">
        <v>2263</v>
      </c>
      <c r="AG8" s="249" t="s">
        <v>2261</v>
      </c>
      <c r="AH8" s="249">
        <v>199</v>
      </c>
      <c r="AI8" s="249"/>
      <c r="AJ8" s="249"/>
      <c r="AK8" s="453"/>
      <c r="AM8" s="263"/>
      <c r="AN8" s="249" t="s">
        <v>2263</v>
      </c>
      <c r="AO8" s="249" t="s">
        <v>407</v>
      </c>
      <c r="AP8" s="150">
        <v>178.86</v>
      </c>
      <c r="AQ8" s="249"/>
      <c r="AR8" s="249"/>
      <c r="AS8" s="453"/>
      <c r="AU8" s="290" t="s">
        <v>2263</v>
      </c>
      <c r="AV8" s="291" t="s">
        <v>2281</v>
      </c>
      <c r="AW8" s="459">
        <f>(((((BA8/60)+AZ8)/60)+AY8)/60)+AX8</f>
        <v>4.0138888888888884E-2</v>
      </c>
      <c r="AX8" s="291">
        <v>0</v>
      </c>
      <c r="AY8" s="291">
        <v>2</v>
      </c>
      <c r="AZ8" s="460">
        <v>24</v>
      </c>
      <c r="BA8" s="292">
        <v>30</v>
      </c>
      <c r="BC8" s="300" t="s">
        <v>2263</v>
      </c>
      <c r="BD8" s="301" t="s">
        <v>777</v>
      </c>
      <c r="BE8" s="301">
        <v>112.5</v>
      </c>
      <c r="BF8" s="301"/>
      <c r="BG8" s="301"/>
      <c r="BH8" s="301"/>
      <c r="BI8" s="470"/>
      <c r="BK8" s="252" t="s">
        <v>5</v>
      </c>
      <c r="BL8" s="253">
        <f>[2]!roz(BN6,BN7,BN8,BN9)</f>
        <v>10.052083333333334</v>
      </c>
      <c r="BM8" s="250" t="s">
        <v>166</v>
      </c>
      <c r="BN8" s="258">
        <v>15</v>
      </c>
      <c r="BR8" s="252" t="s">
        <v>5</v>
      </c>
      <c r="BS8" s="253">
        <f>[2]!roz(BU6,BU7,BU8,BU9)</f>
        <v>28.180555555555557</v>
      </c>
      <c r="BT8" s="250" t="s">
        <v>166</v>
      </c>
      <c r="BU8" s="258">
        <v>20</v>
      </c>
    </row>
    <row r="9" spans="2:75" ht="24.75">
      <c r="B9" s="34" t="s">
        <v>263</v>
      </c>
      <c r="C9" s="34">
        <f>DEGREES(ASIN(C6/C8))</f>
        <v>0.96137511509297136</v>
      </c>
      <c r="D9" s="26">
        <f t="shared" si="0"/>
        <v>0</v>
      </c>
      <c r="E9" s="26">
        <f t="shared" si="1"/>
        <v>57</v>
      </c>
      <c r="F9" s="26">
        <f t="shared" si="2"/>
        <v>40</v>
      </c>
      <c r="G9" s="26">
        <f t="shared" si="3"/>
        <v>57</v>
      </c>
      <c r="H9" s="26">
        <f t="shared" si="4"/>
        <v>1</v>
      </c>
      <c r="I9" s="26">
        <f t="shared" si="5"/>
        <v>29</v>
      </c>
      <c r="J9" s="26">
        <f t="shared" si="6"/>
        <v>29</v>
      </c>
      <c r="L9" s="24"/>
      <c r="M9" s="24">
        <f>DEGREES(ASIN(M5/M7))</f>
        <v>0.962505184611814</v>
      </c>
      <c r="N9" s="26">
        <f t="shared" si="7"/>
        <v>0</v>
      </c>
      <c r="O9" s="26">
        <f t="shared" si="8"/>
        <v>57</v>
      </c>
      <c r="P9" s="26">
        <f t="shared" si="9"/>
        <v>45</v>
      </c>
      <c r="Q9" s="26">
        <f t="shared" si="10"/>
        <v>1</v>
      </c>
      <c r="R9" s="26">
        <f t="shared" si="11"/>
        <v>7</v>
      </c>
      <c r="S9" s="26">
        <f t="shared" si="12"/>
        <v>11</v>
      </c>
      <c r="T9" s="26">
        <f t="shared" si="13"/>
        <v>33</v>
      </c>
      <c r="AE9" s="264"/>
      <c r="AF9" s="114" t="s">
        <v>2264</v>
      </c>
      <c r="AG9" s="114" t="s">
        <v>2262</v>
      </c>
      <c r="AH9" s="114">
        <v>239</v>
      </c>
      <c r="AI9" s="114"/>
      <c r="AJ9" s="114"/>
      <c r="AK9" s="454"/>
      <c r="AM9" s="264"/>
      <c r="AN9" s="114" t="s">
        <v>2264</v>
      </c>
      <c r="AO9" s="114" t="s">
        <v>443</v>
      </c>
      <c r="AP9" s="150">
        <v>45.27</v>
      </c>
      <c r="AQ9" s="114"/>
      <c r="AR9" s="114"/>
      <c r="AS9" s="454"/>
      <c r="AU9" s="266" t="s">
        <v>2264</v>
      </c>
      <c r="AV9" s="251" t="s">
        <v>2280</v>
      </c>
      <c r="AW9" s="461">
        <f>(((((BA9/60)+AZ9)/60)+AY9)/60)+AX9</f>
        <v>0.57499999999999996</v>
      </c>
      <c r="AX9" s="251">
        <v>0</v>
      </c>
      <c r="AY9" s="251">
        <v>34</v>
      </c>
      <c r="AZ9" s="462">
        <v>30</v>
      </c>
      <c r="BA9" s="267"/>
      <c r="BC9" s="303" t="s">
        <v>2264</v>
      </c>
      <c r="BD9" s="304" t="s">
        <v>407</v>
      </c>
      <c r="BE9" s="304">
        <v>42</v>
      </c>
      <c r="BF9" s="304"/>
      <c r="BG9" s="304"/>
      <c r="BH9" s="304"/>
      <c r="BI9" s="471"/>
      <c r="BK9" s="254" t="s">
        <v>393</v>
      </c>
      <c r="BL9" s="255">
        <f>[2]!mbtool(2,47,0,1)</f>
        <v>0.11597222222222223</v>
      </c>
      <c r="BM9" s="259" t="s">
        <v>167</v>
      </c>
      <c r="BN9" s="260">
        <v>0</v>
      </c>
      <c r="BR9" s="254" t="s">
        <v>393</v>
      </c>
      <c r="BS9" s="255">
        <f>[2]!mbtool(0,13,0,1)</f>
        <v>9.0277777777777769E-3</v>
      </c>
      <c r="BT9" s="259" t="s">
        <v>167</v>
      </c>
      <c r="BU9" s="260">
        <v>0</v>
      </c>
    </row>
    <row r="10" spans="2:75" ht="25.5" thickBot="1">
      <c r="B10" s="34" t="s">
        <v>264</v>
      </c>
      <c r="C10" s="34">
        <f>2*C9</f>
        <v>1.9227502301859427</v>
      </c>
      <c r="D10" s="26">
        <f>INT(C10)</f>
        <v>1</v>
      </c>
      <c r="E10" s="26">
        <f>INT((C10-D10)*60)</f>
        <v>55</v>
      </c>
      <c r="F10" s="26">
        <f>INT((((C10-D10)*60)-E10)*60)</f>
        <v>21</v>
      </c>
      <c r="G10" s="26">
        <f>INT((((((C10-D10)*60)-E10)*60)-F10)*60)</f>
        <v>54</v>
      </c>
      <c r="H10" s="26">
        <f>INT((((((((C10-D10)*60)-E10)*60)-F10)*60)-G10)*60)</f>
        <v>2</v>
      </c>
      <c r="I10" s="26">
        <f>INT((((((((((C10-D10)*60)-E10)*60)-F10)*60)-G10)*60)-H10)*60)</f>
        <v>58</v>
      </c>
      <c r="J10" s="26">
        <f>INT((((((((((((C10-D10)*60)-E10)*60)-F10)*60)-G10)*60)-H10)*60)-I10)*60)</f>
        <v>59</v>
      </c>
      <c r="L10" s="34" t="s">
        <v>264</v>
      </c>
      <c r="M10" s="24">
        <f>M9*2</f>
        <v>1.925010369223628</v>
      </c>
      <c r="N10" s="26">
        <f>INT(M10)</f>
        <v>1</v>
      </c>
      <c r="O10" s="26">
        <f>INT((M10-N10)*60)</f>
        <v>55</v>
      </c>
      <c r="P10" s="26">
        <f>INT((((M10-N10)*60)-O10)*60)</f>
        <v>30</v>
      </c>
      <c r="Q10" s="26">
        <f>INT((((((M10-N10)*60)-O10)*60)-P10)*60)</f>
        <v>2</v>
      </c>
      <c r="R10" s="26">
        <f>INT((((((((M10-N10)*60)-O10)*60)-P10)*60)-Q10)*60)</f>
        <v>14</v>
      </c>
      <c r="S10" s="26">
        <f>INT((((((((((M10-N10)*60)-O10)*60)-P10)*60)-Q10)*60)-R10)*60)</f>
        <v>23</v>
      </c>
      <c r="T10" s="26">
        <f>INT((((((((((((M10-N10)*60)-O10)*60)-P10)*60)-Q10)*60)-R10)*60)-S10)*60)</f>
        <v>6</v>
      </c>
      <c r="AE10" s="264" t="s">
        <v>341</v>
      </c>
      <c r="AF10" s="114"/>
      <c r="AG10" s="114">
        <f>INT(AH8)</f>
        <v>199</v>
      </c>
      <c r="AH10" s="114"/>
      <c r="AI10" s="114"/>
      <c r="AJ10" s="114"/>
      <c r="AK10" s="247"/>
      <c r="AM10" s="264" t="s">
        <v>341</v>
      </c>
      <c r="AN10" s="114"/>
      <c r="AO10" s="114">
        <f>INT(AP8/3)*3</f>
        <v>177</v>
      </c>
      <c r="AP10" s="114"/>
      <c r="AQ10" s="114"/>
      <c r="AR10" s="114"/>
      <c r="AS10" s="247"/>
      <c r="AU10" s="266" t="s">
        <v>341</v>
      </c>
      <c r="AV10" s="251" t="s">
        <v>2277</v>
      </c>
      <c r="AW10" s="251">
        <f>INT(3600*AW8)</f>
        <v>144</v>
      </c>
      <c r="AX10" s="251"/>
      <c r="AY10" s="251"/>
      <c r="AZ10" s="251"/>
      <c r="BA10" s="267"/>
      <c r="BB10" s="327"/>
      <c r="BC10" s="303" t="s">
        <v>341</v>
      </c>
      <c r="BD10" s="304"/>
      <c r="BE10" s="304">
        <f>INT(BE8/3)*3</f>
        <v>111</v>
      </c>
      <c r="BF10" s="304"/>
      <c r="BG10" s="304"/>
      <c r="BH10" s="304"/>
      <c r="BI10" s="305"/>
      <c r="BM10" s="250" t="s">
        <v>177</v>
      </c>
      <c r="BN10" s="250">
        <v>24.8</v>
      </c>
      <c r="BR10" s="327"/>
      <c r="BS10" s="327"/>
      <c r="BT10" s="250" t="s">
        <v>177</v>
      </c>
      <c r="BU10" s="250">
        <v>24.8</v>
      </c>
    </row>
    <row r="11" spans="2:75" ht="24.75">
      <c r="N11" s="1308" t="s">
        <v>3</v>
      </c>
      <c r="O11" s="709">
        <v>1445</v>
      </c>
      <c r="AE11" s="264" t="s">
        <v>333</v>
      </c>
      <c r="AF11" s="114"/>
      <c r="AG11" s="114">
        <f>INT(AH9/6)*6</f>
        <v>234</v>
      </c>
      <c r="AH11" s="455">
        <f t="shared" ref="AH11:AH30" si="14">INT(ABS(AG11))</f>
        <v>234</v>
      </c>
      <c r="AI11" s="455">
        <f t="shared" ref="AI11:AI30" si="15">INT((ABS(AG11)-AH11)*60)</f>
        <v>0</v>
      </c>
      <c r="AJ11" s="455">
        <f t="shared" ref="AJ11:AJ30" si="16">INT((((ABS(AG11)-AH11)*60)-AI11)*60)</f>
        <v>0</v>
      </c>
      <c r="AK11" s="454"/>
      <c r="AM11" s="264" t="s">
        <v>333</v>
      </c>
      <c r="AN11" s="114"/>
      <c r="AO11" s="114">
        <f>INT(AP9/6)*6</f>
        <v>42</v>
      </c>
      <c r="AP11" s="455">
        <f t="shared" ref="AP11:AP17" si="17">INT(ABS(AO11))</f>
        <v>42</v>
      </c>
      <c r="AQ11" s="455">
        <f t="shared" ref="AQ11:AQ17" si="18">INT((ABS(AO11)-AP11)*60)</f>
        <v>0</v>
      </c>
      <c r="AR11" s="455">
        <f t="shared" ref="AR11:AR17" si="19">INT((((ABS(AO11)-AP11)*60)-AQ11)*60)</f>
        <v>0</v>
      </c>
      <c r="AS11" s="454"/>
      <c r="AU11" s="266" t="s">
        <v>333</v>
      </c>
      <c r="AV11" s="251" t="s">
        <v>2278</v>
      </c>
      <c r="AW11" s="251">
        <f>INT(AW9*60*3)</f>
        <v>103</v>
      </c>
      <c r="AX11" s="462">
        <f>INT(ABS(AW11))</f>
        <v>103</v>
      </c>
      <c r="AY11" s="462">
        <f>INT((ABS(AW11)-AX11)*60)</f>
        <v>0</v>
      </c>
      <c r="AZ11" s="462">
        <f>INT((((ABS(AW11)-AX11)*60)-AY11)*60)</f>
        <v>0</v>
      </c>
      <c r="BA11" s="463">
        <f>INT((((((ABS(AW11)-AX11)*60)-AY11)*60)-AZ11)*60)</f>
        <v>0</v>
      </c>
      <c r="BB11" s="327"/>
      <c r="BC11" s="303" t="s">
        <v>333</v>
      </c>
      <c r="BD11" s="304"/>
      <c r="BE11" s="304">
        <f>INT(BE9/2)*2</f>
        <v>42</v>
      </c>
      <c r="BF11" s="472">
        <f t="shared" ref="BF11:BF17" si="20">INT(ABS(BE11))</f>
        <v>42</v>
      </c>
      <c r="BG11" s="472">
        <f t="shared" ref="BG11:BG17" si="21">INT((ABS(BE11)-BF11)*60)</f>
        <v>0</v>
      </c>
      <c r="BH11" s="472">
        <f t="shared" ref="BH11:BH17" si="22">INT((((ABS(BE11)-BF11)*60)-BG11)*60)</f>
        <v>0</v>
      </c>
      <c r="BI11" s="471"/>
    </row>
    <row r="12" spans="2:75" ht="24.75">
      <c r="K12" s="327" t="s">
        <v>1385</v>
      </c>
      <c r="L12" s="327"/>
      <c r="N12" s="740" t="s">
        <v>4</v>
      </c>
      <c r="O12" s="741">
        <v>4</v>
      </c>
      <c r="AE12" s="264" t="s">
        <v>342</v>
      </c>
      <c r="AF12" s="114" t="s">
        <v>2252</v>
      </c>
      <c r="AG12" s="114">
        <f>[2]!tadilq2(AG10,AG11)</f>
        <v>2.2833333333333332</v>
      </c>
      <c r="AH12" s="455">
        <f t="shared" si="14"/>
        <v>2</v>
      </c>
      <c r="AI12" s="455">
        <f t="shared" si="15"/>
        <v>17</v>
      </c>
      <c r="AJ12" s="455">
        <f t="shared" si="16"/>
        <v>-1</v>
      </c>
      <c r="AK12" s="454">
        <f t="shared" ref="AK12:AK30" si="23">INT((((((ABS(AG12)-AH12)*60)-AI12)*60)-AJ12)*60)</f>
        <v>59</v>
      </c>
      <c r="AM12" s="264" t="s">
        <v>342</v>
      </c>
      <c r="AN12" s="114" t="s">
        <v>2252</v>
      </c>
      <c r="AO12" s="114">
        <f>[2]!tadarzq(AO10,AO11)</f>
        <v>1.1111111111111111E-3</v>
      </c>
      <c r="AP12" s="455">
        <f t="shared" si="17"/>
        <v>0</v>
      </c>
      <c r="AQ12" s="455">
        <f t="shared" si="18"/>
        <v>0</v>
      </c>
      <c r="AR12" s="455">
        <f t="shared" si="19"/>
        <v>4</v>
      </c>
      <c r="AS12" s="454">
        <f t="shared" ref="AS12:AS17" si="24">INT((((((ABS(AO12)-AP12)*60)-AQ12)*60)-AR12)*60)</f>
        <v>0</v>
      </c>
      <c r="AU12" s="266" t="s">
        <v>342</v>
      </c>
      <c r="AV12" s="251"/>
      <c r="AW12" s="251">
        <f>AW10/3600</f>
        <v>0.04</v>
      </c>
      <c r="AX12" s="462">
        <f>INT(ABS(AW12))</f>
        <v>0</v>
      </c>
      <c r="AY12" s="462">
        <f>INT((ABS(AW12)-AX12)*60)</f>
        <v>2</v>
      </c>
      <c r="AZ12" s="462">
        <f>INT((((ABS(AW12)-AX12)*60)-AY12)*60)</f>
        <v>24</v>
      </c>
      <c r="BA12" s="463">
        <f>INT((((((ABS(AW12)-AX12)*60)-AY12)*60)-AZ12)*60)</f>
        <v>-1</v>
      </c>
      <c r="BB12" s="327"/>
      <c r="BC12" s="303" t="s">
        <v>342</v>
      </c>
      <c r="BD12" s="304" t="s">
        <v>2252</v>
      </c>
      <c r="BE12" s="304">
        <f>[2]!taqm3(BE10,BE11)</f>
        <v>-6.805555555555555E-2</v>
      </c>
      <c r="BF12" s="472">
        <f t="shared" si="20"/>
        <v>0</v>
      </c>
      <c r="BG12" s="472">
        <f t="shared" si="21"/>
        <v>4</v>
      </c>
      <c r="BH12" s="472">
        <f t="shared" si="22"/>
        <v>4</v>
      </c>
      <c r="BI12" s="471">
        <f t="shared" ref="BI12:BI17" si="25">INT((((((ABS(BE12)-BF12)*60)-BG12)*60)-BH12)*60)</f>
        <v>59</v>
      </c>
      <c r="BK12" s="269" t="s">
        <v>612</v>
      </c>
      <c r="BL12" s="257">
        <f>[2]!wasatmosh(BL6,BL7,BL8,BL9)</f>
        <v>270.38978308943263</v>
      </c>
      <c r="BM12" s="472">
        <f>INT(ABS(BL12))</f>
        <v>270</v>
      </c>
      <c r="BN12" s="472">
        <f>INT((ABS(BL12)-BM12)*60)</f>
        <v>23</v>
      </c>
      <c r="BO12" s="472">
        <f>INT((((ABS(BL12)-BM12)*60)-BN12)*60)</f>
        <v>23</v>
      </c>
      <c r="BP12" s="471">
        <f>INT((((((ABS(BL12)-BM12)*60)-BN12)*60)-BO12)*60)</f>
        <v>13</v>
      </c>
      <c r="BR12" s="269" t="s">
        <v>612</v>
      </c>
      <c r="BS12" s="257">
        <f>[2]!wasatzo(BS6,BS7,BS8,BS9)</f>
        <v>272.45172214125614</v>
      </c>
      <c r="BT12" s="472">
        <f>INT(ABS(BS12))</f>
        <v>272</v>
      </c>
      <c r="BU12" s="472">
        <f>INT((ABS(BS12)-BT12)*60)</f>
        <v>27</v>
      </c>
      <c r="BV12" s="472">
        <f>INT((((ABS(BS12)-BT12)*60)-BU12)*60)</f>
        <v>6</v>
      </c>
      <c r="BW12" s="471">
        <f>INT((((((ABS(BS12)-BT12)*60)-BU12)*60)-BV12)*60)</f>
        <v>11</v>
      </c>
    </row>
    <row r="13" spans="2:75" ht="25.5" thickBot="1">
      <c r="B13" s="231" t="s">
        <v>2244</v>
      </c>
      <c r="C13" s="232">
        <v>1285</v>
      </c>
      <c r="D13" s="256" t="s">
        <v>5</v>
      </c>
      <c r="E13" s="257">
        <v>21</v>
      </c>
      <c r="K13" s="845"/>
      <c r="L13" s="845"/>
      <c r="N13" s="710" t="s">
        <v>5</v>
      </c>
      <c r="O13" s="712">
        <v>29</v>
      </c>
      <c r="V13" s="231" t="s">
        <v>2244</v>
      </c>
      <c r="W13" s="232">
        <v>1285</v>
      </c>
      <c r="X13" s="256" t="s">
        <v>5</v>
      </c>
      <c r="Y13" s="257">
        <v>21</v>
      </c>
      <c r="Z13" s="327"/>
      <c r="AA13" s="327"/>
      <c r="AB13" s="327"/>
      <c r="AE13" s="264" t="s">
        <v>343</v>
      </c>
      <c r="AF13" s="114" t="s">
        <v>2265</v>
      </c>
      <c r="AG13" s="114">
        <f>[2]!tadilq2(AG10+1,AG11)</f>
        <v>2.3833333333333333</v>
      </c>
      <c r="AH13" s="455">
        <f t="shared" si="14"/>
        <v>2</v>
      </c>
      <c r="AI13" s="455">
        <f t="shared" si="15"/>
        <v>23</v>
      </c>
      <c r="AJ13" s="455">
        <f t="shared" si="16"/>
        <v>0</v>
      </c>
      <c r="AK13" s="454">
        <f t="shared" si="23"/>
        <v>0</v>
      </c>
      <c r="AM13" s="264" t="s">
        <v>343</v>
      </c>
      <c r="AN13" s="114" t="s">
        <v>2265</v>
      </c>
      <c r="AO13" s="114">
        <f>[2]!tadarzq(AO10+3,AO11)</f>
        <v>0</v>
      </c>
      <c r="AP13" s="455">
        <f t="shared" si="17"/>
        <v>0</v>
      </c>
      <c r="AQ13" s="455">
        <f t="shared" si="18"/>
        <v>0</v>
      </c>
      <c r="AR13" s="455">
        <f t="shared" si="19"/>
        <v>0</v>
      </c>
      <c r="AS13" s="454">
        <f t="shared" si="24"/>
        <v>0</v>
      </c>
      <c r="AU13" s="266" t="s">
        <v>343</v>
      </c>
      <c r="AV13" s="251"/>
      <c r="AW13" s="251">
        <f>AW11/180</f>
        <v>0.57222222222222219</v>
      </c>
      <c r="AX13" s="462">
        <f>INT(ABS(AW13))</f>
        <v>0</v>
      </c>
      <c r="AY13" s="462">
        <f>INT((ABS(AW13)-AX13)*60)</f>
        <v>34</v>
      </c>
      <c r="AZ13" s="462">
        <f>INT((((ABS(AW13)-AX13)*60)-AY13)*60)</f>
        <v>19</v>
      </c>
      <c r="BA13" s="463">
        <f>INT((((((ABS(AW13)-AX13)*60)-AY13)*60)-AZ13)*60)</f>
        <v>59</v>
      </c>
      <c r="BB13" s="327"/>
      <c r="BC13" s="303" t="s">
        <v>343</v>
      </c>
      <c r="BD13" s="304" t="s">
        <v>2265</v>
      </c>
      <c r="BE13" s="304">
        <f>[2]!taqm3(BE10+3,BE11)</f>
        <v>6.3888888888888884E-2</v>
      </c>
      <c r="BF13" s="472">
        <f t="shared" si="20"/>
        <v>0</v>
      </c>
      <c r="BG13" s="472">
        <f t="shared" si="21"/>
        <v>3</v>
      </c>
      <c r="BH13" s="472">
        <f t="shared" si="22"/>
        <v>50</v>
      </c>
      <c r="BI13" s="471">
        <f t="shared" si="25"/>
        <v>-1</v>
      </c>
      <c r="BL13">
        <f>[2]!rasmosh(BL6,BL7,BL8,BL9)</f>
        <v>93.192977340690646</v>
      </c>
      <c r="BM13" s="472">
        <f>INT(ABS(BL13))</f>
        <v>93</v>
      </c>
      <c r="BN13" s="472">
        <f>INT((ABS(BL13)-BM13)*60)</f>
        <v>11</v>
      </c>
      <c r="BO13" s="472">
        <f>INT((((ABS(BL13)-BM13)*60)-BN13)*60)</f>
        <v>34</v>
      </c>
      <c r="BP13" s="471">
        <f>INT((((((ABS(BL13)-BM13)*60)-BN13)*60)-BO13)*60)</f>
        <v>43</v>
      </c>
      <c r="BR13" s="327"/>
      <c r="BS13" s="327">
        <f>[2]!raszo(BS6,BS7,BS8,BS9)</f>
        <v>116.49171477729671</v>
      </c>
      <c r="BT13" s="472">
        <f>INT(ABS(BS13))</f>
        <v>116</v>
      </c>
      <c r="BU13" s="472">
        <f>INT((ABS(BS13)-BT13)*60)</f>
        <v>29</v>
      </c>
      <c r="BV13" s="472">
        <f>INT((((ABS(BS13)-BT13)*60)-BU13)*60)</f>
        <v>30</v>
      </c>
      <c r="BW13" s="471">
        <f>INT((((((ABS(BS13)-BT13)*60)-BU13)*60)-BV13)*60)</f>
        <v>10</v>
      </c>
    </row>
    <row r="14" spans="2:75" ht="24.75">
      <c r="B14" s="252" t="s">
        <v>4</v>
      </c>
      <c r="C14" s="253">
        <v>9</v>
      </c>
      <c r="D14" s="250" t="s">
        <v>219</v>
      </c>
      <c r="E14" s="258">
        <v>3</v>
      </c>
      <c r="K14" s="845"/>
      <c r="L14" s="845"/>
      <c r="N14" s="740"/>
      <c r="O14" s="741">
        <f>O11/30</f>
        <v>48.166666666666664</v>
      </c>
      <c r="Q14" s="274"/>
      <c r="R14" s="274"/>
      <c r="S14" s="274"/>
      <c r="V14" s="252" t="s">
        <v>4</v>
      </c>
      <c r="W14" s="253">
        <v>9</v>
      </c>
      <c r="X14" s="250" t="s">
        <v>219</v>
      </c>
      <c r="Y14" s="258">
        <v>3</v>
      </c>
      <c r="Z14" s="327"/>
      <c r="AA14" s="327"/>
      <c r="AB14" s="327"/>
      <c r="AE14" s="456" t="s">
        <v>344</v>
      </c>
      <c r="AF14" s="114" t="s">
        <v>2266</v>
      </c>
      <c r="AG14" s="114">
        <f>[2]!tadilq2(AG10,AG11+6)</f>
        <v>1.95</v>
      </c>
      <c r="AH14" s="455">
        <f t="shared" si="14"/>
        <v>1</v>
      </c>
      <c r="AI14" s="455">
        <f t="shared" si="15"/>
        <v>57</v>
      </c>
      <c r="AJ14" s="455">
        <f t="shared" si="16"/>
        <v>0</v>
      </c>
      <c r="AK14" s="454">
        <f t="shared" si="23"/>
        <v>0</v>
      </c>
      <c r="AM14" s="456" t="s">
        <v>344</v>
      </c>
      <c r="AN14" s="114" t="s">
        <v>2266</v>
      </c>
      <c r="AO14" s="114">
        <f>[2]!tadarzq(AO10,AO11+6)</f>
        <v>1.1111111111111111E-3</v>
      </c>
      <c r="AP14" s="455">
        <f t="shared" si="17"/>
        <v>0</v>
      </c>
      <c r="AQ14" s="455">
        <f t="shared" si="18"/>
        <v>0</v>
      </c>
      <c r="AR14" s="455">
        <f t="shared" si="19"/>
        <v>4</v>
      </c>
      <c r="AS14" s="454">
        <f t="shared" si="24"/>
        <v>0</v>
      </c>
      <c r="AU14" s="266" t="s">
        <v>344</v>
      </c>
      <c r="AV14" s="251" t="s">
        <v>2252</v>
      </c>
      <c r="AW14" s="251">
        <f>[2]!asqar(AW12,AW13)</f>
        <v>0.37583333333333335</v>
      </c>
      <c r="AX14" s="462">
        <f t="shared" ref="AX14:AX23" si="26">INT(ABS(AW14))</f>
        <v>0</v>
      </c>
      <c r="AY14" s="462">
        <f t="shared" ref="AY14:AY23" si="27">INT((ABS(AW14)-AX14)*60)</f>
        <v>22</v>
      </c>
      <c r="AZ14" s="462">
        <f t="shared" ref="AZ14:AZ23" si="28">INT((((ABS(AW14)-AX14)*60)-AY14)*60)</f>
        <v>33</v>
      </c>
      <c r="BA14" s="463">
        <f t="shared" ref="BA14:BA19" si="29">INT((((((ABS(AW14)-AX14)*60)-AY14)*60)-AZ14)*60)</f>
        <v>0</v>
      </c>
      <c r="BB14" s="327"/>
      <c r="BC14" s="473" t="s">
        <v>344</v>
      </c>
      <c r="BD14" s="304" t="s">
        <v>2266</v>
      </c>
      <c r="BE14" s="304">
        <f>[2]!taqm3(BE10,BE11+2)</f>
        <v>-0.21861111111111112</v>
      </c>
      <c r="BF14" s="472">
        <f t="shared" si="20"/>
        <v>0</v>
      </c>
      <c r="BG14" s="472">
        <f t="shared" si="21"/>
        <v>13</v>
      </c>
      <c r="BH14" s="472">
        <f t="shared" si="22"/>
        <v>7</v>
      </c>
      <c r="BI14" s="471">
        <f t="shared" si="25"/>
        <v>0</v>
      </c>
      <c r="BL14">
        <f>[2]!oujmosh(BL6,BL7,BL8,BL9)</f>
        <v>163.50942617120728</v>
      </c>
      <c r="BM14" s="472">
        <f>INT(ABS(BL14))</f>
        <v>163</v>
      </c>
      <c r="BN14" s="472">
        <f>INT((ABS(BL14)-BM14)*60)</f>
        <v>30</v>
      </c>
      <c r="BO14" s="472">
        <f>INT((((ABS(BL14)-BM14)*60)-BN14)*60)</f>
        <v>33</v>
      </c>
      <c r="BP14" s="471">
        <f>INT((((((ABS(BL14)-BM14)*60)-BN14)*60)-BO14)*60)</f>
        <v>56</v>
      </c>
      <c r="BR14" s="327"/>
      <c r="BS14" s="327">
        <f>[2]!oujzo(BS6,BS7,BS8,BS9)</f>
        <v>274.46210532991188</v>
      </c>
      <c r="BT14" s="472">
        <f>INT(ABS(BS14))</f>
        <v>274</v>
      </c>
      <c r="BU14" s="472">
        <f>INT((ABS(BS14)-BT14)*60)</f>
        <v>27</v>
      </c>
      <c r="BV14" s="472">
        <f>INT((((ABS(BS14)-BT14)*60)-BU14)*60)</f>
        <v>43</v>
      </c>
      <c r="BW14" s="471">
        <f>INT((((((ABS(BS14)-BT14)*60)-BU14)*60)-BV14)*60)</f>
        <v>34</v>
      </c>
    </row>
    <row r="15" spans="2:75" ht="24.75">
      <c r="B15" s="252" t="s">
        <v>5</v>
      </c>
      <c r="C15" s="253">
        <f>[2]!roz(E13,E14,E15,E16)</f>
        <v>21.156481481481482</v>
      </c>
      <c r="D15" s="250" t="s">
        <v>166</v>
      </c>
      <c r="E15" s="258">
        <v>45</v>
      </c>
      <c r="K15" s="845"/>
      <c r="L15" s="845"/>
      <c r="N15" s="740"/>
      <c r="O15" s="741">
        <f>INT(O14)*30</f>
        <v>1440</v>
      </c>
      <c r="R15" s="274"/>
      <c r="S15" s="274"/>
      <c r="T15" s="327"/>
      <c r="V15" s="252" t="s">
        <v>5</v>
      </c>
      <c r="W15" s="253">
        <f>[2]!roz(Y13,Y14,Y15,Y16)</f>
        <v>21.156481481481482</v>
      </c>
      <c r="X15" s="250" t="s">
        <v>166</v>
      </c>
      <c r="Y15" s="258">
        <v>45</v>
      </c>
      <c r="Z15" s="327"/>
      <c r="AA15" s="327"/>
      <c r="AB15" s="327"/>
      <c r="AE15" s="264" t="s">
        <v>345</v>
      </c>
      <c r="AF15" s="114" t="s">
        <v>2269</v>
      </c>
      <c r="AG15" s="114">
        <f>[2]!tadilq2(AG10+1,AG11+6)</f>
        <v>2.0333333333333332</v>
      </c>
      <c r="AH15" s="455">
        <f t="shared" si="14"/>
        <v>2</v>
      </c>
      <c r="AI15" s="455">
        <f t="shared" si="15"/>
        <v>1</v>
      </c>
      <c r="AJ15" s="455">
        <f t="shared" si="16"/>
        <v>59</v>
      </c>
      <c r="AK15" s="454">
        <f t="shared" si="23"/>
        <v>59</v>
      </c>
      <c r="AM15" s="264" t="s">
        <v>345</v>
      </c>
      <c r="AN15" s="114" t="s">
        <v>2269</v>
      </c>
      <c r="AO15" s="114">
        <f>[2]!tadarzq(AO10+3,AO11+6)</f>
        <v>0</v>
      </c>
      <c r="AP15" s="455">
        <f t="shared" si="17"/>
        <v>0</v>
      </c>
      <c r="AQ15" s="455">
        <f t="shared" si="18"/>
        <v>0</v>
      </c>
      <c r="AR15" s="455">
        <f t="shared" si="19"/>
        <v>0</v>
      </c>
      <c r="AS15" s="454">
        <f t="shared" si="24"/>
        <v>0</v>
      </c>
      <c r="AU15" s="266" t="s">
        <v>345</v>
      </c>
      <c r="AV15" s="251" t="s">
        <v>2265</v>
      </c>
      <c r="AW15" s="251">
        <f>[2]!asqar(AW12,(AW11+1)/180)</f>
        <v>0.37222222222222229</v>
      </c>
      <c r="AX15" s="462">
        <f t="shared" si="26"/>
        <v>0</v>
      </c>
      <c r="AY15" s="462">
        <f t="shared" si="27"/>
        <v>22</v>
      </c>
      <c r="AZ15" s="462">
        <f t="shared" si="28"/>
        <v>20</v>
      </c>
      <c r="BA15" s="463">
        <f t="shared" si="29"/>
        <v>0</v>
      </c>
      <c r="BB15" s="327"/>
      <c r="BC15" s="303" t="s">
        <v>345</v>
      </c>
      <c r="BD15" s="304" t="s">
        <v>2269</v>
      </c>
      <c r="BE15" s="304">
        <f>[2]!taqm3(BE10+3,BE11+2)</f>
        <v>1.9444444444444444E-3</v>
      </c>
      <c r="BF15" s="472">
        <f t="shared" si="20"/>
        <v>0</v>
      </c>
      <c r="BG15" s="472">
        <f t="shared" si="21"/>
        <v>0</v>
      </c>
      <c r="BH15" s="472">
        <f t="shared" si="22"/>
        <v>7</v>
      </c>
      <c r="BI15" s="471">
        <f t="shared" si="25"/>
        <v>0</v>
      </c>
    </row>
    <row r="16" spans="2:75" ht="24.75">
      <c r="B16" s="254" t="s">
        <v>393</v>
      </c>
      <c r="C16" s="255">
        <f>[2]!mbtool(0,10,6,-1)</f>
        <v>-7.013888888888889E-3</v>
      </c>
      <c r="D16" s="259" t="s">
        <v>167</v>
      </c>
      <c r="E16" s="260">
        <v>20</v>
      </c>
      <c r="F16" t="s">
        <v>2243</v>
      </c>
      <c r="K16" s="1755"/>
      <c r="L16" s="845"/>
      <c r="N16" s="740"/>
      <c r="O16" s="741">
        <f>O15*354</f>
        <v>509760</v>
      </c>
      <c r="P16" s="274"/>
      <c r="Q16" s="274"/>
      <c r="R16" s="274"/>
      <c r="S16" s="274"/>
      <c r="V16" s="254" t="s">
        <v>393</v>
      </c>
      <c r="W16" s="255">
        <f>[2]!mbtool(0,10,6,-1)</f>
        <v>-7.013888888888889E-3</v>
      </c>
      <c r="X16" s="259" t="s">
        <v>167</v>
      </c>
      <c r="Y16" s="260">
        <v>20</v>
      </c>
      <c r="Z16" s="327" t="s">
        <v>2243</v>
      </c>
      <c r="AA16" s="327"/>
      <c r="AB16" s="327"/>
      <c r="AE16" s="264" t="s">
        <v>346</v>
      </c>
      <c r="AF16" s="114" t="s">
        <v>2267</v>
      </c>
      <c r="AG16" s="114">
        <f>AG13-AG12</f>
        <v>0.10000000000000009</v>
      </c>
      <c r="AH16" s="455">
        <f t="shared" si="14"/>
        <v>0</v>
      </c>
      <c r="AI16" s="455">
        <f t="shared" si="15"/>
        <v>6</v>
      </c>
      <c r="AJ16" s="455">
        <f t="shared" si="16"/>
        <v>0</v>
      </c>
      <c r="AK16" s="454">
        <f t="shared" si="23"/>
        <v>0</v>
      </c>
      <c r="AM16" s="264" t="s">
        <v>346</v>
      </c>
      <c r="AN16" s="114" t="s">
        <v>2267</v>
      </c>
      <c r="AO16" s="114">
        <f>AO13-AO12</f>
        <v>-1.1111111111111111E-3</v>
      </c>
      <c r="AP16" s="455">
        <f t="shared" si="17"/>
        <v>0</v>
      </c>
      <c r="AQ16" s="455">
        <f t="shared" si="18"/>
        <v>0</v>
      </c>
      <c r="AR16" s="455">
        <f t="shared" si="19"/>
        <v>4</v>
      </c>
      <c r="AS16" s="454">
        <f t="shared" si="24"/>
        <v>0</v>
      </c>
      <c r="AU16" s="464" t="s">
        <v>346</v>
      </c>
      <c r="AV16" s="251" t="s">
        <v>2266</v>
      </c>
      <c r="AW16" s="251">
        <f>[2]!asqar((AW10+1)/3600,AW13)</f>
        <v>0.37861111111111118</v>
      </c>
      <c r="AX16" s="462">
        <f t="shared" si="26"/>
        <v>0</v>
      </c>
      <c r="AY16" s="462">
        <f t="shared" si="27"/>
        <v>22</v>
      </c>
      <c r="AZ16" s="462">
        <f t="shared" si="28"/>
        <v>43</v>
      </c>
      <c r="BA16" s="463">
        <f t="shared" si="29"/>
        <v>0</v>
      </c>
      <c r="BB16" s="327"/>
      <c r="BC16" s="303" t="s">
        <v>346</v>
      </c>
      <c r="BD16" s="304" t="s">
        <v>2267</v>
      </c>
      <c r="BE16" s="304">
        <f>BE13-BE12</f>
        <v>0.13194444444444442</v>
      </c>
      <c r="BF16" s="472">
        <f t="shared" si="20"/>
        <v>0</v>
      </c>
      <c r="BG16" s="472">
        <f t="shared" si="21"/>
        <v>7</v>
      </c>
      <c r="BH16" s="472">
        <f t="shared" si="22"/>
        <v>54</v>
      </c>
      <c r="BI16" s="471">
        <f t="shared" si="25"/>
        <v>59</v>
      </c>
    </row>
    <row r="17" spans="2:61" ht="24.75">
      <c r="D17" s="250" t="s">
        <v>177</v>
      </c>
      <c r="E17" s="250">
        <v>24.8</v>
      </c>
      <c r="K17" s="1756"/>
      <c r="L17" s="845"/>
      <c r="N17" s="740"/>
      <c r="O17" s="741">
        <f>O15/30</f>
        <v>48</v>
      </c>
      <c r="P17" s="274"/>
      <c r="Q17" s="274"/>
      <c r="R17" s="274"/>
      <c r="S17" s="274"/>
      <c r="V17" s="327"/>
      <c r="W17" s="327"/>
      <c r="X17" s="250" t="s">
        <v>177</v>
      </c>
      <c r="Y17" s="250">
        <v>24.8</v>
      </c>
      <c r="Z17" s="327"/>
      <c r="AA17" s="327"/>
      <c r="AB17" s="327"/>
      <c r="AE17" s="264" t="s">
        <v>347</v>
      </c>
      <c r="AF17" s="114" t="s">
        <v>2268</v>
      </c>
      <c r="AG17" s="114">
        <f>AG14-AG12</f>
        <v>-0.33333333333333326</v>
      </c>
      <c r="AH17" s="455">
        <f t="shared" si="14"/>
        <v>0</v>
      </c>
      <c r="AI17" s="455">
        <f t="shared" si="15"/>
        <v>20</v>
      </c>
      <c r="AJ17" s="455">
        <f t="shared" si="16"/>
        <v>-1</v>
      </c>
      <c r="AK17" s="454">
        <f t="shared" si="23"/>
        <v>59</v>
      </c>
      <c r="AM17" s="264" t="s">
        <v>347</v>
      </c>
      <c r="AN17" s="114" t="s">
        <v>2268</v>
      </c>
      <c r="AO17" s="114">
        <f>AO14-AO12</f>
        <v>0</v>
      </c>
      <c r="AP17" s="455">
        <f t="shared" si="17"/>
        <v>0</v>
      </c>
      <c r="AQ17" s="455">
        <f t="shared" si="18"/>
        <v>0</v>
      </c>
      <c r="AR17" s="455">
        <f t="shared" si="19"/>
        <v>0</v>
      </c>
      <c r="AS17" s="454">
        <f t="shared" si="24"/>
        <v>0</v>
      </c>
      <c r="AU17" s="266" t="s">
        <v>347</v>
      </c>
      <c r="AV17" s="251" t="s">
        <v>2269</v>
      </c>
      <c r="AW17" s="251">
        <f>[2]!asqar((AW10+1)/3600,(AW11+1)/180)</f>
        <v>0.37500000000000006</v>
      </c>
      <c r="AX17" s="462">
        <f t="shared" si="26"/>
        <v>0</v>
      </c>
      <c r="AY17" s="462">
        <f t="shared" si="27"/>
        <v>22</v>
      </c>
      <c r="AZ17" s="462">
        <f t="shared" si="28"/>
        <v>30</v>
      </c>
      <c r="BA17" s="463">
        <f t="shared" si="29"/>
        <v>0</v>
      </c>
      <c r="BB17" s="327"/>
      <c r="BC17" s="303" t="s">
        <v>347</v>
      </c>
      <c r="BD17" s="304" t="s">
        <v>2268</v>
      </c>
      <c r="BE17" s="304">
        <f>BE14-BE12</f>
        <v>-0.15055555555555555</v>
      </c>
      <c r="BF17" s="472">
        <f t="shared" si="20"/>
        <v>0</v>
      </c>
      <c r="BG17" s="472">
        <f t="shared" si="21"/>
        <v>9</v>
      </c>
      <c r="BH17" s="472">
        <f t="shared" si="22"/>
        <v>1</v>
      </c>
      <c r="BI17" s="471">
        <f t="shared" si="25"/>
        <v>59</v>
      </c>
    </row>
    <row r="18" spans="2:61" ht="24.75">
      <c r="C18">
        <f>[2]!taqq(C13,C14,C15,C16)</f>
        <v>183.03435453277723</v>
      </c>
      <c r="D18" s="26">
        <f t="shared" ref="D18:D23" si="30">INT(C18)</f>
        <v>183</v>
      </c>
      <c r="E18" s="26">
        <f t="shared" ref="E18:E23" si="31">INT((C18-D18)*60)</f>
        <v>2</v>
      </c>
      <c r="F18" s="26">
        <f t="shared" ref="F18:F23" si="32">INT((((C18-D18)*60)-E18)*60)</f>
        <v>3</v>
      </c>
      <c r="G18" s="26">
        <f t="shared" ref="G18:G23" si="33">INT((((((C18-D18)*60)-E18)*60)-F18)*60)</f>
        <v>40</v>
      </c>
      <c r="H18" s="26">
        <f t="shared" ref="H18:H23" si="34">INT((((((((C18-D18)*60)-E18)*60)-F18)*60)-G18)*60)</f>
        <v>34</v>
      </c>
      <c r="K18" s="1756"/>
      <c r="L18" s="845"/>
      <c r="N18" s="740"/>
      <c r="O18" s="741">
        <f>O17*11</f>
        <v>528</v>
      </c>
      <c r="P18" s="274"/>
      <c r="Q18" s="274"/>
      <c r="R18" s="274"/>
      <c r="S18" s="274"/>
      <c r="V18" s="261" t="s">
        <v>698</v>
      </c>
      <c r="W18" s="327">
        <f>[2]!taqq(W13,W14,W15,W16)</f>
        <v>183.03435453277723</v>
      </c>
      <c r="X18" s="445">
        <f t="shared" ref="X18:X29" si="35">INT(ABS(W18))</f>
        <v>183</v>
      </c>
      <c r="Y18" s="445">
        <f t="shared" ref="Y18:Y29" si="36">INT((ABS(W18)-X18)*60)</f>
        <v>2</v>
      </c>
      <c r="Z18" s="445">
        <f t="shared" ref="Z18:Z29" si="37">INT((((ABS(W18)-X18)*60)-Y18)*60)</f>
        <v>3</v>
      </c>
      <c r="AA18" s="445">
        <f t="shared" ref="AA18:AA29" si="38">INT((((((ABS(W18)-X18)*60)-Y18)*60)-Z18)*60)</f>
        <v>40</v>
      </c>
      <c r="AB18" s="26"/>
      <c r="AC18" t="s">
        <v>2258</v>
      </c>
      <c r="AE18" s="264" t="s">
        <v>2254</v>
      </c>
      <c r="AF18" s="114"/>
      <c r="AG18" s="114">
        <f>(AH8-AG10)*AG16</f>
        <v>0</v>
      </c>
      <c r="AH18" s="455">
        <f t="shared" si="14"/>
        <v>0</v>
      </c>
      <c r="AI18" s="455">
        <f t="shared" si="15"/>
        <v>0</v>
      </c>
      <c r="AJ18" s="455">
        <f t="shared" si="16"/>
        <v>0</v>
      </c>
      <c r="AK18" s="454">
        <f t="shared" si="23"/>
        <v>0</v>
      </c>
      <c r="AM18" s="264" t="s">
        <v>2254</v>
      </c>
      <c r="AN18" s="114"/>
      <c r="AO18" s="114">
        <f>((AP8-AO10)/3)*AO16</f>
        <v>-6.8888888888889394E-4</v>
      </c>
      <c r="AP18" s="455">
        <f t="shared" ref="AP18:AP30" si="39">INT(ABS(AO18))</f>
        <v>0</v>
      </c>
      <c r="AQ18" s="455">
        <f t="shared" ref="AQ18:AQ30" si="40">INT((ABS(AO18)-AP18)*60)</f>
        <v>0</v>
      </c>
      <c r="AR18" s="455">
        <f t="shared" ref="AR18:AR30" si="41">INT((((ABS(AO18)-AP18)*60)-AQ18)*60)</f>
        <v>2</v>
      </c>
      <c r="AS18" s="454">
        <f t="shared" ref="AS18:AS30" si="42">INT((((((ABS(AO18)-AP18)*60)-AQ18)*60)-AR18)*60)</f>
        <v>28</v>
      </c>
      <c r="AU18" s="266" t="s">
        <v>2254</v>
      </c>
      <c r="AV18" s="251" t="s">
        <v>2282</v>
      </c>
      <c r="AW18" s="251">
        <f>AW15-AW14</f>
        <v>-3.611111111111065E-3</v>
      </c>
      <c r="AX18" s="462">
        <f t="shared" si="26"/>
        <v>0</v>
      </c>
      <c r="AY18" s="462">
        <f t="shared" si="27"/>
        <v>0</v>
      </c>
      <c r="AZ18" s="462">
        <f t="shared" si="28"/>
        <v>12</v>
      </c>
      <c r="BA18" s="463">
        <f t="shared" si="29"/>
        <v>59</v>
      </c>
      <c r="BB18" s="327"/>
      <c r="BC18" s="303" t="s">
        <v>2254</v>
      </c>
      <c r="BD18" s="304"/>
      <c r="BE18" s="304">
        <f>((BE8-BE10)/3)*BE16</f>
        <v>6.597222222222221E-2</v>
      </c>
      <c r="BF18" s="472">
        <f t="shared" ref="BF18:BF30" si="43">INT(ABS(BE18))</f>
        <v>0</v>
      </c>
      <c r="BG18" s="472">
        <f t="shared" ref="BG18:BG30" si="44">INT((ABS(BE18)-BF18)*60)</f>
        <v>3</v>
      </c>
      <c r="BH18" s="472">
        <f t="shared" ref="BH18:BH30" si="45">INT((((ABS(BE18)-BF18)*60)-BG18)*60)</f>
        <v>57</v>
      </c>
      <c r="BI18" s="471">
        <f t="shared" ref="BI18:BI30" si="46">INT((((((ABS(BE18)-BF18)*60)-BG18)*60)-BH18)*60)</f>
        <v>29</v>
      </c>
    </row>
    <row r="19" spans="2:61" ht="24.75">
      <c r="B19" s="261" t="s">
        <v>612</v>
      </c>
      <c r="C19">
        <f>[2]!wasat(C13,C14,C15,C16)</f>
        <v>284.05280233552912</v>
      </c>
      <c r="D19" s="26">
        <f t="shared" si="30"/>
        <v>284</v>
      </c>
      <c r="E19" s="26">
        <f t="shared" si="31"/>
        <v>3</v>
      </c>
      <c r="F19" s="26">
        <f t="shared" si="32"/>
        <v>10</v>
      </c>
      <c r="G19" s="26">
        <f t="shared" si="33"/>
        <v>5</v>
      </c>
      <c r="H19" s="26">
        <f t="shared" si="34"/>
        <v>18</v>
      </c>
      <c r="K19" s="845"/>
      <c r="L19" s="845"/>
      <c r="N19" s="740"/>
      <c r="O19" s="741">
        <f>INT(O12/2)*30+(O12-1-INT(O12/2))*29</f>
        <v>89</v>
      </c>
      <c r="Q19" s="450"/>
      <c r="R19" s="450"/>
      <c r="S19" s="450"/>
      <c r="V19" s="261" t="s">
        <v>401</v>
      </c>
      <c r="W19">
        <f>[2]!wasatq(W13,W14,W15,W16)</f>
        <v>178.86782518709151</v>
      </c>
      <c r="X19" s="445">
        <f t="shared" si="35"/>
        <v>178</v>
      </c>
      <c r="Y19" s="445">
        <f t="shared" si="36"/>
        <v>52</v>
      </c>
      <c r="Z19" s="445">
        <f t="shared" si="37"/>
        <v>4</v>
      </c>
      <c r="AA19" s="445">
        <f t="shared" si="38"/>
        <v>10</v>
      </c>
      <c r="AB19" s="26"/>
      <c r="AE19" s="264" t="s">
        <v>2255</v>
      </c>
      <c r="AF19" s="114"/>
      <c r="AG19" s="114">
        <f>((AH9-AG11)/6)*AG17</f>
        <v>-0.27777777777777773</v>
      </c>
      <c r="AH19" s="455">
        <f t="shared" si="14"/>
        <v>0</v>
      </c>
      <c r="AI19" s="455">
        <f t="shared" si="15"/>
        <v>16</v>
      </c>
      <c r="AJ19" s="455">
        <f t="shared" si="16"/>
        <v>39</v>
      </c>
      <c r="AK19" s="454">
        <f t="shared" si="23"/>
        <v>59</v>
      </c>
      <c r="AM19" s="264" t="s">
        <v>2255</v>
      </c>
      <c r="AN19" s="114"/>
      <c r="AO19" s="114">
        <f>((AP9-AO11)/6)*AO17</f>
        <v>0</v>
      </c>
      <c r="AP19" s="455">
        <f t="shared" si="39"/>
        <v>0</v>
      </c>
      <c r="AQ19" s="455">
        <f t="shared" si="40"/>
        <v>0</v>
      </c>
      <c r="AR19" s="455">
        <f t="shared" si="41"/>
        <v>0</v>
      </c>
      <c r="AS19" s="454">
        <f t="shared" si="42"/>
        <v>0</v>
      </c>
      <c r="AU19" s="266" t="s">
        <v>2255</v>
      </c>
      <c r="AV19" s="251" t="s">
        <v>2283</v>
      </c>
      <c r="AW19" s="251">
        <f>AW16-AW14</f>
        <v>2.7777777777778234E-3</v>
      </c>
      <c r="AX19" s="462">
        <f t="shared" si="26"/>
        <v>0</v>
      </c>
      <c r="AY19" s="462">
        <f t="shared" si="27"/>
        <v>0</v>
      </c>
      <c r="AZ19" s="462">
        <f t="shared" si="28"/>
        <v>10</v>
      </c>
      <c r="BA19" s="463">
        <f t="shared" si="29"/>
        <v>0</v>
      </c>
      <c r="BB19" s="327"/>
      <c r="BC19" s="303" t="s">
        <v>2255</v>
      </c>
      <c r="BD19" s="304"/>
      <c r="BE19" s="304">
        <f>((BE9-BE11)/2)*BE17</f>
        <v>0</v>
      </c>
      <c r="BF19" s="472">
        <f t="shared" si="43"/>
        <v>0</v>
      </c>
      <c r="BG19" s="472">
        <f t="shared" si="44"/>
        <v>0</v>
      </c>
      <c r="BH19" s="472">
        <f t="shared" si="45"/>
        <v>0</v>
      </c>
      <c r="BI19" s="471">
        <f t="shared" si="46"/>
        <v>0</v>
      </c>
    </row>
    <row r="20" spans="2:61" ht="24.75">
      <c r="B20" s="261" t="s">
        <v>386</v>
      </c>
      <c r="C20">
        <f>[2]!oujsh(C13,C14,C15,C16)</f>
        <v>100.99648249841354</v>
      </c>
      <c r="D20" s="26">
        <f t="shared" si="30"/>
        <v>100</v>
      </c>
      <c r="E20" s="26">
        <f t="shared" si="31"/>
        <v>59</v>
      </c>
      <c r="F20" s="26">
        <f t="shared" si="32"/>
        <v>47</v>
      </c>
      <c r="G20" s="26">
        <f t="shared" si="33"/>
        <v>20</v>
      </c>
      <c r="H20" s="26">
        <f t="shared" si="34"/>
        <v>13</v>
      </c>
      <c r="K20" s="845"/>
      <c r="L20" s="845"/>
      <c r="N20" s="740"/>
      <c r="O20" s="741">
        <f>O11-O15-1</f>
        <v>4</v>
      </c>
      <c r="Q20" s="450"/>
      <c r="R20" s="450"/>
      <c r="S20" s="450"/>
      <c r="V20" s="261" t="s">
        <v>402</v>
      </c>
      <c r="W20">
        <f>[2]!oujq(W13,W14,W15,W16)</f>
        <v>333.41555133402886</v>
      </c>
      <c r="X20" s="445">
        <f t="shared" si="35"/>
        <v>333</v>
      </c>
      <c r="Y20" s="445">
        <f t="shared" si="36"/>
        <v>24</v>
      </c>
      <c r="Z20" s="445">
        <f t="shared" si="37"/>
        <v>55</v>
      </c>
      <c r="AA20" s="445">
        <f t="shared" si="38"/>
        <v>59</v>
      </c>
      <c r="AB20" s="26"/>
      <c r="AC20" s="450"/>
      <c r="AE20" s="264" t="s">
        <v>349</v>
      </c>
      <c r="AF20" s="114" t="s">
        <v>2272</v>
      </c>
      <c r="AG20" s="114">
        <f>AG12+AG18</f>
        <v>2.2833333333333332</v>
      </c>
      <c r="AH20" s="455">
        <f t="shared" si="14"/>
        <v>2</v>
      </c>
      <c r="AI20" s="455">
        <f t="shared" si="15"/>
        <v>17</v>
      </c>
      <c r="AJ20" s="455">
        <f t="shared" si="16"/>
        <v>-1</v>
      </c>
      <c r="AK20" s="454">
        <f t="shared" si="23"/>
        <v>59</v>
      </c>
      <c r="AM20" s="264" t="s">
        <v>349</v>
      </c>
      <c r="AN20" s="114" t="s">
        <v>2272</v>
      </c>
      <c r="AO20" s="114">
        <f>AO12+AO18</f>
        <v>4.2222222222221717E-4</v>
      </c>
      <c r="AP20" s="455">
        <f t="shared" si="39"/>
        <v>0</v>
      </c>
      <c r="AQ20" s="455">
        <f t="shared" si="40"/>
        <v>0</v>
      </c>
      <c r="AR20" s="455">
        <f t="shared" si="41"/>
        <v>1</v>
      </c>
      <c r="AS20" s="454">
        <f t="shared" si="42"/>
        <v>31</v>
      </c>
      <c r="AU20" s="266" t="s">
        <v>349</v>
      </c>
      <c r="AV20" s="251"/>
      <c r="AW20" s="251">
        <f>((AW8-(AW10/3600))*AW19)*3600</f>
        <v>1.3888888888888512E-3</v>
      </c>
      <c r="AX20" s="462">
        <f t="shared" si="26"/>
        <v>0</v>
      </c>
      <c r="AY20" s="462">
        <f t="shared" si="27"/>
        <v>0</v>
      </c>
      <c r="AZ20" s="462">
        <f t="shared" si="28"/>
        <v>4</v>
      </c>
      <c r="BA20" s="463">
        <f t="shared" ref="BA20:BA33" si="47">INT((((((ABS(AW20)-AX20)*60)-AY20)*60)-AZ20)*60)</f>
        <v>59</v>
      </c>
      <c r="BB20" s="327"/>
      <c r="BC20" s="303" t="s">
        <v>349</v>
      </c>
      <c r="BD20" s="304" t="s">
        <v>2272</v>
      </c>
      <c r="BE20" s="304">
        <f>BE12+BE18</f>
        <v>-2.0833333333333398E-3</v>
      </c>
      <c r="BF20" s="472">
        <f t="shared" si="43"/>
        <v>0</v>
      </c>
      <c r="BG20" s="472">
        <f t="shared" si="44"/>
        <v>0</v>
      </c>
      <c r="BH20" s="472">
        <f t="shared" si="45"/>
        <v>7</v>
      </c>
      <c r="BI20" s="471">
        <f t="shared" si="46"/>
        <v>30</v>
      </c>
    </row>
    <row r="21" spans="2:61" ht="25.5" thickBot="1">
      <c r="B21" s="269" t="s">
        <v>1481</v>
      </c>
      <c r="C21" s="257">
        <f>[2]!taqsh(C13,C14,C15,C16)</f>
        <v>284.15779779658533</v>
      </c>
      <c r="D21" s="26">
        <f t="shared" si="30"/>
        <v>284</v>
      </c>
      <c r="E21" s="26">
        <f t="shared" si="31"/>
        <v>9</v>
      </c>
      <c r="F21" s="26">
        <f t="shared" si="32"/>
        <v>28</v>
      </c>
      <c r="G21" s="26">
        <f t="shared" si="33"/>
        <v>4</v>
      </c>
      <c r="H21" s="26">
        <f t="shared" si="34"/>
        <v>19</v>
      </c>
      <c r="K21" s="845"/>
      <c r="L21" s="845"/>
      <c r="N21" s="740"/>
      <c r="O21" s="741">
        <f>O20*354</f>
        <v>1416</v>
      </c>
      <c r="Q21" s="450"/>
      <c r="R21" s="450"/>
      <c r="S21" s="450"/>
      <c r="W21">
        <f>[2]!tq(W19-W20)</f>
        <v>205.45227385306265</v>
      </c>
      <c r="X21" s="445">
        <f t="shared" si="35"/>
        <v>205</v>
      </c>
      <c r="Y21" s="445">
        <f t="shared" si="36"/>
        <v>27</v>
      </c>
      <c r="Z21" s="445">
        <f t="shared" si="37"/>
        <v>8</v>
      </c>
      <c r="AA21" s="445">
        <f t="shared" si="38"/>
        <v>11</v>
      </c>
      <c r="AB21" s="26"/>
      <c r="AE21" s="264" t="s">
        <v>2256</v>
      </c>
      <c r="AF21" s="114" t="s">
        <v>2273</v>
      </c>
      <c r="AG21" s="114">
        <f>AG12+AG19</f>
        <v>2.0055555555555555</v>
      </c>
      <c r="AH21" s="455">
        <f t="shared" si="14"/>
        <v>2</v>
      </c>
      <c r="AI21" s="455">
        <f t="shared" si="15"/>
        <v>0</v>
      </c>
      <c r="AJ21" s="455">
        <f t="shared" si="16"/>
        <v>19</v>
      </c>
      <c r="AK21" s="454">
        <f t="shared" si="23"/>
        <v>59</v>
      </c>
      <c r="AM21" s="264" t="s">
        <v>2256</v>
      </c>
      <c r="AN21" s="114" t="s">
        <v>2273</v>
      </c>
      <c r="AO21" s="388">
        <f>AO12+AO19</f>
        <v>1.1111111111111111E-3</v>
      </c>
      <c r="AP21" s="455">
        <f t="shared" si="39"/>
        <v>0</v>
      </c>
      <c r="AQ21" s="455">
        <f t="shared" si="40"/>
        <v>0</v>
      </c>
      <c r="AR21" s="455">
        <f t="shared" si="41"/>
        <v>4</v>
      </c>
      <c r="AS21" s="454">
        <f t="shared" si="42"/>
        <v>0</v>
      </c>
      <c r="AU21" s="266" t="s">
        <v>2256</v>
      </c>
      <c r="AV21" s="251"/>
      <c r="AW21" s="251">
        <f>(((AW9-(AW11/180))*AW18)/20)*3600</f>
        <v>-1.805555555555526E-3</v>
      </c>
      <c r="AX21" s="462">
        <f t="shared" si="26"/>
        <v>0</v>
      </c>
      <c r="AY21" s="462">
        <f t="shared" si="27"/>
        <v>0</v>
      </c>
      <c r="AZ21" s="462">
        <f t="shared" si="28"/>
        <v>6</v>
      </c>
      <c r="BA21" s="463">
        <f t="shared" si="47"/>
        <v>29</v>
      </c>
      <c r="BB21" s="327"/>
      <c r="BC21" s="303" t="s">
        <v>2256</v>
      </c>
      <c r="BD21" s="304" t="s">
        <v>2273</v>
      </c>
      <c r="BE21" s="304">
        <f>BE12+BE19</f>
        <v>-6.805555555555555E-2</v>
      </c>
      <c r="BF21" s="472">
        <f t="shared" si="43"/>
        <v>0</v>
      </c>
      <c r="BG21" s="472">
        <f t="shared" si="44"/>
        <v>4</v>
      </c>
      <c r="BH21" s="472">
        <f t="shared" si="45"/>
        <v>4</v>
      </c>
      <c r="BI21" s="471">
        <f t="shared" si="46"/>
        <v>59</v>
      </c>
    </row>
    <row r="22" spans="2:61" ht="24.75">
      <c r="C22">
        <f>C19-C20</f>
        <v>183.05631983711558</v>
      </c>
      <c r="D22" s="26">
        <f t="shared" si="30"/>
        <v>183</v>
      </c>
      <c r="E22" s="26">
        <f t="shared" si="31"/>
        <v>3</v>
      </c>
      <c r="F22" s="26">
        <f t="shared" si="32"/>
        <v>22</v>
      </c>
      <c r="G22" s="26">
        <f t="shared" si="33"/>
        <v>45</v>
      </c>
      <c r="H22" s="26">
        <f t="shared" si="34"/>
        <v>5</v>
      </c>
      <c r="K22" s="845"/>
      <c r="L22" s="845"/>
      <c r="N22" s="740"/>
      <c r="O22" s="741">
        <f>IF(O20&lt;2,0,IF(O20&lt;5,1,IF(O20&lt;7,2,IF(O20&lt;10,3,IF(O20&lt;13,4,IF(O20&lt;15,5,IF(O20&lt;18,6,IF(O20&lt;21,7,IF(O20&lt;24,8,IF(O20&lt;26,9,IF(O20&lt;29,10,11)))))))))))</f>
        <v>1</v>
      </c>
      <c r="P22" s="1740">
        <f>MOD(O23,7)</f>
        <v>4</v>
      </c>
      <c r="Q22" s="450"/>
      <c r="R22" s="450"/>
      <c r="S22" s="450"/>
      <c r="V22" s="261" t="s">
        <v>2259</v>
      </c>
      <c r="W22">
        <f>[2]!taqm1(W21)</f>
        <v>2.1323990774604282</v>
      </c>
      <c r="X22" s="445">
        <f t="shared" si="35"/>
        <v>2</v>
      </c>
      <c r="Y22" s="445">
        <f t="shared" si="36"/>
        <v>7</v>
      </c>
      <c r="Z22" s="445">
        <f t="shared" si="37"/>
        <v>56</v>
      </c>
      <c r="AA22" s="445">
        <f t="shared" si="38"/>
        <v>38</v>
      </c>
      <c r="AB22" s="26"/>
      <c r="AE22" s="264" t="s">
        <v>2284</v>
      </c>
      <c r="AF22" s="114"/>
      <c r="AG22" s="114">
        <f>((AH9-AG11)/6)*(AG15-AG13)</f>
        <v>-0.29166666666666674</v>
      </c>
      <c r="AH22" s="455">
        <f t="shared" si="14"/>
        <v>0</v>
      </c>
      <c r="AI22" s="455">
        <f t="shared" si="15"/>
        <v>17</v>
      </c>
      <c r="AJ22" s="455">
        <f t="shared" si="16"/>
        <v>30</v>
      </c>
      <c r="AK22" s="454">
        <f t="shared" si="23"/>
        <v>0</v>
      </c>
      <c r="AM22" s="264" t="s">
        <v>2284</v>
      </c>
      <c r="AN22" s="114"/>
      <c r="AO22" s="114">
        <f>((AP9-AO11)/6)*(AO15-AO13)</f>
        <v>0</v>
      </c>
      <c r="AP22" s="455">
        <f t="shared" si="39"/>
        <v>0</v>
      </c>
      <c r="AQ22" s="455">
        <f t="shared" si="40"/>
        <v>0</v>
      </c>
      <c r="AR22" s="455">
        <f t="shared" si="41"/>
        <v>0</v>
      </c>
      <c r="AS22" s="454">
        <f t="shared" si="42"/>
        <v>0</v>
      </c>
      <c r="AU22" s="266" t="s">
        <v>2284</v>
      </c>
      <c r="AV22" s="251" t="s">
        <v>2272</v>
      </c>
      <c r="AW22" s="251">
        <f>AW14+AW20</f>
        <v>0.37722222222222218</v>
      </c>
      <c r="AX22" s="462">
        <f t="shared" si="26"/>
        <v>0</v>
      </c>
      <c r="AY22" s="462">
        <f t="shared" si="27"/>
        <v>22</v>
      </c>
      <c r="AZ22" s="462">
        <f t="shared" si="28"/>
        <v>37</v>
      </c>
      <c r="BA22" s="463">
        <f t="shared" si="47"/>
        <v>59</v>
      </c>
      <c r="BB22" s="327"/>
      <c r="BC22" s="303" t="s">
        <v>2284</v>
      </c>
      <c r="BD22" s="304"/>
      <c r="BE22" s="304">
        <f>((BE9-BE11)/2)*(BE15-BE13)</f>
        <v>0</v>
      </c>
      <c r="BF22" s="472">
        <f t="shared" si="43"/>
        <v>0</v>
      </c>
      <c r="BG22" s="472">
        <f t="shared" si="44"/>
        <v>0</v>
      </c>
      <c r="BH22" s="472">
        <f t="shared" si="45"/>
        <v>0</v>
      </c>
      <c r="BI22" s="471">
        <f t="shared" si="46"/>
        <v>0</v>
      </c>
    </row>
    <row r="23" spans="2:61" ht="25.5" thickBot="1">
      <c r="B23" s="261" t="s">
        <v>1108</v>
      </c>
      <c r="C23">
        <f>[2]!mtash(C13,C14,C15,C16)</f>
        <v>183.16131529817179</v>
      </c>
      <c r="D23" s="26">
        <f t="shared" si="30"/>
        <v>183</v>
      </c>
      <c r="E23" s="26">
        <f t="shared" si="31"/>
        <v>9</v>
      </c>
      <c r="F23" s="26">
        <f t="shared" si="32"/>
        <v>40</v>
      </c>
      <c r="G23" s="26">
        <f t="shared" si="33"/>
        <v>44</v>
      </c>
      <c r="H23" s="26">
        <f t="shared" si="34"/>
        <v>6</v>
      </c>
      <c r="N23" s="710" t="s">
        <v>4229</v>
      </c>
      <c r="O23" s="712">
        <f>O21+O18+O16+O19+O13+O22</f>
        <v>511823</v>
      </c>
      <c r="P23" s="1757" t="str">
        <f>IF(P22=0,"جمعه",IF(P22=1,"شنبه",IF(P22=2,"یک شنبه",IF(P22=3,"دو شنبه",IF(P22=4,"سه شنبه",IF(P22=5,"چهار شنبه","پنج شنبه"))))))</f>
        <v>سه شنبه</v>
      </c>
      <c r="V23" s="261" t="s">
        <v>407</v>
      </c>
      <c r="W23">
        <f>W19+W22</f>
        <v>181.00022426455195</v>
      </c>
      <c r="X23" s="445">
        <f t="shared" si="35"/>
        <v>181</v>
      </c>
      <c r="Y23" s="445">
        <f t="shared" si="36"/>
        <v>0</v>
      </c>
      <c r="Z23" s="445">
        <f t="shared" si="37"/>
        <v>0</v>
      </c>
      <c r="AA23" s="445">
        <f t="shared" si="38"/>
        <v>48</v>
      </c>
      <c r="AB23" s="26"/>
      <c r="AE23" s="264" t="s">
        <v>2285</v>
      </c>
      <c r="AF23" s="114"/>
      <c r="AG23" s="114">
        <f>AG13+AG22</f>
        <v>2.0916666666666668</v>
      </c>
      <c r="AH23" s="455">
        <f t="shared" si="14"/>
        <v>2</v>
      </c>
      <c r="AI23" s="455">
        <f t="shared" si="15"/>
        <v>5</v>
      </c>
      <c r="AJ23" s="455">
        <f t="shared" si="16"/>
        <v>30</v>
      </c>
      <c r="AK23" s="454">
        <f t="shared" si="23"/>
        <v>0</v>
      </c>
      <c r="AM23" s="264" t="s">
        <v>2285</v>
      </c>
      <c r="AN23" s="114"/>
      <c r="AO23" s="388">
        <f>AO13+AO22</f>
        <v>0</v>
      </c>
      <c r="AP23" s="455">
        <f t="shared" si="39"/>
        <v>0</v>
      </c>
      <c r="AQ23" s="455">
        <f t="shared" si="40"/>
        <v>0</v>
      </c>
      <c r="AR23" s="455">
        <f t="shared" si="41"/>
        <v>0</v>
      </c>
      <c r="AS23" s="454">
        <f t="shared" si="42"/>
        <v>0</v>
      </c>
      <c r="AU23" s="266" t="s">
        <v>2285</v>
      </c>
      <c r="AV23" s="251" t="s">
        <v>2273</v>
      </c>
      <c r="AW23" s="251">
        <f>AW14+AW21</f>
        <v>0.37402777777777785</v>
      </c>
      <c r="AX23" s="462">
        <f t="shared" si="26"/>
        <v>0</v>
      </c>
      <c r="AY23" s="462">
        <f t="shared" si="27"/>
        <v>22</v>
      </c>
      <c r="AZ23" s="462">
        <f t="shared" si="28"/>
        <v>26</v>
      </c>
      <c r="BA23" s="463">
        <f t="shared" si="47"/>
        <v>30</v>
      </c>
      <c r="BB23" s="327"/>
      <c r="BC23" s="303" t="s">
        <v>2285</v>
      </c>
      <c r="BD23" s="304"/>
      <c r="BE23" s="304">
        <f>BE13+BE22</f>
        <v>6.3888888888888884E-2</v>
      </c>
      <c r="BF23" s="472">
        <f t="shared" si="43"/>
        <v>0</v>
      </c>
      <c r="BG23" s="472">
        <f t="shared" si="44"/>
        <v>3</v>
      </c>
      <c r="BH23" s="472">
        <f t="shared" si="45"/>
        <v>50</v>
      </c>
      <c r="BI23" s="471">
        <f t="shared" si="46"/>
        <v>-1</v>
      </c>
    </row>
    <row r="24" spans="2:61" ht="24.75">
      <c r="B24" t="s">
        <v>384</v>
      </c>
      <c r="C24" t="e">
        <f>[2]!tash(C19,C20)</f>
        <v>#VALUE!</v>
      </c>
      <c r="D24" s="26" t="e">
        <f>INT(ABS(C24))</f>
        <v>#VALUE!</v>
      </c>
      <c r="E24" s="26" t="e">
        <f>INT((ABS(C24)-D24)*60)</f>
        <v>#VALUE!</v>
      </c>
      <c r="F24" s="26" t="e">
        <f>INT((((ABS(C24)-D24)*60)-E24)*60)</f>
        <v>#VALUE!</v>
      </c>
      <c r="G24" s="26" t="e">
        <f>INT((((((ABS(C24)-D24)*60)-E24)*60)-F24)*60)</f>
        <v>#VALUE!</v>
      </c>
      <c r="H24" s="26" t="e">
        <f>INT((((((((ABS(C24)-D24)*60)-E24)*60)-F24)*60)-G24)*60)</f>
        <v>#VALUE!</v>
      </c>
      <c r="I24" t="s">
        <v>2246</v>
      </c>
      <c r="N24" s="327"/>
      <c r="P24" s="327" t="s">
        <v>2260</v>
      </c>
      <c r="Q24" s="327"/>
      <c r="R24" s="327"/>
      <c r="S24" s="327"/>
      <c r="T24" s="327"/>
      <c r="U24" s="327"/>
      <c r="W24">
        <f>W22+W21</f>
        <v>207.58467293052308</v>
      </c>
      <c r="X24" s="445">
        <f t="shared" si="35"/>
        <v>207</v>
      </c>
      <c r="Y24" s="445">
        <f t="shared" si="36"/>
        <v>35</v>
      </c>
      <c r="Z24" s="445">
        <f t="shared" si="37"/>
        <v>4</v>
      </c>
      <c r="AA24" s="445">
        <f t="shared" si="38"/>
        <v>49</v>
      </c>
      <c r="AE24" s="264" t="s">
        <v>610</v>
      </c>
      <c r="AF24" s="114"/>
      <c r="AG24" s="114">
        <f>AG23-AG21</f>
        <v>8.6111111111111249E-2</v>
      </c>
      <c r="AH24" s="455">
        <f t="shared" si="14"/>
        <v>0</v>
      </c>
      <c r="AI24" s="455">
        <f t="shared" si="15"/>
        <v>5</v>
      </c>
      <c r="AJ24" s="455">
        <f t="shared" si="16"/>
        <v>10</v>
      </c>
      <c r="AK24" s="454">
        <f t="shared" si="23"/>
        <v>0</v>
      </c>
      <c r="AM24" s="264" t="s">
        <v>610</v>
      </c>
      <c r="AN24" s="114"/>
      <c r="AO24" s="114">
        <f>AO23-AO21</f>
        <v>-1.1111111111111111E-3</v>
      </c>
      <c r="AP24" s="455">
        <f t="shared" si="39"/>
        <v>0</v>
      </c>
      <c r="AQ24" s="455">
        <f t="shared" si="40"/>
        <v>0</v>
      </c>
      <c r="AR24" s="455">
        <f t="shared" si="41"/>
        <v>4</v>
      </c>
      <c r="AS24" s="454">
        <f t="shared" si="42"/>
        <v>0</v>
      </c>
      <c r="AU24" s="266" t="s">
        <v>610</v>
      </c>
      <c r="AV24" s="251"/>
      <c r="AW24" s="251">
        <f>AW17-AW15</f>
        <v>2.7777777777777679E-3</v>
      </c>
      <c r="AX24" s="462">
        <f t="shared" ref="AX24:AX33" si="48">INT(ABS(AW24))</f>
        <v>0</v>
      </c>
      <c r="AY24" s="462">
        <f t="shared" ref="AY24:AY33" si="49">INT((ABS(AW24)-AX24)*60)</f>
        <v>0</v>
      </c>
      <c r="AZ24" s="462">
        <f t="shared" ref="AZ24:AZ33" si="50">INT((((ABS(AW24)-AX24)*60)-AY24)*60)</f>
        <v>9</v>
      </c>
      <c r="BA24" s="463">
        <f t="shared" si="47"/>
        <v>59</v>
      </c>
      <c r="BB24" s="327"/>
      <c r="BC24" s="303" t="s">
        <v>610</v>
      </c>
      <c r="BD24" s="304"/>
      <c r="BE24" s="304">
        <f>BE23-BE21</f>
        <v>0.13194444444444442</v>
      </c>
      <c r="BF24" s="472">
        <f t="shared" si="43"/>
        <v>0</v>
      </c>
      <c r="BG24" s="472">
        <f t="shared" si="44"/>
        <v>7</v>
      </c>
      <c r="BH24" s="472">
        <f t="shared" si="45"/>
        <v>54</v>
      </c>
      <c r="BI24" s="471">
        <f t="shared" si="46"/>
        <v>59</v>
      </c>
    </row>
    <row r="25" spans="2:61" ht="24.75">
      <c r="B25" t="s">
        <v>2245</v>
      </c>
      <c r="C25">
        <f>[2]!wasata(C13,C14,C15,C16)</f>
        <v>284.05162388908752</v>
      </c>
      <c r="D25" s="26">
        <f t="shared" ref="D25:D32" si="51">INT(C25)</f>
        <v>284</v>
      </c>
      <c r="E25" s="26">
        <f t="shared" ref="E25:E32" si="52">INT((C25-D25)*60)</f>
        <v>3</v>
      </c>
      <c r="F25" s="26">
        <f t="shared" ref="F25:F32" si="53">INT((((C25-D25)*60)-E25)*60)</f>
        <v>5</v>
      </c>
      <c r="G25" s="26">
        <f t="shared" ref="G25:G32" si="54">INT((((((C25-D25)*60)-E25)*60)-F25)*60)</f>
        <v>50</v>
      </c>
      <c r="H25" s="26">
        <f t="shared" ref="H25:H32" si="55">INT((((((((C25-D25)*60)-E25)*60)-F25)*60)-G25)*60)</f>
        <v>45</v>
      </c>
      <c r="O25" s="327" t="s">
        <v>144</v>
      </c>
      <c r="P25" s="444">
        <f>(((((T25/60)+S25)/60)+R25)/60)+Q25</f>
        <v>3.9861111111111111E-2</v>
      </c>
      <c r="Q25" s="212"/>
      <c r="R25" s="212">
        <v>2</v>
      </c>
      <c r="S25" s="212">
        <v>23</v>
      </c>
      <c r="T25" s="212">
        <v>30</v>
      </c>
      <c r="V25" s="274" t="s">
        <v>378</v>
      </c>
      <c r="W25" s="274">
        <f>[2]!taqsh(W13,W14,W15,W16)</f>
        <v>284.15779779658533</v>
      </c>
      <c r="X25" s="445">
        <f t="shared" si="35"/>
        <v>284</v>
      </c>
      <c r="Y25" s="445">
        <f t="shared" si="36"/>
        <v>9</v>
      </c>
      <c r="Z25" s="445">
        <f t="shared" si="37"/>
        <v>28</v>
      </c>
      <c r="AA25" s="445">
        <f t="shared" si="38"/>
        <v>4</v>
      </c>
      <c r="AE25" s="264" t="s">
        <v>2286</v>
      </c>
      <c r="AF25" s="114"/>
      <c r="AG25" s="388">
        <f>(AH8-AG10)*AG24</f>
        <v>0</v>
      </c>
      <c r="AH25" s="455">
        <f t="shared" si="14"/>
        <v>0</v>
      </c>
      <c r="AI25" s="455">
        <f t="shared" si="15"/>
        <v>0</v>
      </c>
      <c r="AJ25" s="455">
        <f t="shared" si="16"/>
        <v>0</v>
      </c>
      <c r="AK25" s="454">
        <f t="shared" si="23"/>
        <v>0</v>
      </c>
      <c r="AM25" s="264" t="s">
        <v>2286</v>
      </c>
      <c r="AN25" s="114"/>
      <c r="AO25" s="114">
        <f>((AP8-AO10)/3)*AO24</f>
        <v>-6.8888888888889394E-4</v>
      </c>
      <c r="AP25" s="455">
        <f t="shared" si="39"/>
        <v>0</v>
      </c>
      <c r="AQ25" s="455">
        <f t="shared" si="40"/>
        <v>0</v>
      </c>
      <c r="AR25" s="455">
        <f t="shared" si="41"/>
        <v>2</v>
      </c>
      <c r="AS25" s="454">
        <f t="shared" si="42"/>
        <v>28</v>
      </c>
      <c r="AU25" s="266" t="s">
        <v>2286</v>
      </c>
      <c r="AV25" s="251"/>
      <c r="AW25" s="251"/>
      <c r="AX25" s="462">
        <f t="shared" si="48"/>
        <v>0</v>
      </c>
      <c r="AY25" s="462">
        <f t="shared" si="49"/>
        <v>0</v>
      </c>
      <c r="AZ25" s="462">
        <f t="shared" si="50"/>
        <v>0</v>
      </c>
      <c r="BA25" s="463">
        <f t="shared" si="47"/>
        <v>0</v>
      </c>
      <c r="BB25" s="327"/>
      <c r="BC25" s="303" t="s">
        <v>2286</v>
      </c>
      <c r="BD25" s="304"/>
      <c r="BE25" s="304">
        <f>((BE8-BE10)/3)*BE24</f>
        <v>6.597222222222221E-2</v>
      </c>
      <c r="BF25" s="472">
        <f t="shared" si="43"/>
        <v>0</v>
      </c>
      <c r="BG25" s="472">
        <f t="shared" si="44"/>
        <v>3</v>
      </c>
      <c r="BH25" s="472">
        <f t="shared" si="45"/>
        <v>57</v>
      </c>
      <c r="BI25" s="471">
        <f t="shared" si="46"/>
        <v>29</v>
      </c>
    </row>
    <row r="26" spans="2:61" ht="24.75">
      <c r="B26" t="s">
        <v>2247</v>
      </c>
      <c r="C26" t="e">
        <f>[2]!bshams(C19,C20)</f>
        <v>#VALUE!</v>
      </c>
      <c r="D26" s="26" t="e">
        <f t="shared" si="51"/>
        <v>#VALUE!</v>
      </c>
      <c r="E26" s="26" t="e">
        <f t="shared" si="52"/>
        <v>#VALUE!</v>
      </c>
      <c r="F26" s="26" t="e">
        <f t="shared" si="53"/>
        <v>#VALUE!</v>
      </c>
      <c r="G26" s="26" t="e">
        <f t="shared" si="54"/>
        <v>#VALUE!</v>
      </c>
      <c r="H26" s="26" t="e">
        <f t="shared" si="55"/>
        <v>#VALUE!</v>
      </c>
      <c r="N26" s="327"/>
      <c r="P26" s="444">
        <f>P25</f>
        <v>3.9861111111111111E-2</v>
      </c>
      <c r="Q26" s="445">
        <f>INT(P26)</f>
        <v>0</v>
      </c>
      <c r="R26" s="445">
        <f>INT((P26-Q26)*60)</f>
        <v>2</v>
      </c>
      <c r="S26" s="445">
        <f>INT((((P26-Q26)*60)-R26)*60)</f>
        <v>23</v>
      </c>
      <c r="T26" s="445">
        <f>INT((((((P26-Q26)*60)-R26)*60)-S26)*60)</f>
        <v>29</v>
      </c>
      <c r="V26" s="274"/>
      <c r="W26" s="274">
        <f>[2]!tq(W23-W25)</f>
        <v>256.84242646796662</v>
      </c>
      <c r="X26" s="445">
        <f t="shared" si="35"/>
        <v>256</v>
      </c>
      <c r="Y26" s="445">
        <f t="shared" si="36"/>
        <v>50</v>
      </c>
      <c r="Z26" s="445">
        <f t="shared" si="37"/>
        <v>32</v>
      </c>
      <c r="AA26" s="445">
        <f t="shared" si="38"/>
        <v>44</v>
      </c>
      <c r="AE26" s="264" t="s">
        <v>2287</v>
      </c>
      <c r="AF26" s="114"/>
      <c r="AG26" s="114">
        <f>AG21+AG25</f>
        <v>2.0055555555555555</v>
      </c>
      <c r="AH26" s="455">
        <f t="shared" si="14"/>
        <v>2</v>
      </c>
      <c r="AI26" s="455">
        <f t="shared" si="15"/>
        <v>0</v>
      </c>
      <c r="AJ26" s="455">
        <f t="shared" si="16"/>
        <v>19</v>
      </c>
      <c r="AK26" s="454">
        <f t="shared" si="23"/>
        <v>59</v>
      </c>
      <c r="AM26" s="264" t="s">
        <v>2287</v>
      </c>
      <c r="AN26" s="114"/>
      <c r="AO26" s="114">
        <f>AO21+AO25</f>
        <v>4.2222222222221717E-4</v>
      </c>
      <c r="AP26" s="455">
        <f t="shared" si="39"/>
        <v>0</v>
      </c>
      <c r="AQ26" s="455">
        <f t="shared" si="40"/>
        <v>0</v>
      </c>
      <c r="AR26" s="455">
        <f t="shared" si="41"/>
        <v>1</v>
      </c>
      <c r="AS26" s="454">
        <f t="shared" si="42"/>
        <v>31</v>
      </c>
      <c r="AU26" s="266" t="s">
        <v>2287</v>
      </c>
      <c r="AV26" s="251"/>
      <c r="AW26" s="251">
        <f>((AW8-(AW10/3600))*AW24)*3600</f>
        <v>1.3888888888888235E-3</v>
      </c>
      <c r="AX26" s="462">
        <f t="shared" si="48"/>
        <v>0</v>
      </c>
      <c r="AY26" s="462">
        <f t="shared" si="49"/>
        <v>0</v>
      </c>
      <c r="AZ26" s="462">
        <f t="shared" si="50"/>
        <v>4</v>
      </c>
      <c r="BA26" s="463">
        <f t="shared" si="47"/>
        <v>59</v>
      </c>
      <c r="BB26" s="327"/>
      <c r="BC26" s="303" t="s">
        <v>2287</v>
      </c>
      <c r="BD26" s="304"/>
      <c r="BE26" s="304">
        <f>BE21+BE25</f>
        <v>-2.0833333333333398E-3</v>
      </c>
      <c r="BF26" s="472">
        <f t="shared" si="43"/>
        <v>0</v>
      </c>
      <c r="BG26" s="472">
        <f t="shared" si="44"/>
        <v>0</v>
      </c>
      <c r="BH26" s="472">
        <f t="shared" si="45"/>
        <v>7</v>
      </c>
      <c r="BI26" s="471">
        <f t="shared" si="46"/>
        <v>30</v>
      </c>
    </row>
    <row r="27" spans="2:61" ht="24.75">
      <c r="B27" t="s">
        <v>2248</v>
      </c>
      <c r="C27">
        <f>[2]!abaad1(C23)</f>
        <v>1334.6188201181201</v>
      </c>
      <c r="D27" s="26">
        <f t="shared" si="51"/>
        <v>1334</v>
      </c>
      <c r="E27" s="26">
        <f t="shared" si="52"/>
        <v>37</v>
      </c>
      <c r="F27" s="26">
        <f t="shared" si="53"/>
        <v>7</v>
      </c>
      <c r="G27" s="26">
        <f t="shared" si="54"/>
        <v>45</v>
      </c>
      <c r="H27" s="26">
        <f t="shared" si="55"/>
        <v>8</v>
      </c>
      <c r="N27" s="327" t="s">
        <v>333</v>
      </c>
      <c r="O27" s="327"/>
      <c r="P27" s="444"/>
      <c r="Q27" s="445">
        <v>0</v>
      </c>
      <c r="R27" s="445">
        <v>0</v>
      </c>
      <c r="S27" s="445">
        <v>1</v>
      </c>
      <c r="T27" s="445">
        <v>0</v>
      </c>
      <c r="U27">
        <v>5</v>
      </c>
      <c r="V27" s="274" t="s">
        <v>386</v>
      </c>
      <c r="W27" s="444">
        <f>[2]!oujsh(W13,W14,W15,W16)</f>
        <v>100.99648249841354</v>
      </c>
      <c r="X27" s="445">
        <f t="shared" si="35"/>
        <v>100</v>
      </c>
      <c r="Y27" s="445">
        <f t="shared" si="36"/>
        <v>59</v>
      </c>
      <c r="Z27" s="445">
        <f t="shared" si="37"/>
        <v>47</v>
      </c>
      <c r="AA27" s="445">
        <f t="shared" si="38"/>
        <v>20</v>
      </c>
      <c r="AE27" s="264" t="s">
        <v>2288</v>
      </c>
      <c r="AF27" s="114"/>
      <c r="AG27" s="114">
        <f>IF(AH8=AG10,1,2)</f>
        <v>1</v>
      </c>
      <c r="AH27" s="455">
        <f t="shared" si="14"/>
        <v>1</v>
      </c>
      <c r="AI27" s="455">
        <f t="shared" si="15"/>
        <v>0</v>
      </c>
      <c r="AJ27" s="455">
        <f t="shared" si="16"/>
        <v>0</v>
      </c>
      <c r="AK27" s="454">
        <f t="shared" si="23"/>
        <v>0</v>
      </c>
      <c r="AM27" s="264" t="s">
        <v>2288</v>
      </c>
      <c r="AN27" s="114"/>
      <c r="AO27" s="114"/>
      <c r="AP27" s="455">
        <f t="shared" si="39"/>
        <v>0</v>
      </c>
      <c r="AQ27" s="455">
        <f t="shared" si="40"/>
        <v>0</v>
      </c>
      <c r="AR27" s="455">
        <f t="shared" si="41"/>
        <v>0</v>
      </c>
      <c r="AS27" s="454">
        <f t="shared" si="42"/>
        <v>0</v>
      </c>
      <c r="AU27" s="266" t="s">
        <v>2288</v>
      </c>
      <c r="AV27" s="251"/>
      <c r="AW27" s="251">
        <f>AW15+AW26</f>
        <v>0.37361111111111112</v>
      </c>
      <c r="AX27" s="462">
        <f t="shared" si="48"/>
        <v>0</v>
      </c>
      <c r="AY27" s="462">
        <f t="shared" si="49"/>
        <v>22</v>
      </c>
      <c r="AZ27" s="462">
        <f t="shared" si="50"/>
        <v>25</v>
      </c>
      <c r="BA27" s="463">
        <f t="shared" si="47"/>
        <v>0</v>
      </c>
      <c r="BB27" s="327"/>
      <c r="BC27" s="303"/>
      <c r="BD27" s="304"/>
      <c r="BE27" s="304"/>
      <c r="BF27" s="472">
        <f t="shared" si="43"/>
        <v>0</v>
      </c>
      <c r="BG27" s="472">
        <f t="shared" si="44"/>
        <v>0</v>
      </c>
      <c r="BH27" s="472">
        <f t="shared" si="45"/>
        <v>0</v>
      </c>
      <c r="BI27" s="471">
        <f t="shared" si="46"/>
        <v>0</v>
      </c>
    </row>
    <row r="28" spans="2:61" ht="24.75">
      <c r="B28" t="s">
        <v>2249</v>
      </c>
      <c r="C28" t="e">
        <f ca="1">[2]!qtr(C23)</f>
        <v>#NAME?</v>
      </c>
      <c r="D28" s="26" t="e">
        <f t="shared" ca="1" si="51"/>
        <v>#NAME?</v>
      </c>
      <c r="E28" s="26" t="e">
        <f t="shared" ca="1" si="52"/>
        <v>#NAME?</v>
      </c>
      <c r="F28" s="26" t="e">
        <f t="shared" ca="1" si="53"/>
        <v>#NAME?</v>
      </c>
      <c r="G28" s="26" t="e">
        <f t="shared" ca="1" si="54"/>
        <v>#NAME?</v>
      </c>
      <c r="H28" s="26" t="e">
        <f t="shared" ca="1" si="55"/>
        <v>#NAME?</v>
      </c>
      <c r="N28" s="327" t="s">
        <v>342</v>
      </c>
      <c r="O28" s="327"/>
      <c r="P28" s="216">
        <f>P26*3600</f>
        <v>143.5</v>
      </c>
      <c r="Q28" s="445">
        <f t="shared" ref="Q28:Q38" si="56">INT(P28)</f>
        <v>143</v>
      </c>
      <c r="R28" s="445">
        <f t="shared" ref="R28:R38" si="57">INT((P28-Q28)*60)</f>
        <v>30</v>
      </c>
      <c r="S28" s="445">
        <f t="shared" ref="S28:S38" si="58">INT((((P28-Q28)*60)-R28)*60)</f>
        <v>0</v>
      </c>
      <c r="T28" s="445">
        <f t="shared" ref="T28:T38" si="59">INT((((((P28-Q28)*60)-R28)*60)-S28)*60)</f>
        <v>0</v>
      </c>
      <c r="U28">
        <v>9</v>
      </c>
      <c r="V28" s="274"/>
      <c r="W28" s="444">
        <f>[2]!tq(W23-W27)</f>
        <v>80.003741766138404</v>
      </c>
      <c r="X28" s="445">
        <f t="shared" si="35"/>
        <v>80</v>
      </c>
      <c r="Y28" s="445">
        <f t="shared" si="36"/>
        <v>0</v>
      </c>
      <c r="Z28" s="445">
        <f t="shared" si="37"/>
        <v>13</v>
      </c>
      <c r="AA28" s="445">
        <f t="shared" si="38"/>
        <v>28</v>
      </c>
      <c r="AE28" s="264" t="s">
        <v>2289</v>
      </c>
      <c r="AF28" s="114"/>
      <c r="AG28" s="114">
        <f>IF(AH9=AG11,1,2)</f>
        <v>2</v>
      </c>
      <c r="AH28" s="455">
        <f t="shared" si="14"/>
        <v>2</v>
      </c>
      <c r="AI28" s="455">
        <f t="shared" si="15"/>
        <v>0</v>
      </c>
      <c r="AJ28" s="455">
        <f t="shared" si="16"/>
        <v>0</v>
      </c>
      <c r="AK28" s="454">
        <f t="shared" si="23"/>
        <v>0</v>
      </c>
      <c r="AM28" s="264" t="s">
        <v>2289</v>
      </c>
      <c r="AN28" s="114"/>
      <c r="AO28" s="114">
        <f>IF(AP8=AO10,1,2)</f>
        <v>2</v>
      </c>
      <c r="AP28" s="455">
        <f t="shared" si="39"/>
        <v>2</v>
      </c>
      <c r="AQ28" s="455">
        <f t="shared" si="40"/>
        <v>0</v>
      </c>
      <c r="AR28" s="455">
        <f t="shared" si="41"/>
        <v>0</v>
      </c>
      <c r="AS28" s="454">
        <f t="shared" si="42"/>
        <v>0</v>
      </c>
      <c r="AU28" s="266" t="s">
        <v>2289</v>
      </c>
      <c r="AV28" s="251"/>
      <c r="AW28" s="251">
        <f>AW27-AW22</f>
        <v>-3.611111111111065E-3</v>
      </c>
      <c r="AX28" s="462">
        <f t="shared" si="48"/>
        <v>0</v>
      </c>
      <c r="AY28" s="462">
        <f t="shared" si="49"/>
        <v>0</v>
      </c>
      <c r="AZ28" s="462">
        <f t="shared" si="50"/>
        <v>12</v>
      </c>
      <c r="BA28" s="463">
        <f t="shared" si="47"/>
        <v>59</v>
      </c>
      <c r="BB28" s="327"/>
      <c r="BC28" s="303" t="s">
        <v>2288</v>
      </c>
      <c r="BD28" s="304"/>
      <c r="BE28" s="304">
        <f>IF(BE8=BE10,1,2)</f>
        <v>2</v>
      </c>
      <c r="BF28" s="472">
        <f t="shared" si="43"/>
        <v>2</v>
      </c>
      <c r="BG28" s="472">
        <f t="shared" si="44"/>
        <v>0</v>
      </c>
      <c r="BH28" s="472">
        <f t="shared" si="45"/>
        <v>0</v>
      </c>
      <c r="BI28" s="471">
        <f t="shared" si="46"/>
        <v>0</v>
      </c>
    </row>
    <row r="29" spans="2:61" ht="24.75">
      <c r="B29" t="s">
        <v>2250</v>
      </c>
      <c r="C29">
        <f>[2]!bohtsh(C13,C14,C15,C16)/24</f>
        <v>4.2496381610881429E-2</v>
      </c>
      <c r="D29" s="26">
        <f t="shared" si="51"/>
        <v>0</v>
      </c>
      <c r="E29" s="26">
        <f t="shared" si="52"/>
        <v>2</v>
      </c>
      <c r="F29" s="26">
        <f t="shared" si="53"/>
        <v>32</v>
      </c>
      <c r="G29" s="26">
        <f t="shared" si="54"/>
        <v>59</v>
      </c>
      <c r="H29" s="26">
        <f t="shared" si="55"/>
        <v>13</v>
      </c>
      <c r="I29" t="s">
        <v>2251</v>
      </c>
      <c r="N29" s="327" t="s">
        <v>343</v>
      </c>
      <c r="O29" s="327"/>
      <c r="P29" s="216">
        <f>INT(P28)</f>
        <v>143</v>
      </c>
      <c r="Q29" s="445">
        <f t="shared" si="56"/>
        <v>143</v>
      </c>
      <c r="R29" s="445">
        <f t="shared" si="57"/>
        <v>0</v>
      </c>
      <c r="S29" s="445">
        <f t="shared" si="58"/>
        <v>0</v>
      </c>
      <c r="T29" s="445">
        <f t="shared" si="59"/>
        <v>0</v>
      </c>
      <c r="V29" s="274"/>
      <c r="W29" s="274">
        <f>[2]!taqm2(W28,W26)</f>
        <v>-4.1977746830912717E-2</v>
      </c>
      <c r="X29" s="445">
        <f t="shared" si="35"/>
        <v>0</v>
      </c>
      <c r="Y29" s="445">
        <f t="shared" si="36"/>
        <v>2</v>
      </c>
      <c r="Z29" s="445">
        <f t="shared" si="37"/>
        <v>31</v>
      </c>
      <c r="AA29" s="445">
        <f t="shared" si="38"/>
        <v>7</v>
      </c>
      <c r="AE29" s="265" t="s">
        <v>2290</v>
      </c>
      <c r="AF29" s="240"/>
      <c r="AG29" s="240">
        <f>IF(AND(AG27=1,AG28=1),AG12,IF(AND(AG28=1,AG27&gt;1),AG20,IF(AND(AG27=1,AG28&gt;1),AG21,AG26)))</f>
        <v>2.0055555555555555</v>
      </c>
      <c r="AH29" s="457">
        <f t="shared" si="14"/>
        <v>2</v>
      </c>
      <c r="AI29" s="457">
        <f t="shared" si="15"/>
        <v>0</v>
      </c>
      <c r="AJ29" s="457">
        <f t="shared" si="16"/>
        <v>19</v>
      </c>
      <c r="AK29" s="458">
        <f t="shared" si="23"/>
        <v>59</v>
      </c>
      <c r="AM29" s="264" t="s">
        <v>2290</v>
      </c>
      <c r="AN29" s="114"/>
      <c r="AO29" s="114">
        <f>IF(AP9=AO11,1,2)</f>
        <v>2</v>
      </c>
      <c r="AP29" s="455">
        <f t="shared" si="39"/>
        <v>2</v>
      </c>
      <c r="AQ29" s="455">
        <f t="shared" si="40"/>
        <v>0</v>
      </c>
      <c r="AR29" s="455">
        <f t="shared" si="41"/>
        <v>0</v>
      </c>
      <c r="AS29" s="454">
        <f t="shared" si="42"/>
        <v>0</v>
      </c>
      <c r="AU29" s="266" t="s">
        <v>2290</v>
      </c>
      <c r="AV29" s="251"/>
      <c r="AW29" s="251">
        <f>(((AW9-(AW11/180))*AW28)/20)*3600</f>
        <v>-1.805555555555526E-3</v>
      </c>
      <c r="AX29" s="462">
        <f t="shared" si="48"/>
        <v>0</v>
      </c>
      <c r="AY29" s="462">
        <f t="shared" si="49"/>
        <v>0</v>
      </c>
      <c r="AZ29" s="462">
        <f t="shared" si="50"/>
        <v>6</v>
      </c>
      <c r="BA29" s="463">
        <f t="shared" si="47"/>
        <v>29</v>
      </c>
      <c r="BB29" s="327"/>
      <c r="BC29" s="303" t="s">
        <v>2289</v>
      </c>
      <c r="BD29" s="304"/>
      <c r="BE29" s="304">
        <f>IF(BE9=BE11,1,2)</f>
        <v>1</v>
      </c>
      <c r="BF29" s="472">
        <f t="shared" si="43"/>
        <v>1</v>
      </c>
      <c r="BG29" s="472">
        <f t="shared" si="44"/>
        <v>0</v>
      </c>
      <c r="BH29" s="472">
        <f t="shared" si="45"/>
        <v>0</v>
      </c>
      <c r="BI29" s="471">
        <f t="shared" si="46"/>
        <v>0</v>
      </c>
    </row>
    <row r="30" spans="2:61" ht="24.75">
      <c r="B30" t="s">
        <v>1025</v>
      </c>
      <c r="C30">
        <f>[2]!markaz3(C13,C14,C15,C16)</f>
        <v>209.72899593885032</v>
      </c>
      <c r="D30" s="26">
        <f t="shared" si="51"/>
        <v>209</v>
      </c>
      <c r="E30" s="26">
        <f t="shared" si="52"/>
        <v>43</v>
      </c>
      <c r="F30" s="26">
        <f t="shared" si="53"/>
        <v>44</v>
      </c>
      <c r="G30" s="26">
        <f t="shared" si="54"/>
        <v>23</v>
      </c>
      <c r="H30" s="26">
        <f t="shared" si="55"/>
        <v>7</v>
      </c>
      <c r="N30" s="327" t="s">
        <v>344</v>
      </c>
      <c r="O30" s="327"/>
      <c r="P30" s="216">
        <f>P28-P29</f>
        <v>0.5</v>
      </c>
      <c r="Q30" s="445">
        <f t="shared" si="56"/>
        <v>0</v>
      </c>
      <c r="R30" s="445">
        <f t="shared" si="57"/>
        <v>30</v>
      </c>
      <c r="S30" s="445">
        <f t="shared" si="58"/>
        <v>0</v>
      </c>
      <c r="T30" s="445">
        <f t="shared" si="59"/>
        <v>0</v>
      </c>
      <c r="AE30" s="265" t="s">
        <v>635</v>
      </c>
      <c r="AF30" s="240" t="s">
        <v>2270</v>
      </c>
      <c r="AG30" s="240">
        <f>AG29/60</f>
        <v>3.3425925925925928E-2</v>
      </c>
      <c r="AH30" s="457">
        <f t="shared" si="14"/>
        <v>0</v>
      </c>
      <c r="AI30" s="457">
        <f t="shared" si="15"/>
        <v>2</v>
      </c>
      <c r="AJ30" s="457">
        <f t="shared" si="16"/>
        <v>0</v>
      </c>
      <c r="AK30" s="458">
        <f t="shared" si="23"/>
        <v>19</v>
      </c>
      <c r="AM30" s="265"/>
      <c r="AN30" s="240" t="s">
        <v>2276</v>
      </c>
      <c r="AO30" s="240">
        <f>IF(AND(AO28=1,AO29=1),AO12,IF(AND(AO29=1,AO28&gt;1),AO20,IF(AND(AO28=1,AO29&gt;1),AO21,AO26)))</f>
        <v>4.2222222222221717E-4</v>
      </c>
      <c r="AP30" s="457">
        <f t="shared" si="39"/>
        <v>0</v>
      </c>
      <c r="AQ30" s="457">
        <f t="shared" si="40"/>
        <v>0</v>
      </c>
      <c r="AR30" s="457">
        <f t="shared" si="41"/>
        <v>1</v>
      </c>
      <c r="AS30" s="458">
        <f t="shared" si="42"/>
        <v>31</v>
      </c>
      <c r="AU30" s="266" t="s">
        <v>2291</v>
      </c>
      <c r="AV30" s="251"/>
      <c r="AW30" s="251">
        <f>AW22+AW29</f>
        <v>0.37541666666666668</v>
      </c>
      <c r="AX30" s="462">
        <f t="shared" si="48"/>
        <v>0</v>
      </c>
      <c r="AY30" s="462">
        <f t="shared" si="49"/>
        <v>22</v>
      </c>
      <c r="AZ30" s="462">
        <f t="shared" si="50"/>
        <v>31</v>
      </c>
      <c r="BA30" s="463">
        <f t="shared" si="47"/>
        <v>30</v>
      </c>
      <c r="BB30" s="327"/>
      <c r="BC30" s="303" t="s">
        <v>2290</v>
      </c>
      <c r="BD30" s="304" t="s">
        <v>2293</v>
      </c>
      <c r="BE30" s="304">
        <f>IF(AND(BE28=1,BE29=1),BE12,IF(AND(BE29=1,BE28&gt;1),BE20,IF(AND(BE28=1,BE29&gt;1),BE21,BE26)))</f>
        <v>-2.0833333333333398E-3</v>
      </c>
      <c r="BF30" s="472">
        <f t="shared" si="43"/>
        <v>0</v>
      </c>
      <c r="BG30" s="472">
        <f t="shared" si="44"/>
        <v>0</v>
      </c>
      <c r="BH30" s="472">
        <f t="shared" si="45"/>
        <v>7</v>
      </c>
      <c r="BI30" s="471">
        <f t="shared" si="46"/>
        <v>30</v>
      </c>
    </row>
    <row r="31" spans="2:61" ht="24.75">
      <c r="B31" t="s">
        <v>812</v>
      </c>
      <c r="C31">
        <f>[2]!bohtq(C13,C14,C15,C16)/24</f>
        <v>0.58595102762066043</v>
      </c>
      <c r="D31" s="26">
        <f t="shared" si="51"/>
        <v>0</v>
      </c>
      <c r="E31" s="26">
        <f t="shared" si="52"/>
        <v>35</v>
      </c>
      <c r="F31" s="26">
        <f t="shared" si="53"/>
        <v>9</v>
      </c>
      <c r="G31" s="26">
        <f t="shared" si="54"/>
        <v>25</v>
      </c>
      <c r="H31" s="26">
        <f t="shared" si="55"/>
        <v>25</v>
      </c>
      <c r="N31" s="327"/>
      <c r="O31" s="327"/>
      <c r="P31" s="216"/>
      <c r="Q31" s="445">
        <f t="shared" si="56"/>
        <v>0</v>
      </c>
      <c r="R31" s="445">
        <f t="shared" si="57"/>
        <v>0</v>
      </c>
      <c r="S31" s="445">
        <f t="shared" si="58"/>
        <v>0</v>
      </c>
      <c r="T31" s="445">
        <f t="shared" si="59"/>
        <v>0</v>
      </c>
      <c r="AG31" t="s">
        <v>2271</v>
      </c>
      <c r="AM31" s="265"/>
      <c r="AN31" s="240"/>
      <c r="AO31" s="240">
        <f>[2]!tadilarz(AP8,AP9)</f>
        <v>4.2222222222221717E-4</v>
      </c>
      <c r="AP31" s="457"/>
      <c r="AQ31" s="457"/>
      <c r="AR31" s="457"/>
      <c r="AS31" s="458"/>
      <c r="AU31" s="266" t="s">
        <v>594</v>
      </c>
      <c r="AV31" s="251"/>
      <c r="AW31" s="251">
        <f>IF(AW8=AW10,1,2)</f>
        <v>2</v>
      </c>
      <c r="AX31" s="462">
        <f t="shared" si="48"/>
        <v>2</v>
      </c>
      <c r="AY31" s="462">
        <f t="shared" si="49"/>
        <v>0</v>
      </c>
      <c r="AZ31" s="462">
        <f t="shared" si="50"/>
        <v>0</v>
      </c>
      <c r="BA31" s="463">
        <f t="shared" si="47"/>
        <v>0</v>
      </c>
      <c r="BB31" s="327"/>
      <c r="BC31" s="306"/>
      <c r="BD31" s="307" t="s">
        <v>2294</v>
      </c>
      <c r="BE31" s="307"/>
      <c r="BF31" s="474"/>
      <c r="BG31" s="474"/>
      <c r="BH31" s="474"/>
      <c r="BI31" s="475"/>
    </row>
    <row r="32" spans="2:61" ht="24.75">
      <c r="B32" t="s">
        <v>850</v>
      </c>
      <c r="C32">
        <f>[2]!qotrqmr(C31)</f>
        <v>0.53511181358539528</v>
      </c>
      <c r="D32" s="26">
        <f t="shared" si="51"/>
        <v>0</v>
      </c>
      <c r="E32" s="26">
        <f t="shared" si="52"/>
        <v>32</v>
      </c>
      <c r="F32" s="26">
        <f t="shared" si="53"/>
        <v>6</v>
      </c>
      <c r="G32" s="26">
        <f t="shared" si="54"/>
        <v>24</v>
      </c>
      <c r="H32" s="26">
        <f t="shared" si="55"/>
        <v>9</v>
      </c>
      <c r="N32" s="327" t="s">
        <v>346</v>
      </c>
      <c r="O32" s="327"/>
      <c r="P32" s="216">
        <f>P29+1</f>
        <v>144</v>
      </c>
      <c r="Q32" s="445">
        <f t="shared" si="56"/>
        <v>144</v>
      </c>
      <c r="R32" s="445">
        <f t="shared" si="57"/>
        <v>0</v>
      </c>
      <c r="S32" s="445">
        <f t="shared" si="58"/>
        <v>0</v>
      </c>
      <c r="T32" s="445">
        <f t="shared" si="59"/>
        <v>0</v>
      </c>
      <c r="AF32" t="s">
        <v>1235</v>
      </c>
      <c r="AG32">
        <f>[2]!taqm2(AH8,AH9)</f>
        <v>3.3425925925925928E-2</v>
      </c>
      <c r="AH32" s="457">
        <f>INT(ABS(AG32))</f>
        <v>0</v>
      </c>
      <c r="AI32" s="457">
        <f>INT((ABS(AG32)-AH32)*60)</f>
        <v>2</v>
      </c>
      <c r="AJ32" s="457">
        <f>INT((((ABS(AG32)-AH32)*60)-AI32)*60)</f>
        <v>0</v>
      </c>
      <c r="AK32" s="458">
        <f>INT((((((ABS(AG32)-AH32)*60)-AI32)*60)-AJ32)*60)</f>
        <v>19</v>
      </c>
      <c r="AS32" s="327"/>
      <c r="AT32" s="327"/>
      <c r="AU32" s="266" t="s">
        <v>701</v>
      </c>
      <c r="AV32" s="251"/>
      <c r="AW32" s="251">
        <f>IF(AW9=AW11,1,2)</f>
        <v>2</v>
      </c>
      <c r="AX32" s="462">
        <f t="shared" si="48"/>
        <v>2</v>
      </c>
      <c r="AY32" s="462">
        <f t="shared" si="49"/>
        <v>0</v>
      </c>
      <c r="AZ32" s="462">
        <f t="shared" si="50"/>
        <v>0</v>
      </c>
      <c r="BA32" s="463">
        <f t="shared" si="47"/>
        <v>0</v>
      </c>
      <c r="BB32" s="327"/>
      <c r="BC32" s="327"/>
      <c r="BD32" s="327"/>
    </row>
    <row r="33" spans="2:53" ht="24.75">
      <c r="B33" t="s">
        <v>914</v>
      </c>
      <c r="C33">
        <f>[2]!boadq(C32)</f>
        <v>58.403303528082127</v>
      </c>
      <c r="D33" s="26">
        <f>INT(C33)</f>
        <v>58</v>
      </c>
      <c r="E33" s="26">
        <f>INT((C33-D33)*60)</f>
        <v>24</v>
      </c>
      <c r="F33" s="26">
        <f>INT((((C33-D33)*60)-E33)*60)</f>
        <v>11</v>
      </c>
      <c r="G33" s="26">
        <f>INT((((((C33-D33)*60)-E33)*60)-F33)*60)</f>
        <v>53</v>
      </c>
      <c r="H33" s="26">
        <f>INT((((((((C33-D33)*60)-E33)*60)-F33)*60)-G33)*60)</f>
        <v>33</v>
      </c>
      <c r="N33" s="327" t="s">
        <v>347</v>
      </c>
      <c r="O33" s="327"/>
      <c r="P33" s="216">
        <f>P28-P29</f>
        <v>0.5</v>
      </c>
      <c r="Q33" s="445">
        <f t="shared" si="56"/>
        <v>0</v>
      </c>
      <c r="R33" s="445">
        <f t="shared" si="57"/>
        <v>30</v>
      </c>
      <c r="S33" s="445">
        <f t="shared" si="58"/>
        <v>0</v>
      </c>
      <c r="T33" s="445">
        <f t="shared" si="59"/>
        <v>0</v>
      </c>
      <c r="AU33" s="293"/>
      <c r="AV33" s="294" t="s">
        <v>1372</v>
      </c>
      <c r="AW33" s="294">
        <f>IF(AND(AW31=1,AW32=1),AW14,IF(AND(AW32=1,AW31&gt;1),AW22,IF(AND(AW31=1,AW32&gt;1),AW23,AW30)))</f>
        <v>0.37541666666666668</v>
      </c>
      <c r="AX33" s="465">
        <f t="shared" si="48"/>
        <v>0</v>
      </c>
      <c r="AY33" s="465">
        <f t="shared" si="49"/>
        <v>22</v>
      </c>
      <c r="AZ33" s="465">
        <f t="shared" si="50"/>
        <v>31</v>
      </c>
      <c r="BA33" s="466">
        <f t="shared" si="47"/>
        <v>30</v>
      </c>
    </row>
    <row r="34" spans="2:53" ht="24.75">
      <c r="B34" t="s">
        <v>853</v>
      </c>
      <c r="C34">
        <f>[2]!khmanzar(C33)</f>
        <v>0.98094076584035361</v>
      </c>
      <c r="D34" s="26">
        <f>INT(C34)</f>
        <v>0</v>
      </c>
      <c r="E34" s="26">
        <f>INT((C34-D34)*60)</f>
        <v>58</v>
      </c>
      <c r="F34" s="26">
        <f>INT((((C34-D34)*60)-E34)*60)</f>
        <v>51</v>
      </c>
      <c r="G34" s="26">
        <f>INT((((((C34-D34)*60)-E34)*60)-F34)*60)</f>
        <v>23</v>
      </c>
      <c r="H34" s="26">
        <f>INT((((((((C34-D34)*60)-E34)*60)-F34)*60)-G34)*60)</f>
        <v>12</v>
      </c>
      <c r="N34" s="327" t="s">
        <v>2254</v>
      </c>
      <c r="O34" s="449" t="s">
        <v>2252</v>
      </c>
      <c r="P34" s="446">
        <f>[2]!asqar(P29/3600,0.5)</f>
        <v>0.43166666666666514</v>
      </c>
      <c r="Q34" s="445">
        <f t="shared" si="56"/>
        <v>0</v>
      </c>
      <c r="R34" s="445">
        <f t="shared" si="57"/>
        <v>25</v>
      </c>
      <c r="S34" s="445">
        <f t="shared" si="58"/>
        <v>53</v>
      </c>
      <c r="T34" s="445">
        <f t="shared" si="59"/>
        <v>59</v>
      </c>
    </row>
    <row r="35" spans="2:53" ht="24.75">
      <c r="N35" s="327" t="s">
        <v>2255</v>
      </c>
      <c r="O35" s="449" t="s">
        <v>2253</v>
      </c>
      <c r="P35" s="446">
        <f>[2]!asqar((P29+1)/3600,0.5)</f>
        <v>0.435</v>
      </c>
      <c r="Q35" s="445">
        <f t="shared" si="56"/>
        <v>0</v>
      </c>
      <c r="R35" s="445">
        <f t="shared" si="57"/>
        <v>26</v>
      </c>
      <c r="S35" s="445">
        <f t="shared" si="58"/>
        <v>6</v>
      </c>
      <c r="T35" s="445">
        <f t="shared" si="59"/>
        <v>0</v>
      </c>
      <c r="AZ35" s="327"/>
      <c r="BA35" s="327"/>
    </row>
    <row r="36" spans="2:53" ht="24.75">
      <c r="N36" s="327" t="s">
        <v>349</v>
      </c>
      <c r="O36" s="449" t="s">
        <v>839</v>
      </c>
      <c r="P36" s="113">
        <f>P35-P34</f>
        <v>3.3333333333348536E-3</v>
      </c>
      <c r="Q36" s="445">
        <f t="shared" si="56"/>
        <v>0</v>
      </c>
      <c r="R36" s="445">
        <f t="shared" si="57"/>
        <v>0</v>
      </c>
      <c r="S36" s="445">
        <f t="shared" si="58"/>
        <v>12</v>
      </c>
      <c r="T36" s="445">
        <f t="shared" si="59"/>
        <v>0</v>
      </c>
    </row>
    <row r="37" spans="2:53" ht="24.75">
      <c r="N37" s="327" t="s">
        <v>2256</v>
      </c>
      <c r="O37" s="327"/>
      <c r="P37" s="216">
        <f>P33*P36</f>
        <v>1.6666666666674268E-3</v>
      </c>
      <c r="Q37" s="445">
        <f t="shared" si="56"/>
        <v>0</v>
      </c>
      <c r="R37" s="445">
        <f t="shared" si="57"/>
        <v>0</v>
      </c>
      <c r="S37" s="445">
        <f t="shared" si="58"/>
        <v>6</v>
      </c>
      <c r="T37" s="445">
        <f t="shared" si="59"/>
        <v>0</v>
      </c>
    </row>
    <row r="38" spans="2:53" ht="24.75">
      <c r="N38" s="327"/>
      <c r="O38" s="327"/>
      <c r="P38" s="217">
        <f>P34+P37</f>
        <v>0.43333333333333257</v>
      </c>
      <c r="Q38" s="447">
        <f t="shared" si="56"/>
        <v>0</v>
      </c>
      <c r="R38" s="447">
        <f t="shared" si="57"/>
        <v>26</v>
      </c>
      <c r="S38" s="447">
        <f t="shared" si="58"/>
        <v>-1</v>
      </c>
      <c r="T38" s="447">
        <f t="shared" si="59"/>
        <v>59</v>
      </c>
    </row>
    <row r="39" spans="2:53" ht="24.75">
      <c r="P39" s="448">
        <f>[2]!tadilbb(P25)</f>
        <v>0</v>
      </c>
      <c r="Q39" s="445">
        <f>INT(P39)</f>
        <v>0</v>
      </c>
      <c r="R39" s="445">
        <f>INT((P39-Q39)*60)</f>
        <v>0</v>
      </c>
      <c r="S39" s="445">
        <f>INT((((P39-Q39)*60)-R39)*60)</f>
        <v>0</v>
      </c>
      <c r="T39" s="445">
        <f>INT((((((P39-Q39)*60)-R39)*60)-S39)*60)</f>
        <v>0</v>
      </c>
    </row>
    <row r="40" spans="2:53">
      <c r="P40" t="s">
        <v>2257</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KR58"/>
  <sheetViews>
    <sheetView rightToLeft="1" topLeftCell="EH1" zoomScale="80" zoomScaleNormal="80" workbookViewId="0">
      <selection activeCell="EM13" sqref="EM13"/>
    </sheetView>
  </sheetViews>
  <sheetFormatPr defaultRowHeight="15"/>
  <cols>
    <col min="2" max="2" width="22.5703125" customWidth="1"/>
    <col min="15" max="15" width="19.42578125" customWidth="1"/>
    <col min="52" max="52" width="10.7109375" customWidth="1"/>
    <col min="59" max="59" width="13" customWidth="1"/>
    <col min="76" max="76" width="14.140625" customWidth="1"/>
    <col min="77" max="77" width="11.85546875" customWidth="1"/>
    <col min="80" max="80" width="12.5703125" customWidth="1"/>
    <col min="81" max="81" width="10.85546875" customWidth="1"/>
    <col min="82" max="82" width="6.7109375" customWidth="1"/>
    <col min="85" max="85" width="12.5703125" customWidth="1"/>
    <col min="86" max="86" width="5.42578125" customWidth="1"/>
    <col min="87" max="87" width="3.85546875" customWidth="1"/>
    <col min="88" max="88" width="4.85546875" customWidth="1"/>
    <col min="89" max="89" width="28.42578125" bestFit="1" customWidth="1"/>
    <col min="91" max="91" width="10.7109375" customWidth="1"/>
    <col min="92" max="92" width="26.140625" customWidth="1"/>
    <col min="93" max="93" width="12.5703125" customWidth="1"/>
    <col min="96" max="96" width="10.42578125" customWidth="1"/>
    <col min="97" max="97" width="12.5703125" customWidth="1"/>
    <col min="105" max="105" width="15.140625" customWidth="1"/>
    <col min="106" max="106" width="15.7109375" customWidth="1"/>
    <col min="107" max="107" width="26.5703125" customWidth="1"/>
    <col min="110" max="110" width="11" customWidth="1"/>
    <col min="111" max="111" width="10.5703125" customWidth="1"/>
    <col min="112" max="112" width="10.42578125" customWidth="1"/>
    <col min="113" max="113" width="15.7109375" customWidth="1"/>
    <col min="116" max="116" width="10.7109375" customWidth="1"/>
    <col min="118" max="118" width="10.42578125" customWidth="1"/>
    <col min="119" max="119" width="10.28515625" customWidth="1"/>
    <col min="133" max="133" width="9.85546875" customWidth="1"/>
    <col min="134" max="134" width="12.28515625" customWidth="1"/>
    <col min="135" max="135" width="21.28515625" customWidth="1"/>
    <col min="142" max="143" width="13.140625" customWidth="1"/>
    <col min="148" max="148" width="17.140625" customWidth="1"/>
    <col min="154" max="154" width="20.7109375" customWidth="1"/>
    <col min="155" max="155" width="10.140625" customWidth="1"/>
    <col min="157" max="157" width="8.85546875" customWidth="1"/>
    <col min="158" max="158" width="9" customWidth="1"/>
    <col min="162" max="162" width="16" customWidth="1"/>
    <col min="164" max="164" width="13.28515625" customWidth="1"/>
    <col min="168" max="168" width="10.7109375" customWidth="1"/>
    <col min="174" max="174" width="17" customWidth="1"/>
    <col min="175" max="175" width="12" bestFit="1" customWidth="1"/>
    <col min="176" max="176" width="16.42578125" customWidth="1"/>
    <col min="180" max="180" width="14.28515625" customWidth="1"/>
    <col min="181" max="181" width="11.7109375" customWidth="1"/>
    <col min="183" max="183" width="7.7109375" customWidth="1"/>
    <col min="184" max="184" width="10.5703125" customWidth="1"/>
    <col min="188" max="188" width="11" bestFit="1" customWidth="1"/>
    <col min="189" max="189" width="12" bestFit="1" customWidth="1"/>
    <col min="190" max="190" width="14.42578125" customWidth="1"/>
    <col min="204" max="204" width="11.42578125" customWidth="1"/>
    <col min="228" max="228" width="10.42578125" customWidth="1"/>
    <col min="230" max="230" width="4.5703125" customWidth="1"/>
    <col min="231" max="231" width="6.42578125" customWidth="1"/>
    <col min="232" max="232" width="9.7109375" bestFit="1" customWidth="1"/>
    <col min="233" max="233" width="5.42578125" customWidth="1"/>
    <col min="234" max="234" width="4" customWidth="1"/>
    <col min="235" max="235" width="8.7109375" customWidth="1"/>
    <col min="236" max="236" width="5.28515625" customWidth="1"/>
    <col min="244" max="244" width="9.42578125" customWidth="1"/>
    <col min="250" max="250" width="26.5703125" customWidth="1"/>
    <col min="251" max="251" width="11.28515625" customWidth="1"/>
  </cols>
  <sheetData>
    <row r="1" spans="2:304" ht="15.75" thickBot="1">
      <c r="AZ1" t="s">
        <v>2202</v>
      </c>
      <c r="BA1" t="s">
        <v>1416</v>
      </c>
      <c r="BF1" t="s">
        <v>2124</v>
      </c>
      <c r="BH1" t="s">
        <v>2202</v>
      </c>
      <c r="IO1" t="s">
        <v>3906</v>
      </c>
    </row>
    <row r="2" spans="2:304" ht="25.5" thickBot="1">
      <c r="B2" s="10"/>
      <c r="C2" s="10" t="s">
        <v>172</v>
      </c>
      <c r="D2" s="10" t="s">
        <v>173</v>
      </c>
      <c r="E2" s="10"/>
      <c r="F2" s="10"/>
      <c r="G2" s="10"/>
      <c r="K2" t="s">
        <v>176</v>
      </c>
      <c r="O2" s="1" t="s">
        <v>170</v>
      </c>
      <c r="P2" s="1">
        <f>C7</f>
        <v>23.45</v>
      </c>
      <c r="Q2" s="31">
        <f>INT(P2)</f>
        <v>23</v>
      </c>
      <c r="R2" s="31">
        <f>INT((P2-Q2)*60)</f>
        <v>27</v>
      </c>
      <c r="S2" s="31">
        <f>INT((((P2-Q2)*60)-R2)*60)</f>
        <v>-1</v>
      </c>
      <c r="T2" s="31">
        <f>INT((((((P2-Q2)*60)-R2)*60)-S2)*60)</f>
        <v>59</v>
      </c>
      <c r="U2" s="31">
        <f>INT((((((((P2-Q2)*60)-R2)*60)-S2)*60)-T2)*60)</f>
        <v>59</v>
      </c>
      <c r="V2" s="31">
        <f>INT((((((((((P2-Q2)*60)-R2)*60)-S2)*60)-T2)*60)-U2)*60)</f>
        <v>59</v>
      </c>
      <c r="W2" s="31">
        <f>INT((((((((((((P2-Q2)*60)-R2)*60)-S2)*60)-T2)*60)-U2)*60)-V2)*60)</f>
        <v>59</v>
      </c>
      <c r="Z2" s="10"/>
      <c r="AA2" s="10" t="s">
        <v>172</v>
      </c>
      <c r="AB2" s="10" t="s">
        <v>173</v>
      </c>
      <c r="AC2" s="10"/>
      <c r="AD2" s="10"/>
      <c r="AE2" s="10"/>
      <c r="AF2" s="10"/>
      <c r="AG2" s="10"/>
      <c r="AH2" s="10"/>
      <c r="AI2" s="10"/>
      <c r="AJ2" s="10"/>
      <c r="AM2" s="10"/>
      <c r="AN2" s="10" t="s">
        <v>172</v>
      </c>
      <c r="AO2" s="10" t="s">
        <v>173</v>
      </c>
      <c r="AP2" s="10"/>
      <c r="AQ2" s="10"/>
      <c r="AR2" s="10"/>
      <c r="AS2" s="10"/>
      <c r="AT2" s="10"/>
      <c r="AU2" s="10"/>
      <c r="AV2" s="10"/>
      <c r="AW2" s="10"/>
      <c r="AZ2" t="s">
        <v>2112</v>
      </c>
      <c r="BF2" s="346" t="s">
        <v>2115</v>
      </c>
      <c r="BG2" s="346"/>
      <c r="BH2" s="346"/>
      <c r="BI2" s="346"/>
      <c r="BJ2" s="346"/>
      <c r="BK2" s="346"/>
      <c r="BL2" s="346"/>
      <c r="CG2" s="327" t="s">
        <v>2202</v>
      </c>
      <c r="DA2" s="327" t="s">
        <v>2202</v>
      </c>
      <c r="DC2" t="s">
        <v>4002</v>
      </c>
      <c r="DV2" s="327"/>
      <c r="DW2" s="327" t="s">
        <v>2202</v>
      </c>
      <c r="DX2" s="327"/>
      <c r="DY2" s="327"/>
      <c r="DZ2" s="327"/>
      <c r="EA2" s="327"/>
      <c r="EB2" s="327"/>
      <c r="EC2" s="327"/>
      <c r="ED2" t="s">
        <v>297</v>
      </c>
      <c r="EE2">
        <v>4</v>
      </c>
      <c r="FR2" s="274"/>
      <c r="FS2" s="274"/>
      <c r="FT2" s="274"/>
      <c r="FU2" s="274"/>
      <c r="FV2" s="274"/>
      <c r="FW2" s="274"/>
      <c r="FX2" s="274"/>
      <c r="FY2" s="274"/>
      <c r="FZ2" s="274"/>
      <c r="GA2" s="274"/>
      <c r="GB2" s="274"/>
      <c r="GC2" s="274"/>
      <c r="GD2" s="274"/>
      <c r="GE2" s="274"/>
      <c r="GF2" s="274"/>
      <c r="GG2" s="274"/>
      <c r="GH2" s="274"/>
      <c r="GI2" s="274"/>
      <c r="GJ2" s="274"/>
      <c r="GK2" s="274"/>
      <c r="GL2" s="274"/>
      <c r="GM2" s="274"/>
      <c r="GN2" s="274"/>
      <c r="GO2" s="274"/>
      <c r="GP2" s="274"/>
      <c r="GQ2" s="274"/>
      <c r="GR2" s="274"/>
      <c r="GS2" s="274"/>
      <c r="GT2" s="274"/>
      <c r="IO2" s="1066"/>
      <c r="IP2" s="1067" t="s">
        <v>3872</v>
      </c>
      <c r="IQ2" s="1067"/>
      <c r="IR2" s="1067"/>
      <c r="IS2" s="1067"/>
      <c r="IT2" s="1067"/>
      <c r="IU2" s="1068"/>
      <c r="IX2" s="327"/>
      <c r="IY2" s="327"/>
      <c r="IZ2" s="327"/>
      <c r="JA2" s="327"/>
      <c r="JB2" s="327"/>
      <c r="JC2" s="327"/>
      <c r="JD2" s="327"/>
      <c r="JE2" s="327"/>
      <c r="JF2" s="327"/>
      <c r="JG2" s="327"/>
      <c r="JH2" s="327"/>
      <c r="JI2" s="327"/>
      <c r="JJ2" s="327"/>
      <c r="JK2" s="327"/>
      <c r="JL2" s="327"/>
      <c r="JM2" s="327"/>
      <c r="JN2" s="327"/>
      <c r="JO2" s="327"/>
      <c r="JP2" s="327"/>
      <c r="JQ2" s="327"/>
      <c r="JR2" s="327"/>
      <c r="JS2" s="327"/>
      <c r="JT2" s="327"/>
      <c r="JU2" s="327"/>
      <c r="JV2" s="327"/>
      <c r="JW2" s="327"/>
      <c r="JX2" s="327"/>
      <c r="JY2" s="327"/>
      <c r="JZ2" s="327"/>
      <c r="KA2" s="327"/>
      <c r="KB2" s="327"/>
      <c r="KC2" s="327"/>
      <c r="KD2" s="327"/>
      <c r="KE2" s="327"/>
      <c r="KF2" s="327"/>
      <c r="KG2" s="327"/>
      <c r="KH2" s="327"/>
      <c r="KI2" s="327"/>
      <c r="KJ2" s="327"/>
      <c r="KK2" s="327"/>
      <c r="KL2" s="327"/>
      <c r="KM2" s="327"/>
      <c r="KN2" s="327"/>
      <c r="KO2" s="327"/>
      <c r="KP2" s="327"/>
      <c r="KQ2" s="327"/>
      <c r="KR2" s="327"/>
    </row>
    <row r="3" spans="2:304" ht="25.5" thickBot="1">
      <c r="B3" s="10" t="s">
        <v>243</v>
      </c>
      <c r="C3" s="10">
        <v>20</v>
      </c>
      <c r="D3" s="10" t="s">
        <v>273</v>
      </c>
      <c r="E3" s="10">
        <f>IF(D3="حمل",1,IF(D3="ثور",2,IF(D3="جوزاء",3,IF(D3="سرطان",4,IF(D3="اسد",5,IF(D3="سنبله",6,IF(D3="میزان",7,IF(D3="عقرب",8,IF(D3="قوس",9,IF(D3="جدی",10,IF(D3="دلو",11,IF(D3="حوت",12,"خطا"))))))))))))</f>
        <v>4</v>
      </c>
      <c r="F3" s="10"/>
      <c r="G3" s="10"/>
      <c r="O3" s="2" t="s">
        <v>218</v>
      </c>
      <c r="P3" s="2">
        <v>300</v>
      </c>
      <c r="Q3" s="32">
        <f>INT(P3)</f>
        <v>300</v>
      </c>
      <c r="R3" s="32">
        <f>INT((P3-Q3)*60)</f>
        <v>0</v>
      </c>
      <c r="S3" s="32">
        <f>INT((((P3-Q3)*60)-R3)*60)</f>
        <v>0</v>
      </c>
      <c r="T3" s="32">
        <f>INT((((((P3-Q3)*60)-R3)*60)-S3)*60)</f>
        <v>0</v>
      </c>
      <c r="U3" s="32">
        <f>INT((((((((P3-Q3)*60)-R3)*60)-S3)*60)-T3)*60)</f>
        <v>0</v>
      </c>
      <c r="V3" s="32">
        <f>INT((((((((((P3-Q3)*60)-R3)*60)-S3)*60)-T3)*60)-U3)*60)</f>
        <v>0</v>
      </c>
      <c r="W3" s="32">
        <f>INT((((((((((((P3-Q3)*60)-R3)*60)-S3)*60)-T3)*60)-U3)*60)-V3)*60)</f>
        <v>0</v>
      </c>
      <c r="Z3" s="10" t="s">
        <v>243</v>
      </c>
      <c r="AA3" s="10">
        <v>10</v>
      </c>
      <c r="AB3" s="10" t="s">
        <v>256</v>
      </c>
      <c r="AC3" s="10">
        <f>IF(AB3="حمل",1,IF(AB3="ثور",2,IF(AB3="جوزاء",3,IF(AB3="سرطان",4,IF(AB3="اسد",5,IF(AB3="سنبله",6,IF(AB3="میزان",7,IF(AB3="عقرب",8,IF(AB3="قوس",9,IF(AB3="جدی",10,IF(AB3="دلو",11,IF(AB3="حوت",12,"خطا"))))))))))))</f>
        <v>2</v>
      </c>
      <c r="AD3" s="10"/>
      <c r="AE3" s="10"/>
      <c r="AF3" s="10"/>
      <c r="AG3" s="10"/>
      <c r="AH3" s="10"/>
      <c r="AI3" s="10"/>
      <c r="AJ3" s="10"/>
      <c r="AM3" s="10" t="s">
        <v>243</v>
      </c>
      <c r="AN3" s="10">
        <f>AA3+1</f>
        <v>11</v>
      </c>
      <c r="AO3" s="10" t="str">
        <f>AB3</f>
        <v>ثور</v>
      </c>
      <c r="AP3" s="10">
        <f>IF(AO3="حمل",1,IF(AO3="ثور",2,IF(AO3="جوزاء",3,IF(AO3="سرطان",4,IF(AO3="اسد",5,IF(AO3="سنبله",6,IF(AO3="میزان",7,IF(AO3="عقرب",8,IF(AO3="قوس",9,IF(AO3="جدی",10,IF(AO3="دلو",11,IF(AO3="حوت",12,"خطا"))))))))))))</f>
        <v>2</v>
      </c>
      <c r="AQ3" s="10"/>
      <c r="AR3" s="10"/>
      <c r="AS3" s="10"/>
      <c r="AT3" s="10"/>
      <c r="AU3" s="10"/>
      <c r="AV3" s="10"/>
      <c r="AW3" s="10"/>
      <c r="AZ3" s="220"/>
      <c r="BA3" s="212" t="s">
        <v>1481</v>
      </c>
      <c r="BB3" s="213">
        <v>270</v>
      </c>
      <c r="BF3" s="346"/>
      <c r="BG3" s="346" t="s">
        <v>175</v>
      </c>
      <c r="BH3" s="346">
        <v>0</v>
      </c>
      <c r="BI3" s="346"/>
      <c r="BJ3" s="346"/>
      <c r="BK3" s="346"/>
      <c r="BL3" s="346"/>
      <c r="BY3" t="s">
        <v>2202</v>
      </c>
      <c r="CG3" s="212" t="s">
        <v>2178</v>
      </c>
      <c r="CH3" s="10"/>
      <c r="DA3" s="402" t="s">
        <v>2144</v>
      </c>
      <c r="DB3" s="403"/>
      <c r="DC3" s="281" t="s">
        <v>324</v>
      </c>
      <c r="DD3" s="281">
        <v>21.389082399999999</v>
      </c>
      <c r="DE3" s="410" t="s">
        <v>1372</v>
      </c>
      <c r="DF3" s="411" t="s">
        <v>2149</v>
      </c>
      <c r="DG3" s="414" t="e">
        <f ca="1">IF(DD5=0,DK7,IF(DD5&lt;90,DK8,IF(DD5=90,DK10,IF(DD5&lt;180,DK11,DK13))))</f>
        <v>#NAME?</v>
      </c>
      <c r="DV3" s="327"/>
      <c r="DW3" s="207" t="s">
        <v>2115</v>
      </c>
      <c r="DX3" s="287"/>
      <c r="DY3" s="287"/>
      <c r="DZ3" s="287"/>
      <c r="EA3" s="287"/>
      <c r="EB3" s="287"/>
      <c r="EC3" s="199"/>
      <c r="ED3" t="s">
        <v>280</v>
      </c>
      <c r="EE3">
        <v>12</v>
      </c>
      <c r="EJ3">
        <v>61.50964037</v>
      </c>
      <c r="EK3" s="696"/>
      <c r="EL3" s="697" t="s">
        <v>2194</v>
      </c>
      <c r="EM3" s="697"/>
      <c r="EN3" s="697" t="s">
        <v>2202</v>
      </c>
      <c r="EO3" s="697"/>
      <c r="EP3" s="697"/>
      <c r="EQ3" s="698"/>
      <c r="ER3" t="s">
        <v>2185</v>
      </c>
      <c r="ES3" t="s">
        <v>2202</v>
      </c>
      <c r="EX3" t="s">
        <v>2195</v>
      </c>
      <c r="EZ3" t="s">
        <v>2202</v>
      </c>
      <c r="FR3" s="274"/>
      <c r="FS3" s="274"/>
      <c r="FT3" s="274"/>
      <c r="FU3" s="274"/>
      <c r="FV3" s="274"/>
      <c r="FW3" s="274"/>
      <c r="FX3" s="274"/>
      <c r="FY3" s="274"/>
      <c r="FZ3" s="274"/>
      <c r="GA3" s="274"/>
      <c r="GB3" s="274"/>
      <c r="GC3" s="274"/>
      <c r="GD3" s="274"/>
      <c r="GE3" s="274"/>
      <c r="GF3" s="274"/>
      <c r="GG3" s="274"/>
      <c r="GH3" s="274"/>
      <c r="GI3" s="274"/>
      <c r="GJ3" s="274"/>
      <c r="GK3" s="274"/>
      <c r="GL3" s="274"/>
      <c r="GM3" s="274"/>
      <c r="GN3" s="274"/>
      <c r="GO3" s="274"/>
      <c r="GP3" s="274"/>
      <c r="GQ3" s="274"/>
      <c r="GR3" s="274"/>
      <c r="GS3" s="274"/>
      <c r="GT3" s="274"/>
      <c r="HM3" t="s">
        <v>2342</v>
      </c>
      <c r="IO3" s="1069"/>
      <c r="IP3" s="1070" t="s">
        <v>3869</v>
      </c>
      <c r="IQ3" s="1070">
        <f>85.933333333333-(2.59/60)</f>
        <v>85.890166666666332</v>
      </c>
      <c r="IR3" s="157">
        <f t="shared" ref="IR3" si="0">INT(ABS(IQ3))</f>
        <v>85</v>
      </c>
      <c r="IS3" s="157">
        <f t="shared" ref="IS3" si="1">INT((ABS(IQ3)-IR3)*60)</f>
        <v>53</v>
      </c>
      <c r="IT3" s="157">
        <f t="shared" ref="IT3" si="2">INT((((ABS(IQ3)-IR3)*60)-IS3)*60)</f>
        <v>24</v>
      </c>
      <c r="IU3" s="157">
        <f t="shared" ref="IU3" si="3">INT((((((ABS(IQ3)-IR3)*60)-IS3)*60)-IT3)*60)</f>
        <v>35</v>
      </c>
      <c r="IX3" s="797"/>
      <c r="IY3" s="797"/>
      <c r="IZ3" s="797"/>
      <c r="JA3" s="797"/>
      <c r="JB3" s="797"/>
      <c r="JC3" s="797"/>
      <c r="JD3" s="797"/>
      <c r="JE3" s="797"/>
      <c r="JF3" s="797"/>
      <c r="JG3" s="797"/>
      <c r="JH3" s="797"/>
      <c r="JI3" s="797"/>
      <c r="JJ3" s="797"/>
      <c r="JK3" s="797"/>
      <c r="JL3" s="797"/>
      <c r="JM3" s="797"/>
      <c r="JN3" s="797"/>
      <c r="JO3" s="797"/>
      <c r="JP3" s="797"/>
      <c r="JQ3" s="797"/>
      <c r="JR3" s="797"/>
      <c r="JS3" s="797"/>
      <c r="JT3" s="797"/>
      <c r="JU3" s="797"/>
      <c r="JV3" s="797"/>
      <c r="JW3" s="797"/>
      <c r="JX3" s="797"/>
      <c r="JY3" s="327"/>
      <c r="JZ3" s="797"/>
      <c r="KA3" s="327"/>
      <c r="KB3" s="327"/>
      <c r="KC3" s="327"/>
      <c r="KD3" s="327"/>
      <c r="KE3" s="327"/>
      <c r="KF3" s="327"/>
      <c r="KG3" s="327"/>
      <c r="KH3" s="327"/>
      <c r="KI3" s="327"/>
      <c r="KJ3" s="327"/>
      <c r="KK3" s="327"/>
      <c r="KL3" s="327"/>
      <c r="KM3" s="327"/>
      <c r="KN3" s="327"/>
      <c r="KO3" s="327"/>
      <c r="KP3" s="327"/>
      <c r="KQ3" s="327"/>
      <c r="KR3" s="327"/>
    </row>
    <row r="4" spans="2:304" ht="27.75" thickBot="1">
      <c r="C4" t="s">
        <v>202</v>
      </c>
      <c r="D4" t="s">
        <v>172</v>
      </c>
      <c r="E4" t="s">
        <v>166</v>
      </c>
      <c r="F4" t="s">
        <v>167</v>
      </c>
      <c r="G4" t="s">
        <v>168</v>
      </c>
      <c r="H4" t="s">
        <v>199</v>
      </c>
      <c r="I4" t="s">
        <v>200</v>
      </c>
      <c r="J4" t="s">
        <v>201</v>
      </c>
      <c r="O4" s="1" t="s">
        <v>215</v>
      </c>
      <c r="P4" s="1">
        <f>DEGREES(ASIN(ABS(COS(RADIANS(P3)))*ABS(COS(RADIANS(ABS(DEGREES(ATAN(SIN(RADIANS(P3))*TAN(RADIANS(P2))))))))))</f>
        <v>27.908628843179596</v>
      </c>
      <c r="Q4" s="31">
        <f>INT(P4)</f>
        <v>27</v>
      </c>
      <c r="R4" s="31">
        <f>INT((P4-Q4)*60)</f>
        <v>54</v>
      </c>
      <c r="S4" s="31">
        <f>INT((((P4-Q4)*60)-R4)*60)</f>
        <v>31</v>
      </c>
      <c r="T4" s="31">
        <f>INT((((((P4-Q4)*60)-R4)*60)-S4)*60)</f>
        <v>3</v>
      </c>
      <c r="U4" s="31">
        <f>INT((((((((P4-Q4)*60)-R4)*60)-S4)*60)-T4)*60)</f>
        <v>49</v>
      </c>
      <c r="V4" s="31">
        <f>INT((((((((((P4-Q4)*60)-R4)*60)-S4)*60)-T4)*60)-U4)*60)</f>
        <v>48</v>
      </c>
      <c r="W4" s="31">
        <f>INT((((((((((((P4-Q4)*60)-R4)*60)-S4)*60)-T4)*60)-U4)*60)-V4)*60)</f>
        <v>27</v>
      </c>
      <c r="Z4" s="24"/>
      <c r="AA4" s="24" t="s">
        <v>202</v>
      </c>
      <c r="AB4" s="24" t="s">
        <v>172</v>
      </c>
      <c r="AC4" s="24" t="s">
        <v>166</v>
      </c>
      <c r="AD4" s="24" t="s">
        <v>167</v>
      </c>
      <c r="AE4" s="24" t="s">
        <v>168</v>
      </c>
      <c r="AF4" s="24" t="s">
        <v>199</v>
      </c>
      <c r="AG4" s="24" t="s">
        <v>200</v>
      </c>
      <c r="AH4" s="24" t="s">
        <v>201</v>
      </c>
      <c r="AI4" s="24" t="s">
        <v>176</v>
      </c>
      <c r="AJ4" s="24"/>
      <c r="AM4" s="24"/>
      <c r="AN4" s="24" t="s">
        <v>202</v>
      </c>
      <c r="AO4" s="24" t="s">
        <v>172</v>
      </c>
      <c r="AP4" s="24" t="s">
        <v>166</v>
      </c>
      <c r="AQ4" s="24" t="s">
        <v>167</v>
      </c>
      <c r="AR4" s="24" t="s">
        <v>168</v>
      </c>
      <c r="AS4" s="24" t="s">
        <v>199</v>
      </c>
      <c r="AT4" s="24" t="s">
        <v>200</v>
      </c>
      <c r="AU4" s="24" t="s">
        <v>201</v>
      </c>
      <c r="AV4" s="24" t="s">
        <v>176</v>
      </c>
      <c r="AW4" s="24"/>
      <c r="AZ4" s="216">
        <f>IF(BB4&gt;0,1,-1)</f>
        <v>-1</v>
      </c>
      <c r="BA4" s="113" t="s">
        <v>177</v>
      </c>
      <c r="BB4" s="215">
        <v>-10</v>
      </c>
      <c r="BF4" s="346"/>
      <c r="BG4" s="346" t="s">
        <v>1481</v>
      </c>
      <c r="BH4" s="346">
        <v>225</v>
      </c>
      <c r="BI4" s="346"/>
      <c r="BJ4" s="346"/>
      <c r="BK4" s="346"/>
      <c r="BL4" s="346"/>
      <c r="BY4" s="221" t="s">
        <v>2143</v>
      </c>
      <c r="BZ4" s="222"/>
      <c r="CA4" s="223"/>
      <c r="CB4" s="221"/>
      <c r="CC4" s="222"/>
      <c r="CD4" s="223"/>
      <c r="CF4" s="299" t="s">
        <v>176</v>
      </c>
      <c r="CG4" s="212"/>
      <c r="CH4" s="213"/>
      <c r="CI4" s="346"/>
      <c r="CJ4" s="346" t="s">
        <v>2156</v>
      </c>
      <c r="CK4" s="346"/>
      <c r="CL4" s="346"/>
      <c r="CM4" s="346"/>
      <c r="CN4" s="346">
        <v>1</v>
      </c>
      <c r="CO4" s="346">
        <v>2</v>
      </c>
      <c r="CP4" s="346">
        <v>3</v>
      </c>
      <c r="CQ4" s="346">
        <v>4</v>
      </c>
      <c r="CR4" s="346">
        <v>5</v>
      </c>
      <c r="CS4" s="346">
        <v>6</v>
      </c>
      <c r="CT4" s="346">
        <v>7</v>
      </c>
      <c r="CU4" s="346">
        <v>8</v>
      </c>
      <c r="DA4" s="404"/>
      <c r="DB4" s="405"/>
      <c r="DC4" s="226" t="s">
        <v>325</v>
      </c>
      <c r="DD4" s="226">
        <v>39.857911799999997</v>
      </c>
      <c r="DE4" s="396"/>
      <c r="DF4" s="412" t="s">
        <v>2150</v>
      </c>
      <c r="DG4" s="415" t="str">
        <f>IF(DD5=0,DM7,IF(DD5&lt;90,DM8,IF(DD5=90,DM10,IF(DD5&lt;180,DM11,DM13))))</f>
        <v>غربی</v>
      </c>
      <c r="DH4">
        <f>0.346*60</f>
        <v>20.759999999999998</v>
      </c>
      <c r="DV4" s="327"/>
      <c r="DW4" s="202"/>
      <c r="DX4" s="268" t="s">
        <v>175</v>
      </c>
      <c r="DY4" s="268">
        <v>12</v>
      </c>
      <c r="DZ4" s="268"/>
      <c r="EA4" s="268"/>
      <c r="EB4" s="268"/>
      <c r="EC4" s="201"/>
      <c r="ED4" t="s">
        <v>275</v>
      </c>
      <c r="EE4">
        <v>12</v>
      </c>
      <c r="EJ4">
        <v>62.471204380000003</v>
      </c>
      <c r="EK4" s="701"/>
      <c r="EL4" s="304" t="s">
        <v>3</v>
      </c>
      <c r="EM4" s="304">
        <v>1444</v>
      </c>
      <c r="EN4" s="304" t="s">
        <v>219</v>
      </c>
      <c r="EO4" s="304">
        <v>0</v>
      </c>
      <c r="EP4" s="304"/>
      <c r="EQ4" s="314"/>
      <c r="ER4" s="281" t="s">
        <v>177</v>
      </c>
      <c r="ES4" s="281">
        <v>35</v>
      </c>
      <c r="ET4" s="281"/>
      <c r="EU4" s="281"/>
      <c r="EV4" s="279"/>
      <c r="EX4" s="231" t="s">
        <v>60</v>
      </c>
      <c r="EY4" s="232">
        <v>1442</v>
      </c>
      <c r="EZ4" s="256" t="s">
        <v>5</v>
      </c>
      <c r="FA4" s="257">
        <v>1</v>
      </c>
      <c r="FQ4" t="s">
        <v>2241</v>
      </c>
      <c r="GE4" s="274"/>
      <c r="GF4" s="274" t="s">
        <v>4231</v>
      </c>
      <c r="GG4" s="274"/>
      <c r="GH4" s="274"/>
      <c r="GI4" s="274"/>
      <c r="GJ4" s="276"/>
      <c r="GK4" s="276"/>
      <c r="GL4" s="276"/>
      <c r="GM4" s="274"/>
      <c r="GN4" s="274"/>
      <c r="GO4" s="274"/>
      <c r="GP4" s="274"/>
      <c r="GQ4" s="274"/>
      <c r="GR4" s="274"/>
      <c r="GS4" s="276"/>
      <c r="GT4" s="276"/>
      <c r="GU4" s="274"/>
      <c r="HM4" s="502"/>
      <c r="HN4" s="163" t="s">
        <v>2263</v>
      </c>
      <c r="HO4" s="503">
        <f>((((HR4)/60)+HQ4)/60)+HP4</f>
        <v>0.15</v>
      </c>
      <c r="HP4" s="163">
        <v>0</v>
      </c>
      <c r="HQ4" s="163">
        <v>9</v>
      </c>
      <c r="HR4" s="163">
        <v>0</v>
      </c>
      <c r="HS4" s="163"/>
      <c r="HV4" s="157"/>
      <c r="HW4" s="157"/>
      <c r="HX4" s="157"/>
      <c r="HY4" s="157"/>
      <c r="IB4" s="275"/>
      <c r="IC4" s="149"/>
      <c r="ID4" s="150"/>
      <c r="IE4" s="150"/>
      <c r="IF4" s="150"/>
      <c r="IG4" s="150"/>
      <c r="IO4" s="1071" t="s">
        <v>144</v>
      </c>
      <c r="IP4" s="1072" t="s">
        <v>3870</v>
      </c>
      <c r="IQ4" s="1072">
        <f>[1]!mbtool(IU4,IT4,IS4,IR4)</f>
        <v>9.5185185185185192E-2</v>
      </c>
      <c r="IR4" s="1072">
        <v>1</v>
      </c>
      <c r="IS4" s="1072">
        <v>4</v>
      </c>
      <c r="IT4" s="1072">
        <v>17</v>
      </c>
      <c r="IU4" s="1073">
        <v>2</v>
      </c>
      <c r="IX4" s="797"/>
      <c r="IY4" s="797" t="s">
        <v>3958</v>
      </c>
      <c r="IZ4" s="797"/>
      <c r="JA4" s="797"/>
      <c r="JB4" s="797"/>
      <c r="JC4" s="797"/>
      <c r="JD4" s="797"/>
      <c r="JE4" s="797"/>
      <c r="JF4" s="797"/>
      <c r="JG4" s="797"/>
      <c r="JH4" s="797"/>
      <c r="JI4" s="1338" t="s">
        <v>2236</v>
      </c>
      <c r="JJ4" s="1339"/>
      <c r="JK4" s="1354" t="s">
        <v>1648</v>
      </c>
      <c r="JL4" s="1341" t="s">
        <v>3960</v>
      </c>
      <c r="JM4" s="1340" t="s">
        <v>2237</v>
      </c>
      <c r="JN4" s="1340" t="s">
        <v>839</v>
      </c>
      <c r="JO4" s="1339"/>
      <c r="JP4" s="1355" t="s">
        <v>3957</v>
      </c>
      <c r="JQ4" s="643"/>
      <c r="JR4" s="643"/>
      <c r="JS4" s="108"/>
      <c r="JT4" s="109" t="s">
        <v>3</v>
      </c>
      <c r="JU4" s="109">
        <f>IZ5</f>
        <v>1384</v>
      </c>
      <c r="JV4" s="109" t="s">
        <v>5</v>
      </c>
      <c r="JW4" s="109">
        <f>JB5</f>
        <v>18</v>
      </c>
      <c r="JX4" s="109" t="s">
        <v>177</v>
      </c>
      <c r="JY4" s="109">
        <f>JD7</f>
        <v>32.052</v>
      </c>
      <c r="JZ4" s="316"/>
      <c r="KA4" s="327"/>
      <c r="KB4" s="327"/>
      <c r="KC4" s="1376" t="s">
        <v>2231</v>
      </c>
      <c r="KD4" s="1383" t="s">
        <v>2229</v>
      </c>
      <c r="KE4" s="1384" t="s">
        <v>3963</v>
      </c>
      <c r="KF4" s="1384">
        <f>JL16</f>
        <v>222.72936298413771</v>
      </c>
      <c r="KG4" s="1384" t="str">
        <f>IF(JZ12=12,JS12,"-")</f>
        <v>-</v>
      </c>
      <c r="KH4" s="1384" t="s">
        <v>3967</v>
      </c>
      <c r="KI4" s="1384"/>
      <c r="KJ4" s="1392" t="s">
        <v>3961</v>
      </c>
      <c r="KK4" s="1384" t="s">
        <v>2227</v>
      </c>
      <c r="KL4" s="1384" t="s">
        <v>3963</v>
      </c>
      <c r="KM4" s="1384">
        <f>JL6</f>
        <v>279.45058208267329</v>
      </c>
      <c r="KN4" s="1384"/>
      <c r="KO4" s="1384"/>
      <c r="KP4" s="1389" t="s">
        <v>1702</v>
      </c>
      <c r="KQ4" s="1377" t="s">
        <v>1703</v>
      </c>
      <c r="KR4" s="327"/>
    </row>
    <row r="5" spans="2:304" ht="25.5" thickBot="1">
      <c r="B5" s="24" t="s">
        <v>194</v>
      </c>
      <c r="C5" s="24">
        <v>91</v>
      </c>
      <c r="D5" s="24"/>
      <c r="E5" s="24"/>
      <c r="F5" s="24"/>
      <c r="G5" s="24"/>
      <c r="H5" s="24"/>
      <c r="I5" s="24"/>
      <c r="J5" s="24"/>
      <c r="O5" s="1" t="s">
        <v>229</v>
      </c>
      <c r="P5" s="1">
        <f>IF(P3&lt;=90,90-P4,IF(P3&lt;=180,90+P4,IF(P3&lt;=270,270-P4,270+P4)))</f>
        <v>297.9086288431796</v>
      </c>
      <c r="Q5" s="31">
        <f>INT(P5)</f>
        <v>297</v>
      </c>
      <c r="R5" s="31">
        <f>INT((P5-Q5)*60)</f>
        <v>54</v>
      </c>
      <c r="S5" s="31">
        <f>INT((((P5-Q5)*60)-R5)*60)</f>
        <v>31</v>
      </c>
      <c r="T5" s="31">
        <f>INT((((((P5-Q5)*60)-R5)*60)-S5)*60)</f>
        <v>3</v>
      </c>
      <c r="U5" s="31">
        <f>INT((((((((P5-Q5)*60)-R5)*60)-S5)*60)-T5)*60)</f>
        <v>49</v>
      </c>
      <c r="V5" s="31">
        <f>INT((((((((((P5-Q5)*60)-R5)*60)-S5)*60)-T5)*60)-U5)*60)</f>
        <v>48</v>
      </c>
      <c r="W5" s="31">
        <f>INT((((((((((((P5-Q5)*60)-R5)*60)-S5)*60)-T5)*60)-U5)*60)-V5)*60)</f>
        <v>27</v>
      </c>
      <c r="Z5" s="24" t="s">
        <v>194</v>
      </c>
      <c r="AA5" s="24">
        <f>((AC3-1)*30)+AA3</f>
        <v>40</v>
      </c>
      <c r="AB5" s="24"/>
      <c r="AC5" s="24"/>
      <c r="AD5" s="24"/>
      <c r="AE5" s="24"/>
      <c r="AF5" s="24"/>
      <c r="AG5" s="24"/>
      <c r="AH5" s="24"/>
      <c r="AI5" s="24"/>
      <c r="AJ5" s="24"/>
      <c r="AM5" s="24" t="s">
        <v>194</v>
      </c>
      <c r="AN5" s="24">
        <f>((AP3-1)*30)+AN3</f>
        <v>41</v>
      </c>
      <c r="AO5" s="24"/>
      <c r="AP5" s="24"/>
      <c r="AQ5" s="24"/>
      <c r="AR5" s="24"/>
      <c r="AS5" s="24"/>
      <c r="AT5" s="24"/>
      <c r="AU5" s="24"/>
      <c r="AV5" s="24"/>
      <c r="AW5" s="24"/>
      <c r="AZ5" s="216"/>
      <c r="BA5" s="113" t="s">
        <v>175</v>
      </c>
      <c r="BB5" s="215">
        <v>0</v>
      </c>
      <c r="BF5" s="346"/>
      <c r="BG5" s="346" t="s">
        <v>177</v>
      </c>
      <c r="BH5" s="346">
        <v>35</v>
      </c>
      <c r="BI5" s="346"/>
      <c r="BJ5" s="346"/>
      <c r="BK5" s="346"/>
      <c r="BL5" s="346"/>
      <c r="BO5" t="s">
        <v>2202</v>
      </c>
      <c r="BY5" s="224" t="s">
        <v>299</v>
      </c>
      <c r="BZ5" s="238">
        <f>CH5</f>
        <v>35</v>
      </c>
      <c r="CA5" s="271"/>
      <c r="CB5" s="224"/>
      <c r="CC5" s="238"/>
      <c r="CD5" s="271"/>
      <c r="CF5" s="297">
        <f>IF(CH5&gt;0,1,-1)</f>
        <v>1</v>
      </c>
      <c r="CG5" s="113" t="s">
        <v>2152</v>
      </c>
      <c r="CH5" s="215">
        <f>DB5</f>
        <v>35</v>
      </c>
      <c r="CI5" s="3">
        <v>1</v>
      </c>
      <c r="CJ5" s="3">
        <v>1</v>
      </c>
      <c r="CK5" s="3" t="s">
        <v>2160</v>
      </c>
      <c r="CL5" s="3"/>
      <c r="CM5" s="3"/>
      <c r="CN5" s="3"/>
      <c r="CO5" s="3"/>
      <c r="CP5" s="3"/>
      <c r="CQ5" s="3"/>
      <c r="CR5" s="3"/>
      <c r="CS5" s="3"/>
      <c r="CT5" s="3"/>
      <c r="CU5" s="3">
        <f>CH9</f>
        <v>11.012088200000001</v>
      </c>
      <c r="DA5" s="207" t="s">
        <v>2172</v>
      </c>
      <c r="DB5" s="199">
        <v>35</v>
      </c>
      <c r="DC5" s="226" t="s">
        <v>377</v>
      </c>
      <c r="DD5" s="226">
        <f>ABS(DD4-DB6)</f>
        <v>11.012088200000001</v>
      </c>
      <c r="DE5" s="398"/>
      <c r="DF5" s="413" t="s">
        <v>2151</v>
      </c>
      <c r="DG5" s="416" t="e">
        <f ca="1">IF(DD5=0,DO7,IF(DD5&lt;90,DO8,IF(DD5=90,DO10,IF(DD5&lt;180,DO11,DO13))))</f>
        <v>#NAME?</v>
      </c>
      <c r="DV5" s="327"/>
      <c r="DW5" s="202"/>
      <c r="DX5" s="268" t="s">
        <v>1481</v>
      </c>
      <c r="DY5" s="268">
        <v>200</v>
      </c>
      <c r="DZ5" s="268"/>
      <c r="EA5" s="268"/>
      <c r="EB5" s="268"/>
      <c r="EC5" s="201"/>
      <c r="EE5" t="e">
        <f ca="1">[2]!Arzr2(EE2,EE3,EE4)</f>
        <v>#NAME?</v>
      </c>
      <c r="EJ5">
        <f>[1]!mtl(1444,EJ4-EJ3)</f>
        <v>0.88232679770518219</v>
      </c>
      <c r="EK5" s="701"/>
      <c r="EL5" s="304" t="s">
        <v>4</v>
      </c>
      <c r="EM5" s="304">
        <v>11</v>
      </c>
      <c r="EN5" s="304" t="s">
        <v>166</v>
      </c>
      <c r="EO5" s="304">
        <v>0</v>
      </c>
      <c r="EP5" s="304"/>
      <c r="EQ5" s="314"/>
      <c r="ER5" s="226" t="s">
        <v>175</v>
      </c>
      <c r="ES5" s="226">
        <v>-10</v>
      </c>
      <c r="ET5" s="226"/>
      <c r="EU5" s="226"/>
      <c r="EV5" s="227"/>
      <c r="EX5" s="252" t="s">
        <v>4</v>
      </c>
      <c r="EY5" s="253">
        <v>12</v>
      </c>
      <c r="EZ5" s="250" t="s">
        <v>219</v>
      </c>
      <c r="FA5" s="258">
        <f>6.815</f>
        <v>6.8150000000000004</v>
      </c>
      <c r="FQ5" s="300" t="s">
        <v>60</v>
      </c>
      <c r="FR5" s="301">
        <v>1444</v>
      </c>
      <c r="FS5" s="301"/>
      <c r="FT5" s="302"/>
      <c r="FU5" s="301"/>
      <c r="FV5" s="302"/>
      <c r="GE5" s="274"/>
      <c r="GF5" s="1308" t="s">
        <v>3</v>
      </c>
      <c r="GG5" s="709">
        <v>1445</v>
      </c>
      <c r="GH5" s="1496"/>
      <c r="GI5" s="274"/>
      <c r="GJ5" s="276"/>
      <c r="GK5" s="276"/>
      <c r="GL5" s="276"/>
      <c r="GM5" s="274"/>
      <c r="GN5" s="274"/>
      <c r="GO5" s="274"/>
      <c r="GP5" s="274"/>
      <c r="GQ5" s="276"/>
      <c r="GR5" s="276"/>
      <c r="GS5" s="276"/>
      <c r="GT5" s="276"/>
      <c r="GU5" s="274"/>
      <c r="HM5" s="4"/>
      <c r="HN5" s="163" t="s">
        <v>2264</v>
      </c>
      <c r="HO5" s="503">
        <f>((((HR5)/60)+HQ5)/60)+HP5</f>
        <v>12.333333333333334</v>
      </c>
      <c r="HP5" s="4">
        <v>12</v>
      </c>
      <c r="HQ5" s="4">
        <v>20</v>
      </c>
      <c r="HR5" s="4">
        <v>0</v>
      </c>
      <c r="HS5" s="4"/>
      <c r="HV5" s="157"/>
      <c r="HW5" s="157"/>
      <c r="HX5" s="157"/>
      <c r="HY5" s="157"/>
      <c r="IB5" s="150" t="s">
        <v>2263</v>
      </c>
      <c r="IC5" s="149">
        <f>((((IF5)/60)+IE5)/60)+ID5</f>
        <v>0.55000000000000004</v>
      </c>
      <c r="ID5" s="150">
        <v>0</v>
      </c>
      <c r="IE5" s="150">
        <v>33</v>
      </c>
      <c r="IF5" s="150">
        <v>0</v>
      </c>
      <c r="IG5" s="150"/>
      <c r="IO5" s="1071"/>
      <c r="IP5" s="1072"/>
      <c r="IQ5" s="1072">
        <f>IQ4*24</f>
        <v>2.2844444444444445</v>
      </c>
      <c r="IR5" s="1072"/>
      <c r="IS5" s="1072"/>
      <c r="IT5" s="1072"/>
      <c r="IU5" s="1073"/>
      <c r="IX5" s="797" t="s">
        <v>144</v>
      </c>
      <c r="IY5" s="108" t="s">
        <v>60</v>
      </c>
      <c r="IZ5" s="1335">
        <v>1384</v>
      </c>
      <c r="JA5" s="109" t="s">
        <v>5</v>
      </c>
      <c r="JB5" s="1335">
        <v>18</v>
      </c>
      <c r="JC5" s="109"/>
      <c r="JD5" s="316"/>
      <c r="JE5" s="797"/>
      <c r="JF5" s="797"/>
      <c r="JG5" s="797"/>
      <c r="JH5" s="797"/>
      <c r="JI5" s="1342" t="s">
        <v>2235</v>
      </c>
      <c r="JJ5" s="291">
        <f>IZ27</f>
        <v>247.32371315219629</v>
      </c>
      <c r="JK5" s="221">
        <v>1</v>
      </c>
      <c r="JL5" s="291">
        <f>JJ5</f>
        <v>247.32371315219629</v>
      </c>
      <c r="JM5" s="290"/>
      <c r="JN5" s="1343">
        <f>IF(JL5-JL16&gt;=0,JL5-JL16,JL5-JL16+360)</f>
        <v>24.594350168058583</v>
      </c>
      <c r="JO5" s="291">
        <f t="shared" ref="JO5:JO16" si="4">JN5/2</f>
        <v>12.297175084029291</v>
      </c>
      <c r="JP5" s="223">
        <f>IF(JO5+JL16&lt;=360,JO5+JL16,JO5+JL16-360)</f>
        <v>235.02653806816699</v>
      </c>
      <c r="JQ5" s="251">
        <f t="shared" ref="JQ5:JQ16" si="5">IF(JR5=JP$5,JK$5,IF(JR5=JP$6,JK$6,IF(JR5=JP$7,JK$7,IF(JR5=JP$8,JK$8,IF(JR5=JP$9,JK$9,IF(JR5=JP$10,JK$10,IF(JR5=JP$11,JK$11,IF(JR5=JP$12,JK$12,IF(JR5=JP$13,JK$13,IF(JR5=JP$14,JK$14,IF(JR5=JP$15,JK$15,JK$16)))))))))))</f>
        <v>6</v>
      </c>
      <c r="JR5" s="251">
        <f t="shared" ref="JR5:JR16" si="6">SMALL(JP$5:JP$16,JK5)</f>
        <v>29.530753705601686</v>
      </c>
      <c r="JS5" s="112"/>
      <c r="JT5" s="113" t="s">
        <v>4</v>
      </c>
      <c r="JU5" s="113">
        <f>IZ6</f>
        <v>11</v>
      </c>
      <c r="JV5" s="113" t="s">
        <v>219</v>
      </c>
      <c r="JW5" s="113">
        <f>JB6</f>
        <v>11</v>
      </c>
      <c r="JX5" s="113" t="s">
        <v>3950</v>
      </c>
      <c r="JY5" s="113">
        <f>(((JW7/60)+JW6)/60)+JW5</f>
        <v>11.260833333333334</v>
      </c>
      <c r="JZ5" s="317"/>
      <c r="KA5" s="327"/>
      <c r="KB5" s="327"/>
      <c r="KC5" s="1378" t="s">
        <v>3963</v>
      </c>
      <c r="KD5" s="1359">
        <f>JL15</f>
        <v>196.33214442706566</v>
      </c>
      <c r="KE5" s="1385" t="str">
        <f>IF(JZ9=12,JS9,"-")</f>
        <v>-</v>
      </c>
      <c r="KF5" s="1385" t="str">
        <f>IF(JZ10=12,JS10,"-")</f>
        <v>قمر</v>
      </c>
      <c r="KG5" s="1385" t="str">
        <f>IF(JZ13=12,JS13,"-")</f>
        <v>-</v>
      </c>
      <c r="KH5" s="1385"/>
      <c r="KI5" s="1386"/>
      <c r="KJ5" s="1361" t="s">
        <v>3962</v>
      </c>
      <c r="KK5" s="1388" t="str">
        <f>IF(JZ9=2,JS9,"-")</f>
        <v>-</v>
      </c>
      <c r="KL5" s="1385" t="str">
        <f>IF(JZ10=2,JS10,"-")</f>
        <v>-</v>
      </c>
      <c r="KM5" s="1385" t="str">
        <f>IF(JZ12=2,JS12,"-")</f>
        <v>-</v>
      </c>
      <c r="KN5" s="1385" t="str">
        <f>IF(JZ15=2,JS15,"-")</f>
        <v>-</v>
      </c>
      <c r="KO5" s="1385"/>
      <c r="KP5" s="1363" t="s">
        <v>2225</v>
      </c>
      <c r="KQ5" s="1379"/>
      <c r="KR5" s="327"/>
    </row>
    <row r="6" spans="2:304" ht="25.5" thickBot="1">
      <c r="O6" s="1" t="s">
        <v>226</v>
      </c>
      <c r="P6" s="1">
        <f>ABS(DEGREES(ATAN(SIN(RADIANS(P3))*TAN(RADIANS(C7)))))</f>
        <v>20.589204649152936</v>
      </c>
      <c r="Q6" s="31">
        <f>INT(P6)</f>
        <v>20</v>
      </c>
      <c r="R6" s="31">
        <f>INT((P6-Q6)*60)</f>
        <v>35</v>
      </c>
      <c r="S6" s="31">
        <f>INT((((P6-Q6)*60)-R6)*60)</f>
        <v>21</v>
      </c>
      <c r="T6" s="31">
        <f>INT((((((P6-Q6)*60)-R6)*60)-S6)*60)</f>
        <v>8</v>
      </c>
      <c r="U6" s="31">
        <f>INT((((((((P6-Q6)*60)-R6)*60)-S6)*60)-T6)*60)</f>
        <v>12</v>
      </c>
      <c r="V6" s="31">
        <f>INT((((((((((P6-Q6)*60)-R6)*60)-S6)*60)-T6)*60)-U6)*60)</f>
        <v>15</v>
      </c>
      <c r="W6" s="31">
        <f>INT((((((((((((P6-Q6)*60)-R6)*60)-S6)*60)-T6)*60)-U6)*60)-V6)*60)</f>
        <v>10</v>
      </c>
      <c r="AZ6" s="216" t="e">
        <f ca="1">IF(BB6&gt;0,1,-1)</f>
        <v>#NAME?</v>
      </c>
      <c r="BA6" s="113" t="s">
        <v>298</v>
      </c>
      <c r="BB6" s="215" t="e">
        <f ca="1">[2]!bkm(BB5,BB3)</f>
        <v>#NAME?</v>
      </c>
      <c r="BF6" s="346"/>
      <c r="BG6" s="346" t="s">
        <v>284</v>
      </c>
      <c r="BH6" s="346">
        <v>85</v>
      </c>
      <c r="BI6" s="346" t="s">
        <v>2117</v>
      </c>
      <c r="BJ6" s="346"/>
      <c r="BK6" s="346"/>
      <c r="BL6" s="346"/>
      <c r="BY6" s="224" t="s">
        <v>2132</v>
      </c>
      <c r="BZ6" s="238">
        <f>CH6</f>
        <v>50.87</v>
      </c>
      <c r="CA6" s="271"/>
      <c r="CB6" s="224"/>
      <c r="CC6" s="238"/>
      <c r="CD6" s="271"/>
      <c r="CF6" s="297"/>
      <c r="CG6" s="113" t="s">
        <v>2153</v>
      </c>
      <c r="CH6" s="215">
        <f>DB6</f>
        <v>50.87</v>
      </c>
      <c r="CI6" s="278"/>
      <c r="CJ6" s="281">
        <v>1</v>
      </c>
      <c r="CK6" s="226"/>
      <c r="CL6" s="281" t="s">
        <v>2161</v>
      </c>
      <c r="CM6" s="281"/>
      <c r="CN6" s="281"/>
      <c r="CO6" s="281"/>
      <c r="CP6" s="281"/>
      <c r="CQ6" s="281"/>
      <c r="CR6" s="395"/>
      <c r="CS6" s="279">
        <f>ABS(CH5-CH7)</f>
        <v>13.610917600000001</v>
      </c>
      <c r="CT6" s="363"/>
      <c r="CU6" s="363" t="e">
        <f ca="1">IF(CH9=0,CS6,IF(CH9&lt;90,CS7,IF(CH9=90,CS8,IF(CH9&lt;180,CS9,CS10))))</f>
        <v>#NAME?</v>
      </c>
      <c r="DA6" s="202" t="s">
        <v>2173</v>
      </c>
      <c r="DB6" s="201">
        <v>50.87</v>
      </c>
      <c r="DC6" s="226" t="s">
        <v>2174</v>
      </c>
      <c r="DD6" s="227">
        <f>ABS(DD3-DB5)</f>
        <v>13.610917600000001</v>
      </c>
      <c r="DE6" s="238" t="s">
        <v>251</v>
      </c>
      <c r="DF6" s="238" t="s">
        <v>252</v>
      </c>
      <c r="DG6" s="238" t="s">
        <v>2168</v>
      </c>
      <c r="DH6" s="222" t="s">
        <v>2169</v>
      </c>
      <c r="DI6" s="222" t="s">
        <v>2175</v>
      </c>
      <c r="DJ6" s="4"/>
      <c r="DK6" s="222" t="s">
        <v>2149</v>
      </c>
      <c r="DL6" s="4"/>
      <c r="DM6" s="222" t="s">
        <v>2150</v>
      </c>
      <c r="DN6" s="4"/>
      <c r="DO6" s="223" t="s">
        <v>2151</v>
      </c>
      <c r="DV6" s="327"/>
      <c r="DW6" s="202" t="s">
        <v>144</v>
      </c>
      <c r="DX6" s="268" t="s">
        <v>177</v>
      </c>
      <c r="DY6" s="268">
        <v>35</v>
      </c>
      <c r="DZ6" s="268"/>
      <c r="EA6" s="268"/>
      <c r="EB6" s="268"/>
      <c r="EC6" s="201"/>
      <c r="EJ6">
        <f>360+EJ5</f>
        <v>360.88232679770516</v>
      </c>
      <c r="EK6" s="701"/>
      <c r="EL6" s="304" t="s">
        <v>5</v>
      </c>
      <c r="EM6" s="304">
        <v>8</v>
      </c>
      <c r="EN6" s="304" t="s">
        <v>167</v>
      </c>
      <c r="EO6" s="304">
        <v>0</v>
      </c>
      <c r="EP6" s="304"/>
      <c r="EQ6" s="314"/>
      <c r="ER6" s="226" t="s">
        <v>1481</v>
      </c>
      <c r="ES6" s="226">
        <v>200</v>
      </c>
      <c r="ET6" s="226"/>
      <c r="EU6" s="226"/>
      <c r="EV6" s="227"/>
      <c r="EX6" s="252" t="s">
        <v>5</v>
      </c>
      <c r="EY6" s="253">
        <f>[1]!roz(FA4,FA5,FA6,FA7)</f>
        <v>1.2839583333333333</v>
      </c>
      <c r="EZ6" s="250" t="s">
        <v>166</v>
      </c>
      <c r="FA6" s="258">
        <v>0</v>
      </c>
      <c r="FM6" s="911" t="s">
        <v>1378</v>
      </c>
      <c r="FN6" s="1557">
        <f>[1]!mbtool(2,17,24,1)</f>
        <v>9.5416666666666664E-2</v>
      </c>
      <c r="FQ6" s="303" t="s">
        <v>4</v>
      </c>
      <c r="FR6" s="304">
        <v>12</v>
      </c>
      <c r="FS6" s="304"/>
      <c r="FT6" s="305"/>
      <c r="FU6" s="304"/>
      <c r="FV6" s="305"/>
      <c r="FY6" s="231" t="s">
        <v>60</v>
      </c>
      <c r="FZ6" s="232">
        <v>1442</v>
      </c>
      <c r="GA6" s="256" t="s">
        <v>5</v>
      </c>
      <c r="GB6" s="257">
        <v>1</v>
      </c>
      <c r="GE6" s="274"/>
      <c r="GF6" s="740" t="s">
        <v>4</v>
      </c>
      <c r="GG6" s="741">
        <v>4</v>
      </c>
      <c r="GH6" s="1496"/>
      <c r="GI6" s="274"/>
      <c r="GJ6" s="276"/>
      <c r="GK6" s="276"/>
      <c r="GL6" s="276"/>
      <c r="GM6" s="274"/>
      <c r="GN6" s="274"/>
      <c r="GO6" s="274"/>
      <c r="GP6" s="274"/>
      <c r="GQ6" s="276"/>
      <c r="GR6" s="276"/>
      <c r="GS6" s="276"/>
      <c r="GT6" s="276"/>
      <c r="GU6" s="274"/>
      <c r="HM6" s="150"/>
      <c r="HN6" s="504" t="s">
        <v>594</v>
      </c>
      <c r="HO6" s="158">
        <f>HO4*60</f>
        <v>9</v>
      </c>
      <c r="HP6" s="157">
        <f>INT(ABS(HO6))</f>
        <v>9</v>
      </c>
      <c r="HQ6" s="157">
        <f>INT((ABS(HO6)-HP6)*60)</f>
        <v>0</v>
      </c>
      <c r="HR6" s="157">
        <f>INT((((ABS(HO6)-HP6)*60)-HQ6)*60)</f>
        <v>0</v>
      </c>
      <c r="HS6" s="157">
        <f>INT((((((ABS(HO6)-HP6)*60)-HQ6)*60)-HR6)*60)</f>
        <v>0</v>
      </c>
      <c r="HT6" s="327"/>
      <c r="HV6" s="157"/>
      <c r="HW6" s="157"/>
      <c r="HX6" s="157"/>
      <c r="HY6" s="157"/>
      <c r="IA6" s="150"/>
      <c r="IB6" s="150" t="s">
        <v>2264</v>
      </c>
      <c r="IC6" s="149">
        <f>((((IF6)/60)+IE6)/60)+ID6</f>
        <v>12.083333333333334</v>
      </c>
      <c r="ID6" s="150">
        <v>12</v>
      </c>
      <c r="IE6" s="150">
        <v>5</v>
      </c>
      <c r="IF6" s="150"/>
      <c r="IG6" s="150"/>
      <c r="IO6" s="1071"/>
      <c r="IP6" s="1072"/>
      <c r="IQ6" s="1072">
        <f>IQ5*15</f>
        <v>34.266666666666666</v>
      </c>
      <c r="IR6" s="1072"/>
      <c r="IS6" s="1072"/>
      <c r="IT6" s="1072"/>
      <c r="IU6" s="1073"/>
      <c r="IX6" s="797"/>
      <c r="IY6" s="112" t="s">
        <v>4</v>
      </c>
      <c r="IZ6" s="215">
        <v>11</v>
      </c>
      <c r="JA6" s="113" t="s">
        <v>219</v>
      </c>
      <c r="JB6" s="215">
        <v>11</v>
      </c>
      <c r="JC6" s="113">
        <f>[1]!tzaman(IZ9)</f>
        <v>-0.19406958087620069</v>
      </c>
      <c r="JD6" s="317"/>
      <c r="JE6" s="797"/>
      <c r="JF6" s="797"/>
      <c r="JG6" s="797"/>
      <c r="JH6" s="797"/>
      <c r="JI6" s="779" t="s">
        <v>2234</v>
      </c>
      <c r="JJ6" s="251">
        <f>[1]!ba(JJ5+180)</f>
        <v>67.323713152196319</v>
      </c>
      <c r="JK6" s="224">
        <v>2</v>
      </c>
      <c r="JL6" s="251">
        <f>JJ22</f>
        <v>279.45058208267329</v>
      </c>
      <c r="JM6" s="266">
        <f>[1]!beyt2b(IZ5,IZ6,IZ7,IZ8,JD7)</f>
        <v>0</v>
      </c>
      <c r="JN6" s="1344">
        <f t="shared" ref="JN6:JN16" si="7">IF(JL6-JL5&gt;=0,JL6-JL5,JL6-JL5+360)</f>
        <v>32.126868930477002</v>
      </c>
      <c r="JO6" s="251">
        <f t="shared" si="4"/>
        <v>16.063434465238501</v>
      </c>
      <c r="JP6" s="271">
        <f t="shared" ref="JP6:JP16" si="8">IF(JO6+JL5&lt;=360,JO6+JL5,JO6+JL5-360)</f>
        <v>263.38714761743478</v>
      </c>
      <c r="JQ6" s="251">
        <f t="shared" si="5"/>
        <v>7</v>
      </c>
      <c r="JR6" s="251">
        <f t="shared" si="6"/>
        <v>55.026538068167014</v>
      </c>
      <c r="JS6" s="112"/>
      <c r="JT6" s="113" t="s">
        <v>5</v>
      </c>
      <c r="JU6" s="113">
        <f>[1]!roz(JW4,JW5,JW6,JW7)</f>
        <v>18.469201388888887</v>
      </c>
      <c r="JV6" s="113" t="s">
        <v>166</v>
      </c>
      <c r="JW6" s="113">
        <f>JB7</f>
        <v>15</v>
      </c>
      <c r="JX6" s="113"/>
      <c r="JY6" s="113"/>
      <c r="JZ6" s="317"/>
      <c r="KA6" s="327"/>
      <c r="KB6" s="327"/>
      <c r="KC6" s="1378" t="str">
        <f>IF(JZ9=11,JS9,"-")</f>
        <v>-</v>
      </c>
      <c r="KD6" s="576" t="str">
        <f>IF(JZ14=11,JS14,"-")</f>
        <v>-</v>
      </c>
      <c r="KE6" s="1364" t="s">
        <v>1711</v>
      </c>
      <c r="KF6" s="1385" t="str">
        <f>IF(JZ11=12,JS11,"-")</f>
        <v>-</v>
      </c>
      <c r="KG6" s="1385" t="str">
        <f>IF(JZ14=12,JS14,"-")</f>
        <v>-</v>
      </c>
      <c r="KH6" s="1386"/>
      <c r="KI6" s="1365" t="s">
        <v>3963</v>
      </c>
      <c r="KJ6" s="1365">
        <f>JL5</f>
        <v>247.32371315219629</v>
      </c>
      <c r="KK6" s="1366" t="s">
        <v>3965</v>
      </c>
      <c r="KL6" s="1385" t="str">
        <f>IF(JZ11=2,JS11,"-")</f>
        <v>-</v>
      </c>
      <c r="KM6" s="1385" t="str">
        <f>IF(JZ13=2,JS13,"-")</f>
        <v>-</v>
      </c>
      <c r="KN6" s="1385"/>
      <c r="KO6" s="1367" t="s">
        <v>3963</v>
      </c>
      <c r="KP6" s="576">
        <f>JL7</f>
        <v>312.58589369496428</v>
      </c>
      <c r="KQ6" s="1379"/>
      <c r="KR6" s="327"/>
    </row>
    <row r="7" spans="2:304" ht="25.5" thickBot="1">
      <c r="B7" s="24" t="s">
        <v>170</v>
      </c>
      <c r="C7" s="24">
        <v>23.45</v>
      </c>
      <c r="D7" s="26">
        <f>INT(C7)</f>
        <v>23</v>
      </c>
      <c r="E7" s="26">
        <f>INT((C7-D7)*60)</f>
        <v>27</v>
      </c>
      <c r="F7" s="26">
        <f>INT((((C7-D7)*60)-E7)*60)</f>
        <v>-1</v>
      </c>
      <c r="G7" s="26">
        <f>INT((((((C7-D7)*60)-E7)*60)-F7)*60)</f>
        <v>59</v>
      </c>
      <c r="H7" s="26">
        <f>INT((((((((C7-D7)*60)-E7)*60)-F7)*60)-G7)*60)</f>
        <v>59</v>
      </c>
      <c r="I7" s="26">
        <f>INT((((((((((C7-D7)*60)-E7)*60)-F7)*60)-G7)*60)-H7)*60)</f>
        <v>59</v>
      </c>
      <c r="J7" s="26">
        <f>INT((((((((((((C7-D7)*60)-E7)*60)-F7)*60)-G7)*60)-H7)*60)-I7)*60)</f>
        <v>59</v>
      </c>
      <c r="Z7" s="24" t="s">
        <v>170</v>
      </c>
      <c r="AA7" s="24">
        <v>23.45</v>
      </c>
      <c r="AB7" s="26">
        <f t="shared" ref="AB7:AB18" si="9">INT(AA7)</f>
        <v>23</v>
      </c>
      <c r="AC7" s="26">
        <f t="shared" ref="AC7:AC18" si="10">INT((AA7-AB7)*60)</f>
        <v>27</v>
      </c>
      <c r="AD7" s="26">
        <f t="shared" ref="AD7:AD18" si="11">INT((((AA7-AB7)*60)-AC7)*60)</f>
        <v>-1</v>
      </c>
      <c r="AE7" s="26">
        <f t="shared" ref="AE7:AE18" si="12">INT((((((AA7-AB7)*60)-AC7)*60)-AD7)*60)</f>
        <v>59</v>
      </c>
      <c r="AF7" s="26">
        <f t="shared" ref="AF7:AF18" si="13">INT((((((((AA7-AB7)*60)-AC7)*60)-AD7)*60)-AE7)*60)</f>
        <v>59</v>
      </c>
      <c r="AG7" s="26">
        <f t="shared" ref="AG7:AG18" si="14">INT((((((((((AA7-AB7)*60)-AC7)*60)-AD7)*60)-AE7)*60)-AF7)*60)</f>
        <v>59</v>
      </c>
      <c r="AH7" s="26">
        <f t="shared" ref="AH7:AH18" si="15">INT((((((((((((AA7-AB7)*60)-AC7)*60)-AD7)*60)-AE7)*60)-AF7)*60)-AG7)*60)</f>
        <v>59</v>
      </c>
      <c r="AI7" s="24"/>
      <c r="AJ7" s="24"/>
      <c r="AM7" s="24" t="s">
        <v>170</v>
      </c>
      <c r="AN7" s="24">
        <v>23.45</v>
      </c>
      <c r="AO7" s="26">
        <f t="shared" ref="AO7:AO18" si="16">INT(AN7)</f>
        <v>23</v>
      </c>
      <c r="AP7" s="26">
        <f t="shared" ref="AP7:AP18" si="17">INT((AN7-AO7)*60)</f>
        <v>27</v>
      </c>
      <c r="AQ7" s="26">
        <f t="shared" ref="AQ7:AQ18" si="18">INT((((AN7-AO7)*60)-AP7)*60)</f>
        <v>-1</v>
      </c>
      <c r="AR7" s="26">
        <f t="shared" ref="AR7:AR18" si="19">INT((((((AN7-AO7)*60)-AP7)*60)-AQ7)*60)</f>
        <v>59</v>
      </c>
      <c r="AS7" s="26">
        <f t="shared" ref="AS7:AS18" si="20">INT((((((((AN7-AO7)*60)-AP7)*60)-AQ7)*60)-AR7)*60)</f>
        <v>59</v>
      </c>
      <c r="AT7" s="26">
        <f t="shared" ref="AT7:AT18" si="21">INT((((((((((AN7-AO7)*60)-AP7)*60)-AQ7)*60)-AR7)*60)-AS7)*60)</f>
        <v>59</v>
      </c>
      <c r="AU7" s="26">
        <f t="shared" ref="AU7:AU18" si="22">INT((((((((((((AN7-AO7)*60)-AP7)*60)-AQ7)*60)-AR7)*60)-AS7)*60)-AT7)*60)</f>
        <v>59</v>
      </c>
      <c r="AV7" s="24"/>
      <c r="AW7" s="24"/>
      <c r="AZ7" s="216"/>
      <c r="BA7" s="113" t="s">
        <v>297</v>
      </c>
      <c r="BB7" s="215">
        <v>25</v>
      </c>
      <c r="BF7" s="346">
        <v>1</v>
      </c>
      <c r="BG7" s="346" t="s">
        <v>232</v>
      </c>
      <c r="BH7" s="346" t="e">
        <f ca="1">[2]!asn([2]!csn(BH6)*[2]!csn(BH5)/60)</f>
        <v>#NAME?</v>
      </c>
      <c r="BI7" s="346"/>
      <c r="BJ7" s="346"/>
      <c r="BK7" s="346"/>
      <c r="BL7" s="346"/>
      <c r="BO7" s="231" t="s">
        <v>60</v>
      </c>
      <c r="BP7" s="232">
        <v>1442</v>
      </c>
      <c r="BQ7" s="256" t="s">
        <v>5</v>
      </c>
      <c r="BR7" s="257">
        <v>29</v>
      </c>
      <c r="BY7" s="224" t="s">
        <v>300</v>
      </c>
      <c r="BZ7" s="238">
        <f>CH7</f>
        <v>21.389082399999999</v>
      </c>
      <c r="CA7" s="271"/>
      <c r="CB7" s="224"/>
      <c r="CC7" s="238"/>
      <c r="CD7" s="271"/>
      <c r="CF7" s="297">
        <f>IF(CH7&gt;0,1,-1)</f>
        <v>1</v>
      </c>
      <c r="CG7" s="113" t="s">
        <v>2154</v>
      </c>
      <c r="CH7" s="215">
        <f>DD3</f>
        <v>21.389082399999999</v>
      </c>
      <c r="CI7" s="280"/>
      <c r="CJ7" s="325">
        <v>2</v>
      </c>
      <c r="CK7" s="226"/>
      <c r="CL7" s="325" t="s">
        <v>2158</v>
      </c>
      <c r="CM7" s="325"/>
      <c r="CN7" s="325" t="e">
        <f ca="1">[2]!asn([2]!csn(ABS(CH7+CH5))*[2]!sn(ABS(90-CH9))/60)</f>
        <v>#NAME?</v>
      </c>
      <c r="CO7" s="325"/>
      <c r="CP7" s="325"/>
      <c r="CQ7" s="325"/>
      <c r="CR7" s="395"/>
      <c r="CS7" s="326" t="e">
        <f ca="1">90-CN7</f>
        <v>#NAME?</v>
      </c>
      <c r="CT7" s="363"/>
      <c r="CU7" s="363"/>
      <c r="DA7" s="406">
        <v>1</v>
      </c>
      <c r="DB7" s="407" t="s">
        <v>2145</v>
      </c>
      <c r="DC7" s="407"/>
      <c r="DD7" s="407"/>
      <c r="DE7" s="407"/>
      <c r="DF7" s="407"/>
      <c r="DG7" s="407"/>
      <c r="DH7" s="407"/>
      <c r="DI7" s="407"/>
      <c r="DJ7" s="407"/>
      <c r="DK7" s="407">
        <v>0</v>
      </c>
      <c r="DL7" s="407"/>
      <c r="DM7" s="407"/>
      <c r="DN7" s="407"/>
      <c r="DO7" s="408" t="str">
        <f>IF(DB5&gt;DD3,"جنوب","شمال")</f>
        <v>جنوب</v>
      </c>
      <c r="DV7" s="327"/>
      <c r="DW7" s="202"/>
      <c r="DX7" s="268" t="s">
        <v>284</v>
      </c>
      <c r="DY7" s="268" t="e">
        <f ca="1">90-DG3</f>
        <v>#NAME?</v>
      </c>
      <c r="DZ7" s="268" t="s">
        <v>2117</v>
      </c>
      <c r="EA7" s="268"/>
      <c r="EB7" s="268"/>
      <c r="EC7" s="201"/>
      <c r="EJ7">
        <f>EJ6/15</f>
        <v>24.058821786513679</v>
      </c>
      <c r="EK7" s="701"/>
      <c r="EL7" s="304" t="s">
        <v>326</v>
      </c>
      <c r="EM7" s="304">
        <f>[1]!mbtool(2,20,14,1)</f>
        <v>9.7384259259259254E-2</v>
      </c>
      <c r="EN7" s="304" t="s">
        <v>4001</v>
      </c>
      <c r="EO7" s="304">
        <f>(((EO6/60)+EO5)/60)+EO4</f>
        <v>0</v>
      </c>
      <c r="EP7" s="304"/>
      <c r="EQ7" s="314"/>
      <c r="ER7" s="226" t="s">
        <v>279</v>
      </c>
      <c r="ES7" s="226">
        <v>170</v>
      </c>
      <c r="ET7" s="226">
        <f>IF(ES6-ES8&gt;0,ES6-ES8,ES6-ES8+360)</f>
        <v>210</v>
      </c>
      <c r="EU7" s="226"/>
      <c r="EV7" s="227"/>
      <c r="EX7" s="254" t="s">
        <v>393</v>
      </c>
      <c r="EY7" s="255">
        <f>[1]!mbtool(1,25,0,1)</f>
        <v>5.9027777777777776E-2</v>
      </c>
      <c r="EZ7" s="259" t="s">
        <v>167</v>
      </c>
      <c r="FA7" s="260">
        <v>0</v>
      </c>
      <c r="FM7" s="911" t="s">
        <v>3984</v>
      </c>
      <c r="FN7" s="1557">
        <f>(FR8-FN6)*24</f>
        <v>-6.6666666666667096E-3</v>
      </c>
      <c r="FQ7" s="303" t="s">
        <v>5</v>
      </c>
      <c r="FR7" s="304">
        <v>28</v>
      </c>
      <c r="FS7" s="304"/>
      <c r="FT7" s="305"/>
      <c r="FU7" s="304"/>
      <c r="FV7" s="305"/>
      <c r="FY7" s="252" t="s">
        <v>4</v>
      </c>
      <c r="FZ7" s="253">
        <v>9</v>
      </c>
      <c r="GA7" s="250" t="s">
        <v>219</v>
      </c>
      <c r="GB7" s="258">
        <v>0</v>
      </c>
      <c r="GE7" s="274"/>
      <c r="GF7" s="710" t="s">
        <v>5</v>
      </c>
      <c r="GG7" s="712">
        <v>29</v>
      </c>
      <c r="GH7" s="1496"/>
      <c r="GI7" s="274"/>
      <c r="GJ7" s="276"/>
      <c r="GK7" s="276"/>
      <c r="GL7" s="276"/>
      <c r="GM7" s="274"/>
      <c r="GN7" s="274"/>
      <c r="GO7" s="274"/>
      <c r="GP7" s="274"/>
      <c r="GQ7" s="274"/>
      <c r="GR7" s="274"/>
      <c r="GS7" s="276"/>
      <c r="GT7" s="276"/>
      <c r="GU7" s="274"/>
      <c r="HM7" s="150"/>
      <c r="HN7" s="504" t="s">
        <v>701</v>
      </c>
      <c r="HO7" s="158">
        <f>HO5*6</f>
        <v>74</v>
      </c>
      <c r="HP7" s="157">
        <f>INT(ABS(HO7))</f>
        <v>74</v>
      </c>
      <c r="HQ7" s="157">
        <f>INT((ABS(HO7)-HP7)*60)</f>
        <v>0</v>
      </c>
      <c r="HR7" s="157">
        <f>INT((((ABS(HO7)-HP7)*60)-HQ7)*60)</f>
        <v>0</v>
      </c>
      <c r="HS7" s="157">
        <f>INT((((((ABS(HO7)-HP7)*60)-HQ7)*60)-HR7)*60)</f>
        <v>0</v>
      </c>
      <c r="HU7" s="342"/>
      <c r="HV7" s="157"/>
      <c r="HW7" s="157"/>
      <c r="HX7" s="157"/>
      <c r="HY7" s="157"/>
      <c r="IA7" s="150"/>
      <c r="IB7" s="501" t="s">
        <v>341</v>
      </c>
      <c r="IC7" s="150">
        <f xml:space="preserve"> INT(IC5 * 30) /30</f>
        <v>0.53333333333333333</v>
      </c>
      <c r="ID7" s="157">
        <f t="shared" ref="ID7:ID12" si="23">INT(ABS(IC7))</f>
        <v>0</v>
      </c>
      <c r="IE7" s="157">
        <f t="shared" ref="IE7:IE12" si="24">INT((ABS(IC7)-ID7)*60)</f>
        <v>32</v>
      </c>
      <c r="IF7" s="157">
        <f t="shared" ref="IF7:IF12" si="25">INT((((ABS(IC7)-ID7)*60)-IE7)*60)</f>
        <v>0</v>
      </c>
      <c r="IG7" s="157">
        <f t="shared" ref="IG7:IG12" si="26">INT((((((ABS(IC7)-ID7)*60)-IE7)*60)-IF7)*60)</f>
        <v>0</v>
      </c>
      <c r="IO7" s="1071" t="s">
        <v>1372</v>
      </c>
      <c r="IP7" s="1072" t="s">
        <v>3871</v>
      </c>
      <c r="IQ7" s="1072">
        <f>IF(IQ3+(IQ6*-1)&lt;=180,IQ3+(IQ6*-1),(IQ3+(IQ6*-1))-360)</f>
        <v>51.623499999999666</v>
      </c>
      <c r="IR7" s="157">
        <f t="shared" ref="IR7" si="27">INT(ABS(IQ7))</f>
        <v>51</v>
      </c>
      <c r="IS7" s="157">
        <f t="shared" ref="IS7" si="28">INT((ABS(IQ7)-IR7)*60)</f>
        <v>37</v>
      </c>
      <c r="IT7" s="157">
        <f t="shared" ref="IT7" si="29">INT((((ABS(IQ7)-IR7)*60)-IS7)*60)</f>
        <v>24</v>
      </c>
      <c r="IU7" s="157">
        <f t="shared" ref="IU7" si="30">INT((((((ABS(IQ7)-IR7)*60)-IS7)*60)-IT7)*60)</f>
        <v>35</v>
      </c>
      <c r="IX7" s="797"/>
      <c r="IY7" s="112" t="s">
        <v>5</v>
      </c>
      <c r="IZ7" s="215">
        <f>[1]!roz(JB5,JB6,JB7,JB8)</f>
        <v>18.469201388888887</v>
      </c>
      <c r="JA7" s="113" t="s">
        <v>166</v>
      </c>
      <c r="JB7" s="215">
        <v>15</v>
      </c>
      <c r="JC7" s="109" t="s">
        <v>177</v>
      </c>
      <c r="JD7" s="316">
        <v>32.052</v>
      </c>
      <c r="JE7" s="797"/>
      <c r="JF7" s="797"/>
      <c r="JG7" s="797"/>
      <c r="JH7" s="797"/>
      <c r="JI7" s="779" t="s">
        <v>2213</v>
      </c>
      <c r="JJ7" s="251">
        <f>[1]!ml(IZ5,JJ5)</f>
        <v>-21.526458145994066</v>
      </c>
      <c r="JK7" s="224">
        <v>3</v>
      </c>
      <c r="JL7" s="251">
        <f>JJ26</f>
        <v>312.58589369496428</v>
      </c>
      <c r="JM7" s="266">
        <f>[1]!beyt3b(IZ5,IZ6,IZ7,IZ8,JD7)</f>
        <v>316.82628692475072</v>
      </c>
      <c r="JN7" s="1344">
        <f t="shared" si="7"/>
        <v>33.135311612290991</v>
      </c>
      <c r="JO7" s="251">
        <f t="shared" si="4"/>
        <v>16.567655806145495</v>
      </c>
      <c r="JP7" s="271">
        <f t="shared" si="8"/>
        <v>296.01823788881882</v>
      </c>
      <c r="JQ7" s="251">
        <f t="shared" si="5"/>
        <v>4</v>
      </c>
      <c r="JR7" s="251">
        <f t="shared" si="6"/>
        <v>60.522532324796941</v>
      </c>
      <c r="JS7" s="117"/>
      <c r="JT7" s="118" t="s">
        <v>377</v>
      </c>
      <c r="JU7" s="118">
        <f>[1]!mbtool(2,20,4,1)</f>
        <v>9.7268518518518518E-2</v>
      </c>
      <c r="JV7" s="118" t="s">
        <v>167</v>
      </c>
      <c r="JW7" s="118">
        <f>JB8</f>
        <v>39</v>
      </c>
      <c r="JX7" s="118"/>
      <c r="JY7" s="118"/>
      <c r="JZ7" s="772"/>
      <c r="KA7" s="327"/>
      <c r="KB7" s="327"/>
      <c r="KC7" s="1378" t="str">
        <f>IF(JZ10=11,JS10,"-")</f>
        <v>-</v>
      </c>
      <c r="KD7" s="576" t="str">
        <f>IF(JZ15=11,JS15,"-")</f>
        <v>-</v>
      </c>
      <c r="KE7" s="576"/>
      <c r="KF7" s="1364"/>
      <c r="KG7" s="1387" t="str">
        <f>IF(JZ15=12,JS15,"-")</f>
        <v>-</v>
      </c>
      <c r="KH7" s="1365" t="str">
        <f>IF(JZ9=1,JS9,"-")</f>
        <v>-</v>
      </c>
      <c r="KI7" s="1365" t="str">
        <f>IF(JZ11=1,JS11,"-")</f>
        <v>-</v>
      </c>
      <c r="KJ7" s="1365" t="str">
        <f>IF(JZ14=1,JS14,"-")</f>
        <v>-</v>
      </c>
      <c r="KK7" s="1365"/>
      <c r="KL7" s="1366"/>
      <c r="KM7" s="1387" t="str">
        <f>IF(JZ14=2,JS14,"-")</f>
        <v>-</v>
      </c>
      <c r="KN7" s="1367" t="str">
        <f>IF(JZ9=3,JS9,"-")</f>
        <v>شمس</v>
      </c>
      <c r="KO7" s="576" t="str">
        <f>IF(JZ11=3,JS11,"-")</f>
        <v>عطارد</v>
      </c>
      <c r="KP7" s="576" t="str">
        <f>IF(JZ14=3,JS14,"-")</f>
        <v>-</v>
      </c>
      <c r="KQ7" s="1379"/>
      <c r="KR7" s="327"/>
    </row>
    <row r="8" spans="2:304" ht="27.75" thickBot="1">
      <c r="B8" s="24" t="s">
        <v>169</v>
      </c>
      <c r="C8" s="24">
        <f>SIN(RADIANS(C7))*60</f>
        <v>23.876917878456624</v>
      </c>
      <c r="D8" s="26">
        <f>INT(C8)</f>
        <v>23</v>
      </c>
      <c r="E8" s="26">
        <f>INT((C8-D8)*60)</f>
        <v>52</v>
      </c>
      <c r="F8" s="26">
        <f>INT((((C8-D8)*60)-E8)*60)</f>
        <v>36</v>
      </c>
      <c r="G8" s="26">
        <f>INT((((((C8-D8)*60)-E8)*60)-F8)*60)</f>
        <v>54</v>
      </c>
      <c r="H8" s="26">
        <f>INT((((((((C8-D8)*60)-E8)*60)-F8)*60)-G8)*60)</f>
        <v>15</v>
      </c>
      <c r="I8" s="26">
        <f>INT((((((((((C8-D8)*60)-E8)*60)-F8)*60)-G8)*60)-H8)*60)</f>
        <v>42</v>
      </c>
      <c r="J8" s="26">
        <f>INT((((((((((((C8-D8)*60)-E8)*60)-F8)*60)-G8)*60)-H8)*60)-I8)*60)</f>
        <v>17</v>
      </c>
      <c r="O8" s="31"/>
      <c r="P8" s="1"/>
      <c r="Q8" s="31"/>
      <c r="R8" s="31"/>
      <c r="S8" s="31"/>
      <c r="T8" s="31"/>
      <c r="U8" s="31"/>
      <c r="V8" s="31"/>
      <c r="W8" s="31"/>
      <c r="Z8" s="24" t="s">
        <v>169</v>
      </c>
      <c r="AA8" s="24">
        <f>SIN(RADIANS(AA7))*60</f>
        <v>23.876917878456624</v>
      </c>
      <c r="AB8" s="26">
        <f t="shared" si="9"/>
        <v>23</v>
      </c>
      <c r="AC8" s="26">
        <f t="shared" si="10"/>
        <v>52</v>
      </c>
      <c r="AD8" s="26">
        <f t="shared" si="11"/>
        <v>36</v>
      </c>
      <c r="AE8" s="26">
        <f t="shared" si="12"/>
        <v>54</v>
      </c>
      <c r="AF8" s="26">
        <f t="shared" si="13"/>
        <v>15</v>
      </c>
      <c r="AG8" s="26">
        <f t="shared" si="14"/>
        <v>42</v>
      </c>
      <c r="AH8" s="26">
        <f t="shared" si="15"/>
        <v>17</v>
      </c>
      <c r="AI8" s="24"/>
      <c r="AJ8" s="24"/>
      <c r="AM8" s="24" t="s">
        <v>169</v>
      </c>
      <c r="AN8" s="24">
        <f>SIN(RADIANS(AN7))*60</f>
        <v>23.876917878456624</v>
      </c>
      <c r="AO8" s="26">
        <f t="shared" si="16"/>
        <v>23</v>
      </c>
      <c r="AP8" s="26">
        <f t="shared" si="17"/>
        <v>52</v>
      </c>
      <c r="AQ8" s="26">
        <f t="shared" si="18"/>
        <v>36</v>
      </c>
      <c r="AR8" s="26">
        <f t="shared" si="19"/>
        <v>54</v>
      </c>
      <c r="AS8" s="26">
        <f t="shared" si="20"/>
        <v>15</v>
      </c>
      <c r="AT8" s="26">
        <f t="shared" si="21"/>
        <v>42</v>
      </c>
      <c r="AU8" s="26">
        <f t="shared" si="22"/>
        <v>17</v>
      </c>
      <c r="AV8" s="24"/>
      <c r="AW8" s="24"/>
      <c r="AZ8" s="216">
        <f>IF(BB7&lt;0,AZ4,AZ4*-1)</f>
        <v>1</v>
      </c>
      <c r="BA8" s="113" t="s">
        <v>221</v>
      </c>
      <c r="BB8" s="215" t="e">
        <f ca="1">[2]!sn(BB7)*[2]!tn(BB4)/60</f>
        <v>#NAME?</v>
      </c>
      <c r="BF8" s="346">
        <v>2</v>
      </c>
      <c r="BG8" s="346" t="s">
        <v>2118</v>
      </c>
      <c r="BH8" s="346" t="e">
        <f ca="1">[2]!asn([2]!sn(BH5)/[2]!csn(BH7)*60)</f>
        <v>#NAME?</v>
      </c>
      <c r="BI8" s="346"/>
      <c r="BJ8" s="346"/>
      <c r="BK8" s="346"/>
      <c r="BL8" s="346"/>
      <c r="BO8" s="252" t="s">
        <v>4</v>
      </c>
      <c r="BP8" s="253">
        <v>10</v>
      </c>
      <c r="BQ8" s="250" t="s">
        <v>219</v>
      </c>
      <c r="BR8" s="258">
        <v>0</v>
      </c>
      <c r="BT8" s="1091" t="s">
        <v>1482</v>
      </c>
      <c r="BU8" s="1092">
        <f>5+(9/60)</f>
        <v>5.15</v>
      </c>
      <c r="BV8" s="1093">
        <v>1444</v>
      </c>
      <c r="BY8" s="224" t="s">
        <v>2133</v>
      </c>
      <c r="BZ8" s="238">
        <f>CH8</f>
        <v>39.857911799999997</v>
      </c>
      <c r="CA8" s="271"/>
      <c r="CB8" s="224"/>
      <c r="CC8" s="238"/>
      <c r="CD8" s="271"/>
      <c r="CF8" s="297"/>
      <c r="CG8" s="113" t="s">
        <v>2155</v>
      </c>
      <c r="CH8" s="215">
        <f>DD4</f>
        <v>39.857911799999997</v>
      </c>
      <c r="CI8" s="280">
        <v>2</v>
      </c>
      <c r="CJ8" s="226">
        <v>3</v>
      </c>
      <c r="CK8" s="226" t="s">
        <v>2159</v>
      </c>
      <c r="CL8" s="226" t="s">
        <v>2162</v>
      </c>
      <c r="CM8" s="226"/>
      <c r="CN8" s="226"/>
      <c r="CO8" s="226"/>
      <c r="CP8" s="226"/>
      <c r="CQ8" s="226"/>
      <c r="CR8" s="395"/>
      <c r="CS8" s="227">
        <f>CH9</f>
        <v>11.012088200000001</v>
      </c>
      <c r="CT8" s="363"/>
      <c r="CU8" s="363"/>
      <c r="DA8" s="224">
        <v>2</v>
      </c>
      <c r="DB8" s="238" t="s">
        <v>3485</v>
      </c>
      <c r="DC8" s="238" t="s">
        <v>2170</v>
      </c>
      <c r="DD8" s="238"/>
      <c r="DE8" s="238" t="e">
        <f ca="1">[2]!acs([2]!csn(ABS(DD3))*[2]!sn(DD5)/60)</f>
        <v>#NAME?</v>
      </c>
      <c r="DF8" s="238" t="e">
        <f ca="1">[2]!asn([2]!sn(ABS(DD3))*60/[2]!sn(DE8))</f>
        <v>#NAME?</v>
      </c>
      <c r="DG8" s="238" t="e">
        <f ca="1">DF8+(90-ABS(DB5))</f>
        <v>#NAME?</v>
      </c>
      <c r="DH8" s="238" t="e">
        <f ca="1">[2]!asn([2]!sn(DG8)*[2]!sn(DE8)/60)</f>
        <v>#NAME?</v>
      </c>
      <c r="DI8" s="238" t="e">
        <f ca="1">DB23</f>
        <v>#NAME?</v>
      </c>
      <c r="DJ8" s="238" t="e">
        <f ca="1">[2]!asn([2]!csn(DE8)*60/[2]!sn(DI8))</f>
        <v>#NAME?</v>
      </c>
      <c r="DK8" s="238" t="e">
        <f ca="1">IF(DB5&gt;=0,DJ8,DJ9)</f>
        <v>#NAME?</v>
      </c>
      <c r="DL8" s="238" t="str">
        <f>IF(OR(DB6&gt;DD4,DB6&lt;-180+DD4),"غربی","شرقی")</f>
        <v>غربی</v>
      </c>
      <c r="DM8" s="238" t="str">
        <f>IF(DB5&gt;0,DL8,DL9)</f>
        <v>غربی</v>
      </c>
      <c r="DN8" s="271" t="e">
        <f ca="1">IF(DG8=90,"ربع",IF(OR(DB5&lt;0,DG8&gt;90),"از نقطه شمال","از نقطه جنوب"))</f>
        <v>#NAME?</v>
      </c>
      <c r="DO8" s="271" t="e">
        <f ca="1">IF(DB5&gt;0,DN8,DN9)</f>
        <v>#NAME?</v>
      </c>
      <c r="DV8" s="327"/>
      <c r="DW8" s="202"/>
      <c r="DX8" s="268" t="s">
        <v>232</v>
      </c>
      <c r="DY8" s="268" t="e">
        <f ca="1">[2]!asn([2]!csn(DY7)*[2]!csn(DY6)/60)</f>
        <v>#NAME?</v>
      </c>
      <c r="DZ8" s="268"/>
      <c r="EA8" s="268"/>
      <c r="EB8" s="268"/>
      <c r="EC8" s="201"/>
      <c r="EE8" s="327" t="s">
        <v>2202</v>
      </c>
      <c r="EJ8" s="797">
        <f>EJ7</f>
        <v>24.058821786513679</v>
      </c>
      <c r="EK8" s="1485"/>
      <c r="EL8" s="1486"/>
      <c r="EM8" s="1486"/>
      <c r="EN8" s="304"/>
      <c r="EO8" s="304"/>
      <c r="EP8" s="304"/>
      <c r="EQ8" s="314"/>
      <c r="ER8" s="226" t="s">
        <v>1067</v>
      </c>
      <c r="ES8" s="226">
        <f>IF(ES7&lt;180,ES7+180,ES7-180)</f>
        <v>350</v>
      </c>
      <c r="ET8" s="226">
        <f>IF(ET7&lt;180,1,-1)</f>
        <v>-1</v>
      </c>
      <c r="EU8" s="226" t="s">
        <v>2191</v>
      </c>
      <c r="EV8" s="227"/>
      <c r="EX8" s="269" t="s">
        <v>1481</v>
      </c>
      <c r="EY8" s="257">
        <f>[1]!taqsh(EY4,EY5,EY6,EY7)</f>
        <v>109.05094840026611</v>
      </c>
      <c r="EZ8" s="250" t="s">
        <v>177</v>
      </c>
      <c r="FA8" s="250">
        <f>(((((FE8/60)+FD8)/60)+FC8)/60)+FB8</f>
        <v>24.8</v>
      </c>
      <c r="FB8">
        <v>24</v>
      </c>
      <c r="FC8">
        <v>48</v>
      </c>
      <c r="FM8" s="1556" t="s">
        <v>612</v>
      </c>
      <c r="FN8" s="1557">
        <f>[1]!wasat(FR5,FR6,FR7,FR8)</f>
        <v>114.42781790406772</v>
      </c>
      <c r="FQ8" s="306" t="s">
        <v>393</v>
      </c>
      <c r="FR8" s="307">
        <f>[1]!mbtool(2,17,0,1)</f>
        <v>9.5138888888888884E-2</v>
      </c>
      <c r="FS8" s="307"/>
      <c r="FT8" s="308"/>
      <c r="FU8" s="304"/>
      <c r="FV8" s="305"/>
      <c r="FY8" s="252" t="s">
        <v>5</v>
      </c>
      <c r="FZ8" s="253" t="e">
        <f ca="1">[2]!roz(GB6,GB7,GB8,GB9)</f>
        <v>#NAME?</v>
      </c>
      <c r="GA8" s="250" t="s">
        <v>166</v>
      </c>
      <c r="GB8" s="258">
        <v>43</v>
      </c>
      <c r="GE8" s="274"/>
      <c r="GF8" s="740"/>
      <c r="GG8" s="741">
        <f>GG5/30</f>
        <v>48.166666666666664</v>
      </c>
      <c r="GH8" s="1496"/>
      <c r="GI8" s="274"/>
      <c r="GJ8" s="276"/>
      <c r="GK8" s="276"/>
      <c r="GL8" s="276"/>
      <c r="GM8" s="274"/>
      <c r="GN8" s="274"/>
      <c r="GO8" s="274"/>
      <c r="GP8" s="274"/>
      <c r="GQ8" s="274"/>
      <c r="GR8" s="274"/>
      <c r="GS8" s="276"/>
      <c r="GT8" s="276"/>
      <c r="GU8" s="274"/>
      <c r="HM8" s="150"/>
      <c r="HN8" s="150" t="s">
        <v>341</v>
      </c>
      <c r="HO8" s="150">
        <f xml:space="preserve"> INT(HO6 / 2) * 2</f>
        <v>8</v>
      </c>
      <c r="HP8" s="157"/>
      <c r="HQ8" s="157"/>
      <c r="HR8" s="157"/>
      <c r="HS8" s="157"/>
      <c r="HV8" s="157"/>
      <c r="HW8" s="157"/>
      <c r="HX8" s="157"/>
      <c r="HY8" s="157"/>
      <c r="IA8" s="150"/>
      <c r="IB8" s="501" t="s">
        <v>594</v>
      </c>
      <c r="IC8" s="150">
        <f>INT(IC6*6)</f>
        <v>72</v>
      </c>
      <c r="ID8" s="157">
        <f t="shared" si="23"/>
        <v>72</v>
      </c>
      <c r="IE8" s="157">
        <f t="shared" si="24"/>
        <v>0</v>
      </c>
      <c r="IF8" s="157">
        <f t="shared" si="25"/>
        <v>0</v>
      </c>
      <c r="IG8" s="157">
        <f t="shared" si="26"/>
        <v>0</v>
      </c>
      <c r="IO8" s="1074"/>
      <c r="IP8" s="1064" t="s">
        <v>2202</v>
      </c>
      <c r="IQ8" s="1064">
        <f>[1]!tabdilgrin(IQ4)</f>
        <v>51.623500000333337</v>
      </c>
      <c r="IR8" s="1064"/>
      <c r="IS8" s="1064"/>
      <c r="IT8" s="1064"/>
      <c r="IU8" s="1075"/>
      <c r="IX8" s="276"/>
      <c r="IY8" s="117" t="s">
        <v>393</v>
      </c>
      <c r="IZ8" s="1336">
        <f>[1]!mbtool(2,28,9,1)</f>
        <v>0.10288194444444444</v>
      </c>
      <c r="JA8" s="118" t="s">
        <v>167</v>
      </c>
      <c r="JB8" s="1336">
        <v>39</v>
      </c>
      <c r="JC8" s="118"/>
      <c r="JD8" s="772"/>
      <c r="JE8" s="797"/>
      <c r="JF8" s="797"/>
      <c r="JG8" s="797"/>
      <c r="JH8" s="797"/>
      <c r="JI8" s="779" t="s">
        <v>2212</v>
      </c>
      <c r="JJ8" s="251">
        <f>[1]!qsn(JJ7,JD7)</f>
        <v>151.40295558024025</v>
      </c>
      <c r="JK8" s="224">
        <v>4</v>
      </c>
      <c r="JL8" s="251">
        <f>JJ11</f>
        <v>168.4591709546296</v>
      </c>
      <c r="JM8" s="266"/>
      <c r="JN8" s="1344">
        <f t="shared" si="7"/>
        <v>215.87327725966531</v>
      </c>
      <c r="JO8" s="251">
        <f t="shared" si="4"/>
        <v>107.93663862983266</v>
      </c>
      <c r="JP8" s="271">
        <f t="shared" si="8"/>
        <v>60.522532324796941</v>
      </c>
      <c r="JQ8" s="251">
        <f t="shared" si="5"/>
        <v>8</v>
      </c>
      <c r="JR8" s="644">
        <f t="shared" si="6"/>
        <v>83.387147617434806</v>
      </c>
      <c r="JS8" s="1323" t="s">
        <v>1537</v>
      </c>
      <c r="JT8" s="1324"/>
      <c r="JU8" s="1324" t="s">
        <v>2366</v>
      </c>
      <c r="JV8" s="1324" t="s">
        <v>172</v>
      </c>
      <c r="JW8" s="1324" t="s">
        <v>166</v>
      </c>
      <c r="JX8" s="1324" t="s">
        <v>167</v>
      </c>
      <c r="JY8" s="1325" t="s">
        <v>168</v>
      </c>
      <c r="JZ8" s="1358" t="s">
        <v>3959</v>
      </c>
      <c r="KA8" s="327"/>
      <c r="KB8" s="327"/>
      <c r="KC8" s="1378" t="str">
        <f>IF(JZ11=11,JS11,"-")</f>
        <v>-</v>
      </c>
      <c r="KD8" s="576"/>
      <c r="KE8" s="576"/>
      <c r="KF8" s="1360"/>
      <c r="KG8" s="1366" t="s">
        <v>2233</v>
      </c>
      <c r="KH8" s="1365" t="str">
        <f>IF(JZ10=1,JS10,"-")</f>
        <v>-</v>
      </c>
      <c r="KI8" s="1365" t="str">
        <f>IF(JZ12=1,JS12,"-")</f>
        <v>-</v>
      </c>
      <c r="KJ8" s="1365" t="str">
        <f>IF(JZ15=1,JS15,"-")</f>
        <v>-</v>
      </c>
      <c r="KK8" s="1365"/>
      <c r="KL8" s="1365"/>
      <c r="KM8" s="1368" t="s">
        <v>2232</v>
      </c>
      <c r="KN8" s="576" t="str">
        <f>IF(JZ10=3,JS10,"-")</f>
        <v>-</v>
      </c>
      <c r="KO8" s="576" t="str">
        <f>IF(JZ12=3,JS12,"-")</f>
        <v>زهره</v>
      </c>
      <c r="KP8" s="576" t="str">
        <f>IF(JZ15=3,JS15,"-")</f>
        <v>زحل</v>
      </c>
      <c r="KQ8" s="1379"/>
      <c r="KR8" s="327"/>
    </row>
    <row r="9" spans="2:304" ht="25.5" thickBot="1">
      <c r="B9" s="24" t="s">
        <v>171</v>
      </c>
      <c r="C9" s="24">
        <f>ABS(DEGREES(ASIN(SIN(RADIANS(C7))*SIN(RADIANS(C5)))))</f>
        <v>23.446214748330963</v>
      </c>
      <c r="D9" s="26">
        <f>INT(C9)</f>
        <v>23</v>
      </c>
      <c r="E9" s="26">
        <f>INT((C9-D9)*60)</f>
        <v>26</v>
      </c>
      <c r="F9" s="26">
        <f>INT((((C9-D9)*60)-E9)*60)</f>
        <v>46</v>
      </c>
      <c r="G9" s="26">
        <f>INT((((((C9-D9)*60)-E9)*60)-F9)*60)</f>
        <v>22</v>
      </c>
      <c r="H9" s="26">
        <f t="shared" ref="H9:H18" si="31">INT((((((((C9-D9)*60)-E9)*60)-F9)*60)-G9)*60)</f>
        <v>23</v>
      </c>
      <c r="I9" s="26">
        <f t="shared" ref="I9:I18" si="32">INT((((((((((C9-D9)*60)-E9)*60)-F9)*60)-G9)*60)-H9)*60)</f>
        <v>8</v>
      </c>
      <c r="J9" s="26">
        <f t="shared" ref="J9:J18" si="33">INT((((((((((((C9-D9)*60)-E9)*60)-F9)*60)-G9)*60)-H9)*60)-I9)*60)</f>
        <v>18</v>
      </c>
      <c r="O9" s="1" t="s">
        <v>193</v>
      </c>
      <c r="P9" s="1">
        <f>IF(P3&lt;=90,90-P3,IF(P3&lt;=180,P3-90,IF(P3&lt;=270,270-P3,P3-270)))</f>
        <v>30</v>
      </c>
      <c r="Q9" s="31">
        <f>INT(P9)</f>
        <v>30</v>
      </c>
      <c r="R9" s="31">
        <f>INT((P9-Q9)*60)</f>
        <v>0</v>
      </c>
      <c r="S9" s="31">
        <f>INT((((P9-Q9)*60)-R9)*60)</f>
        <v>0</v>
      </c>
      <c r="T9" s="31">
        <f>INT((((((P9-Q9)*60)-R9)*60)-S9)*60)</f>
        <v>0</v>
      </c>
      <c r="U9" s="31">
        <f>INT((((((((P9-Q9)*60)-R9)*60)-S9)*60)-T9)*60)</f>
        <v>0</v>
      </c>
      <c r="V9" s="31">
        <f>INT((((((((((P9-Q9)*60)-R9)*60)-S9)*60)-T9)*60)-U9)*60)</f>
        <v>0</v>
      </c>
      <c r="W9" s="31">
        <f>INT((((((((((((P9-Q9)*60)-R9)*60)-S9)*60)-T9)*60)-U9)*60)-V9)*60)</f>
        <v>0</v>
      </c>
      <c r="Z9" s="24" t="s">
        <v>171</v>
      </c>
      <c r="AA9" s="24">
        <f>ABS(DEGREES(ASIN(SIN(RADIANS(AA7))*SIN(RADIANS(AA5)))))</f>
        <v>14.820783640446253</v>
      </c>
      <c r="AB9" s="26">
        <f t="shared" si="9"/>
        <v>14</v>
      </c>
      <c r="AC9" s="26">
        <f t="shared" si="10"/>
        <v>49</v>
      </c>
      <c r="AD9" s="26">
        <f t="shared" si="11"/>
        <v>14</v>
      </c>
      <c r="AE9" s="26">
        <f t="shared" si="12"/>
        <v>49</v>
      </c>
      <c r="AF9" s="26">
        <f t="shared" si="13"/>
        <v>15</v>
      </c>
      <c r="AG9" s="26">
        <f t="shared" si="14"/>
        <v>58</v>
      </c>
      <c r="AH9" s="26">
        <f t="shared" si="15"/>
        <v>48</v>
      </c>
      <c r="AI9" s="24"/>
      <c r="AJ9" s="24"/>
      <c r="AM9" s="24" t="s">
        <v>171</v>
      </c>
      <c r="AN9" s="24">
        <f>ABS(DEGREES(ASIN(SIN(RADIANS(AN7))*SIN(RADIANS(AN5)))))</f>
        <v>15.134024151811108</v>
      </c>
      <c r="AO9" s="26">
        <f t="shared" si="16"/>
        <v>15</v>
      </c>
      <c r="AP9" s="26">
        <f t="shared" si="17"/>
        <v>8</v>
      </c>
      <c r="AQ9" s="26">
        <f t="shared" si="18"/>
        <v>2</v>
      </c>
      <c r="AR9" s="26">
        <f t="shared" si="19"/>
        <v>29</v>
      </c>
      <c r="AS9" s="26">
        <f t="shared" si="20"/>
        <v>13</v>
      </c>
      <c r="AT9" s="26">
        <f t="shared" si="21"/>
        <v>0</v>
      </c>
      <c r="AU9" s="26">
        <f t="shared" si="22"/>
        <v>26</v>
      </c>
      <c r="AV9" s="24"/>
      <c r="AW9" s="24"/>
      <c r="AZ9" s="216" t="e">
        <f ca="1">IF(BB9&gt;0,1,-1)</f>
        <v>#NAME?</v>
      </c>
      <c r="BA9" s="113" t="s">
        <v>214</v>
      </c>
      <c r="BB9" s="215" t="e">
        <f ca="1">[2]!sn([2]!sem(BB4,BB3,BB5))</f>
        <v>#NAME?</v>
      </c>
      <c r="BF9" s="346">
        <v>3</v>
      </c>
      <c r="BG9" s="346" t="e">
        <f ca="1">IF(BH9&gt;0,1,-1)</f>
        <v>#NAME?</v>
      </c>
      <c r="BH9" s="346" t="e">
        <f ca="1">[2]!bkm(BH3,BH4)</f>
        <v>#NAME?</v>
      </c>
      <c r="BI9" s="346" t="s">
        <v>2123</v>
      </c>
      <c r="BJ9" s="346"/>
      <c r="BK9" s="346"/>
      <c r="BL9" s="346"/>
      <c r="BO9" s="252" t="s">
        <v>5</v>
      </c>
      <c r="BP9" s="253">
        <v>25</v>
      </c>
      <c r="BQ9" s="250" t="s">
        <v>166</v>
      </c>
      <c r="BR9" s="258">
        <v>0</v>
      </c>
      <c r="BT9" s="976" t="s">
        <v>3883</v>
      </c>
      <c r="BU9" s="388">
        <f>BU8*15</f>
        <v>77.25</v>
      </c>
      <c r="BV9" s="694">
        <v>7</v>
      </c>
      <c r="BY9" s="224"/>
      <c r="BZ9" s="238" t="e">
        <f ca="1">[2]!b2k(BZ5,BZ6,BZ7,BZ8)</f>
        <v>#NAME?</v>
      </c>
      <c r="CA9" s="271"/>
      <c r="CB9" s="224"/>
      <c r="CC9" s="238"/>
      <c r="CD9" s="271"/>
      <c r="CF9" s="298"/>
      <c r="CG9" s="218" t="s">
        <v>2157</v>
      </c>
      <c r="CH9" s="219">
        <f>IF(ABS(CH8-CH6)&lt;=180,ABS(CH8-CH6),360-ABS(CH8-CH6))</f>
        <v>11.012088200000001</v>
      </c>
      <c r="CI9" s="280"/>
      <c r="CJ9" s="325">
        <v>4</v>
      </c>
      <c r="CK9" s="226"/>
      <c r="CL9" s="325" t="s">
        <v>2163</v>
      </c>
      <c r="CM9" s="325"/>
      <c r="CN9" s="325" t="e">
        <f ca="1">[2]!asn([2]!csn(ABS(CH7+CH5))*[2]!sn(ABS(90-CH9))/60)</f>
        <v>#NAME?</v>
      </c>
      <c r="CO9" s="325"/>
      <c r="CP9" s="325"/>
      <c r="CQ9" s="325"/>
      <c r="CR9" s="395"/>
      <c r="CS9" s="326" t="e">
        <f ca="1">90+CN9</f>
        <v>#NAME?</v>
      </c>
      <c r="CT9" s="363"/>
      <c r="CU9" s="363"/>
      <c r="DA9" s="224"/>
      <c r="DB9" s="238"/>
      <c r="DC9" s="239" t="s">
        <v>2171</v>
      </c>
      <c r="DD9" s="238"/>
      <c r="DE9" s="238"/>
      <c r="DF9" s="238"/>
      <c r="DG9" s="239" t="e">
        <f ca="1">ABS(DF8-(90-ABS(DB5)))</f>
        <v>#NAME?</v>
      </c>
      <c r="DH9" s="239" t="e">
        <f ca="1">[2]!asn([2]!sn(DG9)*[2]!sn(DE8)/60)</f>
        <v>#NAME?</v>
      </c>
      <c r="DI9" s="238" t="e">
        <f ca="1">DI8</f>
        <v>#NAME?</v>
      </c>
      <c r="DJ9" s="238" t="e">
        <f ca="1">[2]!asn([2]!csn(DE8)*60/[2]!sn(DI9))</f>
        <v>#NAME?</v>
      </c>
      <c r="DK9" s="238"/>
      <c r="DL9" s="238" t="str">
        <f>IF(OR(DB6&gt;DD4,DB6&lt;-180+DD4),"غربی","شرقی")</f>
        <v>غربی</v>
      </c>
      <c r="DM9" s="238"/>
      <c r="DN9" s="271" t="e">
        <f ca="1">IF(DG9=90,"ربع",IF(OR(DB5&lt;0,DG9&gt;90),"از نقطه شمال","از نقطه جنوب"))</f>
        <v>#NAME?</v>
      </c>
      <c r="DO9" s="271"/>
      <c r="DV9" s="327"/>
      <c r="DW9" s="202"/>
      <c r="DX9" s="268" t="s">
        <v>2118</v>
      </c>
      <c r="DY9" s="268" t="e">
        <f ca="1">[2]!asn([2]!sn(DY6)/[2]!csn(DY8)*60)</f>
        <v>#NAME?</v>
      </c>
      <c r="DZ9" s="268"/>
      <c r="EA9" s="268"/>
      <c r="EB9" s="268"/>
      <c r="EC9" s="268"/>
      <c r="EE9" s="220" t="s">
        <v>2183</v>
      </c>
      <c r="EF9" s="212"/>
      <c r="EG9" s="212"/>
      <c r="EH9" s="212"/>
      <c r="EI9" s="213"/>
      <c r="EK9" s="701"/>
      <c r="EL9" s="304" t="s">
        <v>177</v>
      </c>
      <c r="EM9" s="915">
        <v>34.641599999999997</v>
      </c>
      <c r="EN9" s="304"/>
      <c r="EO9" s="304"/>
      <c r="EP9" s="304"/>
      <c r="EQ9" s="314"/>
      <c r="ER9" s="226" t="s">
        <v>2184</v>
      </c>
      <c r="ES9" s="226"/>
      <c r="ET9" s="226"/>
      <c r="EU9" s="226"/>
      <c r="EV9" s="227"/>
      <c r="EX9" s="270" t="s">
        <v>227</v>
      </c>
      <c r="EY9" s="361">
        <f>[1]!ml(EY4,EY8)</f>
        <v>22.072321781036518</v>
      </c>
      <c r="EZ9" s="361"/>
      <c r="FA9" s="361"/>
      <c r="FM9" s="1556" t="s">
        <v>341</v>
      </c>
      <c r="FN9" s="1557">
        <f>(FN8+1.8972)/0.985647331382888</f>
        <v>118.01890412553627</v>
      </c>
      <c r="FQ9" s="303" t="s">
        <v>1481</v>
      </c>
      <c r="FR9" s="304">
        <f>[1]!taqsh(FR5,FR6,FR7,FR8)</f>
        <v>114.07614369722586</v>
      </c>
      <c r="FS9" s="304" t="s">
        <v>177</v>
      </c>
      <c r="FT9" s="304">
        <v>24.8</v>
      </c>
      <c r="FU9" s="304"/>
      <c r="FV9" s="305"/>
      <c r="FY9" s="254" t="s">
        <v>393</v>
      </c>
      <c r="FZ9" s="255" t="e">
        <f ca="1">[2]!mbtool(2,17,6,1)</f>
        <v>#NAME?</v>
      </c>
      <c r="GA9" s="259" t="s">
        <v>167</v>
      </c>
      <c r="GB9" s="260">
        <v>0</v>
      </c>
      <c r="GE9" s="274"/>
      <c r="GF9" s="740"/>
      <c r="GG9" s="741">
        <f>INT(GG8)*30</f>
        <v>1440</v>
      </c>
      <c r="GH9" s="1496"/>
      <c r="GI9" s="274"/>
      <c r="GJ9" s="276"/>
      <c r="GK9" s="276"/>
      <c r="GL9" s="276"/>
      <c r="GM9" s="274"/>
      <c r="GN9" s="274"/>
      <c r="GO9" s="274"/>
      <c r="GP9" s="274"/>
      <c r="GQ9" s="274"/>
      <c r="GR9" s="274"/>
      <c r="GS9" s="276"/>
      <c r="GT9" s="276"/>
      <c r="GU9" s="274"/>
      <c r="HM9" s="150"/>
      <c r="HN9" s="150" t="s">
        <v>2349</v>
      </c>
      <c r="HO9" s="150">
        <f xml:space="preserve"> INT(HO7 )</f>
        <v>74</v>
      </c>
      <c r="HP9" s="157"/>
      <c r="HQ9" s="157"/>
      <c r="HR9" s="157"/>
      <c r="HS9" s="157"/>
      <c r="HT9" s="327"/>
      <c r="HV9" s="157"/>
      <c r="HW9" s="157"/>
      <c r="HX9" s="157"/>
      <c r="HY9" s="157"/>
      <c r="IA9" s="150"/>
      <c r="IB9" s="501" t="s">
        <v>2347</v>
      </c>
      <c r="IC9" s="150">
        <f>IC8/2</f>
        <v>36</v>
      </c>
      <c r="ID9" s="157">
        <f t="shared" si="23"/>
        <v>36</v>
      </c>
      <c r="IE9" s="157">
        <f t="shared" si="24"/>
        <v>0</v>
      </c>
      <c r="IF9" s="157">
        <f t="shared" si="25"/>
        <v>0</v>
      </c>
      <c r="IG9" s="157">
        <f t="shared" si="26"/>
        <v>0</v>
      </c>
      <c r="IO9" s="1076"/>
      <c r="IP9" s="1077" t="s">
        <v>3873</v>
      </c>
      <c r="IQ9" s="1077"/>
      <c r="IR9" s="1077"/>
      <c r="IS9" s="1077"/>
      <c r="IT9" s="1077"/>
      <c r="IU9" s="1078"/>
      <c r="IX9" s="276"/>
      <c r="IY9" s="696" t="s">
        <v>378</v>
      </c>
      <c r="IZ9" s="1332">
        <f>[1]!taqsh(IZ5,IZ6,IZ7,IZ8)</f>
        <v>0.51869506116418052</v>
      </c>
      <c r="JA9" s="1334">
        <f t="shared" ref="JA9:JA17" si="34">INT(ABS(IZ9))</f>
        <v>0</v>
      </c>
      <c r="JB9" s="1334">
        <f t="shared" ref="JB9:JB17" si="35">INT((ABS(IZ9)-JA9)*60)</f>
        <v>31</v>
      </c>
      <c r="JC9" s="1334">
        <f t="shared" ref="JC9:JC17" si="36">INT((((ABS(IZ9)-JA9)*60)-JB9)*60)</f>
        <v>7</v>
      </c>
      <c r="JD9" s="1334">
        <f t="shared" ref="JD9:JD17" si="37">INT((((((ABS(IZ9)-JA9)*60)-JB9)*60)-JC9)*60)</f>
        <v>18</v>
      </c>
      <c r="JE9" s="697"/>
      <c r="JF9" s="697"/>
      <c r="JG9" s="697"/>
      <c r="JH9" s="697"/>
      <c r="JI9" s="779" t="s">
        <v>2214</v>
      </c>
      <c r="JJ9" s="251">
        <f>JJ8/6</f>
        <v>25.233825930040041</v>
      </c>
      <c r="JK9" s="224">
        <v>5</v>
      </c>
      <c r="JL9" s="251">
        <f>JJ16</f>
        <v>16.332144427065657</v>
      </c>
      <c r="JM9" s="266">
        <f>[1]!beyt5b(IZ5,IZ6,IZ7,IZ8,JD7)</f>
        <v>15.430289773227059</v>
      </c>
      <c r="JN9" s="1344">
        <f t="shared" si="7"/>
        <v>207.87297347243606</v>
      </c>
      <c r="JO9" s="251">
        <f t="shared" si="4"/>
        <v>103.93648673621803</v>
      </c>
      <c r="JP9" s="271">
        <f t="shared" si="8"/>
        <v>272.39565769084766</v>
      </c>
      <c r="JQ9" s="251">
        <f t="shared" si="5"/>
        <v>11</v>
      </c>
      <c r="JR9" s="644">
        <f t="shared" si="6"/>
        <v>92.395657690847656</v>
      </c>
      <c r="JS9" s="112" t="s">
        <v>1544</v>
      </c>
      <c r="JT9" s="113" t="s">
        <v>1481</v>
      </c>
      <c r="JU9" s="113">
        <f>IZ9</f>
        <v>0.51869506116418052</v>
      </c>
      <c r="JV9" s="445">
        <f t="shared" ref="JV9:JV15" si="38">INT(ABS(JU9))</f>
        <v>0</v>
      </c>
      <c r="JW9" s="445">
        <f t="shared" ref="JW9:JW15" si="39">INT((ABS(JU9)-JV9)*60)</f>
        <v>31</v>
      </c>
      <c r="JX9" s="445">
        <f t="shared" ref="JX9:JX15" si="40">INT((((ABS(JU9)-JV9)*60)-JW9)*60)</f>
        <v>7</v>
      </c>
      <c r="JY9" s="1310">
        <f t="shared" ref="JY9:JY15" si="41">INT((((((ABS(JU9)-JV9)*60)-JW9)*60)-JX9)*60)</f>
        <v>18</v>
      </c>
      <c r="JZ9" s="1356">
        <f t="shared" ref="JZ9:JZ15" si="42">IF(AND(JU9&gt;=JR$5,JU9&lt;JR$6),JQ$5,IF(AND(JU9&lt;JR$7,JU9&gt;=JR$6),JQ$6,IF(AND(JU9&lt;JR$8,JU9&gt;=JR$7),JQ$7,IF(AND(JU9&lt;JR$9,JU9&gt;=JR$8),JQ$8,IF(AND(JU9&lt;JR$10,JU9&gt;=JR$9),JQ$9,IF(AND(JU9&lt;JR$11,JU9&gt;=JR$10),JQ$10,IF(AND(JU9&lt;JR$12,JU9&gt;=JR$11),JQ$11,IF(AND(JU9&lt;JR$13,JU9&gt;=JR$12),JQ$12,IF(AND(JU9&lt;JR$14,JU9&gt;=JR$13),JQ$13,IF(AND(JU9&lt;JR$15,JU9&gt;=JR$14),JQ$14,IF(AND(JU9&lt;JR$16,JU9&gt;=JR$15),JQ$15,JQ$16)))))))))))</f>
        <v>3</v>
      </c>
      <c r="KA9" s="327"/>
      <c r="KB9" s="327"/>
      <c r="KC9" s="1378" t="str">
        <f>IF(JZ12=11,JS12,"-")</f>
        <v>-</v>
      </c>
      <c r="KD9" s="576"/>
      <c r="KE9" s="1360"/>
      <c r="KF9" s="1365" t="s">
        <v>3963</v>
      </c>
      <c r="KG9" s="1365">
        <f>JL14</f>
        <v>348.45917095462966</v>
      </c>
      <c r="KH9" s="1366" t="s">
        <v>1710</v>
      </c>
      <c r="KI9" s="1365" t="str">
        <f>IF(JZ13=1,JS13,"-")</f>
        <v>-</v>
      </c>
      <c r="KJ9" s="1365"/>
      <c r="KK9" s="1365"/>
      <c r="KL9" s="1369" t="s">
        <v>3963</v>
      </c>
      <c r="KM9" s="1365">
        <f>JL8</f>
        <v>168.4591709546296</v>
      </c>
      <c r="KN9" s="1366"/>
      <c r="KO9" s="576" t="str">
        <f>IF(JZ13=3,JS13,"-")</f>
        <v>-</v>
      </c>
      <c r="KP9" s="576"/>
      <c r="KQ9" s="1379"/>
      <c r="KR9" s="327"/>
    </row>
    <row r="10" spans="2:304" ht="24.75">
      <c r="B10" s="24" t="s">
        <v>197</v>
      </c>
      <c r="C10" s="24">
        <f>ABS(DEGREES(ATAN(SIN(RADIANS(C5))*TAN(RADIANS(C7)))))</f>
        <v>23.446814070083551</v>
      </c>
      <c r="D10" s="26">
        <f>INT(C10)</f>
        <v>23</v>
      </c>
      <c r="E10" s="26">
        <f>INT((C10-D10)*60)</f>
        <v>26</v>
      </c>
      <c r="F10" s="26">
        <f>INT((((C10-D10)*60)-E10)*60)</f>
        <v>48</v>
      </c>
      <c r="G10" s="26">
        <f>INT((((((C10-D10)*60)-E10)*60)-F10)*60)</f>
        <v>31</v>
      </c>
      <c r="H10" s="26">
        <f t="shared" si="31"/>
        <v>50</v>
      </c>
      <c r="I10" s="26">
        <f t="shared" si="32"/>
        <v>20</v>
      </c>
      <c r="J10" s="26">
        <f t="shared" si="33"/>
        <v>53</v>
      </c>
      <c r="K10" t="str">
        <f>IF(C5&lt;=180,"شمالی","جنوبی")</f>
        <v>شمالی</v>
      </c>
      <c r="L10">
        <f>IF(K10="شمالی",1,2)</f>
        <v>1</v>
      </c>
      <c r="O10" s="1" t="s">
        <v>228</v>
      </c>
      <c r="P10" s="1">
        <f>ABS(DEGREES(ASIN(SIN(RADIANS(C7))*SIN(RADIANS(P9)))))</f>
        <v>11.476986218517606</v>
      </c>
      <c r="Q10" s="31">
        <f>INT(P10)</f>
        <v>11</v>
      </c>
      <c r="R10" s="31">
        <f>INT((P10-Q10)*60)</f>
        <v>28</v>
      </c>
      <c r="S10" s="31">
        <f>INT((((P10-Q10)*60)-R10)*60)</f>
        <v>37</v>
      </c>
      <c r="T10" s="31">
        <f>INT((((((P10-Q10)*60)-R10)*60)-S10)*60)</f>
        <v>9</v>
      </c>
      <c r="U10" s="31">
        <f>INT((((((((P10-Q10)*60)-R10)*60)-S10)*60)-T10)*60)</f>
        <v>1</v>
      </c>
      <c r="V10" s="31">
        <f>INT((((((((((P10-Q10)*60)-R10)*60)-S10)*60)-T10)*60)-U10)*60)</f>
        <v>23</v>
      </c>
      <c r="W10" s="31">
        <f>INT((((((((((((P10-Q10)*60)-R10)*60)-S10)*60)-T10)*60)-U10)*60)-V10)*60)</f>
        <v>31</v>
      </c>
      <c r="Z10" s="24" t="s">
        <v>197</v>
      </c>
      <c r="AA10" s="24">
        <f>ABS(DEGREES(ATAN(SIN(RADIANS(AA5))*TAN(RADIANS(AA7)))))</f>
        <v>15.579813613469495</v>
      </c>
      <c r="AB10" s="26">
        <f t="shared" si="9"/>
        <v>15</v>
      </c>
      <c r="AC10" s="26">
        <f t="shared" si="10"/>
        <v>34</v>
      </c>
      <c r="AD10" s="26">
        <f t="shared" si="11"/>
        <v>47</v>
      </c>
      <c r="AE10" s="26">
        <f t="shared" si="12"/>
        <v>19</v>
      </c>
      <c r="AF10" s="26">
        <f t="shared" si="13"/>
        <v>44</v>
      </c>
      <c r="AG10" s="26">
        <f t="shared" si="14"/>
        <v>25</v>
      </c>
      <c r="AH10" s="26">
        <f t="shared" si="15"/>
        <v>50</v>
      </c>
      <c r="AI10" s="24" t="str">
        <f>IF(AA5&lt;=180,"شمالی","جنوبی")</f>
        <v>شمالی</v>
      </c>
      <c r="AJ10" s="24">
        <f>IF(AI10="شمالی",1,2)</f>
        <v>1</v>
      </c>
      <c r="AM10" s="24" t="s">
        <v>197</v>
      </c>
      <c r="AN10" s="24">
        <f>ABS(DEGREES(ATAN(SIN(RADIANS(AN5))*TAN(RADIANS(AN7)))))</f>
        <v>15.885403344845157</v>
      </c>
      <c r="AO10" s="26">
        <f t="shared" si="16"/>
        <v>15</v>
      </c>
      <c r="AP10" s="26">
        <f t="shared" si="17"/>
        <v>53</v>
      </c>
      <c r="AQ10" s="26">
        <f t="shared" si="18"/>
        <v>7</v>
      </c>
      <c r="AR10" s="26">
        <f t="shared" si="19"/>
        <v>27</v>
      </c>
      <c r="AS10" s="26">
        <f t="shared" si="20"/>
        <v>7</v>
      </c>
      <c r="AT10" s="26">
        <f t="shared" si="21"/>
        <v>20</v>
      </c>
      <c r="AU10" s="26">
        <f t="shared" si="22"/>
        <v>57</v>
      </c>
      <c r="AV10" s="24" t="str">
        <f>IF(AN5&lt;=180,"شمالی","جنوبی")</f>
        <v>شمالی</v>
      </c>
      <c r="AW10" s="24">
        <f>IF(AV10="شمالی",1,2)</f>
        <v>1</v>
      </c>
      <c r="AZ10" s="216" t="e">
        <f ca="1">IF(BB10=BB8+ABS(BB9),AZ8,IF(BB8&gt;ABS(BB9),AZ8,AZ9))</f>
        <v>#NAME?</v>
      </c>
      <c r="BA10" s="113" t="s">
        <v>1449</v>
      </c>
      <c r="BB10" s="215" t="e">
        <f ca="1">IF(AZ6=AZ8,BB8+ABS(BB9),ABS(BB8-ABS(BB9)))</f>
        <v>#NAME?</v>
      </c>
      <c r="BF10" s="346">
        <v>4</v>
      </c>
      <c r="BG10" s="346" t="s">
        <v>2119</v>
      </c>
      <c r="BH10" s="346" t="e">
        <f ca="1">IF(([2]!sn(BH9)/[2]!csn(BH7)*60)&lt;60,[2]!asn([2]!sn(BH9)/[2]!csn(BH7)*60),[2]!asn(120-([2]!sn(BH9)/[2]!csn(BH7)*60)))</f>
        <v>#NAME?</v>
      </c>
      <c r="BI10" s="346"/>
      <c r="BJ10" s="346"/>
      <c r="BK10" s="346"/>
      <c r="BL10" s="346"/>
      <c r="BO10" s="254" t="s">
        <v>393</v>
      </c>
      <c r="BP10" s="255" t="e">
        <f ca="1">[2]!mbtool(1,25,0,1)</f>
        <v>#NAME?</v>
      </c>
      <c r="BQ10" s="259" t="s">
        <v>167</v>
      </c>
      <c r="BR10" s="260">
        <v>0</v>
      </c>
      <c r="BT10" s="976" t="s">
        <v>3884</v>
      </c>
      <c r="BU10" s="388">
        <f>[1]!taqsh(BV8,BV9,[1]!roz(BV10,BV11,0,0),BV12)</f>
        <v>309.68616693721515</v>
      </c>
      <c r="BV10" s="694">
        <v>8</v>
      </c>
      <c r="BX10" t="e">
        <f ca="1">IF(BZ10&gt;=0,1,-1)</f>
        <v>#NAME?</v>
      </c>
      <c r="BY10" s="224" t="s">
        <v>2134</v>
      </c>
      <c r="BZ10" s="238" t="e">
        <f ca="1">[2]!bkm(BZ5,BZ6)</f>
        <v>#NAME?</v>
      </c>
      <c r="CA10" s="271"/>
      <c r="CB10" s="224"/>
      <c r="CC10" s="238"/>
      <c r="CD10" s="271"/>
      <c r="CF10" s="400"/>
      <c r="CG10" s="401" t="s">
        <v>1372</v>
      </c>
      <c r="CI10" s="280"/>
      <c r="CJ10" s="226">
        <v>5</v>
      </c>
      <c r="CK10" s="226"/>
      <c r="CL10" s="226" t="s">
        <v>2164</v>
      </c>
      <c r="CM10" s="226"/>
      <c r="CN10" s="226"/>
      <c r="CO10" s="226"/>
      <c r="CP10" s="226"/>
      <c r="CQ10" s="226"/>
      <c r="CR10" s="395"/>
      <c r="CS10" s="227">
        <f>180-(CH7+CH5)</f>
        <v>123.61091759999999</v>
      </c>
      <c r="CT10" s="363"/>
      <c r="CU10" s="363"/>
      <c r="DA10" s="208">
        <v>3</v>
      </c>
      <c r="DB10" s="409" t="s">
        <v>2146</v>
      </c>
      <c r="DC10" s="409"/>
      <c r="DD10" s="409" t="e">
        <f ca="1">[2]!asn([2]!sn(DE10)*60/[2]!csn(DD3))</f>
        <v>#NAME?</v>
      </c>
      <c r="DE10" s="409" t="e">
        <f ca="1">[2]!asn([2]!sn(DD3)*[2]!sn(ABS(DB5))/60)</f>
        <v>#NAME?</v>
      </c>
      <c r="DF10" s="409"/>
      <c r="DG10" s="409"/>
      <c r="DH10" s="409"/>
      <c r="DI10" s="409"/>
      <c r="DJ10" s="409"/>
      <c r="DK10" s="409" t="e">
        <f ca="1">IF(DB5=0,90-DD3,DD10)</f>
        <v>#NAME?</v>
      </c>
      <c r="DL10" s="409"/>
      <c r="DM10" s="409" t="str">
        <f>IF(DB6&gt;DD4,"غرب","شرق")</f>
        <v>غرب</v>
      </c>
      <c r="DN10" s="409"/>
      <c r="DO10" s="209" t="str">
        <f>IF(DB5&gt;0,"شمال","جنوب")</f>
        <v>شمال</v>
      </c>
      <c r="DV10" s="327"/>
      <c r="DW10" s="202"/>
      <c r="DX10" s="268" t="e">
        <f ca="1">IF(DY10&gt;0,1,-1)</f>
        <v>#NAME?</v>
      </c>
      <c r="DY10" s="268" t="e">
        <f ca="1">[2]!bkm(DY4,DY5)</f>
        <v>#NAME?</v>
      </c>
      <c r="DZ10" s="268" t="s">
        <v>2123</v>
      </c>
      <c r="EA10" s="268"/>
      <c r="EB10" s="268"/>
      <c r="EC10" s="201"/>
      <c r="ED10" t="s">
        <v>144</v>
      </c>
      <c r="EE10" t="s">
        <v>4003</v>
      </c>
      <c r="EF10">
        <v>1444</v>
      </c>
      <c r="EK10" s="701"/>
      <c r="EL10" s="304" t="s">
        <v>1481</v>
      </c>
      <c r="EM10" s="304">
        <f>[1]!taqsh(EM4,EM5,EM6,EM7)</f>
        <v>66.314766360932012</v>
      </c>
      <c r="EN10" s="304"/>
      <c r="EO10" s="304"/>
      <c r="EP10" s="304"/>
      <c r="EQ10" s="314"/>
      <c r="ER10" s="226" t="s">
        <v>2189</v>
      </c>
      <c r="ES10" s="388">
        <f>IF(IF(ES7-ES6&gt;180,360-(ES7-ES6),ABS(ES7-ES6))&lt;=180,IF(ES7-ES6&gt;180,360-(ES7-ES6),ABS(ES7-ES6)),360-IF(ES7-ES6&gt;180,360-(ES7-ES6),ABS(ES7-ES6)))</f>
        <v>30</v>
      </c>
      <c r="ET10" s="226"/>
      <c r="EU10" s="226"/>
      <c r="EV10" s="227"/>
      <c r="EX10" s="270" t="s">
        <v>364</v>
      </c>
      <c r="EY10" s="361">
        <f>[1]!qsn(EY9,FA8)</f>
        <v>201.5981109829637</v>
      </c>
      <c r="EZ10" s="361"/>
      <c r="FA10" s="361"/>
      <c r="FM10" s="1556" t="s">
        <v>3803</v>
      </c>
      <c r="FN10" s="1557">
        <f>IF(INT(FN9)+1&lt;=365,INT(FN9)+1,INT(FN9+1)-365)</f>
        <v>119</v>
      </c>
      <c r="FQ10" s="303" t="s">
        <v>227</v>
      </c>
      <c r="FR10" s="304">
        <f>[1]!ml(FR5,FR9)</f>
        <v>21.282209289993656</v>
      </c>
      <c r="FS10" s="304"/>
      <c r="FT10" s="304"/>
      <c r="FU10" s="304"/>
      <c r="FV10" s="305"/>
      <c r="FY10" s="269" t="s">
        <v>1481</v>
      </c>
      <c r="FZ10" s="257" t="e">
        <f ca="1">[2]!taqsh(FZ6,FZ7,FZ8,FZ9)</f>
        <v>#NAME?</v>
      </c>
      <c r="GA10" s="250" t="s">
        <v>177</v>
      </c>
      <c r="GB10" s="250">
        <v>24.8</v>
      </c>
      <c r="GE10" s="274"/>
      <c r="GF10" s="740"/>
      <c r="GG10" s="741">
        <f>GG9*354</f>
        <v>509760</v>
      </c>
      <c r="GH10" s="1581"/>
      <c r="GI10" s="274"/>
      <c r="GJ10" s="276"/>
      <c r="GK10" s="276"/>
      <c r="GL10" s="276"/>
      <c r="GM10" s="274"/>
      <c r="GN10" s="274"/>
      <c r="GO10" s="274"/>
      <c r="GP10" s="274"/>
      <c r="GQ10" s="274"/>
      <c r="GR10" s="274"/>
      <c r="GS10" s="276"/>
      <c r="GT10" s="276"/>
      <c r="GU10" s="274"/>
      <c r="HM10" s="150"/>
      <c r="HN10" s="150" t="s">
        <v>2350</v>
      </c>
      <c r="HO10" s="150">
        <f>HO9/2</f>
        <v>37</v>
      </c>
      <c r="HP10" s="157">
        <f>INT(ABS(HO10))</f>
        <v>37</v>
      </c>
      <c r="HQ10" s="157">
        <f>INT((ABS(HO10)-HP10)*60)</f>
        <v>0</v>
      </c>
      <c r="HR10" s="157">
        <f>INT((((ABS(HO10)-HP10)*60)-HQ10)*60)</f>
        <v>0</v>
      </c>
      <c r="HS10" s="157">
        <f>INT((((((ABS(HO10)-HP10)*60)-HQ10)*60)-HR10)*60)</f>
        <v>0</v>
      </c>
      <c r="HT10" s="327"/>
      <c r="HV10" s="157"/>
      <c r="HW10" s="157"/>
      <c r="HX10" s="157"/>
      <c r="HY10" s="157"/>
      <c r="IA10" s="150"/>
      <c r="IB10" s="501" t="s">
        <v>701</v>
      </c>
      <c r="IC10" s="150">
        <f>INT(IC9)</f>
        <v>36</v>
      </c>
      <c r="ID10" s="157">
        <f t="shared" si="23"/>
        <v>36</v>
      </c>
      <c r="IE10" s="157">
        <f t="shared" si="24"/>
        <v>0</v>
      </c>
      <c r="IF10" s="157">
        <f t="shared" si="25"/>
        <v>0</v>
      </c>
      <c r="IG10" s="157">
        <f t="shared" si="26"/>
        <v>0</v>
      </c>
      <c r="IO10" s="1079" t="s">
        <v>144</v>
      </c>
      <c r="IP10" s="1080" t="s">
        <v>3871</v>
      </c>
      <c r="IQ10" s="1080">
        <v>48.849800000000002</v>
      </c>
      <c r="IR10" s="1080"/>
      <c r="IS10" s="1080"/>
      <c r="IT10" s="1080"/>
      <c r="IU10" s="1081"/>
      <c r="IX10" s="276"/>
      <c r="IY10" s="701" t="s">
        <v>227</v>
      </c>
      <c r="IZ10" s="304">
        <f>[1]!ml(IZ5,IZ9)</f>
        <v>0.20626801082797008</v>
      </c>
      <c r="JA10" s="437">
        <f t="shared" si="34"/>
        <v>0</v>
      </c>
      <c r="JB10" s="437">
        <f t="shared" si="35"/>
        <v>12</v>
      </c>
      <c r="JC10" s="437">
        <f t="shared" si="36"/>
        <v>22</v>
      </c>
      <c r="JD10" s="437">
        <f t="shared" si="37"/>
        <v>33</v>
      </c>
      <c r="JE10" s="304"/>
      <c r="JF10" s="304"/>
      <c r="JG10" s="304"/>
      <c r="JH10" s="304"/>
      <c r="JI10" s="779" t="s">
        <v>2233</v>
      </c>
      <c r="JJ10" s="251">
        <f>[1]!asher2(IZ5,IZ6,IZ7,IZ8,JD7)</f>
        <v>348.45917095462966</v>
      </c>
      <c r="JK10" s="224">
        <v>6</v>
      </c>
      <c r="JL10" s="251">
        <f>JJ20</f>
        <v>42.729362984137715</v>
      </c>
      <c r="JM10" s="266">
        <f>[1]!beyt6b(IZ5,IZ6,IZ7,IZ8,JD7)</f>
        <v>40.083134246776638</v>
      </c>
      <c r="JN10" s="1344">
        <f t="shared" si="7"/>
        <v>26.397218557072058</v>
      </c>
      <c r="JO10" s="251">
        <f t="shared" si="4"/>
        <v>13.198609278536029</v>
      </c>
      <c r="JP10" s="271">
        <f t="shared" si="8"/>
        <v>29.530753705601686</v>
      </c>
      <c r="JQ10" s="251">
        <f t="shared" si="5"/>
        <v>9</v>
      </c>
      <c r="JR10" s="644">
        <f t="shared" si="6"/>
        <v>116.01823788881879</v>
      </c>
      <c r="JS10" s="112" t="s">
        <v>849</v>
      </c>
      <c r="JT10" s="113" t="s">
        <v>1481</v>
      </c>
      <c r="JU10" s="113">
        <f>[1]!taqq(JU4,JU5,JU6,JU7)</f>
        <v>228.64903288046236</v>
      </c>
      <c r="JV10" s="445">
        <f t="shared" si="38"/>
        <v>228</v>
      </c>
      <c r="JW10" s="445">
        <f t="shared" si="39"/>
        <v>38</v>
      </c>
      <c r="JX10" s="445">
        <f t="shared" si="40"/>
        <v>56</v>
      </c>
      <c r="JY10" s="1310">
        <f t="shared" si="41"/>
        <v>31</v>
      </c>
      <c r="JZ10" s="1356">
        <f t="shared" si="42"/>
        <v>12</v>
      </c>
      <c r="KA10" s="327"/>
      <c r="KB10" s="327"/>
      <c r="KC10" s="1378" t="str">
        <f>IF(JZ13=11,JS13,"-")</f>
        <v>-</v>
      </c>
      <c r="KD10" s="1360"/>
      <c r="KE10" s="1365" t="str">
        <f>IF(JZ10=10,JS10,"-")</f>
        <v>-</v>
      </c>
      <c r="KF10" s="1365" t="str">
        <f>IF(JZ13=10,JS13,"-")</f>
        <v>-</v>
      </c>
      <c r="KG10" s="1365"/>
      <c r="KH10" s="1365"/>
      <c r="KI10" s="1366"/>
      <c r="KJ10" s="1365"/>
      <c r="KK10" s="1369" t="s">
        <v>1704</v>
      </c>
      <c r="KL10" s="1365" t="str">
        <f>IF(JZ9=4,JS9,"-")</f>
        <v>-</v>
      </c>
      <c r="KM10" s="1365" t="str">
        <f>IF(JZ12=4,JS12,"-")</f>
        <v>-</v>
      </c>
      <c r="KN10" s="1365"/>
      <c r="KO10" s="1366"/>
      <c r="KP10" s="1362"/>
      <c r="KQ10" s="1379"/>
      <c r="KR10" s="327"/>
    </row>
    <row r="11" spans="2:304" ht="27">
      <c r="B11" s="24" t="s">
        <v>193</v>
      </c>
      <c r="C11" s="24">
        <f>IF(C5&lt;=90,90-C5,IF(C5&lt;=180,C5-90,IF(C5&lt;=270,270-C5,C5-270)))</f>
        <v>1</v>
      </c>
      <c r="D11" s="26">
        <f t="shared" ref="D11:D18" si="43">INT(C11)</f>
        <v>1</v>
      </c>
      <c r="E11" s="26">
        <f t="shared" ref="E11:E18" si="44">INT((C11-D11)*60)</f>
        <v>0</v>
      </c>
      <c r="F11" s="26">
        <f t="shared" ref="F11:F18" si="45">INT((((C11-D11)*60)-E11)*60)</f>
        <v>0</v>
      </c>
      <c r="G11" s="26">
        <f t="shared" ref="G11:G18" si="46">INT((((((C11-D11)*60)-E11)*60)-F11)*60)</f>
        <v>0</v>
      </c>
      <c r="H11" s="26">
        <f t="shared" si="31"/>
        <v>0</v>
      </c>
      <c r="I11" s="26">
        <f t="shared" si="32"/>
        <v>0</v>
      </c>
      <c r="J11" s="26">
        <f t="shared" si="33"/>
        <v>0</v>
      </c>
      <c r="M11" s="27"/>
      <c r="N11" s="27"/>
      <c r="O11" s="1" t="s">
        <v>224</v>
      </c>
      <c r="P11">
        <f>DEGREES(ASIN(ABS(SIN(RADIANS(P3))/COS(RADIANS(P10)))))</f>
        <v>62.091371156820422</v>
      </c>
      <c r="Q11" s="31">
        <f>INT(P11)</f>
        <v>62</v>
      </c>
      <c r="R11" s="31">
        <f>INT((P11-Q11)*60)</f>
        <v>5</v>
      </c>
      <c r="S11" s="31">
        <f>INT((((P11-Q11)*60)-R11)*60)</f>
        <v>28</v>
      </c>
      <c r="T11" s="31">
        <f>INT((((((P11-Q11)*60)-R11)*60)-S11)*60)</f>
        <v>56</v>
      </c>
      <c r="U11" s="31">
        <f>INT((((((((P11-Q11)*60)-R11)*60)-S11)*60)-T11)*60)</f>
        <v>10</v>
      </c>
      <c r="V11" s="31">
        <f>INT((((((((((P11-Q11)*60)-R11)*60)-S11)*60)-T11)*60)-U11)*60)</f>
        <v>11</v>
      </c>
      <c r="W11" s="31">
        <f>INT((((((((((((P11-Q11)*60)-R11)*60)-S11)*60)-T11)*60)-U11)*60)-V11)*60)</f>
        <v>32</v>
      </c>
      <c r="Z11" s="24" t="s">
        <v>193</v>
      </c>
      <c r="AA11" s="24">
        <f>IF(AA5&lt;=90,90-AA5,IF(AA5&lt;=180,AA5-90,IF(AA5&lt;=270,270-AA5,AA5-270)))</f>
        <v>50</v>
      </c>
      <c r="AB11" s="26">
        <f t="shared" si="9"/>
        <v>50</v>
      </c>
      <c r="AC11" s="26">
        <f t="shared" si="10"/>
        <v>0</v>
      </c>
      <c r="AD11" s="26">
        <f t="shared" si="11"/>
        <v>0</v>
      </c>
      <c r="AE11" s="26">
        <f t="shared" si="12"/>
        <v>0</v>
      </c>
      <c r="AF11" s="26">
        <f t="shared" si="13"/>
        <v>0</v>
      </c>
      <c r="AG11" s="26">
        <f t="shared" si="14"/>
        <v>0</v>
      </c>
      <c r="AH11" s="26">
        <f t="shared" si="15"/>
        <v>0</v>
      </c>
      <c r="AI11" s="24"/>
      <c r="AJ11" s="24"/>
      <c r="AM11" s="24" t="s">
        <v>193</v>
      </c>
      <c r="AN11" s="24">
        <f>IF(AN5&lt;=90,90-AN5,IF(AN5&lt;=180,AN5-90,IF(AN5&lt;=270,270-AN5,AN5-270)))</f>
        <v>49</v>
      </c>
      <c r="AO11" s="26">
        <f t="shared" si="16"/>
        <v>49</v>
      </c>
      <c r="AP11" s="26">
        <f t="shared" si="17"/>
        <v>0</v>
      </c>
      <c r="AQ11" s="26">
        <f t="shared" si="18"/>
        <v>0</v>
      </c>
      <c r="AR11" s="26">
        <f t="shared" si="19"/>
        <v>0</v>
      </c>
      <c r="AS11" s="26">
        <f t="shared" si="20"/>
        <v>0</v>
      </c>
      <c r="AT11" s="26">
        <f t="shared" si="21"/>
        <v>0</v>
      </c>
      <c r="AU11" s="26">
        <f t="shared" si="22"/>
        <v>0</v>
      </c>
      <c r="AV11" s="24"/>
      <c r="AW11" s="24"/>
      <c r="AZ11" s="216" t="e">
        <f ca="1">AZ10</f>
        <v>#NAME?</v>
      </c>
      <c r="BA11" s="113"/>
      <c r="BB11" s="215" t="e">
        <f ca="1">[2]!asn(BB10/[2]!csn(BB7)*60)</f>
        <v>#NAME?</v>
      </c>
      <c r="BF11" s="346">
        <v>5</v>
      </c>
      <c r="BG11" s="346"/>
      <c r="BH11" s="346">
        <v>1</v>
      </c>
      <c r="BI11" s="346" t="s">
        <v>2114</v>
      </c>
      <c r="BJ11" s="346"/>
      <c r="BK11" s="346"/>
      <c r="BL11" s="346"/>
      <c r="BO11" s="220" t="s">
        <v>1481</v>
      </c>
      <c r="BP11" s="213" t="e">
        <f ca="1">[2]!taqsh(BP7,BP8,BP9,BP10)</f>
        <v>#NAME?</v>
      </c>
      <c r="BQ11" s="212"/>
      <c r="BR11" s="213"/>
      <c r="BT11" s="976"/>
      <c r="BU11" s="388">
        <f>[1]!mtl(1444,BU10)</f>
        <v>312.12437669688984</v>
      </c>
      <c r="BV11" s="694">
        <v>0</v>
      </c>
      <c r="BX11" s="327" t="e">
        <f ca="1">IF(BZ11&gt;=0,1,-1)</f>
        <v>#NAME?</v>
      </c>
      <c r="BY11" s="224" t="s">
        <v>2135</v>
      </c>
      <c r="BZ11" s="238" t="e">
        <f ca="1">[2]!bkm(BZ7,BZ8)</f>
        <v>#NAME?</v>
      </c>
      <c r="CA11" s="271"/>
      <c r="CB11" s="224"/>
      <c r="CC11" s="238"/>
      <c r="CD11" s="271"/>
      <c r="CF11" s="396" t="s">
        <v>265</v>
      </c>
      <c r="CG11" s="397" t="e">
        <f ca="1">BZ24</f>
        <v>#NAME?</v>
      </c>
      <c r="CI11" s="207"/>
      <c r="CJ11" s="287">
        <v>1</v>
      </c>
      <c r="CK11" s="287"/>
      <c r="CL11" s="287" t="s">
        <v>2161</v>
      </c>
      <c r="CM11" s="287"/>
      <c r="CN11" s="287" t="s">
        <v>2166</v>
      </c>
      <c r="CO11" s="287"/>
      <c r="CP11" s="287"/>
      <c r="CQ11" s="287"/>
      <c r="CR11" s="287"/>
      <c r="CS11" s="287">
        <f>ABS(CH5-CH7)</f>
        <v>13.610917600000001</v>
      </c>
      <c r="CT11" s="346">
        <f>IF(CF5=CF7,CS11,CS12)</f>
        <v>13.610917600000001</v>
      </c>
      <c r="CU11" s="346" t="e">
        <f ca="1">IF(CH9=0,CT11,IF(CH9&lt;90,CT14,IF(CH9=90,CT16,IF(CH9&lt;180,CT18,CT20))))</f>
        <v>#NAME?</v>
      </c>
      <c r="DA11" s="216">
        <v>4</v>
      </c>
      <c r="DB11" s="113" t="s">
        <v>2147</v>
      </c>
      <c r="DC11" s="113" t="s">
        <v>2170</v>
      </c>
      <c r="DD11" s="113"/>
      <c r="DE11" s="113" t="e">
        <f ca="1">[2]!acs([2]!csn(ABS(DD3))*[2]!sn(DD5)/60)</f>
        <v>#NAME?</v>
      </c>
      <c r="DF11" s="113" t="e">
        <f ca="1">[2]!asn([2]!sn(ABS(DD3))*60/[2]!sn(DE11))</f>
        <v>#NAME?</v>
      </c>
      <c r="DG11" s="113" t="e">
        <f ca="1">ABS(DF11-(90-ABS(DB5)))</f>
        <v>#NAME?</v>
      </c>
      <c r="DH11" s="113" t="e">
        <f ca="1">[2]!asn([2]!sn(DG11)*[2]!sn(DE11)/60)</f>
        <v>#NAME?</v>
      </c>
      <c r="DI11" s="113" t="e">
        <f ca="1">DI8</f>
        <v>#NAME?</v>
      </c>
      <c r="DJ11" s="113" t="e">
        <f ca="1">[2]!asn([2]!csn(DE11)*60/[2]!sn(DI11))</f>
        <v>#NAME?</v>
      </c>
      <c r="DK11" s="113" t="e">
        <f ca="1">IF(DB5&gt;0,DJ11,DJ12)</f>
        <v>#NAME?</v>
      </c>
      <c r="DL11" s="113" t="str">
        <f>IF(OR(DB6&gt;DD4,DB6&lt;-180+DD4),"غربی","شرقی")</f>
        <v>غربی</v>
      </c>
      <c r="DM11" s="113" t="str">
        <f>IF(DB5&gt;0,DL11,DL12)</f>
        <v>غربی</v>
      </c>
      <c r="DN11" s="215" t="e">
        <f ca="1">IF(DG11=90,"ربع",IF(OR(DB5&gt;0,DG11&gt;90),"از نقطه شمال","از نقطه جنوب"))</f>
        <v>#NAME?</v>
      </c>
      <c r="DO11" s="215" t="e">
        <f ca="1">IF(DB5&gt;0,DN11,DN12)</f>
        <v>#NAME?</v>
      </c>
      <c r="DV11" s="327"/>
      <c r="DW11" s="202"/>
      <c r="DX11" s="268" t="s">
        <v>2119</v>
      </c>
      <c r="DY11" s="268" t="e">
        <f ca="1">IF(([2]!sn(DY10)/[2]!csn(DY8)*60)&lt;60,[2]!asn([2]!sn(DY10)/[2]!csn(DY8)*60),[2]!asn(120-([2]!sn(DY10)/[2]!csn(DY8)*60)))</f>
        <v>#NAME?</v>
      </c>
      <c r="DZ11" s="268"/>
      <c r="EA11" s="268"/>
      <c r="EB11" s="268"/>
      <c r="EC11" s="201"/>
      <c r="ED11" t="s">
        <v>144</v>
      </c>
      <c r="EE11" s="422" t="s">
        <v>177</v>
      </c>
      <c r="EF11" s="425">
        <f>DY6</f>
        <v>35</v>
      </c>
      <c r="EG11" s="427">
        <f t="shared" ref="EG11:EG17" si="47">INT(EF11)</f>
        <v>35</v>
      </c>
      <c r="EH11" s="417">
        <f t="shared" ref="EH11:EH17" si="48">INT((EF11-EG11)*60)</f>
        <v>0</v>
      </c>
      <c r="EI11" s="418">
        <f t="shared" ref="EI11:EI17" si="49">INT((((EF11-EG11)*60)-EH11)*60)</f>
        <v>0</v>
      </c>
      <c r="EK11" s="701"/>
      <c r="EL11" s="304" t="s">
        <v>175</v>
      </c>
      <c r="EM11" s="304">
        <v>0</v>
      </c>
      <c r="EN11" s="304"/>
      <c r="EO11" s="304"/>
      <c r="EP11" s="304"/>
      <c r="EQ11" s="314"/>
      <c r="ER11" s="226" t="s">
        <v>2188</v>
      </c>
      <c r="ES11" s="226">
        <f>180-ES10</f>
        <v>150</v>
      </c>
      <c r="ET11" s="226"/>
      <c r="EU11" s="226"/>
      <c r="EV11" s="227"/>
      <c r="EX11" s="270" t="s">
        <v>421</v>
      </c>
      <c r="EY11" s="361">
        <f>[1]!qsl(EY9,FA8)</f>
        <v>158.4018890170363</v>
      </c>
      <c r="EZ11" s="361"/>
      <c r="FA11" s="361"/>
      <c r="FM11" s="1556" t="s">
        <v>3785</v>
      </c>
      <c r="FN11" s="1557">
        <f>[1]!tzaman(FN10)</f>
        <v>-0.17073490901801774</v>
      </c>
      <c r="FQ11" s="303" t="s">
        <v>364</v>
      </c>
      <c r="FR11" s="304">
        <f>[1]!qsn(FR10,FT9)</f>
        <v>200.73792378402038</v>
      </c>
      <c r="FS11" s="304"/>
      <c r="FT11" s="304"/>
      <c r="FU11" s="304"/>
      <c r="FV11" s="305"/>
      <c r="FZ11" t="e">
        <f ca="1">FZ10</f>
        <v>#NAME?</v>
      </c>
      <c r="GA11" s="225" t="e">
        <f t="shared" ref="GA11:GA17" ca="1" si="50">INT(ABS(FZ11))</f>
        <v>#NAME?</v>
      </c>
      <c r="GB11" s="225" t="e">
        <f t="shared" ref="GB11:GB17" ca="1" si="51">INT((ABS(FZ11)-GA11)*60)</f>
        <v>#NAME?</v>
      </c>
      <c r="GC11" s="436" t="e">
        <f t="shared" ref="GC11:GC17" ca="1" si="52">INT((((ABS(FZ11)-GA11)*60)-GB11)*60)</f>
        <v>#NAME?</v>
      </c>
      <c r="GD11" s="187" t="e">
        <f ca="1">INT((((((ABS(FZ11)-GA11)*60)-GB11)*60)-GC11)*60)</f>
        <v>#NAME?</v>
      </c>
      <c r="GE11" s="274"/>
      <c r="GF11" s="740"/>
      <c r="GG11" s="741">
        <f>GG9/30</f>
        <v>48</v>
      </c>
      <c r="GH11" s="1581"/>
      <c r="GI11" s="274"/>
      <c r="GJ11" s="276"/>
      <c r="GK11" s="276"/>
      <c r="GL11" s="276"/>
      <c r="GM11" s="274"/>
      <c r="GN11" s="274"/>
      <c r="GO11" s="274"/>
      <c r="GP11" s="274"/>
      <c r="GQ11" s="274"/>
      <c r="GR11" s="274"/>
      <c r="GS11" s="276"/>
      <c r="GT11" s="276"/>
      <c r="GU11" s="274"/>
      <c r="HM11" s="150"/>
      <c r="HN11" s="150" t="s">
        <v>2351</v>
      </c>
      <c r="HO11" s="150">
        <f>INT(HO10)</f>
        <v>37</v>
      </c>
      <c r="HP11" s="157">
        <f>INT(ABS(HO11))</f>
        <v>37</v>
      </c>
      <c r="HQ11" s="157">
        <f>INT((ABS(HO11)-HP11)*60)</f>
        <v>0</v>
      </c>
      <c r="HR11" s="157">
        <f>INT((((ABS(HO11)-HP11)*60)-HQ11)*60)</f>
        <v>0</v>
      </c>
      <c r="HS11" s="157">
        <f>INT((((((ABS(HO11)-HP11)*60)-HQ11)*60)-HR11)*60)</f>
        <v>0</v>
      </c>
      <c r="HV11" s="157"/>
      <c r="HW11" s="157"/>
      <c r="HX11" s="157"/>
      <c r="HY11" s="157"/>
      <c r="IA11" s="150"/>
      <c r="IB11" s="501" t="s">
        <v>2348</v>
      </c>
      <c r="IC11" s="150">
        <f>IF(IC9=IC10,IC8-1,IC8)</f>
        <v>71</v>
      </c>
      <c r="ID11" s="157">
        <f t="shared" si="23"/>
        <v>71</v>
      </c>
      <c r="IE11" s="157">
        <f t="shared" si="24"/>
        <v>0</v>
      </c>
      <c r="IF11" s="157">
        <f t="shared" si="25"/>
        <v>0</v>
      </c>
      <c r="IG11" s="157">
        <f t="shared" si="26"/>
        <v>0</v>
      </c>
      <c r="IO11" s="1082"/>
      <c r="IP11" s="1083"/>
      <c r="IQ11" s="1083">
        <f>IQ10-IQ3</f>
        <v>-37.04036666666633</v>
      </c>
      <c r="IR11" s="1083"/>
      <c r="IS11" s="1083"/>
      <c r="IT11" s="1083"/>
      <c r="IU11" s="1084"/>
      <c r="IX11" s="276"/>
      <c r="IY11" s="701" t="s">
        <v>364</v>
      </c>
      <c r="IZ11" s="304">
        <f>[1]!qsn(IZ10,JD7)</f>
        <v>180.25830334363843</v>
      </c>
      <c r="JA11" s="437">
        <f t="shared" si="34"/>
        <v>180</v>
      </c>
      <c r="JB11" s="437">
        <f t="shared" si="35"/>
        <v>15</v>
      </c>
      <c r="JC11" s="437">
        <f t="shared" si="36"/>
        <v>29</v>
      </c>
      <c r="JD11" s="437">
        <f t="shared" si="37"/>
        <v>53</v>
      </c>
      <c r="JE11" s="304"/>
      <c r="JF11" s="304"/>
      <c r="JG11" s="304"/>
      <c r="JH11" s="304"/>
      <c r="JI11" s="779" t="s">
        <v>2232</v>
      </c>
      <c r="JJ11" s="251">
        <f>[1]!ba(JJ10+180)</f>
        <v>168.4591709546296</v>
      </c>
      <c r="JK11" s="224">
        <v>7</v>
      </c>
      <c r="JL11" s="251">
        <f>JJ6</f>
        <v>67.323713152196319</v>
      </c>
      <c r="JM11" s="266"/>
      <c r="JN11" s="1344">
        <f t="shared" si="7"/>
        <v>24.594350168058604</v>
      </c>
      <c r="JO11" s="251">
        <f t="shared" si="4"/>
        <v>12.297175084029302</v>
      </c>
      <c r="JP11" s="271">
        <f t="shared" si="8"/>
        <v>55.026538068167014</v>
      </c>
      <c r="JQ11" s="251">
        <f t="shared" si="5"/>
        <v>12</v>
      </c>
      <c r="JR11" s="644">
        <f t="shared" si="6"/>
        <v>209.53075370560168</v>
      </c>
      <c r="JS11" s="112" t="s">
        <v>1291</v>
      </c>
      <c r="JT11" s="113" t="s">
        <v>1481</v>
      </c>
      <c r="JU11" s="113">
        <f>[1]!taqota(JU4,JU5,JU6,JU7)</f>
        <v>18.869823552997659</v>
      </c>
      <c r="JV11" s="445">
        <f t="shared" si="38"/>
        <v>18</v>
      </c>
      <c r="JW11" s="445">
        <f t="shared" si="39"/>
        <v>52</v>
      </c>
      <c r="JX11" s="445">
        <f t="shared" si="40"/>
        <v>11</v>
      </c>
      <c r="JY11" s="1310">
        <f t="shared" si="41"/>
        <v>21</v>
      </c>
      <c r="JZ11" s="1356">
        <f t="shared" si="42"/>
        <v>3</v>
      </c>
      <c r="KA11" s="327"/>
      <c r="KB11" s="327"/>
      <c r="KC11" s="1380"/>
      <c r="KD11" s="1365" t="str">
        <f>IF(JZ9=10,JS9,"-")</f>
        <v>-</v>
      </c>
      <c r="KE11" s="1365" t="str">
        <f>IF(JZ11=10,JS11,"-")</f>
        <v>-</v>
      </c>
      <c r="KF11" s="1365" t="str">
        <f>IF(JZ14=10,JS14,"-")</f>
        <v>-</v>
      </c>
      <c r="KG11" s="1365"/>
      <c r="KH11" s="1365"/>
      <c r="KI11" s="1365"/>
      <c r="KJ11" s="1368" t="s">
        <v>2234</v>
      </c>
      <c r="KK11" s="1365"/>
      <c r="KL11" s="1365" t="str">
        <f>IF(JZ10=4,JS10,"-")</f>
        <v>-</v>
      </c>
      <c r="KM11" s="1365" t="str">
        <f>IF(JZ13=4,JS13,"-")</f>
        <v>-</v>
      </c>
      <c r="KN11" s="1365"/>
      <c r="KO11" s="1365"/>
      <c r="KP11" s="1370"/>
      <c r="KQ11" s="1381"/>
      <c r="KR11" s="327"/>
    </row>
    <row r="12" spans="2:304" ht="27.75" thickBot="1">
      <c r="B12" s="24" t="s">
        <v>195</v>
      </c>
      <c r="C12" s="24">
        <f>ABS(DEGREES(ASIN(SIN(RADIANS(C7))*SIN(RADIANS(C11)))))</f>
        <v>0.39793162703440715</v>
      </c>
      <c r="D12" s="26">
        <f t="shared" si="43"/>
        <v>0</v>
      </c>
      <c r="E12" s="26">
        <f t="shared" si="44"/>
        <v>23</v>
      </c>
      <c r="F12" s="26">
        <f t="shared" si="45"/>
        <v>52</v>
      </c>
      <c r="G12" s="26">
        <f t="shared" si="46"/>
        <v>33</v>
      </c>
      <c r="H12" s="26">
        <f t="shared" si="31"/>
        <v>13</v>
      </c>
      <c r="I12" s="26">
        <f t="shared" si="32"/>
        <v>53</v>
      </c>
      <c r="J12" s="26">
        <f t="shared" si="33"/>
        <v>10</v>
      </c>
      <c r="O12" s="1" t="s">
        <v>225</v>
      </c>
      <c r="P12">
        <f>IF(P3&lt;=90,P11,IF(P3&lt;=180,180-P11,IF(P3&lt;=270,180+P11,360-P11)))</f>
        <v>297.9086288431796</v>
      </c>
      <c r="Q12" s="31">
        <f>INT(P12)</f>
        <v>297</v>
      </c>
      <c r="R12" s="31">
        <f>INT((P12-Q12)*60)</f>
        <v>54</v>
      </c>
      <c r="S12" s="31">
        <f>INT((((P12-Q12)*60)-R12)*60)</f>
        <v>31</v>
      </c>
      <c r="T12" s="31">
        <f>INT((((((P12-Q12)*60)-R12)*60)-S12)*60)</f>
        <v>3</v>
      </c>
      <c r="U12" s="31">
        <f>INT((((((((P12-Q12)*60)-R12)*60)-S12)*60)-T12)*60)</f>
        <v>49</v>
      </c>
      <c r="V12" s="31">
        <f>INT((((((((((P12-Q12)*60)-R12)*60)-S12)*60)-T12)*60)-U12)*60)</f>
        <v>48</v>
      </c>
      <c r="W12" s="31">
        <f>INT((((((((((((P12-Q12)*60)-R12)*60)-S12)*60)-T12)*60)-U12)*60)-V12)*60)</f>
        <v>27</v>
      </c>
      <c r="Z12" s="24" t="s">
        <v>195</v>
      </c>
      <c r="AA12" s="24">
        <f>ABS(DEGREES(ASIN(SIN(RADIANS(AA7))*SIN(RADIANS(AA11)))))</f>
        <v>17.748919453996344</v>
      </c>
      <c r="AB12" s="26">
        <f t="shared" si="9"/>
        <v>17</v>
      </c>
      <c r="AC12" s="26">
        <f t="shared" si="10"/>
        <v>44</v>
      </c>
      <c r="AD12" s="26">
        <f t="shared" si="11"/>
        <v>56</v>
      </c>
      <c r="AE12" s="26">
        <f t="shared" si="12"/>
        <v>6</v>
      </c>
      <c r="AF12" s="26">
        <f t="shared" si="13"/>
        <v>36</v>
      </c>
      <c r="AG12" s="26">
        <f t="shared" si="14"/>
        <v>7</v>
      </c>
      <c r="AH12" s="26">
        <f t="shared" si="15"/>
        <v>25</v>
      </c>
      <c r="AI12" s="24"/>
      <c r="AJ12" s="24"/>
      <c r="AM12" s="24" t="s">
        <v>195</v>
      </c>
      <c r="AN12" s="24">
        <f>ABS(DEGREES(ASIN(SIN(RADIANS(AN7))*SIN(RADIANS(AN11)))))</f>
        <v>17.477763818275704</v>
      </c>
      <c r="AO12" s="26">
        <f t="shared" si="16"/>
        <v>17</v>
      </c>
      <c r="AP12" s="26">
        <f t="shared" si="17"/>
        <v>28</v>
      </c>
      <c r="AQ12" s="26">
        <f t="shared" si="18"/>
        <v>39</v>
      </c>
      <c r="AR12" s="26">
        <f t="shared" si="19"/>
        <v>56</v>
      </c>
      <c r="AS12" s="26">
        <f t="shared" si="20"/>
        <v>59</v>
      </c>
      <c r="AT12" s="26">
        <f t="shared" si="21"/>
        <v>5</v>
      </c>
      <c r="AU12" s="26">
        <f t="shared" si="22"/>
        <v>5</v>
      </c>
      <c r="AV12" s="24"/>
      <c r="AW12" s="24"/>
      <c r="AZ12" s="216"/>
      <c r="BA12" s="113" t="s">
        <v>284</v>
      </c>
      <c r="BB12" s="215" t="e">
        <f ca="1">BB11*AZ11</f>
        <v>#NAME?</v>
      </c>
      <c r="BF12" s="346">
        <v>6</v>
      </c>
      <c r="BG12" s="346" t="s">
        <v>873</v>
      </c>
      <c r="BH12" s="346" t="e">
        <f ca="1">IF(OR(AND(BH6&lt;0,BH11=1),AND(BH6&gt;0,BH11=-1)),BH10+BH8,ABS(BH10-BH8))</f>
        <v>#NAME?</v>
      </c>
      <c r="BI12" s="346"/>
      <c r="BJ12" s="346"/>
      <c r="BK12" s="346"/>
      <c r="BL12" s="346"/>
      <c r="BO12" s="216" t="s">
        <v>2129</v>
      </c>
      <c r="BP12" s="113">
        <v>12</v>
      </c>
      <c r="BQ12" s="113"/>
      <c r="BR12" s="215"/>
      <c r="BT12" s="976"/>
      <c r="BU12" s="388">
        <f>BU11+BU9-360</f>
        <v>29.37437669688984</v>
      </c>
      <c r="BV12" s="694">
        <f>[1]!mbtool(2,20,4,1)</f>
        <v>9.7268518518518518E-2</v>
      </c>
      <c r="BY12" s="224" t="s">
        <v>2136</v>
      </c>
      <c r="BZ12" s="238" t="e">
        <f ca="1">[2]!mtm(BZ10,BZ6)</f>
        <v>#NAME?</v>
      </c>
      <c r="CA12" s="271"/>
      <c r="CB12" s="224"/>
      <c r="CC12" s="238"/>
      <c r="CD12" s="271"/>
      <c r="CF12" s="398" t="s">
        <v>266</v>
      </c>
      <c r="CG12" s="399" t="e">
        <f ca="1">IF(AND(CH5=0,CH7=0),CU5,IF(CH5*CH7=0,CU6,CU11))</f>
        <v>#NAME?</v>
      </c>
      <c r="CI12" s="202"/>
      <c r="CJ12" s="268"/>
      <c r="CK12" s="268"/>
      <c r="CL12" s="268"/>
      <c r="CM12" s="268"/>
      <c r="CN12" s="268" t="s">
        <v>2167</v>
      </c>
      <c r="CO12" s="268"/>
      <c r="CP12" s="268"/>
      <c r="CQ12" s="268"/>
      <c r="CR12" s="268"/>
      <c r="CS12" s="268">
        <f>ABS(CH5)+ABS(CH7)</f>
        <v>56.389082399999999</v>
      </c>
      <c r="CT12" s="346"/>
      <c r="CU12" s="346"/>
      <c r="DA12" s="216"/>
      <c r="DB12" s="113"/>
      <c r="DC12" s="218" t="s">
        <v>2171</v>
      </c>
      <c r="DD12" s="113"/>
      <c r="DE12" s="113"/>
      <c r="DF12" s="113"/>
      <c r="DG12" s="218" t="e">
        <f ca="1">DF11+(90-ABS(DB5))</f>
        <v>#NAME?</v>
      </c>
      <c r="DH12" s="218" t="e">
        <f ca="1">[2]!asn([2]!sn(DG12)*[2]!sn(DE11)/60)</f>
        <v>#NAME?</v>
      </c>
      <c r="DI12" s="113" t="e">
        <f ca="1">DI8</f>
        <v>#NAME?</v>
      </c>
      <c r="DJ12" s="113" t="e">
        <f ca="1">[2]!asn([2]!csn(DE11)*60/[2]!sn(DI12))</f>
        <v>#NAME?</v>
      </c>
      <c r="DK12" s="113"/>
      <c r="DL12" s="113" t="str">
        <f>IF(OR(DB6&gt;DD4,DB6&lt;-180+DD4),"غربی","شرقی")</f>
        <v>غربی</v>
      </c>
      <c r="DM12" s="113"/>
      <c r="DN12" s="215" t="e">
        <f ca="1">IF(DG12=90,"ربع",IF(OR(DB5&gt;0,DG12&gt;90),"از نقطه شمال","از نقطه جنوب"))</f>
        <v>#NAME?</v>
      </c>
      <c r="DO12" s="215"/>
      <c r="DV12" s="327"/>
      <c r="DW12" s="202" t="s">
        <v>144</v>
      </c>
      <c r="DX12" s="268"/>
      <c r="DY12" s="268">
        <v>1</v>
      </c>
      <c r="DZ12" s="268" t="s">
        <v>2114</v>
      </c>
      <c r="EA12" s="268"/>
      <c r="EB12" s="268"/>
      <c r="EC12" s="201"/>
      <c r="EE12" s="423" t="s">
        <v>403</v>
      </c>
      <c r="EF12" s="322">
        <v>10</v>
      </c>
      <c r="EG12" s="427">
        <f t="shared" si="47"/>
        <v>10</v>
      </c>
      <c r="EH12" s="417">
        <f t="shared" si="48"/>
        <v>0</v>
      </c>
      <c r="EI12" s="418">
        <f t="shared" si="49"/>
        <v>0</v>
      </c>
      <c r="EK12" s="701"/>
      <c r="EL12" s="304" t="s">
        <v>279</v>
      </c>
      <c r="EM12" s="304">
        <f>[1]!tale3(EM4,EM9,EM10,EO7)</f>
        <v>322.05624385056342</v>
      </c>
      <c r="EN12" s="304"/>
      <c r="EO12" s="304"/>
      <c r="EP12" s="304"/>
      <c r="EQ12" s="314"/>
      <c r="ER12" s="226"/>
      <c r="ES12" s="429">
        <f>IF(ES11&lt;ES10,ES11,ES10)</f>
        <v>30</v>
      </c>
      <c r="ET12" s="226"/>
      <c r="EU12" s="226"/>
      <c r="EV12" s="227"/>
      <c r="EX12" s="250" t="s">
        <v>363</v>
      </c>
      <c r="EY12" s="361">
        <f>EY10/2</f>
        <v>100.79905549148185</v>
      </c>
      <c r="EZ12" s="361"/>
      <c r="FA12" s="361"/>
      <c r="FN12" s="1519">
        <f>12-FN11+FN7</f>
        <v>12.164068242351352</v>
      </c>
      <c r="FQ12" s="303" t="s">
        <v>421</v>
      </c>
      <c r="FR12" s="304">
        <f>[1]!qsl(FR10,FT9)</f>
        <v>159.26207621597962</v>
      </c>
      <c r="FS12" s="304">
        <f>FR12/15</f>
        <v>10.617471747731974</v>
      </c>
      <c r="FT12" s="304"/>
      <c r="FU12" s="304"/>
      <c r="FV12" s="305"/>
      <c r="FX12">
        <v>207.52</v>
      </c>
      <c r="FZ12" t="e">
        <f ca="1">FZ10</f>
        <v>#NAME?</v>
      </c>
      <c r="GA12" s="225" t="e">
        <f t="shared" ca="1" si="50"/>
        <v>#NAME?</v>
      </c>
      <c r="GB12" s="225" t="e">
        <f t="shared" ca="1" si="51"/>
        <v>#NAME?</v>
      </c>
      <c r="GC12" s="436" t="e">
        <f t="shared" ca="1" si="52"/>
        <v>#NAME?</v>
      </c>
      <c r="GD12" s="187" t="e">
        <f ca="1">INT((((((ABS(FZ12)-GA12)*60)-GB12)*60)-GC12)*60)</f>
        <v>#NAME?</v>
      </c>
      <c r="GE12" s="274"/>
      <c r="GF12" s="740"/>
      <c r="GG12" s="741">
        <f>GG11*11</f>
        <v>528</v>
      </c>
      <c r="GH12" s="1581"/>
      <c r="GI12" s="274"/>
      <c r="GJ12" s="276"/>
      <c r="GK12" s="276"/>
      <c r="GL12" s="276"/>
      <c r="GM12" s="274"/>
      <c r="GN12" s="274"/>
      <c r="GO12" s="274"/>
      <c r="GP12" s="274"/>
      <c r="GQ12" s="274"/>
      <c r="GR12" s="274"/>
      <c r="GS12" s="276"/>
      <c r="GT12" s="276"/>
      <c r="GU12" s="274"/>
      <c r="HM12" s="150"/>
      <c r="HN12" s="150" t="s">
        <v>333</v>
      </c>
      <c r="HO12" s="150">
        <f>IF(HO10=HO11,HO9-1,HO9)</f>
        <v>73</v>
      </c>
      <c r="HP12" s="157">
        <f>INT(ABS(HO12))</f>
        <v>73</v>
      </c>
      <c r="HQ12" s="157">
        <f>INT((ABS(HO12)-HP12)*60)</f>
        <v>0</v>
      </c>
      <c r="HR12" s="157">
        <f>INT((((ABS(HO12)-HP12)*60)-HQ12)*60)</f>
        <v>0</v>
      </c>
      <c r="HS12" s="157">
        <f>INT((((((ABS(HO12)-HP12)*60)-HQ12)*60)-HR12)*60)</f>
        <v>0</v>
      </c>
      <c r="HV12" s="157"/>
      <c r="HW12" s="157"/>
      <c r="HX12" s="157"/>
      <c r="HY12" s="157"/>
      <c r="IA12" s="348"/>
      <c r="IB12" s="500" t="s">
        <v>333</v>
      </c>
      <c r="IC12" s="348">
        <f>IC11/6</f>
        <v>11.833333333333334</v>
      </c>
      <c r="ID12" s="157">
        <f t="shared" si="23"/>
        <v>11</v>
      </c>
      <c r="IE12" s="157">
        <f t="shared" si="24"/>
        <v>50</v>
      </c>
      <c r="IF12" s="157">
        <f t="shared" si="25"/>
        <v>0</v>
      </c>
      <c r="IG12" s="157">
        <f t="shared" si="26"/>
        <v>0</v>
      </c>
      <c r="IO12" s="1082"/>
      <c r="IP12" s="1083" t="s">
        <v>3874</v>
      </c>
      <c r="IQ12" s="1083">
        <f>IF(IQ11*-1&lt;180,IQ11*-1,(IQ11*-1)-360)</f>
        <v>37.04036666666633</v>
      </c>
      <c r="IR12" s="1083"/>
      <c r="IS12" s="1083"/>
      <c r="IT12" s="1083"/>
      <c r="IU12" s="1084"/>
      <c r="IX12" s="276"/>
      <c r="IY12" s="701" t="s">
        <v>421</v>
      </c>
      <c r="IZ12" s="304">
        <f>[1]!qsl(IZ10,JD7)</f>
        <v>179.74169665636157</v>
      </c>
      <c r="JA12" s="437">
        <f t="shared" si="34"/>
        <v>179</v>
      </c>
      <c r="JB12" s="437">
        <f t="shared" si="35"/>
        <v>44</v>
      </c>
      <c r="JC12" s="437">
        <f t="shared" si="36"/>
        <v>30</v>
      </c>
      <c r="JD12" s="437">
        <f t="shared" si="37"/>
        <v>6</v>
      </c>
      <c r="JE12" s="304"/>
      <c r="JF12" s="304"/>
      <c r="JG12" s="304"/>
      <c r="JH12" s="304"/>
      <c r="JI12" s="779" t="s">
        <v>2215</v>
      </c>
      <c r="JJ12" s="251">
        <f>[1]!mtb(IZ5,JJ5,JD7)</f>
        <v>259.81499983231652</v>
      </c>
      <c r="JK12" s="224">
        <v>8</v>
      </c>
      <c r="JL12" s="251">
        <f>JJ24</f>
        <v>99.450582082673279</v>
      </c>
      <c r="JM12" s="266">
        <f>[1]!beyt8b(IZ5,IZ6,IZ7,IZ8,JD7)</f>
        <v>180</v>
      </c>
      <c r="JN12" s="1344">
        <f t="shared" si="7"/>
        <v>32.126868930476959</v>
      </c>
      <c r="JO12" s="251">
        <f t="shared" si="4"/>
        <v>16.06343446523848</v>
      </c>
      <c r="JP12" s="271">
        <f t="shared" si="8"/>
        <v>83.387147617434806</v>
      </c>
      <c r="JQ12" s="251">
        <f t="shared" si="5"/>
        <v>1</v>
      </c>
      <c r="JR12" s="644">
        <f t="shared" si="6"/>
        <v>235.02653806816699</v>
      </c>
      <c r="JS12" s="112" t="s">
        <v>1290</v>
      </c>
      <c r="JT12" s="113" t="s">
        <v>1481</v>
      </c>
      <c r="JU12" s="113">
        <f>[1]!taqzohre(JU4,JU5,JU6,JU7)</f>
        <v>355.08147952527065</v>
      </c>
      <c r="JV12" s="445">
        <f t="shared" si="38"/>
        <v>355</v>
      </c>
      <c r="JW12" s="445">
        <f t="shared" si="39"/>
        <v>4</v>
      </c>
      <c r="JX12" s="445">
        <f t="shared" si="40"/>
        <v>53</v>
      </c>
      <c r="JY12" s="1310">
        <f t="shared" si="41"/>
        <v>19</v>
      </c>
      <c r="JZ12" s="1356">
        <f t="shared" si="42"/>
        <v>3</v>
      </c>
      <c r="KA12" s="327"/>
      <c r="KB12" s="327"/>
      <c r="KC12" s="1378" t="s">
        <v>3964</v>
      </c>
      <c r="KD12" s="1364" t="s">
        <v>1709</v>
      </c>
      <c r="KE12" s="1365" t="str">
        <f>IF(JZ12=10,JS12,"-")</f>
        <v>-</v>
      </c>
      <c r="KF12" s="1365" t="str">
        <f>IF(JZ15=10,JS15,"-")</f>
        <v>-</v>
      </c>
      <c r="KG12" s="1365"/>
      <c r="KH12" s="1365"/>
      <c r="KI12" s="1369" t="s">
        <v>3963</v>
      </c>
      <c r="KJ12" s="1365">
        <f>JL11</f>
        <v>67.323713152196319</v>
      </c>
      <c r="KK12" s="1366" t="s">
        <v>1707</v>
      </c>
      <c r="KL12" s="1365" t="str">
        <f>IF(JZ11=4,JS11,"-")</f>
        <v>-</v>
      </c>
      <c r="KM12" s="1365" t="str">
        <f>IF(JZ14=4,JS14,"-")</f>
        <v>-</v>
      </c>
      <c r="KN12" s="1365"/>
      <c r="KO12" s="1371"/>
      <c r="KP12" s="576" t="s">
        <v>2230</v>
      </c>
      <c r="KQ12" s="1379" t="s">
        <v>1705</v>
      </c>
      <c r="KR12" s="327"/>
    </row>
    <row r="13" spans="2:304" ht="27">
      <c r="B13" s="24" t="s">
        <v>196</v>
      </c>
      <c r="C13" s="24">
        <f>DEGREES(ASIN(SIN(RADIANS(C9))/COS(RADIANS(C12))))</f>
        <v>23.446814070083555</v>
      </c>
      <c r="D13" s="26">
        <f t="shared" si="43"/>
        <v>23</v>
      </c>
      <c r="E13" s="26">
        <f t="shared" si="44"/>
        <v>26</v>
      </c>
      <c r="F13" s="26">
        <f t="shared" si="45"/>
        <v>48</v>
      </c>
      <c r="G13" s="26">
        <f t="shared" si="46"/>
        <v>31</v>
      </c>
      <c r="H13" s="26">
        <f t="shared" si="31"/>
        <v>50</v>
      </c>
      <c r="I13" s="26">
        <f t="shared" si="32"/>
        <v>20</v>
      </c>
      <c r="J13" s="26">
        <f t="shared" si="33"/>
        <v>53</v>
      </c>
      <c r="Z13" s="24" t="s">
        <v>196</v>
      </c>
      <c r="AA13" s="24">
        <f>DEGREES(ASIN(SIN(RADIANS(AA9))/COS(RADIANS(AA12))))</f>
        <v>15.579813613469499</v>
      </c>
      <c r="AB13" s="26">
        <f t="shared" si="9"/>
        <v>15</v>
      </c>
      <c r="AC13" s="26">
        <f t="shared" si="10"/>
        <v>34</v>
      </c>
      <c r="AD13" s="26">
        <f t="shared" si="11"/>
        <v>47</v>
      </c>
      <c r="AE13" s="26">
        <f t="shared" si="12"/>
        <v>19</v>
      </c>
      <c r="AF13" s="26">
        <f t="shared" si="13"/>
        <v>44</v>
      </c>
      <c r="AG13" s="26">
        <f t="shared" si="14"/>
        <v>25</v>
      </c>
      <c r="AH13" s="26">
        <f t="shared" si="15"/>
        <v>50</v>
      </c>
      <c r="AI13" s="24"/>
      <c r="AJ13" s="24"/>
      <c r="AM13" s="24" t="s">
        <v>196</v>
      </c>
      <c r="AN13" s="24">
        <f>DEGREES(ASIN(SIN(RADIANS(AN9))/COS(RADIANS(AN12))))</f>
        <v>15.885403344845152</v>
      </c>
      <c r="AO13" s="26">
        <f t="shared" si="16"/>
        <v>15</v>
      </c>
      <c r="AP13" s="26">
        <f t="shared" si="17"/>
        <v>53</v>
      </c>
      <c r="AQ13" s="26">
        <f t="shared" si="18"/>
        <v>7</v>
      </c>
      <c r="AR13" s="26">
        <f t="shared" si="19"/>
        <v>27</v>
      </c>
      <c r="AS13" s="26">
        <f t="shared" si="20"/>
        <v>7</v>
      </c>
      <c r="AT13" s="26">
        <f t="shared" si="21"/>
        <v>20</v>
      </c>
      <c r="AU13" s="26">
        <f t="shared" si="22"/>
        <v>57</v>
      </c>
      <c r="AV13" s="24"/>
      <c r="AW13" s="24"/>
      <c r="AZ13" s="216"/>
      <c r="BA13" s="113" t="s">
        <v>635</v>
      </c>
      <c r="BB13" s="215"/>
      <c r="BE13" t="s">
        <v>2120</v>
      </c>
      <c r="BF13" s="346">
        <v>7</v>
      </c>
      <c r="BG13" s="346"/>
      <c r="BH13" s="342" t="e">
        <f ca="1">90-BH12</f>
        <v>#NAME?</v>
      </c>
      <c r="BI13" s="346"/>
      <c r="BJ13" s="346"/>
      <c r="BK13" s="346"/>
      <c r="BL13" s="346"/>
      <c r="BO13" s="216" t="s">
        <v>2130</v>
      </c>
      <c r="BP13" s="113">
        <v>2.5</v>
      </c>
      <c r="BQ13" s="113"/>
      <c r="BR13" s="215"/>
      <c r="BT13" s="976" t="s">
        <v>279</v>
      </c>
      <c r="BU13" s="388">
        <f>[1]!tazmb(1444,BU12,BV13)</f>
        <v>43.547088576173877</v>
      </c>
      <c r="BV13" s="694">
        <v>35.5</v>
      </c>
      <c r="BW13" t="s">
        <v>177</v>
      </c>
      <c r="BY13" s="224" t="s">
        <v>2137</v>
      </c>
      <c r="BZ13" s="238" t="e">
        <f ca="1">[2]!mtm(BZ11,BZ8)</f>
        <v>#NAME?</v>
      </c>
      <c r="CA13" s="271"/>
      <c r="CB13" s="224"/>
      <c r="CC13" s="238"/>
      <c r="CD13" s="271"/>
      <c r="CI13" s="234"/>
      <c r="CJ13" s="235"/>
      <c r="CK13" s="235"/>
      <c r="CL13" s="235"/>
      <c r="CM13" s="235"/>
      <c r="CN13" s="235"/>
      <c r="CO13" s="235" t="s">
        <v>251</v>
      </c>
      <c r="CP13" s="235" t="s">
        <v>252</v>
      </c>
      <c r="CQ13" s="235" t="s">
        <v>2168</v>
      </c>
      <c r="CR13" s="235" t="s">
        <v>2169</v>
      </c>
      <c r="CS13" s="235"/>
      <c r="CT13" s="235"/>
      <c r="CU13" s="236"/>
      <c r="DA13" s="283">
        <v>5</v>
      </c>
      <c r="DB13" s="229" t="s">
        <v>2148</v>
      </c>
      <c r="DC13" s="229"/>
      <c r="DD13" s="229"/>
      <c r="DE13" s="229"/>
      <c r="DF13" s="229"/>
      <c r="DG13" s="229"/>
      <c r="DH13" s="229"/>
      <c r="DI13" s="229"/>
      <c r="DJ13" s="229"/>
      <c r="DK13" s="229">
        <v>0</v>
      </c>
      <c r="DL13" s="229"/>
      <c r="DM13" s="229"/>
      <c r="DN13" s="229"/>
      <c r="DO13" s="284" t="str">
        <f>IF(DB5&gt;(DD3*-1),"شمال",IF(DB5&lt;(DD3*-1),"جنوب","فاینما تولوا فثم وجه الله"))</f>
        <v>شمال</v>
      </c>
      <c r="DV13" s="327"/>
      <c r="DW13" s="202"/>
      <c r="DX13" s="268" t="s">
        <v>873</v>
      </c>
      <c r="DY13" s="268" t="e">
        <f ca="1">IF(OR(AND(DY7&lt;0,DY12=1),AND(DY7&gt;0,DY12=-1)),DY11+DY9,ABS(DY11-DY9))</f>
        <v>#NAME?</v>
      </c>
      <c r="DZ13" s="268"/>
      <c r="EA13" s="268"/>
      <c r="EB13" s="268"/>
      <c r="EC13" s="201"/>
      <c r="EE13" s="423" t="s">
        <v>275</v>
      </c>
      <c r="EF13" s="322">
        <v>0</v>
      </c>
      <c r="EG13" s="427">
        <f t="shared" si="47"/>
        <v>0</v>
      </c>
      <c r="EH13" s="417">
        <f t="shared" si="48"/>
        <v>0</v>
      </c>
      <c r="EI13" s="418">
        <f t="shared" si="49"/>
        <v>0</v>
      </c>
      <c r="EK13" s="701"/>
      <c r="EL13" s="304"/>
      <c r="EM13" s="304">
        <f>[1]!ertefasa(EM4,EM9,EO7,EM12,2)</f>
        <v>51.700970246959308</v>
      </c>
      <c r="EN13" s="304"/>
      <c r="EO13" s="304"/>
      <c r="EP13" s="304"/>
      <c r="EQ13" s="314"/>
      <c r="ER13" s="429" t="s">
        <v>206</v>
      </c>
      <c r="ES13" s="429" t="e">
        <f ca="1">[2]!mtb(ES7,ES4)</f>
        <v>#NAME?</v>
      </c>
      <c r="ET13" s="226"/>
      <c r="EU13" s="226"/>
      <c r="EV13" s="227"/>
      <c r="EX13" s="250" t="s">
        <v>1316</v>
      </c>
      <c r="EY13" s="361">
        <f>EY11/2</f>
        <v>79.200944508518148</v>
      </c>
      <c r="EZ13" s="361"/>
      <c r="FA13" s="361"/>
      <c r="FQ13" s="303" t="s">
        <v>363</v>
      </c>
      <c r="FR13" s="304">
        <f>FR11/2</f>
        <v>100.36896189201019</v>
      </c>
      <c r="FS13" s="304">
        <f>FR13/15</f>
        <v>6.6912641261340129</v>
      </c>
      <c r="FT13" s="304"/>
      <c r="FU13" s="304"/>
      <c r="FV13" s="305"/>
      <c r="FX13">
        <v>196.76</v>
      </c>
      <c r="FZ13" t="e">
        <f ca="1">[2]!rasq(FZ6,FZ7,FZ8,FZ9)</f>
        <v>#NAME?</v>
      </c>
      <c r="GA13" s="225" t="e">
        <f t="shared" ca="1" si="50"/>
        <v>#NAME?</v>
      </c>
      <c r="GB13" s="225" t="e">
        <f t="shared" ca="1" si="51"/>
        <v>#NAME?</v>
      </c>
      <c r="GC13" s="436" t="e">
        <f t="shared" ca="1" si="52"/>
        <v>#NAME?</v>
      </c>
      <c r="GE13" s="274"/>
      <c r="GF13" s="740"/>
      <c r="GG13" s="741">
        <f>INT(GG6/2)*30+(GG6-1-INT(GG6/2))*29</f>
        <v>89</v>
      </c>
      <c r="GH13" s="1496"/>
      <c r="GI13" s="274"/>
      <c r="GJ13" s="276"/>
      <c r="GK13" s="276"/>
      <c r="GL13" s="276"/>
      <c r="GM13" s="274"/>
      <c r="GN13" s="274"/>
      <c r="GO13" s="274"/>
      <c r="GP13" s="274"/>
      <c r="GQ13" s="274"/>
      <c r="GR13" s="274"/>
      <c r="GS13" s="276"/>
      <c r="GT13" s="276"/>
      <c r="GU13" s="274"/>
      <c r="HM13" s="348"/>
      <c r="HN13" s="504" t="s">
        <v>2344</v>
      </c>
      <c r="HO13" s="348">
        <f>HO8+2</f>
        <v>10</v>
      </c>
      <c r="HP13" s="10"/>
      <c r="HQ13" s="10"/>
      <c r="HR13" s="10"/>
      <c r="HS13" s="10"/>
      <c r="HV13" s="157"/>
      <c r="HW13" s="157"/>
      <c r="HX13" s="157"/>
      <c r="HY13" s="157"/>
      <c r="IA13" s="348"/>
      <c r="IB13" s="500" t="s">
        <v>2344</v>
      </c>
      <c r="IC13" s="348">
        <f>INT((IC5*30)+1)/30</f>
        <v>0.56666666666666665</v>
      </c>
      <c r="ID13" s="157">
        <f t="shared" ref="ID13:ID18" si="53">INT(ABS(IC13))</f>
        <v>0</v>
      </c>
      <c r="IE13" s="157">
        <f t="shared" ref="IE13:IE18" si="54">INT((ABS(IC13)-ID13)*60)</f>
        <v>34</v>
      </c>
      <c r="IF13" s="157">
        <f t="shared" ref="IF13:IF18" si="55">INT((((ABS(IC13)-ID13)*60)-IE13)*60)</f>
        <v>0</v>
      </c>
      <c r="IG13" s="157">
        <f t="shared" ref="IG13:IG18" si="56">INT((((((ABS(IC13)-ID13)*60)-IE13)*60)-IF13)*60)</f>
        <v>0</v>
      </c>
      <c r="IO13" s="1082"/>
      <c r="IP13" s="1083"/>
      <c r="IQ13" s="1083">
        <f>IQ12/15</f>
        <v>2.4693577777777551</v>
      </c>
      <c r="IR13" s="157">
        <f t="shared" ref="IR13" si="57">INT(ABS(IQ13))</f>
        <v>2</v>
      </c>
      <c r="IS13" s="157">
        <f t="shared" ref="IS13" si="58">INT((ABS(IQ13)-IR13)*60)</f>
        <v>28</v>
      </c>
      <c r="IT13" s="157">
        <f t="shared" ref="IT13" si="59">INT((((ABS(IQ13)-IR13)*60)-IS13)*60)</f>
        <v>9</v>
      </c>
      <c r="IU13" s="157">
        <f t="shared" ref="IU13" si="60">INT((((((ABS(IQ13)-IR13)*60)-IS13)*60)-IT13)*60)</f>
        <v>41</v>
      </c>
      <c r="IX13" s="276"/>
      <c r="IY13" s="701" t="s">
        <v>363</v>
      </c>
      <c r="IZ13" s="304">
        <f>IZ11/2</f>
        <v>90.129151671819216</v>
      </c>
      <c r="JA13" s="437">
        <f t="shared" si="34"/>
        <v>90</v>
      </c>
      <c r="JB13" s="437">
        <f t="shared" si="35"/>
        <v>7</v>
      </c>
      <c r="JC13" s="437">
        <f t="shared" si="36"/>
        <v>44</v>
      </c>
      <c r="JD13" s="437">
        <f t="shared" si="37"/>
        <v>56</v>
      </c>
      <c r="JE13" s="304"/>
      <c r="JF13" s="304"/>
      <c r="JG13" s="304"/>
      <c r="JH13" s="304"/>
      <c r="JI13" s="779" t="s">
        <v>2216</v>
      </c>
      <c r="JJ13" s="251">
        <f>[1]!ba(JJ9+JJ12)</f>
        <v>285.04882576235656</v>
      </c>
      <c r="JK13" s="224">
        <v>9</v>
      </c>
      <c r="JL13" s="251">
        <f>JJ28</f>
        <v>132.58589369496428</v>
      </c>
      <c r="JM13" s="266">
        <f>[1]!beyt9b(IZ5,IZ6,IZ7,IZ8,JD7)</f>
        <v>136.82628692475072</v>
      </c>
      <c r="JN13" s="1344">
        <f t="shared" si="7"/>
        <v>33.135311612291005</v>
      </c>
      <c r="JO13" s="251">
        <f t="shared" si="4"/>
        <v>16.567655806145503</v>
      </c>
      <c r="JP13" s="271">
        <f t="shared" si="8"/>
        <v>116.01823788881879</v>
      </c>
      <c r="JQ13" s="251">
        <f t="shared" si="5"/>
        <v>10</v>
      </c>
      <c r="JR13" s="644">
        <f t="shared" si="6"/>
        <v>240.52253232479697</v>
      </c>
      <c r="JS13" s="112" t="s">
        <v>687</v>
      </c>
      <c r="JT13" s="113" t="s">
        <v>1481</v>
      </c>
      <c r="JU13" s="113">
        <f>[1]!taqmer(JU4,JU5,JU6,JU7)</f>
        <v>164.13462156101451</v>
      </c>
      <c r="JV13" s="445">
        <f t="shared" si="38"/>
        <v>164</v>
      </c>
      <c r="JW13" s="445">
        <f t="shared" si="39"/>
        <v>8</v>
      </c>
      <c r="JX13" s="445">
        <f t="shared" si="40"/>
        <v>4</v>
      </c>
      <c r="JY13" s="1310">
        <f t="shared" si="41"/>
        <v>38</v>
      </c>
      <c r="JZ13" s="1356">
        <f t="shared" si="42"/>
        <v>9</v>
      </c>
      <c r="KA13" s="327"/>
      <c r="KB13" s="327"/>
      <c r="KC13" s="1378" t="s">
        <v>3963</v>
      </c>
      <c r="KD13" s="576">
        <f>JL13</f>
        <v>132.58589369496428</v>
      </c>
      <c r="KE13" s="1364"/>
      <c r="KF13" s="1372"/>
      <c r="KG13" s="1373"/>
      <c r="KH13" s="1369" t="str">
        <f>IF(JZ10=7,JS10,"-")</f>
        <v>-</v>
      </c>
      <c r="KI13" s="1365" t="str">
        <f>IF(JZ13=7,JS13,"-")</f>
        <v>-</v>
      </c>
      <c r="KJ13" s="1365"/>
      <c r="KK13" s="1365"/>
      <c r="KL13" s="1366"/>
      <c r="KM13" s="1365" t="str">
        <f>IF(JZ15=4,JS15,"-")</f>
        <v>-</v>
      </c>
      <c r="KN13" s="1371"/>
      <c r="KO13" s="576" t="s">
        <v>3963</v>
      </c>
      <c r="KP13" s="576">
        <f>JL9</f>
        <v>16.332144427065657</v>
      </c>
      <c r="KQ13" s="1379"/>
      <c r="KR13" s="327"/>
    </row>
    <row r="14" spans="2:304" ht="27">
      <c r="B14" s="24" t="s">
        <v>198</v>
      </c>
      <c r="C14" s="24">
        <f>DEGREES(ACOS(COS(RADIANS(C7))/COS(RADIANS(C12))))</f>
        <v>23.446814070083537</v>
      </c>
      <c r="D14" s="26">
        <f t="shared" si="43"/>
        <v>23</v>
      </c>
      <c r="E14" s="26">
        <f t="shared" si="44"/>
        <v>26</v>
      </c>
      <c r="F14" s="26">
        <f t="shared" si="45"/>
        <v>48</v>
      </c>
      <c r="G14" s="26">
        <f t="shared" si="46"/>
        <v>31</v>
      </c>
      <c r="H14" s="26">
        <f t="shared" si="31"/>
        <v>50</v>
      </c>
      <c r="I14" s="26">
        <f t="shared" si="32"/>
        <v>20</v>
      </c>
      <c r="J14" s="26">
        <f t="shared" si="33"/>
        <v>53</v>
      </c>
      <c r="O14" s="2" t="s">
        <v>235</v>
      </c>
      <c r="P14" s="2">
        <v>50</v>
      </c>
      <c r="Q14" s="32">
        <f t="shared" ref="Q14:Q28" si="61">INT(P14)</f>
        <v>50</v>
      </c>
      <c r="R14" s="32">
        <f t="shared" ref="R14:R28" si="62">INT((P14-Q14)*60)</f>
        <v>0</v>
      </c>
      <c r="S14" s="32">
        <f t="shared" ref="S14:S28" si="63">INT((((P14-Q14)*60)-R14)*60)</f>
        <v>0</v>
      </c>
      <c r="T14" s="32">
        <f t="shared" ref="T14:T28" si="64">INT((((((P14-Q14)*60)-R14)*60)-S14)*60)</f>
        <v>0</v>
      </c>
      <c r="U14" s="32">
        <f t="shared" ref="U14:U28" si="65">INT((((((((P14-Q14)*60)-R14)*60)-S14)*60)-T14)*60)</f>
        <v>0</v>
      </c>
      <c r="V14" s="32">
        <f t="shared" ref="V14:V28" si="66">INT((((((((((P14-Q14)*60)-R14)*60)-S14)*60)-T14)*60)-U14)*60)</f>
        <v>0</v>
      </c>
      <c r="W14" s="32">
        <f t="shared" ref="W14:W28" si="67">INT((((((((((((P14-Q14)*60)-R14)*60)-S14)*60)-T14)*60)-U14)*60)-V14)*60)</f>
        <v>0</v>
      </c>
      <c r="Z14" s="24" t="s">
        <v>198</v>
      </c>
      <c r="AA14" s="24">
        <f>DEGREES(ACOS(COS(RADIANS(AA7))/COS(RADIANS(AA12))))</f>
        <v>15.579813613469492</v>
      </c>
      <c r="AB14" s="26">
        <f t="shared" si="9"/>
        <v>15</v>
      </c>
      <c r="AC14" s="26">
        <f t="shared" si="10"/>
        <v>34</v>
      </c>
      <c r="AD14" s="26">
        <f t="shared" si="11"/>
        <v>47</v>
      </c>
      <c r="AE14" s="26">
        <f t="shared" si="12"/>
        <v>19</v>
      </c>
      <c r="AF14" s="26">
        <f t="shared" si="13"/>
        <v>44</v>
      </c>
      <c r="AG14" s="26">
        <f t="shared" si="14"/>
        <v>25</v>
      </c>
      <c r="AH14" s="26">
        <f t="shared" si="15"/>
        <v>50</v>
      </c>
      <c r="AI14" s="24"/>
      <c r="AJ14" s="24"/>
      <c r="AM14" s="24" t="s">
        <v>198</v>
      </c>
      <c r="AN14" s="24">
        <f>DEGREES(ACOS(COS(RADIANS(AN7))/COS(RADIANS(AN12))))</f>
        <v>15.885403344845161</v>
      </c>
      <c r="AO14" s="26">
        <f t="shared" si="16"/>
        <v>15</v>
      </c>
      <c r="AP14" s="26">
        <f t="shared" si="17"/>
        <v>53</v>
      </c>
      <c r="AQ14" s="26">
        <f t="shared" si="18"/>
        <v>7</v>
      </c>
      <c r="AR14" s="26">
        <f t="shared" si="19"/>
        <v>27</v>
      </c>
      <c r="AS14" s="26">
        <f t="shared" si="20"/>
        <v>7</v>
      </c>
      <c r="AT14" s="26">
        <f t="shared" si="21"/>
        <v>20</v>
      </c>
      <c r="AU14" s="26">
        <f t="shared" si="22"/>
        <v>57</v>
      </c>
      <c r="AV14" s="24"/>
      <c r="AW14" s="24"/>
      <c r="AZ14" s="217"/>
      <c r="BA14" s="218" t="s">
        <v>2113</v>
      </c>
      <c r="BB14" s="219"/>
      <c r="BE14" t="s">
        <v>2121</v>
      </c>
      <c r="BF14" s="346">
        <v>8</v>
      </c>
      <c r="BG14" s="346" t="s">
        <v>2122</v>
      </c>
      <c r="BH14" s="342" t="e">
        <f ca="1">[2]!asn([2]!sn(BH9)/[2]!sn(BH5)*60)</f>
        <v>#NAME?</v>
      </c>
      <c r="BI14" s="346"/>
      <c r="BJ14" s="346"/>
      <c r="BK14" s="346"/>
      <c r="BL14" s="346"/>
      <c r="BO14" s="216" t="s">
        <v>2125</v>
      </c>
      <c r="BP14" s="113" t="e">
        <f ca="1">[2]!atj(BP12*[2]!sn(90)/BP13)</f>
        <v>#NAME?</v>
      </c>
      <c r="BQ14" s="113"/>
      <c r="BR14" s="215"/>
      <c r="BT14" s="976"/>
      <c r="BU14" s="388">
        <f>[1]!tale3(BV8,BV13,BU10,23)</f>
        <v>202.50854847440328</v>
      </c>
      <c r="BV14" s="694"/>
      <c r="BY14" s="224" t="s">
        <v>640</v>
      </c>
      <c r="BZ14" s="238" t="e">
        <f ca="1">IF(ABS(BZ13-BZ12)&lt;180,ABS(BZ13-BZ12),360-ABS(BZ13-BZ12))</f>
        <v>#NAME?</v>
      </c>
      <c r="CA14" s="271"/>
      <c r="CB14" s="224"/>
      <c r="CC14" s="238"/>
      <c r="CD14" s="271"/>
      <c r="CI14" s="202"/>
      <c r="CJ14" s="268">
        <v>2</v>
      </c>
      <c r="CK14" s="268"/>
      <c r="CL14" s="268" t="s">
        <v>2158</v>
      </c>
      <c r="CM14" s="268"/>
      <c r="CN14" s="268" t="s">
        <v>2166</v>
      </c>
      <c r="CO14" s="268" t="e">
        <f ca="1">[2]!acs([2]!csn(ABS(CH5))*[2]!sn(CH9)/60)</f>
        <v>#NAME?</v>
      </c>
      <c r="CP14" s="268" t="e">
        <f ca="1">[2]!asn([2]!sn(ABS(CH5))*60/[2]!sn(CO14))</f>
        <v>#NAME?</v>
      </c>
      <c r="CQ14" s="268" t="e">
        <f ca="1">CP14+(90-ABS(CH7))</f>
        <v>#NAME?</v>
      </c>
      <c r="CR14" s="268" t="e">
        <f ca="1">[2]!asn([2]!sn(CQ14)*[2]!sn(CO14)/60)</f>
        <v>#NAME?</v>
      </c>
      <c r="CS14" s="201" t="e">
        <f ca="1">90-CR14</f>
        <v>#NAME?</v>
      </c>
      <c r="CT14" s="346" t="e">
        <f ca="1">IF(CF5=CF7,CS14,CS15)</f>
        <v>#NAME?</v>
      </c>
      <c r="CU14" s="346"/>
      <c r="DV14" s="327"/>
      <c r="DW14" s="202" t="s">
        <v>2120</v>
      </c>
      <c r="DX14" s="268"/>
      <c r="DY14" s="388" t="e">
        <f ca="1">90-DY13</f>
        <v>#NAME?</v>
      </c>
      <c r="DZ14" s="268"/>
      <c r="EA14" s="268"/>
      <c r="EB14" s="268"/>
      <c r="EC14" s="201"/>
      <c r="EE14" s="423" t="s">
        <v>359</v>
      </c>
      <c r="EF14" s="322">
        <f>[1]!bkm(EF10,EF13,EF12)</f>
        <v>3.9584643389687062</v>
      </c>
      <c r="EG14" s="427">
        <f t="shared" si="47"/>
        <v>3</v>
      </c>
      <c r="EH14" s="417">
        <f t="shared" si="48"/>
        <v>57</v>
      </c>
      <c r="EI14" s="418">
        <f t="shared" si="49"/>
        <v>30</v>
      </c>
      <c r="EK14" s="701"/>
      <c r="EL14" s="304" t="s">
        <v>297</v>
      </c>
      <c r="EM14" s="304">
        <f>[1]!ertaztale(EM4,EM9,EM11,EM10,EM12)</f>
        <v>-34.008657726986691</v>
      </c>
      <c r="EN14" s="1486">
        <f t="shared" ref="EN14" si="68">INT(EM14)</f>
        <v>-35</v>
      </c>
      <c r="EO14" s="1486">
        <f t="shared" ref="EO14" si="69">INT((EM14-EN14)*60)</f>
        <v>59</v>
      </c>
      <c r="EP14" s="1486">
        <f t="shared" ref="EP14" si="70">INT((((EM14-EN14)*60)-EO14)*60)</f>
        <v>28</v>
      </c>
      <c r="EQ14" s="314"/>
      <c r="ER14" s="429" t="s">
        <v>1193</v>
      </c>
      <c r="ES14" s="429" t="e">
        <f ca="1">[2]!ml(ES13)</f>
        <v>#NAME?</v>
      </c>
      <c r="ET14" s="226"/>
      <c r="EU14" s="226"/>
      <c r="EV14" s="227"/>
      <c r="EX14" s="3"/>
      <c r="EY14" s="3"/>
      <c r="EZ14" s="3"/>
      <c r="FA14" s="3"/>
      <c r="FB14" s="3"/>
      <c r="FC14" s="3"/>
      <c r="FD14" s="3" t="s">
        <v>2201</v>
      </c>
      <c r="FE14" s="3" t="s">
        <v>2204</v>
      </c>
      <c r="FF14" s="3" t="s">
        <v>295</v>
      </c>
      <c r="FG14" s="3"/>
      <c r="FH14" s="3" t="s">
        <v>1206</v>
      </c>
      <c r="FI14" s="3" t="s">
        <v>2200</v>
      </c>
      <c r="FJ14" s="3" t="s">
        <v>2199</v>
      </c>
      <c r="FK14" s="3" t="s">
        <v>357</v>
      </c>
      <c r="FL14" s="3" t="s">
        <v>279</v>
      </c>
      <c r="FN14" s="431" t="s">
        <v>2203</v>
      </c>
      <c r="FQ14" s="303" t="s">
        <v>1316</v>
      </c>
      <c r="FR14" s="304">
        <f>FR12/2</f>
        <v>79.631038107989809</v>
      </c>
      <c r="FS14" s="304"/>
      <c r="FT14" s="304"/>
      <c r="FU14" s="304"/>
      <c r="FV14" s="305"/>
      <c r="FX14" t="e">
        <f ca="1">[2]!taqm3(FX12,FX13)</f>
        <v>#NAME?</v>
      </c>
      <c r="FZ14" t="e">
        <f ca="1">[2]!oujq(FZ6,FZ7,FZ8,FZ9)</f>
        <v>#NAME?</v>
      </c>
      <c r="GA14" s="225" t="e">
        <f t="shared" ca="1" si="50"/>
        <v>#NAME?</v>
      </c>
      <c r="GB14" s="225" t="e">
        <f t="shared" ca="1" si="51"/>
        <v>#NAME?</v>
      </c>
      <c r="GC14" s="436" t="e">
        <f t="shared" ca="1" si="52"/>
        <v>#NAME?</v>
      </c>
      <c r="GE14" s="274"/>
      <c r="GF14" s="740"/>
      <c r="GG14" s="741">
        <f>GG5-GG9-1</f>
        <v>4</v>
      </c>
      <c r="GH14" s="1496"/>
      <c r="GI14" s="274"/>
      <c r="GJ14" s="276"/>
      <c r="GK14" s="276"/>
      <c r="GL14" s="276"/>
      <c r="GM14" s="274"/>
      <c r="GN14" s="274"/>
      <c r="GO14" s="274"/>
      <c r="GP14" s="274"/>
      <c r="GQ14" s="276"/>
      <c r="GR14" s="276"/>
      <c r="GS14" s="276"/>
      <c r="GT14" s="276"/>
      <c r="GU14" s="274"/>
      <c r="HM14" s="348"/>
      <c r="HN14" s="504" t="s">
        <v>2345</v>
      </c>
      <c r="HO14" s="348">
        <f>HO12+2</f>
        <v>75</v>
      </c>
      <c r="HP14" s="10"/>
      <c r="HQ14" s="10"/>
      <c r="HR14" s="10"/>
      <c r="HS14" s="10"/>
      <c r="IA14" s="348"/>
      <c r="IB14" s="500" t="s">
        <v>2345</v>
      </c>
      <c r="IC14" s="348">
        <f>((IC12*6)+2)/6</f>
        <v>12.166666666666666</v>
      </c>
      <c r="ID14" s="157">
        <f>INT(ABS(IC14))</f>
        <v>12</v>
      </c>
      <c r="IE14" s="157">
        <f t="shared" si="54"/>
        <v>9</v>
      </c>
      <c r="IF14" s="157">
        <f t="shared" si="55"/>
        <v>59</v>
      </c>
      <c r="IG14" s="157">
        <f t="shared" si="56"/>
        <v>59</v>
      </c>
      <c r="II14" t="s">
        <v>2264</v>
      </c>
      <c r="IO14" s="1082" t="s">
        <v>1372</v>
      </c>
      <c r="IP14" s="1083" t="s">
        <v>3870</v>
      </c>
      <c r="IQ14" s="1083">
        <f>IQ13/24</f>
        <v>0.10288990740740646</v>
      </c>
      <c r="IR14" s="1083">
        <f>IF(IQ14&gt;0,1,-1)</f>
        <v>1</v>
      </c>
      <c r="IS14" s="1085">
        <f>INT((((ABS(IQ14*24)-IU14)*60)-IT14)*60)</f>
        <v>9</v>
      </c>
      <c r="IT14" s="1085">
        <f>INT((ABS(IQ14*24)-IU14)*60)</f>
        <v>28</v>
      </c>
      <c r="IU14" s="1086">
        <f>INT(ABS(IQ14*24))</f>
        <v>2</v>
      </c>
      <c r="IX14" s="276"/>
      <c r="IY14" s="701" t="s">
        <v>1316</v>
      </c>
      <c r="IZ14" s="304">
        <f>IZ12/2</f>
        <v>89.870848328180784</v>
      </c>
      <c r="JA14" s="437">
        <f t="shared" si="34"/>
        <v>89</v>
      </c>
      <c r="JB14" s="437">
        <f t="shared" si="35"/>
        <v>52</v>
      </c>
      <c r="JC14" s="437">
        <f t="shared" si="36"/>
        <v>15</v>
      </c>
      <c r="JD14" s="437">
        <f t="shared" si="37"/>
        <v>3</v>
      </c>
      <c r="JE14" s="304"/>
      <c r="JF14" s="304"/>
      <c r="JG14" s="304"/>
      <c r="JH14" s="304"/>
      <c r="JI14" s="779" t="s">
        <v>2231</v>
      </c>
      <c r="JJ14" s="251">
        <f>[1]!tl(IZ5,IF(JJ13-90&gt;0,JJ13-90,JJ13-90+360))</f>
        <v>196.33214442706566</v>
      </c>
      <c r="JK14" s="224">
        <v>10</v>
      </c>
      <c r="JL14" s="251">
        <f>JJ10</f>
        <v>348.45917095462966</v>
      </c>
      <c r="JM14" s="266"/>
      <c r="JN14" s="1344">
        <f t="shared" si="7"/>
        <v>215.87327725966537</v>
      </c>
      <c r="JO14" s="251">
        <f t="shared" si="4"/>
        <v>107.93663862983269</v>
      </c>
      <c r="JP14" s="271">
        <f t="shared" si="8"/>
        <v>240.52253232479697</v>
      </c>
      <c r="JQ14" s="251">
        <f t="shared" si="5"/>
        <v>2</v>
      </c>
      <c r="JR14" s="644">
        <f t="shared" si="6"/>
        <v>263.38714761743478</v>
      </c>
      <c r="JS14" s="112" t="s">
        <v>1292</v>
      </c>
      <c r="JT14" s="113" t="s">
        <v>1481</v>
      </c>
      <c r="JU14" s="113">
        <f>[1]!taqmosh(JU4,JU5,JU6,JU7)</f>
        <v>53.185333023868793</v>
      </c>
      <c r="JV14" s="445">
        <f t="shared" si="38"/>
        <v>53</v>
      </c>
      <c r="JW14" s="445">
        <f t="shared" si="39"/>
        <v>11</v>
      </c>
      <c r="JX14" s="445">
        <f t="shared" si="40"/>
        <v>7</v>
      </c>
      <c r="JY14" s="1310">
        <f t="shared" si="41"/>
        <v>11</v>
      </c>
      <c r="JZ14" s="1356">
        <f t="shared" si="42"/>
        <v>6</v>
      </c>
      <c r="KA14" s="327"/>
      <c r="KB14" s="327"/>
      <c r="KC14" s="1378" t="str">
        <f>IF(JZ9=9,JS9,"-")</f>
        <v>-</v>
      </c>
      <c r="KD14" s="576" t="str">
        <f>IF(JZ13=9,JS13,"-")</f>
        <v>مریخ</v>
      </c>
      <c r="KE14" s="576"/>
      <c r="KF14" s="1374"/>
      <c r="KG14" s="1382" t="str">
        <f>IF(JZ9=7,JS9,"-")</f>
        <v>-</v>
      </c>
      <c r="KH14" s="1365" t="str">
        <f>IF(JZ11=7,JS11,"-")</f>
        <v>-</v>
      </c>
      <c r="KI14" s="1365" t="str">
        <f>IF(JZ14=7,JS14,"-")</f>
        <v>-</v>
      </c>
      <c r="KJ14" s="1365"/>
      <c r="KK14" s="1365"/>
      <c r="KL14" s="1365"/>
      <c r="KM14" s="1375"/>
      <c r="KN14" s="576" t="str">
        <f>IF(JZ9=5,JS9,"-")</f>
        <v>-</v>
      </c>
      <c r="KO14" s="576" t="str">
        <f>IF(JZ10=5,JS10,"-")</f>
        <v>-</v>
      </c>
      <c r="KP14" s="576" t="str">
        <f>IF(JZ12=5,JS12,"-")</f>
        <v>-</v>
      </c>
      <c r="KQ14" s="1379" t="str">
        <f>IF(JZ15=5,JS15,"-")</f>
        <v>-</v>
      </c>
      <c r="KR14" s="327"/>
    </row>
    <row r="15" spans="2:304" ht="27.75" thickBot="1">
      <c r="B15" s="10" t="s">
        <v>175</v>
      </c>
      <c r="C15" s="10">
        <v>20</v>
      </c>
      <c r="D15" s="28">
        <f t="shared" si="43"/>
        <v>20</v>
      </c>
      <c r="E15" s="28">
        <f t="shared" si="44"/>
        <v>0</v>
      </c>
      <c r="F15" s="28">
        <f t="shared" si="45"/>
        <v>0</v>
      </c>
      <c r="G15" s="28">
        <f t="shared" si="46"/>
        <v>0</v>
      </c>
      <c r="H15" s="28">
        <f t="shared" si="31"/>
        <v>0</v>
      </c>
      <c r="I15" s="28">
        <f t="shared" si="32"/>
        <v>0</v>
      </c>
      <c r="J15" s="28">
        <f t="shared" si="33"/>
        <v>0</v>
      </c>
      <c r="K15" t="s">
        <v>179</v>
      </c>
      <c r="L15">
        <f>IF(K15="شمالی",1,2)</f>
        <v>1</v>
      </c>
      <c r="O15" s="1" t="s">
        <v>227</v>
      </c>
      <c r="P15" s="31">
        <f>ABS(DEGREES(ASIN(SIN(RADIANS(C7))*SIN(RADIANS(P14)))))</f>
        <v>17.748919453996344</v>
      </c>
      <c r="Q15" s="31">
        <f t="shared" si="61"/>
        <v>17</v>
      </c>
      <c r="R15" s="31">
        <f t="shared" si="62"/>
        <v>44</v>
      </c>
      <c r="S15" s="31">
        <f t="shared" si="63"/>
        <v>56</v>
      </c>
      <c r="T15" s="31">
        <f t="shared" si="64"/>
        <v>6</v>
      </c>
      <c r="U15" s="31">
        <f t="shared" si="65"/>
        <v>36</v>
      </c>
      <c r="V15" s="31">
        <f t="shared" si="66"/>
        <v>7</v>
      </c>
      <c r="W15" s="31">
        <f t="shared" si="67"/>
        <v>25</v>
      </c>
      <c r="Z15" s="10" t="s">
        <v>175</v>
      </c>
      <c r="AA15" s="10">
        <v>50.8</v>
      </c>
      <c r="AB15" s="28">
        <f t="shared" si="9"/>
        <v>50</v>
      </c>
      <c r="AC15" s="28">
        <f t="shared" si="10"/>
        <v>47</v>
      </c>
      <c r="AD15" s="28">
        <f t="shared" si="11"/>
        <v>59</v>
      </c>
      <c r="AE15" s="28">
        <f t="shared" si="12"/>
        <v>59</v>
      </c>
      <c r="AF15" s="28">
        <f t="shared" si="13"/>
        <v>59</v>
      </c>
      <c r="AG15" s="28">
        <f t="shared" si="14"/>
        <v>59</v>
      </c>
      <c r="AH15" s="28">
        <f t="shared" si="15"/>
        <v>59</v>
      </c>
      <c r="AI15" s="10" t="s">
        <v>179</v>
      </c>
      <c r="AJ15" s="10">
        <f>IF(AI15="شمالی",1,2)</f>
        <v>1</v>
      </c>
      <c r="AM15" s="10" t="s">
        <v>175</v>
      </c>
      <c r="AN15" s="10">
        <v>50.8</v>
      </c>
      <c r="AO15" s="28">
        <f t="shared" si="16"/>
        <v>50</v>
      </c>
      <c r="AP15" s="28">
        <f t="shared" si="17"/>
        <v>47</v>
      </c>
      <c r="AQ15" s="28">
        <f t="shared" si="18"/>
        <v>59</v>
      </c>
      <c r="AR15" s="28">
        <f t="shared" si="19"/>
        <v>59</v>
      </c>
      <c r="AS15" s="28">
        <f t="shared" si="20"/>
        <v>59</v>
      </c>
      <c r="AT15" s="28">
        <f t="shared" si="21"/>
        <v>59</v>
      </c>
      <c r="AU15" s="28">
        <f t="shared" si="22"/>
        <v>59</v>
      </c>
      <c r="AV15" s="10" t="s">
        <v>179</v>
      </c>
      <c r="AW15" s="10">
        <f>IF(AV15="شمالی",1,2)</f>
        <v>1</v>
      </c>
      <c r="BF15" s="346">
        <v>9</v>
      </c>
      <c r="BG15" s="346" t="s">
        <v>340</v>
      </c>
      <c r="BH15" s="342" t="e">
        <f ca="1">[2]!acs([2]!sn(BH9)/[2]!sn(BH6)*60)</f>
        <v>#NAME?</v>
      </c>
      <c r="BI15" s="346"/>
      <c r="BJ15" s="346"/>
      <c r="BK15" s="346"/>
      <c r="BL15" s="346"/>
      <c r="BO15" s="216" t="s">
        <v>2127</v>
      </c>
      <c r="BP15" s="113">
        <v>1</v>
      </c>
      <c r="BQ15" s="113" t="s">
        <v>2128</v>
      </c>
      <c r="BR15" s="215"/>
      <c r="BT15" s="967"/>
      <c r="BU15" s="973">
        <f>[1]!talea(BV8,BV9,[1]!roz(BV10,BV11,0,0),BV12,BV13)</f>
        <v>59.379845769823476</v>
      </c>
      <c r="BV15" s="974"/>
      <c r="BY15" s="224" t="s">
        <v>2140</v>
      </c>
      <c r="BZ15" s="238" t="e">
        <f ca="1">[2]!csn(BZ10)</f>
        <v>#NAME?</v>
      </c>
      <c r="CA15" s="271"/>
      <c r="CB15" s="224"/>
      <c r="CC15" s="238"/>
      <c r="CD15" s="271"/>
      <c r="CI15" s="392"/>
      <c r="CJ15" s="393"/>
      <c r="CK15" s="393"/>
      <c r="CL15" s="393"/>
      <c r="CM15" s="393"/>
      <c r="CN15" s="393" t="s">
        <v>2167</v>
      </c>
      <c r="CO15" s="393"/>
      <c r="CP15" s="393"/>
      <c r="CQ15" s="393" t="e">
        <f ca="1">ABS(CP14-(90-ABS(CH7)))</f>
        <v>#NAME?</v>
      </c>
      <c r="CR15" s="393" t="e">
        <f ca="1">[2]!asn([2]!sn(CQ15)*[2]!sn(CO14)/60)</f>
        <v>#NAME?</v>
      </c>
      <c r="CS15" s="394" t="e">
        <f ca="1">IF(90-ABS(CH7)&gt;CP14,90-CR15,90+CR15)</f>
        <v>#NAME?</v>
      </c>
      <c r="CT15" s="346"/>
      <c r="CU15" s="346"/>
      <c r="DA15" s="327"/>
      <c r="DB15" s="212" t="s">
        <v>2178</v>
      </c>
      <c r="DC15" s="10"/>
      <c r="DD15" s="327"/>
      <c r="DE15" s="327"/>
      <c r="DF15" s="327"/>
      <c r="DG15" s="327"/>
      <c r="DH15" s="327"/>
      <c r="DI15" s="327"/>
      <c r="DJ15" s="327"/>
      <c r="DK15" s="327"/>
      <c r="DL15" s="327"/>
      <c r="DM15" s="327"/>
      <c r="DN15" s="327"/>
      <c r="DO15" s="327"/>
      <c r="DP15" s="327"/>
      <c r="DV15" s="327"/>
      <c r="DW15" s="202" t="s">
        <v>2121</v>
      </c>
      <c r="DX15" s="268" t="s">
        <v>2122</v>
      </c>
      <c r="DY15" s="388" t="e">
        <f ca="1">[2]!asn([2]!sn(DY10)/[2]!sn(DY6)*60)</f>
        <v>#NAME?</v>
      </c>
      <c r="DZ15" s="268"/>
      <c r="EA15" s="268"/>
      <c r="EB15" s="268"/>
      <c r="EC15" s="201"/>
      <c r="EE15" s="423" t="s">
        <v>2180</v>
      </c>
      <c r="EF15" s="322" t="e">
        <f ca="1">DY17</f>
        <v>#NAME?</v>
      </c>
      <c r="EG15" s="427" t="e">
        <f t="shared" ca="1" si="47"/>
        <v>#NAME?</v>
      </c>
      <c r="EH15" s="417" t="e">
        <f t="shared" ca="1" si="48"/>
        <v>#NAME?</v>
      </c>
      <c r="EI15" s="418" t="e">
        <f t="shared" ca="1" si="49"/>
        <v>#NAME?</v>
      </c>
      <c r="EK15" s="701"/>
      <c r="EL15" s="304" t="s">
        <v>2150</v>
      </c>
      <c r="EM15" s="304">
        <f>IF(EN15="شرقی",1,2)</f>
        <v>1</v>
      </c>
      <c r="EN15" s="304" t="s">
        <v>589</v>
      </c>
      <c r="EO15" s="304"/>
      <c r="EP15" s="304"/>
      <c r="EQ15" s="314"/>
      <c r="ER15" s="429" t="s">
        <v>281</v>
      </c>
      <c r="ES15" s="429" t="e">
        <f ca="1">[2]!asher(ES7,ES4)</f>
        <v>#NAME?</v>
      </c>
      <c r="ET15" s="226"/>
      <c r="EU15" s="226"/>
      <c r="EV15" s="227"/>
      <c r="EX15" s="304" t="s">
        <v>1406</v>
      </c>
      <c r="EY15" s="3">
        <f>[1]!saat(EY4,EY5,EY6,EY7)</f>
        <v>15.042407926942392</v>
      </c>
      <c r="EZ15" s="187">
        <f>INT(ABS(EY15))</f>
        <v>15</v>
      </c>
      <c r="FA15" s="187">
        <f>INT((ABS(EY15)-EZ15)*60)</f>
        <v>2</v>
      </c>
      <c r="FB15" s="187">
        <f>INT((((ABS(EY15)-EZ15)*60)-FA15)*60)</f>
        <v>32</v>
      </c>
      <c r="FC15" s="187">
        <f>INT((((((ABS(EY15)-EZ15)*60)-FA15)*60)-FB15)*60)</f>
        <v>40</v>
      </c>
      <c r="FD15" s="3">
        <f>EY12/EY15</f>
        <v>6.7009920207615892</v>
      </c>
      <c r="FE15" s="3">
        <f>(EY6-FA4)*24</f>
        <v>6.8149999999999995</v>
      </c>
      <c r="FF15" s="3">
        <f>[1]!ba(IF(OR(FE15&lt;FD15,FE15&gt;(FD15+(EY11/EY15))),(EY15*FE15)+EY12,(FE15-FD15)*EY15))</f>
        <v>1.7149545306305471</v>
      </c>
      <c r="FG15" s="3"/>
      <c r="FH15" s="3" t="e">
        <f ca="1">[2]!mtb(EY8,FA8)</f>
        <v>#NAME?</v>
      </c>
      <c r="FI15" s="3" t="e">
        <f ca="1">IF(FH15+180&lt;360,FH15+180,FH15+180-360)</f>
        <v>#NAME?</v>
      </c>
      <c r="FJ15" s="3" t="e">
        <f ca="1">[2]!mtb(FI15,FA8)</f>
        <v>#NAME?</v>
      </c>
      <c r="FK15" s="3" t="e">
        <f ca="1">[2]!ba(IF(OR(FE15&lt;FD15,FE15&gt;(FD15+(EY11/EY15))),FF15+FH15,FF15+FJ15))</f>
        <v>#NAME?</v>
      </c>
      <c r="FL15" s="3" t="e">
        <f ca="1">[2]!tazmb(FK15,FA8)</f>
        <v>#NAME?</v>
      </c>
      <c r="FN15" s="432" t="e">
        <f ca="1">[2]!ba(IF(OR(FE15&lt;FD15,FE15&gt;(FD15+(EY11/EY15))),FF15+EY13,FF15+EY13+EY10))</f>
        <v>#NAME?</v>
      </c>
      <c r="FQ15" s="303" t="s">
        <v>175</v>
      </c>
      <c r="FR15" s="186">
        <f>(((((FV15/60)+FU15)/60)+FT15)/60)+FS15</f>
        <v>50.8</v>
      </c>
      <c r="FS15" s="437">
        <v>50</v>
      </c>
      <c r="FT15" s="437">
        <v>48</v>
      </c>
      <c r="FU15" s="437"/>
      <c r="FV15" s="305"/>
      <c r="FZ15" s="327">
        <v>207.55</v>
      </c>
      <c r="GA15" s="225">
        <f t="shared" si="50"/>
        <v>207</v>
      </c>
      <c r="GB15" s="225">
        <f t="shared" si="51"/>
        <v>33</v>
      </c>
      <c r="GC15" s="436">
        <f t="shared" si="52"/>
        <v>0</v>
      </c>
      <c r="GE15" s="274"/>
      <c r="GF15" s="740"/>
      <c r="GG15" s="741">
        <f>GG14*354</f>
        <v>1416</v>
      </c>
      <c r="GH15" s="1496"/>
      <c r="GI15" s="274"/>
      <c r="GJ15" s="276"/>
      <c r="GK15" s="276"/>
      <c r="GL15" s="276"/>
      <c r="GM15" s="274"/>
      <c r="GN15" s="274"/>
      <c r="GO15" s="274"/>
      <c r="GP15" s="274"/>
      <c r="GQ15" s="276"/>
      <c r="GR15" s="276"/>
      <c r="GS15" s="276"/>
      <c r="GT15" s="276"/>
      <c r="GU15" s="274"/>
      <c r="HM15" s="150">
        <v>1</v>
      </c>
      <c r="HN15" s="150" t="s">
        <v>342</v>
      </c>
      <c r="HO15" s="154" t="e">
        <f ca="1">[2]!asabejermm(HO8/60,HO12/6)</f>
        <v>#NAME?</v>
      </c>
      <c r="HP15" s="157" t="e">
        <f t="shared" ref="HP15:HP33" ca="1" si="71">INT(ABS(HO15))</f>
        <v>#NAME?</v>
      </c>
      <c r="HQ15" s="157" t="e">
        <f t="shared" ref="HQ15:HQ30" ca="1" si="72">INT((ABS(HO15)-HP15)*60)</f>
        <v>#NAME?</v>
      </c>
      <c r="HR15" s="157" t="e">
        <f t="shared" ref="HR15:HR30" ca="1" si="73">INT((((ABS(HO15)-HP15)*60)-HQ15)*60)</f>
        <v>#NAME?</v>
      </c>
      <c r="HS15" s="157" t="e">
        <f t="shared" ref="HS15:HS30" ca="1" si="74">INT((((((ABS(HO15)-HP15)*60)-HQ15)*60)-HR15)*60)</f>
        <v>#NAME?</v>
      </c>
      <c r="HU15" s="497" t="s">
        <v>2343</v>
      </c>
      <c r="HV15" s="497">
        <f>HO13</f>
        <v>10</v>
      </c>
      <c r="HW15" s="497">
        <f>HO7</f>
        <v>74</v>
      </c>
      <c r="HX15" s="497" t="e">
        <f>#REF!</f>
        <v>#REF!</v>
      </c>
      <c r="IA15" s="150">
        <v>1</v>
      </c>
      <c r="IB15" s="498" t="s">
        <v>342</v>
      </c>
      <c r="IC15" s="77" t="e">
        <f ca="1">[2]!asabeqotrr(IC7,IC12)</f>
        <v>#NAME?</v>
      </c>
      <c r="ID15" s="157" t="e">
        <f t="shared" ca="1" si="53"/>
        <v>#NAME?</v>
      </c>
      <c r="IE15" s="157" t="e">
        <f t="shared" ca="1" si="54"/>
        <v>#NAME?</v>
      </c>
      <c r="IF15" s="157" t="e">
        <f t="shared" ca="1" si="55"/>
        <v>#NAME?</v>
      </c>
      <c r="IG15" s="157" t="e">
        <f t="shared" ca="1" si="56"/>
        <v>#NAME?</v>
      </c>
      <c r="II15" s="497">
        <f>IC6</f>
        <v>12.083333333333334</v>
      </c>
      <c r="IJ15" s="497">
        <f>IC14</f>
        <v>12.166666666666666</v>
      </c>
      <c r="IO15" s="1087"/>
      <c r="IP15" s="1065" t="s">
        <v>2202</v>
      </c>
      <c r="IQ15" s="1065">
        <f>[1]!tabdilsaheb(IQ10)</f>
        <v>0.10288990740833334</v>
      </c>
      <c r="IR15" s="1065"/>
      <c r="IS15" s="1065"/>
      <c r="IT15" s="1065"/>
      <c r="IU15" s="1088"/>
      <c r="IX15" s="276"/>
      <c r="IY15" s="701"/>
      <c r="IZ15" s="304"/>
      <c r="JA15" s="437">
        <f t="shared" si="34"/>
        <v>0</v>
      </c>
      <c r="JB15" s="437">
        <f t="shared" si="35"/>
        <v>0</v>
      </c>
      <c r="JC15" s="437">
        <f t="shared" si="36"/>
        <v>0</v>
      </c>
      <c r="JD15" s="437">
        <f t="shared" si="37"/>
        <v>0</v>
      </c>
      <c r="JE15" s="304"/>
      <c r="JF15" s="304"/>
      <c r="JG15" s="304"/>
      <c r="JH15" s="304"/>
      <c r="JI15" s="779" t="s">
        <v>2217</v>
      </c>
      <c r="JJ15" s="251">
        <f>[1]!ba(JJ13+180-90)</f>
        <v>15.048825762356557</v>
      </c>
      <c r="JK15" s="224">
        <v>11</v>
      </c>
      <c r="JL15" s="251">
        <f>JJ14</f>
        <v>196.33214442706566</v>
      </c>
      <c r="JM15" s="266">
        <f>[1]!beyt11b(IZ5,IZ6,IZ7,IZ8,JD7)</f>
        <v>195.43028977322706</v>
      </c>
      <c r="JN15" s="1344">
        <f t="shared" si="7"/>
        <v>207.872973472436</v>
      </c>
      <c r="JO15" s="251">
        <f t="shared" si="4"/>
        <v>103.936486736218</v>
      </c>
      <c r="JP15" s="271">
        <f t="shared" si="8"/>
        <v>92.395657690847656</v>
      </c>
      <c r="JQ15" s="251">
        <f t="shared" si="5"/>
        <v>5</v>
      </c>
      <c r="JR15" s="644">
        <f t="shared" si="6"/>
        <v>272.39565769084766</v>
      </c>
      <c r="JS15" s="117" t="s">
        <v>1293</v>
      </c>
      <c r="JT15" s="118" t="s">
        <v>1481</v>
      </c>
      <c r="JU15" s="118">
        <f>[1]!taqzohal(JU4,JU5,JU6,JU7)</f>
        <v>339.57320216157382</v>
      </c>
      <c r="JV15" s="979">
        <f t="shared" si="38"/>
        <v>339</v>
      </c>
      <c r="JW15" s="979">
        <f t="shared" si="39"/>
        <v>34</v>
      </c>
      <c r="JX15" s="979">
        <f t="shared" si="40"/>
        <v>23</v>
      </c>
      <c r="JY15" s="1311">
        <f t="shared" si="41"/>
        <v>31</v>
      </c>
      <c r="JZ15" s="1357">
        <f t="shared" si="42"/>
        <v>3</v>
      </c>
      <c r="KA15" s="327"/>
      <c r="KB15" s="327"/>
      <c r="KC15" s="1378" t="str">
        <f>IF(JZ10=9,JS10,"-")</f>
        <v>-</v>
      </c>
      <c r="KD15" s="576" t="str">
        <f>IF(JZ14=9,JS14,"-")</f>
        <v>-</v>
      </c>
      <c r="KE15" s="576"/>
      <c r="KF15" s="1391" t="s">
        <v>3963</v>
      </c>
      <c r="KG15" s="1390">
        <f>JL12</f>
        <v>99.450582082673279</v>
      </c>
      <c r="KH15" s="1365" t="str">
        <f>IF(JZ12=7,JS12,"-")</f>
        <v>-</v>
      </c>
      <c r="KI15" s="1365" t="str">
        <f>IF(JZ15=7,JS15,"-")</f>
        <v>-</v>
      </c>
      <c r="KJ15" s="1365"/>
      <c r="KK15" s="1365"/>
      <c r="KL15" s="1371"/>
      <c r="KM15" s="1385" t="s">
        <v>3963</v>
      </c>
      <c r="KN15" s="1390">
        <f>JL10</f>
        <v>42.729362984137715</v>
      </c>
      <c r="KO15" s="576" t="str">
        <f>IF(JZ11=5,JS11,"-")</f>
        <v>-</v>
      </c>
      <c r="KP15" s="576" t="str">
        <f>IF(JZ13=5,JS13,"-")</f>
        <v>-</v>
      </c>
      <c r="KQ15" s="1379"/>
      <c r="KR15" s="327"/>
    </row>
    <row r="16" spans="2:304" ht="27">
      <c r="B16" s="24" t="s">
        <v>203</v>
      </c>
      <c r="C16" s="24">
        <f>IF(L10=L15,C15+C10,ABS(C15-C10))</f>
        <v>43.446814070083548</v>
      </c>
      <c r="D16" s="26">
        <f t="shared" si="43"/>
        <v>43</v>
      </c>
      <c r="E16" s="26">
        <f t="shared" si="44"/>
        <v>26</v>
      </c>
      <c r="F16" s="26">
        <f t="shared" si="45"/>
        <v>48</v>
      </c>
      <c r="G16" s="26">
        <f t="shared" si="46"/>
        <v>31</v>
      </c>
      <c r="H16" s="26">
        <f t="shared" si="31"/>
        <v>50</v>
      </c>
      <c r="I16" s="26">
        <f t="shared" si="32"/>
        <v>20</v>
      </c>
      <c r="J16" s="26">
        <f t="shared" si="33"/>
        <v>53</v>
      </c>
      <c r="K16" t="str">
        <f>IF(L15=L10,K10,IF(C15&gt;C10,K15,K10))</f>
        <v>شمالی</v>
      </c>
      <c r="L16">
        <f>IF(K16="شمالی",1,2)</f>
        <v>1</v>
      </c>
      <c r="M16" t="s">
        <v>174</v>
      </c>
      <c r="O16" s="31" t="s">
        <v>218</v>
      </c>
      <c r="P16" s="1">
        <f>DEGREES(ACOS(ABS(COS(RADIANS(P14)))/COS(RADIANS(P15))))</f>
        <v>47.552652514683295</v>
      </c>
      <c r="Q16" s="31">
        <f t="shared" si="61"/>
        <v>47</v>
      </c>
      <c r="R16" s="31">
        <f t="shared" si="62"/>
        <v>33</v>
      </c>
      <c r="S16" s="31">
        <f t="shared" si="63"/>
        <v>9</v>
      </c>
      <c r="T16" s="31">
        <f t="shared" si="64"/>
        <v>32</v>
      </c>
      <c r="U16" s="31">
        <f t="shared" si="65"/>
        <v>56</v>
      </c>
      <c r="V16" s="31">
        <f t="shared" si="66"/>
        <v>35</v>
      </c>
      <c r="W16" s="31">
        <f t="shared" si="67"/>
        <v>25</v>
      </c>
      <c r="Z16" s="24" t="s">
        <v>203</v>
      </c>
      <c r="AA16" s="24">
        <f>IF(AJ10=AJ15,AA15+AA10,ABS(AA15-AA10))</f>
        <v>66.379813613469494</v>
      </c>
      <c r="AB16" s="26">
        <f t="shared" si="9"/>
        <v>66</v>
      </c>
      <c r="AC16" s="26">
        <f t="shared" si="10"/>
        <v>22</v>
      </c>
      <c r="AD16" s="26">
        <f t="shared" si="11"/>
        <v>47</v>
      </c>
      <c r="AE16" s="26">
        <f t="shared" si="12"/>
        <v>19</v>
      </c>
      <c r="AF16" s="26">
        <f t="shared" si="13"/>
        <v>44</v>
      </c>
      <c r="AG16" s="26">
        <f t="shared" si="14"/>
        <v>25</v>
      </c>
      <c r="AH16" s="26">
        <f t="shared" si="15"/>
        <v>50</v>
      </c>
      <c r="AI16" s="24" t="str">
        <f>IF(AJ15=AJ10,AI10,IF(AA15&gt;AA10,AI15,AI10))</f>
        <v>شمالی</v>
      </c>
      <c r="AJ16" s="24">
        <f>IF(AI16="شمالی",1,2)</f>
        <v>1</v>
      </c>
      <c r="AM16" s="24" t="s">
        <v>203</v>
      </c>
      <c r="AN16" s="24">
        <f>IF(AW10=AW15,AN15+AN10,ABS(AN15-AN10))</f>
        <v>66.685403344845156</v>
      </c>
      <c r="AO16" s="26">
        <f t="shared" si="16"/>
        <v>66</v>
      </c>
      <c r="AP16" s="26">
        <f t="shared" si="17"/>
        <v>41</v>
      </c>
      <c r="AQ16" s="26">
        <f t="shared" si="18"/>
        <v>7</v>
      </c>
      <c r="AR16" s="26">
        <f t="shared" si="19"/>
        <v>27</v>
      </c>
      <c r="AS16" s="26">
        <f t="shared" si="20"/>
        <v>7</v>
      </c>
      <c r="AT16" s="26">
        <f t="shared" si="21"/>
        <v>20</v>
      </c>
      <c r="AU16" s="26">
        <f t="shared" si="22"/>
        <v>57</v>
      </c>
      <c r="AV16" s="24" t="str">
        <f>IF(AW15=AW10,AV10,IF(AN15&gt;AN10,AV15,AV10))</f>
        <v>شمالی</v>
      </c>
      <c r="AW16" s="24">
        <f>IF(AV16="شمالی",1,2)</f>
        <v>1</v>
      </c>
      <c r="BF16" s="346">
        <v>10</v>
      </c>
      <c r="BG16" s="346" t="s">
        <v>2116</v>
      </c>
      <c r="BH16" t="e">
        <f ca="1">IF(BH5=0,BH15,IF(BH6=0,BH14,BH13))</f>
        <v>#NAME?</v>
      </c>
      <c r="BI16" s="346"/>
      <c r="BJ16" s="346"/>
      <c r="BK16" s="346"/>
      <c r="BL16" s="346"/>
      <c r="BO16" s="216" t="s">
        <v>227</v>
      </c>
      <c r="BP16" s="113" t="e">
        <f ca="1">[2]!ml(BP11)</f>
        <v>#NAME?</v>
      </c>
      <c r="BQ16" s="113"/>
      <c r="BR16" s="215"/>
      <c r="BY16" s="224" t="s">
        <v>2141</v>
      </c>
      <c r="BZ16" s="238" t="e">
        <f ca="1">[2]!csn(BZ11)</f>
        <v>#NAME?</v>
      </c>
      <c r="CA16" s="271"/>
      <c r="CB16" s="387"/>
      <c r="CC16" s="388"/>
      <c r="CD16" s="271"/>
      <c r="CI16" s="202">
        <v>3</v>
      </c>
      <c r="CJ16" s="268">
        <v>3</v>
      </c>
      <c r="CK16" s="268" t="s">
        <v>2165</v>
      </c>
      <c r="CL16" s="268" t="s">
        <v>2162</v>
      </c>
      <c r="CM16" s="268"/>
      <c r="CN16" s="268" t="s">
        <v>2166</v>
      </c>
      <c r="CO16" s="268"/>
      <c r="CP16" s="268"/>
      <c r="CQ16" s="268" t="e">
        <f ca="1">[2]!asn([2]!sn(ABS(CH5))*[2]!sn(ABS(CH7))/60)</f>
        <v>#NAME?</v>
      </c>
      <c r="CR16" s="346"/>
      <c r="CS16" s="268" t="e">
        <f ca="1">90-CQ16</f>
        <v>#NAME?</v>
      </c>
      <c r="CT16" s="346" t="e">
        <f ca="1">IF(CF5=CF7,CS16,CS17)</f>
        <v>#NAME?</v>
      </c>
      <c r="CU16" s="346"/>
      <c r="DA16" s="299" t="s">
        <v>176</v>
      </c>
      <c r="DB16" s="212"/>
      <c r="DC16" s="213"/>
      <c r="DD16" s="346"/>
      <c r="DE16" s="346" t="s">
        <v>2156</v>
      </c>
      <c r="DF16" s="346"/>
      <c r="DG16" s="346"/>
      <c r="DH16" s="346"/>
      <c r="DI16" s="346">
        <v>1</v>
      </c>
      <c r="DJ16" s="346">
        <v>2</v>
      </c>
      <c r="DK16" s="346">
        <v>3</v>
      </c>
      <c r="DL16" s="346">
        <v>4</v>
      </c>
      <c r="DM16" s="346">
        <v>5</v>
      </c>
      <c r="DN16" s="346">
        <v>6</v>
      </c>
      <c r="DO16" s="346">
        <v>7</v>
      </c>
      <c r="DP16" s="346">
        <v>8</v>
      </c>
      <c r="DV16" s="327"/>
      <c r="DW16" s="202"/>
      <c r="DX16" s="268" t="s">
        <v>340</v>
      </c>
      <c r="DY16" s="388" t="e">
        <f ca="1">[2]!acs([2]!sn(DY10)/[2]!sn(DY7)*60)</f>
        <v>#NAME?</v>
      </c>
      <c r="DZ16" s="268"/>
      <c r="EA16" s="268"/>
      <c r="EB16" s="268"/>
      <c r="EC16" s="201"/>
      <c r="EE16" s="423" t="s">
        <v>356</v>
      </c>
      <c r="EF16" s="322" t="e">
        <f>[1]!fdaer(EF13,EF12,EF15,EF11)</f>
        <v>#VALUE!</v>
      </c>
      <c r="EG16" s="427" t="e">
        <f t="shared" si="47"/>
        <v>#VALUE!</v>
      </c>
      <c r="EH16" s="417" t="e">
        <f t="shared" si="48"/>
        <v>#VALUE!</v>
      </c>
      <c r="EI16" s="418" t="e">
        <f t="shared" si="49"/>
        <v>#VALUE!</v>
      </c>
      <c r="EK16" s="701"/>
      <c r="EL16" s="304" t="s">
        <v>359</v>
      </c>
      <c r="EM16" s="304">
        <f>[1]!bkm(EM4,EM11,EM10)</f>
        <v>21.349742273013305</v>
      </c>
      <c r="EN16" s="304"/>
      <c r="EO16" s="304"/>
      <c r="EP16" s="304"/>
      <c r="EQ16" s="314"/>
      <c r="ER16" s="429" t="s">
        <v>278</v>
      </c>
      <c r="ES16" s="429" t="e">
        <f ca="1">[2]!qrk([2]!ml(ES15),ES4)</f>
        <v>#NAME?</v>
      </c>
      <c r="ET16" s="226"/>
      <c r="EU16" s="226"/>
      <c r="EV16" s="227"/>
      <c r="EX16" s="304" t="s">
        <v>2196</v>
      </c>
      <c r="EY16" s="3">
        <f>(360+0.985647331382888)/24</f>
        <v>15.041068638807621</v>
      </c>
      <c r="EZ16" s="187">
        <f>INT(ABS(EY16))</f>
        <v>15</v>
      </c>
      <c r="FA16" s="187">
        <f>INT((ABS(EY16)-EZ16)*60)</f>
        <v>2</v>
      </c>
      <c r="FB16" s="187">
        <f>INT((((ABS(EY16)-EZ16)*60)-FA16)*60)</f>
        <v>27</v>
      </c>
      <c r="FC16" s="187">
        <f>INT((((((ABS(EY16)-EZ16)*60)-FA16)*60)-FB16)*60)</f>
        <v>50</v>
      </c>
      <c r="FD16" s="3">
        <f>EY12/EY16</f>
        <v>6.7015886910727298</v>
      </c>
      <c r="FE16" s="3">
        <f>FE15</f>
        <v>6.8149999999999995</v>
      </c>
      <c r="FF16" s="3">
        <f>[1]!ba(IF(OR(FE16&lt;FD16,FE16&gt;(FD16+(EY11/EY16))),(EY16*FE16)+EY12,(FE16-FD16)*EY16))</f>
        <v>1.705827281992079</v>
      </c>
      <c r="FG16" s="3"/>
      <c r="FH16" s="3" t="e">
        <f ca="1">[2]!mtb(EY8,FA8)</f>
        <v>#NAME?</v>
      </c>
      <c r="FI16" s="3" t="e">
        <f ca="1">IF(FH16+180&lt;360,FH16+180,FH16+180-360)</f>
        <v>#NAME?</v>
      </c>
      <c r="FJ16" s="3" t="e">
        <f ca="1">[2]!mtb(FI16,FA8)</f>
        <v>#NAME?</v>
      </c>
      <c r="FK16" s="3" t="e">
        <f ca="1">[2]!ba(IF(OR(FE16&lt;FD16,FE16&gt;(FD16+(EY11/EY16))),FF16+FH16,FF16+FJ16))</f>
        <v>#NAME?</v>
      </c>
      <c r="FL16" s="3" t="e">
        <f ca="1">[2]!tazmb(FK16,FA8)</f>
        <v>#NAME?</v>
      </c>
      <c r="FN16" s="432" t="e">
        <f ca="1">[2]!ba(IF(OR(FE16&lt;FD16,FE16&gt;(FD16+(EY11/EY16))),FF16+EY13,FF16+EY13+EY10))</f>
        <v>#NAME?</v>
      </c>
      <c r="FO16" s="327"/>
      <c r="FQ16" s="303" t="s">
        <v>382</v>
      </c>
      <c r="FR16" s="186">
        <f>(((((FV16/60)+FU16)/60)+FT16)/60)+FS16</f>
        <v>34.133333333333333</v>
      </c>
      <c r="FS16" s="437">
        <v>34</v>
      </c>
      <c r="FT16" s="437">
        <v>8</v>
      </c>
      <c r="FU16" s="437"/>
      <c r="FV16" s="305"/>
      <c r="FZ16" s="327">
        <v>256.77</v>
      </c>
      <c r="GA16" s="225">
        <f t="shared" si="50"/>
        <v>256</v>
      </c>
      <c r="GB16" s="225">
        <f t="shared" si="51"/>
        <v>46</v>
      </c>
      <c r="GC16" s="436">
        <f t="shared" si="52"/>
        <v>11</v>
      </c>
      <c r="GE16" s="274"/>
      <c r="GF16" s="740"/>
      <c r="GG16" s="741">
        <f>IF(GG14&lt;2,0,IF(GG14&lt;5,1,IF(GG14&lt;7,2,IF(GG14&lt;10,3,IF(GG14&lt;13,4,IF(GG14&lt;15,5,IF(GG14&lt;18,6,IF(GG14&lt;21,7,IF(GG14&lt;24,8,IF(GG14&lt;26,9,IF(GG14&lt;29,10,11)))))))))))</f>
        <v>1</v>
      </c>
      <c r="GH16" s="1740">
        <f>MOD(GG17,7)</f>
        <v>4</v>
      </c>
      <c r="GI16" s="274"/>
      <c r="GJ16" s="276"/>
      <c r="GK16" s="276"/>
      <c r="GL16" s="276"/>
      <c r="GM16" s="274"/>
      <c r="GN16" s="274"/>
      <c r="GO16" s="274"/>
      <c r="GP16" s="274"/>
      <c r="GQ16" s="274"/>
      <c r="GR16" s="274"/>
      <c r="GS16" s="276"/>
      <c r="GT16" s="276"/>
      <c r="GU16" s="274"/>
      <c r="HM16" s="150" t="s">
        <v>333</v>
      </c>
      <c r="HN16" s="150" t="s">
        <v>343</v>
      </c>
      <c r="HO16" s="154" t="e">
        <f ca="1">[2]!asabejermm(HO8,HO14)</f>
        <v>#NAME?</v>
      </c>
      <c r="HP16" s="157" t="e">
        <f t="shared" ca="1" si="71"/>
        <v>#NAME?</v>
      </c>
      <c r="HQ16" s="157" t="e">
        <f t="shared" ca="1" si="72"/>
        <v>#NAME?</v>
      </c>
      <c r="HR16" s="157" t="e">
        <f t="shared" ca="1" si="73"/>
        <v>#NAME?</v>
      </c>
      <c r="HS16" s="157" t="e">
        <f t="shared" ca="1" si="74"/>
        <v>#NAME?</v>
      </c>
      <c r="HU16" s="497">
        <f>HO8</f>
        <v>8</v>
      </c>
      <c r="HV16" s="363" t="e">
        <f ca="1">HO15</f>
        <v>#NAME?</v>
      </c>
      <c r="HW16" s="296">
        <f>HO26</f>
        <v>1</v>
      </c>
      <c r="HX16" s="395" t="e">
        <f ca="1">HO16</f>
        <v>#NAME?</v>
      </c>
      <c r="IA16" s="150"/>
      <c r="IB16" s="498" t="s">
        <v>343</v>
      </c>
      <c r="IC16" s="150" t="e">
        <f ca="1">[2]!asabeqotrr(IC7,IC14)</f>
        <v>#NAME?</v>
      </c>
      <c r="ID16" s="157" t="e">
        <f t="shared" ca="1" si="53"/>
        <v>#NAME?</v>
      </c>
      <c r="IE16" s="157" t="e">
        <f t="shared" ca="1" si="54"/>
        <v>#NAME?</v>
      </c>
      <c r="IF16" s="157" t="e">
        <f t="shared" ca="1" si="55"/>
        <v>#NAME?</v>
      </c>
      <c r="IG16" s="157" t="e">
        <f t="shared" ca="1" si="56"/>
        <v>#NAME?</v>
      </c>
      <c r="II16" s="296" t="e">
        <f ca="1">IC26</f>
        <v>#NAME?</v>
      </c>
      <c r="IJ16" s="395" t="e">
        <f ca="1">IC16</f>
        <v>#NAME?</v>
      </c>
      <c r="IX16" s="276"/>
      <c r="IY16" s="701" t="s">
        <v>1406</v>
      </c>
      <c r="IZ16" s="304">
        <f>[1]!saat(IZ5,IZ6,IZ7,IZ8)</f>
        <v>15.037881802665263</v>
      </c>
      <c r="JA16" s="437">
        <f t="shared" si="34"/>
        <v>15</v>
      </c>
      <c r="JB16" s="437">
        <f t="shared" si="35"/>
        <v>2</v>
      </c>
      <c r="JC16" s="437">
        <f t="shared" si="36"/>
        <v>16</v>
      </c>
      <c r="JD16" s="437">
        <f t="shared" si="37"/>
        <v>22</v>
      </c>
      <c r="JE16" s="304"/>
      <c r="JF16" s="304"/>
      <c r="JG16" s="304"/>
      <c r="JH16" s="304"/>
      <c r="JI16" s="779" t="s">
        <v>2230</v>
      </c>
      <c r="JJ16" s="251">
        <f>[1]!tl(IZ5,JJ15)</f>
        <v>16.332144427065657</v>
      </c>
      <c r="JK16" s="224">
        <v>12</v>
      </c>
      <c r="JL16" s="251">
        <f>JJ18</f>
        <v>222.72936298413771</v>
      </c>
      <c r="JM16" s="266">
        <f>[1]!beyt12b(IZ5,IZ6,IZ7,IZ8,JD7)</f>
        <v>220.08313424677664</v>
      </c>
      <c r="JN16" s="1345">
        <f t="shared" si="7"/>
        <v>26.397218557072051</v>
      </c>
      <c r="JO16" s="294">
        <f t="shared" si="4"/>
        <v>13.198609278536026</v>
      </c>
      <c r="JP16" s="282">
        <f t="shared" si="8"/>
        <v>209.53075370560168</v>
      </c>
      <c r="JQ16" s="251">
        <f t="shared" si="5"/>
        <v>3</v>
      </c>
      <c r="JR16" s="644">
        <f t="shared" si="6"/>
        <v>296.01823788881882</v>
      </c>
      <c r="JS16" s="327"/>
      <c r="JT16" s="327"/>
      <c r="JU16" s="327"/>
      <c r="JV16" s="327"/>
      <c r="JW16" s="327"/>
      <c r="JX16" s="327"/>
      <c r="JY16" s="327"/>
      <c r="JZ16" s="327"/>
      <c r="KA16" s="327"/>
      <c r="KB16" s="327"/>
      <c r="KC16" s="1378" t="str">
        <f>IF(JZ11=9,JS11,"-")</f>
        <v>-</v>
      </c>
      <c r="KD16" s="576" t="str">
        <f>IF(JZ15=9,JS15,"-")</f>
        <v>-</v>
      </c>
      <c r="KE16" s="1391" t="str">
        <f>IF(JZ9=8,JS9,"-")</f>
        <v>-</v>
      </c>
      <c r="KF16" s="1385" t="str">
        <f>IF(JZ11=8,JS11,"-")</f>
        <v>-</v>
      </c>
      <c r="KG16" s="1385" t="str">
        <f>IF(JZ13=8,JS13,"-")</f>
        <v>-</v>
      </c>
      <c r="KH16" s="1390" t="str">
        <f>IF(JZ15=8,JS15,"-")</f>
        <v>-</v>
      </c>
      <c r="KI16" s="1372"/>
      <c r="KJ16" s="1365"/>
      <c r="KK16" s="1371"/>
      <c r="KL16" s="1385" t="str">
        <f>IF(JZ10=6,JS10,"-")</f>
        <v>-</v>
      </c>
      <c r="KM16" s="1385" t="str">
        <f>IF(JZ12=6,JS12,"-")</f>
        <v>-</v>
      </c>
      <c r="KN16" s="1385" t="str">
        <f>IF(JZ14=6,JS14,"-")</f>
        <v>مشتری</v>
      </c>
      <c r="KO16" s="1390"/>
      <c r="KP16" s="576" t="str">
        <f>IF(JZ14=5,JS14,"-")</f>
        <v>-</v>
      </c>
      <c r="KQ16" s="1379"/>
      <c r="KR16" s="327"/>
    </row>
    <row r="17" spans="2:304" ht="27.75" thickBot="1">
      <c r="B17" s="24" t="s">
        <v>204</v>
      </c>
      <c r="C17" s="24">
        <f>DEGREES(ASIN(SIN(RADIANS(C16))*COS(RADIANS(C12))))</f>
        <v>43.445505188344896</v>
      </c>
      <c r="D17" s="26">
        <f t="shared" si="43"/>
        <v>43</v>
      </c>
      <c r="E17" s="26">
        <f t="shared" si="44"/>
        <v>26</v>
      </c>
      <c r="F17" s="26">
        <f t="shared" si="45"/>
        <v>43</v>
      </c>
      <c r="G17" s="26">
        <f t="shared" si="46"/>
        <v>49</v>
      </c>
      <c r="H17" s="26">
        <f t="shared" si="31"/>
        <v>7</v>
      </c>
      <c r="I17" s="26">
        <f t="shared" si="32"/>
        <v>14</v>
      </c>
      <c r="J17" s="26">
        <f t="shared" si="33"/>
        <v>27</v>
      </c>
      <c r="K17" s="27" t="str">
        <f>K16</f>
        <v>شمالی</v>
      </c>
      <c r="L17">
        <f>IF(K17="شمالی",1,2)</f>
        <v>1</v>
      </c>
      <c r="O17" s="1" t="s">
        <v>193</v>
      </c>
      <c r="P17" s="1">
        <f>IF(P14&lt;=90,90-P14,IF(P14&lt;=180,P14-90,IF(P14&lt;=270,270-P14,P14-270)))</f>
        <v>40</v>
      </c>
      <c r="Q17" s="31">
        <f t="shared" si="61"/>
        <v>40</v>
      </c>
      <c r="R17" s="31">
        <f t="shared" si="62"/>
        <v>0</v>
      </c>
      <c r="S17" s="31">
        <f t="shared" si="63"/>
        <v>0</v>
      </c>
      <c r="T17" s="31">
        <f t="shared" si="64"/>
        <v>0</v>
      </c>
      <c r="U17" s="31">
        <f t="shared" si="65"/>
        <v>0</v>
      </c>
      <c r="V17" s="31">
        <f t="shared" si="66"/>
        <v>0</v>
      </c>
      <c r="W17" s="31">
        <f t="shared" si="67"/>
        <v>0</v>
      </c>
      <c r="Z17" s="24" t="s">
        <v>204</v>
      </c>
      <c r="AA17" s="24">
        <f>DEGREES(ASIN(SIN(RADIANS(AA16))*COS(RADIANS(AA12))))</f>
        <v>60.763474261218377</v>
      </c>
      <c r="AB17" s="26">
        <f t="shared" si="9"/>
        <v>60</v>
      </c>
      <c r="AC17" s="26">
        <f t="shared" si="10"/>
        <v>45</v>
      </c>
      <c r="AD17" s="26">
        <f t="shared" si="11"/>
        <v>48</v>
      </c>
      <c r="AE17" s="26">
        <f t="shared" si="12"/>
        <v>30</v>
      </c>
      <c r="AF17" s="26">
        <f t="shared" si="13"/>
        <v>26</v>
      </c>
      <c r="AG17" s="26">
        <f t="shared" si="14"/>
        <v>25</v>
      </c>
      <c r="AH17" s="26">
        <f t="shared" si="15"/>
        <v>31</v>
      </c>
      <c r="AI17" s="26" t="str">
        <f>AI16</f>
        <v>شمالی</v>
      </c>
      <c r="AJ17" s="24">
        <f>IF(AI17="شمالی",1,2)</f>
        <v>1</v>
      </c>
      <c r="AM17" s="24" t="s">
        <v>204</v>
      </c>
      <c r="AN17" s="24">
        <f>DEGREES(ASIN(SIN(RADIANS(AN16))*COS(RADIANS(AN12))))</f>
        <v>61.15747205559574</v>
      </c>
      <c r="AO17" s="26">
        <f t="shared" si="16"/>
        <v>61</v>
      </c>
      <c r="AP17" s="26">
        <f t="shared" si="17"/>
        <v>9</v>
      </c>
      <c r="AQ17" s="26">
        <f t="shared" si="18"/>
        <v>26</v>
      </c>
      <c r="AR17" s="26">
        <f t="shared" si="19"/>
        <v>53</v>
      </c>
      <c r="AS17" s="26">
        <f t="shared" si="20"/>
        <v>57</v>
      </c>
      <c r="AT17" s="26">
        <f t="shared" si="21"/>
        <v>50</v>
      </c>
      <c r="AU17" s="26">
        <f t="shared" si="22"/>
        <v>25</v>
      </c>
      <c r="AV17" s="26" t="str">
        <f>AV16</f>
        <v>شمالی</v>
      </c>
      <c r="AW17" s="24">
        <f>IF(AV17="شمالی",1,2)</f>
        <v>1</v>
      </c>
      <c r="BF17" s="346"/>
      <c r="BG17" s="346"/>
      <c r="BH17" s="346"/>
      <c r="BI17" s="346"/>
      <c r="BJ17" s="346"/>
      <c r="BK17" s="346"/>
      <c r="BL17" s="346"/>
      <c r="BO17" s="216"/>
      <c r="BP17" s="113" t="e">
        <f ca="1">90-(BP14-BP16)</f>
        <v>#NAME?</v>
      </c>
      <c r="BQ17" s="113"/>
      <c r="BR17" s="215"/>
      <c r="BY17" s="224" t="s">
        <v>2138</v>
      </c>
      <c r="BZ17" s="238" t="e">
        <f ca="1">[2]!sn(BZ10)</f>
        <v>#NAME?</v>
      </c>
      <c r="CA17" s="271"/>
      <c r="CB17" s="224"/>
      <c r="CC17" s="238"/>
      <c r="CD17" s="271"/>
      <c r="CI17" s="392"/>
      <c r="CJ17" s="393"/>
      <c r="CK17" s="393"/>
      <c r="CL17" s="393"/>
      <c r="CM17" s="393"/>
      <c r="CN17" s="393" t="s">
        <v>2167</v>
      </c>
      <c r="CO17" s="393"/>
      <c r="CP17" s="393"/>
      <c r="CQ17" s="393" t="e">
        <f ca="1">[2]!asn([2]!sn(ABS(CH5))*[2]!sn(ABS(CH7))/60)</f>
        <v>#NAME?</v>
      </c>
      <c r="CR17" s="346"/>
      <c r="CS17" s="393" t="e">
        <f ca="1">90+CQ17</f>
        <v>#NAME?</v>
      </c>
      <c r="CT17" s="346"/>
      <c r="CU17" s="346"/>
      <c r="DA17" s="297">
        <f>IF(DC17&gt;0,1,-1)</f>
        <v>1</v>
      </c>
      <c r="DB17" s="113" t="s">
        <v>2152</v>
      </c>
      <c r="DC17" s="215">
        <f>DD3</f>
        <v>21.389082399999999</v>
      </c>
      <c r="DD17" s="3">
        <v>1</v>
      </c>
      <c r="DE17" s="3">
        <v>1</v>
      </c>
      <c r="DF17" s="3" t="s">
        <v>2160</v>
      </c>
      <c r="DG17" s="3"/>
      <c r="DH17" s="3"/>
      <c r="DI17" s="3"/>
      <c r="DJ17" s="3"/>
      <c r="DK17" s="3"/>
      <c r="DL17" s="3"/>
      <c r="DM17" s="3"/>
      <c r="DN17" s="3"/>
      <c r="DO17" s="3"/>
      <c r="DP17" s="3">
        <f>DC21</f>
        <v>11.012088200000001</v>
      </c>
      <c r="DV17" s="327"/>
      <c r="DW17" s="392"/>
      <c r="DX17" s="393" t="s">
        <v>2116</v>
      </c>
      <c r="DY17" s="289" t="e">
        <f ca="1">IF(DY6=0,DY16,IF(DY7=0,DY15,DY14))</f>
        <v>#NAME?</v>
      </c>
      <c r="DZ17" s="393"/>
      <c r="EA17" s="393"/>
      <c r="EB17" s="393"/>
      <c r="EC17" s="394"/>
      <c r="EE17" s="424" t="s">
        <v>2182</v>
      </c>
      <c r="EF17" s="426" t="e">
        <f>EF16*4/60</f>
        <v>#VALUE!</v>
      </c>
      <c r="EG17" s="428" t="e">
        <f t="shared" si="47"/>
        <v>#VALUE!</v>
      </c>
      <c r="EH17" s="419" t="e">
        <f t="shared" si="48"/>
        <v>#VALUE!</v>
      </c>
      <c r="EI17" s="420" t="e">
        <f t="shared" si="49"/>
        <v>#VALUE!</v>
      </c>
      <c r="EK17" s="701"/>
      <c r="EL17" s="304" t="s">
        <v>375</v>
      </c>
      <c r="EM17" s="304">
        <f>[1]!mtm(EM4,EM16,EM10)</f>
        <v>64.449261272468078</v>
      </c>
      <c r="EN17" s="304"/>
      <c r="EO17" s="304"/>
      <c r="EP17" s="304"/>
      <c r="EQ17" s="314"/>
      <c r="ER17" s="429" t="s">
        <v>380</v>
      </c>
      <c r="ES17" s="226" t="e">
        <f ca="1">[2]!ml(ES6)</f>
        <v>#NAME?</v>
      </c>
      <c r="ET17" s="226"/>
      <c r="EU17" s="226"/>
      <c r="EV17" s="227"/>
      <c r="EX17" s="304" t="s">
        <v>2197</v>
      </c>
      <c r="EY17" s="3">
        <f>EY10/12</f>
        <v>16.799842581913641</v>
      </c>
      <c r="EZ17" s="187">
        <f>INT(ABS(EY17))</f>
        <v>16</v>
      </c>
      <c r="FA17" s="187">
        <f>INT((ABS(EY17)-EZ17)*60)</f>
        <v>47</v>
      </c>
      <c r="FB17" s="187">
        <f>INT((((ABS(EY17)-EZ17)*60)-FA17)*60)</f>
        <v>59</v>
      </c>
      <c r="FC17" s="187">
        <f>INT((((((ABS(EY17)-EZ17)*60)-FA17)*60)-FB17)*60)</f>
        <v>25</v>
      </c>
      <c r="FD17" s="3">
        <f>EY12/EY17</f>
        <v>6</v>
      </c>
      <c r="FE17" s="3">
        <v>2</v>
      </c>
      <c r="FF17" s="3">
        <f>[1]!ba(IF(OR(FE17&lt;FD17,FE17&gt;(FD17+(EY11/EY17))),(EY17*FE17)+EY12,(FE17-FD17)*EY17))</f>
        <v>134.39874065530913</v>
      </c>
      <c r="FG17" s="3"/>
      <c r="FH17" s="3" t="e">
        <f ca="1">[2]!mtb(EY8,FA8)</f>
        <v>#NAME?</v>
      </c>
      <c r="FI17" s="3" t="e">
        <f ca="1">IF(FH17+180&lt;360,FH17+180,FH17+180-360)</f>
        <v>#NAME?</v>
      </c>
      <c r="FJ17" s="3" t="e">
        <f ca="1">[2]!mtb(FI17,FA8)</f>
        <v>#NAME?</v>
      </c>
      <c r="FK17" s="3" t="e">
        <f ca="1">[2]!ba(IF(OR(FE17&lt;FD17,FE17&gt;(FD17+(EY11/EY17))),FF17+FH17,FF17+FJ17))</f>
        <v>#NAME?</v>
      </c>
      <c r="FL17" s="3" t="e">
        <f ca="1">[2]!tazmb(FK17,FA8)</f>
        <v>#NAME?</v>
      </c>
      <c r="FN17" s="432" t="e">
        <f ca="1">[2]!ba(IF(OR(FE17&lt;FD17,FE17&gt;(FD17+(EY11/EY17))),FF17+EY13,FF17+EY13+EY10))</f>
        <v>#NAME?</v>
      </c>
      <c r="FO17" s="327"/>
      <c r="FQ17" s="303" t="s">
        <v>375</v>
      </c>
      <c r="FR17" s="304">
        <f>[1]!mtmm(FR5,FR15,FR16)</f>
        <v>1.8982549536639297</v>
      </c>
      <c r="FS17" s="437">
        <f>INT(ABS(FR17))</f>
        <v>1</v>
      </c>
      <c r="FT17" s="437">
        <f>INT((ABS(FR17)-FS17)*60)</f>
        <v>53</v>
      </c>
      <c r="FU17" s="437">
        <f>INT((((ABS(FR17)-FS17)*60)-FT17)*60)</f>
        <v>53</v>
      </c>
      <c r="FV17" s="305"/>
      <c r="FZ17" s="327" t="e">
        <f ca="1">[2]!taqm3(FZ15,FZ16)</f>
        <v>#NAME?</v>
      </c>
      <c r="GA17" s="225" t="e">
        <f t="shared" ca="1" si="50"/>
        <v>#NAME?</v>
      </c>
      <c r="GB17" s="225" t="e">
        <f t="shared" ca="1" si="51"/>
        <v>#NAME?</v>
      </c>
      <c r="GC17" s="436" t="e">
        <f t="shared" ca="1" si="52"/>
        <v>#NAME?</v>
      </c>
      <c r="GE17" s="274"/>
      <c r="GF17" s="710" t="s">
        <v>4229</v>
      </c>
      <c r="GG17" s="712">
        <f>GG15+GG12+GG10+GG13+GG7+GG16</f>
        <v>511823</v>
      </c>
      <c r="GH17" s="1757" t="str">
        <f>IF(GH16=0,"جمعه",IF(GH16=1,"شنبه",IF(GH16=2,"یک شنبه",IF(GH16=3,"دو شنبه",IF(GH16=4,"سه شنبه",IF(GH16=5,"چهار شنبه","پنج شنبه"))))))</f>
        <v>سه شنبه</v>
      </c>
      <c r="GI17" s="274"/>
      <c r="GJ17" s="276"/>
      <c r="GK17" s="276"/>
      <c r="GL17" s="276"/>
      <c r="GM17" s="274"/>
      <c r="GN17" s="274"/>
      <c r="GO17" s="274"/>
      <c r="GP17" s="274"/>
      <c r="GQ17" s="274"/>
      <c r="GR17" s="274"/>
      <c r="GS17" s="276"/>
      <c r="GT17" s="276"/>
      <c r="GU17" s="274"/>
      <c r="HM17" s="150" t="s">
        <v>341</v>
      </c>
      <c r="HN17" s="150" t="s">
        <v>344</v>
      </c>
      <c r="HO17" s="154" t="e">
        <f ca="1">[2]!asabejermm(HO13,HO12)</f>
        <v>#NAME?</v>
      </c>
      <c r="HP17" s="157" t="e">
        <f t="shared" ca="1" si="71"/>
        <v>#NAME?</v>
      </c>
      <c r="HQ17" s="157" t="e">
        <f t="shared" ca="1" si="72"/>
        <v>#NAME?</v>
      </c>
      <c r="HR17" s="157" t="e">
        <f t="shared" ca="1" si="73"/>
        <v>#NAME?</v>
      </c>
      <c r="HS17" s="157" t="e">
        <f t="shared" ca="1" si="74"/>
        <v>#NAME?</v>
      </c>
      <c r="HU17" s="497">
        <f>HO6</f>
        <v>9</v>
      </c>
      <c r="HV17" s="296" t="e">
        <f ca="1">HO22</f>
        <v>#NAME?</v>
      </c>
      <c r="HW17" s="296" t="e">
        <f ca="1">HO33</f>
        <v>#NAME?</v>
      </c>
      <c r="HX17" s="296"/>
      <c r="IA17" s="150"/>
      <c r="IB17" s="498" t="s">
        <v>344</v>
      </c>
      <c r="IC17" s="150" t="e">
        <f ca="1">[2]!asabeqotrr(IC13,IC12)</f>
        <v>#NAME?</v>
      </c>
      <c r="ID17" s="157" t="e">
        <f t="shared" ca="1" si="53"/>
        <v>#NAME?</v>
      </c>
      <c r="IE17" s="157" t="e">
        <f t="shared" ca="1" si="54"/>
        <v>#NAME?</v>
      </c>
      <c r="IF17" s="157" t="e">
        <f t="shared" ca="1" si="55"/>
        <v>#NAME?</v>
      </c>
      <c r="IG17" s="157" t="e">
        <f t="shared" ca="1" si="56"/>
        <v>#NAME?</v>
      </c>
      <c r="IH17" t="s">
        <v>2263</v>
      </c>
      <c r="II17" s="296" t="e">
        <f ca="1">IC34</f>
        <v>#NAME?</v>
      </c>
      <c r="IJ17" s="296"/>
      <c r="IX17" s="797"/>
      <c r="IY17" s="701" t="s">
        <v>2196</v>
      </c>
      <c r="IZ17" s="304">
        <f>(360+0.985647331382888)/24</f>
        <v>15.041068638807621</v>
      </c>
      <c r="JA17" s="437">
        <f t="shared" si="34"/>
        <v>15</v>
      </c>
      <c r="JB17" s="437">
        <f t="shared" si="35"/>
        <v>2</v>
      </c>
      <c r="JC17" s="437">
        <f t="shared" si="36"/>
        <v>27</v>
      </c>
      <c r="JD17" s="437">
        <f t="shared" si="37"/>
        <v>50</v>
      </c>
      <c r="JE17" s="304"/>
      <c r="JF17" s="304"/>
      <c r="JG17" s="304"/>
      <c r="JH17" s="304"/>
      <c r="JI17" s="779" t="s">
        <v>2218</v>
      </c>
      <c r="JJ17" s="251">
        <f>IF(JJ13+JJ9-90&gt;0,JJ13+JJ9-90,JJ13+JJ9-90+360)</f>
        <v>220.2826516923966</v>
      </c>
      <c r="JK17" s="1346"/>
      <c r="JL17" s="1346"/>
      <c r="JM17" s="1347"/>
      <c r="JN17" s="251"/>
      <c r="JO17" s="291"/>
      <c r="JP17" s="291"/>
      <c r="JQ17" s="291"/>
      <c r="JR17" s="1348"/>
      <c r="JS17" s="1337"/>
      <c r="JT17" s="276"/>
      <c r="JU17" s="276"/>
      <c r="JV17" s="327"/>
      <c r="JW17" s="327"/>
      <c r="JX17" s="327"/>
      <c r="JY17" s="327"/>
      <c r="JZ17" s="327"/>
      <c r="KA17" s="327"/>
      <c r="KB17" s="327"/>
      <c r="KC17" s="1378" t="str">
        <f>IF(JZ12=9,JS12,"-")</f>
        <v>-</v>
      </c>
      <c r="KD17" s="1391" t="s">
        <v>2226</v>
      </c>
      <c r="KE17" s="1385" t="str">
        <f>IF(JZ10=8,JS10,"-")</f>
        <v>-</v>
      </c>
      <c r="KF17" s="1385" t="str">
        <f>IF(JZ12=8,JS12,"-")</f>
        <v>-</v>
      </c>
      <c r="KG17" s="1385" t="str">
        <f>IF(JZ14=8,JS14,"-")</f>
        <v>-</v>
      </c>
      <c r="KH17" s="1385"/>
      <c r="KI17" s="1390"/>
      <c r="KJ17" s="1373"/>
      <c r="KK17" s="1385" t="str">
        <f>IF(JZ9=6,JS9,"-")</f>
        <v>-</v>
      </c>
      <c r="KL17" s="1385" t="str">
        <f>IF(JZ11=6,JS11,"-")</f>
        <v>-</v>
      </c>
      <c r="KM17" s="1385" t="str">
        <f>IF(JZ13=6,JS13,"-")</f>
        <v>-</v>
      </c>
      <c r="KN17" s="1385" t="str">
        <f>IF(JZ15=6,JS15,"-")</f>
        <v>-</v>
      </c>
      <c r="KO17" s="1385"/>
      <c r="KP17" s="1390" t="s">
        <v>2228</v>
      </c>
      <c r="KQ17" s="1379"/>
      <c r="KR17" s="327"/>
    </row>
    <row r="18" spans="2:304" ht="25.5" thickBot="1">
      <c r="B18" s="24" t="s">
        <v>205</v>
      </c>
      <c r="C18" s="24">
        <f>DEGREES(ASIN(COS(RADIANS(C7))*SIN(RADIANS(C16))/COS(RADIANS(C10))))</f>
        <v>43.445505188344896</v>
      </c>
      <c r="D18" s="26">
        <f t="shared" si="43"/>
        <v>43</v>
      </c>
      <c r="E18" s="26">
        <f t="shared" si="44"/>
        <v>26</v>
      </c>
      <c r="F18" s="26">
        <f t="shared" si="45"/>
        <v>43</v>
      </c>
      <c r="G18" s="26">
        <f t="shared" si="46"/>
        <v>49</v>
      </c>
      <c r="H18" s="26">
        <f t="shared" si="31"/>
        <v>7</v>
      </c>
      <c r="I18" s="26">
        <f t="shared" si="32"/>
        <v>14</v>
      </c>
      <c r="J18" s="26">
        <f t="shared" si="33"/>
        <v>27</v>
      </c>
      <c r="O18" s="1" t="s">
        <v>228</v>
      </c>
      <c r="P18" s="1">
        <f>ABS(DEGREES(ASIN(SIN(RADIANS(C7))*SIN(RADIANS(P17)))))</f>
        <v>14.820783640446253</v>
      </c>
      <c r="Q18" s="31">
        <f t="shared" si="61"/>
        <v>14</v>
      </c>
      <c r="R18" s="31">
        <f t="shared" si="62"/>
        <v>49</v>
      </c>
      <c r="S18" s="31">
        <f t="shared" si="63"/>
        <v>14</v>
      </c>
      <c r="T18" s="31">
        <f t="shared" si="64"/>
        <v>49</v>
      </c>
      <c r="U18" s="31">
        <f t="shared" si="65"/>
        <v>15</v>
      </c>
      <c r="V18" s="31">
        <f t="shared" si="66"/>
        <v>58</v>
      </c>
      <c r="W18" s="31">
        <f t="shared" si="67"/>
        <v>48</v>
      </c>
      <c r="Z18" s="24" t="s">
        <v>205</v>
      </c>
      <c r="AA18" s="24">
        <f>DEGREES(ASIN(COS(RADIANS(AA7))*SIN(RADIANS(AA16))/COS(RADIANS(AA10))))</f>
        <v>60.763474261218377</v>
      </c>
      <c r="AB18" s="26">
        <f t="shared" si="9"/>
        <v>60</v>
      </c>
      <c r="AC18" s="26">
        <f t="shared" si="10"/>
        <v>45</v>
      </c>
      <c r="AD18" s="26">
        <f t="shared" si="11"/>
        <v>48</v>
      </c>
      <c r="AE18" s="26">
        <f t="shared" si="12"/>
        <v>30</v>
      </c>
      <c r="AF18" s="26">
        <f t="shared" si="13"/>
        <v>26</v>
      </c>
      <c r="AG18" s="26">
        <f t="shared" si="14"/>
        <v>25</v>
      </c>
      <c r="AH18" s="26">
        <f t="shared" si="15"/>
        <v>31</v>
      </c>
      <c r="AI18" s="24"/>
      <c r="AJ18" s="24"/>
      <c r="AM18" s="24" t="s">
        <v>205</v>
      </c>
      <c r="AN18" s="24">
        <f>DEGREES(ASIN(COS(RADIANS(AN7))*SIN(RADIANS(AN16))/COS(RADIANS(AN10))))</f>
        <v>61.15747205559574</v>
      </c>
      <c r="AO18" s="26">
        <f t="shared" si="16"/>
        <v>61</v>
      </c>
      <c r="AP18" s="26">
        <f t="shared" si="17"/>
        <v>9</v>
      </c>
      <c r="AQ18" s="26">
        <f t="shared" si="18"/>
        <v>26</v>
      </c>
      <c r="AR18" s="26">
        <f t="shared" si="19"/>
        <v>53</v>
      </c>
      <c r="AS18" s="26">
        <f t="shared" si="20"/>
        <v>57</v>
      </c>
      <c r="AT18" s="26">
        <f t="shared" si="21"/>
        <v>50</v>
      </c>
      <c r="AU18" s="26">
        <f t="shared" si="22"/>
        <v>25</v>
      </c>
      <c r="AV18" s="24"/>
      <c r="AW18" s="24"/>
      <c r="BF18" s="346"/>
      <c r="BG18" s="346"/>
      <c r="BH18" s="346"/>
      <c r="BI18" s="346"/>
      <c r="BJ18" s="346"/>
      <c r="BK18" s="346"/>
      <c r="BL18" s="346"/>
      <c r="BO18" s="216" t="s">
        <v>2126</v>
      </c>
      <c r="BP18" s="113" t="e">
        <f ca="1">BP14+BP16</f>
        <v>#NAME?</v>
      </c>
      <c r="BQ18" s="113"/>
      <c r="BR18" s="215"/>
      <c r="BY18" s="224" t="s">
        <v>2139</v>
      </c>
      <c r="BZ18" s="238" t="e">
        <f ca="1">[2]!sn(BZ11)</f>
        <v>#NAME?</v>
      </c>
      <c r="CA18" s="271"/>
      <c r="CB18" s="224"/>
      <c r="CC18" s="238"/>
      <c r="CD18" s="271"/>
      <c r="CI18" s="202"/>
      <c r="CJ18" s="268">
        <v>4</v>
      </c>
      <c r="CK18" s="268"/>
      <c r="CL18" s="268" t="s">
        <v>2163</v>
      </c>
      <c r="CM18" s="268"/>
      <c r="CN18" s="268" t="s">
        <v>2166</v>
      </c>
      <c r="CO18" s="268"/>
      <c r="CP18" s="268"/>
      <c r="CQ18" s="268" t="e">
        <f ca="1">ABS(CP14-(90-ABS(CH7)))</f>
        <v>#NAME?</v>
      </c>
      <c r="CR18" s="268" t="e">
        <f ca="1">[2]!asn([2]!sn(CQ18)*[2]!sn(CO14)/60)</f>
        <v>#NAME?</v>
      </c>
      <c r="CS18" s="201" t="e">
        <f ca="1">IF(90-ABS(CH7)&lt;CP14,90-CR18,90+CR18)</f>
        <v>#NAME?</v>
      </c>
      <c r="CT18" s="346" t="e">
        <f ca="1">IF(CF5=CF7,CS18,CS19)</f>
        <v>#NAME?</v>
      </c>
      <c r="CU18" s="346"/>
      <c r="DA18" s="297"/>
      <c r="DB18" s="113" t="s">
        <v>2153</v>
      </c>
      <c r="DC18" s="215">
        <f>DD4</f>
        <v>39.857911799999997</v>
      </c>
      <c r="DD18" s="278"/>
      <c r="DE18" s="281">
        <v>1</v>
      </c>
      <c r="DF18" s="226"/>
      <c r="DG18" s="281" t="s">
        <v>2161</v>
      </c>
      <c r="DH18" s="281"/>
      <c r="DI18" s="281"/>
      <c r="DJ18" s="281"/>
      <c r="DK18" s="281"/>
      <c r="DL18" s="281"/>
      <c r="DM18" s="395"/>
      <c r="DN18" s="279">
        <f>ABS(DC17-DC19)</f>
        <v>13.610917600000001</v>
      </c>
      <c r="DO18" s="363"/>
      <c r="DP18" s="363" t="e">
        <f ca="1">IF(DC21=0,DN18,IF(DC21&lt;90,DN19,IF(DC21=90,DN20,IF(DC21&lt;180,DN21,DN22))))</f>
        <v>#NAME?</v>
      </c>
      <c r="DV18" s="327"/>
      <c r="DW18" s="33"/>
      <c r="DX18" s="33"/>
      <c r="DY18" s="33"/>
      <c r="DZ18" s="33"/>
      <c r="EA18" s="33"/>
      <c r="EB18" s="33"/>
      <c r="EC18" s="33"/>
      <c r="EE18" s="217" t="s">
        <v>2181</v>
      </c>
      <c r="EF18" s="218"/>
      <c r="EG18" s="218"/>
      <c r="EH18" s="218"/>
      <c r="EI18" s="219"/>
      <c r="EK18" s="701"/>
      <c r="EL18" s="304" t="s">
        <v>356</v>
      </c>
      <c r="EM18" s="304">
        <f>[1]!fdaer(EM4,EM11,EM10,EM14,EM9)</f>
        <v>62.622185668648555</v>
      </c>
      <c r="EN18" s="304"/>
      <c r="EO18" s="304"/>
      <c r="EP18" s="304"/>
      <c r="EQ18" s="314"/>
      <c r="ER18" s="429" t="s">
        <v>231</v>
      </c>
      <c r="ES18" s="429" t="e">
        <f ca="1">[2]!arzr(ES16,ES14)</f>
        <v>#NAME?</v>
      </c>
      <c r="ET18" s="226" t="e">
        <f ca="1">IF(ES4&gt;ES17,1,-1)</f>
        <v>#NAME?</v>
      </c>
      <c r="EU18" s="226" t="s">
        <v>2190</v>
      </c>
      <c r="EV18" s="227"/>
      <c r="EX18" s="304" t="s">
        <v>2198</v>
      </c>
      <c r="EY18" s="3">
        <f>EY10/6</f>
        <v>33.599685163827282</v>
      </c>
      <c r="EZ18" s="187">
        <f>INT(ABS(EY18))</f>
        <v>33</v>
      </c>
      <c r="FA18" s="187">
        <f>INT((ABS(EY18)-EZ18)*60)</f>
        <v>35</v>
      </c>
      <c r="FB18" s="187">
        <f>INT((((ABS(EY18)-EZ18)*60)-FA18)*60)</f>
        <v>58</v>
      </c>
      <c r="FC18" s="187">
        <f>INT((((((ABS(EY18)-EZ18)*60)-FA18)*60)-FB18)*60)</f>
        <v>51</v>
      </c>
      <c r="FD18" s="3">
        <f>EY12/EY18</f>
        <v>3</v>
      </c>
      <c r="FE18" s="3">
        <f>(EY6-FA4)*60</f>
        <v>17.037499999999998</v>
      </c>
      <c r="FF18" s="3">
        <f>[1]!ba(IF(OR(FE18&lt;FD18,FE18&gt;(FD18+(EY11/EY18))),(EY18*FE18)+EY12,(FE18-FD18)*EY18))</f>
        <v>313.2536914701891</v>
      </c>
      <c r="FG18" s="3"/>
      <c r="FH18" s="3" t="e">
        <f ca="1">[2]!mtb(EY8,FA8)</f>
        <v>#NAME?</v>
      </c>
      <c r="FI18" s="3" t="e">
        <f ca="1">IF(FH18+180&lt;360,FH18+180,FH18+180-360)</f>
        <v>#NAME?</v>
      </c>
      <c r="FJ18" s="3" t="e">
        <f ca="1">[2]!mtb(FI18,FA8)</f>
        <v>#NAME?</v>
      </c>
      <c r="FK18" s="3" t="e">
        <f ca="1">[2]!ba(IF(OR(FE18&lt;FD18,FE18&gt;(FD18+(EY11/EY18))),FF18+FH18,FF18+FJ18))</f>
        <v>#NAME?</v>
      </c>
      <c r="FL18" s="3" t="e">
        <f ca="1">[2]!tazmb(FK18,FA8)</f>
        <v>#NAME?</v>
      </c>
      <c r="FN18" s="433" t="e">
        <f ca="1">[2]!ba(IF(OR(FE18&lt;FD18,FE18&gt;(FD18+(EY11/EY18))),FF18+EY13,FF18+EY13+EY10))</f>
        <v>#NAME?</v>
      </c>
      <c r="FO18" s="327"/>
      <c r="FQ18" s="303" t="s">
        <v>2238</v>
      </c>
      <c r="FR18" s="304">
        <f>[1]!mtl(FR5,FR9)</f>
        <v>115.96404566355515</v>
      </c>
      <c r="FS18" s="437">
        <f>INT(ABS(FR18))</f>
        <v>115</v>
      </c>
      <c r="FT18" s="437">
        <f>INT((ABS(FR18)-FS18)*60)</f>
        <v>57</v>
      </c>
      <c r="FU18" s="437">
        <f>INT((((ABS(FR18)-FS18)*60)-FT18)*60)</f>
        <v>50</v>
      </c>
      <c r="FV18" s="305"/>
      <c r="GE18" s="274"/>
      <c r="GF18" s="274"/>
      <c r="GG18" s="274"/>
      <c r="GH18" s="274"/>
      <c r="GI18" s="274"/>
      <c r="GJ18" s="276"/>
      <c r="GK18" s="276"/>
      <c r="GL18" s="276"/>
      <c r="GM18" s="274"/>
      <c r="GN18" s="274"/>
      <c r="GO18" s="274"/>
      <c r="GP18" s="274"/>
      <c r="GQ18" s="274"/>
      <c r="GR18" s="274"/>
      <c r="GS18" s="276"/>
      <c r="GT18" s="276"/>
      <c r="GU18" s="274"/>
      <c r="HM18" s="150" t="s">
        <v>2341</v>
      </c>
      <c r="HN18" s="150" t="s">
        <v>345</v>
      </c>
      <c r="HO18" s="154" t="e">
        <f ca="1">[2]!asabejermm(HO13,HO14)</f>
        <v>#NAME?</v>
      </c>
      <c r="HP18" s="157" t="e">
        <f t="shared" ca="1" si="71"/>
        <v>#NAME?</v>
      </c>
      <c r="HQ18" s="157" t="e">
        <f t="shared" ca="1" si="72"/>
        <v>#NAME?</v>
      </c>
      <c r="HR18" s="157" t="e">
        <f t="shared" ca="1" si="73"/>
        <v>#NAME?</v>
      </c>
      <c r="HS18" s="157" t="e">
        <f t="shared" ca="1" si="74"/>
        <v>#NAME?</v>
      </c>
      <c r="HU18" s="497">
        <f>HO14</f>
        <v>75</v>
      </c>
      <c r="HV18" s="395" t="e">
        <f ca="1">HO17</f>
        <v>#NAME?</v>
      </c>
      <c r="HW18" s="296" t="e">
        <f ca="1">HO30</f>
        <v>#NAME?</v>
      </c>
      <c r="HX18" s="395" t="e">
        <f ca="1">HO18</f>
        <v>#NAME?</v>
      </c>
      <c r="IA18" s="150"/>
      <c r="IB18" s="498" t="s">
        <v>345</v>
      </c>
      <c r="IC18" s="150" t="e">
        <f ca="1">[2]!asabeqotrr(IC13,IC14)</f>
        <v>#NAME?</v>
      </c>
      <c r="ID18" s="157" t="e">
        <f t="shared" ca="1" si="53"/>
        <v>#NAME?</v>
      </c>
      <c r="IE18" s="157" t="e">
        <f t="shared" ca="1" si="54"/>
        <v>#NAME?</v>
      </c>
      <c r="IF18" s="157" t="e">
        <f t="shared" ca="1" si="55"/>
        <v>#NAME?</v>
      </c>
      <c r="IG18" s="157" t="e">
        <f t="shared" ca="1" si="56"/>
        <v>#NAME?</v>
      </c>
      <c r="II18" s="296" t="e">
        <f ca="1">IC30</f>
        <v>#NAME?</v>
      </c>
      <c r="IJ18" s="395" t="e">
        <f ca="1">IC18</f>
        <v>#NAME?</v>
      </c>
      <c r="IX18" s="797"/>
      <c r="IY18" s="701"/>
      <c r="IZ18" s="300" t="s">
        <v>3955</v>
      </c>
      <c r="JA18" s="1328"/>
      <c r="JB18" s="1328"/>
      <c r="JC18" s="1328"/>
      <c r="JD18" s="1329"/>
      <c r="JE18" s="300" t="s">
        <v>3956</v>
      </c>
      <c r="JF18" s="301"/>
      <c r="JG18" s="301"/>
      <c r="JH18" s="301"/>
      <c r="JI18" s="779" t="s">
        <v>2229</v>
      </c>
      <c r="JJ18" s="251">
        <f>[1]!tl(IZ5,JJ17)</f>
        <v>222.72936298413771</v>
      </c>
      <c r="JK18" s="1346"/>
      <c r="JL18" s="1346"/>
      <c r="JM18" s="1347"/>
      <c r="JN18" s="251"/>
      <c r="JO18" s="251"/>
      <c r="JP18" s="251"/>
      <c r="JQ18" s="251"/>
      <c r="JR18" s="644"/>
      <c r="JS18" s="274"/>
      <c r="JT18" s="276"/>
      <c r="JU18" s="276"/>
      <c r="JV18" s="327"/>
      <c r="JW18" s="327"/>
      <c r="JX18" s="327"/>
      <c r="JY18" s="327"/>
      <c r="JZ18" s="327"/>
      <c r="KA18" s="327"/>
      <c r="KB18" s="327"/>
      <c r="KC18" s="1394"/>
      <c r="KD18" s="965" t="s">
        <v>3966</v>
      </c>
      <c r="KE18" s="965"/>
      <c r="KF18" s="965"/>
      <c r="KG18" s="965"/>
      <c r="KH18" s="965"/>
      <c r="KI18" s="965"/>
      <c r="KJ18" s="1393"/>
      <c r="KK18" s="965" t="s">
        <v>1706</v>
      </c>
      <c r="KL18" s="965"/>
      <c r="KM18" s="965"/>
      <c r="KN18" s="965"/>
      <c r="KO18" s="965"/>
      <c r="KP18" s="1395"/>
      <c r="KQ18" s="764"/>
      <c r="KR18" s="327"/>
    </row>
    <row r="19" spans="2:304" ht="24.75">
      <c r="D19" s="10" t="s">
        <v>219</v>
      </c>
      <c r="O19" s="1" t="s">
        <v>177</v>
      </c>
      <c r="P19" s="1">
        <v>30</v>
      </c>
      <c r="Q19" s="31">
        <f t="shared" si="61"/>
        <v>30</v>
      </c>
      <c r="R19" s="31">
        <f t="shared" si="62"/>
        <v>0</v>
      </c>
      <c r="S19" s="31">
        <f t="shared" si="63"/>
        <v>0</v>
      </c>
      <c r="T19" s="31">
        <f t="shared" si="64"/>
        <v>0</v>
      </c>
      <c r="U19" s="31">
        <f t="shared" si="65"/>
        <v>0</v>
      </c>
      <c r="V19" s="31">
        <f t="shared" si="66"/>
        <v>0</v>
      </c>
      <c r="W19" s="31">
        <f t="shared" si="67"/>
        <v>0</v>
      </c>
      <c r="X19" t="s">
        <v>179</v>
      </c>
      <c r="Y19">
        <f>IF(X19="شمالی",1,2)</f>
        <v>1</v>
      </c>
      <c r="Z19" s="10"/>
      <c r="AA19" s="10"/>
      <c r="AB19" s="10" t="s">
        <v>219</v>
      </c>
      <c r="AC19" s="10"/>
      <c r="AD19" s="10"/>
      <c r="AE19" s="10"/>
      <c r="AF19" s="10"/>
      <c r="AG19" s="10"/>
      <c r="AH19" s="10"/>
      <c r="AI19" s="10"/>
      <c r="AJ19" s="10"/>
      <c r="AM19" s="10"/>
      <c r="AN19" s="10"/>
      <c r="AO19" s="10" t="s">
        <v>219</v>
      </c>
      <c r="AP19" s="10"/>
      <c r="AQ19" s="10"/>
      <c r="AR19" s="10"/>
      <c r="AS19" s="10"/>
      <c r="AT19" s="10"/>
      <c r="AU19" s="10"/>
      <c r="AV19" s="10"/>
      <c r="AW19" s="10"/>
      <c r="BO19" s="216"/>
      <c r="BP19" s="113" t="e">
        <f ca="1">BP18-90</f>
        <v>#NAME?</v>
      </c>
      <c r="BQ19" s="113"/>
      <c r="BR19" s="215"/>
      <c r="BY19" s="224" t="s">
        <v>306</v>
      </c>
      <c r="BZ19" s="238" t="e">
        <f ca="1">[2]!sn(BZ14)*BZ15/60</f>
        <v>#NAME?</v>
      </c>
      <c r="CA19" s="271"/>
      <c r="CB19" s="224"/>
      <c r="CC19" s="238"/>
      <c r="CD19" s="271"/>
      <c r="CI19" s="392"/>
      <c r="CJ19" s="393"/>
      <c r="CK19" s="393"/>
      <c r="CL19" s="393"/>
      <c r="CM19" s="393"/>
      <c r="CN19" s="393" t="s">
        <v>2167</v>
      </c>
      <c r="CO19" s="393"/>
      <c r="CP19" s="393"/>
      <c r="CQ19" s="393" t="e">
        <f ca="1">CP14+(90-ABS(CH7))</f>
        <v>#NAME?</v>
      </c>
      <c r="CR19" s="393" t="e">
        <f ca="1">[2]!asn([2]!sn(CQ19)*[2]!sn(CO14)/60)</f>
        <v>#NAME?</v>
      </c>
      <c r="CS19" s="394" t="e">
        <f ca="1">90+CR19</f>
        <v>#NAME?</v>
      </c>
      <c r="CT19" s="346"/>
      <c r="CU19" s="346"/>
      <c r="DA19" s="297">
        <f>IF(DC19&gt;0,1,-1)</f>
        <v>1</v>
      </c>
      <c r="DB19" s="113" t="s">
        <v>2154</v>
      </c>
      <c r="DC19" s="215">
        <f>DB5</f>
        <v>35</v>
      </c>
      <c r="DD19" s="280"/>
      <c r="DE19" s="325">
        <v>2</v>
      </c>
      <c r="DF19" s="226"/>
      <c r="DG19" s="325" t="s">
        <v>2158</v>
      </c>
      <c r="DH19" s="325"/>
      <c r="DI19" s="325" t="e">
        <f ca="1">[2]!asn([2]!csn(ABS(DC19+DC17))*[2]!sn(ABS(90-DC21))/60)</f>
        <v>#NAME?</v>
      </c>
      <c r="DJ19" s="325"/>
      <c r="DK19" s="325"/>
      <c r="DL19" s="325"/>
      <c r="DM19" s="395"/>
      <c r="DN19" s="326" t="e">
        <f ca="1">90-DI19</f>
        <v>#NAME?</v>
      </c>
      <c r="DO19" s="363"/>
      <c r="DP19" s="363"/>
      <c r="DV19" s="327"/>
      <c r="DW19" s="33"/>
      <c r="DX19" s="33"/>
      <c r="DY19" s="33"/>
      <c r="DZ19" s="33"/>
      <c r="EA19" s="33"/>
      <c r="EB19" s="33"/>
      <c r="EC19" s="33"/>
      <c r="EK19" s="701"/>
      <c r="EL19" s="304" t="s">
        <v>1387</v>
      </c>
      <c r="EM19" s="304">
        <f>IF(EM15=1,IF(EM17-EM18&gt;0,EM17-EM18,EM17-EM18+360),IF(EM17+EM18&lt;360,EM17+EM18,EM17+EM18-360))</f>
        <v>1.8270756038195231</v>
      </c>
      <c r="EN19" s="304"/>
      <c r="EO19" s="304"/>
      <c r="EP19" s="304"/>
      <c r="EQ19" s="314"/>
      <c r="ER19" s="226"/>
      <c r="ES19" s="226" t="e">
        <f ca="1">[2]!asn([2]!sn(ES10)*[2]!csn(ES18)/60)</f>
        <v>#NAME?</v>
      </c>
      <c r="ET19" s="226"/>
      <c r="EU19" s="226"/>
      <c r="EV19" s="227"/>
      <c r="FQ19" s="303"/>
      <c r="FR19" s="304">
        <f>IF(FR17-FR18&gt;0,FR17-FR18,FR17-FR18+360)</f>
        <v>245.93420929010878</v>
      </c>
      <c r="FS19" s="437">
        <f>INT(ABS(FR19))</f>
        <v>245</v>
      </c>
      <c r="FT19" s="437">
        <f>INT((ABS(FR19)-FS19)*60)</f>
        <v>56</v>
      </c>
      <c r="FU19" s="437">
        <f>INT((((ABS(FR19)-FS19)*60)-FT19)*60)</f>
        <v>3</v>
      </c>
      <c r="FV19" s="305"/>
      <c r="FZ19" t="e">
        <f ca="1">[2]!hesseh(FZ6,FZ7,FZ8,FZ9)</f>
        <v>#NAME?</v>
      </c>
      <c r="GA19" s="225" t="e">
        <f ca="1">INT(ABS(FZ19))</f>
        <v>#NAME?</v>
      </c>
      <c r="GB19" s="225" t="e">
        <f ca="1">INT((ABS(FZ19)-GA19)*60)</f>
        <v>#NAME?</v>
      </c>
      <c r="GC19" s="436" t="e">
        <f ca="1">INT((((ABS(FZ19)-GA19)*60)-GB19)*60)</f>
        <v>#NAME?</v>
      </c>
      <c r="GE19" s="274"/>
      <c r="GF19" s="274"/>
      <c r="GG19" s="274"/>
      <c r="GH19" s="274"/>
      <c r="GI19" s="274"/>
      <c r="GJ19" s="276"/>
      <c r="GK19" s="276"/>
      <c r="GL19" s="276"/>
      <c r="GM19" s="274"/>
      <c r="GN19" s="274"/>
      <c r="GO19" s="274"/>
      <c r="GP19" s="274"/>
      <c r="GQ19" s="274"/>
      <c r="GR19" s="274"/>
      <c r="GS19" s="276"/>
      <c r="GT19" s="276"/>
      <c r="GU19" s="274"/>
      <c r="HM19" s="150" t="s">
        <v>333</v>
      </c>
      <c r="HN19" s="150" t="s">
        <v>346</v>
      </c>
      <c r="HO19" s="150" t="e">
        <f ca="1">HO16-HO15</f>
        <v>#NAME?</v>
      </c>
      <c r="HP19" s="157" t="e">
        <f t="shared" ca="1" si="71"/>
        <v>#NAME?</v>
      </c>
      <c r="HQ19" s="157" t="e">
        <f t="shared" ca="1" si="72"/>
        <v>#NAME?</v>
      </c>
      <c r="HR19" s="157" t="e">
        <f t="shared" ca="1" si="73"/>
        <v>#NAME?</v>
      </c>
      <c r="HS19" s="157" t="e">
        <f t="shared" ca="1" si="74"/>
        <v>#NAME?</v>
      </c>
      <c r="IA19" s="150"/>
      <c r="IB19" s="498" t="s">
        <v>346</v>
      </c>
      <c r="IC19" s="348" t="e">
        <f ca="1">IC17-IC15</f>
        <v>#NAME?</v>
      </c>
      <c r="ID19" s="157" t="e">
        <f ca="1">INT(ABS(IC19))</f>
        <v>#NAME?</v>
      </c>
      <c r="IE19" s="157" t="e">
        <f ca="1">INT((ABS(IC19)-ID19)*60)</f>
        <v>#NAME?</v>
      </c>
      <c r="IF19" s="157" t="e">
        <f ca="1">INT((((ABS(IC19)-ID19)*60)-IE19)*60)</f>
        <v>#NAME?</v>
      </c>
      <c r="IG19" s="157" t="e">
        <f ca="1">INT((((((ABS(IC19)-ID19)*60)-IE19)*60)-IF19)*60)</f>
        <v>#NAME?</v>
      </c>
      <c r="IX19" s="797"/>
      <c r="IY19" s="701" t="s">
        <v>2201</v>
      </c>
      <c r="IZ19" s="303">
        <f>IZ13/IZ16</f>
        <v>5.9934738718218306</v>
      </c>
      <c r="JA19" s="437">
        <f t="shared" ref="JA19:JA27" si="75">INT(ABS(IZ19))</f>
        <v>5</v>
      </c>
      <c r="JB19" s="437">
        <f t="shared" ref="JB19:JB27" si="76">INT((ABS(IZ19)-JA19)*60)</f>
        <v>59</v>
      </c>
      <c r="JC19" s="437">
        <f t="shared" ref="JC19:JC27" si="77">INT((((ABS(IZ19)-JA19)*60)-JB19)*60)</f>
        <v>36</v>
      </c>
      <c r="JD19" s="1330">
        <f t="shared" ref="JD19:JD27" si="78">INT((((((ABS(IZ19)-JA19)*60)-JB19)*60)-JC19)*60)</f>
        <v>30</v>
      </c>
      <c r="JE19" s="303">
        <f>IZ13/IZ17</f>
        <v>5.9922040006702737</v>
      </c>
      <c r="JF19" s="437">
        <f t="shared" ref="JF19:JF26" si="79">INT(ABS(JE19))</f>
        <v>5</v>
      </c>
      <c r="JG19" s="437">
        <f t="shared" ref="JG19:JG26" si="80">INT((ABS(JE19)-JF19)*60)</f>
        <v>59</v>
      </c>
      <c r="JH19" s="437">
        <f t="shared" ref="JH19:JH26" si="81">INT((((ABS(JE19)-JF19)*60)-JG19)*60)</f>
        <v>31</v>
      </c>
      <c r="JI19" s="779" t="s">
        <v>2219</v>
      </c>
      <c r="JJ19" s="251">
        <f>[1]!ba(JJ17+180)</f>
        <v>40.282651692396598</v>
      </c>
      <c r="JK19" s="1346"/>
      <c r="JL19" s="1346"/>
      <c r="JM19" s="1347"/>
      <c r="JN19" s="251"/>
      <c r="JO19" s="251"/>
      <c r="JP19" s="251"/>
      <c r="JQ19" s="251"/>
      <c r="JR19" s="644"/>
      <c r="JS19" s="274"/>
      <c r="JT19" s="276"/>
      <c r="JU19" s="276"/>
      <c r="JV19" s="327"/>
      <c r="JW19" s="327"/>
      <c r="JX19" s="327"/>
      <c r="JY19" s="327"/>
      <c r="JZ19" s="327"/>
      <c r="KA19" s="327"/>
      <c r="KB19" s="327"/>
      <c r="KC19" s="327"/>
      <c r="KD19" s="327"/>
      <c r="KE19" s="327"/>
      <c r="KF19" s="327"/>
      <c r="KG19" s="327"/>
      <c r="KH19" s="327"/>
      <c r="KI19" s="327"/>
      <c r="KJ19" s="327"/>
      <c r="KK19" s="327"/>
      <c r="KL19" s="327"/>
      <c r="KM19" s="327"/>
      <c r="KN19" s="327"/>
      <c r="KO19" s="327"/>
      <c r="KP19" s="327"/>
      <c r="KQ19" s="327"/>
      <c r="KR19" s="327"/>
    </row>
    <row r="20" spans="2:304" ht="24.75">
      <c r="B20" s="10" t="s">
        <v>217</v>
      </c>
      <c r="C20" s="10">
        <v>14.357590760000001</v>
      </c>
      <c r="D20" s="28">
        <f>INT(C20)</f>
        <v>14</v>
      </c>
      <c r="E20" s="28">
        <f>INT((C20-D20)*60)</f>
        <v>21</v>
      </c>
      <c r="F20" s="28">
        <f>INT((((C20-D20)*60)-E20)*60)</f>
        <v>27</v>
      </c>
      <c r="G20" s="28">
        <f>INT((((((C20-D20)*60)-E20)*60)-F20)*60)</f>
        <v>19</v>
      </c>
      <c r="H20" s="28">
        <f>INT((((((((C20-D20)*60)-E20)*60)-F20)*60)-G20)*60)</f>
        <v>36</v>
      </c>
      <c r="I20" s="28">
        <f>INT((((((((((C20-D20)*60)-E20)*60)-F20)*60)-G20)*60)-H20)*60)</f>
        <v>14</v>
      </c>
      <c r="J20" s="28">
        <f>INT((((((((((((C20-D20)*60)-E20)*60)-F20)*60)-G20)*60)-H20)*60)-I20)*60)</f>
        <v>58</v>
      </c>
      <c r="O20" s="1" t="s">
        <v>230</v>
      </c>
      <c r="P20" s="1">
        <f>IF(Y19=1,IF(OR(P16&lt;=90,P16&gt;=270),(90-P19)-P18,(90-P19)+P18),IF(OR(P16&lt;=90,P16&gt;=270),(90-P19)+P18,(90-P19)-P18))</f>
        <v>45.179216359553749</v>
      </c>
      <c r="Q20" s="31">
        <f t="shared" si="61"/>
        <v>45</v>
      </c>
      <c r="R20" s="31">
        <f t="shared" si="62"/>
        <v>10</v>
      </c>
      <c r="S20" s="31">
        <f t="shared" si="63"/>
        <v>45</v>
      </c>
      <c r="T20" s="31">
        <f t="shared" si="64"/>
        <v>10</v>
      </c>
      <c r="U20" s="31">
        <f t="shared" si="65"/>
        <v>44</v>
      </c>
      <c r="V20" s="31">
        <f t="shared" si="66"/>
        <v>1</v>
      </c>
      <c r="W20" s="31">
        <f t="shared" si="67"/>
        <v>11</v>
      </c>
      <c r="Z20" s="10" t="s">
        <v>217</v>
      </c>
      <c r="AA20" s="10">
        <v>14.357590760000001</v>
      </c>
      <c r="AB20" s="28">
        <f>INT(AA20)</f>
        <v>14</v>
      </c>
      <c r="AC20" s="28">
        <f>INT((AA20-AB20)*60)</f>
        <v>21</v>
      </c>
      <c r="AD20" s="28">
        <f>INT((((AA20-AB20)*60)-AC20)*60)</f>
        <v>27</v>
      </c>
      <c r="AE20" s="28">
        <f>INT((((((AA20-AB20)*60)-AC20)*60)-AD20)*60)</f>
        <v>19</v>
      </c>
      <c r="AF20" s="28">
        <f>INT((((((((AA20-AB20)*60)-AC20)*60)-AD20)*60)-AE20)*60)</f>
        <v>36</v>
      </c>
      <c r="AG20" s="28">
        <f>INT((((((((((AA20-AB20)*60)-AC20)*60)-AD20)*60)-AE20)*60)-AF20)*60)</f>
        <v>14</v>
      </c>
      <c r="AH20" s="28">
        <f>INT((((((((((((AA20-AB20)*60)-AC20)*60)-AD20)*60)-AE20)*60)-AF20)*60)-AG20)*60)</f>
        <v>58</v>
      </c>
      <c r="AI20" s="10"/>
      <c r="AJ20" s="10"/>
      <c r="AM20" s="10" t="s">
        <v>217</v>
      </c>
      <c r="AN20" s="10">
        <v>14.357590760000001</v>
      </c>
      <c r="AO20" s="28">
        <f>INT(AN20)</f>
        <v>14</v>
      </c>
      <c r="AP20" s="28">
        <f>INT((AN20-AO20)*60)</f>
        <v>21</v>
      </c>
      <c r="AQ20" s="28">
        <f>INT((((AN20-AO20)*60)-AP20)*60)</f>
        <v>27</v>
      </c>
      <c r="AR20" s="28">
        <f>INT((((((AN20-AO20)*60)-AP20)*60)-AQ20)*60)</f>
        <v>19</v>
      </c>
      <c r="AS20" s="28">
        <f>INT((((((((AN20-AO20)*60)-AP20)*60)-AQ20)*60)-AR20)*60)</f>
        <v>36</v>
      </c>
      <c r="AT20" s="28">
        <f>INT((((((((((AN20-AO20)*60)-AP20)*60)-AQ20)*60)-AR20)*60)-AS20)*60)</f>
        <v>14</v>
      </c>
      <c r="AU20" s="28">
        <f>INT((((((((((((AN20-AO20)*60)-AP20)*60)-AQ20)*60)-AR20)*60)-AS20)*60)-AT20)*60)</f>
        <v>58</v>
      </c>
      <c r="AV20" s="10"/>
      <c r="AW20" s="10"/>
      <c r="BO20" s="234" t="s">
        <v>177</v>
      </c>
      <c r="BP20" s="235" t="e">
        <f ca="1">IF(BP15=1,BP17,BP19)</f>
        <v>#NAME?</v>
      </c>
      <c r="BQ20" s="235"/>
      <c r="BR20" s="236"/>
      <c r="BY20" s="224" t="s">
        <v>307</v>
      </c>
      <c r="BZ20" s="238" t="e">
        <f ca="1">[2]!csn(BZ14)*(BZ15)/60</f>
        <v>#NAME?</v>
      </c>
      <c r="CA20" s="271"/>
      <c r="CB20" s="224"/>
      <c r="CC20" s="238"/>
      <c r="CD20" s="271"/>
      <c r="CI20" s="202"/>
      <c r="CJ20" s="268">
        <v>5</v>
      </c>
      <c r="CK20" s="268"/>
      <c r="CL20" s="268" t="s">
        <v>2164</v>
      </c>
      <c r="CM20" s="268"/>
      <c r="CN20" s="268" t="s">
        <v>2166</v>
      </c>
      <c r="CO20" s="268"/>
      <c r="CP20" s="268"/>
      <c r="CQ20" s="268"/>
      <c r="CR20" s="346"/>
      <c r="CS20" s="268">
        <f>180-(ABS(CH5)+ABS(CH7))</f>
        <v>123.61091759999999</v>
      </c>
      <c r="CT20" s="346">
        <f>IF(CF5=CF7,CS20,CS21)</f>
        <v>123.61091759999999</v>
      </c>
      <c r="CU20" s="346"/>
      <c r="DA20" s="297"/>
      <c r="DB20" s="113" t="s">
        <v>2155</v>
      </c>
      <c r="DC20" s="215">
        <f>DB6</f>
        <v>50.87</v>
      </c>
      <c r="DD20" s="280">
        <v>2</v>
      </c>
      <c r="DE20" s="226">
        <v>3</v>
      </c>
      <c r="DF20" s="226" t="s">
        <v>2159</v>
      </c>
      <c r="DG20" s="226" t="s">
        <v>2162</v>
      </c>
      <c r="DH20" s="226"/>
      <c r="DI20" s="226"/>
      <c r="DJ20" s="226"/>
      <c r="DK20" s="226"/>
      <c r="DL20" s="226"/>
      <c r="DM20" s="395"/>
      <c r="DN20" s="227">
        <f>DC21</f>
        <v>11.012088200000001</v>
      </c>
      <c r="DO20" s="363"/>
      <c r="DP20" s="363"/>
      <c r="EK20" s="701"/>
      <c r="EL20" s="304" t="s">
        <v>357</v>
      </c>
      <c r="EM20" s="304">
        <f>IF(EM19+90&lt;360,EM19+90,EM19+90-360)</f>
        <v>91.827075603819523</v>
      </c>
      <c r="EN20" s="304"/>
      <c r="EO20" s="304"/>
      <c r="EP20" s="304"/>
      <c r="EQ20" s="314"/>
      <c r="ER20" s="226" t="s">
        <v>2186</v>
      </c>
      <c r="ES20" s="226" t="e">
        <f ca="1">IF(OR(AND(ES6&gt;ES8,ES6&lt;ES7),OR(ES6&lt;ES8,ES6&gt;ES7)),ES19,ES19*-1)</f>
        <v>#NAME?</v>
      </c>
      <c r="ET20" s="226"/>
      <c r="EU20" s="226"/>
      <c r="EV20" s="227"/>
      <c r="EX20" t="s">
        <v>2210</v>
      </c>
      <c r="EY20" t="s">
        <v>273</v>
      </c>
      <c r="EZ20" t="s">
        <v>255</v>
      </c>
      <c r="FA20" t="s">
        <v>1608</v>
      </c>
      <c r="FB20" t="s">
        <v>1609</v>
      </c>
      <c r="FC20" t="s">
        <v>1610</v>
      </c>
      <c r="FD20" t="s">
        <v>943</v>
      </c>
      <c r="FE20" t="s">
        <v>1611</v>
      </c>
      <c r="FF20" t="s">
        <v>1612</v>
      </c>
      <c r="FG20" t="s">
        <v>1613</v>
      </c>
      <c r="FH20" t="s">
        <v>1606</v>
      </c>
      <c r="FI20" t="s">
        <v>256</v>
      </c>
      <c r="FJ20" t="s">
        <v>1607</v>
      </c>
      <c r="FQ20" s="440" t="s">
        <v>2239</v>
      </c>
      <c r="FR20" s="441">
        <f>FR19/15</f>
        <v>16.395613952673919</v>
      </c>
      <c r="FS20" s="442">
        <f>INT(ABS(FR20))</f>
        <v>16</v>
      </c>
      <c r="FT20" s="442">
        <f>INT((ABS(FR20)-FS20)*60)</f>
        <v>23</v>
      </c>
      <c r="FU20" s="442">
        <f>INT((((ABS(FR20)-FS20)*60)-FT20)*60)</f>
        <v>44</v>
      </c>
      <c r="FV20" s="443" t="s">
        <v>2240</v>
      </c>
      <c r="FZ20" t="e">
        <f ca="1">[2]!arzqmr(FZ19)</f>
        <v>#NAME?</v>
      </c>
      <c r="GA20" s="225" t="e">
        <f ca="1">INT(ABS(FZ20))</f>
        <v>#NAME?</v>
      </c>
      <c r="GB20" s="225" t="e">
        <f ca="1">INT((ABS(FZ20)-GA20)*60)</f>
        <v>#NAME?</v>
      </c>
      <c r="GC20" s="436" t="e">
        <f ca="1">INT((((ABS(FZ20)-GA20)*60)-GB20)*60)</f>
        <v>#NAME?</v>
      </c>
      <c r="GE20" s="274"/>
      <c r="GF20" s="274"/>
      <c r="GG20" s="274"/>
      <c r="GH20" s="274"/>
      <c r="GI20" s="274"/>
      <c r="GJ20" s="276"/>
      <c r="GK20" s="276"/>
      <c r="GL20" s="276"/>
      <c r="GM20" s="274"/>
      <c r="GN20" s="274"/>
      <c r="GO20" s="274"/>
      <c r="GP20" s="274"/>
      <c r="GQ20" s="274"/>
      <c r="GR20" s="274"/>
      <c r="GS20" s="276"/>
      <c r="GT20" s="276"/>
      <c r="GU20" s="274"/>
      <c r="HM20" s="150" t="s">
        <v>341</v>
      </c>
      <c r="HN20" s="150" t="s">
        <v>347</v>
      </c>
      <c r="HO20" s="150" t="e">
        <f ca="1">HO17-HO15</f>
        <v>#NAME?</v>
      </c>
      <c r="HP20" s="157" t="e">
        <f t="shared" ca="1" si="71"/>
        <v>#NAME?</v>
      </c>
      <c r="HQ20" s="157" t="e">
        <f t="shared" ca="1" si="72"/>
        <v>#NAME?</v>
      </c>
      <c r="HR20" s="157" t="e">
        <f t="shared" ca="1" si="73"/>
        <v>#NAME?</v>
      </c>
      <c r="HS20" s="157" t="e">
        <f t="shared" ca="1" si="74"/>
        <v>#NAME?</v>
      </c>
      <c r="IA20" s="150"/>
      <c r="IB20" s="498" t="s">
        <v>347</v>
      </c>
      <c r="IC20" s="348">
        <f>IC5-IC7</f>
        <v>1.6666666666666718E-2</v>
      </c>
      <c r="ID20" s="157">
        <f>INT(ABS(IC20))</f>
        <v>0</v>
      </c>
      <c r="IE20" s="157">
        <f>INT((ABS(IC20)-ID20)*60)</f>
        <v>1</v>
      </c>
      <c r="IF20" s="157">
        <f>INT((((ABS(IC20)-ID20)*60)-IE20)*60)</f>
        <v>0</v>
      </c>
      <c r="IG20" s="157">
        <f>INT((((((ABS(IC20)-ID20)*60)-IE20)*60)-IF20)*60)</f>
        <v>0</v>
      </c>
      <c r="IX20" s="797"/>
      <c r="IY20" s="701" t="s">
        <v>2204</v>
      </c>
      <c r="IZ20" s="303">
        <f>JB6+(JB7/60)+(JB8/3600)</f>
        <v>11.260833333333334</v>
      </c>
      <c r="JA20" s="437">
        <f t="shared" si="75"/>
        <v>11</v>
      </c>
      <c r="JB20" s="437">
        <f t="shared" si="76"/>
        <v>15</v>
      </c>
      <c r="JC20" s="437">
        <f t="shared" si="77"/>
        <v>39</v>
      </c>
      <c r="JD20" s="1330">
        <f t="shared" si="78"/>
        <v>0</v>
      </c>
      <c r="JE20" s="303">
        <f>IZ20</f>
        <v>11.260833333333334</v>
      </c>
      <c r="JF20" s="437">
        <f t="shared" si="79"/>
        <v>11</v>
      </c>
      <c r="JG20" s="437">
        <f t="shared" si="80"/>
        <v>15</v>
      </c>
      <c r="JH20" s="437">
        <f t="shared" si="81"/>
        <v>39</v>
      </c>
      <c r="JI20" s="779" t="s">
        <v>2228</v>
      </c>
      <c r="JJ20" s="251">
        <f>[1]!tl(IZ5,JJ19)</f>
        <v>42.729362984137715</v>
      </c>
      <c r="JK20" s="1346"/>
      <c r="JL20" s="1346"/>
      <c r="JM20" s="1347"/>
      <c r="JN20" s="251"/>
      <c r="JO20" s="251"/>
      <c r="JP20" s="251"/>
      <c r="JQ20" s="251"/>
      <c r="JR20" s="644"/>
      <c r="JS20" s="274"/>
      <c r="JT20" s="276"/>
      <c r="JU20" s="276"/>
      <c r="JV20" s="327"/>
      <c r="JW20" s="327"/>
      <c r="JX20" s="327"/>
      <c r="JY20" s="327"/>
      <c r="JZ20" s="327"/>
      <c r="KA20" s="327"/>
      <c r="KB20" s="327"/>
      <c r="KC20" s="327"/>
      <c r="KD20" s="327"/>
      <c r="KE20" s="327"/>
      <c r="KF20" s="327"/>
      <c r="KG20" s="327"/>
      <c r="KH20" s="327"/>
      <c r="KI20" s="327"/>
      <c r="KJ20" s="327"/>
      <c r="KK20" s="327"/>
      <c r="KL20" s="327"/>
      <c r="KM20" s="327"/>
      <c r="KN20" s="327"/>
      <c r="KO20" s="327"/>
      <c r="KP20" s="327"/>
      <c r="KQ20" s="327"/>
      <c r="KR20" s="327"/>
    </row>
    <row r="21" spans="2:304" ht="25.5" thickBot="1">
      <c r="B21" s="10" t="s">
        <v>177</v>
      </c>
      <c r="C21" s="10">
        <v>5</v>
      </c>
      <c r="D21" s="28">
        <f>INT(C21)</f>
        <v>5</v>
      </c>
      <c r="E21" s="28">
        <f>INT((C21-D21)*60)</f>
        <v>0</v>
      </c>
      <c r="F21" s="28">
        <f>INT((((C21-D21)*60)-E21)*60)</f>
        <v>0</v>
      </c>
      <c r="G21" s="28">
        <f>INT((((((C21-D21)*60)-E21)*60)-F21)*60)</f>
        <v>0</v>
      </c>
      <c r="H21" s="28">
        <f>INT((((((((C21-D21)*60)-E21)*60)-F21)*60)-G21)*60)</f>
        <v>0</v>
      </c>
      <c r="I21" s="28">
        <f>INT((((((((((C21-D21)*60)-E21)*60)-F21)*60)-G21)*60)-H21)*60)</f>
        <v>0</v>
      </c>
      <c r="J21" s="28">
        <f>INT((((((((((((C21-D21)*60)-E21)*60)-F21)*60)-G21)*60)-H21)*60)-I21)*60)</f>
        <v>0</v>
      </c>
      <c r="K21" t="s">
        <v>274</v>
      </c>
      <c r="L21">
        <f>IF(K21="شمالی",1,2)</f>
        <v>2</v>
      </c>
      <c r="O21" s="1" t="s">
        <v>231</v>
      </c>
      <c r="P21" s="1">
        <v>0</v>
      </c>
      <c r="Q21" s="31">
        <f t="shared" si="61"/>
        <v>0</v>
      </c>
      <c r="R21" s="31">
        <f t="shared" si="62"/>
        <v>0</v>
      </c>
      <c r="S21" s="31">
        <f t="shared" si="63"/>
        <v>0</v>
      </c>
      <c r="T21" s="31">
        <f t="shared" si="64"/>
        <v>0</v>
      </c>
      <c r="U21" s="31">
        <f t="shared" si="65"/>
        <v>0</v>
      </c>
      <c r="V21" s="31">
        <f t="shared" si="66"/>
        <v>0</v>
      </c>
      <c r="W21" s="31">
        <f t="shared" si="67"/>
        <v>0</v>
      </c>
      <c r="X21" t="s">
        <v>179</v>
      </c>
      <c r="Y21">
        <f>IF(X21="شمالی",1,2)</f>
        <v>1</v>
      </c>
      <c r="Z21" s="10" t="s">
        <v>177</v>
      </c>
      <c r="AA21" s="10">
        <v>24.8</v>
      </c>
      <c r="AB21" s="28">
        <f>INT(AA21)</f>
        <v>24</v>
      </c>
      <c r="AC21" s="28">
        <f>INT((AA21-AB21)*60)</f>
        <v>48</v>
      </c>
      <c r="AD21" s="28">
        <f>INT((((AA21-AB21)*60)-AC21)*60)</f>
        <v>0</v>
      </c>
      <c r="AE21" s="28">
        <f>INT((((((AA21-AB21)*60)-AC21)*60)-AD21)*60)</f>
        <v>0</v>
      </c>
      <c r="AF21" s="28">
        <f>INT((((((((AA21-AB21)*60)-AC21)*60)-AD21)*60)-AE21)*60)</f>
        <v>0</v>
      </c>
      <c r="AG21" s="28">
        <f>INT((((((((((AA21-AB21)*60)-AC21)*60)-AD21)*60)-AE21)*60)-AF21)*60)</f>
        <v>0</v>
      </c>
      <c r="AH21" s="28">
        <f>INT((((((((((((AA21-AB21)*60)-AC21)*60)-AD21)*60)-AE21)*60)-AF21)*60)-AG21)*60)</f>
        <v>0</v>
      </c>
      <c r="AI21" s="10" t="s">
        <v>179</v>
      </c>
      <c r="AJ21" s="10">
        <f>IF(AI21="شمالی",1,2)</f>
        <v>1</v>
      </c>
      <c r="AM21" s="10" t="s">
        <v>177</v>
      </c>
      <c r="AN21" s="10">
        <v>24.8</v>
      </c>
      <c r="AO21" s="28">
        <f>INT(AN21)</f>
        <v>24</v>
      </c>
      <c r="AP21" s="28">
        <f>INT((AN21-AO21)*60)</f>
        <v>48</v>
      </c>
      <c r="AQ21" s="28">
        <f>INT((((AN21-AO21)*60)-AP21)*60)</f>
        <v>0</v>
      </c>
      <c r="AR21" s="28">
        <f>INT((((((AN21-AO21)*60)-AP21)*60)-AQ21)*60)</f>
        <v>0</v>
      </c>
      <c r="AS21" s="28">
        <f>INT((((((((AN21-AO21)*60)-AP21)*60)-AQ21)*60)-AR21)*60)</f>
        <v>0</v>
      </c>
      <c r="AT21" s="28">
        <f>INT((((((((((AN21-AO21)*60)-AP21)*60)-AQ21)*60)-AR21)*60)-AS21)*60)</f>
        <v>0</v>
      </c>
      <c r="AU21" s="28">
        <f>INT((((((((((((AN21-AO21)*60)-AP21)*60)-AQ21)*60)-AR21)*60)-AS21)*60)-AT21)*60)</f>
        <v>0</v>
      </c>
      <c r="AV21" s="10" t="s">
        <v>179</v>
      </c>
      <c r="AW21" s="10">
        <f>IF(AV21="شمالی",1,2)</f>
        <v>1</v>
      </c>
      <c r="BO21" s="216" t="s">
        <v>2131</v>
      </c>
      <c r="BY21" s="224" t="s">
        <v>308</v>
      </c>
      <c r="BZ21" s="238" t="e">
        <f ca="1">SQRT(POWER((BZ16-BZ20),2)+POWER(BZ19,2))</f>
        <v>#NAME?</v>
      </c>
      <c r="CA21" s="271"/>
      <c r="CB21" s="224"/>
      <c r="CC21" s="238"/>
      <c r="CD21" s="271"/>
      <c r="CI21" s="392"/>
      <c r="CJ21" s="393"/>
      <c r="CK21" s="393"/>
      <c r="CL21" s="393"/>
      <c r="CM21" s="393"/>
      <c r="CN21" s="393" t="s">
        <v>2167</v>
      </c>
      <c r="CO21" s="393"/>
      <c r="CP21" s="393"/>
      <c r="CQ21" s="393"/>
      <c r="CR21" s="346"/>
      <c r="CS21" s="393">
        <f>180-ABS(CH5+CH7)</f>
        <v>123.61091759999999</v>
      </c>
      <c r="CT21" s="346"/>
      <c r="CU21" s="346"/>
      <c r="DA21" s="298"/>
      <c r="DB21" s="218" t="s">
        <v>2157</v>
      </c>
      <c r="DC21" s="219">
        <f>IF(ABS(DC20-DC18)&lt;=180,ABS(DC20-DC18),360-ABS(DC20-DC18))</f>
        <v>11.012088200000001</v>
      </c>
      <c r="DD21" s="280"/>
      <c r="DE21" s="325">
        <v>4</v>
      </c>
      <c r="DF21" s="226"/>
      <c r="DG21" s="325" t="s">
        <v>2163</v>
      </c>
      <c r="DH21" s="325"/>
      <c r="DI21" s="325" t="e">
        <f ca="1">[2]!asn([2]!csn(ABS(DC19+DC17))*[2]!sn(ABS(90-DC21))/60)</f>
        <v>#NAME?</v>
      </c>
      <c r="DJ21" s="325"/>
      <c r="DK21" s="325"/>
      <c r="DL21" s="325"/>
      <c r="DM21" s="395"/>
      <c r="DN21" s="326" t="e">
        <f ca="1">90+DI21</f>
        <v>#NAME?</v>
      </c>
      <c r="DO21" s="363"/>
      <c r="DP21" s="363"/>
      <c r="EK21" s="701"/>
      <c r="EL21" s="304" t="s">
        <v>279</v>
      </c>
      <c r="EM21" s="304">
        <f>[1]!tazmb(EM4,EM20,EM9)</f>
        <v>106.91374865982488</v>
      </c>
      <c r="EN21" s="304"/>
      <c r="EO21" s="304"/>
      <c r="EP21" s="304"/>
      <c r="EQ21" s="314"/>
      <c r="ER21" s="429" t="s">
        <v>2187</v>
      </c>
      <c r="ES21" s="226"/>
      <c r="ET21" s="226">
        <f>IF(ES5&gt;0,1,-1)</f>
        <v>-1</v>
      </c>
      <c r="EU21" s="226"/>
      <c r="EV21" s="227"/>
      <c r="EX21" s="363" t="s">
        <v>2207</v>
      </c>
      <c r="EY21" s="363">
        <f>FA5*2.5+(FA12*2.5)</f>
        <v>17.037500000000001</v>
      </c>
      <c r="EZ21" s="363">
        <f>EY21</f>
        <v>17.037500000000001</v>
      </c>
      <c r="FA21" s="363">
        <f>EY21</f>
        <v>17.037500000000001</v>
      </c>
      <c r="FB21" s="363">
        <f t="shared" ref="FB21:FJ21" si="82">EY21</f>
        <v>17.037500000000001</v>
      </c>
      <c r="FC21" s="363">
        <f t="shared" si="82"/>
        <v>17.037500000000001</v>
      </c>
      <c r="FD21" s="363">
        <f t="shared" si="82"/>
        <v>17.037500000000001</v>
      </c>
      <c r="FE21" s="363">
        <f t="shared" si="82"/>
        <v>17.037500000000001</v>
      </c>
      <c r="FF21" s="363">
        <f t="shared" si="82"/>
        <v>17.037500000000001</v>
      </c>
      <c r="FG21" s="363">
        <f t="shared" si="82"/>
        <v>17.037500000000001</v>
      </c>
      <c r="FH21" s="363">
        <f t="shared" si="82"/>
        <v>17.037500000000001</v>
      </c>
      <c r="FI21" s="363">
        <f t="shared" si="82"/>
        <v>17.037500000000001</v>
      </c>
      <c r="FJ21" s="363">
        <f t="shared" si="82"/>
        <v>17.037500000000001</v>
      </c>
      <c r="FK21" s="363"/>
      <c r="FL21" s="210"/>
      <c r="FM21" s="211" t="e">
        <f ca="1">IF(EY31&lt;=EZ27,EY31,IF(EZ31&lt;=FA27,EZ31,IF(FA31&lt;=FB27,FA31,IF(FB31&lt;=FC27,FB31,IF(FC31&lt;=FD27,FC31,IF(FD31&lt;=FE27,FD31,IF(FE31&lt;=FF27,FE31,IF(FF31&lt;=FG27,FF31,IF(FG31&lt;=FH27,FG31,IF(FH31&lt;=FI27,FH31,IF(FI31&lt;=FJ27,FI31,FJ31)))))))))))</f>
        <v>#NAME?</v>
      </c>
      <c r="FQ21" s="390" t="s">
        <v>2239</v>
      </c>
      <c r="FR21" s="391">
        <f>IF(FR20&lt;FS13,FR20+FS13,IF(FR20&lt;(FS13+FS12),FR20-FS13,FR20-(FS12+FS13)))</f>
        <v>9.7043498265399073</v>
      </c>
      <c r="FS21" s="438">
        <f>INT(ABS(FR21))</f>
        <v>9</v>
      </c>
      <c r="FT21" s="438">
        <f>INT((ABS(FR21)-FS21)*60)</f>
        <v>42</v>
      </c>
      <c r="FU21" s="438">
        <f>INT((((ABS(FR21)-FS21)*60)-FT21)*60)</f>
        <v>15</v>
      </c>
      <c r="FV21" s="439" t="str">
        <f>IF(FR20&lt;FS13,"از طلوع",IF(FR20&lt;(FS13+FS12),"از غروب","از طلوع"))</f>
        <v>از غروب</v>
      </c>
      <c r="FZ21">
        <v>258.97000000000003</v>
      </c>
      <c r="GA21" s="225">
        <f>INT(ABS(FZ21))</f>
        <v>258</v>
      </c>
      <c r="GB21" s="225">
        <f>INT((ABS(FZ21)-GA21)*60)</f>
        <v>58</v>
      </c>
      <c r="GC21" s="436">
        <f>INT((((ABS(FZ21)-GA21)*60)-GB21)*60)</f>
        <v>12</v>
      </c>
      <c r="GE21" s="274"/>
      <c r="GF21" s="274"/>
      <c r="GG21" s="274"/>
      <c r="GH21" s="274"/>
      <c r="GI21" s="274"/>
      <c r="GJ21" s="276"/>
      <c r="GK21" s="276"/>
      <c r="GL21" s="276"/>
      <c r="GM21" s="274"/>
      <c r="GN21" s="274"/>
      <c r="GO21" s="274"/>
      <c r="GP21" s="274"/>
      <c r="GQ21" s="274"/>
      <c r="GR21" s="274"/>
      <c r="GS21" s="276"/>
      <c r="GT21" s="276"/>
      <c r="GU21" s="274"/>
      <c r="HM21" s="150" t="s">
        <v>341</v>
      </c>
      <c r="HN21" s="150" t="s">
        <v>2254</v>
      </c>
      <c r="HO21" s="150" t="e">
        <f ca="1">((HO6-HO8)*HO20)/2</f>
        <v>#NAME?</v>
      </c>
      <c r="HP21" s="157" t="e">
        <f t="shared" ca="1" si="71"/>
        <v>#NAME?</v>
      </c>
      <c r="HQ21" s="157" t="e">
        <f t="shared" ca="1" si="72"/>
        <v>#NAME?</v>
      </c>
      <c r="HR21" s="157" t="e">
        <f t="shared" ca="1" si="73"/>
        <v>#NAME?</v>
      </c>
      <c r="HS21" s="157" t="e">
        <f t="shared" ca="1" si="74"/>
        <v>#NAME?</v>
      </c>
      <c r="IA21" s="150"/>
      <c r="IB21" s="498" t="s">
        <v>2254</v>
      </c>
      <c r="IC21" s="348" t="e">
        <f ca="1">IC19*IC20/(2/60)</f>
        <v>#NAME?</v>
      </c>
      <c r="ID21" s="157" t="e">
        <f ca="1">INT(ABS(IC21))</f>
        <v>#NAME?</v>
      </c>
      <c r="IE21" s="157" t="e">
        <f ca="1">INT((ABS(IC21)-ID21)*60)</f>
        <v>#NAME?</v>
      </c>
      <c r="IF21" s="157" t="e">
        <f ca="1">INT((((ABS(IC21)-ID21)*60)-IE21)*60)</f>
        <v>#NAME?</v>
      </c>
      <c r="IG21" s="157" t="e">
        <f ca="1">INT((((((ABS(IC21)-ID21)*60)-IE21)*60)-IF21)*60)</f>
        <v>#NAME?</v>
      </c>
      <c r="II21" s="33"/>
      <c r="IJ21" s="33"/>
      <c r="IX21" s="797"/>
      <c r="IY21" s="701" t="s">
        <v>295</v>
      </c>
      <c r="IZ21" s="303">
        <f>[1]!ba(IF(OR(IZ20&lt;IZ19,IZ20&gt;(IZ19+(IZ12/IZ16))),(IZ16*IZ20)+IZ13,(IZ20-IZ19)*IZ16))</f>
        <v>79.209928994360538</v>
      </c>
      <c r="JA21" s="437">
        <f t="shared" si="75"/>
        <v>79</v>
      </c>
      <c r="JB21" s="437">
        <f t="shared" si="76"/>
        <v>12</v>
      </c>
      <c r="JC21" s="437">
        <f t="shared" si="77"/>
        <v>35</v>
      </c>
      <c r="JD21" s="1330">
        <f t="shared" si="78"/>
        <v>44</v>
      </c>
      <c r="JE21" s="303">
        <f>[1]!ba(IF(OR(JE20&lt;JE19,JE20&gt;(JE19+(IZ12/IZ17))),(IZ17*JE20)+IZ13,(JE20-JE19)*IZ17))</f>
        <v>79.245815425020282</v>
      </c>
      <c r="JF21" s="437">
        <f t="shared" si="79"/>
        <v>79</v>
      </c>
      <c r="JG21" s="437">
        <f t="shared" si="80"/>
        <v>14</v>
      </c>
      <c r="JH21" s="437">
        <f t="shared" si="81"/>
        <v>44</v>
      </c>
      <c r="JI21" s="779" t="s">
        <v>2220</v>
      </c>
      <c r="JJ21" s="251">
        <f>[1]!ba(JJ17+60)</f>
        <v>280.2826516923966</v>
      </c>
      <c r="JK21" s="1346"/>
      <c r="JL21" s="1346"/>
      <c r="JM21" s="1347"/>
      <c r="JN21" s="251"/>
      <c r="JO21" s="251"/>
      <c r="JP21" s="251"/>
      <c r="JQ21" s="251"/>
      <c r="JR21" s="644"/>
      <c r="JS21" s="274"/>
      <c r="JT21" s="276"/>
      <c r="JU21" s="276"/>
      <c r="JV21" s="327"/>
      <c r="JW21" s="327"/>
      <c r="JX21" s="327"/>
      <c r="JY21" s="327"/>
      <c r="JZ21" s="327"/>
      <c r="KA21" s="327"/>
      <c r="KB21" s="327"/>
      <c r="KC21" s="327"/>
      <c r="KD21" s="327"/>
      <c r="KE21" s="327"/>
      <c r="KF21" s="327"/>
      <c r="KG21" s="327"/>
      <c r="KH21" s="327"/>
      <c r="KI21" s="327"/>
      <c r="KJ21" s="327"/>
      <c r="KK21" s="327"/>
      <c r="KL21" s="327"/>
      <c r="KM21" s="327"/>
      <c r="KN21" s="327"/>
      <c r="KO21" s="327"/>
      <c r="KP21" s="327"/>
      <c r="KQ21" s="327"/>
      <c r="KR21" s="327"/>
    </row>
    <row r="22" spans="2:304" ht="24.75">
      <c r="B22" s="24" t="s">
        <v>178</v>
      </c>
      <c r="C22" s="24">
        <f>IF((IF(C21=0,90-C18,IF(L17=L15,C18+(90-C21),ABS((C18-(90-C21))))))&lt;90,IF(C21=0,90-C18,IF(L17=L15,C18+(90-C21),ABS((C18-(90-C21))))),180-IF(C21=0,90-C18,IF(L17=L15,C18+(90-C21),ABS((C18-(90-C21))))))</f>
        <v>51.554494811655104</v>
      </c>
      <c r="D22" s="26">
        <f>INT(C22)</f>
        <v>51</v>
      </c>
      <c r="E22" s="26">
        <f>INT((C22-D22)*60)</f>
        <v>33</v>
      </c>
      <c r="F22" s="26">
        <f>INT((((C22-D22)*60)-E22)*60)</f>
        <v>16</v>
      </c>
      <c r="G22" s="26">
        <f>INT((((((C22-D22)*60)-E22)*60)-F22)*60)</f>
        <v>10</v>
      </c>
      <c r="H22" s="26">
        <f>INT((((((((C22-D22)*60)-E22)*60)-F22)*60)-G22)*60)</f>
        <v>52</v>
      </c>
      <c r="I22" s="26">
        <f>INT((((((((((C22-D22)*60)-E22)*60)-F22)*60)-G22)*60)-H22)*60)</f>
        <v>45</v>
      </c>
      <c r="J22" s="26">
        <f>INT((((((((((((C22-D22)*60)-E22)*60)-F22)*60)-G22)*60)-H22)*60)-I22)*60)</f>
        <v>32</v>
      </c>
      <c r="O22" s="1" t="s">
        <v>232</v>
      </c>
      <c r="P22" s="1">
        <f>DEGREES(ASIN(SIN(RADIANS(P20))/COS(RADIANS(P21))))</f>
        <v>45.179216359553749</v>
      </c>
      <c r="Q22" s="31">
        <f t="shared" si="61"/>
        <v>45</v>
      </c>
      <c r="R22" s="31">
        <f t="shared" si="62"/>
        <v>10</v>
      </c>
      <c r="S22" s="31">
        <f t="shared" si="63"/>
        <v>45</v>
      </c>
      <c r="T22" s="31">
        <f t="shared" si="64"/>
        <v>10</v>
      </c>
      <c r="U22" s="31">
        <f t="shared" si="65"/>
        <v>44</v>
      </c>
      <c r="V22" s="31">
        <f t="shared" si="66"/>
        <v>1</v>
      </c>
      <c r="W22" s="31">
        <f t="shared" si="67"/>
        <v>11</v>
      </c>
      <c r="Z22" s="24" t="s">
        <v>178</v>
      </c>
      <c r="AA22" s="24">
        <f>IF((IF(AA21=0,90-AA18,IF(AJ17=AJ15,AA18+(90-AA21),ABS((AA18-(90-AA21))))))&lt;90,IF(AA21=0,90-AA18,IF(AJ17=AJ15,AA18+(90-AA21),ABS((AA18-(90-AA21))))),180-IF(AA21=0,90-AA18,IF(AJ17=AJ15,AA18+(90-AA21),ABS((AA18-(90-AA21))))))</f>
        <v>54.03652573878162</v>
      </c>
      <c r="AB22" s="26">
        <f>INT(AA22)</f>
        <v>54</v>
      </c>
      <c r="AC22" s="26">
        <f>INT((AA22-AB22)*60)</f>
        <v>2</v>
      </c>
      <c r="AD22" s="26">
        <f>INT((((AA22-AB22)*60)-AC22)*60)</f>
        <v>11</v>
      </c>
      <c r="AE22" s="26">
        <f>INT((((((AA22-AB22)*60)-AC22)*60)-AD22)*60)</f>
        <v>29</v>
      </c>
      <c r="AF22" s="26">
        <f>INT((((((((AA22-AB22)*60)-AC22)*60)-AD22)*60)-AE22)*60)</f>
        <v>33</v>
      </c>
      <c r="AG22" s="26">
        <f>INT((((((((((AA22-AB22)*60)-AC22)*60)-AD22)*60)-AE22)*60)-AF22)*60)</f>
        <v>34</v>
      </c>
      <c r="AH22" s="26">
        <f>INT((((((((((((AA22-AB22)*60)-AC22)*60)-AD22)*60)-AE22)*60)-AF22)*60)-AG22)*60)</f>
        <v>28</v>
      </c>
      <c r="AI22" s="24"/>
      <c r="AJ22" s="24"/>
      <c r="AM22" s="24" t="s">
        <v>178</v>
      </c>
      <c r="AN22" s="24">
        <f>IF((IF(AN21=0,90-AN18,IF(AW17=AW15,AN18+(90-AN21),ABS((AN18-(90-AN21))))))&lt;90,IF(AN21=0,90-AN18,IF(AW17=AW15,AN18+(90-AN21),ABS((AN18-(90-AN21))))),180-IF(AN21=0,90-AN18,IF(AW17=AW15,AN18+(90-AN21),ABS((AN18-(90-AN21))))))</f>
        <v>53.642527944404264</v>
      </c>
      <c r="AO22" s="26">
        <f>INT(AN22)</f>
        <v>53</v>
      </c>
      <c r="AP22" s="26">
        <f>INT((AN22-AO22)*60)</f>
        <v>38</v>
      </c>
      <c r="AQ22" s="26">
        <f>INT((((AN22-AO22)*60)-AP22)*60)</f>
        <v>33</v>
      </c>
      <c r="AR22" s="26">
        <f>INT((((((AN22-AO22)*60)-AP22)*60)-AQ22)*60)</f>
        <v>6</v>
      </c>
      <c r="AS22" s="26">
        <f>INT((((((((AN22-AO22)*60)-AP22)*60)-AQ22)*60)-AR22)*60)</f>
        <v>2</v>
      </c>
      <c r="AT22" s="26">
        <f>INT((((((((((AN22-AO22)*60)-AP22)*60)-AQ22)*60)-AR22)*60)-AS22)*60)</f>
        <v>9</v>
      </c>
      <c r="AU22" s="26">
        <f>INT((((((((((((AN22-AO22)*60)-AP22)*60)-AQ22)*60)-AR22)*60)-AS22)*60)-AT22)*60)</f>
        <v>34</v>
      </c>
      <c r="AV22" s="24"/>
      <c r="AW22" s="24"/>
      <c r="BY22" s="224" t="s">
        <v>309</v>
      </c>
      <c r="BZ22" s="238" t="e">
        <f ca="1">ABS(BZ17-BZ18)</f>
        <v>#NAME?</v>
      </c>
      <c r="CA22" s="271"/>
      <c r="CB22" s="224"/>
      <c r="CC22" s="238"/>
      <c r="CD22" s="271"/>
      <c r="DA22" s="400"/>
      <c r="DB22" s="401" t="s">
        <v>1372</v>
      </c>
      <c r="DC22" s="327"/>
      <c r="DD22" s="280"/>
      <c r="DE22" s="226">
        <v>5</v>
      </c>
      <c r="DF22" s="226"/>
      <c r="DG22" s="226" t="s">
        <v>2164</v>
      </c>
      <c r="DH22" s="226"/>
      <c r="DI22" s="226"/>
      <c r="DJ22" s="226"/>
      <c r="DK22" s="226"/>
      <c r="DL22" s="226"/>
      <c r="DM22" s="395"/>
      <c r="DN22" s="227">
        <f>180-(DC19+DC17)</f>
        <v>123.61091759999999</v>
      </c>
      <c r="DO22" s="363"/>
      <c r="DP22" s="363"/>
      <c r="EK22" s="701"/>
      <c r="EL22" s="304"/>
      <c r="EM22" s="304"/>
      <c r="EN22" s="304"/>
      <c r="EO22" s="304"/>
      <c r="EP22" s="304"/>
      <c r="EQ22" s="314"/>
      <c r="ER22" s="429" t="s">
        <v>1095</v>
      </c>
      <c r="ES22" s="226" t="e">
        <f ca="1">90-[2]!asn([2]!csn(ES5)*[2]!csn(ES12)/60)</f>
        <v>#NAME?</v>
      </c>
      <c r="ET22" s="226"/>
      <c r="EU22" s="226"/>
      <c r="EV22" s="227"/>
      <c r="EX22" s="363"/>
      <c r="EY22" s="363">
        <f>(INT(EY8/30)+1)*30</f>
        <v>120</v>
      </c>
      <c r="EZ22" s="363">
        <f>((INT(EY8/30)+1)*30)+30</f>
        <v>150</v>
      </c>
      <c r="FA22" s="363">
        <f>(((INT(EY8/30)+1)*30)+60)</f>
        <v>180</v>
      </c>
      <c r="FB22" s="363">
        <f>(((INT(EY8/30)+1)*30)+90)</f>
        <v>210</v>
      </c>
      <c r="FC22" s="363">
        <f>((INT(EY8/30)+1)*30)+120</f>
        <v>240</v>
      </c>
      <c r="FD22" s="363">
        <f>((INT(EY8/30)+1)*30)+150</f>
        <v>270</v>
      </c>
      <c r="FE22" s="363">
        <f>((INT(EY8/30)+1)*30)+180</f>
        <v>300</v>
      </c>
      <c r="FF22" s="363">
        <f>((INT(EY8/30)+1)*30)+210</f>
        <v>330</v>
      </c>
      <c r="FG22" s="363" t="e">
        <f ca="1">[2]!ba(((INT(EY8/30)+1)*30)+240)</f>
        <v>#NAME?</v>
      </c>
      <c r="FH22" s="363" t="e">
        <f ca="1">[2]!ba(((INT(EY8/30)+1)*30)+270)</f>
        <v>#NAME?</v>
      </c>
      <c r="FI22" s="363" t="e">
        <f ca="1">[2]!ba(((INT(EY8/30)+1)*30)+300)</f>
        <v>#NAME?</v>
      </c>
      <c r="FJ22" s="363" t="e">
        <f ca="1">[2]!ba(((INT(EY8/30)+1)*30)+330)</f>
        <v>#NAME?</v>
      </c>
      <c r="FK22" s="363"/>
      <c r="FL22" s="203" t="s">
        <v>2209</v>
      </c>
      <c r="FM22" s="204" t="e">
        <f ca="1">IF(FM21=EY31,FM21*30/EZ27,IF(FM21=EZ31,FM21*30/FA27,IF(FM21=FA31,FM21*30/FB27,IF(FM21=FB31,FM21*30/FC27,IF(FM21=FC31,FM21*30/FD27,IF(FM21=FD31,FM21*30/FE27,IF(FM21=FE31,FM21*30/FF27,IF(FM21=FF31,FM21*30/FG27,IF(FM21=FG31,FM21*30/FH27,IF(FM21=FH31,FM21*30/FI27,IF(FM21=FI31,FM21*30/FJ27,FJ31*EY27)))))))))))</f>
        <v>#NAME?</v>
      </c>
      <c r="FQ22" s="303" t="s">
        <v>2242</v>
      </c>
      <c r="FZ22" t="e">
        <f ca="1">[2]!tadilarz(FZ19,FZ21)</f>
        <v>#NAME?</v>
      </c>
      <c r="GA22" s="225" t="e">
        <f ca="1">INT(ABS(FZ22))</f>
        <v>#NAME?</v>
      </c>
      <c r="GB22" s="225" t="e">
        <f ca="1">INT((ABS(FZ22)-GA22)*60)</f>
        <v>#NAME?</v>
      </c>
      <c r="GC22" s="436" t="e">
        <f ca="1">INT((((ABS(FZ22)-GA22)*60)-GB22)*60)</f>
        <v>#NAME?</v>
      </c>
      <c r="GE22" s="274"/>
      <c r="GF22" s="274"/>
      <c r="GG22" s="274"/>
      <c r="GH22" s="274"/>
      <c r="GI22" s="274"/>
      <c r="GJ22" s="276"/>
      <c r="GK22" s="276"/>
      <c r="GL22" s="276"/>
      <c r="GM22" s="274"/>
      <c r="GN22" s="274"/>
      <c r="GO22" s="274"/>
      <c r="GP22" s="274"/>
      <c r="GQ22" s="274"/>
      <c r="GR22" s="274"/>
      <c r="GS22" s="276"/>
      <c r="GT22" s="276"/>
      <c r="GU22" s="274"/>
      <c r="HM22" s="150" t="s">
        <v>333</v>
      </c>
      <c r="HN22" s="150" t="s">
        <v>2255</v>
      </c>
      <c r="HO22" s="150" t="e">
        <f ca="1">((HO7-HO12)*HO19)/2</f>
        <v>#NAME?</v>
      </c>
      <c r="HP22" s="157" t="e">
        <f t="shared" ca="1" si="71"/>
        <v>#NAME?</v>
      </c>
      <c r="HQ22" s="157" t="e">
        <f t="shared" ca="1" si="72"/>
        <v>#NAME?</v>
      </c>
      <c r="HR22" s="157" t="e">
        <f t="shared" ca="1" si="73"/>
        <v>#NAME?</v>
      </c>
      <c r="HS22" s="157" t="e">
        <f t="shared" ca="1" si="74"/>
        <v>#NAME?</v>
      </c>
      <c r="IA22" s="150">
        <v>2</v>
      </c>
      <c r="IB22" s="498" t="s">
        <v>2255</v>
      </c>
      <c r="IC22" s="346" t="e">
        <f ca="1">IC15+IC21</f>
        <v>#NAME?</v>
      </c>
      <c r="ID22" s="157" t="e">
        <f ca="1">INT(ABS(IC22))</f>
        <v>#NAME?</v>
      </c>
      <c r="IE22" s="157" t="e">
        <f ca="1">INT((ABS(IC22)-ID22)*60)</f>
        <v>#NAME?</v>
      </c>
      <c r="IF22" s="157" t="e">
        <f ca="1">INT((((ABS(IC22)-ID22)*60)-IE22)*60)</f>
        <v>#NAME?</v>
      </c>
      <c r="IG22" s="157" t="e">
        <f ca="1">INT((((((ABS(IC22)-ID22)*60)-IE22)*60)-IF22)*60)</f>
        <v>#NAME?</v>
      </c>
      <c r="II22" s="161"/>
      <c r="IJ22" s="161"/>
      <c r="IX22" s="797"/>
      <c r="IY22" s="701" t="s">
        <v>1206</v>
      </c>
      <c r="IZ22" s="303">
        <f>[1]!mtb(IZ5,IZ9,JD7)</f>
        <v>0.34676749431778109</v>
      </c>
      <c r="JA22" s="437">
        <f t="shared" si="75"/>
        <v>0</v>
      </c>
      <c r="JB22" s="437">
        <f t="shared" si="76"/>
        <v>20</v>
      </c>
      <c r="JC22" s="437">
        <f t="shared" si="77"/>
        <v>48</v>
      </c>
      <c r="JD22" s="1330">
        <f t="shared" si="78"/>
        <v>21</v>
      </c>
      <c r="JE22" s="303">
        <f>[1]!mtb(IZ5,IZ9,JD7)</f>
        <v>0.34676749431778109</v>
      </c>
      <c r="JF22" s="437">
        <f t="shared" si="79"/>
        <v>0</v>
      </c>
      <c r="JG22" s="437">
        <f t="shared" si="80"/>
        <v>20</v>
      </c>
      <c r="JH22" s="437">
        <f t="shared" si="81"/>
        <v>48</v>
      </c>
      <c r="JI22" s="779" t="s">
        <v>2227</v>
      </c>
      <c r="JJ22" s="251">
        <f>[1]!tl(IZ5,JJ21)</f>
        <v>279.45058208267329</v>
      </c>
      <c r="JK22" s="1346"/>
      <c r="JL22" s="1346"/>
      <c r="JM22" s="1347"/>
      <c r="JN22" s="251"/>
      <c r="JO22" s="251"/>
      <c r="JP22" s="251"/>
      <c r="JQ22" s="251"/>
      <c r="JR22" s="644"/>
      <c r="JS22" s="274"/>
      <c r="JT22" s="276"/>
      <c r="JU22" s="276"/>
      <c r="JV22" s="327"/>
      <c r="JW22" s="327"/>
      <c r="JX22" s="327"/>
      <c r="JY22" s="327"/>
      <c r="JZ22" s="327"/>
      <c r="KA22" s="327"/>
      <c r="KB22" s="327"/>
      <c r="KC22" s="327"/>
      <c r="KD22" s="327"/>
      <c r="KE22" s="327"/>
      <c r="KF22" s="327"/>
      <c r="KG22" s="327"/>
      <c r="KH22" s="327"/>
      <c r="KI22" s="327"/>
      <c r="KJ22" s="327"/>
      <c r="KK22" s="327"/>
      <c r="KL22" s="327"/>
      <c r="KM22" s="327"/>
      <c r="KN22" s="327"/>
      <c r="KO22" s="327"/>
      <c r="KP22" s="327"/>
      <c r="KQ22" s="327"/>
      <c r="KR22" s="327"/>
    </row>
    <row r="23" spans="2:304" ht="25.5" thickBot="1">
      <c r="O23" s="1" t="s">
        <v>233</v>
      </c>
      <c r="P23" s="1"/>
      <c r="Q23" s="31">
        <f t="shared" si="61"/>
        <v>0</v>
      </c>
      <c r="R23" s="31">
        <f t="shared" si="62"/>
        <v>0</v>
      </c>
      <c r="S23" s="31">
        <f t="shared" si="63"/>
        <v>0</v>
      </c>
      <c r="T23" s="31">
        <f t="shared" si="64"/>
        <v>0</v>
      </c>
      <c r="U23" s="31">
        <f t="shared" si="65"/>
        <v>0</v>
      </c>
      <c r="V23" s="31">
        <f t="shared" si="66"/>
        <v>0</v>
      </c>
      <c r="W23" s="31">
        <f t="shared" si="67"/>
        <v>0</v>
      </c>
      <c r="X23" t="str">
        <f>IF(P14&lt;180,"شمالی","جنوبی")</f>
        <v>شمالی</v>
      </c>
      <c r="Y23">
        <f>IF(X23="شمالی",1,2)</f>
        <v>1</v>
      </c>
      <c r="Z23" s="24"/>
      <c r="AA23" s="24"/>
      <c r="AB23" s="24"/>
      <c r="AC23" s="24"/>
      <c r="AD23" s="24"/>
      <c r="AE23" s="24"/>
      <c r="AF23" s="24"/>
      <c r="AG23" s="24"/>
      <c r="AH23" s="24"/>
      <c r="AI23" s="24"/>
      <c r="AJ23" s="24"/>
      <c r="AM23" s="24"/>
      <c r="AN23" s="24"/>
      <c r="AO23" s="24"/>
      <c r="AP23" s="24"/>
      <c r="AQ23" s="24"/>
      <c r="AR23" s="24"/>
      <c r="AS23" s="24"/>
      <c r="AT23" s="24"/>
      <c r="AU23" s="24"/>
      <c r="AV23" s="24"/>
      <c r="AW23" s="24"/>
      <c r="BY23" s="224" t="s">
        <v>286</v>
      </c>
      <c r="BZ23" s="238" t="e">
        <f ca="1">SQRT(POWER(BZ22,2)+POWER(BZ21,2))</f>
        <v>#NAME?</v>
      </c>
      <c r="CA23" s="271"/>
      <c r="CB23" s="224"/>
      <c r="CC23" s="238"/>
      <c r="CD23" s="271"/>
      <c r="DA23" s="398" t="s">
        <v>2179</v>
      </c>
      <c r="DB23" s="399" t="e">
        <f ca="1">IF(AND(DC17=0,DC19=0),DP17,IF(DC17*DC19=0,DP18,DP23))</f>
        <v>#NAME?</v>
      </c>
      <c r="DC23" s="327"/>
      <c r="DD23" s="207"/>
      <c r="DE23" s="287">
        <v>1</v>
      </c>
      <c r="DF23" s="287"/>
      <c r="DG23" s="287" t="s">
        <v>2161</v>
      </c>
      <c r="DH23" s="287"/>
      <c r="DI23" s="287" t="s">
        <v>2166</v>
      </c>
      <c r="DJ23" s="287"/>
      <c r="DK23" s="287"/>
      <c r="DL23" s="287"/>
      <c r="DM23" s="287"/>
      <c r="DN23" s="287">
        <f>ABS(DC17-DC19)</f>
        <v>13.610917600000001</v>
      </c>
      <c r="DO23" s="346">
        <f>IF(DA17=DA19,DN23,DN24)</f>
        <v>13.610917600000001</v>
      </c>
      <c r="DP23" s="346" t="e">
        <f ca="1">IF(DC21=0,DO23,IF(DC21&lt;90,DO26,IF(DC21=90,DO28,IF(DC21&lt;180,DO30,DO32))))</f>
        <v>#NAME?</v>
      </c>
      <c r="EK23" s="701"/>
      <c r="EL23" s="304" t="s">
        <v>364</v>
      </c>
      <c r="EM23" s="304">
        <f>[1]!qsn(EM16,EM9)</f>
        <v>211.3371040172344</v>
      </c>
      <c r="EN23" s="304"/>
      <c r="EO23" s="304"/>
      <c r="EP23" s="304"/>
      <c r="EQ23" s="314"/>
      <c r="ER23" s="429" t="s">
        <v>1071</v>
      </c>
      <c r="ES23" s="226" t="e">
        <f ca="1">[2]!asn([2]!sn(ES5)*60/[2]!sn(ES22))</f>
        <v>#NAME?</v>
      </c>
      <c r="ET23" s="226"/>
      <c r="EU23" s="226"/>
      <c r="EV23" s="227"/>
      <c r="EX23" s="363"/>
      <c r="EY23" s="363">
        <f>IF(EY22-30&gt;0,EY22-30,EY22-30+360)</f>
        <v>90</v>
      </c>
      <c r="EZ23" s="363">
        <f t="shared" ref="EZ23:FJ23" si="83">IF(EZ22-30&gt;0,EZ22-30,EZ22-30+360)</f>
        <v>120</v>
      </c>
      <c r="FA23" s="363">
        <f t="shared" si="83"/>
        <v>150</v>
      </c>
      <c r="FB23" s="363">
        <f t="shared" si="83"/>
        <v>180</v>
      </c>
      <c r="FC23" s="363">
        <f t="shared" si="83"/>
        <v>210</v>
      </c>
      <c r="FD23" s="363">
        <f t="shared" si="83"/>
        <v>240</v>
      </c>
      <c r="FE23" s="363">
        <f t="shared" si="83"/>
        <v>270</v>
      </c>
      <c r="FF23" s="363">
        <f t="shared" si="83"/>
        <v>300</v>
      </c>
      <c r="FG23" s="363" t="e">
        <f t="shared" ca="1" si="83"/>
        <v>#NAME?</v>
      </c>
      <c r="FH23" s="363" t="e">
        <f t="shared" ca="1" si="83"/>
        <v>#NAME?</v>
      </c>
      <c r="FI23" s="363" t="e">
        <f t="shared" ca="1" si="83"/>
        <v>#NAME?</v>
      </c>
      <c r="FJ23" s="363" t="e">
        <f t="shared" ca="1" si="83"/>
        <v>#NAME?</v>
      </c>
      <c r="FK23" s="363"/>
      <c r="FL23" t="s">
        <v>2211</v>
      </c>
      <c r="FR23">
        <f>[1]!saatrasmi(FR5,FR6,FR7)</f>
        <v>0.17073490901801774</v>
      </c>
      <c r="FS23" s="442">
        <f>INT(ABS(FR23))</f>
        <v>0</v>
      </c>
      <c r="FT23" s="442">
        <f>INT((ABS(FR23)-FS23)*60)</f>
        <v>10</v>
      </c>
      <c r="FU23" s="442">
        <f>INT((((ABS(FR23)-FS23)*60)-FT23)*60)</f>
        <v>14</v>
      </c>
      <c r="GE23" s="274"/>
      <c r="GF23" s="274"/>
      <c r="GG23" s="274"/>
      <c r="GH23" s="274"/>
      <c r="GI23" s="274"/>
      <c r="GJ23" s="276"/>
      <c r="GK23" s="276"/>
      <c r="GL23" s="276"/>
      <c r="GM23" s="274"/>
      <c r="GN23" s="274"/>
      <c r="GO23" s="274"/>
      <c r="GP23" s="274"/>
      <c r="GQ23" s="274"/>
      <c r="GR23" s="274"/>
      <c r="GS23" s="276"/>
      <c r="GT23" s="276"/>
      <c r="GU23" s="274"/>
      <c r="HM23" s="150">
        <v>2</v>
      </c>
      <c r="HN23" s="150" t="s">
        <v>349</v>
      </c>
      <c r="HO23" s="150" t="e">
        <f ca="1">HO15+HO21</f>
        <v>#NAME?</v>
      </c>
      <c r="HP23" s="157" t="e">
        <f t="shared" ca="1" si="71"/>
        <v>#NAME?</v>
      </c>
      <c r="HQ23" s="157" t="e">
        <f t="shared" ca="1" si="72"/>
        <v>#NAME?</v>
      </c>
      <c r="HR23" s="157" t="e">
        <f t="shared" ca="1" si="73"/>
        <v>#NAME?</v>
      </c>
      <c r="HS23" s="157" t="e">
        <f t="shared" ca="1" si="74"/>
        <v>#NAME?</v>
      </c>
      <c r="IA23" s="150"/>
      <c r="IB23" s="498" t="s">
        <v>349</v>
      </c>
      <c r="IC23" s="348" t="e">
        <f ca="1">IC16-IC15</f>
        <v>#NAME?</v>
      </c>
      <c r="ID23" s="157" t="e">
        <f t="shared" ref="ID23:ID34" ca="1" si="84">INT(ABS(IC23))</f>
        <v>#NAME?</v>
      </c>
      <c r="IE23" s="157" t="e">
        <f t="shared" ref="IE23:IE34" ca="1" si="85">INT((ABS(IC23)-ID23)*60)</f>
        <v>#NAME?</v>
      </c>
      <c r="IF23" s="157" t="e">
        <f t="shared" ref="IF23:IF34" ca="1" si="86">INT((((ABS(IC23)-ID23)*60)-IE23)*60)</f>
        <v>#NAME?</v>
      </c>
      <c r="IG23" s="157" t="e">
        <f t="shared" ref="IG23:IG34" ca="1" si="87">INT((((((ABS(IC23)-ID23)*60)-IE23)*60)-IF23)*60)</f>
        <v>#NAME?</v>
      </c>
      <c r="II23" s="33"/>
      <c r="IJ23" s="33"/>
      <c r="IX23" s="797"/>
      <c r="IY23" s="701" t="s">
        <v>2200</v>
      </c>
      <c r="IZ23" s="303">
        <f>IF(IZ22+180&lt;360,IZ22+180,IZ22+180-360)</f>
        <v>180.34676749431779</v>
      </c>
      <c r="JA23" s="437">
        <f t="shared" si="75"/>
        <v>180</v>
      </c>
      <c r="JB23" s="437">
        <f t="shared" si="76"/>
        <v>20</v>
      </c>
      <c r="JC23" s="437">
        <f t="shared" si="77"/>
        <v>48</v>
      </c>
      <c r="JD23" s="1330">
        <f t="shared" si="78"/>
        <v>21</v>
      </c>
      <c r="JE23" s="303">
        <f>IF(JE22+180&lt;360,JE22+180,JE22+180-360)</f>
        <v>180.34676749431779</v>
      </c>
      <c r="JF23" s="437">
        <f t="shared" si="79"/>
        <v>180</v>
      </c>
      <c r="JG23" s="437">
        <f t="shared" si="80"/>
        <v>20</v>
      </c>
      <c r="JH23" s="437">
        <f t="shared" si="81"/>
        <v>48</v>
      </c>
      <c r="JI23" s="779" t="s">
        <v>2221</v>
      </c>
      <c r="JJ23" s="251">
        <f>[1]!ba(JJ21+180)</f>
        <v>100.2826516923966</v>
      </c>
      <c r="JK23" s="1346"/>
      <c r="JL23" s="1346"/>
      <c r="JM23" s="1347"/>
      <c r="JN23" s="251"/>
      <c r="JO23" s="251"/>
      <c r="JP23" s="251"/>
      <c r="JQ23" s="251"/>
      <c r="JR23" s="644"/>
      <c r="JS23" s="274"/>
      <c r="JT23" s="276"/>
      <c r="JU23" s="276"/>
      <c r="JV23" s="327"/>
      <c r="JW23" s="327"/>
      <c r="JX23" s="327"/>
      <c r="JY23" s="327"/>
      <c r="JZ23" s="327"/>
      <c r="KA23" s="327"/>
      <c r="KB23" s="327"/>
      <c r="KC23" s="327"/>
      <c r="KD23" s="327"/>
      <c r="KE23" s="327"/>
      <c r="KF23" s="327"/>
      <c r="KG23" s="327"/>
      <c r="KH23" s="327"/>
      <c r="KI23" s="327"/>
      <c r="KJ23" s="327"/>
      <c r="KK23" s="327"/>
      <c r="KL23" s="327"/>
      <c r="KM23" s="327"/>
      <c r="KN23" s="327"/>
      <c r="KO23" s="327"/>
      <c r="KP23" s="327"/>
      <c r="KQ23" s="327"/>
      <c r="KR23" s="327"/>
    </row>
    <row r="24" spans="2:304" ht="25.5" thickBot="1">
      <c r="B24" s="24"/>
      <c r="C24" s="24">
        <f>DEGREES(ASIN(TAN(RADIANS(C9))/TAN(RADIANS(C7))))</f>
        <v>88.909992910643837</v>
      </c>
      <c r="D24" s="26">
        <f t="shared" ref="D24:D39" si="88">INT(C24)</f>
        <v>88</v>
      </c>
      <c r="E24" s="26">
        <f t="shared" ref="E24:E39" si="89">INT((C24-D24)*60)</f>
        <v>54</v>
      </c>
      <c r="F24" s="26">
        <f t="shared" ref="F24:F39" si="90">INT((((C24-D24)*60)-E24)*60)</f>
        <v>35</v>
      </c>
      <c r="G24" s="26">
        <f t="shared" ref="G24:G39" si="91">INT((((((C24-D24)*60)-E24)*60)-F24)*60)</f>
        <v>58</v>
      </c>
      <c r="H24" s="26">
        <f t="shared" ref="H24:H39" si="92">INT((((((((C24-D24)*60)-E24)*60)-F24)*60)-G24)*60)</f>
        <v>28</v>
      </c>
      <c r="I24" s="26">
        <f t="shared" ref="I24:I39" si="93">INT((((((((((C24-D24)*60)-E24)*60)-F24)*60)-G24)*60)-H24)*60)</f>
        <v>7</v>
      </c>
      <c r="J24" s="26">
        <f t="shared" ref="J24:J39" si="94">INT((((((((((((C24-D24)*60)-E24)*60)-F24)*60)-G24)*60)-H24)*60)-I24)*60)</f>
        <v>18</v>
      </c>
      <c r="O24" s="1"/>
      <c r="P24" s="1">
        <f>DEGREES(ASIN(SIN(RADIANS(P18))/SIN(RADIANS(P2))))</f>
        <v>40.000000000000014</v>
      </c>
      <c r="Q24" s="31">
        <f t="shared" si="61"/>
        <v>40</v>
      </c>
      <c r="R24" s="31">
        <f t="shared" si="62"/>
        <v>0</v>
      </c>
      <c r="S24" s="31">
        <f t="shared" si="63"/>
        <v>0</v>
      </c>
      <c r="T24" s="31">
        <f t="shared" si="64"/>
        <v>0</v>
      </c>
      <c r="U24" s="31">
        <f t="shared" si="65"/>
        <v>0</v>
      </c>
      <c r="V24" s="31">
        <f t="shared" si="66"/>
        <v>0</v>
      </c>
      <c r="W24" s="31">
        <f t="shared" si="67"/>
        <v>0</v>
      </c>
      <c r="Z24" s="24"/>
      <c r="AA24" s="24">
        <f>DEGREES(ASIN(TAN(RADIANS(AA9))/TAN(RADIANS(AA7))))</f>
        <v>37.588949277617743</v>
      </c>
      <c r="AB24" s="26">
        <f>INT(AA24)</f>
        <v>37</v>
      </c>
      <c r="AC24" s="26">
        <f>INT((AA24-AB24)*60)</f>
        <v>35</v>
      </c>
      <c r="AD24" s="26">
        <f>INT((((AA24-AB24)*60)-AC24)*60)</f>
        <v>20</v>
      </c>
      <c r="AE24" s="26">
        <f>INT((((((AA24-AB24)*60)-AC24)*60)-AD24)*60)</f>
        <v>13</v>
      </c>
      <c r="AF24" s="26">
        <f>INT((((((((AA24-AB24)*60)-AC24)*60)-AD24)*60)-AE24)*60)</f>
        <v>2</v>
      </c>
      <c r="AG24" s="26">
        <f>INT((((((((((AA24-AB24)*60)-AC24)*60)-AD24)*60)-AE24)*60)-AF24)*60)</f>
        <v>38</v>
      </c>
      <c r="AH24" s="26">
        <f>INT((((((((((((AA24-AB24)*60)-AC24)*60)-AD24)*60)-AE24)*60)-AF24)*60)-AG24)*60)</f>
        <v>16</v>
      </c>
      <c r="AI24" s="24"/>
      <c r="AJ24" s="24"/>
      <c r="AM24" s="24"/>
      <c r="AN24" s="24">
        <f>DEGREES(ASIN(TAN(RADIANS(AN9))/TAN(RADIANS(AN7))))</f>
        <v>38.572022457401864</v>
      </c>
      <c r="AO24" s="26">
        <f>INT(AN24)</f>
        <v>38</v>
      </c>
      <c r="AP24" s="26">
        <f>INT((AN24-AO24)*60)</f>
        <v>34</v>
      </c>
      <c r="AQ24" s="26">
        <f>INT((((AN24-AO24)*60)-AP24)*60)</f>
        <v>19</v>
      </c>
      <c r="AR24" s="26">
        <f>INT((((((AN24-AO24)*60)-AP24)*60)-AQ24)*60)</f>
        <v>16</v>
      </c>
      <c r="AS24" s="26">
        <f>INT((((((((AN24-AO24)*60)-AP24)*60)-AQ24)*60)-AR24)*60)</f>
        <v>51</v>
      </c>
      <c r="AT24" s="26">
        <f>INT((((((((((AN24-AO24)*60)-AP24)*60)-AQ24)*60)-AR24)*60)-AS24)*60)</f>
        <v>2</v>
      </c>
      <c r="AU24" s="26">
        <f>INT((((((((((((AN24-AO24)*60)-AP24)*60)-AQ24)*60)-AR24)*60)-AS24)*60)-AT24)*60)</f>
        <v>52</v>
      </c>
      <c r="AV24" s="24"/>
      <c r="AW24" s="24"/>
      <c r="BY24" s="390" t="s">
        <v>2142</v>
      </c>
      <c r="BZ24" s="391" t="e">
        <f ca="1">2*[2]!asn(BZ23/2)</f>
        <v>#NAME?</v>
      </c>
      <c r="CA24" s="282"/>
      <c r="CB24" s="224"/>
      <c r="CC24" s="238"/>
      <c r="CD24" s="271"/>
      <c r="DC24" s="327"/>
      <c r="DD24" s="202"/>
      <c r="DE24" s="268"/>
      <c r="DF24" s="268"/>
      <c r="DG24" s="268"/>
      <c r="DH24" s="268"/>
      <c r="DI24" s="268" t="s">
        <v>2167</v>
      </c>
      <c r="DJ24" s="268"/>
      <c r="DK24" s="268"/>
      <c r="DL24" s="268"/>
      <c r="DM24" s="268"/>
      <c r="DN24" s="268">
        <f>ABS(DC17)+ABS(DC19)</f>
        <v>56.389082399999999</v>
      </c>
      <c r="DO24" s="346"/>
      <c r="DP24" s="346"/>
      <c r="EK24" s="699"/>
      <c r="EL24" s="700" t="s">
        <v>295</v>
      </c>
      <c r="EM24" s="700">
        <f>IF(EM15=1,(EM23/2)-EM18,(EM23/2)+EM18)</f>
        <v>43.046366339968642</v>
      </c>
      <c r="EN24" s="700"/>
      <c r="EO24" s="700"/>
      <c r="EP24" s="700"/>
      <c r="EQ24" s="315"/>
      <c r="ER24" s="226" t="s">
        <v>244</v>
      </c>
      <c r="ES24" s="226" t="e">
        <f ca="1">IF(OR(AND(ET8=1,ET21=ET18),AND(ET8=-1,ET18=ET21*-1)),ES23+(90-ES18),ABS(ES23-(90-ES18)))</f>
        <v>#NAME?</v>
      </c>
      <c r="ET24" s="226"/>
      <c r="EU24" s="226"/>
      <c r="EV24" s="227"/>
      <c r="EX24" s="363"/>
      <c r="EY24" s="434" t="e">
        <f ca="1">[2]!mtb(EY22-1,FA8)</f>
        <v>#NAME?</v>
      </c>
      <c r="EZ24" s="434" t="e">
        <f ca="1">[2]!mtb(EZ22,FA8)</f>
        <v>#NAME?</v>
      </c>
      <c r="FA24" s="434" t="e">
        <f ca="1">[2]!mtb(FA22,FA8)</f>
        <v>#NAME?</v>
      </c>
      <c r="FB24" s="434" t="e">
        <f ca="1">[2]!mtb(FB22,FA8)</f>
        <v>#NAME?</v>
      </c>
      <c r="FC24" s="434" t="e">
        <f ca="1">[2]!mtb(FC22,FA8)</f>
        <v>#NAME?</v>
      </c>
      <c r="FD24" s="434" t="e">
        <f ca="1">[2]!mtb(FD22,FA8)</f>
        <v>#NAME?</v>
      </c>
      <c r="FE24" s="434" t="e">
        <f ca="1">[2]!mtb(FE22,FA8)</f>
        <v>#NAME?</v>
      </c>
      <c r="FF24" s="434" t="e">
        <f ca="1">[2]!mtb(FF22,FA8)</f>
        <v>#NAME?</v>
      </c>
      <c r="FG24" s="434" t="e">
        <f ca="1">[2]!mtb(FG22,FA8)</f>
        <v>#NAME?</v>
      </c>
      <c r="FH24" s="434" t="e">
        <f ca="1">[2]!mtb(FH22,FA8)</f>
        <v>#NAME?</v>
      </c>
      <c r="FI24" s="434" t="e">
        <f ca="1">[2]!mtb(FI22,FA8)</f>
        <v>#NAME?</v>
      </c>
      <c r="FJ24" s="434" t="e">
        <f ca="1">[2]!mtb(FJ22,FA8)</f>
        <v>#NAME?</v>
      </c>
      <c r="FK24" s="434"/>
      <c r="FR24">
        <f>FR20+FR23</f>
        <v>16.566348861691939</v>
      </c>
      <c r="FS24" s="442">
        <f>INT(ABS(FR24))</f>
        <v>16</v>
      </c>
      <c r="FT24" s="442">
        <f>INT((ABS(FR24)-FS24)*60)</f>
        <v>33</v>
      </c>
      <c r="FU24" s="442">
        <f>INT((((ABS(FR24)-FS24)*60)-FT24)*60)</f>
        <v>58</v>
      </c>
      <c r="GE24" s="274"/>
      <c r="GF24" s="274"/>
      <c r="GG24" s="274"/>
      <c r="GH24" s="274"/>
      <c r="GI24" s="274"/>
      <c r="GJ24" s="276"/>
      <c r="GK24" s="276"/>
      <c r="GL24" s="276"/>
      <c r="GM24" s="274"/>
      <c r="GN24" s="274"/>
      <c r="GO24" s="274"/>
      <c r="GP24" s="274"/>
      <c r="GQ24" s="274"/>
      <c r="GR24" s="274"/>
      <c r="GS24" s="276"/>
      <c r="GT24" s="276"/>
      <c r="GU24" s="274"/>
      <c r="GV24" s="274"/>
      <c r="HM24" s="150">
        <v>3</v>
      </c>
      <c r="HN24" s="150" t="s">
        <v>2256</v>
      </c>
      <c r="HO24" s="150" t="e">
        <f ca="1">HO15+HO22</f>
        <v>#NAME?</v>
      </c>
      <c r="HP24" s="157" t="e">
        <f t="shared" ca="1" si="71"/>
        <v>#NAME?</v>
      </c>
      <c r="HQ24" s="157" t="e">
        <f t="shared" ca="1" si="72"/>
        <v>#NAME?</v>
      </c>
      <c r="HR24" s="157" t="e">
        <f t="shared" ca="1" si="73"/>
        <v>#NAME?</v>
      </c>
      <c r="HS24" s="157" t="e">
        <f t="shared" ca="1" si="74"/>
        <v>#NAME?</v>
      </c>
      <c r="IA24" s="150"/>
      <c r="IB24" s="498" t="s">
        <v>2256</v>
      </c>
      <c r="IC24" s="348">
        <f>IC6-IC12</f>
        <v>0.25</v>
      </c>
      <c r="ID24" s="157">
        <f t="shared" si="84"/>
        <v>0</v>
      </c>
      <c r="IE24" s="157">
        <f t="shared" si="85"/>
        <v>15</v>
      </c>
      <c r="IF24" s="157">
        <f t="shared" si="86"/>
        <v>0</v>
      </c>
      <c r="IG24" s="157">
        <f t="shared" si="87"/>
        <v>0</v>
      </c>
      <c r="II24" s="33"/>
      <c r="IJ24" s="33"/>
      <c r="IX24" s="327"/>
      <c r="IY24" s="701" t="s">
        <v>2199</v>
      </c>
      <c r="IZ24" s="303">
        <f>[1]!mtb(IZ5,IZ23,JD7)</f>
        <v>180.40451254813456</v>
      </c>
      <c r="JA24" s="437">
        <f t="shared" si="75"/>
        <v>180</v>
      </c>
      <c r="JB24" s="437">
        <f t="shared" si="76"/>
        <v>24</v>
      </c>
      <c r="JC24" s="437">
        <f t="shared" si="77"/>
        <v>16</v>
      </c>
      <c r="JD24" s="1330">
        <f t="shared" si="78"/>
        <v>14</v>
      </c>
      <c r="JE24" s="303">
        <f>[1]!mtb(IZ5,JE23,JD7)</f>
        <v>180.40451254813456</v>
      </c>
      <c r="JF24" s="437">
        <f t="shared" si="79"/>
        <v>180</v>
      </c>
      <c r="JG24" s="437">
        <f t="shared" si="80"/>
        <v>24</v>
      </c>
      <c r="JH24" s="437">
        <f t="shared" si="81"/>
        <v>16</v>
      </c>
      <c r="JI24" s="779" t="s">
        <v>2226</v>
      </c>
      <c r="JJ24" s="251">
        <f>[1]!tl(IZ5,JJ23)</f>
        <v>99.450582082673279</v>
      </c>
      <c r="JK24" s="1346"/>
      <c r="JL24" s="1346"/>
      <c r="JM24" s="1347"/>
      <c r="JN24" s="251"/>
      <c r="JO24" s="251"/>
      <c r="JP24" s="251"/>
      <c r="JQ24" s="251"/>
      <c r="JR24" s="644"/>
      <c r="JS24" s="274"/>
      <c r="JT24" s="276"/>
      <c r="JU24" s="276"/>
      <c r="JV24" s="327"/>
      <c r="JW24" s="327"/>
      <c r="JX24" s="327"/>
      <c r="JY24" s="327"/>
      <c r="JZ24" s="327"/>
      <c r="KA24" s="327"/>
      <c r="KB24" s="327"/>
      <c r="KC24" s="327"/>
      <c r="KD24" s="327"/>
      <c r="KE24" s="327"/>
      <c r="KF24" s="327"/>
      <c r="KG24" s="327"/>
      <c r="KH24" s="327"/>
      <c r="KI24" s="327"/>
      <c r="KJ24" s="327"/>
      <c r="KK24" s="327"/>
      <c r="KL24" s="327"/>
      <c r="KM24" s="327"/>
      <c r="KN24" s="327"/>
      <c r="KO24" s="327"/>
      <c r="KP24" s="327"/>
      <c r="KQ24" s="327"/>
      <c r="KR24" s="327"/>
    </row>
    <row r="25" spans="2:304" ht="24.75">
      <c r="B25" s="24" t="s">
        <v>208</v>
      </c>
      <c r="C25" s="24">
        <f>DEGREES(ACOS(ABS(COS(RADIANS(C5)))/COS(RADIANS(C9))))</f>
        <v>88.909992910643538</v>
      </c>
      <c r="D25" s="26">
        <f t="shared" si="88"/>
        <v>88</v>
      </c>
      <c r="E25" s="26">
        <f t="shared" si="89"/>
        <v>54</v>
      </c>
      <c r="F25" s="26">
        <f t="shared" si="90"/>
        <v>35</v>
      </c>
      <c r="G25" s="26">
        <f t="shared" si="91"/>
        <v>58</v>
      </c>
      <c r="H25" s="26">
        <f t="shared" si="92"/>
        <v>28</v>
      </c>
      <c r="I25" s="26">
        <f t="shared" si="93"/>
        <v>7</v>
      </c>
      <c r="J25" s="26">
        <f t="shared" si="94"/>
        <v>18</v>
      </c>
      <c r="O25" s="1" t="s">
        <v>234</v>
      </c>
      <c r="P25" s="1">
        <f>IF(P14&lt;90,360-P24,IF(P14&lt;=180,P24,IF(P14&lt;=270,180-P24,180+P24)))</f>
        <v>320</v>
      </c>
      <c r="Q25" s="31">
        <f t="shared" si="61"/>
        <v>320</v>
      </c>
      <c r="R25" s="31">
        <f t="shared" si="62"/>
        <v>0</v>
      </c>
      <c r="S25" s="31">
        <f t="shared" si="63"/>
        <v>0</v>
      </c>
      <c r="T25" s="31">
        <f t="shared" si="64"/>
        <v>0</v>
      </c>
      <c r="U25" s="31">
        <f t="shared" si="65"/>
        <v>0</v>
      </c>
      <c r="V25" s="31">
        <f t="shared" si="66"/>
        <v>0</v>
      </c>
      <c r="W25" s="31">
        <f t="shared" si="67"/>
        <v>0</v>
      </c>
      <c r="Z25" s="24" t="s">
        <v>208</v>
      </c>
      <c r="AA25" s="24">
        <f>IF(AA5&lt;=90,DEGREES(ACOS(ABS(COS(RADIANS(AA5)))/COS(RADIANS(AA9)))),IF(AA5&lt;=180,180-DEGREES(ACOS(ABS(COS(RADIANS(AA5)))/COS(RADIANS(AA9)))),IF(AA5&lt;=270,180+DEGREES(ACOS(ABS(COS(RADIANS(AA5)))/COS(RADIANS(AA9)))),360-DEGREES(ACOS(ABS(COS(RADIANS(AA5)))/COS(RADIANS(AA9)))))))</f>
        <v>37.588949277617751</v>
      </c>
      <c r="AB25" s="26">
        <f>INT(AA25)</f>
        <v>37</v>
      </c>
      <c r="AC25" s="26">
        <f>INT((AA25-AB25)*60)</f>
        <v>35</v>
      </c>
      <c r="AD25" s="26">
        <f>INT((((AA25-AB25)*60)-AC25)*60)</f>
        <v>20</v>
      </c>
      <c r="AE25" s="26">
        <f>INT((((((AA25-AB25)*60)-AC25)*60)-AD25)*60)</f>
        <v>13</v>
      </c>
      <c r="AF25" s="26">
        <f>INT((((((((AA25-AB25)*60)-AC25)*60)-AD25)*60)-AE25)*60)</f>
        <v>2</v>
      </c>
      <c r="AG25" s="26">
        <f>INT((((((((((AA25-AB25)*60)-AC25)*60)-AD25)*60)-AE25)*60)-AF25)*60)</f>
        <v>38</v>
      </c>
      <c r="AH25" s="26">
        <f>INT((((((((((((AA25-AB25)*60)-AC25)*60)-AD25)*60)-AE25)*60)-AF25)*60)-AG25)*60)</f>
        <v>16</v>
      </c>
      <c r="AI25" s="24"/>
      <c r="AJ25" s="24"/>
      <c r="AM25" s="24" t="s">
        <v>208</v>
      </c>
      <c r="AN25" s="24">
        <f>IF(AN5&lt;=90,DEGREES(ACOS(ABS(COS(RADIANS(AN5)))/COS(RADIANS(AN9)))),IF(AN5&lt;=180,180-DEGREES(ACOS(ABS(COS(RADIANS(AN5)))/COS(RADIANS(AN9)))),IF(AN5&lt;=270,180+DEGREES(ACOS(ABS(COS(RADIANS(AN5)))/COS(RADIANS(AN9)))),360-DEGREES(ACOS(ABS(COS(RADIANS(AN5)))/COS(RADIANS(AN9)))))))</f>
        <v>38.572022457401872</v>
      </c>
      <c r="AO25" s="26">
        <f>INT(AN25)</f>
        <v>38</v>
      </c>
      <c r="AP25" s="26">
        <f>INT((AN25-AO25)*60)</f>
        <v>34</v>
      </c>
      <c r="AQ25" s="26">
        <f>INT((((AN25-AO25)*60)-AP25)*60)</f>
        <v>19</v>
      </c>
      <c r="AR25" s="26">
        <f>INT((((((AN25-AO25)*60)-AP25)*60)-AQ25)*60)</f>
        <v>16</v>
      </c>
      <c r="AS25" s="26">
        <f>INT((((((((AN25-AO25)*60)-AP25)*60)-AQ25)*60)-AR25)*60)</f>
        <v>51</v>
      </c>
      <c r="AT25" s="26">
        <f>INT((((((((((AN25-AO25)*60)-AP25)*60)-AQ25)*60)-AR25)*60)-AS25)*60)</f>
        <v>2</v>
      </c>
      <c r="AU25" s="26">
        <f>INT((((((((((((AN25-AO25)*60)-AP25)*60)-AQ25)*60)-AR25)*60)-AS25)*60)-AT25)*60)</f>
        <v>52</v>
      </c>
      <c r="AV25" s="24"/>
      <c r="AW25" s="24"/>
      <c r="CB25" s="224"/>
      <c r="CC25" s="238"/>
      <c r="CD25" s="271"/>
      <c r="DA25" s="327"/>
      <c r="DB25" s="327"/>
      <c r="DC25" s="327"/>
      <c r="DD25" s="234"/>
      <c r="DE25" s="235"/>
      <c r="DF25" s="235"/>
      <c r="DG25" s="235"/>
      <c r="DH25" s="235"/>
      <c r="DI25" s="235"/>
      <c r="DJ25" s="235" t="s">
        <v>251</v>
      </c>
      <c r="DK25" s="235" t="s">
        <v>252</v>
      </c>
      <c r="DL25" s="235" t="s">
        <v>2168</v>
      </c>
      <c r="DM25" s="235" t="s">
        <v>2169</v>
      </c>
      <c r="DN25" s="235"/>
      <c r="DO25" s="235"/>
      <c r="DP25" s="236"/>
      <c r="ER25" s="280" t="s">
        <v>2192</v>
      </c>
      <c r="ES25" s="226" t="e">
        <f ca="1">[2]!sn(ES24)</f>
        <v>#NAME?</v>
      </c>
      <c r="ET25" s="226"/>
      <c r="EU25" s="226"/>
      <c r="EV25" s="227"/>
      <c r="EX25" s="363"/>
      <c r="EY25" s="363" t="e">
        <f ca="1">[2]!mtb(EY23,FA8)</f>
        <v>#NAME?</v>
      </c>
      <c r="EZ25" s="363" t="e">
        <f ca="1">[2]!mtb(EZ23,FA8)</f>
        <v>#NAME?</v>
      </c>
      <c r="FA25" s="363" t="e">
        <f ca="1">[2]!mtb(FA23,FA8)</f>
        <v>#NAME?</v>
      </c>
      <c r="FB25" s="363" t="e">
        <f ca="1">[2]!mtb(FB23,FA8)</f>
        <v>#NAME?</v>
      </c>
      <c r="FC25" s="363" t="e">
        <f ca="1">[2]!mtb(FC23,FA8)</f>
        <v>#NAME?</v>
      </c>
      <c r="FD25" s="363" t="e">
        <f ca="1">[2]!mtb(FD23,FA8)</f>
        <v>#NAME?</v>
      </c>
      <c r="FE25" s="363" t="e">
        <f ca="1">[2]!mtb(FE23,FA8)</f>
        <v>#NAME?</v>
      </c>
      <c r="FF25" s="363" t="e">
        <f ca="1">[2]!mtb(FF23,FA8)</f>
        <v>#NAME?</v>
      </c>
      <c r="FG25" s="363" t="e">
        <f ca="1">[2]!mtb(FG23,FA8)</f>
        <v>#NAME?</v>
      </c>
      <c r="FH25" s="363" t="e">
        <f ca="1">[2]!mtb(FH23,FA8)</f>
        <v>#NAME?</v>
      </c>
      <c r="FI25" s="363" t="e">
        <f ca="1">[2]!mtb(FI23,FA8)</f>
        <v>#NAME?</v>
      </c>
      <c r="FJ25" s="363" t="e">
        <f ca="1">[2]!mtb(FJ23,FA8)</f>
        <v>#NAME?</v>
      </c>
      <c r="FK25" s="363"/>
      <c r="FR25" s="274"/>
      <c r="FS25" s="274"/>
      <c r="FT25" s="274"/>
      <c r="FU25" s="274"/>
      <c r="FV25" s="274"/>
      <c r="FW25" s="274"/>
      <c r="FX25" s="274"/>
      <c r="FY25" s="274"/>
      <c r="FZ25" s="274"/>
      <c r="GA25" s="276"/>
      <c r="GB25" s="276"/>
      <c r="GC25" s="276"/>
      <c r="GD25" s="274"/>
      <c r="GE25" s="274"/>
      <c r="GF25" s="274"/>
      <c r="GG25" s="274"/>
      <c r="GH25" s="274"/>
      <c r="GI25" s="274"/>
      <c r="GJ25" s="276"/>
      <c r="GK25" s="276"/>
      <c r="GL25" s="276"/>
      <c r="GM25" s="274"/>
      <c r="GN25" s="274"/>
      <c r="GO25" s="274"/>
      <c r="GP25" s="274"/>
      <c r="GQ25" s="274"/>
      <c r="GR25" s="274"/>
      <c r="GS25" s="276"/>
      <c r="GT25" s="276"/>
      <c r="GU25" s="274"/>
      <c r="GV25" s="274"/>
      <c r="HM25" s="150"/>
      <c r="HN25" s="150" t="s">
        <v>2346</v>
      </c>
      <c r="HO25" s="150" t="e">
        <f ca="1">HO18-HO17</f>
        <v>#NAME?</v>
      </c>
      <c r="HP25" s="157" t="e">
        <f t="shared" ca="1" si="71"/>
        <v>#NAME?</v>
      </c>
      <c r="HQ25" s="157" t="e">
        <f t="shared" ca="1" si="72"/>
        <v>#NAME?</v>
      </c>
      <c r="HR25" s="157" t="e">
        <f t="shared" ca="1" si="73"/>
        <v>#NAME?</v>
      </c>
      <c r="HS25" s="157" t="e">
        <f t="shared" ca="1" si="74"/>
        <v>#NAME?</v>
      </c>
      <c r="IA25" s="150"/>
      <c r="IB25" s="498" t="s">
        <v>2346</v>
      </c>
      <c r="IC25" s="348" t="e">
        <f ca="1">IC23*IC24/(20/60)</f>
        <v>#NAME?</v>
      </c>
      <c r="ID25" s="157" t="e">
        <f t="shared" ca="1" si="84"/>
        <v>#NAME?</v>
      </c>
      <c r="IE25" s="157" t="e">
        <f t="shared" ca="1" si="85"/>
        <v>#NAME?</v>
      </c>
      <c r="IF25" s="157" t="e">
        <f t="shared" ca="1" si="86"/>
        <v>#NAME?</v>
      </c>
      <c r="IG25" s="157" t="e">
        <f t="shared" ca="1" si="87"/>
        <v>#NAME?</v>
      </c>
      <c r="II25" s="33"/>
      <c r="IJ25" s="33"/>
      <c r="IX25" s="327"/>
      <c r="IY25" s="701" t="s">
        <v>357</v>
      </c>
      <c r="IZ25" s="303">
        <f>[1]!ba(IF(OR(IZ20&lt;IZ19,IZ20&gt;(IZ19+(IZ12/IZ16))),IZ21+IZ22,IZ21+IZ24))</f>
        <v>259.61444154249511</v>
      </c>
      <c r="JA25" s="437">
        <f t="shared" si="75"/>
        <v>259</v>
      </c>
      <c r="JB25" s="437">
        <f t="shared" si="76"/>
        <v>36</v>
      </c>
      <c r="JC25" s="437">
        <f t="shared" si="77"/>
        <v>51</v>
      </c>
      <c r="JD25" s="1330">
        <f t="shared" si="78"/>
        <v>59</v>
      </c>
      <c r="JE25" s="303">
        <f>[1]!ba(IF(OR(JE20&lt;JE19,JE20&gt;(JE19+(IZ12/IZ17))),JE21+JE22,JE21+JE24))</f>
        <v>259.65032797315484</v>
      </c>
      <c r="JF25" s="437">
        <f t="shared" si="79"/>
        <v>259</v>
      </c>
      <c r="JG25" s="437">
        <f t="shared" si="80"/>
        <v>39</v>
      </c>
      <c r="JH25" s="437">
        <f t="shared" si="81"/>
        <v>1</v>
      </c>
      <c r="JI25" s="779" t="s">
        <v>2222</v>
      </c>
      <c r="JJ25" s="251">
        <f>[1]!ba(JJ13+120)</f>
        <v>45.048825762356557</v>
      </c>
      <c r="JK25" s="1346"/>
      <c r="JL25" s="1346"/>
      <c r="JM25" s="1347"/>
      <c r="JN25" s="251"/>
      <c r="JO25" s="251"/>
      <c r="JP25" s="251"/>
      <c r="JQ25" s="251"/>
      <c r="JR25" s="644"/>
      <c r="JS25" s="274"/>
      <c r="JT25" s="276"/>
      <c r="JU25" s="276"/>
      <c r="JV25" s="327"/>
      <c r="JW25" s="327"/>
      <c r="JX25" s="327"/>
      <c r="JY25" s="327"/>
      <c r="JZ25" s="327"/>
      <c r="KA25" s="327"/>
      <c r="KB25" s="327"/>
      <c r="KC25" s="327"/>
      <c r="KD25" s="327"/>
      <c r="KE25" s="327"/>
      <c r="KF25" s="327"/>
      <c r="KG25" s="327"/>
      <c r="KH25" s="327"/>
      <c r="KI25" s="327"/>
      <c r="KJ25" s="327"/>
      <c r="KK25" s="327"/>
      <c r="KL25" s="327"/>
      <c r="KM25" s="327"/>
      <c r="KN25" s="327"/>
      <c r="KO25" s="327"/>
      <c r="KP25" s="327"/>
      <c r="KQ25" s="327"/>
      <c r="KR25" s="327"/>
    </row>
    <row r="26" spans="2:304" ht="24.75">
      <c r="B26" s="24" t="s">
        <v>209</v>
      </c>
      <c r="C26" s="24">
        <f>DEGREES(ASIN((((ABS(SIN(RADIANS(C5))))*COS(RADIANS(C7)))/COS(RADIANS(C9)))))</f>
        <v>88.909992910643837</v>
      </c>
      <c r="D26" s="26">
        <f t="shared" si="88"/>
        <v>88</v>
      </c>
      <c r="E26" s="26">
        <f t="shared" si="89"/>
        <v>54</v>
      </c>
      <c r="F26" s="26">
        <f t="shared" si="90"/>
        <v>35</v>
      </c>
      <c r="G26" s="26">
        <f t="shared" si="91"/>
        <v>58</v>
      </c>
      <c r="H26" s="26">
        <f t="shared" si="92"/>
        <v>28</v>
      </c>
      <c r="I26" s="26">
        <f t="shared" si="93"/>
        <v>7</v>
      </c>
      <c r="J26" s="26">
        <f t="shared" si="94"/>
        <v>18</v>
      </c>
      <c r="O26" s="1" t="s">
        <v>237</v>
      </c>
      <c r="P26" s="1">
        <f>IF(IF(Y23=Y21,180-P22+P25,P22+P25)&gt;360,IF(Y23=Y21,180-P22+P25,P22+P25)-360,IF(Y23=Y21,180-P22+P25,P22+P25))</f>
        <v>94.82078364044628</v>
      </c>
      <c r="Q26" s="31">
        <f t="shared" si="61"/>
        <v>94</v>
      </c>
      <c r="R26" s="31">
        <f t="shared" si="62"/>
        <v>49</v>
      </c>
      <c r="S26" s="31">
        <f t="shared" si="63"/>
        <v>14</v>
      </c>
      <c r="T26" s="31">
        <f t="shared" si="64"/>
        <v>49</v>
      </c>
      <c r="U26" s="31">
        <f t="shared" si="65"/>
        <v>15</v>
      </c>
      <c r="V26" s="31">
        <f t="shared" si="66"/>
        <v>58</v>
      </c>
      <c r="W26" s="31">
        <f t="shared" si="67"/>
        <v>48</v>
      </c>
      <c r="Z26" s="24" t="s">
        <v>254</v>
      </c>
      <c r="AA26" s="24">
        <f>(360+(AN25-AA25))/24</f>
        <v>15.040961382491005</v>
      </c>
      <c r="AB26" s="26">
        <f>INT(AA26)</f>
        <v>15</v>
      </c>
      <c r="AC26" s="26">
        <f>INT((AA26-AB26)*60)</f>
        <v>2</v>
      </c>
      <c r="AD26" s="26">
        <f>INT((((AA26-AB26)*60)-AC26)*60)</f>
        <v>27</v>
      </c>
      <c r="AE26" s="26">
        <f>INT((((((AA26-AB26)*60)-AC26)*60)-AD26)*60)</f>
        <v>27</v>
      </c>
      <c r="AF26" s="26">
        <f>INT((((((((AA26-AB26)*60)-AC26)*60)-AD26)*60)-AE26)*60)</f>
        <v>39</v>
      </c>
      <c r="AG26" s="26">
        <f>INT((((((((((AA26-AB26)*60)-AC26)*60)-AD26)*60)-AE26)*60)-AF26)*60)</f>
        <v>31</v>
      </c>
      <c r="AH26" s="26">
        <f>INT((((((((((((AA26-AB26)*60)-AC26)*60)-AD26)*60)-AE26)*60)-AF26)*60)-AG26)*60)</f>
        <v>1</v>
      </c>
      <c r="AI26" s="24"/>
      <c r="AJ26" s="24"/>
      <c r="CB26" s="245"/>
      <c r="CC26" s="239"/>
      <c r="CD26" s="282"/>
      <c r="DA26" s="327"/>
      <c r="DB26" s="327"/>
      <c r="DC26" s="327"/>
      <c r="DD26" s="202"/>
      <c r="DE26" s="268">
        <v>2</v>
      </c>
      <c r="DF26" s="268"/>
      <c r="DG26" s="268" t="s">
        <v>2158</v>
      </c>
      <c r="DH26" s="268"/>
      <c r="DI26" s="268" t="s">
        <v>2166</v>
      </c>
      <c r="DJ26" s="268" t="e">
        <f ca="1">[2]!acs([2]!csn(ABS(DC17))*[2]!sn(DC21)/60)</f>
        <v>#NAME?</v>
      </c>
      <c r="DK26" s="268" t="e">
        <f ca="1">[2]!asn([2]!sn(ABS(DC17))*60/[2]!sn(DJ26))</f>
        <v>#NAME?</v>
      </c>
      <c r="DL26" s="268" t="e">
        <f ca="1">DK26+(90-ABS(DC19))</f>
        <v>#NAME?</v>
      </c>
      <c r="DM26" s="268" t="e">
        <f ca="1">[2]!asn([2]!sn(DL26)*[2]!sn(DJ26)/60)</f>
        <v>#NAME?</v>
      </c>
      <c r="DN26" s="201" t="e">
        <f ca="1">90-DM26</f>
        <v>#NAME?</v>
      </c>
      <c r="DO26" s="346" t="e">
        <f ca="1">IF(DA17=DA19,DN26,DN27)</f>
        <v>#NAME?</v>
      </c>
      <c r="DP26" s="346"/>
      <c r="EL26" s="409"/>
      <c r="ER26" s="280"/>
      <c r="ES26" s="226" t="e">
        <f ca="1">[2]!asn(ES25*[2]!sn(ES22)/60)</f>
        <v>#NAME?</v>
      </c>
      <c r="ET26" s="226"/>
      <c r="EU26" s="226"/>
      <c r="EV26" s="227"/>
      <c r="EX26" s="363"/>
      <c r="EY26" s="434" t="e">
        <f ca="1">IF(EY24-EY25&gt;0,EY24-EY25,EY24-EY25+360)</f>
        <v>#NAME?</v>
      </c>
      <c r="EZ26" s="434" t="e">
        <f t="shared" ref="EZ26:FJ26" ca="1" si="95">IF(EZ24-EZ25&gt;0,EZ24-EZ25,EZ24-EZ25+360)</f>
        <v>#NAME?</v>
      </c>
      <c r="FA26" s="434" t="e">
        <f t="shared" ca="1" si="95"/>
        <v>#NAME?</v>
      </c>
      <c r="FB26" s="434" t="e">
        <f t="shared" ca="1" si="95"/>
        <v>#NAME?</v>
      </c>
      <c r="FC26" s="434" t="e">
        <f t="shared" ca="1" si="95"/>
        <v>#NAME?</v>
      </c>
      <c r="FD26" s="434" t="e">
        <f t="shared" ca="1" si="95"/>
        <v>#NAME?</v>
      </c>
      <c r="FE26" s="434" t="e">
        <f t="shared" ca="1" si="95"/>
        <v>#NAME?</v>
      </c>
      <c r="FF26" s="434" t="e">
        <f t="shared" ca="1" si="95"/>
        <v>#NAME?</v>
      </c>
      <c r="FG26" s="434" t="e">
        <f t="shared" ca="1" si="95"/>
        <v>#NAME?</v>
      </c>
      <c r="FH26" s="434" t="e">
        <f t="shared" ca="1" si="95"/>
        <v>#NAME?</v>
      </c>
      <c r="FI26" s="434" t="e">
        <f t="shared" ca="1" si="95"/>
        <v>#NAME?</v>
      </c>
      <c r="FJ26" s="434" t="e">
        <f t="shared" ca="1" si="95"/>
        <v>#NAME?</v>
      </c>
      <c r="FK26" s="434"/>
      <c r="FR26" s="274"/>
      <c r="FS26" s="274"/>
      <c r="FT26" s="274"/>
      <c r="FU26" s="274"/>
      <c r="FV26" s="274"/>
      <c r="FW26" s="274"/>
      <c r="FX26" s="274"/>
      <c r="FY26" s="274"/>
      <c r="FZ26" s="274"/>
      <c r="GA26" s="276"/>
      <c r="GB26" s="276"/>
      <c r="GC26" s="276"/>
      <c r="GD26" s="274"/>
      <c r="GE26" s="274"/>
      <c r="GF26" s="274"/>
      <c r="GG26" s="274"/>
      <c r="GH26" s="274"/>
      <c r="GI26" s="274"/>
      <c r="GJ26" s="276"/>
      <c r="GK26" s="276"/>
      <c r="GL26" s="276"/>
      <c r="GM26" s="274"/>
      <c r="GN26" s="274"/>
      <c r="GO26" s="274"/>
      <c r="GP26" s="274"/>
      <c r="GQ26" s="274"/>
      <c r="GR26" s="274"/>
      <c r="GS26" s="276"/>
      <c r="GT26" s="276"/>
      <c r="GU26" s="274"/>
      <c r="GV26" s="274"/>
      <c r="HM26" s="150"/>
      <c r="HN26" s="150" t="s">
        <v>2284</v>
      </c>
      <c r="HO26" s="150">
        <f>HO7-HO12</f>
        <v>1</v>
      </c>
      <c r="HP26" s="157">
        <f t="shared" si="71"/>
        <v>1</v>
      </c>
      <c r="HQ26" s="157">
        <f t="shared" si="72"/>
        <v>0</v>
      </c>
      <c r="HR26" s="157">
        <f t="shared" si="73"/>
        <v>0</v>
      </c>
      <c r="HS26" s="157">
        <f t="shared" si="74"/>
        <v>0</v>
      </c>
      <c r="IA26" s="150">
        <v>3</v>
      </c>
      <c r="IB26" s="498" t="s">
        <v>2284</v>
      </c>
      <c r="IC26" s="346" t="e">
        <f ca="1">IC15+IC25</f>
        <v>#NAME?</v>
      </c>
      <c r="ID26" s="157" t="e">
        <f t="shared" ca="1" si="84"/>
        <v>#NAME?</v>
      </c>
      <c r="IE26" s="157" t="e">
        <f t="shared" ca="1" si="85"/>
        <v>#NAME?</v>
      </c>
      <c r="IF26" s="157" t="e">
        <f t="shared" ca="1" si="86"/>
        <v>#NAME?</v>
      </c>
      <c r="IG26" s="157" t="e">
        <f t="shared" ca="1" si="87"/>
        <v>#NAME?</v>
      </c>
      <c r="II26" s="33"/>
      <c r="IJ26" s="33"/>
      <c r="IX26" s="327"/>
      <c r="IY26" s="701" t="s">
        <v>279</v>
      </c>
      <c r="IZ26" s="306">
        <f>[1]!tazmb(IZ5,IZ25,JD7)</f>
        <v>247.15425552570318</v>
      </c>
      <c r="JA26" s="1306">
        <f t="shared" si="75"/>
        <v>247</v>
      </c>
      <c r="JB26" s="1306">
        <f t="shared" si="76"/>
        <v>9</v>
      </c>
      <c r="JC26" s="1306">
        <f t="shared" si="77"/>
        <v>15</v>
      </c>
      <c r="JD26" s="1331">
        <f t="shared" si="78"/>
        <v>19</v>
      </c>
      <c r="JE26" s="306">
        <f>[1]!tazmb(IZ5,JE25,JD7)</f>
        <v>247.18457305500112</v>
      </c>
      <c r="JF26" s="1306">
        <f t="shared" si="79"/>
        <v>247</v>
      </c>
      <c r="JG26" s="1306">
        <f t="shared" si="80"/>
        <v>11</v>
      </c>
      <c r="JH26" s="1306">
        <f t="shared" si="81"/>
        <v>4</v>
      </c>
      <c r="JI26" s="779" t="s">
        <v>2225</v>
      </c>
      <c r="JJ26" s="251">
        <f>[1]!tl(IZ5,IF(JJ25-90&gt;0,JJ25-90,JJ25-90+360))</f>
        <v>312.58589369496428</v>
      </c>
      <c r="JK26" s="1346"/>
      <c r="JL26" s="1346"/>
      <c r="JM26" s="1347"/>
      <c r="JN26" s="251"/>
      <c r="JO26" s="251"/>
      <c r="JP26" s="251"/>
      <c r="JQ26" s="251"/>
      <c r="JR26" s="644"/>
      <c r="JS26" s="274"/>
      <c r="JT26" s="276"/>
      <c r="JU26" s="276"/>
      <c r="JV26" s="327"/>
      <c r="JW26" s="327"/>
      <c r="JX26" s="327"/>
      <c r="JY26" s="327"/>
      <c r="JZ26" s="327"/>
      <c r="KA26" s="327"/>
      <c r="KB26" s="327"/>
      <c r="KC26" s="327"/>
      <c r="KD26" s="327"/>
      <c r="KE26" s="327"/>
      <c r="KF26" s="327"/>
      <c r="KG26" s="327"/>
      <c r="KH26" s="327"/>
      <c r="KI26" s="327"/>
      <c r="KJ26" s="327"/>
      <c r="KK26" s="327"/>
      <c r="KL26" s="327"/>
      <c r="KM26" s="327"/>
      <c r="KN26" s="327"/>
      <c r="KO26" s="327"/>
      <c r="KP26" s="327"/>
      <c r="KQ26" s="327"/>
      <c r="KR26" s="327"/>
    </row>
    <row r="27" spans="2:304" ht="25.5" thickBot="1">
      <c r="B27" s="24" t="s">
        <v>207</v>
      </c>
      <c r="C27" s="24">
        <f>IF(C5&lt;=90,C24,IF(C5&lt;=180,180-C24,IF(C5&lt;=270,180+C24,360-C24)))</f>
        <v>91.090007089356163</v>
      </c>
      <c r="D27" s="26">
        <f t="shared" si="88"/>
        <v>91</v>
      </c>
      <c r="E27" s="26">
        <f t="shared" si="89"/>
        <v>5</v>
      </c>
      <c r="F27" s="26">
        <f t="shared" si="90"/>
        <v>24</v>
      </c>
      <c r="G27" s="26">
        <f t="shared" si="91"/>
        <v>1</v>
      </c>
      <c r="H27" s="26">
        <f t="shared" si="92"/>
        <v>31</v>
      </c>
      <c r="I27" s="26">
        <f t="shared" si="93"/>
        <v>52</v>
      </c>
      <c r="J27" s="26">
        <f t="shared" si="94"/>
        <v>41</v>
      </c>
      <c r="O27" s="1" t="s">
        <v>236</v>
      </c>
      <c r="P27" s="31">
        <f>DEGREES(ATAN(SIN(RADIANS(P15))*_xlfn.COT(RADIANS(P20))))</f>
        <v>16.853933282177074</v>
      </c>
      <c r="Q27" s="31">
        <f t="shared" si="61"/>
        <v>16</v>
      </c>
      <c r="R27" s="31">
        <f t="shared" si="62"/>
        <v>51</v>
      </c>
      <c r="S27" s="31">
        <f t="shared" si="63"/>
        <v>14</v>
      </c>
      <c r="T27" s="31">
        <f t="shared" si="64"/>
        <v>9</v>
      </c>
      <c r="U27" s="31">
        <f t="shared" si="65"/>
        <v>35</v>
      </c>
      <c r="V27" s="31">
        <f t="shared" si="66"/>
        <v>20</v>
      </c>
      <c r="W27" s="31">
        <f t="shared" si="67"/>
        <v>13</v>
      </c>
      <c r="CB27" s="387"/>
      <c r="CC27" s="342"/>
      <c r="DA27" s="327"/>
      <c r="DB27" s="327"/>
      <c r="DC27" s="327"/>
      <c r="DD27" s="392"/>
      <c r="DE27" s="393"/>
      <c r="DF27" s="393"/>
      <c r="DG27" s="393"/>
      <c r="DH27" s="393"/>
      <c r="DI27" s="393" t="s">
        <v>2167</v>
      </c>
      <c r="DJ27" s="393"/>
      <c r="DK27" s="393"/>
      <c r="DL27" s="393" t="e">
        <f ca="1">ABS(DK26-(90-ABS(DC19)))</f>
        <v>#NAME?</v>
      </c>
      <c r="DM27" s="393" t="e">
        <f ca="1">[2]!asn([2]!sn(DL27)*[2]!sn(DJ26)/60)</f>
        <v>#NAME?</v>
      </c>
      <c r="DN27" s="394" t="e">
        <f ca="1">IF(90-ABS(DC19)&gt;DK26,90-DM27,90+DM27)</f>
        <v>#NAME?</v>
      </c>
      <c r="DO27" s="346"/>
      <c r="DP27" s="346"/>
      <c r="ER27" s="280" t="s">
        <v>2186</v>
      </c>
      <c r="ES27" s="226" t="e">
        <f ca="1">IF(AND(ET8=1,ET21=ET18),ES26,IF(AND(ET8=1,ET21=-1*ET18,(90-ES18)&gt;ES23),ES26,IF(AND(ET8=-1,ET21=ET18,ES23&gt;(90-ES18)),ES26,ES26*-1)))</f>
        <v>#NAME?</v>
      </c>
      <c r="ET27" s="226"/>
      <c r="EU27" s="226"/>
      <c r="EV27" s="227"/>
      <c r="EX27" s="363" t="s">
        <v>2205</v>
      </c>
      <c r="EY27" s="363" t="e">
        <f ca="1">EY26/5.93</f>
        <v>#NAME?</v>
      </c>
      <c r="EZ27" s="363" t="e">
        <f ca="1">EZ26/6</f>
        <v>#NAME?</v>
      </c>
      <c r="FA27" s="363" t="e">
        <f ca="1">FA26/6</f>
        <v>#NAME?</v>
      </c>
      <c r="FB27" s="363" t="e">
        <f ca="1">FB26/6</f>
        <v>#NAME?</v>
      </c>
      <c r="FC27" s="363" t="e">
        <f ca="1">FC26/6</f>
        <v>#NAME?</v>
      </c>
      <c r="FD27" s="363" t="e">
        <f ca="1">FD26/6</f>
        <v>#NAME?</v>
      </c>
      <c r="FE27" s="363" t="e">
        <f t="shared" ref="FE27:FJ27" ca="1" si="96">FE26/6</f>
        <v>#NAME?</v>
      </c>
      <c r="FF27" s="363" t="e">
        <f t="shared" ca="1" si="96"/>
        <v>#NAME?</v>
      </c>
      <c r="FG27" s="363" t="e">
        <f t="shared" ca="1" si="96"/>
        <v>#NAME?</v>
      </c>
      <c r="FH27" s="363" t="e">
        <f t="shared" ca="1" si="96"/>
        <v>#NAME?</v>
      </c>
      <c r="FI27" s="363" t="e">
        <f t="shared" ca="1" si="96"/>
        <v>#NAME?</v>
      </c>
      <c r="FJ27" s="363" t="e">
        <f t="shared" ca="1" si="96"/>
        <v>#NAME?</v>
      </c>
      <c r="FK27" s="363"/>
      <c r="FL27" t="s">
        <v>2208</v>
      </c>
      <c r="FR27" s="274"/>
      <c r="FS27" s="274"/>
      <c r="FT27" s="274"/>
      <c r="FU27" s="274"/>
      <c r="FV27" s="274"/>
      <c r="FW27" s="274"/>
      <c r="FX27" s="274"/>
      <c r="FY27" s="274"/>
      <c r="FZ27" s="274"/>
      <c r="GA27" s="276"/>
      <c r="GB27" s="276"/>
      <c r="GC27" s="276"/>
      <c r="GD27" s="274"/>
      <c r="GE27" s="274"/>
      <c r="GF27" s="274"/>
      <c r="GG27" s="274"/>
      <c r="GH27" s="274"/>
      <c r="GI27" s="274"/>
      <c r="GJ27" s="276"/>
      <c r="GK27" s="276"/>
      <c r="GL27" s="276"/>
      <c r="GM27" s="274"/>
      <c r="GN27" s="274"/>
      <c r="GO27" s="274"/>
      <c r="GP27" s="274"/>
      <c r="GQ27" s="274"/>
      <c r="GR27" s="274"/>
      <c r="GS27" s="276"/>
      <c r="GT27" s="276"/>
      <c r="GU27" s="274"/>
      <c r="GV27" s="274"/>
      <c r="HM27" s="150"/>
      <c r="HN27" s="150" t="s">
        <v>2285</v>
      </c>
      <c r="HO27" s="150">
        <f>HO13-HO8</f>
        <v>2</v>
      </c>
      <c r="HP27" s="157">
        <f t="shared" si="71"/>
        <v>2</v>
      </c>
      <c r="HQ27" s="157">
        <f t="shared" si="72"/>
        <v>0</v>
      </c>
      <c r="HR27" s="157">
        <f t="shared" si="73"/>
        <v>0</v>
      </c>
      <c r="HS27" s="157">
        <f t="shared" si="74"/>
        <v>0</v>
      </c>
      <c r="IA27" s="150"/>
      <c r="IB27" s="498" t="s">
        <v>2285</v>
      </c>
      <c r="IC27" s="348" t="e">
        <f ca="1">IC18-IC17</f>
        <v>#NAME?</v>
      </c>
      <c r="ID27" s="157" t="e">
        <f t="shared" ca="1" si="84"/>
        <v>#NAME?</v>
      </c>
      <c r="IE27" s="157" t="e">
        <f t="shared" ca="1" si="85"/>
        <v>#NAME?</v>
      </c>
      <c r="IF27" s="157" t="e">
        <f t="shared" ca="1" si="86"/>
        <v>#NAME?</v>
      </c>
      <c r="IG27" s="157" t="e">
        <f t="shared" ca="1" si="87"/>
        <v>#NAME?</v>
      </c>
      <c r="II27" s="161"/>
      <c r="IJ27" s="161"/>
      <c r="IX27" s="327"/>
      <c r="IY27" s="699" t="s">
        <v>2202</v>
      </c>
      <c r="IZ27" s="700">
        <f>[1]!talea(IZ5,IZ6,IZ7,IZ8,JD7)</f>
        <v>247.32371315219629</v>
      </c>
      <c r="JA27" s="1333">
        <f t="shared" si="75"/>
        <v>247</v>
      </c>
      <c r="JB27" s="1333">
        <f t="shared" si="76"/>
        <v>19</v>
      </c>
      <c r="JC27" s="1333">
        <f t="shared" si="77"/>
        <v>25</v>
      </c>
      <c r="JD27" s="1333">
        <f t="shared" si="78"/>
        <v>22</v>
      </c>
      <c r="JE27" s="700"/>
      <c r="JF27" s="700"/>
      <c r="JG27" s="700"/>
      <c r="JH27" s="1333"/>
      <c r="JI27" s="779" t="s">
        <v>2223</v>
      </c>
      <c r="JJ27" s="251">
        <f>[1]!ba(JJ25+180)</f>
        <v>225.04882576235656</v>
      </c>
      <c r="JK27" s="1346"/>
      <c r="JL27" s="1346"/>
      <c r="JM27" s="1347"/>
      <c r="JN27" s="251"/>
      <c r="JO27" s="251"/>
      <c r="JP27" s="251"/>
      <c r="JQ27" s="251"/>
      <c r="JR27" s="644"/>
      <c r="JS27" s="274"/>
      <c r="JT27" s="276"/>
      <c r="JU27" s="276"/>
      <c r="JV27" s="327"/>
      <c r="JW27" s="327"/>
      <c r="JX27" s="327"/>
      <c r="JY27" s="327"/>
      <c r="JZ27" s="327"/>
      <c r="KA27" s="327"/>
      <c r="KB27" s="327"/>
      <c r="KC27" s="327"/>
      <c r="KD27" s="327"/>
      <c r="KE27" s="327"/>
      <c r="KF27" s="327"/>
      <c r="KG27" s="327"/>
      <c r="KH27" s="327"/>
      <c r="KI27" s="327"/>
      <c r="KJ27" s="327"/>
      <c r="KK27" s="327"/>
      <c r="KL27" s="327"/>
      <c r="KM27" s="327"/>
      <c r="KN27" s="327"/>
      <c r="KO27" s="327"/>
      <c r="KP27" s="327"/>
      <c r="KQ27" s="327"/>
      <c r="KR27" s="327"/>
    </row>
    <row r="28" spans="2:304" ht="25.5" thickBot="1">
      <c r="B28" s="24" t="s">
        <v>210</v>
      </c>
      <c r="C28" s="24">
        <f>DEGREES(ASIN(TAN(RADIANS(C9))*TAN(RADIANS(C21))))</f>
        <v>2.174526574676837</v>
      </c>
      <c r="D28" s="26">
        <f t="shared" si="88"/>
        <v>2</v>
      </c>
      <c r="E28" s="26">
        <f t="shared" si="89"/>
        <v>10</v>
      </c>
      <c r="F28" s="26">
        <f t="shared" si="90"/>
        <v>28</v>
      </c>
      <c r="G28" s="26">
        <f t="shared" si="91"/>
        <v>17</v>
      </c>
      <c r="H28" s="26">
        <f t="shared" si="92"/>
        <v>44</v>
      </c>
      <c r="I28" s="26">
        <f t="shared" si="93"/>
        <v>24</v>
      </c>
      <c r="J28" s="26">
        <f t="shared" si="94"/>
        <v>28</v>
      </c>
      <c r="K28" t="str">
        <f>IF(C5&lt;=180,"شمالی","جنوبی")</f>
        <v>شمالی</v>
      </c>
      <c r="L28">
        <f>IF(K28="شمالی",1,2)</f>
        <v>1</v>
      </c>
      <c r="O28" s="1" t="s">
        <v>238</v>
      </c>
      <c r="P28">
        <f>IF(P19&gt;=P2,IF(AND(Y19=1,P25&gt;270),P16+P27,IF(AND(Y19=2,P25&gt;90),P16+P27,P16-P27)),IF(180&gt;=P25&gt;90,IF(Y19=1,IF(P25&lt;180-Y28,P16+P27,P16-P27),P16+P27),IF(P25&gt;270,IF(Y19=2,IF(P25&lt;360-Y28,P16+P27,P16-P27),P16+P27),P16-P27)))</f>
        <v>64.406585796860369</v>
      </c>
      <c r="Q28" s="31">
        <f t="shared" si="61"/>
        <v>64</v>
      </c>
      <c r="R28" s="31">
        <f t="shared" si="62"/>
        <v>24</v>
      </c>
      <c r="S28" s="31">
        <f t="shared" si="63"/>
        <v>23</v>
      </c>
      <c r="T28" s="31">
        <f t="shared" si="64"/>
        <v>42</v>
      </c>
      <c r="U28" s="31">
        <f t="shared" si="65"/>
        <v>31</v>
      </c>
      <c r="V28" s="31">
        <f t="shared" si="66"/>
        <v>55</v>
      </c>
      <c r="W28" s="31">
        <f t="shared" si="67"/>
        <v>38</v>
      </c>
      <c r="X28" t="s">
        <v>239</v>
      </c>
      <c r="Y28" t="e">
        <f>DEGREES(ASIN(SIN(RADIANS(P19))/SIN(RADIANS(P2))))</f>
        <v>#NUM!</v>
      </c>
      <c r="CB28" s="224"/>
      <c r="CC28" s="238"/>
      <c r="CD28" s="271"/>
      <c r="DA28" s="327"/>
      <c r="DB28" s="327"/>
      <c r="DC28" s="327"/>
      <c r="DD28" s="202">
        <v>3</v>
      </c>
      <c r="DE28" s="268">
        <v>3</v>
      </c>
      <c r="DF28" s="268" t="s">
        <v>2165</v>
      </c>
      <c r="DG28" s="268" t="s">
        <v>2162</v>
      </c>
      <c r="DH28" s="268"/>
      <c r="DI28" s="268" t="s">
        <v>2166</v>
      </c>
      <c r="DJ28" s="268"/>
      <c r="DK28" s="268"/>
      <c r="DL28" s="268" t="e">
        <f ca="1">[2]!asn([2]!sn(ABS(DC17))*[2]!sn(ABS(DC19))/60)</f>
        <v>#NAME?</v>
      </c>
      <c r="DM28" s="346"/>
      <c r="DN28" s="268" t="e">
        <f ca="1">90-DL28</f>
        <v>#NAME?</v>
      </c>
      <c r="DO28" s="346" t="e">
        <f ca="1">IF(DA17=DA19,DN28,DN29)</f>
        <v>#NAME?</v>
      </c>
      <c r="DP28" s="346"/>
      <c r="EN28" s="26"/>
      <c r="EO28" s="26"/>
      <c r="EP28" s="26"/>
      <c r="EQ28" s="26"/>
      <c r="ER28" s="280" t="s">
        <v>2193</v>
      </c>
      <c r="ES28" s="226"/>
      <c r="ET28" s="226"/>
      <c r="EU28" s="226"/>
      <c r="EV28" s="227"/>
      <c r="EX28" s="363"/>
      <c r="EY28" s="363">
        <f>EY22-EY8</f>
        <v>10.949051599733892</v>
      </c>
      <c r="EZ28" s="363"/>
      <c r="FA28" s="363"/>
      <c r="FB28" s="363"/>
      <c r="FC28" s="363"/>
      <c r="FD28" s="363"/>
      <c r="FE28" s="363"/>
      <c r="FF28" s="363"/>
      <c r="FG28" s="363"/>
      <c r="FH28" s="363"/>
      <c r="FI28" s="363"/>
      <c r="FJ28" s="363"/>
      <c r="FK28" s="363"/>
      <c r="FR28" s="274"/>
      <c r="FS28" s="274"/>
      <c r="FT28" s="274"/>
      <c r="FU28" s="274"/>
      <c r="FV28" s="274"/>
      <c r="FW28" s="274"/>
      <c r="FX28" s="274"/>
      <c r="FY28" s="274"/>
      <c r="FZ28" s="274"/>
      <c r="GA28" s="274"/>
      <c r="GB28" s="274"/>
      <c r="GC28" s="274"/>
      <c r="GD28" s="274"/>
      <c r="GE28" s="274"/>
      <c r="GF28" s="274"/>
      <c r="GG28" s="274"/>
      <c r="GH28" s="274"/>
      <c r="GI28" s="274"/>
      <c r="GJ28" s="274"/>
      <c r="GK28" s="274"/>
      <c r="GL28" s="274"/>
      <c r="GM28" s="274"/>
      <c r="GN28" s="274"/>
      <c r="GO28" s="274"/>
      <c r="GP28" s="274"/>
      <c r="GQ28" s="274"/>
      <c r="GR28" s="274"/>
      <c r="GS28" s="274"/>
      <c r="GT28" s="274"/>
      <c r="GU28" s="327"/>
      <c r="GV28" s="327"/>
      <c r="HM28" s="150"/>
      <c r="HN28" s="150" t="s">
        <v>610</v>
      </c>
      <c r="HO28" s="150" t="e">
        <f ca="1">HO26*HO25/HO27</f>
        <v>#NAME?</v>
      </c>
      <c r="HP28" s="157" t="e">
        <f t="shared" ca="1" si="71"/>
        <v>#NAME?</v>
      </c>
      <c r="HQ28" s="157" t="e">
        <f t="shared" ca="1" si="72"/>
        <v>#NAME?</v>
      </c>
      <c r="HR28" s="157" t="e">
        <f t="shared" ca="1" si="73"/>
        <v>#NAME?</v>
      </c>
      <c r="HS28" s="157" t="e">
        <f t="shared" ca="1" si="74"/>
        <v>#NAME?</v>
      </c>
      <c r="IA28" s="150"/>
      <c r="IB28" s="498" t="s">
        <v>610</v>
      </c>
      <c r="IC28" s="348">
        <f>IC6-IC12</f>
        <v>0.25</v>
      </c>
      <c r="ID28" s="157">
        <f t="shared" si="84"/>
        <v>0</v>
      </c>
      <c r="IE28" s="157">
        <f t="shared" si="85"/>
        <v>15</v>
      </c>
      <c r="IF28" s="157">
        <f t="shared" si="86"/>
        <v>0</v>
      </c>
      <c r="IG28" s="157">
        <f t="shared" si="87"/>
        <v>0</v>
      </c>
      <c r="II28" s="33"/>
      <c r="IJ28" s="33"/>
      <c r="IX28" s="327"/>
      <c r="IY28" s="797"/>
      <c r="IZ28" s="797"/>
      <c r="JA28" s="797"/>
      <c r="JB28" s="797"/>
      <c r="JC28" s="797"/>
      <c r="JD28" s="797"/>
      <c r="JE28" s="797"/>
      <c r="JF28" s="797"/>
      <c r="JG28" s="797"/>
      <c r="JH28" s="187"/>
      <c r="JI28" s="1349" t="s">
        <v>2224</v>
      </c>
      <c r="JJ28" s="1350">
        <f>[1]!tl(IZ5,IF(JJ27-90&gt;0,JJ27-90,JJ27-90+360))</f>
        <v>132.58589369496428</v>
      </c>
      <c r="JK28" s="1351"/>
      <c r="JL28" s="1351"/>
      <c r="JM28" s="1352"/>
      <c r="JN28" s="1350"/>
      <c r="JO28" s="1350"/>
      <c r="JP28" s="1350"/>
      <c r="JQ28" s="1350"/>
      <c r="JR28" s="1353"/>
      <c r="JS28" s="274"/>
      <c r="JT28" s="276"/>
      <c r="JU28" s="276"/>
      <c r="JV28" s="327"/>
      <c r="JW28" s="327"/>
      <c r="JX28" s="327"/>
      <c r="JY28" s="327"/>
      <c r="JZ28" s="327"/>
      <c r="KA28" s="327"/>
      <c r="KB28" s="327"/>
      <c r="KC28" s="327"/>
      <c r="KD28" s="327"/>
      <c r="KE28" s="327"/>
      <c r="KF28" s="327"/>
      <c r="KG28" s="327"/>
      <c r="KH28" s="327"/>
      <c r="KI28" s="327"/>
      <c r="KJ28" s="327"/>
      <c r="KK28" s="327"/>
      <c r="KL28" s="327"/>
      <c r="KM28" s="327"/>
      <c r="KN28" s="327"/>
      <c r="KO28" s="327"/>
      <c r="KP28" s="327"/>
      <c r="KQ28" s="327"/>
      <c r="KR28" s="327"/>
    </row>
    <row r="29" spans="2:304" ht="24.75">
      <c r="B29" s="24" t="s">
        <v>214</v>
      </c>
      <c r="C29" s="24">
        <f>DEGREES(ASIN(SIN(RADIANS(C9))/COS(RADIANS(C21))))</f>
        <v>23.541168005088814</v>
      </c>
      <c r="D29" s="26">
        <f t="shared" si="88"/>
        <v>23</v>
      </c>
      <c r="E29" s="26">
        <f t="shared" si="89"/>
        <v>32</v>
      </c>
      <c r="F29" s="26">
        <f t="shared" si="90"/>
        <v>28</v>
      </c>
      <c r="G29" s="26">
        <f t="shared" si="91"/>
        <v>12</v>
      </c>
      <c r="H29" s="26">
        <f t="shared" si="92"/>
        <v>17</v>
      </c>
      <c r="I29" s="26">
        <f t="shared" si="93"/>
        <v>20</v>
      </c>
      <c r="J29" s="26">
        <f t="shared" si="94"/>
        <v>45</v>
      </c>
      <c r="K29" t="str">
        <f>K17</f>
        <v>شمالی</v>
      </c>
      <c r="L29">
        <f>L17</f>
        <v>1</v>
      </c>
      <c r="CB29" s="224"/>
      <c r="CC29" s="238"/>
      <c r="CD29" s="271"/>
      <c r="DA29" s="327"/>
      <c r="DB29" s="327"/>
      <c r="DC29" s="327"/>
      <c r="DD29" s="392"/>
      <c r="DE29" s="393"/>
      <c r="DF29" s="393"/>
      <c r="DG29" s="393"/>
      <c r="DH29" s="393"/>
      <c r="DI29" s="393" t="s">
        <v>2167</v>
      </c>
      <c r="DJ29" s="393"/>
      <c r="DK29" s="393"/>
      <c r="DL29" s="393" t="e">
        <f ca="1">[2]!asn([2]!sn(ABS(DC17))*[2]!sn(ABS(DC19))/60)</f>
        <v>#NAME?</v>
      </c>
      <c r="DM29" s="346"/>
      <c r="DN29" s="393" t="e">
        <f ca="1">90+DL29</f>
        <v>#NAME?</v>
      </c>
      <c r="DO29" s="346"/>
      <c r="DP29" s="346"/>
      <c r="ER29" s="280"/>
      <c r="ES29" s="226" t="e">
        <f ca="1">[2]!asn([2]!sn(ES5)*[2]!sn(ES18)/60)</f>
        <v>#NAME?</v>
      </c>
      <c r="ET29" s="226"/>
      <c r="EU29" s="226"/>
      <c r="EV29" s="227"/>
      <c r="EX29" s="363"/>
      <c r="EY29" s="363" t="e">
        <f ca="1">EY28*EY27</f>
        <v>#NAME?</v>
      </c>
      <c r="EZ29" s="363"/>
      <c r="FA29" s="363"/>
      <c r="FB29" s="363"/>
      <c r="FC29" s="363"/>
      <c r="FD29" s="363"/>
      <c r="FE29" s="363"/>
      <c r="FF29" s="363"/>
      <c r="FG29" s="363"/>
      <c r="FH29" s="363"/>
      <c r="FI29" s="363"/>
      <c r="FJ29" s="363"/>
      <c r="FK29" s="363"/>
      <c r="FR29" s="274"/>
      <c r="FS29" s="274"/>
      <c r="FT29" s="274"/>
      <c r="FU29" s="274"/>
      <c r="FV29" s="274"/>
      <c r="FW29" s="274"/>
      <c r="FX29" s="274"/>
      <c r="FY29" s="274"/>
      <c r="FZ29" s="274"/>
      <c r="GA29" s="274"/>
      <c r="GB29" s="274"/>
      <c r="GC29" s="274"/>
      <c r="GD29" s="274"/>
      <c r="GE29" s="274"/>
      <c r="GF29" s="274"/>
      <c r="GG29" s="274"/>
      <c r="GH29" s="274"/>
      <c r="GI29" s="274"/>
      <c r="GJ29" s="274"/>
      <c r="GK29" s="274"/>
      <c r="GL29" s="274"/>
      <c r="GM29" s="274"/>
      <c r="GN29" s="274"/>
      <c r="GO29" s="274"/>
      <c r="GP29" s="274"/>
      <c r="GQ29" s="274"/>
      <c r="GR29" s="274"/>
      <c r="GS29" s="274"/>
      <c r="GT29" s="274"/>
      <c r="HM29" s="150"/>
      <c r="HN29" s="150" t="s">
        <v>2286</v>
      </c>
      <c r="HO29" s="150" t="e">
        <f ca="1">HO17+HO28</f>
        <v>#NAME?</v>
      </c>
      <c r="HP29" s="157" t="e">
        <f t="shared" ca="1" si="71"/>
        <v>#NAME?</v>
      </c>
      <c r="HQ29" s="157" t="e">
        <f t="shared" ca="1" si="72"/>
        <v>#NAME?</v>
      </c>
      <c r="HR29" s="157" t="e">
        <f t="shared" ca="1" si="73"/>
        <v>#NAME?</v>
      </c>
      <c r="HS29" s="157" t="e">
        <f t="shared" ca="1" si="74"/>
        <v>#NAME?</v>
      </c>
      <c r="IA29" s="348"/>
      <c r="IB29" s="499" t="s">
        <v>2286</v>
      </c>
      <c r="IC29" s="348" t="e">
        <f ca="1">IC27*IC28/(20/60)</f>
        <v>#NAME?</v>
      </c>
      <c r="ID29" s="157" t="e">
        <f t="shared" ca="1" si="84"/>
        <v>#NAME?</v>
      </c>
      <c r="IE29" s="157" t="e">
        <f t="shared" ca="1" si="85"/>
        <v>#NAME?</v>
      </c>
      <c r="IF29" s="157" t="e">
        <f t="shared" ca="1" si="86"/>
        <v>#NAME?</v>
      </c>
      <c r="IG29" s="157" t="e">
        <f t="shared" ca="1" si="87"/>
        <v>#NAME?</v>
      </c>
      <c r="II29" s="33"/>
      <c r="IJ29" s="33"/>
      <c r="IX29" s="327"/>
      <c r="IY29" s="797"/>
      <c r="IZ29" s="797"/>
      <c r="JA29" s="327"/>
      <c r="JB29" s="327"/>
      <c r="JC29" s="327"/>
      <c r="JD29" s="327"/>
      <c r="JE29" s="327"/>
      <c r="JF29" s="327"/>
      <c r="JG29" s="327"/>
      <c r="JH29" s="327"/>
      <c r="JI29" s="327"/>
      <c r="JJ29" s="327"/>
      <c r="JK29" s="327"/>
      <c r="JL29" s="327"/>
      <c r="JM29" s="327"/>
      <c r="JN29" s="327"/>
      <c r="JO29" s="327"/>
      <c r="JP29" s="327"/>
      <c r="JQ29" s="327"/>
      <c r="JR29" s="327"/>
      <c r="JS29" s="327"/>
      <c r="JT29" s="327"/>
      <c r="JU29" s="327"/>
      <c r="JV29" s="327"/>
      <c r="JW29" s="327"/>
      <c r="JX29" s="327"/>
      <c r="JY29" s="327"/>
      <c r="JZ29" s="327"/>
      <c r="KA29" s="327"/>
      <c r="KB29" s="327"/>
      <c r="KC29" s="327"/>
      <c r="KD29" s="327"/>
      <c r="KE29" s="327"/>
      <c r="KF29" s="327"/>
      <c r="KG29" s="327"/>
      <c r="KH29" s="327"/>
      <c r="KI29" s="327"/>
      <c r="KJ29" s="327"/>
      <c r="KK29" s="327"/>
      <c r="KL29" s="327"/>
      <c r="KM29" s="327"/>
      <c r="KN29" s="327"/>
      <c r="KO29" s="327"/>
      <c r="KP29" s="327"/>
      <c r="KQ29" s="327"/>
      <c r="KR29" s="327"/>
    </row>
    <row r="30" spans="2:304" ht="24.75">
      <c r="B30" s="24" t="s">
        <v>211</v>
      </c>
      <c r="C30" s="24">
        <f>DEGREES(ACOS(COS(RADIANS(C29))/COS(RADIANS(C9))))</f>
        <v>2.1745265746768565</v>
      </c>
      <c r="D30" s="26">
        <f t="shared" si="88"/>
        <v>2</v>
      </c>
      <c r="E30" s="26">
        <f t="shared" si="89"/>
        <v>10</v>
      </c>
      <c r="F30" s="26">
        <f t="shared" si="90"/>
        <v>28</v>
      </c>
      <c r="G30" s="26">
        <f t="shared" si="91"/>
        <v>17</v>
      </c>
      <c r="H30" s="26">
        <f t="shared" si="92"/>
        <v>44</v>
      </c>
      <c r="I30" s="26">
        <f t="shared" si="93"/>
        <v>24</v>
      </c>
      <c r="J30" s="26">
        <f t="shared" si="94"/>
        <v>28</v>
      </c>
      <c r="CB30" s="224"/>
      <c r="CC30" s="238"/>
      <c r="CD30" s="271"/>
      <c r="DA30" s="327"/>
      <c r="DB30" s="327"/>
      <c r="DC30" s="327"/>
      <c r="DD30" s="202"/>
      <c r="DE30" s="268">
        <v>4</v>
      </c>
      <c r="DF30" s="268"/>
      <c r="DG30" s="268" t="s">
        <v>2163</v>
      </c>
      <c r="DH30" s="268"/>
      <c r="DI30" s="268" t="s">
        <v>2166</v>
      </c>
      <c r="DJ30" s="268"/>
      <c r="DK30" s="268"/>
      <c r="DL30" s="268" t="e">
        <f ca="1">ABS(DK26-(90-ABS(DC19)))</f>
        <v>#NAME?</v>
      </c>
      <c r="DM30" s="268" t="e">
        <f ca="1">[2]!asn([2]!sn(DL30)*[2]!sn(DJ26)/60)</f>
        <v>#NAME?</v>
      </c>
      <c r="DN30" s="201" t="e">
        <f ca="1">IF(90-ABS(DC19)&lt;DK26,90-DM30,90+DM30)</f>
        <v>#NAME?</v>
      </c>
      <c r="DO30" s="346" t="e">
        <f ca="1">IF(DA17=DA19,DN30,DN31)</f>
        <v>#NAME?</v>
      </c>
      <c r="DP30" s="346"/>
      <c r="ER30" s="280"/>
      <c r="ES30" s="226" t="e">
        <f ca="1">IF(ET21=ET18,ES29,ES29*-1)</f>
        <v>#NAME?</v>
      </c>
      <c r="ET30" s="226"/>
      <c r="EU30" s="226"/>
      <c r="EV30" s="227"/>
      <c r="EX30" s="363" t="s">
        <v>2206</v>
      </c>
      <c r="EY30" s="363" t="e">
        <f ca="1">EY29/30</f>
        <v>#NAME?</v>
      </c>
      <c r="EZ30" s="435"/>
      <c r="FA30" s="435"/>
      <c r="FB30" s="435"/>
      <c r="FC30" s="435"/>
      <c r="FD30" s="435"/>
      <c r="FE30" s="435"/>
      <c r="FF30" s="435"/>
      <c r="FG30" s="435"/>
      <c r="FH30" s="435"/>
      <c r="FI30" s="435"/>
      <c r="FJ30" s="435"/>
      <c r="FK30" s="435"/>
      <c r="FR30" s="274"/>
      <c r="FS30" s="274"/>
      <c r="FT30" s="274"/>
      <c r="FU30" s="274"/>
      <c r="FV30" s="274"/>
      <c r="FW30" s="274"/>
      <c r="FX30" s="274"/>
      <c r="FY30" s="274"/>
      <c r="FZ30" s="274"/>
      <c r="GA30" s="274"/>
      <c r="GB30" s="274"/>
      <c r="GC30" s="274"/>
      <c r="GD30" s="274"/>
      <c r="GE30" s="274"/>
      <c r="GF30" s="274"/>
      <c r="GG30" s="274"/>
      <c r="GH30" s="274"/>
      <c r="GI30" s="274"/>
      <c r="GJ30" s="274"/>
      <c r="GK30" s="274"/>
      <c r="GL30" s="274"/>
      <c r="GM30" s="274"/>
      <c r="GN30" s="274"/>
      <c r="GO30" s="274"/>
      <c r="GP30" s="274"/>
      <c r="GQ30" s="274"/>
      <c r="GR30" s="274"/>
      <c r="GS30" s="274"/>
      <c r="GT30" s="274"/>
      <c r="HM30" s="150"/>
      <c r="HN30" s="150" t="s">
        <v>2287</v>
      </c>
      <c r="HO30" s="150" t="e">
        <f ca="1">HO29-HO24</f>
        <v>#NAME?</v>
      </c>
      <c r="HP30" s="157" t="e">
        <f t="shared" ca="1" si="71"/>
        <v>#NAME?</v>
      </c>
      <c r="HQ30" s="157" t="e">
        <f t="shared" ca="1" si="72"/>
        <v>#NAME?</v>
      </c>
      <c r="HR30" s="157" t="e">
        <f t="shared" ca="1" si="73"/>
        <v>#NAME?</v>
      </c>
      <c r="HS30" s="157" t="e">
        <f t="shared" ca="1" si="74"/>
        <v>#NAME?</v>
      </c>
      <c r="IA30" s="348"/>
      <c r="IB30" s="499" t="s">
        <v>2287</v>
      </c>
      <c r="IC30" s="348" t="e">
        <f ca="1">IC17+IC29</f>
        <v>#NAME?</v>
      </c>
      <c r="ID30" s="157" t="e">
        <f t="shared" ca="1" si="84"/>
        <v>#NAME?</v>
      </c>
      <c r="IE30" s="157" t="e">
        <f t="shared" ca="1" si="85"/>
        <v>#NAME?</v>
      </c>
      <c r="IF30" s="157" t="e">
        <f t="shared" ca="1" si="86"/>
        <v>#NAME?</v>
      </c>
      <c r="IG30" s="157" t="e">
        <f t="shared" ca="1" si="87"/>
        <v>#NAME?</v>
      </c>
      <c r="II30" s="33"/>
      <c r="IJ30" s="33"/>
      <c r="IX30" s="327"/>
      <c r="IY30" s="797"/>
      <c r="IZ30" s="797"/>
      <c r="JA30" s="327"/>
      <c r="JB30" s="327"/>
      <c r="JC30" s="327"/>
      <c r="JD30" s="327"/>
      <c r="JE30" s="327"/>
      <c r="JF30" s="327"/>
      <c r="JG30" s="327"/>
      <c r="JH30" s="327"/>
      <c r="JI30" s="327"/>
      <c r="JJ30" s="327"/>
      <c r="JK30" s="327"/>
      <c r="JL30" s="327"/>
      <c r="JM30" s="327"/>
      <c r="JN30" s="327"/>
      <c r="JO30" s="327"/>
      <c r="JP30" s="327"/>
      <c r="JQ30" s="327"/>
      <c r="JR30" s="327"/>
      <c r="JS30" s="327"/>
      <c r="JT30" s="327"/>
      <c r="JU30" s="327"/>
      <c r="JV30" s="327"/>
      <c r="JW30" s="327"/>
      <c r="JX30" s="327"/>
      <c r="JY30" s="327"/>
      <c r="JZ30" s="327"/>
      <c r="KA30" s="327"/>
      <c r="KB30" s="327"/>
      <c r="KC30" s="327"/>
      <c r="KD30" s="327"/>
      <c r="KE30" s="327"/>
      <c r="KF30" s="327"/>
      <c r="KG30" s="327"/>
      <c r="KH30" s="327"/>
      <c r="KI30" s="327"/>
      <c r="KJ30" s="327"/>
      <c r="KK30" s="327"/>
      <c r="KL30" s="327"/>
      <c r="KM30" s="327"/>
      <c r="KN30" s="327"/>
      <c r="KO30" s="327"/>
      <c r="KP30" s="327"/>
      <c r="KQ30" s="327"/>
      <c r="KR30" s="327"/>
    </row>
    <row r="31" spans="2:304" ht="24.75">
      <c r="B31" s="24" t="s">
        <v>212</v>
      </c>
      <c r="C31" s="24">
        <f>DEGREES(ASIN(((SIN(RADIANS(C29))*SIN(RADIANS(C21)))/COS(RADIANS(C9)))))</f>
        <v>2.174526574676837</v>
      </c>
      <c r="D31" s="26">
        <f t="shared" si="88"/>
        <v>2</v>
      </c>
      <c r="E31" s="26">
        <f t="shared" si="89"/>
        <v>10</v>
      </c>
      <c r="F31" s="26">
        <f t="shared" si="90"/>
        <v>28</v>
      </c>
      <c r="G31" s="26">
        <f t="shared" si="91"/>
        <v>17</v>
      </c>
      <c r="H31" s="26">
        <f t="shared" si="92"/>
        <v>44</v>
      </c>
      <c r="I31" s="26">
        <f t="shared" si="93"/>
        <v>24</v>
      </c>
      <c r="J31" s="26">
        <f t="shared" si="94"/>
        <v>28</v>
      </c>
      <c r="CB31" s="245"/>
      <c r="CC31" s="239"/>
      <c r="CD31" s="282"/>
      <c r="DA31" s="327"/>
      <c r="DB31" s="327"/>
      <c r="DC31" s="327"/>
      <c r="DD31" s="392"/>
      <c r="DE31" s="393"/>
      <c r="DF31" s="393"/>
      <c r="DG31" s="393"/>
      <c r="DH31" s="393"/>
      <c r="DI31" s="393" t="s">
        <v>2167</v>
      </c>
      <c r="DJ31" s="393"/>
      <c r="DK31" s="393"/>
      <c r="DL31" s="393" t="e">
        <f ca="1">DK26+(90-ABS(DC19))</f>
        <v>#NAME?</v>
      </c>
      <c r="DM31" s="393" t="e">
        <f ca="1">[2]!asn([2]!sn(DL31)*[2]!sn(DJ26)/60)</f>
        <v>#NAME?</v>
      </c>
      <c r="DN31" s="394" t="e">
        <f ca="1">90+DM31</f>
        <v>#NAME?</v>
      </c>
      <c r="DO31" s="346"/>
      <c r="DP31" s="346"/>
      <c r="ER31" s="311" t="s">
        <v>2186</v>
      </c>
      <c r="ES31" s="312" t="e">
        <f ca="1">IF(OR(ES6=ES7,ES6=ES8),ES30,IF(ES5=0,ES20,ES27))</f>
        <v>#NAME?</v>
      </c>
      <c r="ET31" s="312"/>
      <c r="EU31" s="312"/>
      <c r="EV31" s="313"/>
      <c r="EX31" s="363"/>
      <c r="EY31" s="363" t="e">
        <f ca="1">EY21-EY30</f>
        <v>#NAME?</v>
      </c>
      <c r="EZ31" s="435" t="e">
        <f t="shared" ref="EZ31:FJ31" ca="1" si="97">EY31-EZ27</f>
        <v>#NAME?</v>
      </c>
      <c r="FA31" s="435" t="e">
        <f t="shared" ca="1" si="97"/>
        <v>#NAME?</v>
      </c>
      <c r="FB31" s="435" t="e">
        <f t="shared" ca="1" si="97"/>
        <v>#NAME?</v>
      </c>
      <c r="FC31" s="435" t="e">
        <f t="shared" ca="1" si="97"/>
        <v>#NAME?</v>
      </c>
      <c r="FD31" s="435" t="e">
        <f t="shared" ca="1" si="97"/>
        <v>#NAME?</v>
      </c>
      <c r="FE31" s="435" t="e">
        <f t="shared" ca="1" si="97"/>
        <v>#NAME?</v>
      </c>
      <c r="FF31" s="435" t="e">
        <f t="shared" ca="1" si="97"/>
        <v>#NAME?</v>
      </c>
      <c r="FG31" s="435" t="e">
        <f t="shared" ca="1" si="97"/>
        <v>#NAME?</v>
      </c>
      <c r="FH31" s="435" t="e">
        <f t="shared" ca="1" si="97"/>
        <v>#NAME?</v>
      </c>
      <c r="FI31" s="435" t="e">
        <f t="shared" ca="1" si="97"/>
        <v>#NAME?</v>
      </c>
      <c r="FJ31" s="435" t="e">
        <f t="shared" ca="1" si="97"/>
        <v>#NAME?</v>
      </c>
      <c r="FK31" s="435"/>
      <c r="FR31" s="274"/>
      <c r="FS31" s="274"/>
      <c r="FT31" s="274"/>
      <c r="FU31" s="274"/>
      <c r="FV31" s="274"/>
      <c r="FW31" s="274"/>
      <c r="FX31" s="274"/>
      <c r="FY31" s="274"/>
      <c r="FZ31" s="274"/>
      <c r="GA31" s="274"/>
      <c r="GB31" s="274"/>
      <c r="GC31" s="274"/>
      <c r="GD31" s="274"/>
      <c r="GE31" s="274"/>
      <c r="GF31" s="274"/>
      <c r="GG31" s="274"/>
      <c r="GH31" s="274"/>
      <c r="GI31" s="274"/>
      <c r="GJ31" s="274"/>
      <c r="GK31" s="274"/>
      <c r="GL31" s="274"/>
      <c r="GM31" s="274"/>
      <c r="GN31" s="274"/>
      <c r="GO31" s="274"/>
      <c r="GP31" s="274"/>
      <c r="GQ31" s="274"/>
      <c r="GR31" s="274"/>
      <c r="GS31" s="274"/>
      <c r="GT31" s="274"/>
      <c r="HM31" s="348"/>
      <c r="HN31" s="504" t="s">
        <v>2288</v>
      </c>
      <c r="HO31" s="348">
        <f>HO13-HO8</f>
        <v>2</v>
      </c>
      <c r="HP31" s="157">
        <f t="shared" si="71"/>
        <v>2</v>
      </c>
      <c r="HQ31" s="157">
        <f>INT((ABS(HO31)-HP31)*60)</f>
        <v>0</v>
      </c>
      <c r="HR31" s="157">
        <f>INT((((ABS(HO31)-HP31)*60)-HQ31)*60)</f>
        <v>0</v>
      </c>
      <c r="HS31" s="157">
        <f>INT((((((ABS(HO31)-HP31)*60)-HQ31)*60)-HR31)*60)</f>
        <v>0</v>
      </c>
      <c r="IA31" s="348"/>
      <c r="IB31" s="499" t="s">
        <v>2288</v>
      </c>
      <c r="IC31" s="348" t="e">
        <f ca="1">IC30-IC26</f>
        <v>#NAME?</v>
      </c>
      <c r="ID31" s="157" t="e">
        <f t="shared" ca="1" si="84"/>
        <v>#NAME?</v>
      </c>
      <c r="IE31" s="157" t="e">
        <f t="shared" ca="1" si="85"/>
        <v>#NAME?</v>
      </c>
      <c r="IF31" s="157" t="e">
        <f t="shared" ca="1" si="86"/>
        <v>#NAME?</v>
      </c>
      <c r="IG31" s="157" t="e">
        <f t="shared" ca="1" si="87"/>
        <v>#NAME?</v>
      </c>
      <c r="II31" s="33"/>
      <c r="IJ31" s="33"/>
      <c r="IX31" s="327"/>
      <c r="IY31" s="797"/>
      <c r="IZ31" s="797"/>
      <c r="JA31" s="327"/>
      <c r="JB31" s="327"/>
      <c r="JC31" s="327"/>
      <c r="JD31" s="327"/>
      <c r="JE31" s="327"/>
      <c r="JF31" s="327"/>
      <c r="JG31" s="327"/>
      <c r="JH31" s="327"/>
      <c r="JI31" s="327"/>
      <c r="JJ31" s="327"/>
      <c r="JK31" s="327"/>
      <c r="JL31" s="327"/>
      <c r="JM31" s="327"/>
      <c r="JN31" s="327"/>
      <c r="JO31" s="327"/>
      <c r="JP31" s="327"/>
      <c r="JQ31" s="327"/>
      <c r="JR31" s="327"/>
      <c r="JS31" s="327"/>
      <c r="JT31" s="327"/>
      <c r="JU31" s="327"/>
      <c r="JV31" s="327"/>
      <c r="JW31" s="327"/>
      <c r="JX31" s="327"/>
      <c r="JY31" s="327"/>
      <c r="JZ31" s="327"/>
      <c r="KA31" s="327"/>
      <c r="KB31" s="327"/>
      <c r="KC31" s="327"/>
      <c r="KD31" s="327"/>
      <c r="KE31" s="327"/>
      <c r="KF31" s="327"/>
      <c r="KG31" s="327"/>
      <c r="KH31" s="327"/>
      <c r="KI31" s="327"/>
      <c r="KJ31" s="327"/>
      <c r="KK31" s="327"/>
      <c r="KL31" s="327"/>
      <c r="KM31" s="327"/>
      <c r="KN31" s="327"/>
      <c r="KO31" s="327"/>
      <c r="KP31" s="327"/>
      <c r="KQ31" s="327"/>
      <c r="KR31" s="327"/>
    </row>
    <row r="32" spans="2:304" ht="24.75">
      <c r="B32" s="24" t="s">
        <v>216</v>
      </c>
      <c r="C32" s="24">
        <f>((C20-12)/2)*15</f>
        <v>17.681930700000006</v>
      </c>
      <c r="D32" s="26">
        <f t="shared" si="88"/>
        <v>17</v>
      </c>
      <c r="E32" s="26">
        <f t="shared" si="89"/>
        <v>40</v>
      </c>
      <c r="F32" s="26">
        <f t="shared" si="90"/>
        <v>54</v>
      </c>
      <c r="G32" s="26">
        <f t="shared" si="91"/>
        <v>57</v>
      </c>
      <c r="H32" s="26">
        <f t="shared" si="92"/>
        <v>1</v>
      </c>
      <c r="I32" s="26">
        <f t="shared" si="93"/>
        <v>52</v>
      </c>
      <c r="J32" s="26">
        <f t="shared" si="94"/>
        <v>19</v>
      </c>
      <c r="CB32" s="285"/>
      <c r="CC32" s="389"/>
      <c r="CD32" s="286"/>
      <c r="DA32" s="327"/>
      <c r="DB32" s="327"/>
      <c r="DC32" s="327"/>
      <c r="DD32" s="202"/>
      <c r="DE32" s="268">
        <v>5</v>
      </c>
      <c r="DF32" s="268"/>
      <c r="DG32" s="268" t="s">
        <v>2164</v>
      </c>
      <c r="DH32" s="268"/>
      <c r="DI32" s="268" t="s">
        <v>2166</v>
      </c>
      <c r="DJ32" s="268"/>
      <c r="DK32" s="268"/>
      <c r="DL32" s="268"/>
      <c r="DM32" s="346"/>
      <c r="DN32" s="268">
        <f>180-(ABS(DC17)+ABS(DC19))</f>
        <v>123.61091759999999</v>
      </c>
      <c r="DO32" s="346">
        <f>IF(DA17=DA19,DN32,DN33)</f>
        <v>123.61091759999999</v>
      </c>
      <c r="DP32" s="346"/>
      <c r="ER32" s="280"/>
      <c r="EZ32" t="e">
        <f ca="1">EY24</f>
        <v>#NAME?</v>
      </c>
      <c r="FA32" s="168" t="e">
        <f ca="1">INT(ABS(EZ32))</f>
        <v>#NAME?</v>
      </c>
      <c r="FB32" s="168" t="e">
        <f ca="1">INT((ABS(EZ32)-FA32)*60)</f>
        <v>#NAME?</v>
      </c>
      <c r="FC32" s="168" t="e">
        <f ca="1">INT((((ABS(EZ32)-FA32)*60)-FB32)*60)</f>
        <v>#NAME?</v>
      </c>
      <c r="FD32" s="168" t="e">
        <f ca="1">INT((((((ABS(EZ32)-FA32)*60)-FB32)*60)-FC32)*60)</f>
        <v>#NAME?</v>
      </c>
      <c r="FR32" s="274"/>
      <c r="FS32" s="274"/>
      <c r="FT32" s="274"/>
      <c r="FU32" s="274"/>
      <c r="FV32" s="274"/>
      <c r="FW32" s="274"/>
      <c r="FX32" s="274"/>
      <c r="FY32" s="274"/>
      <c r="FZ32" s="274"/>
      <c r="GA32" s="274"/>
      <c r="GB32" s="274"/>
      <c r="GC32" s="274"/>
      <c r="GD32" s="274"/>
      <c r="GE32" s="274"/>
      <c r="GF32" s="274"/>
      <c r="GG32" s="274"/>
      <c r="GH32" s="274"/>
      <c r="GI32" s="274"/>
      <c r="GJ32" s="274"/>
      <c r="GK32" s="274"/>
      <c r="GL32" s="274"/>
      <c r="GM32" s="274"/>
      <c r="GN32" s="274"/>
      <c r="GO32" s="274"/>
      <c r="GP32" s="274"/>
      <c r="GQ32" s="274"/>
      <c r="GR32" s="274"/>
      <c r="GS32" s="274"/>
      <c r="GT32" s="274"/>
      <c r="HM32" s="348"/>
      <c r="HN32" s="504" t="s">
        <v>2289</v>
      </c>
      <c r="HO32" s="348">
        <f>HO6-HO8</f>
        <v>1</v>
      </c>
      <c r="HP32" s="157">
        <f t="shared" si="71"/>
        <v>1</v>
      </c>
      <c r="HQ32" s="157">
        <f>INT((ABS(HO32)-HP32)*60)</f>
        <v>0</v>
      </c>
      <c r="HR32" s="157">
        <f>INT((((ABS(HO32)-HP32)*60)-HQ32)*60)</f>
        <v>0</v>
      </c>
      <c r="HS32" s="157">
        <f>INT((((((ABS(HO32)-HP32)*60)-HQ32)*60)-HR32)*60)</f>
        <v>0</v>
      </c>
      <c r="IA32" s="348"/>
      <c r="IB32" s="499" t="s">
        <v>2289</v>
      </c>
      <c r="IC32" s="348">
        <f>IC5-IC7</f>
        <v>1.6666666666666718E-2</v>
      </c>
      <c r="ID32" s="157">
        <f t="shared" si="84"/>
        <v>0</v>
      </c>
      <c r="IE32" s="157">
        <f t="shared" si="85"/>
        <v>1</v>
      </c>
      <c r="IF32" s="157">
        <f t="shared" si="86"/>
        <v>0</v>
      </c>
      <c r="IG32" s="157">
        <f t="shared" si="87"/>
        <v>0</v>
      </c>
      <c r="II32" s="161"/>
      <c r="IJ32" s="161"/>
      <c r="IX32" s="327"/>
      <c r="IY32" s="327"/>
      <c r="IZ32" s="327"/>
      <c r="JA32" s="327"/>
      <c r="JB32" s="327"/>
      <c r="JC32" s="327"/>
      <c r="JD32" s="327"/>
      <c r="JE32" s="327"/>
      <c r="JF32" s="327"/>
      <c r="JG32" s="327"/>
      <c r="JH32" s="327"/>
      <c r="JI32" s="327"/>
      <c r="JJ32" s="327"/>
      <c r="JK32" s="327"/>
      <c r="JL32" s="327"/>
      <c r="JM32" s="327"/>
      <c r="JN32" s="327"/>
      <c r="JO32" s="327"/>
      <c r="JP32" s="327"/>
      <c r="JQ32" s="327"/>
      <c r="JR32" s="327"/>
      <c r="JS32" s="327"/>
      <c r="JT32" s="327"/>
      <c r="JU32" s="327"/>
      <c r="JV32" s="327"/>
      <c r="JW32" s="327"/>
      <c r="JX32" s="327"/>
      <c r="JY32" s="327"/>
      <c r="JZ32" s="327"/>
      <c r="KA32" s="327"/>
      <c r="KB32" s="327"/>
      <c r="KC32" s="327"/>
      <c r="KD32" s="327"/>
      <c r="KE32" s="327"/>
      <c r="KF32" s="327"/>
      <c r="KG32" s="327"/>
      <c r="KH32" s="327"/>
      <c r="KI32" s="327"/>
      <c r="KJ32" s="327"/>
      <c r="KK32" s="327"/>
      <c r="KL32" s="327"/>
      <c r="KM32" s="327"/>
      <c r="KN32" s="327"/>
      <c r="KO32" s="327"/>
      <c r="KP32" s="327"/>
      <c r="KQ32" s="327"/>
      <c r="KR32" s="327"/>
    </row>
    <row r="33" spans="2:304" ht="24.75">
      <c r="B33" s="24" t="s">
        <v>213</v>
      </c>
      <c r="C33" s="24">
        <f>DEGREES(ASIN(SIN(RADIANS(C32))*SIN(RADIANS(C25))))</f>
        <v>17.67862549767446</v>
      </c>
      <c r="D33" s="26">
        <f t="shared" si="88"/>
        <v>17</v>
      </c>
      <c r="E33" s="26">
        <f t="shared" si="89"/>
        <v>40</v>
      </c>
      <c r="F33" s="26">
        <f t="shared" si="90"/>
        <v>43</v>
      </c>
      <c r="G33" s="26">
        <f t="shared" si="91"/>
        <v>3</v>
      </c>
      <c r="H33" s="26">
        <f t="shared" si="92"/>
        <v>6</v>
      </c>
      <c r="I33" s="26">
        <f t="shared" si="93"/>
        <v>26</v>
      </c>
      <c r="J33" s="26">
        <f t="shared" si="94"/>
        <v>59</v>
      </c>
      <c r="K33">
        <v>40</v>
      </c>
      <c r="L33" t="s">
        <v>276</v>
      </c>
      <c r="DA33" s="327"/>
      <c r="DB33" s="327"/>
      <c r="DC33" s="327"/>
      <c r="DD33" s="392"/>
      <c r="DE33" s="393"/>
      <c r="DF33" s="393"/>
      <c r="DG33" s="393"/>
      <c r="DH33" s="393"/>
      <c r="DI33" s="393" t="s">
        <v>2167</v>
      </c>
      <c r="DJ33" s="393"/>
      <c r="DK33" s="393"/>
      <c r="DL33" s="393"/>
      <c r="DM33" s="346"/>
      <c r="DN33" s="393">
        <f>180-ABS(DC17+DC19)</f>
        <v>123.61091759999999</v>
      </c>
      <c r="DO33" s="346"/>
      <c r="DP33" s="346"/>
      <c r="ER33" s="352" t="s">
        <v>279</v>
      </c>
      <c r="ES33" s="352">
        <v>10</v>
      </c>
      <c r="EZ33" s="186">
        <f>(((((FD33/60)+FC33)/60)+FB33)/60)+FA33</f>
        <v>111.26224537037037</v>
      </c>
      <c r="FA33" s="327">
        <v>111</v>
      </c>
      <c r="FB33" s="327">
        <v>15</v>
      </c>
      <c r="FC33" s="327">
        <v>44</v>
      </c>
      <c r="FD33" s="327">
        <v>5</v>
      </c>
      <c r="FR33" s="274"/>
      <c r="FS33" s="274"/>
      <c r="FT33" s="274"/>
      <c r="FU33" s="274"/>
      <c r="FV33" s="274"/>
      <c r="FW33" s="274"/>
      <c r="FX33" s="274"/>
      <c r="FY33" s="274"/>
      <c r="FZ33" s="274"/>
      <c r="GA33" s="274"/>
      <c r="GB33" s="274"/>
      <c r="GC33" s="274"/>
      <c r="GD33" s="274"/>
      <c r="GE33" s="274"/>
      <c r="GF33" s="274"/>
      <c r="GG33" s="274"/>
      <c r="GH33" s="274"/>
      <c r="GI33" s="274"/>
      <c r="GJ33" s="274"/>
      <c r="GK33" s="274"/>
      <c r="GL33" s="274"/>
      <c r="GM33" s="274"/>
      <c r="GN33" s="274"/>
      <c r="GO33" s="274"/>
      <c r="GP33" s="274"/>
      <c r="GQ33" s="274"/>
      <c r="GR33" s="274"/>
      <c r="GS33" s="274"/>
      <c r="GT33" s="274"/>
      <c r="HM33" s="348"/>
      <c r="HN33" s="504" t="s">
        <v>2290</v>
      </c>
      <c r="HO33" s="348" t="e">
        <f ca="1">HO30*HO32/HO31</f>
        <v>#NAME?</v>
      </c>
      <c r="HP33" s="157" t="e">
        <f t="shared" ca="1" si="71"/>
        <v>#NAME?</v>
      </c>
      <c r="HQ33" s="157" t="e">
        <f ca="1">INT((ABS(HO33)-HP33)*60)</f>
        <v>#NAME?</v>
      </c>
      <c r="HR33" s="157" t="e">
        <f ca="1">INT((((ABS(HO33)-HP33)*60)-HQ33)*60)</f>
        <v>#NAME?</v>
      </c>
      <c r="HS33" s="157" t="e">
        <f ca="1">INT((((((ABS(HO33)-HP33)*60)-HQ33)*60)-HR33)*60)</f>
        <v>#NAME?</v>
      </c>
      <c r="IA33" s="348"/>
      <c r="IB33" s="499" t="s">
        <v>2290</v>
      </c>
      <c r="IC33" s="348" t="e">
        <f ca="1">IC31*IC32/(2/60)</f>
        <v>#NAME?</v>
      </c>
      <c r="ID33" s="157" t="e">
        <f t="shared" ca="1" si="84"/>
        <v>#NAME?</v>
      </c>
      <c r="IE33" s="157" t="e">
        <f t="shared" ca="1" si="85"/>
        <v>#NAME?</v>
      </c>
      <c r="IF33" s="157" t="e">
        <f t="shared" ca="1" si="86"/>
        <v>#NAME?</v>
      </c>
      <c r="IG33" s="157" t="e">
        <f t="shared" ca="1" si="87"/>
        <v>#NAME?</v>
      </c>
      <c r="II33" s="33"/>
      <c r="IJ33" s="33"/>
      <c r="IX33" s="327"/>
      <c r="IY33" s="327"/>
      <c r="IZ33" s="327"/>
      <c r="JA33" s="327"/>
      <c r="JB33" s="327"/>
      <c r="JC33" s="327"/>
      <c r="JD33" s="327"/>
      <c r="JE33" s="327"/>
      <c r="JF33" s="327"/>
      <c r="JG33" s="327"/>
      <c r="JH33" s="327"/>
      <c r="JI33" s="327"/>
      <c r="JJ33" s="327"/>
      <c r="JK33" s="327"/>
      <c r="JL33" s="327"/>
      <c r="JM33" s="327"/>
      <c r="JN33" s="327"/>
      <c r="JO33" s="327"/>
      <c r="JP33" s="327"/>
      <c r="JQ33" s="327"/>
      <c r="JR33" s="327"/>
      <c r="JS33" s="327"/>
      <c r="JT33" s="327"/>
      <c r="JU33" s="327"/>
      <c r="JV33" s="327"/>
      <c r="JW33" s="327"/>
      <c r="JX33" s="327"/>
      <c r="JY33" s="327"/>
      <c r="JZ33" s="327"/>
      <c r="KA33" s="327"/>
      <c r="KB33" s="327"/>
      <c r="KC33" s="327"/>
      <c r="KD33" s="327"/>
      <c r="KE33" s="327"/>
      <c r="KF33" s="327"/>
      <c r="KG33" s="327"/>
      <c r="KH33" s="327"/>
      <c r="KI33" s="327"/>
      <c r="KJ33" s="327"/>
      <c r="KK33" s="327"/>
      <c r="KL33" s="327"/>
      <c r="KM33" s="327"/>
      <c r="KN33" s="327"/>
      <c r="KO33" s="327"/>
      <c r="KP33" s="327"/>
      <c r="KQ33" s="327"/>
      <c r="KR33" s="327"/>
    </row>
    <row r="34" spans="2:304" ht="24.75">
      <c r="B34" s="24" t="s">
        <v>206</v>
      </c>
      <c r="C34" s="24">
        <f>IF(L28=L21,ABS(C28-C27),C28+C27)</f>
        <v>93.264533664032996</v>
      </c>
      <c r="D34" s="26">
        <f t="shared" si="88"/>
        <v>93</v>
      </c>
      <c r="E34" s="26">
        <f t="shared" si="89"/>
        <v>15</v>
      </c>
      <c r="F34" s="26">
        <f t="shared" si="90"/>
        <v>52</v>
      </c>
      <c r="G34" s="26">
        <f t="shared" si="91"/>
        <v>19</v>
      </c>
      <c r="H34" s="26">
        <f t="shared" si="92"/>
        <v>16</v>
      </c>
      <c r="I34" s="26">
        <f t="shared" si="93"/>
        <v>17</v>
      </c>
      <c r="J34" s="26">
        <f t="shared" si="94"/>
        <v>9</v>
      </c>
      <c r="K34">
        <v>40</v>
      </c>
      <c r="L34" t="s">
        <v>275</v>
      </c>
      <c r="DA34" s="327"/>
      <c r="DB34" s="327"/>
      <c r="DC34" s="327"/>
      <c r="DD34" s="327"/>
      <c r="DE34" s="327"/>
      <c r="DF34" s="327"/>
      <c r="DG34" s="327"/>
      <c r="DH34" s="327"/>
      <c r="DI34" s="327"/>
      <c r="DJ34" s="327"/>
      <c r="DK34" s="327"/>
      <c r="DL34" s="327"/>
      <c r="DM34" s="327"/>
      <c r="DN34" s="327"/>
      <c r="DO34" s="327"/>
      <c r="DP34" s="327"/>
      <c r="ER34" s="352" t="s">
        <v>1481</v>
      </c>
      <c r="ES34" s="352">
        <v>87</v>
      </c>
      <c r="EZ34" s="186">
        <f>(((((FD34/60)+FC34)/60)+FB34)/60)+FA34</f>
        <v>5.7286111111111113</v>
      </c>
      <c r="FA34" s="327">
        <v>5</v>
      </c>
      <c r="FB34" s="327">
        <v>43</v>
      </c>
      <c r="FC34" s="327">
        <v>43</v>
      </c>
      <c r="FD34" s="327"/>
      <c r="FR34" s="274"/>
      <c r="FS34" s="274"/>
      <c r="FT34" s="274"/>
      <c r="FU34" s="274"/>
      <c r="FV34" s="274"/>
      <c r="FW34" s="274"/>
      <c r="FX34" s="274"/>
      <c r="FY34" s="274"/>
      <c r="FZ34" s="274"/>
      <c r="GA34" s="274"/>
      <c r="GB34" s="274"/>
      <c r="GC34" s="274"/>
      <c r="GD34" s="274"/>
      <c r="GE34" s="274"/>
      <c r="GF34" s="274"/>
      <c r="GG34" s="274"/>
      <c r="GH34" s="274"/>
      <c r="GI34" s="274"/>
      <c r="GJ34" s="274"/>
      <c r="GK34" s="274"/>
      <c r="GL34" s="274"/>
      <c r="GM34" s="274"/>
      <c r="GN34" s="274"/>
      <c r="GO34" s="274"/>
      <c r="GP34" s="274"/>
      <c r="GQ34" s="274"/>
      <c r="GR34" s="274"/>
      <c r="GS34" s="274"/>
      <c r="GT34" s="274"/>
      <c r="HM34" s="348">
        <v>4</v>
      </c>
      <c r="HN34" s="504" t="s">
        <v>2291</v>
      </c>
      <c r="HO34" s="348" t="e">
        <f ca="1">HO24+HO33</f>
        <v>#NAME?</v>
      </c>
      <c r="HP34" s="157" t="e">
        <f ca="1">INT(ABS(HO34))</f>
        <v>#NAME?</v>
      </c>
      <c r="HQ34" s="157" t="e">
        <f ca="1">INT((ABS(HO34)-HP34)*60)</f>
        <v>#NAME?</v>
      </c>
      <c r="HR34" s="157" t="e">
        <f ca="1">INT((((ABS(HO34)-HP34)*60)-HQ34)*60)</f>
        <v>#NAME?</v>
      </c>
      <c r="HS34" s="157" t="e">
        <f ca="1">INT((((((ABS(HO34)-HP34)*60)-HQ34)*60)-HR34)*60)</f>
        <v>#NAME?</v>
      </c>
      <c r="IA34" s="348">
        <v>4</v>
      </c>
      <c r="IB34" s="499" t="s">
        <v>2291</v>
      </c>
      <c r="IC34" s="346" t="e">
        <f ca="1">IC26+IC33</f>
        <v>#NAME?</v>
      </c>
      <c r="ID34" s="157" t="e">
        <f t="shared" ca="1" si="84"/>
        <v>#NAME?</v>
      </c>
      <c r="IE34" s="157" t="e">
        <f t="shared" ca="1" si="85"/>
        <v>#NAME?</v>
      </c>
      <c r="IF34" s="157" t="e">
        <f t="shared" ca="1" si="86"/>
        <v>#NAME?</v>
      </c>
      <c r="IG34" s="157" t="e">
        <f t="shared" ca="1" si="87"/>
        <v>#NAME?</v>
      </c>
      <c r="II34" s="33"/>
      <c r="IJ34" s="33"/>
      <c r="IX34" s="327"/>
      <c r="IY34" s="327"/>
      <c r="IZ34" s="327"/>
      <c r="JA34" s="327"/>
      <c r="JB34" s="327"/>
      <c r="JC34" s="327"/>
      <c r="JD34" s="327"/>
      <c r="JE34" s="327"/>
      <c r="JF34" s="327"/>
      <c r="JG34" s="327"/>
      <c r="JH34" s="327"/>
      <c r="JI34" s="327"/>
      <c r="JJ34" s="327"/>
      <c r="JK34" s="327"/>
      <c r="JL34" s="327"/>
      <c r="JM34" s="327"/>
      <c r="JN34" s="327"/>
      <c r="JO34" s="327"/>
      <c r="JP34" s="327"/>
      <c r="JQ34" s="327"/>
      <c r="JR34" s="327"/>
      <c r="JS34" s="327"/>
      <c r="JT34" s="327"/>
      <c r="JU34" s="327"/>
      <c r="JV34" s="327"/>
      <c r="JW34" s="327"/>
      <c r="JX34" s="327"/>
      <c r="JY34" s="327"/>
      <c r="JZ34" s="327"/>
      <c r="KA34" s="327"/>
      <c r="KB34" s="327"/>
      <c r="KC34" s="327"/>
      <c r="KD34" s="327"/>
      <c r="KE34" s="327"/>
      <c r="KF34" s="327"/>
      <c r="KG34" s="327"/>
      <c r="KH34" s="327"/>
      <c r="KI34" s="327"/>
      <c r="KJ34" s="327"/>
      <c r="KK34" s="327"/>
      <c r="KL34" s="327"/>
      <c r="KM34" s="327"/>
      <c r="KN34" s="327"/>
      <c r="KO34" s="327"/>
      <c r="KP34" s="327"/>
      <c r="KQ34" s="327"/>
      <c r="KR34" s="327"/>
    </row>
    <row r="35" spans="2:304" ht="24.75">
      <c r="B35" s="2" t="s">
        <v>242</v>
      </c>
      <c r="C35" s="2">
        <f>C5</f>
        <v>91</v>
      </c>
      <c r="D35" s="26">
        <f t="shared" si="88"/>
        <v>91</v>
      </c>
      <c r="E35" s="26">
        <f t="shared" si="89"/>
        <v>0</v>
      </c>
      <c r="F35" s="26">
        <f t="shared" si="90"/>
        <v>0</v>
      </c>
      <c r="G35" s="26">
        <f t="shared" si="91"/>
        <v>0</v>
      </c>
      <c r="H35" s="26">
        <f t="shared" si="92"/>
        <v>0</v>
      </c>
      <c r="I35" s="26">
        <f t="shared" si="93"/>
        <v>0</v>
      </c>
      <c r="J35" s="26">
        <f t="shared" si="94"/>
        <v>0</v>
      </c>
      <c r="M35" s="33"/>
      <c r="N35" s="33"/>
      <c r="O35" s="33"/>
      <c r="P35" s="33"/>
      <c r="Q35" s="33"/>
      <c r="R35" s="33"/>
      <c r="S35" s="33"/>
      <c r="DA35" s="327"/>
      <c r="DB35" s="390" t="s">
        <v>2176</v>
      </c>
      <c r="DC35" s="391" t="e">
        <f ca="1">2*[2]!asn(DC34/2)</f>
        <v>#NAME?</v>
      </c>
      <c r="DD35" s="282"/>
      <c r="ER35" s="352" t="s">
        <v>2291</v>
      </c>
      <c r="ES35" s="352">
        <f>IF(ES33-ES34&gt;180,360-(ES33-ES34),ABS(ES33-ES34))</f>
        <v>77</v>
      </c>
      <c r="EZ35" s="327">
        <f>EZ34*2.5</f>
        <v>14.321527777777778</v>
      </c>
      <c r="FA35" s="168">
        <f>INT(ABS(EZ35))</f>
        <v>14</v>
      </c>
      <c r="FB35" s="168">
        <f>INT((ABS(EZ35)-FA35)*60)</f>
        <v>19</v>
      </c>
      <c r="FC35" s="168">
        <f>INT((((ABS(EZ35)-FA35)*60)-FB35)*60)</f>
        <v>17</v>
      </c>
      <c r="FD35" s="168">
        <f>INT((((((ABS(EZ35)-FA35)*60)-FB35)*60)-FC35)*60)</f>
        <v>30</v>
      </c>
      <c r="HO35" t="s">
        <v>692</v>
      </c>
      <c r="HP35" s="157"/>
      <c r="HQ35" s="157"/>
      <c r="HR35" s="157"/>
      <c r="HS35" s="157"/>
      <c r="IC35" t="s">
        <v>2352</v>
      </c>
      <c r="II35" s="33"/>
      <c r="IJ35" s="33"/>
      <c r="IX35" s="327"/>
      <c r="IY35" s="327"/>
      <c r="IZ35" s="327"/>
      <c r="JA35" s="327"/>
      <c r="JB35" s="327"/>
      <c r="JC35" s="327"/>
      <c r="JD35" s="327"/>
      <c r="JE35" s="327"/>
      <c r="JF35" s="327"/>
      <c r="JG35" s="327"/>
      <c r="JH35" s="327"/>
      <c r="JI35" s="327"/>
      <c r="JJ35" s="327"/>
      <c r="JK35" s="327"/>
      <c r="JL35" s="327"/>
      <c r="JM35" s="327"/>
      <c r="JN35" s="327"/>
      <c r="JO35" s="327"/>
      <c r="JP35" s="327"/>
      <c r="JQ35" s="327"/>
      <c r="JR35" s="327"/>
      <c r="JS35" s="327"/>
      <c r="JT35" s="327"/>
      <c r="JU35" s="327"/>
      <c r="JV35" s="327"/>
      <c r="JW35" s="327"/>
      <c r="JX35" s="327"/>
      <c r="JY35" s="327"/>
      <c r="JZ35" s="327"/>
      <c r="KA35" s="327"/>
      <c r="KB35" s="327"/>
      <c r="KC35" s="327"/>
      <c r="KD35" s="327"/>
      <c r="KE35" s="327"/>
      <c r="KF35" s="327"/>
      <c r="KG35" s="327"/>
      <c r="KH35" s="327"/>
      <c r="KI35" s="327"/>
      <c r="KJ35" s="327"/>
      <c r="KK35" s="327"/>
      <c r="KL35" s="327"/>
      <c r="KM35" s="327"/>
      <c r="KN35" s="327"/>
      <c r="KO35" s="327"/>
      <c r="KP35" s="327"/>
      <c r="KQ35" s="327"/>
      <c r="KR35" s="327"/>
    </row>
    <row r="36" spans="2:304" ht="24.75">
      <c r="B36" s="24" t="s">
        <v>241</v>
      </c>
      <c r="C36" s="24">
        <f>DEGREES(ASIN(SIN(RADIANS(C11))*COS(RADIANS(C15))))</f>
        <v>0.93968703944402021</v>
      </c>
      <c r="D36" s="26">
        <f t="shared" si="88"/>
        <v>0</v>
      </c>
      <c r="E36" s="26">
        <f t="shared" si="89"/>
        <v>56</v>
      </c>
      <c r="F36" s="26">
        <f t="shared" si="90"/>
        <v>22</v>
      </c>
      <c r="G36" s="26">
        <f t="shared" si="91"/>
        <v>52</v>
      </c>
      <c r="H36" s="26">
        <f t="shared" si="92"/>
        <v>24</v>
      </c>
      <c r="I36" s="26">
        <f t="shared" si="93"/>
        <v>1</v>
      </c>
      <c r="J36" s="26">
        <f t="shared" si="94"/>
        <v>52</v>
      </c>
      <c r="K36" t="e">
        <f ca="1">[4]!bkr(C15,C5)</f>
        <v>#NAME?</v>
      </c>
      <c r="M36" s="33"/>
      <c r="N36" s="33"/>
      <c r="O36" s="33"/>
      <c r="P36" s="33"/>
      <c r="Q36" s="33"/>
      <c r="R36" s="33"/>
      <c r="S36" s="33"/>
      <c r="DC36">
        <f>40075/360</f>
        <v>111.31944444444444</v>
      </c>
      <c r="ER36" s="352" t="s">
        <v>2256</v>
      </c>
      <c r="ES36" s="352">
        <f>IF(ES33-ES34&gt;180,360-(ES33-ES34),ABS(ES33-ES34))</f>
        <v>77</v>
      </c>
      <c r="EZ36" t="e">
        <f ca="1">EY26/EZ35</f>
        <v>#NAME?</v>
      </c>
      <c r="FA36" s="168" t="e">
        <f ca="1">INT(ABS(EZ36))</f>
        <v>#NAME?</v>
      </c>
      <c r="FB36" s="168" t="e">
        <f ca="1">INT((ABS(EZ36)-FA36)*60)</f>
        <v>#NAME?</v>
      </c>
      <c r="FC36" s="168" t="e">
        <f ca="1">INT((((ABS(EZ36)-FA36)*60)-FB36)*60)</f>
        <v>#NAME?</v>
      </c>
      <c r="FD36" s="168" t="e">
        <f ca="1">INT((((((ABS(EZ36)-FA36)*60)-FB36)*60)-FC36)*60)</f>
        <v>#NAME?</v>
      </c>
      <c r="FE36" s="327"/>
      <c r="HP36">
        <v>0</v>
      </c>
      <c r="HQ36">
        <v>34</v>
      </c>
      <c r="IG36" s="33"/>
      <c r="IH36" s="33"/>
      <c r="IX36" s="327"/>
      <c r="IY36" s="327"/>
      <c r="IZ36" s="327"/>
      <c r="JA36" s="327"/>
      <c r="JB36" s="327"/>
      <c r="JC36" s="327"/>
      <c r="JD36" s="327"/>
      <c r="JE36" s="327"/>
      <c r="JF36" s="327"/>
      <c r="JG36" s="327"/>
      <c r="JH36" s="327"/>
      <c r="JI36" s="327"/>
      <c r="JJ36" s="327"/>
      <c r="JK36" s="327"/>
      <c r="JL36" s="327"/>
      <c r="JM36" s="327"/>
      <c r="JN36" s="327"/>
      <c r="JO36" s="327"/>
      <c r="JP36" s="327"/>
      <c r="JQ36" s="327"/>
      <c r="JR36" s="327"/>
      <c r="JS36" s="327"/>
      <c r="JT36" s="327"/>
      <c r="JU36" s="327"/>
      <c r="JV36" s="327"/>
      <c r="JW36" s="327"/>
      <c r="JX36" s="327"/>
      <c r="JY36" s="327"/>
      <c r="JZ36" s="327"/>
      <c r="KA36" s="327"/>
      <c r="KB36" s="327"/>
      <c r="KC36" s="327"/>
      <c r="KD36" s="327"/>
      <c r="KE36" s="327"/>
      <c r="KF36" s="327"/>
      <c r="KG36" s="327"/>
      <c r="KH36" s="327"/>
      <c r="KI36" s="327"/>
      <c r="KJ36" s="327"/>
      <c r="KK36" s="327"/>
      <c r="KL36" s="327"/>
      <c r="KM36" s="327"/>
      <c r="KN36" s="327"/>
      <c r="KO36" s="327"/>
      <c r="KP36" s="327"/>
      <c r="KQ36" s="327"/>
      <c r="KR36" s="327"/>
    </row>
    <row r="37" spans="2:304" ht="24.75">
      <c r="B37" s="24" t="s">
        <v>240</v>
      </c>
      <c r="C37" s="24">
        <f>DEGREES(ASIN(SIN(RADIANS(C36))/COS(RADIANS(C17))))</f>
        <v>1.2943355812566619</v>
      </c>
      <c r="D37" s="26">
        <f t="shared" si="88"/>
        <v>1</v>
      </c>
      <c r="E37" s="26">
        <f t="shared" si="89"/>
        <v>17</v>
      </c>
      <c r="F37" s="26">
        <f t="shared" si="90"/>
        <v>39</v>
      </c>
      <c r="G37" s="26">
        <f t="shared" si="91"/>
        <v>36</v>
      </c>
      <c r="H37" s="26">
        <f t="shared" si="92"/>
        <v>29</v>
      </c>
      <c r="I37" s="26">
        <f t="shared" si="93"/>
        <v>7</v>
      </c>
      <c r="J37" s="26">
        <f t="shared" si="94"/>
        <v>59</v>
      </c>
      <c r="K37" t="e">
        <f ca="1">[4]!bmn(C15,C5)</f>
        <v>#NAME?</v>
      </c>
      <c r="M37" s="33"/>
      <c r="N37" s="33"/>
      <c r="O37" s="27"/>
      <c r="P37" s="27"/>
      <c r="Q37" s="27"/>
      <c r="R37" s="27"/>
      <c r="S37" s="33"/>
      <c r="DB37" s="238" t="s">
        <v>2177</v>
      </c>
      <c r="DC37" t="e">
        <f ca="1">DC35*DC36</f>
        <v>#NAME?</v>
      </c>
      <c r="ER37" s="352" t="s">
        <v>349</v>
      </c>
      <c r="ES37" s="352">
        <f>360-ES36</f>
        <v>283</v>
      </c>
      <c r="FB37">
        <f>EZ35</f>
        <v>14.321527777777778</v>
      </c>
      <c r="FC37">
        <v>24</v>
      </c>
      <c r="HP37">
        <v>13</v>
      </c>
      <c r="HQ37">
        <v>50</v>
      </c>
      <c r="IE37" s="161"/>
      <c r="IF37" s="161"/>
      <c r="IG37" s="161"/>
      <c r="IH37" s="161"/>
      <c r="IX37" s="327"/>
      <c r="IY37" s="327"/>
      <c r="IZ37" s="327"/>
      <c r="JA37" s="327"/>
      <c r="JB37" s="327"/>
      <c r="JC37" s="327"/>
      <c r="JD37" s="327"/>
      <c r="JE37" s="327"/>
      <c r="JF37" s="327"/>
      <c r="JG37" s="327"/>
      <c r="JH37" s="327"/>
      <c r="JI37" s="327"/>
      <c r="JJ37" s="327"/>
      <c r="JK37" s="327"/>
      <c r="JL37" s="327"/>
      <c r="JM37" s="327"/>
      <c r="JN37" s="327"/>
      <c r="JO37" s="327"/>
      <c r="JP37" s="327"/>
      <c r="JQ37" s="327"/>
      <c r="JR37" s="327"/>
      <c r="JS37" s="327"/>
      <c r="JT37" s="327"/>
      <c r="JU37" s="327"/>
      <c r="JV37" s="327"/>
      <c r="JW37" s="327"/>
      <c r="JX37" s="327"/>
      <c r="JY37" s="327"/>
      <c r="JZ37" s="327"/>
      <c r="KA37" s="327"/>
      <c r="KB37" s="327"/>
      <c r="KC37" s="327"/>
      <c r="KD37" s="327"/>
      <c r="KE37" s="327"/>
      <c r="KF37" s="327"/>
      <c r="KG37" s="327"/>
      <c r="KH37" s="327"/>
      <c r="KI37" s="327"/>
      <c r="KJ37" s="327"/>
      <c r="KK37" s="327"/>
      <c r="KL37" s="327"/>
      <c r="KM37" s="327"/>
      <c r="KN37" s="327"/>
      <c r="KO37" s="327"/>
      <c r="KP37" s="327"/>
      <c r="KQ37" s="327"/>
      <c r="KR37" s="327"/>
    </row>
    <row r="38" spans="2:304" ht="24.75">
      <c r="B38" s="24" t="s">
        <v>247</v>
      </c>
      <c r="C38" s="24">
        <f>IF(L15=L10,IF((TAN(RADIANS(C15))*TAN(RADIANS(C7)))&lt;=ABS(SIN(RADIANS(C5))),IF(C5&lt;=90,90-C37,IF(C5&lt;=180,90+C37,IF(C5&lt;=270,270-C37,270+C37))),IF(C5&lt;=90,270+C37,IF(C5&lt;=180,2700-C37,IF(C5&lt;=270,90+C37,90-C37)))),IF(C5&lt;=90,90-C37,IF(C5&lt;=180,90+C37,IF(C5&lt;=270,270-C37,270+C37))))</f>
        <v>91.294335581256661</v>
      </c>
      <c r="D38" s="26">
        <f t="shared" si="88"/>
        <v>91</v>
      </c>
      <c r="E38" s="26">
        <f t="shared" si="89"/>
        <v>17</v>
      </c>
      <c r="F38" s="26">
        <f t="shared" si="90"/>
        <v>39</v>
      </c>
      <c r="G38" s="26">
        <f t="shared" si="91"/>
        <v>36</v>
      </c>
      <c r="H38" s="26">
        <f t="shared" si="92"/>
        <v>29</v>
      </c>
      <c r="I38" s="26">
        <f t="shared" si="93"/>
        <v>7</v>
      </c>
      <c r="J38" s="26">
        <f t="shared" si="94"/>
        <v>59</v>
      </c>
      <c r="K38" t="e">
        <f ca="1">[4]!mtm(C15,C5)</f>
        <v>#NAME?</v>
      </c>
      <c r="M38" s="33"/>
      <c r="N38" s="33"/>
      <c r="O38" s="33"/>
      <c r="P38" s="33"/>
      <c r="Q38" s="33"/>
      <c r="R38" s="33"/>
      <c r="S38" s="33"/>
      <c r="ER38" s="352" t="s">
        <v>2295</v>
      </c>
      <c r="ES38" s="352">
        <f>IF(ES35&lt;=180,ES36,ES37)</f>
        <v>77</v>
      </c>
      <c r="FB38">
        <f>FC38*FB37/FC37</f>
        <v>214.82291666666666</v>
      </c>
      <c r="FC38">
        <v>360</v>
      </c>
      <c r="IX38" s="327"/>
      <c r="IY38" s="327"/>
      <c r="IZ38" s="327"/>
      <c r="JA38" s="327"/>
      <c r="JB38" s="327"/>
      <c r="JC38" s="327"/>
      <c r="JD38" s="327"/>
      <c r="JE38" s="327"/>
      <c r="JF38" s="327"/>
      <c r="JG38" s="327"/>
      <c r="JH38" s="327"/>
      <c r="JI38" s="327"/>
      <c r="JJ38" s="327"/>
      <c r="JK38" s="327"/>
      <c r="JL38" s="327"/>
      <c r="JM38" s="327"/>
      <c r="JN38" s="327"/>
      <c r="JO38" s="327"/>
      <c r="JP38" s="327"/>
      <c r="JQ38" s="327"/>
      <c r="JR38" s="327"/>
      <c r="JS38" s="327"/>
      <c r="JT38" s="327"/>
      <c r="JU38" s="327"/>
      <c r="JV38" s="327"/>
      <c r="JW38" s="327"/>
      <c r="JX38" s="327"/>
      <c r="JY38" s="327"/>
      <c r="JZ38" s="327"/>
      <c r="KA38" s="327"/>
      <c r="KB38" s="327"/>
      <c r="KC38" s="327"/>
      <c r="KD38" s="327"/>
      <c r="KE38" s="327"/>
      <c r="KF38" s="327"/>
      <c r="KG38" s="327"/>
      <c r="KH38" s="327"/>
      <c r="KI38" s="327"/>
      <c r="KJ38" s="327"/>
      <c r="KK38" s="327"/>
      <c r="KL38" s="327"/>
      <c r="KM38" s="327"/>
      <c r="KN38" s="327"/>
      <c r="KO38" s="327"/>
      <c r="KP38" s="327"/>
      <c r="KQ38" s="327"/>
      <c r="KR38" s="327"/>
    </row>
    <row r="39" spans="2:304" ht="24.75">
      <c r="B39" s="7" t="s">
        <v>244</v>
      </c>
      <c r="C39" s="7">
        <f>IF((90+C5)&lt;360,90+C5,(90+C5)-360)</f>
        <v>181</v>
      </c>
      <c r="D39" s="26">
        <f t="shared" si="88"/>
        <v>181</v>
      </c>
      <c r="E39" s="26">
        <f t="shared" si="89"/>
        <v>0</v>
      </c>
      <c r="F39" s="26">
        <f t="shared" si="90"/>
        <v>0</v>
      </c>
      <c r="G39" s="26">
        <f t="shared" si="91"/>
        <v>0</v>
      </c>
      <c r="H39" s="26">
        <f t="shared" si="92"/>
        <v>0</v>
      </c>
      <c r="I39" s="26">
        <f t="shared" si="93"/>
        <v>0</v>
      </c>
      <c r="J39" s="26">
        <f t="shared" si="94"/>
        <v>0</v>
      </c>
      <c r="M39" s="33"/>
      <c r="N39" s="33"/>
      <c r="O39" s="33"/>
      <c r="P39" s="33"/>
      <c r="Q39" s="33"/>
      <c r="R39" s="33"/>
      <c r="S39" s="33"/>
      <c r="IX39" s="327"/>
      <c r="IY39" s="327"/>
      <c r="IZ39" s="327"/>
      <c r="JA39" s="327"/>
      <c r="JB39" s="327"/>
      <c r="JC39" s="327"/>
      <c r="JD39" s="327"/>
      <c r="JE39" s="327"/>
      <c r="JF39" s="327"/>
      <c r="JG39" s="327"/>
      <c r="JH39" s="327"/>
      <c r="JI39" s="327"/>
      <c r="JJ39" s="327"/>
      <c r="JK39" s="327"/>
      <c r="JL39" s="327"/>
      <c r="JM39" s="327"/>
      <c r="JN39" s="327"/>
      <c r="JO39" s="327"/>
      <c r="JP39" s="327"/>
      <c r="JQ39" s="327"/>
      <c r="JR39" s="327"/>
      <c r="JS39" s="327"/>
      <c r="JT39" s="327"/>
      <c r="JU39" s="327"/>
      <c r="JV39" s="327"/>
      <c r="JW39" s="327"/>
      <c r="JX39" s="327"/>
      <c r="JY39" s="327"/>
      <c r="JZ39" s="327"/>
      <c r="KA39" s="327"/>
      <c r="KB39" s="327"/>
      <c r="KC39" s="327"/>
      <c r="KD39" s="327"/>
      <c r="KE39" s="327"/>
      <c r="KF39" s="327"/>
      <c r="KG39" s="327"/>
      <c r="KH39" s="327"/>
      <c r="KI39" s="327"/>
      <c r="KJ39" s="327"/>
      <c r="KK39" s="327"/>
      <c r="KL39" s="327"/>
      <c r="KM39" s="327"/>
      <c r="KN39" s="327"/>
      <c r="KO39" s="327"/>
      <c r="KP39" s="327"/>
      <c r="KQ39" s="327"/>
      <c r="KR39" s="327"/>
    </row>
    <row r="40" spans="2:304" ht="24.75">
      <c r="B40" s="7"/>
      <c r="C40" s="7">
        <f>ABS(DEGREES(ASIN(SIN(RADIANS(C7))*SIN(RADIANS(C39)))))</f>
        <v>0.39793162703440998</v>
      </c>
      <c r="K40" t="e">
        <f ca="1">[4]!qrk(K33,K34)</f>
        <v>#NAME?</v>
      </c>
      <c r="M40" s="33"/>
      <c r="N40" s="27"/>
      <c r="O40" s="27"/>
      <c r="P40" s="27"/>
      <c r="Q40" s="27"/>
      <c r="R40" s="33"/>
      <c r="S40" s="33"/>
      <c r="IX40" s="327"/>
      <c r="IY40" s="327"/>
      <c r="IZ40" s="327"/>
      <c r="JA40" s="327"/>
      <c r="JB40" s="327"/>
      <c r="JC40" s="327"/>
      <c r="JD40" s="327"/>
      <c r="JE40" s="327"/>
      <c r="JF40" s="327"/>
      <c r="JG40" s="327"/>
      <c r="JH40" s="327"/>
      <c r="JI40" s="327"/>
      <c r="JJ40" s="327"/>
      <c r="JK40" s="327"/>
      <c r="JL40" s="327"/>
      <c r="JM40" s="327"/>
      <c r="JN40" s="327"/>
      <c r="JO40" s="327"/>
      <c r="JP40" s="327"/>
      <c r="JQ40" s="327"/>
      <c r="JR40" s="327"/>
      <c r="JS40" s="327"/>
      <c r="JT40" s="327"/>
      <c r="JU40" s="327"/>
      <c r="JV40" s="327"/>
      <c r="JW40" s="327"/>
      <c r="JX40" s="327"/>
      <c r="JY40" s="327"/>
      <c r="JZ40" s="327"/>
      <c r="KA40" s="327"/>
      <c r="KB40" s="327"/>
      <c r="KC40" s="327"/>
      <c r="KD40" s="327"/>
      <c r="KE40" s="327"/>
      <c r="KF40" s="327"/>
      <c r="KG40" s="327"/>
      <c r="KH40" s="327"/>
      <c r="KI40" s="327"/>
      <c r="KJ40" s="327"/>
      <c r="KK40" s="327"/>
      <c r="KL40" s="327"/>
      <c r="KM40" s="327"/>
      <c r="KN40" s="327"/>
      <c r="KO40" s="327"/>
      <c r="KP40" s="327"/>
      <c r="KQ40" s="327"/>
      <c r="KR40" s="327"/>
    </row>
    <row r="41" spans="2:304" ht="24.75">
      <c r="B41" s="7"/>
      <c r="C41" s="7">
        <f>DEGREES(ASIN(TAN(RADIANS(C40))*TAN(RADIANS(C17))))</f>
        <v>0.37691313040532926</v>
      </c>
      <c r="D41" s="26">
        <f>INT(C41)</f>
        <v>0</v>
      </c>
      <c r="E41" s="26">
        <f>INT((C41-D41)*60)</f>
        <v>22</v>
      </c>
      <c r="F41" s="26">
        <f>INT((((C41-D41)*60)-E41)*60)</f>
        <v>36</v>
      </c>
      <c r="G41" s="26">
        <f>INT((((((C41-D41)*60)-E41)*60)-F41)*60)</f>
        <v>53</v>
      </c>
      <c r="H41" s="26">
        <f>INT((((((((C41-D41)*60)-E41)*60)-F41)*60)-G41)*60)</f>
        <v>14</v>
      </c>
      <c r="I41" s="26">
        <f>INT((((((((((C41-D41)*60)-E41)*60)-F41)*60)-G41)*60)-H41)*60)</f>
        <v>10</v>
      </c>
      <c r="J41" s="26">
        <f>INT((((((((((((C41-D41)*60)-E41)*60)-F41)*60)-G41)*60)-H41)*60)-I41)*60)</f>
        <v>12</v>
      </c>
      <c r="K41" t="e">
        <f ca="1">[4]!qnk(K33,K34)</f>
        <v>#NAME?</v>
      </c>
      <c r="M41" s="33"/>
      <c r="N41" s="33"/>
      <c r="O41" s="33"/>
      <c r="P41" s="33"/>
      <c r="Q41" s="33"/>
      <c r="R41" s="33"/>
      <c r="S41" s="33"/>
      <c r="FB41" t="e">
        <f ca="1">EY24</f>
        <v>#NAME?</v>
      </c>
      <c r="FC41">
        <v>330</v>
      </c>
      <c r="IX41" s="327"/>
      <c r="IY41" s="327"/>
      <c r="IZ41" s="327"/>
      <c r="JA41" s="327"/>
      <c r="JB41" s="327"/>
      <c r="JC41" s="327"/>
      <c r="JD41" s="327"/>
      <c r="JE41" s="327"/>
      <c r="JF41" s="327"/>
      <c r="JG41" s="327"/>
      <c r="JH41" s="327"/>
      <c r="JI41" s="327"/>
      <c r="JJ41" s="327"/>
      <c r="JK41" s="327"/>
      <c r="JL41" s="327"/>
      <c r="JM41" s="327"/>
      <c r="JN41" s="327"/>
      <c r="JO41" s="327"/>
      <c r="JP41" s="327"/>
      <c r="JQ41" s="327"/>
      <c r="JR41" s="327"/>
      <c r="JS41" s="327"/>
      <c r="JT41" s="327"/>
      <c r="JU41" s="327"/>
      <c r="JV41" s="327"/>
      <c r="JW41" s="327"/>
      <c r="JX41" s="327"/>
      <c r="JY41" s="327"/>
      <c r="JZ41" s="327"/>
      <c r="KA41" s="327"/>
      <c r="KB41" s="327"/>
      <c r="KC41" s="327"/>
      <c r="KD41" s="327"/>
      <c r="KE41" s="327"/>
      <c r="KF41" s="327"/>
      <c r="KG41" s="327"/>
      <c r="KH41" s="327"/>
      <c r="KI41" s="327"/>
      <c r="KJ41" s="327"/>
      <c r="KK41" s="327"/>
      <c r="KL41" s="327"/>
      <c r="KM41" s="327"/>
      <c r="KN41" s="327"/>
      <c r="KO41" s="327"/>
      <c r="KP41" s="327"/>
      <c r="KQ41" s="327"/>
      <c r="KR41" s="327"/>
    </row>
    <row r="42" spans="2:304" ht="24.75">
      <c r="B42" s="7" t="s">
        <v>245</v>
      </c>
      <c r="C42" s="7">
        <f>IF(L28=L17,ABS(C41-C44),C41+C44)</f>
        <v>0.54050932044604816</v>
      </c>
      <c r="D42" s="26">
        <f>INT(C42)</f>
        <v>0</v>
      </c>
      <c r="E42" s="26">
        <f>INT((C42-D42)*60)</f>
        <v>32</v>
      </c>
      <c r="F42" s="26">
        <f>INT((((C42-D42)*60)-E42)*60)</f>
        <v>25</v>
      </c>
      <c r="G42" s="26">
        <f>INT((((((C42-D42)*60)-E42)*60)-F42)*60)</f>
        <v>50</v>
      </c>
      <c r="H42" s="26">
        <f>INT((((((((C42-D42)*60)-E42)*60)-F42)*60)-G42)*60)</f>
        <v>0</v>
      </c>
      <c r="I42" s="26">
        <f>INT((((((((((C42-D42)*60)-E42)*60)-F42)*60)-G42)*60)-H42)*60)</f>
        <v>47</v>
      </c>
      <c r="J42" s="26">
        <f>INT((((((((((((C42-D42)*60)-E42)*60)-F42)*60)-G42)*60)-H42)*60)-I42)*60)</f>
        <v>34</v>
      </c>
      <c r="M42" s="33"/>
      <c r="N42" s="33"/>
      <c r="O42" s="33"/>
      <c r="P42" s="33"/>
      <c r="Q42" s="33"/>
      <c r="R42" s="33"/>
      <c r="S42" s="33"/>
      <c r="FB42" t="e">
        <f ca="1">FC42*FB41/FC41</f>
        <v>#NAME?</v>
      </c>
      <c r="FC42" s="186">
        <f>(((((FG42/60)+FF42)/60)+FE42)/60)+FD42</f>
        <v>59.836111111111109</v>
      </c>
      <c r="FD42">
        <v>59</v>
      </c>
      <c r="FE42">
        <v>50</v>
      </c>
      <c r="FF42">
        <v>10</v>
      </c>
      <c r="IX42" s="327"/>
      <c r="IY42" s="327"/>
      <c r="IZ42" s="327"/>
      <c r="JA42" s="327"/>
      <c r="JB42" s="327"/>
      <c r="JC42" s="327"/>
      <c r="JD42" s="327"/>
      <c r="JE42" s="327"/>
      <c r="JF42" s="327"/>
      <c r="JG42" s="327"/>
      <c r="JH42" s="327"/>
      <c r="JI42" s="327"/>
      <c r="JJ42" s="327"/>
      <c r="JK42" s="327"/>
      <c r="JL42" s="327"/>
      <c r="JM42" s="327"/>
      <c r="JN42" s="327"/>
      <c r="JO42" s="327"/>
      <c r="JP42" s="327"/>
      <c r="JQ42" s="327"/>
      <c r="JR42" s="327"/>
      <c r="JS42" s="327"/>
      <c r="JT42" s="327"/>
      <c r="JU42" s="327"/>
      <c r="JV42" s="327"/>
      <c r="JW42" s="327"/>
      <c r="JX42" s="327"/>
      <c r="JY42" s="327"/>
      <c r="JZ42" s="327"/>
      <c r="KA42" s="327"/>
      <c r="KB42" s="327"/>
      <c r="KC42" s="327"/>
      <c r="KD42" s="327"/>
      <c r="KE42" s="327"/>
      <c r="KF42" s="327"/>
      <c r="KG42" s="327"/>
      <c r="KH42" s="327"/>
      <c r="KI42" s="327"/>
      <c r="KJ42" s="327"/>
      <c r="KK42" s="327"/>
      <c r="KL42" s="327"/>
      <c r="KM42" s="327"/>
      <c r="KN42" s="327"/>
      <c r="KO42" s="327"/>
      <c r="KP42" s="327"/>
      <c r="KQ42" s="327"/>
      <c r="KR42" s="327"/>
    </row>
    <row r="43" spans="2:304" ht="24.75">
      <c r="B43" s="7" t="s">
        <v>246</v>
      </c>
      <c r="C43" s="7">
        <f>IF(C42&lt;90,360+C42-90,C42-90)</f>
        <v>270.54050932044606</v>
      </c>
      <c r="D43" s="26">
        <f>INT(C43)</f>
        <v>270</v>
      </c>
      <c r="E43" s="26">
        <f>INT((C43-D43)*60)</f>
        <v>32</v>
      </c>
      <c r="F43" s="26">
        <f>INT((((C43-D43)*60)-E43)*60)</f>
        <v>25</v>
      </c>
      <c r="G43" s="26">
        <f>INT((((((C43-D43)*60)-E43)*60)-F43)*60)</f>
        <v>50</v>
      </c>
      <c r="H43" s="26">
        <f>INT((((((((C43-D43)*60)-E43)*60)-F43)*60)-G43)*60)</f>
        <v>0</v>
      </c>
      <c r="I43" s="26">
        <f>INT((((((((((C43-D43)*60)-E43)*60)-F43)*60)-G43)*60)-H43)*60)</f>
        <v>47</v>
      </c>
      <c r="J43" s="26">
        <f>INT((((((((((((C43-D43)*60)-E43)*60)-F43)*60)-G43)*60)-H43)*60)-I43)*60)</f>
        <v>34</v>
      </c>
      <c r="M43" s="33"/>
      <c r="N43" s="33"/>
      <c r="O43" s="33"/>
      <c r="P43" s="33"/>
      <c r="Q43" s="33"/>
      <c r="R43" s="33"/>
      <c r="S43" s="33"/>
      <c r="IX43" s="327"/>
      <c r="IY43" s="327"/>
      <c r="IZ43" s="327"/>
      <c r="JA43" s="327"/>
      <c r="JB43" s="327"/>
      <c r="JC43" s="327"/>
      <c r="JD43" s="327"/>
      <c r="JE43" s="327"/>
      <c r="JF43" s="327"/>
      <c r="JG43" s="327"/>
      <c r="JH43" s="327"/>
      <c r="JI43" s="327"/>
      <c r="JJ43" s="327"/>
      <c r="JK43" s="327"/>
      <c r="JL43" s="327"/>
      <c r="JM43" s="327"/>
      <c r="JN43" s="327"/>
      <c r="JO43" s="327"/>
      <c r="JP43" s="327"/>
      <c r="JQ43" s="327"/>
      <c r="JR43" s="327"/>
      <c r="JS43" s="327"/>
      <c r="JT43" s="327"/>
      <c r="JU43" s="327"/>
      <c r="JV43" s="327"/>
      <c r="JW43" s="327"/>
      <c r="JX43" s="327"/>
      <c r="JY43" s="327"/>
      <c r="JZ43" s="327"/>
      <c r="KA43" s="327"/>
      <c r="KB43" s="327"/>
      <c r="KC43" s="327"/>
      <c r="KD43" s="327"/>
      <c r="KE43" s="327"/>
      <c r="KF43" s="327"/>
      <c r="KG43" s="327"/>
      <c r="KH43" s="327"/>
      <c r="KI43" s="327"/>
      <c r="KJ43" s="327"/>
      <c r="KK43" s="327"/>
      <c r="KL43" s="327"/>
      <c r="KM43" s="327"/>
      <c r="KN43" s="327"/>
      <c r="KO43" s="327"/>
      <c r="KP43" s="327"/>
      <c r="KQ43" s="327"/>
      <c r="KR43" s="327"/>
    </row>
    <row r="44" spans="2:304">
      <c r="B44" s="7" t="s">
        <v>218</v>
      </c>
      <c r="C44" s="7">
        <f>DEGREES(ACOS(ABS(COS(RADIANS(C39)))/COS(RADIANS(C40))))</f>
        <v>0.91742245085137741</v>
      </c>
      <c r="IX44" s="327"/>
      <c r="IY44" s="327"/>
      <c r="IZ44" s="327"/>
      <c r="JA44" s="327"/>
      <c r="JB44" s="327"/>
      <c r="JC44" s="327"/>
      <c r="JD44" s="327"/>
      <c r="JE44" s="327"/>
      <c r="JF44" s="327"/>
      <c r="JG44" s="327"/>
      <c r="JH44" s="327"/>
      <c r="JI44" s="327"/>
      <c r="JJ44" s="327"/>
      <c r="JK44" s="327"/>
      <c r="JL44" s="327"/>
      <c r="JM44" s="327"/>
      <c r="JN44" s="327"/>
      <c r="JO44" s="327"/>
      <c r="JP44" s="327"/>
      <c r="JQ44" s="327"/>
      <c r="JR44" s="327"/>
      <c r="JS44" s="327"/>
      <c r="JT44" s="327"/>
      <c r="JU44" s="327"/>
      <c r="JV44" s="327"/>
      <c r="JW44" s="327"/>
      <c r="JX44" s="327"/>
      <c r="JY44" s="327"/>
      <c r="JZ44" s="327"/>
      <c r="KA44" s="327"/>
      <c r="KB44" s="327"/>
      <c r="KC44" s="327"/>
      <c r="KD44" s="327"/>
      <c r="KE44" s="327"/>
      <c r="KF44" s="327"/>
      <c r="KG44" s="327"/>
      <c r="KH44" s="327"/>
      <c r="KI44" s="327"/>
      <c r="KJ44" s="327"/>
      <c r="KK44" s="327"/>
      <c r="KL44" s="327"/>
      <c r="KM44" s="327"/>
      <c r="KN44" s="327"/>
      <c r="KO44" s="327"/>
      <c r="KP44" s="327"/>
      <c r="KQ44" s="327"/>
      <c r="KR44" s="327"/>
    </row>
    <row r="45" spans="2:304">
      <c r="B45" s="24" t="s">
        <v>220</v>
      </c>
      <c r="C45" s="24">
        <v>40</v>
      </c>
      <c r="D45" s="24"/>
      <c r="E45" s="24"/>
      <c r="F45" s="24"/>
      <c r="G45" s="24"/>
      <c r="H45" s="24"/>
      <c r="I45" s="24"/>
      <c r="J45" s="24"/>
      <c r="K45" t="s">
        <v>222</v>
      </c>
      <c r="IX45" s="327"/>
      <c r="IY45" s="327"/>
      <c r="IZ45" s="327"/>
      <c r="JA45" s="327"/>
      <c r="JB45" s="327"/>
      <c r="JC45" s="327"/>
      <c r="JD45" s="327"/>
      <c r="JE45" s="327"/>
      <c r="JF45" s="327"/>
      <c r="JG45" s="327"/>
      <c r="JH45" s="327"/>
      <c r="JI45" s="327"/>
      <c r="JJ45" s="327"/>
      <c r="JK45" s="327"/>
      <c r="JL45" s="327"/>
      <c r="JM45" s="327"/>
      <c r="JN45" s="327"/>
      <c r="JO45" s="327"/>
      <c r="JP45" s="327"/>
      <c r="JQ45" s="327"/>
      <c r="JR45" s="327"/>
      <c r="JS45" s="327"/>
      <c r="JT45" s="327"/>
      <c r="JU45" s="327"/>
      <c r="JV45" s="327"/>
      <c r="JW45" s="327"/>
      <c r="JX45" s="327"/>
      <c r="JY45" s="327"/>
      <c r="JZ45" s="327"/>
      <c r="KA45" s="327"/>
      <c r="KB45" s="327"/>
      <c r="KC45" s="327"/>
      <c r="KD45" s="327"/>
      <c r="KE45" s="327"/>
      <c r="KF45" s="327"/>
      <c r="KG45" s="327"/>
      <c r="KH45" s="327"/>
      <c r="KI45" s="327"/>
      <c r="KJ45" s="327"/>
      <c r="KK45" s="327"/>
      <c r="KL45" s="327"/>
      <c r="KM45" s="327"/>
      <c r="KN45" s="327"/>
      <c r="KO45" s="327"/>
      <c r="KP45" s="327"/>
      <c r="KQ45" s="327"/>
      <c r="KR45" s="327"/>
    </row>
    <row r="46" spans="2:304" ht="24.75">
      <c r="B46" s="24" t="s">
        <v>221</v>
      </c>
      <c r="C46" s="24">
        <f>SIN(RADIANS(ABS(C45)))*TAN(RADIANS(C21))</f>
        <v>5.62366289024986E-2</v>
      </c>
      <c r="D46" s="26">
        <f>INT(C46)</f>
        <v>0</v>
      </c>
      <c r="E46" s="26">
        <f>INT((C46-D46)*60)</f>
        <v>3</v>
      </c>
      <c r="F46" s="26">
        <f>INT((((C46-D46)*60)-E46)*60)</f>
        <v>22</v>
      </c>
      <c r="G46" s="26">
        <f>INT((((((C46-D46)*60)-E46)*60)-F46)*60)</f>
        <v>27</v>
      </c>
      <c r="H46" s="26">
        <f>INT((((((((C46-D46)*60)-E46)*60)-F46)*60)-G46)*60)</f>
        <v>6</v>
      </c>
      <c r="I46" s="26">
        <f>INT((((((((((C46-D46)*60)-E46)*60)-F46)*60)-G46)*60)-H46)*60)</f>
        <v>42</v>
      </c>
      <c r="J46" s="26">
        <f>INT((((((((((((C46-D46)*60)-E46)*60)-F46)*60)-G46)*60)-H46)*60)-I46)*60)</f>
        <v>38</v>
      </c>
      <c r="K46" t="str">
        <f>IF(C45&lt;0,K21,IF(L21=1,"جنوبی","شمالی"))</f>
        <v>شمالی</v>
      </c>
      <c r="L46">
        <f>IF(K46="شمالی",1,2)</f>
        <v>1</v>
      </c>
      <c r="IX46" s="327"/>
      <c r="IY46" s="327"/>
      <c r="IZ46" s="327"/>
      <c r="JA46" s="327"/>
      <c r="JB46" s="327"/>
      <c r="JC46" s="327"/>
      <c r="JD46" s="327"/>
      <c r="JE46" s="327"/>
      <c r="JF46" s="327"/>
      <c r="JG46" s="327"/>
      <c r="JH46" s="327"/>
      <c r="JI46" s="327"/>
      <c r="JJ46" s="327"/>
      <c r="JK46" s="327"/>
      <c r="JL46" s="327"/>
      <c r="JM46" s="327"/>
      <c r="JN46" s="327"/>
      <c r="JO46" s="327"/>
      <c r="JP46" s="327"/>
      <c r="JQ46" s="327"/>
      <c r="JR46" s="327"/>
      <c r="JS46" s="327"/>
      <c r="JT46" s="327"/>
      <c r="JU46" s="327"/>
      <c r="JV46" s="327"/>
      <c r="JW46" s="327"/>
      <c r="JX46" s="327"/>
      <c r="JY46" s="327"/>
      <c r="JZ46" s="327"/>
      <c r="KA46" s="327"/>
      <c r="KB46" s="327"/>
      <c r="KC46" s="327"/>
      <c r="KD46" s="327"/>
      <c r="KE46" s="327"/>
      <c r="KF46" s="327"/>
      <c r="KG46" s="327"/>
      <c r="KH46" s="327"/>
      <c r="KI46" s="327"/>
      <c r="KJ46" s="327"/>
      <c r="KK46" s="327"/>
      <c r="KL46" s="327"/>
      <c r="KM46" s="327"/>
      <c r="KN46" s="327"/>
      <c r="KO46" s="327"/>
      <c r="KP46" s="327"/>
      <c r="KQ46" s="327"/>
      <c r="KR46" s="327"/>
    </row>
    <row r="47" spans="2:304" ht="24.75">
      <c r="B47" s="24" t="s">
        <v>223</v>
      </c>
      <c r="C47" s="24">
        <f>IF(L17=L46,C46+SIN(RADIANS(C29)),ABS(SIN(RADIANS(C29))-C46))</f>
        <v>0.45564451830978686</v>
      </c>
      <c r="D47" s="26">
        <f>INT(C47)</f>
        <v>0</v>
      </c>
      <c r="E47" s="26">
        <f>INT((C47-D47)*60)</f>
        <v>27</v>
      </c>
      <c r="F47" s="26">
        <f>INT((((C47-D47)*60)-E47)*60)</f>
        <v>20</v>
      </c>
      <c r="G47" s="26">
        <f>INT((((((C47-D47)*60)-E47)*60)-F47)*60)</f>
        <v>19</v>
      </c>
      <c r="H47" s="26">
        <f>INT((((((((C47-D47)*60)-E47)*60)-F47)*60)-G47)*60)</f>
        <v>12</v>
      </c>
      <c r="I47" s="26">
        <f>INT((((((((((C47-D47)*60)-E47)*60)-F47)*60)-G47)*60)-H47)*60)</f>
        <v>57</v>
      </c>
      <c r="J47" s="26">
        <f>INT((((((((((((C47-D47)*60)-E47)*60)-F47)*60)-G47)*60)-H47)*60)-I47)*60)</f>
        <v>26</v>
      </c>
      <c r="K47" t="str">
        <f>IF(L46=L17,K46,IF(C46&gt;SIN(RADIANS(C29)),K46,K29))</f>
        <v>شمالی</v>
      </c>
      <c r="L47">
        <f>IF(K47="شمالی",1,2)</f>
        <v>1</v>
      </c>
      <c r="IX47" s="327"/>
      <c r="IY47" s="327"/>
      <c r="IZ47" s="327"/>
      <c r="JA47" s="327"/>
      <c r="JB47" s="327"/>
      <c r="JC47" s="327"/>
      <c r="JD47" s="327"/>
      <c r="JE47" s="327"/>
      <c r="JF47" s="327"/>
      <c r="JG47" s="327"/>
      <c r="JH47" s="327"/>
      <c r="JI47" s="327"/>
      <c r="JJ47" s="327"/>
      <c r="JK47" s="327"/>
      <c r="JL47" s="327"/>
      <c r="JM47" s="327"/>
      <c r="JN47" s="327"/>
      <c r="JO47" s="327"/>
      <c r="JP47" s="327"/>
      <c r="JQ47" s="327"/>
      <c r="JR47" s="327"/>
      <c r="JS47" s="327"/>
      <c r="JT47" s="327"/>
      <c r="JU47" s="327"/>
      <c r="JV47" s="327"/>
      <c r="JW47" s="327"/>
      <c r="JX47" s="327"/>
      <c r="JY47" s="327"/>
      <c r="JZ47" s="327"/>
      <c r="KA47" s="327"/>
      <c r="KB47" s="327"/>
      <c r="KC47" s="327"/>
      <c r="KD47" s="327"/>
      <c r="KE47" s="327"/>
      <c r="KF47" s="327"/>
      <c r="KG47" s="327"/>
      <c r="KH47" s="327"/>
      <c r="KI47" s="327"/>
      <c r="KJ47" s="327"/>
      <c r="KK47" s="327"/>
      <c r="KL47" s="327"/>
      <c r="KM47" s="327"/>
      <c r="KN47" s="327"/>
      <c r="KO47" s="327"/>
      <c r="KP47" s="327"/>
      <c r="KQ47" s="327"/>
      <c r="KR47" s="327"/>
    </row>
    <row r="48" spans="2:304" ht="24.75">
      <c r="B48" s="33" t="s">
        <v>248</v>
      </c>
      <c r="C48" s="33">
        <f>DEGREES(ASIN((C47))/COS(RADIANS(ABS(C45))))</f>
        <v>35.384906951933026</v>
      </c>
      <c r="D48" s="26">
        <f t="shared" ref="D48:D53" si="98">INT(C48)</f>
        <v>35</v>
      </c>
      <c r="E48" s="26">
        <f t="shared" ref="E48:E53" si="99">INT((C48-D48)*60)</f>
        <v>23</v>
      </c>
      <c r="F48" s="26">
        <f t="shared" ref="F48:F53" si="100">INT((((C48-D48)*60)-E48)*60)</f>
        <v>5</v>
      </c>
      <c r="G48" s="26">
        <f t="shared" ref="G48:G53" si="101">INT((((((C48-D48)*60)-E48)*60)-F48)*60)</f>
        <v>39</v>
      </c>
      <c r="H48" s="26">
        <f t="shared" ref="H48:H53" si="102">INT((((((((C48-D48)*60)-E48)*60)-F48)*60)-G48)*60)</f>
        <v>54</v>
      </c>
      <c r="I48" s="26">
        <f t="shared" ref="I48:I53" si="103">INT((((((((((C48-D48)*60)-E48)*60)-F48)*60)-G48)*60)-H48)*60)</f>
        <v>5</v>
      </c>
      <c r="J48" s="26">
        <f t="shared" ref="J48:J53" si="104">INT((((((((((((C48-D48)*60)-E48)*60)-F48)*60)-G48)*60)-H48)*60)-I48)*60)</f>
        <v>49</v>
      </c>
      <c r="K48" t="str">
        <f>K47</f>
        <v>شمالی</v>
      </c>
      <c r="L48">
        <f>IF(K48="شمالی",1,2)</f>
        <v>1</v>
      </c>
      <c r="IX48" s="327"/>
      <c r="IY48" s="327"/>
      <c r="IZ48" s="327"/>
      <c r="JA48" s="327"/>
      <c r="JB48" s="327"/>
      <c r="JC48" s="327"/>
      <c r="JD48" s="327"/>
      <c r="JE48" s="327"/>
      <c r="JF48" s="327"/>
      <c r="JG48" s="327"/>
      <c r="JH48" s="327"/>
      <c r="JI48" s="327"/>
      <c r="JJ48" s="327"/>
      <c r="JK48" s="327"/>
      <c r="JL48" s="327"/>
      <c r="JM48" s="327"/>
      <c r="JN48" s="327"/>
      <c r="JO48" s="327"/>
      <c r="JP48" s="327"/>
      <c r="JQ48" s="327"/>
      <c r="JR48" s="327"/>
      <c r="JS48" s="327"/>
      <c r="JT48" s="327"/>
      <c r="JU48" s="327"/>
      <c r="JV48" s="327"/>
      <c r="JW48" s="327"/>
      <c r="JX48" s="327"/>
      <c r="JY48" s="327"/>
      <c r="JZ48" s="327"/>
      <c r="KA48" s="327"/>
      <c r="KB48" s="327"/>
      <c r="KC48" s="327"/>
      <c r="KD48" s="327"/>
      <c r="KE48" s="327"/>
      <c r="KF48" s="327"/>
      <c r="KG48" s="327"/>
      <c r="KH48" s="327"/>
      <c r="KI48" s="327"/>
      <c r="KJ48" s="327"/>
      <c r="KK48" s="327"/>
      <c r="KL48" s="327"/>
      <c r="KM48" s="327"/>
      <c r="KN48" s="327"/>
      <c r="KO48" s="327"/>
      <c r="KP48" s="327"/>
      <c r="KQ48" s="327"/>
      <c r="KR48" s="327"/>
    </row>
    <row r="49" spans="2:304" ht="24.75">
      <c r="B49" s="33" t="s">
        <v>249</v>
      </c>
      <c r="C49" s="33">
        <f>ABS(C45)+(90-C21)</f>
        <v>125</v>
      </c>
      <c r="D49" s="26">
        <f t="shared" si="98"/>
        <v>125</v>
      </c>
      <c r="E49" s="26">
        <f t="shared" si="99"/>
        <v>0</v>
      </c>
      <c r="F49" s="26">
        <f t="shared" si="100"/>
        <v>0</v>
      </c>
      <c r="G49" s="26">
        <f t="shared" si="101"/>
        <v>0</v>
      </c>
      <c r="H49" s="26">
        <f t="shared" si="102"/>
        <v>0</v>
      </c>
      <c r="I49" s="26">
        <f t="shared" si="103"/>
        <v>0</v>
      </c>
      <c r="J49" s="26">
        <f t="shared" si="104"/>
        <v>0</v>
      </c>
      <c r="IX49" s="327"/>
      <c r="IY49" s="327"/>
      <c r="IZ49" s="327"/>
      <c r="JA49" s="327"/>
      <c r="JB49" s="327"/>
      <c r="JC49" s="327"/>
      <c r="JD49" s="327"/>
      <c r="JE49" s="327"/>
      <c r="JF49" s="327"/>
      <c r="JG49" s="327"/>
      <c r="JH49" s="327"/>
      <c r="JI49" s="327"/>
      <c r="JJ49" s="327"/>
      <c r="JK49" s="327"/>
      <c r="JL49" s="327"/>
      <c r="JM49" s="327"/>
      <c r="JN49" s="327"/>
      <c r="JO49" s="327"/>
      <c r="JP49" s="327"/>
      <c r="JQ49" s="327"/>
      <c r="JR49" s="327"/>
      <c r="JS49" s="327"/>
      <c r="JT49" s="327"/>
      <c r="JU49" s="327"/>
      <c r="JV49" s="327"/>
      <c r="JW49" s="327"/>
      <c r="JX49" s="327"/>
      <c r="JY49" s="327"/>
      <c r="JZ49" s="327"/>
      <c r="KA49" s="327"/>
      <c r="KB49" s="327"/>
      <c r="KC49" s="327"/>
      <c r="KD49" s="327"/>
      <c r="KE49" s="327"/>
      <c r="KF49" s="327"/>
      <c r="KG49" s="327"/>
      <c r="KH49" s="327"/>
      <c r="KI49" s="327"/>
      <c r="KJ49" s="327"/>
      <c r="KK49" s="327"/>
      <c r="KL49" s="327"/>
      <c r="KM49" s="327"/>
      <c r="KN49" s="327"/>
      <c r="KO49" s="327"/>
      <c r="KP49" s="327"/>
      <c r="KQ49" s="327"/>
      <c r="KR49" s="327"/>
    </row>
    <row r="50" spans="2:304" ht="24.75">
      <c r="B50" s="33" t="s">
        <v>250</v>
      </c>
      <c r="C50" s="33">
        <f>ABS(ABS(C45)-(90-C21))</f>
        <v>45</v>
      </c>
      <c r="D50" s="26">
        <f t="shared" si="98"/>
        <v>45</v>
      </c>
      <c r="E50" s="26">
        <f t="shared" si="99"/>
        <v>0</v>
      </c>
      <c r="F50" s="26">
        <f t="shared" si="100"/>
        <v>0</v>
      </c>
      <c r="G50" s="26">
        <f t="shared" si="101"/>
        <v>0</v>
      </c>
      <c r="H50" s="26">
        <f t="shared" si="102"/>
        <v>0</v>
      </c>
      <c r="I50" s="26">
        <f t="shared" si="103"/>
        <v>0</v>
      </c>
      <c r="J50" s="26">
        <f t="shared" si="104"/>
        <v>0</v>
      </c>
      <c r="IX50" s="327"/>
      <c r="IY50" s="327"/>
      <c r="IZ50" s="327"/>
      <c r="JA50" s="327"/>
      <c r="JB50" s="327"/>
      <c r="JC50" s="327"/>
      <c r="JD50" s="327"/>
      <c r="JE50" s="327"/>
      <c r="JF50" s="327"/>
      <c r="JG50" s="327"/>
      <c r="JH50" s="327"/>
      <c r="JI50" s="327"/>
      <c r="JJ50" s="327"/>
      <c r="JK50" s="327"/>
      <c r="JL50" s="327"/>
      <c r="JM50" s="327"/>
      <c r="JN50" s="327"/>
      <c r="JO50" s="327"/>
      <c r="JP50" s="327"/>
      <c r="JQ50" s="327"/>
      <c r="JR50" s="327"/>
      <c r="JS50" s="327"/>
      <c r="JT50" s="327"/>
      <c r="JU50" s="327"/>
      <c r="JV50" s="327"/>
      <c r="JW50" s="327"/>
      <c r="JX50" s="327"/>
      <c r="JY50" s="327"/>
      <c r="JZ50" s="327"/>
      <c r="KA50" s="327"/>
      <c r="KB50" s="327"/>
      <c r="KC50" s="327"/>
      <c r="KD50" s="327"/>
      <c r="KE50" s="327"/>
      <c r="KF50" s="327"/>
      <c r="KG50" s="327"/>
      <c r="KH50" s="327"/>
      <c r="KI50" s="327"/>
      <c r="KJ50" s="327"/>
      <c r="KK50" s="327"/>
      <c r="KL50" s="327"/>
      <c r="KM50" s="327"/>
      <c r="KN50" s="327"/>
      <c r="KO50" s="327"/>
      <c r="KP50" s="327"/>
      <c r="KQ50" s="327"/>
      <c r="KR50" s="327"/>
    </row>
    <row r="51" spans="2:304" ht="24.75">
      <c r="B51" s="33" t="s">
        <v>251</v>
      </c>
      <c r="C51" s="33">
        <f>(SIN(RADIANS(C49))+SIN(RADIANS(C50)))/2</f>
        <v>0.76312941273776957</v>
      </c>
      <c r="D51" s="26">
        <f t="shared" si="98"/>
        <v>0</v>
      </c>
      <c r="E51" s="26">
        <f t="shared" si="99"/>
        <v>45</v>
      </c>
      <c r="F51" s="26">
        <f t="shared" si="100"/>
        <v>47</v>
      </c>
      <c r="G51" s="26">
        <f t="shared" si="101"/>
        <v>15</v>
      </c>
      <c r="H51" s="26">
        <f t="shared" si="102"/>
        <v>57</v>
      </c>
      <c r="I51" s="26">
        <f t="shared" si="103"/>
        <v>11</v>
      </c>
      <c r="J51" s="26">
        <f t="shared" si="104"/>
        <v>20</v>
      </c>
      <c r="IX51" s="327"/>
      <c r="IY51" s="327"/>
      <c r="IZ51" s="327"/>
      <c r="JA51" s="327"/>
      <c r="JB51" s="327"/>
      <c r="JC51" s="327"/>
      <c r="JD51" s="327"/>
      <c r="JE51" s="327"/>
      <c r="JF51" s="327"/>
      <c r="JG51" s="327"/>
      <c r="JH51" s="327"/>
      <c r="JI51" s="327"/>
      <c r="JJ51" s="327"/>
      <c r="JK51" s="327"/>
      <c r="JL51" s="327"/>
      <c r="JM51" s="327"/>
      <c r="JN51" s="327"/>
      <c r="JO51" s="327"/>
      <c r="JP51" s="327"/>
      <c r="JQ51" s="327"/>
      <c r="JR51" s="327"/>
      <c r="JS51" s="327"/>
      <c r="JT51" s="327"/>
      <c r="JU51" s="327"/>
      <c r="JV51" s="327"/>
      <c r="JW51" s="327"/>
      <c r="JX51" s="327"/>
      <c r="JY51" s="327"/>
      <c r="JZ51" s="327"/>
      <c r="KA51" s="327"/>
      <c r="KB51" s="327"/>
      <c r="KC51" s="327"/>
      <c r="KD51" s="327"/>
      <c r="KE51" s="327"/>
      <c r="KF51" s="327"/>
      <c r="KG51" s="327"/>
      <c r="KH51" s="327"/>
      <c r="KI51" s="327"/>
      <c r="KJ51" s="327"/>
      <c r="KK51" s="327"/>
      <c r="KL51" s="327"/>
      <c r="KM51" s="327"/>
      <c r="KN51" s="327"/>
      <c r="KO51" s="327"/>
      <c r="KP51" s="327"/>
      <c r="KQ51" s="327"/>
      <c r="KR51" s="327"/>
    </row>
    <row r="52" spans="2:304" ht="24.75">
      <c r="B52" s="33" t="s">
        <v>252</v>
      </c>
      <c r="C52" s="33">
        <f>ABS(SIN(RADIANS(C49))-SIN(RADIANS(C50)))/2</f>
        <v>5.6022631551222113E-2</v>
      </c>
      <c r="D52" s="26">
        <f t="shared" si="98"/>
        <v>0</v>
      </c>
      <c r="E52" s="26">
        <f t="shared" si="99"/>
        <v>3</v>
      </c>
      <c r="F52" s="26">
        <f t="shared" si="100"/>
        <v>21</v>
      </c>
      <c r="G52" s="26">
        <f t="shared" si="101"/>
        <v>40</v>
      </c>
      <c r="H52" s="26">
        <f t="shared" si="102"/>
        <v>53</v>
      </c>
      <c r="I52" s="26">
        <f t="shared" si="103"/>
        <v>18</v>
      </c>
      <c r="J52" s="26">
        <f t="shared" si="104"/>
        <v>17</v>
      </c>
      <c r="IX52" s="327"/>
      <c r="IY52" s="327"/>
      <c r="IZ52" s="327"/>
      <c r="JA52" s="327"/>
      <c r="JB52" s="327"/>
      <c r="JC52" s="327"/>
      <c r="JD52" s="327"/>
      <c r="JE52" s="327"/>
      <c r="JF52" s="327"/>
      <c r="JG52" s="327"/>
      <c r="JH52" s="327"/>
      <c r="JI52" s="327"/>
      <c r="JJ52" s="327"/>
      <c r="JK52" s="327"/>
      <c r="JL52" s="327"/>
      <c r="JM52" s="327"/>
      <c r="JN52" s="327"/>
      <c r="JO52" s="327"/>
      <c r="JP52" s="327"/>
      <c r="JQ52" s="327"/>
      <c r="JR52" s="327"/>
      <c r="JS52" s="327"/>
      <c r="JT52" s="327"/>
      <c r="JU52" s="327"/>
      <c r="JV52" s="327"/>
      <c r="JW52" s="327"/>
      <c r="JX52" s="327"/>
      <c r="JY52" s="327"/>
      <c r="JZ52" s="327"/>
      <c r="KA52" s="327"/>
      <c r="KB52" s="327"/>
      <c r="KC52" s="327"/>
      <c r="KD52" s="327"/>
      <c r="KE52" s="327"/>
      <c r="KF52" s="327"/>
      <c r="KG52" s="327"/>
      <c r="KH52" s="327"/>
      <c r="KI52" s="327"/>
      <c r="KJ52" s="327"/>
      <c r="KK52" s="327"/>
      <c r="KL52" s="327"/>
      <c r="KM52" s="327"/>
      <c r="KN52" s="327"/>
      <c r="KO52" s="327"/>
      <c r="KP52" s="327"/>
      <c r="KQ52" s="327"/>
      <c r="KR52" s="327"/>
    </row>
    <row r="53" spans="2:304" ht="24.75">
      <c r="B53" s="33" t="s">
        <v>253</v>
      </c>
      <c r="D53" s="26">
        <f t="shared" si="98"/>
        <v>0</v>
      </c>
      <c r="E53" s="26">
        <f t="shared" si="99"/>
        <v>0</v>
      </c>
      <c r="F53" s="26">
        <f t="shared" si="100"/>
        <v>0</v>
      </c>
      <c r="G53" s="26">
        <f t="shared" si="101"/>
        <v>0</v>
      </c>
      <c r="H53" s="26">
        <f t="shared" si="102"/>
        <v>0</v>
      </c>
      <c r="I53" s="26">
        <f t="shared" si="103"/>
        <v>0</v>
      </c>
      <c r="J53" s="26">
        <f t="shared" si="104"/>
        <v>0</v>
      </c>
      <c r="IX53" s="327"/>
      <c r="IY53" s="327"/>
      <c r="IZ53" s="327"/>
      <c r="JA53" s="327"/>
      <c r="JB53" s="327"/>
      <c r="JC53" s="327"/>
      <c r="JD53" s="327"/>
      <c r="JE53" s="327"/>
      <c r="JF53" s="327"/>
      <c r="JG53" s="327"/>
      <c r="JH53" s="327"/>
      <c r="JI53" s="327"/>
      <c r="JJ53" s="327"/>
      <c r="JK53" s="327"/>
      <c r="JL53" s="327"/>
      <c r="JM53" s="327"/>
      <c r="JN53" s="327"/>
      <c r="JO53" s="327"/>
      <c r="JP53" s="327"/>
      <c r="JQ53" s="327"/>
      <c r="JR53" s="327"/>
      <c r="JS53" s="327"/>
      <c r="JT53" s="327"/>
      <c r="JU53" s="327"/>
      <c r="JV53" s="327"/>
      <c r="JW53" s="327"/>
      <c r="JX53" s="327"/>
      <c r="JY53" s="327"/>
      <c r="JZ53" s="327"/>
      <c r="KA53" s="327"/>
      <c r="KB53" s="327"/>
      <c r="KC53" s="327"/>
      <c r="KD53" s="327"/>
      <c r="KE53" s="327"/>
      <c r="KF53" s="327"/>
      <c r="KG53" s="327"/>
      <c r="KH53" s="327"/>
      <c r="KI53" s="327"/>
      <c r="KJ53" s="327"/>
      <c r="KK53" s="327"/>
      <c r="KL53" s="327"/>
      <c r="KM53" s="327"/>
      <c r="KN53" s="327"/>
      <c r="KO53" s="327"/>
      <c r="KP53" s="327"/>
      <c r="KQ53" s="327"/>
      <c r="KR53" s="327"/>
    </row>
    <row r="54" spans="2:304">
      <c r="IX54" s="327"/>
      <c r="IY54" s="327"/>
      <c r="IZ54" s="327"/>
      <c r="JA54" s="327"/>
      <c r="JB54" s="327"/>
      <c r="JC54" s="327"/>
      <c r="JD54" s="327"/>
      <c r="JE54" s="327"/>
      <c r="JF54" s="327"/>
      <c r="JG54" s="327"/>
      <c r="JH54" s="327"/>
      <c r="JI54" s="327"/>
      <c r="JJ54" s="327"/>
      <c r="JK54" s="327"/>
      <c r="JL54" s="327"/>
      <c r="JM54" s="327"/>
      <c r="JN54" s="327"/>
      <c r="JO54" s="327"/>
      <c r="JP54" s="327"/>
      <c r="JQ54" s="327"/>
      <c r="JR54" s="327"/>
      <c r="JS54" s="327"/>
      <c r="JT54" s="327"/>
      <c r="JU54" s="327"/>
      <c r="JV54" s="327"/>
      <c r="JW54" s="327"/>
      <c r="JX54" s="327"/>
      <c r="JY54" s="327"/>
      <c r="JZ54" s="327"/>
      <c r="KA54" s="327"/>
      <c r="KB54" s="327"/>
      <c r="KC54" s="327"/>
      <c r="KD54" s="327"/>
      <c r="KE54" s="327"/>
      <c r="KF54" s="327"/>
      <c r="KG54" s="327"/>
      <c r="KH54" s="327"/>
      <c r="KI54" s="327"/>
      <c r="KJ54" s="327"/>
      <c r="KK54" s="327"/>
      <c r="KL54" s="327"/>
      <c r="KM54" s="327"/>
      <c r="KN54" s="327"/>
      <c r="KO54" s="327"/>
      <c r="KP54" s="327"/>
      <c r="KQ54" s="327"/>
      <c r="KR54" s="327"/>
    </row>
    <row r="55" spans="2:304">
      <c r="IX55" s="327"/>
      <c r="IY55" s="327"/>
      <c r="IZ55" s="327"/>
      <c r="JA55" s="327"/>
      <c r="JB55" s="327"/>
      <c r="JC55" s="327"/>
      <c r="JD55" s="327"/>
      <c r="JE55" s="327"/>
      <c r="JF55" s="327"/>
      <c r="JG55" s="327"/>
      <c r="JH55" s="327"/>
      <c r="JI55" s="327"/>
      <c r="JJ55" s="327"/>
      <c r="JK55" s="327"/>
      <c r="JL55" s="327"/>
      <c r="JM55" s="327"/>
      <c r="JN55" s="327"/>
      <c r="JO55" s="327"/>
      <c r="JP55" s="327"/>
      <c r="JQ55" s="327"/>
      <c r="JR55" s="327"/>
      <c r="JS55" s="327"/>
      <c r="JT55" s="327"/>
      <c r="JU55" s="327"/>
      <c r="JV55" s="327"/>
      <c r="JW55" s="327"/>
      <c r="JX55" s="327"/>
      <c r="JY55" s="327"/>
      <c r="JZ55" s="327"/>
      <c r="KA55" s="327"/>
      <c r="KB55" s="327"/>
      <c r="KC55" s="327"/>
      <c r="KD55" s="327"/>
      <c r="KE55" s="327"/>
      <c r="KF55" s="327"/>
      <c r="KG55" s="327"/>
      <c r="KH55" s="327"/>
      <c r="KI55" s="327"/>
      <c r="KJ55" s="327"/>
      <c r="KK55" s="327"/>
      <c r="KL55" s="327"/>
      <c r="KM55" s="327"/>
      <c r="KN55" s="327"/>
      <c r="KO55" s="327"/>
      <c r="KP55" s="327"/>
      <c r="KQ55" s="327"/>
      <c r="KR55" s="327"/>
    </row>
    <row r="56" spans="2:304">
      <c r="IX56" s="327"/>
      <c r="IY56" s="327"/>
      <c r="IZ56" s="327"/>
      <c r="JA56" s="327"/>
      <c r="JB56" s="327"/>
      <c r="JC56" s="327"/>
      <c r="JD56" s="327"/>
      <c r="JE56" s="327"/>
      <c r="JF56" s="327"/>
      <c r="JG56" s="327"/>
      <c r="JH56" s="327"/>
      <c r="JI56" s="327"/>
      <c r="JJ56" s="327"/>
      <c r="JK56" s="327"/>
      <c r="JL56" s="327"/>
      <c r="JM56" s="327"/>
      <c r="JN56" s="327"/>
      <c r="JO56" s="327"/>
      <c r="JP56" s="327"/>
      <c r="JQ56" s="327"/>
      <c r="JR56" s="327"/>
      <c r="JS56" s="327"/>
      <c r="JT56" s="327"/>
      <c r="JU56" s="327"/>
      <c r="JV56" s="327"/>
      <c r="JW56" s="327"/>
      <c r="JX56" s="327"/>
      <c r="JY56" s="327"/>
      <c r="JZ56" s="327"/>
      <c r="KA56" s="327"/>
      <c r="KB56" s="327"/>
      <c r="KC56" s="327"/>
      <c r="KD56" s="327"/>
      <c r="KE56" s="327"/>
      <c r="KF56" s="327"/>
      <c r="KG56" s="327"/>
      <c r="KH56" s="327"/>
      <c r="KI56" s="327"/>
      <c r="KJ56" s="327"/>
      <c r="KK56" s="327"/>
      <c r="KL56" s="327"/>
      <c r="KM56" s="327"/>
      <c r="KN56" s="327"/>
      <c r="KO56" s="327"/>
      <c r="KP56" s="327"/>
      <c r="KQ56" s="327"/>
      <c r="KR56" s="327"/>
    </row>
    <row r="57" spans="2:304">
      <c r="IX57" s="327"/>
      <c r="IY57" s="327"/>
      <c r="IZ57" s="327"/>
      <c r="JA57" s="327"/>
      <c r="JB57" s="327"/>
      <c r="JC57" s="327"/>
      <c r="JD57" s="327"/>
      <c r="JE57" s="327"/>
      <c r="JF57" s="327"/>
      <c r="JG57" s="327"/>
      <c r="JH57" s="327"/>
      <c r="JI57" s="327"/>
      <c r="JJ57" s="327"/>
      <c r="JK57" s="327"/>
      <c r="JL57" s="327"/>
      <c r="JM57" s="327"/>
      <c r="JN57" s="327"/>
      <c r="JO57" s="327"/>
      <c r="JP57" s="327"/>
      <c r="JQ57" s="327"/>
      <c r="JR57" s="327"/>
      <c r="JS57" s="327"/>
      <c r="JT57" s="327"/>
      <c r="JU57" s="327"/>
      <c r="JV57" s="327"/>
      <c r="JW57" s="327"/>
      <c r="JX57" s="327"/>
      <c r="JY57" s="327"/>
      <c r="JZ57" s="327"/>
      <c r="KA57" s="327"/>
      <c r="KB57" s="327"/>
      <c r="KC57" s="327"/>
      <c r="KD57" s="327"/>
      <c r="KE57" s="327"/>
      <c r="KF57" s="327"/>
      <c r="KG57" s="327"/>
      <c r="KH57" s="327"/>
      <c r="KI57" s="327"/>
      <c r="KJ57" s="327"/>
      <c r="KK57" s="327"/>
      <c r="KL57" s="327"/>
      <c r="KM57" s="327"/>
      <c r="KN57" s="327"/>
      <c r="KO57" s="327"/>
      <c r="KP57" s="327"/>
      <c r="KQ57" s="327"/>
      <c r="KR57" s="327"/>
    </row>
    <row r="58" spans="2:304">
      <c r="IX58" s="327"/>
      <c r="IY58" s="327"/>
      <c r="IZ58" s="327"/>
      <c r="JA58" s="327"/>
      <c r="JB58" s="327"/>
      <c r="JC58" s="327"/>
      <c r="JD58" s="327"/>
      <c r="JE58" s="327"/>
      <c r="JF58" s="327"/>
      <c r="JG58" s="327"/>
      <c r="JH58" s="327"/>
      <c r="JI58" s="327"/>
      <c r="JJ58" s="327"/>
      <c r="JK58" s="327"/>
      <c r="JL58" s="327"/>
      <c r="JM58" s="327"/>
      <c r="JN58" s="327"/>
      <c r="JO58" s="327"/>
      <c r="JP58" s="327"/>
      <c r="JQ58" s="327"/>
      <c r="JR58" s="327"/>
      <c r="JS58" s="327"/>
      <c r="JT58" s="327"/>
      <c r="JU58" s="327"/>
      <c r="JV58" s="327"/>
      <c r="JW58" s="327"/>
      <c r="JX58" s="327"/>
      <c r="JY58" s="327"/>
      <c r="JZ58" s="327"/>
      <c r="KA58" s="327"/>
      <c r="KB58" s="327"/>
      <c r="KC58" s="327"/>
      <c r="KD58" s="327"/>
      <c r="KE58" s="327"/>
      <c r="KF58" s="327"/>
      <c r="KG58" s="327"/>
      <c r="KH58" s="327"/>
      <c r="KI58" s="327"/>
      <c r="KJ58" s="327"/>
      <c r="KK58" s="327"/>
      <c r="KL58" s="327"/>
      <c r="KM58" s="327"/>
      <c r="KN58" s="327"/>
      <c r="KO58" s="327"/>
      <c r="KP58" s="327"/>
      <c r="KQ58" s="327"/>
      <c r="KR58" s="327"/>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خسوف و کسوف</vt:lpstr>
      <vt:lpstr>رویت هلال</vt:lpstr>
      <vt:lpstr>تقویم نجومی</vt:lpstr>
      <vt:lpstr>زایچه</vt:lpstr>
      <vt:lpstr>احکام نجوم</vt:lpstr>
      <vt:lpstr>Sheet1</vt:lpstr>
      <vt:lpstr>مقاله هفتم</vt:lpstr>
      <vt:lpstr>قوت و ضعف کواکب</vt:lpstr>
      <vt:lpstr>متحیره و ثوابت و اوقات</vt:lpstr>
      <vt:lpstr>طول و عرض ثوابت</vt:lpstr>
      <vt:lpstr>قمر و متحیره</vt:lpstr>
      <vt:lpstr>تقویم متحیره</vt:lpstr>
      <vt:lpstr>تعدیلات قمر</vt:lpstr>
      <vt:lpstr>تاریخ</vt:lpstr>
      <vt:lpstr>مجموع</vt:lpstr>
      <vt:lpstr>تعدیلات </vt:lpstr>
      <vt:lpstr>مقاله دوم</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1234</dc:creator>
  <cp:lastModifiedBy>pc</cp:lastModifiedBy>
  <dcterms:created xsi:type="dcterms:W3CDTF">2019-11-08T10:17:27Z</dcterms:created>
  <dcterms:modified xsi:type="dcterms:W3CDTF">2024-06-04T18:04:26Z</dcterms:modified>
</cp:coreProperties>
</file>